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sheetId="1" r:id="rId4"/>
    <sheet state="visible" name="Tips" sheetId="2" r:id="rId5"/>
    <sheet state="visible" name="Software Engineering" sheetId="3" r:id="rId6"/>
    <sheet state="visible" name="Data Analysis" sheetId="4" r:id="rId7"/>
    <sheet state="visible" name="Business Analyst" sheetId="5" r:id="rId8"/>
    <sheet state="visible" name="Engineering and Development" sheetId="6" r:id="rId9"/>
    <sheet state="visible" name="Accounting and Finance" sheetId="7" r:id="rId10"/>
    <sheet state="visible" name="Product Management" sheetId="8" r:id="rId11"/>
    <sheet state="visible" name="Marketing" sheetId="9" r:id="rId12"/>
    <sheet state="visible" name="Sales" sheetId="10" r:id="rId13"/>
    <sheet state="visible" name="Consultant" sheetId="11" r:id="rId14"/>
    <sheet state="visible" name="Human Resources" sheetId="12" r:id="rId15"/>
    <sheet state="visible" name="Creatives and Design" sheetId="13" r:id="rId16"/>
    <sheet state="visible" name="Management and Executive" sheetId="14" r:id="rId17"/>
    <sheet state="visible" name="Customer Service and Support" sheetId="15" r:id="rId18"/>
    <sheet state="visible" name="Public Sector and Government" sheetId="16" r:id="rId19"/>
    <sheet state="visible" name="Legal and Compliance" sheetId="17" r:id="rId20"/>
    <sheet state="visible" name="Arts and Entertainment" sheetId="18" r:id="rId21"/>
    <sheet state="visible" name="Education and Training" sheetId="19" r:id="rId22"/>
  </sheets>
  <definedNames>
    <definedName hidden="1" localSheetId="2" name="_xlnm._FilterDatabase">'Software Engineering'!$A$1:$I$720</definedName>
    <definedName hidden="1" localSheetId="3" name="_xlnm._FilterDatabase">'Data Analysis'!$A$1:$I$254</definedName>
    <definedName hidden="1" localSheetId="4" name="_xlnm._FilterDatabase">'Business Analyst'!$A$1:$I$29</definedName>
    <definedName hidden="1" localSheetId="5" name="_xlnm._FilterDatabase">'Engineering and Development'!$A$1:$J$3797</definedName>
    <definedName hidden="1" localSheetId="6" name="_xlnm._FilterDatabase">'Accounting and Finance'!$A$1:$J$2122</definedName>
    <definedName hidden="1" localSheetId="7" name="_xlnm._FilterDatabase">'Product Management'!$A$1:$J$72</definedName>
    <definedName hidden="1" localSheetId="8" name="_xlnm._FilterDatabase">Marketing!$A$1:$J$3372</definedName>
    <definedName hidden="1" localSheetId="9" name="_xlnm._FilterDatabase">Sales!$A$1:$J$1101</definedName>
    <definedName hidden="1" localSheetId="10" name="_xlnm._FilterDatabase">Consultant!$A$1:$I$408</definedName>
    <definedName hidden="1" localSheetId="11" name="_xlnm._FilterDatabase">'Human Resources'!$A$1:$J$525</definedName>
    <definedName hidden="1" localSheetId="12" name="_xlnm._FilterDatabase">'Creatives and Design'!$A$1:$J$874</definedName>
    <definedName hidden="1" localSheetId="13" name="_xlnm._FilterDatabase">'Management and Executive'!$A$1:$J$531</definedName>
    <definedName hidden="1" localSheetId="14" name="_xlnm._FilterDatabase">'Customer Service and Support'!$A$1:$J$1125</definedName>
    <definedName hidden="1" localSheetId="15" name="_xlnm._FilterDatabase">'Public Sector and Government'!$A$1:$J$257</definedName>
    <definedName hidden="1" localSheetId="16" name="_xlnm._FilterDatabase">'Legal and Compliance'!$A$1:$J$343</definedName>
    <definedName hidden="1" localSheetId="17" name="_xlnm._FilterDatabase">'Arts and Entertainment'!$A$1:$J$420</definedName>
    <definedName hidden="1" localSheetId="18" name="_xlnm._FilterDatabase">'Education and Training'!$A$1:$J$1993</definedName>
  </definedNames>
  <calcPr/>
</workbook>
</file>

<file path=xl/sharedStrings.xml><?xml version="1.0" encoding="utf-8"?>
<sst xmlns="http://schemas.openxmlformats.org/spreadsheetml/2006/main" count="160745" uniqueCount="26071">
  <si>
    <t>2025 U.S. Internships</t>
  </si>
  <si>
    <t xml:space="preserve">This job repository provides daily updates and tracks the latest internship openings from multiple sources.  Currently, we focus on internship opportunities in the United States. </t>
  </si>
  <si>
    <r>
      <rPr/>
      <t xml:space="preserve">This list is maintained by </t>
    </r>
    <r>
      <rPr>
        <color rgb="FF1155CC"/>
        <u/>
      </rPr>
      <t>Jobright.ai</t>
    </r>
    <r>
      <rPr/>
      <t xml:space="preserve">.                                                   </t>
    </r>
  </si>
  <si>
    <r>
      <rPr>
        <color rgb="FF000000"/>
      </rPr>
      <t xml:space="preserve">Follow us on Instagram to get daily internship alerts here: </t>
    </r>
    <r>
      <rPr>
        <color rgb="FF1155CC"/>
        <u/>
      </rPr>
      <t>https://www.instagram.com/internshipquest/</t>
    </r>
  </si>
  <si>
    <r>
      <rPr/>
      <t xml:space="preserve">Feedback? Questions? Fill out a brief typeform here: </t>
    </r>
    <r>
      <rPr>
        <color rgb="FF1155CC"/>
        <u/>
      </rPr>
      <t>https://gh7s0jl5okc.typeform.com/to/Nty31xmJ</t>
    </r>
    <r>
      <rPr/>
      <t xml:space="preserve">   (Chance to Earn a </t>
    </r>
    <r>
      <rPr>
        <b/>
      </rPr>
      <t>Free</t>
    </r>
    <r>
      <rPr/>
      <t xml:space="preserve"> Interview Cheatsheet!)</t>
    </r>
  </si>
  <si>
    <t>🚀Internship opportunities in the following fields:</t>
  </si>
  <si>
    <t>Accounting and Finance</t>
  </si>
  <si>
    <t>Explore Field</t>
  </si>
  <si>
    <t>Arts and Entertainment</t>
  </si>
  <si>
    <t>Business Analyst</t>
  </si>
  <si>
    <t>Consulting</t>
  </si>
  <si>
    <t>Creatives and Design</t>
  </si>
  <si>
    <t>Customer Service and Support</t>
  </si>
  <si>
    <t>Data Analysis</t>
  </si>
  <si>
    <t>Education and Training</t>
  </si>
  <si>
    <t>Engineering and Development</t>
  </si>
  <si>
    <t>Human Resources</t>
  </si>
  <si>
    <t>Legal and Compliance</t>
  </si>
  <si>
    <t>Management and Executive</t>
  </si>
  <si>
    <t>Marketing</t>
  </si>
  <si>
    <t>Product Management</t>
  </si>
  <si>
    <t>Public Sector and Government</t>
  </si>
  <si>
    <t>Sales</t>
  </si>
  <si>
    <t>Software Engineering</t>
  </si>
  <si>
    <r>
      <rPr/>
      <t xml:space="preserve">⚠️ We will update the latest internship positions. Some of these internships will sponsor international students.
While this repository includes the latest available internship positions from the career sites of hundreds of thousands of companies, 
as well as the latest job postings from major job platforms, to help you navigate the application maze that’s intense with competition.
Please note: Some internship positions have very short active periods. We update the status multiple times a day, but there may still be instances where an internship has already closed. 
</t>
    </r>
    <r>
      <rPr>
        <color rgb="FF1155CC"/>
        <u/>
      </rPr>
      <t>Jobright.ai</t>
    </r>
    <r>
      <rPr/>
      <t xml:space="preserve"> is an AI job search copilot that makes landing job interviews dramatically easier and faster - get matched jobs, 
tailored resume, and recommended insider connections in less than 1 min! Give it a try for free.</t>
    </r>
  </si>
  <si>
    <r>
      <rPr/>
      <t xml:space="preserve">Reach out at support@jobright.ai or join our Discord community 👉 </t>
    </r>
    <r>
      <rPr>
        <color rgb="FF1155CC"/>
        <u/>
      </rPr>
      <t>https://discord.gg/tJeyxxsef9</t>
    </r>
    <r>
      <rPr/>
      <t xml:space="preserve"> to help us enhance this list. ❤️</t>
    </r>
  </si>
  <si>
    <t>How to Filter Internships by Specific Criteria?</t>
  </si>
  <si>
    <r>
      <rPr>
        <rFont val="Arial"/>
        <color theme="1"/>
        <sz val="10.0"/>
      </rPr>
      <t xml:space="preserve">Setting a filter helps you customize and view specific requirements in different criteria. 
</t>
    </r>
    <r>
      <rPr>
        <rFont val="Arial"/>
        <b/>
        <color theme="1"/>
        <sz val="10.0"/>
      </rPr>
      <t>Note</t>
    </r>
    <r>
      <rPr>
        <rFont val="Arial"/>
        <color theme="1"/>
        <sz val="10.0"/>
      </rPr>
      <t>: To keep the sheet organized for everyone, please create a filter view before applying any filters.</t>
    </r>
  </si>
  <si>
    <t xml:space="preserve">Follow these steps to create and apply a customized filter:
Step 1: Click "Data" -&gt; "Create filter view" </t>
  </si>
  <si>
    <t xml:space="preserve">Step 2: Click the filter icon next to each criterion. </t>
  </si>
  <si>
    <t>A menu will appear with various filter options and conditions.</t>
  </si>
  <si>
    <t xml:space="preserve">Select the conditions you want, then click "OK" to apply the filter.
</t>
  </si>
  <si>
    <t>Date</t>
  </si>
  <si>
    <t>Apply</t>
  </si>
  <si>
    <t>Position Title</t>
  </si>
  <si>
    <t>Company</t>
  </si>
  <si>
    <t>Company Size</t>
  </si>
  <si>
    <t>Company Industry</t>
  </si>
  <si>
    <t>Location</t>
  </si>
  <si>
    <t>Work Model</t>
  </si>
  <si>
    <t>Salary</t>
  </si>
  <si>
    <t>Qualifications</t>
  </si>
  <si>
    <t xml:space="preserve"> </t>
  </si>
  <si>
    <t>SAP NS2 FinOps BTP Developer Intern- Hybrid/Herndon, VA</t>
  </si>
  <si>
    <t>SAP</t>
  </si>
  <si>
    <t>10000+</t>
  </si>
  <si>
    <t>Analytics, Business Intelligence</t>
  </si>
  <si>
    <t>Herndon, VA</t>
  </si>
  <si>
    <t>Hybrid</t>
  </si>
  <si>
    <t>$16-$62 /h</t>
  </si>
  <si>
    <t>1. Must be a senior or graduate student working towards a degree in a related field (Finance, Computer Science, or similar) or have graduated within the last 6 months.
2. Deep familiarity with at least one major Cloud Service Provider (CSP), such as Amazon Web Services (AWS), Microsoft Azure, or Google Cloud Platform (GCP).
3. Strong understanding of cloud technology and services, including infrastructure-as-a-service (IaaS), platform-as-a-service (PaaS), and software-as-a-service (SaaS).
...</t>
  </si>
  <si>
    <t>Software Dev Engineer Intern - (Fall)</t>
  </si>
  <si>
    <t>Amazon Web Services</t>
  </si>
  <si>
    <t>Computer, Consulting</t>
  </si>
  <si>
    <t>Cupertino, CA</t>
  </si>
  <si>
    <t>On Site</t>
  </si>
  <si>
    <t>$47.84-$96.15 /h</t>
  </si>
  <si>
    <t>1. Knowledge of computer science fundamentals such as object-oriented design, operating systems, algorithms, data structures, and complexity analysis
2. Are 18 years of age or older
3. Experience with at least one modern language such as Java, Python, C++, or C# including object-oriented design</t>
  </si>
  <si>
    <t>Software Engineer Intern - Summer 2025</t>
  </si>
  <si>
    <t>Sensata Technologies</t>
  </si>
  <si>
    <t>Electrical Distribution, Hardware</t>
  </si>
  <si>
    <t>Attleboro, MA</t>
  </si>
  <si>
    <t>1. Must be currently pursuing B.S., M.Eng., or M.S. in Computer Engineering from an accredited program
2. Must be a team player able to work in a fast-paced environment with demonstrated ability to handle multiple competing tasks and demands
3. Strong communication skills; oral, written and presentation
...</t>
  </si>
  <si>
    <t>Mentee, Development</t>
  </si>
  <si>
    <t>Commvault</t>
  </si>
  <si>
    <t>1001-5000</t>
  </si>
  <si>
    <t>Data Management, Management Information Systems</t>
  </si>
  <si>
    <t>New Jersey, United States</t>
  </si>
  <si>
    <t>1. An interest in Computer Science, Computer Programming, or related fields.
2. A great eye for detail, ability to troubleshoot, a desire to learn from the best!</t>
  </si>
  <si>
    <t>Intern/Co-op- Summer 2025 - Software Engineering</t>
  </si>
  <si>
    <t>Innovative Systems</t>
  </si>
  <si>
    <t>51-100</t>
  </si>
  <si>
    <t>Data Management, Data Visualization</t>
  </si>
  <si>
    <t>Pittsburgh, PA</t>
  </si>
  <si>
    <t>1. Minimum of 2 years of undergraduate work completed by the start of the Internship/Co-op
2. Currently enrolled in an accredited college or university with a major in Computer Science or related technical major
3. Knowledge in and passion for learning software and web development, design, and implementation
...</t>
  </si>
  <si>
    <t>Intern/Co-op-Spring 2025 - Software Engineering</t>
  </si>
  <si>
    <t>NJ</t>
  </si>
  <si>
    <t>Software Engineering Intern (Recent Grad)</t>
  </si>
  <si>
    <t>Sigma Computing</t>
  </si>
  <si>
    <t>251-500</t>
  </si>
  <si>
    <t>San Francisco Bay Area</t>
  </si>
  <si>
    <t>$50-$50 /h</t>
  </si>
  <si>
    <t>1. You must be legally authorized to work in the US beginning in July 2024
2. Visa sponsorship is not available for our internship positions, but we welcome applicants on a student visa (with authorization to work in the U.S.) to apply
3. Applicants must be able to work in-person in our offices either in San Francisco or New York City for the duration of their 3 month internship
...</t>
  </si>
  <si>
    <t>Software Engineer (Entry Level)</t>
  </si>
  <si>
    <t>SRC</t>
  </si>
  <si>
    <t>Consulting, Information Technology</t>
  </si>
  <si>
    <t>Syracuse, NY</t>
  </si>
  <si>
    <t>$62000-$90000 /yr</t>
  </si>
  <si>
    <t>1. Bachelor’s degree in Computer Science, Computer Engineering or Software Engineering
2. Ability to work collaboratively in a team environment, with excellent communication skills
3. Must be U.S. citizen
...</t>
  </si>
  <si>
    <t>Software Engineering Intern</t>
  </si>
  <si>
    <t>SquareShift.co</t>
  </si>
  <si>
    <t>Apps, Cloud Data Services</t>
  </si>
  <si>
    <t>Pleasanton, CA</t>
  </si>
  <si>
    <t>1. Recently graduated from a Master’s program in Computer Science, Computer Engineering, Data Science, Artificial intelligence or a related field.
2. Strong academic background with a good GPA (please include your GPA in your application).
3. Proficiency in programming with Java or Python.
...</t>
  </si>
  <si>
    <t>Web Development Team</t>
  </si>
  <si>
    <t>Childhood Cancer Society</t>
  </si>
  <si>
    <t>New York, NY</t>
  </si>
  <si>
    <t>1. Understanding of working on small parts of a large software project
2. Timeliness and required skills to deliver assignments</t>
  </si>
  <si>
    <t>Software Engineer Intern C (Carlsbad, CA)</t>
  </si>
  <si>
    <t>Harris Corp - composite aero-structures division</t>
  </si>
  <si>
    <t>Business Development</t>
  </si>
  <si>
    <t>Carlsbad, CA</t>
  </si>
  <si>
    <t>1. Bachelor’s degree in Computer Science, Computer Engineering, Software Engineering, Electrical Engineering, Wireless Engineering, Information Security, Mathematics, Digital Arts &amp; Sciences or related field</t>
  </si>
  <si>
    <t>Software Engineer Intern D (Londonderry, NH)</t>
  </si>
  <si>
    <t>Londonderry, NH</t>
  </si>
  <si>
    <t>Software Engineer Intern C (Salt Lake City, UT)</t>
  </si>
  <si>
    <t>Salt Lake City, UT</t>
  </si>
  <si>
    <t>Software Engineer Intern C (Brevard, FL)</t>
  </si>
  <si>
    <t>Melbourne, FL</t>
  </si>
  <si>
    <t>Integration/Test Engineer Intern C (Brevard, FL)</t>
  </si>
  <si>
    <t>Palm Bay, FL</t>
  </si>
  <si>
    <t>1. Pursuing a Bachelor's Degree in Electrical Engineering, Computer Science, Computer Engineering, Mechanical Engineering, Aerospace Engineering or other related field</t>
  </si>
  <si>
    <t>IMC Investments</t>
  </si>
  <si>
    <t>Chicago, IL</t>
  </si>
  <si>
    <t>1. Current university student graduating between September 2025 - July 2026 that is pursuing a Computer Science, Engineering, or a related technology degree
2. Strong knowledge of algorithms and data structures is required
3. Must have proficient experience in a programming language (Java or C++ preferred)
...</t>
  </si>
  <si>
    <t>Integration/Test Engineer Intern D (Londonderry, NH)</t>
  </si>
  <si>
    <t>Intern C, Software Engrg (Lynchburg, VA)</t>
  </si>
  <si>
    <t>Lynchburg, VA</t>
  </si>
  <si>
    <t>1. Pursuing a Bachelor’s degree in Computer Science, Computer Engineering, Software Engineering, Electrical Engineering, Wireless Engineering, Information Security, Mathematics, Digital Arts &amp; Sciences or related field</t>
  </si>
  <si>
    <t>Software Internship (In Person)</t>
  </si>
  <si>
    <t>Stuut</t>
  </si>
  <si>
    <t>FinTech, Software</t>
  </si>
  <si>
    <t>1. A minimum of 5 years of software engineering experience for front-end development experience, building, running, and debugging web applications using modern JS frameworks (Vue, React, etc)
2. Advanced knowledge of modern HTML and CSS
3. Ability to collaborate with designers, product managers, and other teams to come up with high-impact ways of quickly solving our customer’s problems
...</t>
  </si>
  <si>
    <t>***Computer Science and Engineering Co-Op - Spring 2025</t>
  </si>
  <si>
    <t>Crown Equipment</t>
  </si>
  <si>
    <t>Industrial</t>
  </si>
  <si>
    <t>New Bremen, OH</t>
  </si>
  <si>
    <t>1. Pursuing a four-year college degree in Computer Science, Computer Engineering, Electrical Engineering, Management Information Systems or related field.
2. Experience in programming and analysis, along with strong written, verbal, analytical and interpersonal skills necessary.
3. Candidate must be a highly self-motivated individual with an attention to detail.
...</t>
  </si>
  <si>
    <t>Intern Software Quality Assurance Analyst, Product Innovation</t>
  </si>
  <si>
    <t>Insperity</t>
  </si>
  <si>
    <t>Enterprise Software, Human Resources</t>
  </si>
  <si>
    <t>Houston, TX</t>
  </si>
  <si>
    <t>1. Actively pursuing a Bachelor’s Degree in Computer Science or a related discipline is required.
2. Comfortable in an Agile Development environment that requires the ability to adapt to change and motivate others to achieve excellence in a dynamic environment and will bring exceptional attention to detail and commitment to quality.
3. Enjoys testing and possesses the aptitude to improve product quality.
...</t>
  </si>
  <si>
    <t>Software Engineer Intern (Graduate Students in NYC)</t>
  </si>
  <si>
    <t>1. Must be in NYC and in Grad School
2. A minimum of 5 years of software engineering experience for front-end development experience, building, running, and debugging web applications using modern JS frameworks (Vue, React, etc)
3. Advanced knowledge of modern HTML and CSS
...</t>
  </si>
  <si>
    <t>Software Engineer Intern - Front-End (NextJS, TS, MUI)</t>
  </si>
  <si>
    <t>GENIE AI</t>
  </si>
  <si>
    <t>11-50</t>
  </si>
  <si>
    <t>Artificial Intelligence (AI), Enterprise Resource Planning (ERP)</t>
  </si>
  <si>
    <t>Miami, FL</t>
  </si>
  <si>
    <t>1. Currently pursuing a degree in Computer Science, Software Engineering, or a related field.
2. Strong proficiency in TypeScript and experience with front-end frameworks such as NextJS, Typescript, MUI, SCSS.
3. Knowledge of relational and/or NoSQL databases such as PostgreSQL, MongoDB, or Redis.
...</t>
  </si>
  <si>
    <t>Full Stack Engineer Intern</t>
  </si>
  <si>
    <t>Sponsor a Pet</t>
  </si>
  <si>
    <t>Consulting, Consumer Goods</t>
  </si>
  <si>
    <t>San Francisco, CA</t>
  </si>
  <si>
    <t>1. Python
2. React.js
3. HTML/CSS/JS</t>
  </si>
  <si>
    <t>Phoenix, AZ</t>
  </si>
  <si>
    <t>Rollup Integration Intern</t>
  </si>
  <si>
    <t>Rome Protocol</t>
  </si>
  <si>
    <t>Blockchain</t>
  </si>
  <si>
    <t>Oak Park, CA</t>
  </si>
  <si>
    <t>1. Experience working with Rust, Python, Solidity, etc.
2. Keen interest in the Web3/crypto industry and user experience with crypto applications (e.g., Uniswap, Aave).
3. Capable of working independently from conceptualization to implementation, including monitoring and updating your own code.
...</t>
  </si>
  <si>
    <t>Austin, TX</t>
  </si>
  <si>
    <t>Atlanta, GA</t>
  </si>
  <si>
    <t>Charlotte, NC</t>
  </si>
  <si>
    <t>Software Engineer Intern</t>
  </si>
  <si>
    <t>Countercyclical</t>
  </si>
  <si>
    <t>Analytics, Collaboration</t>
  </si>
  <si>
    <t>1. Currently pursuing a degree in Computer Science, Computer Engineering, or a related field at an accredited university (with the intention of graduating)
2. Strong understanding and proficiency of core web development technologies such as HTML, CSS, JavaScript, and at least one modern front-end framework (e.g., React or Vue)
3. Proficiency with extensive front-end state management (e.g. React Context API, Redux)
...</t>
  </si>
  <si>
    <t>Boston, MA</t>
  </si>
  <si>
    <t>AR/VR Developer Internship (Unreal Engine)</t>
  </si>
  <si>
    <t>1. Bachelor's or Master's degree in computer science, virtual reality, augmented reality, or a related field.
2. Proven experience in implementing interactive metahuman avatars on web pages, with a working example/case-study.
3. Strong knowledge of Virtual Reality tools (e.g., Unreal Engine, Unity) and programming languages (e.g., C++, C#).
...</t>
  </si>
  <si>
    <t>Webflow Intern</t>
  </si>
  <si>
    <t>SuperWorld</t>
  </si>
  <si>
    <t>Apps, Augmented Reality</t>
  </si>
  <si>
    <t>Los Angeles, CA</t>
  </si>
  <si>
    <t>1. Content management system experience and willing to learn Webflow content management
2. Front end development experience to learn Webflow content management
3. A/B testing experience &amp; keen on data driven decision making, analytical experience at Internet company a plus</t>
  </si>
  <si>
    <t>Philadelphia, PA</t>
  </si>
  <si>
    <t>Raleigh, NC</t>
  </si>
  <si>
    <t>Reston, VA</t>
  </si>
  <si>
    <t>Washington, DC</t>
  </si>
  <si>
    <t>Software Development Intern - Stephen F. Austin University - Summer 2025</t>
  </si>
  <si>
    <t>Paycom</t>
  </si>
  <si>
    <t>Human Resources, Software</t>
  </si>
  <si>
    <t>Oklahoma City, OK</t>
  </si>
  <si>
    <t>1. Java II and Data Structures
2. Currently pursuing a B.S./M.S. degree in Computer Science or related field
3. Possess the ability to learn and understand business processes and relationship of systems and applications used to accomplish those processes</t>
  </si>
  <si>
    <t>Embedded Software Student</t>
  </si>
  <si>
    <t>Will County, IL</t>
  </si>
  <si>
    <t>1. Computer Engineering/ Electrical Engineering/Computer Science student (grade sheet must be provided).
2. Available for 2.5 to 3 work days per week</t>
  </si>
  <si>
    <t>Software Engineering Internship: Summer 2025</t>
  </si>
  <si>
    <t>Susquehanna International Group, LLP (SIG)</t>
  </si>
  <si>
    <t>Greater Philadelphia</t>
  </si>
  <si>
    <t>1. Students pursuing a BS or MS in Computer Science, Computer Engineering or a similar major
2. Intention to graduate with a bachelor’s or master’s degree within one year of the internship program
3. Strong software development skills in any object oriented language (we use C++, Python, and C# the most)
...</t>
  </si>
  <si>
    <t>2024 ASIC Formal Verification Engineer Intern, Annapurna Labs</t>
  </si>
  <si>
    <t>1. Currently enrolled in a Bachelor’s degree program or higher in Electrical Engineering, Computer Engineering, Computer Science or related fields with a graduation conferral date between December 2024 and September 2025
2. Completed coursework or prior internship experience with formal methods (SW/HW)
3. Coursework or prior internship experience in the basics of computer architecture</t>
  </si>
  <si>
    <t>JT4 SkillBridge Program - Front-End Developer Opportunities in Las Vegas, NV</t>
  </si>
  <si>
    <t>JT4</t>
  </si>
  <si>
    <t>Government, Manufacturing</t>
  </si>
  <si>
    <t>Las Vegas, NV</t>
  </si>
  <si>
    <t>1. This opportunity is open to transitioning military members only.
2. A Bachelor of Science in engineering from an ABET-accredited academic institution is required for this position.
3. Professional knowledge of applicable engineering concepts and principles.
...</t>
  </si>
  <si>
    <t>Solutions Architect Intern</t>
  </si>
  <si>
    <t>Applied Research Laboratory at Penn State University</t>
  </si>
  <si>
    <t>Universities</t>
  </si>
  <si>
    <t>University Park, PA</t>
  </si>
  <si>
    <t>1. An in progress Bachelor's degree or advanced level degree in technology, engineering or Science disciplines required.
2. Direct experience in solutions / enterprise architecture approaches (e.g. Systems Design, Cyber Security, Systems Thinking, Agile Management)
3. Broad knowledge of cloud technologies and solutions, CI/CD, DevSecOps, and the ability to leverage that knowledge in technical implementation project
...</t>
  </si>
  <si>
    <t>Attleboro, Massachusetts</t>
  </si>
  <si>
    <t>PSU Industrial Engineering</t>
  </si>
  <si>
    <t>Education, Manufacturing</t>
  </si>
  <si>
    <t>Fall 2024 GPU ML Performance Architect Co-Op/ Intern</t>
  </si>
  <si>
    <t>AMD</t>
  </si>
  <si>
    <t>Cloud Computing, Computer</t>
  </si>
  <si>
    <t>Santa Clara, CA</t>
  </si>
  <si>
    <t>1. Strong programming skills in C/C++ or python
2. Experience with GPU programming
3. Strong understanding of GPU architecture
...</t>
  </si>
  <si>
    <t>Technical Integration Intern - Fall 2024 - ACL</t>
  </si>
  <si>
    <t>Georgia Tech Research Corporation</t>
  </si>
  <si>
    <t>Association, Biotechnology</t>
  </si>
  <si>
    <t>1. Pursuing a Bachelor’s degree in Electrical Engineering or a related field of study
2. 3.0 or higher cumulative GPA
3. Full-Time Intern- Must be registered for Full-time Internship Credit
...</t>
  </si>
  <si>
    <t>High Performance Computing Post Bachelors Student</t>
  </si>
  <si>
    <t>Los Alamos National Laboratory</t>
  </si>
  <si>
    <t>5001-10000</t>
  </si>
  <si>
    <t>Security</t>
  </si>
  <si>
    <t>Los Alamos, NM</t>
  </si>
  <si>
    <t>1. Recent graduates (BS/BA Degree) would qualify for a 1-2 year appointment through our Post Baccalaureate program.
2. All viable candidates must have a minimum GPA of 3.0/4.0 for consideration.
3. Candidates must have earned the degree no more than 3 years ago.
...</t>
  </si>
  <si>
    <t>Software Engineer Intern (Core/Database Engineering) - Fall 2024</t>
  </si>
  <si>
    <t>Snowflake</t>
  </si>
  <si>
    <t>Analytics, Cloud Data Services</t>
  </si>
  <si>
    <t>Bellevue, WA</t>
  </si>
  <si>
    <t>1. Must be actively enrolled in an accredited college/university program during the time of the internship
2. Desired class level: 3rd/4th year Undergraduates, Masters, or PhD
3. Desired majors: Computer Science, Computer Engineering, Electrical Engineering, Physics, Math, or related field
...</t>
  </si>
  <si>
    <t>San Mateo, CA</t>
  </si>
  <si>
    <t>Quality Assurance Co-Op</t>
  </si>
  <si>
    <t>Hunter Engineering Company</t>
  </si>
  <si>
    <t>Automotive, Consulting</t>
  </si>
  <si>
    <t>Bridgeton, MO</t>
  </si>
  <si>
    <t>1. Major study in Automotive Technology/Engineering
2. Strong communication and organizational skills
3. Good communication skills are required.
...</t>
  </si>
  <si>
    <t>Computer Science Co-Op</t>
  </si>
  <si>
    <t>1. Major study in Computer Science/Computer Engineering
2. Experience in programming
3. Excellent communication skills</t>
  </si>
  <si>
    <t>Software Development Intern</t>
  </si>
  <si>
    <t>Noetic Strategies</t>
  </si>
  <si>
    <t>Artificial Intelligence (AI), Cyber Security</t>
  </si>
  <si>
    <t>Huntsville, AL</t>
  </si>
  <si>
    <t>1. Familiarity with multiple architectures (scripting, Object-Oriented, microservices, Model-View-Controller)
2. Ability to learn new libraries and frameworks as necessary
3. Experience using git and a git repository such as Bitbucket
...</t>
  </si>
  <si>
    <t>Intern D, Software Engrg (Rochester, NY)</t>
  </si>
  <si>
    <t>Rochester, NY</t>
  </si>
  <si>
    <t>Intern C, Software Engrg (Rochester, NY) 1</t>
  </si>
  <si>
    <t>Intern C, Software Engrg (Clifton, NJ)</t>
  </si>
  <si>
    <t>Clifton, NJ</t>
  </si>
  <si>
    <t>Intern C, Software Engrg (Rochester, NY)</t>
  </si>
  <si>
    <t>Embedded Engineering Intern</t>
  </si>
  <si>
    <t>Hexagon Positioning Intelligence</t>
  </si>
  <si>
    <t>Consumer Electronics, Electronics</t>
  </si>
  <si>
    <t>Peoria Metropolitan Area</t>
  </si>
  <si>
    <t>1. Registered in an Engineering or Computer Science program at a recognized post secondary institution.
2. Available for a minimum 4 month work term.
3. Strong academic credentials.
...</t>
  </si>
  <si>
    <t>Spring 2025 Digital Technology Intern</t>
  </si>
  <si>
    <t>GE Appliances</t>
  </si>
  <si>
    <t>Consumer Goods</t>
  </si>
  <si>
    <t>Louisville, KY</t>
  </si>
  <si>
    <t>1. Currently enrolled in an accredited university pursuing a Bachelor's degree or better in Computer Engineering, Computer Science, Information Systems, Software Engineering, Management Information Systems, Computer Information Technology, Computer Information Systems, Informatics, Data Analytics, or related field
2. Minimum cumulative GPA &gt;=3.0 (out of 4.0)
3. December 2025 or later graduation date
...</t>
  </si>
  <si>
    <t>Intern - Solution Developer (Conway, AR)</t>
  </si>
  <si>
    <t>Acxiom</t>
  </si>
  <si>
    <t>501-1000</t>
  </si>
  <si>
    <t>Analytics, Big Data</t>
  </si>
  <si>
    <t>United States</t>
  </si>
  <si>
    <t>Remote</t>
  </si>
  <si>
    <t>1. Pursuing a degree in Computer Science or related field
2. Strong Java and JavaScript
3. Problem-solving skills with solid attention to detail
...</t>
  </si>
  <si>
    <t>Integration/Test Engineer Intern D (Mason, OH)</t>
  </si>
  <si>
    <t>Mason, OH</t>
  </si>
  <si>
    <t>1. Pursuing a Bachelor's Degree in Electrical Engineering, Computer Engineering, or other related field</t>
  </si>
  <si>
    <t>2025 Technology Summer Internship Program - Technology Engineer</t>
  </si>
  <si>
    <t>New York Life Insurance</t>
  </si>
  <si>
    <t>Finance, Financial Services</t>
  </si>
  <si>
    <t>$30-$35 /h</t>
  </si>
  <si>
    <t>1. You must be a rising senior or graduate student studying towards a Bachelor’s or Master’s in Computer Science, Computer Engineering, Electrical Engineering, Mathematics, Physics, Software Engineering or other related technical majors.
2. Superior technical skills, including a strong understanding of Linux /Unix and Windows, competency in at least one programming language (e.g., C, C++, Java or C#)
3. Experience in object-oriented development, good comprehension of data structures, algorithms and complexity theory, strong database and scripting skills.</t>
  </si>
  <si>
    <t>Co-Op: Engineering &amp; Technology - Moon Township, PA</t>
  </si>
  <si>
    <t>Eaton - eMobility Business</t>
  </si>
  <si>
    <t>Electric Vehicle</t>
  </si>
  <si>
    <t>Moon, PA</t>
  </si>
  <si>
    <t>$20.77-$37.50 /h</t>
  </si>
  <si>
    <t>1. Actively enrolled or received a Bachelor or Master degree in Computer Science or Engineering at an accredited institution.
2. Minimum 2.8 cumulative GPA.
3. Must be legally authorized to work in the United States without company sponsorship now or in the future.
...</t>
  </si>
  <si>
    <t>Senior Software Engineer Intern</t>
  </si>
  <si>
    <t>ChampionX</t>
  </si>
  <si>
    <t>Chemical, Chemical Engineering</t>
  </si>
  <si>
    <t>The Woodlands, TX</t>
  </si>
  <si>
    <t>1. Working towards a degree in computer science, engineering or business administration with the focus and inclination of digital software solutions.</t>
  </si>
  <si>
    <t>Internship: Engineering &amp; Technology - Moon Township, PA</t>
  </si>
  <si>
    <t>Web Development Intern</t>
  </si>
  <si>
    <t>Cornett</t>
  </si>
  <si>
    <t>101-250</t>
  </si>
  <si>
    <t>Advertising, Brand Marketing</t>
  </si>
  <si>
    <t>Lexington, KY</t>
  </si>
  <si>
    <t>1. Experience with HTML &amp; CSS required
2. Must be local to Kentucky
3. Available to work in office several days per week or as requested
...</t>
  </si>
  <si>
    <t>Software Engineering Co-op_Summer 2025</t>
  </si>
  <si>
    <t>1. Currently enrolled in an accredited university pursuing a bachelor's degree or higher in Engineering (Computer, or Software Engineering)
2. December 2025 or later graduation date
3. Cumulative GPA &gt;=3.0 (out of 4.0)
...</t>
  </si>
  <si>
    <t>Summer 2025 Digital Technology Intern</t>
  </si>
  <si>
    <t>Test Engineering CoOp (Fall 2024)</t>
  </si>
  <si>
    <t>Sanmina</t>
  </si>
  <si>
    <t>Industrial Engineering, Manufacturing</t>
  </si>
  <si>
    <t>1. US Citizenship is required (Due to DoD, ITAR and other regulations)
2. Sophomore-Senior Student studying Electrical Engineering, Computer Science, Computer Engineering, Mechanical or Aerospace Engineering, or IT
3. Interested in functional test hardware or software development
...</t>
  </si>
  <si>
    <t>Fall Co-Op, Software Tools Engineer (LS- 427)</t>
  </si>
  <si>
    <t>CYPHER</t>
  </si>
  <si>
    <t>Enterprise Software, Real Time</t>
  </si>
  <si>
    <t>1. Actively pursuing a BS or MS in Computer Science or Computer Engineering (or similar relevant area)
2. Understanding of Object-Oriented design and development skills in Java, C++, C# (or similar statically-typed system language)
3. Python, Ruby or similar system scripting language
...</t>
  </si>
  <si>
    <t>Software Engineering Internship - August 2024 to December 2024</t>
  </si>
  <si>
    <t>Nauticus Robotics</t>
  </si>
  <si>
    <t>Industrial Automation, Machinery Manufacturing</t>
  </si>
  <si>
    <t>Webster, TX</t>
  </si>
  <si>
    <t>1. A junior or senior student currently pursuing a degree in Robotics, Computer Science, Electrical Engineering, or a related field.
2. Experience with ROS (Robot Operating System).
3. Fluency in C++ and/or Python.
...</t>
  </si>
  <si>
    <t>Technical Intern</t>
  </si>
  <si>
    <t>International Game Technology</t>
  </si>
  <si>
    <t>Computer, Gaming</t>
  </si>
  <si>
    <t>Reno, NV</t>
  </si>
  <si>
    <t>1. Currently studying for a degree in Software Engineering / Computer Science
2. Exposure to programming languages (C#, VB, etc.)
3. Exposure to web frameworks (JavaScript, PHP, etc.)
...</t>
  </si>
  <si>
    <t>Engineering Intern</t>
  </si>
  <si>
    <t>IndeVets</t>
  </si>
  <si>
    <t>Veterinary</t>
  </si>
  <si>
    <t>1. Currently pursuing a degree in IT/Engineering or similar major.
2. Strong interest in Engineering in a startup environment.
3. Excellent communication and interpersonal skills.
...</t>
  </si>
  <si>
    <t>Intern C, Software Engrg (Rochester, NY) 1 1 1</t>
  </si>
  <si>
    <t>Sunrise, FL</t>
  </si>
  <si>
    <t>Intern - Verification Management System and Services</t>
  </si>
  <si>
    <t>Infineon Technologies</t>
  </si>
  <si>
    <t>1. Actively pursuing BS, MS or PHD in Electrical Engineering, Computer Engineering or Computer Science Engineering
2. Programming knowledge in C, Python, Perl or Ruby
3. An understanding of Large Scale Integration (LSI)</t>
  </si>
  <si>
    <t>Software Engineer Intern (Recommendation Infrastructure) - 2024 Fall (BS/ MS)</t>
  </si>
  <si>
    <t>TikTok</t>
  </si>
  <si>
    <t>Content Creators, Content Discovery</t>
  </si>
  <si>
    <t>San Jose, CA</t>
  </si>
  <si>
    <t>$45-$45 /h</t>
  </si>
  <si>
    <t>1. Currently pursuing an Undergraduate/Masters degree in Software Development, Computer Science, Computer Engineering, or a related technical discipline.
2. Experience in programming, included but not limited to, the following programming languages: C, C++, Java or Golang.
3. Effective communication skills and a sense of ownership and drive.
...</t>
  </si>
  <si>
    <t>Fall 2024 Software Engineering Internship</t>
  </si>
  <si>
    <t>Moog</t>
  </si>
  <si>
    <t>Aerospace, Industrial</t>
  </si>
  <si>
    <t>Elma, NY</t>
  </si>
  <si>
    <t>$21-$29.50 /h</t>
  </si>
  <si>
    <t>1. Enrolled in a software engineering or computer science Bachelor's or Master's Degree program at an accredited university.
2. GPA of at least 3.0 or higher; exact GPA requirement will be determined by department and/or team.
3. This position requires access to U.S. export-controlled information.</t>
  </si>
  <si>
    <t>Software Analyst Intern - UCO - Summer 2025</t>
  </si>
  <si>
    <t>1. Bachelors in MIS, Computer Science, or related field
2. Familiarity with programming languages such as C++, PHP, HTML, .NET, and Java
3. Exposure to database and query design tools such as MYSQL, Oracle, or Toad
...</t>
  </si>
  <si>
    <t>Strategic Student Program: NX Software Development Intern (PES, Fall 2024)</t>
  </si>
  <si>
    <t>Siemens Digital Industries Software</t>
  </si>
  <si>
    <t>Livonia, MI</t>
  </si>
  <si>
    <t>$22-$50 /h</t>
  </si>
  <si>
    <t>1. Currently enrolled as a university student (undergraduate or graduate)
2. Minimum 3.0 GPA
3. Authorized to work in the United States without the need for current or future sponsorship by the company
...</t>
  </si>
  <si>
    <t>Software Engineer - Interns (Hybrid Summer/Part Time School Year)</t>
  </si>
  <si>
    <t>Codeworks</t>
  </si>
  <si>
    <t>Information Technology</t>
  </si>
  <si>
    <t>Waukesha, WI</t>
  </si>
  <si>
    <t>1. Entering Senior Year in biomedical engineering, computer science, electrical engineering or related fields
2. Experience with C++ and exposure to Linux. GPU processing (for ex. CUDA is a plus)
3. Familiarity with OOP and design patterns
...</t>
  </si>
  <si>
    <t>Scientific Aviation</t>
  </si>
  <si>
    <t>Aerospace, Environmental Consulting</t>
  </si>
  <si>
    <t>USA - Texas - The Woodlands</t>
  </si>
  <si>
    <t>Software Developer Intern – Fall 2024</t>
  </si>
  <si>
    <t>CACI International</t>
  </si>
  <si>
    <t>Software</t>
  </si>
  <si>
    <t>Charlottesville, VA</t>
  </si>
  <si>
    <t>$36300-$72600 /yr</t>
  </si>
  <si>
    <t>1. Must be currently enrolled in a Bachelors or Masters course of study in Computer Science, Data Science, or related field at an accredited college/university.
2. 0-2 years of related experience
3. Must be able to obtain and maintain a TS/SCI
...</t>
  </si>
  <si>
    <t>IT Internship opportunity (UT Austin/ University of Texas-San Marcos/ Texas A&amp; M) -Onsite- Austin Tx.</t>
  </si>
  <si>
    <t>EPMA</t>
  </si>
  <si>
    <t>Consulting, Management Consulting</t>
  </si>
  <si>
    <t>Austin, Texas Metropolitan Area</t>
  </si>
  <si>
    <t>1. Students of (UT Austin/ University of Texas-San Marcos/ Texas A&amp; M) may apply to the following opportunity.
2. Ability to work 20+ hours a week &amp; Attend weekly Stand-up Meetings
3. Relevant Degrees: Bachelor of Science degree in Computer Science, Computer Engineering, Electrical/Electronic Engineering, or related degree
...</t>
  </si>
  <si>
    <t>Backend Engineer - Internship</t>
  </si>
  <si>
    <t>Kargo</t>
  </si>
  <si>
    <t>Computer Vision, Freight Service</t>
  </si>
  <si>
    <t>1. Degree (B.S or M.S) in Computer Science or related degree.
2. Experience in Python.
3. Strong collaborative skills, analytical skills, &amp; great attention to detail.
...</t>
  </si>
  <si>
    <t>PKWare</t>
  </si>
  <si>
    <t>Cloud Data Services, Cyber Security</t>
  </si>
  <si>
    <t>Milwaukee, WI</t>
  </si>
  <si>
    <t>1. Currently enrolled in a software engineering/computer science degree, with at least one academic year completed at the time you start your internship.
2. Minimum of 1 year of hands-on experience in Angular.
3. Willingness to work independently with an all-remote team and manager.</t>
  </si>
  <si>
    <t>IT Intern Software Developer</t>
  </si>
  <si>
    <t>Kwik Trip</t>
  </si>
  <si>
    <t>Consumer Goods, Food and Beverage</t>
  </si>
  <si>
    <t>La Crosse, WI</t>
  </si>
  <si>
    <t>1. Student obtaining an undergraduate degree in Computer Science or Software Developer
2. Knowledge of one or more of the following program languages: SQL, HTML, JAVASCRIPT, CSS, C+ or .NET
3. Working knowledge of SQL
...</t>
  </si>
  <si>
    <t>Ann Arbor, MI</t>
  </si>
  <si>
    <t>Global Scripted Development &amp; Programming Intern – Fall 2024</t>
  </si>
  <si>
    <t>Sony Pictures Entertainment</t>
  </si>
  <si>
    <t>Content, Film Distribution</t>
  </si>
  <si>
    <t>Culver City, CA</t>
  </si>
  <si>
    <t>$19-$19 /h</t>
  </si>
  <si>
    <t>1. Highly organized, resourceful, and dependable with excellent interpersonal and oral and written communication skills.
2. Passion for television and focus on development for scripted programming on a global scale.
3. Interest in the entertainment industry both domestically and internationally.
...</t>
  </si>
  <si>
    <t>Summer Analyst - Technology Solutions</t>
  </si>
  <si>
    <t>Bridge Investment Group</t>
  </si>
  <si>
    <t>Property Management, Real Estate</t>
  </si>
  <si>
    <t>Sandy, UT</t>
  </si>
  <si>
    <t>1. Working towards a bachelor’s degree in Computer Science, Data Science, Artificial Intelligence, Mathematics, Statistics, or Engineering (with a focus on software or computer engineering)
2. Minimum 3.5 GPA or equivalent
3. Desire to excel in software development or data management
...</t>
  </si>
  <si>
    <t>SAP iXp Intern - Corporate Processes &amp; Information Technology Software Developer</t>
  </si>
  <si>
    <t>Newtown Square, PA</t>
  </si>
  <si>
    <t>$15-$62 /h</t>
  </si>
  <si>
    <t>1. Graduate or Continuing education in Computer Science or equivalent
2. Practical knowledge of relational databases is a must
3. Experience with Java and Java scripting
...</t>
  </si>
  <si>
    <t>Fall 2024 IT Computer Science Internship</t>
  </si>
  <si>
    <t>1. Enrollment in Bachelor's or Master's curriculum in Information Technology or Computer Science at an accredited university.
2. GPA of at least 3.0; exact GPA requirement will be specified by department and/or team.
3. This position requires access to U.S. export-controlled information.
...</t>
  </si>
  <si>
    <t>Prácticas en Software Engineering con tecnología Microsoft en Málaga y Sevilla - Octubre 2024</t>
  </si>
  <si>
    <t>Avanade</t>
  </si>
  <si>
    <t>Business Intelligence, Consulting</t>
  </si>
  <si>
    <t>Malaga, WA</t>
  </si>
  <si>
    <t>1. Estudiantes del último año universitario del Grado o del Máster
2. Compromiso con soluciones que satisfagan las necesidades y requisitos del negocio
3. Habilidades excepcionales de comunicación escrita y verbal
...</t>
  </si>
  <si>
    <t>Jr. Software Development Engineer - Sunnyvale</t>
  </si>
  <si>
    <t>Amazon</t>
  </si>
  <si>
    <t>Crowdsourcing, Delivery</t>
  </si>
  <si>
    <t>Sunnyvale, CA</t>
  </si>
  <si>
    <t>$16.83-$75.63 /h</t>
  </si>
  <si>
    <t>1. Currently enrolled in an accredited college or university Bachelor's or Master's degree program.
2. Majoring in Computer Science, Software Engineering, or related STEM field.
3. Graduating between June 2026 and beyond
...</t>
  </si>
  <si>
    <t>Jr. Software Development Engineer - San Luis Obispo</t>
  </si>
  <si>
    <t>San Luis Obispo, CA</t>
  </si>
  <si>
    <t>1. Currently enrolled in an accredited college or university Bachelor's or Master's degree program.
2. Majoring in Computer Science, Software Engineering, or related STEM field.
3. Graduating June 2026 and beyond.
...</t>
  </si>
  <si>
    <t>Software Engineer Intern (Summer 2025 - Chicago)</t>
  </si>
  <si>
    <t>Optiver</t>
  </si>
  <si>
    <t>Financial Services, FinTech</t>
  </si>
  <si>
    <t>1. A student working toward a degree in Computer Science or Computer Engineering between December 2025 and June 2026
2. Passionate for clean code, simple, well-architected systems and continuous improvement
3. A proficiency in coding languages such as C++, Python, or Java
...</t>
  </si>
  <si>
    <t>Software Engineer Intern (Summer 2025 - Austin)</t>
  </si>
  <si>
    <t>Solution Engineer - Intern</t>
  </si>
  <si>
    <t>Kognitos</t>
  </si>
  <si>
    <t>Artificial Intelligence (AI), Business Development</t>
  </si>
  <si>
    <t>1. Currently pursuing a Bachelor’s or Master’s degree in Computer Science, Engineering, or a related field.
2. Basic understanding of SaaS solutions and cloud computing.
3. Familiarity with programming languages such as Python, JavaScript, HTML, and CSS.
...</t>
  </si>
  <si>
    <t>Test Engineer Intern</t>
  </si>
  <si>
    <t>DataDirect Networks</t>
  </si>
  <si>
    <t>Artificial Intelligence (AI), Big Data</t>
  </si>
  <si>
    <t>Colorado Springs, CO</t>
  </si>
  <si>
    <t>$20-$21 /h</t>
  </si>
  <si>
    <t>1. Working towards a degree.
2. Ability to read and understand coding languages and logic
3. Experience with any of the following C, Perl, and BASH; experience with Python, XML, Javascript, and/or SQL is a plus
...</t>
  </si>
  <si>
    <t>Digital Engineer Associate</t>
  </si>
  <si>
    <t>Mitsubishi Power Americas</t>
  </si>
  <si>
    <t>Computer, Energy</t>
  </si>
  <si>
    <t>Orlando, FL</t>
  </si>
  <si>
    <t>1. Student in Computer Science, Information Technology, Software Engineering, or similar from an accredited college or university or technical institution.
2. Ability to read, speak, and write English fluently.
3. Ability to troubleshoot to define and identify problems. Collect data, establish facts, and draw valid conclusions to take prompt corrective actions.
...</t>
  </si>
  <si>
    <t>Front-End Engineer Intern (TikTok Privacy and Security) - 2025 Summer (BS/MS)</t>
  </si>
  <si>
    <t>$45-$60 /h</t>
  </si>
  <si>
    <t>1. Currently pursuing an Undergraduate/Master degree in Software Development, Computer Science, Computer Engineering, or a related technical discipline.
2. Able to commit to working for 12 weeks during Summer 2025;
3. Experience with Javascript, Typescript, HTML etc.
...</t>
  </si>
  <si>
    <t>International Infrastructure Engineer (Starlink)</t>
  </si>
  <si>
    <t>SpaceX</t>
  </si>
  <si>
    <t>Advanced Materials, Aerospace</t>
  </si>
  <si>
    <t>Redmond, WA</t>
  </si>
  <si>
    <t>$95,000-$115,000 /yr</t>
  </si>
  <si>
    <t>1. Bachelor’s degree in engineering or STEM discipline
2. 1+ years of professional experience in an engineering role
3. Willingness to travel to domestic and international ground station sites
...</t>
  </si>
  <si>
    <t>Software Engineer Intern (Privacy and Security-Privacy Backend Infra) - 2024 Off Cycle/Fall (BS/MS)</t>
  </si>
  <si>
    <t>Seattle, WA</t>
  </si>
  <si>
    <t>$42.75-$57 /h</t>
  </si>
  <si>
    <t>1. Currently pursuing an Undergraduate/Master degree in Software Development, Computer Science, Computer Engineering, or a related technical discipline.
2. Experience with coding in Python, Golang.
3. Must obtain work authorization in country of employment at the time of hire, and maintain ongoing work authorization during employment.</t>
  </si>
  <si>
    <t>Student - Engineering Software</t>
  </si>
  <si>
    <t>Magna International</t>
  </si>
  <si>
    <t>Automotive, Industrial Engineering</t>
  </si>
  <si>
    <t>Auburn Hills, MI</t>
  </si>
  <si>
    <t>1. Pursuing a Bachelor's/master’s degree in engineering or related field.
2. Strong analytical and organizational skills with attention to detail.
3. Ability to work effectively in a team environment and willingness to learn.
...</t>
  </si>
  <si>
    <t>Student - Engineering Object Fusion</t>
  </si>
  <si>
    <t>1. Bachelor degree
2. Master degree student in Computer science or Embedded SW
3. Experience with ROS, Linux and Python scripting
...</t>
  </si>
  <si>
    <t>Software Development Engineer - Amazon Dedicated Cloud, Region Services</t>
  </si>
  <si>
    <t>Denver, CO</t>
  </si>
  <si>
    <t>$99500-$200000 /yr</t>
  </si>
  <si>
    <t>1. Bachelor's or Master's Degree in Computer Science, Computer Engineering, or related fields with a graduation date of Spring/Summer 2023 to Spring/Summer 2024
2. Programming experience with at least one modern language such as Java, C++, or C# including object-oriented design</t>
  </si>
  <si>
    <t>Software &amp; HIL Test Engineering Student</t>
  </si>
  <si>
    <t>Troy, MI</t>
  </si>
  <si>
    <t>1. Minimum 3.0 GPA strongly required.
2. Enrolled in an engineering program with an accredited school.
3. Understand the basics of engineering theory and principles of design.
...</t>
  </si>
  <si>
    <t>Student - Engineering Low Speed ADAS Features</t>
  </si>
  <si>
    <t>1. Enrolled in a master’s or PhD degree program in Mechanical Engineering / Electrical Engineering / Automotive Engineering/ Computer Science or equivalent
2. Valid Driver License
3. Experience in Digital Image Processing or Machine Learning or vehicle dynamics OR control systems OR digital signal processing through coursework or industry experience
...</t>
  </si>
  <si>
    <t>Arlington, VA</t>
  </si>
  <si>
    <t>Software Developer Intern</t>
  </si>
  <si>
    <t>Veris Global</t>
  </si>
  <si>
    <t>Cloud Management, Consulting</t>
  </si>
  <si>
    <t>Lafayette, LA</t>
  </si>
  <si>
    <t>1. Pursuing a Bachelor’s degree or equivalent experience in Computer Science or a related field
2. Experience with HTML and JavaScript
3. Development experience with programming languages
...</t>
  </si>
  <si>
    <t>Fall 2024 Software Testing 8 Mo Co-Op (BS Mechanical)</t>
  </si>
  <si>
    <t>ANSYS</t>
  </si>
  <si>
    <t>Enterprise Software, Information Services</t>
  </si>
  <si>
    <t>1. Pursuing BS or MS in Mechanical Engineering or related technical field with a GPA of 3.0 or higher
2. Must be currently enrolled in a full-time degree program and returning to the program after the completion of the co-op
3. Knowledge and interest in software testing methodologies and/or EDA tools
...</t>
  </si>
  <si>
    <t>Backend Software Engineer Intern (TikTok Privacy and Security) - 2025 Summer (BS/MS)</t>
  </si>
  <si>
    <t>1. Currently pursuing an Undergraduate/Master degree in Software Development, Computer Science, Computer Engineering, or a related technical discipline.
2. Able to commit to working for 12 weeks during Summer 2025
3. Experience with Python, Java, Golang, C#, or C++.
...</t>
  </si>
  <si>
    <t>Engineering Intern (Fall 2024)</t>
  </si>
  <si>
    <t>1. U.S. CITIZENSHIP IS REQUIRED
2. Highly motivated Co-Op candidates
3. Software Engineers
...</t>
  </si>
  <si>
    <t>Backend Software Engineer Intern (TikTok Photo and Text) - 2025 Summer (BS/MS)</t>
  </si>
  <si>
    <t>1. Currently pursuing an Undergraduate/Graduate/Master in Software Development, Computer Science, Computer Engineering, or a related technical discipline
2. Proficient in at least one coding language, including but not limited to Go, Java, Python, C++, Javascript, TypeScript
3. Ability to understand and debug large and complex codebases
...</t>
  </si>
  <si>
    <t>Backend Software Engineer Intern (TikTok Open Platform) - 2025 Summer (BS/MS)</t>
  </si>
  <si>
    <t>1. Currently pursuing an Undergraduate/Master degree in Software Development, Computer Science, Computer Engineering, or a related technical discipline.
2. Able to commit to working for 12 weeks during Summer 2025.
3. Experience with at least one coding language.
...</t>
  </si>
  <si>
    <t>Backend Software Engineer Intern (TikTok User and Relation) - 2025 Summer (BS/MS)</t>
  </si>
  <si>
    <t>1. Currently pursuing an Undergraduate/Graduate/Master in Software Development, Computer Science, Computer Engineering, or a related technical discipline
2. Able to commit to working for 12 weeks during Summer 2025
3. Proficient in at least one of the following languages: Go, Java, Golang</t>
  </si>
  <si>
    <t>Software Engineer Intern (TikTok Music) - 2025 Summer (BS/MS)</t>
  </si>
  <si>
    <t>1. Currently pursuing an Undergraduate/Graduate/Master in Software Development, Computer Science, Computer Engineering, or a related technical discipline
2. Able to commit to working for 12 weeks during Summer 2025
3. Proficiency in Javascript, ES5/6, CSS, and various layouts</t>
  </si>
  <si>
    <t>Solutions Intern</t>
  </si>
  <si>
    <t>Litmus Automation</t>
  </si>
  <si>
    <t>Artificial Intelligence (AI), Industrial Automation</t>
  </si>
  <si>
    <t>$28-$28 /h</t>
  </si>
  <si>
    <t>1. Currently pursuing a degree in Computer Science, Data Science, Software Engineering, or a related field.
2. Proficient in Python programming language.
3. Basic understanding of REST APIs and their usage in software development.
...</t>
  </si>
  <si>
    <t>UIUC Research Park Intern - Embedded Software</t>
  </si>
  <si>
    <t>Rivian</t>
  </si>
  <si>
    <t>Automotive, Electric Vehicle</t>
  </si>
  <si>
    <t>Champaign, IL</t>
  </si>
  <si>
    <t>$25-$51 /h</t>
  </si>
  <si>
    <t>1. Must be currently pursuing a masters, or PhD degree at the University of Illinois Urbana Champaign
2. Actively pursuing a degree or one closely related in Electrical Engineering, with emphasis on embedded software engineering
3. Proficiency in Embedded C software programming
...</t>
  </si>
  <si>
    <t>Mobile Software Engineer Intern (TikTok Photo and Text) - 2025 Summer (BS/MS)</t>
  </si>
  <si>
    <t>1. Currently pursuing an Undergraduate/Master in Software Development, Computer Science, Computer Engineering, or a related technical discipline.
2. Able to commit to working for 12 weeks during Summer 2025.
3. Must obtain work authorization in country of employment at the time of hire, and maintain ongoing work authorization during employment.</t>
  </si>
  <si>
    <t>Software Engineer Co-op</t>
  </si>
  <si>
    <t>Honeywell</t>
  </si>
  <si>
    <t>Aerospace, Electronics</t>
  </si>
  <si>
    <t>1. Pursuing a Bachelor's degree in Computer Science, Engineering, Related Field of Study, OR equivalent work history with a minimum one-year functional coding experience
2. Classroom exposure to Controls Engineering and/or Object-Oriented Programming using C#/Java
3. Strong Communication Skills</t>
  </si>
  <si>
    <t>Software Simulation Engineer Co-op</t>
  </si>
  <si>
    <t>Front-End Software Engineer Intern (TikTok Ecosystem Platform) - 2025 Summer (BS/MS)</t>
  </si>
  <si>
    <t>1. BS or MS degree in Computer Science, Computer Engineering, or related areas
2. Strong Computer Science fundamentals (algorithms, data structures, software design) and problem solving skills
3. Proven experience with JavaScript/HTML/CSS, and React / Vue
...</t>
  </si>
  <si>
    <t>Application Engineering Co-op</t>
  </si>
  <si>
    <t>Murata Electronics (Finland)</t>
  </si>
  <si>
    <t>Electronics, Manufacturing</t>
  </si>
  <si>
    <t>Smyrna, GA</t>
  </si>
  <si>
    <t>1. High School Diploma or GED.
2. Six+ months of related course work in Computer Engineering, Electrical Engineering, Mechanical Engineering.
3. Adaptable and able to effectively work within a dynamic environment.
...</t>
  </si>
  <si>
    <t>Front-End Engineer Intern - (User and Creator Product) - 2025 Summer (BS/MS)</t>
  </si>
  <si>
    <t>1. Currently pursuing an Undergraduate/Graduate/Master/PhD in Software Development, Computer Science, Computer Engineering, or a related technical discipline
2. Able to commit to working for 12 weeks during Summer 2025
3. Proficiency in Javascript, ES5/6, CSS, and various layouts
...</t>
  </si>
  <si>
    <t>Mobile Software Engineer Intern (TikTok Friend Interaction) - 2025 Summer (BS/MS)</t>
  </si>
  <si>
    <t>1. Currently pursuing an Undergraduate/Graduate/Master in Software Development, Computer Science, Computer Engineering, or a related technical discipline
2. Able to commit to working for 12 weeks during Summer 2025
3. Strong understanding of software development principles, capabilities, and limitations of iOS/Android platform
...</t>
  </si>
  <si>
    <t>Backend Software Engineer Intern (Creator Monetization)- 2025 Summer (BS/MS)</t>
  </si>
  <si>
    <t>1. Currently pursuing an Undergraduate/Graduate/Master in Software Development, Computer Science, Computer Engineering, or a related technical discipline;
2. Able to commit to working for 12 weeks during Summer 2025;
3. Experience with Python, Java, Golang, C#, or C++;
...</t>
  </si>
  <si>
    <t>Backend Software Engineer Intern (TikTok Social Interaction) - 2025 Summer (BS/MS)</t>
  </si>
  <si>
    <t>1. Currently pursuing an Undergraduate/Graduate/Master/PhD in Software Development, Computer Science, Computer Engineering, or a related technical discipline
2. Able to commit to working for 12 weeks during Summer 2025
3. Proficient in at least one of the following languages: Go, Java, C++, Python
...</t>
  </si>
  <si>
    <t>Mobile Software Engineer Intern (TikTok User and Relation) - 2025 Summer (BS/MS)</t>
  </si>
  <si>
    <t>1. Currently pursuing an Undergraduate/Graduate/Master/PhD in Software Development, Computer Science, Computer Engineering, or a related technical discipline
2. Able to commit to working for 12 weeks during Summer 2025
3. Proficiency in at least one of these programming languages: Java, Kotlin
...</t>
  </si>
  <si>
    <t>Software Development Engineer in Test Intern (TikTok Short Video) - 2025 Summer (BS/MS)</t>
  </si>
  <si>
    <t>$35-$50 /h</t>
  </si>
  <si>
    <t>1. Currently pursuing an Undergraduate/Master in Computer Science, Electrical Engineering or a related field.
2. Familiar with Java/Python/Objective-C/Golang, experience in related project development.
3. Fluent in Python
...</t>
  </si>
  <si>
    <t>Backend Software Engineer Intern - TikTok User and Relation - 2025 Summer (BS/MS)</t>
  </si>
  <si>
    <t>1. Currently enrolled in a Bachelor's or Master's degree program in Computer Science, Software Engineering, or a related field.
2. Able to commit to working for at least 12 weeks during Summer 2025.
3. Proficiency in at least one programming language such as Python, Java, C++, or Go. Basic understanding of algorithms, data structures, and software design principles.
...</t>
  </si>
  <si>
    <t>Jr. Software Development Engineer - Detroit</t>
  </si>
  <si>
    <t>Detroit, MI</t>
  </si>
  <si>
    <t>1. Currently enrolled in an accredited college or university Bachelor's or Master's degree program.
2. Majoring in Computer Science, Software Engineering, or related STEM field.
3. Graduating between March 2026 and December 2027.
...</t>
  </si>
  <si>
    <t>Summer Intern, Software Development</t>
  </si>
  <si>
    <t>S&amp;P Global</t>
  </si>
  <si>
    <t>$20-$30 /h</t>
  </si>
  <si>
    <t>1. Working towards a Bachelor’s degree in a technical field of study associated with Software Engineering completed no later than May 2025
2. Demonstrated passion or interest in one or more of our key industries
3. Excellent communication skills
...</t>
  </si>
  <si>
    <t>Culver City, California</t>
  </si>
  <si>
    <t>1. Highly organized, resourceful, and dependable with excellent interpersonal and oral and written communication skills.
2. Passion for television and focus on development for scripted programming on a global scale.
3. Interest in the entertainment industry both domestically and internationally. Bonus points if familiar with international content.
...</t>
  </si>
  <si>
    <t>Game Producer Intern</t>
  </si>
  <si>
    <t>Fanatee</t>
  </si>
  <si>
    <t>Digital Entertainment, Gaming</t>
  </si>
  <si>
    <t>1. Enrolled student in Bachelor’s degree or equivalent combination of industry-related
2. Great communication skills
3. Must reside in São Paulo</t>
  </si>
  <si>
    <t>Implementation Intern</t>
  </si>
  <si>
    <t>Fast Enterprises</t>
  </si>
  <si>
    <t>GovTech, Software</t>
  </si>
  <si>
    <t>Colorado, United States</t>
  </si>
  <si>
    <t>$25-$25 /h</t>
  </si>
  <si>
    <t>1. Current undergraduate student in Computer Science, Information Systems, Mathematics, or Engineering (students from all areas of study with technical training or experience will be considered)
2. Experience in a .NET or similar development environment
3. Exposure to SQL in Microsoft SQL Server, Oracle, PostgreSQL, MySQL, or a similar database management system
...</t>
  </si>
  <si>
    <t>Software Engineer Co-op (Engineering Test)</t>
  </si>
  <si>
    <t>Ezurio</t>
  </si>
  <si>
    <t>Akron, OH</t>
  </si>
  <si>
    <t>1. Familiar with Linux
2. Excellent communication skills
3. Ability to work well in a Team environment
...</t>
  </si>
  <si>
    <t>Firmware Engineering Co-Op - Spring 2025</t>
  </si>
  <si>
    <t>MidMark Corporation</t>
  </si>
  <si>
    <t>Health Care, Manufacturing</t>
  </si>
  <si>
    <t>Versailles, OH</t>
  </si>
  <si>
    <t>1. Enrollment in a 4-year accredited degree program, working towards a BS in Mechanical, Manufacturing, Electrical, Software Engineering or other applicable degree.
2. Must possess working knowledge and experience with design of experiments, problem solving, Excel and 3D Modeling.
3. Ability to relate technical knowledge to job-related duties.
...</t>
  </si>
  <si>
    <t>Assurance Intern, Information Systems Assurance - Summer 2025 (San Jose)</t>
  </si>
  <si>
    <t>BDO USA</t>
  </si>
  <si>
    <t>Accounting, Advice</t>
  </si>
  <si>
    <t>$31-$39 /h</t>
  </si>
  <si>
    <t>1. Pursuing a degree in Accounting, Computer Science, or Information Systems, required</t>
  </si>
  <si>
    <t>Software Intern (Onsite)</t>
  </si>
  <si>
    <t>Jabra</t>
  </si>
  <si>
    <t>Hardware, Software</t>
  </si>
  <si>
    <t>$25-$40 /h</t>
  </si>
  <si>
    <t>1. MS/BS student with major in Computer Science and Computer/Electrical Engineering
2. Strong programming skills in C/C++ on Linux, Android or RTOS
3. Good knowledge of operation and programming of I/O interfaces like Ethernet, USB, PCIe, SPI and I2C
...</t>
  </si>
  <si>
    <t>Software Engineering Intern, Backend - Fall 2024</t>
  </si>
  <si>
    <t>Verkada</t>
  </si>
  <si>
    <t>Cloud Security, Enterprise Software</t>
  </si>
  <si>
    <t>$55-$65 /h</t>
  </si>
  <si>
    <t>1. Ability to work at Verkada HQ during fall 2024
2. Actively pursuing a Bachelor's or Master's degree in Computer Science or similar technical field of study
3. Graduating by June 2025
...</t>
  </si>
  <si>
    <t>Mobile Software Engineer Intern (User and Creator Product) - 2025 Summer (BS/MS)</t>
  </si>
  <si>
    <t>1. Currently pursuing an Undergraduate/Graduate/Master in Software Development, Computer Science, Computer Engineering or a related technical discipline
2. Able to commit to working for 12 weeks during Summer 2025
3. Experience in either mobile development
...</t>
  </si>
  <si>
    <t>Forward Deployed Software Engineer, Internship - US Government</t>
  </si>
  <si>
    <t>Palantir Technologies</t>
  </si>
  <si>
    <t>$10000-$10000 /mon</t>
  </si>
  <si>
    <t>1. Willingness to undergo a US government background investigation, depending on US government project requirements.
2. Engineering background, preferred in fields such as Computer Science, Mathematics, Software Engineering, Physics, and Data Science.
3. Proficiency with one or more programming languages, such as Python, Java, C++, TypeScript/JavaScript, or similar.
...</t>
  </si>
  <si>
    <t>Mobile Software Engineer Intern (TikTok TV) - 2025 Summer (BS/MS)</t>
  </si>
  <si>
    <t>Software Engineer Intern - TikTok Growth - 2025 Summer (BS/MS)</t>
  </si>
  <si>
    <t>1. Currently pursuing an Undergraduate/Graduate/Master in Software Development, Computer Science, Computer Engineering or a related technical discipline
2. Able to commit to working for 12 weeks during Summer 2025
3. Experience with Python, Java, Golang, C#, or C++
...</t>
  </si>
  <si>
    <t>Android/IOS Software Engineer Intern (Video-On-Demand) - 2025 Summer (BS/MS)</t>
  </si>
  <si>
    <t>1. Currently pursuing an BS/MS in Software Development, Computer Science, Computer Engineering, or a related technical discipline
2. Able to commit to working for 12 weeks during summer 2025
3. Experience with mobile platform programming, such as Android/IOS.</t>
  </si>
  <si>
    <t>Mobile Engineer Intern - TikTok Multimedia Client - 2025 Summer (BS/MS)</t>
  </si>
  <si>
    <t>1. Currently pursuing an Undergraduate/Graduate/Master/PhD in Software Development, Computer Science, Computer Engineering or a related technical discipline
2. Able to commit to working for 12 weeks during Summer 2025
3. Proficiency in a major programming language like Java, Go or C++</t>
  </si>
  <si>
    <t>Backend SoftwareEngineer Intern - (Server Architecture) - 2025 Summer (BS/S)</t>
  </si>
  <si>
    <t>1. Currently pursuing an BS/MS in Software Development, Computer Science, Computer Engineering, or a related technical discipline
2. Able to commit to working for 12 weeks during summer 2025
3. Familiarity with at least one programming language such as C, C++, Go, Java, PHP, or Rust.
...</t>
  </si>
  <si>
    <t>Software Engineering Intern, Speech Product Development</t>
  </si>
  <si>
    <t>Mercedes-Benz Research &amp; Development North America</t>
  </si>
  <si>
    <t>Automotive</t>
  </si>
  <si>
    <t>1. Currently enrolled Bachelor or Master's in Computer Science, Computer engineering
2. Programming Languages: Proficiency in programming languages commonly used in the industry such as Python, Java, C++, GoLang or others depending on the specific area of interest.
3. Data Structures and Algorithms: Understanding of fundamental data structures (arrays, linked lists, trees, graphs, etc.) and algorithms is crucial for technical interviews and real-world problem-solving.
...</t>
  </si>
  <si>
    <t>Returning Software Engineer I - Southeast Division (For current/previous HNTB interns only)</t>
  </si>
  <si>
    <t>HNTB</t>
  </si>
  <si>
    <t>Consulting, Legal</t>
  </si>
  <si>
    <t>1. Bachelor’s degree in computer science or related field, or
2. In lieu of education, 4 years of relevant experience.
3. Experience with programming languages such as Angular, C#, Python, etc.
...</t>
  </si>
  <si>
    <t>Ocoee, FL</t>
  </si>
  <si>
    <t>West Palm Beach, FL</t>
  </si>
  <si>
    <t>Tampa, FL</t>
  </si>
  <si>
    <t>Lake Mary, FL</t>
  </si>
  <si>
    <t>DeLand, FL</t>
  </si>
  <si>
    <t>Gainesville, FL</t>
  </si>
  <si>
    <t>Chipley, FL</t>
  </si>
  <si>
    <t>Assurance Intern, Information Systems Assurance - Summer 2025 (Baltimore)</t>
  </si>
  <si>
    <t>Baltimore, MD</t>
  </si>
  <si>
    <t>$22-$39 /h</t>
  </si>
  <si>
    <t>West Greenwich, RI</t>
  </si>
  <si>
    <t>$22-$22 /h</t>
  </si>
  <si>
    <t>1. Currently enrolled in a Bachelor's or Master's degree program in Computer Science, Software Engineering, or related field.
2. Basic understanding of Relational Database concepts and data migration techniques.
3. Familiarity with software development lifecycle (SDLC) processes and tools.
...</t>
  </si>
  <si>
    <t>Assurance Intern, Information Systems Assurance - Summer 2025 (San Francisco)</t>
  </si>
  <si>
    <t>Intern - Design Assurance Engineer - Fall 2024</t>
  </si>
  <si>
    <t>Plexus Corporation</t>
  </si>
  <si>
    <t>Automotive, Business Development</t>
  </si>
  <si>
    <t>Neenah, WI</t>
  </si>
  <si>
    <t>1. Student working toward a Bachelor’s degree in Computer Engineering, Electrical Engineering, Biomedical Engineering, or Software Engineering for entire duration of internship.</t>
  </si>
  <si>
    <t>Enterprise Applications Internship (Fall 2024)</t>
  </si>
  <si>
    <t>Spencer Gifts</t>
  </si>
  <si>
    <t>Lifestyle</t>
  </si>
  <si>
    <t>Egg Harbor, NJ</t>
  </si>
  <si>
    <t>1. Enrollment in college for the upcoming semester
2. Completion of your junior year
3. Graduate students are welcome
...</t>
  </si>
  <si>
    <t>Global Software Trainee Program - Americas</t>
  </si>
  <si>
    <t>Swisslog</t>
  </si>
  <si>
    <t>Logistics, Warehouse Automation</t>
  </si>
  <si>
    <t>1. Bachelor's degree in Computer Science, software engineering or equivalent
2. Passion for the different aspects of software development life cycle (such as programming (with JAVA or other object-oriented language), requirement engineering and software testing)
3. Open-minded fascination with the latest innovations and trends in programming
...</t>
  </si>
  <si>
    <t>Newport News, VA</t>
  </si>
  <si>
    <t>Software Developer Student Intern - Fall 2024 - ASL</t>
  </si>
  <si>
    <t>1. Pursuing a Bachelor’s degree in Computer Science, Computer Engineering, Electrical Engineering, or a related field.
2. 2.0 or higher cumulative GPA
3. Full-Time Intern- Must be registered for Full-time Internship Credit
...</t>
  </si>
  <si>
    <t>Mobile Software Engineer Intern (TikTok Privacy and Security) - 2025 Summer (BS/MS)</t>
  </si>
  <si>
    <t>Bradenton, FL</t>
  </si>
  <si>
    <t>Bartow, FL</t>
  </si>
  <si>
    <t>Clearwater, FL</t>
  </si>
  <si>
    <t>Jacksonville, FL</t>
  </si>
  <si>
    <t>Green Cove Springs, FL</t>
  </si>
  <si>
    <t>Nashville, TN</t>
  </si>
  <si>
    <t>Cutler Bay, FL</t>
  </si>
  <si>
    <t>Tallahassee, FL</t>
  </si>
  <si>
    <t>Fort Lauderdale, FL</t>
  </si>
  <si>
    <t>Backend Software Engineer Intern (Business Risk Integrated Control) - 2025 Summer (BS/MS)</t>
  </si>
  <si>
    <t>1. Currently pursuing a BS/MS in Software Development, Computer Science, Computer Engineering, or a related technical discipline
2. Able to commit to working for 12 weeks during summer 2025
3. Experience with coding in Python, Java, Golang, C#, or C++</t>
  </si>
  <si>
    <t>Software Engineer Intern - TikTok Multimedia Arch - 2025 Summer (BS/MS)</t>
  </si>
  <si>
    <t>Audubon Engineering</t>
  </si>
  <si>
    <t>Consulting, Energy</t>
  </si>
  <si>
    <t>Broomfield, CO</t>
  </si>
  <si>
    <t>1. High School Diploma or GED required
2. Ability to find a solution for or to deal proactively with work related problems
3. Ability to comprehend instructions and request clarification as necessary
...</t>
  </si>
  <si>
    <t>Enterprise Technology Internship (Computer Science, Data Science, Cybersecurity, Engineering Disciplines)</t>
  </si>
  <si>
    <t>Avista</t>
  </si>
  <si>
    <t>Electrical Distribution, Energy</t>
  </si>
  <si>
    <t>Spokane, WA</t>
  </si>
  <si>
    <t>$18.54-$24.68 /h</t>
  </si>
  <si>
    <t>1. Must be at least 18 years old
2. Undergraduate student enrolled full time in college earning a Bachelor's Degree in Computer Science, Data Science, Cybersecurity, Engineering or another related field.
3. Excellent communication, interpersonal, and teamwork skills are a plus.</t>
  </si>
  <si>
    <t>Software Engineer Intern (TikTok Business Risk Integrated Control) - 2025 Summer (BS/MS)</t>
  </si>
  <si>
    <t>1. Currently pursuing an Undergraduate/Master degree in Software Development, Computer Science, Computer Engineering, or a related technical discipline.
2. Able to commit to working for 12 weeks during Summer 2025
3. Experience with at least one coding language.
...</t>
  </si>
  <si>
    <t>Blayzer</t>
  </si>
  <si>
    <t>Advertising, Marketing</t>
  </si>
  <si>
    <t>St Louis, MO</t>
  </si>
  <si>
    <t>1. Self-motivated and eager to learn
2. Strong written, verbal, and customer service/support communication skills
3. Able to multitask and complete projects on time within reasonable deadlines
...</t>
  </si>
  <si>
    <t>[HackerRank] Mobile Software Engineer Intern (TikTok Eng-Social-User and Relation-iOS) - 2025 Summer (BS/MS)</t>
  </si>
  <si>
    <t>[HackerRank] Tool Software Engineer Intern - TikTok Effect House - 2025 Summer (BS/MS)</t>
  </si>
  <si>
    <t>1. Currently pursuing an Undergraduate/Graduate/Master in Software Development, Computer Science, Computer Engineering or a related technical discipline
2. Able to commit to working for 12 weeks during Summer 2025
3. Past experience working on 3D games and/or film production (Knowledge of game engines, real-time rendering, animation, VFX pipelines, visual programming, etc.)
...</t>
  </si>
  <si>
    <t>Software Development Co-Op - Fall 2024</t>
  </si>
  <si>
    <t>Medpace</t>
  </si>
  <si>
    <t>Biotechnology, Pharmaceutical</t>
  </si>
  <si>
    <t>Cincinnati, OH</t>
  </si>
  <si>
    <t>1. Working towards a Bachelor’s Degree in Computer Science or a related field
2. Excellent communication skills
3. Excellent analytical and problem-solving skills</t>
  </si>
  <si>
    <t>Systems and Optimization Intern - Fall 2024</t>
  </si>
  <si>
    <t>1. Pursuing Bachelor’s or Master's degree in Business, Information Systems, or Computer Science
2. Prior experience with Power Platform (Power Automate, Power Apps, Power Pages)</t>
  </si>
  <si>
    <t>Software QA Test Engineer Intern - Fall 2024</t>
  </si>
  <si>
    <t>1. Working towards a bachelor’s degree in Computer Science, Information Systems or a related field
2. Excellent computer skills, especially a strong knowledge of Microsoft Word and Excel
3. Ability to learn test-related tools for software testing
...</t>
  </si>
  <si>
    <t>Performance Engineer Intern, Summer 2025</t>
  </si>
  <si>
    <t>Akuna Capital</t>
  </si>
  <si>
    <t>Trading Platform</t>
  </si>
  <si>
    <t>1. Pursuing BS/MS/PhD in technical field - Computer Science, Math, Physics, Engineering
2. Strong Python programming background
3. Experience with Linux is required
...</t>
  </si>
  <si>
    <t>Software Application Engineering Intern (Summer 2025)</t>
  </si>
  <si>
    <t>Axiom Space</t>
  </si>
  <si>
    <t>1. Rising Junior or Senior or Advanced Degree (MS/MA or Ph.D)
2. Cumulative GPA 3.0 or higher
3. Proficiency with relational databases (e.g. Oracle, SQL Server, MySQL, PostgreSQL)
...</t>
  </si>
  <si>
    <t>Software Engineer, Intern</t>
  </si>
  <si>
    <t>iXL</t>
  </si>
  <si>
    <t>Art, Education</t>
  </si>
  <si>
    <t>1. Students in their third year of undergrad or students pursuing an advanced degree in Computer Science or a related discipline
2. A solid grasp of general programming principles
3. Excellent programming skills in Java or other object-oriented language
...</t>
  </si>
  <si>
    <t>Software Engineer Intern - C++, Summer 2025</t>
  </si>
  <si>
    <t>1. Pursuing a BS/MS/ PhD in Computer Science, Engineering, Math, Physics or related field
2. Experience programming in C++
3. Experience with several of the following -- distributed systems, networking, data structures &amp; algorithms, and operating systems
...</t>
  </si>
  <si>
    <t>Software Engineer Intern - Python, Summer 2025</t>
  </si>
  <si>
    <t>1. Pursuing a Bachelors, Masters or Ph.D. in technical field – Computer Science/Engineering, Math, Physics or equivalent
2. Must graduate by August 2026
3. Major GPA of 3.5 or above
...</t>
  </si>
  <si>
    <t>$29-$46 /h</t>
  </si>
  <si>
    <t>Intern Software Engineering</t>
  </si>
  <si>
    <t>Tenaska</t>
  </si>
  <si>
    <t>Energy, Oil and Gas</t>
  </si>
  <si>
    <t>Omaha, NE</t>
  </si>
  <si>
    <t>1. Enrolled in an accredited university seeking a BS or MS degree in Information Systems, Computer Science, or equivalent</t>
  </si>
  <si>
    <t>Information Technology, Advanced Applications Co-op</t>
  </si>
  <si>
    <t>Boehringer Ingelheim</t>
  </si>
  <si>
    <t>Biotechnology, Health Care</t>
  </si>
  <si>
    <t>Duluth, GA</t>
  </si>
  <si>
    <t>1. At least two years of experience with software development, preferrably with ASP.net, Java or Python coding language(s).
2. Must be an Undergraduate, Graduate, or Professional Student in good academic standing.
3. Must have completed 12 credit hours within a related major and/or other related coursework.
...</t>
  </si>
  <si>
    <t>Athens, GA</t>
  </si>
  <si>
    <t>Software Engineer, New Grad</t>
  </si>
  <si>
    <t>1. Bachelor's or advanced degree in computer science or a related discipline
2. Excellent programming skills
3. Strong analytical-reasoning and problem-solving skills
...</t>
  </si>
  <si>
    <t>$110000-$135000 /yr</t>
  </si>
  <si>
    <t>Microsoft Developer Intern (Fall 2024 - Remote Eligible)</t>
  </si>
  <si>
    <t>Eide Bailly</t>
  </si>
  <si>
    <t>Lehi, UT</t>
  </si>
  <si>
    <t>1. Must be authorized to work in the United States now or in the future without sponsorship.
2. A strong background in technology, mathematics, statistics, accounting, finance, or other quantitative discipline is required.</t>
  </si>
  <si>
    <t>Salesforce Development Internship (Fall 2024 - Remote Eligible)</t>
  </si>
  <si>
    <t>1. 2+ years of experience developing in-front end and object-oriented languages. Experience as a Salesforce Developer is a plus.
2. Base knowledge of the Salesforce Platform and continually working to deepen that knowledge.
3. Working toward a bachelor's degree in Business, Computer Science, or Information Systems; or a similar equivalent.
...</t>
  </si>
  <si>
    <t>Associate Software Engineer | CNET</t>
  </si>
  <si>
    <t>Red Ventures</t>
  </si>
  <si>
    <t>Content, Digital Media</t>
  </si>
  <si>
    <t>$60000-$95000 /yr</t>
  </si>
  <si>
    <t>1. Bachelor’s degree in Computer Science, Information Technology, or a related field.
2. Minimum of 1 year of experience in software engineering or internship experience.
3. Experience with AWS/Azure/Google cloud providers.
...</t>
  </si>
  <si>
    <t>Thrive Apprentice - Software Engineering: Product Engineering</t>
  </si>
  <si>
    <t>Verizon</t>
  </si>
  <si>
    <t>Communications Infrastructure, Information Technology</t>
  </si>
  <si>
    <t>Basking Ridge, NJ</t>
  </si>
  <si>
    <t>1. Must be a member of the Multiverse community and have successfully completed the 15-hour Intro to Coding Course with Multiverse.
2. High school diploma or GED.
3. Associate's degree or one or more years of work experience.
...</t>
  </si>
  <si>
    <t>Irving, TX</t>
  </si>
  <si>
    <t>Post- baccalaureate Software Developer Intern</t>
  </si>
  <si>
    <t>1. Capable of developing maintainable code, understanding software requirements and working on minor bug fixes.
2. Assisting other Software Developers with all aspects of software design and coding.
3. Skilled in comprehending and effectively presenting work in a clear and concise manner.
...</t>
  </si>
  <si>
    <t>Change Management Intern</t>
  </si>
  <si>
    <t>Plymouth Rock Assurance Corp.</t>
  </si>
  <si>
    <t>Auto Insurance, Financial Services</t>
  </si>
  <si>
    <t>1. Currently pursuing a Bachelor’s Degree in Computer Science, Information Technology, Business Administration, or a related field.
2. Basic understanding of software development lifecycle and version control systems.
3. Strong desire to learn about change management, release engineering, and software configuration management.
...</t>
  </si>
  <si>
    <t>Software Engineer - DLT PhD Candidates (2024 graduates)</t>
  </si>
  <si>
    <t>Databricks</t>
  </si>
  <si>
    <t>Analytics, Artificial Intelligence (AI)</t>
  </si>
  <si>
    <t>Mountain View, CA</t>
  </si>
  <si>
    <t>$150,000-$190,000 /yr</t>
  </si>
  <si>
    <t>1. PhD in databases or systems
2. Knowledge of database systems, storage systems, distributed systems, and performance optimization
3. Motivated by delivering customer value and influence</t>
  </si>
  <si>
    <t>Postdoctoral Researcher – Software Development for Multiphase Flow Solvers</t>
  </si>
  <si>
    <t>National Renewable Energy Laboratory</t>
  </si>
  <si>
    <t>Clean Energy, CleanTech</t>
  </si>
  <si>
    <t>$73,200-$120,800 /yr</t>
  </si>
  <si>
    <t>1. Must be a recent PhD graduate within the last three years.
2. Must meet educational requirements prior to employment start date.
3. Candidates should have demonstrated experience with developing and/or executing simulations of multiphase flows.
...</t>
  </si>
  <si>
    <t>Internship Fall 2024 - Software Development</t>
  </si>
  <si>
    <t>Melaleuca: The Wellness Company</t>
  </si>
  <si>
    <t>Idaho Falls, ID</t>
  </si>
  <si>
    <t>1. Preference given to students currently in their junior or senior year of college, pursuing a degree in related field
2. Able to work in Idaho Falls or Rexburg, Idaho for your program dates of approximately 90 days
3. Cumulative GPA of 3.75 or higher
...</t>
  </si>
  <si>
    <t>Amazon Robotics - Front End Engineer (FEE) Co-op - July-Dec 2024</t>
  </si>
  <si>
    <t>North Reading, MA</t>
  </si>
  <si>
    <t>1. Currently enrolled in college/university and must have at least one semester/term/quarter of school left to complete after the end of the co-op
2. Must be eligible and available for a full-time (40h / week) 6-month co-op between July 15 to December 20, 2024
3. Completion of at least junior year of degree program is required, graduating in December 2024 or later
...</t>
  </si>
  <si>
    <t>Technology Co-op with Drexel University: Fall/Winter A-Round</t>
  </si>
  <si>
    <t>1. Computer Science, Information Technology, Engineering, Math, Physics or other technical major preferred
2. Minimum GPA of 3.0
3. Strong communication skills; ability to interact effectively with all levels of the organization
...</t>
  </si>
  <si>
    <t>Flight Software Engineer — Intern (Fall 2024)</t>
  </si>
  <si>
    <t>Astranis</t>
  </si>
  <si>
    <t>Aerospace, Internet</t>
  </si>
  <si>
    <t>$29-$29 /h</t>
  </si>
  <si>
    <t>1. Currently pursuing a B.S. or M.S. in Computer Science, Electrical or Computer Engineering, or equivalent technical degree
2. Experience with C/C++ and scripting language(s)
3. Demonstrated ability to personally design, write, and test software from scratch
...</t>
  </si>
  <si>
    <t>Application Developer Intern</t>
  </si>
  <si>
    <t>Holthouse Carlin &amp; Van Trigt</t>
  </si>
  <si>
    <t>Accounting, Consulting</t>
  </si>
  <si>
    <t>California, United States</t>
  </si>
  <si>
    <t>$25 /h</t>
  </si>
  <si>
    <t>1. Working towards a bachelor's degree in information systems, computer science, or related field required; accounting education/experience a plus
2. 0-1+ years developing software using a modern Typescript or JavaScript Platform
3. Knowledge of SQL Server
...</t>
  </si>
  <si>
    <t>Software Dev Engineer - High-Performance Query Processing</t>
  </si>
  <si>
    <t>East Palo Alto, CA</t>
  </si>
  <si>
    <t>1. Currently enrolled in or completed a Bachelor’s or Master’s Degree in Computer Science, Computer Engineering, Data Science, Electrical Engineering, or majors relating to these fields
2. To qualify, applicants should have earned a Bachelor’s or Master’s degree between May 2023 to September 2024. Possible start dates for this role are between May 2024 to October 2024.
3. Programming experience with C or C++
...</t>
  </si>
  <si>
    <t>Global Technology Summer Analyst Program - 2025</t>
  </si>
  <si>
    <t>Bank of America</t>
  </si>
  <si>
    <t>Asset Management, Banking</t>
  </si>
  <si>
    <t>1. Bachelor’s Degree ONLY (BA/BS/BSc/BEng)
2. Graduation Dates: November 2025 August 2026
3. Major/Course of Study: Computer Science, Computer Engineering, Information Systems, Data Science, or similar degree of relevance
...</t>
  </si>
  <si>
    <t>Software Development Graduate Intern</t>
  </si>
  <si>
    <t>1. Currently enrolled in an accredited graduate degree program in computer science, software engineering, bioinformatics, data science, or related technical field at the time of hire. Must be enrolled in at least 6 credit hours (or full-time equivalent). Candidate must currently have and maintain a cumulative GPA of 3.2 on a 4.0 scale.
2. Capable of developing maintainable code, understanding software requirements and working on minor bug fixes. Assisting other Software Developers with all aspects of software design and coding.
3. Skilled in comprehending and effectively presenting work in a clear and concise manner.
...</t>
  </si>
  <si>
    <t>Web Developer Internship</t>
  </si>
  <si>
    <t>WebFX</t>
  </si>
  <si>
    <t>Advertising, Content Marketing</t>
  </si>
  <si>
    <t>Harrisburg, PA</t>
  </si>
  <si>
    <t>1. Bachelor’s Degree in computer science, computer engineering, or related fields
2. GPA above 3.4
3. Experience with PHP/MySQL
...</t>
  </si>
  <si>
    <t>Plano, TX</t>
  </si>
  <si>
    <t>Pennington, NJ</t>
  </si>
  <si>
    <t>ICT Designer I</t>
  </si>
  <si>
    <t>Syska</t>
  </si>
  <si>
    <t>$53591-$80396 /yr</t>
  </si>
  <si>
    <t>1. Bachelor’s Degree from an accredited university in Electrical Engineering or Computer Science with a graduation date of Winter 2023, Spring or Summer of 2024
2. Previous engineering internship, a plus
3. Knowledge in the latest version of MEP Auto CAD; REVIT experience is a plus
...</t>
  </si>
  <si>
    <t>Spring 2025 Co-Op - Software Development - Mechanical (Bachelor's)</t>
  </si>
  <si>
    <t>Canonsburg, PA</t>
  </si>
  <si>
    <t>1. Degree program in Mechanical, Aerospace, Computer Science or related engineering field
2. Design and implementation of object-oriented application features using C++ programming language
3. Exposure to scripting languages such as Python or equivalent
...</t>
  </si>
  <si>
    <t>Spring 2025 Software Development Intern - Bachelors</t>
  </si>
  <si>
    <t>1. Pursuing a bachelor of science in Computer Engineering, Mechanical Engineering, Computer Science or related technical degree with a GPA of 3.0 or higher.
2. Currently enrolled in a full-time degree program and returning to university after the completion of the internship program.
3. Experience in object-oriented computer programming such as Java, C++, and C#.</t>
  </si>
  <si>
    <t>Spring 2025 Co-op, Software Development (Bachelors)</t>
  </si>
  <si>
    <t>1. Pursuing a BS in Computer science, Computer engineering, Mechanical engineering, Aerospace engineering or related technical field with a GPA of 3.0 or higher.
2. Currently enrolled in a full-time degree program and returning to university after the completion of the co-op program.
3. Exposure to C++, C#, Java or Python.
...</t>
  </si>
  <si>
    <t>Spring 2025 Intern - Software Development - Mechanical (Bachelors')</t>
  </si>
  <si>
    <t>1. Pursuing a bachelor degree in Mechanical/Civil/Industrial Engineering, Computer Science, or related technical degree
2. GPA of 3.0 or higher in the major study
3. Currently enrolled in a full-time degree program and returning to university after the completion of the internship program
...</t>
  </si>
  <si>
    <t>Software Quality Engineer Intern</t>
  </si>
  <si>
    <t>1. Working towards a Bachelors degree in a technical field of study in Engineering, Computer Science, Computer Engineering, Management Information Systems, or IT
2. Fully matriculated students with anticipated graduation date in Fall 2024 or Spring 2025
3. Demonstrated passion or interest in one or more of our key industries
...</t>
  </si>
  <si>
    <t>Chico, CA</t>
  </si>
  <si>
    <t>1. Possessing an understanding that working on small parts of a large software project can heavily impact the development of the rest of the project
2. Timeliness and the required skills to deliver assignments</t>
  </si>
  <si>
    <t>Honolulu, HI</t>
  </si>
  <si>
    <t>Rexburg, ID</t>
  </si>
  <si>
    <t>Greeley, CO</t>
  </si>
  <si>
    <t>Fairbanks, AK</t>
  </si>
  <si>
    <t>Mesa, AZ</t>
  </si>
  <si>
    <t>Potsdam, NY</t>
  </si>
  <si>
    <t>Overland Park, KS</t>
  </si>
  <si>
    <t>Santa Fe, NM</t>
  </si>
  <si>
    <t>West Jordan, UT</t>
  </si>
  <si>
    <t>Tacoma, WA</t>
  </si>
  <si>
    <t>Frederick, MD</t>
  </si>
  <si>
    <t>Prairie View, TX</t>
  </si>
  <si>
    <t>Rochester Hills, MI</t>
  </si>
  <si>
    <t>Rock Springs, WY</t>
  </si>
  <si>
    <t>Salem, OR</t>
  </si>
  <si>
    <t>Albany, NY</t>
  </si>
  <si>
    <t>Rapid City, SD</t>
  </si>
  <si>
    <t>Logan, UT</t>
  </si>
  <si>
    <t>Aurora, CO</t>
  </si>
  <si>
    <t>Broken Arrow, OK</t>
  </si>
  <si>
    <t>San Marcos, TX</t>
  </si>
  <si>
    <t>Fort Smith, AR</t>
  </si>
  <si>
    <t>Hamden, CT</t>
  </si>
  <si>
    <t>Nashua, NH</t>
  </si>
  <si>
    <t>Milford, DE</t>
  </si>
  <si>
    <t>New Brunswick, NJ</t>
  </si>
  <si>
    <t>Wheeling, WV</t>
  </si>
  <si>
    <t>Laredo, TX</t>
  </si>
  <si>
    <t>Yonkers, NY</t>
  </si>
  <si>
    <t>Little Rock, AR</t>
  </si>
  <si>
    <t>Adelphi, MD</t>
  </si>
  <si>
    <t>Wellesley, MA</t>
  </si>
  <si>
    <t>Greensboro, NC</t>
  </si>
  <si>
    <t>Norman, OK</t>
  </si>
  <si>
    <t>Moscow, ID</t>
  </si>
  <si>
    <t>Minneapolis, MN</t>
  </si>
  <si>
    <t>Fort Collins, CO</t>
  </si>
  <si>
    <t>Missoula, MT</t>
  </si>
  <si>
    <t>Great Falls, MT</t>
  </si>
  <si>
    <t>Sterling Heights, MI</t>
  </si>
  <si>
    <t>Wilmington, DE</t>
  </si>
  <si>
    <t>Sparks, NV</t>
  </si>
  <si>
    <t>Reading, PA</t>
  </si>
  <si>
    <t>Rockville, MD</t>
  </si>
  <si>
    <t>Newark, DE</t>
  </si>
  <si>
    <t>Carson City, NV</t>
  </si>
  <si>
    <t>Thornton, CO</t>
  </si>
  <si>
    <t>Murfreesboro, TN</t>
  </si>
  <si>
    <t>Albuquerque, NM</t>
  </si>
  <si>
    <t>Gulfport, MS</t>
  </si>
  <si>
    <t>Corpus Christi, TX</t>
  </si>
  <si>
    <t>Kansas City, MO</t>
  </si>
  <si>
    <t>Montgomery, AL</t>
  </si>
  <si>
    <t>Allendale, MI</t>
  </si>
  <si>
    <t>Macon, GA</t>
  </si>
  <si>
    <t>Vestal, NY</t>
  </si>
  <si>
    <t>Flagstaff, AZ</t>
  </si>
  <si>
    <t>El Paso, TX</t>
  </si>
  <si>
    <t>Clinton, IA</t>
  </si>
  <si>
    <t>Rockford, IL</t>
  </si>
  <si>
    <t>Anchorage, AK</t>
  </si>
  <si>
    <t>Menomonie, WI</t>
  </si>
  <si>
    <t>Olympia, WA</t>
  </si>
  <si>
    <t>Fresno, CA</t>
  </si>
  <si>
    <t>Jackson, TN</t>
  </si>
  <si>
    <t>Coeur d'Alene, ID</t>
  </si>
  <si>
    <t>Binghamton, NY</t>
  </si>
  <si>
    <t>Stockton, CA</t>
  </si>
  <si>
    <t>Jackson, MS</t>
  </si>
  <si>
    <t>Aberdeen, SD</t>
  </si>
  <si>
    <t>Toledo, OH</t>
  </si>
  <si>
    <t>Portland, ME</t>
  </si>
  <si>
    <t>Rutland, VT</t>
  </si>
  <si>
    <t>Manchester, NH</t>
  </si>
  <si>
    <t>Elizabeth, NJ</t>
  </si>
  <si>
    <t>Bellevue, NE</t>
  </si>
  <si>
    <t>Wichita, KS</t>
  </si>
  <si>
    <t>Fargo, ND</t>
  </si>
  <si>
    <t>High Point, NC</t>
  </si>
  <si>
    <t>Terre Haute, IN</t>
  </si>
  <si>
    <t>Waterbury, CT</t>
  </si>
  <si>
    <t>Berrien Springs, MI</t>
  </si>
  <si>
    <t>Alamogordo, NM</t>
  </si>
  <si>
    <t>Hammond, IN</t>
  </si>
  <si>
    <t>Indianapolis, IN</t>
  </si>
  <si>
    <t>South Bend, IN</t>
  </si>
  <si>
    <t>Cambridge, MA</t>
  </si>
  <si>
    <t>Orem, UT</t>
  </si>
  <si>
    <t>Independence, MO</t>
  </si>
  <si>
    <t>Memphis, TN</t>
  </si>
  <si>
    <t>Racine, WI</t>
  </si>
  <si>
    <t>Pawtucket, RI</t>
  </si>
  <si>
    <t>Meridian, MS</t>
  </si>
  <si>
    <t>Rochester, MN</t>
  </si>
  <si>
    <t>Warwick, RI</t>
  </si>
  <si>
    <t>Grand Rapids, MI</t>
  </si>
  <si>
    <t>Bronx, NY</t>
  </si>
  <si>
    <t>Wilmington, NC</t>
  </si>
  <si>
    <t>Gaithersburg, MD</t>
  </si>
  <si>
    <t>Nacogdoches, TX</t>
  </si>
  <si>
    <t>Arlington, TX</t>
  </si>
  <si>
    <t>Madison, WI</t>
  </si>
  <si>
    <t>Bowling Green, KY</t>
  </si>
  <si>
    <t>Bridgeport, CT</t>
  </si>
  <si>
    <t>Jefferson City, MO</t>
  </si>
  <si>
    <t>Annapolis, MD</t>
  </si>
  <si>
    <t>Middletown, DE</t>
  </si>
  <si>
    <t>Columbus, GA</t>
  </si>
  <si>
    <t>Bakersfield, CA</t>
  </si>
  <si>
    <t>Chandler, AZ</t>
  </si>
  <si>
    <t>Merced, CA</t>
  </si>
  <si>
    <t>Waipahu, HI</t>
  </si>
  <si>
    <t>Northridge, CA</t>
  </si>
  <si>
    <t>New Orleans, LA</t>
  </si>
  <si>
    <t>Auburn, ME</t>
  </si>
  <si>
    <t>Greenville, NC</t>
  </si>
  <si>
    <t>Meridian, ID</t>
  </si>
  <si>
    <t>Geneseo, NY</t>
  </si>
  <si>
    <t>Aurora, IL</t>
  </si>
  <si>
    <t>Harrisonburg, VA</t>
  </si>
  <si>
    <t>Norfolk, VA</t>
  </si>
  <si>
    <t>Colchester, VT</t>
  </si>
  <si>
    <t>Bowling Green, OH</t>
  </si>
  <si>
    <t>Birmingham, AL</t>
  </si>
  <si>
    <t>Pomona, CA</t>
  </si>
  <si>
    <t>Eugene, OR</t>
  </si>
  <si>
    <t>Bangor, ME</t>
  </si>
  <si>
    <t>Tulsa, OK</t>
  </si>
  <si>
    <t>Waterloo, IA</t>
  </si>
  <si>
    <t>Lewiston, ME</t>
  </si>
  <si>
    <t>Bloomsburg, PA</t>
  </si>
  <si>
    <t>North Dartmouth, MA</t>
  </si>
  <si>
    <t>Nampa, ID</t>
  </si>
  <si>
    <t>Gresham, OR</t>
  </si>
  <si>
    <t>Bowie, MD</t>
  </si>
  <si>
    <t>Lowell, MA</t>
  </si>
  <si>
    <t>Rochester, NH</t>
  </si>
  <si>
    <t>Tucson, AZ</t>
  </si>
  <si>
    <t>Whitewater, WI</t>
  </si>
  <si>
    <t>San Diego, CA</t>
  </si>
  <si>
    <t>Smyrna, DE</t>
  </si>
  <si>
    <t>Frankfort, KY</t>
  </si>
  <si>
    <t>Chesapeake, VA</t>
  </si>
  <si>
    <t>Joliet, IL</t>
  </si>
  <si>
    <t>Kenner, LA</t>
  </si>
  <si>
    <t>Norwalk, CT</t>
  </si>
  <si>
    <t>Annandale, VA</t>
  </si>
  <si>
    <t>Ogden, UT</t>
  </si>
  <si>
    <t>Las Cruces, NM</t>
  </si>
  <si>
    <t>Derry, NH</t>
  </si>
  <si>
    <t>Virginia Beach, VA</t>
  </si>
  <si>
    <t>Tuscaloosa, AL</t>
  </si>
  <si>
    <t>Stamford, CT</t>
  </si>
  <si>
    <t>Pensacola, FL</t>
  </si>
  <si>
    <t>Danbury, CT</t>
  </si>
  <si>
    <t>San Antonio, TX</t>
  </si>
  <si>
    <t>McKinney, TX</t>
  </si>
  <si>
    <t>Indiana, PA</t>
  </si>
  <si>
    <t>Huntsville, TX</t>
  </si>
  <si>
    <t>Jersey City, NJ</t>
  </si>
  <si>
    <t>Beaumont, TX</t>
  </si>
  <si>
    <t>Valdosta, GA</t>
  </si>
  <si>
    <t>Duluth, MN</t>
  </si>
  <si>
    <t>Worcester, MA</t>
  </si>
  <si>
    <t>Richmond, VA</t>
  </si>
  <si>
    <t>Shreveport, LA</t>
  </si>
  <si>
    <t>Davenport, IA</t>
  </si>
  <si>
    <t>Cranston, RI</t>
  </si>
  <si>
    <t>Providence, RI</t>
  </si>
  <si>
    <t>Gary, IN</t>
  </si>
  <si>
    <t>Pittsburg, KS</t>
  </si>
  <si>
    <t>Vancouver, WA</t>
  </si>
  <si>
    <t>Helena, MT</t>
  </si>
  <si>
    <t>Dover, DE</t>
  </si>
  <si>
    <t>Brockton, MA</t>
  </si>
  <si>
    <t>Biddeford, ME</t>
  </si>
  <si>
    <t>Mobile, AL</t>
  </si>
  <si>
    <t>Evansville, IN</t>
  </si>
  <si>
    <t>Allentown, PA</t>
  </si>
  <si>
    <t>Cedar Rapids, IA</t>
  </si>
  <si>
    <t>Edmond, OK</t>
  </si>
  <si>
    <t>Parkersburg, WV</t>
  </si>
  <si>
    <t>Lansing, MI</t>
  </si>
  <si>
    <t>Hattiesburg, MS</t>
  </si>
  <si>
    <t>Grand Forks, ND</t>
  </si>
  <si>
    <t>Kenosha, WI</t>
  </si>
  <si>
    <t>Elon, NC</t>
  </si>
  <si>
    <t>Arcata, CA</t>
  </si>
  <si>
    <t>Williamsburg, VA</t>
  </si>
  <si>
    <t>Kansas City, KS</t>
  </si>
  <si>
    <t>Baton Rouge, LA</t>
  </si>
  <si>
    <t>Carrollton, GA</t>
  </si>
  <si>
    <t>Paterson, NJ</t>
  </si>
  <si>
    <t>Lincoln, NE</t>
  </si>
  <si>
    <t>Sioux City, IA</t>
  </si>
  <si>
    <t>Augusta, ME</t>
  </si>
  <si>
    <t>Towson, MD</t>
  </si>
  <si>
    <t>Queens, NY</t>
  </si>
  <si>
    <t>Buffalo, NY</t>
  </si>
  <si>
    <t>Fayetteville, AR</t>
  </si>
  <si>
    <t>Trenton, NJ</t>
  </si>
  <si>
    <t>Pierre, SD</t>
  </si>
  <si>
    <t>Pocatello, ID</t>
  </si>
  <si>
    <t>St Cloud, MN</t>
  </si>
  <si>
    <t>Mount Pleasant, MI</t>
  </si>
  <si>
    <t>Essex Junction, VT</t>
  </si>
  <si>
    <t>Columbus, OH</t>
  </si>
  <si>
    <t>Portland, OR</t>
  </si>
  <si>
    <t>Hot Springs, AR</t>
  </si>
  <si>
    <t>Juneau, AK</t>
  </si>
  <si>
    <t>Owensboro, KY</t>
  </si>
  <si>
    <t>Edwardsville, IL</t>
  </si>
  <si>
    <t>Glendale, AZ</t>
  </si>
  <si>
    <t>Grand Island, NE</t>
  </si>
  <si>
    <t>Lake Worth, FL</t>
  </si>
  <si>
    <t>Des Moines, IA</t>
  </si>
  <si>
    <t>South Portland, ME</t>
  </si>
  <si>
    <t>Mililani Town, HI</t>
  </si>
  <si>
    <t>Topeka, KS</t>
  </si>
  <si>
    <t>Conway, AR</t>
  </si>
  <si>
    <t>Bristol, RI</t>
  </si>
  <si>
    <t>Southaven, MS</t>
  </si>
  <si>
    <t>Springfield, IL</t>
  </si>
  <si>
    <t>Casper, WY</t>
  </si>
  <si>
    <t>Jonesboro, AR</t>
  </si>
  <si>
    <t>Roswell, NM</t>
  </si>
  <si>
    <t>Hialeah, FL</t>
  </si>
  <si>
    <t>Boise, ID</t>
  </si>
  <si>
    <t>Springdale, AR</t>
  </si>
  <si>
    <t>Bismarck, ND</t>
  </si>
  <si>
    <t>Hartford, CT</t>
  </si>
  <si>
    <t>Savannah, GA</t>
  </si>
  <si>
    <t>Cheyenne, WY</t>
  </si>
  <si>
    <t>Hampton, VA</t>
  </si>
  <si>
    <t>Charleston, WV</t>
  </si>
  <si>
    <t>Dallas, TX</t>
  </si>
  <si>
    <t>Pearl City, HI</t>
  </si>
  <si>
    <t>Erie, PA</t>
  </si>
  <si>
    <t>Henderson, NV</t>
  </si>
  <si>
    <t>Seaford, DE</t>
  </si>
  <si>
    <t>West Chester, PA</t>
  </si>
  <si>
    <t>St Petersburg, FL</t>
  </si>
  <si>
    <t>Hagerstown, MD</t>
  </si>
  <si>
    <t>Largo, MD</t>
  </si>
  <si>
    <t>Plymouth, MN</t>
  </si>
  <si>
    <t>Scottsdale, AZ</t>
  </si>
  <si>
    <t>Kearney, NE</t>
  </si>
  <si>
    <t>Bellingham, WA</t>
  </si>
  <si>
    <t>Sacramento, CA</t>
  </si>
  <si>
    <t>Knoxville, TN</t>
  </si>
  <si>
    <t>Bozeman, MT</t>
  </si>
  <si>
    <t>New Haven, CT</t>
  </si>
  <si>
    <t>Tupelo, MS</t>
  </si>
  <si>
    <t>Brookings, SD</t>
  </si>
  <si>
    <t>Cleveland, OH</t>
  </si>
  <si>
    <t>Billings, MT</t>
  </si>
  <si>
    <t>Columbia, MO</t>
  </si>
  <si>
    <t>Kennesaw, GA</t>
  </si>
  <si>
    <t>Newark, NJ</t>
  </si>
  <si>
    <t>Sioux Falls, SD</t>
  </si>
  <si>
    <t>Boone, NC</t>
  </si>
  <si>
    <t>Conway, SC</t>
  </si>
  <si>
    <t>Warren, MI</t>
  </si>
  <si>
    <t>Peoria, IL</t>
  </si>
  <si>
    <t>Springfield, MO</t>
  </si>
  <si>
    <t>Flint, MI</t>
  </si>
  <si>
    <t>Durham, NC</t>
  </si>
  <si>
    <t>DeKalb, IL</t>
  </si>
  <si>
    <t>Lake Charles, LA</t>
  </si>
  <si>
    <t>Augusta, GA</t>
  </si>
  <si>
    <t>Iowa City, IA</t>
  </si>
  <si>
    <t>Springfield, MA</t>
  </si>
  <si>
    <t>Concord, NH</t>
  </si>
  <si>
    <t>Chattanooga, TN</t>
  </si>
  <si>
    <t>Fort Myers, FL</t>
  </si>
  <si>
    <t>Commerce, TX</t>
  </si>
  <si>
    <t>Green Bay, WI</t>
  </si>
  <si>
    <t>Charleston, SC</t>
  </si>
  <si>
    <t>Rock Hill, SC</t>
  </si>
  <si>
    <t>Mount Pleasant, SC</t>
  </si>
  <si>
    <t>Montpelier, VT</t>
  </si>
  <si>
    <t>Lawton, OK</t>
  </si>
  <si>
    <t>Fort Wayne, IN</t>
  </si>
  <si>
    <t>Biloxi, MS</t>
  </si>
  <si>
    <t>Lawrenceville, GA</t>
  </si>
  <si>
    <t>Burlington, VT</t>
  </si>
  <si>
    <t>Huntington, WV</t>
  </si>
  <si>
    <t>Minot, ND</t>
  </si>
  <si>
    <t>Morgantown, WV</t>
  </si>
  <si>
    <t>Boca Raton, FL</t>
  </si>
  <si>
    <t>Kalamazoo, MI</t>
  </si>
  <si>
    <t>Edison, NJ</t>
  </si>
  <si>
    <t>Barre Town, VT</t>
  </si>
  <si>
    <t>Covington, KY</t>
  </si>
  <si>
    <t>SW Dev and Test Co-op Fall 2024 - ASL</t>
  </si>
  <si>
    <t>1. Pursuing a Bachelor’s degree in Electrical Engineering, Computer Science, Computer Engineering or Aerospace.
2. 3.0 or higher cumulative GPA
3. Must be eligible to be approved by your college/university to participate in a co-op program and register for co-op credit with your university during work terms
...</t>
  </si>
  <si>
    <t>Software Engineer Intern (Data BP) - 2024 Off-cycle (BS/MS)</t>
  </si>
  <si>
    <t>1. Students graduating in 2025 or later, currently pursuing a bachelor's degree or higher, preferably in computer science, software engineering, or related fields
2. Solid foundation with strong coding skills and a keen interest in learning new technologies
3. Experience with big data tools/frameworks such as Spark, Hadoop, Hive, Flink, Kafka, HBase, etc.
...</t>
  </si>
  <si>
    <t>Westborough, MA</t>
  </si>
  <si>
    <t>Golden, CO</t>
  </si>
  <si>
    <t>1. Recent PhD graduate within the last three years
2. Educational requirements met prior to employment start date
3. Experience with developing and/or executing simulations of multiphase flows
...</t>
  </si>
  <si>
    <t>Software Engineer 1-4 (SkillBridge Intern) - 8380</t>
  </si>
  <si>
    <t>HII Mission Technologies</t>
  </si>
  <si>
    <t>Hanover, MD</t>
  </si>
  <si>
    <t>1. Active-Duty Military ONLY within final 180 days of active-duty service
2. Bachelor's Degree in related field
3. Must have a current/active DoD Secret Security Clearance</t>
  </si>
  <si>
    <t>Sandhills Global</t>
  </si>
  <si>
    <t>Agriculture, Automotive</t>
  </si>
  <si>
    <t>1. C# programming language
2. .NET framework
3. SQL Server
...</t>
  </si>
  <si>
    <t>Intern Software Engineer</t>
  </si>
  <si>
    <t>Ascend Learning</t>
  </si>
  <si>
    <t>Education, Software</t>
  </si>
  <si>
    <t>Leawood, KS</t>
  </si>
  <si>
    <t>1. Currently enrolled in a Bachelor’s degree in a computer related field
2. Exposed to the concepts of an Agile based development methodology or similar formal methodologies are required
3. Knowledge through coursework of the following programming languages: MS C#, JavaScript, MVC, SQL, HTML5, CSS 3.0, and experience with a MVVM framework (e.g. Angular) preferred
...</t>
  </si>
  <si>
    <t>Technical Marketing Engineer Intern</t>
  </si>
  <si>
    <t>Intel Corporation</t>
  </si>
  <si>
    <t>Manufacturing, Mobile Devices</t>
  </si>
  <si>
    <t>Hillsboro, OR</t>
  </si>
  <si>
    <t>1. Pursuing a Bachelor's Degree In Electronics/Computer Engineering, Computer Science, Robotic Or Any STEM Related Field With 3+ Months Experience Of The Following
2. AI concepts, machine learning, and deep learning
3. MS Office 365 (Word, Excel, PowerPoint, Teams, SharePoint, Power BI)</t>
  </si>
  <si>
    <t>Software Engineer</t>
  </si>
  <si>
    <t>BlackHawk Network</t>
  </si>
  <si>
    <t>E-Commerce, Finance</t>
  </si>
  <si>
    <t>$119698-$127566 /yr</t>
  </si>
  <si>
    <t>1. Demonstrate solid engineering fundamentals. Strong algorithms, data structures and coding background
2. Currently enrolled in a Bachelor’s/Master's degree program in STEM majors
3. Must be enrolled in an accredited college or university
...</t>
  </si>
  <si>
    <t>Intern - Enterprise Architect</t>
  </si>
  <si>
    <t>First Horizon Bank</t>
  </si>
  <si>
    <t>Banking, Finance</t>
  </si>
  <si>
    <t>1. Full-time undergraduate student with anticipated graduation date between December 2024 and June 2025
2. GPA of 2.75 or above
3. Declared major or minor in computer science, computer engineering, MIS/BIT, or similar discipline
...</t>
  </si>
  <si>
    <t>Coppell, TX</t>
  </si>
  <si>
    <t>$72760-$95830 /yr</t>
  </si>
  <si>
    <t>1. Currently enrolled in a Bachelor’s/Master's degree program in STEM majors
2. Must be enrolled in an accredited college or university
3. Solid verbal and written communication skills
...</t>
  </si>
  <si>
    <t>SAP iXp Intern - Business Technology Platform</t>
  </si>
  <si>
    <t>1. Pursuing Bachelor’s degree in Computer Science or related field.
2. Experience with Data Engineering &amp; Analytics
3. Experience with Artificial Intelligence and Machine Learning</t>
  </si>
  <si>
    <t>Intern - Software Engineering 1</t>
  </si>
  <si>
    <t>1. Current enrollment in a Bachelor’s or Master's degree program in Computer Science (CS) or Computer Engineering (preferred), but can also consider Math with CS emphasis
2. Must be returning to school following completion of the internship</t>
  </si>
  <si>
    <t>2025 Software Engineer Program - Summer Internship – United States</t>
  </si>
  <si>
    <t>JP Morgan Chase</t>
  </si>
  <si>
    <t>1. Pursuing a B.A., B.S. or 5th year M.A. or M.S. with expected graduation between December 2025 and June 2027 (all majors considered)
2. A well-rounded academic background
3. Foundational knowledge of programming languages (e.g., Python, JavaScript, Java, C++, C#), databases, data structures and algorithms
...</t>
  </si>
  <si>
    <t>Engineering Research Intern/Co-Op 1 - 19928</t>
  </si>
  <si>
    <t>Dayton, OH</t>
  </si>
  <si>
    <t>$32760-$45000 /yr</t>
  </si>
  <si>
    <t>1. Must be a U.S. citizen.
2. High School Diploma or equivalent + Must be working towards a Bachelor's degree with between 20% and 40% of the required credits completed.
3. Experience with Python, C / C++ / C#.</t>
  </si>
  <si>
    <t>EDI Intern</t>
  </si>
  <si>
    <t>Ziyad</t>
  </si>
  <si>
    <t>Delivery, Food and Beverage</t>
  </si>
  <si>
    <t>Cicero, IL</t>
  </si>
  <si>
    <t>1. Currently pursuing a degree in Computer Science, Information Systems, or a related field
2. Knowledge of EDI processes and standards
3. Strong analytical and problem-solving skills
...</t>
  </si>
  <si>
    <t>Quality Assurance Intern</t>
  </si>
  <si>
    <t>KFC</t>
  </si>
  <si>
    <t>$17-$18 /h</t>
  </si>
  <si>
    <t>1. Currently enrolled and working towards a Bachelor of Science in Computer Science or equivalent education
2. Minimum of 6 months of software development experience in Microsoft Python, JavaScript, TypeScript, or equivalent is desirable
3. Thrive in a dynamic, agile team environment
...</t>
  </si>
  <si>
    <t>E-Commerce Content Engineer- Intern</t>
  </si>
  <si>
    <t>Tillster</t>
  </si>
  <si>
    <t>E-Commerce, Enterprise Software</t>
  </si>
  <si>
    <t>$22-$24 /h</t>
  </si>
  <si>
    <t>1. Minimum of 0-1 year experience writing SQL, including writing queries, inserting statements, and joining tables (either MySQL or SQL Server)
2. Working familiarity with JSON and debugging tools – i.e., Chrome DevTools or Mozilla Firebug
3. Working familiarity with Linux; prefer experience scripting in Linux-based commands
...</t>
  </si>
  <si>
    <t>Fall Intern, Quality Assurance</t>
  </si>
  <si>
    <t>HealthStream</t>
  </si>
  <si>
    <t>E-Learning, Enterprise Software</t>
  </si>
  <si>
    <t>1. Currently enrolled in an accredited college or university.
2. Applicable experience that includes attention to detail and critical thinking
3. Comfortable with technology including both Mac and Windows OS, mobile devices, MS Teams, and Azure Devops
...</t>
  </si>
  <si>
    <t>Fall Associate</t>
  </si>
  <si>
    <t>LobbyMatic</t>
  </si>
  <si>
    <t>Tysons Corner, VA</t>
  </si>
  <si>
    <t>1. Currently pursuing a Bachelor's or Master's degree in Business Administration, Computer Science, Marketing, or a related field
2. Excellent problem-solving and analytical skills
3. Strong communication and teamwork abilities
...</t>
  </si>
  <si>
    <t>Software Test QA Intern</t>
  </si>
  <si>
    <t>Legrand North America</t>
  </si>
  <si>
    <t>Electrical Distribution, Electronics</t>
  </si>
  <si>
    <t>1. Actively enrolled in undergraduate Computer Science or Engineering program.
2. Experience with software, hardware, and networking is a plus.
3. Understanding of SQA methodologies and procedures.
...</t>
  </si>
  <si>
    <t>Software Engineering Intern (Fall 2024)</t>
  </si>
  <si>
    <t>Garmin</t>
  </si>
  <si>
    <t>Yarmouth, ME</t>
  </si>
  <si>
    <t>1. Completed coursework in Computer Science, Electrical Engineering, Computer Engineering, or a related field
2. Excellent academics (cumulative GPA greater than or equal to 3.0 as a general rule)
3. Must possess relevant experience and/or training in languages such as C, C++, C# or Java
...</t>
  </si>
  <si>
    <t>Austin, Texas, United States</t>
  </si>
  <si>
    <t>1. Bachelor of Science degree in Computer Science, Computer Engineering, Electrical/Electronic Engineering, or related degree
2. Ability to work 20+ hours a week &amp; Attend weekly Stand-up Meetings
3. Common Interpersonal Skills: Problem-Solving, Documentation, Innovation, Ability to proactively learn and solve new problems, Research, Communication, Design Thinking
...</t>
  </si>
  <si>
    <t>LEAD Information Technology Intern</t>
  </si>
  <si>
    <t>Wabtec Corporation</t>
  </si>
  <si>
    <t>1. Currently enrolled in a Bachelor’s or Master’s Degree program at an accredited university or credentialed software accelerator program
2. Degree focused in Computer Science, Computer Engineering, Computer Information Systems, IT Security, Informatics, Information Science/Technology, Management Information Systems, Software Engineering, Security and Risk Analysis, or other relevant STEM majors with Software/IT experience
3. Minimum cumulative or in-major 3.0/4.0 GPA
...</t>
  </si>
  <si>
    <t>Coop Informational Technology</t>
  </si>
  <si>
    <t>Lennox International</t>
  </si>
  <si>
    <t>Consumer Goods, Electronics</t>
  </si>
  <si>
    <t>Stuttgart, AR</t>
  </si>
  <si>
    <t>1. Strong written and verbal communication
2. Proficiency in MS Office
3. Knowledge of principle concepts for the role
...</t>
  </si>
  <si>
    <t>Fall Intern, Software Development</t>
  </si>
  <si>
    <t>1. Currently enrolled in an accredited college or university
2. Object Oriented Programming
3. Relational Database Knowledge
...</t>
  </si>
  <si>
    <t>Undergraduate Unity Developer</t>
  </si>
  <si>
    <t>Purdue University</t>
  </si>
  <si>
    <t>West Lafayette, IN</t>
  </si>
  <si>
    <t>1. Experience with developing in Unity and C#
2. Experience developing real-time interactive applications
3. Enrolled in a Purdue West Lafayette degree program</t>
  </si>
  <si>
    <t>Fall 2024 - Technical Team Intern</t>
  </si>
  <si>
    <t>Rocket IT</t>
  </si>
  <si>
    <t>Information and Communications Technology (ICT), Information Services</t>
  </si>
  <si>
    <t>Suwanee, GA</t>
  </si>
  <si>
    <t>1. Must be a rising junior or senior in four-year degree college program
2. Information Technology or related major preferred</t>
  </si>
  <si>
    <t>Java Trainee</t>
  </si>
  <si>
    <t>People Tech</t>
  </si>
  <si>
    <t>1. Education: Master’s in computer science, Information Technology, or a related field (or currently pursuing one).
2. Basic Programming Knowledge: Familiarity with basic programming concepts, preferably in any programming language.
3. Passion for Learning: Demonstrated interest in software development and eagerness to learn Java.
...</t>
  </si>
  <si>
    <t>Jane Street Capital</t>
  </si>
  <si>
    <t>New York, New York, United States</t>
  </si>
  <si>
    <t>1. A top-notch programmer with a love for technology
2. Intellectually curious, collaborative, and eager to learn
3. Humble and unafraid to ask questions and admit mistakes</t>
  </si>
  <si>
    <t>Intern, Technology Advisory (Summer 2025)</t>
  </si>
  <si>
    <t>WISS &amp; COMPANY</t>
  </si>
  <si>
    <t>Accounting</t>
  </si>
  <si>
    <t>Florham Park, NJ</t>
  </si>
  <si>
    <t>1. Working towards a BA/BS degree or equivalent from an accredited university in a business-related field, such as Accounting, Finance, Data Analytics, Math, or Computer Science/Information Systems; GPA of 3.0 or higher is desirable
2. Must be able to work 3 days/week during the intern cycle (on-site required)
3. Candidates should be highly motivated, possess a critical-thinking and problem-solving mindset, and be team players who possess excellent communication skills, both verbal and written
...</t>
  </si>
  <si>
    <t>QA (Quality Analyst) Intern</t>
  </si>
  <si>
    <t>Tenet 3</t>
  </si>
  <si>
    <t>Computer, Cyber Security</t>
  </si>
  <si>
    <t>$18-$28 /h</t>
  </si>
  <si>
    <t>1. Eligibility to establish and maintain a Department of Defense Top Secret security clearance (Must be US Citizen)
2. A work portfolio demonstrating clean, well-tested code (Github, Codepen, personal website or equivalent)
3. Knowledge in a modern programming language (Java, Python, C# or equivalent)
...</t>
  </si>
  <si>
    <t>Strategic Student Program: Software Development R&amp;D Intern (Fall 2024)</t>
  </si>
  <si>
    <t>Costa Mesa, CA</t>
  </si>
  <si>
    <t>1. Currently enrolled as a University student with 2 semesters left before graduation
2. Minimum 3.0 GPA
3. Authorized to work in the United States without the need for current or future sponsorship by the company
...</t>
  </si>
  <si>
    <t>QE (Quality Engineering) Intern</t>
  </si>
  <si>
    <t>1. Eligibility to establish and maintain a Department of Defense Top Secret security clearance (Must be US Citizen)
2. A work portfolio demonstrating clean, well-tested code (Github, Codepen, personal website or equivalent)
3. knowledge in a modern programming language (Java, Python, C# or equivalent)
...</t>
  </si>
  <si>
    <t>Novi, MI</t>
  </si>
  <si>
    <t>1. Currently enrolled in an accredited degree program pursing a bachelor’s or master’s degree in Computer Engineering, Electrical Engineering, Computer Science.
2. Excellent academics (cumulative GPA greater than or equal to 3.0 as a general rule)
3. Knowledge of SW Development Lifecycle
...</t>
  </si>
  <si>
    <t>Thrive Apprentice - Software Engineering: Full Stack Java Developer</t>
  </si>
  <si>
    <t>Software Engineer - Intern</t>
  </si>
  <si>
    <t>1. Currently pursuing a degree in Computer Science, Software Engineering, or a related field.
2. Strong programming skills in languages such as Python, Java, C++, or similar.
3. Familiarity with software development methodologies and tools.
...</t>
  </si>
  <si>
    <t>ADA Software Engineer Intern</t>
  </si>
  <si>
    <t>myGwork</t>
  </si>
  <si>
    <t>Internet</t>
  </si>
  <si>
    <t>$27.02-$54.13 /h</t>
  </si>
  <si>
    <t>1. Possess undergraduate degree and be enrolled in a graduate level program
2. Passion for software development
3. Aptitude for learning
...</t>
  </si>
  <si>
    <t>Information Technology Coop</t>
  </si>
  <si>
    <t>Precision Castparts</t>
  </si>
  <si>
    <t>Industrial, Manufacturing</t>
  </si>
  <si>
    <t>1. Full-time student pursuing a Bachelor’s Degree Industrial Systems Engineering
2. Must have a minimum grade point average of 3.0 or higher
3. Knowledge of related engineering discipline functional and technical skills
...</t>
  </si>
  <si>
    <t>Smarsh</t>
  </si>
  <si>
    <t>Ediscovery, Enterprise Software</t>
  </si>
  <si>
    <t>Atlanta</t>
  </si>
  <si>
    <t>$20-$25 /h</t>
  </si>
  <si>
    <t>1. Graduate in BSc in Computer Science or related field.
2. Programming skills in relevant languages.
3. Knowledge/Experience in Java 21, Kubernetes, Microservices, Springboot, Kafka, Postgres Database and other cloud based technologies.
...</t>
  </si>
  <si>
    <t>Web Development Intern- Unpaid</t>
  </si>
  <si>
    <t>IS3 Solutions</t>
  </si>
  <si>
    <t>Cyber Security, Data Center</t>
  </si>
  <si>
    <t>1. Working on a Bachelor’s degree in Computer Science, Business, Management Information Systems, Information Technology, HR, or other related fields.
2. A genuine curiosity and enthusiasm for technology
3. Experience using web development technologies including HTML, CSS, Javascript and other website creation platforms and tools
...</t>
  </si>
  <si>
    <t>Firmware Engineer Assistant (paid-intern)</t>
  </si>
  <si>
    <t>Eppendorf</t>
  </si>
  <si>
    <t>Biotechnology, Internet</t>
  </si>
  <si>
    <t>Shanghai, VA</t>
  </si>
  <si>
    <t>1. Student in the University, major in electronic and information engineering related
2. Interested in research and development
3. Have strong logical thinking and learning ability
...</t>
  </si>
  <si>
    <t>Infrastructure Intern</t>
  </si>
  <si>
    <t>ITR Concession</t>
  </si>
  <si>
    <t>Public Transportation, Railroad</t>
  </si>
  <si>
    <t>Elkhart, IN</t>
  </si>
  <si>
    <t>1. Enrolled in college level courses with a concentration in engineering or construction management
2. Knowledge of English grammar, spelling, and punctuation
3. Proficient in Microsoft Word, Excel and Outlook
...</t>
  </si>
  <si>
    <t>Computer Engineering Intern</t>
  </si>
  <si>
    <t>Teledyne Technologies</t>
  </si>
  <si>
    <t>Electronics, Energy</t>
  </si>
  <si>
    <t>1. Candidate must be pursuing a degree in Electrical or Computer Engineering or related field.
2. Candidate should have excellent written and verbal communication skills.</t>
  </si>
  <si>
    <t>Software Intern (Fall 2024)</t>
  </si>
  <si>
    <t>Ciena</t>
  </si>
  <si>
    <t>Collaboration, Delivery</t>
  </si>
  <si>
    <t>Georgia, United States</t>
  </si>
  <si>
    <t>$26.50-$37 /h</t>
  </si>
  <si>
    <t>1. Working towards completion of Bachelor’s degree in Electrical/Computer Engineering
2. C, C++ programming language experience
3. Good knowledge of embedded systems, drivers, mutual exclusion, synchronization, interrupt handling, inter-process communication, etc.
...</t>
  </si>
  <si>
    <t>Software Dev Engineer - Compiler, Annapurna Labs</t>
  </si>
  <si>
    <t>1. Currently enrolled in, or completed a Bachelor’s degree program or higher in Computer Science, Computer Engineering, Electrical Engineering or related field
2. To qualify, applicants should have earned a Bachelor’s or Master’s degree between April 2022 to September 2024. Possible start dates for this role are between March 2024 to October 2024.
3. Programming experience in internship or coursework with programming language such as Python and/or C or C++.
...</t>
  </si>
  <si>
    <t>Technology Apprentice</t>
  </si>
  <si>
    <t>Chubb</t>
  </si>
  <si>
    <t>Commercial Insurance, Financial Services</t>
  </si>
  <si>
    <t>$65000 /yr</t>
  </si>
  <si>
    <t>1. Basic understanding of software development principles
2. Interest in gaining technical knowledge of container platforms (Kubernetes), Cloud Platforms (Azure AWS), and knowledge of software development processes
3. Ability to work effectively with key stakeholders in a fast-paced, multi-national work environment
...</t>
  </si>
  <si>
    <t>$45-$42.75 /h</t>
  </si>
  <si>
    <t>Curtiss-Wright</t>
  </si>
  <si>
    <t>Aerospace, Commercial</t>
  </si>
  <si>
    <t>1. Current or previous educational program, prefer Computer Science or related engineering field
2. Some coding experience. C# preferred but not required.
3. Some experience working within a Software Development team preferred
...</t>
  </si>
  <si>
    <t>Software Engineering New Graduate Program 2025</t>
  </si>
  <si>
    <t>Manulife Financial</t>
  </si>
  <si>
    <t>Boston, Massachusetts</t>
  </si>
  <si>
    <t>1. Graduating in 2025 from an accredited university with an undergraduate degree in Computer Engineering, Software Engineering, Computer Science, or related discipline
2. Passion to be a professional software engineer/coder
3. Understand object-oriented software development frameworks and design patterns
...</t>
  </si>
  <si>
    <t>Jr. Software Development Engineer</t>
  </si>
  <si>
    <t>$15-$75.63 /h</t>
  </si>
  <si>
    <t>Website Development Student</t>
  </si>
  <si>
    <t>Stanford University</t>
  </si>
  <si>
    <t>Education, Higher Education</t>
  </si>
  <si>
    <t>1. Experience in web development
2. Strong skills in programming languages and frameworks (especially Python)
3. Good grasp of information retrieval techniques like Retrieval-Augmented Generation (RAG) or HYDE</t>
  </si>
  <si>
    <t>Postdoctoral Fellow, Computer Science  &gt;&gt;&gt;</t>
  </si>
  <si>
    <t>Tulane University School of Medicine</t>
  </si>
  <si>
    <t>1. Ph.D. in Computer Science or a related field
2. Research experience in Programming Languages (PL) and Software Engineering (SE)
3. Specific focus on SE/PL techniques for Artificial Intelligence (AI)-enabled systems
...</t>
  </si>
  <si>
    <t>Software Engineer, Internship</t>
  </si>
  <si>
    <t>1. Engineering background in fields such as Computer Science, Mathematics, Software Engineering, and Physics.
2. Familiarity with data structures, storage systems, cloud infrastructure, front-end frameworks, and other technical tools.
3. Experience coding in programming languages, such as Java, C++, Python, JavaScript, or similar languages.
...</t>
  </si>
  <si>
    <t>Co-op/Programmer Analyst, Application Services (Fall 2024)</t>
  </si>
  <si>
    <t>Institute of Nuclear Power Operations</t>
  </si>
  <si>
    <t>Non Profit</t>
  </si>
  <si>
    <t>$20-$23 /h</t>
  </si>
  <si>
    <t>1. Degree in Computer Science or Information Technology fields
2. Basic understanding of programming techniques
3. Ability to troubleshoot software and data issues
...</t>
  </si>
  <si>
    <t>Vehicle Software HIL System Engineering Intern</t>
  </si>
  <si>
    <t>Xos Trucks</t>
  </si>
  <si>
    <t>Electric Vehicle, Manufacturing</t>
  </si>
  <si>
    <t>1. Currently enrolled in a B.Sc in Electrical Engineering (EE), Software Engineering, Mechanical Engineering (ME), or an equivalent program
2. Relevant experience in design verification testing is a plus
3. Strong understanding of vehicle systems and their interactions
...</t>
  </si>
  <si>
    <t>Graduate Technical Intern</t>
  </si>
  <si>
    <t>Intellect Design Arena</t>
  </si>
  <si>
    <t>Banking, Consulting</t>
  </si>
  <si>
    <t>1. Currently enrolled in their final year or recent successful graduates from a relevant field (Computer Science, Engineering, Mathematics, etc.)
2. Familiarity with various programming languages such as Python, Java, or C++
3. Strong analytical and problem-solving skills
...</t>
  </si>
  <si>
    <t>New York, United States</t>
  </si>
  <si>
    <t>Intern - Information Systems and Communication Technology</t>
  </si>
  <si>
    <t>1. Enrolled in or have completed a graduate school programme (second university degree or equivalent, or higher) OR enrolled in or have completed the final academic year of a first university degree programme (minimum bachelor’s degree or equivalent)
2. Degree in areas related to Information Systems and Communication Technology
3. Fluency in English (both oral and written)</t>
  </si>
  <si>
    <t>Game Research &amp; Development Intern, Engine Research</t>
  </si>
  <si>
    <t>Tencent</t>
  </si>
  <si>
    <t>Advertising, Internet</t>
  </si>
  <si>
    <t>Palo Alto, CA</t>
  </si>
  <si>
    <t>1. Strong coding skills in one of following programming languages: C++, python, TensorFlow/Torch
2. Solid knowledge in calculus, linear algebra, basic numerical analysis
3. A strong sense of responsibility and good communication skills</t>
  </si>
  <si>
    <t>Game Research &amp; Development Intern</t>
  </si>
  <si>
    <t>Irvine, CA</t>
  </si>
  <si>
    <t>Software Engineer Intern, Research &amp; Innovation</t>
  </si>
  <si>
    <t>Noah Medical</t>
  </si>
  <si>
    <t>Health Care, Health Diagnostics</t>
  </si>
  <si>
    <t>$24-$40 /h</t>
  </si>
  <si>
    <t>1. Enrolled in B.S, M.S., or Ph.D. degree in Computer Science, Software Engineering or related area
2. Work collaboratively and efficiently in a fast-paced start-up with minimal supervision
3. Experience with rapid prototyping algorithms in Python and C++
...</t>
  </si>
  <si>
    <t>Extreme Reach</t>
  </si>
  <si>
    <t>Dedham, MA</t>
  </si>
  <si>
    <t>1. High school diploma or equivalent
2. Decent experience and knowledge working with C#
3. Ability to thoroughly analyze and understand complex code
...</t>
  </si>
  <si>
    <t>Quality Assurance Co-op</t>
  </si>
  <si>
    <t>Continental</t>
  </si>
  <si>
    <t>Automotive, Manufacturing</t>
  </si>
  <si>
    <t>1. Minimum GPA 3.0; 15 credit hours completed
2. Minimum 1.5 years of remaining undergraduate studies</t>
  </si>
  <si>
    <t>Software Engineer, New Grad - US Government</t>
  </si>
  <si>
    <t>$135000-$145000 /yr</t>
  </si>
  <si>
    <t>1. Active US Security clearance or eligibility and willingness to obtain a US Security clearance.
2. Engineering background in fields such as Computer Science, Mathematics, Software Engineering, and Physics.
3. Familiarity with data structures, storage systems, cloud infrastructure, front-end frameworks, and other technical tools.
...</t>
  </si>
  <si>
    <t>Software Developer Co-op/Intern</t>
  </si>
  <si>
    <t>London Computer Systems</t>
  </si>
  <si>
    <t>Information Technology, Software</t>
  </si>
  <si>
    <t>1. Experience with Object Oriented programming language (C# preferred)
2. Competency in developing modules independently
3. Excellent verbal and written communication skills
...</t>
  </si>
  <si>
    <t>Vivacity Tech PBC</t>
  </si>
  <si>
    <t>Computer, Hardware</t>
  </si>
  <si>
    <t>Saint Paul Church, MN</t>
  </si>
  <si>
    <t>1. Currently studying in a technical field
2. High school diploma required
3. Ability to work independently and to research problems and solutions
...</t>
  </si>
  <si>
    <t>Software Engineer 0</t>
  </si>
  <si>
    <t>CyberCore Technologies</t>
  </si>
  <si>
    <t>Cyber Security, Enterprise Software</t>
  </si>
  <si>
    <t>Laurel, MD</t>
  </si>
  <si>
    <t>1. Bachelor’s degree in Computer Science or related discipline from an accredited college or university
2. Four (4) years of SWE experience on projects with similar software processes may be substituted for a bachelor’s degree
3. Java, Python, Database technologies (MongDB, MariaDB, OracleDB, MySQL, Postgres)
...</t>
  </si>
  <si>
    <t>Provo, UT</t>
  </si>
  <si>
    <t>1. Classwork and experience in Software Engineering, Computer Science, or a related field
2. Familiarity working in C# and .Net applications
3. Familiarity with WPF</t>
  </si>
  <si>
    <t>Backend Software Engineer - Internship</t>
  </si>
  <si>
    <t>The Boring Company</t>
  </si>
  <si>
    <t>Construction, Infrastructure</t>
  </si>
  <si>
    <t>1. High School diploma or GED and currently pursuing a Bachelor's Degree in Computer Science, Software Engineering, or equivalent field
2. Prior experience in software development projects (industry or school)
3. Proficiency in 2 or more coding languages
...</t>
  </si>
  <si>
    <t>Bastrop, TX</t>
  </si>
  <si>
    <t>1. High school diploma or GED and pursuing a degree in Computer Science, Software Engineering, or equivalent field
2. Experience developing software applications in Python, C++ or similar high-level language
3. Development experience in JavaScript, CSS and HTML
...</t>
  </si>
  <si>
    <t>Intern - Firmware/Software Engineering</t>
  </si>
  <si>
    <t>Seagate Technology</t>
  </si>
  <si>
    <t>Cloud Storage, Consumer Electronics</t>
  </si>
  <si>
    <t>Longmont, CO</t>
  </si>
  <si>
    <t>$18-$26 /h</t>
  </si>
  <si>
    <t>1. Structured C and Python programming skills.
2. Demonstrate ability to work independently and a self-motivated worker with a desire to learn.
3. Excellent verbal and written communication skills.
...</t>
  </si>
  <si>
    <t>Summer Intern 2024</t>
  </si>
  <si>
    <t>Neatleaf</t>
  </si>
  <si>
    <t>Agriculture, Artificial Intelligence (AI)</t>
  </si>
  <si>
    <t>Santa Cruz, CA</t>
  </si>
  <si>
    <t>1. Currently pursuing a degree in Computer Science, Software Engineering, or a related field
2. Basic understanding of web development technologies such as HTML, CSS, and JavaScript
3. Eagerness to learn and adapt to new technologies and challenges
...</t>
  </si>
  <si>
    <t>DRW</t>
  </si>
  <si>
    <t>Consulting, Finance</t>
  </si>
  <si>
    <t>Chicago, Houston</t>
  </si>
  <si>
    <t>1. Pursuing a bachelor’s, master’s, or PhD in computer science, electrical engineering, computer engineering, physics, mathematics or any related science discipline and have an expected graduation date between December 2025 and June 2026
2. Exposure to network programming (TCP/IP), multi‐threaded applications, computational intelligence, algorithms, real‐time programming or GUI programming
3. Strong understanding of object oriented design, data structures, and algorithms
...</t>
  </si>
  <si>
    <t>User-Interface (UI) Engineer Intern</t>
  </si>
  <si>
    <t>Chicago</t>
  </si>
  <si>
    <t>1. Are pursuing a bachelor’s, master’s, or PhD in computer science, electrical engineering, computer engineering, physics, mathematics or any related science discipline and have an expected graduation date between December 2025 and June 2026
2. Exhibit excellent software development skills in TypeScript, Python, HTML, and CSS
3. Have experience building reusable components with React, creating visualizations using Dash, working with both live and historical data sources within the browser, or troubleshooting UI performance problems
...</t>
  </si>
  <si>
    <t>Engineering Intern, eDrive Core Software</t>
  </si>
  <si>
    <t>Farmington Hills, MI</t>
  </si>
  <si>
    <t>1. Currently enrolled in a graduate or undergraduate degree in the following fields: Computer Science, Computer Engineering, Electrical Engineering
2. 0-3 years of experience
3. Programming knowledge in Python and C
...</t>
  </si>
  <si>
    <t>Paid Intern- Python Bootcamp</t>
  </si>
  <si>
    <t>Nebula Academy</t>
  </si>
  <si>
    <t>Consulting, Education</t>
  </si>
  <si>
    <t>1. Passion to learn software development and a strong desire to learn and grow as a python developer.
2. Excellent problem-solving and analytical skills.
3. Strong communication and collaboration abilities.
...</t>
  </si>
  <si>
    <t>Windows Software Engineer (Intern)</t>
  </si>
  <si>
    <t>Renewed Vision</t>
  </si>
  <si>
    <t>Mobile, Software</t>
  </si>
  <si>
    <t>Alpharetta, GA</t>
  </si>
  <si>
    <t>1. Have built applications for Windows
2. Are comfortable writing code in C#
3. Know the basics of WPF
...</t>
  </si>
  <si>
    <t>Research Intern - SQL Query Processing</t>
  </si>
  <si>
    <t>Microsoft</t>
  </si>
  <si>
    <t>Data Management, Developer Tools</t>
  </si>
  <si>
    <t>$6290-$12170 Monthly</t>
  </si>
  <si>
    <t>1. Currently enrolled in a PhD program in Computer Science or a related STEM field.</t>
  </si>
  <si>
    <t>Research Intern - Offloading Operating System Functionality and Performance</t>
  </si>
  <si>
    <t>$6290-$12170 /mon</t>
  </si>
  <si>
    <t>1. Accepted or currently enrolled in a PhD program in Computer Science, Computer Engineering, or a related STEM field.
2. Research Interns are expected to be physically located in their manager’s Microsoft worksite location for the duration of their internship.</t>
  </si>
  <si>
    <t>Intern - Information Technologies (IT) - Developers, Business Analysis, Security Operations - Summer 2024</t>
  </si>
  <si>
    <t>HNI Corporation</t>
  </si>
  <si>
    <t>Furniture, Home Decor</t>
  </si>
  <si>
    <t>Muscatine, IA</t>
  </si>
  <si>
    <t>1. College student with a major in Computer Science, MIS, Software Engineering, Computer Engineering, or equivalent field. Junior-level coursework is preferred.
2. Minimum 2.8 GPA
3. Combination of relevant work experience, internships, or related activities (tutor, business fraternity, etc) preferred
...</t>
  </si>
  <si>
    <t>2025 IT Intern</t>
  </si>
  <si>
    <t>Abbott</t>
  </si>
  <si>
    <t>Biotechnology, Emergency Medicine</t>
  </si>
  <si>
    <t>Waukegan, IL</t>
  </si>
  <si>
    <t>$9.42-$33.59 /h</t>
  </si>
  <si>
    <t>1. Candidates must be interested in pursuing a career in the IT field.
2. Individuals interested in the IT Intern Program must currently be pursuing Bachelors (Sophomore or Junior Status) or Masters degree in an IT related discipline or formal focus area.
3. Candidates must be returning to school following the internship assignment.
...</t>
  </si>
  <si>
    <t>Information Systems Internship</t>
  </si>
  <si>
    <t>Menards</t>
  </si>
  <si>
    <t>E-Commerce, Manufacturing</t>
  </si>
  <si>
    <t>Eau Claire, WI</t>
  </si>
  <si>
    <t>1. Knowledge of the JAVA programming language; including JSPs, Servlets, EJBs, Spring, Object Oriented Design
2. Familiarity with XML, Eclipse, Android Studio and Visual Studio is helpful
3. Excellent analytical skills for problem determination and resolution
...</t>
  </si>
  <si>
    <t>Junior Software Engineer, Internship (Hybrid in Milwaukee WI area during Summer)</t>
  </si>
  <si>
    <t>1. Junior standing in biomedical engineering, computer science, electrical engineering or related fields
2. Solid basic knowledge of C/C++
3. Experience with Linux OS and/or Unix OS
...</t>
  </si>
  <si>
    <t>Copart</t>
  </si>
  <si>
    <t>Automotive, E-Commerce</t>
  </si>
  <si>
    <t>1. Develop efficient, secure applications, peer-review code, and document solutions within an agile-blended software environment
2. Collaborate with other senior engineers, and management, to achieve optimal application design
3. Communicate proactively with teammates, infrastructure, security, and quality assurance to continuously improve processes and engineering excellence
...</t>
  </si>
  <si>
    <t>DOD Skillbridge - Software Engineering</t>
  </si>
  <si>
    <t>Flashpoint</t>
  </si>
  <si>
    <t>Business Intelligence, Cyber Security</t>
  </si>
  <si>
    <t>1. Current Active Duty Service Member
2. Meets DoD SkillBridge Qualifications
3. Available to participate 90-180 days
...</t>
  </si>
  <si>
    <t>Software Engineer Internship</t>
  </si>
  <si>
    <t>Databento</t>
  </si>
  <si>
    <t>Cloud Data Services, Financial Services</t>
  </si>
  <si>
    <t>1. Experience with C++ or Python, ideally outside of the classroom (e.g. personal projects, internships, and co-ops)
2. University level coursework in computer science (e.g. operating systems, computer architecture, and algorithms)
3. Knowledge of software design patterns and best practices
...</t>
  </si>
  <si>
    <t>Postdoctoral Appointee – Portability and AI at scale</t>
  </si>
  <si>
    <t>Argonne National Laboratory</t>
  </si>
  <si>
    <t>Energy, Security</t>
  </si>
  <si>
    <t>Lemont, IL</t>
  </si>
  <si>
    <t>1. Ph.D. (completed within the last 0-5 years) in applied mathematics, physics, chemistry, computer science, or similar fields.
2. Experience contributing to scientific software in C++, Python, or comparable languages.
3. Collaborative skills, including the ability to work well with other scientists, divisions, laboratories, and universities.
...</t>
  </si>
  <si>
    <t>Embedded SWE Intern - Fall</t>
  </si>
  <si>
    <t>Atomic Semi</t>
  </si>
  <si>
    <t>1. Pursuing a Bachelor’s Degree or higher in Electrical and Computer Engineering, Computer Science, or similar field
2. Proficiency in Python/C/C++
3. Low level systems programming experience and good understanding of embedded systems and OS concepts (Linux/RTOS)
...</t>
  </si>
  <si>
    <t>Westlake Financial Services</t>
  </si>
  <si>
    <t>Financial Services</t>
  </si>
  <si>
    <t>1. You have graduated or will graduate in the year 2024 with a computer science or relevant engineering degree.
2. Able to work full time (40 hours a week) for 3 months. At the end of 3 months, you will have the opportunity to be hired as a full-time employee.
3. You are able to demonstrate software engineering experience from a previous internship, work experience, coding competitions, or publications.
...</t>
  </si>
  <si>
    <t>Software Co-Op</t>
  </si>
  <si>
    <t>DataPath</t>
  </si>
  <si>
    <t>Cyber Security, Data Visualization</t>
  </si>
  <si>
    <t>1. US Citizenship is required.
2. Basic software programming skills required.</t>
  </si>
  <si>
    <t>Software Co-Op (50021)</t>
  </si>
  <si>
    <t>Research and Development Intern</t>
  </si>
  <si>
    <t>$5833-$10000 /mon</t>
  </si>
  <si>
    <t>Backend Development intern</t>
  </si>
  <si>
    <t>$5833-$9000 /mon</t>
  </si>
  <si>
    <t>1. Bachelor’s Degree in Computer Science or equivalent work experience
2. Strong knowledge of C and C++ programming languages
3. Solid knowledge of network programming</t>
  </si>
  <si>
    <t>AcreTrader</t>
  </si>
  <si>
    <t>Agriculture, AgTech</t>
  </si>
  <si>
    <t>1. Ability to communicate effectively with stakeholders
2. Responsible, accurate, persistent, and thorough approach to work (if we miss a bug or forget to check a test case a user may not continue to interact with our platform)
3. Openness to learning and sharing knowledge
...</t>
  </si>
  <si>
    <t>Computer Engineering Co-Op (Spring '25 Semester)</t>
  </si>
  <si>
    <t>Piovan</t>
  </si>
  <si>
    <t>Energy Efficiency</t>
  </si>
  <si>
    <t>Cranberry, PA</t>
  </si>
  <si>
    <t>1. Currently enrolled in a Bachelor's or Master's degree program in Computer Engineering or related field
2. Available to work full-time (40 hours/week) during the specified Co-Op rotation dates
3. Knowledge of software development and programming languages
...</t>
  </si>
  <si>
    <t>Software Engineering Co-op</t>
  </si>
  <si>
    <t>Diversified Automation</t>
  </si>
  <si>
    <t>Freight Service, Industrial Automation</t>
  </si>
  <si>
    <t>1. Enrolled in an accredited university pursuing a degree in electrical or computer engineering.
2. Proficiency in PLC and HMI software or willingness to learn.
3. Strong analytical and problem-solving skills.
...</t>
  </si>
  <si>
    <t>US-OR-Portland (PacStar-Parvus)</t>
  </si>
  <si>
    <t>Intern, Software Engineer</t>
  </si>
  <si>
    <t>Knorr Brake Company</t>
  </si>
  <si>
    <t>Heating  Ventilation  and Air Conditioning (HVAC), Transportation</t>
  </si>
  <si>
    <t>Westminster, MD</t>
  </si>
  <si>
    <t>1. Scripting (e.g. Python), C/C++
2. Debugging
3. Familiar with software requirements and design
...</t>
  </si>
  <si>
    <t>Quality Assurance (QA) Engineer for Browser-based Video Surveillance System</t>
  </si>
  <si>
    <t>IPConfigure</t>
  </si>
  <si>
    <t>Security, Software</t>
  </si>
  <si>
    <t>$15-$15 /h</t>
  </si>
  <si>
    <t>1. Pursuing Bachelor's degree in Computer Science, Engineering, or a related field.
2. Understanding of software testing principles and methodologies, including manual testing techniques and test case design.
3. Ability to execute test cases, report defects, and assist in regression testing activities under the guidance of senior team members.
...</t>
  </si>
  <si>
    <t>Quality Assurance (QA) Intern for Browser-based Video Surveillance System</t>
  </si>
  <si>
    <t>1. Pursuing Bachelor's degree in Computer Science, Engineering, or a related field
2. Understanding of software testing principles and methodologies, including manual testing techniques and test case design
3. Ability to execute test cases, report defects, and assist in regression testing activities under the guidance of senior team members
...</t>
  </si>
  <si>
    <t>ETIC, Fullstack Intern</t>
  </si>
  <si>
    <t>Confidential</t>
  </si>
  <si>
    <t>Business Development, Consulting</t>
  </si>
  <si>
    <t>Cairo</t>
  </si>
  <si>
    <t>1. Currently pursuing a Bachelor's degree in Computer Science/ Computer Engineering/ Media Engineering / ITI or related fields.
2. Fresh graduates/ Graduates up to 1 year of experience are welcome to apply.
3. Technical development background, programming skills (example: .net / java ..)
...</t>
  </si>
  <si>
    <t>Software Engineer Intern - AI/ML</t>
  </si>
  <si>
    <t>Stealth Startup</t>
  </si>
  <si>
    <t>Digital Marketing, Information Technology</t>
  </si>
  <si>
    <t>$35-$40 /h</t>
  </si>
  <si>
    <t>1. Currently pursuing a bachelor's, master's, or Phd in Computer Science or a related field.
2. Experience in programming with languages like C++, Go, Python, or Java.
3. Excellent and creative problem-solving skills.
...</t>
  </si>
  <si>
    <t>Software Engineering Internship for Women+</t>
  </si>
  <si>
    <t>PEAK6 InsurTech</t>
  </si>
  <si>
    <t>1. A graduation date between December 2025 – June 2026
2. Availability to relocate to Chicago for the internship (between June and August)
3. Authorization to work in the US, now and in the future
...</t>
  </si>
  <si>
    <t>Peak 6</t>
  </si>
  <si>
    <t>Financial Services, Information Technology</t>
  </si>
  <si>
    <t>ARCHITECTURAL SIMULATOR – (Intern)</t>
  </si>
  <si>
    <t>Esperanto Technologies</t>
  </si>
  <si>
    <t>Artificial Intelligence (AI), Computer</t>
  </si>
  <si>
    <t>Mountain View, California, United States</t>
  </si>
  <si>
    <t>1. Worked on at least one CPU/SoC simulator written in C++ and/or Rust
2. Understanding of computer architecture
3. Detailed understanding for one of the following areas: execution pipelines, memory systems or network on chip interconnects</t>
  </si>
  <si>
    <t>软件开发实习生(Java/Linux)</t>
  </si>
  <si>
    <t>Calix</t>
  </si>
  <si>
    <t>Analytics, Information Technology</t>
  </si>
  <si>
    <t>Nanjing</t>
  </si>
  <si>
    <t>1. Graduate in 2025 or 2026, bachelor's or master’s degree
2. Major in Computer Science, Software Engineering, or related areas
3. Available for 3-5 days per week, lasting for at least 3 months, 6 months is preferred
...</t>
  </si>
  <si>
    <t>Software Developer Co-Op - Fall 2024</t>
  </si>
  <si>
    <t>Trend Micro</t>
  </si>
  <si>
    <t>Cloud Security, Cyber Security</t>
  </si>
  <si>
    <t>Ottawa</t>
  </si>
  <si>
    <t>1. Exceptional development skills primarily in Java
2. Expertise in C and C++ would be an asset
3. Collaborating effectively with various groups
...</t>
  </si>
  <si>
    <t>Northrop Grumman (DoD SkillBridge) – Software Development Analyst</t>
  </si>
  <si>
    <t>Northrop Grumman Corporation</t>
  </si>
  <si>
    <t>Aerospace, Data Integration</t>
  </si>
  <si>
    <t>United States-Virginia-Unknown City</t>
  </si>
  <si>
    <t>$79300-$188900 /yr</t>
  </si>
  <si>
    <t>1. Associate’s degree and 4 years of experience OR Bachelor's degree and 2 years of experience OR Master's degree and 0 years experience; 6 years of experience may be considered in lieu of completed degree
2. Must have experience with Microsoft Office Products (PowerPoint, Word, Excel, Project) and Agile principles including use of associated tools such as Jira and Confluence
3. Must have experience using of Project Management principles
...</t>
  </si>
  <si>
    <t>Software Engineer - Contract</t>
  </si>
  <si>
    <t>Kumo.AI</t>
  </si>
  <si>
    <t>1. Strong understanding of shell scripts and Linux command lines.
2. Relevant experience with Jenkins, Docker, Github workflows, AWS EC2 auto-scaling.
3. Proficient in Java, Python.
...</t>
  </si>
  <si>
    <t>ALTERNANCE - Ingénieur en Réalité Virtuelle, Modélisation et Animation 3D - F/H</t>
  </si>
  <si>
    <t>Thales Group</t>
  </si>
  <si>
    <t>Aerospace, Cyber Security</t>
  </si>
  <si>
    <t>Toulouse</t>
  </si>
  <si>
    <t>1. En formation de niveau BAC+4/5 à dominante informatique et réalité virtuelle
2. Passionné par la réalité virtuelle et les technologies immersives
3. Connaissances générales en modélisation 3D, animation et rendu (logiciels: Blender, Keyshot...)
...</t>
  </si>
  <si>
    <t>IT Internship</t>
  </si>
  <si>
    <t>Kraft Heinz</t>
  </si>
  <si>
    <t>Food and Beverage, Food Processing</t>
  </si>
  <si>
    <t>Amsterdam</t>
  </si>
  <si>
    <t>euro625-euro625 /mon</t>
  </si>
  <si>
    <t>1. You are enrolled at a European university during at least 50% of the duration of the internship.
2. You are nearing the end of your Bachelor's degree or pursuing your Master’s degree in Accounting/ Finance/ Business Management/Management Engineering or a related field preferred.
3. You have good knowledge of the English language, both written and spoken
...</t>
  </si>
  <si>
    <t>Internship | IT</t>
  </si>
  <si>
    <t>Vopak</t>
  </si>
  <si>
    <t>Oil and Gas</t>
  </si>
  <si>
    <t>Rotterdam</t>
  </si>
  <si>
    <t>€500-€500 /mon</t>
  </si>
  <si>
    <t>1. Currently enrolled in a college (HBO) education program in IT / Legal / Compliance, and at the end phase of your studies
2. Currently enrolled in Dutch university and remain enrolled till the end of your internship period
3. Available part- or full-time for at least 4 months
...</t>
  </si>
  <si>
    <t>IT Interns</t>
  </si>
  <si>
    <t>Capital Group</t>
  </si>
  <si>
    <t>Geneva</t>
  </si>
  <si>
    <t>1. BS in Computer Science or related field, or an equivalent in relevant work experience
2. Experience in software development, including experience with at least one modern language such as Python, Java, Ruby
3. Experience in cloud-first design (Serverless databases and functions, dynamic auto-scaling, container orchestration, etc.)
...</t>
  </si>
  <si>
    <t>Software Development Engineer in Test</t>
  </si>
  <si>
    <t>TriCom Technical Services</t>
  </si>
  <si>
    <t>Digital Marketing, Professional Networking</t>
  </si>
  <si>
    <t>Lenexa, KS</t>
  </si>
  <si>
    <t>1. New graduate looking to gain experience in test automation, test tooling, and infrastructure or development deployment operations.
2. School experience in Java, C#, or another Object Oriented Programming language.</t>
  </si>
  <si>
    <t>Multimedia codec development intern</t>
  </si>
  <si>
    <t>$8000-$10000 /mon</t>
  </si>
  <si>
    <t>1. In a master/PhD program in computer science, electrical engineering, math, statistics, or related fields
2. Related working experience/course work in image/video compression or image processing
3. Interest and experience in video compression and video coding standards
...</t>
  </si>
  <si>
    <t>Software Engineer - Internship</t>
  </si>
  <si>
    <t>1. Strong understanding of shell scripts and Linux command lines.
2. Relevant experience with Jenkins, Docker, Github workflows, AWS EC2 auto-scaling.
3. Proficient in Java, Python.</t>
  </si>
  <si>
    <t>Algorithmic Trader Intern</t>
  </si>
  <si>
    <t>TransMarket Group LLC</t>
  </si>
  <si>
    <t>Banking, Financial Services</t>
  </si>
  <si>
    <t>1. Pursuing a Bachelor's, Master's, or Doctorate in a technical field or pertinent industry experience such as but not limited to STEM or Finance with a graduation date between December 2024 and Spring 2025
2. Required courses: Data structures, Probability, Statistics and Linear Algebra
3. Minimum major GPA of 3.5/4 or equivalent scale
...</t>
  </si>
  <si>
    <t>Apprenti Développeur / intégrateur PLM - Transformation Digitale F/H</t>
  </si>
  <si>
    <t>Accenture</t>
  </si>
  <si>
    <t>Business Information Systems, Construction</t>
  </si>
  <si>
    <t>1. Être étudiant en BAC+4/5 et à la recherche d'un contrat d’apprentissage ou de professionnalisation à partir de septembre 2024 (il est important de préciser également la durée du contrat et le rythme d’alternance au moment de votre candidature)
2. Faire preuve d’intérêt pour les systèmes d’informations et les nouvelles technologies
3. Apprécier travailler en équipe, dans un contexte international
...</t>
  </si>
  <si>
    <t>Management Leadership for Tomorrow</t>
  </si>
  <si>
    <t>Advice, Association</t>
  </si>
  <si>
    <t>Bethesda, MD (Hybrid)</t>
  </si>
  <si>
    <t>1. Currently a junior-level undergraduate and above or graduate student
2. Must be in the DC, MD, VA area and be able to commute two days per week
3. Experience working independently with minimal supervision and guidance
...</t>
  </si>
  <si>
    <t>Thesis Internship SAP</t>
  </si>
  <si>
    <t>PwC</t>
  </si>
  <si>
    <t>Accounting, Business Development</t>
  </si>
  <si>
    <t>1. Following a master's degree in the field of finance, supply chain, information management, Business or technology (e.g., Industrial Engineering &amp; Management; Information Systems)
2. Affection for technology and interest in the latest developments
3. Ambitious team player with strong communication skills
...</t>
  </si>
  <si>
    <t>New Grad Backend Engineer Contract Position</t>
  </si>
  <si>
    <t>Nightfall AI</t>
  </si>
  <si>
    <t>1. Current/recent BS or MS in Computer Science or Computer Engineering with a Graduation Year between Dec 2023 and June 2024
2. 0-2 years of full-time working experience
3. 2+ Internships / Co-ops
...</t>
  </si>
  <si>
    <t>University of Utah</t>
  </si>
  <si>
    <t>1. Current University of Utah student</t>
  </si>
  <si>
    <t>Full-stack developer internship in Malaga, Spain</t>
  </si>
  <si>
    <t>Spain-Internship</t>
  </si>
  <si>
    <t>Education</t>
  </si>
  <si>
    <t>€300-€500 /mon</t>
  </si>
  <si>
    <t>1. IT students
2. Knowledge of the technologies mentioned (at least some of them)
3. Minimum 6 months
...</t>
  </si>
  <si>
    <t>Remote - Full-stack developer internship in Malaga, Spain</t>
  </si>
  <si>
    <t>Quality Assurance Intern - Caldwell, ID</t>
  </si>
  <si>
    <t>J.R. Simplot</t>
  </si>
  <si>
    <t>Food and Beverage</t>
  </si>
  <si>
    <t>Caldwell, ID</t>
  </si>
  <si>
    <t>1. High school diploma or general education degree (GED)</t>
  </si>
  <si>
    <t>SWE Intern</t>
  </si>
  <si>
    <t>Leafpress</t>
  </si>
  <si>
    <t>Data Center, Database</t>
  </si>
  <si>
    <t>1. Experience in Python programming
2. Experience in web scraping
3. Attention to detail
...</t>
  </si>
  <si>
    <t>Teledyne FLIR</t>
  </si>
  <si>
    <t>US - Lincoln, NE</t>
  </si>
  <si>
    <t>Engineering Intern, Middleware</t>
  </si>
  <si>
    <t>$28-$32 /h</t>
  </si>
  <si>
    <t>1. Degree in Computer Science, Robotics, Physics or related fields
2. Advanced coding skills in C++ (at least starting at C++11)
3. Advanced knowledge in general software engineering (git, Linux, build systems, design patterns, automated testing, debugging)
...</t>
  </si>
  <si>
    <t>Unpaid Cybersecurity Research Intern (Python Expert)</t>
  </si>
  <si>
    <t>Cyber Security Works</t>
  </si>
  <si>
    <t>1. Bachelor's degree in Computer Science, Cybersecurity, or a related field
2. Enrolled in a Master’s program focused on Computer Science, preferably in cyber security
3. Excellent Python programming and coding experience
...</t>
  </si>
  <si>
    <t>QA Student Intern</t>
  </si>
  <si>
    <t>1. High school diploma or equivalent
2. Currently enrolled as a student at the University of Utah
3. Ability to work up to 19 hours per week
...</t>
  </si>
  <si>
    <t>Front-end developer internship in Malaga, Spain</t>
  </si>
  <si>
    <t>1. IT students
2. Knowledge of the technologies mentioned
3. Minimum 6 months
...</t>
  </si>
  <si>
    <t>1. Bachelor degree
2. Master degree student in Computer science or Embedded SW</t>
  </si>
  <si>
    <t>ERP Intern (Private sector) | Milano [ADV]</t>
  </si>
  <si>
    <t>Milan</t>
  </si>
  <si>
    <t>1. Hai sempre sognato di fare la differenza e di aiutare le aziende a disegnare il loro futuro
2. Ti stai per laureare o hai una laurea in Economia, Ingegneria Informatica, Scienze dell’Informazione, Ingegneria gestionale, Fisica e Matematica
3. Parli e scrivi in inglese fluentemente
...</t>
  </si>
  <si>
    <t>Back-end developer internship in Malaga, Spain</t>
  </si>
  <si>
    <t>1. Ph.D. in Computer Science or a related field
2. Strong background in artificial intelligence, algorithm design, game theory, machine learning, and data science
3. Motivated to work on research involving the theory and practice of artificial intelligence
...</t>
  </si>
  <si>
    <t>INTERN-IS Applications-Web Systems</t>
  </si>
  <si>
    <t>Snap-on</t>
  </si>
  <si>
    <t>Richfield, OH</t>
  </si>
  <si>
    <t>1. Must be enrolled at a college/university with a major in Information Technology/Computer Science and maintain a 2.5/4.0 average.
2. Working knowledge of Windows Operating Systems (Windows 10 and 11)
3. Working knowledge of Microsoft Office 365
...</t>
  </si>
  <si>
    <t>ALTERNANCE -  Technicien support applicatif informatique F/H</t>
  </si>
  <si>
    <t>Orléans</t>
  </si>
  <si>
    <t>1. Vous intégrez un master ou un diplôme d'ingénieur et vous recherchez une alternance sur deux ans
2. Vous avez idéalement une première expérience en service client (stage, alternance…)
3. Vous êtes parfaitement à l'aise avec les outils informatiques
...</t>
  </si>
  <si>
    <t>IT Governance INTERNSHIP - Milano - [CNS]</t>
  </si>
  <si>
    <t>1. Laurea Magistrale in Ingegneria Gestionale, Informatica, discipline economiche e Management
2. Capacità organizzative, di teamwork e predisposizione ai rapporti interpersonali
3. Ottima conoscenza della lingua inglese, scritta e parlata
...</t>
  </si>
  <si>
    <t>Software Engineer Internship: Public Health Systems - Bachelor's Degree</t>
  </si>
  <si>
    <t>Oak Ridge Institute for Science and Education</t>
  </si>
  <si>
    <t>Portsmouth, VA</t>
  </si>
  <si>
    <t>1. Current student pursuing a Bachelor's degree or post Bachelor's degree
2. Knowledge of languages and practices needed to develop web pages and to convert user-developed content into workable Web pages, create easily navigable Web pages and basic scripts or code, evaluate code and repair errors, and builds or support Web-enabled database applications
3. Ability to create Internet and desktop-based applications that enhance user-developed content and meet business and technical requirements and deliver e-commerce and e-Government products and services to internal and external audiences
...</t>
  </si>
  <si>
    <t>Software Engineering - Undergraduate - U.S. Navy</t>
  </si>
  <si>
    <t>1. Undergraduate student in an accredited computer science program (preferably third or fourth year)
2. GPA 3.3+
3. Ability to collaborate in various environments (hands on, laboratory, computer based)
...</t>
  </si>
  <si>
    <t>Software Development, Testing and Assessment Fellowship - Bachelor's/Master's level</t>
  </si>
  <si>
    <t>$5300-$5800 /mon</t>
  </si>
  <si>
    <t>1. Earned bachelor's or master's degree in computer, Information, Data Sciences, Computer and Systems Engineering, Operations Research or related discipline within the past 60 months, or expected to earn a master's degree in one of these disciplines by May 1, 2024
2. Minimum GPA of 3.0
3. Candidate must be at least 21 years of age at the time of application
...</t>
  </si>
  <si>
    <t>Algorithm Development - Undergraduate Summer Internship</t>
  </si>
  <si>
    <t>Natick, MA</t>
  </si>
  <si>
    <t>1. Qualified candidates must be a current student pursuing a Bachelor's degree in a biomedical or computational science field (such as biomedical engineering, or computer science).
2. Citizenship: U.S. Citizen Only
3. Degree: Currently pursuing a Bachelor's Degree.
...</t>
  </si>
  <si>
    <t>Praktikant Mobile Banking und Web (w/m/d)</t>
  </si>
  <si>
    <t>ING Group</t>
  </si>
  <si>
    <t>Frankfurt</t>
  </si>
  <si>
    <t>1. Immatrikuliert im Bachelor / Master in Wirtschaftswissenschaften, Medienwissenschaften o. Ä. oder im Gap Year zwischen Bachelor- und Master-Studium
2. Organisationstalent, selbstständige Arbeitsweise und Spaß an Teamwork
3. Fit in MS Office, v. a. in PowerPoint und Excel
...</t>
  </si>
  <si>
    <t>Ground Software Engineering - Fall 2024 Co-Op</t>
  </si>
  <si>
    <t>York Space Systems</t>
  </si>
  <si>
    <t>Aerospace, Manufacturing</t>
  </si>
  <si>
    <t>Greenwood Village, CO</t>
  </si>
  <si>
    <t>$22-$26 /h</t>
  </si>
  <si>
    <t>1. Enrollment in a 4-year degree program at an accredited university studying engineering
2. Must have completed at least Freshman year of the degree program
3. Ability to commit to a 40-hour work-week for the duration of the Co-Op
...</t>
  </si>
  <si>
    <t>Full Year Software Development Co-Op (Indefinite US Work Authorization Required)</t>
  </si>
  <si>
    <t>Troy, OH</t>
  </si>
  <si>
    <t>1. Pursuing a Computer Science, MIS or similar degree
2. Good analytical and communication skills
3. Available to work part-time year-round for at least a year
...</t>
  </si>
  <si>
    <t>Metadata Specialist Internship, Russian/Ukrainian/Latvian Language</t>
  </si>
  <si>
    <t>lds.org</t>
  </si>
  <si>
    <t>Non Profit, Religion</t>
  </si>
  <si>
    <t>1. Recently completed or currently working toward a professional degree in information sciences, family history/genealogy, linguistics, history, or a related field.
2. Must read, write, and/or speak Russian. Will consider Ukrainian or Latvian. Prefer Russian/Ukrainian or Russian/Latvian.
3. Familiarity with historical records and reading old handwriting.
...</t>
  </si>
  <si>
    <t>Data Management and Analysis Co-op/Intern- Summer 2025</t>
  </si>
  <si>
    <t>American Honda Motor Company</t>
  </si>
  <si>
    <t>Automotive, Customer Service</t>
  </si>
  <si>
    <t>Marysville, OH</t>
  </si>
  <si>
    <t>$20.45-$27.42 /h</t>
  </si>
  <si>
    <t>1. Basic Business coursework
2. Minimum 2.5 Cumulative GPA or higher (You will be required to provide your current transcript)
3. Class status- Sophomore (by credit hour) or above
...</t>
  </si>
  <si>
    <t>Intern Data Science AI&amp;I (BS degree level) On-site</t>
  </si>
  <si>
    <t>Mayo Clinic</t>
  </si>
  <si>
    <t>$18.17-$18.17 /h</t>
  </si>
  <si>
    <t>1. Exceptional skills in Python</t>
  </si>
  <si>
    <t>China Research Internship FALL 2024</t>
  </si>
  <si>
    <t>Foundation for Defense of Democracies</t>
  </si>
  <si>
    <t>Education, Non Profit</t>
  </si>
  <si>
    <t>1. Must have at least a 3.2 GPA (on a 4.0 scale).
2. Should have a relevant course of study and have completed coursework in any of the following fields: International Relations, Security Studies, History, Communications, Journalism, International Economics, Political Science, Computer science, and/or a relevant STEM field of study.
3. Interns should have knowledge of Microsoft Office programs, including Word, as well as basic Excel skills.
...</t>
  </si>
  <si>
    <t>Business Analytics Internship</t>
  </si>
  <si>
    <t>CONNECTMETA.AI</t>
  </si>
  <si>
    <t>1. Currently pursuing any degree showing commitment to continuous learning
2. Exceptional written and verbal communication skills
3. Ability to work independently and as part of a team
...</t>
  </si>
  <si>
    <t>Quant Research Intern - Summer 2025</t>
  </si>
  <si>
    <t>1. Current university student graduating between September 2025 – July 2026 that is pursuing a Masters or PhD degree in Mathematics, Engineering, Statistics, Physics, Computer Science, or another highly quantitative field
2. Superior numerical, analytical, and critical thinking skills
3. Has a passion for research and solving complex problems
...</t>
  </si>
  <si>
    <t>Quantitative Researcher - Internship [2025 Summer]</t>
  </si>
  <si>
    <t>Two Sigma</t>
  </si>
  <si>
    <t>Big Data, Machine Learning</t>
  </si>
  <si>
    <t>$3500-$4200 /wk</t>
  </si>
  <si>
    <t>1. Are pursuing a degree in a technical or quantitative disciplines, like statistics, mathematics, physics, electrical engineering, or computer science with approximately one year remaining in your programs (all levels welcome, from bachelor’s to doctorate)
2. Demonstrate intermediate skills in at least one programming language (like C, C++, Java, or Python)
3. Performed an in-depth research project, examining real-world data
...</t>
  </si>
  <si>
    <t>Personalized Internet Assessor - Taiwan (Chinese Traditional Language)</t>
  </si>
  <si>
    <t>TELUS International</t>
  </si>
  <si>
    <t>Analytics, Consulting</t>
  </si>
  <si>
    <t>$8.76-$not specified /h</t>
  </si>
  <si>
    <t>1. Proficiency in both written and verbal English &amp; Chinese traditional.
2. Residency in Taiwan for the past 5 consecutive years.
3. Ownership and regular use of a smartphone (Android V4.2 or higher or iPhone running iOS version 14.0 or higher) and a desktop/laptop with internet connection at your expense.
...</t>
  </si>
  <si>
    <t>Business Analytics Training &amp; Internship</t>
  </si>
  <si>
    <t>Research Intern</t>
  </si>
  <si>
    <t>States United Democracy Center</t>
  </si>
  <si>
    <t>Government, Non Profit</t>
  </si>
  <si>
    <t>$17-$17 /h</t>
  </si>
  <si>
    <t>1. Must be enrolled in a degree program at an accredited college/university with an interest in political science or related field.
2. Available to work 15-20 hours a week during the fall.
3. Demonstrated passion for States United’s issues and the following skills and competencies:
...</t>
  </si>
  <si>
    <t>Post Doctoral Fellow</t>
  </si>
  <si>
    <t>Morehouse School of Medicine</t>
  </si>
  <si>
    <t>Alumni, Education</t>
  </si>
  <si>
    <t>Atlanta Metro</t>
  </si>
  <si>
    <t>1. A Ph.D. degree in life or biomedical sciences, or a related discipline
2. Determined and self-motivated scientist
3. Training in molecular biology, cancer biology, molecular pathways
...</t>
  </si>
  <si>
    <t>Trainee, Facilities Business &amp; Data Analysis - Fall 2024</t>
  </si>
  <si>
    <t>$27-$27 /h</t>
  </si>
  <si>
    <t>1. Proficiency in Data Analysis and Reporting
2. Proficiency in SQL, Tableau, Python, Advanced Excel
3. Excellent written and verbal communication skills.
...</t>
  </si>
  <si>
    <t>Intern, Facilities Business &amp; Data Analysis - Fall 2024</t>
  </si>
  <si>
    <t>Data Analyst Internship - Data Science &amp; Gen-AI Team</t>
  </si>
  <si>
    <t>Peerlogic</t>
  </si>
  <si>
    <t>Analytics, B2B</t>
  </si>
  <si>
    <t>1. Pursuing or recently completed a degree in Data Science, Computer Science, Statistics, Mathematics, or related field, with a strong academic record.
2. Demonstrated experience with data analysis and statistical tools (e.g., Python, R), and a keen interest in AI and machine learning.
3. A proactive learner with a knack for problem-solving and a passion for healthcare innovation.
...</t>
  </si>
  <si>
    <t>Analyst Intern</t>
  </si>
  <si>
    <t>Puffco</t>
  </si>
  <si>
    <t>Cannabis, Consumer</t>
  </si>
  <si>
    <t>1. Previous experience working in eCommerce and DTC
2. Bachelor's degree required
3. A self-starter who is motivated and able to work independently</t>
  </si>
  <si>
    <t>Systems &amp; Data Analytics Intern, US TV Production – Fall 2024</t>
  </si>
  <si>
    <t>$22-$29 /h</t>
  </si>
  <si>
    <t>1. Bachelor's or Master's degree in technical or STEM major
2. Knowledge of Airtable or other no-code applications
3. Knowledge of relational data modeling; strong skills in SQL, Tableau
...</t>
  </si>
  <si>
    <t>Continuous Improvement Analyst Intern</t>
  </si>
  <si>
    <t>Johnson Controls</t>
  </si>
  <si>
    <t>Industrial Engineering, Physical Security</t>
  </si>
  <si>
    <t>Baltimore-Maryland-United States of America</t>
  </si>
  <si>
    <t>1. Master’s degree in industrial engineering, Business Analytics, Computer Science or a related field.
2. Strong analytical skills and attention to detail, with proficiency in data analysis and visualization tools such as PowerBI.
3. Experience in developing user-friendly applications using Power Apps.
...</t>
  </si>
  <si>
    <t>Research Assistant (Student)</t>
  </si>
  <si>
    <t>American University</t>
  </si>
  <si>
    <t>$17.50-$18 /h</t>
  </si>
  <si>
    <t>1. Knowledge of Stata.
2. Completion of undergraduate quantitative research methods course.</t>
  </si>
  <si>
    <t>Digital Media Intern (Data Analytics Division)</t>
  </si>
  <si>
    <t>DELVE</t>
  </si>
  <si>
    <t>Advertising, Analytics</t>
  </si>
  <si>
    <t>Louisville, CO</t>
  </si>
  <si>
    <t>1. Recent college graduate (2023/2024)
2. Detail-oriented, analytical, and a critical thinker
3. Exceptional verbal and written communication skills
...</t>
  </si>
  <si>
    <t>Supply Chain Data Analyst Intern (Fall 2024)</t>
  </si>
  <si>
    <t>ACBL</t>
  </si>
  <si>
    <t>Freight Service, Industrial</t>
  </si>
  <si>
    <t>Jeffersonville, KY</t>
  </si>
  <si>
    <t>1. HS Diploma or GED is required.
2. Current enrollment in college coursework at a Junior or Senior level.
3. Proficient in using MS office software
...</t>
  </si>
  <si>
    <t>Data Analytics and Systems Intern (remote)</t>
  </si>
  <si>
    <t>International Rescue Committee</t>
  </si>
  <si>
    <t>1. Pursuing a graduate degree in Computer Science, Data Analytics, Information Systems or related field.
2. 0-1 years of full-time experience in computer science, data analytics, or related field.
3. Experience in data-gathering and analysis techniques.
...</t>
  </si>
  <si>
    <t>Data Analytics &amp; AI Intern</t>
  </si>
  <si>
    <t>Munich Re</t>
  </si>
  <si>
    <t>Finance, Insurance</t>
  </si>
  <si>
    <t>1. Bachelor’s degree in computer science, math or a related degree
2. Proficiency in technical data handling, e.g. writing SQL or Python scripts to manipulate data
3. Integrative personality, strong in building and maintaining relationships (internally and externally)
...</t>
  </si>
  <si>
    <t>Information Science Intern</t>
  </si>
  <si>
    <t>Meaden &amp; Moore</t>
  </si>
  <si>
    <t>1. Concentration of study should be within Data Science, Computer Science, Artificial Intelligence (AI), Information Technology, Statistics, Business Analytics, or related field.
2. Strong problem-solving and critical thinking skills.
3. Proficiency in data analysis tools and software (e.g., Excel, Python, R, SQL, Java).
...</t>
  </si>
  <si>
    <t>Data Analyst Intern</t>
  </si>
  <si>
    <t>1. Bachelor’s degree in Computer Science, Engineering, Information Systems, Mathematics, or related business degree or working towards degree
2. SQL experience
3. Ability to design and develop complete analytical solutions in Tableau, Power BI, SSRS, Excel, or Python
...</t>
  </si>
  <si>
    <t>Research Internship in Geospatial Information Systems (GIS) at PADLS New Bolton Center</t>
  </si>
  <si>
    <t>University of Pennsylvania</t>
  </si>
  <si>
    <t>Continuing Education, EdTech</t>
  </si>
  <si>
    <t>Kennett Square, PA</t>
  </si>
  <si>
    <t>1. Undergraduate degree, Bachelor of Science, Bachelor of Arts, or equivalent
2. Demonstrated interest and experience using GIS software including ESRI products
3. Applicants must be a citizen of the United State of America, Canada or Mexico or have permanent residency status in the USA
...</t>
  </si>
  <si>
    <t>CNN Polling and Data Analytics Intern: DC - Fall 2024</t>
  </si>
  <si>
    <t>Warner Bros. Discovery</t>
  </si>
  <si>
    <t>$19-$25 /h</t>
  </si>
  <si>
    <t>1. Deep interest in politics and a basic understanding of survey research a must.
2. Strong writing skills preferred, good communication skills a must.
3. Studying journalism, political science, data science, survey methodology, statistics or another related field.
...</t>
  </si>
  <si>
    <t>Self Help - ITCS Enterprise Data Services BI Developer Student Worker</t>
  </si>
  <si>
    <t>East Carolina University</t>
  </si>
  <si>
    <t>NC</t>
  </si>
  <si>
    <t>1. Providing analysis and solution development for East Carolina University’s Business Intelligence Center (ecuBIC) initiative.
2. Performing highly complex analytical software development activities associated with the design, creation, and implementation of new business intelligence solutions.
3. Developing and/or enhancing complex business intelligence solutions.
...</t>
  </si>
  <si>
    <t>Summer 2024 Interns Only – Senior Analyst, Intern to Full Time SSC Associate</t>
  </si>
  <si>
    <t>The Home Depot</t>
  </si>
  <si>
    <t>E-Commerce, Home and Garden</t>
  </si>
  <si>
    <t>STORE SUPPORT CENTER, ATLANTA - 9090</t>
  </si>
  <si>
    <t>$70000-$150000 /yr</t>
  </si>
  <si>
    <t>1. Interned at The Home Depot during Summer 2024
2. Considering returning as a full-time associate upon graduation</t>
  </si>
  <si>
    <t>Summer 2024 Interns Only – Analyst, Intern to Full Time SSC Associate</t>
  </si>
  <si>
    <t>$50000-$130000 /yr</t>
  </si>
  <si>
    <t>1. Interned at The Home Depot in any business area except Cybersecurity and Software Engineering during the Summer of 2024
2. Considering returning as a full-time associate upon graduation</t>
  </si>
  <si>
    <t>Data Collection Project  Emerald- San Diego</t>
  </si>
  <si>
    <t>TransPerfect</t>
  </si>
  <si>
    <t>Language Learning, Service Industry</t>
  </si>
  <si>
    <t>$100-$100 one-time</t>
  </si>
  <si>
    <t>1. Aged between 15-64
2. Ability to attend the study location in San Diego</t>
  </si>
  <si>
    <t>El Cajon, CA</t>
  </si>
  <si>
    <t>Business Data Analytics Specialist Co-Op - 2024</t>
  </si>
  <si>
    <t>Nexteer Automotive</t>
  </si>
  <si>
    <t>Saginaw, MI</t>
  </si>
  <si>
    <t>1. Candidate must be attending a 2-year college or 4-year university local to Saginaw
2. Candidate must be able to work onsite, in Saginaw, MI
3. Candidate must be pursuing a Bachelors in Finance, Business, Supply Chain Management, Computer Science, or related field
...</t>
  </si>
  <si>
    <t>Part-time Intern (AQI Data Registry) - Schaumburg, IL - Flexible Hybrid Schedule</t>
  </si>
  <si>
    <t>American Society of Anesthesiologists</t>
  </si>
  <si>
    <t>Education, Health Care</t>
  </si>
  <si>
    <t>Schaumburg, IL</t>
  </si>
  <si>
    <t>1. Students must be enrolled in a college/university. Students pursuing a degree related to science (biostats, data informatics, epidemiology, etc.) required.
2. Experience with statistical programming language required.
3. Familiarity with clinical vocabulary and/or healthcare-related work experience is preferred.
...</t>
  </si>
  <si>
    <t>Digital Solutions Intern</t>
  </si>
  <si>
    <t>KBR</t>
  </si>
  <si>
    <t>Consulting, Cyber Security</t>
  </si>
  <si>
    <t>1. college students currently enrolled in an accredited university
2. pursuing a degree in science and engineering</t>
  </si>
  <si>
    <t>Intern Associate Business Data Scientist</t>
  </si>
  <si>
    <t>Kinaxis</t>
  </si>
  <si>
    <t>Analytics, Automotive</t>
  </si>
  <si>
    <t>1. Ability to understand customers business’ and supply chain needs and leverage it to effective design solutions to drive business value
2. Ability to effectively communicate with executives and business stakeholders to shape and influence decision making
3. Conceptual knowledge of AI/ML techniques and eager to learn and adopt new approaches and methodologies
...</t>
  </si>
  <si>
    <t>Intelligence Tracking and Communications Intern (Day Shift) #24-118</t>
  </si>
  <si>
    <t>State of South Carolina</t>
  </si>
  <si>
    <t>Government</t>
  </si>
  <si>
    <t>Columbia, SC</t>
  </si>
  <si>
    <t>1. A high school diploma and relevant program experience.
2. A bachelor's degree may be substituted for the required program experience.</t>
  </si>
  <si>
    <t>Scholarly Data and Innovation Assistant, TEMP</t>
  </si>
  <si>
    <t>$7.25-$18 /h</t>
  </si>
  <si>
    <t>1. Bachelor’s or Associate’s Degree from an accredited undergraduate institution
2. Strong attention to detail and organizational skill
3. Excellent written and oral communication skills</t>
  </si>
  <si>
    <t>Quantitative Developer Internship: Summer 2025</t>
  </si>
  <si>
    <t>1. Minimum of a Bachelor's degree in Computer Science, Mathematics, or closely related discipline (Bachelors, MS, PhD)
2. Experience developing performance sensitive code
3. Strong software development skills in C#, C++, or Python</t>
  </si>
  <si>
    <t>Postdoctoral Fellow</t>
  </si>
  <si>
    <t>Medical College of Wisconsin</t>
  </si>
  <si>
    <t>1. PhD in a scientific field or MD</t>
  </si>
  <si>
    <t>Houston, Texas</t>
  </si>
  <si>
    <t>1. College students currently enrolled in an accredited university
2. Pursuing a degree in science and engineering</t>
  </si>
  <si>
    <t>Quantitative Researcher Intern</t>
  </si>
  <si>
    <t>Point72</t>
  </si>
  <si>
    <t>Asset Management, Finance</t>
  </si>
  <si>
    <t>$120000-$180000 /yr</t>
  </si>
  <si>
    <t>1. Masters or PhD candidates in machine learning, computer science, finance, mathematics, or other quantitative disciplines.
2. Demonstrated ability to conduct independent research utilizing machine learning over large, possibly noisy, data sets.
3. Strong analytical and quantitative skills, and detail-oriented mindset.
...</t>
  </si>
  <si>
    <t>Data Analytics Intern</t>
  </si>
  <si>
    <t>Osprey Management</t>
  </si>
  <si>
    <t>Product Design, Real Estate</t>
  </si>
  <si>
    <t>$15-$20 /h</t>
  </si>
  <si>
    <t>1. Currently pursuing a degree in Data Science, Statistics, Economics, Finance, Real Estate, or a related field.
2. NOT A REMOTE ROLE - In-Person Only - Must reside or currently enrolled in a Las Vegas, NV school
3. Extremely efficient with Microsoft 365 including Excel
...</t>
  </si>
  <si>
    <t>Applied Scientist Internship - 3D Vision</t>
  </si>
  <si>
    <t>Flawless</t>
  </si>
  <si>
    <t>Artificial Intelligence (AI), Machine Learning</t>
  </si>
  <si>
    <t>Santa Monica, CA 90401</t>
  </si>
  <si>
    <t>$6200-$7000 /mon</t>
  </si>
  <si>
    <t>1. On going MS or Ph.D student in Visual Computing, Computer Vision, Computer Graphics, 3D Vision, or related field
2. Industry or research experience with deep learning and computer vision
3. Experience with Python
...</t>
  </si>
  <si>
    <t>Commodities Trading Summer Analyst Internship Program (Summer 2025 Internship)</t>
  </si>
  <si>
    <t>Castleton Commodities International</t>
  </si>
  <si>
    <t>1. Pursuing Bachelors in Mathematics, Engineering, Finance, Statistics, Business, Economics, Energy, Computer Science, Physics or a related field of study
2. Expected graduation date in Spring 2026
3. Intermediate analytical and technical skills in one or more of the following: R, Python, Matlab, C++, VBA, Excel—as well as SQL or other database exposure
...</t>
  </si>
  <si>
    <t>Business Intelligence (BI) Report Developer Fall Internship</t>
  </si>
  <si>
    <t>Xerox</t>
  </si>
  <si>
    <t>Digital Media, Hardware</t>
  </si>
  <si>
    <t>Rochester, New York Metropolitan Area</t>
  </si>
  <si>
    <t>1. Experience developing SQL queries for Online Transactional Processing (OLTP) databases
2. Ability to interpret and create Entity-Relationship (ER) diagrams
3. Understanding of relational database concepts
...</t>
  </si>
  <si>
    <t>Data Scientist Intern (Fall 2024)</t>
  </si>
  <si>
    <t>Chime</t>
  </si>
  <si>
    <t>$34-$49 /h</t>
  </si>
  <si>
    <t>1. Currently pursuing a Bachelor's or Master’s degree in Computer Science, Engineering, Mathematics, Statistics, or a related field.
2. A passion for learning and applying technology to solve real-world problems.
3. Proficient programming skills (Python preferred) for developing ML &amp; feature engineering systems, and intermediate SQL skills for wrangling data from various sources.
...</t>
  </si>
  <si>
    <t>Power Trading Analysts (full-time, internship or part-time)</t>
  </si>
  <si>
    <t>Greenwich Commodities LLC</t>
  </si>
  <si>
    <t>$20-$60 /h</t>
  </si>
  <si>
    <t>1. Undergraduate degree and 2 years’ work experience or an advanced degree in Electrical Engineering, Computer Science, Financial Engineering, Data Science or related STEM fields, with a strong background in modeling, research, and quantitative analysis.
2. Self-starter and collaborative, effective working in a small and dynamic team environment
3. Proficiency in Python</t>
  </si>
  <si>
    <t>Air</t>
  </si>
  <si>
    <t>Cloud Storage, Collaboration</t>
  </si>
  <si>
    <t>1. Junior/Senior in college or Bachelor's Degree
2. Strong analytics skills
3. Experience with Mode, Tableau or other similar BI tools
...</t>
  </si>
  <si>
    <t>Student Researcher</t>
  </si>
  <si>
    <t>UCLA Health</t>
  </si>
  <si>
    <t>1. Ability to work independently, with minimal supervision
2. Ability to follow procedure
3. Organizational abilities to follow through to completion assigned tasks
...</t>
  </si>
  <si>
    <t>(I) Technology Solutions Data Analyst Intern</t>
  </si>
  <si>
    <t>SXSW Pitch</t>
  </si>
  <si>
    <t>$12-$12 /h</t>
  </si>
  <si>
    <t>1. Currently enrolled in an accredited university or college and live in Texas.
2. Current enrollment in a program leading toward a BS in Mathematics, Economics, Computer Science, Information Management, or Statistics.
3. Key understandings of a data analyst or business data analyst role.
...</t>
  </si>
  <si>
    <t>Data Science Innovation Postdoctoral Fellow, Translational Bioinformatics</t>
  </si>
  <si>
    <t>Novartis</t>
  </si>
  <si>
    <t>$82000 /yr</t>
  </si>
  <si>
    <t>1. PhD in Bioinformatics, Computational Biology, or a Related Field: Candidates in the final year of their PhD thesis are also eligible to apply.
2. Experience in analyzing Transcriptomic and genomic data (and/or other high-dimensional, biological data modalities) and a strong interest in expanding.
3. Proficient in analyzing high-dimensional biological data modalities including transcriptomics and genomics.
...</t>
  </si>
  <si>
    <t>Graduate Research Assistant</t>
  </si>
  <si>
    <t>Barnard College</t>
  </si>
  <si>
    <t>Continuing Education, Education</t>
  </si>
  <si>
    <t>1. Demonstrated interest in and experience with science or mathematics teaching or STEM teacher preparation
2. Excellent writing and communication skills
3. Availability to travel to the research site at James Baldwin High School to observe the summer program (June 26-August 10, 2024)
...</t>
  </si>
  <si>
    <t>Research Assistant</t>
  </si>
  <si>
    <t>1. Must be enrolled in a relevant graduate program.
2. Arabic proficiency required.</t>
  </si>
  <si>
    <t>WuXi AppTec</t>
  </si>
  <si>
    <t>1. Bachelor’s or above degree in statistics/biostatistics or computer sciences.
2. Proficiency in Microsoft Office (Word, Excel, and PowerPoint).
3. Effective verbal and writing skills.</t>
  </si>
  <si>
    <t>2025 Summer Analytics and Quantitative Modeling Internship - Cleveland</t>
  </si>
  <si>
    <t>KeyBank</t>
  </si>
  <si>
    <t>$25-$28 /h</t>
  </si>
  <si>
    <t>1. Graduating with a four-year undergraduate or graduate level degree by May 2026 with focused coursework in mathematics, statistics, engineering, finance, economics, computer science, business analytics, data science, or other quantitative fields of study.
2. Outstanding academic achievement (minimum 3.3 GPA)
3. Demonstrated leadership and teamwork from past work experience and/or extracurricular activities
...</t>
  </si>
  <si>
    <t>Graduate Intern - Optimization (Spring, 2025)</t>
  </si>
  <si>
    <t>Delta Air Lines</t>
  </si>
  <si>
    <t>Service Industry, Transportation</t>
  </si>
  <si>
    <t>1. BA/BS in Industrial Engineering, Statistics, Mathematics, Computer Science, or related field
2. Minimum of one year of graduate coursework completed MA/MS/PhD
3. Proven success in solving complex quantitative problems
...</t>
  </si>
  <si>
    <t>$82000-$82000 /yr</t>
  </si>
  <si>
    <t>Student Opportunities - Data Science Intern (PhD) - Fall 2024 (Hybrid)</t>
  </si>
  <si>
    <t>The Cincinnati Insurance Companies</t>
  </si>
  <si>
    <t>Fairfield, OH</t>
  </si>
  <si>
    <t>$33-$33 /h</t>
  </si>
  <si>
    <t>1. enrolled in a graduate level program (PhD candidate preferred) at an accredited college/university
2. major in data science, computer science, or related fields
3. collegiate transcripts required with submission of candidate profile (unofficial are acceptable)
...</t>
  </si>
  <si>
    <t>Jacobs</t>
  </si>
  <si>
    <t>Civil Engineering, Consulting</t>
  </si>
  <si>
    <t>Greater Houston</t>
  </si>
  <si>
    <t>1. Currently enrolled at an accredited university
2. Completed at least 45 credit hours
3. Minimum of 2.8 GPA
...</t>
  </si>
  <si>
    <t>Student Hourly - Research</t>
  </si>
  <si>
    <t>Spencer Museum of Art</t>
  </si>
  <si>
    <t>Communities</t>
  </si>
  <si>
    <t>Lawrence, KS</t>
  </si>
  <si>
    <t>$18-$18 /h</t>
  </si>
  <si>
    <t>1. During the semester term of the appointment, the student hourly must be enrolled in no fewer than 6 credit hours. For summer periods the student hourly must: 1) have been enrolled in no less than 6 hours in the past spring semester or 2) be pre-enrolled in upcoming fall semester in no less than 6 hours or 3) be enrolled in summer session or 4) be admitted to study in the upcoming fall semester. Student Hourlies may be undergraduate or graduate students. (Exceptions granted for GRA/GTA/GA appointments DO NOT apply to Student Hourly appointments).
2. 6 months of experience in a position that required attention to detail and strong organizational skills as evidenced by application materials.
3. 6 months of experience demonstrating the ability to work both independently and as part of a team as evidenced in application materials.
...</t>
  </si>
  <si>
    <t>Data Science Intern</t>
  </si>
  <si>
    <t>Arrive Logistics</t>
  </si>
  <si>
    <t>Freight Service, Logistics</t>
  </si>
  <si>
    <t>1. Masters or Ph.D degree in a relevant field (Data Science, Math, Statistics, Economics, Computer Science, Engineering)
2. Solid knowledge of statistics, mathematics, and computer science
3. Experience with Python, R, or other statistical programming language
...</t>
  </si>
  <si>
    <t>Personalized Internet Assessor – Canada (English Language)</t>
  </si>
  <si>
    <t>$12.50-$12.50 /h</t>
  </si>
  <si>
    <t>1. Proficiency in both written and verbal English.
2. Residency in Canada for the past 5 consecutive years
3. Ownership and regular use of a smartphone (Android V4.2 or higher or iPhone running iOS version 14.0 or higher) and a desktop/laptop with internet connection at your expense.
...</t>
  </si>
  <si>
    <t>2025 Corporate Analyst Development Program – Summer Analyst (Insights Programs)</t>
  </si>
  <si>
    <t>1. Pursuing a B.A., B.S., or 5th year M.A. or M.S. with an expected graduation date of December 2025 through June 2026
2. A well-rounded academic background
3. Excellent problem-solving skills and an ability to adapt in ever changing environments
...</t>
  </si>
  <si>
    <t>Data Scientist Intern (TikTok Ads, Measurement - Identity &amp; Attribution ) - 2025 Summer (PhD)</t>
  </si>
  <si>
    <t>$55-$55 /h</t>
  </si>
  <si>
    <t>1. Currently pursuing a PhD in Statistics or other quantitative field.
2. BA/BS in Math, Statistics, Economics, Computer Science, or other quantitative fields.
3. Sustained track record of driving business value and improving product with data insights, especially in advertising, growth, marketing or relevant domains.
...</t>
  </si>
  <si>
    <t>Dallas Data Specialist Intern</t>
  </si>
  <si>
    <t>1. Experience with social service case management or program management software, client relationship management, relational databases, or other information systems for client management is a plus.
2. Excellent computer skills are required, especially MS Excel
3. Attention to detail and ability to follow instructions fully and precisely are essential
...</t>
  </si>
  <si>
    <t>Data Strategy Intern- Year Round Internship</t>
  </si>
  <si>
    <t>Universal Service Administrative Company</t>
  </si>
  <si>
    <t>Telecommunications</t>
  </si>
  <si>
    <t>1. Passionate about the mission to help Americans gain access to essential communications technology
2. Problem solver with great attention to detail, can work with little supervision, multi-task, and learn quickly
3. Exposure and experience with the Microsoft Office suite (PowerPoint, Excel, Outlook, Word)
...</t>
  </si>
  <si>
    <t>Internship: Data Scientist, Health Informatics</t>
  </si>
  <si>
    <t>Quest Diagnostics</t>
  </si>
  <si>
    <t>Hazleton, PA</t>
  </si>
  <si>
    <t>1. Strong data science programming, quantitative and analytical skills
2. Experience in standardizing, integrating, analyzing, and modeling large clinical data
3. Knowledge of data mining, pattern recognition techniques, and predictive analytics
...</t>
  </si>
  <si>
    <t>Data Services Analyst Co-Op Fall 2024</t>
  </si>
  <si>
    <t>1. Experience doing data analysis
2. R, SQL, PowerBI, Tableau/QLIK a must
3. Experience in data mining and statistical modeling techniques on R (supervised and unsupervised machine learning)
...</t>
  </si>
  <si>
    <t>WOC - Research Assistant</t>
  </si>
  <si>
    <t>U.S. Department of Veteran Affairs</t>
  </si>
  <si>
    <t>Government, Medical</t>
  </si>
  <si>
    <t>1. Experience in filing subject charts, obtaining informed consent from subjects, scheduling visits for study participants, screening subjects for eligibility criteria, and performing neuropsychological testing of study participants
2. Experience in collecting clinical information and processes of entering clinical information from interviews with study participants, obtaining informed consent from subjects, and administering neuropsychological tests to study participants
3. Bachelor or graduate degree from an accredited college or university in a field related to the medical field, health sciences, or allied sciences</t>
  </si>
  <si>
    <t>2025 Quantitative Analytics Summer Associate Program</t>
  </si>
  <si>
    <t>1. Enrolled in a Ph.D. or Master’s degree program in Engineering, Mathematics, Physics, Computer Science, etc. with an expected graduation date of December 2025 through August 2026
2. Demonstrate quantitative and problem solving skills as well as research ability
3. Ability to communicate concepts and ideas, both verbally and via documentation, and explain technical material to a non-technical audience
...</t>
  </si>
  <si>
    <t>Dallas Data and Evaluation Intern for Client Services</t>
  </si>
  <si>
    <t>1. Ability to work effectively in an environment that is multi-cultural and multilingual, experience using interpreters desired
2. Highly effective communication skills, emotional intelligence, and situational awareness
3. Highly adaptable and flexible self-starter with ability to work independently as well as collaborate with others, juggle multiple priorities, and meet deadlines in a demanding work environment
...</t>
  </si>
  <si>
    <t>Intern, Data and Analytics, Office of Audit and Investigation Services</t>
  </si>
  <si>
    <t>UNFPA</t>
  </si>
  <si>
    <t>Communities, Health Care</t>
  </si>
  <si>
    <t>1. Be enrolled in a postgraduate degree programme (such as master’s programme or higher) in Data Science, Computer Science, Computer Engineering, Information Management, Statistics, Mathematics, or a related field;
2. Be enrolled in a first university degree programme (such as bachelor’s degree or equivalent) and have completed one full academic year; in Data Science, Computer Science, Computer Engineering, Information Management, Statistics, Mathematics, or a related field;
3. Have graduated with a university degree in Data Science, Computer Science, Computer Engineering, Information Management, Statistics, Mathematics, or a related field and, if selected, must start the internship within one-year of graduation; or
...</t>
  </si>
  <si>
    <t>Research Intern - Health Disparities Research</t>
  </si>
  <si>
    <t>MD Anderson Cancer Center</t>
  </si>
  <si>
    <t>$56484-$68604 /yr</t>
  </si>
  <si>
    <t>1. Graduate Degree</t>
  </si>
  <si>
    <t>Sunwater Institute Data Science Intern</t>
  </si>
  <si>
    <t>Sunwater Capital</t>
  </si>
  <si>
    <t>North Bethesda, MD</t>
  </si>
  <si>
    <t>1. Strong academic foundation in data science, data analytics, computer science or political science, history, and economics with a background in quantitative/technical coursework
2. Current or recent undergraduate student
3. Ability to apply cutting-edge data science and analytical techniques to uncover patterns, trends, and insights from congressional datasets
...</t>
  </si>
  <si>
    <t>POOL: BESST Research Assistant – Federal Work Study Student Hourly</t>
  </si>
  <si>
    <t>1. KU student with junior or senior status (1 - 2 years left in your undergraduate degree)
2. Have a Federal Work Study award
3. During the semester term of the appointment, the student hourly must be enrolled in no fewer than 6 credit hours
...</t>
  </si>
  <si>
    <t>2025 Summer Internship Quantitative Analytics Program (Master's) - Early Careers</t>
  </si>
  <si>
    <t>Wells Fargo</t>
  </si>
  <si>
    <t>1. Currently enrolled in a Master's program with a preferred graduation date in December 2025 or later with emphasis on Statistics, Mathematics, Computer Science, Economics, Physics, Quantitative Finance, Operations Research, Data Science, Engineering or related quantitative field or a related quantitative field
2. Excellent computer programing skills and use of statistical software packages such as Python, R, SAS, SQL, Spark, Java, and C++
3. Ability to communicate concepts and ideas, both verbally and written, and explain technical material to a non-technical audience
...</t>
  </si>
  <si>
    <t>2025 Summer Internship Quantitative Analytics Program (PhD) - Early Careers</t>
  </si>
  <si>
    <t>1. Enrolled in a PhD program with a preferred graduation date in December 2025 or later with emphasis on Statistics, Mathematics, Computer Science, Economics, Physics, Quantitative Finance, Operations Research, Data Science, Engineering or related quantitative field or a related quantitative field
2. Excellent computer programing skills and use of statistical software packages such as Python, R, SAS, SQL, Spark, Java, and C++
3. Ability to communicate concepts and ideas, both verbally and written, and explain technical material to a non-technical audience
...</t>
  </si>
  <si>
    <t>Data Strategy Intern</t>
  </si>
  <si>
    <t>OTR Solutions</t>
  </si>
  <si>
    <t>Banking, Customer Service</t>
  </si>
  <si>
    <t>Roswell, GA</t>
  </si>
  <si>
    <t>1. Pursuing a bachelor's degree in business, Finance, MIS, or related field in progress
2. Proficient knowledge of Excel
3. Experience working with relational databases
...</t>
  </si>
  <si>
    <t>2025 Corporate Analyst Development Program – Summer Analyst (Chicago, IL)</t>
  </si>
  <si>
    <t>1. Pursuing a B.A., B.S., or 5th year M.A. or M.S. with an expected graduation date of December 2025 through June 2026
2. A well-rounded academic background
3. Excellent problem-solving skills and an ability to adapt in ever-changing environments
...</t>
  </si>
  <si>
    <t>Philadelphia Gas Works</t>
  </si>
  <si>
    <t>1. Currently enrolled in a Bachelor’s degree in Business Administration, Public Policy, Economics, Psychology, or other related field of study
2. Proficient in Microsoft Suite
3. Knowledgeable or willing to learn advanced Microsoft Excel Functions
...</t>
  </si>
  <si>
    <t>2025 Corporate Analyst Development Program - Summer Analyst (New York Metro)</t>
  </si>
  <si>
    <t>Quantitative Trader</t>
  </si>
  <si>
    <t>1. A strong quantitative thinker who enjoys working collaboratively on a team
2. Eager to ask questions, admit mistakes, and learn new things</t>
  </si>
  <si>
    <t>Analytics Intern</t>
  </si>
  <si>
    <t>Great Southern Wood Preserving</t>
  </si>
  <si>
    <t>Manufacturing, Timber</t>
  </si>
  <si>
    <t>Abbeville, AL</t>
  </si>
  <si>
    <t>1. Must be at least a Sophomore and actively seeking a Bachelor’s or Master’s degree in related field, with some STEM-adjacent completed coursework and a cumulative GPA of 2.50 or greater.
2. Must have experience with PowerPoint, Excel, Word, Microsoft Teams, random trivia, and Outlook.</t>
  </si>
  <si>
    <t>Graduate Quantitative Researcher, PhD</t>
  </si>
  <si>
    <t>$175000-$175000 /yr</t>
  </si>
  <si>
    <t>1. PhD in Mathematics, Statistics, Computer Science, Physics, or a related STEM field, with outstanding academic achievements
2. Expected graduation date between December 2024 and Spring 2025
3. Availability to commence full-time employment upon graduation in 2025
...</t>
  </si>
  <si>
    <t>Quantitative Research Intern, PhD</t>
  </si>
  <si>
    <t>1. Currently enrolled in a PhD program in Mathematics, Statistics, Computer Science, Physics or a related STEM field with outstanding academic performance
2. Anticipated graduation date between December 2025 and June 2027
3. Availability to commence full-time employment upon graduation in 2026 or 2027
...</t>
  </si>
  <si>
    <t>Research Internship</t>
  </si>
  <si>
    <t>$18-$20 /h</t>
  </si>
  <si>
    <t>1. Bachelor's degree or higher. Graduated August 2024 at the latest.
2. The ability to work 40 hours per week for a minimum of 6 months
3. Academic coursework or professional experience in primary research (qualitative, quantitative or both)
...</t>
  </si>
  <si>
    <t>Data Scientist (End-of-studies Internship) Spanish Speakers</t>
  </si>
  <si>
    <t>Shift Technology</t>
  </si>
  <si>
    <t>Artificial Intelligence (AI), Information Technology</t>
  </si>
  <si>
    <t>1. Tienes o estás completando una maestría en Matemáticas, Estadística, Ciencias de la Computación o Investigación de Operaciones (conocimientos en aprendizaje automático y/o Big Data son una gran ventaja).
2. Demuestras competencia en programación orientada a objetos.
3. Eres hábil combinando sólidas habilidades analíticas con capacidades de síntesis, demostrando un gran ojo para los detalles.
...</t>
  </si>
  <si>
    <t>Informatics Internship/Co-Op Fall 2024</t>
  </si>
  <si>
    <t>1. Junior or Senior pursuing a Bachelor’s or Master's or PhD degree in computer science/engineering, biomedical engineering, health information, statistics, bioinformatics, or related field
2. GPA 3.5+
3. Excellent verbal and written communication skills
...</t>
  </si>
  <si>
    <t>Business Intelligence Internship - Fall 2024</t>
  </si>
  <si>
    <t>1. Pursuing Bachelor’s or Master's degree in Business, Life Science, Computer Science, or related degree with emphasis (minor or experience) in Analytics
2. Ability to work office-based in Cincinnati, OH (part-time or full-time)</t>
  </si>
  <si>
    <t>Fleishman-Hillard</t>
  </si>
  <si>
    <t>Content Marketing, Digital Marketing</t>
  </si>
  <si>
    <t>1. Bachelor’s degree or higher. Graduated August 2024 at the latest.
2. The ability to work 40 hours per week for a minimum of 6 months
3. Academic coursework or professional experience in primary research (qualitative, quantitative or both)
...</t>
  </si>
  <si>
    <t>Invent Penn State Database Management Intern</t>
  </si>
  <si>
    <t>1. Self-starter possessing an entrepreneurial mindset
2. Experienced or willing to learn online CRM and project management tools
3. Detail- and process-oriented
...</t>
  </si>
  <si>
    <t>Research Internship - San Francisco</t>
  </si>
  <si>
    <t>Global Quantitative Research Summer Associate Program - 2025</t>
  </si>
  <si>
    <t>1. Candidates are required to be pursuing a graduate degree (Masters or Ph.D.) from an accredited college or university with a graduation timeframe between December 2025 and June 2026 in a field of Quantitative Finance, Financial Engineering, or a related technical field that blends advanced quantitative methods with finance and economics
2. Experience in managing and analyzing large data sets with modern data-science tools is required, strong knowledge and experience in advanced machine learning techniques is critical for select rotations
3. Knowledge of financial derivatives including futures and options and their underlying pricing models is key for derivative-team rotations
...</t>
  </si>
  <si>
    <t>Student Research Worker</t>
  </si>
  <si>
    <t>Columbia</t>
  </si>
  <si>
    <t>Health Care, Medical</t>
  </si>
  <si>
    <t>1. Bachelor's degree
2. Current enrollment at Columbia University</t>
  </si>
  <si>
    <t>Quantitative Research Intern, Summer 2025</t>
  </si>
  <si>
    <t>1. Pursuing a Bachelor's, Masters or PhD in Statistics, Computer Science, Engineering, Mathematics (or a related subject)
2. Expertise in statistics and machine learning
3. Experience building mathematical models for complex real-world problems
...</t>
  </si>
  <si>
    <t>Hourly Research Analyst</t>
  </si>
  <si>
    <t>New Jersey Institute of Technology</t>
  </si>
  <si>
    <t>1. BS in Computer Science or Data Science</t>
  </si>
  <si>
    <t>Quantitative Research Internship - PhD: Summer 2025</t>
  </si>
  <si>
    <t>1. Students who will be in their 4th or 5th year of their PhD program during the summer of 2025 studying in a quantitative field such as Mathematics, Physics, Statistics, Electrical Engineering, Computer Science, Operations Research, or Economics
2. Exceptional mathematical problem-solving skills
3. Strong communication skills in a fast-paced and/or highly collaborative environment are essential
...</t>
  </si>
  <si>
    <t>Sacramento</t>
  </si>
  <si>
    <t>Graduate Research Assistant - The Bridge (Chicago, Hyde Park)</t>
  </si>
  <si>
    <t>National Opinion Research Center at the University of Chicago</t>
  </si>
  <si>
    <t>Analytics, Government</t>
  </si>
  <si>
    <t>$18-$21 /h</t>
  </si>
  <si>
    <t>1. Must be enrolled in an accredited Social Science graduate program (e.g., sociology, political science, public policy, psychology, economics, etc.)
2. Be able to work 10-20 hours per week during the school year
3. Be able to work increased hours during term and summer breaks, if needed
...</t>
  </si>
  <si>
    <t>Emory University</t>
  </si>
  <si>
    <t>E-Learning, Education</t>
  </si>
  <si>
    <t>1. Experience with QuPath and Python for annotation and model development
2. Ability to develop and integrate scripts to automate annotation processes
3. Experience in training and evaluating detection models
...</t>
  </si>
  <si>
    <t>Research Assist, Science_Undergrad (Data)</t>
  </si>
  <si>
    <t>Universities Space Research Association</t>
  </si>
  <si>
    <t>Association, Facility Management</t>
  </si>
  <si>
    <t>1. BS/BA Degree and/or Minimum must be a student or an upper division student completing a Bachelor of Arts or a Bachelor of Science degree within the listed majors/fields of study and attending classes during the regular term at an accredited college or university.
2. Knowledge of Computer Science, Data Science, Statistics, Mathematics, or a related field.
3. Students must be enrolled in at least four-semester units or six quarter units for graduate students.
...</t>
  </si>
  <si>
    <t>Crypto Analyst Intern</t>
  </si>
  <si>
    <t>CertiK</t>
  </si>
  <si>
    <t>Blockchain, Cyber Security</t>
  </si>
  <si>
    <t>$60000-$90000 /yr</t>
  </si>
  <si>
    <t>1. Minimum of Bachelors degree in related field.
2. Passionate about crypto - we are looking for people who enjoy learning about new crypto projects and have a pulse on the industry
3. Understanding of Web3 social media (X / Twitter especially)
...</t>
  </si>
  <si>
    <t>Intern, Data Analytics</t>
  </si>
  <si>
    <t>The Centers</t>
  </si>
  <si>
    <t>Health Care, Non Profit</t>
  </si>
  <si>
    <t>1. Pursuing or interested in a career in Public Health, Health Informatics Data Analytics, Management Information Systems, Health Informatics, Business, or equivalent.
2. Willingness to ask questions when in need of direction or clarification.
3. Proficient in Microsoft Office, especially advanced Excel skills</t>
  </si>
  <si>
    <t>Quantitative Sports Researcher – Graduate Hire</t>
  </si>
  <si>
    <t>1. Graduating Master's or PhD students in a quantitatively-driven field
2. Solid, analytical problem-solving skills and excellent logical reasoning
3. Exceptional communication skills, both in the ability to understand others and to make yourself clearly understood
...</t>
  </si>
  <si>
    <t>Intern - Economics (RFCA)</t>
  </si>
  <si>
    <t>$49.66-$96.63 /h</t>
  </si>
  <si>
    <t>1. Enrolled in at least the third year of their PhD program
2. Not currently on the job market</t>
  </si>
  <si>
    <t>Intern - Economics (STRUC)</t>
  </si>
  <si>
    <t>Jr. Business Intelligence Engineer, Jr. Developer Program</t>
  </si>
  <si>
    <t>1. Currently enrolled in a Bachelor's program in Computer Science or related STEM discipline.
2. Graduation date on or after Spring 2026.
3. Ability to work year-round: part time (16 hours/week) during the school year and full-time (40 hours/week) during the summer.
...</t>
  </si>
  <si>
    <t>Fundamental Research Analyst Intern (New York) – Summer 2025</t>
  </si>
  <si>
    <t>D. E. Shaw &amp; Co.</t>
  </si>
  <si>
    <t>Financial Services, Real Estate</t>
  </si>
  <si>
    <t>$15000-$15000 /mon</t>
  </si>
  <si>
    <t>1. Keen critical thinking skills
2. Demonstrated interest in financial markets, researching companies, and analyzing stocks
3. Exceptional attention to detail
...</t>
  </si>
  <si>
    <t>Splunk Administrator (SkillBridge Intern) - 15328</t>
  </si>
  <si>
    <t>Hanscom AFB, MA</t>
  </si>
  <si>
    <t>1. Must have SECRET security clearance
2. 5+ years combined relevant experience within the fields
3. Current Splunk Certified Administrator required
...</t>
  </si>
  <si>
    <t>DoD SkillBridge Intern – GEOINT Engineer (Active Duty Service Members)</t>
  </si>
  <si>
    <t>Scientific Research Corporation</t>
  </si>
  <si>
    <t>Biotechnology</t>
  </si>
  <si>
    <t>1. Three to Five+ years’ experience with NGA systems and tools
2. Three to Five+ years’ experience with Data Analytics
3. Three to Five+ years’ experience with CI/CD practices
...</t>
  </si>
  <si>
    <t>Data Scientist (SkillBridge Intern) - 7491</t>
  </si>
  <si>
    <t>Honolulu Metro</t>
  </si>
  <si>
    <t>1. Active-Duty Military ONLY within final 180 days of active-duty service. Education and Experience dependent on Program of Instruction.
2. Must have a current/active DoD Secret Security Clearance</t>
  </si>
  <si>
    <t>Fall 2024 - GIS Internship</t>
  </si>
  <si>
    <t>VHB</t>
  </si>
  <si>
    <t>Asset Management, Civil Engineering</t>
  </si>
  <si>
    <t>1. Currently pursuing a master’s degree in geography, cartography, planning, engineering, computer or environmental science, transportation, or a related field
2. Experience with Esri ArcGIS Pro and Online</t>
  </si>
  <si>
    <t>Graduate (Year-Round) Intern - Engagement and Social Science</t>
  </si>
  <si>
    <t>$42700-$68300 /yr</t>
  </si>
  <si>
    <t>1. Minimum of a 3.0 cumulative grade point average.
2. Must be enrolled as a full-time student in a bachelor’s degree program from an accredited institution.
3. Earned a bachelor’s degree within the past 12 months. Eligible for an internship period of up to one year.
...</t>
  </si>
  <si>
    <t>2024-2025 IT Panthersoft, Student Data Quality Analyst</t>
  </si>
  <si>
    <t>Florida International University</t>
  </si>
  <si>
    <t>$13-$14 /h</t>
  </si>
  <si>
    <t>1. Proficient computer skills using Microsoft Excel
2. Exceptional analytical and quantitative problem-solving skills
3. Familiarity with data management and visualization systems
...</t>
  </si>
  <si>
    <t>Digital Analytics Intern (Yamaha Corporation of America)</t>
  </si>
  <si>
    <t>Yamaha Corporation</t>
  </si>
  <si>
    <t>$16-$16 /h</t>
  </si>
  <si>
    <t>1. Must be a junior or senior from an accredited university OR have graduated within a year with a degree in Marketing, Business Analytics, Music Business, Data Science, Information Systems, Statistics, Economics, Communications or a combination thereof
2. Must be able to work full time (M-F 8:30-5) during internship
3. Experience with site analytics tools (e.g., Google Analytics, Adobe Analytics)
...</t>
  </si>
  <si>
    <t>Postdoctoral Scholar - Public Health Sciences</t>
  </si>
  <si>
    <t>Hershey, PA</t>
  </si>
  <si>
    <t>1. Doctoral degree in public health, psychology, or a related field
2. Experience in clinical assessment, biomarker collection, statistical analysis, and scientific writing</t>
  </si>
  <si>
    <t>Summer Analyst - Core Platforms</t>
  </si>
  <si>
    <t>Rockefeller Capital Management</t>
  </si>
  <si>
    <t>$35 /h</t>
  </si>
  <si>
    <t>1. High school degree required.
2. Preferred degree in Computer Science or Analytics or any related fields.
3. Prior internship experience in Python / Machine learning a plus
...</t>
  </si>
  <si>
    <t>Analytics Internship: Summer/Fall 2024</t>
  </si>
  <si>
    <t>1. A current college student or recent college graduate to work in our Richmond, VA office at least 15 hours per week
2. Proficient in Microsoft Suite, specifically Excel, at an advanced level
3. Strong communication skills (verbal and written)
...</t>
  </si>
  <si>
    <t>(Student) Data Reporting Assistant</t>
  </si>
  <si>
    <t>Davenport University</t>
  </si>
  <si>
    <t>$10-$14 /h</t>
  </si>
  <si>
    <t>1. High School Diploma or GED equivalent.
2. Must be enrolled in a minimum of 6 credit hours and meeting the standards of academic progress.
3. Demonstrated strong attention to detail and decision-making skills.
...</t>
  </si>
  <si>
    <t>Graduate Leadership Program - Data Analytics</t>
  </si>
  <si>
    <t>PMG</t>
  </si>
  <si>
    <t>1. Completed a Bachelor’s or Master’s Degree between Fall 2024 and Spring 2025 in Business Analytics, Data Analytics, Economics, Statistics, Mathematics, or a related field.
2. Proficient in SQL and a knack for analyzing complex data sets.
3. Internships or relevant work experience that shows you're ready to take on the world.
...</t>
  </si>
  <si>
    <t>Fort Worth, TX</t>
  </si>
  <si>
    <t>Internship 2025 | Advisory - Digitial Services Analyst (44635)</t>
  </si>
  <si>
    <t>Citrin Cooperman</t>
  </si>
  <si>
    <t>Navigator Research Intern</t>
  </si>
  <si>
    <t>The Hub Project</t>
  </si>
  <si>
    <t>Communities, Government</t>
  </si>
  <si>
    <t>$20-$20 /h</t>
  </si>
  <si>
    <t>1. Demonstrated interest in progressive causes
2. Proficient in Google slides and sheets
3. Skilled writer with the ability to modify messages and tone for different audiences
...</t>
  </si>
  <si>
    <t>Quantitative Research Internship – Master's: Summer 2025</t>
  </si>
  <si>
    <t>1. Master’s students graduating in 2026 studying in a quantitative field such as Mathematics, Physics, Statistics, Electrical Engineering, Computer Science, Operations Research, or Economics
2. Exceptional mathematical problem-solving skills
3. Strong communication skills in a fast-paced and/or highly collaborative environment are essential
...</t>
  </si>
  <si>
    <t>Thèse CIFRE - Data Science - F/H/D</t>
  </si>
  <si>
    <t>bioMérieux</t>
  </si>
  <si>
    <t>Marcy, IA</t>
  </si>
  <si>
    <t>1. Formation Bac +5, diplômé(e) ou en stage de fin d’études de Master ou d’école d’ingénieur
2. Spécialisation en Data Science ou en Mathématiques Appliquées
3. Connaissances dans le domaine de la microbiologie (seraient un plus)
...</t>
  </si>
  <si>
    <t>Visiting Researcher, Ego-Exo4D (PhD)</t>
  </si>
  <si>
    <t>Facebook Careers</t>
  </si>
  <si>
    <t>Menlo Park, CA</t>
  </si>
  <si>
    <t>$56.25-$137000 /h</t>
  </si>
  <si>
    <t>1. Research experience in Computer Vision.
2. Experience with Ego4D and/or Ego-Exo4D dataset.
3. Experience with Python, C/C++.
...</t>
  </si>
  <si>
    <t>Claims Analyst Intern</t>
  </si>
  <si>
    <t>Highlight Health</t>
  </si>
  <si>
    <t>Advice, Health Care</t>
  </si>
  <si>
    <t>1. Meticulous attention to detail
2. Organizational and time-management skills
3. Analytical abilities
...</t>
  </si>
  <si>
    <t>Sports Statistician</t>
  </si>
  <si>
    <t>Genius Sports</t>
  </si>
  <si>
    <t>Fairfield County, CT</t>
  </si>
  <si>
    <t>1. Clear and understandable spoken English
2. Regular availability on weekends and weekday evenings
3. Willingness to travel
...</t>
  </si>
  <si>
    <t>Easton, PA</t>
  </si>
  <si>
    <t>Ithaca, NY</t>
  </si>
  <si>
    <t>Temporary Research Assistant</t>
  </si>
  <si>
    <t>$7.25-$16 /h</t>
  </si>
  <si>
    <t>1. Temporary Employee - Non-Exempt
2. Perelman School of Medicine
3. Pay Range $7.25 - $16.00 Hourly Rate
...</t>
  </si>
  <si>
    <t>VWH Capital Management, LP</t>
  </si>
  <si>
    <t>1. Holding or working toward a PhD in Statistics, Economics, Finance or other related quantitative fields
2. Proficiency in statistical and econometric modeling, such as survival analysis, time series models, logistic regression, multinomial logistic regression, Monte Carlo simulation, as well as machine learning
3. Hands on experience in working with large scale data sets
...</t>
  </si>
  <si>
    <t>Fall Intern, Data Analyst</t>
  </si>
  <si>
    <t>1. Currently enrolled in an accredited college or university.
2. Experience in data querying and analysis via SQL. (Python experience a bonus.)
3. Familiarity with various data visualization techniques and methods.</t>
  </si>
  <si>
    <t>Data Science Innovation Postdoctoral Fellow: Cancer Combination Therapy</t>
  </si>
  <si>
    <t>1. PhD in computational biology, bioinformatics, systems biology, biological engineering, data science, statistics, computer science, biology, chemistry, physics, or a related field (PhD students in the last year of their thesis work are eligible to apply)
2. Familiarity with fundamental concepts in bioinformatics, statistics, and cell biology
3. Experience analyzing high-dimensional data sets, preferably 'omics data sets (e.g., single-cell RNA-seq, bulk RNA-seq, epigenetics, proteomics)
...</t>
  </si>
  <si>
    <t>Research Assistant Intern</t>
  </si>
  <si>
    <t>Strider Technologies</t>
  </si>
  <si>
    <t>Big Data, Computer</t>
  </si>
  <si>
    <t>1. Bachelor’s degree or higher in a relevant field
2. Interest in threat intelligence, competitive intelligence, and risk analysis
3. Experience analyzing nation-state activities
...</t>
  </si>
  <si>
    <t>Intern, Data Analytics (Summer 2025)</t>
  </si>
  <si>
    <t>Pharmacy Research Analyst Intern, Per Diem</t>
  </si>
  <si>
    <t>Brigham and Women's Hospital</t>
  </si>
  <si>
    <t>1. Bachelors degree required, plus must be a current graduate student in bioinformatics, computational biology or another relevant field in good standing.
2. Must have strong programming skills and experience in R/RStudio (especially tidyverse packages), Python, shell scripting and Apache Spark/SQL
3. Previous experience with high-performance Linux computing cluster (lsf system) and cloud-based computing is required
...</t>
  </si>
  <si>
    <t>FALL CO-OP/INTERN – Data Analytics</t>
  </si>
  <si>
    <t>Air Products and Chemicals</t>
  </si>
  <si>
    <t>1. Minimum GPA of 3.3 is required
2. Current student in their sophomore, junior, or senior year working toward a bachelor's degree in management information systems, Business/Data Analytics, Data Science, Finance, or Computer Science
3. Strong leadership, problem-solving, interpersonal, communication and time management skills
...</t>
  </si>
  <si>
    <t>Summer Analyst</t>
  </si>
  <si>
    <t>INSIGHT2PROFIT</t>
  </si>
  <si>
    <t>Management Consulting, Manufacturing</t>
  </si>
  <si>
    <t>Beachwood, OH</t>
  </si>
  <si>
    <t>1. Actively enrolled in an accredited university, entering the final year of studies prior to graduation in General Business, Data Analytics, Finance, Marketing, Management, Economics, Mathematics, Statistics or Actuarial Science.
2. Studies in general business, finance, marketing, or management.
3. Economics, mathematics, data and analytics, statistics, and actuarial science experience.
...</t>
  </si>
  <si>
    <t>Federal Work Study-Research Assistant SPROUT Study</t>
  </si>
  <si>
    <t>Upstate Medical University</t>
  </si>
  <si>
    <t>Education, Market Research</t>
  </si>
  <si>
    <t>1. Must be a current student enrolled at Upstate Medical University
2. Approved for financial aid through the Student Financial Aid office at Upstate</t>
  </si>
  <si>
    <t>Allentown, Pennsylvania</t>
  </si>
  <si>
    <t>University of Miami</t>
  </si>
  <si>
    <t>1. High School diploma or equivalent required
2. Minimum 1 year of relevant experience</t>
  </si>
  <si>
    <t>Quantitative Trader Intern (PhD 2025)</t>
  </si>
  <si>
    <t>Tower Research Capital, LLC.</t>
  </si>
  <si>
    <t>$3000-$5000 /wk</t>
  </si>
  <si>
    <t>1. Availability for 4-6 months during the spring or fall quarter
2. PhD students preferred
3. Majoring in mathematics, statistics, physics, electrical engineering, computer science, economics, or related fields
...</t>
  </si>
  <si>
    <t>Quantitative Trader Intern (Summer 2025)</t>
  </si>
  <si>
    <t>1. Bachelor’s, Master’s, or PhD student
2. Majoring in computer science, mathematics, physics, electrical engineering, or related fields
3. Proficient in an object-oriented programming language (C++ and Python preferred)
...</t>
  </si>
  <si>
    <t>Quantitative Researcher (Internship)</t>
  </si>
  <si>
    <t>Vatic Labs</t>
  </si>
  <si>
    <t>Artificial Intelligence (AI), Software</t>
  </si>
  <si>
    <t>1. Earned or will earn a Masters or Ph.D. in Computer Science, Statistics, Mathematics, Electrical Engineering, Physics, or related fields
2. Demonstrable experience coding in C++ or Python in a Linux environment
3. Have experience analyzing large datasets with rigorous statistical and machine learning approaches, including classification, clustering, and regression.
...</t>
  </si>
  <si>
    <t>CDC Influenza Division Epidemiology and Prevention Branch Fellow: ARM Team</t>
  </si>
  <si>
    <t>1. Currently pursuing a master's degree in one of the relevant fields
2. Degree: Currently pursuing a Master's Degree
3. Academic Level(s): Post-Bachelor's
...</t>
  </si>
  <si>
    <t>Federal Work Study-Pathology Research Assistant (Long Term)</t>
  </si>
  <si>
    <t>1. Must be a current student enrolled at Upstate Medical University
2. Approved for financial aid through the Student Financial Aid office at Upstate
3. Enrolled in a graduate Medical, Health Sciences or Public Health program
...</t>
  </si>
  <si>
    <t>Federal Work Study- Auerbach Lab Data Analyst</t>
  </si>
  <si>
    <t>Quantitative Research Intern</t>
  </si>
  <si>
    <t>1. Are pursuing a Bachelor's, Master’s or PhD in a technical discipline with a focus on Statistics, Optimization, Machine Learning, Artificial Intelligence, Quantitative Finance or related fields graduating between December 2024 and August 2025
2. Proficiency in Python programming experience using the Python machine learning stack: numpy, pandas, scikit-learn, etc.
3. Proficient programming skills with experience exploring large datasets
...</t>
  </si>
  <si>
    <t>Quantitative Research Intern, Bachelor’s or Master’s Degree</t>
  </si>
  <si>
    <t>1. Currently pursuing a Bachelor’s or Master’s degree in Mathematics, Statistics, Computer Science, Physics or a related STEM field with outstanding academic performance
2. Expected graduation date between December 2025 and June 2026
3. Availability to commence full-time employment upon graduation in 2026
...</t>
  </si>
  <si>
    <t>PhD Data Analyst Research Intern</t>
  </si>
  <si>
    <t>Dolby Laboratories</t>
  </si>
  <si>
    <t>Audio, Broadcasting</t>
  </si>
  <si>
    <t>$44-$57 /h</t>
  </si>
  <si>
    <t>1. Pursuing a PhD degree in Computer Science, Audiovisual, Electric Engineering, Design, Mathematics, Physics, or related fields.
2. Experience with command-line interface.
3. Experience with machine learning.
...</t>
  </si>
  <si>
    <t>Part-Time Data Contributor</t>
  </si>
  <si>
    <t>1. Fluent in English
2. Able to participate in an onsite study in Las Vegas, NV
3. Have at least one child or adult available to participate in the same onsite session with you
...</t>
  </si>
  <si>
    <t>LV Metro Area</t>
  </si>
  <si>
    <t>Graduate Assistant</t>
  </si>
  <si>
    <t>UAMS Health</t>
  </si>
  <si>
    <t>1. Must be enrolled in the UAMS Graduate Program and selected for the COP PhD Program.</t>
  </si>
  <si>
    <t>Eastern Kentucky University</t>
  </si>
  <si>
    <t>Richmond, KY</t>
  </si>
  <si>
    <t>1. Must be currently enrolled as a graduate student at EKU.
2. Must be proficient in Excel, be well organized, reliable, and available to work on campus.</t>
  </si>
  <si>
    <t>PostDoctoral Scholar - Open Positions in Informatics</t>
  </si>
  <si>
    <t>UC Irvine</t>
  </si>
  <si>
    <t>$60000-$71952 /yr</t>
  </si>
  <si>
    <t>1. Advanced degree (e.g., Ph.D., M.D.) required.</t>
  </si>
  <si>
    <t>Undergraduate Research Assistant</t>
  </si>
  <si>
    <t>Auburn University</t>
  </si>
  <si>
    <t>Auburn, AL</t>
  </si>
  <si>
    <t>1. Majoring in Geospatial &amp; Environmental Informatics, Wildlife Ecology &amp; Management, or a related field.
2. Highly meticulous and patient, with strong attention to detail.
3. Skilled in distinguishing objects within camera and drone imagery.
...</t>
  </si>
  <si>
    <t>Applied Scientist Intern - PhD (US Remote - Fall 2024)</t>
  </si>
  <si>
    <t>Splunk</t>
  </si>
  <si>
    <t>Colorado</t>
  </si>
  <si>
    <t>1. Actively pursuing a PhD in Computer Science, Software Engineering, Computer Engineering, Electrical Engineering, Mathematics or a related technical field, and a strong record of academic achievement.
2. At least one semester/quarter remaining to complete after the internship
3. Available to work 40 hours a week for 15 weeks</t>
  </si>
  <si>
    <t>Data Annotator for AI Models | English (US) | Remote, Part Time, Work from Home</t>
  </si>
  <si>
    <t>1. Native-level fluency of English (US)
2. Located and eligible to work in United States, excluding Texas or Illinois.
3. Detail-oriented with the ability to understand and follow instructions
...</t>
  </si>
  <si>
    <t>Data Scientist Intern</t>
  </si>
  <si>
    <t>Numerade</t>
  </si>
  <si>
    <t>Education, Edutainment</t>
  </si>
  <si>
    <t>1. Must be available to work continuously on a full time and long term basis throughout the year (not just during winter or summer breaks)
2. Must be eligible to work in the U.S. without sponsorship (CPT / OPT is permitted).
3. Proficiency in Python programming, with expertise in the Pandas library.
...</t>
  </si>
  <si>
    <t>Big Data Mining and Artificial Intelligence in the Era of Large Astronomical Surveys</t>
  </si>
  <si>
    <t>Oak Ridge Associated Universities</t>
  </si>
  <si>
    <t>Greenbelt, MD</t>
  </si>
  <si>
    <t>1. Research proposal
2. Three letters of recommendation
3. Official doctoral transcript documents
...</t>
  </si>
  <si>
    <t>Development of Software Analysis Tools Based on Spectrocopic Data Bases such as HITRAN for Atmospheric Trace Gas Detection Lidars from Space Based Platforms</t>
  </si>
  <si>
    <t>1. U.S. Citizen Only
2. Doctoral Degree</t>
  </si>
  <si>
    <t>Analyst Intern - Summer 2025 (SF)</t>
  </si>
  <si>
    <t>Health Advances</t>
  </si>
  <si>
    <t>Consulting, Health Care</t>
  </si>
  <si>
    <t>Weston, MA</t>
  </si>
  <si>
    <t>$34-$34 /h</t>
  </si>
  <si>
    <t>1. Exceptional quantitative skills
2. Strong oral and written skills
3. Sincere interest in learning about the business of healthcare
...</t>
  </si>
  <si>
    <t>Analyst Intern - Summer 2025 (Newton)</t>
  </si>
  <si>
    <t>Children’s National Hospital</t>
  </si>
  <si>
    <t>Association, Child Care</t>
  </si>
  <si>
    <t>1. Must be enrolled in a PhD program
2. Must make continuous progress towards completion of the doctorate
3. Conduct experiments, data analysis, lab maintenance, literature reviews, drafting manuscripts and grants
...</t>
  </si>
  <si>
    <t>Postdoctoral Fellow - Bioinformatics &amp; Comp Biology</t>
  </si>
  <si>
    <t>New Site, AL</t>
  </si>
  <si>
    <t>1. Bachelor's degree in computer science, Biomedical Engineering, Electrical Engineering, Physics, Applied Mathematics, or a related field</t>
  </si>
  <si>
    <t>Duales Studium Master of Science Data Science and Artificial Intelligence (d/m/w) zum 01.10.2025</t>
  </si>
  <si>
    <t>Airbus</t>
  </si>
  <si>
    <t>Hamburg Area</t>
  </si>
  <si>
    <t>1. Abgeschlossenes Bachelorstudium mit IT-Bezug bis zum Sommer 2025
2. C1-Sprachkenntnisse in Deutsch</t>
  </si>
  <si>
    <t>Data Intern</t>
  </si>
  <si>
    <t>The Baltimore Banner</t>
  </si>
  <si>
    <t>Audio, Video</t>
  </si>
  <si>
    <t>1. Experience working on a data project in a newsroom or as part of an academic or research-oriented project
2. Ability to analyze data using tools like Python, R or SQL
3. Ability to do traditional reporting like make phone calls and conduct interviews
...</t>
  </si>
  <si>
    <t>IT Systems and Data Analysis Intern</t>
  </si>
  <si>
    <t>WHYY</t>
  </si>
  <si>
    <t>Broadcasting</t>
  </si>
  <si>
    <t>1. Assist with Information Technology operations &amp; support.
2. Assist with the development of data reporting and analyses.
3. Help explore innovative uses of artificial intelligence technologies, including predictive models and LLMs.</t>
  </si>
  <si>
    <t>Midwest Employers Casualty</t>
  </si>
  <si>
    <t>Employee Benefits, Financial Services</t>
  </si>
  <si>
    <t>Chesterfield, MO</t>
  </si>
  <si>
    <t>1. Applications should be working toward an undergraduate or master’s degree with a focus in Data Science, Statistics, Mathematics, or related fields.
2. Clearly demonstrates and models WR Berkley and Midwest innovation behaviors.
3. Highly self-motivated and self-directed.
...</t>
  </si>
  <si>
    <t>W. R. Berkley</t>
  </si>
  <si>
    <t>Data Assistant (Student)</t>
  </si>
  <si>
    <t>$17.50-$18.50 /h</t>
  </si>
  <si>
    <t>1. Graduate student currently pursuing a master's degree in a relevant field such as data science, statistics, computer science, or a related discipline. Highly qualified undergraduates will also be considered.
2. Strong analytical and problem-solving skills, with the ability to interpret and draw insights from complex data sets.
3. Proficiency in data manipulation and analysis using tools such as Excel, SQL, Python, or R.
...</t>
  </si>
  <si>
    <t>Data Management and Analysis Co-op/Intern- Spring 2025</t>
  </si>
  <si>
    <t>1. Legally authorized to work in the U.S. without sponsorship
2. Basic Business coursework
3. Minimum 2.5 Cumulative GPA or higher (You will be required to provide your current transcript)
...</t>
  </si>
  <si>
    <t>CDC Epidemiology Fellowship in Pediatric Respiratory Viruses</t>
  </si>
  <si>
    <t>1. Currently pursuing or have received a master's or doctoral degree in one of the relevant fields
2. Background in epidemiology, biostatistics, project management, data management, or data science, or a related scientific field
3. Degree received within the past five years or anticipated to be received by 8/31/2024</t>
  </si>
  <si>
    <t>East Campus (Washington, DC)</t>
  </si>
  <si>
    <t>Werkstudent*in (m/w/i) Data Analytics &amp; Engineering</t>
  </si>
  <si>
    <t>Cornelsen eCademy</t>
  </si>
  <si>
    <t>Corporate Training, E-Learning</t>
  </si>
  <si>
    <t>Germany, PA</t>
  </si>
  <si>
    <t>€15-€15 /h</t>
  </si>
  <si>
    <t>1. Du begeisterst dich für Data Analytics &amp; Data Engineering Themen und Technologien
2. Du hast ausgeprägte Analysefähigkeiten und grundlegende Erfahrungen mit Storytelling- und Visualisierungstechniken
3. Du hast ein Verständnis für Datapipelines, SQL oder Programmiersparen wie Phython
...</t>
  </si>
  <si>
    <t>Graduate Student Research Assistant.</t>
  </si>
  <si>
    <t>Colorado Judicial Branch</t>
  </si>
  <si>
    <t>$19.65-$22.11 /h</t>
  </si>
  <si>
    <t>1. Currently enrolled and seeking a graduate degree in a social or behavioral science discipline such as psychology, sociology, or political science at an accredited educational institution, on a full-time basis
2. Experience working in a research environment either as a paid employee, intern, or volunteer, or as part of a graduate school program
3. Knowledge of statistical programs such as SAS, SPSS, STATA, and R
...</t>
  </si>
  <si>
    <t>Schweitzer Engineering Laboratories</t>
  </si>
  <si>
    <t>Electronics, Linux</t>
  </si>
  <si>
    <t>Idaho - Lewiston</t>
  </si>
  <si>
    <t>$16.30-$21 /h</t>
  </si>
  <si>
    <t>1. Are a current student pursuing a Bachelor's degree in Management Information Systems, Data Analytics, Computer Science, Statistics, or a relative field of study.
2. Are proficient in MS Word, MS Excel, and MS Access.
3. Have strong analytical, judgment, organizational, and project management skills.
...</t>
  </si>
  <si>
    <t>Internship, Data Science</t>
  </si>
  <si>
    <t>Padagis</t>
  </si>
  <si>
    <t>Wyoming, MI</t>
  </si>
  <si>
    <t>1. Incoming juniors, seniors or graduate students
2. Pursuing an undergraduate/grad degree in Data Analytics, Mathematics, or related business discipline
3. Open to learning, providing feedback and/or receiving feedback on performance
...</t>
  </si>
  <si>
    <t>Intern - Demand &amp; Supply Balancing Analyst Intern, Year-Round</t>
  </si>
  <si>
    <t>Fort Mill, SC</t>
  </si>
  <si>
    <t>1. Currently enrolled in a US accredited degree program for the next 12 months
2. Student working towards a Bachelor’s or Master's Degree in Supply Chain, Industrial Engineering, Data Analysis, or related field
3. Available to work a minimum of 20+ hours a week during normal business hours (Mon-Fri), 60% of those onsite at our Tire Headquarters in Fort Mill, SC
...</t>
  </si>
  <si>
    <t>Postdoctoral Research Associate - Arts and Sciences</t>
  </si>
  <si>
    <t>Washington University in St. Louis</t>
  </si>
  <si>
    <t>E-Learning, EBooks</t>
  </si>
  <si>
    <t>1. Ph.D., M.D. or equivalent terminal or doctoral degree</t>
  </si>
  <si>
    <t>Research Intern - Large Foundational Model (LFM) Evaluation</t>
  </si>
  <si>
    <t>1. Must be accepted or currently enrolled in a PhD program in Computer Science or related STEM field.</t>
  </si>
  <si>
    <t>Research Intern - Data-Driven Accessibility</t>
  </si>
  <si>
    <t>1. Accepted or currently enrolled in a PhD program in Computer Science or a related field.
2. Research Interns are expected to be physically located in their manager’s Microsoft worksite location for the duration of their internship.</t>
  </si>
  <si>
    <t>Student Research Worker, Aiello Research Group</t>
  </si>
  <si>
    <t>$25-$30 /h</t>
  </si>
  <si>
    <t>1. Undergraduate Degree in a related field</t>
  </si>
  <si>
    <t>Research Intern - Database Systems</t>
  </si>
  <si>
    <t>1. Accepted or currently enrolled in a PhD program in Computer Science or related STEM field
2. Research Interns are expected to be physically located in their manager’s Microsoft worksite location for the duration of their internship.</t>
  </si>
  <si>
    <t>Intern - Data Scientist (Co-Op)</t>
  </si>
  <si>
    <t>Wex</t>
  </si>
  <si>
    <t>$20000-$25000 /yr</t>
  </si>
  <si>
    <t>1. Currently enrolled in a Bachelor's or Master's program in Computer Science, Data Science, or a related field
2. Strong programming skills, with proficiency in Python
3. Experience with AI/ML frameworks, such as OpenAI and LangChain
...</t>
  </si>
  <si>
    <t>CRM Risk Analytics - Data and Reporting Intern</t>
  </si>
  <si>
    <t>Bank of China USA</t>
  </si>
  <si>
    <t>1. Basic knowledge in credit analysis.
2. Skills in programming and proficiency in one of the following languages SQL, Java, Python.
3. Good communication skill and positive attitude towards working tasks.</t>
  </si>
  <si>
    <t>$7.25-$15 /h</t>
  </si>
  <si>
    <t>1. Conducting interviews with subjects according to established protocols
2. Completing data analysis, developing design surveys, data entry
3. Conducting literature searches
...</t>
  </si>
  <si>
    <t>Temp RA</t>
  </si>
  <si>
    <t>$7.25-$17.50 /h</t>
  </si>
  <si>
    <t>1. Assist in combining BoardEx Europe, BoardEx North America, BoardEx - Rest of World, and BoardEx - UK datasets
2. Calculate annual coverage across MSCI ACWI, Russell 3000, and S&amp;P 1500 of BoardEx coverage
3. Work on data processing, cleaning, auditing, and creating metrics related to executive composition and board interlocks between companies globally
...</t>
  </si>
  <si>
    <t>Fall/Winter 2024 Strategic Analytics Co-op (US)</t>
  </si>
  <si>
    <t>CSL</t>
  </si>
  <si>
    <t>King of Prussia, PA</t>
  </si>
  <si>
    <t>1. Enrolled in a 4-year university with progression toward an undergraduate degree
2. Excellent communication and presentation skills
3. Ability to work well with all levels of the organization
...</t>
  </si>
  <si>
    <t>Injective Labs</t>
  </si>
  <si>
    <t>Blockchain, Cryptocurrency</t>
  </si>
  <si>
    <t>1. Currently pursuing or recently completed a Master’s or Ph.D. degree in Math, Statistics, Physics, Computer Science, or a related field.
2. Quantitative research/analysis skills with coursework or project experience.
3. Proficiency in creating and using algorithms to meticulously investigate and work through large data or error-checking problems.
...</t>
  </si>
  <si>
    <t>Intern, Analyst- Information Technology Services</t>
  </si>
  <si>
    <t>Cuyahoga Community College</t>
  </si>
  <si>
    <t>1. Current student attending Tri-C with an interest in information technology
2. Ability and willingness to communicate and interact with others
3. Ability to learn new skills quickly
...</t>
  </si>
  <si>
    <t>Research Intern - Fall 2024 - Atlanta, Georgia</t>
  </si>
  <si>
    <t>The Concord Group</t>
  </si>
  <si>
    <t>Consulting, Property Management</t>
  </si>
  <si>
    <t>1. Bachelor's degree or currently pursuing a bachelor’s degree
2. Excellent quantitative skills
3. Excellent written and verbal communication skills
...</t>
  </si>
  <si>
    <t>Museum Data Collection Intern</t>
  </si>
  <si>
    <t>Taft Museum of Art</t>
  </si>
  <si>
    <t>Art, Performing Arts</t>
  </si>
  <si>
    <t>$14-$21 /h</t>
  </si>
  <si>
    <t>1. Post high school course work, technical degree, associate’s degree, National Career Readiness Certificate, business or vocational certificate preferred.
2. Excellent verbal and written communication skills.
3. Experience working directly with the public and providing first-rate customer service.
...</t>
  </si>
  <si>
    <t>New York or Remote (US)</t>
  </si>
  <si>
    <t>Undergraduate Student Research Assistant-hourly</t>
  </si>
  <si>
    <t>Stevens Institute of Technology</t>
  </si>
  <si>
    <t>Hoboken, NJ</t>
  </si>
  <si>
    <t>1. Must be a Stevens student currently enrolled
2. Must have full-time status
3. Bachelors Degree required
...</t>
  </si>
  <si>
    <t>Intern - Data Quality</t>
  </si>
  <si>
    <t>Voith</t>
  </si>
  <si>
    <t>Hydroelectric, Oil and Gas</t>
  </si>
  <si>
    <t>Appleton, WI</t>
  </si>
  <si>
    <t>1. Must have exceptional verbal and written communication skills
2. Proficient in Microsoft Office Suite with a focus on Excel
3. Ability to work independently and as a member of a team
...</t>
  </si>
  <si>
    <t>Data Scientist</t>
  </si>
  <si>
    <t>Navistar</t>
  </si>
  <si>
    <t>Lisle, IL</t>
  </si>
  <si>
    <t>1. Currently pursuing a Bachelor’s degree in Computer Science, Statistics, Data Science/Analytics, Management Information Systems, Mathematics, Natural Science, Economics, Engineering or similar quantitative field and no experience and will obtain degree prior to first day of employment
2. Bachelor’s degree in Computer Science, Statistics, Data Science/Analytics, Management Information Systems, Mathematics, Natural Science, Economics, Engineering or similar quantitative field
3.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t>
  </si>
  <si>
    <t>Data Analyst</t>
  </si>
  <si>
    <t>University of New Mexico</t>
  </si>
  <si>
    <t>Education, Training</t>
  </si>
  <si>
    <t>$16-$17 /h</t>
  </si>
  <si>
    <t>1. Enrolled in a degree seeking program at UNM
2. Enrolled at least half-time (6 hours) at UNM for fall and spring semesters (Audit hours do not count)
3. If Work Study, you must meet Satisfactory Academic Progress</t>
  </si>
  <si>
    <t>High School Student Aide</t>
  </si>
  <si>
    <t>City of New York</t>
  </si>
  <si>
    <t>Government, Legal</t>
  </si>
  <si>
    <t>Brooklyn, NY</t>
  </si>
  <si>
    <t>1. Utilize python, R, SQL, etc.
2. Have a good understanding of statistical and machine learning methods
3. Have an understanding of EMS and/or Fire Operations
...</t>
  </si>
  <si>
    <t>USDA Forest Service Data Science Research on Spatially Explicit Timber Products Demand</t>
  </si>
  <si>
    <t>Triangle, NC</t>
  </si>
  <si>
    <t>1. Currently pursuing or have received a bachelor's, master's, or doctoral degree in one of the relevant fields
2. Degree must have been received within the past five years, or anticipated to be received by 7/1/2024
3. Knowledge of data science best practices
...</t>
  </si>
  <si>
    <t>1. High-school degree
2. Currently enrolled in an undergraduate program
3. Detail oriented
...</t>
  </si>
  <si>
    <t>Research Fellow - MPET - Bioinformatics</t>
  </si>
  <si>
    <t>1. Strong background in bioinformatics skills
2. Excellent verbal and written skills
3. Primary focus in developing software and research techniques and/or tools to analyze biological data
...</t>
  </si>
  <si>
    <t>RESEARCH ASST II (TEMP) - GIS</t>
  </si>
  <si>
    <t>U-M Center for Entrepreneurship</t>
  </si>
  <si>
    <t>1. Must be a student currently enrolled in a graduate program
2. Must be well-versed in natural language models, machine learning, and quantitative analysis</t>
  </si>
  <si>
    <t>Temporary - Research Assistant (Hybrid Eligible)</t>
  </si>
  <si>
    <t>$7.25-$155.75 /h</t>
  </si>
  <si>
    <t>1. COVID-19 vaccination is a requirement for all positions at the University of Pennsylvania
2. New hires are expected to be fully vaccinated before beginning work at the University
3. Job Profile Title: Temporary Employee - Non-Exempt
...</t>
  </si>
  <si>
    <t>Research Assistant / Temp</t>
  </si>
  <si>
    <t>1. Support of computational infrastructure development for numerous ongoing research projects
2. COVID-19 vaccination is a requirement for all positions at the University of Pennsylvania
3. New hires are expected to be fully vaccinated before beginning work at the University
...</t>
  </si>
  <si>
    <t>2024 Summer Intern: Entry Level Data Science</t>
  </si>
  <si>
    <t>N-Power Medicine</t>
  </si>
  <si>
    <t>Biotechnology, Clinical Trials</t>
  </si>
  <si>
    <t>Redwood City, CA</t>
  </si>
  <si>
    <t>1. Currently pursuing a BS in Computer Science, Statistics, Mathematics or related field.
2. Course experience with Machine Learning and AI, and/or advanced statistical topics: e.g., LLMs/NLP, Computer Vision, Causal analysis, Survival Analysis, Experimental design (clinical trials), or Regression models.
3. Excellent programming skills in Python and/or R, ability to work across compute environments.
...</t>
  </si>
  <si>
    <t>Grad Research Asst - UCARE Study</t>
  </si>
  <si>
    <t>$25.45-$25.45 /h</t>
  </si>
  <si>
    <t>1. Must be bilingual in English and Spanish.
2. Student enrolled in a graduate program of nursing or other health-related field.</t>
  </si>
  <si>
    <t>Business Intelligence Intern (8 month internship)</t>
  </si>
  <si>
    <t>Toronto</t>
  </si>
  <si>
    <t>1. Fluent in English both in written and oral communication
2. Strong organizational skills and ability to balance multiple priorities
3. Experienced in preparing and giving presentations
...</t>
  </si>
  <si>
    <t>$19.22-$19.22 /h</t>
  </si>
  <si>
    <t>1. Associate's degree in a related field or equivalency (one year of education can be substituted for two years of related work experience) required.
2. Two years of related experience, ability to use logic and reasoning to prioritize tasks, expertise using MS Office software, and demonstrated human relation and effective communication skills also required.
3. Database experience preferred.
...</t>
  </si>
  <si>
    <t>Graduate Council Research Assistant Position</t>
  </si>
  <si>
    <t>Gannon University</t>
  </si>
  <si>
    <t>Art, College Recruiting</t>
  </si>
  <si>
    <t>1. Enrolled in a graduate program focused on education, such as Curriculum and Instruction, Educational Leadership, Special Education, or a related field.
2. Previous experience in teaching, tutoring, instructional design, curriculum development, or other educational roles is highly valued.
3. Proficiency in educational technology tools, learning management systems (e.g., Canvas, Blackboard), and software relevant to education (e.g., Microsoft Office, Google Workspace).
...</t>
  </si>
  <si>
    <t>Thrive Apprentice - Data Analyst: Data Science</t>
  </si>
  <si>
    <t>Branchburg, New Jersey</t>
  </si>
  <si>
    <t>1. Must be a member of the Multiverse community to be considered and have completed the intro to coding course or data assessment with Multiverse.
2. High school diploma or GED.
3. Associate’s degree or one or more years of work experience.
...</t>
  </si>
  <si>
    <t>Research Intern - Wernersville, PA</t>
  </si>
  <si>
    <t>Caron Treatment Centers</t>
  </si>
  <si>
    <t>Addiction Treatment, Medical</t>
  </si>
  <si>
    <t>Wernersville, PA</t>
  </si>
  <si>
    <t>1. Currently enrolled in an accredited educational institution.
2. Registered and/or currently taking a practicum and/or internship course.
3. Reliable transportation means for commuting to and from our Wernersville campus.
...</t>
  </si>
  <si>
    <t>Metadata Assistant</t>
  </si>
  <si>
    <t>Samba TV</t>
  </si>
  <si>
    <t>Advertising, Apps</t>
  </si>
  <si>
    <t>Florence</t>
  </si>
  <si>
    <t>1. English, French, and German (knowing other languages is a plus)
2. Confidentiality
3. Strong attention to detail
...</t>
  </si>
  <si>
    <t>PhD Internship - Neurodegeneration for 12 months -RiSE program (m/f/d)</t>
  </si>
  <si>
    <t>Roche</t>
  </si>
  <si>
    <t>Basel</t>
  </si>
  <si>
    <t>1. Enrolled in a PhD or medical degree program at a university and are looking to expand your experience with an industry internship bringing a strong foundation in either neuroscience, biomedical engineering, psychology, sleep and circadian research, or a related field. (your PhD defense doesn't take place in the first half of the internship)
2. Proficient in programming languages such as Matlab, Python or R, with a solid understanding of algorithm development, data analysis, and machine learning techniques.
3. Ideally, you have experience in handling large datasets, familiarity with wearable sensor data, and the ability to interpret complex data sets and extract meaningful insights.
...</t>
  </si>
  <si>
    <t>Alternance - Assistant.e Data Quality &amp; Digital F/H/X -  Corporate - Septembre 24</t>
  </si>
  <si>
    <t>CHANEL</t>
  </si>
  <si>
    <t>Apparel, Fashion</t>
  </si>
  <si>
    <t>Paris</t>
  </si>
  <si>
    <t>1. Etudiant(e) en master, en Université dans un domaine s’articulant autour de la Data ou en école d'ingénieur, spécialisé(e) en data science, data analyse, data engineering ou data management.
2. Bonne connaissance d’un des logiciels de Data Visualisation
3. Maîtrise des outils et des langages de manipulation des données (SQL, R, etc.) et des méthodes d'analyse et de visualisation des données (Tableau, Power BI, etc.)
...</t>
  </si>
  <si>
    <t>ENTERPRISE ANALYTICS INTERN</t>
  </si>
  <si>
    <t>Cooper Innovation Center</t>
  </si>
  <si>
    <t>Health Care, Innovation Management</t>
  </si>
  <si>
    <t>Camden, NJ</t>
  </si>
  <si>
    <t>1. Currently pursuing a Master’s or Bachelor's (senior) degree in Business Analytics, Computer Science or other closely related quantitative field with GPA of at least 3.4
2. Highly proficient in the use Tableau version 2018.x or 2019.x for data visualization
3. Highly proficient in Microsoft Office Suite (Word, Excel, and PowerPoint)
...</t>
  </si>
  <si>
    <t>Worth AI</t>
  </si>
  <si>
    <t>Artificial Intelligence (AI), Business Intelligence</t>
  </si>
  <si>
    <t>1. Currently pursuing a degree in Data Science, Statistics, Computer Science, Economics / Econometrics, Chemical Engineering, or related field with an emphasis on machine learning or statistical methods for data analysis
2. Basic proficiency in Python, R or similar object oriented language
3. Understanding of fundamental statistical concepts and methods
...</t>
  </si>
  <si>
    <t>Summer 2025 Quantitative Researcher Internship</t>
  </si>
  <si>
    <t>$240000-$300000 /yr</t>
  </si>
  <si>
    <t>1. PhD candidate in math/physics/statistics/EE/CS, or other quantitative fields
2. Strong knowledge of computational math, probability, and statistics
3. Strong analytical skills, with attention to details
...</t>
  </si>
  <si>
    <t>Intern, Development Data &amp; Systems (Fall 2024)</t>
  </si>
  <si>
    <t>Wolf Trap</t>
  </si>
  <si>
    <t>Performing Arts</t>
  </si>
  <si>
    <t>Wolf Trap, VA</t>
  </si>
  <si>
    <t>1. Strongly interested in pursuing a career in a relevant field (e.g., non-profit management, arts administration, data analytics, database administration, etc.)
2. Experience with Microsoft Office, particularly Excel
3. Interest in learning Microsoft Power Platform, Application Programming Interface (API), and other AI tools
...</t>
  </si>
  <si>
    <t>News Intern Reporter</t>
  </si>
  <si>
    <t>The McClatchy Company</t>
  </si>
  <si>
    <t>Advertising Platforms, Digital Media</t>
  </si>
  <si>
    <t>1. Currently pursuing a degree in Data Science, Business, Finance, Computer Science, or related field.
2. Strong analytical and problem-solving skills with attention to detail.
3. Excellent communication skills and the ability to work collaboratively in a team environment.
...</t>
  </si>
  <si>
    <t>IT Intern</t>
  </si>
  <si>
    <t>Hendrickson</t>
  </si>
  <si>
    <t>Woodridge, IL</t>
  </si>
  <si>
    <t>1. A status of current enrollment or recent graduate from a Business Analytics program required.
2. A minimum of a 3.0 grade point average (GPA) on a 4.0 scale required.
3. Ability to use Microsoft Office programs such as Excel and PowerBI required.
...</t>
  </si>
  <si>
    <t>1. High School Diploma or GED
2. Demonstrated adherence to the standards for the responsible conduct of research
3. Knowledge of basic mathematics, data collection and analysis, and research principles
...</t>
  </si>
  <si>
    <t>Fall Strategic Research Internship</t>
  </si>
  <si>
    <t>Institute For Justice</t>
  </si>
  <si>
    <t>Association, Law Enforcement</t>
  </si>
  <si>
    <t>1. Undergraduate or master’s student or recent graduate
2. Interest in social science and policy research
3. Ability to explore online databases and data sources
...</t>
  </si>
  <si>
    <t>Innovation Ecosystem Research Intern</t>
  </si>
  <si>
    <t>1. Currently enrolled in a Utah institution of higher education
2. Experience with business, or a related field with a keen interest in innovation, industry, startups, and ecosystem building
3. Strong analytical and research skills, with the ability to analyze complex information and present it clearly and concisely
...</t>
  </si>
  <si>
    <t>Sports Data Operator - Baseball/Softball (CA - Bay Area)</t>
  </si>
  <si>
    <t>RealPlay Sports</t>
  </si>
  <si>
    <t>Baseball, Education</t>
  </si>
  <si>
    <t>$18.50-$18.50 /h</t>
  </si>
  <si>
    <t>1. Excellent professional communication skills
2. Understanding of baseball/softball
3. Energy, enthusiasm, and self-motivated
...</t>
  </si>
  <si>
    <t>Research Analyst Intern</t>
  </si>
  <si>
    <t>Integrity Marketing Group</t>
  </si>
  <si>
    <t>Advertising, Digital Marketing</t>
  </si>
  <si>
    <t>1. Currently pursuing a degree in Finance, Business, or a related field.
2. Strong attention to detail.
3. Proficiency in data entry.
...</t>
  </si>
  <si>
    <t>Research Specialist</t>
  </si>
  <si>
    <t>The University of Chicago</t>
  </si>
  <si>
    <t>Higher Education</t>
  </si>
  <si>
    <t>1. College or university degree in a related field
2. Knowledge and skills developed through &lt; 2 years of work experience in a related job discipline</t>
  </si>
  <si>
    <t>Technical Analyst</t>
  </si>
  <si>
    <t>AMEND</t>
  </si>
  <si>
    <t>1. Experience in gathering and defining user requirements for tools and solutions
2. Analyzing processes and identifying gaps
3. Assessing systems and their capabilities versus user and process requirements
...</t>
  </si>
  <si>
    <t>Part-Time Remote Project Data Contributor (No experience needed) – WFH - Anywhere in US</t>
  </si>
  <si>
    <t>Worcester County, MA</t>
  </si>
  <si>
    <t>$1-$1 per accepted photo</t>
  </si>
  <si>
    <t>1. Age: 18 years or older
2. Residence: US-based
3. Device: IOS device (iPhone or iPad)
...</t>
  </si>
  <si>
    <t>Afstudeerstage Digital Trust Sourcing</t>
  </si>
  <si>
    <t>1. Je volgt een hbo-opleiding met een financiële of bedrijfskundige studierichting als Finance &amp; Control, Accountancy, Bedrijfskunde (Management), (Bedrijfs)Economie of Financial Services Management
2. Je zoekt een afstudeerstage per februari 2024
3. Je ziet deze afstudeerstage als opstap naar een baan bij PwC en hebt de ambitie om na je studie opgeleid te worden tot een breed inzetbare Professional in onze Digital Trust Academy</t>
  </si>
  <si>
    <t>Multi-Modal Data Analytics</t>
  </si>
  <si>
    <t>1. Degree: Master's Degree or Doctoral Degree.
2. Academic Level(s): Any academic level.
3. Discipline(s): Computer, Information, and Data Sciences (Artificial Intelligence (including Robotics, Computer Vision, and Human Language Processing), Computer Science (general), Graphics and Visualization, Human Computer Interaction), Engineering (Computer and Systems Engineering)</t>
  </si>
  <si>
    <t>USARIEM Summer 2024 Data Science Fellowship - undergraduate</t>
  </si>
  <si>
    <t>1. Qualified candidates must be a current student pursuing a bachelor's degree in a data science field.
2. Familiarity with advanced coding languages such as Java and Python
3. General knowledge of basic statistics</t>
  </si>
  <si>
    <t>Data Science Internship at U.S. Defense POW/MIA Accounting Agency</t>
  </si>
  <si>
    <t>Offutt Air Force Base, NE</t>
  </si>
  <si>
    <t>1. Currently pursuing or have completed an undergraduate or graduate level degree in computer science or related discipline within five years of the appointment start date
2. Highly competitive applicants will be pursuing an advanced degree during the tenure of their ORISE appointment and have coding and database experience
3. U.S. Citizen Only
...</t>
  </si>
  <si>
    <t>Data Archiving Research Fellowship</t>
  </si>
  <si>
    <t>1. Bachelor's, Master's, or Doctoral degree received within five years of the appointment start date
2. Degree in computer science, data science, or a related field
3. Ability to write computer code in Python and other computer languages
...</t>
  </si>
  <si>
    <t>Army DEVCOM-DAC Data Analysis, Management and Web Development Internship</t>
  </si>
  <si>
    <t>Aberdeen, MD</t>
  </si>
  <si>
    <t>1. Bachelor’s or higher Degree in mathematics, engineering, statistics, physics, chemistry, computer science, or similar disciplines
2. GPA of 3.0 or higher
3. Degree received within five years of the appointment start date</t>
  </si>
  <si>
    <t>Geospatial Data Creation and Curation Fellow</t>
  </si>
  <si>
    <t>1. Demonstrated experience with the Esri suite of products (ArcGIS Desktop, ArcCatalog, ArcGIS Online)
2. Knowledge of open and proprietary exchange formats used in GIS-specific applications
3. Strong written and verbal communications skills
...</t>
  </si>
  <si>
    <t>Forensic Archaeology Research at U.S. Defense POW/MIA Accounting Agency (DPAA)</t>
  </si>
  <si>
    <t>1. Currently pursuing or have completed an undergraduate or graduate level degree in a related STEM field within the past 5 years
2. Knowledge and experience in historic and forensic archaeology, ArcGIS, geographic spatial analysis, and archival research of primary and secondary sources
3. U.S. Citizen Only
...</t>
  </si>
  <si>
    <t>Research Insights Co-Op</t>
  </si>
  <si>
    <t>Matchstick</t>
  </si>
  <si>
    <t>Consulting, Medical Device</t>
  </si>
  <si>
    <t>Boonton, NJ</t>
  </si>
  <si>
    <t>1. Currently pursuing a Bachelor's or Master's degree in Biochemistry/Biophysics, Biology, Biomedical Engineering, Chemical Engineering, Industrial Engineering, Biotechnology, Cognitive Science, Psychology, or Design Innovation. Minimum status of Sophomore in a Bachelor's degree program
2. Naturally curious and quick learner
3. Problem solver with a focus on solutions
...</t>
  </si>
  <si>
    <t>Part-Time Research Assistant - REPEAT Lab</t>
  </si>
  <si>
    <t>Penn State University Park</t>
  </si>
  <si>
    <t>1. Performing a variety of specialized tasks associated with designing and conducting research projects/experiments
2. Collecting, correlating, analyzing, summarizing, and reporting on data
3. Recruiting and scheduling participants for studies
...</t>
  </si>
  <si>
    <t>2025 Business Analyst Intern</t>
  </si>
  <si>
    <t>$24.13-$51.63 /h</t>
  </si>
  <si>
    <t>1. Graduate from Bachelor's degree program between 12/2025 and 6/2026.
2. Ability to relocate nationwide. Relocation assistance provided, if eligible.
3. Ability to complete 12-week internship between May – August 2025.
...</t>
  </si>
  <si>
    <t>Technical Business Analyst Internship (Fall 2024)</t>
  </si>
  <si>
    <t>Business Analyst Intern</t>
  </si>
  <si>
    <t>Yamibuy</t>
  </si>
  <si>
    <t>Beauty, E-Commerce</t>
  </si>
  <si>
    <t>Brea, CA</t>
  </si>
  <si>
    <t>1. Bachelor’s Degree or above in Business Analyst, Information Systems, Engineering, or related field is required; combination of education plus equivalent work experience is acceptable
2. Full-time onsite in Brea office
3. Understands data architecture within relational database environment
...</t>
  </si>
  <si>
    <t>IS Business Office Intern (Multiple Positions Available)</t>
  </si>
  <si>
    <t>Plains</t>
  </si>
  <si>
    <t>Energy, Logistics</t>
  </si>
  <si>
    <t>1. Interns must be pursuing a Master’s or Bachelor’s degree in Business Administration, Computer Science, or related fields
2. Keen interest in learning how technology can enable business objectives and strategy
3. Strong business acumen and quantitative aptitude
...</t>
  </si>
  <si>
    <t>Youth Apprentice, Business Operations, Amazon JumpStart</t>
  </si>
  <si>
    <t>1. Currently working towards a High School Degree with an expected conferral date between May 2025 and May 2026
2. Attend a high school currently participating in CareerWise D.C./CityWorks DC apprenticeship programming model
3. Ability to work 16 hours per week after school hours</t>
  </si>
  <si>
    <t>Student Trainee (Business Analyst).</t>
  </si>
  <si>
    <t>Bonneville Power Administration</t>
  </si>
  <si>
    <t>1. Currently enrolled in an accredited college (including 4-year colleges/universities, community colleges, and junior colleges); professional, technical, vocational, and trade school; advanced degree programs; or other qualifying educational institution pursuing a qualifying degree or certificate.
2. Must be in good academic standing.
3. Must be at least 16 years of age or older.
...</t>
  </si>
  <si>
    <t>Plains Midstream Canada</t>
  </si>
  <si>
    <t>Biomass Energy, Oil and Gas</t>
  </si>
  <si>
    <t>1. Interns must be pursuing a Master’s or Bachelor’s degree in Business Administration, Computer Science, or related fields
2. Previous internships are considered an asset
3. Keen interest in learning how technology can enable business objectives and strategy
...</t>
  </si>
  <si>
    <t>Business Analyst Intern - Summer 2025</t>
  </si>
  <si>
    <t>Capital One</t>
  </si>
  <si>
    <t>Banking, Credit Cards</t>
  </si>
  <si>
    <t>$113000-$113000 /yr</t>
  </si>
  <si>
    <t>1. Currently pursuing a Bachelor’s degree or higher with an expectation that you will complete your most recent full-time degree program by August 2026 or earlier
2. Must be continuing in the same course of study of your most recent full-time degree program following completion of the internship</t>
  </si>
  <si>
    <t>McLean, VA</t>
  </si>
  <si>
    <t>Intern - Commercial Business Analytics</t>
  </si>
  <si>
    <t>Santander Private Banking International</t>
  </si>
  <si>
    <t>1. Participate in multiple projects related to Appian initiatives and other initiatives in Commercial Transformation area
2. Definition of requirements related to Appian Onboarding and Updates BAU
3. Testing and follow-up with IT for implementation of requirements
...</t>
  </si>
  <si>
    <t>ATPCO</t>
  </si>
  <si>
    <t>Aerospace</t>
  </si>
  <si>
    <t>1. Currently working toward a Business Administration, Data Analytics or similar degree
2. Skilled in data analytics using Excel and Tableau
3. Excellent research, analytical, and problem-solving skills
...</t>
  </si>
  <si>
    <t>Santander</t>
  </si>
  <si>
    <t>Miami</t>
  </si>
  <si>
    <t>1. Participate in multiple projects related to Appian and other initiatives in Commercial Transformation area
2. Definition of requirements related to Appian Onboarding and Updates BAU
3. Testing and follow-up with IT for implementation of requirements
...</t>
  </si>
  <si>
    <t>Boostability</t>
  </si>
  <si>
    <t>1. Currently enrolled in or recently graduated from an undergraduate or non-business master’s program with graduation dates between December 2025 – August 2026.
2. Strong analytical skills and comfort with data-driven decision-making.
3. Excellent verbal and written communication skills in English and the local office language.
...</t>
  </si>
  <si>
    <t>1. Good communication skills
2. Organization skills
3. Working knowledge of day to day operations and priorities within the department and the company</t>
  </si>
  <si>
    <t>Dulles, VA</t>
  </si>
  <si>
    <t>Business Analysis Intern, IT – Fall 2024</t>
  </si>
  <si>
    <t>1. Pursuing degree in Computer Science, Business Administration, Management Information Systems, or related tracks
2. Seeking career in the entertainment industry in technology and/or business analysis</t>
  </si>
  <si>
    <t>Business Analyst (Domain in Capital Markets industry)</t>
  </si>
  <si>
    <t>Upskills</t>
  </si>
  <si>
    <t>Ontario, CA</t>
  </si>
  <si>
    <t>1. Master's Degree Holder, preferably from Financial Engineering, Banking and Finance, Computer Science, Quantitative Finance, Information System or similar disciplines
2. Knowledge on financial products such as forwards, futures, swaps, bonds and options
3. Proactive with the ability to deliver tasks on-time
...</t>
  </si>
  <si>
    <t>Los Angeles Apparel</t>
  </si>
  <si>
    <t>$16.78-$16.78 /h</t>
  </si>
  <si>
    <t>1. Detail-oriented and able to see patterns and exceptions in large data sets
2. Strong data visualization skills
3. Passion for learning and teaching others
...</t>
  </si>
  <si>
    <t>Business Operations Specialist</t>
  </si>
  <si>
    <t>BeaconFire</t>
  </si>
  <si>
    <t>East Windsor, NJ</t>
  </si>
  <si>
    <t>1. Enrolled in or finished undergraduate or graduate degree programs.
2. Excellent English verbal and written communication skills.
3. Strong analytical and critical thinking abilities.
...</t>
  </si>
  <si>
    <t>Business Analyst Intern, Project Management Office (PMO)</t>
  </si>
  <si>
    <t>UVA Health</t>
  </si>
  <si>
    <t>Health Care, Hospital</t>
  </si>
  <si>
    <t>$19.49-$30.21 /h</t>
  </si>
  <si>
    <t>1. Currently enrolled in a relevant Undergraduate or Graduate program
2. Strong Preference given to UVA Students
3. Education: High School Graduate or Equivalent
...</t>
  </si>
  <si>
    <t>Massey Services-BA Intern</t>
  </si>
  <si>
    <t>Massey Services</t>
  </si>
  <si>
    <t>Commercial, Consumer</t>
  </si>
  <si>
    <t>1. Analyze operational and corporate procedures to identify areas for potential optimization and streamlining
2. Recommend Business Strategy
3. Support the Implementation Plan of New Business Processes
...</t>
  </si>
  <si>
    <t>Taylor Corporation</t>
  </si>
  <si>
    <t>Brand Marketing, Computer</t>
  </si>
  <si>
    <t>North Mankato, MN - Taylor Corporation</t>
  </si>
  <si>
    <t>1. Enrolled in a four year college degree program, or equivalent, in IT or Business Administration
2. Excellent organization skills, follow-through, &amp; analytical skills
3. Strong attention to detail
...</t>
  </si>
  <si>
    <t>CrossTech Consulting Group, Inc.</t>
  </si>
  <si>
    <t>1. Undergraduate students (rising sophomores and above) pursuing a Bachelor's or Master's degree/recent graduates in relevant field such as Economics, Statistics and Business Administration
2. Community college students who will have completed their second year by June 2024
3. Strong analytical skills
...</t>
  </si>
  <si>
    <t>Internship for Business-Analysis and -Development</t>
  </si>
  <si>
    <t>Axiomatic_AI</t>
  </si>
  <si>
    <t>1. Demonstrated interest and competency in business analysis, strategic thinking, and market research, particularly in deep technology-driven sectors (especially AI and/or semiconductor segments)
2. Strong analytical and problem-solving skills via big-data and other code-heavy tools
3. Ability to thrive in a fast-paced, innovative, and interdisciplinary environment
...</t>
  </si>
  <si>
    <t>SAINT LAURENT Stagiaire Business Analyst</t>
  </si>
  <si>
    <t>Kering Ventures</t>
  </si>
  <si>
    <t>PARIS</t>
  </si>
  <si>
    <t>1. De formation supérieure (école d’ingénieur / école de commerce)
2. Vous avez une très forte affinité avec l’analyse, ainsi qu’une appétence prononcée pour les chiffres.
3. Vous avez une maitrise avancée d’Excel et avez travaillé sur la mise en place de rapports Power BI.
...</t>
  </si>
  <si>
    <t>College Coop: BTS/PMO Business Architect Assistant</t>
  </si>
  <si>
    <t>Independence Blue Cross</t>
  </si>
  <si>
    <t>Health Care, Health Insurance</t>
  </si>
  <si>
    <t>1. Analytical and problem-solving skills
2. High degree of attention to detail
3. Proven ability to work effectively with teams and individually; agile and adaptable
...</t>
  </si>
  <si>
    <t>Job Function</t>
  </si>
  <si>
    <t>RFIC Design Intern</t>
  </si>
  <si>
    <t>Qorvo</t>
  </si>
  <si>
    <t>Network Hardware, Semiconductor</t>
  </si>
  <si>
    <t>Electrical and Controls Engineering</t>
  </si>
  <si>
    <t>Billerica, MA</t>
  </si>
  <si>
    <t>1. Currently enrolled in an MSEE or PhD program with coursework in Analog Integrated Circuit Design, Semiconductor Physics and/or Device Fabrication
2. Understanding of basic circuits, at transistor level (e.g. amplifiers, bias networks, attenuators, switches, and detectors)
3. Knowledge of microwave components (e.g. transmission lines, power combiners/splitters and filters)
...</t>
  </si>
  <si>
    <t>Lab Programs Intern for Histology</t>
  </si>
  <si>
    <t>OSF HealthCare</t>
  </si>
  <si>
    <t>Air Transportation, Education</t>
  </si>
  <si>
    <t>Biomedical Engineering</t>
  </si>
  <si>
    <t>1. Medical Laboratory Science Program Intern/Extern currently enrolled in an OSF Laboratory Medical Laboratory Science program
2. Minimum cumulative GPA of 2.75 and includes: 16 credits of chemistry, 16 credits of biology, and 3 credits of math
3. A total of 90 semester hours of college course work minimum
...</t>
  </si>
  <si>
    <t>Painting Apprentice</t>
  </si>
  <si>
    <t>Stewart Painting</t>
  </si>
  <si>
    <t>Construction, Service Industry</t>
  </si>
  <si>
    <t>Other Engineering</t>
  </si>
  <si>
    <t>Barnstable, MA</t>
  </si>
  <si>
    <t>$17-$20 /h</t>
  </si>
  <si>
    <t>1. Valid driver's license
2. No prior experience necessary!</t>
  </si>
  <si>
    <t>SOC Analyst- Skillbridge Internship</t>
  </si>
  <si>
    <t>Second Front Systems</t>
  </si>
  <si>
    <t>Information Services, Information Technology</t>
  </si>
  <si>
    <t>Cyber Security</t>
  </si>
  <si>
    <t>1. Motivated SOC Analyst to support our team.
2. Help ensure that Game Warden maintains a strong security posture.
3. Play a critical role in safeguarding Second Front’s digital assets, platform, and customers.
...</t>
  </si>
  <si>
    <t>Solar Sales Engineer Intern / CO-OP</t>
  </si>
  <si>
    <t>Melink Solar</t>
  </si>
  <si>
    <t>Energy Engineering</t>
  </si>
  <si>
    <t>1. Must be pursuing an engineering related degree.
2. Must understand solar photovoltaic technology.
3. Must be passionate about the renewable energy business, hardworking, independent, and thrive in fast-paced environment.
...</t>
  </si>
  <si>
    <t>Civil Engineering Intern- Summer 2025</t>
  </si>
  <si>
    <t>Texas Commerce Bank National Association</t>
  </si>
  <si>
    <t>Association, Banking</t>
  </si>
  <si>
    <t>Civil and Structural Engineering</t>
  </si>
  <si>
    <t>Valhalla, NY</t>
  </si>
  <si>
    <t>$19-$30 /h</t>
  </si>
  <si>
    <t>1. Actively enrolled in an accredited Traffic Engineering, or related, Undergraduate program with an anticipated graduation date of August 2025 or later.
2. Must be 18 or older.
3. Demonstrated interest in Traffic Engineering, or related field, and have a strong desire to advance skills related to WSP’s work and projects.
...</t>
  </si>
  <si>
    <t>Industrial Engineering Intern - Fall 2024</t>
  </si>
  <si>
    <t>BAE Systems, Inc.</t>
  </si>
  <si>
    <t>Industrial Engineering</t>
  </si>
  <si>
    <t>$40600-$54800 /yr</t>
  </si>
  <si>
    <t>1. Currently pursuing a Bachelor's Degree in Manufacturing, Industrial, Systems, Process or Mechanical Engineering or related field</t>
  </si>
  <si>
    <t>Systems Engineer Intern</t>
  </si>
  <si>
    <t>InComm Payments</t>
  </si>
  <si>
    <t>Financial Services, Payments</t>
  </si>
  <si>
    <t>System Engineering</t>
  </si>
  <si>
    <t>1. Interns are required to work 20 hours per week (flexible M-F schedule) year round
2. Junior or incoming Senior enrolled in a local Atlanta University, pursuing a BS or BA degree within the field of Computer Science (or equivalent)
3. College students graduating December 2024 and later are eligible
...</t>
  </si>
  <si>
    <t>Civil Engineering Intern (Available Fall 2024)</t>
  </si>
  <si>
    <t>Arup</t>
  </si>
  <si>
    <t>Consulting, Professional Services</t>
  </si>
  <si>
    <t>$23.50-$35 /h</t>
  </si>
  <si>
    <t>1. Pursuing Bachelor’s degree or higher in civil engineering, or relevant engineering degree
2. Sound knowledge of civil engineering fundamentals
3. Experience with CAD software
...</t>
  </si>
  <si>
    <t>Generac Power Systems</t>
  </si>
  <si>
    <t>Mechanical and Manufacturing Engineering</t>
  </si>
  <si>
    <t>South Burlington, VT</t>
  </si>
  <si>
    <t>1. Currently pursuing a BS degree (preferably in Mechanical, Electrical, Industrial or Civil Engineering).
2. Understanding or working knowledge of Pro-E and/or AutoCAD experience.
3. Microsoft Office experience (including Excel).
...</t>
  </si>
  <si>
    <t>Process Engineering Co-op 2025</t>
  </si>
  <si>
    <t>Ingevity Corp.</t>
  </si>
  <si>
    <t>Chemical</t>
  </si>
  <si>
    <t>Waynesboro, GA</t>
  </si>
  <si>
    <t>1. Students currently enrolled in a bachelor’s degree granting program with a major in Engineering with an expected graduation date from May 2026 to May 2027 (or academic sophomore or junior).
2. Students should have completed at least one semester/quarter/trimester of engineering coursework related to their major before starting as a co-op and at least one semester/quarter/trimester of study left in their academic coursework following the co-op.
3. Students available to complete at least two co-op terms with one semester of study in between (i.e. co-op in Summer, go back to school in Fall and return to co-op in Spring).
...</t>
  </si>
  <si>
    <t>Year Round Engineering Internship - Thermoforming</t>
  </si>
  <si>
    <t>Berry Plastics</t>
  </si>
  <si>
    <t>Manufacturing, Medical Device</t>
  </si>
  <si>
    <t>Materials and Chemical Engineering</t>
  </si>
  <si>
    <t>1. High School Diploma
2. Must be currently enrolled in an ABET or ATME accredited Engineering Project and in good standing.
3. Good past work experience.
...</t>
  </si>
  <si>
    <t>Forge/Skillbridge System Engineer</t>
  </si>
  <si>
    <t>1. A foundational understanding of software languages
2. Java or other OOP Language (C++/C#/Python/Ruby)
3. Exposed to OS Technologies
...</t>
  </si>
  <si>
    <t>Intern, AI Sales Tools</t>
  </si>
  <si>
    <t>Check Point Software Technologies</t>
  </si>
  <si>
    <t>Cyber Security, Hardware</t>
  </si>
  <si>
    <t>Machine Learning</t>
  </si>
  <si>
    <t>1. Currently enrolled in a Bachelor’s degree program in Computer Science, Data Science, Engineering, or Programming related field
2. Proficient in developing AI models
3. Strong knowledge in working with Langchain and other AI frameworks, enabling seamless integration and implementation of AI solutions
...</t>
  </si>
  <si>
    <t>Postdoctoral Scholar for Geography</t>
  </si>
  <si>
    <t>University of Oregon - Charles H. Lundquist College of Business</t>
  </si>
  <si>
    <t>1. PhD in Earth Science, Physical Geography, or related field (required at the time of appointment).
2. Ability to work effectively with faculty, staff, and students from a variety of diverse backgrounds.</t>
  </si>
  <si>
    <t>IT Intern- Database Administration</t>
  </si>
  <si>
    <t>Dematic</t>
  </si>
  <si>
    <t>Data Engineering</t>
  </si>
  <si>
    <t>1. Must be able to work part-time through the school year and full time during the summer
2. Must be able to work in our Grand Rapids office daily
3. Must be enrolled in an undergraduate program and have 2 years completed towards a degree in Information Technology, Computer Science, Computer Networking, System Administration, Data Analytics, or related field
...</t>
  </si>
  <si>
    <t>Tool &amp; Die Apprenticeship</t>
  </si>
  <si>
    <t>Operio Group</t>
  </si>
  <si>
    <t>Manufacturing, Pharmaceutical</t>
  </si>
  <si>
    <t>McKeesport, PA</t>
  </si>
  <si>
    <t>1. Must either be enrolled or willing to enroll in an NTMA sponsored training program and attend on-site training classes one – two evenings per week. This is a 4-year program.
2. Ability to operate objects, tools, or controls and reach with hands and arms.
3. Frequent sitting and occasional walking, standing, and stooping.
...</t>
  </si>
  <si>
    <t>Electrical Intern</t>
  </si>
  <si>
    <t>Mason &amp; Hanger</t>
  </si>
  <si>
    <t>Product Design</t>
  </si>
  <si>
    <t>$17.20-$19.20 /h</t>
  </si>
  <si>
    <t>1. Currently enrolled in college.
2. US citizenship required. Ability to obtain Top Secret security clearance.
3. Great attitude and team player.
...</t>
  </si>
  <si>
    <t>Spring 2025 Electrical Engineering Co-Op</t>
  </si>
  <si>
    <t>Raytheon</t>
  </si>
  <si>
    <t>$37000-$82000 /yr</t>
  </si>
  <si>
    <t>1. Student actively pursuing a bachelor’s degree in electrical engineering, computer engineering or related technical field.
2. U.S. person or the ability to obtain an Export Authorization from the appropriate government agency for non-U.S. persons.
3. Experience using lab equipment (oscilloscopes, meters, power supplies, spectrum analyzers, various probes)
...</t>
  </si>
  <si>
    <t>PC LAN Admin Intern</t>
  </si>
  <si>
    <t>Autoliv</t>
  </si>
  <si>
    <t>Automotive, Industrial Manufacturing</t>
  </si>
  <si>
    <t>Network Engineering</t>
  </si>
  <si>
    <t>1. Working towards an IT-related associate’s or bachelor’s degree</t>
  </si>
  <si>
    <t>University of Oregon School of Journalism and Communication</t>
  </si>
  <si>
    <t>Advertising, Education</t>
  </si>
  <si>
    <t>Technical Intern - FPL</t>
  </si>
  <si>
    <t>NextEra Energy</t>
  </si>
  <si>
    <t>Clean Energy, Energy</t>
  </si>
  <si>
    <t>Palm Beach Gardens, FL</t>
  </si>
  <si>
    <t>1. High School Grad / GED
2. Experience: 0+ years
3. Valid Driver's License (NON-CDL)
...</t>
  </si>
  <si>
    <t>Mechanical Engineer Intern - Summer 2025</t>
  </si>
  <si>
    <t>1. Must be currently pursuing B.S., M.Eng., or M.S. in Mechanical Engineering from an accredited program
2. Proper work authorizations will be required</t>
  </si>
  <si>
    <t>Electrical Engineer Intern - Summer 2025</t>
  </si>
  <si>
    <t>1. Must be currently pursuing B.S., M.Eng., or M.S. in Electrical Engineering, Electrical and Computer Engineering, Computer Engineering, Systems Engineering or similar from an accredited program
2. Proper work authorizations will be required</t>
  </si>
  <si>
    <t>AI &amp; Data Science Study &amp; Intern</t>
  </si>
  <si>
    <t>Refonte Infini - Infiniment Grand</t>
  </si>
  <si>
    <t>1. Currently pursuing any degree showcasing a strong commitment to continuous learning and professional growth.
2. Exceptional written and verbal communication skills, vital for effective collaboration and articulation of complex ideas.
3. Demonstrated ability to work both independently and as part of a cohesive team, highlighting adaptability and strong teamwork capabilities.</t>
  </si>
  <si>
    <t>Researcher Internship - ICML 2024</t>
  </si>
  <si>
    <t>$5460-$10680 /mon</t>
  </si>
  <si>
    <t>1. Bachelor's Degree (complete or in progress) in relevant field AND 3+ months related research internship experience
2. OR Master's Degree in relevant field
3. OR equivalent experience.
...</t>
  </si>
  <si>
    <t>Co-op Engineering Laboratory</t>
  </si>
  <si>
    <t>Copeland</t>
  </si>
  <si>
    <t>CleanTech, Heating  Ventilation  and Air Conditioning (HVAC)</t>
  </si>
  <si>
    <t>Sidney, OH</t>
  </si>
  <si>
    <t>1. Undergraduate Student currently pursuing a Bachelor’s Degree in Mechanical Engineering or related field
2. Ability to work 40 hours a week during the scheduled semester
3. Legal authorization to work in the United States - Sponsorship for this role will not be provided</t>
  </si>
  <si>
    <t>Co-op: Mechanical Engineering, Powertrain Installation BEV (Spring 2025)</t>
  </si>
  <si>
    <t>Volvo Group</t>
  </si>
  <si>
    <t>Automotive, Industrial</t>
  </si>
  <si>
    <t>$16-$46 /h</t>
  </si>
  <si>
    <t>1. Must be enrolled and pursuing a degree in Mechanical Engineering at an accredited school and have completed 30 semester hours of undergraduate studies.
2. Applicants must have a minimum cumulative grade point average of 2.75.
3. Co-ops are not enrolled in academic courses during their co-op rotation and may work up to 40 hours per week.</t>
  </si>
  <si>
    <t>USDA-FS Imaging and Molecular Biology of Drought Response in Trees</t>
  </si>
  <si>
    <t>1. Currently pursuing an associate's or bachelor's degree in one of the relevant fields.</t>
  </si>
  <si>
    <t>Entry Level Installer</t>
  </si>
  <si>
    <t>Pyramid Heating &amp; Cooling</t>
  </si>
  <si>
    <t>Construction, Customer Service</t>
  </si>
  <si>
    <t>Bend, OR</t>
  </si>
  <si>
    <t>$19-$29 /h</t>
  </si>
  <si>
    <t>1. Mechanically inclined
2. High School diploma or GED
3. Valid driver's license with an insurable driving record
...</t>
  </si>
  <si>
    <t>Russia Program Research Internship FALL 2024</t>
  </si>
  <si>
    <t>Middle East Research Internship FALL 2024</t>
  </si>
  <si>
    <t>Cyber &amp; Technology Innovation Research Internship FALL 2024</t>
  </si>
  <si>
    <t>Cyber Security Training &amp; Internship</t>
  </si>
  <si>
    <t>Refonte Learning</t>
  </si>
  <si>
    <t>Planning &amp; Development Intern</t>
  </si>
  <si>
    <t>Lincoln Airport Authority</t>
  </si>
  <si>
    <t>Air Transportation</t>
  </si>
  <si>
    <t>$17.32-$25.34 /h</t>
  </si>
  <si>
    <t>1. Knowledge of standard office suite software, especially the use of word processors and spreadsheet programs.
2. Knowledge of computer-aided drafting (CAD) or database management and geographic information system (GIS) software.
3. Skilled at completing documentation and calculations with detail and accuracy.
...</t>
  </si>
  <si>
    <t>DOD Skillbridge - Solutions Architecture</t>
  </si>
  <si>
    <t>Pressure Systems Engineering Intern</t>
  </si>
  <si>
    <t>1. Educational requirement is a high school diploma or GED or equivalent and active enrollment in and continued participation in an ABET-accredited university engineering program leading to a BS in mechanical or aerospace engineering is required.
2. Be familiar with MS Office applications (Excel, Word, PowerPoint etc.).
3. Have some understanding of engineering drawings and possess the ability to generate and review drawings as necessary.
...</t>
  </si>
  <si>
    <t>Water/Wastewater Resources Engineer Intern - Summer 2025</t>
  </si>
  <si>
    <t>Environmental Engineering</t>
  </si>
  <si>
    <t>1. Actively enrolled in an accredited Water Resources Engineering, Civil Engineering, Environmental Engineering or related, Undergraduate program with an anticipated graduation date of August 2025 or later.
2. Must be 18 or older.
3. Demonstrated interest in Water Resources Engineering, or related field, and have a strong desire to advance skills related to WSP’s work and projects.
...</t>
  </si>
  <si>
    <t>Apprentice Engineer</t>
  </si>
  <si>
    <t>Survitec</t>
  </si>
  <si>
    <t>Aerospace, National Security</t>
  </si>
  <si>
    <t>Sharon Center, OH</t>
  </si>
  <si>
    <t>1. Educated to High School / Further Education college level, with 2 A Levels
2. 4 – 6 months experience of simple office or operational systems</t>
  </si>
  <si>
    <t>Onsite Community Standards Inspector - (MKTX2024-7293)</t>
  </si>
  <si>
    <t>RealManage</t>
  </si>
  <si>
    <t>Real Estate</t>
  </si>
  <si>
    <t>Safety and Compliance Engineering</t>
  </si>
  <si>
    <t>$18-$22 /h</t>
  </si>
  <si>
    <t>1. Must have own vehicle
2. Clean driving record
3. Detail oriented
...</t>
  </si>
  <si>
    <t>Mechanical Engineer Intern C (Palm Bay, FL)</t>
  </si>
  <si>
    <t>1. Pursuing Bachelor’s degree in Mechanical Engineering, Aerospace Engineering, Engineering Mechanics, Materials Science Engineering or related field</t>
  </si>
  <si>
    <t>Mechanical Engineering Intern</t>
  </si>
  <si>
    <t>Auriga Space</t>
  </si>
  <si>
    <t>Aerospace, Government</t>
  </si>
  <si>
    <t>Garden Grove, CA</t>
  </si>
  <si>
    <t>1. Is currently enrolled in a bachelor’s degree program for mechanical engineering
2. 3+ months of applied engineering experience (such as internship, laboratory, or personal/team project experience)
3. Able to start working full time on-site beginning in Q3 or Q4 of 2024
...</t>
  </si>
  <si>
    <t>Research and Development Intern -2024</t>
  </si>
  <si>
    <t>Altamira</t>
  </si>
  <si>
    <t>Analytics, Software</t>
  </si>
  <si>
    <t>Fairborn, OH</t>
  </si>
  <si>
    <t>1. Knowledge of digital signal processing techniques
2. Math through advanced calculus
3. Strong general science background in Physics/Chemistry
...</t>
  </si>
  <si>
    <t>RF/Wireless Engineer Intern C (Salt Lake City, UT)</t>
  </si>
  <si>
    <t>Telecommunications Engineering</t>
  </si>
  <si>
    <t>1. Bachelor’s Degree Physics or Electrical Engineering or related Engineering discipline</t>
  </si>
  <si>
    <t>2025 Summer Key's Technology, Operations &amp; Services (Security Track) Internship - Cleveland</t>
  </si>
  <si>
    <t>Brooklyn, OH</t>
  </si>
  <si>
    <t>$23-$23 /h</t>
  </si>
  <si>
    <t>1. Rising Junior or rising Senior enrolled in a Bachelor’s degree program with focused coursework in Cybersecurity, Computer Science, Information Systems, IT Management, Software Engineering, Web Development, Computer Programming, Network Engineering, Game Design and System Administration or related field or Industrial Engineering, Operations, Statistics/ Mathematics, Finance/Accounting, Intelligent Studies, Criminal Justice, Business, or related field
2. Outstanding academic achievement (minimum 3.0 GPA)
3. Demonstrated leadership and teamwork from past work experience and/or extracurricular activities
...</t>
  </si>
  <si>
    <t>Systems Engineer Intern D (Salt Lake City, UT)</t>
  </si>
  <si>
    <t>1. Pursuing a Bachelor’s degree in Systems Engineering, Electrical Engineering, Mechanical Engineering, Computer Engineering, Computer Science, Physics, Mathematics, Aviation, Aerospace Engineering, or related field</t>
  </si>
  <si>
    <t>Mechanical Engineer Intern C (Salt Lake City, UT)</t>
  </si>
  <si>
    <t>Mechanical Engineer Intern D (Londonderry, NH)</t>
  </si>
  <si>
    <t>Internship – Information Security</t>
  </si>
  <si>
    <t>Delta Dental of Michigan</t>
  </si>
  <si>
    <t>Health Care</t>
  </si>
  <si>
    <t>Okemos, MI</t>
  </si>
  <si>
    <t>1. Must be currently pursuing a bachelor's degree in Computer Science, Cybersecurity, or a related field.</t>
  </si>
  <si>
    <t>Quality Engineer Co-Op</t>
  </si>
  <si>
    <t>Freudenberg</t>
  </si>
  <si>
    <t>Automotive, CleanTech</t>
  </si>
  <si>
    <t>Midland, MI</t>
  </si>
  <si>
    <t>1. Must be enrolled in and working towards a Bachelor’s degree in Engineering or related field.
2. Should be an active undergrade with a GPA above 2.5.
3. Proficient in communications, written and oral.
...</t>
  </si>
  <si>
    <t>Network Engineer - HOH Fellows &amp; DoD SkillBridge Applicants Only</t>
  </si>
  <si>
    <t>General Dynamics Mission Systems</t>
  </si>
  <si>
    <t>Aerospace, Business Information Systems</t>
  </si>
  <si>
    <t>National City, CA</t>
  </si>
  <si>
    <t>1. Has served at least 180 days on active duty
2. Is within 12 months of separation or retirement
3. Will receive an honorable discharge
...</t>
  </si>
  <si>
    <t>Civil Engineering Intern</t>
  </si>
  <si>
    <t>Kimley-Horn</t>
  </si>
  <si>
    <t>Civil Engineering</t>
  </si>
  <si>
    <t>1. In the process of receiving an ABET accredited engineering degree (Bachelors or Masters) in one of the following majors: Civil and/or Environmental Engineering, Mechanical, Electrical, Biological, Biosystems, Chemical, or Agricultural Engineering, Engineering Technology</t>
  </si>
  <si>
    <t>TalentForge Solutions</t>
  </si>
  <si>
    <t>Delaware, United States</t>
  </si>
  <si>
    <t>1. Working knowledge of PC business software applications (Word, Excel, PowerPoint, etc.), VBA, SQL, and Tableau (Or Amazon QuickSight).
2. Highly motivated and a self-starter.
3. Strong oral and written communication skills.
...</t>
  </si>
  <si>
    <t>Fall Intern - Research, Synthesis &amp; New Technology (RSNT)</t>
  </si>
  <si>
    <t>Patient-Centered Outcomes Research Institute</t>
  </si>
  <si>
    <t>Health Care, Information Technology</t>
  </si>
  <si>
    <t>$17.50-$20 /h</t>
  </si>
  <si>
    <t>1. Experience synthesizing data/information from various sources
2. Ability to work independently and manage projects
3. Willingness to collaborate as part of a team
...</t>
  </si>
  <si>
    <t>Student Co-Op - 1 in Finance and 1 in Quality/Engineering</t>
  </si>
  <si>
    <t>Howmet Aerospace</t>
  </si>
  <si>
    <t>Winsted, CT</t>
  </si>
  <si>
    <t>1. Must be enrolled in either an Associate's or Bachelor's degree program in either a Technical or Business related field.
2. Must be available to work a minimum 15 to 20 hours a week.
3. Employees must be legally authorized to work in the United States. Verification of employment eligibility will be required at the time of hire. Visa sponsorship is not available for this position.</t>
  </si>
  <si>
    <t>Electrical Engineering Fall Co-Op</t>
  </si>
  <si>
    <t>Draper</t>
  </si>
  <si>
    <t>1. Enrolled in an accredited engineering curriculum full-time undergraduate or graduate degree program required.
2. Co-op Students must be US citizens and able to work full-time for a 6 month period.
3. Excellent written and oral communication skills.
...</t>
  </si>
  <si>
    <t>Semiconductor</t>
  </si>
  <si>
    <t>ENIN Systems</t>
  </si>
  <si>
    <t>Cloud Computing, Consulting</t>
  </si>
  <si>
    <t>1. Masters or Bachelor of Science degree in Computer or Electrical Engineering
2. 3+ years of experience
3. Strong communication and problem-solving skills
...</t>
  </si>
  <si>
    <t>$23-$29 /h</t>
  </si>
  <si>
    <t>SLC Metro Area</t>
  </si>
  <si>
    <t>$21-$26 /h</t>
  </si>
  <si>
    <t>Applied Scientist Internship - ICML 2024</t>
  </si>
  <si>
    <t>1. Currently pursuing a Doctorate Degree in Statistics, Econometrics, Computer Science, Electrical or Computer Engineering, or related field.
2. Must have at least one additional quarter/semester of school remaining following the completion of the internship in Summer 2025.
3. Registered for or attending ICML (The International Conference on Machine Learning) 2024</t>
  </si>
  <si>
    <t>Data Analytics Engineer</t>
  </si>
  <si>
    <t>Raymond, OH</t>
  </si>
  <si>
    <t>1. 3 months of co-op experience in Analytical or information analysis required
2. Bachelor’s degree in Computer Science, Data Analytics, Mathematics or Engineering with strong engineering aptitude</t>
  </si>
  <si>
    <t>***Electrical Engineering Co-Op - Spring 2025</t>
  </si>
  <si>
    <t>1. Candidate should be pursuing a bachelor’s degree in electrical engineering, Electrical Engineering Technology, Computer Engineering, or equivalent.
2. Good written, verbal, analytical, and interpersonal skills
3. Candidate must have own reliable means of transportation
...</t>
  </si>
  <si>
    <t>***Mechanical Engineering Co-Op - Fall 2024 1</t>
  </si>
  <si>
    <t>1. Candidate should be pursuing a Bachelors degree, preferably in Mechanical Engineering
2. Good written communication, verbal communication, analytical, and interpersonal skills
3. Candidate must have reliable means of transportation
...</t>
  </si>
  <si>
    <t>Land Development Intern</t>
  </si>
  <si>
    <t>1. Currently pursuing undergraduate degree in Civil Engineering
2. Strong interest in civil engineering
3. Excellent verbal, written and interpersonal communication skills
...</t>
  </si>
  <si>
    <t>Trainee Residential Surveyor 2024</t>
  </si>
  <si>
    <t>LSL Property Services</t>
  </si>
  <si>
    <t>Commercial Real Estate, Professional Services</t>
  </si>
  <si>
    <t>1. Eligibility for the 1-year route to AssocRICS accreditation
2. Strong base knowledge of Residential Building Pathology
3. A RICS or CIOB accredited degree or post-graduate qualification, plus a minimum of one-year industry relevant work experience
...</t>
  </si>
  <si>
    <t>Plumbing Apprentice</t>
  </si>
  <si>
    <t>Art Plumbing, Air Conditioning &amp; Electric</t>
  </si>
  <si>
    <t>Building Maintenance, Construction</t>
  </si>
  <si>
    <t>Coral Springs, FL</t>
  </si>
  <si>
    <t>1. Clean, safe driving record and Background.
2. Highly organized with exceptional follow-through abilities.
3. Strong verbal and written communications.
...</t>
  </si>
  <si>
    <t>Studentische Hilfskraft für den Bereich Innovationsmanagement und Prototypenbau</t>
  </si>
  <si>
    <t>Fraunhofer IBP</t>
  </si>
  <si>
    <t>Building Maintenance, Consulting</t>
  </si>
  <si>
    <t>Simi Valley, CA</t>
  </si>
  <si>
    <t>1. Strukturierte und selbstständige Arbeitsweise
2. Engagement und Zuverlässigkeit
3. Sicherer Umgang mit den gängigen Office-Anwendungen (Excel, Powerpoint, Word) sowie mit kleinen Maschinen der Holz-, Metall- und Kunststoffverarbeitung
...</t>
  </si>
  <si>
    <t>Asociado de Ventas Tiempo Parcial (16 y 17 Años de Edad)</t>
  </si>
  <si>
    <t>AutoZone</t>
  </si>
  <si>
    <t>$16.0-$16.3 /h</t>
  </si>
  <si>
    <t>1. Comunicación efectiva y habilidades para tomar decisiones.
2. Capacidad para levantar y cargar mercancía.
3. Flexibilidad para trabajar según las necesidades del negocio, incluyendo días festivos, tardes y turnos de fin de semana.</t>
  </si>
  <si>
    <t>Jr. Applied Scientist</t>
  </si>
  <si>
    <t>1. Currently enrolled in an accredited college or university Master's or PhD degree program.
2. Majoring in Computer Science, Statistics or a related STEM discipline.
3. Graduation date falls between December 2025 and June 2027.
...</t>
  </si>
  <si>
    <t>Metairie, LA</t>
  </si>
  <si>
    <t>1. High School Diploma or GED required
2. Completion of 2 years of university course work in an engineering curriculum at an ABET Accredited Institution preferred
3. Ability to find a solution for or to deal proactively with work related problems</t>
  </si>
  <si>
    <t>Materials Engineering Intern</t>
  </si>
  <si>
    <t>STMicroelectronics</t>
  </si>
  <si>
    <t>Automotive, Electronics</t>
  </si>
  <si>
    <t>$32-$43 /h</t>
  </si>
  <si>
    <t>1. Pursuing a Bachelor’s, Master’s or Ph.D. in chemistry, materials science, physics, electrical engineering, mechanical engineering, or related discipline.
2. Strong hands-on lab skills.
3. Experience setting up, running, and analyzing hands-on tests and characterization.
...</t>
  </si>
  <si>
    <t>Optical Scientist Intern</t>
  </si>
  <si>
    <t>Lumentum</t>
  </si>
  <si>
    <t>$23.75-$54.50 /h</t>
  </si>
  <si>
    <t>1. Enrolled in a Bachelor’s, Master’s or PhD degree program in Optics, Physics, Electrical Engineering, Materials Science, Systems Engineering, or a closely related field
2. Returning to school following the internship
3. Solid data analysis, critical thinking, and problem-solving skills
...</t>
  </si>
  <si>
    <t>2025 IT Risk Advisory Summer Intern</t>
  </si>
  <si>
    <t>Schneider Downs</t>
  </si>
  <si>
    <t>1. Must be pursuing a bachelor’s or master’s degree in Computer Science, Cybersecurity, Information Systems, Management Information Systems (MIS), or related field
2. Must have an anticipated graduation date between December 2025 and August 2026, and be available to begin full-time work between January 2026-October 2026</t>
  </si>
  <si>
    <t>2024 Intern- Research Scientist/Engineer</t>
  </si>
  <si>
    <t>Adobe</t>
  </si>
  <si>
    <t>Consulting, Enterprise Software</t>
  </si>
  <si>
    <t>$45-$61 /h</t>
  </si>
  <si>
    <t>1. Current PhD or master's student in computer science, or related field (exceptional undergraduates will also be considered)
2. Sufficient research skills and background in your chosen subject area
3. Strong communication skills and teamwork experience
...</t>
  </si>
  <si>
    <t>REQ23-842 Intern, AIML Multi-GPU Tensorflow Wireless Model Development</t>
  </si>
  <si>
    <t>InterDigital Communications</t>
  </si>
  <si>
    <t>Conshohocken, PA</t>
  </si>
  <si>
    <t>$45-$50 /h</t>
  </si>
  <si>
    <t>1. Ph.D. student in Electrical Engineering, Computer Science, Statistics, or relevant discipline.
2. Publications or research and development experience in one or more of the following areas: machine learning, deep learning, data mining, optimization.
3. Strong background in wireless communication is highly desired.
...</t>
  </si>
  <si>
    <t>PhD Residency - Earth Scientist AI Resident</t>
  </si>
  <si>
    <t>X, the moonshot factory</t>
  </si>
  <si>
    <t>Aerospace, Augmented Reality</t>
  </si>
  <si>
    <t>$118000-$145000 /yr</t>
  </si>
  <si>
    <t>1. Must be enrolled in an academic program and working towards completing a PhD degree
2. Must be enrolled in a PhD program focused in Geophysics, Seismology, Machine Learning, Physics, Mathematics or Statistics
3. Must be currently doing research at the interface of geophysics/seismology and machine learning
...</t>
  </si>
  <si>
    <t>2024 Field Engineer Intern</t>
  </si>
  <si>
    <t>OHLA USA</t>
  </si>
  <si>
    <t>Civil Engineering, Commercial Real Estate</t>
  </si>
  <si>
    <t>1. Must be enrolled at an accredited 4-year institution pursuing a degree in civil engineering, construction management, or a related field
2. Previous internship experience in heavy civil construction preferred</t>
  </si>
  <si>
    <t>Researcher Scientist Intern - Doubao (Seed) - Foundation Model, Vision and Language - 2024 Summer (PhD)</t>
  </si>
  <si>
    <t>ByteDance</t>
  </si>
  <si>
    <t>Content, Data Mining</t>
  </si>
  <si>
    <t>$60-$60 /h</t>
  </si>
  <si>
    <t>1. Currently pursuing a PhD in Software Development, Computer Science, Computer Engineering, or a related technical discipline.
2. Able to commit to working for 12 weeks during Summer 2024.
3. Research experience in multi-modal understanding, vision and language, such as video captioning, VQA, Text-to-video retrieval, audio/music understanding and generation, and other related topics.
...</t>
  </si>
  <si>
    <t>Civil Engineer - Entry Level</t>
  </si>
  <si>
    <t>Langan Engineering &amp; Environmental Services</t>
  </si>
  <si>
    <t>White Plains, NY</t>
  </si>
  <si>
    <t>$70000-$82000 /yr</t>
  </si>
  <si>
    <t>1. Bachelor’s degree in Civil Engineering
2. 0 to 2 years of experience
3. Minimum 3.0 GPA
...</t>
  </si>
  <si>
    <t>VISITING SCHOLAR Civil, Architectural and Environmental Engineering #00086925</t>
  </si>
  <si>
    <t>Missouri University of Science and Technology</t>
  </si>
  <si>
    <t>Rolla, MO</t>
  </si>
  <si>
    <t>1. A current college student, with the math or engineering background.</t>
  </si>
  <si>
    <t>Fender</t>
  </si>
  <si>
    <t>Corona, CA</t>
  </si>
  <si>
    <t>1. Enrolled in BSc or MSc for Mechanical, Industrial, Chemical engineering or similar
2. Currently at senior year or recently graduated
3. Strong collaboration skills are required
...</t>
  </si>
  <si>
    <t>Hesperia, CA</t>
  </si>
  <si>
    <t>Middleburg Heights, OH</t>
  </si>
  <si>
    <t>1. Currently enrolled and pursuing a Bachelor's degree (BS) in Mechanical, Industrial, Manufacturing, Aerospace Engineering, or Engineering Technology from an accredited university.
2. Must have a 3.0 GPA or higher
3. Someone entering junior or senior year preferred
...</t>
  </si>
  <si>
    <t>Electrical Co-Op - Denver</t>
  </si>
  <si>
    <t>Jordan &amp; Skala Engineers</t>
  </si>
  <si>
    <t>$21-$21 /h</t>
  </si>
  <si>
    <t>1. Electrical Engineering student
2. Passion for building design
3. Enrolled in a Cooperative Education Program
...</t>
  </si>
  <si>
    <t>Intern- Engineer</t>
  </si>
  <si>
    <t>Dragados</t>
  </si>
  <si>
    <t>Civil Engineering, Construction</t>
  </si>
  <si>
    <t>1. Must be an Engineering student
2. Proficient in Microsoft Office and AUTO CAD
3. Strong organizational and time management skills
...</t>
  </si>
  <si>
    <t>Application Security Intern</t>
  </si>
  <si>
    <t>Vivint</t>
  </si>
  <si>
    <t>Electronics, Security</t>
  </si>
  <si>
    <t>1. Experience or coursework in cybersecurity or information security
2. Strong interest in cybersecurity and application security
3. Ability to work in a professional office environment using standard office equipment
...</t>
  </si>
  <si>
    <t>Electrical Engineer I</t>
  </si>
  <si>
    <t>1. Bachelor’s Degree from an accredited university in Electrical engineering, or Architectural Engineering with a graduation date of Winter 2023, Spring or Summer of 2024
2. Previous engineering internship, a plus
3. Knowledge of the latest version of MEP Auto CAD; REVIT experience is a plus
...</t>
  </si>
  <si>
    <t>Video Analysis and Quality Algorithm Intern 2023 Summer/Fall (PHD)</t>
  </si>
  <si>
    <t>$74-$74 /h</t>
  </si>
  <si>
    <t>1. PHD student in Electrical Engineering/Computer Science or equivalent
2. In-depth knowledge of video analysis algorithms or subjective/objective video quality algorithms, and state-of-the-art technologies
3. Proficient in one of the following: C, C++, Python
...</t>
  </si>
  <si>
    <t>Cytokinetics</t>
  </si>
  <si>
    <t>Biopharma, Biotechnology</t>
  </si>
  <si>
    <t>South San Francisco, CA</t>
  </si>
  <si>
    <t>$80000-$85000 /yr</t>
  </si>
  <si>
    <t>1. PhD in biochemistry, bioengineering, cell/molecular biology, physiology, or related field
2. Expertise in one or more of the following: primary and mammalian cell culture systems, in vivo models of heart failure and/or skeletal muscle diseases, RNA-seq, proteomics, bioinformatics analysis
3. Well-articulated career goals in research (biotech or academia)
...</t>
  </si>
  <si>
    <t>Intern/co-op Logistics and Storage Engineering Fall 2024</t>
  </si>
  <si>
    <t>Marathon Petroleum</t>
  </si>
  <si>
    <t>$0-$999.99 /h</t>
  </si>
  <si>
    <t>1. Candidates must be pursuing a Bachelor's degree in Civil, Electrical, Mechanical or Corrosion Engineering
2. Strong academic performance
3. Candidates must be authorized to work in the US on a full-time indefinite basis without the need for employment visa sponsorship now or in the future
...</t>
  </si>
  <si>
    <t>Student Researcher in Foundation Models (Reasoning, Planning &amp; Agent) - Doubao (Seed) - 2024 Start (PhD)</t>
  </si>
  <si>
    <t>$57-$57 /h</t>
  </si>
  <si>
    <t>1. Currently enrolled in a PhD degree in Computer Science, Linguistics, Statistics, or related technical field.
2. Excellent knowledge of theory and practice of LLM and foundation model, as well as deep learning.
3. Strong publication record at leading conferences (ACL, EMNLP, NeurIPS, ICML etc.).
...</t>
  </si>
  <si>
    <t>Intern, Mechanical Engineering</t>
  </si>
  <si>
    <t>1. Experience with a CAD package like PTC’s Creo 8.0 or later
2. Experience with the Microsoft suite of office tools like Excel, PowerPoint, and Word
3. Detail-oriented problem solver
...</t>
  </si>
  <si>
    <t>2024 Fall Applied Science Internship - United States, PhD Student</t>
  </si>
  <si>
    <t>$65.38-$106.83 /h</t>
  </si>
  <si>
    <t>1. Enrolled in a Ph.D. or equivalent in computer science, machine learning, engineering, or related fields.
2. Experience in designing experiments and statistical analysis of results.
3. Experience in understanding and ability to implement algorithms using both toolkits and self-developed code.
...</t>
  </si>
  <si>
    <t>Postdoctoral Fellow - Piliponsky Lab</t>
  </si>
  <si>
    <t>Seattle Children’s</t>
  </si>
  <si>
    <t>$65478-$98571 /yr</t>
  </si>
  <si>
    <t>1. Doctorate degree (PhD/DVM/MD) in specialty area from an accredited university training program.
2. Experience using basic research techniques of specialty area.
3. Strong background in immunology, biochemistry, and molecular biology.
...</t>
  </si>
  <si>
    <t>$18.3-$18.6 /h</t>
  </si>
  <si>
    <t>Intern, Fire Protection Engineer</t>
  </si>
  <si>
    <t>Introba</t>
  </si>
  <si>
    <t>Consulting, Product Design</t>
  </si>
  <si>
    <t>1. Must be currently enrolled and pursing bachelor's in mechanical engineering, Architectural Engineering Degree or related program from an Accredited University Program
2. Excellent oral and written communication skills
3. Desire and ability to take direction from multiple engineers and facilitate work flow between different construction coordinators
...</t>
  </si>
  <si>
    <t>Postdoctoral Researcher Positions in Urban Air Quality and Greenhouse Gas Modeling</t>
  </si>
  <si>
    <t>University of Oklahoma</t>
  </si>
  <si>
    <t>$50000-$55000 /yr</t>
  </si>
  <si>
    <t>1. Applicants must have earned a Ph.D. in Atmospheric Sciences, Engineering, Earth Science, Computer Science, or a closely related field by the time of appointment.
2. Candidates should have demonstrated experience with numerical 3D air quality models, such as WRF-Chem, CMAQ, HYSPLIT, GEOS-Chem, and LES models.
3. Candidates must be proficient in programming languages commonly used in models (Fortran) and data analytics (MATLAB, Python, R, or NCL).
...</t>
  </si>
  <si>
    <t>2024 Explorers Program</t>
  </si>
  <si>
    <t>1. Freshman and sophomore standing in a full-time academic program
2. Pursuing a Bachelor’s or master’s degree in accounting or in technology related fields
3. Strong academic performance
...</t>
  </si>
  <si>
    <t>Systems Maintenance Apprentice</t>
  </si>
  <si>
    <t>1. High school diploma / GED equivalent.
2. Able to work independently in a potentially isolated area of the building.
3. Ability to work at heights (with or without fall protection). Must not be at risk of sudden alterations in consciousness.
...</t>
  </si>
  <si>
    <t>Process Engineering Co-op (Fall: May - Dec 2024)</t>
  </si>
  <si>
    <t>Tokyo Electron</t>
  </si>
  <si>
    <t>Electrical Distribution, Manufacturing</t>
  </si>
  <si>
    <t>$24.36-$31.17 /h</t>
  </si>
  <si>
    <t>Embedded Systems Cyber Security Student Assistant –Fall 2024 - CIPHER</t>
  </si>
  <si>
    <t>1. Pursuing a Bachelor’s degree in Electrical and Computer Engineering, Computer Science, or related field.
2. Must be registered for at least 6 credit hours with your university during working semesters
3. 2.0 or higher GPA
...</t>
  </si>
  <si>
    <t>Mechanical Engineer I</t>
  </si>
  <si>
    <t>1. Bachelor’s Degree from an accredited university in Mechanical engineering with a graduation date of Winter 2023, Spring or Summer of 2024
2. Previous engineering internship, a plus
3. Knowledge of the latest version of MEP Auto CAD; REVIT experience is a plus
...</t>
  </si>
  <si>
    <t>Henkel Engineering Internships - Fall 2024</t>
  </si>
  <si>
    <t>Henkel</t>
  </si>
  <si>
    <t>Beauty, Cleaning Products</t>
  </si>
  <si>
    <t>Darien, CT</t>
  </si>
  <si>
    <t>1. Undergraduate students currently enrolled in at least their sophomore pursuing a degree in Chemical, Mechanical or Industrial Engineering; Chemistry, Material Science or related subject
2. Laboratory skills: hands-on experience working with machinery and scientific instruments (role dependent)
3. Analytical skills: ability to develop fact-based recommendations resulting from in-depth data analysis
...</t>
  </si>
  <si>
    <t>Internships - Fall 2024</t>
  </si>
  <si>
    <t>Hermeus</t>
  </si>
  <si>
    <t>Aerospace, Air Transportation</t>
  </si>
  <si>
    <t>Aerospace Engineering</t>
  </si>
  <si>
    <t>1. Hands-on experience designing, building, and testing vehicles (engineering candidates only)
2. Must be currently enrolled in an accredited college or university (Undergraduate student or enrolled in a Master's or Ph.D. program)
3. Strong understanding of engineering first principles
...</t>
  </si>
  <si>
    <t>Design Center Engineering Co-op (Fall 2024)</t>
  </si>
  <si>
    <t>ITT Corporation</t>
  </si>
  <si>
    <t>Information Technology, Manufacturing</t>
  </si>
  <si>
    <t>Seneca Falls, NY</t>
  </si>
  <si>
    <t>1. Currently enrolled in a Bachelor's or Master's Mechanical Engineering program, in good standing
2. Junior, senior, Master's students are preferred
3. Knowledge/experience in ProE CAD, Word, Excel, and PowerPoint</t>
  </si>
  <si>
    <t>Process Engineer - Casting Process Owner - Campus Hire</t>
  </si>
  <si>
    <t>La Porte, IN</t>
  </si>
  <si>
    <t>1. Must be currently enrolled and achieve bachelor's degree from an accredited institution, with preference given to Materials Science Engineering or Metallurgical Engineering.
2. Employees must be legally authorized to work in the United States. Verification of employment eligibility will be required at the time of hire. Visa sponsorship is not available for this position.
3. 1 year of experience, preferably in a manufacturing environment.
...</t>
  </si>
  <si>
    <t>Co-op Mechanical Engineering 2025</t>
  </si>
  <si>
    <t>Packaging Corporation of America</t>
  </si>
  <si>
    <t>Business Development, Manufacturing</t>
  </si>
  <si>
    <t>Counce, TN</t>
  </si>
  <si>
    <t>1. Must be currently enrolled at Mississippi State University, The University of Mississippi, Auburn University, University of Alabama, University of Maine, University of North Carolina State, Texas A&amp;M University, University of Miami Ohio, Tennessee Technology University, or any University of TN
2. Majoring in Mechanical Engineering or a related field
3. Have completed the freshman year
...</t>
  </si>
  <si>
    <t>Field/Office Engineer - Fall 2024 Co-op - Kiewit Water Facilities South</t>
  </si>
  <si>
    <t>Kiewit Corporation</t>
  </si>
  <si>
    <t>Building Material, Construction</t>
  </si>
  <si>
    <t>1. Ability to travel or relocate as needed
2. Ability to work full-time during the summer (August-December)
3. Currently pursuing an undergraduate or graduate degree in civil engineering, construction management or related
...</t>
  </si>
  <si>
    <t>Humboldt CA Project Engineer Intern</t>
  </si>
  <si>
    <t>Swinerton</t>
  </si>
  <si>
    <t>Construction</t>
  </si>
  <si>
    <t>Concord, CA</t>
  </si>
  <si>
    <t>1. Engineering, Construction Management, or Architectural degree completed or in progress, or equivalent experience
2. Basic estimating and scheduling skills desirable
3. Ability to read and understand plans and specifications
...</t>
  </si>
  <si>
    <t>Findlay, OH</t>
  </si>
  <si>
    <t>1. Candidates must be pursuing a Bachelor's degree in Civil, Electrical, Mechanical or Corrosion Engineering.
2. Strong academic performance
3. Candidates must be authorized to work in the US on a full-time indefinite basis without the need for employment visa sponsorship now or in the future.
...</t>
  </si>
  <si>
    <t>Nuclear and Particle Physics, Astrophysics and Cosmology Graduate Student</t>
  </si>
  <si>
    <t>1. Currently enrolled in an accredited graduate degree program in any Theoretical Physics, Mathematics (or related) discipline.
2. Must be enrolled in at least 6 semester credit hours (or full-time equivalent).
3. Must currently have and maintain a cumulative GPA of at least 3.2 on a 4.0 scale (or equivalent).</t>
  </si>
  <si>
    <t>Intern - Alternative Host Bioprocessing -onsite Marlborough</t>
  </si>
  <si>
    <t>Sartorius</t>
  </si>
  <si>
    <t>Marlborough, MA</t>
  </si>
  <si>
    <t>1. Master’s degree or students pursuing their Masters degree in Microbiology, Molecular Biology, Chemical / Biological engineering, Chemistry, Biochemistry or related fields.
2. Knowledge on sterile microbial culture techniques and molecular biology techniques would be an advantage.
3. Background in Molecular biology/ Microbiology with a particular focus on handling bacteria, yeast and filamentous fungi would be preferable.
...</t>
  </si>
  <si>
    <t>MEP Engineer Intern (Fall 2024) - Forensics</t>
  </si>
  <si>
    <t>Thornton Tomasetti</t>
  </si>
  <si>
    <t>$19-$26 /h</t>
  </si>
  <si>
    <t>1. Currently pursuing a Bachelor's or Master's degree in Mechanical, Electrical, or Plumbing Engineering
2. Familiarity with Microsoft Suite programs (Word, Excel, Powerpoint) and CAD programs (AutoCAD)
3. Ability to conduct on-site surveys, investigations, and documentation of building conditions
...</t>
  </si>
  <si>
    <t>Martinsville, IL</t>
  </si>
  <si>
    <t>Analyst, Department of Defense SkillBridge (Intern)</t>
  </si>
  <si>
    <t>Exiger</t>
  </si>
  <si>
    <t>Artificial Intelligence (AI), Compliance</t>
  </si>
  <si>
    <t>1. Demonstrable interpersonal skills, ability to write and speak clearly to accurately brief analytical findings
2. Ability to evaluate relevant material as to its importance, and extracts data pertaining to the assigned subject matter. Draws conclusions from his/her analysis
3. Ability to develop an understanding of customer’ missions and priorities
...</t>
  </si>
  <si>
    <t>Process Engineer Co-Op</t>
  </si>
  <si>
    <t>Carmeuse</t>
  </si>
  <si>
    <t>Machinery Manufacturing, Manufacturing</t>
  </si>
  <si>
    <t>Clear Brook, VA</t>
  </si>
  <si>
    <t>1. Identify production bottlenecks, develop and execute action plans, and assess the results.
2. Assist Process Engineer(s) with designs, support, research and hands-on applications.
3. Provide technical support to production, maintenance, environmental, and quality.
...</t>
  </si>
  <si>
    <t>Co-op Electrical Engineer 2025</t>
  </si>
  <si>
    <t>1. Must be currently enrolled at Mississippi State University, The University of Mississippi, Auburn University, University of Alabama, University of Maine, University of North Carolina State, Texas A&amp;M University, University of Miami Ohio, Tennessee Technology University, or any University of TN
2. Major in Electrical Engineering or a related field
3. Have completed the freshman year
...</t>
  </si>
  <si>
    <t>Project Engineering Co-Op</t>
  </si>
  <si>
    <t>GAF</t>
  </si>
  <si>
    <t>Building Material, Commercial</t>
  </si>
  <si>
    <t>Ennis, TX</t>
  </si>
  <si>
    <t>1. Candidates must be pursuing a Bachelor’s Degree in Chemical Engineering, Mechanical Engineering, Electrical Engineering, Industrial Engineering.
2. All candidates must have a minimum 2.8 GPA, at least sophomore standing.
3. Problem solving, project management and communication skills are all necessary as is the ability to operate in a team environment.
...</t>
  </si>
  <si>
    <t>Field/Office Engineer CO-OP - Kiewit Offshore Services (Fall 2024)</t>
  </si>
  <si>
    <t>Ingleside, TX</t>
  </si>
  <si>
    <t>1. Ability to work full-time during the Fall (approximately August - December)
2. Currently pursuing an undergraduate or graduate degree in Mechanical, Construction Management, Civil, Chemical, Petroleum Engineering, or related
3. Ability to freely access all points of a construction site in a wide-ranging climates and environments
...</t>
  </si>
  <si>
    <t>R&amp;D Mechanical Engineer - Ninja</t>
  </si>
  <si>
    <t>SharkNinja</t>
  </si>
  <si>
    <t>Consumer Electronics, Hardware</t>
  </si>
  <si>
    <t>Needham, MA</t>
  </si>
  <si>
    <t>1. BS or MS in Engineering (Mechanical or related disciplines)
2. 1-3 years of related experience in product design, electro-mechanical or consumer product development (including co-ops/internships)
3. Experience with hands-on prototype development in plastic and metal including using basic machine shop tools and 3D Printing
...</t>
  </si>
  <si>
    <t>Event Technology Internship (Fall 2024) - Boston, MA</t>
  </si>
  <si>
    <t>Encore</t>
  </si>
  <si>
    <t>Event Management, Event Promotion</t>
  </si>
  <si>
    <t>1. Currently pursuing a BA/BS Degree; preference in Hospitality, Business, Media Production, Radio/TV/Film, or related field.
2. 0-6 months of field audio visual or customer service experience.
3. Technical aptitude demonstrated through interest and exposure to new technology.
...</t>
  </si>
  <si>
    <t>Salisbury, NC</t>
  </si>
  <si>
    <t>Madison Heights, MI</t>
  </si>
  <si>
    <t>Summer Internship 2024 - Data Systems Instrumentation Intern</t>
  </si>
  <si>
    <t>PACCAR Technical Center</t>
  </si>
  <si>
    <t>Mount Vernon, WA</t>
  </si>
  <si>
    <t>1. Strong computer skills using Microsoft office products
2. Strong mathematical skills, basic knowledge of electronics
3. Ability to troubleshoot basic electronic circuits
...</t>
  </si>
  <si>
    <t>Mechanical Engineering Co-Op - Spring 2025</t>
  </si>
  <si>
    <t>Summer 2024 Interns Only – Cyber /Software Engineering, Intern to Full Time SSC Associate</t>
  </si>
  <si>
    <t>1. Interned at The Home Depot in Cybersecurity or Software Engineering during the Summer of 2024
2. Considering returning as a full-time associate upon intended graduation</t>
  </si>
  <si>
    <t>Werkstudent (m/w/d) im Bereich Frachtführerverwaltung, -einkauf, -abrechnung</t>
  </si>
  <si>
    <t>nox NachtExpress</t>
  </si>
  <si>
    <t>Delivery Service, Logistics</t>
  </si>
  <si>
    <t>Tippecanoe County, IN</t>
  </si>
  <si>
    <t>1. Eingeschriebener Student (m/w/d) im Bereich Wirtschaftswissenschaften, Logistik, Supply Chain Management oder vergleichbar
2. Grundlegendes Verständnis von Logistik- und Transportprozessen, vorzugsweise im Bereich Ground Transportation
3. Sicherer Umgang mit MS Office, insbesondere Excel
...</t>
  </si>
  <si>
    <t>Mechanical Fitter Apprentice</t>
  </si>
  <si>
    <t>Fives Intralogistics</t>
  </si>
  <si>
    <t>Bedford, IN</t>
  </si>
  <si>
    <t>1. GCSE grade 9 to 5 in Maths, Science, English - a must have.</t>
  </si>
  <si>
    <t>Laboratory Assistant-Metallurgical &amp; Materials Engineering</t>
  </si>
  <si>
    <t>Montana Technological University</t>
  </si>
  <si>
    <t>Butte, MT</t>
  </si>
  <si>
    <t>1. Currently enrolled in high school (Junior/Senior status preferred)
2. Must be able to lift 50lbs on a periodic basis</t>
  </si>
  <si>
    <t>Cyber Engineer - Apprentice</t>
  </si>
  <si>
    <t>Independent Software</t>
  </si>
  <si>
    <t>Product Design, Robotics</t>
  </si>
  <si>
    <t>Annapolis Junction, MD</t>
  </si>
  <si>
    <t>1. Program in Assembly, C, C++, Java, Perl, or Python.
2. Provide/author documentation, participate in design, code, and software readiness reviews as prescribed by the Government's software development procedures and processes.
3. Requires a bachelor’s degree in a relevant discipline (e.g., computer science, information systems, and network engineering) from an accredited college or university.
...</t>
  </si>
  <si>
    <t>Packaging Engineer Intern</t>
  </si>
  <si>
    <t>Viant Medical</t>
  </si>
  <si>
    <t>Cosmetic Surgery, Health Care</t>
  </si>
  <si>
    <t>1. Enrolled in a Bachelor's or Master’s degree program in Packaging Engineering or related field
2. Interest in the Medical Device Packaging industry
3. Strong problem-solving skills
...</t>
  </si>
  <si>
    <t>Communications/DSP Engineer — Intern (Winter 2024/2025)</t>
  </si>
  <si>
    <t>1. A passion for working in a fast-paced environment and constantly learning
2. Strong fundamentals in 'signals and systems' (basic transforms, filters, aliasing, analysis in both continuous and discrete domains, interpolation, decimation, etc)
3. Strong fundamentals in digital communications (modulation, coding, synchronization, fading, doppler, multiple access, channel capacity, etc)
...</t>
  </si>
  <si>
    <t>Ashburn, VA</t>
  </si>
  <si>
    <t>CV Testing &amp; MBD Intern</t>
  </si>
  <si>
    <t>Isuzu Technical Center of America</t>
  </si>
  <si>
    <t>Automotive, Mechanical Engineering</t>
  </si>
  <si>
    <t>Plymouth, MI</t>
  </si>
  <si>
    <t>1. Master’s degree in Automotive/Mechanical Engineering
2. Knowledge &amp; research experience in ICE Engine, transmission systems &amp; testing
3. Knowledge of Full Vehicle Systems - EVAP system, emission system, aftertreatment system
...</t>
  </si>
  <si>
    <t>CV Testing &amp; Validation Intern</t>
  </si>
  <si>
    <t>1. Bachelor’s degree in Mechanical, Electrical or Automotive Engineering
2. Basic knowledge of automotive fundamentals
3. Basic knowledge of automotive mechanical/electrical systems
...</t>
  </si>
  <si>
    <t>Commercial Vehicle Engineering Intern</t>
  </si>
  <si>
    <t>1. Minimum sophomore status in the pursuit of a Bachelor’s degree in Engineering
2. PC computer system usage and maintenance practices
3. Good verbal and written communication skills
...</t>
  </si>
  <si>
    <t>Research Intern (Ph.D.): LLMs and Chip Design at ChipStack</t>
  </si>
  <si>
    <t>Allen Institute for Artificial Intelligence</t>
  </si>
  <si>
    <t>Artificial Intelligence (AI), Finance</t>
  </si>
  <si>
    <t>1. Pursuing a Ph.D. in CS, with a focus around ML or chip design (computer architecture and related areas)
2. Strong programming skills in Python, preferably in industry
3. Prior exposure to fine-tuning large language models
...</t>
  </si>
  <si>
    <t>Advanced Engineering Powertrain Intern - MPC Development</t>
  </si>
  <si>
    <t>1. Highly motivated individuals
2. Experience in control functions development for conventional light/medium duty truck power optimization
3. Ability to work with controls development team and other stakeholders
...</t>
  </si>
  <si>
    <t>Post Doctoral Scholar</t>
  </si>
  <si>
    <t>The Ohio State University</t>
  </si>
  <si>
    <t>1. PhD in Geosciences or a related field.
2. Knowledge of Arctic and/or Antarctic environments.</t>
  </si>
  <si>
    <t>Intern, R&amp;D Graduate Year Round - Quantum Computer Science, Hybrid</t>
  </si>
  <si>
    <t>Sandia National Laboratories</t>
  </si>
  <si>
    <t>Government, Information Technology</t>
  </si>
  <si>
    <t>1. Earned bachelor's degree
2. Currently attending and enrolled full time in an accredited science, engineering, or math graduate program
3. Minimum cumulative GPA of 3.0/4.0
...</t>
  </si>
  <si>
    <t>Energy Fellow</t>
  </si>
  <si>
    <t>Strategic Energy Innovations</t>
  </si>
  <si>
    <t>Communities, Energy</t>
  </si>
  <si>
    <t>Carson, CA</t>
  </si>
  <si>
    <t>1. Ability to apply critical common sense thinking in a real-world environment as opposed to purely theoretical applications.
2. Strong logic/cause-effect understanding (i.e. if this happens, then this will influence that)
3. Strong mechanical engineering understanding: conceptual skills around mechanical interactions.
...</t>
  </si>
  <si>
    <t>Laboratory Internship</t>
  </si>
  <si>
    <t>Assured Testing Laboratories, LLC</t>
  </si>
  <si>
    <t>Tyngsborough, MA</t>
  </si>
  <si>
    <t>1. Product weighing
2. Pipetting
3. Solvent calculation
...</t>
  </si>
  <si>
    <t>Geotechnical Engineer Intern</t>
  </si>
  <si>
    <t>Accura Engineering</t>
  </si>
  <si>
    <t>1. Student currently pursuing Bachelor's Degree in Geotechnical Engineering or Civil Engineering
2. Previous internship experience with a civil engineering design firm
3. Ability to effectively communicate with internal and external partners including clients, sub consultants, and utility companies
...</t>
  </si>
  <si>
    <t>Field Engineer Intern - Primoris Renewable Energy</t>
  </si>
  <si>
    <t>Primoris Services Corporation</t>
  </si>
  <si>
    <t>Building Maintenance, Building Material</t>
  </si>
  <si>
    <t>1. Four-year degree in construction management, engineering or related field; or equivalent education and experience (in progress). Some construction experience is preferred.
2. Accounting (math and record-keeping).
3. Proficient in Microsoft Office (Word, Excel, Microsoft Project, Outlook, Visio, Primavera).
...</t>
  </si>
  <si>
    <t>Intern -- Civil/Environmental Engineering</t>
  </si>
  <si>
    <t>Stantec</t>
  </si>
  <si>
    <t>Architecture, Consulting</t>
  </si>
  <si>
    <t>1. Strong ethic and ability to work unsupervised
2. Willingness to learn and follow directions
3. Ability to work well independently and with a diverse, multi-disciplinary team
...</t>
  </si>
  <si>
    <t>Incident Response Analyst (Internship)</t>
  </si>
  <si>
    <t>SILAC Insurance Company</t>
  </si>
  <si>
    <t>Financial Services, Insurance</t>
  </si>
  <si>
    <t>1. Interested &amp; Motivated
2. Has background, training, educational credentials, and/or interest in Cybersecurity Incident Detection, Response and Threat Intelligence. Has a technical background and/or hands on experience (this can be from school project or on the job training).
3. Understanding of or an interest in intrusion analysis skills to tune SIEM alerts
...</t>
  </si>
  <si>
    <t>Threat &amp; Vulnerability Management Analyst (Internship)</t>
  </si>
  <si>
    <t>1. Interested &amp; Motivated
2. Has background, training, educational credentials, and/or interest in Attack Surface, Threat, &amp; Vulnerability Management. Including hands on experience (this can be from a school project or on the job training).
3. Understanding of Windows &amp; Linux Operating Systems
...</t>
  </si>
  <si>
    <t>Civil Engineer Intern</t>
  </si>
  <si>
    <t>1. Currently enrolled in and currently pursuing a Bachelor's Degree program in Civil Engineering
2. Ability to effectively communicate with internal and external partners including clients, sub consultants, and utility companies
3. Excellent time and project management skills
...</t>
  </si>
  <si>
    <t>Drain / Sewer Apprentice</t>
  </si>
  <si>
    <t>Zoom Drain</t>
  </si>
  <si>
    <t>Building Maintenance, CleanTech</t>
  </si>
  <si>
    <t>Clarkston, MI</t>
  </si>
  <si>
    <t>1. Great Customer Service Skills!
2. Able to lift up to 50 lbs
3. Valid Driver’s License in good standing</t>
  </si>
  <si>
    <t>Engineering Research Intern</t>
  </si>
  <si>
    <t>1. Undergraduate students from Computer Science, Information Sciences and Technology, Data Science, Engineering (various disciplines), Mathematics, and Physics majors
2. U.S. citizenship
3. Successful completion of a pre-employment drug screen</t>
  </si>
  <si>
    <t>Jensen Precast</t>
  </si>
  <si>
    <t>Building Material, Manufacturing</t>
  </si>
  <si>
    <t>1. Demonstrated education and/or experience in the engineering field and engineering terminology.
2. Currently working on an engineering degree in Mechanical Engineering.</t>
  </si>
  <si>
    <t>Intern Systems Engineering</t>
  </si>
  <si>
    <t>AM General</t>
  </si>
  <si>
    <t>Automotive, Logistics</t>
  </si>
  <si>
    <t>1. Candidate should be enrolled in college at Junior or Senior level
2. Strong mechanical reasoning skills
3. Should have basic Microsoft Office suite knowledge
...</t>
  </si>
  <si>
    <t>Intern (Civil Engineering)</t>
  </si>
  <si>
    <t>GAI Consultants</t>
  </si>
  <si>
    <t>West Virginia, United States</t>
  </si>
  <si>
    <t>1. Enrolled in a program to receive a Bachelor’s degree from an accredited college or university in engineering, preferably civil or environmental engineering.
2. Strong team collaboration, oral and written communication, and problem-solving skills.
3. Required mathematical skills are commensurate with the technical or engineering discipline practiced (e.g., engineering calculations, design, etc.).
...</t>
  </si>
  <si>
    <t>Pre-Doctoral Researcher</t>
  </si>
  <si>
    <t>Simons Foundation</t>
  </si>
  <si>
    <t>162 Fifth Avenue, New York, NY</t>
  </si>
  <si>
    <t>1. Currently engaged in dissertation research in a PhD program in a field such as condensed matter physics, materials science, or chemistry relevant to the proposed research
2. At least 1-2 years of advanced course work in areas relevant to the proposed research along with 1 or more years of relevant research experience
3. Demonstrated understanding of basic research skills
...</t>
  </si>
  <si>
    <t>Mechanical Engineering Co-Op/Intern</t>
  </si>
  <si>
    <t>New Freedom-Pennsylvania-United States of America</t>
  </si>
  <si>
    <t>$21-$24 /h</t>
  </si>
  <si>
    <t>1. Currently enrolled at an accredited U.S. college or university
2. Pursuing a degree in Mechanical Engineering, Mechanical Engineering Technology, or Electro-Mechanical Engineering
3. Demonstrated knowledge in the area of Mechanical Engineering
...</t>
  </si>
  <si>
    <t>Process Engineering Internship 2025</t>
  </si>
  <si>
    <t>Covington, VA</t>
  </si>
  <si>
    <t>1. Students currently enrolled in a bachelor’s degree granting program with a major in Engineering with an expected graduation date from Dec 2025 to May 2026.
2. Students should have completed at least one semester/quarter/trimester of engineering coursework related to their major before starting as the internship and at least one semester/quarter/trimester of study left in their academic coursework following the internship.
3. Remain in good academic standing in your program of study throughout the internship experience.
...</t>
  </si>
  <si>
    <t>Engineering Assistant Intern - Sarasota</t>
  </si>
  <si>
    <t>Tetra Tech</t>
  </si>
  <si>
    <t>Consulting, Environmental Engineering</t>
  </si>
  <si>
    <t>Sarasota, FL</t>
  </si>
  <si>
    <t>1. Must be enrolled in a recognized materials science or civil engineering program with working on a Bachelor’s Degree, preferably with emphasis on Materials Science and/or Geotechnical Engineering.
2. Must have strong abilities in mathematics, sciences, computer software, and data and file organization.
3. Competency with Microsoft Word and Excel required.</t>
  </si>
  <si>
    <t>Research Fellow, PGY0 - Sensory Processing</t>
  </si>
  <si>
    <t>Massachusetts Eye and Ear Infirmly</t>
  </si>
  <si>
    <t>1. PhD in Biomedical, Bioengineering, Aerospace, Electrical, Computer, Mechanical or Systems Engineering
2. Robust problem-solving and creativity in all aspects of the work
3. Solid computational background including control systems theory and programming
...</t>
  </si>
  <si>
    <t>Materials Engineering Division Graduate Intern - Fall 2024</t>
  </si>
  <si>
    <t>Lawrence Livermore National Laboratory</t>
  </si>
  <si>
    <t>Information Technology, Market Research</t>
  </si>
  <si>
    <t>Livermore, CA</t>
  </si>
  <si>
    <t>$6200-$7520 /mon</t>
  </si>
  <si>
    <t>1. Must be a continuing college or university student in good standing at an accredited institution pursuing a graduate degree or has completed their bachelor’s or master’s degree in electrical engineering, mechanical engineering, optical engineering, material science, or other related fields.
2. Experience applying advanced engineering or scientific principles to solve technical problems.
3. Demonstrated academic achievement in a scientific curriculum.
...</t>
  </si>
  <si>
    <t>Postdoctoral Scholar Research, Mechanical Engineering</t>
  </si>
  <si>
    <t>University of South Florida</t>
  </si>
  <si>
    <t>1. A Ph.D. degree in Mechanical, Electrical Engineering or computer science
2. Strong background in development of connected and autonomous vehicles
3. Strong background in computer programming (the successful candidate must be very experienced in at least one programming language)
...</t>
  </si>
  <si>
    <t>DevOps Intern</t>
  </si>
  <si>
    <t>NICE Systems</t>
  </si>
  <si>
    <t>Enterprise Software, Information Technology</t>
  </si>
  <si>
    <t>DevOps</t>
  </si>
  <si>
    <t>Richardson, TX</t>
  </si>
  <si>
    <t>1. Completion of upper-level courses in Computer Science, a related field or equivalent work experience or training
2. Willingness to learn and take on new challenges
3. You are a problem solver, a fixer, and a creative technologist
...</t>
  </si>
  <si>
    <t>Graduate (Year-Round) Intern - Concentrating Solar Power (CSP)</t>
  </si>
  <si>
    <t>1. Minimum of a 3.0 cumulative grade point average.
2. Undergraduate: Must be enrolled as a full-time student in a bachelor’s degree program from an accredited institution.
3. Post Undergraduate: Earned a bachelor’s degree within the past 12 months. Eligible for an internship period of up to one year.
...</t>
  </si>
  <si>
    <t>GRUNDFOS</t>
  </si>
  <si>
    <t>1. High School diploma required.
2. The ability to operate daily out of the Fresno, CA facility 5 days a week.
3. Qualified candidates should be eligible to work in the USA without support.</t>
  </si>
  <si>
    <t>Electrical Engineering Internship - August 2024 to December 2024</t>
  </si>
  <si>
    <t>1. A junior or senior student currently pursuing an Electrical Engineering degree
2. Some electrical hardware experience
3. Some embedded software development experience
...</t>
  </si>
  <si>
    <t>Graduate (Year-Round) Intern – Fungal Systems Biology and Biotechnology</t>
  </si>
  <si>
    <t>1. A Bachelor’s in biology, microbiology, molecular biology, biochemical engineering, biotechnology, chemistry, or a related field
2. Research experience analyzing -omic datasets
3. Research experience conducting microbial cultivations
...</t>
  </si>
  <si>
    <t>2024 Infrastructure Site Reliability Engineering Professional Intern</t>
  </si>
  <si>
    <t>IBM</t>
  </si>
  <si>
    <t>Business Development, Business Information Systems</t>
  </si>
  <si>
    <t>Boulder, CO</t>
  </si>
  <si>
    <t>1. Significant scripting/coding experience for automating various aspects of IBM Power systems administration.
2. Automation using Python, shell scripting (bash, etc), Ansible, and related tools and languages.
3. Experience with AIX and Linux administration, commands, and networking.
...</t>
  </si>
  <si>
    <t>Intern Engineer - WED (For Current/Previous HNTB Interns ONLY)</t>
  </si>
  <si>
    <t>Santa Ana, CA</t>
  </si>
  <si>
    <t>$22.06-$37.60 /h</t>
  </si>
  <si>
    <t>1. High School Diploma/GED or equivalent plus current enrollment in an accredited post-secondary engineering program
2. Understands engineering, geometric, and algebraic principles at a basic level
3. Shows proficiency with Microsoft Office Suite
...</t>
  </si>
  <si>
    <t>Part-Time Intern - Life Science Research</t>
  </si>
  <si>
    <t>MRIGlobal</t>
  </si>
  <si>
    <t>Biotechnology, Education</t>
  </si>
  <si>
    <t>1. Current student working towards or has achieved a high school diploma, general education degree (GED), or equivalent OR undergraduate student pursuing bachelor’s degree.
2. Coursework in biology, biochemistry, molecular biology, or a related field.
3. Knowledge and/or experience in a laboratory environment, basic laboratory and analytical skills, and a solid scientific educational background with laboratory coursework.
...</t>
  </si>
  <si>
    <t>Warrenville, IL</t>
  </si>
  <si>
    <t>Returning Technology Intern - Summer 2025 - Great Lakes Division (For Current/Former HNTB Interns Only)</t>
  </si>
  <si>
    <t>$20.05-$30.08 /h</t>
  </si>
  <si>
    <t>1. Enrolled in a related undergraduate or graduate program</t>
  </si>
  <si>
    <t>System Workstream Intern - New York</t>
  </si>
  <si>
    <t>UN Women</t>
  </si>
  <si>
    <t>Association, Non Profit</t>
  </si>
  <si>
    <t>1. University studies in one of the following disciplines: research, communications, knowledge management, information management, business administration, business management, law, risk management or other relevant subjects is required.
2. Experience in conducting desk reviews and research would be an added advantage.
3. Meet one of the following: Be enrolled in a postgraduate degree programme (such as a master’s programme, or higher); Be enrolled in the final academic year of a first university degree programme (such as bachelor’s degree or equivalent); Be enrolled in a mandatory national service programme of which the internship may form a part; Have recently graduated with a university degree (as defined in (a) and (b) above) and, if selected, must start the internship within two-years of graduation.</t>
  </si>
  <si>
    <t>Environmental Science Intern</t>
  </si>
  <si>
    <t>1. In the process of receiving a Bachelors or Masters Degree in Biology, Environmental Science, or other related majors</t>
  </si>
  <si>
    <t>Postdoctoral Researcher</t>
  </si>
  <si>
    <t>Texas A&amp;M Engineering Experiment Station</t>
  </si>
  <si>
    <t>Higher Education, Market Research</t>
  </si>
  <si>
    <t>College Station, TX</t>
  </si>
  <si>
    <t>1. Doctoral degree</t>
  </si>
  <si>
    <t>CAD Intern</t>
  </si>
  <si>
    <t>1. High school diploma or equivalent
2. Candidates must be enrolled in a technical degree focused on CAD or other relevant degree
3. Detail oriented and professional attitude
...</t>
  </si>
  <si>
    <t>Electrical Engineering Intern</t>
  </si>
  <si>
    <t>Delray Beach, FL</t>
  </si>
  <si>
    <t>1. In the process of receiving an ABET accredited Electrical Engineering Degree (Bachelors or Masters)</t>
  </si>
  <si>
    <t>Blue Ash, OH</t>
  </si>
  <si>
    <t>Carmel, IN</t>
  </si>
  <si>
    <t>Technical Engineering Services Intern</t>
  </si>
  <si>
    <t>PSC Biotech</t>
  </si>
  <si>
    <t>Biotechnology, Consulting</t>
  </si>
  <si>
    <t>1. Currently pursuing a degree in engineering or a related technical field.
2. Must be local to Pomona, CA.
3. Strong analytical and problem-solving skills.
...</t>
  </si>
  <si>
    <t>1. Currently pursuing a degree in engineering or a related technical field.
2. Must be local to Lowell, MA.
3. Strong analytical and problem-solving skills.
...</t>
  </si>
  <si>
    <t>York, PA</t>
  </si>
  <si>
    <t>1. Currently pursuing a degree in engineering or a related technical field.
2. Must be local to York, PA.
3. Strong analytical and problem-solving skills.
...</t>
  </si>
  <si>
    <t>Entry Level Electrical Engineer</t>
  </si>
  <si>
    <t>Bechtel Plant Machinery, Inc.</t>
  </si>
  <si>
    <t>Energy, Manufacturing</t>
  </si>
  <si>
    <t>Monroeville, NJ</t>
  </si>
  <si>
    <t>$66096-$104082 /yr</t>
  </si>
  <si>
    <t>1. B.S. or M.S. degree in Electrical or Computer Engineering from an accredited college or university.
2. Minimum GPA of 3.0 for newer college graduates.
3. Requires a security clearance; however, all qualified candidates will be considered regardless of their current clearance status.
...</t>
  </si>
  <si>
    <t>Banking &amp; Investment Services - Part-Time Support</t>
  </si>
  <si>
    <t>City National Bank</t>
  </si>
  <si>
    <t>$20.28-$30.42 /h</t>
  </si>
  <si>
    <t>1. Rising junior or senior in college
2. Pursing a business administration, business management, and/or finance degree
3. Expected Spring 2025 graduation date
...</t>
  </si>
  <si>
    <t>Co-op - Tissue Engineering</t>
  </si>
  <si>
    <t>United Therapeutics</t>
  </si>
  <si>
    <t>1. Candidates must be an actively enrolled student in an academic program for the duration of the assignment; pursuing a PhD degree in Tissue Engineering, Regenerative Medicine, Biomedical Engineering, Cell Biology or related discipline
2. Available for a full time role between the hours of 8:30-5:30 Monday through Friday from September/October 2024 to February/March 2025
3. 3+ years’ experience working in a hands-on lab environment
...</t>
  </si>
  <si>
    <t>Georgia Institute of Technology</t>
  </si>
  <si>
    <t>1. A PhD (or anticipated PhD) in computer science, information science, human-computer interaction.</t>
  </si>
  <si>
    <t>Augmented Reality / Virtual Reality / Mixed Reality Intern</t>
  </si>
  <si>
    <t>Noblis</t>
  </si>
  <si>
    <t>Environmental Consulting, Information Technology</t>
  </si>
  <si>
    <t>$22-$32.50 /h</t>
  </si>
  <si>
    <t>1. Currently pursuing a Bachelor’s/Master’s in the field of Digital Media, Virtual Production, Game Design, Computer Science, Game Development, Software Engineering/Development or a related field.
2. A GPA of 3.3 or above
3. Knowledge of XR development in Unity with OpenXR Interaction toolkit
...</t>
  </si>
  <si>
    <t>Energy and Sustainability Intern</t>
  </si>
  <si>
    <t>APS Energy Services</t>
  </si>
  <si>
    <t>Energy, Renewable Energy</t>
  </si>
  <si>
    <t>Oak Brook, IL</t>
  </si>
  <si>
    <t>1. Northwestern University Student currently enrolled and pursuing a degree in science or engineering with an interest in Energy and/or Sustainability.
2. Proven ability to gather, validate, and analyze quantitative data and information.
3. Advanced proficiency with MS Office Suite, including Excel.
...</t>
  </si>
  <si>
    <t>Machine Shop Programmer Apprentice - Oskaloosa, IA</t>
  </si>
  <si>
    <t>McWane</t>
  </si>
  <si>
    <t>Oskaloosa, IA</t>
  </si>
  <si>
    <t>$27.75-$28.30 /h</t>
  </si>
  <si>
    <t>1. All candidates must have obtained a high school diploma or GED.
2. All candidates must complete a scholarship application and an interview process.
3. Take Clow's Maintenance Aptitude Assessment.
...</t>
  </si>
  <si>
    <t>Cybersecurity Software Intern-CIPHER-Fall 2024</t>
  </si>
  <si>
    <t>1. Pursuing a Bachelor’s degree in computer science, computer engineering, or related technical field of study
2. 2.0 or higher cumulative GPA
3. Full-Time Intern- Must be registered for Full-time Internship Credit
...</t>
  </si>
  <si>
    <t>Instrument and Controls Engineering Intern - Summer/Fall 2024</t>
  </si>
  <si>
    <t>$20.40-$27.60 /h</t>
  </si>
  <si>
    <t>1. In pursuit of a technical degree in Instrumentation and Controls or related engineering field from an accredited program
2. Working knowledge of Microsoft Office programs</t>
  </si>
  <si>
    <t>Corvallis, OR</t>
  </si>
  <si>
    <t>Postdoctoral Associate</t>
  </si>
  <si>
    <t>Coastal Research &amp; Extension Center</t>
  </si>
  <si>
    <t>Agriculture, Education</t>
  </si>
  <si>
    <t>Starkville, MS</t>
  </si>
  <si>
    <t>1. Ph.D. in agronomy, plant sciences/ physiology, or a related field.
2. At least five publications related to nutrient management and stress physiology.
3. A strong field crops research background and familiarity with remote sensing are preferred.
...</t>
  </si>
  <si>
    <t>Electrical Engineering Co-Op</t>
  </si>
  <si>
    <t>Raymond, MS</t>
  </si>
  <si>
    <t>1. Major study in Electrical Engineering
2. Interest in hands-on experience
3. Basic understanding of electronic components, circuits, and PCB design
...</t>
  </si>
  <si>
    <t>Mechanical Engineering Co-Op</t>
  </si>
  <si>
    <t>1. Major study in Mechanical Engineering
2. Interest in hands-on experience
3. Senior or 2nd semester Junior</t>
  </si>
  <si>
    <t>1. Major study in Electrical Engineering, Computer Engineering, or Computer Science
2. Experience with C++
3. Minimum 3.0 GPA (must be on resume)
...</t>
  </si>
  <si>
    <t>Packaging Engineering Co-Op</t>
  </si>
  <si>
    <t>1. Major studies in Packaging, Industrial, or Manufacturing Engineering
2. Basic familiarity with 2D and 3D modeling software
3. Minimum 2.5 GPA (must be on resume)
...</t>
  </si>
  <si>
    <t>Industrial Engineering Co-Op</t>
  </si>
  <si>
    <t>1. Major study in Industrial Engineering
2. Interest in hands-on experience
3. Senior or 2nd semester Junior</t>
  </si>
  <si>
    <t>Industrial Engineering / Industrial Technology Engineering Co-Op</t>
  </si>
  <si>
    <t>1. Major study in Industrial Engineering or Industrial Technology Engineering.
2. Applicable work experience.
3. Positive attitude with a desire to be hands-on.
...</t>
  </si>
  <si>
    <t>Kentucky, United States</t>
  </si>
  <si>
    <t>1. Major study in Mechanical, Aerospace, Manufacturing, or Mechatronics &amp; Robotics Engineering
2. Minimum 2.5 GPA (must be on resume)
3. Working knowledge of Microsoft Excel, Word, and PowerPoint</t>
  </si>
  <si>
    <t>Postdoctoral Scholar in Gut-Brain Axis</t>
  </si>
  <si>
    <t>1. Ph.D. or equivalent doctorate in an appropriate field (Neuroscience, Physiology, or related field)
2. Experience in using a wide range of molecular and in vivo experimental techniques
3. Experience in rodent behavioral testing (feeding, motivation, impulsivity, and/or emotionality)
...</t>
  </si>
  <si>
    <t>Cybersecurity Intern</t>
  </si>
  <si>
    <t>Commonwealth Credit Union</t>
  </si>
  <si>
    <t>1. Ability to handle sensitive information with the utmost confidentiality and integrity.
2. Strong problem-solving skills.
3. Detail-oriented approach.
...</t>
  </si>
  <si>
    <t>Post Doctoral Research Associate, School of Data Science - Visual Intelligence Lab</t>
  </si>
  <si>
    <t>UVA Parking &amp; Transportation</t>
  </si>
  <si>
    <t>Automotive, Education</t>
  </si>
  <si>
    <t>1. Effective written and verbal communication skills.
2. PhD degree in mechanical engineering, materials science, physics, computer science, or related fields, to be completed by the start date of the appointment.
3. Robust mathematical proficiency, with a focus on subjects including linear algebra, vector calculus, optimization, and statistics/probability.
...</t>
  </si>
  <si>
    <t>Student Employee-Engineering Technology</t>
  </si>
  <si>
    <t>Sam Houston State University</t>
  </si>
  <si>
    <t>EdTech, Education</t>
  </si>
  <si>
    <t>$10-$10 /h</t>
  </si>
  <si>
    <t>1. Student(s) will assist faculty and staff.
2. Help with labs, classes, grading, teaching, etc.</t>
  </si>
  <si>
    <t>Intern D, Systems Engrg (Rochester, NY)</t>
  </si>
  <si>
    <t>UNIV - Post Doc- Pharmacology and Immunology</t>
  </si>
  <si>
    <t>MUSC Health</t>
  </si>
  <si>
    <t>1. Conduct immunologic and molecular biologic experiments in human studies and collect and analyze data.
2. Assays such as qPCR, flow cytometry, ELISA.
3. Report research results to PI every week.
...</t>
  </si>
  <si>
    <t>Electrical Engineering Co-op</t>
  </si>
  <si>
    <t>$20-$24 /h</t>
  </si>
  <si>
    <t>1. Knowledge of AutoCAD and Revit software
2. Proficient in MS Office (Word, Excel, PowerPoint and Outlook)
3. Excellent technical skills, strong communication, analytical and interpersonal skills
...</t>
  </si>
  <si>
    <t>Spring Co-Op - All Civil Engineering Disciplines</t>
  </si>
  <si>
    <t>BETA Group</t>
  </si>
  <si>
    <t>Norwood, MA</t>
  </si>
  <si>
    <t>1. Enrolled in a Bachelor’s degree program in engineering, or related field
2. Understanding of general engineering theory and concepts
3. Proficient in the use of current technology (i.e., tablets, smart phones, laptops, etc.)
...</t>
  </si>
  <si>
    <t>Intern - Structures &amp; Dynamics Analysis Engineering 1 1</t>
  </si>
  <si>
    <t>1. Currently enrolled in an undergraduate or graduate program in Aerospace, Mechanical, or Civil Engineering (or similar program)
2. Returning to school upon completion of the assignment</t>
  </si>
  <si>
    <t>Electrical Engineer Intern C (Carlsbad, CA)</t>
  </si>
  <si>
    <t>1. Bachelor’s degree in Electrical Engineering, Computer Engineering, Electrical &amp; Computer Engineering, Materials Engineering, Materials Science Engineering or related field</t>
  </si>
  <si>
    <t>Intern D, Electrical Engrg (Columbia, MD)</t>
  </si>
  <si>
    <t>1. Pursuing a Bachelor’s degree in Electrical Engineering, Computer Engineering, Electrical &amp; Computer Engineering, Materials Engineering, Materials Science Engineering or related field</t>
  </si>
  <si>
    <t>Electrical Engineer Intern C (Melbourne, FL)</t>
  </si>
  <si>
    <t>Electrical Engineer Intern C (Salt Lake City, UT)</t>
  </si>
  <si>
    <t>Systems Engineer Intern C (Salt Lake City, UT)</t>
  </si>
  <si>
    <t>Continuous Improvement Engineering Co-Op (Fall)</t>
  </si>
  <si>
    <t>Therma-Tru</t>
  </si>
  <si>
    <t>Manufacturing, Real Estate</t>
  </si>
  <si>
    <t>Maumee, OH</t>
  </si>
  <si>
    <t>1. Currently enrolled in an undergraduate or graduate program focusing on mechanical engineering or related field from an accredited university
2. Proficiency in 2D and 3D CAD (Solidworks or similar)
3. Proficiency in Microsoft Office products (Word, Excel, PowerPoint, etc.)</t>
  </si>
  <si>
    <t>Electrical Engineer Intern D (Salt Lake City, UT)</t>
  </si>
  <si>
    <t>Intern D, Electrical Engrg (Rochester, NY)</t>
  </si>
  <si>
    <t>Intern D, Systems Engrg (Rochester, NY) 1</t>
  </si>
  <si>
    <t>Intern D, Electrical Engrg (Rochester, NY) 1</t>
  </si>
  <si>
    <t>Engineering Co-Op</t>
  </si>
  <si>
    <t>PCI Pharma Services</t>
  </si>
  <si>
    <t>1. Actively pursuing a bachelor’s degree in Mechanical Engineering, Chemical Engineering, Process Engineering, Biomedical Engineering, or a related field.
2. College Level Mathematical Skills
3. Intermediate Computer Skills: Ability to perform more complex computer tasks and has knowledge of various computer programs.
...</t>
  </si>
  <si>
    <t>Communication Apprentice - Charleston, SC</t>
  </si>
  <si>
    <t>M.C. Dean, Inc.</t>
  </si>
  <si>
    <t>1. High school diploma or GED are required with 0-6 months experience.
2. Must be 18 years of age.
3. Must have reliable transportation to and from the jobsite and school.
...</t>
  </si>
  <si>
    <t>Engineering Co-Op - Spring 2025</t>
  </si>
  <si>
    <t>AECOM</t>
  </si>
  <si>
    <t>1. Currently pursuing bachelor's degree in Civil Engineering.
2. Must have completed 1 year of study in the applicable program.
3. Ability to work effectively in a team-based, collaborative environment</t>
  </si>
  <si>
    <t>Professional Development Program (PDP) Internship - Environmental Engineering Summer 2025</t>
  </si>
  <si>
    <t>BASF</t>
  </si>
  <si>
    <t>Agriculture, Chemical</t>
  </si>
  <si>
    <t>$1907-$2340 /mon</t>
  </si>
  <si>
    <t>1. Undergraduate and graduate students majoring in Environmental Engineering
2. College Sophomores and Juniors (April 2026 - July 2027 grads)
3. Demonstrated academic achievement (Minimum GPA 3.2)
...</t>
  </si>
  <si>
    <t>Mechanical Engineering Co-op</t>
  </si>
  <si>
    <t>Ribbon Communications</t>
  </si>
  <si>
    <t>1. Currently enrolled in a University Degree seeking program for Electrical Engineering, Computer Science, Computer Engineering, Computer Information Systems, or other relevant technology focus programs.
2. Must be PC literate and well versed with Microsoft Office Suite of products (e.g. Word, Excel, Visio, Outlook and Teams)
3. Knows to ask questions to ensure assigned tasks and concepts are fully understood
...</t>
  </si>
  <si>
    <t>Nuclear Engineering Intern</t>
  </si>
  <si>
    <t>Commonwealth Fusion</t>
  </si>
  <si>
    <t>Clean Energy, Electrical Distribution</t>
  </si>
  <si>
    <t>Devens, MA</t>
  </si>
  <si>
    <t>1. Students in Nuclear or Mechanical Engineering
2. Undergrad or Master's students
3. Experience in CAD and python required
...</t>
  </si>
  <si>
    <t>Geophysicist Intern</t>
  </si>
  <si>
    <t>ENSCO</t>
  </si>
  <si>
    <t>Cyber Security, Information Technology</t>
  </si>
  <si>
    <t>Springfield, VA</t>
  </si>
  <si>
    <t>1. In pursuit of bachelors in Physical Science or related discipline (Geophysics, Physics, Mathematics, Engineering, Computer Science)
2. Rising senior or later
3. Knowledge or relevant coursework in digital signal processing
...</t>
  </si>
  <si>
    <t>Postdoctoral Research Associate</t>
  </si>
  <si>
    <t>Texas A&amp;M University</t>
  </si>
  <si>
    <t>1. Appropriate PhD in Chemistry or related field
2. Strong written and oral communication skills
3. Ability to work with people from various backgrounds and be helpful, respectful, approachable, and team oriented</t>
  </si>
  <si>
    <t>Tool &amp; Die Apprenticeship Program</t>
  </si>
  <si>
    <t>MANN+HUMMEL</t>
  </si>
  <si>
    <t>Environmental Consulting, Waste Management</t>
  </si>
  <si>
    <t>Gastonia, NC</t>
  </si>
  <si>
    <t>1. Candidates must be at least 18 years old
2. High School Diploma
3. Good knowledge of scientific subjects
...</t>
  </si>
  <si>
    <t>Student Engineer, Portland, OR or Salt Lake City, UT</t>
  </si>
  <si>
    <t>PacifiCorp</t>
  </si>
  <si>
    <t>$21-$27 /h</t>
  </si>
  <si>
    <t>1. Enrolled full time in accredited engineering college/university.
2. Sophomore standing or higher in electrical/mechanical/civil engineering or a related field.
3. Ability to interact favorably with project and work teams.
...</t>
  </si>
  <si>
    <t>Apprentice Inspector (H&amp;S) - HIQA</t>
  </si>
  <si>
    <t>All, MO</t>
  </si>
  <si>
    <t>$33019-$51891 /yr</t>
  </si>
  <si>
    <t>1. Must possess a motor vehicle driver license valid in the State of New York. This license must be maintained for the duration of employment.</t>
  </si>
  <si>
    <t>Student Engineer (Electrical) - Portland, Oregon -</t>
  </si>
  <si>
    <t>$20.50-$20.50 /h</t>
  </si>
  <si>
    <t>1. Enrolled full time in accredited engineering college/university.
2. Studies in electrical/mechanical/civil engineering or a related field.
3. Ability to interact favorably with project and work teams.
...</t>
  </si>
  <si>
    <t>Student Engineer, Salt Lake City, UT or Portland, OR</t>
  </si>
  <si>
    <t>GIS Intern</t>
  </si>
  <si>
    <t>Colliers Engineering &amp; Design</t>
  </si>
  <si>
    <t>Architecture, Civil Engineering</t>
  </si>
  <si>
    <t>1. Pursuing a Bachelor of Science or master’s degree in GIS, Environmental Science, Geography or a related program.
2. Working understanding of ArcGIS Pro and analysis.
3. Proficiency in ArcGIS Online and basic map design.
...</t>
  </si>
  <si>
    <t>2024 Process Modeling Co-Op in Data Science, CMC Development, R&amp;D</t>
  </si>
  <si>
    <t>Framingham, MA</t>
  </si>
  <si>
    <t>1. Working towards a Masters or PhD in Chemical or Biochemical Engineering
2. Experience developing ordinary differential equation models for metabolic modeling
3. Coursework or research experience in machine learning methodologies
...</t>
  </si>
  <si>
    <t>2025 Engineering Internship Program- Metallurgical Engineering</t>
  </si>
  <si>
    <t>Caterpillar</t>
  </si>
  <si>
    <t>Construction, Machinery Manufacturing</t>
  </si>
  <si>
    <t>Chillicothe, IL</t>
  </si>
  <si>
    <t>1. Must be enrolled full-time at a 4-year accredited university/college pursuing a degree or minor in a Materials Engineering discipline (e.g. Metallurgical Eng, Ceramic Eng, Materials Science, etc.)
2. Must have 30 completed semester hours before the start of the internship. If a transfer student must have 12 semester hours completed at a 4-year university
3. Minimum 3.0/4.0 Cumulative Grade Point Average (no rounding) at current institution
...</t>
  </si>
  <si>
    <t>Installation Helper</t>
  </si>
  <si>
    <t>Sunnova</t>
  </si>
  <si>
    <t>1. High School Diploma (or GED)
2. 3+ years’ experience in residential construction
3. Prior experience working on residential rooftops
...</t>
  </si>
  <si>
    <t>Virginia, United States</t>
  </si>
  <si>
    <t>PostDoctoral Research Associate</t>
  </si>
  <si>
    <t>University of Colorado Boulder</t>
  </si>
  <si>
    <t>$60000-$60000 /yr</t>
  </si>
  <si>
    <t>1. A PhD.
2. Familiarity with programming and using optimization packages.
3. Familiarity with the code package that the group uses.</t>
  </si>
  <si>
    <t>Research Intern - RI Safety &amp; Training Resources</t>
  </si>
  <si>
    <t>Nationwide Children's Hospital</t>
  </si>
  <si>
    <t>Children, Health Care</t>
  </si>
  <si>
    <t>1. High School graduate with two years accredited college coursework majoring in science preferred.
2. 50% Typing on computer
3. 25% Answering phones
...</t>
  </si>
  <si>
    <t>Research Intern - RI Gene Bradbury</t>
  </si>
  <si>
    <t>1. High School student or HS graduate with two years accredited college coursework majoring in science preferred.</t>
  </si>
  <si>
    <t>Research Intern - RI Microbial Bagaitkar</t>
  </si>
  <si>
    <t>1. High School graduate with two years accredited college coursework majoring in science preferred.
2. Assists with research experiments for specific area.
3. Conducts laboratory analyses; assists in assay studies and tests on substrates of materials used in research.
...</t>
  </si>
  <si>
    <t>Avancez</t>
  </si>
  <si>
    <t>DFW Metroplex</t>
  </si>
  <si>
    <t>1. Develop and update Standardized Work Instructions for assembly processes
2. Complete Level One ergonomic job analysis
3. Create and update layouts in 2D AutoCAD to maintain Plant Layout
...</t>
  </si>
  <si>
    <t>Research Intern - CSA Surgery</t>
  </si>
  <si>
    <t>Beta Technologies</t>
  </si>
  <si>
    <t>Engineering Co-op</t>
  </si>
  <si>
    <t>Lumitex, Inc.</t>
  </si>
  <si>
    <t>Computer, Electronics</t>
  </si>
  <si>
    <t>Brecksville, OH</t>
  </si>
  <si>
    <t>1. Must be a Sophomore, Junior, or Senior engineering student pursuing a degree in Mechanical, Electrical, Chemical, or Biomedical Engineering
2. Available for Spring 2025 Semester and be interested in returning on a rotational basis
3. Strong attention to detail
...</t>
  </si>
  <si>
    <t>POET</t>
  </si>
  <si>
    <t>Animal Feed, Biofuel</t>
  </si>
  <si>
    <t>1. Junior or senior level status majoring in an accredited Engineering program.
2. Excellent organizational, time management, and communication skills as well as the ability to adapt to change.
3. You communicate effectively in writing and in person.
...</t>
  </si>
  <si>
    <t>North Dakota, United States</t>
  </si>
  <si>
    <t>Fire Protection Engineering Intern</t>
  </si>
  <si>
    <t>$20-$26 /h</t>
  </si>
  <si>
    <t>1. Ability to communicate effectively, both orally and in writing
2. Excellent analytical and problem-solving skills; able to identify problems and solutions
3. Strong interpersonal skills and ability to work effectively in a team environment
...</t>
  </si>
  <si>
    <t>Maine, United States</t>
  </si>
  <si>
    <t>Traffic Intern</t>
  </si>
  <si>
    <t>Alliant Engineering, Inc.</t>
  </si>
  <si>
    <t>1. In pursuit of a bachelor's degree in Civil Engineering
2. Excellent interpersonal, verbal and written communication skills
3. Strong technical and problem solving skills</t>
  </si>
  <si>
    <t>Norwalk, CA</t>
  </si>
  <si>
    <t>Wisconsin, United States</t>
  </si>
  <si>
    <t>Fall 2024 Engineering Co-Op Greenville, NC</t>
  </si>
  <si>
    <t>1. Candidate must be enrolled in an Undergraduate Engineering Program or in a similar discipline.
2. To qualify, applicants must be legally authorized to work in the United States, and should not require, now or in the future, sponsorship for employment visa status.
3. Unrestricted US Work Authorization.</t>
  </si>
  <si>
    <t>Indiana, United States</t>
  </si>
  <si>
    <t>IBM Z Mainframe System Verification Tester Apprentice</t>
  </si>
  <si>
    <t>Poughkeepsie, NY</t>
  </si>
  <si>
    <t>1. Willingness to complete the requirements of the apprenticeship program
2. Some knowledge or experience with any of the following: Soldering and de-soldering, Electrical Safety, Electron Theory, AC Basics, Computer Electronics, Electrical Testing Equipment (i.e multimeters, oscilloscopes, etc)
3. Drive and eagerness to learn
...</t>
  </si>
  <si>
    <t>IT Intern (Information Security)</t>
  </si>
  <si>
    <t>SWBC</t>
  </si>
  <si>
    <t>1. Currently pursuing a Bachelor’s or Master’s degree at an accredited university/college in Cyber Security, Information Systems, Business Management, Risk or Emergency Management, or related program.
2. Expected graduation date of May 2024 or later.
3. Excellent written and verbal communication skills.
...</t>
  </si>
  <si>
    <t>North Carolina, United States</t>
  </si>
  <si>
    <t>1. Bachelor's Degree (complete or in progress) in relevant field AND 3+ months related research internship experience OR Master's Degree in relevant field OR equivalent experience.
2. Registered for or attending ICML, 2024</t>
  </si>
  <si>
    <t>Utah, United States</t>
  </si>
  <si>
    <t>Florida, United States</t>
  </si>
  <si>
    <t>Vermont, United States</t>
  </si>
  <si>
    <t>Hawaii, United States</t>
  </si>
  <si>
    <t>South Dakota, United States</t>
  </si>
  <si>
    <t>Illinois, United States</t>
  </si>
  <si>
    <t>Ohio, United States</t>
  </si>
  <si>
    <t>Louisiana, United States</t>
  </si>
  <si>
    <t>Wyoming, United States</t>
  </si>
  <si>
    <t>Massachusetts, United States</t>
  </si>
  <si>
    <t>Minnesota, United States</t>
  </si>
  <si>
    <t>Maryland, United States</t>
  </si>
  <si>
    <t>Idaho, United States</t>
  </si>
  <si>
    <t>Washington, United States</t>
  </si>
  <si>
    <t>New Hampshire, United States</t>
  </si>
  <si>
    <t>Alaska, United States</t>
  </si>
  <si>
    <t>Regal Rexnord</t>
  </si>
  <si>
    <t>1. Ability to adjust to varying priorities and project lists.
2. CAD skills preferred (SolidWorks, AutoCAD, Pro-E, Solid Edge)
3. Competent in Microsoft computer skills (Excel, Word, PowerPoint)
...</t>
  </si>
  <si>
    <t>Research Engineer Graduate (Machine Learning Sys-US) - 2024 Start (PhD)</t>
  </si>
  <si>
    <t>$137750-$237500 /yr</t>
  </si>
  <si>
    <t>1. PhD graduate with a background in Computer Science, related technical field or equivalent industrial research experience
2. Must obtain work authorization in the country of employment at the time of hire, and maintain ongoing work authorization during employment.</t>
  </si>
  <si>
    <t>Montana, United States</t>
  </si>
  <si>
    <t>Oklahoma, United States</t>
  </si>
  <si>
    <t>Nevada, United States</t>
  </si>
  <si>
    <t>Avionics Engineer — Associate Program (Summer 2024)</t>
  </si>
  <si>
    <t>$1750-$1750 /wk</t>
  </si>
  <si>
    <t>1. Have a four-year degree in electrical or computer engineering (or equivalent technical degree), with plans to pursue a graduate degree following your time at Astranis.
2. Interest in learning about, designing, and working with various spacecraft systems and subsystems
3. A passion for hardware development, including working in a fast-paced environment and hands-on design and development
...</t>
  </si>
  <si>
    <t>Research Facilities Assistant</t>
  </si>
  <si>
    <t>North Carolina State University</t>
  </si>
  <si>
    <t>$15-$18 /h</t>
  </si>
  <si>
    <t>1. Successful completion of 12th grade and currently enrolled as a student at NC State.
2. Proficient with Word, Excel, Adobe and possess the ability to navigate multiple types of online forms.
3. Must be able to work on feet, bend over, kneel, work around loud machinery, and lift 50lbs without assistance.</t>
  </si>
  <si>
    <t>Postdoctoral Research Associate (Intestinal Biology &amp; Mucosal Immunology)</t>
  </si>
  <si>
    <t>University of Illinois Chicago</t>
  </si>
  <si>
    <t>1. MD or Ph.D. in Basic Science, Health Science, or a related field obtained within the last 5 years
2. Knowledge of common molecular biology techniques is required
3. Curiosity, self-motivation, and the ability to work collaboratively with other members in the team are essential
...</t>
  </si>
  <si>
    <t>Arizona, United States</t>
  </si>
  <si>
    <t>Alabama, United States</t>
  </si>
  <si>
    <t>New Mexico, United States</t>
  </si>
  <si>
    <t>Pennsylvania, United States</t>
  </si>
  <si>
    <t>Intern/Co-op Refining Electrical Engineering Fall 2024</t>
  </si>
  <si>
    <t>Garyville, LA</t>
  </si>
  <si>
    <t>1. Candidates must be majoring in Electrical Engineering
2. Strong academic performance
3. Candidates must be authorized to work in the US on a full-time indefinite basis without the need for employment visa sponsorship now or in the future
...</t>
  </si>
  <si>
    <t>Kansas, United States</t>
  </si>
  <si>
    <t>Mississippi, United States</t>
  </si>
  <si>
    <t>Nebraska, United States</t>
  </si>
  <si>
    <t>Michigan, United States</t>
  </si>
  <si>
    <t>Arkansas, United States</t>
  </si>
  <si>
    <t>Tennessee, United States</t>
  </si>
  <si>
    <t>$145000-$250000 /yr</t>
  </si>
  <si>
    <t>1. PhD graduate with a background in Computer Science, related technical field or equivalent industrial research experience
2. Must obtain work authorization in the country of employment at the time of hire, and maintain ongoing work authorization during employment</t>
  </si>
  <si>
    <t>Iowa, United States</t>
  </si>
  <si>
    <t>Water Engineer Co-Op</t>
  </si>
  <si>
    <t>Arcadis</t>
  </si>
  <si>
    <t>Middletown, CT</t>
  </si>
  <si>
    <t>$16.10-$26.90 /h</t>
  </si>
  <si>
    <t>1. Pursuing a BS in Civil, Environmental, or Water Resources Engineering, or another closely related academic discipline</t>
  </si>
  <si>
    <t>South Carolina, United States</t>
  </si>
  <si>
    <t>2024 Packaging Engineer Fall Co-op</t>
  </si>
  <si>
    <t>Unilever</t>
  </si>
  <si>
    <t>Consumer, Fast-Moving Consumer Goods</t>
  </si>
  <si>
    <t>Trumbull, CT</t>
  </si>
  <si>
    <t>1. Undergraduate candidate with Junior or Senior status or Graduate candidate
2. Minimum GPA of 3.0
3. Coursework in packaging engineering or other relevant technically related field
...</t>
  </si>
  <si>
    <t>Oregon, United States</t>
  </si>
  <si>
    <t>Rhode Island, United States</t>
  </si>
  <si>
    <t>Intern, Electrical Engineering</t>
  </si>
  <si>
    <t>Leviton Manufacturing</t>
  </si>
  <si>
    <t>Consumer Electronics, Energy Management</t>
  </si>
  <si>
    <t>Melville, NY</t>
  </si>
  <si>
    <t>$16-$22 /h</t>
  </si>
  <si>
    <t>1. Strong written, verbal, analytical, and interpersonal skills
2. RF design
3. RF testing
...</t>
  </si>
  <si>
    <t>Salinas, CA</t>
  </si>
  <si>
    <t>Missouri, United States</t>
  </si>
  <si>
    <t>Engineer Intern</t>
  </si>
  <si>
    <t>Granite Construction</t>
  </si>
  <si>
    <t>Crandall, TX</t>
  </si>
  <si>
    <t>$0-$0 /h</t>
  </si>
  <si>
    <t>1. High School Diploma or GED
2. Working towards a bachelor’s degree in Civil Engineering, Construction Management, Business Administration, or related field
3. 0 - 2 years construction estimating support, engineering, field support, or similar experience
...</t>
  </si>
  <si>
    <t>Connecticut, United States</t>
  </si>
  <si>
    <t>Mechanical Engineering Co-op_Summer 2025</t>
  </si>
  <si>
    <t>1. Currently enrolled in an accredited university pursuing a bachelor's degree or higher in Engineering (Mechanical Engineering)
2. December 2025 or later graduation date
3. Cumulative GPA &gt;=3.0 (out of 4.0)
...</t>
  </si>
  <si>
    <t>R&amp;D Engineering Intern</t>
  </si>
  <si>
    <t>1. Students studying Aerospace Engineering, Mechanical Engineering, Electrical Engineering, Computer Engineering, Engineering Science and Mechanics, and Computer Science are encouraged to apply.
2. You must be a U.S. Citizen to apply.
3. Employment with the Applied Research Laboratory will require successful completion of a pre-employment drug screen.
...</t>
  </si>
  <si>
    <t>Sales/ Engineering Year-Round Intern</t>
  </si>
  <si>
    <t>Dearborn, MI</t>
  </si>
  <si>
    <t>1. Currently enrolled for a bachelor’s degree in Business, Sales, Marketing, Supply Chain, Mechanical or Manufacturing Engineering, or other relevant field required.
2. Strong organizational and interpersonal skills
3. Strong analytical acumen.
...</t>
  </si>
  <si>
    <t>Project Engineer Intern</t>
  </si>
  <si>
    <t>DPR Construction</t>
  </si>
  <si>
    <t>Commercial, Construction</t>
  </si>
  <si>
    <t>Location, WV</t>
  </si>
  <si>
    <t>1. Enrollment in a construction management, civil engineering, or related program
2. Strong technical and communication skills
3. Proficiency in Microsoft Office Suite
...</t>
  </si>
  <si>
    <t>Collegiate Architectural Intern</t>
  </si>
  <si>
    <t>PBK</t>
  </si>
  <si>
    <t>1. Must be pursuing a Bachelor’s or Master’s Degree in Architecture.
2. Must demonstrate proficiency in using Revit Architecture.
3. Strong customer service skills.
...</t>
  </si>
  <si>
    <t>Postdoctoral Associate | Hearing and Balance, Tarchini Lab</t>
  </si>
  <si>
    <t>The Jackson Laboratory</t>
  </si>
  <si>
    <t>Biotechnology, Genetics</t>
  </si>
  <si>
    <t>Bar Harbor, ME</t>
  </si>
  <si>
    <t>$65,589-$75,569 /yr</t>
  </si>
  <si>
    <t>1. Recently awarded Ph.D. in developmental cell biology, neuroscience, or related field
2. Experience with fine dissection techniques
3. Good fine motor skills and depth perception are essential</t>
  </si>
  <si>
    <t>Industrial Engineering Co-op</t>
  </si>
  <si>
    <t>Modine Manufacturing Company</t>
  </si>
  <si>
    <t>1. Currently pursuing a Master’s degree in Industrial Engineering or a related field.
2. Strong analytical skills with the ability to collect, interpret, and analyze data.
3. Prior experience (1-2 years) in a manufacturing environment.
...</t>
  </si>
  <si>
    <t>Application Security Intern - UTA - Summer 2025</t>
  </si>
  <si>
    <t>1. Enrollment in Bachelors Degree Program in Computer Science, MIS, Engineering or related Field
2. Passionate about information security
3. Knowledge of OWASP and other software security best practices
...</t>
  </si>
  <si>
    <t>Watchmaker Apprentice</t>
  </si>
  <si>
    <t>Signet Jewelers</t>
  </si>
  <si>
    <t>E-Commerce Platforms, Jewelry</t>
  </si>
  <si>
    <t>Brentwood, TN</t>
  </si>
  <si>
    <t>1. Ability to replace watch batteries and reseal watches.
2. Ability to remove links from watches.
3. Ability to replace parts on watches as needed.
...</t>
  </si>
  <si>
    <t>Texas, United States</t>
  </si>
  <si>
    <t>Frisco, TX</t>
  </si>
  <si>
    <t>2025 Energy Engineering Intern</t>
  </si>
  <si>
    <t>Trane Technologies</t>
  </si>
  <si>
    <t>Industrial, Machinery Manufacturing</t>
  </si>
  <si>
    <t>$27.90-$38.44 /h</t>
  </si>
  <si>
    <t>1. Pursuing a bachelor’s degree in Engineering, preferred disciplines: Energy, Mechanical or Electrical.
2. Be a U.S. citizen or have the legal right to work in the U.S. without requiring sponsorship now or in the future.
3. Possess a valid driver’s license for a minimum of 12 months, ability to provide proof of insurance, and have no major or frequent traffic violations including, but not limited to: DUI in the previous 3 years, Hit &amp; Run, License Suspension, Reckless / Careless Driving or multiple smaller infractions or preventable collisions in the previous 3 years.</t>
  </si>
  <si>
    <t>OSP Field Engineering Intern</t>
  </si>
  <si>
    <t>JSI</t>
  </si>
  <si>
    <t>Consulting, Financial Services</t>
  </si>
  <si>
    <t>Moorcroft, WY</t>
  </si>
  <si>
    <t>1. Students must be enrolled in an engineering class with the goal of obtaining a bachelor's degree in engineering.
2. Must hold a 2.5 GPA and a 3.0 in degree program classes.
3. Ability to apply technical skills to meet project demands.
...</t>
  </si>
  <si>
    <t>Franklin, OH</t>
  </si>
  <si>
    <t>1. Third- or fourth-year students are preferred.
2. Students must be enrolled in an engineering class with the goal of obtaining a bachelor's degree in engineering.
3. Must hold a 2.5 GPA and a 3.0 in degree program classes.
...</t>
  </si>
  <si>
    <t>Lubbock, TX</t>
  </si>
  <si>
    <t>Danville, WA</t>
  </si>
  <si>
    <t>Packaging Mechanical Intern/Co-Op (Seasonal)</t>
  </si>
  <si>
    <t>The Haskell Company</t>
  </si>
  <si>
    <t>1. Pursuing a degree in Mechanical, Packaging or similar engineering
2. Excellent computer skills, including 2D and 3D CAD
3. Ability to work independently
...</t>
  </si>
  <si>
    <t>Maitland, FL</t>
  </si>
  <si>
    <t>$22.50-$31 /h</t>
  </si>
  <si>
    <t>Miramar, FL</t>
  </si>
  <si>
    <t>Cedar Crest, NM</t>
  </si>
  <si>
    <t>Burlington, IA</t>
  </si>
  <si>
    <t>Brandon, SD</t>
  </si>
  <si>
    <t>Mandan, ND</t>
  </si>
  <si>
    <t>$31.38-$39.72 Hourly</t>
  </si>
  <si>
    <t>1. Candidates must be majoring in Electrical Engineering
2. Strong academic performance
3. Candidates must be authorized to work in the US on a full-time indefinite basis without the need for employment visa sponsorship now or in the future.
...</t>
  </si>
  <si>
    <t>Engineering Intern (Year-Round)</t>
  </si>
  <si>
    <t>BorgWarner</t>
  </si>
  <si>
    <t>Automotive, Autonomous Vehicles</t>
  </si>
  <si>
    <t>1. Pursuing a bachelor’s degree (BS/BA) in materials engineering, materials science, chemistry, chemical engineering, engineering chemistry, or mechanical engineering.
2. Ability to operate laboratory test and analysis equipment typically used in material investigations.
3. Familiarity with safe lab practices and chemical safety.
...</t>
  </si>
  <si>
    <t>Systems Administrator Intern</t>
  </si>
  <si>
    <t>Monro Muffler</t>
  </si>
  <si>
    <t>1. Associates degree in Computer Science, Computer Technologies or similar experience
2. Experience with Microsoft tools, servers and PC’s
3. Proven work experience in medium to large IT environments
...</t>
  </si>
  <si>
    <t>Timing Calibration Engineer Co-op - Summer 2024</t>
  </si>
  <si>
    <t>Teradyne</t>
  </si>
  <si>
    <t>Consumer Electronics, Industrial</t>
  </si>
  <si>
    <t>1. Current college student working towards a degree in Computer Science, Computer Engineering, or Electrical Engineering
2. Course work involving developing software applications that control hardware products
3. Solid grasp of Object-Oriented Design and software data structures
...</t>
  </si>
  <si>
    <t>2024 Fall Engineering Co-Op Louisville, KY</t>
  </si>
  <si>
    <t>Michelin</t>
  </si>
  <si>
    <t>Automotive, Consumer Goods</t>
  </si>
  <si>
    <t>1. Currently enrolled in a Mechanical, Chemical, Industrial, Electrical Engineering or equivalent program at an accredited four-year college or university.
2. Minimum cumulative GPA of 3.0
3. The ability to interact in a professional manner with external partners, suppliers, customers, and colleagues.
...</t>
  </si>
  <si>
    <t>Solar Field Installation Apprentice - NY</t>
  </si>
  <si>
    <t>Terrasmart</t>
  </si>
  <si>
    <t>Construction, Manufacturing</t>
  </si>
  <si>
    <t>Selkirk, NY</t>
  </si>
  <si>
    <t>1. Highschool Graduate or Equivalent
2. Familiarity of tablet or iPhone technology
3. Able to work outdoors in uncovered areas exposed to varying elements, allergens, weather conditions, temperatures, and wildlife.
...</t>
  </si>
  <si>
    <t>Fall 2024 Engineering Internship</t>
  </si>
  <si>
    <t>Vast Space</t>
  </si>
  <si>
    <t>Long Beach, CA</t>
  </si>
  <si>
    <t>$33-$38 /h</t>
  </si>
  <si>
    <t>1. Qualified candidates must be enrolled in a Bachelor's or Master’s degree program from an accredited college or university in mechanical engineering, aerospace engineering, or other engineering discipline
2. Ability to work full-time onsite in Long Beach, CA</t>
  </si>
  <si>
    <t>Co-Op Process Engineer - Spring 2025</t>
  </si>
  <si>
    <t>Jackson, AL</t>
  </si>
  <si>
    <t>1. A minimum grade point average of 3.0/4.0 is required.
2. Must be a permanent U.S. resident, requiring no sponsorship.
3. Currently attending a participating University (Mississippi State University, The University of Mississippi, Auburn University, University of Alabama, University of South Alabama, University of Maine, University of North Carolina State, University of Miami Ohio, Georgia Tech, University of Tennessee or Tennessee Technology University, majoring in Paper Science or Chemical/Electrical/Mechanical Engineering or other related majors.
...</t>
  </si>
  <si>
    <t>Greater Sacramento</t>
  </si>
  <si>
    <t>$26-$29 /h</t>
  </si>
  <si>
    <t>Industrial Engineer , Continuous Improvement (Intern)</t>
  </si>
  <si>
    <t>FreshDirect</t>
  </si>
  <si>
    <t>Bakery, Catering</t>
  </si>
  <si>
    <t>1. Bachelor's degree in industrial engineering or related field
2. Ability to work well with cross-functional teams and lead individuals who are not direct reports
3. Comfortable juggling and coordinating multiple projects across several channels simultaneously
...</t>
  </si>
  <si>
    <t>Universal Destinations &amp; Experiences Fall 2024 Internship - Business Analytics &amp; Industrial Engineering - Halloween Horror Nights</t>
  </si>
  <si>
    <t>Universal Studios Hollywood</t>
  </si>
  <si>
    <t>Location Based Services, Music</t>
  </si>
  <si>
    <t>Universal City, CA</t>
  </si>
  <si>
    <t>1. In pursuit of Bachelor’s degree from a four year college or university in an accredited Industrial Engineering program
2. Availability to work a mix of late shifts, sometimes ending between 11pm and 2am on Wednesdays - Sundays and regular 9am - 5:30pm shifts
3. Experience with data analysis and statistical analysis
...</t>
  </si>
  <si>
    <t>Oakland, CA</t>
  </si>
  <si>
    <t>Precision Ag Field Specialist Intern</t>
  </si>
  <si>
    <t>FMC Corporation</t>
  </si>
  <si>
    <t>Agriculture, Health Care</t>
  </si>
  <si>
    <t>1. Must be currently enrolled as an undergraduate or master’s program, in Agronomy, Entomology, Plant Pathology, Crop Management, or Agriculture.
2. Relevant experience involving crop scouting
3. Candidate should have a clean driving record with ability to responsibly operate an FMC provided vehicle
...</t>
  </si>
  <si>
    <t>Mechanical Engineering Technology Co-op_Summer 2025</t>
  </si>
  <si>
    <t>1. Currently enrolled in an accredited university pursuing a bachelor's degree or higher in Mechanical Engineering Technology
2. December 2025 or later graduation date
3. Cumulative GPA &gt;=3.0 (out of 4.0)
...</t>
  </si>
  <si>
    <t>UIUC Research Park - Electrical Hardware Development</t>
  </si>
  <si>
    <t>1. Must be currently pursuing a bachelors, masters, or PhD degree at the University of Illinois Urbana Champaign.
2. Actively pursuing a degree or one closely related in Engineering.
3. Knowledge of advanced solid mechanics and strength of materials.
...</t>
  </si>
  <si>
    <t>LaFayette, GA</t>
  </si>
  <si>
    <t>Post Bachelor Weapons Engineering Internship</t>
  </si>
  <si>
    <t>1. Must have graduated from an accredited post-secondary institution and obtained an undergraduate degree within three academic years of their date of hire at the Laboratory.
2. Cannot be accepted into a graduate program.
3. Must have graduated with a cumulative GPA or 3.2 or higher on a 4.0 scale.
...</t>
  </si>
  <si>
    <t>Thermo Fisher Scientific</t>
  </si>
  <si>
    <t>Bioinformatics, Biotechnology</t>
  </si>
  <si>
    <t>Geographic Information Systems (GIS) Intern</t>
  </si>
  <si>
    <t>City of Fort Worth</t>
  </si>
  <si>
    <t>1. A college student that is currently enrolled in an accredited college or university with major focus in Computer Science, Information Systems or other GIS related field such as Geographic Information Systems, Geography, Computer Science or Environmental Science.
2. 6-12 hours of classroom experience with GIS principles and practices in a classroom setting.
3. Proficient with basic GIS concepts for data review, editing, map production and analysis.</t>
  </si>
  <si>
    <t>Entry-Level Substation Electrical Engineer</t>
  </si>
  <si>
    <t>POWER Engineers</t>
  </si>
  <si>
    <t>1. BSEE (BS Electrical Engineering) or BSEET (BS Electrical Engineering Technology) degree, from an accredited university preferably with a power option
2. Strong knowledge and understanding of electrical engineering to build on
3. Strong command of the English language with good written and oral communication skills in order to work effectively with internal team members and external client personnel
...</t>
  </si>
  <si>
    <t>Power Washer</t>
  </si>
  <si>
    <t>Edw. C. Levy Co.</t>
  </si>
  <si>
    <t>Osceola, AR</t>
  </si>
  <si>
    <t>1. Ability to operate power washer
2. Ability to operate a man lift
3. Ability to manipulate tools (i.e. hand tools, power tools, etc.)
...</t>
  </si>
  <si>
    <t>Apprentice I Utility</t>
  </si>
  <si>
    <t>Harrison, Walker &amp; Harper</t>
  </si>
  <si>
    <t>Paris, TX</t>
  </si>
  <si>
    <t>1. High school diploma or GED
2. Minimum of three years of related experience</t>
  </si>
  <si>
    <t>Sustainability Intern (Fall 2024)</t>
  </si>
  <si>
    <t>Viavi Solutions</t>
  </si>
  <si>
    <t>Computer, Enterprise Software</t>
  </si>
  <si>
    <t>San Jose, CA USA</t>
  </si>
  <si>
    <t>1. Bachelor’s degree in or currently working towards degree in Environmental Science, Sustainability, Environmental Health &amp; Safety, or related field
2. Strong organizational skills and attention to detail
3. Intellectually curious
...</t>
  </si>
  <si>
    <t>Temporary Data Engineer/Data Analyst Intern</t>
  </si>
  <si>
    <t>1. High school diploma/GED required.
2. Relevant experience required.
3. Strong proficiency with data organization, manipulation, and analysis.
...</t>
  </si>
  <si>
    <t>$60000-$130000 /yr</t>
  </si>
  <si>
    <t>YT Strategic Equipment Development Engineer</t>
  </si>
  <si>
    <t>Micron Technology</t>
  </si>
  <si>
    <t>Boise, ID - Main Site</t>
  </si>
  <si>
    <t>1. Proactive and passionate about learning (training and coursework)
2. Drawn to creative problem solving and innovative solutions
3. Investigating process anomalies, root cause analysis, data manipulation, and correlations
...</t>
  </si>
  <si>
    <t>Fairborn, OH, United States</t>
  </si>
  <si>
    <t>Field Archaeologist</t>
  </si>
  <si>
    <t>Traverse City, MI</t>
  </si>
  <si>
    <t>1. Actively enrolled in an accredited Geology, Environmental Science, Geosciences, or related, Undergraduate or Graduate program.
2. Demonstrated interest in the geosciences and have a strong desire to advance skills related to WSP’s work and projects.
3. Competent interpersonal and communication skills when interacting with others and ability to express ideas effectively and professionally.
...</t>
  </si>
  <si>
    <t>Automation/Controls Engineer - Internship/Co-Op (Start May 2025)</t>
  </si>
  <si>
    <t>The Dennis Group</t>
  </si>
  <si>
    <t>Building Material, Consulting</t>
  </si>
  <si>
    <t>1. Sophomore, Junior or Senior pursuing a Bachelor’s degree in Electrical Engineering or a related field.
2. Proficiency with MS Office and AutoCAD Required.
3. GPA: 3.0.
...</t>
  </si>
  <si>
    <t>Project Engineering Intern</t>
  </si>
  <si>
    <t>1. Currently studying in a project management or related technical field
2. Proficient in Microsoft Office: Word, Excel, PowerPoint
3. Reasoning, analytical, and problem-solving skills
...</t>
  </si>
  <si>
    <t>Process Engineer - Internship/Co-Op (Start September 2025)</t>
  </si>
  <si>
    <t>1. Sophomore, Junior or Senior pursuing a Bachelor’s degree in Chemical Engineering or related field.
2. Familiarity with process flow diagrams and P&amp;IDs is a plus.
3. Interest in food safety and sanitary design principles and a desire learn about various food and beverage industry standards, practices, and regulations.
...</t>
  </si>
  <si>
    <t>Process Engineer - Internship/Co-Op (Start January 2025)</t>
  </si>
  <si>
    <t>1. Sophomore, Junior or Senior pursuing a Bachelor’s degree in Chemical Engineering or related field.
2. Interest in food safety and sanitary design principles and a desire learn about various food and beverage industry standards, practices, and regulations.
3. Experience with MS Office, MS Project, and AutoCAD.
...</t>
  </si>
  <si>
    <t>Electrical Engineer (Building/Power Systems) - Intern/Co-Op (Jan 2025)</t>
  </si>
  <si>
    <t>1. Sophomore, Junior or Senior pursuing a bachelor’s degree in electrical engineering or related field.
2. Proficiency with MS Office (Excel, Word, Access).
3. GPA: 3.0 or above.
...</t>
  </si>
  <si>
    <t>Electrical Engineer (Building/Power Systems) - Intern/Co-Op (May 2025)</t>
  </si>
  <si>
    <t>Process Engineer - Internship/Co-Op (Start May 2025)</t>
  </si>
  <si>
    <t>Research Student Per Diem BWH Neurology</t>
  </si>
  <si>
    <t>1. Background in Immunology
2. Experience in cellular assays, flow cytometry and real-time PCR
3. Ability to work well independently.
...</t>
  </si>
  <si>
    <t>Mechanical Engineer (HVAC &amp; Utilities) - Internship/Co-Op (May 2025)</t>
  </si>
  <si>
    <t>1. Sophomore, Junior, or Senior pursuing a bachelor’s degree in mechanical engineering or related field.
2. Understanding of the fundamental basics of performing calculations in areas of energy, drainage, line loss, etc.
3. GPA: 3.0 or above
...</t>
  </si>
  <si>
    <t>Packaging Engineer (Packaging Systems Design)-(Sept 2025 Co-Op/Intern)</t>
  </si>
  <si>
    <t>1. Sophomore, Junior, or Senior pursuing a bachelor’s degree in chemical engineering, mechanical, packaging, industrial, or manufacturing engineering.
2. GPA: 3.0 or above
3. Willing to travel to project site – potentially 30% to 50%.
...</t>
  </si>
  <si>
    <t>CAD Drafter/Designer (Co-Op or Internship - Fall 2024 or Spring 2025)</t>
  </si>
  <si>
    <t>1. Sophomore, Junior or Senior pursuing an Associate’s or Bachelor’s degree in Engineering or Design or a related field.
2. GPA = 3.0 (minimum)
3. Work or school experience in a computer-aided drafting and design setting
...</t>
  </si>
  <si>
    <t>Electrical Engineer (Building/Power Systems) - Intern/Co-Op (Sep 2025)</t>
  </si>
  <si>
    <t>Electric Engineer Fall 2024 Co-op</t>
  </si>
  <si>
    <t>CenterPoint Energy</t>
  </si>
  <si>
    <t>1. Currently enrolled as a full-time student pursuing Bachelor's degree in Engineering from an accredited college or university
2. Sophomore, Junior or Senior
3. 3.0 GPA minimum
...</t>
  </si>
  <si>
    <t>Electric Engineer Co-Op Spring 2025</t>
  </si>
  <si>
    <t>Engineering Intern - Year Round</t>
  </si>
  <si>
    <t>Daikin Applied</t>
  </si>
  <si>
    <t>1. Sophomore or Junior in College working towards a 4-year degree in Industrial technology or Industrial Manufacturing Engineering or equivalent.
2. Ability to work 10-15 hours per week during the school year, and full time during breaks.
3. Experience with Solidworks
...</t>
  </si>
  <si>
    <t>Project Engineer Co-Op - Columbus, OH</t>
  </si>
  <si>
    <t>Messer Construction Co.</t>
  </si>
  <si>
    <t>Construction, Real Estate</t>
  </si>
  <si>
    <t>1. Pursuing a Bachelor's degree in Civil Engineering or Construction Management with a focus on construction processes/industry/delivery methods
2. Must have excellent written and oral communication skills and ability to interact effectively with all levels of employees
3. Must have strong organizational skills and the ability to handle multiple tasks
...</t>
  </si>
  <si>
    <t>SharePoint Intern</t>
  </si>
  <si>
    <t>Alix Partners</t>
  </si>
  <si>
    <t>1. Actively enrolled in or recently completed an IT related program.
2. General knowledge\understanding of Microsoft Technologies such as Microsoft/Office 365, SharePoint, and the Power tools such as Power Apps, Flow and Power BI.
3. General knowledge\understanding of Server side (C#) and client side (HTML, CSS, JavaScript) Code Languages.
...</t>
  </si>
  <si>
    <t>Automation/Controls Engineer - Internship/Co-Op (Start September 2025)</t>
  </si>
  <si>
    <t>1. Sophomore, Junior or Senior pursuing a Bachelor’s degree in Electrical Engineering or a related field.
2. Proficiency with MS Office and AutoCAD Required.
3. Must meet travel requirement - you will spend significant time in our client's facilities during installation and startup/commissioning/qualification phases of a project – 35% to 50% of any given time of the year.
...</t>
  </si>
  <si>
    <t>Automation/Controls Engineer - Internship/Co-Op (Start January 2025)</t>
  </si>
  <si>
    <t>Packaging Engineer (Packaging Systems Design)-(May 2025 Co-Op/Intern)</t>
  </si>
  <si>
    <t>Packaging Engineer (Packaging Systems Design)-(Fall 2024 Co-Op/Intern)</t>
  </si>
  <si>
    <t>Electrical Engineer(Building/Power Systems) - Intern/Co-Op - Jan 2025</t>
  </si>
  <si>
    <t>Electrical Engineer(Building/Power Systems) - Intern/Co-Op - May 2025</t>
  </si>
  <si>
    <t>Packaging Engineer (Packaging Systems Design)-(Jan 2025 Co-Op/Intern)</t>
  </si>
  <si>
    <t>Electrical Engineer(Building/Power Systems) - Intern/Co-Op - Sept 2025</t>
  </si>
  <si>
    <t>Site/Civil Engineering Intern</t>
  </si>
  <si>
    <t>Dewberry</t>
  </si>
  <si>
    <t>Fairfax, VA</t>
  </si>
  <si>
    <t>1. Pursuing a B.S. or M.S. in Civil Engineering required.
2. Experience with AutoCAD, Civil 3D, and Microsoft office is required.
3. Must have excellent written and verbal communication skills.
...</t>
  </si>
  <si>
    <t>Automation/Controls Engineer - Internship/Co-Op (Start Fall 2024)</t>
  </si>
  <si>
    <t>Undergraduate (Year-Round) Intern – Collaborative Visualization Researcher</t>
  </si>
  <si>
    <t>$34000-$54400 /yr</t>
  </si>
  <si>
    <t>Co-op – Computer/ Electrical Engineer – Orlando, FL – Fall 2024</t>
  </si>
  <si>
    <t>Philips</t>
  </si>
  <si>
    <t>B2B, Consumer Electronics</t>
  </si>
  <si>
    <t>1. Currently pursuing an undergraduate (BS) and/or graduate (MS) degree in Electrical Engineering.
2. Electrical Engineering Design interest and experience.
3. Basic proficiency with engineering SW tools (Matlab, LabView preferred).
...</t>
  </si>
  <si>
    <t>Graduate (Year-Round) Intern - Wind Energy Cost, Market, and Supply Chain</t>
  </si>
  <si>
    <t>Spring 2025 Engineering Intern</t>
  </si>
  <si>
    <t>De Ridder, LA</t>
  </si>
  <si>
    <t>$24-$26 /h</t>
  </si>
  <si>
    <t>1. Must be currently enrolled student majoring in Chemical, Mechanical or Electrical Engineering and have completed the freshman year.
2. A minimum grade point average of 3.0/4.0 is required.
3. Must be eligible to work in the US on a full time basis.
...</t>
  </si>
  <si>
    <t>Engineering Intern - Structures</t>
  </si>
  <si>
    <t>Walter P Moore</t>
  </si>
  <si>
    <t>1. BS - Civil Engineering or completion of a minimum of 24 hours of engineering coursework towards BS in Civil Engineering
2. Excellent verbal and written communication skill required
3. Flexible scheduling but should be consistently available a minimum of 20 hours per week</t>
  </si>
  <si>
    <t>Daytona Beach, FL</t>
  </si>
  <si>
    <t>Civil Engineering Co-Op</t>
  </si>
  <si>
    <t>Ocala, FL</t>
  </si>
  <si>
    <t>Research Intern, Multimodal Learning for Next Generation Applications</t>
  </si>
  <si>
    <t>Futurewei Technologies</t>
  </si>
  <si>
    <t>Semiconductor, Wireless</t>
  </si>
  <si>
    <t>$18-$59 /h</t>
  </si>
  <si>
    <t>1. Proven hands-on experiences with SOTA machine learning algorithms, especially with applications and fine tuning of LLMs and LVMs, and familiarity with ML implementation environments and platforms such as PyTorch and/or Tensorflow.
2. Strong programming skills in python or C / C++ for Windows and/or Linux is required.
3. Good communication skills, both verbal and written.
...</t>
  </si>
  <si>
    <t>Flight Mechanic Apprentice</t>
  </si>
  <si>
    <t>Cintas</t>
  </si>
  <si>
    <t>Compliance, Manufacturing</t>
  </si>
  <si>
    <t>1. High School Diploma or GED
2. Currently pursuing an Airframe &amp; Powerplant certification or completion of certification</t>
  </si>
  <si>
    <t>24-25 Postdoctoral Scholar (Pool Ad) - Ophthalmology</t>
  </si>
  <si>
    <t>$64480-$77327 /yr</t>
  </si>
  <si>
    <t>1. Candidates must possess a Ph.D., M.D., or M.D./Ph.D. degree in the field of Ophthalmology, Biochemistry, Microbiology or equivalent.</t>
  </si>
  <si>
    <t>NBCUniversal</t>
  </si>
  <si>
    <t>Broadcasting, Media and Entertainment</t>
  </si>
  <si>
    <t>1. In pursuit of Bachelor’s degree from a four year college or university in an accredited Industrial Engineering program
2. Availability to work a mix of late shifts, sometimes ending between 11pm and 2am on Wednesdays - Sundays and regular 9am - 5:30pm shifts
3. Comfortable working in the HHN environment
...</t>
  </si>
  <si>
    <t>Paid College Engineering Intern - Planning &amp; Design, PN's 20050942, 20079871</t>
  </si>
  <si>
    <t>Ohio Environmental Protection Agency</t>
  </si>
  <si>
    <t>Association, Government</t>
  </si>
  <si>
    <t>$19.50-$24 /h</t>
  </si>
  <si>
    <t>1. Applicant MUST be enrolled in a college or university and in good academic standing, with a minimum of a 2.0 GPA.
2. Must show proof of valid Driver's License in order to operate state vehicles.</t>
  </si>
  <si>
    <t>Intern/Co-Op - Electronics Engineer - Fall 2024</t>
  </si>
  <si>
    <t>Advanced Energy</t>
  </si>
  <si>
    <t>$22-$38 /h</t>
  </si>
  <si>
    <t>1. Ability to work in a lab environment building, modifying, analyzing, and testing prototypes
2. Ability to work independently and as part of a team
3. Ability to meet schedule requirements and define priorities without direct supervision
...</t>
  </si>
  <si>
    <t>Booker Hybrid Intern – Lab/Cellar</t>
  </si>
  <si>
    <t>Constellation Brands</t>
  </si>
  <si>
    <t>Paso Robles, CA</t>
  </si>
  <si>
    <t>1. Ability to work from August through the end of November.
2. Able and willing to work long hours and weekends.
3. Strong organizational skills.
...</t>
  </si>
  <si>
    <t>Co-Op Technology Corp Intern</t>
  </si>
  <si>
    <t>Sun Chemical</t>
  </si>
  <si>
    <t>Chemical, Cosmetics</t>
  </si>
  <si>
    <t>Carlstadt, NJ</t>
  </si>
  <si>
    <t>1. Has taken at least one course in Organic Chemistry
2. Enthusiastic, energetic and motivated to grow skills
3. Is able to perform work under general to moderate supervision
...</t>
  </si>
  <si>
    <t>Lab Intern</t>
  </si>
  <si>
    <t>Rockaway, NJ</t>
  </si>
  <si>
    <t>1. Obtained or currently pursuing a degree in engineering or related fields.
2. Ability to follow instruction.
3. Legally authorized to work in the United States.
...</t>
  </si>
  <si>
    <t>Co-Op - Engineering - Cheraw 2 - Summer 2025</t>
  </si>
  <si>
    <t>Schaeffler</t>
  </si>
  <si>
    <t>Cheraw, SC</t>
  </si>
  <si>
    <t>1. High school diploma or equivalent
2. Must be pursuing an academic degree (preferably in automotive, industrial, or mechanical engineering)
3. Maintain a 2.5 GPA or higher per semester
...</t>
  </si>
  <si>
    <t>Post Doc Fellow, Pharmacology &amp; Systems Physiology, Timme Lab</t>
  </si>
  <si>
    <t>University of Cincinnati Technology Accelerator for Commercialization</t>
  </si>
  <si>
    <t>Advice, Consulting</t>
  </si>
  <si>
    <t>$not specified-$not specified /yr</t>
  </si>
  <si>
    <t>1. Doctoral Degree in the appropriate field or discipline, or the recognized terminal degree.
2. In-depth knowledge of neuroscience.
3. Experience using various software languages such as Matlab and Python for data analysis.</t>
  </si>
  <si>
    <t>V- CAD Intern</t>
  </si>
  <si>
    <t>ProEnergy Services</t>
  </si>
  <si>
    <t>Sedalia, MO</t>
  </si>
  <si>
    <t>1. Currently pursuing a degree in Engineering/Design/related field.
2. Proficiency in 3D CAD software is required.
3. Motivated individual who is passionate and shows enthusiasm about CAD design and its applications.
...</t>
  </si>
  <si>
    <t>Civil Engineering Intern - Summer 2025</t>
  </si>
  <si>
    <t>Quiddity</t>
  </si>
  <si>
    <t>1. Currently enrolled in a Civil Engineering Bachelor or Masters degree program; other ABET qualified programs may be considered
2. At least 2 years completed towards degree</t>
  </si>
  <si>
    <t>Information Security Intern, Incident Response – Fall 2024</t>
  </si>
  <si>
    <t>1. Familiarity with security concepts and tools
2. Ability to research and explore new topics
3. An inquisitive mindset and ability to deep dive into details
...</t>
  </si>
  <si>
    <t>Electronic Systems and Hardware Co-Op</t>
  </si>
  <si>
    <t>Warminster, PA</t>
  </si>
  <si>
    <t>1. Undergraduate and Graduate students studying Electrical Engineering and Computer Engineering are preferred.
2. Students must be available to work at the Warminster facility for a six month time period.
3. Candidate selected will be subject to a government security investigation.
...</t>
  </si>
  <si>
    <t>1. Candidate must be currently enrolled in a university program pursuing a Bachelor’s Degree in Civil Engineering or Construction Management with the intent to continue after the internship, unless graduating.
2. Candidate must have completed 1 year of study in their program.</t>
  </si>
  <si>
    <t>$19-$26.12 /h</t>
  </si>
  <si>
    <t>1. Current enrollment in a college or university pursuing a Bachelor's Degree in Civil Engineering or related discipline.
2. 1 year of completed study towards a Bachelor's Degree in Civil Engineering or related discipline.</t>
  </si>
  <si>
    <t>Intern - Engineering Design 1 1</t>
  </si>
  <si>
    <t>1. Currently enrolled in an undergraduate or graduate degree program in Mechanical Engineering or Aerospace Engineering (or similar major)
2. Returning to school upon completion of the assignment
3. Ability to operate effectively in a team environment</t>
  </si>
  <si>
    <t>Civil Engineering Co-Op Student</t>
  </si>
  <si>
    <t>$21-$25 /h</t>
  </si>
  <si>
    <t>1. Candidates must be currently enrolled in a university program pursuing a Bachelor’s Degree or higher in Civil Engineering with the intent to continue after the internship, unless graduating.
2. Candidates must have completed one year of study in their program.
3. Candidates must be participants of the Drexel University Co-Op Program.
...</t>
  </si>
  <si>
    <t>$18.58-$25.55 /h</t>
  </si>
  <si>
    <t>1. Candidate must be currently pursuing a bachelor’s degree or higher in Civil Engineering or Structural Engineering.
2. Must have completed two years of qualified study.
3. Valid U.S. Driver’s License required to visit project sites, clients, and other AECOM offices.
...</t>
  </si>
  <si>
    <t>Group 41: AI Software Architectures &amp; Algorithms - 2024 Fall Co-op</t>
  </si>
  <si>
    <t>MIT Lincoln Laboratory</t>
  </si>
  <si>
    <t>Biotechnology, Information Technology</t>
  </si>
  <si>
    <t>Lexington, MA</t>
  </si>
  <si>
    <t>1. Must be a student currently enrolled in the pursuit of an undergraduate (BA/BS/BE) degree in Computer Science, Engineering, Physics, or similar scientific discipline
2. Experienced coder in one or more of the following languages: Java, Python
3. Experience with Linux operating systems
...</t>
  </si>
  <si>
    <t>Assistant Project Engineer Intern - Summer 2025</t>
  </si>
  <si>
    <t>The Christman Company</t>
  </si>
  <si>
    <t>1. Active, full-time Sophomore-Senior level student pursuing a Bachelor's degree in civil engineering, construction management, or a related field.
2. Minimum 3.0 GPA
3. Ability to occasionally stand, walk, sit, reach (with hands and arms), climb, balance stoop, kneel, crouch, or crawl.
...</t>
  </si>
  <si>
    <t>Post Doctoral.Post Doctoral.Associate</t>
  </si>
  <si>
    <t>University of Pittsburgh Innovation Institute</t>
  </si>
  <si>
    <t>1. PhD in genetics, biochemistry, cell biology, animal physiology, pharmacology, or a related field
2. Proficiency in animal work
3. Proficiency in flow cytometry
...</t>
  </si>
  <si>
    <t>Co-op IT / Logistics Intern Engineer</t>
  </si>
  <si>
    <t>$25.30-$25.30 /yr</t>
  </si>
  <si>
    <t>1. Thorough understanding of engineering technology
2. Enrolled in an accredited degree program in Computer Engineering, Systems Engineering, Software Engineering, Electrical Engineering, Mechanical Engineering, or related scientific or technical discipline
3. Preferably a standing of a sophomore or higher
...</t>
  </si>
  <si>
    <t>1. Candidates must be enrolled in a technical degree focused on CAD or other relevant degree
2. High school diploma or equivalent
3. Detail oriented and professional attitude
...</t>
  </si>
  <si>
    <t>Vero Beach, FL</t>
  </si>
  <si>
    <t>Civil Engineer Intern- Water Resources</t>
  </si>
  <si>
    <t>CSRS</t>
  </si>
  <si>
    <t>1. Bachelor’s in Civil Engineering, Water Resources Engineering, or Hydraulic and Hydrologic Engineering from an accredited university
2. 0 – 2 years of experience in hydraulics and hydrology and running HEC-HMS and HEC-RAS software
3. Must have successfully passed the Fundamentals of Engineering (FE) Exam and hold a current and an active EI Certificate
...</t>
  </si>
  <si>
    <t>Electrical Engineering Co-Op 2024</t>
  </si>
  <si>
    <t>1. Candidate must be attending a 4 year university local to Saginaw
2. Candidate must be pursuing a bachelor’s degree in Electrical or Computer Engineering
3. Candidate must be able to work onsite in Saginaw, MI
...</t>
  </si>
  <si>
    <t>Student Engineer, Salt Lake City, UT or Portland, OR #112344</t>
  </si>
  <si>
    <t>Student Engineer, Portland, OR or Salt Lake City, UT #112410</t>
  </si>
  <si>
    <t>Ocotillo Technology Fabrication Process Engineering Graduate Intern (Year Round)</t>
  </si>
  <si>
    <t>1. Must be an actively enrolled and progressing as a student pursuing a Master's of Science Degree in a Process Engineering STEM field (Chemical, Mechanical, Electrical, Material Science, Physics, Industrial Engineering, etc.)
2. Must possess and maintain a 3.0 min GPA to qualify for an internship
3. Must maintain full-time student status during internship (minimum 12 credit hours /semester)</t>
  </si>
  <si>
    <t>Mechanical Design Engineer Fall Co-Op</t>
  </si>
  <si>
    <t>Siemens</t>
  </si>
  <si>
    <t>Wendell, NC</t>
  </si>
  <si>
    <t>1. Currently enrolled undergraduate or graduate student studying Mechanical Engineering.</t>
  </si>
  <si>
    <t>Traffic Engineering Intern- Summer 2025</t>
  </si>
  <si>
    <t>HS Student-Trainee Technical-1</t>
  </si>
  <si>
    <t>Griffin, GA</t>
  </si>
  <si>
    <t>$14-$14 /h</t>
  </si>
  <si>
    <t>1. Candidate must currently be enrolled in High School going into your Junior or Senior year of school or will be graduating from High School at the end of this current school year.
2. Must be 16 years of age.
3. Must be legally authorized to work in the United States.
...</t>
  </si>
  <si>
    <t>Materials Engineering Division Undergraduate Intern - Fall 2024</t>
  </si>
  <si>
    <t>$22.10-$30 /h</t>
  </si>
  <si>
    <t>1. Must be a continuing college or university student in good standing at an accredited institution pursuing an undergraduate degree in engineering, physics, material science or a related field.
2. Ability to apply basic engineering or scientific principles to solve technical problems.
3. Ability to present and communicate concepts and ideas including research project(s), document work and give a technical talk/presentation.
...</t>
  </si>
  <si>
    <t>Student Engineer (Electrical) - Portland, Oregon - #111991</t>
  </si>
  <si>
    <t>Instrumentation &amp; Controls Engineering Intern</t>
  </si>
  <si>
    <t>United Engineers &amp; Constructors</t>
  </si>
  <si>
    <t>1. Must be working towards a Bachelor of Science degree in Engineering from a 4 year ABET accredited college or university with focus on Electrical Power Systems
2. Must have completed coursework in energy conversion, power systems analysis, or related power courses, electronics and control system theory.
3. Excellent oral communication and technical writing skills
...</t>
  </si>
  <si>
    <t>Fall 2024 - Co-op/Intern: TPA Engineering (MacDill &amp; Polk)</t>
  </si>
  <si>
    <t>Tampa Electric</t>
  </si>
  <si>
    <t>Energy, Mining</t>
  </si>
  <si>
    <t>1. Enrolled in an accredited university as a college undergraduate or a graduate level post-secondary educational program in a related discipline.
2. Enrollment in the university’s co-op program (proof of enrollment required); if not eligible for co-op program (or program unavailable), the student will be considered an intern.
3. A minimum GPA of 3.0 on a 4.0 scale is required.
...</t>
  </si>
  <si>
    <t>Machine Learning Intern</t>
  </si>
  <si>
    <t>Connecticut Innovations</t>
  </si>
  <si>
    <t>Biotechnology, Energy</t>
  </si>
  <si>
    <t>1. Bachelor's degree in Computer Science, Engineering, Mathematics, Statistics, or a related field
2. Experience and/or strong technical foundations in machine learning, supervised learning, optimization, neural networks (including CNNs, transformers, GNNs, etc.), and applications in computer vision (image classification, object detection, semantic segmentation, keypoint detection, tracking, etc.)
3. Strong proficiency and recent hands-on experience in Python, standard data science libraries (numpy, pandas), and one or more ML libraries (PyTorch, Tensorflow, Keras, scikit-learn, Huggingface, Weights &amp; Biases, Tensorboard, etc.)
...</t>
  </si>
  <si>
    <t>2025 Summer Associate – Life Sciences Partnering</t>
  </si>
  <si>
    <t>Cooley</t>
  </si>
  <si>
    <t>Document Preparation, Legal</t>
  </si>
  <si>
    <t>$225000-$225000 /yr</t>
  </si>
  <si>
    <t>1. 2L law student
2. Interest in learning about and understanding new technologies</t>
  </si>
  <si>
    <t>Security Research Internship</t>
  </si>
  <si>
    <t>NYC Metro Area</t>
  </si>
  <si>
    <t>$3000-$8000 /mon</t>
  </si>
  <si>
    <t>1. Pursuing Masters or PhD in Computer Science or Cybersecurity related field.
2. Experiences in vulnerability discovery and exploitation on web applications or system software.</t>
  </si>
  <si>
    <t>Machinist Mate (A-Gang) (SkillBridge Intern) - 19706</t>
  </si>
  <si>
    <t>1. Must be Active-Duty Military ONLY within final 180 days of active-duty service. Applications accepted within final 12 months of active-duty military service.
2. Must have ability to maintain and possess a Secret security clearance.
3. 6 – 8 years of related experience, to include specific systems expertise. Prefer technical/professional certifications.
...</t>
  </si>
  <si>
    <t>Fire Protection &amp; Technical Safety Offshore Wind Engineering Intern - Fall 2024</t>
  </si>
  <si>
    <t>$19.13-$30 /h</t>
  </si>
  <si>
    <t>1. Actively enrolled in an accredited Fire Protection Engineering, Mechanical Engineering, Chemical Engineering, or related, Undergraduate program with an anticipated graduation date of December 2024 or later.
2. Must be 18 or older.
3. Demonstrated interest in Fire Protection &amp; Technical Safety Offshore Wind Engineering, or related field, and have a strong desire to advance skills related to WSP’s work and projects.
...</t>
  </si>
  <si>
    <t>Machine Learning Intern, Research (Fall 2024)</t>
  </si>
  <si>
    <t>Netflix</t>
  </si>
  <si>
    <t>Digital Entertainment, Media and Entertainment</t>
  </si>
  <si>
    <t>Los Gatos, CA</t>
  </si>
  <si>
    <t>$40-$110 /h</t>
  </si>
  <si>
    <t>1. Currently enrolled PhD or MS student in the Machine Learning space, or PhD graduate seeking postdoctoral research.
2. Experience with at least one of the following ML areas: Personalization &amp; Recommender Systems, Natural Language Processing (NLP), Computer Vision (CV), Reinforcement Learning (RL), Multimodal Data, Model Optimization and Efficiency.
3. Experience programming in at least one programming language (e.g. Python or C/C++).
...</t>
  </si>
  <si>
    <t>Intern - Technology Solutions Analyst</t>
  </si>
  <si>
    <t>Cotiviti</t>
  </si>
  <si>
    <t>1. Enrolled in higher education BS or MS program with technology-related major.
2. Bachelor of Science majors are matriculated and have completed 12 credit hours of relevant course work.
3. Basic familiarity with a common programming language, e.g., Python, Java, C++, or JavaScript.
...</t>
  </si>
  <si>
    <t>Research Scientist Intern - Doubao (Seed) - Foundation Model, Speech Understanding - 2024 Summer (PhD)</t>
  </si>
  <si>
    <t>1. Currently pursuing a PhD in Software Development, Computer Science, Computer Engineering, or a related technical discipline.
2. Able to commit to working for 12 weeks during Summer 2024.
3. Experience in one or more areas of machine learning and deep learning, including but not limited to: Automatic Speech Recognition, Automatic Speech Translation, Speech/audio self-supervised learning and foundation models, Speaker recognition and verification, Speech emotion recognition, Multimodal foundation models, Large Language Model pretraining and finetuning.</t>
  </si>
  <si>
    <t>Student Researcher - Doubao (Seed) - Music Foundation Model - 2024 Start (PhD)</t>
  </si>
  <si>
    <t>1. Currently pursuing a PhD in Software Development, Computer Science, Computer Engineering, or a related technical discipline.
2. Experience with coding in Python, Java, Golang, C#, or C++.</t>
  </si>
  <si>
    <t>Fall 2024 Electrical Engineering Internship</t>
  </si>
  <si>
    <t>1. Enrolled in an Electrical Engineering Bachelor's or Master's Degree program at an accredited university.
2. GPA of at least 3.0; exact GPA requirement will be specified by department and/or team.
3. This position requires access to U.S. export-controlled information.
...</t>
  </si>
  <si>
    <t>Research Scientist Intern - LLM (Security Flow) - 2024 Off Cycle (PhD)</t>
  </si>
  <si>
    <t>1. Currently enrolled in a PhD degree in Computer Science with the specific focus on machine learning, statistics, security or related technical fields.
2. Graduating December 2024 onwards with intent to return to degree-program after the completion of the internship.
3. Excellent knowledge of theory and practice of LLM and foundation model.
...</t>
  </si>
  <si>
    <t>Student Researcher - Doubao (Seed) - Foundation Model, Speech &amp; Audio - 2024 Start (PhD)</t>
  </si>
  <si>
    <t>1. Currently enrolled in a PhD degree in Computer Science, Linguistics, Statistics, or related technical field.
2. Good knowledge of theoretical and empirical research in addressing research problems.
3. Solid knowledge and experience with at least one popular deep learning framework (e.g., PyTorch, TensorFlow) and familiarity with deep neural network architectures.
...</t>
  </si>
  <si>
    <t>Mechanical Engineering Coop (Fall 2024)</t>
  </si>
  <si>
    <t>Yaskawa Motoman</t>
  </si>
  <si>
    <t>Miamisburg, OH</t>
  </si>
  <si>
    <t>1. Sophomore or later student who has taken a Computer Aided Design or 3D modeling class
2. Experience with a robotics team, engineering club or other educational opportunities is a plus
3. Self-starter with a good work ethic and interested in learning and growing with the company
...</t>
  </si>
  <si>
    <t>Research Scientist Intern - Doubao (Seed) - Machine Learning System - 2025 Summer (PhD)</t>
  </si>
  <si>
    <t>1. Currently in PhD program in distributed, parallel computing principles and know the recent advances in computing, storage, networking, and hardware technologies
2. Familiar with machine learning algorithms, platforms and frameworks such as PyTorch and Jax
3. Have basic understanding of how GPU and/or ASIC works
...</t>
  </si>
  <si>
    <t>Civil or Geotechnical/Water Resources Engineering Co-Op/Intern</t>
  </si>
  <si>
    <t>Geosyntec Consultants</t>
  </si>
  <si>
    <t>Consulting, CRM</t>
  </si>
  <si>
    <t>1. Currently registered in a Bachelor’s or Master’s university degree program in civil, geotechnical, or water resources engineering.
2. Outstanding academic credentials and exceptional interpersonal, technical writing, oral and written communication, and problem-solving skills.
3. Valid U.S. driver’s license, reliable transportation, and satisfactory driving record for business travel to project sites.</t>
  </si>
  <si>
    <t>Kennesaw State University</t>
  </si>
  <si>
    <t>1. Ph.D. from an accredited institution of higher education or obtainment of Ph.D. within six (6) months of hire
2. Able to meet eligibility requirements for work in the United States at the time the appointment is scheduled to begin and to continue working legally for the proposed term of the appointment
3. Demonstrated ability to carry out independent and collaborative research on a team of faculty and students with the ability to meet deliverables and milestones
...</t>
  </si>
  <si>
    <t>DoD SkillBridge Vulnerability Researcher (Cyber199)</t>
  </si>
  <si>
    <t>Research Innovations</t>
  </si>
  <si>
    <t>1. Active US Secret security clearance
2. Proficient understanding of wireless networking and associated security protocols, such as Wi-Fi
3. Strong grasp of legacy exploit mitigations and bypass techniques, including but not limited to Address Space Layout Randomization (ASLR), Data Execution Prevention (DEP/NX), Stack Cookies (Canaries), and Control Flow Integrity (CFI). Experience in identifying and circumventing these security measures
...</t>
  </si>
  <si>
    <t>Research Engineer Intern - Doubao (Seed) - Machine Learning System - 2025 Summer (MS)</t>
  </si>
  <si>
    <t>$42.75-$42.75 /h</t>
  </si>
  <si>
    <t>1. Currently pursuing a MS in Software Development, Computer Science, Computer Engineering, or a related technical discipline.
2. Familiar with machine learning algorithms and platforms
3. Published papers at top conferences
...</t>
  </si>
  <si>
    <t>Arden Hills, MN</t>
  </si>
  <si>
    <t>$24.30-$33.48 /h</t>
  </si>
  <si>
    <t>Ashland, VA</t>
  </si>
  <si>
    <t>1. Pursuing bachelor’s degree in Business, Management, Sales, Entrepreneurship, Marketing, Engineering
2. Be a U.S. citizen or have the legal right to work in the U.S. without requiring sponsorship now or in the future
3. Possess a valid driver’s license for a minimum of 12 months, ability to provide proof of insurance, and have no major or frequent traffic violations including, but not limited to: DUI in the previous 3 years, Hit &amp; Run, License Suspension, Reckless / Careless Driving or multiple smaller infractions or preventable collisions in the previous 3 years</t>
  </si>
  <si>
    <t>Research Scientist Intern - Doubao (Seed) - Music Foundation Model - 2024 Summer (PhD)</t>
  </si>
  <si>
    <t>1. Currently pursuing a PhD in Software Development, Computer Science, Computer Engineering, or a related technical discipline.
2. Able to commit to working for 12 weeks during Summer 2024.
3. Experience with coding in Python, Java, Golang, C#, or C++.
...</t>
  </si>
  <si>
    <t>Network Planning Sales Engineer — Intern (Fall 2024)</t>
  </si>
  <si>
    <t>1. Strong ability to optimize systems by juggling many variables, considering all options, running a detailed trade study
2. Process oriented mindset - constantly seeking more efficient ways of doing things, anticipating features needed from both internal and external tools
3. Scripting language experience, preferably Python
...</t>
  </si>
  <si>
    <t>Student Researcher - Doubao (Seed) - LLM Post-training - 2024 Start (PhD)</t>
  </si>
  <si>
    <t>1. Currently enrolled in a PhD degree in Computer Science, Linguistics, Statistics, or related technical field.
2. Excellent knowledge of theory and practice of LLM, Reinforcement Learning.
3. Strong publication record at leading conferences (NeurIPS, ICML, ACL, EMNLP etc.).
...</t>
  </si>
  <si>
    <t>RF Hardware Intern — (Summer 2024)</t>
  </si>
  <si>
    <t>1. Passion for hardware development, including working in a fast-paced environment and hands-on design and development
2. Deep knowledge of basic RF concepts, such as transmission lines, impedance matching, filter design, and active RF circuits
3. Hands-on experience in designing, building, and testing RF hardware for microwave frequencies
...</t>
  </si>
  <si>
    <t>Network Planning Sales Engineer — Intern (Winter 2025)</t>
  </si>
  <si>
    <t>RF Hardware Engineer — Intern (Fall 2024)</t>
  </si>
  <si>
    <t>Hardware Engineering</t>
  </si>
  <si>
    <t>DoD SkillBridge Vulnerability Researcher (Cyber198)</t>
  </si>
  <si>
    <t>St Pete Beach, FL</t>
  </si>
  <si>
    <t>Internship - Data Engineer</t>
  </si>
  <si>
    <t>Everly</t>
  </si>
  <si>
    <t>1. Currently pursuing a degree in Computer Science, Data Science, Information Technology, or a related field.
2. Basic understanding of data warehousing concepts and ETL processes.
3. Familiarity with SQL and interest in learning more advanced techniques.
...</t>
  </si>
  <si>
    <t>Intern/Coop -Engineering</t>
  </si>
  <si>
    <t>Yamaha Motor</t>
  </si>
  <si>
    <t>Newnan, GA</t>
  </si>
  <si>
    <t>1. In pursuit of 4 year Engineering degree
2. Experience in manufacturing environment desired
3. Demonstrated application of engineering skills and problem solving techniques
...</t>
  </si>
  <si>
    <t>Summer controls intern (On-site)</t>
  </si>
  <si>
    <t>Insulet</t>
  </si>
  <si>
    <t>Acton, MA</t>
  </si>
  <si>
    <t>$22-$28 /h</t>
  </si>
  <si>
    <t>1. Enrolled as BS candidate in EE</t>
  </si>
  <si>
    <t>Internship</t>
  </si>
  <si>
    <t>Schimenti Construction Company</t>
  </si>
  <si>
    <t>Real Estate, Retail</t>
  </si>
  <si>
    <t>Guilford, CT</t>
  </si>
  <si>
    <t>1. Strong interest in pursuing a future career within construction with a general contracting company
2. Must be at least 18 years of age and be legally authorized to work in the United States
3. Must be able to work full-time hours typical for the construction industry
...</t>
  </si>
  <si>
    <t>Machine Learning and Environmental Management Graduate Fellowship Program</t>
  </si>
  <si>
    <t>1. Must be a U.S. Citizen
2. Must have earned or be working towards a STEM degree
3. Have been granted one or more degrees from a minority-serving institution
...</t>
  </si>
  <si>
    <t>Civil Engineer</t>
  </si>
  <si>
    <t>1. Bachelor’s degree in Civil Engineering
2. 0-2 years’ experience
3. Minimum 3.0 GPA
...</t>
  </si>
  <si>
    <t>Mechanical Engineering 6 Month Winter Co-Op</t>
  </si>
  <si>
    <t>Aston, PA</t>
  </si>
  <si>
    <t>1. Student in Mechanical Engineering or related field
2. Ability to assist project Engineers in design and research
3. Ability to identify and research solutions to problems
...</t>
  </si>
  <si>
    <t>1. Bachelor’s degree in Civil Engineering
2. 0-2 years of work-related experience
3. Minimum 3.0 GPA
...</t>
  </si>
  <si>
    <t>Electrical Systems Engineer I, II, III - 3477A</t>
  </si>
  <si>
    <t>National Aerospace Solutions</t>
  </si>
  <si>
    <t>Tullahoma, TN</t>
  </si>
  <si>
    <t>1. B.S. degree in electrical engineering or mechatronics engineering from an accredited college or university
2. Current United States Citizenship is required.
3. Active Department of Defense Secret Security Clearance.
...</t>
  </si>
  <si>
    <t>Design Build Co-Op (Pittsburgh) - Spring 2025</t>
  </si>
  <si>
    <t>Al. Neyer</t>
  </si>
  <si>
    <t>1. Candidates must be proficient in Microsoft Excel and Word
2. Studying Construction Management, Civil Engineering, or similar major</t>
  </si>
  <si>
    <t>IT Intern - Information Security &amp; Privacy</t>
  </si>
  <si>
    <t>Kroenke Sports &amp; Entertainment</t>
  </si>
  <si>
    <t>Sports</t>
  </si>
  <si>
    <t>$18.29-$18.29 /h</t>
  </si>
  <si>
    <t>1. High school diploma or GED, required
2. Currently enrolled in a (4-year) undergraduate or graduate degree program
3. Applicants must meet minimum qualifications at the time of hire.
...</t>
  </si>
  <si>
    <t>Front Office IT Developer Internship (Summer 2025)</t>
  </si>
  <si>
    <t>Developer Relations</t>
  </si>
  <si>
    <t>1. Pursuing a Bachelor’s or higher degree in Computer Science, Management Information Systems, or related field of study
2. Expected graduation date of Winter 2025 or Spring/Summer 2026
3. Strong analytical skillset with demonstrated attention to detail
...</t>
  </si>
  <si>
    <t>BMET Intern</t>
  </si>
  <si>
    <t>The InterMed Group</t>
  </si>
  <si>
    <t>Health Care, Medical Device</t>
  </si>
  <si>
    <t>Salisbury, MD</t>
  </si>
  <si>
    <t>1. A two-year degree from an accredited school in electronics, biomedical technology or another relevant degree.
2. Requires frequent (60% to 80% of the time) standing, walking, and bending for long periods of time.
3. Requires frequent (40% to 60% of the time) sitting and working on a computer screen.
...</t>
  </si>
  <si>
    <t>Universal Destinations &amp; Experiences Fall 2024 Internship - Creative, Ride &amp; Show - Mechanical Engineering</t>
  </si>
  <si>
    <t>$18-$25 /h</t>
  </si>
  <si>
    <t>1. B.S. Mechanical Engineering student with completed coursework in statics, dynamics, and strength of materials.
2. Analytical skills to perform basic engineering calculations for design and test of mechanical systems.
3. Ability to learn and perform basic Finite Element Analysis on simple structures.
...</t>
  </si>
  <si>
    <t>1. Enrolled in a relevant Engineering Bachelor's or master’s degree program at an accredited university.
2. GPA of at least 3.0; exact GPA requirement will be specified by department and/or team.
3. This position requires access to U.S. export - controlled information.
...</t>
  </si>
  <si>
    <t>2025 Quality Engineer Co-Op</t>
  </si>
  <si>
    <t>Panama City, FL</t>
  </si>
  <si>
    <t>$20.50-$28 /h</t>
  </si>
  <si>
    <t>1. Must be currently enrolled and pursuing a BS in Mechanical Engineering, Supply chain management, Industrial engineering, packaging engineering.
2. Must be available to work Full-time for 6-8 consecutive months (January-August or May-December)
3. Collaborate with others to foster effective teamwork by linking own responsibilities to the team’s goals and needs - zeal for new information, knowledge, and experiences
...</t>
  </si>
  <si>
    <t>Universal Destinations &amp; Experiences Fall Internship - Mechanical Engineering - Technical Services, Ride &amp; Show</t>
  </si>
  <si>
    <t>Fall 2024 Industrial Systems Engineering Internship</t>
  </si>
  <si>
    <t>Blacksburg, VA</t>
  </si>
  <si>
    <t>1. Enrolled in an Industrial Engineering or Industrial Systems Engineering Bachelor's or Master's Degree program at an accredited university.
2. GPA of at least 3.0; exact GPA requirement will be specified by department and/or team.
3. This position requires access to U.S. export-controlled information.
...</t>
  </si>
  <si>
    <t>Undergraduate Technical Intern - USHPRR Conversion Project</t>
  </si>
  <si>
    <t>Pacific Northwest National Laboratory</t>
  </si>
  <si>
    <t>Biomass Energy, Energy</t>
  </si>
  <si>
    <t>Richland, WA</t>
  </si>
  <si>
    <t>$16.25-$26 /h</t>
  </si>
  <si>
    <t>1. Candidates must have a high school diploma /GED or higher
2. Candidates must be degree-seeking undergraduate students enrolled at an accredited college or university
3. Candidates must be taking at least 6 credit hours and have an overall cumulative GPA of 2.50
...</t>
  </si>
  <si>
    <t>Student Conductor - Hahnville, LA</t>
  </si>
  <si>
    <t>Watco Companies</t>
  </si>
  <si>
    <t>Customer Service, Logistics</t>
  </si>
  <si>
    <t>Hahnville, LA</t>
  </si>
  <si>
    <t>1. Valid driver's license and TWIC required.
2. High school education or general education development (GED).
3. Ability to pass training and required testing.
...</t>
  </si>
  <si>
    <t>Renewable Energy Intern - Engineering Assistant</t>
  </si>
  <si>
    <t>1. School of Sustainability Majors
2. Engineering Majors
3. Engineering Majors/Construction Engineering
...</t>
  </si>
  <si>
    <t>Intern / Co-Op Environmental Science/Engineering</t>
  </si>
  <si>
    <t>Worthington, OH</t>
  </si>
  <si>
    <t>1. Currently registered in a Bachelor’s, Master’s or Ph.D. university degree program in a relevant science or engineering discipline.
2. Experience with data assessments using software such as Microsoft Excel.
3. Experience collecting surface water quality samples and familiarity with field monitoring instruments.
...</t>
  </si>
  <si>
    <t>Mixer</t>
  </si>
  <si>
    <t>Harvest Hill Beverage Company</t>
  </si>
  <si>
    <t>Food and Beverage, Retail</t>
  </si>
  <si>
    <t>1. HS Diploma or equivalent.
2. Ability to follow all safety, food safety, &amp; GMP rules and regulations.
3. Oversee and maintain the food safety and quality of the process and finished product.
...</t>
  </si>
  <si>
    <t>Residential Water Treatment Apprentice</t>
  </si>
  <si>
    <t>Atlantic Blue Water Services</t>
  </si>
  <si>
    <t>Consumer, Service Industry</t>
  </si>
  <si>
    <t>1. Must be willing to learn.
2. Strong work ethic, dependable and reliable.
3. Ability and knowledge to work with tools.
...</t>
  </si>
  <si>
    <t>ATC Drivetrain</t>
  </si>
  <si>
    <t>1. Engineering student working toward a Bachelor's degree (B. A.) from four-year college or university.
2. Ability to read, analyze, and interpret common scientific and technical journals, financial reports, and legal documents.
3. Ability to respond to common inquiries or complaints from customers, regulatory agencies, or members of the business community.
...</t>
  </si>
  <si>
    <t>Mobile Unit Engineer Apprentice</t>
  </si>
  <si>
    <t>NEP Group</t>
  </si>
  <si>
    <t>Audio/Visual Equipment, Broadcasting</t>
  </si>
  <si>
    <t>1. Strong computer skills and knowledge of networking basics
2. Ability to travel up to 100% upon graduation from the program
3. Strong problem-solving and analytical skills
...</t>
  </si>
  <si>
    <t>Thrive Apprentice: Data Analytics - Engr II Data Engineering</t>
  </si>
  <si>
    <t>Ashburn, Virginia</t>
  </si>
  <si>
    <t>1. You must be a member of the Multiverse community to be considered and have completed the intro to coding course or data assessment with Multiverse.
2. High school diploma or GED.
3. Associate’s degree or one or more years of work experience.
...</t>
  </si>
  <si>
    <t>Co-op – Computer/ Electrical Engineer – Orlando, FL – Fall 2024 </t>
  </si>
  <si>
    <t>Orlando</t>
  </si>
  <si>
    <t>1. Currently enrolled in an Electrical Engineering Degree program
2. Electrical Engineering Design interest and experience
3. Basic proficiency with engineering SW tools (Matlab, LabView preferred)
...</t>
  </si>
  <si>
    <t>Project Engineer Co-Op</t>
  </si>
  <si>
    <t>1. High School diploma required and a minimum of 2 (two) years of education from an accredited institution of higher learning such as a college or university
2. Field of Study: Civil Engineering or Construction Management
3. Strong written and verbal communication skills
...</t>
  </si>
  <si>
    <t>Renewables Engineering Intern (Electrical Engineering)</t>
  </si>
  <si>
    <t>ENGIE North America</t>
  </si>
  <si>
    <t>$21-$34 /h</t>
  </si>
  <si>
    <t>1. Must be at least a junior or senior working toward an undergraduate or graduate degree in electrical engineering with at least a current GPA of 3.0
2. Ability to use company computer, be proficient with MS Excel
3. Proficiency in AutoCAD
...</t>
  </si>
  <si>
    <t>Renewables Engineering Intern (Civil Engineer)</t>
  </si>
  <si>
    <t>1. Must be at least a junior or senior working toward an undergraduate or graduate degree in civil engineering with at least a current GPA of 3.0
2. Ability to use company computer, be proficient with MS Excel
3. Proficiency in AutoCAD
...</t>
  </si>
  <si>
    <t>Engineering Co-Op 2024</t>
  </si>
  <si>
    <t>1. Candidate must be attending a local 2-year college or 4-year university and pursuing a degree in Engineering
2. Candidate must have a minimum cumulative 2.7 GPA on 4.0 scale
3. Candidate must be a full-time student (12 or more credits) during the Fall and Winter semesters
...</t>
  </si>
  <si>
    <t>DevOps Engineer (Flight Software) - Intern (Fall 2024)</t>
  </si>
  <si>
    <t>1. Currently pursuing a Bachelor of Science in a related discipline (e.g., Information Technology, Computer Science)
2. Relevant Experience or coursework with Python
3. Familiarity with git and/or github
...</t>
  </si>
  <si>
    <t>Control Systems Engineer Co-Op - Fall 2024</t>
  </si>
  <si>
    <t>Dynacraft, A PACCAR Company</t>
  </si>
  <si>
    <t>Logistics, Manufacturing</t>
  </si>
  <si>
    <t>1. Must be actively pursuing a degree in Electrical Engineering, Electrical Power Engineering, Aerospace Engineering, or Controls Engineering.
2. Excellent problem solving, analytical, written and verbal communication skills.
3. Organizational and time management skills.
...</t>
  </si>
  <si>
    <t>Intern Architect</t>
  </si>
  <si>
    <t>Spur Design</t>
  </si>
  <si>
    <t>Tempe, AZ</t>
  </si>
  <si>
    <t>1. Professional degree: Bachelor or Master’s degree in Architecture
2. 2-6 years of professional experience (non-licensed)
3. Taking ARE exams and working towards licensure
...</t>
  </si>
  <si>
    <t>Engineer-Pressure Vessels</t>
  </si>
  <si>
    <t>AO Smith India</t>
  </si>
  <si>
    <t>Consumer Electronics, Manufacturing</t>
  </si>
  <si>
    <t>Lebanon, TN</t>
  </si>
  <si>
    <t>1. Bachelor’s degree in related field
2. Demonstrate some expertise in an adjacent or related field.
3. Experience with CAE tools such as Solidworks, MATLAB, LabView, Minitab, EES, CFD or FEA.
...</t>
  </si>
  <si>
    <t>2024-2025 Campus Internship - Research &amp; Development (PhD)</t>
  </si>
  <si>
    <t>Dow</t>
  </si>
  <si>
    <t>Auburn, MI</t>
  </si>
  <si>
    <t>1. Currently enrolled in a PhD program in Chemistry, Chemical Engineering, Mechanical Engineering, Materials Science, Polymer Science, Data Science, or other related disciplines.
2. Reliable attendance is an expectation of every Dow employee, therefore reliable transportation is required.</t>
  </si>
  <si>
    <t>2024-2025 Campus Internship - Research &amp; Development (BS/MS)</t>
  </si>
  <si>
    <t>1. Currently enrolled in a Bachelor’s or Master’s degree program in Chemistry, Chemical Engineering, Mechanical Engineering, Materials Science, Polymer Science, Computer Science, Data Science, or other related disciplines.
2. Reliable attendance is an expectation of every Dow employee, therefore reliable transportation is required.
3. A minimum requirement for this U.S. based position is the ability to work legally in the United States. No visa sponsorship/support is available for this position, including for any type of U.S. permanent residency (green card) process.</t>
  </si>
  <si>
    <t>East Lansing, MI</t>
  </si>
  <si>
    <t>Downers Grove, IL</t>
  </si>
  <si>
    <t>Ashwaubenon, WI</t>
  </si>
  <si>
    <t>Allen Park, MI</t>
  </si>
  <si>
    <t>2024-2025 Campus Internship - Research &amp; Development (AS/BS)</t>
  </si>
  <si>
    <t>Carrollton, KY</t>
  </si>
  <si>
    <t>1. Must be 18 years of age or older
2. High school diploma/GED and currently enrolled in an Associate’s or Bachelor’s degree program in a laboratory science, technology, or engineering field
3. Reliable attendance is an expectation of every Dow employee, therefore reliable transportation is required.
...</t>
  </si>
  <si>
    <t>Collegeville, PA</t>
  </si>
  <si>
    <t>Co-Op - Engineering - Cheraw 2 - Spring 2025</t>
  </si>
  <si>
    <t>2024-2025 Campus Internship - Digital Innovation – Cross-functional (Ph.D)</t>
  </si>
  <si>
    <t>1. Currently enrolled in a Ph.D. degree program in Chemistry, Chemical Engineering, Mechanical Engineering, Material Science, Polymer Science, Computer Science, Mathematics/Statistics, Operations Research, Data Science, or other related disciplines
2. Reliable attendance is an expectation of every Dow employee, therefore reliable transportation (if the internship is in-person) is required.</t>
  </si>
  <si>
    <t>Deer Park, TX</t>
  </si>
  <si>
    <t>Freeport, TX</t>
  </si>
  <si>
    <t>South Charleston, WV</t>
  </si>
  <si>
    <t>PACCAR</t>
  </si>
  <si>
    <t>Research Intern (GTRI-Applied Systems Lab)</t>
  </si>
  <si>
    <t>1. Must be able to pass a background check.</t>
  </si>
  <si>
    <t>Research Intern (GTRI-ELSYS)</t>
  </si>
  <si>
    <t>1. Must be able to pass a background check.
2. Contribute to projects and/or programs specific to the hiring department.
3. Work across diverse fields related to their field of study or other areas of interest.
...</t>
  </si>
  <si>
    <t>Student Intern - Water Resources Engineering</t>
  </si>
  <si>
    <t>Jones Edmunds</t>
  </si>
  <si>
    <t>Alachua, FL</t>
  </si>
  <si>
    <t>1. Enrolled in an accredited college or university Engineering program
2. Completed at least 80 credit hours
3. Perform standard computations and analysis
...</t>
  </si>
  <si>
    <t>Engineering Co-op Fall Semester 2024</t>
  </si>
  <si>
    <t>Chromalloy</t>
  </si>
  <si>
    <t>Aerospace, Energy</t>
  </si>
  <si>
    <t>1. Currently enrolled as a college degree seeking student
2. Ability to work onsite for 25 - 29 hours a week during fall semester</t>
  </si>
  <si>
    <t>Civil Engineering Intern, Municipal Infrastructure</t>
  </si>
  <si>
    <t>Burgess &amp; Niple</t>
  </si>
  <si>
    <t>1. You are a current student in good academic standing pursuing a bachelor’s degree in civil or environmental engineering in an ABET accredited program and have completed at least one year of your undergraduate degree
2. Strong interest in utility infrastructure design projects; previous internships are a plus
3. Excellent communication skills and detail-oriented</t>
  </si>
  <si>
    <t>UIUC Research Park Intern - Hardware Functional Safety</t>
  </si>
  <si>
    <t>1. Must be currently pursuing a bachelors, masters, or PhD degree at the University of Illinois Urbana Champaign.
2. Actively pursuing a degree or one closely related in Engineering.
3. Electrical Hardware knowledge and scripting/coding expertise.
...</t>
  </si>
  <si>
    <t>UIUC Research Park Intern - Machine Learning</t>
  </si>
  <si>
    <t>1. Must be currently pursuing a bachelors, masters, or PhD degree at the University of Illinois Urbana Champaign.
2. Actively pursuing a degree or one closely related in Engineering.
3. Good understanding of algorithms for Computer Vision applications, Deep Learning, Natural Language Processing, Artificial Intelligence or related fields.
...</t>
  </si>
  <si>
    <t>UIUC Reseach Park Intern - Camera Imaging</t>
  </si>
  <si>
    <t>1. Must be currently pursuing a bachelors, masters, or PhD degree at the University of Illinois Urbana Champaign
2. Actively pursuing a degree or one closely related in Engineering
3. Knowledge of linear algebra.
...</t>
  </si>
  <si>
    <t>Engineering College Co-Op</t>
  </si>
  <si>
    <t>Dart Container Corporation</t>
  </si>
  <si>
    <t>Food and Beverage, Manufacturing</t>
  </si>
  <si>
    <t>Mason, MI</t>
  </si>
  <si>
    <t>1. Freshman, Sophomore or Junior status at an accredited college or university and working towards a Bachelor’s Degree in Engineering OR Graduating from High School in 2024 with the intent to attend University and study an Engineering discipline
2. Must be able to work multiple co-op rotations
3. An organized, self-motivated, self-disciplined and teamwork oriented individual with a good work ethic
...</t>
  </si>
  <si>
    <t>Assembly Production Engineering Intern</t>
  </si>
  <si>
    <t>Mercedes-Benz Vans</t>
  </si>
  <si>
    <t>1. Having graduated within the past 12 months or currently working towards a Bachelor’s or Master’s Degree in Engineering, Business or relevant degree is required to participate in the intern program.</t>
  </si>
  <si>
    <t>[Fall 2024] Research Resources - Permanent Collection Documentation Office</t>
  </si>
  <si>
    <t>Whitney Museum of American Art</t>
  </si>
  <si>
    <t>Association, Communities</t>
  </si>
  <si>
    <t>$3000-$3000 stipend</t>
  </si>
  <si>
    <t>1. Undergraduates and graduates currently enrolled in accredited academic year programs are eligible
2. Applicants must have completed a minimum of one year’s worth of academic coursework; undergraduate freshmen are not eligible
3. Sharp attention to detail
...</t>
  </si>
  <si>
    <t>Mechanical Engineering Intern (Fall Term) (Plasma Physics)</t>
  </si>
  <si>
    <t>Marathon Fusion</t>
  </si>
  <si>
    <t>$55000-$55000 /yr</t>
  </si>
  <si>
    <t>1. Hands on fabrication and rapid prototyping
2. Engineering analysis
3. Excellent written and oral communication skills
...</t>
  </si>
  <si>
    <t>Co-Op: Quality Engineer (Spring 2025)</t>
  </si>
  <si>
    <t>1. Applicant must be currently enrolled and pursuing a degree, B.S. or M.S. in Mechanical, Industrial Engineering or equivalent degree at an accredited school and have completed 30 semester hours of undergraduate studies before the start of the co-op position.
2. Applicants must have a minimum cumulative grade point average of 2.75.
3. Co-ops may work up 40 hours per week.
...</t>
  </si>
  <si>
    <t>Internship - Electrical Engineering, Airfield Lighting</t>
  </si>
  <si>
    <t>AVCON, INC.</t>
  </si>
  <si>
    <t>1. Current Bachelor’s or Master’s level student majoring in Electrical Engineering.
2. Familiarity with MS Outlook, MS Word, and MS Excel.
3. Exposure and working knowledge of AutoCAD.
...</t>
  </si>
  <si>
    <t>Mechanical Design Intern</t>
  </si>
  <si>
    <t>J.W. Speaker Corporation</t>
  </si>
  <si>
    <t>Industrial Manufacturing, Manufacturing</t>
  </si>
  <si>
    <t>Germantown, WI</t>
  </si>
  <si>
    <t>1. Must be working towards a mechanical design degree at an accredited technical college or university</t>
  </si>
  <si>
    <t>IT Apprenticeship, Network Engineering</t>
  </si>
  <si>
    <t>1. High School diploma or equivalent
2. No experience required; on-the-job training provided
3. Able to handle multiple tasks or projects at one time meeting assigned deadlines
...</t>
  </si>
  <si>
    <t>Engineering Intern (Clerical Aide)</t>
  </si>
  <si>
    <t>City Of Placentia</t>
  </si>
  <si>
    <t>California City, CA</t>
  </si>
  <si>
    <t>1. Current enrollment in an accredited college as an undergraduate or graduate student majoring in civil engineering, construction management or a closely related field.
2. Proof of school enrollment or recent graduation must be attached and submitted with your online application.
3. Expertise with Microsoft office applications is required.
...</t>
  </si>
  <si>
    <t>Process Improvement &amp; Technology Engineer Co-Op</t>
  </si>
  <si>
    <t>Straumann Group</t>
  </si>
  <si>
    <t>Andover, MA</t>
  </si>
  <si>
    <t>1. Enrolled in an engineering degree program at a college or university</t>
  </si>
  <si>
    <t>Intern - Engineering Design 1</t>
  </si>
  <si>
    <t>Thermoforming Automation Maintenance Apprentice</t>
  </si>
  <si>
    <t>1. High school diploma / GED equivalent.
2. Willingness to complete a four year maintenance mechanic apprenticeship program.
3. Relevant past work experience.
...</t>
  </si>
  <si>
    <t>1. High School diploma or equivalent
2. No experience required; on-the-job training provided</t>
  </si>
  <si>
    <t>Molding Engineering Intern</t>
  </si>
  <si>
    <t>$17-$24 /h</t>
  </si>
  <si>
    <t>1. Enrolled at the time of internship in an accredited Bachelor’s or Master's degree program in mechanical engineering, mechatronics, or related.
2. Minimum 2.7 GPA.
3. Organizational skills.
...</t>
  </si>
  <si>
    <t>Engineering Assistant Intern - New Orleans</t>
  </si>
  <si>
    <t>Saint Rose, LA</t>
  </si>
  <si>
    <t>1. Must be enrolled in a recognized civil engineering program working on a Bachelor’s Degree, preferably with emphasis on Geotechnical Engineering.
2. Must be an energetic individual with strong abilities in mathematics, sciences, computers and appropriate software, and data and file organization.
3. Competency with Microsoft Word and Excel required.</t>
  </si>
  <si>
    <t>Entry Controls Engineer</t>
  </si>
  <si>
    <t>Actalent</t>
  </si>
  <si>
    <t>Perrysburg, OH</t>
  </si>
  <si>
    <t>1. Bachelor's Degree in Electrical Engineering, Automation, or a related technical field
2. Controls co-op/internship experience
3. Experience designing control panels in either AutoCAD or AutoCAD Electrical
...</t>
  </si>
  <si>
    <t>Engineer Apprentice</t>
  </si>
  <si>
    <t>Aimbridge Hospitality</t>
  </si>
  <si>
    <t>Asset Management, Hospitality</t>
  </si>
  <si>
    <t>1. Typically requires accreditation from a technical school or an applicable skilled trades program
2. 0 to 2 years of experience
3. Performs work under direct supervision
...</t>
  </si>
  <si>
    <t>IT Security Intern</t>
  </si>
  <si>
    <t>Briggs &amp; Stratton</t>
  </si>
  <si>
    <t>Industrial Manufacturing, Machinery Manufacturing</t>
  </si>
  <si>
    <t>Wauwatosa, WI</t>
  </si>
  <si>
    <t>1. Good working knowledge of computer software
2. Candidates should have a long-term interest in specified function
3. Ability to multi-task and prioritize
...</t>
  </si>
  <si>
    <t>SUNY Technology Intern</t>
  </si>
  <si>
    <t>The State University of New York</t>
  </si>
  <si>
    <t>Charter Schools, Education</t>
  </si>
  <si>
    <t>$15-$16 /h</t>
  </si>
  <si>
    <t>1. Be a current undergraduate full-time enrollment at a SUNY campus
2. Have a basic understanding of computer networking concepts
3. Be familiar with Microsoft operating systems and Office suites
...</t>
  </si>
  <si>
    <t>CS - Data Scientist / Machine Learning Engineer Student</t>
  </si>
  <si>
    <t>1. BS student in Computer Science, System or Software Engineering, or a related field.
2. 3+ months of experience or related coursework in statistical analysis, machine learning, and deep learning methodologies understanding.
3. Computing fundamentals in algorithm design, data structures, complexity analysis, problem-solving, and diagnosis.
...</t>
  </si>
  <si>
    <t>Network Operations Intern</t>
  </si>
  <si>
    <t>MCNC Ventures</t>
  </si>
  <si>
    <t>Cloud Computing, Information Technology</t>
  </si>
  <si>
    <t>1. Current student pursuing an Associates or Bachelor’s degree in Network or Electrical Engineering, Computer Science or related field
2. Knowledge/experience with Cisco equipment
3. Knowledge of IP networking principles
...</t>
  </si>
  <si>
    <t>Engineering - Co-Op (Spring 2025)</t>
  </si>
  <si>
    <t>Mentor, OH</t>
  </si>
  <si>
    <t>$24-$24 /h</t>
  </si>
  <si>
    <t>1. Knowledge of related engineering discipline functional and technical skills
2. Proficient with Microsoft Excel, Microsoft Office, and SolidWorks
3. Good writing skills and interpersonal skills
...</t>
  </si>
  <si>
    <t>Data Management Intern (Unpaid)</t>
  </si>
  <si>
    <t>1. Moderate to advanced Microsoft Excel abilities
2. Fluency with Microsoft Word and Microsoft PowerPoint
3. Self-guided and self-motivated
...</t>
  </si>
  <si>
    <t>SkillBridge Internship</t>
  </si>
  <si>
    <t>Mass Virtual</t>
  </si>
  <si>
    <t>3D Technology, Augmented Reality</t>
  </si>
  <si>
    <t>1. Active-Duty Service Member status within the U.S. Armed Forces
2. Must be within one year of your End of Active Service transition date
3. Eager to learn and engage in a dynamic work setting
...</t>
  </si>
  <si>
    <t>College Student - Engineering - Quality Inspector - Part Time</t>
  </si>
  <si>
    <t>Unnamed</t>
  </si>
  <si>
    <t>$17.50-$17.50 /h</t>
  </si>
  <si>
    <t>1. Currently enrolled as an engineering student
2. Ability to learn how to use a micrometer and other measuring equipment
3. Interest in ensuring accuracy and precision in manufacturing
...</t>
  </si>
  <si>
    <t>Automation Controls Engineering Co-op Fall 2024</t>
  </si>
  <si>
    <t>Matrix Technologies, Inc.</t>
  </si>
  <si>
    <t>CRM, Electronics</t>
  </si>
  <si>
    <t>1. High School Diploma or equivalent required
2. Must be a college student enrolled in a four year electrical engineering or computer science engineering program at an ABET accredited college or university</t>
  </si>
  <si>
    <t>Civil Engineering Student Intern</t>
  </si>
  <si>
    <t>GCW, Inc.</t>
  </si>
  <si>
    <t>1. Currently enrolled in University/College Civil Engineering Program.
2. Possesses ability to apply engineering principles to evaluate and solve basic engineering problems.
3. Valid driver’s license. Travel in personal vehicle may be required.</t>
  </si>
  <si>
    <t>Field Service Engineering - Intern</t>
  </si>
  <si>
    <t>Schneider Electric</t>
  </si>
  <si>
    <t>1. Currently enrolled in a Bachelor's or technical degree in Mechanical Engineering, Electrical Engineering, or similar technical field
2. Strong customer service skills
3. Strong written and verbal communication skills, including the ability to relate technical terminology to customers and listen effectively</t>
  </si>
  <si>
    <t>DoD Skillbridge - Mission Operations Analyst</t>
  </si>
  <si>
    <t>$70000-$110000 /yr</t>
  </si>
  <si>
    <t>1. Currently serving as active duty military and must be eligible to participate in the DoD SkillBridge program
2. Ability to quickly learn operational procedures, new software, and technical subjects
3. DoD Secret Security Clearance
...</t>
  </si>
  <si>
    <t>Post Doctoral Scholar - Cancer Institute</t>
  </si>
  <si>
    <t>1. PhD and/or MD degree or equivalent
2. Substantial experience in relevant techniques, including processing human samples, mouse modeling, and in vitro functional studies
3. At least one recent publication (within 2 years) as the first or second author in a peer-reviewed journal in the field of molecular cancer signaling, targeted therapy or immunobiology/immune-oncology</t>
  </si>
  <si>
    <t>Industrial Engineer - Continuous Improvement (Intern)</t>
  </si>
  <si>
    <t>1. BS in Industrial Engineering, Operations Research or related engineering or Supply Chain field; Master’s a plus
2. Less than one-year experience in a process improvement and or analytical role or recent graduate with related internship experience
3. Advanced Excel skills (formulas, pivot tables)
...</t>
  </si>
  <si>
    <t>HAI/AR Surveillance Student Worker</t>
  </si>
  <si>
    <t>Minnesota Department of Health</t>
  </si>
  <si>
    <t>Government, Health Care</t>
  </si>
  <si>
    <t>St Paul, MN</t>
  </si>
  <si>
    <t>$18.26-$22.26 /h</t>
  </si>
  <si>
    <t>1. Completion of two years of post-secondary education
2. Enrolled in a post-secondary or graduate program or plan to enroll within three months
3. Student Worker Eligibility criteria
...</t>
  </si>
  <si>
    <t>Researcher Scientist Intern - Doubao (Seed) - Foundation Model, Vision and Language - 2025 Summer (PhD)</t>
  </si>
  <si>
    <t>1. Currently pursuing a PhD in Software Development, Computer Science, Computer Engineering, or a related technical discipline.
2. Able to commit to working for 12 weeks during Summer 2025.
3. Research experience in multi-modal understanding, vision and language, such as video captioning, VQA, Text-to-video retrieval, audio/music understanding and generation, and other related topics.
...</t>
  </si>
  <si>
    <t>Student Researcher - Doubao (Seed) - Foundation Model, Vision and Language - 2025 Start (PhD)</t>
  </si>
  <si>
    <t>1. Currently pursuing a PhD in Software Development, Computer Science, Computer Engineering, or a related technical discipline.
2. Research experience in multi-modal understanding, vision and language, such as video captioning, VQA, Text-to-video retrieval, audio/music understanding and generation, and other related topics.
3. Publications in top-tier venues, such as CVPR, ECCV, ICCV, NeurIPS, ICLR, ICML, EMNLP, ACL, COLING, etc.
...</t>
  </si>
  <si>
    <t>Student Researcher - Doubao (Seed) - Foundation Model, Speech Understanding - 2025 Start (PhD)</t>
  </si>
  <si>
    <t>1. Currently pursuing a PhD in Software Development, Computer Science, Computer Engineering, or a related technical discipline.
2. Must obtain work authorization in country of employment at the time of hire, and maintain ongoing work authorization during employment.</t>
  </si>
  <si>
    <t>Lab Intern/Co-Op</t>
  </si>
  <si>
    <t>Quaker Houghton</t>
  </si>
  <si>
    <t>Advanced Materials, Consumer Goods</t>
  </si>
  <si>
    <t>1. Second- or third-year student majoring in chemical engineering (preferred) or chemistry or material engineering.</t>
  </si>
  <si>
    <t>Project Engineer Co-Op - Dayton, OH</t>
  </si>
  <si>
    <t>Mechanical Engineer Intern</t>
  </si>
  <si>
    <t>Techtronic Industries</t>
  </si>
  <si>
    <t>Consumer Goods, E-Commerce</t>
  </si>
  <si>
    <t>Anderson, SC</t>
  </si>
  <si>
    <t>1. Student must be working toward a Bachelor of Science Degree in Mechanical Engineering, Engineering Mechanics, or Mechanical Engineering Technology.
2. Must have a good working technical discipline and is capable of quickly researching new information as needed for specific projects.
3. Must be able to communicate technical status to Engineering Supervisor and project team.</t>
  </si>
  <si>
    <t>Electrical Engineering Intern, Heil Environmental</t>
  </si>
  <si>
    <t>Heil Environmental Industries</t>
  </si>
  <si>
    <t>Manufacturing</t>
  </si>
  <si>
    <t>Fort Payne, AL</t>
  </si>
  <si>
    <t>1. Working towards a Bachelor's Degree in Electrical Engineering is preferred, or related engineering degree considered as applicable.
2. Good application skills of Microsoft Office tools, such as Excel, Word, Outlook etc.
3. Strong communication, interpersonal, and analytical skills are essential.</t>
  </si>
  <si>
    <t>PhD Residency - Photonic Test Automation</t>
  </si>
  <si>
    <t>1. Must be enrolled in an academic program and working towards completing a PhD degree
2. Proven track record of contributions to relevant projects in photonic measurements, laboratory automation, measurement optimization, and optics table setup alignment and bring-up
3. Knowledge and understanding of photonic integrated circuits, free-space optics, and mechanical considerations in optical setups
...</t>
  </si>
  <si>
    <t>1. Currently pursuing a MS in Software Development, Computer Science, Computer Engineering, or a related technical discipline.
2. Familiar with machine learning algorithms and platforms
3. Must obtain work authorization in country of employment at the time of hire, and maintain ongoing work authorization during employment.
...</t>
  </si>
  <si>
    <t>Student Researcher - Doubao (Seed) - LLM Post-training - 2025 Start (PhD)</t>
  </si>
  <si>
    <t>1. Currently enrolled in a PhD degree in Computer Science, Linguistics, Statistics, or related technical field.
2. Excellent knowledge of theory and practice of Large Language Models, Reinforcement Learning, Natural Language Processing, Machine Learning.
3. Strong publication record at leading conferences (NeurIPS, ICML, ACL, EMNLP etc.)
...</t>
  </si>
  <si>
    <t>1. Currently pursuing a MS or above degree in computer science, software engineering, artificial intelligence, or related fields.
2. Proficiency in C/C++ and Python languages in the Linux environment.
3. Experience with at least one machine learning framework (TensorFlow/PyTorch/MxNet or other self-developed frameworks).
...</t>
  </si>
  <si>
    <t>Hardware Engineering Intern</t>
  </si>
  <si>
    <t>Quantum Computing</t>
  </si>
  <si>
    <t>Information Technology, Quantum Computing</t>
  </si>
  <si>
    <t>$21-$40 /h</t>
  </si>
  <si>
    <t>1. Familiarity with designing PCBs. Experience with at least one ECAD suite (Altium, OrCAD, Allegro, CircuitMaker, and others). Altium preferred.
2. Strong academic background in analog and digital electronics. Basic understanding of microcontrollers and embedded systems.
3. Familiarity with simulation tools such as SPICE. Good understanding of discrete components domain.
...</t>
  </si>
  <si>
    <t>Student Researcher - Doubao (Seed) - Music Foundation Model - 2025 Start (PhD)</t>
  </si>
  <si>
    <t>Willowbrook, IL</t>
  </si>
  <si>
    <t>Student Researcher - Doubao (Seed) - Foundation Model AI Platform - 2025 Start (PhD)</t>
  </si>
  <si>
    <t>1. Currently pursuing a PhD in Software Development, Computer Science, Computer Engineering, or a related technical discipline.
2. Research and engineering experience in one or more areas of computer vision and natural language processing, including but not limited to.
3. Work and collaborate well with team members.
...</t>
  </si>
  <si>
    <t>Intern/co-op Logistics and Storage Engineering Summer 2025</t>
  </si>
  <si>
    <t>Catlettsburg, KY</t>
  </si>
  <si>
    <t>$0-$999.99 Hourly</t>
  </si>
  <si>
    <t>Software Engineer Intern - Doubao (Seed) - Machine Learning System - 2025 Summer (PhD)</t>
  </si>
  <si>
    <t>1. Currently pursuing a PhD in Software Development, Computer Science, Computer Engineering, or a related technical discipline.
2. Familiar with machine learning algorithms and platforms
3. Able to commit to working for 12 weeks during summer 2025.
...</t>
  </si>
  <si>
    <t>Amazon Robotics - Technical Artist Co-op - July to December 2024, Virtual Systems</t>
  </si>
  <si>
    <t>Robotics Engineer</t>
  </si>
  <si>
    <t>1. Enrolled in a degree program in Computer Science, Visual Effects, Graphic Art, Animation, or related field with at least one semester of school left after completion of co-op.
2. Must be eligible and available for a full-time (40h / week) 6-month co-op between July to December 2024.
3. Substance Designer or substance painter
...</t>
  </si>
  <si>
    <t>Pasadena, TX</t>
  </si>
  <si>
    <t>Research Engineer Intern - Doubao (Seed) - Machine Learning System - 2025 Summer (PhD)</t>
  </si>
  <si>
    <t>1. Currently pursuing a PhD degree in computer science, software engineering, artificial intelligence, or related fields.
2. Proficiency in C/C++ and Python languages in the Linux environment.
3. Experience with at least one machine learning framework (TensorFlow/PyTorch/MxNet or other self-developed frameworks).
...</t>
  </si>
  <si>
    <t>Vernon, IL</t>
  </si>
  <si>
    <t>Student Researcher - Doubao (Seed) - Foundation Model, Speech &amp; Audio - 2025 Start (PhD)</t>
  </si>
  <si>
    <t>System Engineering Co-op - Fall 2024 - ASL</t>
  </si>
  <si>
    <t>1. Pursuing a Bachelor’s degree in Electrical Engineering, Computer Science, Computer Engineering, Aerospace, or related technical field
2. 3.0 or higher cumulative GPA
3. Must be eligible to be approved by your college/university to participate in a co-op program and register for co-op credit with your university during work terms
...</t>
  </si>
  <si>
    <t>Software Engineer Intern - Doubao (Seed) - Machine Learning System - 2025 Summer (MS)</t>
  </si>
  <si>
    <t>1. Currently pursuing a MS in Software Development, Computer Science, Computer Engineering, or a related technical discipline.
2. Familiar with machine learning algorithms and platforms
3. Able to commit to working for 12 weeks during summer 2025.
...</t>
  </si>
  <si>
    <t>Student Internship - Research &amp; Development</t>
  </si>
  <si>
    <t>Reser's Fine Foods</t>
  </si>
  <si>
    <t>Vista, CA</t>
  </si>
  <si>
    <t>$17.63-$22.92 /h</t>
  </si>
  <si>
    <t>1. Have great punctuality/attendance.
2. Enjoy working in a team environment.
3. Basic PC skills are required.
...</t>
  </si>
  <si>
    <t>Security Administrative Assistant Co-Op</t>
  </si>
  <si>
    <t>CAE</t>
  </si>
  <si>
    <t>Aerospace, Enterprise Software</t>
  </si>
  <si>
    <t>1. Must be actively enrolled in college or university seeking an AA or BS degree in Criminology, Security Management, or a Technical field
2. Must be well organized, self-motivated, willing to work in a team environment, be able to prioritize tasking and perform in a multi-tasked and dynamic environment
3. Strong communication skills (oral and written), customer service and interpersonal skills
...</t>
  </si>
  <si>
    <t>Duales Studium Bachelor of Arts (m/w/d) BWL - Versicherung Vertrieb</t>
  </si>
  <si>
    <t>R+V Versicherung</t>
  </si>
  <si>
    <t>Weimar, TX</t>
  </si>
  <si>
    <t>1. (Fach-) Hochschulreife mit guter Mathematiknote
2. Aufgeschlossene und kommunikative Art
3. Sorgfältige und strukturierte Arbeitsweise
...</t>
  </si>
  <si>
    <t>Postdoctoral Research Associate - Growth Mechanisms of 2D Materials &amp; Nanomaterials</t>
  </si>
  <si>
    <t>Oak Ridge National Laboratory</t>
  </si>
  <si>
    <t>Advanced Materials, Clean Energy</t>
  </si>
  <si>
    <t>Oak Ridge, TN</t>
  </si>
  <si>
    <t>1. A PhD in Materials Science, Physics, Engineering, Chemistry, or a related field completed within the last 5 years.
2. Experience in epitaxy growth (CVD, MOCVD, CVT, PECVD), transfer, and characterizations of 2D layered materials and their heterostructures, such as TMDs, graphene, and h-BN.
3. Experience in experimental data acquisition and processing for materials’ assessment.</t>
  </si>
  <si>
    <t>Wood River, IL</t>
  </si>
  <si>
    <t>East Sparta, OH</t>
  </si>
  <si>
    <t>Student Researcher - Doubao (Seed) - Machine Learning System - 2025 Start (PhD)</t>
  </si>
  <si>
    <t>Student Researcher in Foundation Models (Reasoning, Planning &amp; Agent) - Doubao (Seed) - 2025 Start (PhD)</t>
  </si>
  <si>
    <t>Lima, OH</t>
  </si>
  <si>
    <t>Research co-op-separation</t>
  </si>
  <si>
    <t>Syensqo</t>
  </si>
  <si>
    <t>Battery, Biotechnology</t>
  </si>
  <si>
    <t>1. A current BS student in Analytical Chemistry or related discipline (Chemistry, Biology, Chemical Engineering or Forensic Science, etc).
2. The abilities to work well in technical workgroups, write well-documented reports, and communicate clearly are required.
3. This position requires a high level of creativity, analytical skills, and independent work.</t>
  </si>
  <si>
    <t>College Learner Refining Electrical Engineering Fall 2024</t>
  </si>
  <si>
    <t>$31.38-$39.72 /h</t>
  </si>
  <si>
    <t>La Palma, CA</t>
  </si>
  <si>
    <t>Civil Engineering Intern / Co-op - Fall 2024</t>
  </si>
  <si>
    <t>1. Student actively pursuing a four year or advanced degree in Civil Engineering; Cumulative GPA of 3.0 or greater is preferred
2. Working knowledge of AutoCAD or Civil 3D, and Microsoft Office Suite applications
3. Excellent written and verbal communication skills
...</t>
  </si>
  <si>
    <t>Continuous Improvement &amp; Process Engineering Intern/Co-op</t>
  </si>
  <si>
    <t>The Marmon Group</t>
  </si>
  <si>
    <t>Accounting, Industrial</t>
  </si>
  <si>
    <t>1. Energy, enthusiasm, and initiative to create programs and drive outcomes, balancing multiple priorities in a fast-paced environment.
2. Ability to lead and influence others without formal control to achieve desired results.
3. Ability to travel 20-50% to other facilities/shops.
...</t>
  </si>
  <si>
    <t>Builder Intern</t>
  </si>
  <si>
    <t>Schuber Mitchell Homes</t>
  </si>
  <si>
    <t>Commercial Real Estate, Real Estate</t>
  </si>
  <si>
    <t>1. Strong problem-solving and time management skills
2. Ability to learn new software and utilize company HB1 system
3. Valid driver’s license and clean driving record
...</t>
  </si>
  <si>
    <t>EMD Mechanical Engineering Intern</t>
  </si>
  <si>
    <t>1. Active participation in a mechanical engineering degree program.
2. Good knowledge of MS Office applications, MS Excel in particular
3. Quantitative and problem-solving skills
...</t>
  </si>
  <si>
    <t>Postdoctoral Research Fellow - Murakami Lab</t>
  </si>
  <si>
    <t>Dana-Farber Cancer Institute</t>
  </si>
  <si>
    <t>1. MD, MD/PhD, or Ph.D. in molecular cell biology, human genetics, systems biology, or related fields.
2. Experience with some – but not necessarily all – of the following techniques: PCR, molecular cloning, viral transduction, gene editing, immunoblotting, cell culture, colony-formation assays, ex vivo and in vivo modeling of cancer, immunohistochemistry, flow cytometry, fluorescence-activated cell sorting, and next-generation sequencing library preparation.
3. Excellent oral and written communication skills and the ability to perform both self-directed and guided research are prioritized.
...</t>
  </si>
  <si>
    <t>FPGA Engineer Intern (Summer 2025 - Austin)</t>
  </si>
  <si>
    <t>1. Working towards a bachelor's, master's, or PhD in Computer Engineering, Electrical Engineering, or a related field, graduating between December 2025 and June 2026
2. Possess strong engineering instincts and academic experience in digital design with FPGAs or ASICs
3. Experienced in writing hardware in VHDL, Verilog, or SystemsVerilog
...</t>
  </si>
  <si>
    <t>FPGA Engineer Intern (Summer 2025 - Chicago)</t>
  </si>
  <si>
    <t>Chassis Design Engineer</t>
  </si>
  <si>
    <t>1. Bachelors in Mechanical / Automotive Engineering
2. Co-op Experience
3. CAD software (CATIA V5/V6) or closely related, Microsoft Office</t>
  </si>
  <si>
    <t>Internship Application - ARMHS, CTSS, ECT</t>
  </si>
  <si>
    <t>Nystrom &amp; Associates</t>
  </si>
  <si>
    <t>Addiction Treatment, Advice</t>
  </si>
  <si>
    <t>New Brighton, MN</t>
  </si>
  <si>
    <t>1. Currently able to consider: LMFT and LPCC track students.
2. Limited options available for LICSW track students - we are still accepting applications.
3. Bachelor level internships are only offered to those who are pursuing their LADC.
...</t>
  </si>
  <si>
    <t>$225000-$225000 annual</t>
  </si>
  <si>
    <t>1. Interest in learning about and understanding new technologies</t>
  </si>
  <si>
    <t>Fall 2024 – Traffic Intern</t>
  </si>
  <si>
    <t>1. Currently pursuing undergraduate or master’s degree in civil engineering
2. Excellent verbal, written and interpersonal communication skills.
3. Ability to independently perform multiple tasks and interact appropriately and positively with coworkers.
...</t>
  </si>
  <si>
    <t>Audio Visual Technology Student Worker</t>
  </si>
  <si>
    <t>$13-$13 /h</t>
  </si>
  <si>
    <t>1. Must be actively enrolled at NC State.
2. Must be able to lift at least 35 pounds.</t>
  </si>
  <si>
    <t>Data Science Machine Learning Internship (Summer 2025)</t>
  </si>
  <si>
    <t>1. Pursuing a Bachelor’s or higher degree in Computer Science, Mathematics, Statistics, or related field of study with a focus in machine learning
2. Strong analytical skillset with demonstrated attention to detail
3. Passion for data (both big and small) and data analytics
...</t>
  </si>
  <si>
    <t>Archaeological Collections Intern - Fall 2024 -$13.50/hour up to 180 hours</t>
  </si>
  <si>
    <t>Conner Prairie</t>
  </si>
  <si>
    <t>Fishers, IN</t>
  </si>
  <si>
    <t>$13.50-$13.50 /h</t>
  </si>
  <si>
    <t>1. Fieldwork or laboratory experience in handling, processing, and documenting archaeological sites and/or collections
2. Experience with or completed coursework regarding precontact or prehistoric cultures in North America
3. Completed coursework or fieldwork regarding ceramics or lithics
...</t>
  </si>
  <si>
    <t>Data Engineering Internship (Summer 2025)</t>
  </si>
  <si>
    <t>1. Pursuing a Bachelor’s or higher degree in Computer Science, Management Information Systems, or related field of study.
2. Strong analytical skillset with demonstrated attention to detail
3. Passion for data (both big and small) and data analytics
...</t>
  </si>
  <si>
    <t>Jackson, MI</t>
  </si>
  <si>
    <t>GIS Intern I (UNPAID)</t>
  </si>
  <si>
    <t>Pala Band of Mission Indians</t>
  </si>
  <si>
    <t>Pala, CA</t>
  </si>
  <si>
    <t>1. Basic knowledge of what GIS is and how it is used.
2. Basic computer skills (Microsoft Excel, Word, email.)
3. Must have a valid California Driver’s License.
...</t>
  </si>
  <si>
    <t>Intern (Civil Engineer)</t>
  </si>
  <si>
    <t>1. Proficient in Microsoft Word and Excel
2. Bachelors or better in Civil Engineering or related field
3. The successful candidate will be pursuing a degree in Civil Engineering, or a related field from an accredited university at the junior or senior level
...</t>
  </si>
  <si>
    <t>Data Engineering Intern - Paid</t>
  </si>
  <si>
    <t>Right Fit Reading</t>
  </si>
  <si>
    <t>Education, News</t>
  </si>
  <si>
    <t>$16-$25 /h</t>
  </si>
  <si>
    <t>1. Available approximately 40 hours per week for a minimum of 16 weeks
2. Experience in writing complex SQL queries to extract data from relational databases (e.g. MySQL, Redshift)
3. Comfortable with extensive Python coding
...</t>
  </si>
  <si>
    <t>Engineering Co-Op (Fall 2024 Term)</t>
  </si>
  <si>
    <t>Automated Control Concepts</t>
  </si>
  <si>
    <t>Industrial, Industrial Automation</t>
  </si>
  <si>
    <t>Neptune, NJ</t>
  </si>
  <si>
    <t>1. Pursuing a Bachelor’s or Master's degree in a technical field (e.g. Electrical Engineering, Mechanical Engineering, Computer Science, Information Systems etc.)
2. Strong analytical skills with attention to detail and accuracy.
3. Excellent communication and interpersonal skills, with the ability to collaborate effectively across teams.
...</t>
  </si>
  <si>
    <t>Amentum</t>
  </si>
  <si>
    <t>Mechanical Engineering, Security</t>
  </si>
  <si>
    <t>1. Current student pursuing a degree in Engineering/Computer Science/Mathematics/Physics or related scientific field with 60+ credits with a GPA of 3.0 or better.
2. Good communications and analytical skills.
3. Knowledgeable of Excel, PowerPoint and Word Applications.
...</t>
  </si>
  <si>
    <t>Sports Science Data Specialist (I)</t>
  </si>
  <si>
    <t>Coral Gables, FL</t>
  </si>
  <si>
    <t>1. High School Diploma required
2. Enrollment in an undergraduate program focusing on sport science or a related field (such as kinesiology, exercise science, etc.)
3. Exceptional written and verbal communication skills, enabling effective interaction with diverse audiences.
...</t>
  </si>
  <si>
    <t>Intern, Salton Sea and Desert Program</t>
  </si>
  <si>
    <t>National Audubon Society (USA)</t>
  </si>
  <si>
    <t>Salton Sea Beach, CA</t>
  </si>
  <si>
    <t>1. Completion of at least two years of college coursework in communications, public policy or health, environmental or life sciences, or science education.
2. Confident in leading a group and initiating activities, working independently, and team teaching.
3. Comfortable with public speaking to small or large groups.
...</t>
  </si>
  <si>
    <t>Quality Engineer Intern</t>
  </si>
  <si>
    <t>1. In school pursuing a bachelor’s degree in engineering or related field.
2. Proficiency in Database Software, Manufacturing Software, Microsoft Office suite, and AS400.</t>
  </si>
  <si>
    <t>Salt Lake City, Utah</t>
  </si>
  <si>
    <t>US-FL-Kennedy Space Center</t>
  </si>
  <si>
    <t>United States - Arizona - Phoenix</t>
  </si>
  <si>
    <t>Planning Machine Learning Engineer Intern</t>
  </si>
  <si>
    <t>Xpeng Motors</t>
  </si>
  <si>
    <t>1. Education in Engineering or Computer Science with a focus on Deep Learning, Artificial Intelligence, or a related field, or equivalent experience.
2. Strong experience in applied deep learning including model architecture design, model training, data mining, and data analytics.
3. 2+ years of experience working with DL frameworks such as PyTorch, Tensorflow.
...</t>
  </si>
  <si>
    <t>Machine Learning Engineer Intern - Foundation Models</t>
  </si>
  <si>
    <t>1. PhD in Computer Science, Electrical Engineering, or related fields.
2. Experience in working with CNNs/RNNs and LLMs/LVMs.
3. Excellent programming skills and knowledge of Python or C++.
...</t>
  </si>
  <si>
    <t>Machine Learning System Engineer Intern</t>
  </si>
  <si>
    <t>1. PhD or Master in computer science, electrical engineering, or other related fields.
2. Experience in working with CNNs/RNNs and generative models such as LLMs, diffusion models.
3. Programming fluently in Python with a deep understanding of software design, programming techniques, and algorithms.
...</t>
  </si>
  <si>
    <t>Electrical Engineering Co-op_Summer 2025</t>
  </si>
  <si>
    <t>1. Currently enrolled in an accredited university pursuing a bachelor's degree or higher in Engineering (Electrical Engineering)
2. December 2025 or later graduation date
3. Cumulative GPA &gt;=3.0 (out of 4.0)
...</t>
  </si>
  <si>
    <t>Co-Op-Technical Compliance &amp; Qualification, Fremont CA</t>
  </si>
  <si>
    <t>Fremont, CA</t>
  </si>
  <si>
    <t>1. Must be a current undergraduate, graduate or advanced degree student in good academic standing
2. Student must be enrolled at a college or university for the duration of the internship
3. Overall cumulative minimum GPA from last completed quarter/semester 3.0 GPA (on a 4.0 scale) preferred
...</t>
  </si>
  <si>
    <t>Electrical Engineer Internship (Building &amp; Power - Spring 2025)</t>
  </si>
  <si>
    <t>1. Junior or Senior pursuing a Bachelor’s degree in Electrical Engineering or related field.
2. Proficiency with MS Office (Excel, Word, Access) and familiarity AutoCAD or similar software
3. GPA: 3.0 or above</t>
  </si>
  <si>
    <t>Apprentice, Aircraft Maintenance</t>
  </si>
  <si>
    <t>Spirit Charitable Foundation</t>
  </si>
  <si>
    <t>$14.90-$14.90 /h</t>
  </si>
  <si>
    <t>1. Must be enrolled and actively attending a part 147 Aviation Maintenance Technician School pursuing an A&amp;P Certification.
2. Must have a valid Driver’s License
3. Must be able to obtain and maintain an Airport Badge
...</t>
  </si>
  <si>
    <t>Systems Engineer 1-3 (SkillBridge Intern) (Multiple Locations) - 12505</t>
  </si>
  <si>
    <t>1. Active-Duty Military ONLY within final 180 days of active-duty service.
2. Must have a current/active DoD Secret Security Clearance.
3. Must have at least 2+ years of demonstrable Linux experience.
...</t>
  </si>
  <si>
    <t>Engineering/Supply Chain (Parts Warehouse) Co-op_Summer 2025</t>
  </si>
  <si>
    <t>Jeffersonville, IN</t>
  </si>
  <si>
    <t>1. Currently enrolled in an accredited university pursuing a bachelor’s degree or better in Mechanical, Industrial, or Manufacturing Engineering (or related degrees) or Supply Chain Management, Operations Management, Logistics/Distribution (or related degrees)
2. December 2025 or later graduation date
3. Cumulative GPA &gt;=3.0 (out of 4.0)
...</t>
  </si>
  <si>
    <t>Fall QA Intern</t>
  </si>
  <si>
    <t>Cipla USA</t>
  </si>
  <si>
    <t>Fall River, MA</t>
  </si>
  <si>
    <t>1. Must be currently enrolled in a 2-year or 4-year degree college program with focus on Industrial Manufacturing, or related field.
2. Able to commit to a 6–8 week internship.
3. Must be willing to work in a pharmaceutical setting.
...</t>
  </si>
  <si>
    <t>Engineering Intern (Hybrid) Bothell, WA</t>
  </si>
  <si>
    <t>Bothell, WA</t>
  </si>
  <si>
    <t>$22-$25 /h</t>
  </si>
  <si>
    <t>1. Studying in an engineering discipline (Civil, Structural, Electrical, or similar)
2. Ability to work independently or in a team environment
3. Proficient in Microsoft Office Suite
...</t>
  </si>
  <si>
    <t>2024 Kettering Co-Op - Product Development Engineering</t>
  </si>
  <si>
    <t>General Motors</t>
  </si>
  <si>
    <t>Pontiac, MI</t>
  </si>
  <si>
    <t>1. Enrolled in the Kettering University co-op program
2. 2024 High School Graduate or current Kettering University Freshman-Sophomore
3. Pursuing a degree in Mechanical Engineering, Electrical Engineering, Computer Engineering, or Computer Science
...</t>
  </si>
  <si>
    <t>Milford, MI</t>
  </si>
  <si>
    <t>Military DoD SkillBridge Internship - On Wing Support Tech</t>
  </si>
  <si>
    <t>GE Aerospace</t>
  </si>
  <si>
    <t>1. High School diploma / GED
2. Federal Airframe and Power Plant Mechanic (A&amp;P) license
3. Active Military personnel
...</t>
  </si>
  <si>
    <t>Military DOD SkillBridge Internship- Test System Operations/Engine &amp; Component Test</t>
  </si>
  <si>
    <t>Lynn, MA</t>
  </si>
  <si>
    <t>1. Active Military Personnel</t>
  </si>
  <si>
    <t>Military DoD SkillBridge Internship - Lead Engineer - Testing</t>
  </si>
  <si>
    <t>Peebles, OH</t>
  </si>
  <si>
    <t>1. Active Military personnel
2. Bachelor's degree from an accredited university or college (or a high school diploma / GED with at least 6 years of experience in Engineering.
3. Three years’ experience in an Engineering role.</t>
  </si>
  <si>
    <t>Evendale, OH</t>
  </si>
  <si>
    <t>Military DoD SkillBridge Internship - Field Service Representative</t>
  </si>
  <si>
    <t>1. Active Military personnel
2. Bachelor's Degree from an accredited college or university (Or a High School Diploma / GED with a minimum of 4 years of Aviation experience in a Field Service or Maintenance position)
3. Able to lift minimum of 65 Lbs
...</t>
  </si>
  <si>
    <t>Eden Prairie, MN</t>
  </si>
  <si>
    <t>Military DoD SkillBridge Internship - Electronic Analyzer &amp; Tester</t>
  </si>
  <si>
    <t>1. Associate degree in an electronics technology discipline from an accredited university or college OR
2. High School Diploma / GED with two years of technical experience in testing and troubleshooting of highly technical electronic products which could include military electronics experience (i.e. A school, I level depo technician)
3. Must be active military personnel
...</t>
  </si>
  <si>
    <t>INTERNSHIP: SOLIDWORKS R&amp;D</t>
  </si>
  <si>
    <t>Dassault Systemes</t>
  </si>
  <si>
    <t>3D Technology, Analytics</t>
  </si>
  <si>
    <t>Shelton, CT</t>
  </si>
  <si>
    <t>1. Actively enrolled in a Bachelor’s or Master’s Degree program in Computer Science or a related technical field for the duration of the internship.
2. Knowledge of Computer Science fundamentals, Data Structures, Algorithms, Design Patterns and OOP Concepts.
3. Minimum cumulative GPA 3.0
...</t>
  </si>
  <si>
    <t>Returning Intern/Co-op Engineer - MAD Summer 2025 (For current/previous HNTB interns only)</t>
  </si>
  <si>
    <t>$21.06-$34.59 /h</t>
  </si>
  <si>
    <t>DoD Military SkillBridge Internship - Instrumentation Engineering and Operations (IEO)</t>
  </si>
  <si>
    <t>1. Active Military personnel</t>
  </si>
  <si>
    <t>Scott Depot, WV</t>
  </si>
  <si>
    <t>North Charleston, SC</t>
  </si>
  <si>
    <t>Student Research Lab Assistant Student Hourly/Work Study</t>
  </si>
  <si>
    <t>1. Undergraduate and Graduate students from all departments are welcome to apply.
2. This position requires in-person work.
3. Individuals must be able to lift 30 lbs with or without accommodation.
...</t>
  </si>
  <si>
    <t>Electricity and Automation Co-Op</t>
  </si>
  <si>
    <t>Nestlé</t>
  </si>
  <si>
    <t>Coffee, Cosmetics</t>
  </si>
  <si>
    <t>Gaffney, SC</t>
  </si>
  <si>
    <t>1. Working towards a Bachelor’s Degree in Mechanical Engineering, Electrical Engineering, Chemical Engineering, Mechatronics Engineering or other related engineering discipline
2. Strong communication and presentation skills
3. Analytical skillset for data tracking and results analysis
...</t>
  </si>
  <si>
    <t>Process Engineering Co-Op</t>
  </si>
  <si>
    <t>Solon, OH</t>
  </si>
  <si>
    <t>1. Working towards a Bachelor’s Degree in Mechanical Engineering, Electrical Engineering, Chemical Engineering, Mechatronics Engineering or other related engineering discipline
2. GPA of 3.0 and above preferred
3. Strong communication and presentation skills
...</t>
  </si>
  <si>
    <t>Electricity Market Operations &amp; Design Fall Student Engineer</t>
  </si>
  <si>
    <t>EPRI</t>
  </si>
  <si>
    <t>$27-$34 /h</t>
  </si>
  <si>
    <t>1. Electrical engineering, operations research, economics, or similar master’s or PhD student with an understanding of electric power systems operations and economics, and/or and strong analytical skills
2. Understanding of wholesale electricity markets, including unit commitment, economic dispatch, and locational marginal pricing concepts
3. Experience in market simulation models and tools, such as production cost modeling, e.g., PSO, FESTIV, PLEXOS
...</t>
  </si>
  <si>
    <t>TranSystems</t>
  </si>
  <si>
    <t>Civil Engineering, Software</t>
  </si>
  <si>
    <t>1. Candidate must be pursuing a Bachelors Degree in Civil Engineering.
2. Oral Communication - Speaks clearly and persuasively in positive or negative situations; listens and gets clarification; responds well to questions.
3. Ethics - Treats people with respect; works with integrity and ethically.
...</t>
  </si>
  <si>
    <t>Civil Technical Intern</t>
  </si>
  <si>
    <t>Souder, Miller &amp; Associates</t>
  </si>
  <si>
    <t>1. Must have a High School Diploma or GED.
2. Must be 18 years old or above.
3. Must be currently enrolled in or recently graduated from an accredited university in pursuit of a Bachelor’s or Master’s in science or engineering field.
...</t>
  </si>
  <si>
    <t>Research Intern (GTRI-SISD)</t>
  </si>
  <si>
    <t>1. Must be able to pass a background check.
2. Under direct supervision, contribute to projects and/or programs specific to the hiring department.
3. May work across diverse fields related to their field of study or other areas of interest.
...</t>
  </si>
  <si>
    <t>Marine Science and Education In-Person Internship</t>
  </si>
  <si>
    <t>Seaside Sustainability</t>
  </si>
  <si>
    <t>Gloucester, MA</t>
  </si>
  <si>
    <t>1. Available from August to October
2. Complete a minimum of 15 hours per week
3. Passionate and dedicated to making a difference in the environment
...</t>
  </si>
  <si>
    <t>Advanced Electrical Engineering Co-op</t>
  </si>
  <si>
    <t>Gentherm - Battery division</t>
  </si>
  <si>
    <t>Automotive, Battery</t>
  </si>
  <si>
    <t>Northville, MI</t>
  </si>
  <si>
    <t>1. Studying for a Bachelor’s degree in electrical, computer, electronics engineering or equivalent
2. Strong communication skills and an aptitude for working within a team
3. Eagerness to learn in a fast-paced environment
...</t>
  </si>
  <si>
    <t>Co-Ops &amp; Internships (Engineering)</t>
  </si>
  <si>
    <t>DN Tanks</t>
  </si>
  <si>
    <t>$23 /h</t>
  </si>
  <si>
    <t>1. Currently enrolled in a Civil Engineering undergraduate program.
2. Experience working with CAD software (preferably AutoCAD) and Microsoft Office (Word, Outlook, and Excel)
3. Excellent communication and time management skills
...</t>
  </si>
  <si>
    <t>DOD SKillBridge-Active Duty Military Only-Maintenance and Engineering in Multiple Locations</t>
  </si>
  <si>
    <t>Cushman &amp; Wakefield</t>
  </si>
  <si>
    <t>Commercial, Commercial Real Estate</t>
  </si>
  <si>
    <t>1. Operate, replace and repair HVAC equipment and work with all refrigerants
2. Ability to troubleshoot HVAC systems, refrigeration systems, related controls, motors, etc.
3. Assist with troubleshooting and repairs of buildings and installed systems
...</t>
  </si>
  <si>
    <t>Hazelwood, MO</t>
  </si>
  <si>
    <t>1. Requires a High School Diploma or GED.
2. Must be actively pursuing a BS or MS degree in any of the following disciplines: Computer Science, Electrical/Electronics, Computer, Mechanical, Biomedical, Industrial, Manufacturing, or Mechatronics/Robotics Engineering.
3. Adept in Microsoft Office (Word, Excel, PowerPoint)
...</t>
  </si>
  <si>
    <t>Analyst Fall Co-op/ Internship</t>
  </si>
  <si>
    <t>1. Gather and define user requirements for tools and solutions
2. Analyze processes and identify gaps using Process and Value Stream Mapping
3. Assess systems and their capabilities versus user and process requirements
...</t>
  </si>
  <si>
    <t>Yank Technologies, Inc.</t>
  </si>
  <si>
    <t>Automotive, Consumer Electronics</t>
  </si>
  <si>
    <t>1. Bachelor’s Degree in Mechanical Engineering (or similar)
2. Proficient in SOLIDWORKS (e.g., creating detailed models, flow simulations, and designs for manufacturing)
3. Experienced in operating 3D printers, preparing files for printing, and ensuring high-quality results
...</t>
  </si>
  <si>
    <t>POSTDOCTORAL RESEARCH ASSOCIATE IN EXPERIMENTAL NEUTRINO PHYSICS</t>
  </si>
  <si>
    <t>Carnegie Mellon University</t>
  </si>
  <si>
    <t>1. PhD in experimental nuclear or particle physics, or equivalent postdoctoral experience, by the time the position starts.
2. Experience in data analysis and C/python programming.
3. Ability to effectively interact and work with members of the KATRIN and COHERENT collaborations, on- and off-site.
...</t>
  </si>
  <si>
    <t>Teva Pharmaceuticals</t>
  </si>
  <si>
    <t>Biopharma, Health Care</t>
  </si>
  <si>
    <t>1. Applicants must be currently enrolled in an accredited college or university program preferably pursuing a chemical, mechanical, or biomedical engineering degree (other majors will be considered)
2. Strong interpersonal and communication skills will be required to engage with other departments within the site.
3. Strong time management skills.
...</t>
  </si>
  <si>
    <t>Cybersecurity Fellow</t>
  </si>
  <si>
    <t>1. Must be currently employed at a SUNY campus
2. Access to high-speed reliable internet connection and computer or laptop to connect via secure remote access
3. Applicants must be able to devote between 5 to 10 hours per week over a 15 week period
...</t>
  </si>
  <si>
    <t>Returning Intern Engineer - Southeast Division (For current/previous HNTB interns only) – Summer 2025</t>
  </si>
  <si>
    <t>Drafting Intern</t>
  </si>
  <si>
    <t>Benchmark Group, Inc.</t>
  </si>
  <si>
    <t>Rogers, AR</t>
  </si>
  <si>
    <t>1. Must have completed two years of post-secondary education in Electrical or Mechanical Engineering, Architecture or a related field.</t>
  </si>
  <si>
    <t>Tool Room Apprentice / Journeyman</t>
  </si>
  <si>
    <t>1. High school education / GED equivalent
2. Willingness to further education and complete apprenticeship program
3. Ability to lift 75 pounds a minimum of 10 times per day and ability to lift 50 – 75 lbs over shoulder height
...</t>
  </si>
  <si>
    <t>Greater Indianapolis</t>
  </si>
  <si>
    <t>IT Service Designer/Developer Intern</t>
  </si>
  <si>
    <t>Hoffman Estates, IL</t>
  </si>
  <si>
    <t>1. Currently enrolled in a Bachelor’s or Master’s degree program, majoring in: Information Technology, Information Systems, Computer Science, Electrical Engineering, Data Science or a related field.
2. Minimum 3.0 GPA (preferred)
3. Strong programming skills in languages such as Python or Java.</t>
  </si>
  <si>
    <t>Renewable Energy Engineering Co-Op - Summer 2024</t>
  </si>
  <si>
    <t>1. Completion of all 1st and 2nd year core coursework and well into requirements of selected major.
2. Strong grade point average
3. Strong quantitative and analytical skills
...</t>
  </si>
  <si>
    <t>Desktop Engineering and Security Intern</t>
  </si>
  <si>
    <t>Foundry Digital</t>
  </si>
  <si>
    <t>1. Enrolled in or recent graduate of a relevant degree program, such as computer science, information technology, computer engineering, or a related field.
2. Proficiency in fundamental IT skills, including knowledge of operating systems (such as Windows, macOS, or Linux), networking concepts, hardware components, and basic troubleshooting techniques.
3. Familiarity with programming languages (such as Python, Java, or C++) and scripting languages (such as PowerShell or Bash).
...</t>
  </si>
  <si>
    <t>Lakewood, CO</t>
  </si>
  <si>
    <t>$65000-$74000 /yr</t>
  </si>
  <si>
    <t>Product Validation Engineering  Intern - Fall 2024</t>
  </si>
  <si>
    <t>Liebherr Group</t>
  </si>
  <si>
    <t>Construction, Home Appliances</t>
  </si>
  <si>
    <t>1. Current active student in good standing who has completed 60 hours towards a related Engineering Bachelor’s degree.
2. Knowledge of 3D modeling, CAD drafting tools or drafting equipment and software.
3. Ability to identify components of truck systems including drive systems, control systems, hydraulic systems, and mechanical systems.
...</t>
  </si>
  <si>
    <t>Co-Op - On Site Bridge Inspection</t>
  </si>
  <si>
    <t>Modjeski and Masters</t>
  </si>
  <si>
    <t>Consulting, Real Estate</t>
  </si>
  <si>
    <t>Mount Laurel, NJ</t>
  </si>
  <si>
    <t>1. Ideal candidate will be a Junior or Senior working towards a BS in Civil or Structural Engineering from an ABET accredited College or University
2. Primary duties will involve bridge inspection, condition assessment and reporting, repair design and detailing, emergency response, and on-site monitoring of bridge repairs
3. Candidates should ideally be detail oriented, be able to demonstrate a strong understanding of structural fundamentals and be eager to begin a career working with bridges
...</t>
  </si>
  <si>
    <t>Quality Assurance GMP Intern</t>
  </si>
  <si>
    <t>Daiichi Sankyo US</t>
  </si>
  <si>
    <t>Health Care, Therapeutics</t>
  </si>
  <si>
    <t>1. Currently enrolled in an accredited undergraduate program with a concentration in life sciences such as Biology, Chemistry, Pharmacy, Biotechnology, or related field
2. Prior experience in a corporate business environment is preferred; experience in the pharmaceutical industry is a plus
3. Excellent writing skills and strong computer skills with moderate to advanced proficiency in database and/or spreadsheets
...</t>
  </si>
  <si>
    <t>Crew Equipment Engineer, Human Systems</t>
  </si>
  <si>
    <t>$80000-$110000 /yr</t>
  </si>
  <si>
    <t>1. 1+ years of experience with designing for human systems or other related engineering projects (internships/hands-on academic projects included)
2. Bachelor of Science degree in Mechanical Engineering, Materials Engineering, Electrical Engineering, or other engineering discipline
3. Excellent communication skills in all media formats (voice, email, &amp; interpersonal)
...</t>
  </si>
  <si>
    <t>New Graduate Engineer / Emerging Talent Engineer - Mechanical/Aerospace</t>
  </si>
  <si>
    <t>$90000-$108000 /yr</t>
  </si>
  <si>
    <t>1. Bachelor's, Master's, or PhD in Mechanical Engineering, Aerospace Engineering, or a related field
2. Proficiency in CAD software (e.g., SolidWorks, CATIA) for 3D modeling and simulation
3. Ability to be on site daily at our HQ in Long Beach, Hawthorne or Mojave
...</t>
  </si>
  <si>
    <t>Microbiologist- Blue Ash, OH</t>
  </si>
  <si>
    <t>Bureau Veritas North America</t>
  </si>
  <si>
    <t>Information Services, Media and Entertainment</t>
  </si>
  <si>
    <t>1. Bachelor’s degree in Microbiology, Biology, or other life science
2. Strong basic math skills to perform routine calculations
3. Good attention to detail and accurate recordkeeping</t>
  </si>
  <si>
    <t>Mechatronic Apprentice (MRA)</t>
  </si>
  <si>
    <t>CBRE Group</t>
  </si>
  <si>
    <t>Commercial, Financial Services</t>
  </si>
  <si>
    <t>1. Applicants must be currently authorized to work in United States without the need for visa sponsorship now or in the future.
2. High school diploma or general education degree (GED).
3. Ability to attend a 12-week in person paid training at a designated training provider.
...</t>
  </si>
  <si>
    <t>Co-Op EIT Lab Center</t>
  </si>
  <si>
    <t>Cincinnati State Technical and Community College</t>
  </si>
  <si>
    <t>Communities, Education</t>
  </si>
  <si>
    <t>1. High school graduate or have attained a GED
2. At least 16 years of age on or before the date of hire
3. Completion of basic electronic courses
...</t>
  </si>
  <si>
    <t>- Engineering Opportunities 2021 Intern- Internships Twinsburg, Fall University  (United States)- Ohio</t>
  </si>
  <si>
    <t>ALLY Energy</t>
  </si>
  <si>
    <t>Twinsburg, OH</t>
  </si>
  <si>
    <t>NY) Engineering Career: University Technology 2025 Early &amp; (Skaneateles, Spring Internships</t>
  </si>
  <si>
    <t>Skaneateles, NY</t>
  </si>
  <si>
    <t>1. Be currently enrolled in a Bachelor’s or Master's level degree in Engineering, Technology, Mechanics, other STEM-related program.
2. Have maintained a GPA grade greater than or equal to 3.0 out of 4.0 or the equivalent in your country.
3. Be fluent in oral and written English and have effective communication skills.
...</t>
  </si>
  <si>
    <t>Intern</t>
  </si>
  <si>
    <t>Rogers &amp; Gray Insurance</t>
  </si>
  <si>
    <t>Tampa, Florida, US</t>
  </si>
  <si>
    <t>General Electric</t>
  </si>
  <si>
    <t>Evendale</t>
  </si>
  <si>
    <t>Co-Ops &amp; Internships (Construction Management)</t>
  </si>
  <si>
    <t>1. Currently enrolled in an Engineering or Construction Management undergraduate program.
2. Experience working with CAD software (preferably AutoCAD) and Microsoft Office (Word, Outlook, and Excel).
3. Excellent communication and time management skills.
...</t>
  </si>
  <si>
    <t>Master's Intern - Research Computing Internship - PEARC</t>
  </si>
  <si>
    <t>$19.90-$30 /h</t>
  </si>
  <si>
    <t>1. Candidates must be matriculated/enrolled in a Master's program at an accredited college or university.
2. Minimum GPA of 3.0 is required.
3. US Citizenship is required.</t>
  </si>
  <si>
    <t>Undergrad Technical Intern - Research Computing Internship – PEARC</t>
  </si>
  <si>
    <t>1. Candidates must have a high school diploma /GED or higher
2. Candidates must be degree-seeking undergraduate students enrolled at an accredited college or university
3. Candidates must be taking at least 6 credit hours and have an overall cumulative GPA of 2.5</t>
  </si>
  <si>
    <t>Part Time Field Engineer Intern</t>
  </si>
  <si>
    <t>Terracon Foundation</t>
  </si>
  <si>
    <t>1. Bachelor’s degree in Engineering or within 1 year of completing the degree
2. Valid driver’s license with acceptable violation history</t>
  </si>
  <si>
    <t>Geotechnical Engineering Intern - Fall 2024</t>
  </si>
  <si>
    <t>1. Actively enrolled in an accredited Geotechnical, Civil Engineering or related, Undergraduate program.
2. Must 18 years or older.
3. Demonstrated interest in Civil Engineering or related field, and have a strong desire to advance skills related to WSP’s work and projects.
...</t>
  </si>
  <si>
    <t>Electrical Engineering Co-op - Fall/Winter 2024/2025</t>
  </si>
  <si>
    <t>1. Actively enrolled in an accredited Electrical Engineering, or related Undergraduate program through Drexel University.
2. Must be 18 or older.
3. Prior related internship experience, leadership experience, or relevant coursework.
...</t>
  </si>
  <si>
    <t>Intern - Applications Engineer</t>
  </si>
  <si>
    <t>1. BSEE or MSEE in Electrical or Computer Engineering
2. Knowledge in power conversion topologies, and power devices
3. Knowledge in platforms like Python or Lab view that can be used for instrument control
...</t>
  </si>
  <si>
    <t>ELECTRICAL ENG. CO-OP - FALL 2024 (VALDOSTA MILL)</t>
  </si>
  <si>
    <t>1. Must be a student in good standing with the University, currently enrolled majoring in Chemical, Electrical, Mechanical or equivalent applicable engineering program.
2. The student will have either completed the Freshman year or will have completed the Freshman year when co-op begins and express interest in Pulp and Paper Manufacturing as a career.
3. A minimum grade point average of 3.0 is required.
...</t>
  </si>
  <si>
    <t>Postdoctoral Researcher in AD and FTD Research</t>
  </si>
  <si>
    <t>National Institute on Aging</t>
  </si>
  <si>
    <t>Association, Education</t>
  </si>
  <si>
    <t>1. PhD or MD/PhD
2. Expertise in neurobiology
3. Expertise in neuropathology
...</t>
  </si>
  <si>
    <t>Environmental Science Intern - Fall 2024</t>
  </si>
  <si>
    <t>1. Actively enrolled in an accredited Environmental Science, or related, Undergraduate program.
2. Must be 18 years or older.
3. Demonstrated interest in Environmental Science, or related field, and have a strong desire to advance skills related to WSP’s work and projects.
...</t>
  </si>
  <si>
    <t>Glastonbury, CT</t>
  </si>
  <si>
    <t>1. Currently in PhD program in distributed, parallel computing principles and know the recent advances in computing, storage, networking, and hardware technologies.
2. Familiar with machine learning algorithms, platforms and frameworks such as PyTorch and Jax.
3. Have basic understanding of how GPU and/or ASIC works.
...</t>
  </si>
  <si>
    <t>Chelmsford, MA</t>
  </si>
  <si>
    <t>MECHANICAL ENG. CO-OP - FALL 2024 (VALDOSTA MILL)</t>
  </si>
  <si>
    <t>Environmental Permitting &amp; Compliance Engineer / Scientist - Entry Level</t>
  </si>
  <si>
    <t>1. Bachelor’s degree in Environmental, Chemical or other engineering science, Environmental Science, or closely related field
2. 0-2 years of work-related experience
3. Excellent written and verbal communication and organization skills
...</t>
  </si>
  <si>
    <t>Civil Engineering Co-op - Fall/Winter 2024/2025</t>
  </si>
  <si>
    <t>1. Actively enrolled in an accredited Civil Engineering, or related, Undergraduate program through Drexel University.
2. Must be 18 or older.
3. Demonstrated interest in transportation, or related field, and have a strong desire to advance skills related to WSP’s work and projects.
...</t>
  </si>
  <si>
    <t>Fall 2024 Engineering Intern</t>
  </si>
  <si>
    <t>Valdosta Area</t>
  </si>
  <si>
    <t>1. Must be a student in good standing with the University, currently enrolled majoring in Chemical, Electrical, Mechanical or equivalent applicable engineering program.
2. The student will have either completed the Freshman year or will have completed the Freshman year when co-op begins and express interest in Pulp and Paper Manufacturing as a career.
3. A minimum grade point average of 3.0 is required, you must pass a drug screen, and you must be eligible to work in the US full-time.
...</t>
  </si>
  <si>
    <t>Electrical Engineer, E-2 Development</t>
  </si>
  <si>
    <t>Hawthorne, CA</t>
  </si>
  <si>
    <t>$100000-$170000 /yr</t>
  </si>
  <si>
    <t>1. Bachelor’s degree in an engineering discipline
2. 1+ years of experience with electronics design, development, fabrication, assembly, or test (internships included)</t>
  </si>
  <si>
    <t>Abingdon, VA</t>
  </si>
  <si>
    <t>Post-Doc in the Kolesnick Lab | Anti-Ceramide Strategies to Improve Wound Repair</t>
  </si>
  <si>
    <t>Memorial Sloan - Kettering Cancer Center</t>
  </si>
  <si>
    <t>$61,150-$75,000 /yr</t>
  </si>
  <si>
    <t>1. Ph.D. in a relevant field
2. Experience in molecular biology, biochemistry, and cell biology techniques
3. Experience with next-generation sequencing, organoid technology, CRISPR interrogation, multiplexed flow cytometry, and tissue confocal microscopy
...</t>
  </si>
  <si>
    <t>Quality Engineering Intern</t>
  </si>
  <si>
    <t>PHINIA</t>
  </si>
  <si>
    <t>Fuel, Industrial</t>
  </si>
  <si>
    <t>1. BS/MS in Mechanical / Electrical Engineering
2. Familiar with SolidWorks and AutoCAD
3. Strong computer skills; MS Office
...</t>
  </si>
  <si>
    <t>Lab Management Intern - Part Time *PC 1147</t>
  </si>
  <si>
    <t>Miltenyi Biotec</t>
  </si>
  <si>
    <t>$19-$20 /h</t>
  </si>
  <si>
    <t>1. Currently possess or are working to acquire a Bachelor’s in Life Sciences.
2. Available to work 20 hours per week for a 1-year duration.
3. Ability to work in a team-oriented environment.
...</t>
  </si>
  <si>
    <t>Student - Engineering Systems</t>
  </si>
  <si>
    <t>Technology and Intelligence Internship (IT Intern 3)</t>
  </si>
  <si>
    <t>1. High School Diploma or equivalent + Must be working towards a Bachelor's degree with between 40% and 60% of the required credits completed.
2. Maintain a professional, engaged and active-learning demeanor throughout enrollment
3. Moderate understanding of general job aspects with a novice understanding of the intricacies involved with the position desired
...</t>
  </si>
  <si>
    <t>Datacenter GPU Power Architect - New College Grad 2024</t>
  </si>
  <si>
    <t>NVIDIA</t>
  </si>
  <si>
    <t>Artificial Intelligence (AI), GPU</t>
  </si>
  <si>
    <t>$108000-$201250 /yr</t>
  </si>
  <si>
    <t>1. Pursuing a MSEE/MSCE, or equivalent experience related to Power / Performance estimation and optimization techniques.
2. Knowledge of energy efficient chip design fundamentals and related tradeoffs.
3. Familiarity with low power design techniques such as multi-VT, Clock gating, Power gating, and Dynamic Voltage-Frequency Scaling (DVFS).
...</t>
  </si>
  <si>
    <t>Merrimack, NH</t>
  </si>
  <si>
    <t>1. Currently pursuing a MS in Software Development, Computer Science, Computer Engineering, or a related technical discipline.
2. Familiar with machine learning algorithms, platforms and frameworks such as PyTorch and Jax.
3. Have basic understanding of how GPU and/or ASIC works.
...</t>
  </si>
  <si>
    <t>Early Career Scientific Computing Engineer</t>
  </si>
  <si>
    <t>Framatome</t>
  </si>
  <si>
    <t>$63000-$82000 /yr</t>
  </si>
  <si>
    <t>1. Completed a BS in Physics, Engineering Science, or Mechanical Engineering
2. Strong technical problem-solving abilities
3. Interpersonal skills
...</t>
  </si>
  <si>
    <t>Independence, OH</t>
  </si>
  <si>
    <t>Packaging Co-Op - 2025 Nestlé+</t>
  </si>
  <si>
    <t>Fremont, MI</t>
  </si>
  <si>
    <t>1. Must be enrolled in a bachelor's or master's degree program with a focus on Packaging Science, Packaging Engineering, or another related field (i.e. Chemical Engineering, Mechanical Engineering, Food Science) during the 6-month co-op program
2. GPA of 3.0 or higher preferred
3. Effective communication skills
...</t>
  </si>
  <si>
    <t>Bethlehem, PA</t>
  </si>
  <si>
    <t>Flight Control Systems Intern</t>
  </si>
  <si>
    <t>Joby Aviation</t>
  </si>
  <si>
    <t>$20-$32 /h</t>
  </si>
  <si>
    <t>1. Enrolled in a B.S. or M.S. of mechanical engineering, electrical engineering, aerospace engineering, computer science, or similar programs
2. Courses in digital signal processing and real-time operating systems
3. Courses in classical controls, modern state-space controls, and advanced dynamics
...</t>
  </si>
  <si>
    <t>Cyber Intern</t>
  </si>
  <si>
    <t>Booz Allen Hamilton</t>
  </si>
  <si>
    <t>$51700-$106000 annual</t>
  </si>
  <si>
    <t>1. Experience with cybersecurity principles
2. Knowledge of Linux and Windows systems
3. Ability to obtain a security clearance
...</t>
  </si>
  <si>
    <t>Quantitative Trader Internship: Summer 2025</t>
  </si>
  <si>
    <t>1. Intention to graduate with a minimum of a bachelors degree and begin full time employment by August 2026
2. Exceptional quantitative, logical reasoning, and analytical skills
3. General computer skills required; computer programming skills a plus
...</t>
  </si>
  <si>
    <t>Student Researcher - Doubao (Seed) - Foundation Model - 2025 Start (PhD)</t>
  </si>
  <si>
    <t>1. Currently pursuing a PhD in artificial intelligence, computer science, automation, mathematics, or a related technical discipline.
2. Solid foundation in data structure and algorithm design, proficient in Python/C++, proficient in deep learning frameworks such as PyTorch and TensorFlow.
3. Pre-trained basic technologies, including efficient training and encapsulated deployment services, NLP, CV, video, MultiModal Machine Learning and other related pre-trained models and their downstream applications are preferred.
...</t>
  </si>
  <si>
    <t>Controls Engineering Intern</t>
  </si>
  <si>
    <t>Roanoke, IN</t>
  </si>
  <si>
    <t>1. Working towards a degree from an accredited College or University in Engineering
2. Proficient in Microsoft Office, specifically Microsoft Excel
3. Good communication skills
...</t>
  </si>
  <si>
    <t>Quality Engineer 2</t>
  </si>
  <si>
    <t>Olathe, KS</t>
  </si>
  <si>
    <t>1. Bachelor’s Degree in Electrical Engineering or Computer Engineering or related field AND a minimum of 1 year relevant experience, OR an equivalent combination of education and experience
2. Excellent academics (cumulative GPA greater than or equal to 3.0 as a general rule)
3. Demonstrated full use of industry standards and procedures
...</t>
  </si>
  <si>
    <t>Intern/co-op Asphalt Marketing Technology Fall 2024</t>
  </si>
  <si>
    <t>1. Concurrent enrollment in a bachelor’s or higher degree program majoring in Civil Engineering for the duration of the experience with strong academic performance
2. Candidates must be authorized to work in the U.S. on a full-time indefinite basis for our Company without the need for employment visa sponsorship now or in the future
3. Military experience a plus
...</t>
  </si>
  <si>
    <t>Fellow-Post Doc-Research</t>
  </si>
  <si>
    <t>Children’s Hospital Los Angeles</t>
  </si>
  <si>
    <t>$29640-$80196 /yr</t>
  </si>
  <si>
    <t>1. Exposure to and/or experience in research in a healthcare environment preferred.
2. Education/Licensure/Certification MD and/or PhD, or equivalent doctoral degree.</t>
  </si>
  <si>
    <t>1. Bachelor’s degree in Civil Engineering
2. 0+ years of work-related experience
3. Minimum 3.0 GPA
...</t>
  </si>
  <si>
    <t>Systems Engineer Co-op - Fall 2024</t>
  </si>
  <si>
    <t>RoviSys Building Technologies</t>
  </si>
  <si>
    <t>Peachtree City, GA</t>
  </si>
  <si>
    <t>1. Full-time student status
2. Strong academic achievement, maintaining a GPA of 3.0 or above
3. Enrollment in a Bachelor's program in a Technical Field, related to Engineering or Systems
...</t>
  </si>
  <si>
    <t>Student Research Trainee / Surgical Research</t>
  </si>
  <si>
    <t>$33072-$51189 /yr</t>
  </si>
  <si>
    <t>1. Prior research experience preferred.
2. Bachelor’s Degree in pharmacological chemistry preferred.
3. First year medical student in good standing preferred.</t>
  </si>
  <si>
    <t>Research Scientist Intern (TikTok Core Recommendation) - 2024 Off-Cycle (PhD)</t>
  </si>
  <si>
    <t>1. Currently pursuing a Ph.D degree in Computer Science or related fields
2. Ability to work as intern for 10-24 weeks</t>
  </si>
  <si>
    <t>1. Must be a graduate student in computer science.
2. Experience with 3d printing, audio and video systems
3. Some experience in electronics for embedded systems</t>
  </si>
  <si>
    <t>Cyber Intelligence Intern C (Rochester, NY) 1 1</t>
  </si>
  <si>
    <t>1. Bachelor’s degree in Information Technology, Computer Engineering, Information Technology/Computer Information Systems or Cyber/Information Security or related field</t>
  </si>
  <si>
    <t>Student Technologist-Pathology Core Lab</t>
  </si>
  <si>
    <t>The MetroHealth System</t>
  </si>
  <si>
    <t>1. Currently enrolled in a National Accrediting Agency for Clinical Laboratory Science (NAACLS) accredited Medical Technology (MT), Medical Laboratory Technician (MLT), OR Histotechnology (HT) program.
2. Strong written, verbal, and interpersonal communication skills.</t>
  </si>
  <si>
    <t>Tech Fundamentals Program (Zero-Cost) - Get exposure to leading technologies! (Dayton, OH)</t>
  </si>
  <si>
    <t>NPower</t>
  </si>
  <si>
    <t>Charter Schools, Communities</t>
  </si>
  <si>
    <t>1. 18-26 years of age
2. High school diploma or equivalent
3. Legally authorized to work in the US</t>
  </si>
  <si>
    <t>FREE Tech Fundamentals Program - Earn industry-recognized certifications (Dayton, OH)</t>
  </si>
  <si>
    <t>Morrow, OH</t>
  </si>
  <si>
    <t>Tech Fundamentals Program (Free) - Get exposure to leading technologies! (Dayton, OH)</t>
  </si>
  <si>
    <t>Tech Fundamentals Program (Free) - Get exposure to leading technologies! (St. Louis, MO)-'-</t>
  </si>
  <si>
    <t>Collinsville, IL</t>
  </si>
  <si>
    <t>South Lebanon, OH</t>
  </si>
  <si>
    <t>Tech Fundamentals Program (Zero-Cost) - Get exposure to leading technologies! (St. Louis, MO)</t>
  </si>
  <si>
    <t>Alton, IL</t>
  </si>
  <si>
    <t>R&amp;D Device Physics Intern (Fall 2024)</t>
  </si>
  <si>
    <t>First Solar</t>
  </si>
  <si>
    <t>Clean Energy, Manufacturing</t>
  </si>
  <si>
    <t>$17-$27.27 /h</t>
  </si>
  <si>
    <t>1. Must have completed Master’s degree in mathematics, computer science, material science, solid-state physics, astronomy, electrical engineering, chemical engineering, or related field
2. Must currently be enrolled in a PhD program fulfilling a graduation requirement for the degree
3. Demonstrated ability to develop functional codes in at least one of the following object-oriented programming languages: MATLAB, C++, C#
...</t>
  </si>
  <si>
    <t>NIWC - Undergraduate I or II - (Freshman or Sophomore) Biological Sensing and Detection Lab Support (Task No: 71-14-26923)</t>
  </si>
  <si>
    <t>San Diego State University</t>
  </si>
  <si>
    <t>Education, Sustainability</t>
  </si>
  <si>
    <t>$16.85-$16.85 /h</t>
  </si>
  <si>
    <t>1. Undergraduate I (Freshman with applicable level of on the job and/or course work experience) Majoring in Biology or Microbiology.
2. Undergraduate II (sophomore level or above) majoring in Biology or Microbiology Focus on Environmental or General Microbiology.
3. Microbiology, Chemistry, Molecular Biology, Environmental Biology.</t>
  </si>
  <si>
    <t>GKN Automotive</t>
  </si>
  <si>
    <t>1. College student pursuing a Bachelor's degree in Mechanical Engineering or related field
2. Strong project and time management skills
3. Good computer application software knowledge and skills
...</t>
  </si>
  <si>
    <t>North Bend, OH</t>
  </si>
  <si>
    <t>Part-Time Civil/Environmental Engineering Student Intern - (Jacksonville)</t>
  </si>
  <si>
    <t>CPH, Inc.</t>
  </si>
  <si>
    <t>1. Experience with Autodesk AutoCAD (Civil 3D experience a plus).
2. Proficiency in Microsoft Office Outlook, Word, and Excel.
3. Drafting and Preparation of construction documents including plans, details and exhibits.
...</t>
  </si>
  <si>
    <t>PM Systems Engineer Intern (Fall 2024)</t>
  </si>
  <si>
    <t>$14.50-$19 /h</t>
  </si>
  <si>
    <t>1. Currently working towards a Bachelor of Science (4-year program), or Master of Science or PhD degree
2. Min Experience Required: Microsoft Word, Microsoft Excel, and Power Point
3. Communication and organizational skills.
...</t>
  </si>
  <si>
    <t>Electrical Engineering Co-Op- Fall 2024</t>
  </si>
  <si>
    <t>Johnson &amp; Johnson</t>
  </si>
  <si>
    <t>$24 /h</t>
  </si>
  <si>
    <t>1. Be enrolled in an accredited College/Institution pursuing a Bachelor’s or Master’s degree in Electrical Engineering, Computer Engineering, or a related field for the full duration of the co-op.
2. Be in your second year or above in school at the beginning of the co-op in August 2024
3. Considered a student during the desired co-op session(s) (i.e., will not have already graduated college).
...</t>
  </si>
  <si>
    <t>Assistant Process Engineer</t>
  </si>
  <si>
    <t>Eclaro</t>
  </si>
  <si>
    <t>Summit, NJ</t>
  </si>
  <si>
    <t>1. College Undergraduate currently enrolled in Architecture, Engineering, Construction or Science Major.
2. Currently enrolled in an accredited college / university during program calendar year.
3. Completed at least 2 years of college / university to be eligible for the program.
...</t>
  </si>
  <si>
    <t>Industrial Engineering Intern</t>
  </si>
  <si>
    <t>Atlas Copco Group</t>
  </si>
  <si>
    <t>1. Enrolled as a Junior/Senior or Graduate student at an accredited college, university or technical/vocational institution
2. Obtaining a degree in Engineering or related field
3. Minimum GPA of 3.0 or above
...</t>
  </si>
  <si>
    <t>Laser Development Intern (Spring/Summer 2025)</t>
  </si>
  <si>
    <t>$17.50-$27.72 /h</t>
  </si>
  <si>
    <t>1. Intern must be currently pursuing an education in a STEM related field, physics, mechanical engineering electrical engineering, or materials science preferred.
2. Successful candidates will be pursuing a BS, MS, or PhD in Electrical Engineering, Physics or Materials Science and have an interest in lasers or photonics.
3. Completed coursework related to physics, mechanical engineering, electrical engineering, or materials science.
...</t>
  </si>
  <si>
    <t>GFY Internship Application</t>
  </si>
  <si>
    <t>George F. Young</t>
  </si>
  <si>
    <t>Mapping Services, Waste Management</t>
  </si>
  <si>
    <t>MES Controls Intern (Fall 2024)</t>
  </si>
  <si>
    <t>$18-$24 /h</t>
  </si>
  <si>
    <t>1. Enrolled in an accredited Associate's, Bachelor's, or Master's program with a major in Electrical Engineering, Electrical Engineering Technology, Computer Science/Engineering, or related field.
2. Must be classified as a junior or senior in college.
3. Knowledge in controls engineering techniques and practices.
...</t>
  </si>
  <si>
    <t>PhD research assistant</t>
  </si>
  <si>
    <t>University of Maryland, Baltimore County</t>
  </si>
  <si>
    <t>E-Learning, Higher Education</t>
  </si>
  <si>
    <t>DC-Baltimore Area</t>
  </si>
  <si>
    <t>1. Master’s degree in Computer Science or a related field; Applications holding Bachelor’s degrees in those disciplines with strong research publication records may be considered.
2. Strong software development skills, including programming skills (e.g., Python, C, and Go) and project management skills.
3. Solid knowledge of software engineering, machine learning, cybersecurity, and natural language processing; experience in quantum computing and cybersecurity is a plus but not necessary.
...</t>
  </si>
  <si>
    <t>Engineering Computing Windows Systems Administrator - Undergraduate Intern</t>
  </si>
  <si>
    <t>$40000-$108000 /yr</t>
  </si>
  <si>
    <t>1. Pursuing a BS Degree in Computer Science, Information Technology or related field
2. 3+ months of experience in Systems Administration, Automation, IT DevOps
3. Must have the required degree or expect the required degree by May 2026</t>
  </si>
  <si>
    <t>1. BSEE (BS Electrical Engineering) or BSEET (BS Electrical Engineering Technology) degree, from an accredited university preferably with a power option
2. Strong knowledge and understanding of electrical engineering
3. Strong command of the English language with good written and oral communication skills
...</t>
  </si>
  <si>
    <t>1. Appropriate PhD in Chemistry or related field</t>
  </si>
  <si>
    <t>Intern, Naval Architect - New Orleans, LA</t>
  </si>
  <si>
    <t>S&amp;B Engineers and Constructors</t>
  </si>
  <si>
    <t>Building Maintenance, Chemical</t>
  </si>
  <si>
    <t>1. Pursuing Bachelor of Science (BS) degree in related Engineering from an accredited college or university.
2. Completion of at least two years of undergraduate studies from an accredited college or university pursuing a degree in Engineering.
3. Must have working knowledge of various computer software packages and automated engineering and design equipment.
...</t>
  </si>
  <si>
    <t>2024 Student Intern-Engineering</t>
  </si>
  <si>
    <t>Savannah River Mission Completion</t>
  </si>
  <si>
    <t>Aiken, SC</t>
  </si>
  <si>
    <t>1. Candidate must be enrolled as a full-time student at an accredited four-year university, and currently working towards a Bachelor’s Degree in Engineering
2. Must have a cumulative GPA of 2.5 or above
3. Must pass General Employment Training (GET)
...</t>
  </si>
  <si>
    <t>SDSU Research Foundation</t>
  </si>
  <si>
    <t>Intern - Bioscience, R&amp;D Undergrad Year Round</t>
  </si>
  <si>
    <t>1. Currently attending and enrolled full time in an accredited undergraduate program
2. Pursuing a science, engineering, or math major
3. Minimum cumulative GPA of 3.0/4.0
...</t>
  </si>
  <si>
    <t>Hardware Platform Engineer Internship</t>
  </si>
  <si>
    <t>Midtronics</t>
  </si>
  <si>
    <t>Hardware</t>
  </si>
  <si>
    <t>1. Pursuing a BA/BS degree in relevant program
2. Demonstrated skills and competency in relevant field
3. Strong analytical skills: must be able to breakdown problems and identify methods to solve those problems
...</t>
  </si>
  <si>
    <t>Postdoctoral Scientist</t>
  </si>
  <si>
    <t>1. PhD in a relevant field, received within 2 years of starting the program
2. Proven publication record in Machine Learning, Robotics, Computer Vision, Deep Learning, Natural Language Processing, Computer Science, or other related technical fields
3. Experience in data science and quantitative research
...</t>
  </si>
  <si>
    <t>Post Doctoral Fellow (Trainee)</t>
  </si>
  <si>
    <t>Northwestern University</t>
  </si>
  <si>
    <t>1. PhD or equivalent with strong research experience in virology, neuroscience and/or molecular biology</t>
  </si>
  <si>
    <t>CEI Engineer Internship</t>
  </si>
  <si>
    <t>DRMP, Inc.</t>
  </si>
  <si>
    <t>1. Currently enrolled in a Bachelors of Science degree program in Civil Engineering at an ABET-accredited university
2. Excellent verbal, written, and interpersonal skills
3. Strong sense of urgency and self-initiative to meet client deadlines
...</t>
  </si>
  <si>
    <t>Apprentice - Aircraft Support Mechanic (LGA)</t>
  </si>
  <si>
    <t>1. Consistently prioritizes safety and security of self, others, and personal data.
2. Embraces a diverse set of people, thinking and styles.
3. Possesses a high school diploma, GED, or high school equivalency.
...</t>
  </si>
  <si>
    <t>Engineering Intern - Cloud Operations Monitoring</t>
  </si>
  <si>
    <t>Shure</t>
  </si>
  <si>
    <t>Niles, IL</t>
  </si>
  <si>
    <t>1. Pursing a master’s degree in Computer Science, Information Technology, or a related field is required.
2. Basic understanding of cloud computing concepts and technologies (AWS, Azure, or Google Cloud).
3. Exposure to incident management and change control processes.
...</t>
  </si>
  <si>
    <t>IT Operations Co-op Fall 2024-EOSL</t>
  </si>
  <si>
    <t>1. Pursuing a Bachelor’s degree in Information Technology, Computer Information Systems, Information Systems, Information Security Assurance, Systems Engineering, Computer Science, Applied Computer Science, or related field
2. 3.0 or higher cumulative GPA
3. Must be eligible to be approved by your college/university to participate in a co-op program and register for co-op credit with your university during work terms
...</t>
  </si>
  <si>
    <t>Postdoctoral Research Associate - Synthesis and Characterization of Metal Salts</t>
  </si>
  <si>
    <t>1. A PhD in inorganic, organic, polymeric, or physical chemistry or a closely-related field, completed within the last five years.</t>
  </si>
  <si>
    <t>FHR Pipeline &amp; Monitoring Co-Op</t>
  </si>
  <si>
    <t>Flint Hills Resources</t>
  </si>
  <si>
    <t>Agriculture, Biofuel</t>
  </si>
  <si>
    <t>1. Enrolled in an engineering degree program
2. Eligible for full-time employment on or before Summer 2026
3. Legal authorization to work permanently in the United States for any employer without requiring a visa transfer or visa sponsorship</t>
  </si>
  <si>
    <t>Thermal Engineering Intern (Summer 2024)</t>
  </si>
  <si>
    <t>Turion Space</t>
  </si>
  <si>
    <t>Aerospace, Information Technology</t>
  </si>
  <si>
    <t>$80000-$80000 /yr</t>
  </si>
  <si>
    <t>1. Interest in thermal engineering and how heat flows through spacecraft
2. Completed at least an undergraduate heat transfer course
3. Comfort working in a fast-paced, self-driven entrepreneurial workplace
...</t>
  </si>
  <si>
    <t>Data Engineer Intern/Co-op</t>
  </si>
  <si>
    <t>ARCO</t>
  </si>
  <si>
    <t>Brentwood, MO</t>
  </si>
  <si>
    <t>1. Enrolled in an Undergraduate or Graduate program in Computer Science, Engineering, Information Systems, Statistics, or relevant work experience
2. Must be able to work part-time during the school year.
3. Experience with SQL, Azure Synapse or Fabric, and ADF
...</t>
  </si>
  <si>
    <t>Apple Valley, MN</t>
  </si>
  <si>
    <t>Washington Group International</t>
  </si>
  <si>
    <t>Pullman, WA</t>
  </si>
  <si>
    <t>$3379.14-$4462.67 /mon</t>
  </si>
  <si>
    <t>1. A Bachelor’s degree in a relevant field of study or equivalent related field experience performing professional-level work with scientific or clinical research protocols. Any combination of relevant education and experience may be substituted for the educational requirement on a year-for-year basis.
2. Experimental and analytical skills
3. Understanding and knowledge of research theory
...</t>
  </si>
  <si>
    <t>OPEX701: Robotics Process Automation</t>
  </si>
  <si>
    <t>JerseySTEM</t>
  </si>
  <si>
    <t>1. Learn and Use Automation Anywhere
2. Analyzing as-is processes and building as-is process maps via data.io
3. Conducting interviews with SMEs to decompose as-is process maps
...</t>
  </si>
  <si>
    <t>Orbital Debris Reentry Science Intern</t>
  </si>
  <si>
    <t>1. Currently enrolled at an accredited university.
2. Completed at least 45 credit hours.
3. Minimum of 2.8 GPA.
...</t>
  </si>
  <si>
    <t>Development Engineering Co-op</t>
  </si>
  <si>
    <t>IntriCon</t>
  </si>
  <si>
    <t>1. Attending four-year College or university for Engineering, Medical or Science.
2. Desire to work in a medical device development and manufacturing environment.
3. Knowledge of Manufacturing software, Spreadsheet software and Word Processing software.</t>
  </si>
  <si>
    <t>Field/Office Engineer Co-op - Eastern District (Fall 2024)</t>
  </si>
  <si>
    <t>$15-$23 /h</t>
  </si>
  <si>
    <t>1. Pursuing a degree in Construction Management or Civil, Mechanical or Electrical Engineering, or related degree
2. Must be willing to relocate for first assignment and throughout career as we operate on a national scale not a regional one
3. Committed to the construction industry and not the design industry- this is a hands on, construction career
...</t>
  </si>
  <si>
    <t>SAP iXp Intern - AI Development and Implementation</t>
  </si>
  <si>
    <t>1. Pursuing a Bachelor’s or Master’s degree in Computer Science, Engineering, Mathematics, or related fields. Exceptions are possible when demonstrating strong resourcefulness in applying technology or developing solutions in creative ways.
2. Proficiency in Python is helpful; familiarity with JavaScript and front-end development is a plus. Any high-level programming language counts.
3. Experience with open source machine learning frameworks (e.g. PyTorch, Llamaindex) or extensive use of frontier language model use.
...</t>
  </si>
  <si>
    <t>Project Engineer Intern (Year-Round)</t>
  </si>
  <si>
    <t>Appvion</t>
  </si>
  <si>
    <t>CRM, Cyber Security</t>
  </si>
  <si>
    <t>1. Currently pursuing an AAS or BS in chemical engineering, mechanical engineering, electrical engineering, manufacturing engineering or a related field.
2. Confident, self-starter, with the ability to drive projects to completion.
3. Ability to fulfill travel expectations.</t>
  </si>
  <si>
    <t>City of Morro Bay</t>
  </si>
  <si>
    <t>Morro Bay, CA</t>
  </si>
  <si>
    <t>1. Enrollment or recent graduation in a college or university with major course work in Civil, Agricultural, Environmental Engineering, or equivalent (junior, senior or graduate students preferred)
2. Candidates holding a valid California driver's license are strongly preferred</t>
  </si>
  <si>
    <t>Quality Engineering Co-op</t>
  </si>
  <si>
    <t>Gardena, CA</t>
  </si>
  <si>
    <t>$21-$31.50 Hourly</t>
  </si>
  <si>
    <t>1. Must be able to accept position as a minimum of 3-month full-time assignment or part-time (20+ hours/week) for a minimum of 6 months
2. Must be enrolled full-time in an accredited residential college or university (not online university)
3. Must be at least sophomore level working towards a bachelor’s degree in engineering, manufacturing, mechanical or other related fields of study
...</t>
  </si>
  <si>
    <t>Harris County Engineering Internship Program (HCEIP) - Fall Intern</t>
  </si>
  <si>
    <t>Harris County Engineering Department</t>
  </si>
  <si>
    <t>1. Candidates must be currently enrolled (at time of application) in a college or university working toward a degree in Engineering (Civil, Environmental, Mechanical, Electrical), Surveying, GIS, Architecture, Landscape Architecture, Construction Management, Business, Finance, Human Resources, Communications.
2. Candidates should have completed a minimum of two years of study.
3. Candidates must have completed a minimum of twelve (12) credit hours (4 courses) in courses relative to their chosen major.
...</t>
  </si>
  <si>
    <t>PhD Intern</t>
  </si>
  <si>
    <t>Evonik Industries</t>
  </si>
  <si>
    <t>1. A current graduate student in a Ph.D. program within a science or engineering department such as: Chemistry, Biochemistry, Chemical Engineering, Materials Science, Polymer Engineering, etc.
2. Ability to develop research objectives and carry out individual and/or collaborative projects while planning and prioritizing work in order to meet deadlines.
3. Attention to detail and commitment to high quality.
...</t>
  </si>
  <si>
    <t>FPGA Engineering Internship: Summer 2025</t>
  </si>
  <si>
    <t>1. Currently pursuing a Bachelor’s degree in Electrical Engineering or Computer Engineering
2. Intention to graduate with a bachelor’s or master’s degree within one year of the internship program
3. Knowledge of FPGA architecture and build flow
...</t>
  </si>
  <si>
    <t>Product Development Intern - R&amp;D</t>
  </si>
  <si>
    <t>Albany International</t>
  </si>
  <si>
    <t>3D Printing, Industrial</t>
  </si>
  <si>
    <t>St Stephen, SC</t>
  </si>
  <si>
    <t>1. High school diploma
2. Currently in an accredited college degree program
3. Math, Science or Engineering preferred
...</t>
  </si>
  <si>
    <t>UIUC Research Park Intern - Power Electronics</t>
  </si>
  <si>
    <t>1. Must be currently pursuing a masters, or PhD degree at the University of Illinois, Urbana Champaign.
2. Actively pursuing a degree or one closely related in Electrical Engineering, with emphasis on power electronics.
3. Understanding of power electronics fundamentals, including devices, topologies, analysis and simulation methods.
...</t>
  </si>
  <si>
    <t>UIUC Research Park Intern - Mechanical Modeling and Characterization</t>
  </si>
  <si>
    <t>1. Must be currently pursuing a bachelors, masters, or PhD degree at the University of Illinois Urbana Champaign.
2. Actively pursuing a degree or one closely related in Engineering.
3. Experience in solid mechanics or heat transfer fundamentals.
...</t>
  </si>
  <si>
    <t>UIUC Research Park Intern - Thermal Modeling and Characterization</t>
  </si>
  <si>
    <t>1. Must be currently pursuing a bachelors, masters, or PhD degree at the University of Illinois, Urbana Champaign
2. Actively pursuing a degree or one closely related in Engineering
3. Working knowledge of heat transfer fundamentals
...</t>
  </si>
  <si>
    <t>UIUC Research Park Intern - Computational Methods Development</t>
  </si>
  <si>
    <t>1. Must be currently pursuing a masters, or PhD degree at the University of Illinois Urbana Champaign.
2. Actively pursuing a degree or one closely related in Engineering.
3. Strong background in mathematical analysis, scientific computing, numerical methods and algorithm development.
...</t>
  </si>
  <si>
    <t>NextEra Energy Resources</t>
  </si>
  <si>
    <t>Energy, Environmental Engineering</t>
  </si>
  <si>
    <t>Student Energy Analyst: OSU Energy Efficiency Center</t>
  </si>
  <si>
    <t>Oregon State University</t>
  </si>
  <si>
    <t>$14.20-$21 /h</t>
  </si>
  <si>
    <t>1. Must be academically enrolled in a high school, community college, or university and pursuing a program or course of study
2. Must meet Academic Standing Requirements; students on academic suspension are not eligible for employment
3. Must meet the applicable minimal enrollment standard
...</t>
  </si>
  <si>
    <t>Intern - College - Strategic Research &amp; Innovation</t>
  </si>
  <si>
    <t>CPS Energy</t>
  </si>
  <si>
    <t>1. Current college transcript is required for the application
2. Applicants must reside in the San Antonio Metropolitan area currently enrolled in school or recently graduated to qualify
3. Assisting the Product and Services Area with basic research on innovative energy technologies and with project-specific assistance on electric vehicle charging pilots
...</t>
  </si>
  <si>
    <t>Returning New Grad Engineer I - Southeast Division (For current/previous HNTB interns only)</t>
  </si>
  <si>
    <t>1. Bachelor's degree in Engineering
2. Exhibits an understanding of engineering principles relevant to the discipline
3. Attains knowledge of the Microsoft Office Suite, and familiarity with MicroStation and/or AutoCad or other software</t>
  </si>
  <si>
    <t>Research Associate Intern</t>
  </si>
  <si>
    <t>Juvena Therapeutics</t>
  </si>
  <si>
    <t>1. A bachelor's degree in biology, bioengineering, or a related field
2. Experienced with troubleshooting technical challenges related to cell assays</t>
  </si>
  <si>
    <t>Mechanical Design Engineering Intern, Instrumentation</t>
  </si>
  <si>
    <t>CSBio</t>
  </si>
  <si>
    <t>1. Bachelor's in Mechanical Engineering
2. Familiar with mechanical and electrical systems
3. Detail oriented
...</t>
  </si>
  <si>
    <t>Microfabrication Engineering Co-Op (September-December 2024)</t>
  </si>
  <si>
    <t>1. Undergraduate background in physics, chemistry, materials science, engineering or statistics
2. Willingness to work in a cleanroom
3. Enthusiasm for solving problems
...</t>
  </si>
  <si>
    <t>Peachtree Corners, GA</t>
  </si>
  <si>
    <t>Mechanical Engineering Co-Op 2024</t>
  </si>
  <si>
    <t>1. Candidate must be attending a 2-year college or 4-year university local to Saginaw
2. Candidate must be pursuing a Bachelors in Mechanical Engineering
3. Candidate must be able to work 20-32 hours during Fall and Winter semesters
...</t>
  </si>
  <si>
    <t>Technical Intern - Third Year</t>
  </si>
  <si>
    <t>Malvern, PA</t>
  </si>
  <si>
    <t>$19.57-$48 /h</t>
  </si>
  <si>
    <t>1. Completed third year of undergraduate degree in computer science, computer engineering, electrical engineering, or related area of study
2. Strong academic achievement
3. Strong interest in technical area of study
...</t>
  </si>
  <si>
    <t>Lab Assistant</t>
  </si>
  <si>
    <t>1. Current Penn State employee or student, or external applicant
2. Ability to work in a laboratory setting
3. Experience or coursework related to enzyme-catalyzed reactions
...</t>
  </si>
  <si>
    <t>Mechanical Engineer Intern/Co-op (Columbus, OH)</t>
  </si>
  <si>
    <t>RMF Engineering</t>
  </si>
  <si>
    <t>1. Majoring in Mechanical Engineering
2. Satisfactory completion of freshman year with a minimum GPA of 2.8
3. Ability to complete the cooperative education program in accordance with their College's or University's guidelines</t>
  </si>
  <si>
    <t>CAD Intern (Fall 2024) - Dynamic Engineering</t>
  </si>
  <si>
    <t>Dynamic Engineering Consultants, PC</t>
  </si>
  <si>
    <t>Chester, NJ</t>
  </si>
  <si>
    <t>1. Currently enrolled in or graduate of AutoCAD / Computer Drafting curriculum course(s).
2. Experience using latest AutoCAD Software with knowledge of program commands and tools to ensure accuracy.
3. Possess good working knowledge within CAD drawings as related to a variety of issues.
...</t>
  </si>
  <si>
    <t>PhD Researcher (Intern)</t>
  </si>
  <si>
    <t>Centific</t>
  </si>
  <si>
    <t>1. PhD student in Computer Sciences, Electrical Engineering, or Mathematics with specialization in machine learning, deep learning, or natural language processing
2. Publications at peer-reviewed NLP/ML conferences (e.g. ACL, EMNLP, NAACL, NeurIPS, ICLR, ICML, AAAI, etc.)</t>
  </si>
  <si>
    <t>Oracle</t>
  </si>
  <si>
    <t>Data Governance, Data Management</t>
  </si>
  <si>
    <t>$40700-$99840 /yr</t>
  </si>
  <si>
    <t>1. Completed third year of undergraduate degree in computer science, computer engineering, electrical engineering, or related area of study.
2. Strong academic achievement.
3. Strong interest in technical area of study.</t>
  </si>
  <si>
    <t>V- PowerFLX Engineering Intern</t>
  </si>
  <si>
    <t>1. Technical or Trade School enrollment with at least 1 year coursework in AutoCAD Electrical Design work.
2. US work authorization is a precondition of employment. The company will not consider candidates who require sponsorship for a work-authorized visa.
3. Successful candidate will need to satisfactorily complete pre-employment drug screen and background check</t>
  </si>
  <si>
    <t>OVIP Network Engineer Intern</t>
  </si>
  <si>
    <t>$30-$30 /h</t>
  </si>
  <si>
    <t>1. US Veteran transitioning from active service or Military Spouse new to corporate experience preferred
2. US Citizenship required.
3. Bachelor’s degree in CS or related engineering field with 5+ years of Network Engineering experience.
...</t>
  </si>
  <si>
    <t>Valeo</t>
  </si>
  <si>
    <t>Smyrna, TN</t>
  </si>
  <si>
    <t>1. Currently enrolled in or recently completing a Mechanical, MET BS program or related technical degree.</t>
  </si>
  <si>
    <t>Intern – Culinary Research &amp; Development - LOB Airlines</t>
  </si>
  <si>
    <t>Sodexo Live!</t>
  </si>
  <si>
    <t>1. Current college student with studies in hospitality/food management, communications, human resources, accounting, marketing or another industry-related college program.
2. Ability to multi-task and prioritize and work successfully both independently and as part of a team.
3. Excellent customer service skills.
...</t>
  </si>
  <si>
    <t>Risk Intelligence Analyst - vSOC</t>
  </si>
  <si>
    <t>Prosegur</t>
  </si>
  <si>
    <t>Cyber Security, Logistics</t>
  </si>
  <si>
    <t>1. Bachelor’s degree in security studies, international relations, or related field; or 2+ years equivalent military/professional intelligence training.
2. Demonstrates strong analytical, problem-solving, and organizational skills.
3. Ability to utilize multiple intelligence, incident management, video management and dispatch systems.
...</t>
  </si>
  <si>
    <t>Civil or Mechanical Engineering Co-Op</t>
  </si>
  <si>
    <t>Farnsworth Group, Inc.</t>
  </si>
  <si>
    <t>1. Pursuing a BS in Civil or Mechanical Engineering from an ABET accredited curriculum
2. Willing to work full-time during the Spring and Summer semesters from January – August 2025
3. Computer proficiency with Word, Excel, PowerPoint, and MS Project
...</t>
  </si>
  <si>
    <t>VIE Process Engineer Injection</t>
  </si>
  <si>
    <t>1. You are graduated from a Engineering degree in this field
2. You have a fluent level of English
3. You have good communication skills, have an international mindset and are open-minded to new cultures and new ways of working and thinking</t>
  </si>
  <si>
    <t>PhD Researcher, Semiconductor Packaging, Power Electronics</t>
  </si>
  <si>
    <t>The Wanderlust Group</t>
  </si>
  <si>
    <t>Marine Technology, SaaS</t>
  </si>
  <si>
    <t>1. Motivated PhD students
2. Research topics in Power Semiconductor Packaging
3. Self-motivated to generate new technology
...</t>
  </si>
  <si>
    <t>SAIC</t>
  </si>
  <si>
    <t>Information Technology, Security</t>
  </si>
  <si>
    <t>1. Sophomore or Junior pursuing a Bachelor's degree in either Electrical Engineering, Mechanical Engineering, Chemical Engineering, Computer Engineering, Material Science or related discipline
2. Must be able to obtain a Secret Clearance. Interim Secret needed to start
3. Must be a U.S. Citizen
...</t>
  </si>
  <si>
    <t>Internship, Vulnerability Research &amp; Reverse Engineering, Vehicle Software (Fall 2024)</t>
  </si>
  <si>
    <t>Tesla</t>
  </si>
  <si>
    <t>$38.46-$53.85 /h</t>
  </si>
  <si>
    <t>1. Currently pursuing a degree in Computer Science or a related field of study with a graduation date between 2024-2025
2. Strong investigative and analytical problem-solving skills
3. Experience with one or more of the following is required: CTF, secure architecture design, writing secure source code
...</t>
  </si>
  <si>
    <t>Heavy Equipment Operator, LBMS, Brandenburg, KY.</t>
  </si>
  <si>
    <t>Brandenburg, KY</t>
  </si>
  <si>
    <t>$21-$32 /h</t>
  </si>
  <si>
    <t>1. Experience operating end loader, excavator, dozer, and other specialized mobile equipment
2. A team and safety-oriented mentality
3. Ability to lift up to 50lbs
...</t>
  </si>
  <si>
    <t>$17.60-$29 /h</t>
  </si>
  <si>
    <t>1. Undergraduate UCLA student
2. Ability to create 3D-printed silicone vascular models
3. Experience performing H&amp;E staining, MSB staining, tissue sectioning, and cell cultures
...</t>
  </si>
  <si>
    <t>Kratos Defense and Security Solutions</t>
  </si>
  <si>
    <t>1. Familiarity with scientific computer packages (e.g., MathCad, Matlab, Tecplot)
2. Proficiency in CAD
3. Knowledge of software networking and engineering tools
...</t>
  </si>
  <si>
    <t>Machine Learning Engineer Graduate (Large Language Models &amp; Generative AI-US) - 2025 Start (PhD)</t>
  </si>
  <si>
    <t>1. Currently pursuing a PhD in Software Development, Computer Science, Computer Engineering, or a related technical discipline
2. Proficient in C/C++/Python/Golang, and have exceptional programming skills (expert with algorithms and data structures)
3. Familiarity with deep learning frameworks like TensorFlow/PyTorch
...</t>
  </si>
  <si>
    <t>Machine Learning Engineer Graduate (On-Device AI) - 2025 Start (PhD)</t>
  </si>
  <si>
    <t>$136800-$205000 /yr</t>
  </si>
  <si>
    <t>1. PhD in Computer Science or in a related field
2. 3+ years of professional Python/C++ experience, solid CS fundamentals and problem-solving skills
3. 1+ years experience of AutoML / model optimization
...</t>
  </si>
  <si>
    <t>Electrical Engineering Intern - Summer 2024</t>
  </si>
  <si>
    <t>Louis Berger Services</t>
  </si>
  <si>
    <t>Service Industry</t>
  </si>
  <si>
    <t>1. Actively enrolled in an accredited Electrical Engineering or related Undergraduate program.
2. Demonstrated interest in Electrical Engineering, Mechanical Engineering, or related field and have a strong desire to advance skills related to WSP’s work and projects.
3. Interest in innovative design for high performing data centers and mission critical facilities.
...</t>
  </si>
  <si>
    <t>Research Scientist Intern (Privacy Innovation Lab) - 2025 Summer (PhD)</t>
  </si>
  <si>
    <t>$57-$72 /h</t>
  </si>
  <si>
    <t>1. Currently pursuing a PhD degree in Computer Science, Electrical Engineering, Statistics, Mathematics, or a related technical discipline.
2. Able to commit to working for 12 weeks during Summer 2025.
3. At least one of the following skills is required: Secure Multi-Party Computation techniques, Differential Privacy, Federated Learning or Federated Analytics, Homomorphic Encryption.
...</t>
  </si>
  <si>
    <t>Machine Learning Engineer Intern - (LLM Risk Surface) - 2025 Summer (PhD)</t>
  </si>
  <si>
    <t>$60-$75 /h</t>
  </si>
  <si>
    <t>1. Currently pursuing a PhD in Computer Science, Computer Engineering, Math, Statistics or a related technical discipline
2. Able to commit to working for 12 weeks during Summer 2025
3. Good coding standards, a passion for writing code, and the ability to produce high-quality designs and code
...</t>
  </si>
  <si>
    <t>Permanent WFH: Audio Data Collection - Chinese Speaker</t>
  </si>
  <si>
    <t>Playment</t>
  </si>
  <si>
    <t>Artificial Intelligence (AI), Autonomous Vehicles</t>
  </si>
  <si>
    <t>1. Residency in the United States
2. Native speaker of Chinese (Mandarin)
3. Fluent English (to understand instructions)
...</t>
  </si>
  <si>
    <t>Harness Design Engineer Intern (Fall 2024)</t>
  </si>
  <si>
    <t>1. Currently pursuing a B.S., M.S. or Ph.D. in mechatronics or electrical engineering (or equivalent technical degree)
2. Interest in learning about, designing, and working with various spacecraft systems and subsystems
3. Familiar with power and data transmission concepts
...</t>
  </si>
  <si>
    <t>1. Enrollment in a construction management, civil engineering, or related program
2. Ability to read and understand construction drawings and specifications
3. Strong organizational skills
...</t>
  </si>
  <si>
    <t>Research Intern Digital Humans (PhD)</t>
  </si>
  <si>
    <t>Sony AI</t>
  </si>
  <si>
    <t>Artificial Intelligence (AI), Gaming</t>
  </si>
  <si>
    <t>1. Currently enrolled in PhD program
2. Demonstrated expertise in publications in Machine Learning / Computer Vision / Computer Graphics
3. Experience with deep learning frameworks such as PyTorch
...</t>
  </si>
  <si>
    <t>Engineering Co-op - Fall/Winter</t>
  </si>
  <si>
    <t>Colder Products Company</t>
  </si>
  <si>
    <t>1. Currently pursuing a Bachelor’s Degree or above in engineering or science.
2. Strong written communication skills.
3. Strong mechanical aptitude.
...</t>
  </si>
  <si>
    <t>Lab Operations Intern</t>
  </si>
  <si>
    <t>3D Systems</t>
  </si>
  <si>
    <t>3D Printing, 3D Technology</t>
  </si>
  <si>
    <t>1. Previous experience in procurement.
2. Strong organizational skills with attention to detail.
3. Excellent communication and interpersonal skills.
...</t>
  </si>
  <si>
    <t>Power Lab Intern</t>
  </si>
  <si>
    <t>Komatsu</t>
  </si>
  <si>
    <t>Construction, Industrial</t>
  </si>
  <si>
    <t>Longview, TX</t>
  </si>
  <si>
    <t>1. College/University student, enrolled in an Engineering, Engineering Technology or Instrumentation program
2. 20 - 40 hours per week available</t>
  </si>
  <si>
    <t>Asociado de Ventas Tiempo Parcial (16 y 17 A�os de Edad)</t>
  </si>
  <si>
    <t>Murrieta, CA</t>
  </si>
  <si>
    <t>Layout Design Engineer (Contractor)</t>
  </si>
  <si>
    <t>1. A Bachelor's or AS degree with no experience
2. Willing to learn and understand design rules and deliver qualified layout
3. Excellent problem-solving and analytical skills
...</t>
  </si>
  <si>
    <t>2025 Duale Student:innen im Bereich BWL/ Logistikmanagement (B.A)</t>
  </si>
  <si>
    <t>St Georges, DE</t>
  </si>
  <si>
    <t>1. Du verfügst über Allgemeine Hochschulreife, Fachhochschulreife oder fachgebundene Hochschulreife
2. Ausgeprägte Kommunikationsfähigkeit (in Deutsch und Englisch)
3. Gute Mathematik-Kenntnisse und ausgeprägte analytische Fähigkeiten
...</t>
  </si>
  <si>
    <t>Associate, Quality Engineer - New Grad</t>
  </si>
  <si>
    <t>Camden, AR</t>
  </si>
  <si>
    <t>1. Bachelor's degree in Industrial Technology, Industrial &amp; Manufacturing Engineering, General Engineering, or similar major, or an equivalent combination of education and experience</t>
  </si>
  <si>
    <t>Co-op: Design Engineering - Glenolden, PA</t>
  </si>
  <si>
    <t>Glenolden, PA</t>
  </si>
  <si>
    <t>$24-$25.50 /h</t>
  </si>
  <si>
    <t>1. Actively enrolled in a bachelor’s degree program in a Mechanical, Aerospace, Electrical, Engineering Technology, or Materials Science.
2. Minimum overall cumulative GPA of 3.0 or higher (please do not round).
3. Must be able to do a minimum five (5) month assignment.
...</t>
  </si>
  <si>
    <t>1. Ph.D. in evolutionary biology, computational biology, computer science, or a related field at time of appointment</t>
  </si>
  <si>
    <t>Development Intern</t>
  </si>
  <si>
    <t>1. Trustworthy and detail-oriented
2. Availability of at least 15 hours/week
3. Work at IJ’s headquarters office in Arlington, VA
...</t>
  </si>
  <si>
    <t>Werkstudent (m/w/d) Fachrichtung Maschinenbau, Elektrotechnik, Mechatronik / Bereich Robotik</t>
  </si>
  <si>
    <t>FANUC Deutschland</t>
  </si>
  <si>
    <t>Laser, Machinery Manufacturing</t>
  </si>
  <si>
    <t>1. Immatrikulierter Student (m/w/d) mit der Fachrichtung Maschinenbau, Elektrotechnik, Mechatronik oder ein vergleichbarer Studiengang
2. Kenntnisse in MS Office
3. Hands-On Mentalität und hohe Problemlösungsfähigkeit
...</t>
  </si>
  <si>
    <t>2025 Spring Engineering Co-Op</t>
  </si>
  <si>
    <t>Lincoln Electric</t>
  </si>
  <si>
    <t>Euclid, OH</t>
  </si>
  <si>
    <t>1. Pursuing an engineering degree in any of the following disciplines: Mechanical, Electrical, Computer, Chemical, Industrial, Material Science, Welding or Packaging. Other engineering degrees may be considered based on overall experience and business needs.
2. Cumulative GPA of 3.0
3. Ability to work in the United States on a full-time, permanent basis
...</t>
  </si>
  <si>
    <t>2025 Summer Engineering Internship</t>
  </si>
  <si>
    <t>Postdoctoral Fellow in Biological Sciences (Two Open Positions)</t>
  </si>
  <si>
    <t>University of Arkansas</t>
  </si>
  <si>
    <t>1. Ph.D. in ecology, fisheries, biology, or a related field conferred by the start of employment
2. Demonstrated strong quantitative skills
3. Demonstrated knowledge of GIS (Geographic Information System)
...</t>
  </si>
  <si>
    <t>Research Intern | Hui Zhang Laboratory</t>
  </si>
  <si>
    <t>$3380-$3500 /mon</t>
  </si>
  <si>
    <t>1. A Bachelor’s degree in a relevant field of study or equivalent related field experience performing professional-level work with scientific or clinical research protocols.
2. Experimental and analytical skills; understanding and knowledge of research theory; interviewing experience; excellent organizational and project management skills.
3. Bachelor’s Degree in Molecular Biology, Biochemistry, Immunology, Cell Biology or a closely related field.</t>
  </si>
  <si>
    <t>EPA Gulf of Mexico Program Student Research Opportunities</t>
  </si>
  <si>
    <t>1. Currently pursuing a bachelor's or master's degree in one of the relevant fields
2. U.S. Citizen Only
3. Degree: Currently pursuing a Bachelor's Degree or Master's Degree
...</t>
  </si>
  <si>
    <t>Mechanical Engineering Teaching Assistant Student Worker</t>
  </si>
  <si>
    <t>Lipscomb University</t>
  </si>
  <si>
    <t>1. Current Lipscomb University student
2. Major in Mechanical Engineering</t>
  </si>
  <si>
    <t>Civil &amp; Environmental Engineering - Postdoctoral Fellow - Open Pool</t>
  </si>
  <si>
    <t>CSU Department of Economics</t>
  </si>
  <si>
    <t>$50000-$70000 /yr</t>
  </si>
  <si>
    <t>1. Applicants must have a doctoral or equivalent degree in Civil or Environmental Engineering or closely related field at time of hire.</t>
  </si>
  <si>
    <t>2025 Summer Internship- Engineer</t>
  </si>
  <si>
    <t>CRH</t>
  </si>
  <si>
    <t>1. Currently enrolled in a college degree program and maintain a minimum GPA of 3.0 or better
2. High school diploma or general education degree (GED)
3. Must be 18 years in age or older
...</t>
  </si>
  <si>
    <t>Intern - Design Engineering</t>
  </si>
  <si>
    <t>Hussmann</t>
  </si>
  <si>
    <t>1. Currently enrolled in school pursuing a minimum of a bachelor's degree
2. Minimum 3.0 GPA
3. Strong analytical and problem-solving skills
...</t>
  </si>
  <si>
    <t>Summer 2025 Mining Engineer Internship</t>
  </si>
  <si>
    <t>1. Working towards a Bachelor’s degree in Mining Engineering
2. Must be proficient with Windows, Excel, Word, and PowerPoint
3. Ability to read and interpret documents such as safety rules, operating and maintenance instructions, and procedure manuals
...</t>
  </si>
  <si>
    <t>Manufacturing Internship</t>
  </si>
  <si>
    <t>Opener</t>
  </si>
  <si>
    <t>1. Currently enrolled in a bachelor’s engineering degree from an accredited program
2. Interest in eVTOL industry and personal flight
3. Interest in the Manufacturing environment
...</t>
  </si>
  <si>
    <t>Intern Engineering</t>
  </si>
  <si>
    <t>Novanta Inc.</t>
  </si>
  <si>
    <t>Apex, NC</t>
  </si>
  <si>
    <t>1. Ability to read schematics
2. Good understanding of analog and digital circuitry
3. Ability to troubleshoot down to the component level
...</t>
  </si>
  <si>
    <t>Bridgeton, Missouri</t>
  </si>
  <si>
    <t>Intern, Environmental Development and Permitting</t>
  </si>
  <si>
    <t>1. Minimum of one (1) year of Masters-level coursework with an undergraduate degree focused on law, engineering, environmental science, or biology at an accredited college or university
2. Ability to think critically and act independently
3. Skilled in Microsoft Office
...</t>
  </si>
  <si>
    <t>Research Assistants</t>
  </si>
  <si>
    <t>Colorado School of Mines</t>
  </si>
  <si>
    <t>Education, Information Technology</t>
  </si>
  <si>
    <t>1. Master’s students, PhD students, and a postdoctoral scholar
2. Skills in dynamics and controls, augmented by differential equations and linear algebra
3. Skills in machine learning, computer science, and data science
...</t>
  </si>
  <si>
    <t>1. Qualified candidates will be enrolled in a Bachelor’s, Master’s or PhD degree program in Optics, Physics, Electrical Engineering, Materials Science, Systems Engineering, or a closely related field. Students must be returning to school following the internship.</t>
  </si>
  <si>
    <t>Celina, TX</t>
  </si>
  <si>
    <t>Data Management Intern</t>
  </si>
  <si>
    <t>Santa Barbara, CA</t>
  </si>
  <si>
    <t>$22-$34 /h</t>
  </si>
  <si>
    <t>1. Must be at least a junior or senior working toward a graduate or undergraduate degree in environmental science, computer science, or data science, or in a closely related field in which you have college level course experience of ArcGIS Pro, ESRI products, and proficiency with EXCEL
2. Excellent oral and written communication skills
3. Ability to think analytically, present ideas professionally, and work in project teams
...</t>
  </si>
  <si>
    <t>Práctica Profesional - Arquitectura y Urbanismo</t>
  </si>
  <si>
    <t>City of Knowledge</t>
  </si>
  <si>
    <t>Panama, IL</t>
  </si>
  <si>
    <t>1. Estudiantes en Arquitectura o Técnicos en Edificaciones
2. Pasión por el servicio al cliente
3. Asistencia y puntualidad
...</t>
  </si>
  <si>
    <t>Research Scientist in Computational Biology Intern (AML-AI-for-Science) - 2025 Summer/Fall (PhD)</t>
  </si>
  <si>
    <t>$72-$72 /h</t>
  </si>
  <si>
    <t>1. Currently pursuing a PhD in biology, quantum chemistry, material science or a related field with deep domain knowledge in at least one of these fields
2. Proficiency in Python and PyTorch, solid coding skills, and hands-on experience of machine learning algorithms, such as graph neural networks, generative models, reinforcement learning, etc.
3. Ability to solve problems independently, good teamwork and communication skills
...</t>
  </si>
  <si>
    <t>Greenville, SC</t>
  </si>
  <si>
    <t>Denton, TX</t>
  </si>
  <si>
    <t>Mechanical Engineer Intern/Co-op Summer 2025 - Energy Solutions - CMTA</t>
  </si>
  <si>
    <t>CMTA</t>
  </si>
  <si>
    <t>1. Pursuing a BSME, preferably a sophomore (2nd year), or junior (3rd year)
2. Strong interpersonal and communication skills
3. Proficiency with Microsoft Word and Excel
...</t>
  </si>
  <si>
    <t>Charleston County, SC</t>
  </si>
  <si>
    <t>Civil Intern Engineer</t>
  </si>
  <si>
    <t>Lochner</t>
  </si>
  <si>
    <t>1. BS in Civil Engineering or pursuing your BS in Civil Engineering
2. 0-2 years of experience
3. EIT certification or the ability to obtain one within 6 months from date of Full Time Hire
...</t>
  </si>
  <si>
    <t>Holly Springs, NC</t>
  </si>
  <si>
    <t>Postdoctoral Scholar - Jutras Lab</t>
  </si>
  <si>
    <t>1. PhD in Microbiology, Immunology, Molecular Biology (or related fields)
2. Molecular Biology techniques
3. Able/willing to perform bacterial infectious disease studies in experimental animal models
...</t>
  </si>
  <si>
    <t>Project Engineer Intern - Spring 25</t>
  </si>
  <si>
    <t>Helix Electric</t>
  </si>
  <si>
    <t>Manassas, VA</t>
  </si>
  <si>
    <t>1. Enrolled in a bachelor’s degree program such as Construction Management, Electrical Engineering, Civil Engineering, Architectural Engineering, or a related field.
2. Highly motivated with a tendency to take initiative.
3. Basic math skills with ability to calculate and analyze data.
...</t>
  </si>
  <si>
    <t>Project Engineer Intern - Summer 25</t>
  </si>
  <si>
    <t>Project Engineer Intern - Fall 25</t>
  </si>
  <si>
    <t>Intern - Process Engineer</t>
  </si>
  <si>
    <t>Benchmark</t>
  </si>
  <si>
    <t>1. Undergraduate or graduate student pursuing a major in Industrial Engineering, Process Engineering, or related field; Junior or Senior preferred.
2. Solid analytical skills and self-motivation.
3. Ability to effectively communicate to all levels of the organization.
...</t>
  </si>
  <si>
    <t>Goodyear, AZ</t>
  </si>
  <si>
    <t>Commerce, CA</t>
  </si>
  <si>
    <t>Professional Development Program (PDP) Internship - Mechanical Engineering Summer 2025</t>
  </si>
  <si>
    <t>1. Undergraduate and graduate students majoring in Mechanical Engineering
2. College Sophomores and Juniors (April 2026-July 2027 grads)
3. Demonstrated academic achievement (Minimum GPA 3.2)
...</t>
  </si>
  <si>
    <t>Temporary Part-Time Production Helper (Solventum, formerly 3M Health Care)</t>
  </si>
  <si>
    <t>Solventum</t>
  </si>
  <si>
    <t>Forest City, IA</t>
  </si>
  <si>
    <t>$22.76-$25.43 /h</t>
  </si>
  <si>
    <t>1. Possess a High School Diploma / GED or higher (completed prior to start)
2. Ability to work 8, 10, or 12 hour shifts (depending on shift availability)
3. Ability to work overtime, weekends, and holidays as needed</t>
  </si>
  <si>
    <t>Intern (Fall 2024) - Dynamic Engineering</t>
  </si>
  <si>
    <t>Lake Como, NJ</t>
  </si>
  <si>
    <t>1. Pursuing a Bachelor’s Degree in Civil Engineering at a College/University, or pursuing a degree in a related field with relevance to Civil Engineering.
2. 0-2 years’ experience in Civil Site Engineering (residential and/or commercial/industrial/office site design and permitting experience).
3. Valid driver’s license, valid personal insurance, &amp; a personal vehicle to travel to various sites during a given work day (note: the company will reimburse you for the miles traveled for the company).
...</t>
  </si>
  <si>
    <t>Newtown, PA</t>
  </si>
  <si>
    <t>System Administrator Intern</t>
  </si>
  <si>
    <t>GUESS</t>
  </si>
  <si>
    <t>1. High School education
2. 0-2 Years of experience</t>
  </si>
  <si>
    <t>CAD, CAM, &amp; 3D Printing Software &amp; Design Intern</t>
  </si>
  <si>
    <t>New Grand Light</t>
  </si>
  <si>
    <t>Lighting, Manufacturing</t>
  </si>
  <si>
    <t>Seymour, CT</t>
  </si>
  <si>
    <t>1. Freshman, Sophomore, Junior or Senior undergraduate with transportation to the New Haven, CT area
2. At least some experience with Adobe Photoshop, Adobe Illustrator, Solidworks and/or various 3D Modeling Software</t>
  </si>
  <si>
    <t>Rich Products</t>
  </si>
  <si>
    <t>Bakery, Confectionery</t>
  </si>
  <si>
    <t>Arlington, TN</t>
  </si>
  <si>
    <t>$17-$32 /h</t>
  </si>
  <si>
    <t>1. Must be pursuing a degree in automation/controls engineering or related field
2. Experience with PLC programming
3. Good understanding of automation systems and industrial control networks
...</t>
  </si>
  <si>
    <t>Engineer Co-op (Fall 2024)</t>
  </si>
  <si>
    <t>The Beaver Excavating Company</t>
  </si>
  <si>
    <t>Canton, OH</t>
  </si>
  <si>
    <t>1. College student currently majoring in Engineering or Construction Management
2. Strong written and verbal communication skills
3. Strong organizational and prioritization skills
...</t>
  </si>
  <si>
    <t>Marlton, NJ</t>
  </si>
  <si>
    <t>Toms River, NJ</t>
  </si>
  <si>
    <t>Allen, TX</t>
  </si>
  <si>
    <t>Dunedin, FL</t>
  </si>
  <si>
    <t>Engineer Co-op (2025 Seasons)</t>
  </si>
  <si>
    <t>Engineering Intern - Trucks Division</t>
  </si>
  <si>
    <t>Satellite Industries</t>
  </si>
  <si>
    <t>Facility Management, Manufacturing</t>
  </si>
  <si>
    <t>Dahlonega, GA</t>
  </si>
  <si>
    <t>1. Current undergraduate or graduate student pursuing a degree in Mechanical Engineering, Automotive Engineering, or a related field.
2. Strong understanding of engineering principles and design fundamentals.
3. Proficiency in CAD SolidWorks and AutoCAD for 2D and 3D modeling.
...</t>
  </si>
  <si>
    <t>Professional Development Program (PDP) Internship - Electrical Engineering Summer 2025</t>
  </si>
  <si>
    <t>1. Undergraduate and graduate students majoring in Electrical Engineering
2. College Sophomores and Juniors (April 2026 – July 2027 grads)
3. Demonstrated academic achievement (minimum GPA 3.2)
...</t>
  </si>
  <si>
    <t>Electrical Engineer Intern/Co-op Fall 2024 - CMTA</t>
  </si>
  <si>
    <t>1. Pursuing a bachelor's degree in Electrical Engineering or Architectural Engineering, preferably a sophomore (2nd year) or a junior (3rd year)
2. Strong interest in Building Systems Electrical Engineering
3. Strong interpersonal and communication skills
...</t>
  </si>
  <si>
    <t>Postdoctoral Research Associate - Bone &amp; Mineral Diseases</t>
  </si>
  <si>
    <t>Mechanical Design Engineer Fall Internship</t>
  </si>
  <si>
    <t>1. Currently enrolled undergraduate or graduate student studying Mechanical Engineering
2. Basic understanding of 3D modeling (sheetmetal, solid) and model drawings
3. No housing or travel/relocation compensation provided</t>
  </si>
  <si>
    <t>Water/Wastewater Engineering Intern</t>
  </si>
  <si>
    <t>Lakeland, FL</t>
  </si>
  <si>
    <t>1. Pursuing a B.S. in Civil, Environmental or related Engineering degree
2. Excellent verbal and written communication skills are required
3. Must be able to work in a team environment and posses excellent interpersonal skills</t>
  </si>
  <si>
    <t>PWD Ecological Design Engineering Co-Op - 172</t>
  </si>
  <si>
    <t>City of Philadelphia</t>
  </si>
  <si>
    <t>Law Enforcement, News</t>
  </si>
  <si>
    <t>1. Classes in civil engineering, environmental engineering, water resources engineering, hydrology, hydraulics, project management, landscape design, environmental engineering, and/or site design preferred.
2. Candidates should have an interest in green stormwater infrastructure.
3. Must have a willingness to learn new software and spend time in the field.
...</t>
  </si>
  <si>
    <t>Motion Planning &amp; Controls Intern</t>
  </si>
  <si>
    <t>Odys Aviation</t>
  </si>
  <si>
    <t>1. Currently pursuing a Master's degree in Aerospace Engineering, Computer Engineering, Robotics, or a related field
2. Proven experience in designing and implementing path planning and search algorithms, such as A*, RRT, PRM etc
3. In-depth understanding of quad-rotor dynamics and control systems
...</t>
  </si>
  <si>
    <t>Process Engineering Intern - Fall 2024 (Dalton, Georgia, United States, 30720)</t>
  </si>
  <si>
    <t>Mohawk Industries</t>
  </si>
  <si>
    <t>Commercial Real Estate, Construction</t>
  </si>
  <si>
    <t>Dalton, GA</t>
  </si>
  <si>
    <t>1. At the time of internship, you must be enrolled in an accredited Bachelor’s or Master's degree program.
2. Minimum 2.7 GPA
3. Completed freshman year of courses
...</t>
  </si>
  <si>
    <t>Mechanical Engineer Intern/Co-op Fall 2024 - Design</t>
  </si>
  <si>
    <t>Legence</t>
  </si>
  <si>
    <t>Consulting, Energy Efficiency</t>
  </si>
  <si>
    <t>Prospect, KY</t>
  </si>
  <si>
    <t>1. Pursuing a BSME, preferably a sophomore (2nd year), or junior (3rd year)
2. Strong interest in Building Systems Mechanical Engineering
3. CAD experience, preferably AutoCAD
...</t>
  </si>
  <si>
    <t>Research Intern, Applied Perception Science &amp; Image Quality (PhD)</t>
  </si>
  <si>
    <t>$7313-$11333 /mon</t>
  </si>
  <si>
    <t>1. Currently has, or is in the process of obtaining, a PhD degree in the field of Vision Science, Perceptual Psychology, Computer Science, Electrical Engineering, Physics, or a similar field.
2. Creativity and quick problem solving capabilities.
3. Track record of achieving results.
...</t>
  </si>
  <si>
    <t>Engineering Internship -- Christiansburg, VA</t>
  </si>
  <si>
    <t>Christiansburg, VA</t>
  </si>
  <si>
    <t>1. Active enrollment in Bachelor's or Master's Degree curriculum in Mechanical, Electrical, Industrial, Aerospace, Computer, or Computer Science Engineering at an accredited university.
2. Currently a 3rd year student or higher is strongly preferred and may be required in some areas.
3. GPA of 3.0, or greater, in most areas. Exact GPA requirement will be determined by department specification.</t>
  </si>
  <si>
    <t>Electrical Intern, Borger Refinery</t>
  </si>
  <si>
    <t>Phillips 66</t>
  </si>
  <si>
    <t>Borger, TX</t>
  </si>
  <si>
    <t>1. Legally authorized to work in the United States without restrictions
2. Must be 18 years of age or older
3. Maintain a valid driver's license
...</t>
  </si>
  <si>
    <t>Dublin, OH</t>
  </si>
  <si>
    <t>1. Pursuing a bachelor's degree in Electrical Engineering or Architectural Engineering, preferably a sophomore (2nd year) or a junior (3rd year)
2. Strong interest in Building Systems Electrical Engineering
3. CAD experience, preferably AutoCAD
...</t>
  </si>
  <si>
    <t>Technology Intern</t>
  </si>
  <si>
    <t>FWD Think</t>
  </si>
  <si>
    <t>Consulting, Information Services</t>
  </si>
  <si>
    <t>1. Currently enrolled in a Bachelor's or Master's program in Computer Science, Information Technology, or a related field. Exceptions can be made, inquire within.
2. Must live in a HUBZone and provide a driver's license as proof.
3. Knowledge of cybersecurity principles, data analytics techniques, and software development methodologies.
...</t>
  </si>
  <si>
    <t>Intern, Technical Undergraduate Year Round - Enterprise Network Services, Onsite</t>
  </si>
  <si>
    <t>1. Currently attending and enrolled full time in a related accredited undergraduate program
2. Minimum cumulative GPA of 3.0/4.0
3. Ability to work up to 25 hours per week during the academic year, and up to 40 hours per week during the summer
...</t>
  </si>
  <si>
    <t>Electrical Engineer Intern/Co-op Fall 2024 - Design</t>
  </si>
  <si>
    <t>Co-op - Packaging Engineering</t>
  </si>
  <si>
    <t>Endo Pharmaceuticals</t>
  </si>
  <si>
    <t>Rochester, MI</t>
  </si>
  <si>
    <t>1. High School Diploma, and enrolled in a B.A. /B.S. Degree program in an engineering discipline.
2. Knowledge of MS Office Suite and general computer-based application.</t>
  </si>
  <si>
    <t>P-TECH at IBM High School Co-op</t>
  </si>
  <si>
    <t>1. Basic knowledge in the IT area
2. Current student of an IBM-affiliated P-TECH school
3. 3.0 GPA</t>
  </si>
  <si>
    <t>Power Electronics Fall Intern</t>
  </si>
  <si>
    <t>New Freedom, PA</t>
  </si>
  <si>
    <t>1. Minimum bachelor's degree in Electrical/Electronics Engineering with experience in power electronics.
2. Fluently read, speak and write in English.
3. Ability to respond effectively to inquiries from technical staff.
...</t>
  </si>
  <si>
    <t>Technology Solutions Engineer Intern/Co-op Fall 2024 - CMTA</t>
  </si>
  <si>
    <t>1. Pursuing a BSEE, preferably a sophomore (2nd year) or a junior (3rd year)
2. Strong interest in Technology Systems and Electrical Engineering
3. CAD experience, preferably AutoCAD
...</t>
  </si>
  <si>
    <t>Mechanical Engineer Intern/Co-op Fall 2024 - CMTA</t>
  </si>
  <si>
    <t>1. Pursuing a Bachelor of Mechanical Engineering or Architectural Engineering, preferably a sophomore (2nd year), or junior (3rd year)
2. Strong interest in Building Systems Mechanical Engineering
3. AutoCAD and REVIT experience preferred
...</t>
  </si>
  <si>
    <t>In-Process Inspector Trainee</t>
  </si>
  <si>
    <t>Senior Aerospace SSP</t>
  </si>
  <si>
    <t>Aerospace, Automotive</t>
  </si>
  <si>
    <t>Santa Clarita, CA</t>
  </si>
  <si>
    <t>1. High School Diploma or equivalent
2. Ability to comprehend and follow instructions
3. Requires the ability to communicate and interact effectively with employees at all levels of the organization, both verbally and written
...</t>
  </si>
  <si>
    <t>Plumbing/Fire Protection (P/FP) Engineer -entry level -Wayne, PA</t>
  </si>
  <si>
    <t>Bala Consulting Engineers</t>
  </si>
  <si>
    <t>Consulting, Consumer Electronics</t>
  </si>
  <si>
    <t>Wayne, PA</t>
  </si>
  <si>
    <t>1. Bachelor’s Degree
2. 2 years experience -relevant internship/co-op experience considered for recent graduates
3. EIT accreditation a plus
...</t>
  </si>
  <si>
    <t>1. Actively enrolled in an accredited Electrical Engineering, Computer Science, or related Undergraduate program through Drexel University with an anticipated graduation date of May 2025 or later.
2. Must be 18 or older.
3. Demonstrated interest in Electrical Engineering or related field and have a strong desire to advance skills related to WSP’s work and projects.
...</t>
  </si>
  <si>
    <t>Electrical Engineer Intern/Co-op Fall 2024 - Design - CMTA</t>
  </si>
  <si>
    <t>Operational Energy Analyst - Software Intern</t>
  </si>
  <si>
    <t>Axient</t>
  </si>
  <si>
    <t>1. Actively pursuing bachelor’s degree full time (except during Summer)
2. Strong research and writing skills
3. Eligibility for DoD clearances</t>
  </si>
  <si>
    <t>Kleinfelder</t>
  </si>
  <si>
    <t>1. Strong communication skills with ability to communicate clearly and effectively with supervisors and design team members
2. Ability to work on multiple projects in a dynamic, fast-paced team-oriented environment
3. Sound time management and task prioritization skills
...</t>
  </si>
  <si>
    <t>Research Scientist in Generative AI Graduate (Intelligent Creation) - 2025 Start (PhD)</t>
  </si>
  <si>
    <t>$129960-$194750 annually</t>
  </si>
  <si>
    <t>1. Current year Ph.D or recent Ph.D graduates in Computer Science or related engineering field.
2. Excellent collaboration and interpersonal skills
3. Highly competent in algorithms and programming; Strong coding skills in Python/C++.</t>
  </si>
  <si>
    <t>1. Pursuing a Bachelor of Mechanical Engineering or Architectural Engineering, preferably a sophomore (2nd year), or junior (3rd year)
2. Strong interest in Building Systems Mechanical Engineering
3. Strong interpersonal and communication skills
...</t>
  </si>
  <si>
    <t>Software Engineer Graduate (AI Platform) - 2025 Start (PhD)</t>
  </si>
  <si>
    <t>1. Current year or recent graduate with a background in Software Development, Computer Science, Computer Engineering, or a related technical discipline.
2. Must obtain work authorization in the country of employment at the time of hire, and maintain ongoing work authorization during employment.
3. Strong CS fundamentals (algorithms and data structures) and problem-solving skills
...</t>
  </si>
  <si>
    <t>New Mexico Industrial Engineer Graduate Intern</t>
  </si>
  <si>
    <t>1. Pursuing a Master's degree in Industrial Engineering, Operations Research, or related field.
2. 6+ months experience with one or more data analytical tools such as MS Excel, JMP, MiniTab, or SQL Pathfinder with basic understanding of data structures/query fundamentals and experience with scripting languages
3. 6+ months experience with manufacturing science, data analysis, and project/program management
...</t>
  </si>
  <si>
    <t>1. Pursuing a bachelor's degree in Electrical Engineering or Architectural Engineering, preferably a sophomore (2nd year) or a junior (3rd year)
2. Strong interest in Building Systems Electrical Engineering
3. AutoCAD and REVIT experience preferred
...</t>
  </si>
  <si>
    <t>Sanofi</t>
  </si>
  <si>
    <t>Health Care, Life Science</t>
  </si>
  <si>
    <t>Cohere</t>
  </si>
  <si>
    <t>Artificial Intelligence (AI), Generative AI</t>
  </si>
  <si>
    <t>1. Currently pursuing a PhD in Machine Learning, NLP, or a related discipline
2. Available for a full-time internship lasting 4-6 months
3. Eligible for work authorization in the country of employment at the time of hire and throughout the internship period
...</t>
  </si>
  <si>
    <t>Geotechnical Engineering Co-Op - Kiewit Infrastructure Engineers (Fall 2024)</t>
  </si>
  <si>
    <t>1. Ability to work full-time in office during the Fall (approximately August - December)
2. Pursuing a Master's degree in Geotechnical Engineering or a related degree
3. Knowledge and experience working with Microsoft Word and Excel
...</t>
  </si>
  <si>
    <t>S&amp;S - Industrial Engineer - Co-Op</t>
  </si>
  <si>
    <t>Comtech Telecommunications</t>
  </si>
  <si>
    <t>Developer Platform, Information Technology</t>
  </si>
  <si>
    <t>1. Data-centric decision making
2. Strong bias for action
3. Excellent written and verbal communication skills, including writing strategic documentation
...</t>
  </si>
  <si>
    <t>1. Bachelor’s degree in Civil Engineering
2. 0 - 2 years of work-related experience
3. Minimum 3.0 GPA
...</t>
  </si>
  <si>
    <t>Controls Engineer Intern</t>
  </si>
  <si>
    <t>Climate Control Group</t>
  </si>
  <si>
    <t>Heating  Ventilation  and Air Conditioning (HVAC), Industrial Manufacturing</t>
  </si>
  <si>
    <t>OKC Metro Area</t>
  </si>
  <si>
    <t>1. Bachelor’s degree in electrical engineering, related field, or applicable work experience
2. Entry Level: previous internship or work experience preferred
3. Familiar with Integrated Development Environment Software (MP Lab, STM32CubeIDE, etc.)
...</t>
  </si>
  <si>
    <t>Electrical Engineer Intern/Co-op Spring 2025 - CMTA</t>
  </si>
  <si>
    <t>Paducah, KY</t>
  </si>
  <si>
    <t>Software Engineer Intern (Network Engineering) - 2024 Summer (PHD)</t>
  </si>
  <si>
    <t>1. Currently pursuing a PhD in Software Development, Computer Science, Computer Engineering, or a related technical discipline.
2. Able to commit to working for 12 weeks during Summer or Fall 2024
3. Familiar with common network protocols, including TCP/IP, BGP, OSPF, etc., and basic Linux network protocol stacks and tools
...</t>
  </si>
  <si>
    <t>Co-op, Investigations - Flight Safety (Spring 2025)</t>
  </si>
  <si>
    <t>1. Must be enrolled as a full-time student pursuing an undergraduate degree in a 4-year academic institution throughout the co-op program.
2. At least a 3.0 GPA on a 4-point scale.
3. Must be available to work on a full-time basis as an undergraduate student during the following 3 alternating semesters: Spring 2025, Fall 2025, Summer 2026.
...</t>
  </si>
  <si>
    <t>Intern Undergrad - Engineering</t>
  </si>
  <si>
    <t>Vistra Corp.</t>
  </si>
  <si>
    <t>Oak Harbor, OH</t>
  </si>
  <si>
    <t>1. Must be a U.S. Citizen or Permanent Resident. Students sponsored through Optical Practical Training (OPT) or Curricular Practical Training (CPT) are NOT eligible for this internship.
2. Must be currently enrolled in a 4-year institution of higher education and pursuing a Bachelor of Science or Master’s Degree in one of our desired engineering disciplines.
3. Proficient in Microsoft Office programs (Excel, Word, PowerPoint), Access desired
...</t>
  </si>
  <si>
    <t>2024  Field Engineer Intern</t>
  </si>
  <si>
    <t>Chino Hills, CA</t>
  </si>
  <si>
    <t>City of Industry, CA</t>
  </si>
  <si>
    <t>GE Aerospace US 2-Year Technical Associate Co-op - Fall 2024</t>
  </si>
  <si>
    <t>$17 /h</t>
  </si>
  <si>
    <t>1. Must have at least a 3.0 GPA (without rounding)
2. Working towards a degree in a technical field of study
3. Attending a full time matriculated two year technical program
...</t>
  </si>
  <si>
    <t>PM&amp;A - Drafter/Engineer Intern</t>
  </si>
  <si>
    <t>Centerline Communications</t>
  </si>
  <si>
    <t>1. Must be enrolled in college, with hours equivalent to sophomore or higher
2. Previous training in AutoCAD 2011 or newer
3. Ability to learn and retain new knowledge
...</t>
  </si>
  <si>
    <t>Postdoctoral Scholar</t>
  </si>
  <si>
    <t>1. PhD degree completed in 1-3 years or expecting to graduate within 6-8 months in biochemistry, molecular biology, cancer biology, or related field.
2. Proficient skills in studying cellular signaling, RNA biology, biochemistry, gene regulation with desired bioinformatic experience.
3. Strong publication records with first-author papers in high-impact journals.
...</t>
  </si>
  <si>
    <t>1. Bachelor’s degree in Civil Engineering
2. Excellent written and verbal communication skills
3. Strong attention to detail with excellent analytical, multitasking, and judgment capabilities
...</t>
  </si>
  <si>
    <t>Design Engineer Intern</t>
  </si>
  <si>
    <t>JBT Corporation</t>
  </si>
  <si>
    <t>Food Processing, Hardware</t>
  </si>
  <si>
    <t>1. Current enrollment (Junior, Senior or Grad Student) of a Mechanical or Industrial Engineering program or recent graduate</t>
  </si>
  <si>
    <t>Intern - Quantum Information Science, R&amp;D Graduate Year Round</t>
  </si>
  <si>
    <t>Northrop Grumman (DoD SkillBridge) - Field Engineer (Beale AFB)</t>
  </si>
  <si>
    <t>Beale Air Force Base, CA</t>
  </si>
  <si>
    <t>$68,800-$103,200 /yr</t>
  </si>
  <si>
    <t>1. Bachelor's degree and 2+ years of related work experience; an additional 4 years of experience may be considered in lieu of a degree.
2. Experience working with and troubleshooting complex electronic systems.
3. Experience working on Flight Line OR working on a complex SIGINT system.
...</t>
  </si>
  <si>
    <t>Machine Learning Engineer Intern (Risk Data Mining) - 2025 Summer (PhD)</t>
  </si>
  <si>
    <t>1. Currently pursuing an Undergraduate/Graduate/Master in Software Development, Computer Science, Computer Engineering or a related technical discipline
2. Able to commit to working for 12 weeks during Summer 2025
3. Solid engineering skills. Proficiency in at least two of: Linux, Hadoop, Hive, Spark, Storm
...</t>
  </si>
  <si>
    <t>Data Migration and Analytics Intern</t>
  </si>
  <si>
    <t>Hill’s Pet Nutrition</t>
  </si>
  <si>
    <t>Manufacturing, Pet</t>
  </si>
  <si>
    <t>$21.50-$32.50 /h</t>
  </si>
  <si>
    <t>1. Currently pursuing a degree in Computer Science, Data Science, Information Systems, Supply Chain Management, or a related field.
2. Basic understanding of data migration concepts and ETL processes.
3. Familiarity with SAP S/4HANA or other ERP systems is a plus.
...</t>
  </si>
  <si>
    <t>Postdoctoral Associate in the Kuang Lab</t>
  </si>
  <si>
    <t>Duke University</t>
  </si>
  <si>
    <t>1. Hold a PhD or equivalent doctorate (e.g. ScD, MD, DVM)
2. Completion of degree requirements for a PhD or equivalent
3. Evidence of completion of degree requirements
...</t>
  </si>
  <si>
    <t>Mechanical Engineering Drafting Apprentice - 1st shift</t>
  </si>
  <si>
    <t>Cummins Inc.</t>
  </si>
  <si>
    <t>Columbus, IN</t>
  </si>
  <si>
    <t>$27.50-$31 /h</t>
  </si>
  <si>
    <t>1. High school diploma or certificate of completion of secondary education or equivalent experience to the extent such experience meets applicable regulations.
2. Must meet the minimum educational requirements to be ready to start a formal apprenticeship or training program.
3. Registration in a regionally certified apprenticeship learning or training program required.
...</t>
  </si>
  <si>
    <t>$17.75-$26.50 /h</t>
  </si>
  <si>
    <t>1. Applicant must be actively enrolled in an engineering program
2. Applicant must be willing to work a minimum of 25 to 30 hours a week
3.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t>
  </si>
  <si>
    <t>School To Work, Software Validation - ePowertrain Electrification and Controls</t>
  </si>
  <si>
    <t>$19.25 /h</t>
  </si>
  <si>
    <t>1. Pursuing a Bachelor’s or Graduate degree in Electrical Engineering, Computer Science, Embedded Systems, Mechanical Engineering, or a related field.
2. Must carry a minimum of 12 credit hours during the Fall and Spring semesters.
3. Must have a minimum of 2.5 GPA.
...</t>
  </si>
  <si>
    <t>Bessemer, AL</t>
  </si>
  <si>
    <t>Transmission Engineer Co-op</t>
  </si>
  <si>
    <t>Aypa Power</t>
  </si>
  <si>
    <t>Energy, Energy Efficiency</t>
  </si>
  <si>
    <t>$40-$45 /h</t>
  </si>
  <si>
    <t>1. Currently pursuing a PhD in Electrical Power Systems
2. Hands-on experience with PSSE, TARA or other power flow software
3. Proficient in Python scripting for automation and data analysis
...</t>
  </si>
  <si>
    <t>Machine Learning Engineer Intern (TikTok Eng-AI Innovation Center) - 2025 Summer(PhD)</t>
  </si>
  <si>
    <t>1. PhD Degree with majors in artificial intelligence, computer science, automation, and mathematics or related fields
2. Able to commit to working for 12 weeks during Summer 2025
3. Experience in LLM or SFT, RL, model architecture modifications, computer vision, or multimodal large models.
...</t>
  </si>
  <si>
    <t>Field Engineer - Post Internship / Co-op</t>
  </si>
  <si>
    <t>Hensel Phelps</t>
  </si>
  <si>
    <t>1. A 4-year degree in Civil, Structural, Architecture or Construction Management.
2. Valid Driver’s License.
3. Strong communication skills.
...</t>
  </si>
  <si>
    <t>Washington University School Of Medicine</t>
  </si>
  <si>
    <t>Education, Medical</t>
  </si>
  <si>
    <t>Washington University Medical Campus</t>
  </si>
  <si>
    <t>1. Ph.D., M.D. or equivalent terminal or doctoral degree.</t>
  </si>
  <si>
    <t>1. Bachelor’s Degree in Molecular Biology, Biochemistry, Immunology, Cell Biology or a closely related field.
2. A Bachelor’s degree in a relevant field of study or equivalent related field experience performing professional-level work with scientific or clinical research protocols.
3. Experimental and analytical skills; understanding and knowledge of research theory; interviewing experience; excellent organizational and project management skills.</t>
  </si>
  <si>
    <t>Risk Modeling Services Intern - Summer 2025</t>
  </si>
  <si>
    <t>IL-Rosemont</t>
  </si>
  <si>
    <t>1. Bachelor Degree
2. Accounting, Actuarial Science, Economics, Finance, Mathematics, Statistics
3. Other quantitative fields of study may be considered</t>
  </si>
  <si>
    <t>Start Internship Summer 2025 - Products &amp; Technology</t>
  </si>
  <si>
    <t>1. Bachelor Degree
2. 0 year(s) of experience
3. To be pursuing a bachelor’s degree and be in your sophomore year of a 4-year degree program or junior year of a five-year degree program
...</t>
  </si>
  <si>
    <t>Process Engineer Internship - Spring Semester</t>
  </si>
  <si>
    <t>Alterra Energy</t>
  </si>
  <si>
    <t>Chemical, Energy</t>
  </si>
  <si>
    <t>1. Currently pursuing a Bachelor’s degree in Chemical Engineering or a related field
2. Sophomore (by credit hour) or above
3. Understanding of chemical engineering principles and concepts
...</t>
  </si>
  <si>
    <t>Undergraduate HTE Research Co-op (Spring - Summer 2025)</t>
  </si>
  <si>
    <t>Adimab</t>
  </si>
  <si>
    <t>Biotechnology, Collaboration</t>
  </si>
  <si>
    <t>Lebanon, NH</t>
  </si>
  <si>
    <t>1. Working towards degree in Biotechnology, Bioengineering, or a related field
2. Detail oriented
3. Ability to commit to a 6-month term starting in January 2025
...</t>
  </si>
  <si>
    <t>2025 Civil Engineering Summer Internship (Spokane)</t>
  </si>
  <si>
    <t>Osborn Consulting, Inc.</t>
  </si>
  <si>
    <t>1. Able to work from our Bellevue headquarters or our downtown Spokane location
2. Sophomore, Junior, Senior, or Masters status
3. Working toward a civil engineering or related major
...</t>
  </si>
  <si>
    <t>Associate Test Engineer Trainee</t>
  </si>
  <si>
    <t>Kla</t>
  </si>
  <si>
    <t>Electronics, Information Technology</t>
  </si>
  <si>
    <t>Milpitas, CA</t>
  </si>
  <si>
    <t>1. Ability to work in a clean room manufacturing environment is required.
2. You must be okay working 20 hours minimum a week.
3. Basic understanding of optics, mechanical, and electrical principles is helpful.
...</t>
  </si>
  <si>
    <t>Grader Apprentice</t>
  </si>
  <si>
    <t>Mendocino Forest Products</t>
  </si>
  <si>
    <t>Ukiah, CA</t>
  </si>
  <si>
    <t>$25.65-$25.65 /h</t>
  </si>
  <si>
    <t>1. One-year certificate from college or technical school; or two to five years related experience and/or training; or equivalent combination of education and experience
2. All beginning graders with little to no grading experience start here.
3. The Student must continually improve their performance and strive to achieve 95% on grade inspections. If the student shows no improvement after one year, management or quality assurance may reevaluate his or her ability or skills to become an MFP/HSC Grader
...</t>
  </si>
  <si>
    <t>Engineer Intern Applicant - Engineer 5</t>
  </si>
  <si>
    <t>Louisiana Secretary of State</t>
  </si>
  <si>
    <t>Search Engine</t>
  </si>
  <si>
    <t>$3158.40-$3158.40 /wk</t>
  </si>
  <si>
    <t>1. Eligibility for a Louisiana Engineer Intern Certificate.
2. Any college hours or degree must be from an accredited college or university.</t>
  </si>
  <si>
    <t>2024 Fall High School Intern - CNC Machining (Columbus, GA )</t>
  </si>
  <si>
    <t>Textron Aviation</t>
  </si>
  <si>
    <t>1. Must be a current high school student 16-19 years old; high school junior or senior preferred
2. Experience with Microsoft Office (Word, Excel, PowerPoint)
3. Experience navigating web applications/internet search
...</t>
  </si>
  <si>
    <t>Ground RF Hardware Engineer - Intern (Fall 2024)</t>
  </si>
  <si>
    <t>1. Passion for hardware development, including working in a fast-paced environment and hands-on design and development
2. Demonstrated ability to personally design, build, and test PCBA hardware from scratch (student design team projects, design competitions, personal projects)
3. Deep knowledge of basic RF concepts, such as transmission lines, impedance matching, filter design, and active RF circuits
...</t>
  </si>
  <si>
    <t>Engineering Intern (Current Student)</t>
  </si>
  <si>
    <t>Sirtex Medical</t>
  </si>
  <si>
    <t>Woburn, MA</t>
  </si>
  <si>
    <t>1. Currently working towards an engineering degree and ideally having experience in at least one prior internship.
2. Strong mechanical aptitude
3. Strong verbal, written, analytical, and persuasive skills and ability to interact effectively with all levels.
...</t>
  </si>
  <si>
    <t>1. Applicants must be currently enrolled in an accredited college or university program preferably pursuing a chemical, mechanical, or biomedical engineering degree (other majors will be considered)
2. Strong interpersonal and communication skills will be required to engage with other departments within the site
3. Strong time management skills
...</t>
  </si>
  <si>
    <t>2025 Civil Engineering Summer Internship (Bellevue)</t>
  </si>
  <si>
    <t>Maintenance &amp; Facilities Engineering Intern</t>
  </si>
  <si>
    <t>Hexcel Corporation</t>
  </si>
  <si>
    <t>Kent, WA</t>
  </si>
  <si>
    <t>1. High School Diploma or GED. Enrollment in a related degree program at an accredited college or university preferred.
2. Passionate about aerospace, engineering or facilities management. Specific interest in maintenance and facilities management is a plus.
3. Strong computer skills, particularly with the Microsoft Office Suite and AutoCAD. Proficiency in Excel is highly preferred.
...</t>
  </si>
  <si>
    <t>Postdoctoral Fellow-MSH-30035-348</t>
  </si>
  <si>
    <t>Mount Sinai Health System</t>
  </si>
  <si>
    <t>$72500-$80000 /yr</t>
  </si>
  <si>
    <t>1. PhD
2. Stereotaxic injection of viral vectors
3. Stereotaxic fiber optic implantation
...</t>
  </si>
  <si>
    <t>Shaft Design Engineer</t>
  </si>
  <si>
    <t>1. Bachelors in Mechanical Engineering or Automotive Engineering
2. Co-op Experience
3. CAD software (CATIA V5/V6) or closely related, Microsoft Office</t>
  </si>
  <si>
    <t>2024-25 Upcoming Graduate Engineering Opportunities (Current or Prior Gore Interns/Co-Ops)</t>
  </si>
  <si>
    <t>W.L. Gore &amp; Associates</t>
  </si>
  <si>
    <t>Elkton, MD</t>
  </si>
  <si>
    <t>1. B. S. and/or M. S. students currently enrolled in an ABET accredited program, graduating December 2024 – August 2025 and majoring in one of the following: Mechanical Engineering, Aerospace Engineering, Electrical Engineering, Electro-Mechanical Engineering Technology, Chemical Engineering, Materials (or Polymer, Fiber, Textile) Science/Engineering, or Bio/Bio-medical Engineering, Packaging Engineering, Robotics Engineering
2. Prior Gore internship or co-op experience is required
3. Demonstrated ability to understand and successfully apply engineering fundamentals.
...</t>
  </si>
  <si>
    <t>Operations Center Engineer Intern</t>
  </si>
  <si>
    <t>Ascend Technologies</t>
  </si>
  <si>
    <t>1. High school diploma or GED equivalent required
2. Ability to pay attention to details
3. Written and oral communication skills
...</t>
  </si>
  <si>
    <t>Engineer Intern - Electrical</t>
  </si>
  <si>
    <t>Blue Bird Corporation</t>
  </si>
  <si>
    <t>Automotive, Consumer</t>
  </si>
  <si>
    <t>Fort Valley, GA</t>
  </si>
  <si>
    <t>1. Minimum GPA of 3.0
2. Able to work full-time (40 hours/week) for a 12-week period beginning May 27, 2024 – August 16, 2024
3. Junior, Senior or Graduate level student with law degree
...</t>
  </si>
  <si>
    <t>Graduate Research Employment Program - Dr. Patricia Devaux (1 Year Limited Tenure)</t>
  </si>
  <si>
    <t>$17.68-$17.68 /h</t>
  </si>
  <si>
    <t>1. Bachelor’s degree with a strong background in science, technology, engineering, or math
2. Interest in biomedical research
3. Minimum GPA of 3.0
...</t>
  </si>
  <si>
    <t>Systems Analyst Workday Intern (HR / Finance)</t>
  </si>
  <si>
    <t>Great American Insurance Group</t>
  </si>
  <si>
    <t>1. Currently pursuing a Bachelor's degree in Finance/Accounting, HR, or Information Technology
2. Excellent verbal and written communication skills
3. High attention to detail
...</t>
  </si>
  <si>
    <t>Agriculture Research Intern</t>
  </si>
  <si>
    <t>1. Actively pursuing a degree in plant science, plant pathology, or horticulture, or have an equivalent combination of education and field experience.
2. Knowledge and experience in plant health and disease diagnosis is highly desired.
3. Ability to deal with frequent changes, delays, or unexpected events.
...</t>
  </si>
  <si>
    <t>Military Performance Fellowship</t>
  </si>
  <si>
    <t>1. A higher educational degree in any of the following fields of study: medicine and allied health professions, life sciences, public health, engineering, technology, or social sciences from an accredited institution.
2. The ideal candidate will be strongly interested in holistic health and fitness interventions and their impact on military personnel.
3. The ability to participate effectively with diverse populations, including military personnel and healthcare providers, is essential.
...</t>
  </si>
  <si>
    <t>Cybersecrity Intern - SOC</t>
  </si>
  <si>
    <t>Eviden</t>
  </si>
  <si>
    <t>Big Data, Financial Services</t>
  </si>
  <si>
    <t>1. Currently enrolled in Bachelor's Degree in Information Technologies, Computer Science, Cybersecurity, or related field
2. Minimum GPA: 3.0
3. Good knowledge of cybersecurity principles, tools and devices, and a real passion for career
...</t>
  </si>
  <si>
    <t>Post-Master's Military Performance Research Fellowship</t>
  </si>
  <si>
    <t>1. Currently pursuing a Master's degree and expected to graduate by May 31, 2023, or have received a Master's degree in exercise science, health sciences, or a closely related field within five years of the appointment start date.
2. Experience and/or skills in Basic Microsoft Office software skills, human data collection, laboratory procedures such as exercise tests (e.g., VO2max, 1-repetition maximum), metabolic measurement systems, heart rate monitoring, body composition, and thermometry.
3. U.S. Citizenship and travel are required.</t>
  </si>
  <si>
    <t>Postdoctoral Military Performance Research Fellowship</t>
  </si>
  <si>
    <t>1. Candidates should have earned or be on track to earn a doctoral degree in exercise science, health sciences, or a related field.
2. US Citizenship is required.</t>
  </si>
  <si>
    <t>Seasonal Laboratory Assistant</t>
  </si>
  <si>
    <t>AgSource</t>
  </si>
  <si>
    <t>1. High School diploma or GED preferred
2. Ability to prioritize and multi-task in a fast-paced environment
3. Proven organizational and time management skills
...</t>
  </si>
  <si>
    <t>Dulles Town Center, VA</t>
  </si>
  <si>
    <t>1. Currently working toward a CS, IT, data science or similar degree
2. Experience with SQL, Tableau, appscan, sonar or similar
3. Experience scripting to automate tasks
...</t>
  </si>
  <si>
    <t>Military DOD Bridge Joint Fellow</t>
  </si>
  <si>
    <t>Savannah River National Laboratory</t>
  </si>
  <si>
    <t>1. Must be a current U.S. Army service in good standing enrolled and transitioning through CSP at Fort Eisenhower
2. Be within 6 months of Separation Date
3. Separating under Honorable Conditions</t>
  </si>
  <si>
    <t>Returning Intern Engineer - Great Lakes Division (For Current/Former Interns Only)</t>
  </si>
  <si>
    <t>Taoglas</t>
  </si>
  <si>
    <t>Information Technology, Internet of Things</t>
  </si>
  <si>
    <t>1. Excellent written and verbal communication skills
2. Fully understand different material properties and production methods and be able to explain these factors to customers as needed
3. Self-starter who can push from one project to another and keep getting work done while waiting for responses on other projects
...</t>
  </si>
  <si>
    <t>Fall/Spring Product Engineering Co-op (Dallas, TX)</t>
  </si>
  <si>
    <t>Leonardo DRS</t>
  </si>
  <si>
    <t>1. Enrolled in an Undergraduate or Master's degree in Computer Engineering, Mechanical Engineering or Electrical Engineering or related field with at least a 3.0GPA at the time of application
2. Be available to work part-time (15-20 hours per week) over the Fall and Spring semester at the DRS Dallas facility
3. U.S. Citizenship status is required as this position will require the ability to access US only data systems
...</t>
  </si>
  <si>
    <t>Intern, Project Development, Solar</t>
  </si>
  <si>
    <t>1. Currently pursuing a Bachelor’s degree in Finance, Economics, Business Administration or Engineering
2. Enjoy collaborating with several groups on projects, not afraid to ask questions
3. Feel confident in using Microsoft Excel such as v-lookups, dashboards, pivot tables, and VBA
...</t>
  </si>
  <si>
    <t>Packaging Operator Lv1</t>
  </si>
  <si>
    <t>Lancesoft</t>
  </si>
  <si>
    <t>Elizabethtown, PA</t>
  </si>
  <si>
    <t>1. Running bagging machine to ensure the correct product makes it into the correct bags in a safe and quality-oriented manner
2. Documentation of the production process with general computer work
3. Checking bag weights on a regular basis to ensure compliance
...</t>
  </si>
  <si>
    <t>Associate Test Engineering Co-op</t>
  </si>
  <si>
    <t>1. High School Diploma
2. Current student majoring in Electrical Engineering or Computer Engineering willing to work a total of three full-time semesters: alternating with full-time school semesters</t>
  </si>
  <si>
    <t>Fall/Spring Undergraduate Program Associate -Engineer</t>
  </si>
  <si>
    <t>Serco</t>
  </si>
  <si>
    <t>District of Columbia, United States</t>
  </si>
  <si>
    <t>$38158.12-$57237.18 /yr</t>
  </si>
  <si>
    <t>1. High School Diploma/GED and in pursuance of BS in Electrical Engineering from accredited university as a rising Senior or Master Student
2. US Citizenship required
3. Ability to obtain Security clearance required
...</t>
  </si>
  <si>
    <t>MECHANICAL ENG. CO-OP - SPRING 2025 (VALDOSTA MILL)</t>
  </si>
  <si>
    <t>Civil Engineer Co-Op</t>
  </si>
  <si>
    <t>Verdantas</t>
  </si>
  <si>
    <t>Environmental Consulting</t>
  </si>
  <si>
    <t>1. Currently pursuing a bachelor's degree in Civil or Environmental Engineering
2. Experience in AutoCAD Civil 3D, Microsoft Word, and Microsoft Excel
3. Ability to work independently and in a team environment
...</t>
  </si>
  <si>
    <t>Summer 2025 - Production Engineer Intern</t>
  </si>
  <si>
    <t>Archer Daniels Midland Company</t>
  </si>
  <si>
    <t>Animal Feed, Hospitality</t>
  </si>
  <si>
    <t>Decatur, IL</t>
  </si>
  <si>
    <t>1. Pursuing a bachelor’s degree in mechanical, chemical or related engineering field
2. GPA of 2.8 or greater required
3. Adequate transportation to and from work
...</t>
  </si>
  <si>
    <t>1. High School Diploma, and enrolled in a B.A. /B.S. Degree program in an engineering discipline.
2. Proficiency in a body of information required for the job e.g. knowledge of FDA regulations, GMP/GLP/GCP, Lean Manufacturing, Six-Sigma, etc.
3. Knowledge of MS Office Suite and general computer-based application.
...</t>
  </si>
  <si>
    <t>Risk Intelligence Analyst (internship) - vSOC</t>
  </si>
  <si>
    <t>1. Bachelor’s degree or currently enrolled in security studies, international relations, or related field; or 2+ years equivalent military/professional intelligence training.
2. Demonstrates strong analytical, problem-solving, and organizational skills.
3. Ability to utilize multiple intelligence, incident management, and dispatch systems.
...</t>
  </si>
  <si>
    <t>Field Research Intern</t>
  </si>
  <si>
    <t>SGS</t>
  </si>
  <si>
    <t>Outsourcing, Skill Assessment</t>
  </si>
  <si>
    <t>Murdock, MN</t>
  </si>
  <si>
    <t>1. Relevant experience preferred
2. Must be detail-oriented, well organized and able to work independently.
3. Excellent communications skills required.
...</t>
  </si>
  <si>
    <t>Graduate Research Associate</t>
  </si>
  <si>
    <t>The Ohio State University Wexner Medical Center</t>
  </si>
  <si>
    <t>$21280-$27288 /yr</t>
  </si>
  <si>
    <t>1. Current graduate level student at OSU
2. Previous laboratory experience desired
3. Requires successful completion of a background check</t>
  </si>
  <si>
    <t>Systems Engineer Co-op - Spring 2025</t>
  </si>
  <si>
    <t>1. Full-time student status
2. Strong academic achievement, maintaining a GPA of 3.0 or above
3. Enrollment in a Bachelor's program in a Technical Field, related to Engineering, Systems, or Software
...</t>
  </si>
  <si>
    <t>Engineering / IT Intern</t>
  </si>
  <si>
    <t>Sinclair Broadcast</t>
  </si>
  <si>
    <t>Broadcasting, Content</t>
  </si>
  <si>
    <t>$19.97-$19.97 /h</t>
  </si>
  <si>
    <t>1. Current students, recent graduates and graduate students studying in a STEM related field such as engineering, IT or computer science are eligible.
2. Each intern is required to work up to 20 hours per week for 12 weeks.
3. Must be at least 18 years of age.
...</t>
  </si>
  <si>
    <t>ELECTRICAL ENG. CO-OP - SPRING 2025 (VALDOSTA MILL)</t>
  </si>
  <si>
    <t>Emerson</t>
  </si>
  <si>
    <t>Electronics, Industrial Automation</t>
  </si>
  <si>
    <t>Ash Flat, AR</t>
  </si>
  <si>
    <t>1. Enrollment in an accredited Bachelor's degree program in Industrial, Mechanical, Manufacturing Engineering or related field.
2. Completion of at least 3 semesters of course work.
3. Legal Authorization to work in the United States. Sponsorship will not be provided.</t>
  </si>
  <si>
    <t>Engineering Co-op - Spring 2025 (Pneumatic Rotary Actuators)</t>
  </si>
  <si>
    <t>Parker Hannifin</t>
  </si>
  <si>
    <t>Hardware, Manufacturing</t>
  </si>
  <si>
    <t>Wadsworth, OH</t>
  </si>
  <si>
    <t>1. Current enrollment in a Mechanical Engineering or Bachelor’s Degree program required
2. Sophomore class status or higher required
3. Ability to work in a cross-functional team environment required
...</t>
  </si>
  <si>
    <t>Controls Systems Tech Intern</t>
  </si>
  <si>
    <t>Rocky Hill, CT</t>
  </si>
  <si>
    <t>1. Currently enrolled as a full-time or part-time student at an accredited U.S. college or university or in a relevant technical school or community college program
2. Pursuing a degree in Associate of Applied Science (AAS) Degree or equivalent
3. An effective communicator to all levels of the organization
...</t>
  </si>
  <si>
    <t>Project Engineer Co-Op - Louisville, KY</t>
  </si>
  <si>
    <t>1. Pursuing a Bachelor's degree in Civil Engineering or Construction Management with a focus on construction processes/industry/delivery methods
2. Must have excellent written and oral communication skills and ability to interact effectively with all levels of employees
3. Must have strong organizational skills and the ability to handle multiple tasks</t>
  </si>
  <si>
    <t>Animal Care Trainee, Primate Research Center</t>
  </si>
  <si>
    <t>The Times-Picayune | Nola.com</t>
  </si>
  <si>
    <t>Covington, LA</t>
  </si>
  <si>
    <t>1. Learn to perform routine duties associated with animal care in a research setting such as feeding, maintaining sanitary conditions, observation, restraint and minor cage maintenance.
2. Operate cage washers and ensure that equipment is in proper working order.
3. Perform related responsibilities as required.
...</t>
  </si>
  <si>
    <t>JT4 SkillBridge Program - System Administrator Opportunities at Edwards AFB, CA</t>
  </si>
  <si>
    <t>Edwards, CA</t>
  </si>
  <si>
    <t>1. Associates or higher degree in Computer/Information Technology, or equivalent academic/technical training
2. Possess three years related experience or combination of experience in computer system basics and/or related areas of expertise
3. Must possess and apply a broad knowledge of principles, practices and procedures in computer science, graphics, and information systems
...</t>
  </si>
  <si>
    <t>Project Engineer Co-Op - Greenville, SC</t>
  </si>
  <si>
    <t>New Mexico Industrial Engineer Undergrad Intern</t>
  </si>
  <si>
    <t>1. Pursuing a Bachelor of Science degree in Industrial Engineering, Operations Research, or related field.
2. 3+ months experience with manufacturing science, data analysis, and project/program management
3. 3+ months experience with one or more data analytical tools such as MS Excel, JMP, MiniTab, or SQL Pathfinder with basic understanding of data structures/query fundamentals and experience with scripting languages
...</t>
  </si>
  <si>
    <t>1. PhD in a relevant field, received within 2 years of starting the program
2. Proven publication record in Operations Research, Machine Learning, Robotics, Computer Vision, AI, Computer Science, Economics, or other related technical fields
3. Experience in data science and quantitative research
...</t>
  </si>
  <si>
    <t>Research Seasonal Employee - Champaign, IL</t>
  </si>
  <si>
    <t>AgReliant Genetics</t>
  </si>
  <si>
    <t>Ivesdale, IL</t>
  </si>
  <si>
    <t>1. Must be authorized to work in the US for any employer
2. Eligible minors under 18 must have an employment certificate
3. Ability to work Monday – Saturday as needed
...</t>
  </si>
  <si>
    <t>Postdoctoral Research Fellow</t>
  </si>
  <si>
    <t>Providence St. Joseph Health</t>
  </si>
  <si>
    <t>$24.74-$38.60 /h</t>
  </si>
  <si>
    <t>1. Ph.D. in a discipline pertinent to biomedical research.
2. Experience in presenting original research in oral and written format is essential, as is proven success in writing and publishing original research.
3. Demonstrates a track record of progressive biomedical research that indicates a growing level of research independence.</t>
  </si>
  <si>
    <t>Project Engineer Co-Op - Lexington, KY</t>
  </si>
  <si>
    <t>Student Intern, Protection Engineering</t>
  </si>
  <si>
    <t>Tucson Electric Power</t>
  </si>
  <si>
    <t>1. Pursuing a degree in an Engineering field with a graduation date of May 2025 or later
2. Able to work a minimum of 20 hours per week during regular business hours; up to 40 hours a week during the summer and school breaks as needed
3. Have a high level of interpersonal skills and the ability to protect highly sensitive and confidential information; Must be able to meet regular deadlines
...</t>
  </si>
  <si>
    <t>JT4 SkillBridge Program - System Administrator Opportunities in Las Vegas, NV</t>
  </si>
  <si>
    <t>Asset Integrity Intern</t>
  </si>
  <si>
    <t>Pond</t>
  </si>
  <si>
    <t>Architecture, Construction</t>
  </si>
  <si>
    <t>$16.70-$22.20 /h</t>
  </si>
  <si>
    <t>1. Candidates must be an Engineering Student, on track for a Bachelor’s Degree
2. Prior Internship with related experience is highly considered.
3. Creative, Adaptive and Flexible
...</t>
  </si>
  <si>
    <t>JT4 SkillBridge Program - Programmer Opportunities at Edwards AFB, CA</t>
  </si>
  <si>
    <t>1. Associates degree in Computer Programming or a related field; or equivalent technical training from an accredited academic institution, completion of a recognized certification program, or equivalent experience and demonstrated skills, knowledge, and technical competence in computer programming
2. Must have demonstrated proficiency at a basic level with required computer languages and a basic understanding of computer systems including networks, servers, and personal computers
3. Must possess some planning and organizing skills and demonstrate the ability to work under deadlines
...</t>
  </si>
  <si>
    <t>Data Acquisition Assembly &amp; Testing Fall Student Employee</t>
  </si>
  <si>
    <t>$16-$34 /h</t>
  </si>
  <si>
    <t>1. Pursuing a degree in any engineering discipline (Electrical or Mechanical preferred)
2. Must be able to work onsite at the EPRI Knoxville office for at least 15 hours per week on average, between business hours of 8:00 am – 5:00 pm.
3. Experience with hand tools, such as drills, screwdrivers, wrenches, etc.
...</t>
  </si>
  <si>
    <t>Machine Learning Engineer Graduate (Data-eCommerce) - 2024 Start (PhD)</t>
  </si>
  <si>
    <t>$145000-$355000 annually</t>
  </si>
  <si>
    <t>1. PhD Degree in computer science or relevant areas.
2. Experience with a solid foundation in data structure and algorithm design, and be proficient in using one of the programming languages such as Python, Java, C++, R, etc.;
3. Familiar with common machine/deep learning, causal inference, and operational optimization algorithms, including classification, regression, clustering methods, as well as mathematical programming and heuristic algorithms;
...</t>
  </si>
  <si>
    <t>Engineering Designer (E.I.T) - Water/Wastewater</t>
  </si>
  <si>
    <t>McKim &amp; Creed, Inc.</t>
  </si>
  <si>
    <t>1. Masters or Bachelor of Science Degree in Civil, Mechanical or Environmental Engineering
2. Engineering Intern or Engineer in Training Certification
3. Process-oriented individual with strong organization and technical skills
...</t>
  </si>
  <si>
    <t>Undergraduate Research Intern - Neurology - Sati Lab (Academic Credit)</t>
  </si>
  <si>
    <t>Cedars Sinai</t>
  </si>
  <si>
    <t>1. Must be 18 years of age or older.
2. Must have a High School Diploma or GED.
3. Must reside in the greater Los Angeles area or surrounding cities while conducting all activities related to the intern appointment.</t>
  </si>
  <si>
    <t>Strategic Student Program: NX Software Development Co-Op (PES, Fall 2024)</t>
  </si>
  <si>
    <t>Milford, OH</t>
  </si>
  <si>
    <t>1. Studying for a Bachelor’s degree in Computer Science, Computer Engineering, or Mechanical Engineer
2. Strong object oriented programming skills coding skills in C++/C
3. Commanding grasp of C#, Python, Java, VBA, or Perl
...</t>
  </si>
  <si>
    <t>Spring Semester 2025 Process Engineer Co-op / Intern (Full-time)</t>
  </si>
  <si>
    <t>1. Enrollment in a BS in related engineering program at an accredited college or university
2. Ability to work full-time during standard business hours Monday through Friday during the spring semester (as Intern or Co-op)
3. Ability to work well within a team environment, positive attitude, multi-task, and self-motivated to produce high-quality work.
...</t>
  </si>
  <si>
    <t>COOP - Electrical Engineering</t>
  </si>
  <si>
    <t>Mobile Communications America</t>
  </si>
  <si>
    <t>Mooresville, NC</t>
  </si>
  <si>
    <t>1. Rising Sophomores, Juniors, and Seniors in Electrical Engineering
2. Hands-on experience in electrical engineering
3. Ability to work in Raleigh, NC; Arlington, TX; and Manassas, VA locations
...</t>
  </si>
  <si>
    <t>Electrical Engineering Intern (Fall 2024) - WA</t>
  </si>
  <si>
    <t>Second Order Effects Inc</t>
  </si>
  <si>
    <t>$66,400-$66,900 /yr</t>
  </si>
  <si>
    <t>1. Current enrollment in college (Electrical Engineering, Computer Science, Physics, Math, or related field)
2. Proficiency in at least one programming language (e.g., Python, C, C++, R, etc.) or hardware description language (e.g., Verilog, VHDL)
3. First or second year circuits classes and knowledge of electrical engineering fundamentals
...</t>
  </si>
  <si>
    <t>JT4 SkillBridge Program - Programmer Opportunities in Las Vegas, NV</t>
  </si>
  <si>
    <t>1. Associates degree in Computer Programming or a related field; OR equivalent military / technical training from an accredited academic institution, completion of a recognized certification program, or equivalent experience
2. Demonstrated skills, knowledge, and technical competence in computer programming
3. Demonstrated proficiency at a basic level with required computer languages and a basic understanding of computer systems including networks, servers, and personal computers
...</t>
  </si>
  <si>
    <t>Werkstudent (w/m/d) Projektmanagement Smart Traffic</t>
  </si>
  <si>
    <t>Yunex Traffic</t>
  </si>
  <si>
    <t>Infrastructure, Railroad</t>
  </si>
  <si>
    <t>Greater Hamburg Area</t>
  </si>
  <si>
    <t>1. Du studierst aktuell ein technisch orientiertes Studium z. B. Elektro- oder Verkehrstechnik, Wirtschaftsingenieurwesen, Informatik oder vergleichbar.
2. Du begeisterst dich für die Digitalisierung von Mobilitätsökosystemen und deren intelligente Vernetzung.
3. Du bist IT-affin und arbeitest dich gerne in neue Tools und Systeme ein. Der Umgang mit Office 365 fällt dir leicht.
...</t>
  </si>
  <si>
    <t>Victorville, CA</t>
  </si>
  <si>
    <t>2025 Summer Corporate Intern – Product Support Engineering</t>
  </si>
  <si>
    <t>$20.50-$26.70 /h</t>
  </si>
  <si>
    <t>1. Must be enrolled full time at a 4-year accredited university/college in one of the following degree programs: Mechanical, Industrial, Electrical, or General Engineering, Technical or related business/technical field
2. Minimum cumulative GPA of 2.8/4.0 (no rounding)
3. Graduation date must be August 2025 and beyond
...</t>
  </si>
  <si>
    <t>Postdoctoral Research Associate - AI/ML for 3D Geospatial Modeling with Multi-modality Data</t>
  </si>
  <si>
    <t>1. A PhD in electrical and computer engineering, remote sensing, geomatics, geoscience, or a related field completed within the last 5 years
2. Experience in developing AI/ML methods for analyzing large-scale geospatial data
3. Strong research profile and be able to conduct independent research
...</t>
  </si>
  <si>
    <t>Sulzer AG</t>
  </si>
  <si>
    <t>Odessa, TX</t>
  </si>
  <si>
    <t>1. Studying for a 4 year Engineering Degree, preferably Mechanical
2. Sound computer skills required, will use Word, Excel, PowerPoint, AutoCAD and other industry software
3. An interest in rotating machinery and manufacturing is beneficial
...</t>
  </si>
  <si>
    <t>Inland Ambient Monitoring Program #231226-3492VR-001</t>
  </si>
  <si>
    <t>State of Connecticut</t>
  </si>
  <si>
    <t>Windsor, CT</t>
  </si>
  <si>
    <t>1. Must be at least 18 years of age
2. Have a valid driver's license
3. Ability to follow instructions
...</t>
  </si>
  <si>
    <t>Penn Machine Company</t>
  </si>
  <si>
    <t>Johnstown, PA</t>
  </si>
  <si>
    <t>1. Engineering college student focusing in Industrial, Manufacturing, or Mechanical Engineering
2. Student in or going into his/her Sophomore year
3. Hands-on experience in an engineering role within a manufacturing environment
...</t>
  </si>
  <si>
    <t>Estagiário Manutenção (d / f / m) - Criciúma</t>
  </si>
  <si>
    <t>TK Elevator</t>
  </si>
  <si>
    <t>B2B, Commercial</t>
  </si>
  <si>
    <t>Catarina, TX</t>
  </si>
  <si>
    <t>1. Estar cursando técnico em mecânica, elétrica, eletrotécnica, eletrônica e afins.</t>
  </si>
  <si>
    <t>Flemington, NJ</t>
  </si>
  <si>
    <t>DoD Skillbridge - Information Security Engineer Intern</t>
  </si>
  <si>
    <t>QuidelOrtho</t>
  </si>
  <si>
    <t>1. Active Duty US Service members authorized to participate in the DoD Skillbridge program.
2. High school diploma or equivalent; preferred bachelor’s degree in information technology.
3. Fundamental understanding of Windows, Linux, network technology and cybersecurity principles.
...</t>
  </si>
  <si>
    <t>January 2024 Nestlé R&amp;D Process Engineering Co-Op</t>
  </si>
  <si>
    <t>1. Working towards a Bachelor’s Degree in Chemical Engineering, Industrial Engineering, Food Engineering, Mechanical Engineering or other related discipline</t>
  </si>
  <si>
    <t>Intern - Power Electronics Engineer</t>
  </si>
  <si>
    <t>Nextracker</t>
  </si>
  <si>
    <t>Natural Resources, Renewable Energy</t>
  </si>
  <si>
    <t>$20000-$20000 /yr</t>
  </si>
  <si>
    <t>1. Currently enrolled in the Ph.D. program in Electrical and Computer Engineering at an accredited university in the US. Excellent senior-year master’s students with relevant experience are also welcome to apply.
2. Solid understanding of power electronics principles, including converter topologies, modulation techniques, and semiconductor devices.
3. Proficiency in control theory and experience with implementing control algorithms for real-time applications.
...</t>
  </si>
  <si>
    <t>Engineering Co-op (Jan - August 25')</t>
  </si>
  <si>
    <t>Schreiber Foods</t>
  </si>
  <si>
    <t>1. Completed Sophomore-level status or higher toward a BS degree in an Engineering program (Mechanical or Manufacturing preferred)
2. Ability to work 40 hours/week May - December '24
3. Effective communications skills
...</t>
  </si>
  <si>
    <t>eVinci Component Design Co-op</t>
  </si>
  <si>
    <t>Westinghouse Electric Company</t>
  </si>
  <si>
    <t>1. Pursuing or completed Bachelor's Degree in Mechanical Engineering required.
2. Minimum GPA of 3.0 strongly preferred.
3. US Citizen or Permanent Resident.
...</t>
  </si>
  <si>
    <t>Electrical Engineering Intern (Fall 2024)</t>
  </si>
  <si>
    <t>El Segundo, CA</t>
  </si>
  <si>
    <t>SCAMP 2025 Summer Research Program</t>
  </si>
  <si>
    <t>Institute for Defense Analyses</t>
  </si>
  <si>
    <t>La Jolla, CA</t>
  </si>
  <si>
    <t>$112924-$263335 /yr</t>
  </si>
  <si>
    <t>1. PhD in mathematics, statistics, computer science, or a related field
2. US citizenship
3. Ability to obtain and maintain a security clearance</t>
  </si>
  <si>
    <t>Part-Time Pump Application Engineer Intern</t>
  </si>
  <si>
    <t>DXP Enterprises</t>
  </si>
  <si>
    <t>Industrial Engineering, Industrial Manufacturing</t>
  </si>
  <si>
    <t>Commerce City, CO</t>
  </si>
  <si>
    <t>1. Senior Level in an Engineering Degree program within commuting distance to Commerce City CO. Or a recent Engineering graduate.
2. Mechanical Engineering preferred; all Engineering disciplines are encouraged to apply. Non-Engineers with technical or science degrees and or relevant experience also considered.
3. Knowledge of centrifugal pumps, mixers, heat exchangers, valves, piping, and fabricated systems.
...</t>
  </si>
  <si>
    <t>Propulsion Engineer — Intern (Fall 2024)</t>
  </si>
  <si>
    <t>1. Currently pursuing a B.S. in a technical discipline (e.g. Mechanical or Aerospace Engineering, Physics)
2. Understanding of spacecraft systems and operation demonstrated through course work or student organizations
3. Demonstrated ability to personally design, build, and test hardware from scratch
...</t>
  </si>
  <si>
    <t>Engineering Designer - Land Development</t>
  </si>
  <si>
    <t>1. Bachelor of Science Degree in Civil or Environmental Engineering
2. Proficient in CAD Civil 3D and capable of learning other design software programs as required
3. Process-oriented individual with strong organization and technical skills
...</t>
  </si>
  <si>
    <t>Fall Co-Op - Digital Design Engineer</t>
  </si>
  <si>
    <t>1. Digital Signal Processing
2. Matlab
3. PWM
...</t>
  </si>
  <si>
    <t>Cryptography Research Engineer Intern</t>
  </si>
  <si>
    <t>Ripple</t>
  </si>
  <si>
    <t>$37-$42 /yr</t>
  </si>
  <si>
    <t>1. Strong familiarity of the latest blockchain cryptography and security
2. Deep understanding of elliptic curve and pairing based cryptography, Multi-party computation and threshold cryptography
3. Familiarity with privacy enhancing technologies such as Homomorphic encryption, differential privacy, federated learning and zero-knowledge primitive
...</t>
  </si>
  <si>
    <t>Traffic Engineer - Entry Level</t>
  </si>
  <si>
    <t>$72000-$88500 /yr</t>
  </si>
  <si>
    <t>1. Bachelor's degree in Civil Engineering
2. Minimum 3.0 GPA
3. Prior related internship or professional experience
...</t>
  </si>
  <si>
    <t>1. Sophomore standing in an engineering degree program
2. Possess strong engineering skills
3. Basic solid modeling and drawing skill-set (using ProE, SolidEdge, UG, or Catia CAD software)
...</t>
  </si>
  <si>
    <t>Machine Learning Software Engineer Intern - Winter 2025</t>
  </si>
  <si>
    <t>Rippling</t>
  </si>
  <si>
    <t>Employment, Human Resources</t>
  </si>
  <si>
    <t>$9360-$9360 /mon</t>
  </si>
  <si>
    <t>1. Currently enrolled in a M.Sc. or Ph.D. program in computer science or in a related field with at least 1 semester/quarter after their internship is completed
2. Solid programming skills with an emphasis on backend experience and knowledge. Our production code base is primarily Python, PySpark, and PyTorch.
3. Excellent communication skills.
...</t>
  </si>
  <si>
    <t>Co-op – Simulator Support Engineering (Spring 2025)</t>
  </si>
  <si>
    <t>1. Working towards a bachelor’s degree in engineering, computer science or related discipline.
2. Experience with software editing, code debugging, and revision control using various computer platforms and operating systems.
3. Strong technical, analytical, mathematical, and organizational skills, and be capable of handling multiple projects simultaneously.
...</t>
  </si>
  <si>
    <t>Jr. Project Engineer (Industrial Graduate Program)</t>
  </si>
  <si>
    <t>Ferrero</t>
  </si>
  <si>
    <t>Florence, KY</t>
  </si>
  <si>
    <t>1. Recent graduate (Bachelor’s or Master’s) in the last 12 months
2. Mechanical, industrial, automation, mechatronics engineering education or other engineering stream
3. Capable of collaborating in a team setting and efficiently managing workload priorities
...</t>
  </si>
  <si>
    <t>Project Engineer Co-Op - Raleigh, NC</t>
  </si>
  <si>
    <t>Commercial Operations and Capabilities Co-Op</t>
  </si>
  <si>
    <t>$18.75-$23.50 /h</t>
  </si>
  <si>
    <t>1. Minimum 3 upper level college classes in data analytics including - data analysis and forecasting, data mining and predictive analytics, system analysis and design and data visualization in business or similarly related classes
2. Experience working in databases like snowflake, Big query, etc.
3. Experience in SQL programming: ability to read/write complex SQL queries to analyze data, investigate systemic defects and validate data quality
...</t>
  </si>
  <si>
    <t>Fall Co-op- Design Verification Engineer</t>
  </si>
  <si>
    <t>1. Must be pursuing a MSEE/MSCE
2. Strong background with HDLs (e.g. Verilog, VHDL) and HVLs ( e.g.SystemVerilog/UVM , Vera, e)</t>
  </si>
  <si>
    <t>Bohemia, NY</t>
  </si>
  <si>
    <t>Test Technician (3rd Shift) - DOD SkillBridge</t>
  </si>
  <si>
    <t>Mercury Systems</t>
  </si>
  <si>
    <t>Oxnard, CA</t>
  </si>
  <si>
    <t>$41000-$68000 /yr</t>
  </si>
  <si>
    <t>1. High School Diploma
2. 3+ years experience testing and tuning electronic devices
3. Familiar with computers (Microsoft Office Suite)
...</t>
  </si>
  <si>
    <t>Mechanical Engineering Intern (Fall 2024)</t>
  </si>
  <si>
    <t>1. Current enrollment in college (Mechanical Engineering, Electrical Engineering, Computer Science, Physics, Math, or related field)
2. First or second year circuits classes and knowledge of electrical engineering fundamentals
3. Experience in modeling, simulation, and testing of electro-mechanical components or assemblies
...</t>
  </si>
  <si>
    <t>DER Integration Data Fall Student Engineer</t>
  </si>
  <si>
    <t>Home, KS</t>
  </si>
  <si>
    <t>1. Bachelor’s Degree in Electrical and Computer Engineering required
2. Expertise with Python, Julia or R and their respective data analysis and visualization packages (e.g., numpy, pandas, matplotlib, etc.) is required for this position</t>
  </si>
  <si>
    <t>Environmental Engineering Intern (Fall 2024)</t>
  </si>
  <si>
    <t>The Lubrizol Corp</t>
  </si>
  <si>
    <t>Chemical, Information Technology</t>
  </si>
  <si>
    <t>Painesville Township, OH</t>
  </si>
  <si>
    <t>1. Students currently pursuing an undergraduate degree in Chemical Engineering, Environmental Engineering, or Environmental Studies from an accredited university, with a graduation date up to 2027.
2. Students with GPA &gt; 3.0 will be given priority consideration.
3. Students who are interested in working in a chemical manufacturing environment.
...</t>
  </si>
  <si>
    <t>Assistant Engineer</t>
  </si>
  <si>
    <t>1. Currently enrolled in a Mechanical or Manufacturing Engineering Degree</t>
  </si>
  <si>
    <t>Associate Test Engineer Trainee (E)</t>
  </si>
  <si>
    <t>1. Ability to work in a clean room manufacturing environment is required.
2. You must be okay working 40 hours a week during the summer and 20 hours a week minimum during the school year.
3. Basic understanding of optics, mechanical, and electrical principles is helpful.
...</t>
  </si>
  <si>
    <t>DoD Skillbridge - Information Security Intern (Compliance)</t>
  </si>
  <si>
    <t>1. Active Duty US Service members authorized to participate in the DoD Skillbridge program.
2. High school diploma or equivalent; preferred bachelor’s degree in Information Technology.
3. Fundamental understanding of cybersecurity principles.
...</t>
  </si>
  <si>
    <t>TEMP-Lab/Research Support - Sponberg Lab Research (JB)</t>
  </si>
  <si>
    <t>1. Ability to work in a research laboratory setting
2. Experience with experiments, data analysis, interpretation, and dissemination
3. Must be able to pass a background check</t>
  </si>
  <si>
    <t>1. BSEE (BS Electrical Engineering) or BSEET (BS Electrical Engineering Technology) degree, from an accredited university preferably with a power option
2. Strong knowledge and understanding of electrical engineering
3. Candidate should enjoy living in the Phoenix area or have a desire and ability to relocate there with minimal assistance
...</t>
  </si>
  <si>
    <t>Mechanical Test Engineering Co-op (Fall 2024)</t>
  </si>
  <si>
    <t>Wickliffe, OH</t>
  </si>
  <si>
    <t>1. Currently pursuing an undergraduate degree in Mechanical or Electrical Engineering from an accredited university, with a graduation date of 2026 or later.
2. Ability to complete three or more co-op work terms.
3. Students with GPA &gt; 3.0 will be given priority consideration.
...</t>
  </si>
  <si>
    <t>Fall Co-Op - Analog Design Engineer</t>
  </si>
  <si>
    <t>1. Strong knowledge of analog integrated circuit design fundamentals
2. Understanding of CMOS operational amplifier design
3. Discrete time and continuous time signal process skills
...</t>
  </si>
  <si>
    <t>Student Assistant III - HPC Research and Development</t>
  </si>
  <si>
    <t>University Corporation for Atmospheric Research</t>
  </si>
  <si>
    <t>Education, Search Engine</t>
  </si>
  <si>
    <t>$22.86-$22.86 /h</t>
  </si>
  <si>
    <t>1. Must be currently enrolled in a U.S. college, university, or professional school with a major in computer science, engineering, or related discipline.
2. Knowledge and understanding of computer, storage, and networking systems components
3. Ability to work with a team and convey technical concepts to management and senior engineer
...</t>
  </si>
  <si>
    <t>2025 Technology Summer Internship - Early Careers (Software or Data Engineer)</t>
  </si>
  <si>
    <t>$48.08-$60.10 Hourly</t>
  </si>
  <si>
    <t>1. 6+ months of work experience, or equivalent demonstrated through one or a combination of the following: work experience, training, military experience, education</t>
  </si>
  <si>
    <t>$48.08-$60.10 /h</t>
  </si>
  <si>
    <t>Addison, TX</t>
  </si>
  <si>
    <t>Inverter Modeling and Hardware Testbed Experiments Student Employee</t>
  </si>
  <si>
    <t>1. Master’s Degree in Electrical Engineering required</t>
  </si>
  <si>
    <t>Safety Engineering Intern</t>
  </si>
  <si>
    <t>Combined Metals of Chicago</t>
  </si>
  <si>
    <t>Industrial, Industrial Manufacturing</t>
  </si>
  <si>
    <t>Elgin, IL</t>
  </si>
  <si>
    <t>1. Upper classman undergraduate, recent graduate, or graduate student in Industrial Engineering or Technology, Industrial Management, Electrical Engineering, or related field.
2. Self-starter, team player, ability to work independently.
3. Passion for safety and desire to make a difference.
...</t>
  </si>
  <si>
    <t>Fall 2024 Grader- Mechanical Engineering</t>
  </si>
  <si>
    <t>$12.50-$14 /h</t>
  </si>
  <si>
    <t>1. Successfully completed with a grade of B or better the course that the grader will be grading for</t>
  </si>
  <si>
    <t>Guernsey - Engineers/Architects/Consultants</t>
  </si>
  <si>
    <t>1. BS degree in Civil Engineering
2. Must pass Fundamentals in Engineering exam within one year of employment
3. Ability to sit for PE exam and become a licensed Oklahoma PE after completing the time requirement under supervision of a PE
...</t>
  </si>
  <si>
    <t>Security Engineering Intern</t>
  </si>
  <si>
    <t>1. Strong analytical and problem-solving skills
2. Familiarity with the vulnerability management lifecycle, common security vulnerabilities associated risks, and controls
3. Understanding of Secure software development lifecycle, DevOps and DevSecOps
...</t>
  </si>
  <si>
    <t>Heavy Equipment ThinkBIG Intern</t>
  </si>
  <si>
    <t>Yancey Bros. Co</t>
  </si>
  <si>
    <t>Austell, GA</t>
  </si>
  <si>
    <t>1. Meet admission requirements to attend South Georgia Technical College.
2. Have mechanical aptitude and enjoy challenging 'hands-on' work.
3. Enjoy a fast-paced work environment.
...</t>
  </si>
  <si>
    <t>Power Systems ThinkBIG Intern</t>
  </si>
  <si>
    <t>1. High School Diploma
2. Meet the admission requirements to attend South Georgia Technical College
3. Mechanical aptitude (having the desire and skill to work with mechanical concepts)
...</t>
  </si>
  <si>
    <t>Aviat Networks</t>
  </si>
  <si>
    <t>1. Currently pursuing a degree in engineering or a related field.
2. Strong analytical and problem-solving skills.
3. Excellent communication and interpersonal skills.
...</t>
  </si>
  <si>
    <t>USA - WA - Kent</t>
  </si>
  <si>
    <t>Payload Integration and Operations Intern (Summer 2025)</t>
  </si>
  <si>
    <t>1. Rising Junior or Senior or Advanced Degree (MS/MA or Ph.D) studying Engineering, Science, or a related field.
2. Cumulative GPA 3.0 or higher
3. Must be able to complete a U.S. government background investigation.
...</t>
  </si>
  <si>
    <t>1. Must be at least a Sophomore and actively seeking a Bachelor’s or Master’s degree in Mechanical, Chemical, Electrical, or Industrial Engineering with a cumulative GPA of 2.5 or greater.
2. Must have experience with PowerPoint, Excel, Word, Microsoft Teams, and Outlook.</t>
  </si>
  <si>
    <t>Innovation &amp; Advanced Engineering Co-Op</t>
  </si>
  <si>
    <t>Dana TM4</t>
  </si>
  <si>
    <t>1. Enrollment and active pursuit of a Bachelor Science, Masters preferred
2. Strong problem solving skills, including ability to identify and resolve issues and challenges
3. Strong interpersonal skills to work with people at all levels within and outside Dana in a professional manner
...</t>
  </si>
  <si>
    <t>Oerlikon</t>
  </si>
  <si>
    <t>Westbury, NY</t>
  </si>
  <si>
    <t>$20-$28 /h</t>
  </si>
  <si>
    <t>1. Currently pursuing a bachelor’s or master’s degree in mechanical engineering, Manufacturing Engineering, Industrial Engineering, Chemical Engineering, Electrical Engineering, or other related degree at an accredited university
2. Familiarity with process troubleshooting and optimization is preferred. Previous exposure with Six Sigma methodologies is highly preferred.
3. Proficient across all Microsoft platforms
...</t>
  </si>
  <si>
    <t>Aerospace R&amp;D Intern</t>
  </si>
  <si>
    <t>1. Must be enrolled in a high-school or college program with exposure to Science, Technology, Engineering, and Math disciplines.
2. US citizenship status</t>
  </si>
  <si>
    <t>Data Engineering Internship</t>
  </si>
  <si>
    <t>Uniphore</t>
  </si>
  <si>
    <t>Artificial Intelligence (AI), Customer Service</t>
  </si>
  <si>
    <t>1. Bachelor's degree in Computer Science or a related field.
2. Strong programming skills in Python.
3. Familiarity with machine learning frameworks and libraries such as TensorFlow, PyTorch, or Scikit-learn.
...</t>
  </si>
  <si>
    <t>Mobile Audio/Video Software Engineer Intern (Intelligent Creation) - 2025 Summer (BS/S)</t>
  </si>
  <si>
    <t>1. Currently pursuing an Undergraduate/Graduate/Master in Software Development, Computer Science, Computer Engineering or a related technical discipline
2. Able to commit to working for 12 weeks during Summer 2025
3. Familiar with C/C++ and Rust, along with experience in audio/video processing, OpenGL, FFmpeg, GStreamer, and AVFoundation</t>
  </si>
  <si>
    <t>Operational Excellence Engineering Intern</t>
  </si>
  <si>
    <t>1. Must be at least a Sophomore and actively seeking a Bachelor’s or Master’s degree in Mechanical/Industrial Engineering, Construction, Business, Information Systems, or related field with a cumulative GPA of 2.50 or greater.
2. Must have experience with PowerPoint, Excel, Word, Microsoft Teams, and Outlook.</t>
  </si>
  <si>
    <t>Project Engineer Co-Op - Nashville, TN</t>
  </si>
  <si>
    <t>Verus Aerospace</t>
  </si>
  <si>
    <t>Anaheim, CA</t>
  </si>
  <si>
    <t>1. Junior or Senior standing with an Engineering degree (Quality, Manufacturing, Mechanical, or Aerospace preferred)
2. A minimum 3.0 GPA
3. The ability to dedicate no more than 29 hours a week for on-site projects in Anaheim, CA
...</t>
  </si>
  <si>
    <t>Microfabrication Industrial Engineering Co-Op (January-June 2025)</t>
  </si>
  <si>
    <t>1. Undergraduate background in industrial engineering, systems engineering, operations research, manufacturing engineering, production engineering, management science, human factors engineering, logistics engineering, quality engineering, information technology, or computer science
2. Willingness to work in a cleanroom
3. Enthusiasm for solving problems
...</t>
  </si>
  <si>
    <t>Fab Lab Student Assistant (Student Employee)</t>
  </si>
  <si>
    <t>Coastal Carolina University</t>
  </si>
  <si>
    <t>Education, Knowledge Management</t>
  </si>
  <si>
    <t>1. Experience in Adobe
2. Proficient computer skills</t>
  </si>
  <si>
    <t>Database Analyst/Programmer Sr / Inter - Term Limited</t>
  </si>
  <si>
    <t>Michigan Medicine</t>
  </si>
  <si>
    <t>1. Bachelor's degree in a related field.
2. Intermediate: Two to three years of experience working with technology in a complex systems environment.
3. Senior: At least four years of experience working with technology in a complex systems environment.
...</t>
  </si>
  <si>
    <t>RAD TECH APPRENTICE PER DIEM</t>
  </si>
  <si>
    <t>Carson Tahoe Health</t>
  </si>
  <si>
    <t>1. Enrollment in an accredited program in Radiologic Technology. Minimum of 120 hours of clinical training and 80 hours of classroom curriculum required.
2. Current American Heart Association (AHA) Basic Life Support (BLS)/Cardiopulmonary Resuscitation (CPR) for healthcare providers
3. Strong interpersonal communication skills for patient, patient’s family
...</t>
  </si>
  <si>
    <t>Part-Time Engineering Intern (Miami)</t>
  </si>
  <si>
    <t>1. Experience in design and permitting of civil/ land development projects
2. Ability to model stormwater
3. Design and manage small to large-scale land development projects
...</t>
  </si>
  <si>
    <t>Mechanical Engineer CoOp - Fall</t>
  </si>
  <si>
    <t>Dover Fueling Solutions</t>
  </si>
  <si>
    <t>Information Technology, Robotics</t>
  </si>
  <si>
    <t>Smithfield, NC</t>
  </si>
  <si>
    <t>1. Pursing a Bachelor’s degree in Engineering and maintaining a satisfactory grade point average of 3.0 or higher
2. Motivated to learn and take ownership of tasks and projects.
3. Excellent communication skills, with ability to work professionally with diversified workforce.
...</t>
  </si>
  <si>
    <t>HVAC and Building Services Engineer Intern - Fall 2024</t>
  </si>
  <si>
    <t>AtkinsRéalis</t>
  </si>
  <si>
    <t>Exton, PA</t>
  </si>
  <si>
    <t>1. Enrolled in a Bachelor’s Degree program in Mechanical Engineering or Architectural Engineering
2. Microsoft Excel and Word
3. Good interpersonal skills
...</t>
  </si>
  <si>
    <t>Co-Op - IT (Fall '24)</t>
  </si>
  <si>
    <t>1. Current student pursuing Bachelor/ Master's degree in Mechanical or Software Engineering
2. Proficient in basic digital concepts
3. Acquired foundational experience in ERP (Enterprise Resource Planning) systems
...</t>
  </si>
  <si>
    <t>Intern - Explosives Technologies Group (ETG) - Technical Undergraduate Year Round</t>
  </si>
  <si>
    <t>Louisiana Department Of Transportation and Development</t>
  </si>
  <si>
    <t>1. Eligibility for a Louisiana Engineer Intern Certificate
2. Any college hours or degree must be from an accredited college or university</t>
  </si>
  <si>
    <t>Intern - Design Assurance - Spring 2025</t>
  </si>
  <si>
    <t>Supply Chain Intern</t>
  </si>
  <si>
    <t>KIHOMAC</t>
  </si>
  <si>
    <t>Layton, UT</t>
  </si>
  <si>
    <t>1. Currently enrolled as a student or just recently graduated in Supply Chain Management or related field
2. Must be a US citizen</t>
  </si>
  <si>
    <t>1. Minimum GPA 3.0; 15 credit hours completed
2. Minimum 1.5 years of remaining undergraduate studies
3. Minimum 1.0 years of CAD experience through school or employment (Solidworks, Inventor, Creo, etc.)</t>
  </si>
  <si>
    <t>SAP iXp Intern - Strategic Cloud Management Demand Management Intern</t>
  </si>
  <si>
    <t>$15-$62 annualized</t>
  </si>
  <si>
    <t>1. Very strong motivation
2. Strategic thinking and the ability to solve complex problems with an analytical approach
3. Excellent communication and presentation skills
...</t>
  </si>
  <si>
    <t>Cyber Security Analyst</t>
  </si>
  <si>
    <t>Dune Security</t>
  </si>
  <si>
    <t>1. Currently pursuing a degree in Cybersecurity, Computer Science, or a related field
2. Strong understanding of cybersecurity principles, especially social engineering techniques and defenses against Advanced Persistent Threats (APTs)
3. Familiarity with HTML and CSS for creating and editing training module content
...</t>
  </si>
  <si>
    <t>DOD SkillBridge Internship – Electrical Services Specialist(Hyper-Scale Data Centers/Electrical Services) - Des Moines, IA</t>
  </si>
  <si>
    <t>Johnston, IA</t>
  </si>
  <si>
    <t>Electrical Engineering Intern – Salt Lake City, Utah</t>
  </si>
  <si>
    <t>Stadler Rail</t>
  </si>
  <si>
    <t>1. Current Junior- or Senior-level student in an ABET-accredited Electrical Engineering program
2. Experience with MATLAB
3. Strong interest in the railway industry
...</t>
  </si>
  <si>
    <t>ETL Developer Intern</t>
  </si>
  <si>
    <t>Arkansas Center for Data Sciences</t>
  </si>
  <si>
    <t>1. 2+ years’ experience in Microsoft SQL Server relational databases
2. 2+ years’ experience in C# application development
3. Ability to write and troubleshoot T-SQL Code, write ad hoc queries for reports, and design (stored procedures, tables, views, indexes, constraints)
...</t>
  </si>
  <si>
    <t>Pre-Doc Research Ast</t>
  </si>
  <si>
    <t>Albany Medical Center</t>
  </si>
  <si>
    <t>1. PhD Student</t>
  </si>
  <si>
    <t>Water Power Technologies: Alaska Embedded Fellowship</t>
  </si>
  <si>
    <t>1. Be currently pursuing, or have completed requirements, for a Bachelor's degree, Master’s, or Doctoral degree.
2. Be a U.S. Citizen or Lawful Permanent Resident of the United States (LPR).
3. Knowledge of or experience in or with Alaska energy issues, policies, or organizations.
...</t>
  </si>
  <si>
    <t>Research &amp; Development Packaging Co-Op</t>
  </si>
  <si>
    <t>Church &amp; Dwight Canada</t>
  </si>
  <si>
    <t>Consumer Goods, Manufacturing</t>
  </si>
  <si>
    <t>Princeton, NJ</t>
  </si>
  <si>
    <t>1. Pursuing Bachelor’s Degree in Packaging Science/Engineering.
2. Microsoft Excel is required.
3. Able to manage multiple timelines and priorities.
...</t>
  </si>
  <si>
    <t>Civil Engineering Student Intern - Fall 2024</t>
  </si>
  <si>
    <t>Stonefield Engineering &amp; Design</t>
  </si>
  <si>
    <t>1. Enrolled in an accredited degree program for Civil Engineering, Landscape Architecture, or Engineering Technology
2. U.S. citizens preferred</t>
  </si>
  <si>
    <t>Civil Engineering Student Intern  Fall 2024</t>
  </si>
  <si>
    <t>MetaWorld Civil Consulting, LLC</t>
  </si>
  <si>
    <t>Port Orange, FL</t>
  </si>
  <si>
    <t>1. Bachelor’s degree in Civil Engineering
2. Successfully passed Fundamentals of Engineering Exam (FE) and ability to obtain PE within 12 months of hire
3. Proficiency in AutoCAD, Civil3D and StormWise (fka ICPR)
...</t>
  </si>
  <si>
    <t>Civil Engineering Student Intern-Fall 2024</t>
  </si>
  <si>
    <t>Grand Junction, CO</t>
  </si>
  <si>
    <t>John Deere Tech Student- High School Applicants</t>
  </si>
  <si>
    <t>Castongia Tractor</t>
  </si>
  <si>
    <t>Rensselaer, IN</t>
  </si>
  <si>
    <t>1. Maintain minimum required GPA (based on specific school and/or dealership requirements)
2. Interest in learning methods, materials, tools and techniques used in the repair of off road, construction, lawn, or heavy equipment
3. Experience operating vehicles, tools, and equipment for diagnostic purposes
...</t>
  </si>
  <si>
    <t>Engineering Co-op - Spring 2025</t>
  </si>
  <si>
    <t>1. Current enrollment in a Mechanical Engineering Bachelor’s Degree program required
2. Sophomore class status or higher required
3. Ability to work in a cross-functional team environment required
...</t>
  </si>
  <si>
    <t>Cybersecurity Engineering Intern (Hourly)</t>
  </si>
  <si>
    <t>New Jersey Courts</t>
  </si>
  <si>
    <t>1. Thirty credit hours from an accredited college pursuing a degree or certificate in Computer Science, Computer Engineering, or a related field.
2. Unofficial College or University transcript must be included in your application in order to be considered.
3. For some positions, applicants must have the ability to perform work which requires climbing and prolonged standing, stretching, bending and reaching.
...</t>
  </si>
  <si>
    <t>Intern - Digital - Spring 2025</t>
  </si>
  <si>
    <t>1. Student working toward a Bachelor’s degree in Electrical Engineering for entire duration of internship.</t>
  </si>
  <si>
    <t>Madison, MS</t>
  </si>
  <si>
    <t>1. Motivated, self-starter with a good foundation in the basic principles of mechanical engineering, as demonstrated by course work and/or extra-curricular activities.
2. Detail oriented and able to manage multiple projects.
3. Mechanically inclined and have experience operating equipment including (but not limited to); power tools, mechanical tools, and measurement devices.
...</t>
  </si>
  <si>
    <t>A&amp;P Mechanic - R&amp;D / Flight Test</t>
  </si>
  <si>
    <t>Epic Aircraft</t>
  </si>
  <si>
    <t>Manufacturing, Product Design</t>
  </si>
  <si>
    <t>$33-$53 /h</t>
  </si>
  <si>
    <t>1. FAA Airframe and Powerplant license or AMT
2. Will consider students who've done majority of coursework and still need to complete FAA Testing
3. A 'can-do' teachable attitude, with a willingness to help any person on the team with any task
...</t>
  </si>
  <si>
    <t>Research Scientist (Multimodal) Intern - TikTok Eng-AI Innovation Center - 2025 Summer (PhD)</t>
  </si>
  <si>
    <t>1. PhD Degree with majors in artificial intelligence, computer science, automation, and mathematics or related fields
2. Able to commit to working for 12 weeks during Summer 2025
3. Candidates with top AI conference papers in ML/CV/NLP are required.
...</t>
  </si>
  <si>
    <t>Engineering Intern IV</t>
  </si>
  <si>
    <t>Graphic Packaging</t>
  </si>
  <si>
    <t>Consumer Goods, Customer Service</t>
  </si>
  <si>
    <t>West Monroe, LA</t>
  </si>
  <si>
    <t>1. Comfortable working in heavy manufacturing environment
2. Desire to work on projects
3. Coachable
...</t>
  </si>
  <si>
    <t>Electrical Engineering Co-op/Internship</t>
  </si>
  <si>
    <t>River Metals Recycling</t>
  </si>
  <si>
    <t>Automotive, Commercial</t>
  </si>
  <si>
    <t>1. Actively pursuing Bachelors or technical degree program with concentration in Engineering, Electrical Engineering, or Technology
2. Strong MS Excel and PC configuration skills
3. Strong PLC and HMI skills
...</t>
  </si>
  <si>
    <t>Fabrication Intern</t>
  </si>
  <si>
    <t>Phoenix Contact USA</t>
  </si>
  <si>
    <t>Middletown, PA</t>
  </si>
  <si>
    <t>1. Electrical/Electronic knowledge
2. Carpentry
3. Machining and Manufacturing
...</t>
  </si>
  <si>
    <t>PhD Residency - ML / SWE, Early Moonshots</t>
  </si>
  <si>
    <t>1. Must be enrolled in an academic program and working towards completing a PhD
2. PhD student in Computer Science
3. Working experience with ML and data pipelines
...</t>
  </si>
  <si>
    <t>Mechanical/Project Engineering Co-op/Internship</t>
  </si>
  <si>
    <t>1. Actively pursuing Bachelors or technical degree program with concentration in Mechanical Engineering
2. Strong MS Excel and PC configuration skills
3. Strong CAD skills
...</t>
  </si>
  <si>
    <t>Woodstock, GA</t>
  </si>
  <si>
    <t>HVJ Associates</t>
  </si>
  <si>
    <t>1. Possess High School Diploma and is currently pursuing a Bachelor’s degree in Civil Engineering.
2. Availability to work at least 25 hours per week.
3. Ability to lift concrete, soil, or asphalt samples as a routine part of the job.
...</t>
  </si>
  <si>
    <t>Intern Master Data (m/f/x)</t>
  </si>
  <si>
    <t>Tesa</t>
  </si>
  <si>
    <t>Automotive, Chemical</t>
  </si>
  <si>
    <t>€1519-€1519 /mon</t>
  </si>
  <si>
    <t>1. You are studying in the field of Business Administration, Economics, Statistics or a related field of study.
2. You ideally have some background/knowledge of SAP/other data management systems.
3. You have a passion for working with, understanding and analyzing data.
...</t>
  </si>
  <si>
    <t>Engineer Intern – Roadway Design</t>
  </si>
  <si>
    <t>Neel-Schaffer</t>
  </si>
  <si>
    <t>Nashville Metro</t>
  </si>
  <si>
    <t>1. Bachelor of Science in Civil Engineering
2. Licensed Engineer Intern in Tennessee or Alabama or ability to obtain a licensure in one of those states within one year
3. Knowledge of roadway and drainage design concepts
...</t>
  </si>
  <si>
    <t>Post Undergraduate/Graduate (Year-Round) Intern – Bioprocess Development</t>
  </si>
  <si>
    <t>$38300-$61300 /yr</t>
  </si>
  <si>
    <t>1. Bachelor’s Degree In Cell And Molecular Biology, Chemical And Biological Engineering, Bioengineering, Biology, Biochemistry, Chemistry, Or a Similar Field
2. Excellent organizational skills, including contemporary laboratory notebook documentation
3. Attention to detail
...</t>
  </si>
  <si>
    <t>Information Security Intern- Fall 2024</t>
  </si>
  <si>
    <t>1. Pursing a bachelor’s degree in Information Systems, Cyber Security, or related degree
2. Highly organized, possess high attention to detail
3. Ability to establish and maintain good relationships with all levels of management
...</t>
  </si>
  <si>
    <t>Systems Engineer Intern- Fall 2024</t>
  </si>
  <si>
    <t>1. Working towards Bachelor's degree in Computer Science, Information Systems or a related field
2. Strong desire to learn and grow, with a solid foundation of technical background and experience
3. Ability to be self-directed with assigned tasks and ability to research solutions and come forward with recommendations for new and creative ideas to solve problems
...</t>
  </si>
  <si>
    <t>WFH Audio Data Collection (Chinese Speaker)</t>
  </si>
  <si>
    <t>Freelance Audio Data Collection (Chinese Speaker)</t>
  </si>
  <si>
    <t>Remote Audio Data Collection (Chinese Speaker)</t>
  </si>
  <si>
    <t>DEL &amp; Protein Sciences Internship - Contract</t>
  </si>
  <si>
    <t>Nurix Therapeutics</t>
  </si>
  <si>
    <t>1. Enrollment in Undergraduate degree program in Biophysics, Biochemistry, Cell and Molecular Biology or related field.
2. Good understanding of protein overexpression in bacterial, insect or mammalian expression systems.
3. Knowledge of protein purification techniques including but not limited to affinity chromatography, SEC, Ion-Exchange chromatography.
...</t>
  </si>
  <si>
    <t>$22.50-$30 /h</t>
  </si>
  <si>
    <t>1. Pursuing a bachelor’s degree in Engineering, preferred disciplines: Energy, Mechanical or Electrical.
2. Be a U.S. citizen or have the legal right to work in the U.S. without requiring sponsorship now or in the future.
3. Possess a Valid Driver’s License For a Minimum Of 12 Months, Ability To Provide Proof Of Insurance, And Have No Major Or Frequent Traffic Violations Including, But Not Limited To DUI in the previous 3 years, Hit &amp; Run, License Suspension, Reckless / Careless Driving or multiple smaller infractions or preventable collisions in the previous 3 years.</t>
  </si>
  <si>
    <t>Isuzu Commercial Truck of America, Inc.</t>
  </si>
  <si>
    <t>Automotive, Transportation</t>
  </si>
  <si>
    <t>1. Experience with Model Predictive Control using Matlab/Simulink
2. Knowledge of diesel engine dynamic models integration into MPC solver
3. Ability to formulate optimal control problems based on requirements and constraints
...</t>
  </si>
  <si>
    <t>POSTDOCTORAL ASSOCIATE</t>
  </si>
  <si>
    <t>1. PhD or equivalent doctorate (e.g. ScD, MD, DVM)
2. Completion of degree requirements
3. Evidence of degree equivalency for non-US degrees
...</t>
  </si>
  <si>
    <t>SMS Student Lab Assistant</t>
  </si>
  <si>
    <t>1. Minimum 12 hours per week, up to 20 hours per week
2. Required Courses in a biological/health science or an equivalent combination of education and experience is required
3. The body must be able to reach, bend, stoop and reach in order to perform most lab procedures
...</t>
  </si>
  <si>
    <t>Electrical Engineering Co-op/Intern- Summer 2025</t>
  </si>
  <si>
    <t>$23.56-$31.58 /h</t>
  </si>
  <si>
    <t>1. General Engineering Coursework
2. Minimum 2.5 Cumulative GPA or higher (You will be required to provide your current transcript)
3. Class status- Sophomore (by credit hour) or above
...</t>
  </si>
  <si>
    <t>GRADUATE ASSISTANT - Biomechanics -CRiB -RPL-M</t>
  </si>
  <si>
    <t>University of Nebraska at Omaha</t>
  </si>
  <si>
    <t>1. Pursuing a graduate degree in Biomechanics
2. B.S. in Health, Physical Education, Exercise Science, Biomechanics, Recreation, Engineering, Neuroscience, or related field
3. Undergraduate GPA 3.0 or higher recommended
...</t>
  </si>
  <si>
    <t>GRADUATE ASSISTANT - Biomechanics - NU Collaboration - Maleckis</t>
  </si>
  <si>
    <t>GRADUATE ASSISTANT - Biomechanics - NIH R01 - Kamenskiy</t>
  </si>
  <si>
    <t>GRADUATE ASSISTANT - Biomechanics - CRiB-RPL-J</t>
  </si>
  <si>
    <t>GRADUATE ASSISTANT - Biomechanics - Doctoral</t>
  </si>
  <si>
    <t>GRADUATE ASSISTANT - Biomechanics - CRiB - RPL-S</t>
  </si>
  <si>
    <t>GRADUATE ASSISTANT - Biomechanics - NU Collaboration - Knarr</t>
  </si>
  <si>
    <t>GRADUATE ASSISTANT - Biomechanics -Department</t>
  </si>
  <si>
    <t>GRADUATE ASSISTANT - Biomechanics - CRiB - Admin Core</t>
  </si>
  <si>
    <t>GRADUATE ASSISTANT - Biomechanics - NU Collaboration- Jadidi</t>
  </si>
  <si>
    <t>Postdoctoral Scholar - Dermatology</t>
  </si>
  <si>
    <t>1. Ph.D. in a relevant field
2. Relevant peer-reviewed molecular/cell biology publications
3. Demonstrated hands-on experience with Mammalian Cell Culture
...</t>
  </si>
  <si>
    <t>Returning Part-Time Fall Intern Engineer- For Current/Former HNTB Interns Only</t>
  </si>
  <si>
    <t>Mission Operations Engineering Intern (Summer 2025)</t>
  </si>
  <si>
    <t>1. Rising Junior or Senior or Advanced Degree (MS/MA or Ph.D.) in Engineering, Science, Math, or related field.
2. Cumulative GPA 3.0 or higher
3. Must be able to complete a U.S. government background investigation.
...</t>
  </si>
  <si>
    <t>Software Engineering/Electrical Engineering Co-op - Fall 2024 (US Persons)</t>
  </si>
  <si>
    <t>1. Currently pursuing an Software Engineering or Computer Science degree with a graduation date no later than 2027
2. Must be able to participate in a semester long co-op (10-12 weeks) prior to completing current degree program
3. C++
...</t>
  </si>
  <si>
    <t>Security Services Intern - Fall 2024</t>
  </si>
  <si>
    <t>Software Engineering Institute</t>
  </si>
  <si>
    <t>1. Currently enrolled in a degree granting program.
2. Must be able to work onsite at our Pittsburgh office
3. Willingness to travel to various locations to support the SEI's overall mission. This includes within the SEI and CMU community.
...</t>
  </si>
  <si>
    <t>Practicante - Área TLS</t>
  </si>
  <si>
    <t>San José</t>
  </si>
  <si>
    <t>1. Estudiante de Colegio Profesional - Sexto año - área Secretariado</t>
  </si>
  <si>
    <t>Groupe Qualitas</t>
  </si>
  <si>
    <t>US.PA.Exton.Office</t>
  </si>
  <si>
    <t>QVC Broadcasting Lighting Fall Internship</t>
  </si>
  <si>
    <t>Cornerstone Careers</t>
  </si>
  <si>
    <t>Retail</t>
  </si>
  <si>
    <t>USA, PA, West Chester</t>
  </si>
  <si>
    <t>1. Must be a Junior, Senior, or Graduate student enrolled in an accredited college, university, or master's program.
2. Currently enrolled in a degree program for film production, theater, media studies, communication, or related fields.
3. Basic knowledge of several lighting fixtures and effects and their applications, television and entertainment lighting, and color temperature.</t>
  </si>
  <si>
    <t>QA Automation intern</t>
  </si>
  <si>
    <t>Dover, NH</t>
  </si>
  <si>
    <t>1. Computer Science / Electrical engineering background is required
2. 1-2 years QA Automation / SW development experience is preferred
3. Experience in audio consumer electronics products is a big plus
...</t>
  </si>
  <si>
    <t>Space Station Engineering Intern (Summer 2025)</t>
  </si>
  <si>
    <t>1. Rising Junior or Senior or Advanced Degree (MS/MA or Ph.D)
2. Cumulative GPA 3.0 or higher
3. Must be able to complete a U.S. government background investigation
...</t>
  </si>
  <si>
    <t>SkillBridge (Transitioning Military) - Engineering</t>
  </si>
  <si>
    <t>Horizon3.ai</t>
  </si>
  <si>
    <t>1. Transitioning Service member
2. Authorization and approval from unit commander (first O-4/Field Grade commander in chain of command)
3. Up to 180 days of permissive duty
...</t>
  </si>
  <si>
    <t>Process Engineer Intern (Doctorate) - Gloucester, MA</t>
  </si>
  <si>
    <t>Applied Materials</t>
  </si>
  <si>
    <t>$42-$44 /h</t>
  </si>
  <si>
    <t>1. Preference for students in their final year in a Doctoral degree in Materials Science &amp; Engineering, Chemical Engineering, Chemistry, Physics, Electrical Engineering or a related field
2. Available to work for 9 months
3. Student must be in good academic standing at their university, with a preferred GPA of 3.0 or above on a 4.0 scale
...</t>
  </si>
  <si>
    <t>Intern - Performance Engineer</t>
  </si>
  <si>
    <t>Ormat Technologies</t>
  </si>
  <si>
    <t>Energy, Environmental Consulting</t>
  </si>
  <si>
    <t>1. Currently enrollment in a Bachelor of Science degree program in mechanical engineering, chemical engineering, or related field as a junior, senior or graduate student.
2. Ability to work in a professional and collaborative environment.
3. Must have the ability to read, write and speak English at a level that will permit the employee to understand and communicate information in a manner that will enable the employee to safely and efficiently perform the job duties.</t>
  </si>
  <si>
    <t>Microfabrication Engineering Co-Op (January-June 2025)</t>
  </si>
  <si>
    <t>Software Engineer Intern - Data Engineering, Summer 2025</t>
  </si>
  <si>
    <t>1. Pursuing a Bachelors, Masters or PhD in technical field – Computer Science/Engineering, Math, Physics or equivalent
2. Graduating by August 2026
3. GPA of 3.5 or above
...</t>
  </si>
  <si>
    <t>Quantitative Development Internship, Summer 2025</t>
  </si>
  <si>
    <t>1. Pursuing a BS/MS/PhD in a technical field – Engineering, Computer Science, Math, Physics (or related subject)
2. Strong Python programming background
3. Experience in object-oriented programming
...</t>
  </si>
  <si>
    <t>Hardware Engineer Intern, Summer 2025</t>
  </si>
  <si>
    <t>1. Pursuing a BS/MS/PhD in Computer and Electrical Engineering, Computer Science, or related field
2. Knowledge of digital logic circuit design, preferably using Verilog, SystemVerilog, or VHDL
3. Strong analytic and problem-solving skills
...</t>
  </si>
  <si>
    <t>Returning New Grad Engineer I - Central Division (For Current/Former HNTB Interns Only)</t>
  </si>
  <si>
    <t>Returning Intern Engineer - Central Division (For Current/Former HNTB Interns Only)</t>
  </si>
  <si>
    <t>Mechanical Engineering Co-op/Intern- Summer 2025</t>
  </si>
  <si>
    <t>Lincoln, AL</t>
  </si>
  <si>
    <t>$23.54-$31.58 /h</t>
  </si>
  <si>
    <t>Bettendorf, IA</t>
  </si>
  <si>
    <t>Industrial Engineering Co-op/Intern- Summer 2025</t>
  </si>
  <si>
    <t>1. Legally authorized to work in the U.S. without sponsorship
2. General Engineering Coursework
3. Minimum 2.5 Cumulative GPA or higher (You will be required to provide your current transcript)
...</t>
  </si>
  <si>
    <t>Weld Engineering Co-op/Intern- Summer 2025</t>
  </si>
  <si>
    <t>1. General Business Coursework
2. Minimum 2.5 Cumulative GPA or higher (You will be required to provide your current transcript)
3. Class status- Sophomore (by credit hour) or above
...</t>
  </si>
  <si>
    <t>Automotive Designer Co-op/Intern - Summer 2025</t>
  </si>
  <si>
    <t>Torrance, CA</t>
  </si>
  <si>
    <t>$21.29-$28.54 /h</t>
  </si>
  <si>
    <t>Equipment Service Co-op/Intern - Summer 2025</t>
  </si>
  <si>
    <t>$24.26-$30.26 /h</t>
  </si>
  <si>
    <t>1. Legally authorized to work in the U.S. without sponsorship
2. Must have basic knowledge of mechanical, electrical, hydraulics, pneumatics, industrial safety and understanding of industrial math. Demonstrate a positive attitude and proactive approach with equipment maintenance. Basic PC skills (Microsoft Excel and Power Point applications). Ability to communicate effectively in verbal and written format.
3. Minimum 2.5 Cumulative GPA or higher (You will be required to provide your current transcript)
...</t>
  </si>
  <si>
    <t>Plastics Engineering Co-op/Intern - Summer 2025</t>
  </si>
  <si>
    <t>$23.56-$27.46 /h</t>
  </si>
  <si>
    <t>1. 2D/3D CAD
2. Troubleshoot plastic defects
3. Injection Process Optimization
...</t>
  </si>
  <si>
    <t>Mechanical Engineer (Rotational Program)</t>
  </si>
  <si>
    <t>Westlake Chemical Corporation</t>
  </si>
  <si>
    <t>Chemical, Manufacturing</t>
  </si>
  <si>
    <t>1. B.S. or M.S. degree in Mechanical Engineering
2. 0-2 years of relevant work experience
3. Minimum 3.0 GPA
...</t>
  </si>
  <si>
    <t>Composites Engineering Intern</t>
  </si>
  <si>
    <t>1. Completed at least two years towards a BS or higher in Engineering or related field (Physics, Chemistry, Material Science, etc) with a GPA of 3.0 or more
2. Demonstrated engineering aptitude through University coursework
3. Ability to apply fundamental engineering principles learned in Freshman and Sophomore level courses</t>
  </si>
  <si>
    <t>Beth Israel Lahey Health</t>
  </si>
  <si>
    <t>Elder Care, Health Care</t>
  </si>
  <si>
    <t>1. Doctoral Degree or M.D.
2. 0-1 year of postdoctoral research experience in academic or industrial lab setting, and/or teaching assistantship in a university setting, and/or residency, and/or clinical duties beyond that of the qualifying doctoral degree.</t>
  </si>
  <si>
    <t>APPRENTISSAGE - Concepteur.trice / Développeur.euse F/H</t>
  </si>
  <si>
    <t>France Travail</t>
  </si>
  <si>
    <t>1. Vous préparez une formation de niveau bac+5 dans le développement
2. Vous êtes à l'aise pour communiquer à l'oral et à l'écrit et vous souhaitez apporter votre état d'esprit au sein d'une équipe
3. Vous êtes curieux.euse et rigoureux.se
...</t>
  </si>
  <si>
    <t>McBee, SC</t>
  </si>
  <si>
    <t>1. Currently enrolled in an accredited college or university working towards a degree (Associates, Bachelors, Masters, Graduate)
2. Excellent organization and time management skills
3. Strong interpersonal and communication skills
...</t>
  </si>
  <si>
    <t>Student Lab Aide, CAD</t>
  </si>
  <si>
    <t>Seminole State College of Florida</t>
  </si>
  <si>
    <t>Sanford, FL</t>
  </si>
  <si>
    <t>$13 /h</t>
  </si>
  <si>
    <t>1. Graduation from an accredited high school or possession of an acceptable equivalent diploma
2. Currently a student registered and attending classes at Seminole State College
3. Knowledge of and proficiency in AutoCAD and Revit software applications
...</t>
  </si>
  <si>
    <t>1. Currently serving as active duty military and be eligible to participate in the DoD SkillBridge program
2. Ability to quickly learn operational procedures, new software, and technical subjects
3. DoD Secret Security Clearance
...</t>
  </si>
  <si>
    <t>Electrical Engineering Intern, Utah</t>
  </si>
  <si>
    <t>WiTricity</t>
  </si>
  <si>
    <t>CleanTech, Electrical Distribution</t>
  </si>
  <si>
    <t>1. Candidates must be local to Nibley, UT
2. Enrolled in an electrical or computer engineering program. Physics majors or others may also qualify with appropriate background
3. Candidates must have taken or be currently enrolled in Circuits I or an equivalent course
...</t>
  </si>
  <si>
    <t>Lab Tech (Millsboro) - I (Assistant) Lab Tech (Millsboro) - I (Assistant)</t>
  </si>
  <si>
    <t>Millsboro, DE</t>
  </si>
  <si>
    <t>1. High School degree
2. Identifies and solve problems; Organizes own work to meet agreed-upon deadlines
3. Must have the ability to read, write, and understand information and to effectively communicate information to colleagues at various levels
...</t>
  </si>
  <si>
    <t>Sustainable Design &amp; Passive House Intern</t>
  </si>
  <si>
    <t>Sustainable Comfort</t>
  </si>
  <si>
    <t>1. Working towards an architecture or related degree.
2. Possess a professional demeanor in dealing with clients and team members.
3. Passion for green building and sustainability.
...</t>
  </si>
  <si>
    <t>Postdoctoral Appointee: Advanced Coating and Membrane Development</t>
  </si>
  <si>
    <t>1. Ph.D. degree in chemistry, chemical engineering, material science, or related fields
2. Demonstrated knowledge in materials synthesis and characterization
3. Demonstrated knowledge of transport property study
...</t>
  </si>
  <si>
    <t>Part-Time Research Assistant - Astronomy Department</t>
  </si>
  <si>
    <t>1. Undergraduate student or recent graduate
2. Part-time Research Assistant
3. Contribute to laboratory research efforts
...</t>
  </si>
  <si>
    <t>Intern - Project &amp; Component Engineering 1 1</t>
  </si>
  <si>
    <t>1. Candidate must be currently enrolled in an undergraduate or graduate degree program in Mechanical Engineering, Aerospace Engineering (or similar major) and returning to school upon completion of the assignment.</t>
  </si>
  <si>
    <t>Intern , Guidance, Navigation and Control Engineering (Orlando, FL)</t>
  </si>
  <si>
    <t>1. Candidates must be currently enrolled in an accredited engineering program.
2. May be required to obtain and maintain a U.S. Security Clearance at the appropriate level. Requires U.S. Citizenship. Must also be able to satisfy federal government requirements for access to government information, and having dual citizenship may preclude you from being able to meet this requirement.
3. Proficiency in MS Office Suite such as Word, PowerPoint, Excel, Outlook, etc.
...</t>
  </si>
  <si>
    <t>Intern - Engineering Design</t>
  </si>
  <si>
    <t>1. Candidate must be currently enrolled in an undergraduate or graduate degree program in Mechanical Engineering or Aerospace Engineering (or similar major) and returning to school upon completion of the assignment.</t>
  </si>
  <si>
    <t>Postdoctoral Fellow-MSH-32076-141</t>
  </si>
  <si>
    <t>1. PhD
2. Research laboratory background</t>
  </si>
  <si>
    <t>Mechatronics Engineering Intern</t>
  </si>
  <si>
    <t>Danfoss A/S</t>
  </si>
  <si>
    <t>1. Currently pursuing a bachelor's or master's degree in Mechanical Engineering. Master's student preferred
2. Candidates must be located within 50 miles of the work site
3. Availability to work a minimum of 20 hours/week during the semesters and 30-40 hours/week during the Summer. Internship is expected to last 12 months
...</t>
  </si>
  <si>
    <t>Werkstudent (m/w/d) im Bereich Technical Engineer Robotics</t>
  </si>
  <si>
    <t>Local College Co-op: Research &amp; Development</t>
  </si>
  <si>
    <t>1. Must be 18 years of age or older
2. High school diploma/GED and already enrolled at an accredited college or university
3. Student must be located close to the Midland, Auburn, Collegeville or Lake Jackson Dow site, pursuing an undergraduate degree
...</t>
  </si>
  <si>
    <t>Intern - Project Engineer, ACE Mentorship Program</t>
  </si>
  <si>
    <t>Ryan Companies US, Inc.</t>
  </si>
  <si>
    <t>1. Interest in a career in the construction industry.
2. Able to work at least 20 hours per week in-person.
3. Able to commute to our Cedar Rapids office.
...</t>
  </si>
  <si>
    <t>1. Pursuing a BSME, preferably a sophomore (2nd year), or junior (3rd year)
2. CAD experience is helpful, but not required.
3. Strong interpersonal and communication skills
...</t>
  </si>
  <si>
    <t>Paid Research Study in Seattle, WA!</t>
  </si>
  <si>
    <t>Sammamish, WA</t>
  </si>
  <si>
    <t>$75-$250 session</t>
  </si>
  <si>
    <t>1. Availability for the onsite task on a weekday.</t>
  </si>
  <si>
    <t>$57500-$79448 /yr</t>
  </si>
  <si>
    <t>1. Candidate should be enrolled and completed at least two years in an accredited civil or environmental engineering program working towards completing a Bachelor's degree in civil, environmental, or water resources related engineering.
2. Candidate should have a demonstrated desire to develop a career in water/wastewater engineering and be able to show relevant coursework or experience, including hydraulics, hydrology, and basic engineering fundamentals.
3. Candidate must be proficient in the use of Microsoft Office, self-motivated, flexible, able to handle multiple tasks in a fast-paced environment and have availability to work up to 40 hours per week (Monday - Friday).
...</t>
  </si>
  <si>
    <t>DoD SkillBridge Cyber Intelligence Analyst</t>
  </si>
  <si>
    <t>TeamWorx Security</t>
  </si>
  <si>
    <t>Analytics, Cyber Security</t>
  </si>
  <si>
    <t>Columbia, MD</t>
  </si>
  <si>
    <t>1. 3+ years of military intelligence, cyber security industry, intelligence community, or critical infrastructure industries (public and private).
2. Relevant teaching/instructor experience preferred.
3. Proficiency using a variety of technology and tools, cyber security and engineering technology, and a host of collaborative capabilities.
...</t>
  </si>
  <si>
    <t>Mechanical Engineering College Co-Op</t>
  </si>
  <si>
    <t>American Axle &amp; Manufacturing</t>
  </si>
  <si>
    <t>Oxford, MI</t>
  </si>
  <si>
    <t>1. Must be enrolled in an undergraduate Mechanical Engineering program with a graduation date of April 2025 or later.
2. Excellent oral and written communication skills.
3. High attention to detail and accuracy of information.
...</t>
  </si>
  <si>
    <t>Post-Doctoral Research Scientist - Diabetes and Metabolism-FDE</t>
  </si>
  <si>
    <t>BioSpace</t>
  </si>
  <si>
    <t>Biotechnology, Communities</t>
  </si>
  <si>
    <t>1. PhD in life science or biomedical sciences, or a related field.</t>
  </si>
  <si>
    <t>School to work, Engineering</t>
  </si>
  <si>
    <t>1. College, university, or equivalent bachelor’s degree in engineering or appropriate STEM field needs to be in progress.
2. Candidate should have a minimum of 72 credit hours completed.
3. Must have a minimum of 2.5 GPA.
...</t>
  </si>
  <si>
    <t>College Intern - Civil Engineering</t>
  </si>
  <si>
    <t>Salt River Project</t>
  </si>
  <si>
    <t>Energy</t>
  </si>
  <si>
    <t>1. Must be a full-time college student, enrolled in at least 12 credit hours, in an accredited University or Community College and maintain a good academic standing.
2. Have a high level of interpersonal skills.
3. Demonstrate effective verbal and written communication skills.
...</t>
  </si>
  <si>
    <t>Post Doctoral Scholar - Department of Neurological Surgery</t>
  </si>
  <si>
    <t>1. Ph.D. in neuroscience, physiology, molecular biology, or related field
2. Experience with peripheral nerve studies
3. Experience with human samples, mouse models, cell and molecular techniques
...</t>
  </si>
  <si>
    <t>Mechanical Engineering Intern - ESS</t>
  </si>
  <si>
    <t>1. Currently studying in a mechanical engineering or related technical field
2. Basic computer skills: Microsoft Word, Excel, PowerPoint
3. Reasoning, analytical, and problem-solving skills
...</t>
  </si>
  <si>
    <t>Fall 2024 Analog IC Design Intern</t>
  </si>
  <si>
    <t>Onsemi Intelligent Technology</t>
  </si>
  <si>
    <t>1. The successful candidate will participate in the design of complex CMOS integrated circuits and have familiarity with analog blocks such as bandgaps, op-amps, OTAs, switched-capacitor amplifiers, etc. and their respective theories of operation.
2. Must have a working knowledge of Analog Design CAD tools.
3. Employ strong analytical approach to problem solving.
...</t>
  </si>
  <si>
    <t>Engineering Co-Op - 2024 Fall Semester</t>
  </si>
  <si>
    <t>H.B. Fuller</t>
  </si>
  <si>
    <t>$21-$23 /h</t>
  </si>
  <si>
    <t>1. Minimum rising Freshman, Sophomore, or Junior in: Mechanical, Chemical, Electrical, or Industrial Engineering</t>
  </si>
  <si>
    <t>Spring 2025- Electrical Engineering Internship</t>
  </si>
  <si>
    <t>UL Solutions</t>
  </si>
  <si>
    <t>1. Must be eighteen years of age or older.
2. Must be legally permitted to work in the United States.
3. University Student (Sophomore, Junior, or Senior level) with a major in Electrical Engineering, Electrical Engineering Technology or related field from an ABET accredited program.
...</t>
  </si>
  <si>
    <t>Mercer Island, WA</t>
  </si>
  <si>
    <t>Qualus Power Services</t>
  </si>
  <si>
    <t>El Dorado, KS</t>
  </si>
  <si>
    <t>1. Full time Junior or Senior in an accredited program pursuing BS degree in electrical engineering (civil and mechanical engineering accepted).
2. Authorized to work in the United States.
3. Strong knowledge of Microsoft Office products.
...</t>
  </si>
  <si>
    <t>Mechanical Engineer Intern/Co-op Spring 2025 - Energy Solutions - CMTA</t>
  </si>
  <si>
    <t>Laborantpraktikant til QC-laboratorium i Avedøre</t>
  </si>
  <si>
    <t>Novonesis</t>
  </si>
  <si>
    <t>Denmark, IA</t>
  </si>
  <si>
    <t>1. Afsluttet den teoretiske del af laborantuddannelsen i sommeren 2024
2. Energisk og besidder gode kommunikations- og samarbejdsevner
3. Selvstændig og ansvarsfuld
...</t>
  </si>
  <si>
    <t>Engineering Assistant - Controls and Virtual Development</t>
  </si>
  <si>
    <t>FEV North America, Inc.</t>
  </si>
  <si>
    <t>1. Candidates pursuing a bachelor's degree or higher in Mechanical, Electrical/ Electronics, Mechatronics Engineering or related field
2. Minimum of 6 months of experience in MATLAB/Simulink
3. Basic understanding of internal combustion engines, electric motors, batteries and fuel cells
...</t>
  </si>
  <si>
    <t>Reinforcement Learning Research Intern for Robotics</t>
  </si>
  <si>
    <t>Greater Boston</t>
  </si>
  <si>
    <t>$40-$50 /h</t>
  </si>
  <si>
    <t>1. Pursuing a PhD, Masters, or Bachelors degree in Machine Learning, Computer Science, Robotics, or related areas.
2. Hands-on experience with reinforcement learning
3. Excellent programming skill, especially in Python
...</t>
  </si>
  <si>
    <t>Instrument Engineering Intern</t>
  </si>
  <si>
    <t>Mandeville, LA</t>
  </si>
  <si>
    <t>1. High School Diploma or GED required
2. Completion of 2 years of university course work in electrical engineering curriculum at an ABET Accredited Institution preferred
3. Ability to find a solution for or to deal proactively with work related problems
...</t>
  </si>
  <si>
    <t>Kettering University Electrical Engineering Co-op (A Section), R&amp;D - NPD</t>
  </si>
  <si>
    <t>Stryker</t>
  </si>
  <si>
    <t>Portage, MI</t>
  </si>
  <si>
    <t>1. Currently pursuing a Bachelor’s Degree in Electrical Engineering or related at Kettering University
2. Cumulative 3.0 GPA or above; must be the case at the date of hire and also will be verified during background check
3. Must be legally authorized to work in the U.S. and not require employment-based sponsorship now or in the future
...</t>
  </si>
  <si>
    <t>Electrical Engineering Intern (Power Substation Design)</t>
  </si>
  <si>
    <t>1. Pursuit of a bachelor's degree in electrical engineering from an ABET-accredited university
2. Excellent verbal and written communication skills
3. Candidate is interested in consulting engineering and the electric utility industry
...</t>
  </si>
  <si>
    <t>Test Automation Student (unpaid)</t>
  </si>
  <si>
    <t>Solvd, Inc.</t>
  </si>
  <si>
    <t>1. Currently studying Computer Science, Computer Engineering, or a similar field, or have completed a bachelor's or master's degree
2. Be able to dedicate time and effort to the program, studying, participating in classes, and completing tasks given</t>
  </si>
  <si>
    <t>Special Systems Apprentice</t>
  </si>
  <si>
    <t>Advanced Network Management</t>
  </si>
  <si>
    <t>1. Must possess at least a High School diploma or GED equivalency.
2. Must enroll in the NNMIEC special systems apprenticeship program. The apprenticeship is a 3-year program which requires 160 hours of classroom instruction annually.
3. Must possess and be proficient with the listed tools. See the required hand tool list.
...</t>
  </si>
  <si>
    <t>Mechanical Engineering Intern - Anchorage Fab Shop, AK</t>
  </si>
  <si>
    <t>Worley</t>
  </si>
  <si>
    <t>1. BA/BS college or university enrolled student seeking engineering degree or relevant field is desired.
2. Working knowledge of various computer software packages and automated engineering and design equipment (or equivalent working knowledge/experience).
3. High school diploma or equivalent (GED).</t>
  </si>
  <si>
    <t>Mechanical Engineering Intern EAST COAST - Summer 2024</t>
  </si>
  <si>
    <t>Stanley Black &amp; Decker</t>
  </si>
  <si>
    <t>1. Rising Junior or Senior, Target graduation date in 2025 or 2026
2. Mechanical Engineering, Electro-Mechanical Engineering, Industrial Engineering, Aerospace Engineering
3. Strong Academic Credentials
...</t>
  </si>
  <si>
    <t>Student Trainee (Engineering and Architecture)</t>
  </si>
  <si>
    <t>Centers for Disease Control and Prevention</t>
  </si>
  <si>
    <t>1. Must be enrolled or accepted for enrollment as a diploma, certificate, or degree-seeking student
2. Must be taking or is scheduled to take a course load at least half-time in an accredited high school, technical or vocational school, 2year or 4-year college or university, graduate or professional school
3. Must have a GPA of 2.0 or higher
...</t>
  </si>
  <si>
    <t>Round Rock, TX</t>
  </si>
  <si>
    <t>Intern, Amateur Hockey Development</t>
  </si>
  <si>
    <t>New York Islanders</t>
  </si>
  <si>
    <t>Floral Park, NY</t>
  </si>
  <si>
    <t>1. Awareness of and interest of the game of hockey- understanding the development process from 6 years old and up
2. Skates and Helmet- skills to be able to jump on the ice and participate in programming
3. Excellent writing and research skills
...</t>
  </si>
  <si>
    <t>Electrical Engineering CO-OP ( Fall 2024)</t>
  </si>
  <si>
    <t>Kaleidoscope Innovation and Product Design</t>
  </si>
  <si>
    <t>Industrial, Industrial Design</t>
  </si>
  <si>
    <t>1. Currently pursuing a Bachelor of Science in electrical engineering
2. Good analytical and problem-solving skills
3. Proficient in documentation and specification writing
...</t>
  </si>
  <si>
    <t>Mechatronics - Robotics and Controls Intern</t>
  </si>
  <si>
    <t>San Carlos, CA</t>
  </si>
  <si>
    <t>$24-$28 /h</t>
  </si>
  <si>
    <t>1. Enrolled in B.S, M.S., or Ph.D. degree in Mechanical Engineering, Aerospace Engineering, Electrical Engineering, a related Engineering specialty, or any similar field with an emphasis on Dynamic Systems and Control
2. Passion to have hands-on experience in robot manipulator kinematics, dynamics, feedback control, sensors, actuators, and embedded systems
3. Work collaboratively and efficiently in a fast-paced start-up with minimal supervision
...</t>
  </si>
  <si>
    <t>ENGINEERING CO-OP</t>
  </si>
  <si>
    <t>Advantech Industries</t>
  </si>
  <si>
    <t>Industrial Engineering, Machinery Manufacturing</t>
  </si>
  <si>
    <t>$19-$22 /h</t>
  </si>
  <si>
    <t>1. Enrollment in a Bachelor’s degree program in Engineering
2. Understanding of mechanical fasteners
3. Must have knowledge of computers and Microsoft products (Excel and Word) and the ability to work with many different file types is critical
...</t>
  </si>
  <si>
    <t>US - Houston, TX</t>
  </si>
  <si>
    <t>San Carlos, California</t>
  </si>
  <si>
    <t>Linux Engineer</t>
  </si>
  <si>
    <t>1. Knowledgeable of operating system fundamentals and computer architecture
2. Able to understand network protocols at a basic level
3. Someone who solves problems by writing code (in any language)
...</t>
  </si>
  <si>
    <t>FPGA Engineer</t>
  </si>
  <si>
    <t>1. Comfortable with a software programming language
2. Experienced with a Hardware Description (or Construction) language (VHDL, Verilog, Chisel, Pymtl, or other), for both writing and testing hardware designs
3. Experienced working with FPGA vendor tools - Vivado or Quartus
...</t>
  </si>
  <si>
    <t>Duales Studium Mechatronik (B.Eng.) im Bereich Robotik</t>
  </si>
  <si>
    <t>1. Allgemeine Hochschulreife / dem Studiengang entsprechende fachgebundene Hochschulreife
2. Gute Englischkenntnisse in Wort und Schrift
3. Interesse an innovativen Technologien und technischen Entwicklungen
...</t>
  </si>
  <si>
    <t>Mechanical Engineering Co-op (Fall 2024)</t>
  </si>
  <si>
    <t>NV5 Global</t>
  </si>
  <si>
    <t>Consulting, Industrial Engineering</t>
  </si>
  <si>
    <t>Cary, NC</t>
  </si>
  <si>
    <t>1. Must be working towards a BS Degree in Mechanical Engineering.
2. Must have excellent verbal and written communication skills along with familiarity with Microsoft Products such as Excel and Outlook.</t>
  </si>
  <si>
    <t>1. Applicant must be pursuing a 4-year degree in Civil Engineering from an ABET accredited university.
2. Detail-oriented mindset with a passion for problem-solving and continuous learning.
3. EIT, or Pursuing EIT.</t>
  </si>
  <si>
    <t>Intermittent Worker</t>
  </si>
  <si>
    <t>Greater Jackson Area</t>
  </si>
  <si>
    <t>1. Must be at least 16 years old.
2. Basic knowledge of cattle; ability to see potential health problems; ability to follow detailed instructions.
3. Must be able to operate a Kubota RTV and a 4-wheeler.
...</t>
  </si>
  <si>
    <t>USCDS Temporary Research Assistant</t>
  </si>
  <si>
    <t>Hilti North America</t>
  </si>
  <si>
    <t>1. 3rd or 4th year in engineering (BSc in Mechanical Engineering or equivalent)
2. Familiarized with CAD Drafting and Modelling (Solidworks, NX, Catia, etc.)
3. Experienced in using MS Office (Power Point, Excel)
...</t>
  </si>
  <si>
    <t>Ovivo</t>
  </si>
  <si>
    <t>1. Work ethic and willingness to learn.
2. Interest in mechanical or manufacturing.
3. Enjoy working in a manufacturing environment.
...</t>
  </si>
  <si>
    <t>Electrical Engineering Co-op Fall 2024</t>
  </si>
  <si>
    <t>TTI Floor Care</t>
  </si>
  <si>
    <t>Consumer Goods, Home Health Care</t>
  </si>
  <si>
    <t>1. High-performing college students interested in an Engineering, Product Development, or R&amp;D career
2. Proven leadership skills
3. Strong analytical and communication skills
...</t>
  </si>
  <si>
    <t>Engineering - Engineering Co-op</t>
  </si>
  <si>
    <t>Sensience</t>
  </si>
  <si>
    <t>Greater Mansfield Area</t>
  </si>
  <si>
    <t>1. Undergraduate student currently pursuing a Bachelor's Degree in Engineering (Electrical Engineering preferred) or related field
2. Excellent grammar, proofreading, writing, and editing skills
3. Strong attention to detail
...</t>
  </si>
  <si>
    <t>Media, PA</t>
  </si>
  <si>
    <t>1. Doctoral degree in chemistry, biology, or a related field
2. Skills in bench research</t>
  </si>
  <si>
    <t>Engineering Shop Apprentice - Locals only!!</t>
  </si>
  <si>
    <t>Frenchman's Creek</t>
  </si>
  <si>
    <t>Communities, Fitness</t>
  </si>
  <si>
    <t>1. High school diploma or equivalent.
2. Previous experience in a maintenance or engineering environment preferred.
3. Basic knowledge of carpentry and plumbing.
...</t>
  </si>
  <si>
    <t>Video Standards &amp; Encoding Optimization Intern</t>
  </si>
  <si>
    <t>1. A master/PhD program in computer science, electrical engineering, math, statistics, or related fields.
2. Related working experience/course work in image/video compression or image processing.
3. Proficiency in programming languages such as C/C++, Python, or similar.
...</t>
  </si>
  <si>
    <t>$5500 /wk</t>
  </si>
  <si>
    <t>Mechanical Project Engineer Intern / Co-op</t>
  </si>
  <si>
    <t>RTM Engineering Consultants</t>
  </si>
  <si>
    <t>1. Knowledge of electrical engineering drafting standards
2. Basic knowledge of electrical engineering
3. Seeking a 4-year degree in mechanical engineering
...</t>
  </si>
  <si>
    <t>La Habra, CA</t>
  </si>
  <si>
    <t>Robotics System Engineer Intern- Summer 2024</t>
  </si>
  <si>
    <t>1. Currently completing a degree in Engineering or closely related STEM field.
2. Experience working on mechanical, electrical, IT networked, or software systems.
3. Understanding of data collection, reporting processes, and ability to make data-driven decisions.
...</t>
  </si>
  <si>
    <t>Hardware Test Automation Engineering Intern [Fall 2024]</t>
  </si>
  <si>
    <t>Zipline</t>
  </si>
  <si>
    <t>Delivery, Drones</t>
  </si>
  <si>
    <t>$36-$40 /h</t>
  </si>
  <si>
    <t>1. Experience programming in Python with some knowledge of embedded C
2. Experience developing software that interfaces directly with hardware and instrumentation
3. Experience navigating data sheets and writing basic drivers for new components
...</t>
  </si>
  <si>
    <t>Logistics Packaging Intern</t>
  </si>
  <si>
    <t>AmerCareRoyal</t>
  </si>
  <si>
    <t>1. Currently pursuing Packaging Engineering or Science Degree
2. Highly energetic, creative, and motivated individuals possessing excellent communication skills
3. Demonstrated ability to translate business objectives into strategic and tactical project goals
...</t>
  </si>
  <si>
    <t>Highland, NY</t>
  </si>
  <si>
    <t>$15.0-$15.3 /h</t>
  </si>
  <si>
    <t>Hardware Development Engineer Fall Internship – 2024 (US)</t>
  </si>
  <si>
    <t>$37.16-$88.94 /h</t>
  </si>
  <si>
    <t>1. Currently working towards a Bachelor’s or Master's Degree in Electrical Engineering, Computer Engineering, Systems Engineering, or other equivalent discipline, with an expected conferral date between May 2025 – December 2028.
2. Embedded systems projects experience.
3. Analog and digital skills with embedded systems experience.
...</t>
  </si>
  <si>
    <t>El Monte, CA</t>
  </si>
  <si>
    <t>Pasco, WA</t>
  </si>
  <si>
    <t>$16.3-$16.6 /h</t>
  </si>
  <si>
    <t>Rancho Palos Verdes, CA</t>
  </si>
  <si>
    <t>$16.9-$17.2 /h</t>
  </si>
  <si>
    <t>$17.0-$17.3 /h</t>
  </si>
  <si>
    <t>Systems Modeling Engineering Intern [Fall 2024]</t>
  </si>
  <si>
    <t>1. A drive to help people and make the world a better place
2. Passion for tackling challenging multidisciplinary problems
3. A strong grasp of classical physics
...</t>
  </si>
  <si>
    <t>Rancho Cucamonga, CA</t>
  </si>
  <si>
    <t>Chainlink Labs</t>
  </si>
  <si>
    <t>Blockchain, Internet</t>
  </si>
  <si>
    <t>1. B.S. in computer science or equivalent professional experience along with coursework in algorithms and data structures and discrete math.
2. Familiarity with academic process and ability to engage with existing literature on relevant research topics, e.g. by performing literature searches and comprehending papers in a wider context.
3. Professional software development experience is required.</t>
  </si>
  <si>
    <t>Postdoctoral Research Associate - In situ Neutron Scattering of Energy Materials</t>
  </si>
  <si>
    <t>1. A PhD in material science, chemistry, chemical engineering, condensed matter physics, or a related field completed within the last 5 years.</t>
  </si>
  <si>
    <t>Automation Intern</t>
  </si>
  <si>
    <t>1. High School Diploma or GED required
2. Interest in computer programming, industrial control systems, robotics or other highly technical systems
3. Valid driver’s license
...</t>
  </si>
  <si>
    <t>2026-2027 Thoracic Pathology Fellow</t>
  </si>
  <si>
    <t>UW School of Medicine and Public Health</t>
  </si>
  <si>
    <t>1. MD or DO or equivalent
2. Graduate of a certified U.S. based pathology residency program
3. Unrestricted WI Medical License required by start date
...</t>
  </si>
  <si>
    <t>Marina, CA</t>
  </si>
  <si>
    <t>2025-2026 GI/Liver Pathology Fellow</t>
  </si>
  <si>
    <t>1. MD, MD/PhD or DO terminal degree
2. At least a PGY2 in a certified residency training program
3. Program completion at time of hire
...</t>
  </si>
  <si>
    <t>$14.45-$14.75 /h</t>
  </si>
  <si>
    <t>R&amp;D Process Intern (f/m/d)</t>
  </si>
  <si>
    <t>MHP – A Porsche Company</t>
  </si>
  <si>
    <t>1. US Citizen or authorization to work in the US
2. Located in Atlanta, GA with ability to travel up to 100%
3. Able to start working no later than May or June 2024, full-time hours (40 hours per week)
...</t>
  </si>
  <si>
    <t>Modesto, CA</t>
  </si>
  <si>
    <t>Research Seasonal Employee - Fort Branch, IN</t>
  </si>
  <si>
    <t>Fort Branch, IN</t>
  </si>
  <si>
    <t>Process Engineer Intern or Co-op (ALD)</t>
  </si>
  <si>
    <t>1. Pursuing an MS or PhD degree in an engineering discipline or related field of study (certain science disciplines also acceptable, e.g., Material science, Chemistry, Physics).
2. Must have U.S. Work authorization
3. Basic semiconductor processing fundamentals or experience.
...</t>
  </si>
  <si>
    <t>AI Security Research Scientist Intern - 2024 Off Cycle (PhD)</t>
  </si>
  <si>
    <t>1. Ph.D. degree in Computer Science with the specific focus on AI, safety/security, or related fields.
2. Demonstrated experience in conducting AI research with published papers or presentations in recognized conferences or technical forums.
3. Proficiency in programming languages such as Python, R, or Java, and familiarity with AI/ML frameworks like TensorFlow or PyTorch.
...</t>
  </si>
  <si>
    <t>$17.55-$17.85 /h</t>
  </si>
  <si>
    <t>$16.8-$17.1 /h</t>
  </si>
  <si>
    <t>2024 Fall Undergraduate Co-op – Reliability Engineering</t>
  </si>
  <si>
    <t>MKS Instruments</t>
  </si>
  <si>
    <t>1. Enrolled in a Bachelor’s Degree program for Engineering (Electrical, Electronic Technology, Computer Engineering Technology)
2. Must have working knowledge and understanding of electronics and semiconductor devices, including analog and digital circuits
3. Experience reading circuit schematics and datasheets
...</t>
  </si>
  <si>
    <t>Escondido, CA</t>
  </si>
  <si>
    <t>Process Development Intern</t>
  </si>
  <si>
    <t>PRISM Plastics</t>
  </si>
  <si>
    <t>Manufacturing, Plastics and Rubber Manufacturing</t>
  </si>
  <si>
    <t>Meadville, PA</t>
  </si>
  <si>
    <t>1. Bachelor's degree in Engineering or related field
2. Experience in new product development projects
3. Ability to perform design proposals, testing, feasibility analysis, mathematical modeling, sample building, and manufacturing processes assessment
...</t>
  </si>
  <si>
    <t>Hicksville, NY</t>
  </si>
  <si>
    <t>$15.0-$16.3 /h</t>
  </si>
  <si>
    <t>Data Engineer (Skillbridge Intern) - 18377</t>
  </si>
  <si>
    <t>1. Active-Duty Military within final 180 days of active-duty service
2. Minimum of 5 years relevant data engineering experience with Bachelors in related field; 3 years relevant experience with Masters in related field; or High School Diploma or equivalent and 9 years relevant experience</t>
  </si>
  <si>
    <t>Dublin, CA</t>
  </si>
  <si>
    <t>$16.0-$17.4 /h</t>
  </si>
  <si>
    <t>Tulare, CA</t>
  </si>
  <si>
    <t>San Pedro, CA</t>
  </si>
  <si>
    <t>Ainsworth</t>
  </si>
  <si>
    <t>1. In progress towards a college degree or associates degree.
2. General knowledge of estimating techniques and cost control methods.
3. Ability to perform mathematical calculations.
...</t>
  </si>
  <si>
    <t>I&amp;E Drafting Intern</t>
  </si>
  <si>
    <t>1. High School Diploma or GED required
2. AutoCAD software experience required
3. Ability to find a solution for or to deal proactively with work related problems
...</t>
  </si>
  <si>
    <t>Delta, CO</t>
  </si>
  <si>
    <t>Low Voltage Electrical Engineering Cooperative Education Student</t>
  </si>
  <si>
    <t>Norcross, GA</t>
  </si>
  <si>
    <t>1. Electrical Engineering student
2. Low Voltage Electrical systems and design knowledge (telecommunication, audio-visual, security systems)
3. Familiarity with legal codes
...</t>
  </si>
  <si>
    <t>Anacortes, WA</t>
  </si>
  <si>
    <t>Lamont, CA</t>
  </si>
  <si>
    <t>1. Currently pursuing a Bachelor's Degree in Electrical Engineering</t>
  </si>
  <si>
    <t>Control Systems Engineer Co-Op (Fall 2024)</t>
  </si>
  <si>
    <t>Ingredion Incorporated</t>
  </si>
  <si>
    <t>Brewing, Food and Beverage</t>
  </si>
  <si>
    <t>Bedford Park, IL</t>
  </si>
  <si>
    <t>1. Progress towards a Bachelor’s degree program in Electrical/Computer Engineering, Chemical Engineering or Mechanical Engineering with a minimum GPA of at least 3.0/4.0 preferred
2. Ability to work 40hrs per week during the co-op term (August - December 2024)
3. Skills and a demonstrated interest in computers and programming, with knowledge in one or more language preferred
...</t>
  </si>
  <si>
    <t>Intern, Research and Development</t>
  </si>
  <si>
    <t>Sig Sauer</t>
  </si>
  <si>
    <t>Manufacturing, Sporting Goods</t>
  </si>
  <si>
    <t>Jacksonville, AR</t>
  </si>
  <si>
    <t>1. Candidate for Bachelor of Science in Mechanical Engineering or a related discipline.
2. Advanced coursework in thermodynamics, fluids, materials, mechanisms, CAD, or similar fields preferred. Prior CO-OP, internship, or design project work preferred.
3. Must have basic proficiency in report creation.
...</t>
  </si>
  <si>
    <t>C-PCS Chembio Postdoc</t>
  </si>
  <si>
    <t>1. Research areas of interest/focus in biochemistry, biology, biophysics, chemical biology, chemistry, physical chemistry, or related fields.
2. Demonstrated experience with protein purification and characterization.
3. Willingness to work with potentially hazardous chemical and biological materials.
...</t>
  </si>
  <si>
    <t>PhD Research Intern, Generalist Embodied Agents Research - Fall 2024</t>
  </si>
  <si>
    <t>$16-$88 /h</t>
  </si>
  <si>
    <t>1. Pursuing a PhD degree in Computer Science/Engineering, Electrical Engineering, etc.
2. Outstanding engineering skills in rapid prototyping and model training frameworks (PyTorch, Jax, Tensorflow, etc.). Python is required; C++ and CUDA proficiencies are a plus.
3. Excellent skills in working with large-scale machine learning/AI systems and compute infrastructure.
...</t>
  </si>
  <si>
    <t>CAE Engineering Student (Fall)</t>
  </si>
  <si>
    <t>1. Minimum 3.0 GPA required.
2. Enrolled in an engineering program with an accredited school.
3. Understand the basics of mechanical engineering design and product development.
...</t>
  </si>
  <si>
    <t>RDI Packaging Intern</t>
  </si>
  <si>
    <t>TreeHouse Foods</t>
  </si>
  <si>
    <t>Food and Beverage, Hospitality</t>
  </si>
  <si>
    <t>1. 2 years completed in college packaging curriculum &amp; currently enrolled in that curriculum
2. Ability to interact and collaborate with RDI groups, external resources, suppliers and consultants to achieve project objectives
3. Aptitude for project management, negotiation and technical team management skills
...</t>
  </si>
  <si>
    <t>Biological Sciences Graduate Internship Program</t>
  </si>
  <si>
    <t>1. Experience working with DNA sequencing technologies, bioinformatics pipeline development or software engineering.
2. Experience in genomics data analysis, such as transcriptomics, genome assembly, genome annotation, or variant calling analysis pipelines.
3. Experience working in command line environments and with computational cluster submission tools (such as SLURM).
...</t>
  </si>
  <si>
    <t>Engineer Intern (Summer 2024) - Facade</t>
  </si>
  <si>
    <t>1. Undergraduate or graduate student with a concentration in engineering or architecture
2. Excellent academic record</t>
  </si>
  <si>
    <t>Research Scientist, Efficient Deep Learning - New College Grad 2024</t>
  </si>
  <si>
    <t>$160,000-$253,000 /yr</t>
  </si>
  <si>
    <t>1. Completing or recently completed a Ph.D. in Computer Science/Engineering, Electrical Engineering, etc., or have equivalent research experience.
2. Excellent knowledge of theory and practice of computer vision methods, as well as deep learning.
3. Background in pruning, quantization, NAS, efficient backbones, and so on, is expected.
...</t>
  </si>
  <si>
    <t>Postdoctoral Research Associate - Pharmacy and Pharmaceutical Sciences</t>
  </si>
  <si>
    <t>St Jude Children’s Research Hospital</t>
  </si>
  <si>
    <t>Biotechnology, Charity</t>
  </si>
  <si>
    <t>$70012-$84510 /yr</t>
  </si>
  <si>
    <t>1. Recent doctoral degree (PhD, MD, PharmD, or combined degrees)
2. General background in pharmacology and genomics
3. Familiarity with leukemia modeling and anti-leukemic drug evaluation in vitro and in vivo</t>
  </si>
  <si>
    <t>Jamestown, NY</t>
  </si>
  <si>
    <t>Civil Engineering Interns / Co-ops - Fall 2024</t>
  </si>
  <si>
    <t>Pittsburgh Region</t>
  </si>
  <si>
    <t>1. Student actively pursuing a four year or advanced degree in Civil Engineering
2. Cumulative GPA of 3.0 or greater is preferred
3. Working knowledge of AutoCAD or Civil 3D, and Microsoft Office Suite applications
...</t>
  </si>
  <si>
    <t>Intern/co-op Refining Mechanical Engineering Fall 2024</t>
  </si>
  <si>
    <t>$30.46-$39.72 /h</t>
  </si>
  <si>
    <t>1. Candidates must be majoring in Mechanical Engineering
2. Strong academic performance
3. Candidates must be authorized to work in the US on a full-time indefinite basis without the need for employment visa sponsorship now or in the future
...</t>
  </si>
  <si>
    <t>Engineer In Training I</t>
  </si>
  <si>
    <t>Raba Kistner, Inc.</t>
  </si>
  <si>
    <t>1. Bachelor’s of Science degree in Engineering accredited by the Engineering Accreditation Commission of the Accreditation Board for Engineering and Technology (EAC/ABET)
2. Good oral and written communications skills
3. Ability to work in teams at different levels within the organization
...</t>
  </si>
  <si>
    <t>1. Learning role with 1 to 2 years of experience
2. Assists in the creation of design specifications for a limited variety of complex components and/or systems
3. Consults with senior engineers concerning design specifications, manufacturing processes, and legal, safety, and government requirements
...</t>
  </si>
  <si>
    <t>New Graduate Civil Engineer - Petoskey</t>
  </si>
  <si>
    <t>OHM Advisors</t>
  </si>
  <si>
    <t>Petoskey, MI</t>
  </si>
  <si>
    <t>1. Bachelor's degree in Civil Engineering or related field required with an interest in Municipal, Transportation, Site Design, and/or Field Service Engineering
2. Proficient in the use of Microsoft Office Suite.</t>
  </si>
  <si>
    <t>Engineering Student CO-OP: Space &amp; Propulsion Systems (Spring 2025)</t>
  </si>
  <si>
    <t>1. U. S. Citizen
2. Ability to obtain and maintain a government security clearance
3. Completed freshman year in aerospace, mechanical, or materials engineering
...</t>
  </si>
  <si>
    <t>8th Avenue Food &amp; Provisions</t>
  </si>
  <si>
    <t>Consumer Goods, Food Processing</t>
  </si>
  <si>
    <t>Winchester, VA</t>
  </si>
  <si>
    <t>1. Must have excellent verbal, written, and interpersonal communication skills.
2. Must have experience with mS Office (Outlook, Word, Excel, PPT)
3. Must be able to deal with multiple priorities in a fast-paced manufacturing environment.
...</t>
  </si>
  <si>
    <t>$17.35-$17.8 /h</t>
  </si>
  <si>
    <t>1. PhD or MD with research experience in biochemistry, neuroscience, microbiology, molecular biology, and/or physiology
2. Handling of laboratory mice, computer skills and typical office productivity tools (e.g., Office)</t>
  </si>
  <si>
    <t>College Intern - Engineering, CPA, (Multiple PN's)</t>
  </si>
  <si>
    <t>Allen, OH</t>
  </si>
  <si>
    <t>1. Must currently be enrolled in a college or university and in good academic standing.
2. Must show proof of valid driver's license in order to operate state vehicle.
3. Technical Skills: Transportation, Civil Engineering
...</t>
  </si>
  <si>
    <t>San Bernardino, CA</t>
  </si>
  <si>
    <t>Machine Learning Engineer Graduate (E-commerce Intelligent Customer Service) - 2024 Start (Phd)</t>
  </si>
  <si>
    <t>$129200-$194750 annually</t>
  </si>
  <si>
    <t>1. Phd's degree in Computer Science or related fields
2. Graduate with a background in Software Development, Computer Science, Computer Engineering, or a related technical discipline
3. Experience with software development in at least one of the following programming languages: C++, Python, Go, Java
...</t>
  </si>
  <si>
    <t>St Paul Park, MN</t>
  </si>
  <si>
    <t>Robotics Systems Dev Engineer Co-op - July-Dec 2024</t>
  </si>
  <si>
    <t>Prince Contracting</t>
  </si>
  <si>
    <t>1. Currently enrolled in an accredited University or College as an Engineering Students working toward a B.S. in Civil Engineering with emphasis in Construction Engineering and Management (CEM)
2. Excellent verbal and written communication skills
3. Proficiency with Excel, Word, Primavera 6, Agtek and Terra Model</t>
  </si>
  <si>
    <t>Lab Tech I, Per Diem</t>
  </si>
  <si>
    <t>Valley Health System</t>
  </si>
  <si>
    <t>Ridgewood, NJ</t>
  </si>
  <si>
    <t>1. Medical technology student currently enrolled in a hospital/university medical technology program
2. Consistent with New Jersey Department of Health technical personnel qualifications, i.e. CLIA
3. Ability to perform work accurately with attention to detail within specified time periods
...</t>
  </si>
  <si>
    <t>1. 2 semesters of computational programming experience in languages like C/C++, Fortran, Python, Matlab, etc. Any combination of: programming-specific courses, research projects that involve programming, and courses that require programming to complete assignments would satisfy this requirement.
2. Completed a written scientific or technical report, scientific literature review, or oral presentation in a classroom, professional, or scientific conference setting.
3. Currently enrolled in or admitted to a relevant graduate degree program (math- or physics-based earth or space science or similar fields).
...</t>
  </si>
  <si>
    <t>Intern/co-op Logistics and Storage Engineering Spring 2025</t>
  </si>
  <si>
    <t>Elizabeth, CO</t>
  </si>
  <si>
    <t>Engineer I</t>
  </si>
  <si>
    <t>Ardurra</t>
  </si>
  <si>
    <t>1. Bachelor of Science degree in Civil Engineering from an ABET accredited institution
2. Engineer Intern Certification or ability to obtain within 6 months from date of hire
3. 0-2 years of experience</t>
  </si>
  <si>
    <t>Process Engineering Intern (St. Paul, MN) - Summer 2024</t>
  </si>
  <si>
    <t>1. Pursuit of a Mechanical, Chemical, or related Engineering degree from an ABET-accredited program
2. Experience with CAD / Revit design software is preferable
3. Excellent organizational, communication, collaboration, and analytical skills</t>
  </si>
  <si>
    <t>Marty Faubell Broadcasting Technology Fellowship</t>
  </si>
  <si>
    <t>Hearst Television Inc.</t>
  </si>
  <si>
    <t>1. Completing senior year of college or technical school
2. Active interest and focus on Engineering and Information Technology
3. Strong academic record
...</t>
  </si>
  <si>
    <t>Machine Learning Engineer Intern (Monetization Technology-Ads Core Technology)- 2024 Start (BS/MS/PhD))</t>
  </si>
  <si>
    <t>1. Currently pursuing a Bachelor's/Master's Degree in Computer Science, Mathematics, Statistics, or a related technical discipline with 2+ years research or machine learning modeling experience.
2. Solid programming skills, proficient in C/C++ and Python. Familiar with basic data structure and algorithms. Familiar with Linux development environment.
3. Good analytical thinking capability. Essential knowledge and skills in statistics.
...</t>
  </si>
  <si>
    <t>Hourly0-Hourly999.99 /h</t>
  </si>
  <si>
    <t>Tool &amp; Die Intern</t>
  </si>
  <si>
    <t>Molex</t>
  </si>
  <si>
    <t>Electronics, Logistics</t>
  </si>
  <si>
    <t>1. Currently pursuing or have received a technical degree in Machine Tool / equivalent OR completion of an apprenticeship program
2. Basic knowledge of precision machining and surface grinding
3. Ability to lift 50lbs</t>
  </si>
  <si>
    <t>GE Healthcare</t>
  </si>
  <si>
    <t>Apps, Health Care</t>
  </si>
  <si>
    <t>Florence, SC</t>
  </si>
  <si>
    <t>1. Pursuing a degree in Mechanical Engineering, Electrical Engineering, Biomedical Engineering, Physics, or equivalent major
2. Sophomore year minimum
3. GPA: 3.0
...</t>
  </si>
  <si>
    <t>Electrical Engineering Co-Op - Spring 2025</t>
  </si>
  <si>
    <t>1. Enrollment in a 4-year accredited degree program, working towards a BS in Mechanical, Manufacturing, Electrical, Software Engineering or other applicable degree
2. Working knowledge and experience with design of experiments, problem solving, Excel and 3D Modeling
3. Ability to relate technical knowledge to job-related duties
...</t>
  </si>
  <si>
    <t>Aberdeen, WA</t>
  </si>
  <si>
    <t>Redding, CA</t>
  </si>
  <si>
    <t>Electrical Engineering Internship</t>
  </si>
  <si>
    <t>Sparton</t>
  </si>
  <si>
    <t>De Leon Springs, FL</t>
  </si>
  <si>
    <t>1. Active pursuit of a Bachelor or Graduate degree at an Accredited Institution and be able to provide documentation to confirm your degree progress.
2. Must have unrestricted authorization to work in the U.S. without holding a visa or sponsorship.
3. Current class standing of sophomore or above (30 credits).
...</t>
  </si>
  <si>
    <t>$71-$71 /h</t>
  </si>
  <si>
    <t>Civil Engineering Intern - Fall 2024</t>
  </si>
  <si>
    <t>$15-$25 /h</t>
  </si>
  <si>
    <t>1. Enrollment in an ABET-accredited bachelor’s or Masters degree program in Civil Engineering</t>
  </si>
  <si>
    <t>Intralox Baltimore Engineering Co-Op: Fall Semester 2024</t>
  </si>
  <si>
    <t>Intralox</t>
  </si>
  <si>
    <t>1. Sophomore or higher in Accredited Mechanical Engineering Program with 3.0 GPA or higher.
2. Excellent written and verbal communication skills.
3. Comfortable with using measuring devices, hand tools, and reading and understanding electrical schematics, P&amp;ID, and mechanical drawings
...</t>
  </si>
  <si>
    <t>Amazon Robotics - Software Development Engineer Co-Op - Fall 2024</t>
  </si>
  <si>
    <t>1. Currently enrolled in college/university and must have at least one semester/term/quarter of school left to complete after the end of the co-op
2. Must be eligible and available for a full-time (40h / week) 5+ month co-op between July to December 2024</t>
  </si>
  <si>
    <t>Communications/DSP Engineer — Intern (Fall 2024)</t>
  </si>
  <si>
    <t>1. A passion for working in a fast-paced environment and constantly learning
2. Strong fundamentals in "signals and systems" (basic transforms, filters, aliasing, analysis in both continuous and discrete domains, interpolation, decimation, etc)
3. Strong fundamentals in digital communications (modulation, coding, synchronization, fading, doppler, multiple access, channel capacity, etc)
...</t>
  </si>
  <si>
    <t>Chula Vista, CA</t>
  </si>
  <si>
    <t>Electrical Engineers - 2024 Summer Internships</t>
  </si>
  <si>
    <t>Cranberry Township, PA</t>
  </si>
  <si>
    <t>1. Pursuing or completed Bachelor's Degree in Electrical Engineering Required
2. Minimum GPA of 3.0 strongly preferred
3. US Citizen or Permanent Resident
...</t>
  </si>
  <si>
    <t>Traffic Intern / Co-op - Fall 2024</t>
  </si>
  <si>
    <t>1. Student actively pursuing a four year or advanced degree in Civil or Traffic Engineering / Transportation Planning
2. Cumulative GPA of 3.0 or greater is preferred
3. Familiarity with HCS, SYNCHRO and the MUTCD is highly desirable
...</t>
  </si>
  <si>
    <t>Research Intern (Multimodal/AIGC - Content Understanding) - 2024 Off Cycle (PHD)</t>
  </si>
  <si>
    <t>1. Currently pursuing PHD degree
2. Graduating December 2024 onwards with the intent to return to degree program after the completion of the internship
3. Degree in computer science, electrical engineering or related fields
...</t>
  </si>
  <si>
    <t>Research Scientist Graduate (TikTok AI Privacy) - 2024 Start (PhD)</t>
  </si>
  <si>
    <t>$129200-$194750 /yr</t>
  </si>
  <si>
    <t>1. PhD in Privacy, Security, Machine Learning, experience working on related research.
2. Demonstrated expertise in measurable AI privacy including quantized privacy risk measurement, differential privacy, membership inference attack, interpretable AI, AI fairness, synthetic data generation for AI, adversarial machine learning, etc.
3. Proven records of publications and awards in top security and other related academic conferences.
...</t>
  </si>
  <si>
    <t>Flight Test Engineer Intern</t>
  </si>
  <si>
    <t>1. Undergraduate class standing of 3rd year or higher (or graduate student)
2. Has completed or is pursuing a Bachelor of Science in Aerospace, Mechanical, or Electrical Engineering (or equivalent)
3. Excellent computer skills – proficiency with day-to-day applications used for email, word processing, etc., as well as data analysis experience using MATLAB, Python, or similar
...</t>
  </si>
  <si>
    <t>Systems Intern for Gastronomy Robotics</t>
  </si>
  <si>
    <t>1. Pursuing Masters, or Bachelors degree in Computer Science, Robotics or related areas.
2. Knowledge and desire to write clean well tested code
3. Excellent programming skill in Python or C++
...</t>
  </si>
  <si>
    <t>Property Development Intern - Summer '24</t>
  </si>
  <si>
    <t>QTS Realty Trust</t>
  </si>
  <si>
    <t>Cloud Computing, Cloud Infrastructure</t>
  </si>
  <si>
    <t>1. Pursuing Bachelor’s degree in Engineering or Construction Management field
2. Experience with Microsoft Office suite, specifically PowerPoint for use in communicating program updates to executive level, and MS Excel to create and maintain site program &amp; individual project budgets
3. Excellent interpersonal skills with the ability to interface with all levels of the organization
...</t>
  </si>
  <si>
    <t>1. Bachelor's degree in Civil Engineering (with Traffic/Transportation focus preferred)
2. Minimum 3.0 GPA
3. 0+ years experience
...</t>
  </si>
  <si>
    <t>Signals &amp; Communications Apprentice- EN</t>
  </si>
  <si>
    <t>Canadian National Railway</t>
  </si>
  <si>
    <t>1. Grade 12 Diploma or General Educational Development (GED)
2. Completion of a Bachelor’s Degree, or a 2- or 3-year College level program in Electronics, Engineering or other related field such as Physics or Mathematics
3. Successful completion of CN’s apprenticeship program, including in-class theory and laboratory work, as well as hands-on skill development in the field
...</t>
  </si>
  <si>
    <t>Redlands, CA</t>
  </si>
  <si>
    <t>LLM Software Engineer/Researcher Graduate (Applied Machine Learning)- 2024 Start (PhD)</t>
  </si>
  <si>
    <t>$112200-$147000 annually</t>
  </si>
  <si>
    <t>1. Ph.D./Master in Computer Science, Artificial Intelligence, or a related field
2. Prior experience working with training and inference of large language models
3. Strong understanding of cutting-edge LLM research (e.g., long context, multi modality, alignment research etc.) and practical expertise in implementing these advanced systems
...</t>
  </si>
  <si>
    <t>Materials Engineer (SkillBridge Intern) - 12904</t>
  </si>
  <si>
    <t>1. Active-Duty Military ONLY within final 180 days of active-duty service.
2. Bachelor's degree in Materials Science and Engineering, Mechanical Engineering or Chemical Engineering required</t>
  </si>
  <si>
    <t>Process Engineering Intern</t>
  </si>
  <si>
    <t>1. High School Diploma or GED required
2. Completion of 2 years of university course work in a chemical engineering curriculum at an ABET Accredited Institution preferred
3. Ability to find a solution for or to deal proactively with work related problems</t>
  </si>
  <si>
    <t>Derby, NY</t>
  </si>
  <si>
    <t>Lompoc, CA</t>
  </si>
  <si>
    <t>Oneida, NY</t>
  </si>
  <si>
    <t>Engineering College Coop</t>
  </si>
  <si>
    <t>International Flavors &amp; Fragrances</t>
  </si>
  <si>
    <t>1. Currently working towards a Bachelor of Science degree in Engineering
2. GPA of 3.0 or better
3. Ability to work full-time (40 hours per week) while not attending classes
...</t>
  </si>
  <si>
    <t>Engineering Student Experience</t>
  </si>
  <si>
    <t>Bobcat Company</t>
  </si>
  <si>
    <t>Litchfield, MN</t>
  </si>
  <si>
    <t>1. Freshman, Sophomore, Junior, or Senior standing in Engineering field
2. 3.0 or higher GPA preferred
3. Be able to commit full-time to Bobcat for the entire term of the co-op (8 months) or internship (4-months)
...</t>
  </si>
  <si>
    <t>Camarillo, CA</t>
  </si>
  <si>
    <t>Oceanside, CA</t>
  </si>
  <si>
    <t>Co-op: Engineering (Fall 2024) - Grand Rapids, MI</t>
  </si>
  <si>
    <t>1. Actively enrolled in a bachelor’s degree program in engineering at an accredited institution
2. Must have a combined GPA of 2.8 or higher
3. Legally authorized to work in the United States without company sponsorship on a continual permanent basis
...</t>
  </si>
  <si>
    <t>AI Research Scientist Graduate (Applied Machine Learning) - 2024 Start (PhD)</t>
  </si>
  <si>
    <t>1. PhD graduate in Computer Science, Computer Engineering, or a relevant technical field.
2. Solid programming skills, good programming styles and working habits
3. Strong sense of responsibility, good learning ability, communication ability, and self-motivation.
...</t>
  </si>
  <si>
    <t>Bell Gardens, CA</t>
  </si>
  <si>
    <t>2024 ASIC Physical Design Engineer Intern, Annapurna Labs</t>
  </si>
  <si>
    <t>$104000-$212200 /yr</t>
  </si>
  <si>
    <t>1. Enrolled in a Bachelors’ degree program or higher in Electrical Engineering, Computer Engineering, or a related field with a graduation conferral date between December 2024 and September 2025
2. Scripting internship/project experience with Python, Perl or equivalent
3. Strong understanding of VLSI circuit design fundamentals
...</t>
  </si>
  <si>
    <t>Cicero, NY</t>
  </si>
  <si>
    <t>2025-2026 PET-CT/Molecular Imaging Fellow</t>
  </si>
  <si>
    <t>1. MD, DO, or equivalent
2. 4 years of residency
3. Wisconsin medical license
...</t>
  </si>
  <si>
    <t>Montrose, CO</t>
  </si>
  <si>
    <t>Thermal Engineer — Associate Program (Fall 2024)</t>
  </si>
  <si>
    <t>1. Have a four-year degree in mechanical, aerospace, or equivalent technical degree (e.g. physics or applied math)
2. A passion and enthusiasm for hardware development, including working in a fast-paced environment and hands-on design and development
3. Demonstrated ability to personally design, build, and test hardware from scratch
...</t>
  </si>
  <si>
    <t>Postdoctoral Scholar - Research Associate</t>
  </si>
  <si>
    <t>University of Southern California</t>
  </si>
  <si>
    <t>LA Metro Area</t>
  </si>
  <si>
    <t>$70000-$72000 /yr</t>
  </si>
  <si>
    <t>1. Ph.D. (or equivalent qualification) in genetics, epidemiology, biostatistics, computer science, bioinformatics, computational biology, or a related field
2. Proficiency in one or more programming languages (e.g. R, python, etc.) is required</t>
  </si>
  <si>
    <t>Queensbury, NY</t>
  </si>
  <si>
    <t>Mechatronics Engineering Intern [Fall 2024]</t>
  </si>
  <si>
    <t>1. Robust experience designing and actually building multiple mechatronics systems outside of the classroom
2. Solid mechanical engineering fundamentals for sizing parts and integrating into design with minimal help
3. Automation experience from working with actuators and Raspberry Pi’s (or similar)
...</t>
  </si>
  <si>
    <t>Goshen, NY</t>
  </si>
  <si>
    <t>$15.0-$15.35 /h</t>
  </si>
  <si>
    <t>Geotechnical Engineering Intern / Co-op - Fall 2024</t>
  </si>
  <si>
    <t>1. A student actively pursuing a 4-year or advanced degree in Civil or Geotechnical Engineering; Geotechnical coursework preferred
2. Working knowledge of AutoCAD and Microsoft Office Suite applications
3. Excellent written and verbal communication skills
...</t>
  </si>
  <si>
    <t>Delhi, NY</t>
  </si>
  <si>
    <t>Civil Engineering Intern / Co-op - Fall 2024/Winter 2025</t>
  </si>
  <si>
    <t>Performance Soultions: Fall 2024 Engineering Co-op</t>
  </si>
  <si>
    <t>Tenneco</t>
  </si>
  <si>
    <t>Automotive, Industrial Design</t>
  </si>
  <si>
    <t>Monroe, MI</t>
  </si>
  <si>
    <t>1. Pursuing Mechanical Engineering Degree
2. Expecting work and school alternating semesters; full-time work
3. Eligible to work in US after graduation with no sponsorship</t>
  </si>
  <si>
    <t>CAD Designer - Entry Level</t>
  </si>
  <si>
    <t>1. Associate's degree, certification, or equivalent experience in drafting, civil technology, engineering technology, or a similar area of study
2. Prior relevant internship or professional experience using AutoCAD (Civil 3D a plus) in site/civil land development design, including site planning, grading, stormwater management, drainage, and soil erosion is desired
3. Familiarity with local, state, and federal land use permitting
...</t>
  </si>
  <si>
    <t>Fiber Design Intern (OSP Fiber Design/GIS)</t>
  </si>
  <si>
    <t>HR Green, Inc.</t>
  </si>
  <si>
    <t>$15-$26 /h</t>
  </si>
  <si>
    <t>1. Pursuing a certificate program, associate’s degree (A. A.), bachelor’s degree or equivalent from two-year, four year or technical school
2. Must possess basic skills in specific software such as ESRI ArcGIS</t>
  </si>
  <si>
    <t>Environmental Engineer Intern (Internship)</t>
  </si>
  <si>
    <t>ERM</t>
  </si>
  <si>
    <t>1. Currently working towards a BS or MS in environmental engineering, environmental science, geology, or other related discipline; Minimum 3.2 GPA.
2. Effective written/verbal communication and organization/analytical skills; experience recording/writing detailed technical data and reports a plus.
3. Ability to multi-task, maintain flexibility, travel, and work independently with minimal supervision.
...</t>
  </si>
  <si>
    <t>Postdoctoral Research Associate- Oncology</t>
  </si>
  <si>
    <t>1. PhD in a relevant field (e.g., molecular biology, oncology, cell biology)
2. Excellent communication skills
3. Ability to work independently and as part of collaborative research efforts
...</t>
  </si>
  <si>
    <t>Cyber Security Analyst Co-op Summer/Fall 2024</t>
  </si>
  <si>
    <t>1. Current undergraduate or graduate student in good standing in the areas of Information Security or related studies
2. Sophomore and junior students are preferred
3. US Citizenship or Permanent Green Card Status is required; position requires access to controlled documents
...</t>
  </si>
  <si>
    <t>Werkstudent im Bereich HSE (m/w/d)</t>
  </si>
  <si>
    <t>1. Laufendes Studium im ingenieurtechnischen oder naturwissenschaftlichen Bereich, gerne im Bereich Umwelt- und Arbeitssicherheit, Recht oder einer verwandten Disziplin
2. Sorgfältige und strukturierte Arbeitsweise
3. Teamfähigkeit und hohe Eigeninitiative sowie Problemlösungsfähigkeit
...</t>
  </si>
  <si>
    <t>1. Sophomore standing or above, pursuing a degree in Mechanical Engineering
2. A basic understanding of heat transfer and its application to assigned products and of the customer's product and end use are required
3. Knowledge of structural design, manufacturing processes and computer methods are necessary
...</t>
  </si>
  <si>
    <t>Guidance, Navigation, &amp; Controls (GNC) Intern [Fall 2024]</t>
  </si>
  <si>
    <t>1. Your applied math skills stand out even among aerospace engineers.
2. You think simulations and working with hardware are both fun.
3. You have owned and developed controls solutions for a team project, thesis, or competition
...</t>
  </si>
  <si>
    <t>Early Career Electrical Engineers</t>
  </si>
  <si>
    <t>1. BS in Electrical Engineering
2. Advanced degree in similar fields
3. 0-2 years of experience in an engineering role
...</t>
  </si>
  <si>
    <t>Oregon Health &amp; Science University</t>
  </si>
  <si>
    <t>1. Ph.D. in relevant field of study (Neuroscience and/or Biophysics or Computational Physics)
2. Direct experience in studies of neurons, synapses and/or brain circuits
3. Knowledge and experience with computational and cellular techniques
...</t>
  </si>
  <si>
    <t>1. Education: MD or Ph.D. in relevant field
2. Skill in collecting, organizing, and analyzing data
3. Ability to recognize, analyze, and solve a variety of problems
...</t>
  </si>
  <si>
    <t>Mechanical Engineering Intern [Fall 2024]</t>
  </si>
  <si>
    <t>1. Completed at least the second year of Undergraduate studies
2. Robust experience designing and building multiple mechanical systems outside of the classroom
3. Solid mechanical engineering fundamentals for sizing parts and integrating into design with minimal help
...</t>
  </si>
  <si>
    <t>Testing &amp; Commissioning Intern</t>
  </si>
  <si>
    <t>TRC Companies</t>
  </si>
  <si>
    <t>Greater Hartford</t>
  </si>
  <si>
    <t>1. Has served at least 180 days on active duty
2. Is within 12 months of separation or retirement.
3. Will receive an honorable discharge
...</t>
  </si>
  <si>
    <t>Engineer in Training/Graduate Engineer</t>
  </si>
  <si>
    <t>1. Bachelor's Degree in Civil/Environmental/Mechanical/Chemical Engineering from an ABET accredited program is required.
2. 1+ year(s) of experience (Advanced degree may be substituted for the experience)
3. Engineer-in-Training (EIT) Certification - Texas or eligible within 6 months</t>
  </si>
  <si>
    <t>Postdoctoral Research Associate - Computational Biology - Zhang Lab</t>
  </si>
  <si>
    <t>1. Ph.D. in Computational Biology, Bioinformatics, Computer Science, Statistics, Mathematics, or related field
2. Experience in developing and applying new analytical approaches to study complex genomic architecture, genetic predisposition, and treatment resistance using long-read sequencing data
3. Training and mentoring on cancer genomics, large-cohort study, cloud computing, project management, manuscript preparation, grant writing, and oral presentation
...</t>
  </si>
  <si>
    <t>System Architect and Design Engineer Intern</t>
  </si>
  <si>
    <t>$63000-$166000 /yr</t>
  </si>
  <si>
    <t>1. Must be pursuing a Ph.D. degree in any STEM related field with 3+ months of knowledge or experience in the areas of computer architecture, digital design and ML/AI (like generative AI)</t>
  </si>
  <si>
    <t>Texas City, TX</t>
  </si>
  <si>
    <t>Exeter, NH</t>
  </si>
  <si>
    <t>Postdoctoral Fellow-Liver Diseases</t>
  </si>
  <si>
    <t>1. A solid background in liver disease
2. Strong publication record
3. Good spoken and written English
...</t>
  </si>
  <si>
    <t>Cement Professional Engineering Internship</t>
  </si>
  <si>
    <t>CEMEX</t>
  </si>
  <si>
    <t>Advanced Materials, Construction</t>
  </si>
  <si>
    <t>Brooksville, FL</t>
  </si>
  <si>
    <t>1. Must be in 3rd or 4th year of completing your Bachelor's Degree
2. Bachelor's Degree preferred in: Engineering (Civil, Chemical, Industrial, Mechanical, Mining), Business, Construction related field, Concrete Industry Management
3. Must be in 3rd or 4th year of completing your Bachelor's Degree. Bachelor's Degree preferred in: Mining Engineering, Civil or Mechanical Engineering, Geology, Environmental Management
...</t>
  </si>
  <si>
    <t>Event Technology Internship, Audio Visual - Oklahoma City - Fall  2024</t>
  </si>
  <si>
    <t>Engineering CoOp</t>
  </si>
  <si>
    <t>1. Enrolled student working towards a bachelor’s degree in manufacturing engineering, mechanical engineering, or industrial engineering.
2. Strong hands-on mechanical skills
3. Strong PC Skills (spreadsheets, database management, word processing) a must and proficiency in data processing/scripting a plus.
...</t>
  </si>
  <si>
    <t>Intern - Stockroom, R&amp;D Undergrad Year Round</t>
  </si>
  <si>
    <t>Engineering Co-Op - Fall 2024</t>
  </si>
  <si>
    <t>AFL</t>
  </si>
  <si>
    <t>Enterprise Software, Manufacturing</t>
  </si>
  <si>
    <t>Duncan, SC</t>
  </si>
  <si>
    <t>1. Currently pursuing a Bachelor’s degree in Industrial Engineering or Mechanical Engineering
2. At least Sophomore standing with a minimum 2.75 GPA
3. Display a willingness to learn
...</t>
  </si>
  <si>
    <t>New Grad! Reactor Internals Engineer (Mechanical, Aerospace, Engineering Mechanics)</t>
  </si>
  <si>
    <t>1. BS Degree in Mechanical Engineering, Aerospace Engineering, Engineering Mechanics or recognized equivalent required
2. 0-3 years of experience
3. Must possess analytical skills, critical thinking, a passion for attention to details and excellent communication skills including technical writing
...</t>
  </si>
  <si>
    <t>Signals &amp; Communications Apprentice- FR</t>
  </si>
  <si>
    <t>Graduate Research Assistant - Mechanical and Industrial Engineering</t>
  </si>
  <si>
    <t>1. B.S. or M.S. degree in mechatronics, electrical computer engineering, biomechanics, or a related academic field</t>
  </si>
  <si>
    <t>Lewisville, TX</t>
  </si>
  <si>
    <t>1. High School Diploma or GED and be working towards a bachelor’s degree
2. 0 - 2 years construction estimating support, engineering, field support, or similar experience
3. Proficiency with all MS Office products (Word, Excel, PowerPoint, etc.)
...</t>
  </si>
  <si>
    <t>1. Co-Op will start in May 2024
2. Identify production bottlenecks, develop and execute action plans, and assess the results.
3. Assist Process Engineer(s) with designs, support, research and hands-on applications.
...</t>
  </si>
  <si>
    <t>Wakefield, MA</t>
  </si>
  <si>
    <t>$17.30-$28.80 /h</t>
  </si>
  <si>
    <t>1. Pursuing a BS in Civil, Environmental, or Water Resources Engineering, or another closely related academic discipline
2. Strong attention to detail, organization skills, and work ethic
3. The initiative and ability to take on new projects and other challenges regularly
...</t>
  </si>
  <si>
    <t>Early Career Mechanical Engineers</t>
  </si>
  <si>
    <t>1. BS in Mechanical Engineering
2. Worked in an engineering role for at least 0-2 years
3. Strong technical problem-solving abilities
...</t>
  </si>
  <si>
    <t>Civil Site Engineering Co-op</t>
  </si>
  <si>
    <t>American Structurepoint, Inc.</t>
  </si>
  <si>
    <t>1. Student majoring in Civil Engineering, or other related programs with an emphasis on Civil Engineering
2. Reliable transportation to and from office location
3. Strong work ethic, willingness to learn and try new things</t>
  </si>
  <si>
    <t>Summer Intern - Application Security</t>
  </si>
  <si>
    <t>Mueller Water Products</t>
  </si>
  <si>
    <t>Building Material, Infrastructure</t>
  </si>
  <si>
    <t>Kimball, TN</t>
  </si>
  <si>
    <t>1. Pursuing a Bachelor or Master Degree in Structural Engineering, Mechanical Engineering, Industrial Engineering or other scientific or manufacturing related field
2. Must be on track to graduate with a degree in the next 1 to 2 years
3. Problem Solving/Analytical Thinking Skills
...</t>
  </si>
  <si>
    <t>ALDW Engineering Undergraduate Internship Program</t>
  </si>
  <si>
    <t>1. Basic university level knowledge of engineering concepts, principles, practices, and procedures
2. Basic knowledge along with any class project experience with analysis or testing in engineering areas such as shock, vibration, fluids, thermal, nuclear, systems, explosives, manufacturing, process, control systems, data acquisition, and data analysis
3. Basic knowledge of engineering design
...</t>
  </si>
  <si>
    <t>Co-op, Mechanical Engineer (Fall 2024, Summer 2025)</t>
  </si>
  <si>
    <t>ASML</t>
  </si>
  <si>
    <t>Commercial, Electronics</t>
  </si>
  <si>
    <t>Wilton Center, CT</t>
  </si>
  <si>
    <t>1. Candidate towards a Bachelor’s, Master’s, or PhD degree in Mechanical Engineering with minimum 2 years completed.
2. All students must be currently enrolled with a graduation date of Dec 2025 or after to be eligible.
3. Ability to communicate effectively in the English language both written and oral.
...</t>
  </si>
  <si>
    <t>DevOps Engineer Int (Product Development)</t>
  </si>
  <si>
    <t>Blue Yonder</t>
  </si>
  <si>
    <t>CRM, Data Management</t>
  </si>
  <si>
    <t>$93,401-$123,765 /yr</t>
  </si>
  <si>
    <t>1. 3 to 4 years of experience with CI/CD methodologies and systems in the SDLC
2. Strong background in automation and scripting in a Windows environment
3. Experience with build servers and deployment methodologies (e.g., Jenkins, TeamCity, TFS/AzDO, Octopus, GitHub Actions)
...</t>
  </si>
  <si>
    <t>Harry S. Truman Fellowship 2025</t>
  </si>
  <si>
    <t>1. PhD conferred within the past three years or completion of PhD requirements by commencement of appointment (10/1/2025)
2. Development and submission of a compelling research proposal in areas meaningful to national security: biological sciences; earth, energy and environmental science; engineering sciences; materials and advanced manufacturing; math, computing and information science, nanodevices and microsystems; physical sciences; and radiation effects and high energy density sciences.
3. Ability to acquire and maintain a DOE security clearance, which requires US citizenship
...</t>
  </si>
  <si>
    <t>Laboratory Intern</t>
  </si>
  <si>
    <t>Catalent</t>
  </si>
  <si>
    <t>1. High school diploma or equivalent
2. Current or recent enrollment in an undergraduate or graduate degree program in Biology, Chemistry, Biochemistry, Biotechnology, or related discipline
3. Must be located within 50 miles of the Greenville, North Carolina, site to be considered</t>
  </si>
  <si>
    <t>Taylor, TX</t>
  </si>
  <si>
    <t>Process Engineering Co-Op (Spring 2024)</t>
  </si>
  <si>
    <t>1. Spring term candidates must be able to work full-time for a minimum of 6-months (January - June 2023). Summer term candidates must be able to work full-time for 3 months (June - Aug 2023).
2. Candidates must be pursuing a Bachelor’s Degree in Chemical Engineering, Mechanical Engineering, Electrical Engineering, Industrial Engineering.
3. All candidates must have a minimum 2.8 GPA, at least sophomore standing.
...</t>
  </si>
  <si>
    <t>2024 PhD / Masters Residency - Machine Learning / Software Engineering</t>
  </si>
  <si>
    <t>1. Masters or PhD student in a STEM field (financial engineering, risk management, operations research, math/statistics or other quantitative field)
2. Strong knowledge of financial and probabilistic theory, as applied to financial markets
3. 5 years experience with simulations of real-world phenomena (e.g., physical, biological, ecological, sociological)
...</t>
  </si>
  <si>
    <t>PhD Residency - AI/ML - LLMs, NLP, Legal Reasoning</t>
  </si>
  <si>
    <t>1. Currently enrolled in a PhD program in computer science, physics, math, neuroscience, or another heavily computational field with a strong interest in LLMs, NLP, reinforcement learning, symbolic systems, reasoning, and/or Bayesian optimization and probabilistic programming.
2. Alternatively, currently enrolled in a graduate program broadly focused on the legal domain such as Master of Laws (LLM), Juris Doctor (JD), or Doctor of Juridical Science (SJD) degree programs with an interest in applying new technology to the domain.
3. A fast learner with strong coding skills in Python
...</t>
  </si>
  <si>
    <t>Robinson, IL</t>
  </si>
  <si>
    <t>Intern, Yield Engineering</t>
  </si>
  <si>
    <t>ArcBest Corporation</t>
  </si>
  <si>
    <t>Automotive, Information Technology</t>
  </si>
  <si>
    <t>1. Currently pursuing a bachelor's degree in a technical field, such as Industrial Engineering or Mathematics
2. Proficient in Microsoft Office Suite and a programming language such as VBA, R, Python, or SQL
3. Superior analytical and leadership skills
...</t>
  </si>
  <si>
    <t>Engineer Post Bachelors Student Internship</t>
  </si>
  <si>
    <t>1. Basic understanding of engineering principles with an aptitude in reading and understanding engineering documents, drawings, and specifications.
2. Ability to effectively communicate engineering solutions both verbally and in writing for management, customers, peers, and craft personnel.
3. Aptitude in collaborative problem solving to resolve facility and infrastructure engineering issues.
...</t>
  </si>
  <si>
    <t>Martinez, CA</t>
  </si>
  <si>
    <t>Paid Internship: Industrial Engineering Students, Washington, DC Remote</t>
  </si>
  <si>
    <t>1. Strong analytical and problem-solving skills
2. Proficient in Microsoft Word, PowerPoint, Excel
3. Experienced in process mapping and analysis tools
...</t>
  </si>
  <si>
    <t>Engineering Intern (R&amp;D)</t>
  </si>
  <si>
    <t>DivIHN Integration</t>
  </si>
  <si>
    <t>Round Lake, IL</t>
  </si>
  <si>
    <t>1. Good written and verbal communication skills
2. Basic computer skills such as word processing, data entry and e-mail
3. Basic science and/or math skills
...</t>
  </si>
  <si>
    <t>Engineering Internship for Students – Fall 2024 (Full-Time)</t>
  </si>
  <si>
    <t>The Superior Group</t>
  </si>
  <si>
    <t>1. Currently enrolled at an accredited college or university pursuing a degree in the Engineering field. Electrical Engineering is preferred</t>
  </si>
  <si>
    <t>BIM Modeler Internship for Students – Fall 2024 (Full-Time or Part-Time)</t>
  </si>
  <si>
    <t>1. Currently enrolled at an accredited college or university pursuing a degree in Construction Management, Electrical Engineering, Computer Science or related field</t>
  </si>
  <si>
    <t>Engineering Projects Co-Op</t>
  </si>
  <si>
    <t>1. Proficient with computers applications MS Office suite, CAD, including electronic document control and distribution
2. Experience with Job Safety Analysis (JSA), and Ergonomics
3. Exceptional multi-tasking skills and ability to independently manage multiple tasks
...</t>
  </si>
  <si>
    <t>Operations Support Career</t>
  </si>
  <si>
    <t>Carpinteria, CA</t>
  </si>
  <si>
    <t>1. May require some higher education or specialized training/certification, or equivalent combination of education and experience.
2. Typically 1-3 years of relevant experience for entry to this level.</t>
  </si>
  <si>
    <t>Student Intern (Process Engineering)</t>
  </si>
  <si>
    <t>Orange County Sanitation Department</t>
  </si>
  <si>
    <t>Construction, Water</t>
  </si>
  <si>
    <t>Fountain Valley, CA</t>
  </si>
  <si>
    <t>1. High school diploma or equivalent
2. Full-time college student of at least junior level in good standing in a bachelor’s or graduate degree program in a field of study related to the Sanitation District’s activities
3. Valid California Class C Driver’s License</t>
  </si>
  <si>
    <t>ofi</t>
  </si>
  <si>
    <t>Coffee, Food and Beverage</t>
  </si>
  <si>
    <t>Gilroy, CA</t>
  </si>
  <si>
    <t>1. Current academic standing of a Junior or Senior at an accredited college or university and working toward a bachelor’s degree in food science, Agriculture, Mechanical or Electrical Engineering, or related field is required. Will also consider those working towards an M.S., or Ph.D. degree in similar degreed.
2. Grade point average overall minimum of 3.0/4.0 and 3.25 within major
3. A firm knowledge of engineering, chemistry or biology with the ability to apply this knowledge to food systems is required.
...</t>
  </si>
  <si>
    <t>Electrical Engineering Co-op (Fall Semester)</t>
  </si>
  <si>
    <t>1. Must be working towards a BS Degree in Electrical Engineering.
2. Must have excellent verbal and written communication skills along with familiarity with Microsoft Products such as Excel and Outlook.
3. This fall internship is on-site at our Cary, NC office.</t>
  </si>
  <si>
    <t>Engineering - Intern</t>
  </si>
  <si>
    <t>PurgeRite</t>
  </si>
  <si>
    <t>Commercial, Heating  Ventilation  and Air Conditioning (HVAC)</t>
  </si>
  <si>
    <t>Willis, TX</t>
  </si>
  <si>
    <t>1. Strong written and verbal communication skills with all stakeholders from field technicians to senior management
2. A strong sense of urgency, attention to detail, and dedication to meeting project timelines
3. Proficiency in reading and interpreting construction drawings
...</t>
  </si>
  <si>
    <t>2025 Engineering Internship Program- Welding Engineering</t>
  </si>
  <si>
    <t>1. Must be enrolled full-time at a 4-year accredited university/college pursuing a degree in Welding Engineering, Welding Engineering Technology, Mechanical Engineering with Welding Emphasis, Metallurgical and Material Engineering, Manufacturing Engineering Technology with a welding emphasis, Welding and Fabrication Technology, Welding and Fabrication Technology Management or Welding and Fabrication Engineering Technology.
2. Must have 30 completed semester hours before the start of the internship. If a transfer student must have 12 semester hours completed at a 4-year university.
3. Minimum 3.0/4.0 Cumulative Grade Point Average (no rounding) at current institution.
...</t>
  </si>
  <si>
    <t>R&amp;D Product Development Co-Op</t>
  </si>
  <si>
    <t>TC Transcontinental</t>
  </si>
  <si>
    <t>Commercial, Marketing</t>
  </si>
  <si>
    <t>Menasha, WI</t>
  </si>
  <si>
    <t>1. Engineering or Sciences student
2. Desire to work on projects that impact company performance and improve the consumer experience
3. Innovative and driven by sustainability
...</t>
  </si>
  <si>
    <t>IKO</t>
  </si>
  <si>
    <t>Kankakee, IL</t>
  </si>
  <si>
    <t>$24-$25 /h</t>
  </si>
  <si>
    <t>1. Pursuing a bachelor’s degree in Mechanical, Chemical, Electrical or Industrial Engineering
2. Must be authorized to work in the United States</t>
  </si>
  <si>
    <t>Intern - Design Assurance - Summer 2025</t>
  </si>
  <si>
    <t>Quality Inspector I - ** Internal Only ** T4</t>
  </si>
  <si>
    <t>IDEMIA</t>
  </si>
  <si>
    <t>Identity Management, Information Technology</t>
  </si>
  <si>
    <t>West Rancho Dominguez, CA</t>
  </si>
  <si>
    <t>1. High School diploma
2. 0-2 years of experience</t>
  </si>
  <si>
    <t>Machine Learning Engineer Intern (TikTok Video Recommendation) - 2024 Summer (BS/MS/Phd)</t>
  </si>
  <si>
    <t>1. Currently pursuing a Bachelor/ Master degree in Software Development, Computer Science, Computer Engineering, or a related technical discipline.
2. Able to commit to working for 12 weeks during Summer 2024.
3. Solid programming foundation, good programming style and work habits, solid knowledge of data structures and algorithms.
...</t>
  </si>
  <si>
    <t>$15.15-$15.6 /h</t>
  </si>
  <si>
    <t>Engineering Student CO-OP: Nondestructive Characterization (Spring 2025)</t>
  </si>
  <si>
    <t>1. U. S. Citizen
2. Ability to obtain and maintain a government security clearance
3. Completed freshman year in engineering, physics, mathematics or other related field
...</t>
  </si>
  <si>
    <t>Radio Hardware Engineer — Intern (Fall 2024)</t>
  </si>
  <si>
    <t>1. A passion for hardware development, including working in a fast-paced environment and hands-on design and development
2. Demonstrated ability to personally design, build, and test PCBA hardware from scratch (student design team projects, design competitions, personal projects)
3. Solid EE foundation in one or more of the following areas: analog design (op amps, transistors, RLC filters), digital design (FPGAs, SOCs, SERDES, DDR, LVDS), mixed signal design (ADCs, DACs, power integrity), RF design (s-parameters, transmission lines, impedance matching)
...</t>
  </si>
  <si>
    <t>Reactor Test / Maintenance Engineer (SkillBridge Intern) - 18342</t>
  </si>
  <si>
    <t>1. Navy Reactor Department experience - 5 years
2. Secret Clearance
3. desired US Navy rates: MMN, EMN, ETN or conventional MM, EM, ET</t>
  </si>
  <si>
    <t>SkillBridge Intern - Cybersecurity/IT</t>
  </si>
  <si>
    <t>Command Post Technologies</t>
  </si>
  <si>
    <t>Suffolk, VA</t>
  </si>
  <si>
    <t>1. U.S Citizenship
2. Active TS/SCI Security Clearance
3. COMPTIA Security Plus certification (prior to starting)</t>
  </si>
  <si>
    <t>Intern Product Development - Lighting - Muuto Copenhagen</t>
  </si>
  <si>
    <t>Muuto</t>
  </si>
  <si>
    <t>E-Commerce, Home Decor</t>
  </si>
  <si>
    <t>1. Studying engineering or similar field
2. Fundamental understanding of lighting, simple electronics, and materials
3. Familiarity with 3D modeling in SolidWorks
...</t>
  </si>
  <si>
    <t>Amazon Robotics - Embedded Firmware Co-op - July-Dec 2024</t>
  </si>
  <si>
    <t>1. Currently working towards a BS in Computer Engineering, Robotics, or a similar field and must have at least one semester of school left to complete after the end of the co-op
2. Must be eligible and available for a full-time (40h / week) 6-month co-op between July 15 to December 20, 2024
3. Classroom and project experience in developing embedded systems, firmware, and/or control systems
...</t>
  </si>
  <si>
    <t>Software Systems Hardware Integration Engineer — Intern (Summer 2024)</t>
  </si>
  <si>
    <t>Design Engineering Co Op Fall 2024</t>
  </si>
  <si>
    <t>North Canton, OH</t>
  </si>
  <si>
    <t>1. Enrolled student working towards a Bachelor’s Degree in Mechanical Engineering, Electrical Engineering, or Engineering Technology.
2. Previous Co-op experience or ability to work back-to-back terms is a plus
3. Minimum GPA 3.0/4.0
...</t>
  </si>
  <si>
    <t>Product Support Engineer - Aviation</t>
  </si>
  <si>
    <t>1. Bachelor’s Degree or Master’s Degree in Electrical Engineering, Computer Engineering, Software Engineering or related field AND a minimum of 1 year relevant experience OR an equivalent combination of education and experience
2. Excellent academics (cumulative GPA greater than or equal to 3.0 as a general rule)
3. Demonstrated ability with electrical engineering tools
...</t>
  </si>
  <si>
    <t>Machine Learning Engineer Intern (TikTok-Data-Plus) - 2024 Start (MS/PhD)</t>
  </si>
  <si>
    <t>1. Master degree or above in computer science or a related major
2. Strong software development experience with C++, Python or other programming language
3. Experience in one or more of the following areas: applied machine learning, machine learning infrastructure, large-scale recommendation system, market-facing machine learning product
...</t>
  </si>
  <si>
    <t>Amazon Robotics - Data Scientist (DS) Co-op - Fall 2024</t>
  </si>
  <si>
    <t>1. Master's degree (or Bachelor's degree 3+ years of experience) in a quantitative discipline such as Statistics, Mathematics, Data Science, Business Analytics, Economics, Finance, Engineering, or Computer Science
2. 1+ years of experience working as a data scientist or a similar role involving data extraction, analysis, statistical modeling, and communication
3. 1+ years of experience using data querying languages (e.g. SQL), scripting languages (e.g. Python), or statistical/mathematical software (e.g. R, SAS, Matlab, etc.)
...</t>
  </si>
  <si>
    <t>Intern - Economics (FMF)</t>
  </si>
  <si>
    <t>Drexel R&amp;D Co-Op ( Sept 2024- Mar 2025)</t>
  </si>
  <si>
    <t>Kenvue</t>
  </si>
  <si>
    <t>Lifestyle, Personal Health</t>
  </si>
  <si>
    <t>Fort Washington, PA</t>
  </si>
  <si>
    <t>$22.75-$45 /h</t>
  </si>
  <si>
    <t>1. Legally authorized to work permanently in the U.S. and not require sponsorship for employment visa status now or in the future (e.g. H1-B status)
2. Actively enrolled in an accredited university through the duration of co-op assignment pursuing a Bachelor’s, Master’s or PhD degree
3. Ability to commit to 6-month duration - 40 hours per week (Monday – Friday) for the length of the assignment (September 23, 2024 - March 28, 2025)
...</t>
  </si>
  <si>
    <t>Immersive Video Research Intern (Multimedia Streaming) 2023 Summer/Fall (BS)</t>
  </si>
  <si>
    <t>$56.75-$56.75 /h</t>
  </si>
  <si>
    <t>1. Bachelors student in computer science/electrical engineering/mathematics/statistics and related disciplines
2. Strong Computer Science fundamentals (algorithms, data structures, software design) and problem-solving skills
3. Experiences in neural network based 3D representation e.g. ShapeNets, VoxNet, Neural Radiance Field
...</t>
  </si>
  <si>
    <t>Machine Learning Engineer Graduate (Search E-commerce) - 2024 Start (PhD)</t>
  </si>
  <si>
    <t>1. Graduate with a background in Software Development, Computer Science, Computer Engineering, or a related technical discipline.
2. Must obtain work authorization in country of employment at the time of hire, and maintain ongoing work authorization during employment.
3. Excellent coding skills. Solid knowledge of data structure and algorithms.
...</t>
  </si>
  <si>
    <t>Traffic Engineer In Training</t>
  </si>
  <si>
    <t>Volkert</t>
  </si>
  <si>
    <t>Tyler, TX</t>
  </si>
  <si>
    <t>1. Bachelor’s degree in Civil Engineering
2. Previous internship/co-op experience in transportation and municipal design
3. EIT Certification is Required
...</t>
  </si>
  <si>
    <t>Associate Engineer - Engineering Development Program</t>
  </si>
  <si>
    <t>SPX Cooling Technologies</t>
  </si>
  <si>
    <t>1. A Bachelor’s Degree in Civil/Structural Engineering or Mechanical Engineering with a GPA of 3.0 or higher
2. Relevant internship / co-op experience (professional experience in manufacturing is desired)
3. Adaptable, flexible and able to work in changing work environments
...</t>
  </si>
  <si>
    <t>Student Researcher - Doubao (Seed) - Machine Learning System - 2024 Start (PhD)</t>
  </si>
  <si>
    <t>Laboratory Intern - 2024 Program</t>
  </si>
  <si>
    <t>Enthalpy Analytical, Inc.</t>
  </si>
  <si>
    <t>Orange, CA</t>
  </si>
  <si>
    <t>1. High School Diploma
2. Currently enrolled in a local University
3. Basic laboratory techniques (knowledge of PPE, use of balance, pipetting, glassware handling, etc)
...</t>
  </si>
  <si>
    <t>Technical School Student Program</t>
  </si>
  <si>
    <t>Stevens Transport Company</t>
  </si>
  <si>
    <t>Logistics, Transportation</t>
  </si>
  <si>
    <t>1. Basic computer skills
2. Valid driver’s license
3. Ability to work all scheduled days and shifts as needed
...</t>
  </si>
  <si>
    <t>Video Analysis and Quality Algorithm Intern 2023 Summer/Fall (MS)</t>
  </si>
  <si>
    <t>1. Masters student in Electrical Engineering/Computer Science or equivalent
2. In-depth knowledge of video analysis algorithms or subjective/objective video quality algorithms, and state-of-the-art technologies
3. Proficient in one of the following: C, C++, Python
...</t>
  </si>
  <si>
    <t>1. Ph.D. or MD/Ph.D. in a relevant field with a record of publication in peer-reviewed journals
2. Ability to problem-solve and think critically
3. Ability to work both independently and in a collaborative team environment
...</t>
  </si>
  <si>
    <t>Electrical Engineer Fall Co-op</t>
  </si>
  <si>
    <t>The Chemours Company</t>
  </si>
  <si>
    <t>Chemical, Medical</t>
  </si>
  <si>
    <t>Deepwater, NJ</t>
  </si>
  <si>
    <t>1. Enrollment at an accredited college or university as a Sophomore or above at time of assignment
2. Pursuing an undergraduate degree in Electrical Engineering or similar fields
3. Familiarity with Microsoft Word, Excel, and Power Point</t>
  </si>
  <si>
    <t>Intern, IT System Administrator – SharePoint Operations</t>
  </si>
  <si>
    <t>NYSERDA</t>
  </si>
  <si>
    <t>$16-$19 /h</t>
  </si>
  <si>
    <t>1. Current college students pursuing a major in Information Technology, Computer Science, or a related field
2. Experience with Microsoft O365 (Word, Excel, PowerPoint, Outlook, Teams)
3. Strong verbal and written communication skills
...</t>
  </si>
  <si>
    <t>Optical Design Intern (PICO-Lab) 2023 Fall (BS)</t>
  </si>
  <si>
    <t>$59-$59 /h</t>
  </si>
  <si>
    <t>1. Bachelors student in Computer Science, Electrical Engineering, or related field
2. Knowledge of electromagnetism and optics
3. Experience with programming
...</t>
  </si>
  <si>
    <t>1. High School Diploma or GED required
2. Completion of 2 years of university course work in an instrument engineering curriculum at an ABET Accredited Institution preferred
3. Ability to find a solution for or to deal proactively with work related problems
...</t>
  </si>
  <si>
    <t>Engineering Co-op/Internship</t>
  </si>
  <si>
    <t>Anderson Power Products</t>
  </si>
  <si>
    <t>Sterling, MA</t>
  </si>
  <si>
    <t>1. Pursuing a four-year engineering Degree
2. Plastics, mechanical, or electrical aptitude
3. Microsoft office proficient
...</t>
  </si>
  <si>
    <t>Gainesville, VA</t>
  </si>
  <si>
    <t>Enlighten IT Consulting</t>
  </si>
  <si>
    <t>Electronics, Government</t>
  </si>
  <si>
    <t>1. Active-Duty Military ONLY within final 180 days of active-duty service.
2. Minimum of 5 years relevant data engineering (including experience with Python or Java) experience with Bachelors in related field; 3 years relevant experience with Masters in related field; or High School Diploma or equivalent and 9 years relevant experience.</t>
  </si>
  <si>
    <t>Machine Learning Engineer Intern - GenAI - 2024 (PhD)</t>
  </si>
  <si>
    <t>$60-$74 /h</t>
  </si>
  <si>
    <t>1. Currently enrolled in a PhD degree program in Computer Science, Engineering, Mathematics, or a related field with a focus on machine learning or artificial intelligence.
2. Graduating December 2024 onwards with the intent to return to degree program after the completion of the internship.
3. Able to commit to working for 12 weeks during Summer 2024.
...</t>
  </si>
  <si>
    <t>Industrial Engineer-Summer Internship</t>
  </si>
  <si>
    <t>Autocar</t>
  </si>
  <si>
    <t>1. Bachelor’s degree in Industrial Engineering, Mechanical Engineering, or equivalent.
2. Strong work ethic, detail-oriented, and a willingness to learn.
3. Proficient in MS Office
...</t>
  </si>
  <si>
    <t>Research Seasonal Employee - Sioux Falls, SD</t>
  </si>
  <si>
    <t>Machine Learning Engineer Intern (Data-TnS-Algo) - 2024 Fall (MS/PhD)</t>
  </si>
  <si>
    <t>1. Currently pursuing a PhD degree in Software Development, Computer Science, Computer Engineering, or a related technical discipline.
2. Solid experience in at least one of the following areas: machine learning, pattern recognition, NLP, data mining, or computer vision.
3. Experience in recommendation, search, advertising, or other related projects.
...</t>
  </si>
  <si>
    <t>Amazon Robotics - Applied Science Intern / Co-op - 2024</t>
  </si>
  <si>
    <t>1. Currently enrolled in a PhD program in Computer Science, Robotics, Engineering, Machine Learning, Operations Research, Mathematics, or a related quantitative field
2. Degree program must be based in the United States with an expected graduation of December 2024 or later
3. Must be eligible for and available for full-time (40 hours per week) internship for the whole duration of the internship/co-op
...</t>
  </si>
  <si>
    <t>Nikkiso Clean Energy &amp; Industrial Gases</t>
  </si>
  <si>
    <t>1. Bachelor’s degree in Mechanical or Chemical Engineering, or similar discipline.
2. Knowledge of thermal and fluid engineering concepts
3. Equipment knowledge
...</t>
  </si>
  <si>
    <t>Vantage Data Centers Intern, NA</t>
  </si>
  <si>
    <t>Vantage Data Centers</t>
  </si>
  <si>
    <t>Data Center, Information Technology</t>
  </si>
  <si>
    <t>1. Currently enrolled in a relevant degree program (e.g., Computer Science, Information Technology, Electrical Engineering, etc.) or recent graduate.
2. Rising Sophomore, Junior, or Senior status
3. Strong interest in data center operations and technology.
...</t>
  </si>
  <si>
    <t>Guidance, Navigation, and Control Engineer — Intern (Fall 2024)</t>
  </si>
  <si>
    <t>1. Currently pursuing a B.S. or M.S. in a technical discipline (e.g. engineering, CS, physics) with a focus on control systems, orbital mechanics, or spacecraft design
2. Familiarity with control theory and/or estimation methods
3. Experience with python and/or C/C++
...</t>
  </si>
  <si>
    <t>Santa Clara County, CA</t>
  </si>
  <si>
    <t>Apprentice - Aircraft Support Mechanic (LAX)</t>
  </si>
  <si>
    <t>1. High School Diploma, required
2. Currently enrolled in a degree program in Business, Engineering or other related field
3. Strong organizational skills with ability to multi-task
...</t>
  </si>
  <si>
    <t>Machine Learning Engineer Intern (TikTok-Data-E-Commerce) - 2024 Start (MS/Phd)</t>
  </si>
  <si>
    <t>1. Currently pursuing a Master's degree or Phd's Degree in Software Development, Computer Science, Computer Engineering, or a related technical discipline.
2. Solid knowledge in one of the following areas: machine learning, deep learning, data mining, large-scale systems.
3. Experience with at least one programming language like C++/Python or equivalent.
...</t>
  </si>
  <si>
    <t>Kenai, AK</t>
  </si>
  <si>
    <t>Montrose</t>
  </si>
  <si>
    <t>$18 /h</t>
  </si>
  <si>
    <t>1. Actively enrolled in an accredited Environmental Science, or related, Undergraduate program.
2. Demonstrated interest in Environmental Science or related fields and have a strong desire to advance skills related to Montrose’s work and projects.
3. Competent interpersonal and communication skills when interacting with others, expressing ideas effectively and professionally to an engineering and non-engineering audience.
...</t>
  </si>
  <si>
    <t>Amazon Robotics - Robotics SDE - Co-op 2024</t>
  </si>
  <si>
    <t>1. Currently enrolled in college/university and must have at least one semester/term/quarter of school left to complete after the end of the co-op
2. Must be eligible and available for a full-time (40h / week) 6-month co-op between January to June 2024</t>
  </si>
  <si>
    <t>Quality Assurance/ Lab Intern (Onsite)</t>
  </si>
  <si>
    <t>Richland Center, WI</t>
  </si>
  <si>
    <t>1. Currently pursuing a Bachelor’s Degree in Chemistry, Biology, Food Sciences, Nutritional (or any related field)
2. Background working in a lab environment
3. Safe lab practices
...</t>
  </si>
  <si>
    <t>DoD SkillBridge Vulnerability Researcher (Cyber194)</t>
  </si>
  <si>
    <t>Quincy, MA</t>
  </si>
  <si>
    <t>Electrical Controls Engineer</t>
  </si>
  <si>
    <t>Winchester</t>
  </si>
  <si>
    <t>Oxford, MS</t>
  </si>
  <si>
    <t>1. Design, install, and commission electrical control systems for new and existing industrial automation equipment.
2. Perform programming (create new and modify existing) of control devices including PLCs, HMIs, VFDs, Servos, and Machine Vision Inspection.
3. Assist maintenance in all aspects of electrical troubleshooting – PLC’s, ladder logic programming, AC and DC circuits, electrical sensors and switches, motor controls and servo controllers, and safety circuits.
...</t>
  </si>
  <si>
    <t>Submarine Engineering Technician 3 (Skillbridge Intern) - 16548</t>
  </si>
  <si>
    <t>1. Active-Duty Military ONLY within final 180 days of active-duty service
2. Navy Torpedoman with at least 5 years of experience, or other Submarine maintenance related military occupational specialty or rate
3. Secret Clearance</t>
  </si>
  <si>
    <t>Power Electronics Engineer — Associate Program (Fall 2024)</t>
  </si>
  <si>
    <t>1. Have a four-year degree in electrical or computer engineering (or equivalent technical degree)
2. Interest in learning about, designing, and working with power electronics systems
3. A passion for hardware development, including working in a fast-paced environment and hands-on design and development
...</t>
  </si>
  <si>
    <t>$136800-$205000 annually</t>
  </si>
  <si>
    <t>1. PhD in Privacy, Security, Machine Learning, experience of working on related research
2. Demonstrated expertise in measurable AI privacy including quantized privacy risk measurement, differential privacy, membership inference attack, interpretable AI, AI fairness, synthetic data generation for AI, adversarial machine learning, etc.
3. Proven records of publications and awards in top security and other related academic conferences
...</t>
  </si>
  <si>
    <t>Machine Learning Engineer Intern (Responsible Recommendation System) - 2024 Off Cycle (MS/PhD)</t>
  </si>
  <si>
    <t>1. Currently pursuing a Master/PhD degree in Software Development, Computer Science, Computer Engineering, or a related technical discipline.
2. Solid programming foundation, good programming style and work habits, solid knowledge of data structures and algorithms.
3. Has strong theoretical foundation and extensive practical experience in the field of machine learning/deep learning, familiar with at least one mainstream deep learning framework.
...</t>
  </si>
  <si>
    <t>Guidance, Navigation, and Control — Associate Program (Fall 2024)</t>
  </si>
  <si>
    <t>1. Currently hold a B.S. and have plans to pursue an M.S. in a technical discipline (e.g. engineering, CS, physics) with a focus on control systems, orbital mechanics, or spacecraft design
2. Familiarity with control theory and/or estimation methods
3. Experience with python and/or C/C++
...</t>
  </si>
  <si>
    <t>Machine Learning Engineer Graduate (E-Commerce Risk Control) - 2024 Start (PHD)</t>
  </si>
  <si>
    <t>1. PhD degree in Computer Science, Engineering, Operations Research, or related fields.
2. Graduate with a background in Software Development, Computer Science, Computer Engineering, or a related technical discipline
3. Proficiency in modern machine learning theories and applications, including ensemble trees, deep neural networks, transfer/multi-task learning, reinforcement learning, graph theory, and unsupervised learning.
...</t>
  </si>
  <si>
    <t>Power Electronics Engineer — Intern (Fall 2024)</t>
  </si>
  <si>
    <t>1. Currently pursuing a B.S. in electrical or computer engineering (or equivalent technical degree)
2. Interest in learning about, designing, and working with power electronics systems
3. A passion for hardware development, including working in a fast-paced environment and hands-on design and development
...</t>
  </si>
  <si>
    <t>Machine Learning Engineer Intern (Product RD and Infrastructure-Douyin/Toutiao) - 2024 Off-Cycle (BS/MS)</t>
  </si>
  <si>
    <t>1. Currently enrolled in a Master or PhD program in computer science or a related technical field
2. Proficiency in Python and common Python libraries for machine learning and LLM
3. Experience with NLP technologies is preferred
...</t>
  </si>
  <si>
    <t>Software Systems Hardware Integration Engineer — Intern (Fall 2024)</t>
  </si>
  <si>
    <t>Network Discovery Intelligence Analyst (SkillBridge Intern) - 9405</t>
  </si>
  <si>
    <t>1. Must possess and maintain TS/SCI w/ CI Poly
2. 9 years relevant experience with Bachelors in related field or High School Diploma or equivalent and 13 years relevant experience
3. Shall have a minimum of 8 years’ experience and in-depth demonstrated experience in areas:
...</t>
  </si>
  <si>
    <t>Software Engineer Intern (Monetization Technology-Web Ads and Open-Loop E-Commerce) - 2024 Start (BS/MS)</t>
  </si>
  <si>
    <t>$45-$45 /yr</t>
  </si>
  <si>
    <t>1. Currently enrolled in a Bachelor’s or Master’s degree in Software Development, Computer Science, Computer Engineering, or a related technical discipline
2. Must obtain work authorization in country of employment at the time of hire, and maintain ongoing work authorization during employment</t>
  </si>
  <si>
    <t>Graduate Intern - HW Logic Design</t>
  </si>
  <si>
    <t>1. Candidate must be pursuing a Master's or PhD in Electrical Engineering, Computer Engineering, Computer Science, or a related field.
2. 6+ months of coursework in Digital design
3. 6+ months of coursework in Computer architecture</t>
  </si>
  <si>
    <t>Postdoctoral Research Associate - Life Cycle Assessment Research</t>
  </si>
  <si>
    <t>1. A PhD in Mechanical Engineering, Industrial Engineering, Environmental Engineering, Chemical Engineering, or a related discipline completed within the last 5 years
2. Quantitative and analytical research background which can be applied to conduct research analysis on advanced manufacturing technologies and manufacturing systems that could achieve transformative gains in process productivity and enhance manufacturing sustainability
3. Ability to develop optimization and life cycle models analyzing advanced manufacturing technologies and energy and transportation systems of the future
...</t>
  </si>
  <si>
    <t>Software Engineer Intern (Machine Learning Platform) - 2024 Summer (PhD)</t>
  </si>
  <si>
    <t>1. Seeking PHD in Software Development, Computer Science, Computer Engineering, Electrical Engineering or a related technical discipline.
2. Programming experience with at least one modern language such as Go/Python
3. Strong software programming capabilities, exhibits good code design and coding style;
...</t>
  </si>
  <si>
    <t>Engineer Co-op January 2025- Multiple U.S Locations</t>
  </si>
  <si>
    <t>Cargill</t>
  </si>
  <si>
    <t>Agriculture, Food and Beverage</t>
  </si>
  <si>
    <t>$22.50-$31.10 /h</t>
  </si>
  <si>
    <t>1. Right to work in the U.S. that is not based solely on possession of a student visa or a visa sponsored by a third-party employer
2. Currently pursuing a bachelor’s or a master’s degree in Chemical Engineering (ChE), BioChemical Engineering (BChE), Mechanical Engineering (ME), Biosystems Engineering (BSE), Agricultural Engineering (AgE), Mining Engineering (MinE), Electrical Engineering (EE), Industrial Engineering (IE), Environmental Engineering, Packaging or other related engineering discipline
3. Bachelor’s/master’s degree to be/recently completed between December 2025 – May 2028
...</t>
  </si>
  <si>
    <t>Engineering Internship - Summer 2024</t>
  </si>
  <si>
    <t>Hillsboro, TX</t>
  </si>
  <si>
    <t>1. Must be a current Junior or Senior enrolled in Mechanical, Electrical, Industrial, or Environmental Engineer degree programs.
2. Must be able to stand and walk frequently
3. Must be comfortable working at heights occasionally
...</t>
  </si>
  <si>
    <t>IDEAL INDUSTRIES</t>
  </si>
  <si>
    <t>Electrical Distribution, Electronic Health Record (EHR)</t>
  </si>
  <si>
    <t>Risk Management SME (CI Poly) (SkillBridge Intern) - 17408</t>
  </si>
  <si>
    <t>Fort Meade, MD</t>
  </si>
  <si>
    <t>1. Active-Duty Military ONLY within final 180 days of active-duty service to actively participate. Applications accepted within final 12 months of active military service.
2. Bachelor’s degree and 8+ years of intelligence/risk management analyst experience. Experience may be substituted for education
3. Experience with various techniques applied to risk management methodologies
...</t>
  </si>
  <si>
    <t>USAMRICD Nuclear Magnetic Resonance (NMR) Research Internship</t>
  </si>
  <si>
    <t>Gunpowder, MD</t>
  </si>
  <si>
    <t>$64000-$80000 /yr</t>
  </si>
  <si>
    <t>1. Currently pursuing a master's degree or PhD with an anticipated graduation of June 2024 or have received either a master's degree or PhD within the last five years in Chemistry or related field
2. U.S. Citizen Only
3. Degree: Master's Degree or Doctoral Degree received within the last 60 months or anticipated to be received by 6/30/2024 12:00:00 AM
...</t>
  </si>
  <si>
    <t>2024 Intern - Research, Firefly</t>
  </si>
  <si>
    <t>$45-$55 /h</t>
  </si>
  <si>
    <t>1. Currently enrolled full time and pursuing a Master’s or PhD in Computer Science, Computer Engineering, Electrical Engineer, machine learning, AI, computer science, statistics, or scene semantic understanding or equivalent experience required
2. 1 + years of experience in computer vision or natural language processing or machine learning
3. Some experience in Generative AI
...</t>
  </si>
  <si>
    <t>Mechanical Engineer — Intern (Fall 2024)</t>
  </si>
  <si>
    <t>1. Currently pursuing a B.S. or M.S. in mechanical, aerospace, or equivalent technical degree (e.g. physics or applied math)
2. A passion and enthusiasm for hardware development, including working in a fast-paced environment and hands-on design and development
3. Demonstrated ability to personally design, build, and test hardware from scratch
...</t>
  </si>
  <si>
    <t>Skillbridge Systems Engineer</t>
  </si>
  <si>
    <t>1. BS degree in Engineering or equivalent experience required
2. A minimum of 10 years Systems engineering experience
3. Ability to apply sound engineering principles and develop innovative solutions
...</t>
  </si>
  <si>
    <t>Recommendation Algorithm Engineer Intern (TikTok-Data-Rec Core) - 2024 Summer (BS/MS/PhD)</t>
  </si>
  <si>
    <t>1. Currently pursuing BS/MS degree
2. Graduating December 2024 onwards with the intent to return to degree program after the completion of the internship
3. Able to commit to working for 12 weeks during Summer 2024
...</t>
  </si>
  <si>
    <t>Hardware Security and Trust Student Assistant – FALL 2024 - CIPHER</t>
  </si>
  <si>
    <t>1. Pursuing a Bachelor’s degree in Computer Engineering, Computer Science, Electrical Engineering, Mathematics, or related field
2. Must be registered for at least 6 credit hours with your university
3. 2.5 or higher cumulative GPA
...</t>
  </si>
  <si>
    <t>Product Engineering Intern</t>
  </si>
  <si>
    <t>Spectrum Plastics Group</t>
  </si>
  <si>
    <t>Hermann, MO</t>
  </si>
  <si>
    <t>1. Enrolled in related academic programs such as Chemistry, Polymer Science, Material Science or Chemical Engineering
2. Proficiency with Microsoft Office including Excel, PowerPoint, Word, Project, Outlook and Visio
3. Understanding and ability to research materials
...</t>
  </si>
  <si>
    <t>Field Engineer (SkillBridge Intern) - 18567</t>
  </si>
  <si>
    <t>1. USN qualifications in operations/maintenance of non-Aegis Fire Control Radar
2. Secret Clearance</t>
  </si>
  <si>
    <t>Machine Learning Engineer Graduate (E-commerce Governance Algorithms) - 2024 Start (MS/Phd)</t>
  </si>
  <si>
    <t>$112200-$205000 annually</t>
  </si>
  <si>
    <t>1. Master’s, or PhD degree in Computer Science or a related technical field. Recent graduates are highly encouraged to apply!
2. Graduate with a background in Software Development, Computer Science, Computer Engineering, or a related technical discipline;
3. Must obtain work authorization in country of employment at the time of hire, and maintain ongoing work authorization during employment.
...</t>
  </si>
  <si>
    <t>Thermal Engineer — Intern (Fall 2024)</t>
  </si>
  <si>
    <t>Industrial Maintenance Development Program</t>
  </si>
  <si>
    <t>Michael Foods</t>
  </si>
  <si>
    <t>Hospitality</t>
  </si>
  <si>
    <t>Lenox, IA</t>
  </si>
  <si>
    <t>1. Ability to respond in an efficient and effective manner to urgent production needs related to equipment.
2. Ability to read and understand diagrams, sketches, operation manuals, and manufacturer's specifications in order to disassemble, repair, replace, rebuild, and install mechanical equipment.
3. Basic knowledge and understanding of belts, sheaves, chains, sprockets, bearings, lubrication standards, and applications.
...</t>
  </si>
  <si>
    <t>Engineering - Fall 2024 Intern</t>
  </si>
  <si>
    <t>Post Consumer Brands</t>
  </si>
  <si>
    <t>1. Candidates must be pursuing a four-year undergraduate degree at an institution with an accredited program in Engineering or a related field.
2. Proven leadership, problem-solving and interpersonal skills
3. Ability to work independently and in teams
...</t>
  </si>
  <si>
    <t>Mechanical Engineering Co-op Fall 2024</t>
  </si>
  <si>
    <t>1. A Sophomore or Junior working towards undergraduate degree in the areas of Mechanical Engineering, Electrical Engineering, Biomedical Engineering or related fields
2. Self-starter with strong communication, analytical, organizational and interpersonal skills
3. Open to working in a dynamic and ever-changing environment
...</t>
  </si>
  <si>
    <t>Event Technology Intern - Baltimore, Maryland (Fall 2024)</t>
  </si>
  <si>
    <t>1. Currently pursuing a BA/BS Degree; preference in Hospitality, Business, Media Production, Radio/TV/Film, or related field
2. 0-6 months of field audio-visual or customer service experience
3. Technical aptitude demonstrated through interest and exposure to new technology
...</t>
  </si>
  <si>
    <t>Electrical Engineer Co-Op - Fall 2024</t>
  </si>
  <si>
    <t>Olin Corporation</t>
  </si>
  <si>
    <t>Plaquemine, LA</t>
  </si>
  <si>
    <t>1. Enrolled at an accredited college or university majoring in an undergraduate Electrical Engineering degree program
2. Must have an overall grade point average of 3.0 or higher on a 4.0 scale at all times throughout your time at Olin
3. Must have completed sophomore year prior to first assignment with Olin
...</t>
  </si>
  <si>
    <t>Enovis</t>
  </si>
  <si>
    <t>1. At least 50% of studies completed in as a Bachelor’s or Master’s degree in Engineering with a minimum GPA of 2.75 (Mechanical, Manufacturing Engineering)
2. Required knowledge in: Manufacturing, Process Development/Validations, Tools (Statistics, Technical Manuals, Kaizen, Six Sigma, DoE), Experience with Medical Device product development or Manufacturing a plus
3. Strong verbal and written communications skills
...</t>
  </si>
  <si>
    <t>LCU 2000 Engineering Tech (SkillBridge Intern) - 15773</t>
  </si>
  <si>
    <t>Eustis, FL</t>
  </si>
  <si>
    <t>1. Must have AA or other 2 year technical degree in related discipline and 3 years of related experience, or HS + 5 years related experience.
2. Must have preventive maintenance checks &amp; services (PMCS) experience on shipboard systems.
3. Must have hands on experience with the following systems and associated equipment; propulsion, hydraulics, piping, pneumatic, electrical and power generation.
...</t>
  </si>
  <si>
    <t>Event Technology Internship, Audio Visual - St. Louis - Fall  2024</t>
  </si>
  <si>
    <t>Intern - Bridge Engineer</t>
  </si>
  <si>
    <t>T.Y. Lin International</t>
  </si>
  <si>
    <t>1. Requires current 3rd or 4th year standing as an undergraduate, or a Graduate student standing, in an accredited Civil Engineering program. BS degree preferred.
2. Client focused, always striving to give clients the best solutions
3. Strong commitment to innovation by creating new and better ways to solve clients' toughest challenges
...</t>
  </si>
  <si>
    <t>Co-op, Mechanical Engineering (Spring - Summer 2025)</t>
  </si>
  <si>
    <t>Federal Reserve Bank of Richmond</t>
  </si>
  <si>
    <t>$21.50-$21.50 /h</t>
  </si>
  <si>
    <t>1. Entry level skill with use of specialized electrical testing and monitoring equipment, instrumentation equipment, and tools of the trade
2. Working knowledge of central electrical plant operations
3. Performs installation of a variety of electrical systems such as emergency power generators, transformers, switchboards, controllers, breakers, HVAC and circuits to support facility maintenance, renovations, and construction
...</t>
  </si>
  <si>
    <t>Wild Indigo Nature Explorer</t>
  </si>
  <si>
    <t>$15.40 /h</t>
  </si>
  <si>
    <t>1. Must be 16 to 20 years of age
2. Must be willing to explore nature
3. Must be willing to work with other young people</t>
  </si>
  <si>
    <t>Astra</t>
  </si>
  <si>
    <t>Aerospace, Satellite Communication</t>
  </si>
  <si>
    <t>Alameda, CA</t>
  </si>
  <si>
    <t>1. Working toward an MS, BS, or have equivalent experience in Electrical Engineering or a related discipline
2. Hands-on experience in electronics design
3. Exposure to PCB layout in Altium or similar design platform
...</t>
  </si>
  <si>
    <t>Intern - Heavy Civil Engineer</t>
  </si>
  <si>
    <t>Schiavone Construction Co. LLC</t>
  </si>
  <si>
    <t>1. Currently enrolled in an accredited Engineering (or similar) Bachelor’s degree program as rising Junior or Senior
2. Minimum GPA of 3.0
3. Availability to commit to our team for 12 weeks
...</t>
  </si>
  <si>
    <t>Network Engineer 1-3 (SkillBridge Intern) - 8372</t>
  </si>
  <si>
    <t>1. Active-Duty Military ONLY within final 180 days of active-duty service.
2. Must have a current/active DoD Secret Security Clearance</t>
  </si>
  <si>
    <t>Skillbridge Test Engineer</t>
  </si>
  <si>
    <t>1. BS degree in engineering discipline or equivalent experience
2. 7+ years aircraft avionics or test equipment experience
3. Experience using general test equipment, such as digital multi-meters, oscilloscopes and logic analyzers
...</t>
  </si>
  <si>
    <t>Packaging Intern - Fall</t>
  </si>
  <si>
    <t>1. Current active student in good standing who has completed 60 hours towards a related Bachelor’s degree. Engineering is preferred.
2. Proficiency in MS Word, Excel, Outlook, PowerPoint, and Windows
3. Skilled in basic keyboarding
...</t>
  </si>
  <si>
    <t>Process Engineer Intern Job</t>
  </si>
  <si>
    <t>Kenworth</t>
  </si>
  <si>
    <t>Chillicothe, OH</t>
  </si>
  <si>
    <t>1. A current College or University student at an accredited institution
2. Good oral and written communication skills, including the ability to formulate and communicate abstract concepts clearly
3. Demonstrated proficiency in use of personal computers and contemporary office productivity software
...</t>
  </si>
  <si>
    <t>Machine Learning Engineer Intern - NLU &amp; ML Infra</t>
  </si>
  <si>
    <t>Moveworks</t>
  </si>
  <si>
    <t>Artificial Intelligence (AI), Cloud Computing</t>
  </si>
  <si>
    <t>1. Entering the last year of your bachelor’s or master’s degree; or currently pursuing a PhD.
2. Pursuing a degree in computer science or related fields.
3. Have extremely strong coding skills and speak our LLM / modeling vernacular.
...</t>
  </si>
  <si>
    <t>Post-Doc Research Engineer in HMT</t>
  </si>
  <si>
    <t>East Hartford, CT</t>
  </si>
  <si>
    <t>$77000-$163000 /yr</t>
  </si>
  <si>
    <t>1. Strong background and understanding of empirically grounded theories and models of human cognition and computational architectures that attain human-level intelligence and applications of artificial intelligence techniques to autonomous systems, including 3+years’ experience in:
2. Conducting research and development with human factors;
3. planning and knowledge representation tools and methods – PDDL, HTN, Domain dependent heuristic search approaches;
...</t>
  </si>
  <si>
    <t>Apprentice - Aircraft Support Mechanic (JFK)</t>
  </si>
  <si>
    <t>1. Must be able to read and write English and comprehend and apply information contained in technical manuals.
2. Must have a valid driver's license.
3. Must have successfully completed the General Knowledge exam and successfully completed either the Airframe or Powerplant Knowledge exam and working to complete the last portion.
...</t>
  </si>
  <si>
    <t>Co-op for Engineering, starting Fall 2024</t>
  </si>
  <si>
    <t>Altec Capital Services</t>
  </si>
  <si>
    <t>Creedmoor, NC</t>
  </si>
  <si>
    <t>1. Must be enrolled full-time at an accredited 4-year college or university as an undergraduate
2. Preferred majors include: Industrial Engineering, Mechanical Engineering
3. Minimum GPA of 2.75
...</t>
  </si>
  <si>
    <t>Yaskawa America</t>
  </si>
  <si>
    <t>Network Hardware, Technical Support</t>
  </si>
  <si>
    <t>Buffalo Grove, IL</t>
  </si>
  <si>
    <t>1. Pursuing a degree in Mechanical Engineering
2. Sophomore credit standing or higher</t>
  </si>
  <si>
    <t>Engineer Intern (Fall 2024) - Forensics</t>
  </si>
  <si>
    <t>1. Currently pursuing a Bachelor's or Master's degree in Civil or Structural Engineering
2. Available to work from September 2024 through December 2024
3. Familiarity with Microsoft Suite programs (Word, Excel, Powerpoint) and CAD programs (AutoCAD)
...</t>
  </si>
  <si>
    <t>FMEA Engineering Co-Op 2024</t>
  </si>
  <si>
    <t>1. Candidate must be attending a 2 year college or 4 year university local to Saginaw
2. Candidate must be studying Bachelors in Engineering Technology; Business Administration
3. Candidate must be able to work (minimum) 20-32 (maximum) hours during Fall and Winter semesters
...</t>
  </si>
  <si>
    <t>Sherman, TX</t>
  </si>
  <si>
    <t>Event Technology Internship, Audio Visual - Omaha - Fall  2024</t>
  </si>
  <si>
    <t>Intern / Co - Op Electro-Mechanical Engineer</t>
  </si>
  <si>
    <t>$26-$34.13 /h</t>
  </si>
  <si>
    <t>1. Currently pursuing a BS (as a rising Junior or Senior), MS, or PhD in Electrical Engineering
2. Strong technical problem-solving abilities
3. Interpersonal skills
...</t>
  </si>
  <si>
    <t>College Park, MD</t>
  </si>
  <si>
    <t>Research Scientist, Systems ML - SW/HW Co-design (University Grad)</t>
  </si>
  <si>
    <t>$117000-$173000 /yr</t>
  </si>
  <si>
    <t>1. Currently has, or is in the process of obtaining a Bachelor's degree in Computer Science, Computer Engineering, relevant technical field, or equivalent practical experience. Degree must be completed prior to joining Meta.
2. Currently has, or is in the process of obtaining, a PhD degree in Computer Science, Computer Vision, Generative AI, NLP, relevant technical field, or equivalent practical experience. Degree must be completed prior to joining Meta.
3. Specialized experience in one or more of the following machine learning/deep learning domains: Model compression, hardware accelerators architecture, GPU architecture, machine learning compilers, or ML systems, AI infrastructure, high performance computing, performance optimizations, or Machine learning frameworks (e.g. PyTorch), numerics and SW/HW co-design
...</t>
  </si>
  <si>
    <t>Apprentice - Aircraft Support Mechanic (BOS)</t>
  </si>
  <si>
    <t>Co-Op for Engineering, starting Summer 2024</t>
  </si>
  <si>
    <t>Burnsville, NC</t>
  </si>
  <si>
    <t>1. Must be enrolled full-time at an accredited 4-year college or university as an undergraduate with a minimum GPA of 2.5
2. Preferred majors include: Industrial Engineering, Mechanical Engineering, Mechatronics Engineering
3. Candidates must have drive, initiative, and a desire to work in a manufacturing setting
...</t>
  </si>
  <si>
    <t>Graduate Internship – Buildings and Thermal Energy Systems</t>
  </si>
  <si>
    <t>1. Must be enrolled as a full-time student in a Bachelor's, Master's or PhD degree program, or graduated in the past 12 months from an accredited institution
2. Must have a minimum of a 3.0 cumulative grade point average
3. Candidate should have a strong aptitude to learn and explore the field needed for development, to be motivated and dedicated, and to deliver research results on time and on budget
...</t>
  </si>
  <si>
    <t>1. Currently has, or is in the process of obtaining, a PhD degree in the field of Vision Science, Perceptual Psychology, Computer Science, Electrical Engineering, Physics, or a similar field.
2. Creativity and quick problem-solving capabilities.
3. Track record of achieving results.
...</t>
  </si>
  <si>
    <t>Engineering Co-op - Fall 2024</t>
  </si>
  <si>
    <t>Mount Airy, NC</t>
  </si>
  <si>
    <t>1. Currently enrolled in an engineering program at a College or University</t>
  </si>
  <si>
    <t>Co-op: Powertrain Integration Engineer (Spring 2025)</t>
  </si>
  <si>
    <t>1. Must be enrolled and pursuing a degree in Engineering or related program (Engineering Student, Electrical or Software is preferred) at an accredited school and have completed 30 semester hours of undergraduate studies.
2. Applicants must have a minimum cumulative grade point average of 2.75
3. Co-ops are not enrolled in academic courses during their co-op rotation and may work up to 40 hours per week</t>
  </si>
  <si>
    <t>Collision Body Tech Apprentice</t>
  </si>
  <si>
    <t>AutoNation</t>
  </si>
  <si>
    <t>Ridgeland, SC</t>
  </si>
  <si>
    <t>1. Must have a valid, in-state driver’s license with an acceptable, safe driving record.
2. Ability to operate an automobile.</t>
  </si>
  <si>
    <t>PhD Machine Learning Fall Internship 2024 (USA)</t>
  </si>
  <si>
    <t>Pinterest</t>
  </si>
  <si>
    <t>Internet, Social Bookmarking</t>
  </si>
  <si>
    <t>$11000-$11000 /mon</t>
  </si>
  <si>
    <t>1. Working towards a PhD in Computer Science, ML, NLP, Statistics, Information Sciences or related field
2. Mastery of at least one systems languages (Java, C++, Python) or one ML framework (Tensorflow, Pytorch, MLFlow)
3. Experience in research and in solving analytical problems
...</t>
  </si>
  <si>
    <t>Masters Machine Learning Fall Internship 2024 (USA)</t>
  </si>
  <si>
    <t>1. Working towards a Master's in Computer Science, ML, NLP, Statistics, Information Sciences or related field
2. Machine Learning (ranking, computer vision, NLP, content recommendations, embedding, information retrieval etc)
3. Experience with big data technologies (e.g., Hadoop/Spark) and scalable realtime systems that process stream data
...</t>
  </si>
  <si>
    <t>Co-Op Engineer: Overhead Contact Systems - Fall/Winter 2024-2025</t>
  </si>
  <si>
    <t>2024 Intern, Architecture Modeling</t>
  </si>
  <si>
    <t>Samsung Research America</t>
  </si>
  <si>
    <t>Consumer Electronics, Digital Signage</t>
  </si>
  <si>
    <t>$48-$63 /h</t>
  </si>
  <si>
    <t>1. Pursuing or completed PhD degree in Electrical/Computer Engineering, or related discipline
2. Available for a 6-month internship
3. Proficient in C/C++ and understanding of architecture model development using SystemC
...</t>
  </si>
  <si>
    <t>Postdoctoral Research Associate - Radiology</t>
  </si>
  <si>
    <t>Summer Analyst - Information Security</t>
  </si>
  <si>
    <t>$38 /h</t>
  </si>
  <si>
    <t>1. High school degree required.
2. Pursuing a degree with one of concentrations in the following domains is desirable: Computer Science, Economics, Psychology, Mathematics, Data or Cybersecurity.
3. Thorough, organized, and able to learn quickly.
...</t>
  </si>
  <si>
    <t>R&amp;D Full-Time Intern</t>
  </si>
  <si>
    <t>Blue Current</t>
  </si>
  <si>
    <t>Battery, Electric Vehicle</t>
  </si>
  <si>
    <t>Hayward, CA</t>
  </si>
  <si>
    <t>1. Able to work in a full-time capacity for a minimum of 6 or more months
2. Strong interpersonal and organizational skills
3. Positive, can-do attitude and experience working with team members to overcome technical challenges
...</t>
  </si>
  <si>
    <t>Highway Engineering Intern (E.I.T.)</t>
  </si>
  <si>
    <t>EAC Consulting</t>
  </si>
  <si>
    <t>Miami-FTL Area</t>
  </si>
  <si>
    <t>$65000-$85000 /yr</t>
  </si>
  <si>
    <t>1. Bachelor’s Degree in Engineering</t>
  </si>
  <si>
    <t>Postdoctoral Research Associate - Neuroscience</t>
  </si>
  <si>
    <t>1. Ph.D. degree in biology, biomedical sciences or a related field.</t>
  </si>
  <si>
    <t>Postdoctoral Research Associate - Pediatrics Hematology and Oncology</t>
  </si>
  <si>
    <t>Postdoctoral Research Associate - Otolaryngology</t>
  </si>
  <si>
    <t>1. Ph.D. or an equivalent degree in neuroscience or related field.
2. One or more first-author, peer-reviewed publication.</t>
  </si>
  <si>
    <t>80/20 Design Engineer Intern - Chesterfield, MO</t>
  </si>
  <si>
    <t>Genuine Cable Group</t>
  </si>
  <si>
    <t>Electronics, Hardware</t>
  </si>
  <si>
    <t>1. Current enrollment in a mechanical, electrical, or aerospace engineering program required
2. Experience using hand tools (wrenches, sockets, etc) required
3. Willingness to work onsite</t>
  </si>
  <si>
    <t>Technical Apprentice Nondestructive Testing (NDT)</t>
  </si>
  <si>
    <t>Boeing</t>
  </si>
  <si>
    <t>Tukwila, WA</t>
  </si>
  <si>
    <t>$68000-$68000 /yr</t>
  </si>
  <si>
    <t>1. Willing to complete the requirements of the apprenticeship program
2. Experience building and maintaining professional relationships
3. Experience with Microsoft Office Products like Outlook, PowerPoint, Excel, and Word
...</t>
  </si>
  <si>
    <t>Electrical Engineering Co-Op- University of Delaware</t>
  </si>
  <si>
    <t>Samtec</t>
  </si>
  <si>
    <t>1. Strong interpersonal, verbal, and written communication skills are a must
2. Quick learner
3. Self-motivated and proactive
...</t>
  </si>
  <si>
    <t>Postdoctoral Fellowship - Applied Molecular Biology</t>
  </si>
  <si>
    <t>New England Biolabs</t>
  </si>
  <si>
    <t>Ipswich, MA</t>
  </si>
  <si>
    <t>1. Ph.D. in molecular biology, biochemistry, or a related discipline.
2. Experience with protein purification and molecular biology assays.
3. Excellent verbal and written communication skills.
...</t>
  </si>
  <si>
    <t>Intern/Co-Op - Operations Engineering - Fall 2024, Topeka, KS</t>
  </si>
  <si>
    <t>J.M. Smucker Company</t>
  </si>
  <si>
    <t>Confectionery, Food and Beverage</t>
  </si>
  <si>
    <t>1. A rising junior or senior standing in school with requisite educational experience in engineering – Mechanical, Electrical, Chemical, or Industrial engineering is preferred.
2. A GPA of 3.0 or higher
3. A well-rounded skill set including the ability to define problems, collect data, establish facts, and draw valid conclusions
...</t>
  </si>
  <si>
    <t>Product Development Engineer</t>
  </si>
  <si>
    <t>Rapid Micro Biosystems</t>
  </si>
  <si>
    <t>Biotechnology, Manufacturing</t>
  </si>
  <si>
    <t>1. Bachelor’s degree in Mechanical Engineering, Biomedical Engineering, Electrical Engineering, or a related field
2. Proficiency in CAD software, SolidWorks preferred
3. Excellent problem-solving skills and ability to work effectively in a fast-paced, collaborative environment
...</t>
  </si>
  <si>
    <t>1. Bachelor’s degree in Civil Engineering
2. Entry to 2 years’ experience
3. Minimum 3.0 GPA
...</t>
  </si>
  <si>
    <t>Technical Apprentice Nondestructive Testing (NDT) (Hiring Our Heroes Military Spouse Fellowship)</t>
  </si>
  <si>
    <t>$64000-$68000 /yr</t>
  </si>
  <si>
    <t>1. Eligible candidate for a Hiring Our Heroes Military Spouse Fellowship
2. Willing to complete the requirements of the apprenticeship program
3. Experience building and maintaining professional relationships
...</t>
  </si>
  <si>
    <t>RTP-RESEARCH FELLOW-Health Service Research</t>
  </si>
  <si>
    <t>1. Ph.D. or equivalent education in public health OR a health research-focused related field.
2. Students current enrolled in a doctoral program must provide evidence of degree-in-hand prior to being offered the fellowship.
3. Experience in qualitative and quantitative methods.
...</t>
  </si>
  <si>
    <t>Systems Test Engineer Intern</t>
  </si>
  <si>
    <t>1. Knowledge of microwave components (e.g. transmission lines, power combiners/splitters and filters)
2. Knowledge of Python scripting
3. Have strong attention to detail, be a good communicator and a self-starter
...</t>
  </si>
  <si>
    <t>$28.85-$37.45 /h</t>
  </si>
  <si>
    <t>1. Currently pursuing an MSEE or PhD with coursework in Analog Integrated Circuit Design, Semiconductor Physics and/or Device Fabrication
2. Understanding of basic circuits, at transistor level (e.g. amplifiers, bias networks, attenuators, switches, and detectors)
3. Knowledge of microwave components (e.g. transmission lines, power combiners/splitters and filters)
...</t>
  </si>
  <si>
    <t>1. Undergraduate student pursuing a Bachelor’s Degree in Additive Manufacturing Engineering, Mechanical Engineering, Manufacturing Engineering, or related degree
2. Ability to work 40 hours a week during the scheduled semester
3. Has a passion for Additive Manufacturing Including Hands-On Operation
...</t>
  </si>
  <si>
    <t>Innovation Research &amp; Design Co-op</t>
  </si>
  <si>
    <t>Dayton, AR</t>
  </si>
  <si>
    <t>1. Undergraduate student pursuing a Bachelor's Degree in Industrial Design, Marketing, Entrepreneurship, Sustainability, Social Sciences, Business Administration, or related field
2. Ability to work potentially 40 hours per week during the scheduled semester
3. Legal authorization to work in the United States - Sponsorship for this role will not be provided</t>
  </si>
  <si>
    <t>Fall 2024 Co-Op IT</t>
  </si>
  <si>
    <t>1. Undergraduate student currently pursuing a Bachelor's Degree in Information Technology, MIS, Computer Science or related field
2. Ability to work 40 hours per week during the scheduled semester
3. Legal Authorization to work in the United States – Sponsorship will not be provided for this role</t>
  </si>
  <si>
    <t>University of Vermont College of Medicine</t>
  </si>
  <si>
    <t>1. BS or MS in electrical engineering, solid state physics, or a related field
2. Effective communication skills (written/verbal/visual)
3. Ability to work independently in a larger team
...</t>
  </si>
  <si>
    <t>USGS Climate Adaptation Fellow</t>
  </si>
  <si>
    <t>$78969-$102657 /yr</t>
  </si>
  <si>
    <t>1. Currently pursuing or have received a master's or doctoral degree in one of the relevant fields (Engineering, Hydrology, Climatology, Water Resources, or related disciplines).
2. Degree must have been received within the past five years or is currently pursuing.
3. Citizenship: LPR or U.S. Citizen
...</t>
  </si>
  <si>
    <t>ZOLL LifeVest</t>
  </si>
  <si>
    <t>1. Junior or Senior, pursuing BSEE degree or equivalent
2. Some experience with electrical engineering test equipment, including multimeters, oscilloscopes, power supplies, etc.
3. Course work on analog and digital circuit theory
...</t>
  </si>
  <si>
    <t>Engineering Co-op - Mechanical</t>
  </si>
  <si>
    <t>ZOLL Cardiac Management Solutions</t>
  </si>
  <si>
    <t>1. Active enrollment in the co-operative education program of an accredited university pursuing mechanical engineering
2. Training in CAD modeling and assembly
3. Must work well with others</t>
  </si>
  <si>
    <t>Engineering Co-op - Human Factors and Usability</t>
  </si>
  <si>
    <t>1. Enrollment in related engineering field
2. Understanding of Software development methodologies
3. Basic programming skills</t>
  </si>
  <si>
    <t>Ag-Tech Student</t>
  </si>
  <si>
    <t>Ag-Pro Companies</t>
  </si>
  <si>
    <t>Alliance, OH</t>
  </si>
  <si>
    <t>1. Currently enrolled in an undergraduate or graduate degree program in Mechanical Engineering, Aerospace Engineering (or similar major) and returning to school upon completion of the assignment</t>
  </si>
  <si>
    <t>Student Assistant - Laboratory (Inorganic Unit)</t>
  </si>
  <si>
    <t>State of Michigan</t>
  </si>
  <si>
    <t>Government, Office Administration</t>
  </si>
  <si>
    <t>1. Current enrollment in high school, vocational or technical school, or post-secondary educational institution.
2. The student must provide evidence of enrollment or acceptance to an educational institution.</t>
  </si>
  <si>
    <t>Praktikant (w/m/d)</t>
  </si>
  <si>
    <t>Rödl &amp; Partner USA</t>
  </si>
  <si>
    <t>Manhattan, NY</t>
  </si>
  <si>
    <t>1. Mindestens drei Semester wirtschaftswissenschaftliches Studium mit Schwerpunkt (internationales) Rechnungswesen, Wirtschaftsprüfung und/oder Steuern
2. Erste theoretische und/oder praktische Erfahrungen im Bereich Rechnungswesen und/oder Steuern
3. Spaß an Teamarbeit, hohe Leistungsbereitschaft, Eigeninitiative, hohes Qualitätsbewusstsein und gute analytische Fähigkeiten
...</t>
  </si>
  <si>
    <t>Engineering Co-Op (Fall 2024)</t>
  </si>
  <si>
    <t>SPX Technologies</t>
  </si>
  <si>
    <t>Hardware, Heating  Ventilation  and Air Conditioning (HVAC)</t>
  </si>
  <si>
    <t>1. Pursuing a BS in Mechanical Engineering or Mechanical Engineering Technology
2. Minimum of a 3.0 GPA or higher
3. A strong attention to detail and creative problem-solving skills
...</t>
  </si>
  <si>
    <t>SAP iXp Intern - Global Solution Advisory Hub Community Program</t>
  </si>
  <si>
    <t>1. Currently enrolled (or recent grad) in a BS or Master’s degree in Business, Communications, Marketing, or related area of study
2. Solid business and technical aptitudes
3. Excellent organizational skills; must be able to manage and execute multiple tasks / projects simultaneously
...</t>
  </si>
  <si>
    <t>Ocotillo Technology Fabrication (OTF) Undergraduate Internship (Year Round)</t>
  </si>
  <si>
    <t>1. Must be an actively enrolled and progressing as a student pursuing a Bachelor's of Science Degree in a Process Engineering STEM field (Chemical, Mechanical, Electrical, Material Science, Physics, Industrial Engineering, etc.)
2. Must be entering the 3rd year of Bachelor's of Science Degree Program.
3. Must possess and maintain a 3.0 min GPA to qualify for an Internship
...</t>
  </si>
  <si>
    <t>Ocotillo Technology Fabrication Process Engineering Graduate Intern</t>
  </si>
  <si>
    <t>1. Must be an actively enrolled and progressing as a student pursuing a Master's Degree or PhD in a Process Engineering STEM field (Chemical, Mechanical, Electrical, Material Science, Physics, etc.)
2. Must possess a 3.0 min GPA to qualify for an Internship.
3. This position is located in Chandler, Arizona at Intel's Ocotillo Facility.</t>
  </si>
  <si>
    <t>Ohio Process Engineering Undergraduate Intern</t>
  </si>
  <si>
    <t>1. Must be actively enrolled and progressing as a student pursuing a Bachelor of Science degree in Chemical Engineering, Electrical Engineering, Material Science, Microelectronics Engineering, Mechanical Engineering, Robotics Engineering, Chemistry, Physics, or STEM related field.
2. Must maintain a minimum GPA of 3.0.
3. Must be starting 3rd year or higher of Bachelor of Science degree program.
...</t>
  </si>
  <si>
    <t>Ocotillo Technology Fabrication Process Engineering Undergraduate Intern</t>
  </si>
  <si>
    <t>1. Must be an actively enrolled and progressing as a student pursuing a Bachelor's Degree in a Process Engineering STEM field (Chemical, Mechanical, Electrical, Material Science, Physics, etc.)
2. Must possess a 3.0 min GPA to qualify for an Internship.
3. This position is located in Chandler, Arizona at Intel's Ocotillo Facility.</t>
  </si>
  <si>
    <t>Ohio Process Engineering Graduate Intern</t>
  </si>
  <si>
    <t>1. Must be an actively enrolled and progressing as a student pursuing a Master or PhD of Science degree in Chemical Engineering, Electrical Engineering, Material Science, Microelectronics Engineering, Mechanical Engineering, Robotics Engineering, Chemistry, Physics, or STEM related field.
2. Must maintain a minimum GPA of 3.0.
3. In this position, you will be temporarily relocated to Arizona for the duration of the summer internship. Relocation assistance will be provided.</t>
  </si>
  <si>
    <t>Ocotillo Technology Fabrication Yield Undergrad Internship</t>
  </si>
  <si>
    <t>1. Must be an actively enrolled and progressing as a student pursuing a Bachelor of Science degree in Chemical Engineering, Electrical Engineering, Material Science, Microelectronics Engineering, Optical Engineering, Physics or related field.
2. Must possess and maintain a minimum GPA of 3.0 for the duration of the internship.
3. Must be in the 3rd year or higher of Bachelor of Science degree program.
...</t>
  </si>
  <si>
    <t>Associate Lighting Designer</t>
  </si>
  <si>
    <t>$78500-$103000 /yr</t>
  </si>
  <si>
    <t>1. Bachelor's degree in Lighting Design, Architecture, Architectural Engineering, Interior Design, Theater Production Design or related degree.
2. 1 to 3 years of relevant post education experience.
3. Prior internship experience, leadership experience, or relevant coursework.
...</t>
  </si>
  <si>
    <t>Engineer Intern or Jr. Professional Engineer</t>
  </si>
  <si>
    <t>G.I.S.</t>
  </si>
  <si>
    <t>Building Material, Real Estate</t>
  </si>
  <si>
    <t>1. Bachelor’s of Science in Civil Engineering</t>
  </si>
  <si>
    <t>Engineering Apprentice</t>
  </si>
  <si>
    <t>Lockheed Martin</t>
  </si>
  <si>
    <t>1. Must be a US Citizen
2. Position will require a government security clearance at the Secret Level
3. Located at a facility that requires special access</t>
  </si>
  <si>
    <t>Model Shop Co-op - Fall 2024</t>
  </si>
  <si>
    <t>AtriCure, Inc.</t>
  </si>
  <si>
    <t>1. High School diploma
2. Current undergraduate student working towards a degree in Biomedical, Mechanical, Electrical or related Engineering/Technical degree.
3. Desire to initiate a mechanical/manufacturing/engineering career in future
...</t>
  </si>
  <si>
    <t>Postdoc Research Associate - Machine Learning</t>
  </si>
  <si>
    <t>1. Ph.D. in Computer Science, Computer Engineering, or a related field.
2. Strong background in machine learning, deep learning, and statistical analysis.
3. Proficiency in programming languages such as Python, R, or similar.
...</t>
  </si>
  <si>
    <t>Engineering Assistant - Powertrain</t>
  </si>
  <si>
    <t>1. Candidates pursuing a Master's or Bachelor's degree in Mechanical or Automotive Engineering
2. Strong engineering fundamentals: fluid mechanics, thermodynamics, heat transfer
3. Basic understanding of internal combustion engines and aftertreatment systems
...</t>
  </si>
  <si>
    <t>Packaging Co-Op Intern</t>
  </si>
  <si>
    <t>Lactalis American Group</t>
  </si>
  <si>
    <t>Dairy, Food and Beverage</t>
  </si>
  <si>
    <t>$17.50-$21.50 /h</t>
  </si>
  <si>
    <t>1. Working towards a Bachelor’s degree in Packaging Science or related field
2. Packaging related Internship or other work experience
3. Packaging terms and a basic understanding of general food packaging
...</t>
  </si>
  <si>
    <t>Low Voltage Electronic Apprentice</t>
  </si>
  <si>
    <t>Amplified Electronic Design</t>
  </si>
  <si>
    <t>Health Care, Physical Security</t>
  </si>
  <si>
    <t>1. Assisting the technician with managing jobsite material and equipment
2. Cleaning the work area
3. Assisting technicians with pulling wire and installing equipment
...</t>
  </si>
  <si>
    <t>Field Engineer Intern - St. Charles, MO</t>
  </si>
  <si>
    <t>Millstone Weber</t>
  </si>
  <si>
    <t>St Charles, MO</t>
  </si>
  <si>
    <t>1. Write at least one (1) Change Order.
2. Prepare at least one (1) Submittal/ Transmittal.
3. Attend at least one (1) PM Meeting at MW HQ.
...</t>
  </si>
  <si>
    <t>Mechanical Engineer Intern/Co-op Spring 2025 - CMTA</t>
  </si>
  <si>
    <t>Larson Engineering</t>
  </si>
  <si>
    <t>White Bear Lake, MN</t>
  </si>
  <si>
    <t>1. Bachelor of Science in Civil Engineering, Structural Engineering, or Architectural Engineering anticipated within the next 2 years
2. Excellent verbal and written communication skills</t>
  </si>
  <si>
    <t>Environmental Compliance Internship</t>
  </si>
  <si>
    <t>Casella Waste Systems</t>
  </si>
  <si>
    <t>Innovation Management, Recycling</t>
  </si>
  <si>
    <t>Old Town, ME</t>
  </si>
  <si>
    <t>1. Enrolled in a Civil Engineering, Environmental Engineering, or related degree program
2. Legal eligibility to work in the US
3. Valid driver’s license
...</t>
  </si>
  <si>
    <t>Radiation Effects Engineer — Associate Program 2024 (Fall 2024)</t>
  </si>
  <si>
    <t>1. Hold a B.S., or currently pursuing a M.S. or Ph.D. in an engineering field
2. A passion for hardware development, including working in a fast-paced environment and hands-on design and development
3. Understanding and experience modeling physical environments in software
...</t>
  </si>
  <si>
    <t>Project Engineer Intern - Fall 2024</t>
  </si>
  <si>
    <t>Student Summer Researcher-10041</t>
  </si>
  <si>
    <t>Rush University Medical Center</t>
  </si>
  <si>
    <t>Clinical Trials, Education</t>
  </si>
  <si>
    <t>1. A Bachelor's Degree or higher is required
2. Currently enrolled as a student at Rush Medical College is required
3. Must be in good academic standing as reported by the Office of Integrated Medical Education
...</t>
  </si>
  <si>
    <t>Event Technology Internship, Audio Visual - Kansas City - Fall  2024</t>
  </si>
  <si>
    <t>Paid Engineering Internship</t>
  </si>
  <si>
    <t>Sylacauga, AL</t>
  </si>
  <si>
    <t>1. Senior or recent graduate specializing in Industrial, Mechanical, Electrical, or equivalent Engineering program.
2. Proficient in MS Excel (advanced functionality), MS Word, MS Power Point &amp; Adobe Acrobat.
3. Able to read and interpret drawings, proficiency in AutoCAD is a plus.
...</t>
  </si>
  <si>
    <t>Electronics Controls Hardware Engineer Intern</t>
  </si>
  <si>
    <t>Allison Transmission Holdings</t>
  </si>
  <si>
    <t>1. Mechanical Engineering or Electronical Engineering student that has completed at least their 2nd year of study preferred
2. Degree Programs Considered: Bachelor’s, Master’s, PhD Major Programs
3. Must be a full-time enrolled student pursuing an undergraduate or graduate degree
...</t>
  </si>
  <si>
    <t>$56484-$up /yr</t>
  </si>
  <si>
    <t>1. PhD in relevant field of research
2. PhD research experience in biochemistry, organic chemistry, medicinal chemistry, pharmacology or other biomedical discipline
3. Capable of acquiring data, analyzing the data and writing up of the results into appropriate manuscript form for peer-reviewed publications</t>
  </si>
  <si>
    <t>Video Coding Research Intern AI Focus (Fall 24)</t>
  </si>
  <si>
    <t>$57 /h</t>
  </si>
  <si>
    <t>1. In study towards PhD degree in Electrical Engineering or Computer Engineering.
2. In-depth expertise in deep learning (DL) and statistical machine learning (ML)
3. Extensive programming experience in python/C/C++ applied to image/video coding/processing and experience with one or more deep learning frameworks e.g., TensorFlow, PyTorch, is required.
...</t>
  </si>
  <si>
    <t>Video Coding Research Intern Hybrid AI (Fall 24)</t>
  </si>
  <si>
    <t>College Intern - Transit Technical Services</t>
  </si>
  <si>
    <t>OCTA</t>
  </si>
  <si>
    <t>Logistics, Public Transportation</t>
  </si>
  <si>
    <t>1. Currently a full-time college student enrolled in a two-year or four-year college program and following a course of study leading to a Bachelor's or Master's degree, with emphasis in Mechanical Engineering (Experience with vehicle fleets is a plus).
2. Must be a full-time student maintaining a 2.5 GPA.
3. Intern must conduct themselves in a professional manner.
...</t>
  </si>
  <si>
    <t>NIWC - Undergraduate I-III (Freshman - Senior) Dolus Test and Evaluation Support (Task No: 5504-24157)</t>
  </si>
  <si>
    <t>$16.85-$18.90 /h</t>
  </si>
  <si>
    <t>1. Must be at the Freshman or Sophomore level, have understanding of the discipline and theories, but can be without work experience.
2. Must be at the Junior or Senior level and have experience in 50% of the task requirements and be able to accomplish 50% of the work independently.
3. Must have course work in the discipline requested on the task order Statement of Work. The student must be at the Senior level and have experience in 100% of the task requirements and be able to accomplish 90% of the work independently.
...</t>
  </si>
  <si>
    <t>MILITARY DoD SKILLBRIDGE Field Engineer</t>
  </si>
  <si>
    <t>1. Active Military Personnel
2. Must be able to develop and maintain good customer relationships.
3. Must have reliable transportation and a valid driver's license.
...</t>
  </si>
  <si>
    <t>Construction Internship Fall 2024</t>
  </si>
  <si>
    <t>Hoar Construction LLC</t>
  </si>
  <si>
    <t>1. Currently enrolled as a full-time student in an accredited college or university pursuing a four-year or advanced degree in Construction Engineering, Civil Engineering, or Building Science
2. Maintain a 2.5 or higher cumulative GPA
3. Ability to work 40 hours per week during the spring semester
...</t>
  </si>
  <si>
    <t>Intern, Development Engineering</t>
  </si>
  <si>
    <t>New Holland, PA</t>
  </si>
  <si>
    <t>1. Basic knowledge of materials and mechanical test equipment and measurement methodologies.
2. Excellent communication, interpersonal, and organization skills.
3. Engineering, mathematical, or statistical programming language is a plus (Mathcad, MATLAB, JMP, Minitab, or similar).
...</t>
  </si>
  <si>
    <t>Robotics Software Engineering Intern</t>
  </si>
  <si>
    <t>Trossen Robotics</t>
  </si>
  <si>
    <t>E-Commerce</t>
  </si>
  <si>
    <t>1. Actively pursuing an advanced degree (MS, PhD) in robotics, computer science, or a related field at the time of the internship
2. At least one year of ROS 2 development experience
3. Fluent in C++ and Python
...</t>
  </si>
  <si>
    <t>MGS Mfg. Group</t>
  </si>
  <si>
    <t>1. Enrolled in high school or college level courses.
2. Mechanically inclined.
3. Positive attitude.
...</t>
  </si>
  <si>
    <t>eVinci Testing Co-op</t>
  </si>
  <si>
    <t>1. Pursuing or completed Bachelor's Degree in Mechanical, Electro-Mechanical, or Aerospace Engineering required.
2. Minimum GPA of 3.0 strongly preferred.
3. US Citizen or Permanent Resident.
...</t>
  </si>
  <si>
    <t>Solar Engineer Intern/Co-op Summer 2025 - CMTA</t>
  </si>
  <si>
    <t>1. Pursuing a BSEE, preferably a sophomore (2nd year), or junior (3rd year)
2. Strong interpersonal and communication skills
3. Proficiency with Microsoft Word and Excel
...</t>
  </si>
  <si>
    <t>Solar Engineer Intern/Co-op Spring 2025 - CMTA</t>
  </si>
  <si>
    <t>Engineering Co-op (Spring 2025)</t>
  </si>
  <si>
    <t>1. Knowledge of related engineering discipline functional and technical skills
2. Proficient with Microsoft Excel and Access
3. Good writing skills and interpersonal skills
...</t>
  </si>
  <si>
    <t>Civil Engineering Intern / Co-op - Summer 2025</t>
  </si>
  <si>
    <t>Post Doc Res Assoc</t>
  </si>
  <si>
    <t>$56,484-$59,592 /yr</t>
  </si>
  <si>
    <t>1. Applicants should hold a PhD and/or MD degree in Biochemistry, Biology or Immunology.</t>
  </si>
  <si>
    <t>Aurora, OH</t>
  </si>
  <si>
    <t>Vesuvius USA</t>
  </si>
  <si>
    <t>Graham, NC</t>
  </si>
  <si>
    <t>1. Engineering/Technical background or curriculum
2. Microsoft Office – Outlook, Excel, Word, SharePoint, Teams
3. Ability to communicate effectively with customers and co-workers
...</t>
  </si>
  <si>
    <t>Work Study Student - Electrical Engineering &amp; Computing - Lab Assistant (Fall 2024)</t>
  </si>
  <si>
    <t>Georgia Southern University</t>
  </si>
  <si>
    <t>Statesboro, GA</t>
  </si>
  <si>
    <t>1. Must be enrolled in six or more undergraduate credit hours at Georgia Southern University.
2. Must be Federal Work eligible.</t>
  </si>
  <si>
    <t>RoviSys</t>
  </si>
  <si>
    <t>Commercial, Industrial Automation</t>
  </si>
  <si>
    <t>1. Candidates must be authorized to work in the U.S. without RoviSys sponsorship
2. Full-time student status
3. Strong academic achievement, maintaining a GPA of 3.0 or above
...</t>
  </si>
  <si>
    <t>Distribution System Operator / DSO II / DSO III   24-077</t>
  </si>
  <si>
    <t>Charleston Water System</t>
  </si>
  <si>
    <t>$35609.60-$53614.40 /h</t>
  </si>
  <si>
    <t>1. High school diploma or GED required
2. Prior work record indicating dependability and conscientiousness
3. Two (2) years’ experience in general maintenance and construction in a utility environment required
...</t>
  </si>
  <si>
    <t>Student Co-op - Process Engineering (Continuous Improvement)</t>
  </si>
  <si>
    <t>Mubea</t>
  </si>
  <si>
    <t>1. Interest in automotive manufacturing and /or engineering and sales driven business
2. Interest working in a Germany based (international) organization
3. Bilingual German/Spanish a plus
...</t>
  </si>
  <si>
    <t>Battle Creek, MI</t>
  </si>
  <si>
    <t>Postdoctoral Scientist - Targeted Nucleic Acid Delivery</t>
  </si>
  <si>
    <t>1. PhD in Materials Engineering/Chemical Engineering/Biomedical Engineering or equivalent.
2. Experience level skills in material design, nanoparticle characterization, nucleic acid delivery, and bioconjugation.</t>
  </si>
  <si>
    <t>ML Engineer Graduate (TikTok E-commerce Recommendation) - 2025 Start (PhD)</t>
  </si>
  <si>
    <t>1. PhD in Computer Science, Machine Learning, Artificial Intelligence, Statistics, or a related field.
2. Strong understanding of machine learning algorithms and techniques.
3. Proficiency in programming languages such as Python, Java, or C++, Solid background in data analysis and statistical modeling.
...</t>
  </si>
  <si>
    <t>Polymer Engineering Co-op</t>
  </si>
  <si>
    <t>1. Undergraduate student currently pursuing a Bachelor's degree in Chemistry, Chemical Engineering, Polymer Science and Engineering or related field
2. Sophomore or higher class status
3. Ability to work 40 hours/week
...</t>
  </si>
  <si>
    <t>1. Sophomore standing or higher and pursuing degree in Mechanical Engineering
2. A basic understanding of heat transfer and its application to assigned products and of the customer's product and end use are required.
3. Knowledge of structural design, manufacturing processes and computer methods are necessary.
...</t>
  </si>
  <si>
    <t>Research Asst - Grad Student</t>
  </si>
  <si>
    <t>Texas Tech University Health Sciences Center</t>
  </si>
  <si>
    <t>Abilene, TX</t>
  </si>
  <si>
    <t>1. Currently enrolled as a graduate student at TTU or TTUHSC, in good academic standing.</t>
  </si>
  <si>
    <t>EAVX - Systems Engineer Intern</t>
  </si>
  <si>
    <t>EAVX</t>
  </si>
  <si>
    <t>Ypsilanti, MI</t>
  </si>
  <si>
    <t>1. Pursuing a B.S. Engineering degree in the field of Mechanical or electrical engineering with a Junior or higher standing.
2. Experience with LabVIEW software
3. Experience developing test cases</t>
  </si>
  <si>
    <t>STUDENT ENGINEER - Spacecraft Development</t>
  </si>
  <si>
    <t>Southwest Research Institute</t>
  </si>
  <si>
    <t>Innovation Management, Market Research</t>
  </si>
  <si>
    <t>1. Must be a U.S. citizen
2. Applicant selected will be subject to a government security investigation and must meet eligibility requirements for access to classified information</t>
  </si>
  <si>
    <t>Electrical Engineer Intern/Co-op (Fayetteville) (Fall 2024)</t>
  </si>
  <si>
    <t>The Goodyear Tire &amp; Rubber Company</t>
  </si>
  <si>
    <t>Fayetteville, NC</t>
  </si>
  <si>
    <t>1. Must be a currently enrolled student majoring in Electrical Engineering and having completed at least the freshman year
2. Cumulative grade point average of at least 3.00 on a scale of 4.0
3. Must be able to communicate effectively both orally and in written form
...</t>
  </si>
  <si>
    <t>Mechanical Engineer Intern/Co-op (Tupelo) (Fall 2024)</t>
  </si>
  <si>
    <t>1. Must be a currently enrolled student majoring in Mechanical Engineering and having completed at least the freshman year
2. Cumulative grade point average of at least 3.00 on a scale of 4.0
3. Must be able to communicate effectively both orally and in written form
...</t>
  </si>
  <si>
    <t>Reliability Engineer Intern/Co-op (Tupelo) (Fall 2024)</t>
  </si>
  <si>
    <t>Mechanical Engineer Intern/Co-op (Fayetteville) (Fall 2024)</t>
  </si>
  <si>
    <t>Electrical Engineer Intern/Co-op (Tupelo) (Fall 2024)</t>
  </si>
  <si>
    <t>Civil Engineering Intern - Fort Lauderdale, FL</t>
  </si>
  <si>
    <t>Bowman Consulting</t>
  </si>
  <si>
    <t>1. High School Diploma, GED, or equivalent commensurate experience required.
2. Enrolled in community college courses, a college degree program, or formal continuing education program.
3. Focus on civil engineering or related discipline is strongly preferred.
...</t>
  </si>
  <si>
    <t>Scientific Specialist, Water Resources Engineering - Illinois State Water Survey, PRI, Illinois</t>
  </si>
  <si>
    <t>Gies College of Business - University of Illinois Urbana-Champaign</t>
  </si>
  <si>
    <t>Urbana, IL</t>
  </si>
  <si>
    <t>1. Bachelor of Science degree in Engineering (Civil, Water Resources, Environmental, or similar curriculum) with coursework in hydrology and hydraulics
2. Course work (or equivalent work experience) using HEC-HMS and/or HEC-RAS or similar software and familiarity with ArcGIS and/or ArcPro
3. Some work experience, a research assistant at a university, internship, or other position
...</t>
  </si>
  <si>
    <t>Audio Data Collection - Netherlands</t>
  </si>
  <si>
    <t>1. Fluency in English
2. Any Samsung phone
3. 18+ of age</t>
  </si>
  <si>
    <t>Co-op, On-Board Services, Kitchen Operations and Assembly Process Improvement (Fall 2024)</t>
  </si>
  <si>
    <t>1. Undergraduate students in pursuit of a bachelor’s degree in industrial engineering, Business Administration, Analytics, Statistics, Economics, Aviation management, or similar in a 4-year degree program
2. Must be available for three (3) alternating semesters: Fall 2024, Summer 2025, and Spring 2026
3. Must be able to present themselves professionally and effectively communicate with various levels of leadership
...</t>
  </si>
  <si>
    <t>Audio Data Collection - Chinese Simplified</t>
  </si>
  <si>
    <t>Engineering Co-Op (Spring 2025)</t>
  </si>
  <si>
    <t>Kendallville, IN</t>
  </si>
  <si>
    <t>1. Minimum GPA of 3.0
2. Sophomore status</t>
  </si>
  <si>
    <t>Integrated Process Development Co-op</t>
  </si>
  <si>
    <t>Procter &amp; Gamble Company</t>
  </si>
  <si>
    <t>Beauty, Brand Marketing</t>
  </si>
  <si>
    <t>$29-$50 /h</t>
  </si>
  <si>
    <t>1. Candidates seeking BS/MS degree in Mechanical or Biomechanical Engineering is preferred, but not required
2. Other BS/MS Engineering majors will be considered
3. Are 1-4 years away from Graduation (Engineering school/Universities)
...</t>
  </si>
  <si>
    <t>Industrial Engineer</t>
  </si>
  <si>
    <t>1. Bachelor’s degree in Industrial Engineering, Mechanical Engineering, or equivalent.
2. Minimum 1-3 years’ experience in manufacturing, preferably in automotive or heavy truck assembly.
3. Proficiency in Six Sigma, lean manufacturing, 5S, and visual management.
...</t>
  </si>
  <si>
    <t>Support Developer Intern</t>
  </si>
  <si>
    <t>ValMark Financial Group</t>
  </si>
  <si>
    <t>1. Currently enrolled in college seeking a degree in Technology
2. Available to commit 15-25 hours per week during the spring/fall semester and 30-40 hours per week during summer months
3. SQL
...</t>
  </si>
  <si>
    <t>Electrical Engineer (New/Recent Grad)</t>
  </si>
  <si>
    <t>Madison, PA</t>
  </si>
  <si>
    <t>1. 2023/2024 including recent 2024 graduates w/ a Bachelors in Electrical Engineering.
2. Minimum 3.0 GPA required.
3. Strong technical aptitude required – Passion for Technical Design and Analysis
...</t>
  </si>
  <si>
    <t>Master's Level Research Intern - Neurology - Simpkins Lab (On-Site, Academic Credit)</t>
  </si>
  <si>
    <t>1. Must be 18 years of age or older.
2. Must be a current enrolled in an accredited graduate school program (Master’s program or Medical School)
3. Must reside in the greater Los Angeles area or surrounding cities while conducting all activities related to the intern visitor appointment.
...</t>
  </si>
  <si>
    <t>Camera Operator Work Study</t>
  </si>
  <si>
    <t>Iowa Valley Community College District</t>
  </si>
  <si>
    <t>Iowa Falls, IA</t>
  </si>
  <si>
    <t>$8.25-$8.25 /h</t>
  </si>
  <si>
    <t>1. Ability to understand and follow camera scripts
2. Excellent communication skills
3. Select, assemble and position equipment (cameras, stands, software etc.)
...</t>
  </si>
  <si>
    <t>ML Engineer Graduate (TikTok Core Feed Recommendation- User Growth) - 2025 Start（PhD)</t>
  </si>
  <si>
    <t>1. PhD degree or equivalent degree in computer science, machine learning, or related fields.
2. Familiar with one or more of the following areas: recommendation systems, machine learning, deep learning, pattern recognition, data mining, computer vision, NLP, causal inference or multimodal machine learning.
3. Strong proficiency in Python and/or C/C++, and familiarity with a machine learning framework. Have a deep understanding of data structures and algorithms.
...</t>
  </si>
  <si>
    <t>Environmental Test — Intern (Fall 2024)</t>
  </si>
  <si>
    <t>1. Pursuing a four-year degree in Electrical Engineering, Mechanical Engineering (or equivalent technical degree)
2. A passion for hardware development, including working in a fast-paced environment and hands-on design and development
3. Ability to handle multiple tasks and prioritize
...</t>
  </si>
  <si>
    <t>Mechanical Engineer Intern/Co-op (Topeka) (Fall 2024)</t>
  </si>
  <si>
    <t>Industrial Engineer Intern/Co-op (Topeka) (Fall 2024)</t>
  </si>
  <si>
    <t>1. Must be a currently enrolled student majoring in Industrial or Manufacturing Engineering and having completed at least the freshman year
2. Cumulative grade point average of at least 3.00 on a scale of 4.0
3. Must be able to communicate effectively both orally and in written form
...</t>
  </si>
  <si>
    <t>Electrical Engineer Intern/Co-op (Texarkana)(Summer 2024) 1</t>
  </si>
  <si>
    <t>Texarkana, AR</t>
  </si>
  <si>
    <t>1. Must be a currently enrolled student majoring in Electrical Engineering and having completed at least the freshman year
2. Cumulative grade point average of at least 3.0 on a scale of 4.0
3. Must be able to communicate effectively both orally and in written form
...</t>
  </si>
  <si>
    <t>Mechanical Engineer Intern/Co-op (Clarksdale) (Fall 2024)</t>
  </si>
  <si>
    <t>Clarksdale, MS</t>
  </si>
  <si>
    <t>Electrical Engineer Intern/Co-op (Topeka) (Fall 2024)</t>
  </si>
  <si>
    <t>Electrical Engineer Intern/Co-op (Clarksdale)(Fall 2024)</t>
  </si>
  <si>
    <t>Design Build Co-Op (Nashville) - Spring 2025</t>
  </si>
  <si>
    <t>1. Bachelor's degree required.
2. Experience in developing and evaluating new experimental methods required.
3. Knowledge of standard research techniques relevant to developmental biology, microscopy, and computational data analysis required.
...</t>
  </si>
  <si>
    <t>USA - Renton, WA</t>
  </si>
  <si>
    <t>Technical Apprentice Nondestructive Testing (NDT) (Skillbridge)</t>
  </si>
  <si>
    <t>USA - Charleston, SC</t>
  </si>
  <si>
    <t>1. Served at least 180 continuous days on active duty in the U.S. Military
2. Within 12 months of separation or retirement from the U.S. Military
3. Ability to start within 180 days and no less than 120 days prior to separation or retirement from active duty aligned to the beginning of the program cohort start date
...</t>
  </si>
  <si>
    <t>Stagiaire en cybersécurité / IT Cybersecurity Intern</t>
  </si>
  <si>
    <t>Aliaxis Ventures</t>
  </si>
  <si>
    <t>CA - IDS 2 - Office</t>
  </si>
  <si>
    <t>1. Récemment diplômé d'un programme de licence ou étudiant en cours d'un programme de master en sécurité informatique ou dans un domaine connexe.
2. Opérations de cybersécurité.
3. Gestion des vulnérabilités.
...</t>
  </si>
  <si>
    <t>Chemtrade Logistics Income Fund</t>
  </si>
  <si>
    <t>Chemical, Food and Beverage</t>
  </si>
  <si>
    <t>1. Student currently enrolled in an Engineering program
2. 2nd or 3rd Year Engineering Student
3. Knowledgeable in Engineering principles
...</t>
  </si>
  <si>
    <t>Fall 2024-Product Engineer Intern</t>
  </si>
  <si>
    <t>1. Currently enrolled in a 4 years engineering degree or Masters Program with emphasis in (EE, CE) with a minimum 3.0 GPA
2. Proficient in MS Office (Excel, and Microsoft Word)
3. Must have good interpersonal skills and can build a good network
...</t>
  </si>
  <si>
    <t>Postdoctoral Fellow-MSH-30035-316</t>
  </si>
  <si>
    <t>1. PhD in Neuroscience or related field
2. Experience in cognitive or systems neuroscience
3. Quantitative skills including basic or advanced statistics and signal processing
...</t>
  </si>
  <si>
    <t>Ranpak</t>
  </si>
  <si>
    <t>1. High school or equivalent
2. Ability to relocate to Shelton, CT 06484 before starting work
3. In-person work location</t>
  </si>
  <si>
    <t>Intern/Co-op, Operations Engineering - Spring 2025 Topeka, KS</t>
  </si>
  <si>
    <t>1. Rising junior or senior standing in school with educational experience in engineering – Mechanical, Electrical, Chemical, or Industrial engineering
2. GPA of 3.0 or higher
3. Ability to define problems, collect data, establish facts, and draw valid conclusions
...</t>
  </si>
  <si>
    <t>Engineering Intern (DREEM Program)</t>
  </si>
  <si>
    <t>Lexington Park, MD</t>
  </si>
  <si>
    <t>1. Must be a student with the College of Southern Maryland (CSM) participating in the Democratizing Research and Experiential Education for Microelectronics (DREEM) Program AND/OR currently taking related Microelectronics Engineering courses at the University of Maryland’s MATRIX Lab.
2. Clearance: Eligible to Obtain a DOD Clearance
3. Must have or be participating in the DREEM research program</t>
  </si>
  <si>
    <t>1. Must be actively pursuing a degree in Chemical, Aerospace, Mechanical Engineering or Electrical Engineering.
2. The program will begin Summer 2024.
3. GPA 3.0 or better
...</t>
  </si>
  <si>
    <t>Engineering &amp; Maintenance Co-Op</t>
  </si>
  <si>
    <t>Process Engineering Co-op</t>
  </si>
  <si>
    <t>ThyssenKrupp</t>
  </si>
  <si>
    <t>Automotive, Construction</t>
  </si>
  <si>
    <t>Hamilton, OH</t>
  </si>
  <si>
    <t>1. Must be enrolled in an accredited institution
2. Must be maintaining a 3.0 GPA or higher
3. 2D/3D CAD knowledge
...</t>
  </si>
  <si>
    <t>Intern/Co-Op, Operations Engineering - Fall 2024, Buffalo, NY</t>
  </si>
  <si>
    <t>$20-$25.50 /h</t>
  </si>
  <si>
    <t>1. Rising junior or senior standing in school with educational experience in engineering – Mechanical, Electrical, Chemical, or Industrial engineering
2. GPA of 3.0 or higher
3. Ability to work in both an office and plant environment and comply with all safety procedures</t>
  </si>
  <si>
    <t>Media Tribology Ph.D. Internship</t>
  </si>
  <si>
    <t>Western Digital</t>
  </si>
  <si>
    <t>$31,820-$38,190 /yr</t>
  </si>
  <si>
    <t>1. Graduate degree in material science, physics, chemistry, mechanical engineering, optical engineering, or equivalent required
2. Ability to effectively manage projects and tasks to deliver commitments by deadlines
3. Capable of quickly learning new systems, tools, and methodologies
...</t>
  </si>
  <si>
    <t>Quality Assurance Intern - Fall 2024</t>
  </si>
  <si>
    <t>1. Attention to details
2. Microsoft Excel, data entry and other records keeping experience</t>
  </si>
  <si>
    <t>Research Intern, Vision Foundation Model and Generative AI</t>
  </si>
  <si>
    <t>1. Currently has, or is in the process of obtaining, a master/PhD degree in computer science or related field.
2. Publications or expertise in computer vision applications (e.g., object detection, segmentation), vision and multi-modal foundation model, data synthesis, knowledge distillation, federated learning, etc.
3. Ability to communicate research in a clear and precise manner.
...</t>
  </si>
  <si>
    <t>Co-Op - Engineering - Cheraw 2 - Fall 2024</t>
  </si>
  <si>
    <t>Co-Op: AI Application Engineer</t>
  </si>
  <si>
    <t>Rakuten Americas</t>
  </si>
  <si>
    <t>E-Commerce, Internet</t>
  </si>
  <si>
    <t>$50-$60 /h</t>
  </si>
  <si>
    <t>1. Good understanding of statistical modeling, machine learning, deep learning, or data analytics concepts
2. Proficient in one or more programming languages such as Python, Java and C
3. Familiar with one or more machine learning or statistical modeling tools
...</t>
  </si>
  <si>
    <t>USDA-ARS Bachelor's Research Internship</t>
  </si>
  <si>
    <t>Parlier, CA</t>
  </si>
  <si>
    <t>1. Currently pursuing an associate's or bachelor's degree in one of the relevant fields
2. U.S. Citizen Only
3. Degree: Associate's Degree or Bachelor's Degree
...</t>
  </si>
  <si>
    <t>2024-2025 - Engineering Info Tech Center, Student Office Assistant</t>
  </si>
  <si>
    <t>$11-$11 /h</t>
  </si>
  <si>
    <t>1. Knowledge of basic PC operations required and knowledge of engineering applications preferred
2. Ability to communicate effectively
3. Possess a high sense of responsibility and customer service skills
...</t>
  </si>
  <si>
    <t>Utilities Engineer Intern</t>
  </si>
  <si>
    <t>England-Thims &amp; Miller, Inc.</t>
  </si>
  <si>
    <t>1. Bachelor’s degree in Engineering (recent graduate)
2. Certified E.I.T.
3. Knowledge of CADD (Auto CADD and Civil 3D preferred)
...</t>
  </si>
  <si>
    <t>Fall 2024-Industrial Engineering Intern (MLB, FL)</t>
  </si>
  <si>
    <t>1. Currently enrolled in a 4 years degree program or 2 years Masters program in Industrial Engineering
2. Enrolled at time of application as a Junior or Senior with at least a minimum 3.0 GPA
3. Proficient in MS Office (PowerPoint, Excel and Microsoft Word)
...</t>
  </si>
  <si>
    <t>Audio Data Collection (Part time Chinese Speaker)</t>
  </si>
  <si>
    <t>Audio Data Collection (Remote Chinese Speaker)</t>
  </si>
  <si>
    <t>AI Internship</t>
  </si>
  <si>
    <t>WEConnect International</t>
  </si>
  <si>
    <t>1. Passion for Women's Economic Empowerment: A deep commitment to advancing women in business.
2. Educational Background: Pursuing or holding a degree in international business, business, marketing, writing, and women’s studies.
3. Exceptional Communication: Strong English writing and communication skills.
...</t>
  </si>
  <si>
    <t>Paid Engineer Internship - Fall 2024</t>
  </si>
  <si>
    <t>Sumas, WA</t>
  </si>
  <si>
    <t>$23-$24 /h</t>
  </si>
  <si>
    <t>1. Must be local to Washington State
2. Must be a current Junior or Senior enrolled in Mechanical, Electrical, Industrial, or Environmental Engineer degree programs
3. Must be able to stand and walk frequently
...</t>
  </si>
  <si>
    <t>Engineering Co-op Student</t>
  </si>
  <si>
    <t>LSB Industries</t>
  </si>
  <si>
    <t>Agriculture, Consumer Goods</t>
  </si>
  <si>
    <t>1. Sophomore or greater standing
2. Majoring in Mechanical or Chemical or Computer Engineering
3. Current GPA of 3.2 or higher</t>
  </si>
  <si>
    <t>Civil Engineer Co-op</t>
  </si>
  <si>
    <t>1. Current student in good academic standing pursuing an ABET accredited degree in civil engineering or civil engineering technology with at least a 3.0 GPA
2. Strong interest in developing diverse civil engineering skills
3. Physical ability to lift and carry 30 lbs. of gear and willingness to travel into the field on project assignments
...</t>
  </si>
  <si>
    <t>Cybersecurity Engineer (Int)</t>
  </si>
  <si>
    <t>ECS Federal</t>
  </si>
  <si>
    <t>Artificial Intelligence (AI), Cloud Infrastructure</t>
  </si>
  <si>
    <t>1. Bachelor's Degree in engineering, computer science, information technology or network security AND two years of related work experience AND one or more industry security certifications (CompTIA Security+, Cloud Security Certificates, CISSP, etc.)
2. OR
3. Associate’s Degree in engineering, computer science, information technology or network security AND four years of related work experience AND one or more industry security certifications (CompTIA Security+, Cloud Security Certificates, CISSP, etc.)
...</t>
  </si>
  <si>
    <t>Network Engineer (Int)</t>
  </si>
  <si>
    <t>1. Bachelor's Degree in networking, computer science, or a related field AND two years of related work experience AND one or more entry-level network certifications (e.g., CCNA, JNCIA, PCCET etc.,)
2. OR Associate’s Degree in networking, computer science, or a related field AND four years of related work experience AND one or more entry-level network certifications (e.g., CCNA, JNCIA, PCCET etc.,)
3. OR Six years of related work experience AND one or more entry-level network certifications (e.g., CCNA, JNCIA, PCCET etc.,)
...</t>
  </si>
  <si>
    <t>Whisper Aero</t>
  </si>
  <si>
    <t>1. US Person Status
2. Have completed at least 2 years of schooling towards a BS or MS in Aerospace Engineering, Mechanical Engineering, Physics, or related discipline
3. Proficient with CAD software (SolidWorks preferred)</t>
  </si>
  <si>
    <t>Flight Test Intern</t>
  </si>
  <si>
    <t>1. US Person Status
2. Pursuing a BS or MS in Aerospace Engineering, Mechanical Engineering, Electrical Engineering, Computer Science, Physics, or related discipline
3. Proficient with CAD (SolidWorks preferred)
...</t>
  </si>
  <si>
    <t>Powertrain Engineering Intern</t>
  </si>
  <si>
    <t>1. US Person Status
2. Currently pursuing a degree in electrical engineering or a related field.
3. Strong understanding of AC electric motors, basic control algorithms, and testing methods
...</t>
  </si>
  <si>
    <t>Electrical Engineer Coop</t>
  </si>
  <si>
    <t>DPS Group</t>
  </si>
  <si>
    <t>Industrial Automation, Industrial Engineering</t>
  </si>
  <si>
    <t>1. Candidate for Electrical Engineering B.S. with at least one previous Co-op assignment
2. Revit, AutoCAD, Excel, Word, Bluebeam
3. Written and verbal communication
...</t>
  </si>
  <si>
    <t>Ground Test Intern</t>
  </si>
  <si>
    <t>Crossville, TN</t>
  </si>
  <si>
    <t>1. US Person
2. Pursuing a BS or MS in Aerospace Engineering, Mechanical Engineering, Electrical Engineering, Computer Science, Physics, or related discipline
3. Proficient with discipline-specific software: CAD (SolidWorks preferred), Python, LabView, EAGLE, OpenVSP, Julia, FORTRAN
...</t>
  </si>
  <si>
    <t>Working Student (m/f/x) Business Development Engineer (Automotive )</t>
  </si>
  <si>
    <t>1. Enrolled Master's student in Chemistry, Chemical Engineering, Mechanical Engineering, Process Engineering, or a similar field (or B.Sc. student with relevant technical apprenticeship)
2. Structured, precise, and reliable work approach
3. Hands-on mentality
...</t>
  </si>
  <si>
    <t>1. At least 2 years completed course work for an engineering major.
2. Excellent written and communication skills and strong math and science skills.
3. Valid Texas Driver’s License with no history of accidents or alcohol/drug related traffic offenses and valid right to work documents.
...</t>
  </si>
  <si>
    <t>1. Pursuing a B.S. Engineering degree in the field of Mechanical or electrical engineering with a Junior or higher standing
2. Experience with LabVIEW software
3. Experience developing test cases</t>
  </si>
  <si>
    <t>Early Career Lighting Designer</t>
  </si>
  <si>
    <t>$49400-$81510 /yr</t>
  </si>
  <si>
    <t>1. Bachelor's degree in Lighting Design, Architecture, Architectural Engineering, Interior Design, Theater Production Design or related degree.
2. 0 to 1 years of relevant post education experience.
3. Prior internship experience, leadership experience, or relevant coursework.
...</t>
  </si>
  <si>
    <t>Engineering Lab Assistant/Tutor - Student</t>
  </si>
  <si>
    <t>Oklahoma City Community College</t>
  </si>
  <si>
    <t>Alumni, Communities</t>
  </si>
  <si>
    <t>1. Current OCCC student enrolled in a minimum of 6 hours for the Fall OR Spring semester OR enrolled in a minimum of 3 hours for the Summer semester
2. Current OCCC student with a Federal Work Study award
3. Must have made a C or better in Engineering Physics I and Calc II
...</t>
  </si>
  <si>
    <t>Rockwall, TX</t>
  </si>
  <si>
    <t>Electrical Integration Engineer — Intern (Fall 2024)</t>
  </si>
  <si>
    <t>1. Pursuing a four-year degree in Electrical Engineering, Computer Science (or equivalent technical degree)
2. A passion for hardware development, including working in a fast-paced environment and hands-on design and development
3. Ability to handle multiple tasks and prioritize
...</t>
  </si>
  <si>
    <t>PCB Layout Engineer Intern (Fall 2024)</t>
  </si>
  <si>
    <t>1. Currently pursuing a B.S., M.S. or Ph.D. in electrical engineering (or equivalent technical degree)
2. Familiarity with Altium or similar ECAD design tools
3. Basic knowledge of analog, RF, power and digital electronics design principles
...</t>
  </si>
  <si>
    <t>Spring 2025 Industrial Engineering Intern – Graduate</t>
  </si>
  <si>
    <t>The Hill</t>
  </si>
  <si>
    <t>Internet, News</t>
  </si>
  <si>
    <t>Van Horn, TX</t>
  </si>
  <si>
    <t>1. Must be a U.S. citizen or national, U.S. permanent resident (current Green Card holder), or lawfully admitted into the U.S. as a refugee or granted asylum.
2. Currently enrolled in a graduate program and have at least one semester or quarter of school remaining after the internship.
3. Available to work full time for a minimum of 15 weeks while not concurrently enrolled in coursework.
...</t>
  </si>
  <si>
    <t>LG&amp;E Energy Corp</t>
  </si>
  <si>
    <t>1. Available part time during the fall 2024 semester (August - December)
2. Pursuing a Bachelor’s degree with declared major in Civil, Mechanical or Electrical Engineering
3. Minimum 2.50 GPA</t>
  </si>
  <si>
    <t>Spring 2025 Fluids Engineering Intern – Undergraduate</t>
  </si>
  <si>
    <t>1. Must be a U.S. citizen or national, U.S. permanent resident (current Green Card holder), or lawfully admitted into the U.S. as a refugee or granted asylum.
2. Currently enrolled in an undergraduate program and have at least one semester or quarter of school remaining after the internship.
3. Completed at least one year of full-time coursework post high school graduation at the time of application (obtained sophomore standing).
...</t>
  </si>
  <si>
    <t>Highway Engineering Co-op Fall 2024</t>
  </si>
  <si>
    <t>Commonwealth of Massachusetts</t>
  </si>
  <si>
    <t>1. Familiarity with AutoCAD
2. Proficient with Microsoft Office with strong Excel skills
3. Excellent verbal and analytical skills</t>
  </si>
  <si>
    <t>Intern - Mold Engineering</t>
  </si>
  <si>
    <t>Gerresheimer Glas</t>
  </si>
  <si>
    <t>1. Current college student
2. Good knowledge of written and spoken English
3. Very good project and process management skills
...</t>
  </si>
  <si>
    <t>Spring 2025 Industrial Engineering Intern – Undergraduate</t>
  </si>
  <si>
    <t>1. Must be a U.S. citizen or national, U.S. permanent resident (current Green Card holder), or lawfully admitted into the U.S. as a refugee or granted asylum.
2. Currently enrolled in an undergraduate program and have at least one semester or quarter of school remaining after the internship.
3. Available to work full time for a minimum of 15 weeks while not concurrently enrolled in coursework.
...</t>
  </si>
  <si>
    <t>Craft Worker Intern - Protection &amp; Control</t>
  </si>
  <si>
    <t>PPL</t>
  </si>
  <si>
    <t>1. Must be currently enrolled and pursuing a degree in a technical field. Applicable degree fields include Engineering and Electronics Technology, Industrial Maintenance, Advanced Automation &amp; Robotics Technology, or a related field.
2. Minimum 2.50 GPA.</t>
  </si>
  <si>
    <t>$3379.14-$4862.67 /mon</t>
  </si>
  <si>
    <t>1. A Bachelor’s degree in a relevant field of study or equivalent related field experience performing professional-level work with scientific or clinical research protocols. Any combination of relevant education and experience may be substituted for the educational requirement on a year-for-year basis.
2. Experimental and analytical skills; understanding and knowledge of research theory; interviewing experience; excellent organizational and project management skills.
3. Advanced knowledge of the principles of cereal chemistry.
...</t>
  </si>
  <si>
    <t>Co-Op - Mechanical Engineer - Fall 2024</t>
  </si>
  <si>
    <t>Greif</t>
  </si>
  <si>
    <t>1. Working towards a Bachelor's degree in a related field
2. Possesses an understanding of basic Engineering principles
3. Knowledge of the function related to the position
...</t>
  </si>
  <si>
    <t>SSED Electrical Engineering Intern - Fall 2024 - SEAL</t>
  </si>
  <si>
    <t>1. Pursuing a Bachelor’s degree in Electrical Engineering, Computer Engineering, or related field.
2. 3.0 or higher GPA
3. Full-Time Intern- Must be registered for Full-time Internship Credit
...</t>
  </si>
  <si>
    <t>Wyoming, IL</t>
  </si>
  <si>
    <t>1. Must be actively pursuing a degree in an agriculture related field.
2. Must be able to effectively operate farm equipment, such as tractors, cultivators, and sprayers, and experience with small plot field equipment preferred.
3. Must be detail-oriented, well organized and able to work independently.
...</t>
  </si>
  <si>
    <t>Spring 2025 Electrical System Engineering Intern – Undergraduate</t>
  </si>
  <si>
    <t>Technical Engineering Services Co-op</t>
  </si>
  <si>
    <t>Aspen Aerogels</t>
  </si>
  <si>
    <t>Energy, GreenTech</t>
  </si>
  <si>
    <t>1. A candidate who has completed 2 or more years of basic mechanical, electro-mechanical, chemical, or other technical engineering program is required.</t>
  </si>
  <si>
    <t>Spring 2025 Materials &amp; Processes Engineering Intern – Graduate</t>
  </si>
  <si>
    <t>IT Systems Analyst Intern</t>
  </si>
  <si>
    <t>Community Bank N.A.</t>
  </si>
  <si>
    <t>Olean, NY</t>
  </si>
  <si>
    <t>1. Working towards an Associate's or Bachelor's Degree in Information Technology, Computer Science or Information Security.
2. Basic understanding of User Access management in a Microsoft Active Directory environment.
3. All applicants must be 18 years of age or older.</t>
  </si>
  <si>
    <t>Event Technology Internship Fall 2024- Austin- San Antonio</t>
  </si>
  <si>
    <t>Kettering University Electrical Engineering Co-op (B Section), R&amp;D - NPD</t>
  </si>
  <si>
    <t>Materials and Road Research Student Intern</t>
  </si>
  <si>
    <t>Minnesota Department of Transportation</t>
  </si>
  <si>
    <t>Twin Cities Area</t>
  </si>
  <si>
    <t>$17.58-$20.58 /h</t>
  </si>
  <si>
    <t>1. Must be a current student who is enrolled at a college/university, trade, or technical school
2. Undergraduate and graduate students are welcome to apply
3. Must have a minimum GPA of 2.5
...</t>
  </si>
  <si>
    <t>Micro-Electronics Intern</t>
  </si>
  <si>
    <t>Leidos holdings</t>
  </si>
  <si>
    <t>Computer, Government</t>
  </si>
  <si>
    <t>$44850-$81075 /yr</t>
  </si>
  <si>
    <t>1. Currently pursuing Bachelor’s degree in Electrical Engineering, Computer Engineering, or a related field.
2. Experience with ASIC and SoC design and development.
3. Familiarity with EDA tools such as Cadence, Synopsys, or Mentor Graphics.
...</t>
  </si>
  <si>
    <t>Spring 2025 Human Factors Engineering Intern - Undergraduate</t>
  </si>
  <si>
    <t>1. Must be a U.S. citizen or national, U.S. permanent resident (current Green Card holder), or lawfully admitted into the U.S. as a refugee or granted asylum.
2. Currently enrolled in an undergraduate program in Engineering or a related technical field and have at least one semester or quarter of school remaining after the internship.
3. Available to work full time for a minimum of 15 weeks while not concurrently enrolled in coursework.
...</t>
  </si>
  <si>
    <t>Apprentice - Aircraft Support Mechanic (SEA)</t>
  </si>
  <si>
    <t>Bentonville, AR</t>
  </si>
  <si>
    <t>Spring 2025 Fluids Engineering Intern – Graduate</t>
  </si>
  <si>
    <t>Fall 2024 Co-op - Maintenance Mechanical Engineer</t>
  </si>
  <si>
    <t>Hohman Plating</t>
  </si>
  <si>
    <t>Foundries, Hardware</t>
  </si>
  <si>
    <t>1. Degrees being pursued in Industrial or Mechanical Engineering are preferred.
2. Able to draw mechanical schematics to demonstrate how a process works.
3. Wanting to learn and develop process flows and P&amp;ID drawings.
...</t>
  </si>
  <si>
    <t>Postmaster Position in Small Scale Mechanical Testing</t>
  </si>
  <si>
    <t>1. 2 years of experience using a Focused-Ion-Beam to prepare TEM samples and small-scale testing specimens
2. 2 years of experience using in situ SEM mechanical testing tools (e.g., Bruker, Alemnis, FemtoTools)
3. Experience in metallographic preparation of metals for EBSD and/or small-scale mechanical characterization
...</t>
  </si>
  <si>
    <t>Englewood Cliffs, NJ</t>
  </si>
  <si>
    <t>Postdoctoral Fellow in Computational Cancer Metabolism</t>
  </si>
  <si>
    <t>$55439-$10094 /yr</t>
  </si>
  <si>
    <t>1. PhD in a computational or quantitative discipline including but not limited to computational biology, bioengineering, computer science, physics, or bioinformatics</t>
  </si>
  <si>
    <t>Virginia Tech - 2025 Engineering Summer Internship Program</t>
  </si>
  <si>
    <t>$42000-$100000 /yr</t>
  </si>
  <si>
    <t>1. Ability to work full-time for 10-12 weeks during Summer 2025 or during the school year part-time
2. Currently majoring in one of the following core engineering/applied sciences disciplines. Including Aeronautical/Aerospace/Aerodynamic Engineering, Chemical Eng./Material Science, Computer Engineering, Computer Science, Civil/Structural Engineering, Electrical Engineering, Industrial Engineering, Mechanical Engineering, Software Engineering, Systems Engineering, Cybersecurity, Safety, Math, Physics and other applicable engineering disciplines.
3. Enrolled student attending a college or university with an expected graduation date on or after August 2025
...</t>
  </si>
  <si>
    <t>Highway Engineering Internship - District Five Fall 2024 Part Time</t>
  </si>
  <si>
    <t>Taunton, MA</t>
  </si>
  <si>
    <t>Intern - AI Technologies - R&amp;D Undergraduate Year-Round</t>
  </si>
  <si>
    <t>Embedded Machine Learning Engineer - Co-Op/Intern</t>
  </si>
  <si>
    <t>Invisible AI</t>
  </si>
  <si>
    <t>Artificial Intelligence (AI), Computer Vision</t>
  </si>
  <si>
    <t>$30-$45 /h</t>
  </si>
  <si>
    <t>1. Graduate student with a background in Electrical Engineering focused on Machine Learning/Deep Learning for Computer Vision, or, Undergraduate students with relevant experience.
2. High Proficiency in C++ with hands-on experience in embedded Linux.
3. Experience with writing and deploying machine learning algorithms.
...</t>
  </si>
  <si>
    <t>Artificial Intelligence Student Engineer - FWS (2024 / 2025)</t>
  </si>
  <si>
    <t>University of La Verne</t>
  </si>
  <si>
    <t>La Verne, CA</t>
  </si>
  <si>
    <t>1. Knowledge of computer programs such as: Google apps, Microsoft Office.
2. Knowledge of programming languages.
3. Interested in learning new skills, software/applications, and technology.
...</t>
  </si>
  <si>
    <t>PCB Group</t>
  </si>
  <si>
    <t>Electronics, Sensor</t>
  </si>
  <si>
    <t>Latham, NY</t>
  </si>
  <si>
    <t>1. Enrolled in a four-year engineering program</t>
  </si>
  <si>
    <t>Undergraduate Research Internship - Young Laboratory (Two Openings)</t>
  </si>
  <si>
    <t>Worcester Polytechnic Institute</t>
  </si>
  <si>
    <t>Worcester</t>
  </si>
  <si>
    <t>1. Training in modern molecular biology, genetic engineering, and yeast cell culture
2. Bacterial cell growth
3. Molecular cloning of DNA for integration into the yeast genome
...</t>
  </si>
  <si>
    <t>US-Palo Alto</t>
  </si>
  <si>
    <t>Engineering Intern, Vehicle Speech Recognition</t>
  </si>
  <si>
    <t>1. Currently pursuing a bachelor’s or master’s degree in computer, electrical and/or electronics engineering or related fields
2. Knowledge of Python
3. Understanding of Cloud and Networking
...</t>
  </si>
  <si>
    <t>DoD SkillBridge Intern - SSEE Systems Specialist (Active Duty Service Members)</t>
  </si>
  <si>
    <t>1. Four (4) years of technical experience with Navy Cryptologic Systems
2. Security+ certification
3. U.S. CITIZENSHIP
...</t>
  </si>
  <si>
    <t>Intern - CAE Engineering</t>
  </si>
  <si>
    <t>1. Must be active student doing BS or MS Degree in mechanical Engineering with a min GPA =3.0.
2. Must be eligible to work in USA for any employer without sponsorship.
3. Ansys CAE (Workbench, Mechanical and Fluent) software experience is desired. Experience with other CAE tools can also be considered. Familiarity with CAD software, preferably SolidWorks
...</t>
  </si>
  <si>
    <t>Co-Op: Research Science</t>
  </si>
  <si>
    <t>1. Strong knowledge in natural language processing, specifically in language analysis technologies (e.g., word segmentation, word embeddings, PoS tagging, named entity recognition, parsing, or machine translation)
2. Strong knowledge in machine learning and/or data mining
3. Knowledge of open source NLP and ML software, especially major deep learning frameworks such as Tensorflow and Pytorch
...</t>
  </si>
  <si>
    <t>Civil Engineering Intern - Roadway &amp; Drainage - Summer 2025</t>
  </si>
  <si>
    <t>Parsons Corporation</t>
  </si>
  <si>
    <t>Centreville, VA</t>
  </si>
  <si>
    <t>$21.44-$37.55 /h</t>
  </si>
  <si>
    <t>1. Be currently enrolled in a Civil Engineering curriculum (or related) from an accredited university
2. Excellent oral and written communication skills.
3. Knowledge of MS Office Tools, CAD proficiency (MicroStation preferred), and Drainage software (StormCAD, PondPak, HEC-RAS, etc.</t>
  </si>
  <si>
    <t>Civil Engineering Intern (Aviation)</t>
  </si>
  <si>
    <t>RS&amp;H</t>
  </si>
  <si>
    <t>1. Current student pursuing a Bachelor or Master’s degree in Civil Engineering at an ABET accredited university with at least 1 year remaining until program completion
2. 2.5 GPA or above
3. Excellent written and verbal communication skills
...</t>
  </si>
  <si>
    <t>FALL INTERN Fragrance Development</t>
  </si>
  <si>
    <t>MANE</t>
  </si>
  <si>
    <t>Beauty, Cosmetics</t>
  </si>
  <si>
    <t>1. Currently enrolled in college and have completed at least one year of school
2. Seeking a bachelor’s degree or recent graduate
3. High level of curiosity and ability to critically think about problems and solutions
...</t>
  </si>
  <si>
    <t>Co-op, Electrical Engineering</t>
  </si>
  <si>
    <t>Bendix Commercial Vehicles Systems LLC</t>
  </si>
  <si>
    <t>Avon, OH</t>
  </si>
  <si>
    <t>1. Currently attending an accredited college or university
2. 3.0 cumulative GPA or higher
3. Design Tools - AutoCad or equivalent, TeamCenter PLM
...</t>
  </si>
  <si>
    <t>Co-op, Mechanical Engineering</t>
  </si>
  <si>
    <t>1. Currently attending an accredited college or university
2. 3.0 cumulative GPA or higher
3. Design Tools - Pro-Engineer, IDEAS/ NX Solid Modeling, TeamCenter PLM
...</t>
  </si>
  <si>
    <t>Co-op, Quality Engineering (Posting)</t>
  </si>
  <si>
    <t>1. Currently attending an accredited college or university
2. 3.0 cumulative GPA or higher
3. Resourceful – not intimidated by substantial assignments
...</t>
  </si>
  <si>
    <t>Co-op, Mechatronics Engineering</t>
  </si>
  <si>
    <t>1. Currently attending an accredited college or university
2. 3.0 cumulative GPA or higher
3. Ability to multi-task and work in a fast-paced environment
...</t>
  </si>
  <si>
    <t>Co-Op - Civil - Summer 2025 - Cleveland</t>
  </si>
  <si>
    <t>The Rudolph Libbe Companies</t>
  </si>
  <si>
    <t>Construction, Energy</t>
  </si>
  <si>
    <t>North Ridgeville, OH</t>
  </si>
  <si>
    <t>1. Working towards a degree in Civil Engineering, Construction Management, or related field
2. Ability to work in North Ridgeville, Ohio office or on a job site
3. Valid Driver's License</t>
  </si>
  <si>
    <t>Engineering Intern (Power Distribution Design)</t>
  </si>
  <si>
    <t>1. Pursuit of a bachelor's degree in civil, electrical, or mechanical engineering from an ABET-accredited university.
2. Strong passion for making a positive difference in the world, aligned with our motto: 'Do good, have fun, build success.'
3. Excellent communication skills, both verbal and written, with the ability to express ideas clearly and effectively.
...</t>
  </si>
  <si>
    <t>Mechanical Design Engineer Intern or Co-Op</t>
  </si>
  <si>
    <t>Tactair Fluid Controls Inc.</t>
  </si>
  <si>
    <t>Liverpool, NY</t>
  </si>
  <si>
    <t>1. Completion of one to two years of a BS in Mechanical or Aerospace Engineering program at an accredited university.
2. Experience in a manufacturing or engineering environment is a plus but is not required.
3. Self-motivated with a desire to learn and achieve results, good verbal and written communication skills, ability to set goals and meet commitments, working knowledge of MS Office, knowledge of Audtodesk Inventor, ANSYS desirable but not required.</t>
  </si>
  <si>
    <t>Ferrero Foodservice</t>
  </si>
  <si>
    <t>Commercial, Food and Beverage</t>
  </si>
  <si>
    <t>1. Candidate is required to be pursuing a BS in Civil Engineering
2. Solid oral and written communication skills
3. Interest in using CADD (Microstation or AutoCAD)
...</t>
  </si>
  <si>
    <t>Analyst Intern, Solutions Group</t>
  </si>
  <si>
    <t>1. Eligibility to establish and maintain a Department of Defense Secret security clearance. (Must be US Citizen)
2. Demonstrated ability to learn.
3. Demonstrated self-learning capabilities.
...</t>
  </si>
  <si>
    <t>1. Eligibility to establish and maintain a Department of Defense Top Secret security clearance. (Must be US Citizen)
2. Demonstrated ability to learn.
3. Demonstrated self-learning capabilities.
...</t>
  </si>
  <si>
    <t>Telecom/Civil Engineering Intern</t>
  </si>
  <si>
    <t>1. Currently pursuing a B.S. in Civil Engineering is required
2. Proficiency using AutoCAD, AutoCAD 3D, Civil 3D or HydroCAD
3. Solid oral and written communication skills
...</t>
  </si>
  <si>
    <t>United Parcel Service</t>
  </si>
  <si>
    <t>Logistics, Messaging</t>
  </si>
  <si>
    <t>AWS Information Infrastructure Pre-Apprenticeship</t>
  </si>
  <si>
    <t>1. Problem-solving skills and critical thinking ability.
2. Attention to detail and a commitment to quality work.
3. Reliability and punctuality in attendance.
...</t>
  </si>
  <si>
    <t>VM - Steering Virtual Testing - Co-Op</t>
  </si>
  <si>
    <t>1. Pursuing a Bachelor’s degree in Automotive Engineering or related field
2. Minimum 18 years of age
3. Minimum cumulative 3.0 GPA
...</t>
  </si>
  <si>
    <t>Systems Interns</t>
  </si>
  <si>
    <t>1. Bachelor Degree in Electrical or Electronics Engineering
2. Self-starter, Ability to react quickly to a fast-paced, rapidly changing environment, Strong commitment to taking accountability and generating timely high-quality results
3. High learning aptitude and adaptability
...</t>
  </si>
  <si>
    <t>Water Resources Engineering Intern</t>
  </si>
  <si>
    <t>Manteca, CA</t>
  </si>
  <si>
    <t>1. Pursuing or completion of BS in Civil Engineering
2. Pursuing or possession of EIT certificate
3. Proficiency in MS Office software
...</t>
  </si>
  <si>
    <t>Student Civil Drafting Intern</t>
  </si>
  <si>
    <t>1. Solid time management skills and ability to produce accurate, high-quality work in an efficient manner
2. Interest in designing various kinds of civil engineering features (roads, underground utilities, site grading, paving, storm drainage)
3. Self-motivated and detail-oriented
...</t>
  </si>
  <si>
    <t>Student Civil Engineering Intern</t>
  </si>
  <si>
    <t>1. Solid time management skills and ability to produce accurate, high-quality work in an efficient manner
2. Ability to define problems, collect data, establish facts, and draw valid conclusions
3. Interest in designing various kinds of civil engineering features (roads, underground utilities, site grading, paving, storm drainage)
...</t>
  </si>
  <si>
    <t>Autor / Schriftsteller (Deutsch)</t>
  </si>
  <si>
    <t>Artesa</t>
  </si>
  <si>
    <t>Greenland, NH</t>
  </si>
  <si>
    <t>EUR6-EUR9 per page</t>
  </si>
  <si>
    <t>1. Deutschkenntnisse: B2-C2, um effektiv mit den Stakeholdern der Region kommunizieren zu können.
2. Höhere Bildung (Studenten im 3.-5. Studienjahr sind willkommen);
3. Verständnis der Prinzipien des akademischen Schreibens;
...</t>
  </si>
  <si>
    <t>Spring 2025 Human Factors Engineering – Graduate</t>
  </si>
  <si>
    <t>1. Must be a U.S. citizen or national, U.S. permanent resident (current Green Card holder), or lawfully admitted into the U.S. as a refugee or granted asylum.
2. Currently enrolled in a graduate program in Engineering or a related technical field and have at least one semester or quarter of school remaining after the internship.
3. Available to work full time for a minimum of 15 weeks while not concurrently enrolled in coursework.
...</t>
  </si>
  <si>
    <t>NSNE Electrical Engineer Coop</t>
  </si>
  <si>
    <t>Nucor Corporation</t>
  </si>
  <si>
    <t>Norfolk, NE</t>
  </si>
  <si>
    <t>1. Current college transcript showing current enrollment in a pre-engineering program at Wayne State College or Northeast Community College.
2. ACT/SAT scores; upload to application packet if available and if not available, candidate must provide before interview.
3. Candidates must be able to work a minimum of 20 hours per week. Hours will be flexible around school schedule.
...</t>
  </si>
  <si>
    <t>San Marino, CA</t>
  </si>
  <si>
    <t>Information Security Internship</t>
  </si>
  <si>
    <t>Major League Baseball - (MLB)</t>
  </si>
  <si>
    <t>Association, Baseball</t>
  </si>
  <si>
    <t>1. Ability to maintain confidentiality while dealing with sensitive information
2. Completed or working towards a Masters or Bachelor’s degree in Computer Science, Information Technology, Information Security, Cybersecurity, Criminal Justice, or a related field
3. Self-motivated, strong organizational skills and attention to detail</t>
  </si>
  <si>
    <t>1. PhD or equivalent degree in Computer Science, Machine Learning, Artificial Intelligence, Statistics, or a related field.
2. Strong understanding of machine learning algorithms and techniques.
3. Proficiency in programming languages such as Python, Java, or C++, Solid background in data analysis and statistical modeling.
...</t>
  </si>
  <si>
    <t>Research Scientist- Foundation Model, Vision and Language, University Graduates- 2024 Start (PhD)</t>
  </si>
  <si>
    <t>1. Current Ph.D or recent Ph.D graduates in Computer Science or related engineering field.
2. Highly competent in algorithms and programming; Strong coding skills in Python and popular deep learning frameworks.
3. Work and collaborate well with team members.
...</t>
  </si>
  <si>
    <t>1. Candidates must be currently enrolled in a university program pursuing a Bachelor’s Degree or higher in civil or geotechnical engineering or a related field with the intent to continue after the internship, unless graduating.
2. Candidates must have completed 3 years of study in their program.
3. Due to the nature of work, US Citizenship is required.</t>
  </si>
  <si>
    <t>Senior Technical Intern - Mechanical Engineering</t>
  </si>
  <si>
    <t>Beavercreek, OH</t>
  </si>
  <si>
    <t>1. High school diploma or GED
2. Engineering student; some progress towards engineering degree
3. Must have good interpersonal skills and have the ability to build a good network
...</t>
  </si>
  <si>
    <t>Research Scientist Graduate, GenAI (TikTok Recommendation) - 2025 Start (PhD)</t>
  </si>
  <si>
    <t>$137750-$237500 annually</t>
  </si>
  <si>
    <t>1. PhD in Computer Science, Machine Learning, Artificial Intelligence, Statistics, or a related field.
2. Experience in one of more areas of computer vision, natural language processing and machine learning
3. Solid knowledge and experience with at least one major deep learning framework (e.g. PyTorch, Tensorflow, MXNet, Caffe/Caffe2).
...</t>
  </si>
  <si>
    <t>Software Engineer Intern - Security - 2024</t>
  </si>
  <si>
    <t>1. Currently pursuing a Bachelor's or Master's degree in Computer Science or related fields
2. Ability to work as intern for 10-24 weeks
3. Familiar with at least one of the programming languages such as Golang, Python, C, C++, or Java
...</t>
  </si>
  <si>
    <t>1. Doctoral degree in Molecular Biology, Neuroscience, or other related fields</t>
  </si>
  <si>
    <t>Part-time Tech Digital Art (Student Intern)</t>
  </si>
  <si>
    <t>University View Academy</t>
  </si>
  <si>
    <t>1. A high school diploma or equivalent is required.
2. Experience in programming and problem-solving
3. Current student at an accredited College or University.
...</t>
  </si>
  <si>
    <t>Machine Learning Engineer Intern (Foundation Model Applications)- 2024 Off-Cycle (PHD)</t>
  </si>
  <si>
    <t>1. Currently pursuing PHD degree
2. Graduating December 2024 onwards with the intent to return to degree program after the completion of the internship
3. Able to commit to working for 12 weeks during Summer 2024
...</t>
  </si>
  <si>
    <t>Spring 2025 Systems Engineering Intern – Undergraduate</t>
  </si>
  <si>
    <t>Federal Work Study- PM&amp;R Research Assistant</t>
  </si>
  <si>
    <t>Student Researcher - Doubao (Seed) - Foundation Model - 2024 Start (PhD)</t>
  </si>
  <si>
    <t>1. Currently pursuing a MS/ PhD in artificial intelligence, computer science, automation, mathematics, or a related technical discipline.
2. Solid foundation in data structure and algorithm design, proficient in Python/C++, proficient in deep learning frameworks such as PyTorch and TensorFlow.
3. Pre-trained basic technologies, including efficient training and encapsulated deployment services, NLP, CV, video, MultiModal Machine Learning and other related pre-trained models and their downstream applications are preferred.
...</t>
  </si>
  <si>
    <t>DOD Skillbridge Environmental Lab Test Intern</t>
  </si>
  <si>
    <t>EnerSys</t>
  </si>
  <si>
    <t>Pinellas Park, FL</t>
  </si>
  <si>
    <t>1. Must be a current Active Duty Servicemember
2. Must be separating from the Military in 4-12 months
3. Must be able to complete the duration of the 150 days program
...</t>
  </si>
  <si>
    <t>Machine Learning Engineer Intern - Conversational Search</t>
  </si>
  <si>
    <t>1. Entering the last year of your bachelor’s or master’s degree; or currently pursuing a PhD.
2. Pursuing a degree in computer science or related fields.
3. Having strong coding skills.
...</t>
  </si>
  <si>
    <t>RESPEC</t>
  </si>
  <si>
    <t>Management Consulting</t>
  </si>
  <si>
    <t>Machine Learning Scientist Graduate (TikTok Recommendation) - 2024 Start (PhD)</t>
  </si>
  <si>
    <t>$126000-$221760 /yr</t>
  </si>
  <si>
    <t>1. PhD degree with a background in computer science, machine learning, or similar fields.
2. Good knowledge of theoretical and empirical research in addressing research problems
3. Solid knowledge and experience with at least one popular deep learning framework (e.g., PyTorch, TensorFlow) and familiarity with deep neural network architectures</t>
  </si>
  <si>
    <t>New Grad! SRO Engineer, Nuclear Operations - Reactor Operator</t>
  </si>
  <si>
    <t>1. Possesses a Bachelor's or Master's Degree in Nuclear Engineering from an accredited college or university with a minimum GPA of 3.0
2. Must be a U.S. Citizen or have permanent resident status (sponsorship is not available)
3. Someone who demonstrates excellence and stands apart from your peers. Someone who performs well under pressure</t>
  </si>
  <si>
    <t>Continuous Improvement Engineering Co-op / Intern - Part Time</t>
  </si>
  <si>
    <t>Copperweld</t>
  </si>
  <si>
    <t>Fayetteville, TN</t>
  </si>
  <si>
    <t>1. Applicant must have a minimum of 3.0 cumulative GPA and be actively enrolled in an accredited educational institution
2. Must be pursuing a related major i.e. Manufacturing, Logistics, or Engineering at an accredited institution
3. Sophomore status achievement required, Junior+ status preferred
...</t>
  </si>
  <si>
    <t>Spring 2025 Materials &amp; Processes Engineering Intern – Undergraduate</t>
  </si>
  <si>
    <t>Part Time - UG Researh Assistant (NEEC) - Mechanical Engineering</t>
  </si>
  <si>
    <t>1. Completed ME 300 Thermodynamics or comparable
2. MUST be a US Citizen due to grant requirements</t>
  </si>
  <si>
    <t>Spring 2025 Electrical System Engineering Intern – Graduate</t>
  </si>
  <si>
    <t>2024 Tech Intern Pool</t>
  </si>
  <si>
    <t>Guidepoint</t>
  </si>
  <si>
    <t>Electrical Training CO-OP</t>
  </si>
  <si>
    <t>1. Pursuing an Electrical Engineering degree with a graduation date no later than 2026
2. Must be able to participate in a co-op prior to completing current degree program
3. A valid drivers license, to be acceptable to required MSHA hazard training along with Site Specific training
...</t>
  </si>
  <si>
    <t>PhD Residency - Machine learning of Hyperspectral Imaging</t>
  </si>
  <si>
    <t>1. Currently enrolled in a PhD program in a STEM field such as CS, Physics, Engineering or Mathematics/Statistics with a strong interest in machine learning.
2. Experience with machine learning systems, algorithms or applications such as: statistical regression and classification, deep learning, unsupervised/semi-supervised learning.
3. Deep understanding of hyperspectral imaging and machine learning/computer vision techniques with spectral data.
...</t>
  </si>
  <si>
    <t>Pulp and Paper Process Engineer Coop</t>
  </si>
  <si>
    <t>Hargrove Engineers + Constructors</t>
  </si>
  <si>
    <t>1. Current enrollment in a Bachelor of Science degree program for Chemical or Biochemical Engineering at an accredited university
2. GPA: 2.7 or above
3. Proficient in the use of Microsoft Word, Excel, PowerPoint, and Outlook
...</t>
  </si>
  <si>
    <t>HDR Inc.</t>
  </si>
  <si>
    <t>1. Currently enrolled in an undergraduate or graduate Engineering program
2. Attention to detail
3. Possess strong problem-solving and communication skills
...</t>
  </si>
  <si>
    <t>Postdoctoral Fellow Laboratories of Rusty Gage, Lyle Muller, and John Reynolds</t>
  </si>
  <si>
    <t>Salk Institute for Biological Studies</t>
  </si>
  <si>
    <t>$70,000-$77,500 /yr</t>
  </si>
  <si>
    <t>1. Ph.D. or equivalent degree in neuroscience
2. One or more first-author peer-reviewed publications</t>
  </si>
  <si>
    <t>1. Enrolled in the Institute of Biological Sciences program at the George Washington University
2. Motivated PhD student
3. Strong background in cell biology and immunology
...</t>
  </si>
  <si>
    <t>CAD Tech Intern</t>
  </si>
  <si>
    <t>Westwood Professional Services</t>
  </si>
  <si>
    <t>Civil Engineering, Mechanical Engineering</t>
  </si>
  <si>
    <t>1. The Intern must be pursuing a degree or certificate program in Design Drafting, Computer Aided Drafting, Drafting Technology, or other similar program
2. Must have basic knowledge of office software (Word, Excel, etc.) and be capable of working with AutoCAD</t>
  </si>
  <si>
    <t>Machine Learning Advocate Engineer Internship, Audio - US Remote</t>
  </si>
  <si>
    <t>Hugging Face</t>
  </si>
  <si>
    <t>1. Passionate about making Audio LMs more accessible to engineers, researchers, and the broader audio community
2. Love open-source
3. Generalist mindset is essential
...</t>
  </si>
  <si>
    <t>AI Research Summer/Fall Co-op</t>
  </si>
  <si>
    <t>San Ramon, CA</t>
  </si>
  <si>
    <t>1. In-progress PhD in Computer Science, Electrical or Computer Engineering, or related field
2. Experience with deep learning models such as CNN, RNN, LSTM, Transformers, and GANs
3. Implementation experience with a variety of high-level languages and frameworks such as PyTorch, TensorFlow, Keras, etc.
...</t>
  </si>
  <si>
    <t>Designer Intern (Fall 2024) - Forensics</t>
  </si>
  <si>
    <t>1. Familiar and comfortable with Microsoft Suite programs (i.e. Word, Excel, PowerPoint) and CAD programs (i.e. AutoCAD)
2. On-site survey, investigation, and documentation of building conditions
3. Assist in preparing field notes
...</t>
  </si>
  <si>
    <t>PATHWAYS STUDENT INTERN (Civil Engineer).</t>
  </si>
  <si>
    <t>Federal Highway Administration</t>
  </si>
  <si>
    <t>Automotive, Government</t>
  </si>
  <si>
    <t>1. Must be a U.S. Citizen and meet the requirements of the program.
2. Must be at least 16 years of age.
3. Required documents must be submitted by the closing date.
...</t>
  </si>
  <si>
    <t>Research Scientist Intern - TikTok Core Recommendation - 2024 Off-Cycle (PhD)</t>
  </si>
  <si>
    <t>Retina Research Fellow</t>
  </si>
  <si>
    <t>Retina Consultants</t>
  </si>
  <si>
    <t>1. Enrolled or completed medical school
2. Proficiency in the fundamentals of statistical analysis and clinical research</t>
  </si>
  <si>
    <t>Graduate/Post Graduate (Year-Round) Intern - Long Term Grid Planning</t>
  </si>
  <si>
    <t>1. Minimum of a 3.0 cumulative grade point average
2. Must be enrolled as a full-time student in a bachelor’s degree program from an accredited institution (for undergraduates)
3. Earned a bachelor’s degree within the past 12 months (for post-undergraduates)
...</t>
  </si>
  <si>
    <t>2025 Summer Corporate Intern - Engineering</t>
  </si>
  <si>
    <t>1. Must be enrolled in a full-time at a 4-year accredited university/college pursuing a degree in Mechanical, Electrical, Computer, Agricultural or Aerospace Engineering or Engineering Technology
2. Must have 30 completed semester hours before the start of the internship. If a transfer student must have 12 semester hours completed at a 4-year university
3. Minimum 3.0/4.0 Cumulative Grade Point Average (no rounding) at current institution
...</t>
  </si>
  <si>
    <t>Quality Engineering CO-OP /Intern</t>
  </si>
  <si>
    <t>$16-$21 Hourly</t>
  </si>
  <si>
    <t>1. Basic understanding of total quality management system and tools (systematic problem solving through root cause analysis, process design for manufacturing and assembly, demand flow, bills of material structure, process plans, routings, and Value Stream Mapping)
2. Language: ability to read and interpret documents such as safety rules, operating and maintenance instructions, and procedure manuals; ability to verbally communicate effectively.
3. Mathematical: ability to add, subtract, multiply, and divide in all units of measure, using whole numbers, common fractions, and decimals; ability to apply basic concepts of algebra and geometry.
...</t>
  </si>
  <si>
    <t>1. Bachelor’s degree in Mechanical, Electrical or Automotive Engineering
2. Direct coursework in FEA/Structural Mechanics/NVH preferred
3. Software experience in Multibody Dynamics, and FEA is an added advantage
...</t>
  </si>
  <si>
    <t>LAND DEVELOPMENT FIELD MANAGER CO-OP/INTERNSHIP</t>
  </si>
  <si>
    <t>Fischer Homes</t>
  </si>
  <si>
    <t>Erlanger, KY</t>
  </si>
  <si>
    <t>1. Ability to work in a fast-paced environment
2. Strong problem-solving skills
3. Exceptional organization and communication skills
...</t>
  </si>
  <si>
    <t>Roadway Engineering Internship</t>
  </si>
  <si>
    <t>LJB</t>
  </si>
  <si>
    <t>1. Must be an engineering major at an accredited university
2. Must be entering their Junior or Senior year of college
3. Some travel may be required
...</t>
  </si>
  <si>
    <t>Patel, Greene &amp; Associates</t>
  </si>
  <si>
    <t>Civil Engineering, Environmental Engineering</t>
  </si>
  <si>
    <t>1. Bachelor's Degree or Equivalent from an ABET Accredited University, majoring in Civil or Environmental Engineering
2. 0-4 years of post-graduation experience
3. Engineering Intern (EI) certificate
...</t>
  </si>
  <si>
    <t>Temple Terrace, FL</t>
  </si>
  <si>
    <t>Spring 2025 Test Engineering Intern – Graduate</t>
  </si>
  <si>
    <t>Spring 2025 Test Engineering Intern – Undergraduate</t>
  </si>
  <si>
    <t>$3,379.14-$4,862.67 /mon</t>
  </si>
  <si>
    <t>Bartow, Florida</t>
  </si>
  <si>
    <t>WAVY Unpaid Broadcast Engineering Intern, Fall 2024</t>
  </si>
  <si>
    <t>Nexstar Media Group</t>
  </si>
  <si>
    <t>Broadcasting, Information Services</t>
  </si>
  <si>
    <t>VA, Portsmouth</t>
  </si>
  <si>
    <t>1. Studying communications, engineering, or equivalent courses
2. Interest in broadcast engineering and live broadcast technologies
3. Interest in design, construction, and operation of complex broadcast systems
...</t>
  </si>
  <si>
    <t>Machine Learning Inference Engineer - Co-Op/Intern</t>
  </si>
  <si>
    <t>Mossville, Illinois</t>
  </si>
  <si>
    <t>Eli Lilly</t>
  </si>
  <si>
    <t>Postdoctoral Scholars - Harris Laboratory - Anesthesiology &amp; Perioperative Care</t>
  </si>
  <si>
    <t>1. Doctoral degree or working towards doctoral degree (PhD, MD, or equivalent)</t>
  </si>
  <si>
    <t>Co-op Civil Engineering - Site Design</t>
  </si>
  <si>
    <t>R.A. Smith Inc.</t>
  </si>
  <si>
    <t>Brookfield, WI</t>
  </si>
  <si>
    <t>1. Have completed the Sophomore Year of a 4 year Bachelor of Science Program in Civil Engineering at an accredited college or university.
2. Have technical skills to include exposure to AutoCAD, Civil 3D and Microsoft Office products
3. Able to solve basic engineering problems and have good decision-making skills
...</t>
  </si>
  <si>
    <t>2025 Corporate Parallel Co-op - Engineering</t>
  </si>
  <si>
    <t>1. Must be enrolled full-time at a 4-year accredited university/college pursuing a degree in Mechanical, Electrical, Computer, Agricultural, or Aerospace Engineering or Engineering Technology
2. Minimum 3.0/4.0 Cumulative Grade Point Average (no rounding) at current institution
3. Analytical skills, initiating ideas, troubleshooting, root cause analysis, problem-solving, and critical thinking capabilities
...</t>
  </si>
  <si>
    <t>Technology Scout Fellow</t>
  </si>
  <si>
    <t>The ASU Foundation</t>
  </si>
  <si>
    <t>1. Arizona State University PhD student in a science, technology, engineering, or mathematics (STEM) field, with advisor approval
2. Strong and collegial interpersonal skills and an ability to communicate effectively in person, in writing, and by phone
3. Ability to represent the institution well, including the ability and willingness to proactively initiate research-related discussions with ASU faculty and other ASU researchers as appropriate
...</t>
  </si>
  <si>
    <t>1. Currently pursuing a Bachelor's degree in civil engineering or civil engineering technology
2. Working knowledge of Microsoft Office</t>
  </si>
  <si>
    <t>Junior IT Specialist</t>
  </si>
  <si>
    <t>Smart Capital Center</t>
  </si>
  <si>
    <t>Asset Management, Commercial Lending</t>
  </si>
  <si>
    <t>1. Currently enrolled in or recently completed a degree in Computer Science, Information Technology, or a related field.
2. Good understanding of AWS services and cloud computing concepts.
3. Familiarity with deployment tools and processes.
...</t>
  </si>
  <si>
    <t>Thermal Systems Mechanical Engineering Co-op</t>
  </si>
  <si>
    <t>1. Undergraduate student exploring first opportunity or recent graduate with an advanced degree
2. Legally authorized to work in the United States
3. Not eligible for hire if on temporary visas such as E, F-1 with OPT or CPT, H-1, H-2, L-1, B, J or TN, or need sponsorship for work authorization now or in the future</t>
  </si>
  <si>
    <t>Model-Based Systems Engineer Intern - Fall 2024 - ASL</t>
  </si>
  <si>
    <t>1. Pursuing a Bachelor’s degree in Systems Engineering, Electrical Engineering, Computer Engineering, Computer Science, Aerospace Engineering, or any technical/engineering field.
2. 3.0 or higher cumulative GPA
3. Full-Time Intern- Must be registered for Full-time Internship Credit
...</t>
  </si>
  <si>
    <t>Moreno Valley, CA</t>
  </si>
  <si>
    <t>Mechanical or Electrical Engineering Co-op</t>
  </si>
  <si>
    <t>$55200-$96600 /yr</t>
  </si>
  <si>
    <t>1. In pursuit of a Bachelor of Science degree in Engineering from an accredited program
2. Working knowledge of Microsoft Office programs</t>
  </si>
  <si>
    <t>Federal Work Study- Radiology Research Assistant</t>
  </si>
  <si>
    <t>Federal Work Study- Pathology Research Assistant</t>
  </si>
  <si>
    <t>Federal Work Study- Lab Assistant</t>
  </si>
  <si>
    <t>Federal Work Study- Auerbach Lab Assistant</t>
  </si>
  <si>
    <t>Federal Work Study- Lab Aide Neuroscience</t>
  </si>
  <si>
    <t>Network Engineering Intern</t>
  </si>
  <si>
    <t>NetBrain Technologies</t>
  </si>
  <si>
    <t>Enterprise Software, Network Security</t>
  </si>
  <si>
    <t>Burlington, MA</t>
  </si>
  <si>
    <t>1. Currently enrolled in or a recent graduate of a BS or MS program in Computer Science or Electrical Engineering
2. CCNA or equivalent Network Certifications required
3. Knowledge of major vendor’s router and switch Load Balancers and Firewalls’ configurations
...</t>
  </si>
  <si>
    <t>Occupational Safety Intern</t>
  </si>
  <si>
    <t>National Safety Apparel</t>
  </si>
  <si>
    <t>1. Working towards a four-year bachelor’s degree from an accredited university or college with an emphasis in EHS
2. Experienced with Microsoft Office</t>
  </si>
  <si>
    <t>Deck Team Lead (SkillBridge Intern) - 19700</t>
  </si>
  <si>
    <t>1. Must be Active-Duty Military ONLY within final 180 days of active-duty service. Applications accepted within final 12 months of active-duty military service. Education and Experience dependent on Program of Instruction.
2. Must have ability to maintain and possess a Secret security clearance.
3. 8 years of related experience, to include specific systems expertise. Prefer technical/professional certifications.
...</t>
  </si>
  <si>
    <t>AI Researcher Intern</t>
  </si>
  <si>
    <t>1. PhD in artificial intelligence, machine learning, computer science, or a related field graduating between December 2025 and June 2026.
2. Strong foundation in AI concepts.
3. Strong knowledge of machine learning.
...</t>
  </si>
  <si>
    <t>Ladson, SC</t>
  </si>
  <si>
    <t>1. This position requires a minimum of a high school diploma. Having participated within the past 12 months or currently working towards a 2 or 4 year degree is required to participate in the intern program.
2. Public speaking and strong communication skills
3. Strong computer skills (Word, PowerPoint, Excel)
...</t>
  </si>
  <si>
    <t>Zero Waste Outreach &amp; Compliance Fellow</t>
  </si>
  <si>
    <t>San Rafael, CA</t>
  </si>
  <si>
    <t>1. Knowledge of zero waste principles, including but not limited to: recycling, composting, source reduction of waste, reuse and repair, etc.
2. Experience with outreach and communications
3. Experience and/or comfort with presenting in front of a variety of stakeholders and groups
...</t>
  </si>
  <si>
    <t>2024 Harvest Cellar Workers</t>
  </si>
  <si>
    <t>Crimson Wine Group</t>
  </si>
  <si>
    <t>Manufacturing, Wine And Spirits</t>
  </si>
  <si>
    <t>West Richland, WA</t>
  </si>
  <si>
    <t>1. Good team player attitude
2. Strong work ethic
3. Ability to lift 50 lbs.
...</t>
  </si>
  <si>
    <t>Hydraulics Engineering Intern</t>
  </si>
  <si>
    <t>Horrocks Engineers</t>
  </si>
  <si>
    <t>$20-$22 /h</t>
  </si>
  <si>
    <t>1. Be a Junior or Senior working towards a Bachelor's or Master's Degree in Civil Engineering (BSCE) with an emphasis in hydrology and hydraulics
2. Have the intent to take and pass the Engineer-in-Training (E.I.T.) exam
3. Be motivated to work hard in order to learn and acquire new skills
...</t>
  </si>
  <si>
    <t>Engineer-In-Training</t>
  </si>
  <si>
    <t>$54088-$73898 /yr</t>
  </si>
  <si>
    <t>1. Bachelor's Degree in Civil Engineering (BSCE)
2. Engineer-in-Training (E.I.T.)
3. 0 to 4+ years' experience in engineering consulting
...</t>
  </si>
  <si>
    <t>Accurus Aerospace Corporation</t>
  </si>
  <si>
    <t>Aerospace, Machinery Manufacturing</t>
  </si>
  <si>
    <t>1. Actively enrolled in pursuit of an undergraduate Engineering degree at an accredited college or university
2. Preferred majors are mechanical, engineering technology, or aerospace engineering
3. Student overall GPA of 2.5 or higher, and in-major GPA of 3.0 or higher is preferred
...</t>
  </si>
  <si>
    <t>Roadway Engineering Intern</t>
  </si>
  <si>
    <t>Johnson, Mirmiran &amp; Thompson</t>
  </si>
  <si>
    <t>1. Full time student in civil engineering from ABET accredited engineering program</t>
  </si>
  <si>
    <t>CEI Senior Engineer Intern</t>
  </si>
  <si>
    <t>1. Engineering or Engineering Technology degree
2. Senior Engineer Intern classification requires an EI certificate
3. One (1) year of Construction Inspection Experience (CEI) experience in construction of roadway or bridge structures
...</t>
  </si>
  <si>
    <t>INTERN RESEARCH - SCHIEF LAB</t>
  </si>
  <si>
    <t>Scripps Research</t>
  </si>
  <si>
    <t>$16.85-$19 /h</t>
  </si>
  <si>
    <t>1. Must be currently enrolled in high school, an associate’s program, a bachelors program or masters program.</t>
  </si>
  <si>
    <t>CareerWise Maintenance Apprenticeship</t>
  </si>
  <si>
    <t>Lexmark</t>
  </si>
  <si>
    <t>Hardware, Information Technology</t>
  </si>
  <si>
    <t>Boulder, CO USA</t>
  </si>
  <si>
    <t>1. Team Player: Open communicators that want to help get things done and gather as much information as possible.
2. Problem Solver: Logical thinking influences your use of information; you use data and knowledge to generate useful ideas.
3. Mechanical Aptitude: You like working with your hands; taking things apart and putting them back together.
...</t>
  </si>
  <si>
    <t>Peoria, Illinois</t>
  </si>
  <si>
    <t>Research Intern - West Point, NY</t>
  </si>
  <si>
    <t>The Geneva Foundation</t>
  </si>
  <si>
    <t>West Point, NY</t>
  </si>
  <si>
    <t>1. Previous clinical research experience strongly preferred
2. Familiarity with medical terminology, medications, laboratory tests, and abbreviations commonly used in patient medical charts preferred
3. Non-profit or healthcare experience desired
...</t>
  </si>
  <si>
    <t>Maeystown, IL</t>
  </si>
  <si>
    <t>$53950-$97525 /yr</t>
  </si>
  <si>
    <t>1. Currently pursuing Master’s or PhD in Electrical Engineering, Computer Engineering, or a related field.
2. Experience with ASIC and SoC design and development.
3. Familiarity with EDA tools such as Cadence, Synopsys, or Mentor Graphics.
...</t>
  </si>
  <si>
    <t>Engineering Intern - 4758</t>
  </si>
  <si>
    <t>1. Enrolled in a B.S. Engineering Program
2. Ability to effectively use Microsoft Excel and Word and PowerPoint for analyses and communication
3. Basic math and writing skills</t>
  </si>
  <si>
    <t>Robotics Mechanical Design Engineer Intern</t>
  </si>
  <si>
    <t>1. CAD Proficiency: Must be proficient in CAD software such as Fusion360, AutoCAD, Solidworks, or PTC Creo for creating detailed 2D and 3D models.
2. Engineering Documentation: Create comprehensive engineering drawings and maintain thorough documentation of specifications and design processes.
3. Version Control and Documentation Management: Efficiently manage version control of design files and technical documents.
...</t>
  </si>
  <si>
    <t>Experienced Engineering Associate - Water / Wastewater</t>
  </si>
  <si>
    <t>McGill Associates, P.A.</t>
  </si>
  <si>
    <t>Pinehurst, NC</t>
  </si>
  <si>
    <t>1. Bachelor’s Degree in Civil Engineering, Environmental Engineering, or a related field and two years of relevant experience
2. Relevant water / wastewater experience, internship, co-op, or research experience preferred
3. Engineering Intern (EI) certification preferred
...</t>
  </si>
  <si>
    <t>Architectural/Engineering Student Intern</t>
  </si>
  <si>
    <t>Pharr, TX</t>
  </si>
  <si>
    <t>1. College or university student in good academic standing in Civil or Structural Engineering, Architecture, or a closely related field.
2. Considerable Knowledge of: Fundamentals in Architecture and/or Construction Sciences, Experience with BIM/AutoCAD/Revit design and drawing software.
3. Working Knowledge of: Architectural and/or Engineering principles, practices, and methods, Construction sciences (materials and methods)
...</t>
  </si>
  <si>
    <t>Part-Time Component Repair Administrator</t>
  </si>
  <si>
    <t>Western Aircraft</t>
  </si>
  <si>
    <t>1. Hands on mechanical aptitude and ability to complete manual labor tasks
2. Effective problem-solving skills with strong follow through required on communication
3. Read and interpret Structural Repair Manual (SRM) and Illustrated Parts Catalogue (IPC)
...</t>
  </si>
  <si>
    <t>TEMP-Lab/Research Support (Goldman Research Lab - NE)</t>
  </si>
  <si>
    <t>1. Experience in conducting experiments and data analysis
2. Ability to interpret data
3. Must be able to pass a background check</t>
  </si>
  <si>
    <t>Archer Undergrad Intern - Platform Security</t>
  </si>
  <si>
    <t>Archer</t>
  </si>
  <si>
    <t>Iola, KS</t>
  </si>
  <si>
    <t>1. Currently pursuing a Bachelor’s or Master’s degree in Computer Science, Information Systems, Cybersecurity, or a related field.
2. A minimum of 2 hours of overlap with US Central Time Zones
3. A willingness to learn and a desire to contribute to a tightknit team in a distributed environment
...</t>
  </si>
  <si>
    <t>Fall Engineering Intern</t>
  </si>
  <si>
    <t>1. Must be currently enrolled in a 2-year or 4-year degree college program with focus on Industrial Manufacturing, Mechanical Engineering or related field.
2. Able to commit to a 6–8 week internship.
3. Must be willing to work in a pharmaceutical setting.
...</t>
  </si>
  <si>
    <t>1. Sophomore or junior level in a B.S. degree program in Materials Science, Electrical, Mechanical, Manufacturing, Chemical, or Civil Engineering
2. Ability to work effectively as a team member
3. Excellent written and verbal communication skills
...</t>
  </si>
  <si>
    <t>Postdoctoral Research Associate - Phase Contrast Neutron Imaging</t>
  </si>
  <si>
    <t>1. A PhD in physics, chemistry, materials science, computational sciences, biology, applied physics, engineering, or a related field completed within the last 5 years</t>
  </si>
  <si>
    <t>Lakewood, CA</t>
  </si>
  <si>
    <t>Technical School/College Intern - Truck Shop</t>
  </si>
  <si>
    <t>HOLT Group</t>
  </si>
  <si>
    <t>1. The candidate must be a current student enrolled in a College mechanical skills/diesel technical program.
2. Valid Driver’s License
3. Basic Computer Skills
...</t>
  </si>
  <si>
    <t>1. Currently enrolled or completed a cybersecurity program
2. Knowledge of Microsoft Office
3. Knowledge of Windows 10
...</t>
  </si>
  <si>
    <t>Postdoctoral Scholar - Pediatrics</t>
  </si>
  <si>
    <t>1. Ph.D. degree
2. Strong background in biochemistry, molecular biology, signal transduction, cell biology
3. Experience in cancer immunology or related disciplines
...</t>
  </si>
  <si>
    <t>Electrical Engineer Inter</t>
  </si>
  <si>
    <t>Auriga Corporation</t>
  </si>
  <si>
    <t>1. Bachelor’s Degree in Electrical Engineering or equivalent
2. 1-2 years of experience in electrical engineering
3. 1-2 years of AutoCAD experience</t>
  </si>
  <si>
    <t>Muskogee, OK</t>
  </si>
  <si>
    <t>1. Enrolled in a Bachelor’s Degree program with minimum of 2 years completed at an accredited college or university in Engineering or other related field with curriculum such as: Statics, Dynamics, Strength of Materials, Calculus, or Statistics.
2. 3.0 GPA or higher
3. Ability to multi-task effectively within a team environment in managing priorities.
...</t>
  </si>
  <si>
    <t>2024 Intern, Computer Vision</t>
  </si>
  <si>
    <t>$44-$63 /h</t>
  </si>
  <si>
    <t>1. Currently pursuing a MS or PhD degree
2. Experience with programming in Python
3. Ability to read research papers and identify potential strengths and weakness
...</t>
  </si>
  <si>
    <t>R&amp;D Intern (6-month cohort)</t>
  </si>
  <si>
    <t>$18-$30 /h</t>
  </si>
  <si>
    <t>1. Field of Study: Biomedical Engineering, Mechanical Engineering, Chemical Engineering, Chemistry, Biology, Physics, or a related field.
2. Must be at least 18 years old.
3. Must be currently enrolled as a full-time student in a Bachelor’s or Master’s program in the Fall Semester 2024 at an accredited university or college.
...</t>
  </si>
  <si>
    <t>2024 Fall Engineering Intern / Co-Op_Covington, GA</t>
  </si>
  <si>
    <t>Covington, GA</t>
  </si>
  <si>
    <t>1. Currently enrolled full time at an accredited four-year college or university majoring in Industrial or Mechanical Engineering.
2. US citizen, permanent resident or otherwise authorized to work for Michelin on an ongoing, indefinite basis. This position is not available for immigration sponsorship.
3. Minimum cumulative GPA of 3.0
...</t>
  </si>
  <si>
    <t>Colgate Palmolive</t>
  </si>
  <si>
    <t>Beauty, Consumer Goods</t>
  </si>
  <si>
    <t>Piscataway, NJ</t>
  </si>
  <si>
    <t>$21.75-$31 /h</t>
  </si>
  <si>
    <t>1. Must currently be enrolled in a Bachelor’s or Master’s degree program at a college or university with a graduation date of or later than December 2024
2. Majoring in Computer Science, Information Technology, Computer Engineering, Business/ IT Systems Management, or a related field
3. A minimum GPA of 2.8
...</t>
  </si>
  <si>
    <t>Pre-Doctoral Appointee - Researcher</t>
  </si>
  <si>
    <t>1. Master’s Degree of Electrical Engineering or Computer Engineering is required.
2. Advanced competence working with electrical systems.
3. Basic knowledge &amp; understanding of High Voltage Systems.
...</t>
  </si>
  <si>
    <t>Mining Engineer Internship</t>
  </si>
  <si>
    <t>Imerys</t>
  </si>
  <si>
    <t>Johns Creek, GA</t>
  </si>
  <si>
    <t>1. Desired Degree: Mine Engineer / Geologist
2. Proficiency in MS Excel
3. Legally authorized to work in the U.S. without the need for current or future work authorization or visa sponsorship for employment
...</t>
  </si>
  <si>
    <t>Postdoctoral Fellow, Inflammation and Fibrosis</t>
  </si>
  <si>
    <t>Pfizer</t>
  </si>
  <si>
    <t>$60900-$101500 /yr</t>
  </si>
  <si>
    <t>1. Ph.D. in cell biology or immunology.
2. No more than 2 years of post-degree experience.
3. At least 1 first-author publication (published or manuscripts submitted for publication) in high-quality specialty or general readership journals
...</t>
  </si>
  <si>
    <t>Intern Engineer Graduate - Process Engineering</t>
  </si>
  <si>
    <t>Terumo Blood and Cell Technologies</t>
  </si>
  <si>
    <t>Littleton, CO</t>
  </si>
  <si>
    <t>$32-$32 /h</t>
  </si>
  <si>
    <t>1. Completed Bachelor’s degree in engineering or life sciences. Could be pursuing a Master’s degree in engineering, physical science, or life science discipline.
2. Expanded knowledge of engineering or scientific processes.
3. Ability to apply complex engineering or scientific concepts to support department or company projects.
...</t>
  </si>
  <si>
    <t>Intern, Research and Design Hardware Engineer (Fall 2024)</t>
  </si>
  <si>
    <t>1. Be hands on with a deep understanding of technology including AI
2. Design components using CAD tools such as AutoCAD and SolidWorks
3. Experience with 3D printing parts using different materials such as ABS, PLA, etc.
...</t>
  </si>
  <si>
    <t>Quantitative Trader Intern (Summer 2025 - Chicago)</t>
  </si>
  <si>
    <t>1. Working toward a bachelor’s, master’s or PhD in a STEM field
2. Sophomore or higher standing with a graduation date of December 2025 to June 2027
3. Holds superior quantitative and logical reasoning skills
...</t>
  </si>
  <si>
    <t>Early Career: Spring Engineering &amp; Technology University Internships (Skaneateles, NY) 2025</t>
  </si>
  <si>
    <t>Baker Hughes</t>
  </si>
  <si>
    <t>1. Be currently enrolled in a Bachelor’s or Master's level degree in Engineering, Technology, Mechanics, other STEM-related program.
2. Have maintained a GPA grade greater than or equal to 3.0 out of 4.0 or the equivalent in your country
3. Be fluent in oral and written English and have effective communication skills
...</t>
  </si>
  <si>
    <t>Mechanical Design Engineer - Intern/Co-Op</t>
  </si>
  <si>
    <t>ASSA ABLOY Group</t>
  </si>
  <si>
    <t>Biometrics, Building Material</t>
  </si>
  <si>
    <t>1. Working toward a Bachelor’s Degree in Mechanical Engineering.
2. Proficiency in Microsoft Office Suite (Excel, Word, and Project).
3. Strong verbal and written communication skills.
...</t>
  </si>
  <si>
    <t>Injectable Pharmaceutical Product Development Intern</t>
  </si>
  <si>
    <t>ANI Pharmaceuticals</t>
  </si>
  <si>
    <t>Middleton, WI</t>
  </si>
  <si>
    <t>1. Current college undergraduates / recently graduated individuals majoring in biology, chemistry, or a related discipline.
2. Strong collaboration and interpersonal skills.
3. An interest in real world applications of chemistry.
...</t>
  </si>
  <si>
    <t>Fidelity, IL</t>
  </si>
  <si>
    <t>2025 Summer Engineering Co-Op openings</t>
  </si>
  <si>
    <t>Toronto, OH</t>
  </si>
  <si>
    <t>1. Enrolled and completed 2+ years accredited university in Engineering or similar discipline
2. Basic knowledge of engineering
3. Interpersonal skills
...</t>
  </si>
  <si>
    <t>Summer 2025 Metallurgist Co-Op openings</t>
  </si>
  <si>
    <t>1. Enrolled and completed 2+ years at an accredited university in a Metallurgy and/or Material Science discipline.
2. Developing knowledge of engineering.
3. Interpersonal skills
...</t>
  </si>
  <si>
    <t>Student, Instrument &amp; Electrical Engineer - Toledo, OH (Spring 2025)</t>
  </si>
  <si>
    <t>Cenovus Energy</t>
  </si>
  <si>
    <t>Energy Management, Natural Resources</t>
  </si>
  <si>
    <t>1. Available to begin work on January 6, 2025
2. Legal authorization to work in the United States
3. As this position requires the operation of a motor vehicle, a valid US Driver's License is required.
...</t>
  </si>
  <si>
    <t>Skillbridge Software Engineer</t>
  </si>
  <si>
    <t>1. BS degree in Computer Science or equivalent experience required
2. A minimum of 10 years Software engineering experience
3. Ability to apply sound engineering principles and develop innovative solutions
...</t>
  </si>
  <si>
    <t>USDA-ARS Biosafety Program Fellowship</t>
  </si>
  <si>
    <t>Manhattan, KS</t>
  </si>
  <si>
    <t>1. Currently pursuing or have received a doctoral degree in one of the relevant fields (e.g., microbiology)
2. U.S. Citizen Only
3. Degree: Doctoral Degree
...</t>
  </si>
  <si>
    <t>Student, Deployed Process Safety Engineer - Lima, OH or Toledo, OH (Spring 2025)</t>
  </si>
  <si>
    <t>1. Available to begin work on January 6, 2025
2. Legal authorization to work in the United States – Sponsorship for this role will not be provided.
3. As this position requires the operation of a motor vehicle, a valid US Driver's License is required.
...</t>
  </si>
  <si>
    <t>FREE Tech Fundamental Program - Get exposure to leading technologies! (St. Louis, MO) -'-</t>
  </si>
  <si>
    <t>Mascoutah, IL</t>
  </si>
  <si>
    <t>Electrical Engineer-in-Training</t>
  </si>
  <si>
    <t>EEA Consulting Engineers</t>
  </si>
  <si>
    <t>1. Bachelor’s degree in Electrical Engineering, or related field from an ABET accredited university
2. Engineer-in-Training Certification
3. Previous experience designing low-voltage systems in the MEP consulting field, preferably on industrial, semiconductor, or high-tech projects
...</t>
  </si>
  <si>
    <t>Student, Process Controls Engineer - Lima, OH (Spring 2025)</t>
  </si>
  <si>
    <t>1. Available to begin work around January 6, 2025
2. Legal authorization to work in the United States
3. As this position requires the operation of a motor vehicle, a valid US Driver's License is required.
...</t>
  </si>
  <si>
    <t>Student, Environmental Engineer - Toledo, OH or Lima, OH (Spring 2025)</t>
  </si>
  <si>
    <t>1. Available to begin work on January 6, 2025
2. Legal authorization to work in the United States
3. As this position requires the operation of a motor vehicle, a valid US Driver's License is required
...</t>
  </si>
  <si>
    <t>Dorsey, IL</t>
  </si>
  <si>
    <t>Student, Projects Engineering - Toledo, OH (Spring 2025)</t>
  </si>
  <si>
    <t>Student, Project Engineer - Superior, WI (Spring 2025)</t>
  </si>
  <si>
    <t>Superior, WI</t>
  </si>
  <si>
    <t>Student, Mechanical Engineering - Lima, OH (Spring 2025)</t>
  </si>
  <si>
    <t>1. Legal authorization to work in the United States
2. Valid US Driver's License
3. Strong attitude for carrying out all work in a safe, cautious manner while following safe work practices
...</t>
  </si>
  <si>
    <t>House Springs, MO</t>
  </si>
  <si>
    <t>DEL Screening Intern - Contract</t>
  </si>
  <si>
    <t>$25-$35 /h</t>
  </si>
  <si>
    <t>1. BS or MS in Molecular Biology, Biochemistry, or related field with 0-2 years industry experience.
2. Strong interest in learning the DNA-encoded library screening process.
3. Practical knowledge of biochemistry and protein chemistry assays.
...</t>
  </si>
  <si>
    <t>Student, Process Engineering - Lima, OH (Spring 2025)</t>
  </si>
  <si>
    <t>Student, Process Engineer - Toledo, OH (Spring 2025)</t>
  </si>
  <si>
    <t>Applications Engineer Intern</t>
  </si>
  <si>
    <t>Nanotronics Imaging</t>
  </si>
  <si>
    <t>Life Science, Medical Device</t>
  </si>
  <si>
    <t>1. Be an expert user of all hardware and software features of Nanotronics’ instrumentation.
2. Assist in performing all testing and analysis required to support the above capabilities.
3. Assist in design and execution of experiments to evaluate novel hardware and software components.
...</t>
  </si>
  <si>
    <t>Project Engineer I (Recent Grad/Full Time)</t>
  </si>
  <si>
    <t>1. Bachelor or Masters degree in Computer Engineering, Software Engineering, or Computer Science
2. Must attain a Bachelor’s or Master's degree between May 2023 and June 2024 from an accredited college or university
3. Must have obtained degree within 12 months of the date of hire
...</t>
  </si>
  <si>
    <t>Systems &amp; Controls Engineering Co-Op</t>
  </si>
  <si>
    <t>1. Working towards a Bachelor’s or Master’s degree in electrical, mechanical or system’s engineering
2. A desire to participate in developing embedded control systems for transportation
3. The ability to learn on-the-job
...</t>
  </si>
  <si>
    <t>Electronic Warfare and Avionics Intern – Fall 2024 - Warner Robins, GA - ELSYS</t>
  </si>
  <si>
    <t>Warner Robins, GA</t>
  </si>
  <si>
    <t>1. Pursuing a Bachelor’s or Associate’s degree in Electrical Engineering, Computer Engineering, Computer Science, Cybersecurity, Electronics Technology or similar technical areas.
2. 3.0 or higher cumulative GPA
3. Must be registered for 6+ credit hours
...</t>
  </si>
  <si>
    <t>Electrical Engineer Intern - Professional Design</t>
  </si>
  <si>
    <t>1. Enrollment in a BS in related engineering program at an accredited college or university
2. Ability to work well within a team environment, positive attitude, multi-task, and self-motivated to produce high quality work
3. Ability and desire to learn and grow professionally</t>
  </si>
  <si>
    <t>PhD Intern, Generative Video Research</t>
  </si>
  <si>
    <t>1. PhD in Artificial Intelligence, Computer Science, Electrical Engineering, or related field.
2. Proven ability to conduct research and demonstrate results through projects, prototypes, patent filings, and papers in peer-reviewed journals and conferences.
3. Experience as a researcher, including internships, full-time positions, or at a lab.
...</t>
  </si>
  <si>
    <t>ENTRY LEVEL CIVIL ENGINEER - PUBLIC WORKS</t>
  </si>
  <si>
    <t>EMH&amp;T</t>
  </si>
  <si>
    <t>New Albany, OH</t>
  </si>
  <si>
    <t>1. Bachelor’s degree in civil engineering
2. FE exam passed in Ohio</t>
  </si>
  <si>
    <t>Video Compression Research Intern</t>
  </si>
  <si>
    <t>1. PhD students in Artificial Intelligence, Electrical Engineering, Computer Science, or related field.
2. Proven ability to pursue new areas of 3D immersive video compression technology and demonstrate results through projects, prototypes, patent filings, and papers in peer-reviewed journals and conferences.
3. Experience as a researcher, including internships, full-time, or at a lab.
...</t>
  </si>
  <si>
    <t>Cumming, GA</t>
  </si>
  <si>
    <t>1. Fall term candidates should be able to work full-time for a minimum of 6-months (June - Dec 2024) but we are flexible with the term duration.
2. Candidates must be pursuing a Bachelor’s Degree in Chemical Engineering, Mechanical Engineering, Electrical Engineering, Industrial Engineering.
3. All candidates must have a minimum 2.8 GPA, at least sophomore standing.
...</t>
  </si>
  <si>
    <t>PhD Research Intern - Vision Language Mo</t>
  </si>
  <si>
    <t>1. PhD students in Artificial Intelligence, Electrical Engineering, Computer Science, or related field.
2. Proven ability to pursue new areas of vision language research for AI, or data analysis and demonstrate results through projects, prototypes, patent filings, and papers in peer-reviewed journals and conferences.
3. Experience as a researcher, including internships, full-time, or at a lab.
...</t>
  </si>
  <si>
    <t>Genome-wide screening and single cell sequencing postdoctoral fellow</t>
  </si>
  <si>
    <t>Engineering/Design Intern</t>
  </si>
  <si>
    <t>New Johnsonville, TN</t>
  </si>
  <si>
    <t>1. Current enrollment in a Bachelor or Master of Science Degree Program in Engineering or Engineering Tech at an accredited university
2. Accepted disciplines are: mechanical, electrical/Instrumentation, chemical, agricultural, civil, industrial
3. GPA: 2.7 or above required
...</t>
  </si>
  <si>
    <t>Event Technology Internship, Audio Visual - Cleveland - Fall 2024</t>
  </si>
  <si>
    <t>PhD Research Intern</t>
  </si>
  <si>
    <t>1. Working towards a PhD in Electrical Engineering, Computer Science, or related field.
2. Demonstrated application of computer vision methods to real-world problems.
3. Solid background in the theory of image/video processing, and mathematics.
...</t>
  </si>
  <si>
    <t>1. PhD candidates in Computer Science, Human Computer Interactions, Electrical Engineering, Artificial Intelligence, or a related field
2. Solid background in the theory of signal processing, linear algebra, probability, and machine learning
3. Demonstrated application of machine learning and signal processing to real-world problems
...</t>
  </si>
  <si>
    <t>Antenna Systems Division Student Assistant – Fall 2024 - SEAL</t>
  </si>
  <si>
    <t>1. Pursuing a Bachelor’s degree in Electrical Engineering, Computer Engineering, Physics, or related field
2. Must be registered for at least 6 credit hours with your university
3. 3.0 or higher cumulative GPA
...</t>
  </si>
  <si>
    <t>Research Intern, AI Quality (Fall 24)</t>
  </si>
  <si>
    <t>1. Working towards a PhD degree in Imaging or Color Science, Electrical Engineering, Computer Science or a related field
2. Ability to prototype quickly, with adept critical thinking skills
3. Understanding of human perception
...</t>
  </si>
  <si>
    <t>Event Technology Internship, Audio Visual - Columbus - Fall 2024</t>
  </si>
  <si>
    <t>Auriga, Inc.</t>
  </si>
  <si>
    <t>Big Data, Industrial Automation</t>
  </si>
  <si>
    <t>Northrop Grumman (DoD SkillBridge) Systems Test Engineer (No Clearance Required to Start)</t>
  </si>
  <si>
    <t>Linthicum, MD</t>
  </si>
  <si>
    <t>$75700-$113500 /yr</t>
  </si>
  <si>
    <t>1. Bachelors degree and 2 years of experience, or a Masters degree and 0 years. In lieu of a degree, will consider an applicant with 6 years of relevant military experience with sensor system, ideally RADAR, integration and test, operation and maintenance, or military control room console operator; or defense industry work experience with sensor system, ideally RADAR, integration and test or operation and maintenance
2. No clearance needed to start (will always be escorted)
3. Willingness to work dedicated 2nd or 3rd shift and weekends for several months continuously (2nd shift is typically 1 PM – 10 PM; 3rd shift is typically 9 PM – 6 AM)
...</t>
  </si>
  <si>
    <t>Hickory, NC</t>
  </si>
  <si>
    <t>Intern-Civil Engineer</t>
  </si>
  <si>
    <t>Metra Rail Service of Northern Illinois</t>
  </si>
  <si>
    <t>Computer, Information Technology</t>
  </si>
  <si>
    <t>1. College sophomore, junior, senior, or graduate student
2. Gain practical experience through on-the-job learning
3. Assigned to projects related to academic/educational field of study
...</t>
  </si>
  <si>
    <t>Working student within Ground Tests CoC - Process Owner Operations Representative Assistant (d/f/m)</t>
  </si>
  <si>
    <t>1. Enrolled full-time student in the area of Business Administration or Management
2. First practical experience and acquired knowledge in the field of Process Management
3. Fluent in German and English, French would be a plus</t>
  </si>
  <si>
    <t>Votre stage 2025 chez Exotec</t>
  </si>
  <si>
    <t>Exotec</t>
  </si>
  <si>
    <t>Logistics, Robotics</t>
  </si>
  <si>
    <t>1. Être à la recherche d'un stage chez Exotec
2. Avoir l'opportunité de contribuer aux projets en cours
3. Apporter des idées et solutions
...</t>
  </si>
  <si>
    <t>Cedar Hill, MO</t>
  </si>
  <si>
    <t>Fults, IL</t>
  </si>
  <si>
    <t>Wilmington, OH</t>
  </si>
  <si>
    <t>Catawissa, MO</t>
  </si>
  <si>
    <t>New Athens, IL</t>
  </si>
  <si>
    <t>Staunton, IL</t>
  </si>
  <si>
    <t>Pacific, MO</t>
  </si>
  <si>
    <t>Valmeyer, IL</t>
  </si>
  <si>
    <t>Machine Learning Intern (Push Notification-TikTok Recommendation) - 2024 Fall/Off Cycle (BS/MS)</t>
  </si>
  <si>
    <t>1. BS/MS degree or equivalent work experience required
2. Able to commit to working for 12 weeks during Summer 2024
3. Graduating December 2024 onwards with the intent to return to degree program after the completion of the internship
...</t>
  </si>
  <si>
    <t>Brighton, IL</t>
  </si>
  <si>
    <t>Student Researcher - Doubao (Seed) - Foundation Model, Vision and Language - 2024 Start (PhD)</t>
  </si>
  <si>
    <t>Alhambra, IL</t>
  </si>
  <si>
    <t>Belleville, IL</t>
  </si>
  <si>
    <t>Seals Engineering Intern (39574)</t>
  </si>
  <si>
    <t>KELCO Industries</t>
  </si>
  <si>
    <t>Aerospace, Industrial Manufacturing</t>
  </si>
  <si>
    <t>Fremont, IN</t>
  </si>
  <si>
    <t>1. Recent degree or current enrollment in an engineering program
2. High GPA
3. Willingness to learn new skills
...</t>
  </si>
  <si>
    <t>Cyber/IT Systems Apprentice (Secret to TS) (3284)</t>
  </si>
  <si>
    <t>SMX</t>
  </si>
  <si>
    <t>Analytics, Cloud Computing</t>
  </si>
  <si>
    <t>Patuxent River, MD</t>
  </si>
  <si>
    <t>1. Clearance Required: Top Secret
2. Must be able to interact with peers, management, and senior engineers in a constantly evolving environment to ensure a positive customer experience and atmosphere in the workplace.
3. Less than 3 years of related experience</t>
  </si>
  <si>
    <t>New Baden, IL</t>
  </si>
  <si>
    <t>Dow, IL</t>
  </si>
  <si>
    <t>Godfrey, IL</t>
  </si>
  <si>
    <t>Lake St Louis, MO</t>
  </si>
  <si>
    <t>Freeburg, IL</t>
  </si>
  <si>
    <t>Postdoctoral Research Associate-Oncology</t>
  </si>
  <si>
    <t>1. Ph.D. in molecular biology, cell biology, genetics or a related field
2. Strong publication record
3. Excellent communication skills
...</t>
  </si>
  <si>
    <t>Bunker Hill, IL</t>
  </si>
  <si>
    <t>Process Engineering Co-Op (Spring 2025) - Indianapolis, IN</t>
  </si>
  <si>
    <t>1. Progress towards a Bachelor’s degree in Chemical or Mechanical Engineering with a minimum GPA of at least 3.0/4.0 preferred
2. Ability to work 40hrs per week during the term (Spring 2025)
3. Ability to learn/understand the corn wet milling process, and the systems and principals involved in its operation
...</t>
  </si>
  <si>
    <t>ERMCO, Inc.</t>
  </si>
  <si>
    <t>Electronics, Real Estate</t>
  </si>
  <si>
    <t>1. Currently pursuing an undergraduate degree in Mechanical, Electrical, or Industrial Engineering.
2. Strong written and verbal communication skills, with ability to work in teams and to effectively interact with employees at all levels of the organization.
3. Ability to work independently, take initiative, and drive for results with minimal supervision.
...</t>
  </si>
  <si>
    <t>Postdoctoral Fellow - Vascular Biology Center</t>
  </si>
  <si>
    <t>Augusta University</t>
  </si>
  <si>
    <t>1. Ph.D. from an accredited college or university
2. Ability to maintain confidentiality
3. Ability to complete work and to meet deadlines
...</t>
  </si>
  <si>
    <t>Land Analyst Intern - Houston, TX</t>
  </si>
  <si>
    <t>NW Groupe</t>
  </si>
  <si>
    <t>Renewable Energy</t>
  </si>
  <si>
    <t>1. Good interpersonal and negotiation skills
2. Good writing skills
3. Dynamic and tenacious, liking challenges and taking initiative
...</t>
  </si>
  <si>
    <t>Martin/Martin</t>
  </si>
  <si>
    <t>1. Currently enrolled in a Bachelor’s or Master’s degree program in Structural Engineering, Civil Engineering, or a related field.
2. Completed coursework in structural analysis, mechanics, materials, and civil engineering fundamentals.
3. Strong analytical and problem-solving skills.
...</t>
  </si>
  <si>
    <t>Safety Engineer</t>
  </si>
  <si>
    <t>1. Bachelor’s degree in occupational safety &amp; health, or a related field
2. Minimum of 1 - 3 (one-three) years in safety &amp; health, co-op experience will be considered
3. A strong background in public safety and security, safety management, chemistry, physics, or a related field
...</t>
  </si>
  <si>
    <t>Fellowship at Advanced Research Projects Agency-Energy (ARPA-E)</t>
  </si>
  <si>
    <t>1. Have completed their Doctoral degree within the last 5 years or are currently pursuing their Doctoral degree and will have completed all degree requirements before the fellowship start date. If it has been more than 5 years since the receipt of the degree, to be considered the applicant must have an academic background and experience in a relevant field and must be seeking to gain new knowledge/experience to expand career opportunities or to advance professionally.</t>
  </si>
  <si>
    <t>1. Must be enrolled in an educational program
2. High School diploma with 1 to 4 years college, working toward a B.S. or M.S. degree in Engineering
3. 0 to 2 years of experience in related field, including performance consistent with said experience
...</t>
  </si>
  <si>
    <t>Iceland Internship (Environmental Science)</t>
  </si>
  <si>
    <t>Global Treks and Adventures</t>
  </si>
  <si>
    <t>Education, Tourism</t>
  </si>
  <si>
    <t>1. Background in Environmental Science or related field
2. Ability to conduct field research
3. Interest in Icelandic culture, history, geography, geology, wildlife, natural resources, economy, health care, religion, and tourism impacts
...</t>
  </si>
  <si>
    <t>Sales Engineer Co-op</t>
  </si>
  <si>
    <t>Direct Expansion Solutions</t>
  </si>
  <si>
    <t>CAD, Industrial</t>
  </si>
  <si>
    <t>Peabody, MA</t>
  </si>
  <si>
    <t>1. Have an extremely high technical aptitude and desire to learn and become an expert
2. Have a love for selling with grit and perseverance - we challenge convention!
3. Have an entrepreneurial drive and desire to succeed, bringing enthusiasm, passion, and energy to the table
...</t>
  </si>
  <si>
    <t>QA Specialist, Incoming Material Disposition</t>
  </si>
  <si>
    <t>1. Minimum of 1 year working in a GMP environment
2. Experience using SAP
3. Minimum 1 year experience performing visual inspection
...</t>
  </si>
  <si>
    <t>Electro Test Engineer</t>
  </si>
  <si>
    <t>Umanist Staffing</t>
  </si>
  <si>
    <t>1. Secondary Certificate/High School Diploma or equivalent
2. Vocational training or relevant apprenticeships
3. 2+ years in a similar role
...</t>
  </si>
  <si>
    <t>AI Research Resident</t>
  </si>
  <si>
    <t>Normal Computing</t>
  </si>
  <si>
    <t>1. Experience with large-scale numerical simulations, including benchmarking of ML algorithms and training of ML models.
2. Experience with modern AI methods, such as probabilistic ML, Bayesian reasoning, sampling algorithms, and generative AI models.
3. Familiarity with classical physics formalism, differential equations, and stochastic processes.
...</t>
  </si>
  <si>
    <t>temp extra</t>
  </si>
  <si>
    <t>$7.25-$30 /h</t>
  </si>
  <si>
    <t>1. Conducting an extensive literature review to explore how AI is likely to change work
2. Developing understanding of how technology has impacted workers and the demand for skills
3. Developing specific case studies of industries affected by technology
...</t>
  </si>
  <si>
    <t>ERMCO</t>
  </si>
  <si>
    <t>Electrical Distribution, Industrial</t>
  </si>
  <si>
    <t>Graphic Finishing Trainee</t>
  </si>
  <si>
    <t>Menasha Corp</t>
  </si>
  <si>
    <t>Manufacturing, Packaging Services</t>
  </si>
  <si>
    <t>1. Actively participate in lean manufacturing initiatives
2. Perform other duties as assigned by management/supervisors</t>
  </si>
  <si>
    <t>$0-$60000 /yr</t>
  </si>
  <si>
    <t>1. MD or PhD in Immunology or related field.
2. Strong background in molecular and cellular biology.
3. Experience in the use of in vivo mouse models.
...</t>
  </si>
  <si>
    <t>Postdoctoral Research Associate, Lynch Lab</t>
  </si>
  <si>
    <t>1. Doctoral degree, preferably a PhD in psychology, neuroscience, or biological sciences
2. Extensive (3+ years) research experience
3. Experience in at least two of these areas: addiction research, behavioral research, neuropharmacology, surgery, Western blotting/qPCR/RNA-sequencing, and bioinformatics
...</t>
  </si>
  <si>
    <t>Audio Data Collection Project Celandine</t>
  </si>
  <si>
    <t>Greater St. Louis</t>
  </si>
  <si>
    <t>$30-$70 task</t>
  </si>
  <si>
    <t>1. Native French speakers in France
2. Ability to record voice while reading short commands and questions
3. Access to a device with a microphone
...</t>
  </si>
  <si>
    <t>Lubin Elite Engineering</t>
  </si>
  <si>
    <t>Tamarac, FL</t>
  </si>
  <si>
    <t>1. Currently pursuing a Bachelor's Degree in Civil Engineering.
2. Quick learner, motivated, and driven with a great attitude, positive mindset and desire to learn.
3. Exceptional proficiency in both written and oral professional communication is imperative, and collaborating effectively with individuals, including colleagues.
...</t>
  </si>
  <si>
    <t>PRIME AE Group</t>
  </si>
  <si>
    <t>1. A current college student perusing a Bachelor's degree in an ABET accredited civil engineering program.
2. Strong interpersonal skills and ability to work in a team environment.
3. Excellent written and verbal communication skills
...</t>
  </si>
  <si>
    <t>Manual Packaging Operator</t>
  </si>
  <si>
    <t>Oil-Dri Corporation of America</t>
  </si>
  <si>
    <t>Manufacturing, Mining</t>
  </si>
  <si>
    <t>Blue Mountain, MS</t>
  </si>
  <si>
    <t>1. Attention to detail
2. Manual dexterity
3. Team-oriented mindset
...</t>
  </si>
  <si>
    <t>Experienced Engineering Associate</t>
  </si>
  <si>
    <t>Asheville, NC</t>
  </si>
  <si>
    <t>Research &amp; Development Engineer (PhD) 2024-2025 Campus Graduate</t>
  </si>
  <si>
    <t>PPG Industries</t>
  </si>
  <si>
    <t>Advanced Materials, Chemical</t>
  </si>
  <si>
    <t>Allison Park, PA</t>
  </si>
  <si>
    <t>1. A Ph.D. in Engineering
2. Ability to search and interpret literature as well as be cognizant of competitor technology and intellectual property.
3. Proven track record of leading job specific aspects of multiple projects and project teams, including directly supervising work of other associates, is also necessary.</t>
  </si>
  <si>
    <t>Air Company</t>
  </si>
  <si>
    <t>GreenTech</t>
  </si>
  <si>
    <t>1. Currently obtaining a Computer science or other related degree (or graduate looking for a temporary position)
2. Experience in MQTT and OPC UA protocols for seamless communication and integration across diverse systems
3. Familiarity with Open Process Automation (OPA) standards is required to ensure adherence to industry best practices and interoperability.</t>
  </si>
  <si>
    <t>Intern, Analog/Mixed signal ASIC Design Engineer_ AI Tensor Development</t>
  </si>
  <si>
    <t>Sunlune</t>
  </si>
  <si>
    <t>$45-$65 /h</t>
  </si>
  <si>
    <t>1. Master or PHD
2. Strong technical and verbal communication skills
3. Knowledge of microelectronic fundamentals &amp; semiconductor electronics
...</t>
  </si>
  <si>
    <t>Mechanical Engineer Co-op/Intern</t>
  </si>
  <si>
    <t>Nidec Motor Corporation</t>
  </si>
  <si>
    <t>North America/USA/Missouri/St. Louis - Nidec, MO</t>
  </si>
  <si>
    <t>1. Currently enrolled in a Bachelor’s or Master’s degree program in Mechanical Engineering, Electrical Engineering, or related field.
2. Strong academic background with coursework in mechanical / aerospace engineering.
3. Familiarity with CAD tools (Creo used at Nidec Aerospace).
...</t>
  </si>
  <si>
    <t>Raptor Trauma Clinic Intern</t>
  </si>
  <si>
    <t>1. Background in animal science, biology, or pre-veterinary coursework is preferred.
2. Excellent communication, interpersonal, and organizational skills.
3. Willingness to learn and work with a team.
...</t>
  </si>
  <si>
    <t>Internship (d/f/m) Tolerancing Data Manager</t>
  </si>
  <si>
    <t>1. Enrolled full-time student in the area of Mechanics, Aeronautics, Manufacturing &amp; Assembly or an equivalent field of study
2. Experienced with Google Suite, Powerpoint
3. Data Management &amp; analytics
...</t>
  </si>
  <si>
    <t>Hampton Township, PA</t>
  </si>
  <si>
    <t>Generative AI Imaging Creation Intern</t>
  </si>
  <si>
    <t>Babcock &amp; Wilcox Enterprises</t>
  </si>
  <si>
    <t>1. Currently pursuing or recently completed a degree in Graphic Design, Computer Science, Artificial Intelligence, Data Science, or a related field.
2. Proficiency in prompt engineering and exposure to several image creation GenAI platforms like DALL-E, Midjourney, Stable Diffusion, Adobe Firefly, or Generative AI by Getty.
3. Knowledge and understanding of pricing models for various GenAI tools.
...</t>
  </si>
  <si>
    <t>Imaging Intern</t>
  </si>
  <si>
    <t>Children's Wisconsin</t>
  </si>
  <si>
    <t>1. Current enrollment in good standing, and completion of 6 months of training in an accredited School of Radiologic, Ultrasound or Nuclear Medicine Technology
2. CPR certification - Basic Life Support (BLS) for Healthcare Providers through American Heart or American Red Cross
3. Exhibits guiding behaviors that reflect Children's values and support our mission and vision</t>
  </si>
  <si>
    <t>Student Project Engineer</t>
  </si>
  <si>
    <t>Bilista Holding</t>
  </si>
  <si>
    <t>1. Completion of 2- or 3-years’ postsecondary education in Construction Management, Civil Engineering, Surveying, Environmental Engineering, or related course studies.
2. Excellent computer skills including MS Word and Excel.
3. Valid current state driver’s license and must be qualified to operate a vehicle under the conditions of Tunista Construction’s Driving Policy.
...</t>
  </si>
  <si>
    <t>Postdoctoral Scholar Position 2024-2025</t>
  </si>
  <si>
    <t>1. Ph.D. in Materials Science and Engineering or other related fields</t>
  </si>
  <si>
    <t>EPA Fellowship on Application of Non-Targeted Analysis of PFAS in Biota</t>
  </si>
  <si>
    <t>Narragansett, RI</t>
  </si>
  <si>
    <t>1. Received a doctoral degree in one of the relevant fields or currently pursuing one of the degrees with completion before the appointment start date
2. Degree must have been received within five years of the anticipated appointment start date
3. U.S. Citizen Only
...</t>
  </si>
  <si>
    <t>Technol IR Fellowship</t>
  </si>
  <si>
    <t>University of Florida Health</t>
  </si>
  <si>
    <t>1. Must be a graduate from a Rad Tech program
2. IR Fellow
3. Current Florida Department of Health Certified Radiology Technologist license
...</t>
  </si>
  <si>
    <t>Fall Engineering Co-Op Rotational Program</t>
  </si>
  <si>
    <t>Johnson Electric</t>
  </si>
  <si>
    <t>Vandalia, OH</t>
  </si>
  <si>
    <t>1. Minimum GPA of 3.0
2. Must have at least 3 semesters (spring, summer, fall) remaining to qualify for the program
3. Available for full-time work (40 hours per week) during each 16-week rotation
...</t>
  </si>
  <si>
    <t>College Aide – Ferries ENG Division</t>
  </si>
  <si>
    <t>Staten Island, NY</t>
  </si>
  <si>
    <t>1. Matriculation at an accredited college or graduate school. Employment is conditioned upon continuance as a student in a college or graduate school.</t>
  </si>
  <si>
    <t>Speech and Language Processing RESEARCH INTERNSHIP</t>
  </si>
  <si>
    <t>1. Ph.D. students in computer science, electrical engineering, or a related field
2. self-motivated and excited about developing novel techniques
3. research experiences in natural language processing, speech processing, dialog system, or machine learning
...</t>
  </si>
  <si>
    <t>Cybersecurity Internship</t>
  </si>
  <si>
    <t>Xandr</t>
  </si>
  <si>
    <t>1. Working towards BS or BA degree in Computer Science, Cyber Security or related technical field
2. Good communication, self-motivation and teamwork skills are a must
3. 3.2 GPA or above
...</t>
  </si>
  <si>
    <t>Quality Engineer Co-op Fall 2024</t>
  </si>
  <si>
    <t>Wall Colmonoy</t>
  </si>
  <si>
    <t>Mining</t>
  </si>
  <si>
    <t>1. Current Engineering student
2. Excellent written and verbal communication skills
3. Ability to read and interpret blueprints</t>
  </si>
  <si>
    <t>Engineer Co-op Fall 2024</t>
  </si>
  <si>
    <t>1. Current Engineering Student
2. Excellent written and verbal communication skills
3. Ability to read and interpret blueprints</t>
  </si>
  <si>
    <t>AI Engineer -- Intern</t>
  </si>
  <si>
    <t>RedBlock</t>
  </si>
  <si>
    <t>1. Strong background in Computer Science or ability to write code in Python
2. Experience with state-of-the-art commercial and opensource LLMs such as OpenAI, Claude, and Llama 3
3. Experience running applications on AWS
...</t>
  </si>
  <si>
    <t>Lab Assistant Intern</t>
  </si>
  <si>
    <t>Brewer Science</t>
  </si>
  <si>
    <t>1. Must be a student at Junior or higher class level seeking a degree in Chemistry or Chemical Engineering.
2. Must have Chemistry Lab Experience or Wet Chemistry Skills</t>
  </si>
  <si>
    <t>Heliophysics Science: Ionospheric Modeling (International Reference Ionosphere)</t>
  </si>
  <si>
    <t>1. Doctoral Degree</t>
  </si>
  <si>
    <t>Microgravity Science and Technology</t>
  </si>
  <si>
    <t>1. Citizenship: LPR or U.S. Citizen
2. Degree: Doctoral Degree</t>
  </si>
  <si>
    <t>Experimental Flow Characterization in the Miniature Arc Jet Research Chamber</t>
  </si>
  <si>
    <t>Planetary Science: Coastal Processes</t>
  </si>
  <si>
    <t>Solid-State Gamma-ray Instrument Development for Future Astroparticle Missions</t>
  </si>
  <si>
    <t>IT Systems Analyst - Entry Level</t>
  </si>
  <si>
    <t>Align</t>
  </si>
  <si>
    <t>Iselin, NJ</t>
  </si>
  <si>
    <t>$60000-$68000 /yr</t>
  </si>
  <si>
    <t>1. MIS or IT related bachelor's degree
2. Qualified individuals will be able to work successfully in fast-paced enterprise-level environments requiring exceptional written, verbal and presentation skills.
3. A general, holistic understanding of IT infrastructure inclusive of server, storage, network, database, systems, DR/business recovery and continuity practices, etc.
...</t>
  </si>
  <si>
    <t>Laboratories Studies of UV-Irradiated Titan Stratospheric Ices spanning 0.85 to 200 Î¼m</t>
  </si>
  <si>
    <t>Laser Interferometer Space Antenna: Sources and Data Analysis Tools</t>
  </si>
  <si>
    <t>Pasadena, CA</t>
  </si>
  <si>
    <t>Summer/Fall 2025 Process Engineer CO-OP</t>
  </si>
  <si>
    <t>Sartori Company</t>
  </si>
  <si>
    <t>Food Processing</t>
  </si>
  <si>
    <t>Plymouth, WI</t>
  </si>
  <si>
    <t>1. High school diploma or equivalent (GED), required
2. Currently enrolled in post-secondary education
3. Experience In CAD Software Required
...</t>
  </si>
  <si>
    <t>USA - Allison Park R&amp;D Center</t>
  </si>
  <si>
    <t>1. PhD at the time of the application, can be working towards the PhD (e.g., Ph.D., M.D.) or the foreign equivalent
2. Extensive training in one or more of the specified disciplines
3. Research independence and ability to write and fund independent research projects
...</t>
  </si>
  <si>
    <t>Postdoctoral Scholar, Open Ranks</t>
  </si>
  <si>
    <t>$66737-$80034 /yr</t>
  </si>
  <si>
    <t>1. Ph.D. in Physics or a related field
2. Background in Plasma Physics, Condensed Matter or Biophysics, Experimental Particle Physics, Astrophysics, Astronomy, or Cosmology</t>
  </si>
  <si>
    <t>Graduate Research Emp Prog - Ortho Research - Limited Tenure</t>
  </si>
  <si>
    <t>Undergraduate Research Opportunity at the National Institute of Neurological Disorders and Stroke (NINDS)</t>
  </si>
  <si>
    <t>Bethesda, MD</t>
  </si>
  <si>
    <t>$Not specified-$Not specified /mon</t>
  </si>
  <si>
    <t>1. Must be an undergraduate enrolled in an accredited U.S. college or university
2. Must maintain satisfactory progress in academic coursework
3. Pursuing a bachelor's degree in a discipline related to biomedical studies
...</t>
  </si>
  <si>
    <t>Greenville-Spartanburg-Anderson, South Carolina Area</t>
  </si>
  <si>
    <t>ELC X Farmingdale Applied Learning Program</t>
  </si>
  <si>
    <t>The Estée Lauder Companies Inc.</t>
  </si>
  <si>
    <t>$16-$25.50 /h</t>
  </si>
  <si>
    <t>1. Undergraduate students must be currently enrolled as Junior or Senior at the start of the program
2. Must have lab experience
3. Must have excellent communication skills (written &amp; verbal)
...</t>
  </si>
  <si>
    <t>Postdoctoral Appointee – CFD Modeling of Industrial Burners</t>
  </si>
  <si>
    <t>1. Ph.D. in mechanical/aerospace/industrial engineering, applied mathematics, chemical engineering, or a related discipline earned no more than 3 years ago is required.
2. Experience in modeling and simulation of three-dimensional multiphase turbulent reacting flow applications using 3-D CFD codes (e.g., CONVERGE, OpenFOAM, Ansys Fluent, etc.).
3. Experience with modeling burners for industrial and/or residential applications.
...</t>
  </si>
  <si>
    <t>1. Undergraduate student or recent graduate
2. Ability to organize RISE materials
3. Assist with the alignment of the OGRE optic
...</t>
  </si>
  <si>
    <t>Flowserve Corporation</t>
  </si>
  <si>
    <t>Springville, UT</t>
  </si>
  <si>
    <t>1. Currently working towards or recently completed BS EE or BS EET or closely related field.
2. Ability to read and understand electrical schematics, printed circuit board layouts, and bill of materials.
3. Proficient with Office 365 Suite tools
...</t>
  </si>
  <si>
    <t>OSP Design Engineer</t>
  </si>
  <si>
    <t>Circet USA</t>
  </si>
  <si>
    <t>1. Exhibit personal power and leadership
2. Exhibit self-awareness
3. Exhibit a tendency for continuing education and self-improvement
...</t>
  </si>
  <si>
    <t>Robotics Fall Intern 2024</t>
  </si>
  <si>
    <t>1. Currently enrolled in a degree program in the US (United States)
2. PhD or master's student in Computer Science, Electrical Engineering (PhD preferred)
3. Strong background in deep neural networks for computer vision
...</t>
  </si>
  <si>
    <t>Postdoctoral Scholar Pool Ad - Pharmaceutical Sciences</t>
  </si>
  <si>
    <t>$64480-$74569 /yr</t>
  </si>
  <si>
    <t>1. M.D., Ph.D., or PharmD</t>
  </si>
  <si>
    <t>$30-$90 /h</t>
  </si>
  <si>
    <t>1. Native English speaker in the US
2. Ability to record voice while reading short commands and questions
3. Access to a device with a microphone
...</t>
  </si>
  <si>
    <t>Product Test Engineer – Summer Internship</t>
  </si>
  <si>
    <t>InnoPhase IoT</t>
  </si>
  <si>
    <t>1. Currently pursuing a BS/MS/Ph.D. in Electrical Engineering or a related field.
2. Interest in RF and 802.11ax/be or similar wireless PHY implementation.</t>
  </si>
  <si>
    <t>Component Repair Administrator Intern</t>
  </si>
  <si>
    <t>OBD Certification and Compliance Intern</t>
  </si>
  <si>
    <t>1. High School Diploma
2. Current enrollment/recent completion of Bachelor’s or Master’s degree in Mechanical/Automotive Engineering, Data Science, Computer Science or related field
3. Ability to act and perform under every circumstance with personal integrity while representing the certification values
...</t>
  </si>
  <si>
    <t>1. Must be enrolled full-time at a 4-year accredited university/college pursuing a degree in Mechanical, Electrical, Computer, Agricultural, or Aerospace Engineering or Engineering Technology
2. Must have 30 completed semester hours before the start of the internship. If a transfer student must have 12 semester hours completed at a 4-year university
3. Minimum 3.0/4.0 Cumulative Grade Point Average (no rounding) at current institution
...</t>
  </si>
  <si>
    <t>Laramie, WY</t>
  </si>
  <si>
    <t>Cyber Security Co-Op</t>
  </si>
  <si>
    <t>Boston Properties</t>
  </si>
  <si>
    <t>Finance, Real Estate</t>
  </si>
  <si>
    <t>1. Currently performing course work in Cyber Security or a related field.
2. Possess a service orientation and attitude in working with others.
3. Be detail-oriented and methodical in solving problems and managing multiple projects.
...</t>
  </si>
  <si>
    <t>Student Assistant 2</t>
  </si>
  <si>
    <t>1. Student applicants should be pursuing a bachelor’s degree in environmental, agricultural, or another related science
2. Majority of time for the position will be spent outdoors for multiple hours at a time
3. Good physical condition is recommended as walking on uneven and muddy terrain and carrying of equipment up to 40 lbs. is common
...</t>
  </si>
  <si>
    <t>Bernhard</t>
  </si>
  <si>
    <t>Construction, Industrial Engineering</t>
  </si>
  <si>
    <t>Vestavia Hills, AL</t>
  </si>
  <si>
    <t>1. Must be a student at an accredited University pursuing a major in engineering.
2. Requires the student to work through the University's Cooperative Education program or similar program if the University has a Co-Op program.
3. Effective verbal and written communication skills.
...</t>
  </si>
  <si>
    <t>RTP-RESEARCH FELLOW-LS-PC-Nair</t>
  </si>
  <si>
    <t>UAV Payload Integration Specialist (Intern)</t>
  </si>
  <si>
    <t>GeoCue Group</t>
  </si>
  <si>
    <t>Madison, AL</t>
  </si>
  <si>
    <t>1. Proven experience in UAV payload integration or a similar technical field.
2. Strong proficiency in CAD software and technical drawing.
3. Familiarity with UAV operation and the specific requirements of aerial payloads.
...</t>
  </si>
  <si>
    <t>Aircraft Mechanic - Army Career Skills Program (CSP) Internship - CVG</t>
  </si>
  <si>
    <t>FEAM Maintenance/Engineering</t>
  </si>
  <si>
    <t>1. Be within 18 Months Expiry Term of Service (ETS) from active duty.
2. Must pass DOT drug &amp; alcohol test.
3. Ability to pass airport badging requirements.
...</t>
  </si>
  <si>
    <t>Vaccine Research Center Participation Program for Doctoral Students</t>
  </si>
  <si>
    <t>1. Currently pursuing a Doctoral Degree
2. Degree in one of the disciplines listed at the bottom of this opportunity posting
3. Must be 18 years of age</t>
  </si>
  <si>
    <t>Environmental Engineer/Geologist Intern – Irvine, CA</t>
  </si>
  <si>
    <t>1. Highly motivated with excellent technical writing and documentation skills, interpersonal skills, and communication skills.
2. Ability to work independently or as part of a team.
3. Detail-oriented, resourceful, with strong time management skills, and innovative thinking.
...</t>
  </si>
  <si>
    <t>Year-Round Systems Admin Intern</t>
  </si>
  <si>
    <t>1. Assist in administering and maintaining virtual and physical servers running on Windows based OS
2. Help monitor systems daily, verifying the integrity and availability of the server resources, systems, and key processes
3. Perform system backups and recovery operations, ensure all required file systems and data are successfully backed up
...</t>
  </si>
  <si>
    <t>Lockport, NY</t>
  </si>
  <si>
    <t>$22-$35 /h</t>
  </si>
  <si>
    <t>1. Ability to work in a lab environment debugging circuits and evaluating product spec compliance using tools including oscilloscopes, power meters, multimeters, logic analyzers, and firmware interface tools
2. Demonstrated proficiency with Windows-based platforms and with computer-based design and analysis tools, working knowledge of MS Office Suite
3. Ability to work independently and as part of a team
...</t>
  </si>
  <si>
    <t>Intern/Co-Op - Mechanical Engineer - Fall 2024</t>
  </si>
  <si>
    <t>Co-Op Engineer (Spring 2025) - Energy &amp; Infrastructure Solutions (ET24056)</t>
  </si>
  <si>
    <t>TMEIC</t>
  </si>
  <si>
    <t>Roanoke, VA</t>
  </si>
  <si>
    <t>1. High school diploma
2. Enrolled in Bachelor of Science in Electrical Engineering, Computer Science, Computer Engineering, or Mechanical Engineering program with control automation coursework
3. Classes, labs, and projects with concentration in some combination of control system theory, supervisory software development, high-level programming language, such as C++ and object-oriented programming, data base design/management, software engineering, robotics, mechatronics, AC/DC Drives and Motors, or electrical power systems
...</t>
  </si>
  <si>
    <t>Weld Engineering Co-op/Intern- Spring 2025</t>
  </si>
  <si>
    <t>1. Legally authorized to work in the U.S. without sponsorship
2. General Business Coursework
3. Minimum 2.5 Cumulative GPA or higher (You will be required to provide your current transcript)
...</t>
  </si>
  <si>
    <t>Project Engineering Co-op</t>
  </si>
  <si>
    <t>Raymond Storage Concepts, Inc.</t>
  </si>
  <si>
    <t>Groveport, OH</t>
  </si>
  <si>
    <t>1. Currently pursuing a Bachelor's degree in Engineering or related field
2. Available to work Monday-Friday, 8am-5pm from August to December
3. Proficiency in AutoCAD for conducting design reviews and creating drawings
...</t>
  </si>
  <si>
    <t>Security Engineer Intern</t>
  </si>
  <si>
    <t>1. Currently studying in a technical field
2. High school diploma required
3. Experience with penetration testing and an interest in software security
...</t>
  </si>
  <si>
    <t>1. Collaborate closely with Sales Engineers and Design Engineers to conduct design reviews using AutoCAD, both internally and externally.
2. Assist in the creation and refinement of drawings and deliverables, ensuring accuracy and adherence to project specifications.
3. Engage in vendor communication to procure quotes and pricing for project components and materials.
...</t>
  </si>
  <si>
    <t>Materials Engineer Internship</t>
  </si>
  <si>
    <t>1. Actively pursuing an Associate’s, Bachelor’s, or Master’s degree in Materials or Chemical Engineering from an accredited program.
2. Minimum GPA of 3.0.
3. Strong project management, organization, and communication skills.
...</t>
  </si>
  <si>
    <t>Intern - Materials Engineer / Welding Engineer - Fall 2024</t>
  </si>
  <si>
    <t>1. Interest or experience with materials science, metallurgy, mechanical engineering, electrical engineering, physics, chemistry, nanoscience, microscopy, welding engineering
2. Hands-on experience through academic research, project teams, machine shops, hackathons, or industry internships
3. Demonstration of exceptional results through a range of different pursuits
...</t>
  </si>
  <si>
    <t>Intern - Electrical Engineer - Fall 2024</t>
  </si>
  <si>
    <t>1. Pursuing an engineering degree with focus in the fields of electrical engineering, power electronics, power systems or DC systems
2. Hands-on experience through academic research, project teams, machine shops, hackathons, or industry internships
3. Demonstration of exceptional results through a range of different pursuits
...</t>
  </si>
  <si>
    <t>Imaging Extern PRN</t>
  </si>
  <si>
    <t>LifePoint Health</t>
  </si>
  <si>
    <t>Beckley, WV</t>
  </si>
  <si>
    <t>1. Enrolled in a program to graduate with a minimum of an Associate of Applied Science in Radiology/Nuclear Medicine/Ultrasound Technology program.
2. Requires critical thinking skills, decisive judgment and the ability to work with minimal supervision.
3. Must be able to work in a stressful environment and take appropriate action.
...</t>
  </si>
  <si>
    <t>Engineer Intern 1 - Engineer 5</t>
  </si>
  <si>
    <t>Baton Rouge Metro</t>
  </si>
  <si>
    <t>1. Possession of a current Louisiana Engineer Intern Certificate.</t>
  </si>
  <si>
    <t>CIVIL ENGINEERING INTERN</t>
  </si>
  <si>
    <t>Isthmus Engineering</t>
  </si>
  <si>
    <t>Minneapolis–Saint Paul, WI</t>
  </si>
  <si>
    <t>1. Current enrollment in an accredited post-secondary Civil Engineering program or a closely related field and two years of program completion.</t>
  </si>
  <si>
    <t>Industrial Engineering Co-op/Intern- Spring 2025</t>
  </si>
  <si>
    <t>Postdoctoral Scholar - Physiology-Epigenetic and Exosomal regulation of cardiovascular and renal function</t>
  </si>
  <si>
    <t>Haslam College of Business</t>
  </si>
  <si>
    <t>1. Candidates must have a PhD, MD or comparable degree.
2. Prior experience and training with at least three of the followings is preferred: epigenetics, CRISP/Cas9, autophagy, stem cell biology, exosomes, viral vectors, renal tubule epithelial cell biology, proteomics, vascular biology or telemetry.</t>
  </si>
  <si>
    <t>Quality Co-Op - Fall 2024</t>
  </si>
  <si>
    <t>Accessus Security</t>
  </si>
  <si>
    <t>1. Sophomore or beyond in a 2 or 4-year Engineering degree program
2. GPA of at least 3.0
3. Must be able to work from our Mason office</t>
  </si>
  <si>
    <t>Aebi Schmidt USA</t>
  </si>
  <si>
    <t>1. An understanding of metal fabrication techniques and processes
2. Knowledge of 3-D modeling software (Creo Preferred)
3. Ability to communicate effectively and professionally with a variety of people, both written and verbal
...</t>
  </si>
  <si>
    <t>DoD - SKILLBRIDGE INTERNSHIP - PUBLIC HEALTH SCIENTIST 1 - 3</t>
  </si>
  <si>
    <t>Arizona Department of Health Services</t>
  </si>
  <si>
    <t>Fitness, Health Care</t>
  </si>
  <si>
    <t>$55902-$74778 /yr</t>
  </si>
  <si>
    <t>1. Must be separating from the Military
2. Served at least 180 days on active duty
3. Perform analyses on environmental samples using complex analytical instrumentation such as ICP-MS, LC-MS, GC-MS, &amp; X-RF
...</t>
  </si>
  <si>
    <t>Cincinnati, OH (USA)</t>
  </si>
  <si>
    <t>Intern - Plant Instrumentation and Control Engineer - Fall 2024</t>
  </si>
  <si>
    <t>1. Pursuing an engineering degree with focus in the fields of Chemical, I&amp;C, Mechanical or Process Systems
2. Hands-on experience through academic research, project teams, machine shops, hackathons, or industry internships
3. Demonstration of exceptional results through a range of different pursuits
...</t>
  </si>
  <si>
    <t>Monarch Research and Education Intern - Camp Pendleton</t>
  </si>
  <si>
    <t>Environment for the Americas</t>
  </si>
  <si>
    <t>Camp Pendleton South, CA</t>
  </si>
  <si>
    <t>$600-$600 /wk</t>
  </si>
  <si>
    <t>1. Be a U.S. citizen or legal resident
2. Have a personal vehicle and driver's license
3. Candidates local to the area will be considered priority. Military spouses, dependents and Veterans will also be given priority.
...</t>
  </si>
  <si>
    <t>Engineering Co-op Fall 2024</t>
  </si>
  <si>
    <t>Strattec Security</t>
  </si>
  <si>
    <t>1. Qualified, actively enrolled, and in good standing in an engineering discipline (mechanical, electrical or industrial) bachelor degree program.
2. Students must be enrolled in a credit course covering the co-op experience for the term(s) they work.
3. Engineering students will be expected to commit to work no less than four terms.
...</t>
  </si>
  <si>
    <t>Intern - R&amp;D, Materials &amp; Testing</t>
  </si>
  <si>
    <t>Auburn, IN</t>
  </si>
  <si>
    <t>1. Currently enrolled in an accredited engineering degree program
2. Able to work 40 hours during the summer (Mon-Fri)
3. Must have and maintain a minimum GPA of a 2.8 or higher
...</t>
  </si>
  <si>
    <t>Electrical Engineering Co-op/Intern- Spring 2025</t>
  </si>
  <si>
    <t>1. Legally authorized to work in the U.S. without sponsorship.
2. General Engineering Coursework
3. Minimum 2.5 Cumulative GPA or higher (You will be required to provide your current transcript)
...</t>
  </si>
  <si>
    <t>Mechanical Engineering Co-op/Intern- Spring 2025</t>
  </si>
  <si>
    <t>Radio Frequency Emitter Detection and Tracking via Passive and Active Techniques</t>
  </si>
  <si>
    <t>1. Past experience with RF signal processing.
2. Past experience with RF signal identification algorithm development
3. Past experience with data collection via software defined radio technology
...</t>
  </si>
  <si>
    <t>Co-op - Engineering - Fall 2024</t>
  </si>
  <si>
    <t>Wooster, OH</t>
  </si>
  <si>
    <t>1. High school diploma or equivalent
2. Must be pursuing an academic degree
3. Maintain a 2.5 GPA or higher per semester
...</t>
  </si>
  <si>
    <t>Internship - Mechanical Engineering - Entry Level - Fall Semester</t>
  </si>
  <si>
    <t>PI (Physik Instrumente) L.P.</t>
  </si>
  <si>
    <t>Industrial, Innovation Management</t>
  </si>
  <si>
    <t>Hopkinton, MA</t>
  </si>
  <si>
    <t>1. Enrolled in school
2. Enjoy building mechanical and electrical things
3. US Citizen or Green Card required
...</t>
  </si>
  <si>
    <t>Laboratory Assistant Intern (Part-time) Lihue, HI</t>
  </si>
  <si>
    <t>Clinical Labs of Hawaii</t>
  </si>
  <si>
    <t>Clinical Trials, Health Care</t>
  </si>
  <si>
    <t>Lihue, HI</t>
  </si>
  <si>
    <t>$16.15-$16.15 /h</t>
  </si>
  <si>
    <t>1. High School Diploma or equivalent
2. Computer data entry experience required
3. Excellent attendance record</t>
  </si>
  <si>
    <t>Fall 2024 Mechanical Engineering Co-op</t>
  </si>
  <si>
    <t>1. Undergraduate Student currently pursuing a Bachelor’s Degree in Engineering or related field
2. Ability to work 40 hours a week during the scheduled semester
3. Legal authorization to work in the United States - Sponsorship for this role will not be provided</t>
  </si>
  <si>
    <t>Port St Lucie, FL</t>
  </si>
  <si>
    <t>CEI Engineer Intern</t>
  </si>
  <si>
    <t>1. Engineering or Engineering Technology Degree
2. Engineering Intern classification requires EI certification
3. Ability to earn the required qualifications and certification within one year
...</t>
  </si>
  <si>
    <t>PI (Physik Instrumente) Group</t>
  </si>
  <si>
    <t>1. Enrolled in school
2. US Citizen or Green Card required
3. Vocational school in engineering technology or metal fabrication highly desirable
...</t>
  </si>
  <si>
    <t>College Aide (Design)</t>
  </si>
  <si>
    <t>1. Matriculation at an accredited college or graduate school
2. Authorization to work in the United States
3. Maximum tenure for all Assignment Levels in the title of College Aide is 6 years</t>
  </si>
  <si>
    <t>Nebraska City, NE</t>
  </si>
  <si>
    <t>Newport, RI</t>
  </si>
  <si>
    <t>Springfield, Massachusetts Metropolitan Area</t>
  </si>
  <si>
    <t>Intern, Automation and Control Systems</t>
  </si>
  <si>
    <t>Aquarion Water Company</t>
  </si>
  <si>
    <t>1. Must be currently enrolled in a bachelor’s degree program in Sophomore year or later.
2. Must have completed an introductory course in electrical engineering and power/automation/control engineering
3. Should have a working knowledge of protective relays and automation devices</t>
  </si>
  <si>
    <t>Packaging Engineering Intern - Fall 2024</t>
  </si>
  <si>
    <t>1. Pursuing a Bachelor’s Degree or higher in engineering
2. At least 1-2 hands-on wet lab or lab-adjacent experiences, ideally in metal plating work or fabricating devices
3. Hands-on experience with wafer fabrication tools (etching, deposition, patterning) and metrology tools (SEM, thin film measurement, X-ray, etc.). You should have been trained and used these tools independently in your previous experience.</t>
  </si>
  <si>
    <t>AI Engineer Intern</t>
  </si>
  <si>
    <t>Smart Data Solutions</t>
  </si>
  <si>
    <t>1. 3rd or 4th year student pursuing degree in computer science or equivalent degree
2. 1+ year of experience with machine learning, NLP, or deep learning concepts
3. Proficiency in at least 1 modern high-level programming language (Python, Java, C#, C++, etc.)
...</t>
  </si>
  <si>
    <t>Postdoctoral Fellow - Pediatrics - Research</t>
  </si>
  <si>
    <t>1. Doctoral degree
2. Strong experience in molecular biology and gene editing
3. Prior experience in molecular pharmacology, mouse models, and DNA barcoding
...</t>
  </si>
  <si>
    <t>NIWC - Undergraduate I (Task 71-153262, Environmental Modeling Project)</t>
  </si>
  <si>
    <t>1. Freshman majoring in computational microbiology/biology, mathematics and/or computer science
2. Applicable level of on the job and/or coursework experience
3. General Biology I
...</t>
  </si>
  <si>
    <t>Intern/Co-Op, Operations Engineering-Spring 2025 Orrville, OH</t>
  </si>
  <si>
    <t>Orrville, OH</t>
  </si>
  <si>
    <t>Senior Laboratory Assistant *Days*</t>
  </si>
  <si>
    <t>Providence</t>
  </si>
  <si>
    <t>Everett, WA</t>
  </si>
  <si>
    <t>$21.86-$37.34 /h</t>
  </si>
  <si>
    <t>1. Completion of a Phlebotomy course (including completion of a 4 week internship in Phlebotomy in a clinical laboratory setting)
2. Completion of an accredited Medical Assistant Course
3. a combination of education and directly related work experience
...</t>
  </si>
  <si>
    <t>Traffic Engineering Intern</t>
  </si>
  <si>
    <t>1. Candidate must be pursuing a bachelor's Degree in the Civil Engineering field at an ABET accredited university, or pursuing a graduate degree in Civil Engineering, Transportation Science or Transportation Planning
2. Be eager to learn; be a team player; and be enthusiastic.
3. Take pride in his or her work.
...</t>
  </si>
  <si>
    <t>Internship, Digital Content, Audio Podcast, Fall 2024</t>
  </si>
  <si>
    <t>Council on Foreign Relations</t>
  </si>
  <si>
    <t>1. Undergraduate or graduate student focusing on audio production, audio editing, sound design/ technology, or related field
2. Students should have completed the equivalent of four semesters of college coursework (not including AP classes in high school) by the time they begin an internship
3. Proficiency in Pro Tools and MAC products</t>
  </si>
  <si>
    <t>Summer 2025 IT Audit (Risk Assurance and Advisory) Internship</t>
  </si>
  <si>
    <t>Maxwell Locke &amp; Ritter</t>
  </si>
  <si>
    <t>Accounting, Construction</t>
  </si>
  <si>
    <t>1. Must have completed a Management Information Systems, Information Security, Information Technology Accounting and Controls, or equivalent course
2. Must have a 3.0 Cumulative GPA
3. Strong analytical skills
...</t>
  </si>
  <si>
    <t>Fall 2025 IT Audit (Risk Assurance and Advisory) Internship</t>
  </si>
  <si>
    <t>Spring 2025 IT Audit (Risk Assurance and Advisory) Internship</t>
  </si>
  <si>
    <t>Senior Laboratory Assistant</t>
  </si>
  <si>
    <t>Robotic Process Automation Support Analyst I</t>
  </si>
  <si>
    <t>Service Corp International</t>
  </si>
  <si>
    <t>Commercial, Family</t>
  </si>
  <si>
    <t>TX - Houston</t>
  </si>
  <si>
    <t>1. Bachelor’s degree in Computer Science or a related field
2. RPA intern or work experience
3. Solid end user computing skills, such as intermediate spreadsheet skills
...</t>
  </si>
  <si>
    <t>Intern - Mechanical/Manufacturing Engineer - Fall 2024</t>
  </si>
  <si>
    <t>1. Pursuing an engineering degree with focus in the fields of Mechanical, Electrical or Aerospace
2. Hands-on experience through academic research, project teams, machine shops, hackathons, or industry internships
3. Demonstration of exceptional results through a range of different pursuits
...</t>
  </si>
  <si>
    <t>Offensive Security Engineer Associate / Intern</t>
  </si>
  <si>
    <t>1. Currently has, or is in the process of obtaining a Bachelor's or Master's degree in Computer Science, Computer Engineering, relevant technical field, or equivalent practical experience. Degree must be completed prior to joining Securin
2. Proven understanding of the attack lifecycle, and offensive security concepts in at least one of the following: Red Team operations, Purple Team engagements, Vulnerability Research, and/or Exploitation
3. Experience in identifying security vulnerabilities, software development lifecycle, large-scale computing, modeling, cyber security, or adversarial machine learning
...</t>
  </si>
  <si>
    <t>Image Generative AI Research - PhD Intern (2024 or 2025 graduates)</t>
  </si>
  <si>
    <t>Topaz Labs</t>
  </si>
  <si>
    <t>Photography, Software</t>
  </si>
  <si>
    <t>1. Pursuing PhD in related field, graduating in 2024 or 2025
2. Significant research on GAN or diffusion models for image/video enhancement, image processing, or image editing
3. Experience with model distillation, quantization, and pruning
...</t>
  </si>
  <si>
    <t>T. Baker Smith</t>
  </si>
  <si>
    <t>Stafford, TX</t>
  </si>
  <si>
    <t>1. Bachelor of Engineering Degree in Civil, Environmental, or Mechanical Engineering from an accredited university
2. Completion of Fundamentals Engineering Exam within 12 months of employment
3. Ability to relate to clients and people at all levels of the organization and must possess excellent communication and diplomacy skills
...</t>
  </si>
  <si>
    <t>Intern, R&amp;D Fluid Modeling</t>
  </si>
  <si>
    <t>Energy Recovery</t>
  </si>
  <si>
    <t>Energy, Industrial</t>
  </si>
  <si>
    <t>San Leandro, CA</t>
  </si>
  <si>
    <t>1. Pursuing Bachelor's’ or Master’s degree in Mechanical Engineering or higher in Mechanical Engineering with concentration in thermal systems/refrigeration/HVAC/Energy systems or similar field.
2. Proficiency with commercial CAD packages such as SolidWorks is required.
3. Proficiency in steady state and transient simulation modeling of single phase and multi-phase flows using commercial tools such as Simulink/SimScape, Modelica, GT-Suite or equivalent required.
...</t>
  </si>
  <si>
    <t>Veterinary Technology Externship</t>
  </si>
  <si>
    <t>United Veterinary Care</t>
  </si>
  <si>
    <t>East Greenwich, RI</t>
  </si>
  <si>
    <t>1. Rocking your second year in a vet tech program
2. Ready to dive into at least two weeks of 8-hour shifts
3. Passion for veterinary medicine
...</t>
  </si>
  <si>
    <t>Electrical Engineering Coop/Intern</t>
  </si>
  <si>
    <t>ISEE</t>
  </si>
  <si>
    <t>Artificial Intelligence (AI), Automotive</t>
  </si>
  <si>
    <t>1. Working towards a Bachelor/Master Degree in Electrical, Computer, or Robotics Engineering
2. Passionate about self-driving vehicles
3. Excellent communication skills
...</t>
  </si>
  <si>
    <t>Aerospace Engineering-SOE Undergraduate Teaching Fellow</t>
  </si>
  <si>
    <t>1. Must have taken specified course or an equivalent class and earned at least a ‘B’ in the course.
2. Strong communication and interpersonal skills.
3. Demonstrated mastery of course content.
...</t>
  </si>
  <si>
    <t>1. High School diploma or GED and pursuing an undergraduate or graduate degree in Mechanical Engineering or a related field.
2. 1+ yrs of experience in design using SolidWorks
3. Hands-on hardware experience performing fabrication, assembly and/or testing - can be in a professional, academic or recreational setting
...</t>
  </si>
  <si>
    <t>Glassblower Apprentice</t>
  </si>
  <si>
    <t>Tosoh Quartz</t>
  </si>
  <si>
    <t>Manufacturing, Semiconductor</t>
  </si>
  <si>
    <t>1. High school diploma or GED
2. Eager to learn and begin a career as a scientific glassblower.</t>
  </si>
  <si>
    <t>Co-Op Electrical Engineer - Boston Fall 2024</t>
  </si>
  <si>
    <t>WB Engineers+Consultants</t>
  </si>
  <si>
    <t>Consulting, Infrastructure</t>
  </si>
  <si>
    <t>1. 0-2 year’s internship experience
2. Pursuing a Bachelor’s degree
3. Self-starter. Seizes opportunities to initiate and take ownership of projects
...</t>
  </si>
  <si>
    <t>Electrical Draftsman</t>
  </si>
  <si>
    <t>1. Hold or currently pursuing Associate's degree or certificate equivalent in drafting, engineering technology, or a related field.
2. Proficiency in computer-aided design (CAD) software, such as AutoCAD, SolidWorks Electrical, or Revit.
3. Strong understanding of electrical principles, components, and systems.
...</t>
  </si>
  <si>
    <t>Student Hourly Research Lab Assistant</t>
  </si>
  <si>
    <t>$17.20-$17.20 /h</t>
  </si>
  <si>
    <t>1. Must be able to lift 35 lbs without injury.
2. Must be willing to work in person.
3. During the semester term of the appointment, the student hourly must be enrolled in no fewer than 6 credit hours.
...</t>
  </si>
  <si>
    <t>Laboratory Assistant-Student Hourly</t>
  </si>
  <si>
    <t>1. Must be enrolled in no fewer than 6 credit hours during the semester term of the appointment
2. For summer periods, must have been enrolled in no less than 6 hours in the past spring semester or be pre-enrolled in upcoming fall semester in no less than 6 hours or be enrolled in summer session or be admitted to study in the upcoming fall semester
3. Student Hourlies may be undergraduate or graduate students</t>
  </si>
  <si>
    <t>Automotive Designer Co-op/Intern- Spring 2025</t>
  </si>
  <si>
    <t>1. Enrollment and good standing in a PhD program
2. Satisfactory progress towards the completion of the dissertation and any other degree requirements
3. Ability to design and evaluate experiments with research methods and techniques appropriate to the project goals
...</t>
  </si>
  <si>
    <t>Warrior Integration Program</t>
  </si>
  <si>
    <t>$20800-$416000 /yr</t>
  </si>
  <si>
    <t>1. Overseas operational deployment experience
2. Specialized Military Schools and Training
3. Capacity and motivation for hard work
...</t>
  </si>
  <si>
    <t>Equipment Service Co-op/Intern- Spring 2025</t>
  </si>
  <si>
    <t>Anna, OH</t>
  </si>
  <si>
    <t>$23.54-$29.16 /h</t>
  </si>
  <si>
    <t>PhD Research Intern, AI for Robotic Manipulation</t>
  </si>
  <si>
    <t>Chef Robotics</t>
  </si>
  <si>
    <t>Artificial Intelligence (AI), Food and Beverage</t>
  </si>
  <si>
    <t>1. Currently enrolled in a relevant PhD program focused on embodied AI or robotics
2. Experience with at least one of the following areas: imitation learning/learning from demonstration, reinforcement learning, multimodal learning
3. Ability to independently drive and execute on a well-scoped but open-ended research project
...</t>
  </si>
  <si>
    <t>HoH Corporate Fellowship - Engineering</t>
  </si>
  <si>
    <t>1. Must have a Degree in Engineering or closely related S.T.E.M curriculum.
2. Eligible to participate in a Skillbridge Corporate Fellowship and willing to partner with Hiring Our Heroes
3. Must be able to relocate to assigned area or indicated work location for the duration of the Fellowship and complete daily work commute using reliable transportation</t>
  </si>
  <si>
    <t>UU Student - Research, Biochem (Work-Study)</t>
  </si>
  <si>
    <t>1. Current enrollment in the undergraduate Chemistry at the Univ. of Utah is essential.
2. Prior experience in synthetic organic chemistry is desirable.</t>
  </si>
  <si>
    <t>Research Scientist Graduate (Foundation Model Generative AI) - 2024 Start (PhD)</t>
  </si>
  <si>
    <t>1. Current Ph.D or recent Ph.D graduates in Computer Science or related engineering field.
2. Excellent collaboration and interpersonal skills
3. Highly competent in algorithms and programming; Strong coding skills in Python/C++.</t>
  </si>
  <si>
    <t>Network Systems Analyst- DoD SkillBridge Internship</t>
  </si>
  <si>
    <t>Battelle</t>
  </si>
  <si>
    <t>Chantilly, VA</t>
  </si>
  <si>
    <t>1. Cyber Blue or Red Team member, on-network auditor or assessor, or SOC/NOC technician with a minimum of 3 years of experience.
2. Current industry certifications related to the field, e.g., (GCIH, GPEN, CEH, etc.)
3. Bachelor's degree in Computer Science or a related field with 2 years of experience or master’s degree in related field; or an equivalent combination of education and or experience in a related field.
...</t>
  </si>
  <si>
    <t>1. Associate of Science Degree with minimum 2 years of engineering experience (or equivalent experience). Current junior status working toward a bachelor’s degree in electrical engineering.
2. Engineering Technician experience in a large volume production environment, preferred.
3. Ability to use electronic test equipment, such as, Oscilloscopes, Electronic Loads, Meters, Function Generators, etc.
...</t>
  </si>
  <si>
    <t>1. 3D CAD Modeling
2. 2D Drawing Creation
3. Creating/Updating Drawings
...</t>
  </si>
  <si>
    <t>1. Sophomore standing in an engineering degree program.
2. Possess strong engineering skills.
3. Basic solid modeling and drawing skill-set (using ProE, SolidEdge, UG, or Catia CAD software).
...</t>
  </si>
  <si>
    <t>1. Currently enrolled in a degree program at the start of the co-op
2. Junior or Senior pursuing BSEE degree or equivalent
3. Some experience with electrical engineering test equipment, including multimeters, oscilloscopes, power supplies, etc.
...</t>
  </si>
  <si>
    <t>Davis-Besse</t>
  </si>
  <si>
    <t>HVAC Mechanical Engineering Intern</t>
  </si>
  <si>
    <t>Wichita-Kansas-United States of America</t>
  </si>
  <si>
    <t>1. Educational path will likely include B.S.M.E.</t>
  </si>
  <si>
    <t>San Francisco Office</t>
  </si>
  <si>
    <t>Laboratory Assistant</t>
  </si>
  <si>
    <t>1. Currently enrolled as an undergraduate or graduate student in a college or university offering a four-year degree.
2. Completion of freshman year or higher and in good academic standing.</t>
  </si>
  <si>
    <t>Baylor College of Medicine</t>
  </si>
  <si>
    <t>1. MD or Ph.D. in Basic Science, Health Science, or a related field</t>
  </si>
  <si>
    <t>APPRENTICE ENGINEER</t>
  </si>
  <si>
    <t>CommonSpirit Health</t>
  </si>
  <si>
    <t>$23.72-$31.94 /h</t>
  </si>
  <si>
    <t>1. Enrolled in Local 39 Apprenticeship Program.</t>
  </si>
  <si>
    <t>Junior Robotics Engineer</t>
  </si>
  <si>
    <t>1Micro</t>
  </si>
  <si>
    <t>Waconia, MN</t>
  </si>
  <si>
    <t>1. High School students involved in Robotics Club are encouraged to apply.
2. Onsite position in Waconia, MN – No relocation assistance available.
3. Ability to work independently and as part of a team.
...</t>
  </si>
  <si>
    <t>Field Engineer Intern</t>
  </si>
  <si>
    <t>Delta Constructors</t>
  </si>
  <si>
    <t>Watford City, ND</t>
  </si>
  <si>
    <t>1. Pursuing degree in Engineering, Construction Management, or related degree.
2. If not pursuing degree 1 year experience in Oil and Gas industry.
3. Current and valid Driver’s license with clean driving record.
...</t>
  </si>
  <si>
    <t>Student Researcher, PhD, Fall 2024</t>
  </si>
  <si>
    <t>Google</t>
  </si>
  <si>
    <t>Advertising, Collaboration</t>
  </si>
  <si>
    <t>$109,000-$145,000 full-time</t>
  </si>
  <si>
    <t>1. Currently enrolled in a PhD degree in Computer Science, Linguistics, Statistics, Biostatistics, Applied Mathematics, Operations Research, Economics, Natural Sciences, or related technical field.
2. Experience in one area of computer science (e.g., Natural Language Understanding, Computer Vision, Machine Learning, Deep Learning, Algorithmic Foundations of Optimization, Quantum Information Science, Data Science, Software Engineering, or similar areas).
3. English proficiency is a requirement for this internship program.
...</t>
  </si>
  <si>
    <t>Student Researcher, BS/MS, Fall 2024</t>
  </si>
  <si>
    <t>$90000-$118000 full-time</t>
  </si>
  <si>
    <t>1. Currently enrolled in a Bachelor's or Master’s degree in Computer Science, Linguistics, Statistics, Biostatistics, Applied Mathematics, Operations Research, Economics, Natural Sciences, or related technical field.
2. Experience in one area of computer science (e.g., Natural Language Understanding, Computer Vision, Machine Learning, Deep Learning, Algorithmic Foundations of Optimization, Quantum Information Science, Data Science, Software Engineering, or similar areas).
3. English proficiency is a requirement for this internship program.
...</t>
  </si>
  <si>
    <t>Kirkland, WA</t>
  </si>
  <si>
    <t>San Bruno, CA</t>
  </si>
  <si>
    <t>Goleta, CA</t>
  </si>
  <si>
    <t>Forvia</t>
  </si>
  <si>
    <t>1. Preferably working towards a Bachelor’s degree in Mechanical Engineering or Engineering Technology
2. Strong sense of teamwork
3. Excellent analytical, communication and problem-solving skills
...</t>
  </si>
  <si>
    <t>Engineering -Intern</t>
  </si>
  <si>
    <t>EthosEnergy</t>
  </si>
  <si>
    <t>1. Must be enrolled full-time in an ABET accredited engineering program at a four-year college or university
2. Must have a 3.0 GPA or greater
3. Must be able to follow instructions and be a team player
...</t>
  </si>
  <si>
    <t>EE Patent Engineer/Internship: Boulder, Denver, Salt Lake City &amp; Boise</t>
  </si>
  <si>
    <t>Holland &amp; Hart</t>
  </si>
  <si>
    <t>Advice, Law Enforcement</t>
  </si>
  <si>
    <t>hourly40-hourly50 /h</t>
  </si>
  <si>
    <t>1. Degree in electrical engineering (strongly preferred)
2. Strong academic record
3. Wireless communications experience
...</t>
  </si>
  <si>
    <t>Mechanical Engineering Program, Research Graduate Assistant (Gee)</t>
  </si>
  <si>
    <t>1. Full-time enrollment in ME MS program and undergraduate degree in appropriate science or engineering discipline
2. Must be able to support and promote the University's Mission</t>
  </si>
  <si>
    <t>Returning Co-op Engineer- For Current or Previous HNTB Co-ops Only- Great Lakes Division</t>
  </si>
  <si>
    <t>Intern Engineer: Structures - Fall/Spring 2024 - 2025</t>
  </si>
  <si>
    <t>Wildlife Monitoring Intern</t>
  </si>
  <si>
    <t>Conservation Legacy</t>
  </si>
  <si>
    <t>Watrous, NM</t>
  </si>
  <si>
    <t>$680-$680 /wk</t>
  </si>
  <si>
    <t>1. Per federal grant requirements, this internship is for young adults between the ages of 18-30 (35 for veterans), inclusive, at the time the individual begins term of service.
2. Valid U.S Driver’s License - Drivers must be over 21 or have had a license for at least 3 years.
3. U.S Citizen, U.S National, or Lawful Permanent Resident.
...</t>
  </si>
  <si>
    <t>1. Ph.D. In a discipline pertinent to biomedical research.
2. Experience in presenting original research in oral and written format is essential, as is proven success in writing and publishing original research.
3. Demonstrates a track record of progressive biomedical research that indicates a growing level of research independence.</t>
  </si>
  <si>
    <t>USDA-FS Fellowship: Exploring the Adaptive Capacity of At-Risk Pine Forests</t>
  </si>
  <si>
    <t>1. Currently pursuing or have received a master's or doctoral degree in relevant fields such as quantitative ecology, conservation biology, evolutionary biology, restoration ecology, forestry, plant biology, plant ecology, biostatistics, or related field
2. Degree must have been received within the past five years, or anticipated to be received by 12/31/2024
3. Master's Degree or Doctoral Degree received within the last 60 months or anticipated to be received by 12/31/2024 11:59:59 PM
...</t>
  </si>
  <si>
    <t>Engineering Intern (Onsite)</t>
  </si>
  <si>
    <t>Team JAS</t>
  </si>
  <si>
    <t>1. Attending a nationally accredited baccalaureate or graduate program in engineering. (Degrees accepted: Aeronautical/Aerospace Mechanical Electrical &amp; Computer
2. Completed core Engineering courses (Statics/Dynamics, Fluids, Thermodynamics, i.e. Calculus, Physics, Chemistry, Systems and Controls)
3. Available a minimum of 20 hours per week
...</t>
  </si>
  <si>
    <t>USDA-FS Conservation Genomics Postdoctoral Fellowship</t>
  </si>
  <si>
    <t>1. Received a doctoral degree in one of the relevant fields or currently pursuing the degree</t>
  </si>
  <si>
    <t>Scientist, Regulatory</t>
  </si>
  <si>
    <t>Vytalogy Wellness</t>
  </si>
  <si>
    <t>Dietary Supplements, E-Commerce</t>
  </si>
  <si>
    <t>Sherman Oaks, CA</t>
  </si>
  <si>
    <t>1. Currently pursuing a bachelor’s degree (BS) or master’s degree (MS) in Food Science and Nutrition or related field or have recently graduated.
2. Excellent writing, comprehension and research skills.
3. Basic computer skills: word, excel, outlook, etc.
...</t>
  </si>
  <si>
    <t>US - CA - San Diego - Summers Ridge</t>
  </si>
  <si>
    <t>Data Acquisition Assembly &amp; Testing Student Employee</t>
  </si>
  <si>
    <t>Loon</t>
  </si>
  <si>
    <t>Aerospace, Information Services</t>
  </si>
  <si>
    <t>$118000-$145000 full-time</t>
  </si>
  <si>
    <t>OPC Engineer, Optical Proximity Correction (New College Grad 2024)</t>
  </si>
  <si>
    <t>GlobalFoundries</t>
  </si>
  <si>
    <t>Malta, NY</t>
  </si>
  <si>
    <t>$49400-$103000 /yr</t>
  </si>
  <si>
    <t>1. Education – Graduating with Bachelor’s Degree in Electronics, Engineering, Computer Science, Mathematics, Physics or related discipline or related field from an accredited degree program.
2. Must have at least an overall 3.0 GPA and proven good academic standing.
3. Knowledge of scripting and computer languages such as Perl, Python, TCL, shell and others.
...</t>
  </si>
  <si>
    <t>1. Undergraduate student at Penn State
2. Majoring in Computer Science, Information Sciences and Technology, Data Science, Engineering, Mathematics, or Physics
3. Ability to contribute to the design, development, implementation, and analysis of technical engineering products, systems, and subsystems
...</t>
  </si>
  <si>
    <t>Kawasaki Motors Corp., U.S.A.</t>
  </si>
  <si>
    <t>1. Some college experience preferred (Preferably students currently pursuing a degree in Mechanical Engineering, Agricultural Engineering, or related degree)
2. Must have High School diploma or successfully obtained a GED</t>
  </si>
  <si>
    <t>Intern/Co-Op, Operations Engineering- Fall 2024 Orrville, OH</t>
  </si>
  <si>
    <t>Intern/Co-Op, Operations Engineering - Spring 2025, Buffalo, NY</t>
  </si>
  <si>
    <t>$20.50-$25.50 /h</t>
  </si>
  <si>
    <t>McWane Ductile Ohio - Mechanical Engineering - Fabricated Products Fall Co-Op 2024</t>
  </si>
  <si>
    <t>Coshocton, OH</t>
  </si>
  <si>
    <t>1. Pursuing BS in Mechanical Engineering, Mechanical Engineering Technology
2. Minimum of 1 Year of classes</t>
  </si>
  <si>
    <t>1. Must be pursing an engineering related degree
2. Must understand solar photovoltaic technology
3. Must be passionate about the renewable energy business, hardworking, independent, and thrive in fast-paced environment.
...</t>
  </si>
  <si>
    <t>Post Doctoral Fellow - PM&amp;R</t>
  </si>
  <si>
    <t>1. A doctoral degree or equivalent (Ph.D., M.D., ScD., D.V.M., DDS etc) in an appropriate field
2. Excellent scientific writing ability and strong oral communication skills
3. The ability to work effectively and collegially with colleagues
...</t>
  </si>
  <si>
    <t>Senior Tech Ops Specialist - HOH Fellows &amp; DoD SkillBridge Applicants Only</t>
  </si>
  <si>
    <t>Intern/Co-Op, Operations Engineering - Spring 2025 Scottsville, KY</t>
  </si>
  <si>
    <t>Scottsville, KY</t>
  </si>
  <si>
    <t>Test Systems Summer Intern</t>
  </si>
  <si>
    <t>Trispoke Managed Services Pvt. Ltd.</t>
  </si>
  <si>
    <t>1. Mobility through some tight and difficult quarters as they move around the test equipment.
2. Data entry skills
3. PPE: Safety glasses and footwear.
...</t>
  </si>
  <si>
    <t>Intern/Co-Op, Operations Engineering - Spring 2025 Memphis, TN</t>
  </si>
  <si>
    <t>Kawasaki</t>
  </si>
  <si>
    <t>Postdoctoral Research Associate - Pediatrics Rheumatology and Immunology</t>
  </si>
  <si>
    <t>Studentische Hilfskraft im Bereich Technologie- und Forschungstransfer</t>
  </si>
  <si>
    <t>1. Interesse am Themenfeld Technologie- und Forschungstransfer
2. Interesse am Themenfeld der gewerblichen Schutzrechte wie z.B. Patente und Marken
3. Freude an gezielter Informationsrecherche im Internet
...</t>
  </si>
  <si>
    <t>Postdoctoral Research Associate - Genetics</t>
  </si>
  <si>
    <t>1. Recent PhD and/or MD in a relevant field or equivalent experience in field (mouse genetics, genomics, developmental biology, molecular biology, computational biology, etc.)</t>
  </si>
  <si>
    <t>JD Ag Tech Student</t>
  </si>
  <si>
    <t>Hutson, Inc.</t>
  </si>
  <si>
    <t>Agriculture, Manufacturing</t>
  </si>
  <si>
    <t>Hopkinsville, KY</t>
  </si>
  <si>
    <t>1. High School Diploma, Ag Technician or Industrial training.
2. Ability to perform basic repairs and required maintenance using special tools and equipment following Technical Manual procedures.
3. Basic knowledge of mechanical, electrical and hydraulic systems used in the repair of agricultural and turf equipment.
...</t>
  </si>
  <si>
    <t>Newberry, IN</t>
  </si>
  <si>
    <t>Jasper, IN</t>
  </si>
  <si>
    <t>Poseyville, IN</t>
  </si>
  <si>
    <t>Linwood, NJ</t>
  </si>
  <si>
    <t>Portland, MI</t>
  </si>
  <si>
    <t>Williamston, MI</t>
  </si>
  <si>
    <t>Russellville, KY</t>
  </si>
  <si>
    <t>SkillBridge Internship: Cybersecurity</t>
  </si>
  <si>
    <t>SIXGEN</t>
  </si>
  <si>
    <t>Commercial, Cyber Security</t>
  </si>
  <si>
    <t>1. Must be active US Military
2. Have 180 days of service or fewer remaining prior to your date of discharge and you have at least 180 continuous days of active service
3. Obtain approval from your unit commander
...</t>
  </si>
  <si>
    <t>Mayfield, KY</t>
  </si>
  <si>
    <t>Internship / Co-Op, Controls, Gatik AI Research Team</t>
  </si>
  <si>
    <t>Gatik</t>
  </si>
  <si>
    <t>1. Currently pursuing a Ph.D. in a Robotics-related field
2. Related publication in top-tier journals and conferences (e.g., ICRA, IROS, CDC, ACC, etc.)
3. 2+ years of experience in C/C++
...</t>
  </si>
  <si>
    <t>Internship / Co-Op, AI Research Team</t>
  </si>
  <si>
    <t>1. Currently pursuing a Ph.D. in AV/Robotics-related field.
2. Proficiency in both the theoretical foundations and practical applications of artificial intelligence techniques for AVs.
3. Good programming skills, particularly in rapid prototyping environments, such as Python, and MATLAB/Simulink. Experience with C++ and/or parallel programming (e.g., CUDA) is advantageous.
...</t>
  </si>
  <si>
    <t>Morganfield, KY</t>
  </si>
  <si>
    <t>Clarksville, TN</t>
  </si>
  <si>
    <t>Neuro42</t>
  </si>
  <si>
    <t>Biotechnology, Medical Device</t>
  </si>
  <si>
    <t>1. Pursuing a B.S. in Mechanical Engineering with interest in the medical industry.
2. Well-developed experience in both creating and interpreting CAD and manufacturing drawings.
3. Experience working with teams to solve complex engineering problems.
...</t>
  </si>
  <si>
    <t>Princeton, KY</t>
  </si>
  <si>
    <t>Physical Science Assistant</t>
  </si>
  <si>
    <t>Boulder City, NV</t>
  </si>
  <si>
    <t>$665-$665 /wk</t>
  </si>
  <si>
    <t>1. Bachelor's degree in the natural sciences or engineering
2. Valid, state-issued driver’s license and clean driving record
3. Ability to hike up to 10 miles per day for multiple days on steep or uneven terrain in variable weather
...</t>
  </si>
  <si>
    <t>Graduate Mechanical Engineer</t>
  </si>
  <si>
    <t>I. C. Thomasson Associates, Inc.</t>
  </si>
  <si>
    <t>Brookhaven, MS</t>
  </si>
  <si>
    <t>1. B.S. in Mechanical Engineering or other relevant degree from ABET accredited school.</t>
  </si>
  <si>
    <t>GRADUATE ASSISTANT - Biomechanics</t>
  </si>
  <si>
    <t>1. Currently pursuing or have received a master's or doctoral degree in Engineering, Hydrology, Climatology, Water Resources, or related disciplines within the past five years or is currently pursuing
2. U.S. citizenship or Lawful Permanent Resident status
3. Degree: Master's Degree or Doctoral Degree received within the last 60 months or currently pursuing
...</t>
  </si>
  <si>
    <t>BTU-Electrical Engineering Intern (Field)</t>
  </si>
  <si>
    <t>City of Bryan</t>
  </si>
  <si>
    <t>Bryan, TX</t>
  </si>
  <si>
    <t>1. Must be a current college student seeking a technical degree in engineering, geospatial technology, or a related field of study.
2. Texas Class C driver’s license with a good driving record as measured by the City’s evaluation system.</t>
  </si>
  <si>
    <t>Engineering/Supply Chain Co-op_Fall 2024</t>
  </si>
  <si>
    <t>Decatur, AL</t>
  </si>
  <si>
    <t>1. Currently enrolled in an accredited university pursuing a bachelor’s degree or better in Mechanical, Industrial, Electrical, Science or Chemical Engineering (or related degrees) or Supply Chain Management (or related degrees)
2. December 2025 or later graduation date
3. Cumulative GPA &gt;=3.0 (out of 4.0)
...</t>
  </si>
  <si>
    <t>Co-Op Engineering - Fall 2024</t>
  </si>
  <si>
    <t>Atlas Roofing</t>
  </si>
  <si>
    <t>Building Material, Consumer Goods</t>
  </si>
  <si>
    <t>1. Must be a full-time undergraduate student, enrolled in a cooperative education program at an accredited college or university.
2. Must be at least a sophomore, and able to complete a minimum of two work rotations.
3. Must maintain a 2.5 or higher GPA
...</t>
  </si>
  <si>
    <t>Research Intern - Privacy-Preserving Machine Learning</t>
  </si>
  <si>
    <t>1. Has been accepted or currently enrolled in a PhD program in Computer Science, Software Engineering, Electrical Engineering, or a related STEM field.
2. Has at least 1 year of experience in conducting research, writing peer-reviewed publications and software development.
3. Interns are expected to be physically located in their manager’s Microsoft worksite location for the duration of their internship.</t>
  </si>
  <si>
    <t>Product Engineering Intern (Fall 2024)</t>
  </si>
  <si>
    <t>Fives Group</t>
  </si>
  <si>
    <t>Consulting, Industrial</t>
  </si>
  <si>
    <t>1. A student at an accredited college, studying engineering or an engineering technology degree
2. Train on Creo 3D CAD software and Fives North American drawing and modeling standards
3. Apply training to continuous improvement and engineering product design work
...</t>
  </si>
  <si>
    <t>Bioinformatics/Machine Learning Co-op (Fall 2024)</t>
  </si>
  <si>
    <t>Wave Life Sciences</t>
  </si>
  <si>
    <t>1. Experience in discovery and development of oligonucleotide therapeutics is a plus
2. Experience working in high-performance compute environment
3. Experience with common machine learning technique (SVA, random forest)
...</t>
  </si>
  <si>
    <t>Postdoctoral Research Associate - Pathology &amp; Immunology</t>
  </si>
  <si>
    <t>Research Fellow - Radiation Oncology</t>
  </si>
  <si>
    <t>1. Prior experience in laboratory-based research
2. Past work with next-generation sequencing and proteomics is ideal
3. Manuscript preparation skills
...</t>
  </si>
  <si>
    <t>Marine Scientist Intern</t>
  </si>
  <si>
    <t>APTIM</t>
  </si>
  <si>
    <t>1. Bachelor of Science degree (or higher) in Geology or related field of study
2. Geology experience (0-5 years) required
3. Some experience with mechanical sieve analysis
...</t>
  </si>
  <si>
    <t>Research Intern - Machine Learning and Generative AI</t>
  </si>
  <si>
    <t>1. Currently enrolled in a PhD program in Computer Science or a related STEM field.
2. Research Interns are expected to be physically located in their manager’s Microsoft worksite location for the duration of their internship.</t>
  </si>
  <si>
    <t>Research Intern - AI Networking - SPARC (Strategic Planning and Architecture)</t>
  </si>
  <si>
    <t>1. Currently enrolled in a PhD program in Computer Science or Electrical Engineering.
2. Have at least 2 years of experience with software development in C/C++, C#, python, or related languages.</t>
  </si>
  <si>
    <t>Production Engineer (University Grad)</t>
  </si>
  <si>
    <t>1. Experience in *nix (Linux, BSDs, or another UNIX-like OS)
2. Currently has, or is in the process of obtaining a Bachelor's degree in Computer Science, Computer Engineering, relevant technical field, or equivalent practical experience. Degree must be completed prior to joining Meta.
3. Experience coding in an industry-standard language (e.g. Java, Python, C++, PHP)
...</t>
  </si>
  <si>
    <t>Research Intern - Human-AI Systems and Experiences - MSR AI Frontiers</t>
  </si>
  <si>
    <t>1. Currently enrolled in a PhD program with relevant major (e.g., Human-Computer Interaction, Artificial Intelligence, Machine Learning, Natural Language Processing)
2. A drive for real-world impact, demonstrated by a passion to build and evaluate working prototypes (e.g., via user studies)
3. A demonstrated track record of influential projects and publications in relevant fields and top-tier conferences and journals (such as CHI, UIST, FAccT, AAAI, NeurIPS, ICML)
...</t>
  </si>
  <si>
    <t>Research Intern - AI-Assisted Game Creation</t>
  </si>
  <si>
    <t>1. Currently enrolled in a PhD program in Computer Science or a related STEM field. Committed candidates enrolled in a master’s program might also be considered.
2. At least two years of research experience, including peer-reviewed publications, researching a topic closely related to the above description, such as AI systems for mixed reality, natural language processing, deep learning, generative models, mixed and virtual reality, multimodal interaction, etc.
3. At least one year of experience in building applications with the help of game engines, particularly Unity.
...</t>
  </si>
  <si>
    <t>Research Intern - Intelligent Reverse Engineering Automation</t>
  </si>
  <si>
    <t>$5090-$10120 /mon</t>
  </si>
  <si>
    <t>1. Currently enrolled in a master's program in Computer Science, programming language concepts or a related STEM field.
2. Research Interns are expected to be physically located in their manager’s Microsoft worksite location for the duration of their internship.</t>
  </si>
  <si>
    <t>SoC Logic Design - Undergrad Intern</t>
  </si>
  <si>
    <t>$40000-$108000 /h</t>
  </si>
  <si>
    <t>1. Pursuing Bachelor's Degree in Electrical Engineer, Computer Engineering, Computer Science, or a related field.
2. 6+ months of course work in Verilog Register Transfer Language (RTL).
3. 3+ months of experience with Unix shells/Unix commands.
...</t>
  </si>
  <si>
    <t>Research Intern - Advanced memory systems</t>
  </si>
  <si>
    <t>1. Accepted or currently enrolled in a PhD program in Computer Science or a related STEM field.</t>
  </si>
  <si>
    <t>High School Intern - Engineering, Automation, Mechanics</t>
  </si>
  <si>
    <t>1. High school student with coursework in related fields
2. Excellent verbal and written communication skills
3. Strong organizational skills with proven ability to complete tasks
...</t>
  </si>
  <si>
    <t>Research Intern - Applied Sciences Group (Computer Vision &amp; Deep Learning)</t>
  </si>
  <si>
    <t>$5290-$10120 /mon</t>
  </si>
  <si>
    <t>1. Currently enrolled in a PhD or master's program in computer vision, machine learning or closely related fields.</t>
  </si>
  <si>
    <t>Fall 2024 Engineer Intern</t>
  </si>
  <si>
    <t>1. Must be enrolled full-time at an accredited 4-year college or university as an undergraduate.
2. Candidates must have drive, initiative and a desire to work in a manufacturing setting.
3. Successful candidates will have excellent communication skills, ability to interact with all levels of the organization, computer skills including Solid Works, strong analytical, problem solving and time management skills.
...</t>
  </si>
  <si>
    <t>Engineering Intern- Summer 2025</t>
  </si>
  <si>
    <t>Czinger Vehicles</t>
  </si>
  <si>
    <t>$25-$34 /h</t>
  </si>
  <si>
    <t>1. Enrolled in College (mechanical or industrial degree)
2. Self-motivated and able to prioritize and execute tasks in a high-pressure environment
3. Solid interpersonal skills, capable of following detailed instructions of senior operators, team leads, and management staff and interfacing with engineering and manufacturing groups to understand and improve AM system designs
...</t>
  </si>
  <si>
    <t>Research Fellow, PGY0 (Y. Chen)</t>
  </si>
  <si>
    <t>1. Doctoral degree (MD or PhD) with more than 1 year of lab experience
2. Read, analyze, and summarize published literature
3. Design and execute in vitro and in vivo experiments
...</t>
  </si>
  <si>
    <t>2024 Graduate - Signal Processing &amp; Prototyping Engineer</t>
  </si>
  <si>
    <t>Johns Hopkins Applied Physics Lab</t>
  </si>
  <si>
    <t>Education, Universities</t>
  </si>
  <si>
    <t>1. Possess a Bachelor's or Master's degree in Electrical Engineering, Computer Engineering, or Mathematics
2. Knowledgeable in linear, discrete signal and random signal systems
3. Proficient in MATLAB, C++, or Python
...</t>
  </si>
  <si>
    <t>Engineering Co-Op- UCCS</t>
  </si>
  <si>
    <t>1. Student pursuing a bachelor’s degree in Engineering or related field
2. Availability to work a minimum of 20 hours per week during regular business hours while maintaining a full-time course load
3. Must be available to commit to a minimum of 3 semesters
...</t>
  </si>
  <si>
    <t>Studentische Hilfskraft für die Arbeitsgruppe Nachhaltige Bindemittel</t>
  </si>
  <si>
    <t>1. Immatrikulierte\r Student\r in der Geowissenschaften, Mineralogie, Chemie, Bauingenieurwesen oder vergleichbarer fachlicher Ausrichtung
2. Idealerweise Masterstudium
3. Interesse am wissenschaftlichen Arbeiten und an der praktischen Laborarbeit
...</t>
  </si>
  <si>
    <t>Postdoctoral Scholar - Cellular &amp; Molecular Physiology</t>
  </si>
  <si>
    <t>1. Doctorate degree in biochemistry, biophysics, neuroscience, molecular genetics, cell biology, chemistry or related fields
2. Track-record of productivity</t>
  </si>
  <si>
    <t>Postdoctoral Scholar - Pharmacology</t>
  </si>
  <si>
    <t>1. Ph.D. in Molecular Biology, Biochemistry, Neuroscience, or related fields
2. Strong molecular biology expertise
3. Experience in protein misfolding and/or amyloid research
...</t>
  </si>
  <si>
    <t>Postdoctoral Research Associate - Department of Geology &amp; Geography, Eberly College of Arts and Sciences</t>
  </si>
  <si>
    <t>West Virginia University</t>
  </si>
  <si>
    <t>1. PhD in Geology (or closely related field, such as Geoscience, Earth Science, or Biology) on commencing the position or within 6 months of having started.
2. Some knowledge of phylogenetic comparative methods.
3. Experience with scientific publishing.
...</t>
  </si>
  <si>
    <t>Postdoctoral Scholar - Pathology</t>
  </si>
  <si>
    <t>US $56,484-US $56,484 /yr</t>
  </si>
  <si>
    <t>1. PhD with training in biochemistry, cell biology, and/or bacteriology</t>
  </si>
  <si>
    <t>Engineering Co- Op</t>
  </si>
  <si>
    <t>Johns Manville</t>
  </si>
  <si>
    <t>$39000-$48800 /yr</t>
  </si>
  <si>
    <t>1. Pursuing a B.S. degree in engineering (Electrical, Mechanical, Chemical, Industrial, or Software/Computer).
2. Completed at least sophomore year of undergraduate course work and enrolled in classes for Fall 2023.
3. Microsoft Office (Word, Excel PowerPoint, Outlook).
...</t>
  </si>
  <si>
    <t>1. Pursuing a B.S. degree in engineering (Electrical, Mechanical, Chemical, Industrial, or Software/Computer)
2. Completed at least sophomore year of undergraduate course work and enrolled in classes for Fall 2023
3. Microsoft Office (Word, Excel PowerPoint, Outlook)
...</t>
  </si>
  <si>
    <t>Water Treatment Engineering Co-op</t>
  </si>
  <si>
    <t>1. A minimum of a sophomore standing and the ability to co-op for at least 3 terms.
2. Adaptability and ability to learn quickly in high-pressure environments
3. Excellent time management and organizational skills
...</t>
  </si>
  <si>
    <t>Werkstudent Configuration Management (m/w/d)</t>
  </si>
  <si>
    <t>PLATH. GmbH &amp; Co. KG</t>
  </si>
  <si>
    <t>1. Studium im Bereich Wirtschaftsingenieurwesen, Nachrichtentechnik, Elektrotechnik, oder verwandter Bereiche
2. Strukturierte Arbeitsweise &amp; Eigenverantwortung
3. Eine schnelle Auffassungsgabe und Initiative
...</t>
  </si>
  <si>
    <t>1. MD or Ph.D. in relevant field or equivalent area
2. Basic or clinical research experience in the field of pulmonary or sleep medicine
3. Skill in collecting, organizing, and analyzing data
...</t>
  </si>
  <si>
    <t>Level Designer</t>
  </si>
  <si>
    <t>ProbablyMonsters</t>
  </si>
  <si>
    <t>$95000-$138000 /yr</t>
  </si>
  <si>
    <t>1. 2 years of experience designing on a game title, or equivalent independent experience.
2. Experience ideating, designing and building levels in Unreal Engine 4/5.
3. Some demonstrable scripting proficiency (for example, Unreal Blueprints, C#, etc.).
...</t>
  </si>
  <si>
    <t>College Intern - Sales Engineering</t>
  </si>
  <si>
    <t>Cleaver-Brooks</t>
  </si>
  <si>
    <t>Industrial, Industrial Engineering</t>
  </si>
  <si>
    <t>hourlycompetitive-hourlycompetitive /h</t>
  </si>
  <si>
    <t>1. Mechanical Engineering (or related) student who has completed their sophomore or junior year of college preferred
2. Must possess some engineering knowledge, material properties and particularly heat transfer
3. Position requires regular exercise of problem-solving skills
...</t>
  </si>
  <si>
    <t>2024-2025 - Civil and Environ Engineering, Student Office Assistant</t>
  </si>
  <si>
    <t>1. Undergraduate student at Sophomore or above
2. Candidate possesses problem-solving skills needed to complete tasks or to solve situations that may arise; minimal supervision is needed on most tasks</t>
  </si>
  <si>
    <t>Portage, Michigan</t>
  </si>
  <si>
    <t>Field Engineer Apprentice (Buffalo, NY Rochester, NY Syracuse, NY)</t>
  </si>
  <si>
    <t>Syracuse</t>
  </si>
  <si>
    <t>1. Observing and performing various equipment service processes and procedures
2. Driving customer satisfaction
3. Ensuring proper functionality of less complex customer diagnostic imaging equipment</t>
  </si>
  <si>
    <t>Research Student BWH Neurology Per Diem</t>
  </si>
  <si>
    <t>1. BS or BA
2. Excellent interpersonal skills are required.
3. Good oral and written communication skills.
...</t>
  </si>
  <si>
    <t>Graduate Research Fellow Stipend - Cancer - Christoforos Thomas</t>
  </si>
  <si>
    <t>Houston Methodist Hospital</t>
  </si>
  <si>
    <t>1. Enrollment in a Master's or Doctoral Degree (PhD) program</t>
  </si>
  <si>
    <t>Systems Engineer or Principal Systems Engineer (DoD SkillBridge)</t>
  </si>
  <si>
    <t>Capstone Logistics</t>
  </si>
  <si>
    <t>$75,300-$112,900 /yr</t>
  </si>
  <si>
    <t>1. Bachelor's degree in related field with 2 years of experience. Or Master's degree in related field with 0 years of experience.
2. Strong interpersonal and collaboration skills
3. Demonstrated communication and documentation skills
...</t>
  </si>
  <si>
    <t>(DoD SkillBridge) RF / Hardware Engineer</t>
  </si>
  <si>
    <t>Linthicum Heights, MD</t>
  </si>
  <si>
    <t>$99,800-$149,800 /yr</t>
  </si>
  <si>
    <t>1. Principal RF Engineer: Electrical Engineering or related STEM field degree: Bachelor of Science with 5 years of RF/microwave experience; Master's degree with 3 years of RF/microwave experience; or PhD degree
2. Senior Principal RF Engineer: Electrical Engineering or related STEM field degree: Bachelor of Science with 9 years of RF/microwave experience; Master's degree with 7 years of RF/microwave experience; or PhD and 4 years
3. Proven knowledge of electrical engineering design software and equipment
...</t>
  </si>
  <si>
    <t>Respiratory Student Tech-Cardio-PRN-(Vary)</t>
  </si>
  <si>
    <t>Somerset, KY</t>
  </si>
  <si>
    <t>1. High School Diploma or GED required
2. Must be currently enrolled in Respiratory Therapy program
3. Current Kentucky Student Respiratory Therapy Practitioner License
...</t>
  </si>
  <si>
    <t>Mobile Massachusetts Commercial DOT State Inspector</t>
  </si>
  <si>
    <t>Advantage Truck Group</t>
  </si>
  <si>
    <t>Shrewsbury, MA</t>
  </si>
  <si>
    <t>1. High school diploma or equivalent required.
2. CDL Class A or B required
3. General knowledge of Automotive or Truck required
...</t>
  </si>
  <si>
    <t>Co-Op Electrical Engineering</t>
  </si>
  <si>
    <t>Astrion</t>
  </si>
  <si>
    <t>1. HS Diploma Required.
2. Must be enrolled in and have completed at least one year of education in an accredited program pursuing a Bachelors of Science in Electrical Engineering.
3. Must have attained a minimum 3.0 grade point average out of a 4.0 grading scale during all Electrical Engineering schooling.
...</t>
  </si>
  <si>
    <t>Process Controls Engineer (New College Grad)</t>
  </si>
  <si>
    <t>$52500-$107000 /yr</t>
  </si>
  <si>
    <t>1. Education – Bachelor of Science in Computer Science and Engineering, Software Engineering, or related field.
2. Experience – Internship within the semiconductor industry.
3. Skills - Fluency in object-oriented programming languages such as JAVA, C# or other
...</t>
  </si>
  <si>
    <t>Intern - Engineering</t>
  </si>
  <si>
    <t>Arclin</t>
  </si>
  <si>
    <t>Building Material, Chemical</t>
  </si>
  <si>
    <t>1. Pursuing a B.S. in Chemical, Industrial, or Mechanical Engineering
2. High initiative and ability to remain productive without close supervision
3. Strong analytical, verbal, and written communication
...</t>
  </si>
  <si>
    <t>Associate Electrical Engineer</t>
  </si>
  <si>
    <t>MPW Industrial Services</t>
  </si>
  <si>
    <t>Hebron, OH</t>
  </si>
  <si>
    <t>1. Entry Level Position with a minimum Associate Degree in Electrical Engineering or related field.
2. Familiarity with 24VDC, 120/240-480V power system design.
3. Familiarity with PLC based control systems and programming languages.
...</t>
  </si>
  <si>
    <t>JLG Industries</t>
  </si>
  <si>
    <t>Greencastle, PA</t>
  </si>
  <si>
    <t>1. Perusing a Bachelor's in Electrical, Controls Engineering or a related field
2. 3.0 GPA or higher</t>
  </si>
  <si>
    <t>Keller Army Community Hospital</t>
  </si>
  <si>
    <t>USA, TX, Plano</t>
  </si>
  <si>
    <t>IGM Research Intern</t>
  </si>
  <si>
    <t>1. Bachelor’s Degree. Major in Business related field preferred.
2. Knowledge of lean principles.
3. Competency in Microsoft excel.
...</t>
  </si>
  <si>
    <t>AFIT Engineering and Physics Research Internship</t>
  </si>
  <si>
    <t>1. Hold or be currently pursuing a bachelor's degree
2. For postgraduates, the degree must have been received within five years of the appointment start date
3. Programming experience
...</t>
  </si>
  <si>
    <t>AI and Technology Internship</t>
  </si>
  <si>
    <t>Fusemachines</t>
  </si>
  <si>
    <t>1. Currently pursuing or recently completed a degree in Computer Science, Data Science, Engineering, or a related field
2. Strong programming skills in languages such as Python, Java, or C++
3. Familiarity with machine learning frameworks (e.g., TensorFlow, PyTorch)
...</t>
  </si>
  <si>
    <t>Postdoctoral Appointee - MSD - Modeling of Neutral &amp; Charged Polymeric Materials</t>
  </si>
  <si>
    <t>1. PhD in Chemistry/Chemical Engineering/Materials Science or related field.
2. Computational materials modeling using electronic structure theory-based codes: (Gaussian, VASP, CP2K, QBox), molecular dynamics code (ASE, LAMMPS, OpenMM, Hoomd-blue), ML frameworks (JAX, PyTorch).
3. Communications skills, programming and a reasonable publication record.
...</t>
  </si>
  <si>
    <t>McCombs School of Business - The University of Texas at Austin</t>
  </si>
  <si>
    <t>Corporate Training, Education</t>
  </si>
  <si>
    <t>$70000-$70000 /yr</t>
  </si>
  <si>
    <t>1. Ph.D. in Computer Science, AI, Networking, or a related discipline within the last 3 years
2. Solid experience with AI/machine learning methodologies, particularly those applicable to network optimization
3. Proven ability in programming and familiarity with network simulation tools and environments
...</t>
  </si>
  <si>
    <t>1. Ph.D. or equivalent doctorate in immunology, biochemistry, molecular biology, pharmacology, or a related field
2. Experience with cell culture, mouse models, and biochemistry/molecular biology</t>
  </si>
  <si>
    <t>RISK MANAGEMENT &amp; SAFETY INTERN</t>
  </si>
  <si>
    <t>Melwood Horticultural Training Center</t>
  </si>
  <si>
    <t>Customer Service, Public Relations</t>
  </si>
  <si>
    <t>Upper Marlboro, MD</t>
  </si>
  <si>
    <t>1. Candidate must be a 2024 graduate of the CTE Program
2. Ability to work on a team and independently
3. Excellent interpersonal, verbal, and written communication skills
...</t>
  </si>
  <si>
    <t>Civil/Environmental Engineering Intern - Fall 2024</t>
  </si>
  <si>
    <t>$48000-$60000 /yr</t>
  </si>
  <si>
    <t>1. In pursuit of a Masters of Science degree in Engineering from an accredited program
2. Working knowledge of Microsoft Office programs</t>
  </si>
  <si>
    <t>FREE Tech Fundamental Program - Get exposure to leading technologies! (St. Louis, MO)</t>
  </si>
  <si>
    <t>Valley Park, MO</t>
  </si>
  <si>
    <t>Postdoctoral Fellow - Guan Lab College of Pharmacy</t>
  </si>
  <si>
    <t>$47476 /yr</t>
  </si>
  <si>
    <t>1. PhD must have been received within three years of the start date
2. Proficiency in immunoblotting and cell culture
3. Demonstrated ability to conduct scientific research and report in the form of original research publications
...</t>
  </si>
  <si>
    <t>Casstown, OH</t>
  </si>
  <si>
    <t>Cultural Resource Management Intern</t>
  </si>
  <si>
    <t>Kau, HI</t>
  </si>
  <si>
    <t>$675-$675 /wk</t>
  </si>
  <si>
    <t>1. Knowledge and expertise in Hawaiian culture and ethnographic resources
2. Proficiency in GPS/GIS mapping
3. Educational background in history or anthropology
...</t>
  </si>
  <si>
    <t>Werkstudent (m/w/d) mit Abschlussarbeit im Bereich Lebensmitteltechnologie: Optimierung der thermischen Produktveredlung</t>
  </si>
  <si>
    <t>Farmer's Snack</t>
  </si>
  <si>
    <t>Food and Beverage, Snack Food</t>
  </si>
  <si>
    <t>1. Studium der Lebensmitteltechnologie oder eines vergleichbaren Studiengangs
2. Interesse an Optimierung von Produktionsprozessen
3. Erste Erfahrungen im Umgang mit analytischen Methoden und Prüfkörperentwicklung
...</t>
  </si>
  <si>
    <t>- Holtec Security International - Alarm Monitoring/Surveillance Analyst</t>
  </si>
  <si>
    <t>Holtec International</t>
  </si>
  <si>
    <t>1. High School Diploma or GED, Associate or Bachelor degree preferred.
2. 2 + years experience in a call/monitoring center role.
3. Experience with alarm monitoring software (MKS or Honeywell) preferred.
...</t>
  </si>
  <si>
    <t>1. PhD in Chemistry, Chemical Engineering or Materials Science (those with other degrees but have similar skills to those listed will be considered)
2. Skilled oral and written communication skills at all levels of the organization
3. Proven track record showing the ability to carry out independent and collaborative research in a multidisciplinary team while meeting project deliverables and milestones
...</t>
  </si>
  <si>
    <t>Zero-Cost Tech Fundamentals Program - Break into Tech! (Dayton, OH)</t>
  </si>
  <si>
    <t>West Manchester, OH</t>
  </si>
  <si>
    <t>1. At least 2nd year college level Chemistry, Chemical Engineer, or other science related degrees.
2. Knowledge of safety practices in labs, preferred
3. Lab research experience, preferred</t>
  </si>
  <si>
    <t>Research Fellow for School of Engineering</t>
  </si>
  <si>
    <t>Liberty University</t>
  </si>
  <si>
    <t>1. Accepted student in Liberty University’s School of Engineering doctoral program.</t>
  </si>
  <si>
    <t>San Francisco</t>
  </si>
  <si>
    <t>Postdoctoral Appointee:  Advanced Coating and Membrane Development</t>
  </si>
  <si>
    <t>Lemont, IL USA</t>
  </si>
  <si>
    <t>STUDENT ASSISTANT-R&amp;D - STUDENT ENGINEER - Aerospace Structures</t>
  </si>
  <si>
    <t>1. Must be a U.S. person (i.e., U.S. citizen, non-U.S. citizen national, lawful permanent resident, asylee, or refugee) due to ITAR work in section.
2. Strong interest in materials testing.</t>
  </si>
  <si>
    <t>Northfield, NH</t>
  </si>
  <si>
    <t>1. Applying principles learned in school to hands-on situations, such as process and product design
2. Accomplishing performance goals and receiving progressive responsibility in process and /or product engineering
3. Identifying and recommending process improvements for specified projects
...</t>
  </si>
  <si>
    <t>DEVCOM-CBC Post-Doctorate Inhalation Modeling Researcher</t>
  </si>
  <si>
    <t>Edgewood, MD</t>
  </si>
  <si>
    <t>1. PhD. in biology, biochemical engineering or physics
2. Earned PhD. within 60 months of the appointment start date or currently pursuing with an anticipated completion date of August 31, 2024
3. Knowledge of a wide range of applied research efforts related to novel CBRN research needs
...</t>
  </si>
  <si>
    <t>Tech Fundamentals Program (No-Cost) - Get exposure to leading technologies!</t>
  </si>
  <si>
    <t>Madison, IL</t>
  </si>
  <si>
    <t>Break into Tech! - Cero-Cost Tech Fundamentals Program (St. Louis, MO)</t>
  </si>
  <si>
    <t>Grover, MO</t>
  </si>
  <si>
    <t>1. Ph.D. from an accredited college or university.
2. Proficient in Microsoft Office and other computer software/databases.
3. Excellent interpersonal, written, and verbal communication skills.
...</t>
  </si>
  <si>
    <t>Tech Fundamentals Program (Free) - Get exposure to leading technologies!</t>
  </si>
  <si>
    <t>Technical Scholar</t>
  </si>
  <si>
    <t>Lexington, SC</t>
  </si>
  <si>
    <t>1. Be enrolled as a full-time student in a Mechatronics or EET program at a partnered Technical College with Michelin
2. Be a full-time student (12 credit hours per semester)
3. Have and maintain a minimum 2.5 GPA
...</t>
  </si>
  <si>
    <t>Trenton, IL</t>
  </si>
  <si>
    <t>No-Cost Tech Fundamental Program - Get exposure to leading technologies! (St. Louis, MO)</t>
  </si>
  <si>
    <t>Conover, OH</t>
  </si>
  <si>
    <t>Glen Carbon, IL</t>
  </si>
  <si>
    <t>Part-time Undergraduate Research Support Assistant- Forage/Corn Variety Trials-- Wang</t>
  </si>
  <si>
    <t>1. Students studying Animal Science, Plant Science, Soil Science, Biology, Agriculture, Bioengineering, Biotechnology, Microbiology, or related areas are encouraged to apply.
2. Experience with farm equipment and fieldwork is desired.
3. Work up to 20 hours/week during the fall and spring semesters and 40 hours/week over the summer.
...</t>
  </si>
  <si>
    <t>I&amp;C CAD Engineering Intern - Summer 2024</t>
  </si>
  <si>
    <t>$48000-$84000 /yr</t>
  </si>
  <si>
    <t>1. In pursuit of a Bachelor of Science degree in Electrical Engineering from an accredited program
2. Must be at least a rising Junior
3. Working knowledge of Microsoft Office programs</t>
  </si>
  <si>
    <t>Student Research Assistant in Viticulture &amp; Enology SU24 – Campbell</t>
  </si>
  <si>
    <t>1. Full-time undergraduate student in good academic standing
2. Interest in research projects associated with viticulture and enology
3. Application materials required include personal statement, C.V., copy of unofficial college transcripts, and two letters of recommendation (one academic reference)</t>
  </si>
  <si>
    <t>Engineering Summer Intern 2025</t>
  </si>
  <si>
    <t>Michigan Automotive Compressor</t>
  </si>
  <si>
    <t>Automotive, Heating  Ventilation  and Air Conditioning (HVAC)</t>
  </si>
  <si>
    <t>Parma, MI</t>
  </si>
  <si>
    <t>$16-$20 /h</t>
  </si>
  <si>
    <t>1. High School Diploma or GED required
2. Currently enrolled and pursuing a Bachelor of Science (B.S.) degree in an Engineering discipline
3. Pass pre-employment screening (drug &amp; background)</t>
  </si>
  <si>
    <t>Lab Aide (work-study)</t>
  </si>
  <si>
    <t>Benaroya Research Institute</t>
  </si>
  <si>
    <t>$21.50-$24.63 /h</t>
  </si>
  <si>
    <t>1. High school diploma or GED
2. Enrollment in a university-level science degree program (e.g., biology, chemistry, or biochemistry)
3. Proof of work study eligibility
...</t>
  </si>
  <si>
    <t>Student Conductor - Deer Park, TX</t>
  </si>
  <si>
    <t>1. Valid driver's license
2. High school education or general education development (GED)
3. Ability to pass training and required testing</t>
  </si>
  <si>
    <t>Student Conductor - Seadrift, TX</t>
  </si>
  <si>
    <t>Seadrift, TX</t>
  </si>
  <si>
    <t>1. High school education or general education development (GED)
2. Ability to pass training and required testing
3. Valid driver's license</t>
  </si>
  <si>
    <t>Electrical Engineering CO-OP (SPRING 2025)</t>
  </si>
  <si>
    <t>1. Enrollment in related engineering field
2. Understanding of Software development methodologies
3. Basic programming skills
...</t>
  </si>
  <si>
    <t>HVAC intern</t>
  </si>
  <si>
    <t>Federal Reserve Bank of Atlanta</t>
  </si>
  <si>
    <t>1. High School Diploma or GED and aptitude of building trades required
2. Must be enrolled in a HVAC trade school
3. Microsoft Outlook, Word, Excel, and PowerPoint along with computerized building automation systems
...</t>
  </si>
  <si>
    <t>1. High School Diploma or GED and aptitude of building trades required
2. Must be enrolled in an Electrical trade school
3. Progressive knowledge of construction and operation of electrical and emergency power systems
...</t>
  </si>
  <si>
    <t>PhD Position in the field of AI/ML for Airframe Engineering (m/w/d)</t>
  </si>
  <si>
    <t>1. A master’s degree in computer science, engineering, mathematics, or a related field, with a background in AI/ML and an interest in aviation
2. Experience in developing and applying AI/ML techniques and tools, such as Python, TensorFlow, PyTorch, etc.
3. Knowledge of the principles and standards of dependable and trustworthy AI, such as EASA’s AI Roadmap and the EU’s Ethics Guidelines for Trustworthy AI
...</t>
  </si>
  <si>
    <t>2024 Fall Human Performance Lab Internship</t>
  </si>
  <si>
    <t>EXOS</t>
  </si>
  <si>
    <t>1. Current undergraduate or graduate student in an analytic field such as statistics, predictive analytics, data science, engineering, applied mathematics, biomechanics, computer science/technology, information technology, etc.
2. Interest in human subjects research and/or wearable technology research
3. High-level understanding and passion for sport and human performance
...</t>
  </si>
  <si>
    <t>Postdoctoral Appointee - X-ray Optics</t>
  </si>
  <si>
    <t>1. Knowledge of X-ray physics, interaction of X-rays with matter, beam wavefront and coherence, and the fundamentals of X-ray optics.
2. Strong background in data analysis and numerical modeling.
3. Skills in designing and conducting experiments, particularly in X-ray science.
...</t>
  </si>
  <si>
    <t>USDA-FS Fellowship Summarizing Quantitative Characteristics of Old-Growth Forests in the Southeastern United States</t>
  </si>
  <si>
    <t>1. Currently pursuing or have received a bachelor's degree in one of the relevant fields
2. Degree: Bachelor's Degree
3. Academic Level(s): Post-Bachelor's or Undergraduate Students
...</t>
  </si>
  <si>
    <t>Research Assistant - Non-Student Hourly</t>
  </si>
  <si>
    <t>UNT Health Science Center</t>
  </si>
  <si>
    <t>1. Bachelor’s degree from a four-year college or university; or equivalent combination of education and experience.</t>
  </si>
  <si>
    <t>Project Engineer - Summer Internship</t>
  </si>
  <si>
    <t>Kerr Contractors</t>
  </si>
  <si>
    <t>Woodburn, OR</t>
  </si>
  <si>
    <t>1. Current enrollment in a Construction Management program with a focus on Heavy Civil Construction.
2. Willingness to work hard, learn quickly and integrate into the culture at Kerr Contractors.
3. Willingness to be a meaningful, active part of a project team.
...</t>
  </si>
  <si>
    <t>Assistant Field Engineer - Rochester and Utica NY (Summer 2024 Internship)</t>
  </si>
  <si>
    <t>CS Energy</t>
  </si>
  <si>
    <t>Utica, NY</t>
  </si>
  <si>
    <t>1. Pursuing a BS in Civil Engineering, Environmental Engineering, Electrical Engineering or Construction Management
2. Excellent Academic Credentials (GPA of 3.0 or higher)
3. Excellent teamwork and strong communication skills (verbal &amp; written)
...</t>
  </si>
  <si>
    <t>Seasonal Production</t>
  </si>
  <si>
    <t>Wadena, MN</t>
  </si>
  <si>
    <t>1. Assist with daily production operations including product returns, rebag, retag, field activities, shipping/receiving, conditioning/bagging.
2. Work in plant &amp; warehouse or field operations
3. Warehousing and load building as necessary, including load checking for accuracy
...</t>
  </si>
  <si>
    <t>FREE Tech Fundamental Program - Opportunity to earn industry-recognized certifications (Dayton, OH)</t>
  </si>
  <si>
    <t>New Lebanon, OH</t>
  </si>
  <si>
    <t>IT System Administration Intern</t>
  </si>
  <si>
    <t>QuesTek Innovations</t>
  </si>
  <si>
    <t>Advanced Materials, Industrial</t>
  </si>
  <si>
    <t>Evanston, IL</t>
  </si>
  <si>
    <t>1. Enrolled in a degree program related to Information Technology, Computer Science, or a related field.
2. Good academic record 3.0
3. Basic understanding of Windows, Linux, and possibly macOS operating systems.
...</t>
  </si>
  <si>
    <t>Part-time Research Support Assistant , Grain Production Lab -- D Carrijo</t>
  </si>
  <si>
    <t>1. Currently pursuing an undergraduate degree in Plant Sciences, Agricultural Science or a related field
2. Willing to travel to field research sites, including commercial farms
3. Ability to work outdoors during the day
...</t>
  </si>
  <si>
    <t>Software Engineer Intern, Site Reliability Engineer</t>
  </si>
  <si>
    <t>Neuralink</t>
  </si>
  <si>
    <t>Biotechnology, Medical</t>
  </si>
  <si>
    <t>$35-$35 /h</t>
  </si>
  <si>
    <t>1. Robust software engineering skills, and a track record of building tools &amp; systems that solve problems or automate processes, particularly for software engineering.
2. A solid understanding of core networking protocols, TCP/IP, UDP, ARP, DNS, DHCP, and an understanding of the OSI model of networking.
3. Experience administrating modern Linux systems in production or production-like environments.
...</t>
  </si>
  <si>
    <t>Harvest International Intern</t>
  </si>
  <si>
    <t>Jackson Family Wines</t>
  </si>
  <si>
    <t>Wine And Spirits</t>
  </si>
  <si>
    <t>Geyserville, CA</t>
  </si>
  <si>
    <t>$19-$23 /h</t>
  </si>
  <si>
    <t>1. Effective communication skills in English
2. The ability to work long hours through the busy harvest time
3. Ability to lift 50lbs as required
...</t>
  </si>
  <si>
    <t>Lakeport, CA</t>
  </si>
  <si>
    <t>1. BS or MS in Enology or related field required
2. Complete understanding of all cellar operations including crushing of red and white varietal grapes, fermentation, racking, filtering, additions, fining, barrels, and bottling
3. Supervisory skills
...</t>
  </si>
  <si>
    <t>International Seasonal Intern - Stonestreet Estate Vineyards</t>
  </si>
  <si>
    <t>Healdsburg, CA</t>
  </si>
  <si>
    <t>1. Ability to communicate effectively in English with good skills in reading, writing, and basic math
2. Ability to work safely around equipment, electrical outlets, and chemicals
3. Reliable, detail-oriented, and have a good work ethic and attitude
...</t>
  </si>
  <si>
    <t>Visiting Fellow</t>
  </si>
  <si>
    <t>1. Pre-doctoral candidates
2. Experience in Bioinformatics
3. Experience in cell culture techniques
...</t>
  </si>
  <si>
    <t>Tech Fundamentals Program (Zero-Cost) - Get exposure to leading technologies!</t>
  </si>
  <si>
    <t>Lakeport, California</t>
  </si>
  <si>
    <t>1. BS or MS in Enology or related field required, with some previous winery experience preferred.
2. Complete understanding of all cellar operations including crushing of red and white varietal grapes, fermentation, racking, filtering, additions, fining, barrels, and bottling.
3. Supervisory skills and ability to communicate effectively.
...</t>
  </si>
  <si>
    <t>Seasonal International Intern - Cardinale Winery</t>
  </si>
  <si>
    <t>Oakville, California</t>
  </si>
  <si>
    <t>1. Effective communication skills in English
2. The ability to work long hours through the busy harvest time
3. The successful applicant must provide their own transportation while some assistance will be provided to help find housing
...</t>
  </si>
  <si>
    <t>Estimating Co-op</t>
  </si>
  <si>
    <t>1. Currently enrolled in an Engineering or Construction Management undergraduate program. A concentration in Civil Engineering is preferred.
2. Experience working with CAD software (preferably AutoCAD) and Microsoft Office (Word, Outlook, and Excel).
3. Excellent communication and time management skills.
...</t>
  </si>
  <si>
    <t>USA - Seattle, WA</t>
  </si>
  <si>
    <t>1. Ability to work full-time for 10-12 weeks during Summer 2025 or during the school year part-time
2. Currently majoring in one of the following core engineering/applied sciences disciplines. Including Aeronautical/Aerospace/Aerodynamic Engineering, Chemical Eng./Material Science, Computer Engineering, Computer Science, Civil/Structural Engineering, Electrical Engineering, Industrial Engineering, Mechanical Engineering, Software Engineering, Systems Engineering, Cybersecurity, Safety, Math, Physics and other applicable engineering disciplines
3. Enrolled student attending a college or university with an expected graduation date on or after August 2025
...</t>
  </si>
  <si>
    <t>Gloucester,MA</t>
  </si>
  <si>
    <t>Detroit, Michigan</t>
  </si>
  <si>
    <t>BAS Technician Intern</t>
  </si>
  <si>
    <t>1. One year of classes towards an Associates/Bachelor’s degree in HVAC or Control Systems, or equivalent combination of education and experience
2. Proficient with a computer - Microsoft Office Suite and adaptable to new software platforms
3. No relevant experience necessary but knowledge of mechanical systems and sequences of operations is a plus
...</t>
  </si>
  <si>
    <t>Werkstudent Park IT (m/w/d)</t>
  </si>
  <si>
    <t>Nordex</t>
  </si>
  <si>
    <t>Manufacturing, Renewable Energy</t>
  </si>
  <si>
    <t>Laurys Station, PA</t>
  </si>
  <si>
    <t>1. Eingeschriebener Student (m/w/d) einer technischen Fachrichtung
2. Erste praktische Erfahrungen mit Betriebssystemen, Datenbanken oder Netzwerken
3. Kenntnisse im Umgang mit IT-Werkzeugen wünschenswert
...</t>
  </si>
  <si>
    <t>Tech Fundamentals Program (No-Cost) - Get exposure to leading technologies! (St. Louis, MO)</t>
  </si>
  <si>
    <t>Middlesex, NC</t>
  </si>
  <si>
    <t>Part-Time Field Research Assistant</t>
  </si>
  <si>
    <t>Penn, PA</t>
  </si>
  <si>
    <t>1. Motivated student at Penn State
2. Ability to assist in the design and execution of research experiments
3. Contribution to experiments in the field to test hypotheses concerning insect behavior and control
...</t>
  </si>
  <si>
    <t>Undergraduate Research Assistant in Seismology-GEOSC</t>
  </si>
  <si>
    <t>1. Part-Time student
2. Develop skills in unix computing
3. Basic understanding of seismic wave excitation and propagation
...</t>
  </si>
  <si>
    <t>Research Professional II (Temporary) (Part Time)</t>
  </si>
  <si>
    <t>University of Arizona</t>
  </si>
  <si>
    <t>$25.50-$31.874 /h</t>
  </si>
  <si>
    <t>1. Bachelor's degree or equivalent advanced learning attained through professional level experience required.
2. Minimum of 3 years of relevant work experience is required.</t>
  </si>
  <si>
    <t>Part Time Research Assistant - Becker Lab</t>
  </si>
  <si>
    <t>1. Part-time openings for Research Lab Assistants in the Becker research lab
2. Perform tasks associated with designing and conducting research projects/experiments
3. Collect, correlate, analyze, summarize, and report on data
...</t>
  </si>
  <si>
    <t>Fall Engineering Co-Op Rotational</t>
  </si>
  <si>
    <t>Digital Fabrication Federal Work-Study Lab Assistant – Stuckeman School of Architecture and Landscape Architecture</t>
  </si>
  <si>
    <t>1. Students who received a Federal Work Study award
2. Assist lab users and monitor the lab
3. Desire applicants interested in learning about digital fabrication tools and methods
...</t>
  </si>
  <si>
    <t>Engineering Intern - Water</t>
  </si>
  <si>
    <t>1. Students pursuing a BS degree from an ABET accredited engineering program.
2. Willingness to learn about water infrastructure type projects as mentioned above for local, state and federal clients involving municipal and industrial markets.
3. Exposure to systems and software to include AutoCAD, ArcGIS, KyPIPE, SWMM, HEC-RAS, PCSWMM, EPANET, WaterCAD, and Microsoft Office.
...</t>
  </si>
  <si>
    <t>Undergraduate Researcher</t>
  </si>
  <si>
    <t>1. Undergraduate seniors interested in mechanical power transmission research and testing
2. Students studying majors such as Biological Engineering, Mechanical Engineering, Engineering Science and Mechanics
3. U.S. citizen
...</t>
  </si>
  <si>
    <t>CSE Part-Time Researcher- Rui Zhang</t>
  </si>
  <si>
    <t>1. Current Penn State employee (faculty, staff, technical service, or student)
2. Current Penn State student seeking employment with Penn State
3. Completion of internal application process through Workday
...</t>
  </si>
  <si>
    <t>Student Research Assistant</t>
  </si>
  <si>
    <t>1. Stevens students currently enrolled
2. Must have at least 6 credits
3. Part-time hourly position
...</t>
  </si>
  <si>
    <t>Part-Time Undergraduate Part-time Research Lab Assistant</t>
  </si>
  <si>
    <t>1. Attention to detail
2. Strong written and oral communication skills
3. Ability to write correspondence and reports
...</t>
  </si>
  <si>
    <t>1. A working knowledge of molecular biology, cell biology, and genomics techniques
2. Ability to make statistical calculations, analyze results, prepare reports, and perform specialized tests
3. Demonstrated Human Relations And Effective Communication Skills</t>
  </si>
  <si>
    <t>CDC Fellowship in the Division of Infectious Disease Readiness and Innovation</t>
  </si>
  <si>
    <t>1. Masters or doctoral degree in relevant fields (e.g., Life, Health, and Medical Sciences discipline; Mathematics and Statistics discipline) received within the past five years or to be completed by May 31, 2024
2. Citizenship: LPR or U.S. Citizen
3. Degree: Master's Degree or Doctoral Degree received within the last 60 month(s)
...</t>
  </si>
  <si>
    <t>ASSISTANT LABORATORY ENGINEER</t>
  </si>
  <si>
    <t>NYC Department of Environmental Protection (NYC DEP)</t>
  </si>
  <si>
    <t>$56181-$68034 /yr</t>
  </si>
  <si>
    <t>1. A Baccalaureate degree in environmental, chemical, mechanical, petroleum, aeronautical, or materials engineering from an accredited college.</t>
  </si>
  <si>
    <t>Intern Engineer (Co-Op)</t>
  </si>
  <si>
    <t>$28.05-$28.05 /h</t>
  </si>
  <si>
    <t>1. A baccalaureate degree in civil engineering from an accredited college.</t>
  </si>
  <si>
    <t>DOE Science, Technology and Policy Opportunity - Office of Technology Transitions (OTT)</t>
  </si>
  <si>
    <t>1. A superior academic performance
2. Strong analytical, research and communication (oral and written) skills
3. Demonstrated capacity for creative thinking
...</t>
  </si>
  <si>
    <t>R&amp;D Intern - CV &amp; ML in ARVR – MS or PhD</t>
  </si>
  <si>
    <t>1. Currently pursuing a graduate degree in Computer Science, EE, or related fields with some experience in ARVR applications and/or ARVR system development, computer graphics, and/or video technology, and/or AI applications.
2. Involve projects of software development in related fields with hands-on experiences
3. Proficient in at least one of the following programming languages: Python and C/C++.
...</t>
  </si>
  <si>
    <t>Postdoctoral Research Associate - Orthopedic Surgery</t>
  </si>
  <si>
    <t>1. Doctorate degree (M.D. and/or Ph.D.)
2. Basic experience in research lab operations and relevant training in cell and molecular biology, preferably related to immunology, inflammation, and bone
3. Highly motivated, organized, reliable, and career-driven
...</t>
  </si>
  <si>
    <t>Postdoctoral Research Associate - Orthopaedic Surgery</t>
  </si>
  <si>
    <t>1. Ph.D. in cell or molecular biology, biomedical engineering, or a closely related field.</t>
  </si>
  <si>
    <t>Machine Learning Intern - Future Product Innovation</t>
  </si>
  <si>
    <t>Toyota Research Institute</t>
  </si>
  <si>
    <t>Los Altos, CA</t>
  </si>
  <si>
    <t>1. Currently enrolled in a PhD program
2. Track record of executing research projects, including publications at top conferences
3. Desire to work on challenging open-ended research projects
...</t>
  </si>
  <si>
    <t>1. Must be currently enrolled at Mississippi State University, The University of Mississippi, Auburn University, University of Alabama, University of Maine, University of North Carolina State, Texas A&amp;M University, University of Miami Ohio, Tennessee Technology University, or any University of TN and majoring in Electrical Engineering or a related field and have completed the freshman year.
2. A minimum grade point average of 3.0/4.0 is required
3. Must be a permanent U.S. resident</t>
  </si>
  <si>
    <t>USA</t>
  </si>
  <si>
    <t>Student, Project Engineer - Superior, Wi (Spring 2025)</t>
  </si>
  <si>
    <t>1. Performs engineering assignments and works from designs of others, compiles data, performs design computations, prepares engineering plans.
2. Develop plans, specifications, and inspection reports as needed on assigned tasks to see that these items are complete, accurate, and in accordance with good engineering practice.
3. Applies standard practices and techniques in specific situations, adjusts and correlates data, recognizes discrepancies in results, and follows operations through a series of related, detailed steps or processes.
...</t>
  </si>
  <si>
    <t>Cyber Security Intern</t>
  </si>
  <si>
    <t>Interstates</t>
  </si>
  <si>
    <t>1. Pursuing a 4-year degree in Network and Security Administration, Cyber Operations, Cyber Defense or related fields
2. Basic knowledge of networking fundamentals, understanding of common ports and protocols, and familiarity with common cyber security technologies</t>
  </si>
  <si>
    <t>BOB- Civil Engineering Intern</t>
  </si>
  <si>
    <t>1. A baccalaureate degree in civil engineering from an accredited college</t>
  </si>
  <si>
    <t>Test Bench Engineer Intern</t>
  </si>
  <si>
    <t>MAHLE</t>
  </si>
  <si>
    <t>Automotive, Fuel</t>
  </si>
  <si>
    <t>1. Must be enrolled in a 4-year accredited University
2. Major: Electrical Engineering or Mechanical Engineering
3. Class Standing: Sophomore, Junior, Senior
...</t>
  </si>
  <si>
    <t>BOB-Civil Engineering Intern</t>
  </si>
  <si>
    <t>Part-time Research Support Assistant - Brunharo-Applied Weed Physiology Lab</t>
  </si>
  <si>
    <t>1. Undergraduate student at Penn State
2. Available to work a maximum of 20 hours per week during academic terms and a maximum of 40 hours per week during academic breaks
3. Punctual, responsible, talented, motivated, team worker
...</t>
  </si>
  <si>
    <t>Packaging Design Intern</t>
  </si>
  <si>
    <t>Sigma Design, Product Design and Engineering</t>
  </si>
  <si>
    <t>1. High School or equivalent (GED)
2. Must be enrolled or recently graduated from a Packaging Engineering Program
3. Strong presentation skills
...</t>
  </si>
  <si>
    <t>Part-Time Undergraduate Research Assistant- Dairy Nutrition</t>
  </si>
  <si>
    <t>1. Undergraduate student at Penn State
2. Experience with cattle or other livestock preferred
3. Detail-oriented, motivated, and capable of working independently
...</t>
  </si>
  <si>
    <t>Part Time Wage Research Assistant - Lopez-Uribe Lab</t>
  </si>
  <si>
    <t>1. Interest or background in plant ecology, entomology, field biology, and/or environmental science
2. Ability to navigate terrain in wooded areas, stand for long periods of time, work in inclement weather conditions with poison ivy and biting insects, and closely follow detailed protocols
3. Enthusiasm for the outdoors, attention to detail, dependability, and promptness
...</t>
  </si>
  <si>
    <t>Part Time Engineering Undergraduate Researcher Yanxi Liu Group</t>
  </si>
  <si>
    <t>1. Undergraduate student at Penn State
2. Experience with programming for deep learning and pattern recognition algorithm testing</t>
  </si>
  <si>
    <t>Part-Time Undergraduate Acoustic Lab Researcher - Newman/Crump Team</t>
  </si>
  <si>
    <t>1. Part-time undergraduate research assistants
2. Flexible hours (8-20 hours/week), two to four days a week
3. Work hours: Monday through Thursday 9:00 am - 4:00 pm
...</t>
  </si>
  <si>
    <t>Engineer Intern - Electrical (Fall)</t>
  </si>
  <si>
    <t>dbHMS</t>
  </si>
  <si>
    <t>1. Enrolled in 4-year Engineering program or be a graduate from a 4-Year Engineering Program with less than one year of experience (Mechanical, Electrical, and Architectural Engineering preferred)</t>
  </si>
  <si>
    <t>Student Assistant Undergraduate - Stevens Student Lab Leader(s)</t>
  </si>
  <si>
    <t>1. Maintenance and repair of equipment such as workbench power tools, hand tools, and occasionally other equipment like a 3D printer
2. Provide support for lab spaces to ensure optimal function for classes
3. Communicate with faculties to indirectly support 'behind the scenes' operations
...</t>
  </si>
  <si>
    <t>Electrical Engineering Co-Op (Fall '24 Semester)</t>
  </si>
  <si>
    <t>1. Currently enrolled in an accredited Electrical Engineering program
2. Available to work full-time (40 hours/week) during the Fall 2024 semester
3. Interest in engineering design, prototyping, testing &amp; production
...</t>
  </si>
  <si>
    <t>Hardware Engineering Co-op</t>
  </si>
  <si>
    <t>1. Enrolled in an accredited university pursuing a degree in electrical engineering.
2. Proficiency in AutoCAD software or willingness to learn.
3. Strong analytical and problem-solving skills.
...</t>
  </si>
  <si>
    <t>US-WI-Superior</t>
  </si>
  <si>
    <t>US-OH-Toledo</t>
  </si>
  <si>
    <t>Tualatin, OR</t>
  </si>
  <si>
    <t>Part-Time Undergraduate Research Assistant in Forest Ecology</t>
  </si>
  <si>
    <t>1. Assist with data entry and data quality control in the lab
2. Help with installation of research projects in the field (planting, building temporary cloth fencing, site clearing)
3. Assist with forest monitoring (recording tree and seedling diameter, height, health, species)
...</t>
  </si>
  <si>
    <t>Student Researcher: Generative AI</t>
  </si>
  <si>
    <t>Pendulum Systems (formerly Macro-Eyes)</t>
  </si>
  <si>
    <t>1. To be a current Master’s or PhD student in Machine Learning or a related discipline.
2. Open-mindedness and curiosity; a ‘can do’ attitude
3. Solid communication skills and collaboration experience
...</t>
  </si>
  <si>
    <t>1. Must be a Stevens student currently enrolled
2. Must have full-time status
3. Part-time hourly position
...</t>
  </si>
  <si>
    <t>Part-time Researcher - Singh Lab</t>
  </si>
  <si>
    <t>1. Undergraduate or master’s student
2. Interest in gut microbiome-related research
3. Ability to perform wet-lab experiments including ELISA, immunohistochemistry, qPCR, Western blotting, etc.
...</t>
  </si>
  <si>
    <t>Werkstudent Qualitätsmanagement (m/w/d)</t>
  </si>
  <si>
    <t>HOLBORN</t>
  </si>
  <si>
    <t>Energy, Fuel</t>
  </si>
  <si>
    <t>€18-€18 /h</t>
  </si>
  <si>
    <t>1. Du studierst im höheren Semester Wirtschaftsingenieurwesens, Wirtschaftsinformatik oder Verfahrenstechnik
2. Idealerweise besitzt du bereits Kenntnisse im Qualitäts- und Projektmanagement
3. Die ISO 9001 ist dir ein Begriff? Deine Bewerbung hat einen Vorsprung
...</t>
  </si>
  <si>
    <t>POSTDOCTORAL ASSOCIATE - Ward lab</t>
  </si>
  <si>
    <t>$68000-$73230 /yr</t>
  </si>
  <si>
    <t>1. A Ph.D. degree in molecular biology, structural biology, virology, microbiology, immunology, biophysics or a related discipline is required.
2. A fundamental background in recombinant protein expression, purification and analysis is expected
3. Basic understanding of a Linux terminal
...</t>
  </si>
  <si>
    <t>Various Scientific Administrative Roles</t>
  </si>
  <si>
    <t>Alaka`ina Foundation Family of Companies</t>
  </si>
  <si>
    <t>Charity, Communities</t>
  </si>
  <si>
    <t>1. BA/BS in science related field, with 5 plus years' experience as quality assurance auditor/technician in biological sciences or pharmaceutical sciences. Preferably with clinical laboratory experience (Quality Assurance Supervisor)
2. BA/BS in science related field, with 1 plus years clinical laboratory experience (Quality Assurance Specialist)
3. BA/BS in science related field, with 5 plus years supervisory experience (Safety and Logistics Supervisor II)
...</t>
  </si>
  <si>
    <t>Summer Lab Assistant</t>
  </si>
  <si>
    <t>1. Sophomore in HS
2. Ability to use computers and Microsoft Applications</t>
  </si>
  <si>
    <t>Summer Job Site Cleanup</t>
  </si>
  <si>
    <t>Hubbell Realty</t>
  </si>
  <si>
    <t>La Vista, NE</t>
  </si>
  <si>
    <t>1. Work schedule is flexible but basic hours are Monday through Friday, 8:00AM to 5:00PM, with a one-hour unpaid lunch break.
2. Must have the use of a dependable vehicle, a valid Iowa drivers license and basic insurance covering the vehicle that will be used for the work.</t>
  </si>
  <si>
    <t>Mechanical Engineering Intern (Fall Co-op)</t>
  </si>
  <si>
    <t>Ouster</t>
  </si>
  <si>
    <t>Autonomous Vehicles, Electronics</t>
  </si>
  <si>
    <t>1. Currently pursuing or possessing a degree (MS, BS) in Mechanical Engineering or a related field, or equivalent practical experience.
2. Practical hands-on work in mechanical design or product development projects.
3. Knowledge of manufacturing processes, including machining, injection molding, and 3D printing.
...</t>
  </si>
  <si>
    <t>Urban Planning Intern</t>
  </si>
  <si>
    <t>Cushing Terrell</t>
  </si>
  <si>
    <t>Denver, Colorado, United States</t>
  </si>
  <si>
    <t>1. Completion of 3+ years of an undergraduate program or currently enrolled in a Masters program in Urban Planning or Urban Design
2. Basic knowledge of Adobe Creative Suite, ArcGIS, Microsoft Office suite, and Outlook
3. Strong problem-solving skills and the ability to learn and adapt
...</t>
  </si>
  <si>
    <t>CDC Birth Defects Surveillance and Research Summer Fellowship</t>
  </si>
  <si>
    <t>1. Bachelor's degree or Master's Degree in relevant fields, or currently pursuing and will reach completion by the appointment start date
2. Degree received within five years of the appointment start date or currently pursuing</t>
  </si>
  <si>
    <t>KFI Engineers</t>
  </si>
  <si>
    <t>1. Pursuing a degree in Electrical Engineering or similar area of study.
2. Displays professional engineering ethics and complies with KFI policies and procedures.
3. Working knowledge of different engineering software (e.g. AutoCad, Revit, EES, Excel).
...</t>
  </si>
  <si>
    <t>Minnetonka, MN</t>
  </si>
  <si>
    <t>Concepts and Designs Inc</t>
  </si>
  <si>
    <t>Owatonna, MN</t>
  </si>
  <si>
    <t>1. Working knowledge of CAD 3D model development and model manipulation/animation.
2. Computational skills involving higher level math including calculus, algebra and trigonometry, and statistical methods including regression analysis and quality charts.
3. Working knowledge of HVAC equipment operation and design practices.
...</t>
  </si>
  <si>
    <t>Student Researcher - Doubao (Seed) - LLM Alignment - 2024 Start (PhD)</t>
  </si>
  <si>
    <t>Packaging Research &amp; Development Co-op (Fall 2025)</t>
  </si>
  <si>
    <t>Belmark</t>
  </si>
  <si>
    <t>3D Printing, Information Services</t>
  </si>
  <si>
    <t>De Pere, WI</t>
  </si>
  <si>
    <t>1. Student enrolled full time at an accredited university pursuing a quality related career. Some applicable majors may include Packaging, Applied Science – Tech Sales and Support, Engineering Technology, Manufacturing Engineering, Graphics Communications Management, MS – Management Technology.
2. Knowledge of and the ability to effectively utilize the English language.
3. Must demonstrate ability to problem solve.</t>
  </si>
  <si>
    <t>Undergraduate Research Assistant - Rochell Lab</t>
  </si>
  <si>
    <t>1. Enrolled undergraduate student at Auburn University
2. Must be available to work a minimum of 10 hours per week</t>
  </si>
  <si>
    <t>LOUISVILLE, KY</t>
  </si>
  <si>
    <t>1. Currently enrolled in a Mechanical, Chemical, Industrial, Electrical Engineering or equivalent program at an accredited four-year college or university.
2. Minimum cumulative GPA of 3.0</t>
  </si>
  <si>
    <t>Internship for Innovation Labs (In-Office, Beaverton OR)</t>
  </si>
  <si>
    <t>Digimarc</t>
  </si>
  <si>
    <t>Computer, Database</t>
  </si>
  <si>
    <t>Beaverton, OR / Portland,OR</t>
  </si>
  <si>
    <t>1. Detail-oriented, excellent record keeping and documentation skills
2. Ability to quickly learn new technologies and processes
3. Diligent and ability to thrive in a highly collaborative environment
...</t>
  </si>
  <si>
    <t>Part-Time Intern, R&amp;D Strategy</t>
  </si>
  <si>
    <t>Antheia</t>
  </si>
  <si>
    <t>$65-$95 /h</t>
  </si>
  <si>
    <t>1. Bachelor's degree in biology, biomedical engineering, chemistry or directly relevant fields
2. Fourth year graduate student and above, currently in a biomedical Ph.D. program with strong hands-on and wet-lab experience in cancer biology, oncology, cell signaling and/or cytotoxic medicinal chemistry
3. Experience or knowledge in synthetic biology and general biotech industries is a plus
...</t>
  </si>
  <si>
    <t>Battery Engineer (Internship)</t>
  </si>
  <si>
    <t>Camel Energy Inc</t>
  </si>
  <si>
    <t>1. Bachelor’s or master’s degree in Material Science, Chemical Engineering, Electrical Engineering or related field.
2. Strong knowledge of battery chemistry, materials, and energy storage principle
3. Ability to work both independently and collaboratively in a team-oriented environment.
...</t>
  </si>
  <si>
    <t>Cell and Molecular Biology Fellowship</t>
  </si>
  <si>
    <t>1. Master's or Doctoral degree within the last five years, or currently pursuing a Master's or Doctoral degree, in the field of Biology, Biomedical Sciences, Developmental Biology, Genetics, Translational Medicine, Biomedical Engineering, or associated program
2. U.S. military veterans who have been honorably discharged (or medically discharged because of a service-connected disability) and received a Master's or Doctoral degree within ten years of the desired start date are also eligible
3. Experience with rodent animal models and in vivo research work
...</t>
  </si>
  <si>
    <t>2025 Quality Assurance Summer Internship</t>
  </si>
  <si>
    <t>JBS USA</t>
  </si>
  <si>
    <t>1. Gain knowledge and understanding of GMP, SSOP and HACCP protocols.
2. Learn the working knowledge of food safety and quality assurance testing procedures.
3. Sit in on food safety team and USDA meetings.
...</t>
  </si>
  <si>
    <t>Research and Development Co-Op</t>
  </si>
  <si>
    <t>Crayola</t>
  </si>
  <si>
    <t>Consumer, Environmental Consulting</t>
  </si>
  <si>
    <t>1. Chemistry, Material Science, Biology, Chemical Engineering or other Science related major.
2. Familiarity with lab practices and previous work in a lab environment a plus.
3. Must have access to a motor vehicle to drive to and from the R&amp;D facility and to other nearby Crayola facilities as needed (within 10 miles, one way).</t>
  </si>
  <si>
    <t>Co-Op - Acoustics Simulation Engineer</t>
  </si>
  <si>
    <t>Purem</t>
  </si>
  <si>
    <t>1. Must currently be enrolled in college pursuing a technical degree (ex. ME, Applied Physics, EE)</t>
  </si>
  <si>
    <t>Systems Design Intern</t>
  </si>
  <si>
    <t>1. Working towards a System, Electrical/Computer Engineering, or Computer Science degree or similar experience
2. Good written and oral communication skills and familiarity with project work environment
3. Strong planning and organization skills
...</t>
  </si>
  <si>
    <t>LCA Student Worker  (Energy &amp; Mobility)</t>
  </si>
  <si>
    <t>Sphera [formerly riskmethods]</t>
  </si>
  <si>
    <t>Risk Management, SaaS</t>
  </si>
  <si>
    <t>DE Stuttgart</t>
  </si>
  <si>
    <t>1. Preferably studying for a master’s degree in mechanical engineering, process engineering, environmental engineering, industrial engineering, energy technology or a comparable course of study
2. Good understanding of figures, interest in market and internet research
3. Pro-active and self-motivated
...</t>
  </si>
  <si>
    <t>Fall/Winter 2024 Plasma Innova Project Co-op (Continuous Improvement) (US)</t>
  </si>
  <si>
    <t>Americas, US-PA, King of Prussia, CSL Behring</t>
  </si>
  <si>
    <t>Fall/Winter 2024 Plasma Innova Project Co-op (Communications) (US)</t>
  </si>
  <si>
    <t>Maintenance Intern - Department 903</t>
  </si>
  <si>
    <t>Bridgewell</t>
  </si>
  <si>
    <t>Health Care, Outpatient Care</t>
  </si>
  <si>
    <t>1. Preferred educational background: High School Diploma or GED or working towards a degree.
2. Ability to work as a team member and take direction.
3. Ability to use hand tools
...</t>
  </si>
  <si>
    <t>Corrosion Engineer Co-Op</t>
  </si>
  <si>
    <t>Colonial Pipeline</t>
  </si>
  <si>
    <t>1. Majoring in Corrosion Engineering or a related degree program from an accredited college or university.
2. Ability to analyze process performance and develop goals to minimize process variances.
3. Strong mathematical skills to break down complex problems.
...</t>
  </si>
  <si>
    <t>1. High School graduate or equivalency certificate, technical training or equivalency, and some related laboratory experience, usually six months.
2. Intermediate to advanced level MS Office skills.</t>
  </si>
  <si>
    <t>2024 Engineering Leadership Development Program- Midlothian, TX</t>
  </si>
  <si>
    <t>Gerdau Corsa</t>
  </si>
  <si>
    <t>Midlothian, TX</t>
  </si>
  <si>
    <t>1. Bachelor’s degree in Mechanical, Electrical, Chemical, Industrial Engineering, Material Sciences/Metallurgy, or other applicable degree
2. Bachelor's graduate from within the past 3 years, or expected to graduate by Summer 2024
3. Record of high academic achievement (Minimum GPA 2.5, preferred GPA 3.0 or above)
...</t>
  </si>
  <si>
    <t>Process Engineering Co-Op - Fall Semester</t>
  </si>
  <si>
    <t>Fecon</t>
  </si>
  <si>
    <t>3D Printing, Manufacturing</t>
  </si>
  <si>
    <t>Lebanon, OH</t>
  </si>
  <si>
    <t>1. Strong ability to multi-task with assignments from operations management and a desire for a hands-on experience in a manufacturing environment.
2. Basic competency with manufacturing processes and MS Office suite (Outlook, Excel).
3. Must be pursuing a Bachelor’s degree in Industrial Management, Mechanical Engineering, Mechanical Engineering Technology, or other related program.</t>
  </si>
  <si>
    <t>Roadway Engineer Intern</t>
  </si>
  <si>
    <t>Infrastructure Consulting &amp; Engineering</t>
  </si>
  <si>
    <t>Civil Engineering, Real Estate</t>
  </si>
  <si>
    <t>1. Actively pursuing a degree in Civil Engineering or a related discipline, from an accredited college or university.
2. Prior internship experience preferred.
3. Demonstrated adeptness in research and resource utilization.
...</t>
  </si>
  <si>
    <t>2024 Engineering Leadership Development Program- Cartersville, GA</t>
  </si>
  <si>
    <t>Cartersville, GA</t>
  </si>
  <si>
    <t>1. Bachelor’s degree in Mechanical, Electrical, Chemical, Industrial Engineering Material, Sciences/Metallurgy or other applicable degree
2. Bachelor's graduate from within the past 3 years, or expected to graduate by Summer 2024
3. Record of high academic achievement (Minimum GPA 2.5, preferred GPA 3.0 or above)
...</t>
  </si>
  <si>
    <t>Product Development Engr Co-Op - Fall Semester</t>
  </si>
  <si>
    <t>1. Actively pursuing a degree in Mechanical Engineering, Mechanical Engineering Technology, or other related program
2. Strong ability to multi-task with assignments from engineers and a desire for a hands-on experience in a manufacturing environment
3. Basic competency with 3D modeling software (SolidWorks, Creo, NX) and the MS Office suite (Outlook, Excel)</t>
  </si>
  <si>
    <t>Research Associates I or II - Open Pool</t>
  </si>
  <si>
    <t>$50000-$68000 /yr</t>
  </si>
  <si>
    <t>1. Bachelors degree in Food Science, Nutrition, Dietetics, Fermentation, Hospitality Management, or related field.</t>
  </si>
  <si>
    <t>Assembly Associate – Intern</t>
  </si>
  <si>
    <t>GE Vernova</t>
  </si>
  <si>
    <t>Findlay, PA</t>
  </si>
  <si>
    <t>1. Must demonstrate reliability, punctuality, &amp; posses a willingness to learn.
2. Must demonstrate an ability to follow instructions both verbal and written.
3. With training and under supervision be capable of completing minor modifications for metal panel work like drilling and tapping.
...</t>
  </si>
  <si>
    <t>2024 Engineering Leadership Development Program- Petersburg, VA</t>
  </si>
  <si>
    <t>Petersburg, VA</t>
  </si>
  <si>
    <t>1. Bachelor’s degree in Mechanical, Electrical, Chemical, Industrial Engineering
2. Bachelor's graduate from within the past 3 years, or expected to graduate by Summer 2024
3. Record of high academic achievement (Minimum GPA 2.5, preferred GPA 3.0 or above)
...</t>
  </si>
  <si>
    <t>Temporary Staff Position</t>
  </si>
  <si>
    <t>1. Experience working in a laboratory setting
2. Experience with molecular biology techniques such as PCR and IVT
3. Ability to conduct IFN-α assay for mRNA QC
...</t>
  </si>
  <si>
    <t>EACE Musculoskeletal Injury Pre-Doctoral Research Fellow</t>
  </si>
  <si>
    <t>1. Currently pursuing a doctoral degree in Engineering, Computer Science, Robotics, Mechatronics, or a closely related field.
2. Experience with mathematical and computer modeling &amp; simulation, mechanics, multi-physics numerical simulations, sensor technologies, and experience with human subjects testing
3. Excellent organizational, time management, and communication skills (oral and written)
...</t>
  </si>
  <si>
    <t>1. Strong desire to engage and understand the fundamentals of engineering
2. Ability to perform a variety of tasks including analysis, problem solving, and critical thinking
3. Willingness to develop new skills in computer systems, hardware, software, and networking</t>
  </si>
  <si>
    <t>RTP-RESEARCH FELLOW-ENG-PC-Urban</t>
  </si>
  <si>
    <t>1. Must have a Ph.D., M.D., or equivalent doctoral degree in a field deemed relevant by the program.</t>
  </si>
  <si>
    <t>RTP-Research Fellow PC BST - Allergy-Pongdee</t>
  </si>
  <si>
    <t>1. Must have a Ph.D., M.D., or equivalent doctoral degree in a field deemed relevant by the program
2. Research Fellow is appropriate for individuals who have completed no more than one prior postdoctoral fellowship, at Mayo Clinic or elsewhere
3. Qualified individuals will demonstrate the potential for research as evidenced by their training and peer-reviewed publications
...</t>
  </si>
  <si>
    <t>1. High School Graduate or Equivalency required.</t>
  </si>
  <si>
    <t>Research Internship/Co-op</t>
  </si>
  <si>
    <t>Waabi</t>
  </si>
  <si>
    <t>San Francisco County, CA</t>
  </si>
  <si>
    <t>$34-$60 /yr</t>
  </si>
  <si>
    <t>1. Bachelors or MS/PhD degree in Computer Science, Engineering, AI, Machine Learning, Computer Vision, Robotics and/or similar technical field(s) of study.
2. Demonstrated research/software engineering experience: through previous internships, work experience, coding competitions, and/or research projects and papers.
3. Strong quantitative background and coursework in or working knowledge of linear algebra, calculus, and probability.
...</t>
  </si>
  <si>
    <t>Process Engineer</t>
  </si>
  <si>
    <t>EMD Millipore</t>
  </si>
  <si>
    <t>1. Pursuing or recently completed a degree in Chemical Engineering, Process Engineering, Polymer Science, or a related field.
2. Proficiency in 3D/2D design software (e.g., AutoCAD, SolidWorks, FreeCAD).
3. Hands-on experience with laboratory equipment and chemical handling.
...</t>
  </si>
  <si>
    <t>RTP-RESEARCH FELLOW-Radiation Oncology</t>
  </si>
  <si>
    <t>1. Must have a Ph.D. degree in a field deemed relevant by the program
2. Research Fellow is appropriate for individuals who have completed no more than one prior postdoctoral fellowship, at Mayo Clinic or elsewhere</t>
  </si>
  <si>
    <t>Stage Lassen/pijpfitten 2024-2025</t>
  </si>
  <si>
    <t>Equans</t>
  </si>
  <si>
    <t>1. Volg je een opleiding lassen/pijpfitten</t>
  </si>
  <si>
    <t>Student Mechanic Tech</t>
  </si>
  <si>
    <t>Prime Inc.</t>
  </si>
  <si>
    <t>Travel</t>
  </si>
  <si>
    <t>1. Basic knowledge of the trucking/transportation industry preferred.
2. Multitasking and a flexible schedule required. Some weekend work could be necessary for this position.
3. No experience needed.
...</t>
  </si>
  <si>
    <t>Copper Engineering Intern (Year-Round)</t>
  </si>
  <si>
    <t>New London, CT</t>
  </si>
  <si>
    <t>1. Some college coursework completed.
2. Currently enrolled in- or recently completed BSME or BSEE.
3. Creative approach to problem solving based on solid theoretical engineering skill.
...</t>
  </si>
  <si>
    <t>SCA Aircraft Mechanic 3 (SkillBridge)</t>
  </si>
  <si>
    <t>1. Associates Degree or other 2 year technical degree in a related field and 4 plus year’s related experience, or additional years of experience will be considered in lieu of degree.
2. An Active DoD Secret clearance required
3. Ability to obtain and maintain Top Secret clearance.
...</t>
  </si>
  <si>
    <t>1. Actively pursuing a degree in Mechanical Engineering, Mechanical Engineering Technology, or other related program
2. Strong ability to multi-task with assignments from engineers and a desire for a hands-on experience in a manufacturing environment
3. Basic competency with 3D modeling software (SolidWorks, Creo, NX) and the MS Office suite (Outlook, Excel)
...</t>
  </si>
  <si>
    <t>US, CA, Santa Clara</t>
  </si>
  <si>
    <t>$108,000-$201,250 /yr</t>
  </si>
  <si>
    <t>MUFG TECHNOLOGY INSIGHT DAY | 15 OCTOBER  | ONLINE</t>
  </si>
  <si>
    <t>MUFG</t>
  </si>
  <si>
    <t>London</t>
  </si>
  <si>
    <t>1. Second year and final year students, studying any degree disciples at undergraduate or masters level
2. Interest in technology roles
3. Ability to participate in the Technology Insight Day on 18 October
...</t>
  </si>
  <si>
    <t>Discover MUFG Insight Day | 24 September 2024 | Online</t>
  </si>
  <si>
    <t>1. Students in their penultimate or final year of studies
2. Studying all degree disciplines
3. Open to considering flexible working requests
...</t>
  </si>
  <si>
    <t>Decatur, Illinois</t>
  </si>
  <si>
    <t>Post Doc Fellow, Cancer Biology, Diao Lab</t>
  </si>
  <si>
    <t>1. PhD Degree
2. Doctoral Degree in the appropriate field or discipline, or the recognized terminal degree.</t>
  </si>
  <si>
    <t>Environmental Engineering Intern</t>
  </si>
  <si>
    <t>$56181-$64608 /yr</t>
  </si>
  <si>
    <t>Research Assistant / Temporary</t>
  </si>
  <si>
    <t>1. Perform research for NIH funded projects in the IMPACT Lab
2. Carry out independent research projects in CT and cone-beam CT image formation and image quality analysis
3. Assist other researchers in the lab as needed
...</t>
  </si>
  <si>
    <t>1. Experience in molecular biology experiments, including cloning DNA constructs, western blotting, and using quantitative PCR
2. Experience in cell culture experiments and growing human and mouse cell lines under various conditions
3. Ability to genotype mice using PCR
...</t>
  </si>
  <si>
    <t>Temp Worker Position</t>
  </si>
  <si>
    <t>$7.25-$25 /h</t>
  </si>
  <si>
    <t>1. Experience in overseeing and transitioning projects
2. Expertise in HCV vaccine project funded by BioNTech
3. Ability to assist in the development of projects
...</t>
  </si>
  <si>
    <t>Temp Worker - Non-Exempt</t>
  </si>
  <si>
    <t>$7.25-$150 /h</t>
  </si>
  <si>
    <t>1. Conceptual input for equipment setup, signal analysis, and synchronizing devices and software
2. Maximizing the value of data gained for cognitive studies coregistering intracranial and extracranial recordings</t>
  </si>
  <si>
    <t>Electrical Engineer Internship/Co-op, Fall 2024</t>
  </si>
  <si>
    <t>$35-$45 /h</t>
  </si>
  <si>
    <t>1. Pursuing Bachelors or MS/PhD in Electrical Engineering or related field
2. Prior experience or coursework related to microelectronics
3. Familiar with I2C, SPI, UART, USB, and Ethernet interface design
...</t>
  </si>
  <si>
    <t>TEMP EXTRA</t>
  </si>
  <si>
    <t>1. Assist Professor Stephanie J. Creary, Ph.D. on various research studies within the domain of organizational behavior/management and related to diversity, equity, and inclusion, relationships across difference, and/or intergroup conflict in organizations
2. Review academic literature and popular press on the research topic
3. Assist with interviewing process, other data collection, and supporting data analysis</t>
  </si>
  <si>
    <t>PCHC Research Assistant, Temp</t>
  </si>
  <si>
    <t>1. Conducting online research
2. Planning for emergency safeguarding of collections
3. Background check may be required</t>
  </si>
  <si>
    <t>Temporary Lab Assistant</t>
  </si>
  <si>
    <t>1. Study the role of two transmembrane serine proteases in vertebrate egg activation and fertilization
2. Expected to work 5 to 10 hours a week
3. Report to a senior postdoc in the lab
...</t>
  </si>
  <si>
    <t>2024 CTE AV/TECH Intern (DVISD Students Only)</t>
  </si>
  <si>
    <t>Del Valle Independent School District</t>
  </si>
  <si>
    <t>Del Valle, TX</t>
  </si>
  <si>
    <t>1. Must be selected by DVISD Staff Member
2. Attend Training on Scoreboard Operations
3. Operate Cameras
...</t>
  </si>
  <si>
    <t>Cloud Automation Engineer Intern</t>
  </si>
  <si>
    <t>Anika Systems</t>
  </si>
  <si>
    <t>Analytics, Apps</t>
  </si>
  <si>
    <t>Leesburg, VA</t>
  </si>
  <si>
    <t>1. At least one year of college coursework
2. Currently enrolled in a 4-year degree program in a technical field, or a Cloud Engineer Associate’s program
3. Experience with at least one programming or scripting language
...</t>
  </si>
  <si>
    <t>1. Undergraduate: Sophomore status or greater.
2. Mechanical Engineering major.
3. Required proficiencies: CAD and Microsoft Office preferred</t>
  </si>
  <si>
    <t>Temporary Part-Time Engineering Technician</t>
  </si>
  <si>
    <t>Andersen Windows &amp; Doors</t>
  </si>
  <si>
    <t>Building Material, Home Decor</t>
  </si>
  <si>
    <t>1. MS Word, Excel, PowerPoint
2. High School Diploma</t>
  </si>
  <si>
    <t>Postdoctoral Research Associate - Psychiatry</t>
  </si>
  <si>
    <t>1. PhD or MD/PhD in a neuroscience, psychology, computer science, or engineering related field.</t>
  </si>
  <si>
    <t>Designer/Drafter Intern</t>
  </si>
  <si>
    <t>Arizona - Phoenix</t>
  </si>
  <si>
    <t>$16.50-$17 /h</t>
  </si>
  <si>
    <t>1. Current student pursuing a degree in EET, CAD, Drafting, or relevant discipline
2. Demonstrated competence in CAD drafting (AutoCAD and/or Microstation)
3. Strong writing, documentation, and speaking skills
...</t>
  </si>
  <si>
    <t>Illinois - Fairview Heights</t>
  </si>
  <si>
    <t>Test Lab Engineer Co-op</t>
  </si>
  <si>
    <t>North America/USA/Missouri/St. Louis - ACIM, MO</t>
  </si>
  <si>
    <t>1. Working to achieve a B.S in Electrical Engineering
2. Junior status
3. Ability to work a minimum of 25 hours per week during business hours
...</t>
  </si>
  <si>
    <t>Applied Scientist Intern - Audio Processing &amp; Generative Audio</t>
  </si>
  <si>
    <t>1. On going MS/PhD in audio research or related fields
2. Proficiency in linear algebra, signal processing and numerical optimization
3. Proficiency in deep learning techniques with applications in the audio domain including ASR, VAD or TTS (Text-to-Speech), or SST (Speech-to-Speech translation)
...</t>
  </si>
  <si>
    <t>Student Engineer, Salt Lake City, UT or Portland, OR #112306</t>
  </si>
  <si>
    <t>1. High School Diploma</t>
  </si>
  <si>
    <t>1. High School graduate or equivalency certificate
2. Technical training or equivalency
3. Some related laboratory experience, usually six months
...</t>
  </si>
  <si>
    <t>Grad Research Employee Program - Soft Matter &amp; Microfluidics</t>
  </si>
  <si>
    <t>Computational Neuroscience Research at the U.S. Air Force Research Laboratory (AFRL)</t>
  </si>
  <si>
    <t>1. Undergraduate or graduate student in a related discipline
2. Programming skills in Python and Matlab
3. Background in engineering and/or physics
...</t>
  </si>
  <si>
    <t>CAD Designer Intern</t>
  </si>
  <si>
    <t>1. High school diploma required. Currently pursuing a bachelors degree.
2. 0-2 years of experience as a CADD designer (AutoCad 3D or Microstation) with civil emphasis.
3. Strong interest and excels in Math.
...</t>
  </si>
  <si>
    <t>1. Strong desire to engage and understand the fundamentals of engineering
2. Ability to perform a variety of tasks including analysis, problem solving, and critical thinking</t>
  </si>
  <si>
    <t>SBG</t>
  </si>
  <si>
    <t>Graduate Research Emp Prog – Dr. Jinghua Hu (BMB)</t>
  </si>
  <si>
    <t>RTP-RESEARCH FELLOW- Artificial Intelligence</t>
  </si>
  <si>
    <t>Sony</t>
  </si>
  <si>
    <t>Consumer Electronics, Digital Entertainment</t>
  </si>
  <si>
    <t>New York</t>
  </si>
  <si>
    <t>Student Intern - Traffic Engineering</t>
  </si>
  <si>
    <t>Nebraska Department of Transportation</t>
  </si>
  <si>
    <t>Fleet Management, Non Profit</t>
  </si>
  <si>
    <t>Lincoln Job Posting</t>
  </si>
  <si>
    <t>$17.850-$17.850 /h</t>
  </si>
  <si>
    <t>1. Must be a three-fourths time student in good standing majoring in a discipline or field related to the work to be assigned.
2. Must be eligible to work in the United States.</t>
  </si>
  <si>
    <t>Machine Learning Intern, ML Product Development</t>
  </si>
  <si>
    <t>1. Currently enrolled in a Masters or PhD program in Computer Science, Electrical Engineering, Statistics, or Applied Mathematics
2. Strong programming and software development skills (Python/C++)
3. In-depth understanding of Statistical data analysis and Machine Learning concepts (Supervised and Unsupervised Learning, Recommender Systems, Reinforcement Learning)
...</t>
  </si>
  <si>
    <t>Engineering Intern – Battery Research</t>
  </si>
  <si>
    <t>1. Currently enrolled in a graduate or undergraduate degree in the following fields: Chemistry, Material Science or closely related field
2. 0-3 years of experience required
3. Some lab experience required
...</t>
  </si>
  <si>
    <t>KERING POS DevOps Intern (Stage)</t>
  </si>
  <si>
    <t>1. A Computer Science, Engineering graduate or current graduate
2. Knowledgeable on frameworks for DevOps (Jenkins, Git, Ansible, AWS, Terraform, Oracle DB, etc)
3. Very good written and verbal communication skills in English
...</t>
  </si>
  <si>
    <t>Postdoctoral Fellow - Thymic Regeneration</t>
  </si>
  <si>
    <t>City of Hope</t>
  </si>
  <si>
    <t>Duarte, CA</t>
  </si>
  <si>
    <t>$34-$37.54 /h</t>
  </si>
  <si>
    <t>1. A Ph.D. degree in life or biomedical sciences, or a related discipline is required.</t>
  </si>
  <si>
    <t>FDA Fellowship in Cross Protection Against Enteroviruses</t>
  </si>
  <si>
    <t>Silver Spring, MD</t>
  </si>
  <si>
    <t>1. Bachelor's degree in Life Health and Medical Sciences received within the last 60 months
2. U.S. Citizen Only
3. Proof of health insurance is required for participation in this program
...</t>
  </si>
  <si>
    <t>FDA Fall 2024 Engineering Internship Opportunity</t>
  </si>
  <si>
    <t>1. Currently pursuing or have received a master's or doctoral degree in one of the relevant fields
2. Degree received within the past five years, or anticipated to be received by 6/30/2024
3. Master's Degree or Doctoral Degree received within the last 60 months or anticipated to be received by 6/30/2024 11:59:00 PM
...</t>
  </si>
  <si>
    <t>IAM Internship</t>
  </si>
  <si>
    <t>AuthRight</t>
  </si>
  <si>
    <t>Cloud Storage, Consulting</t>
  </si>
  <si>
    <t>1. Bachelor's/Master’s degree in Computer Science, Computer Engineering, or related field
2. Have a passion for security
3. Love to solve problems with efficient, solid code and prove it through automated tests
...</t>
  </si>
  <si>
    <t>Engineering Product Design Intern</t>
  </si>
  <si>
    <t>1. Junior or Senior level status in an Accredited University in an Engineering related degree program including, Mechanical Engineering, Manufacturing/Industrial Engineering, Engineering Technology or related degree program.</t>
  </si>
  <si>
    <t>GPSU Cybersecurity Fall Internship</t>
  </si>
  <si>
    <t>GuidePoint Security</t>
  </si>
  <si>
    <t>1. Have a basic understanding of information technology, networking, operating systems and security
2. Have a genuine passion for information security
3. Be motivated and eager to learn new skills
...</t>
  </si>
  <si>
    <t>Temporary Research Engineer</t>
  </si>
  <si>
    <t>Northeastern University Innovation Council</t>
  </si>
  <si>
    <t>1. Current or recent PhD, Masters, or Undergraduate student in computer science or related fields
2. Knowledge of machine learning systems, such as quantized and low-precision machine learning, ML compilers, and architectures for low-latency transformer inference
3. Aged 18 or above by June 1, 2024</t>
  </si>
  <si>
    <t>Safety Specialist Intern(12 Months)</t>
  </si>
  <si>
    <t>1. Preparing a B.Sc. or Master degree in Electronics, Computer Science, Electrical Engineering or equivalent
2. Good understanding of systems engineering, software engineering, electronics and functional safety
3. Knowledge of system safety lifecycle and V Cycle, system requirements definition, safety design concepts (system and software), safety and risk analysis
...</t>
  </si>
  <si>
    <t>PhD Internship - Molecular Biomarkers of Alzheimer’s Disease for 12 months - RiSE (m/f/d)</t>
  </si>
  <si>
    <t>1. Enrolled in a PhD or medical degree program at a university and are looking to expand your experience with an industry internship (your PhD defense doesn't take place in the first half of the internship)
2. Bioinformatician with advanced programming skills in Python, R and experience working with high performance clusters (bash, job queuing)
3. Solid understanding of the biology and biomarkers of neurodegeneration and/or Alzheimer’s disease
...</t>
  </si>
  <si>
    <t>PhD Program, Applied AI</t>
  </si>
  <si>
    <t>Retro Biosciences</t>
  </si>
  <si>
    <t>$90450-$90450 /yr</t>
  </si>
  <si>
    <t>1. STEM MS or a BS. BS must have additional experience.
2. Proven ability to drive things to completion by yourself and in the team; highly self-motivated to make progress on research and writing.
3. Demonstrated organizational skills, time management, and attention to detail.
...</t>
  </si>
  <si>
    <t>Student Intern - Civil Engineering (Utilities)</t>
  </si>
  <si>
    <t>CA - ON, Markham</t>
  </si>
  <si>
    <t>1. Currently enrolled in a Civil Engineering co-op program
2. In good academic standing
3. Interested in civil engineering as a career
...</t>
  </si>
  <si>
    <t>Paid Internship opportunities in Legal Tech</t>
  </si>
  <si>
    <t>LexisNexis</t>
  </si>
  <si>
    <t>Accounting, Legal</t>
  </si>
  <si>
    <t>Sydney</t>
  </si>
  <si>
    <t>1. Finishing university in 2024 or 2025
2. Interested in a career in law, business, technology, marketing, publishing or a related field
3. Keen to learn and be challenged
...</t>
  </si>
  <si>
    <t>HP</t>
  </si>
  <si>
    <t>Computer, Consumer Electronics</t>
  </si>
  <si>
    <t>Austin, Texas, United States of America</t>
  </si>
  <si>
    <t>1. Pursuing a degree in Computer Science, Engineering, Mathematics, or a related field
2. Demonstrated skills in Python/C++, C#, Swift, or Objective-C
3. Familiarity with PyTorch, TensorFlow, Flutter, or similar frameworks
...</t>
  </si>
  <si>
    <t>Human Physiology/Psychology Research - Post-Bachelor's</t>
  </si>
  <si>
    <t>1. Bachelor's degree received or currently pursuing from an accredited Human Physiology and/or Research Psychology program with GPA 3.5+
2. Desire and ability to communicate both written and oral, and collaborate in various scientific environments (hands-on, laboratory, computer based)
3. Relevant Coursework in Human Anatomy and Physiology, Molecular Biochemistry, Neuroscience, Intercellular Communication, Immunology, Exercise Physiology
...</t>
  </si>
  <si>
    <t>Seasonal Repair Specialist</t>
  </si>
  <si>
    <t>Safelite</t>
  </si>
  <si>
    <t>Lafayette, IN</t>
  </si>
  <si>
    <t>1. Ability to learn and perform vehicle glass repairs
2. Completion of paid formal training program
3. Ability to repair chips, cracks, and other auto glass issues
...</t>
  </si>
  <si>
    <t>Radio Frequency Technical Engineering Fellowship - Master's level</t>
  </si>
  <si>
    <t>$5400-$5800 /mon</t>
  </si>
  <si>
    <t>1. Earned master's degree in Electric or Electronic Engineering, Computer Science, Networks and Communications, Radio-Frequency Engineering or related discipline within the past 60 months or expected to earn a master's degree in one of these disciplines by December 31, 2024
2. Minimum GPA of 3.0
3. Candidate must be at least 21 years of age at the time of application
...</t>
  </si>
  <si>
    <t>Covenant Health</t>
  </si>
  <si>
    <t>1. Currently pursuing a degree or certification in IT or related field.
2. Class work relating to internship duties in the IT field.</t>
  </si>
  <si>
    <t>Data Research Engineer Fellow - Master's level</t>
  </si>
  <si>
    <t>1. Earned master's degree in Computer, Information, Data Sciences, Mathematics, Computer and Systems Engineering or related discipline within the past 60 months, or expected to earn a master's degree in one of these disciplines by December 31, 2024
2. Minimum GPA of 3.0
3. Candidate must be at least 21 years of age at the time of application
...</t>
  </si>
  <si>
    <t>Graduate Research Assistant I - 992631</t>
  </si>
  <si>
    <t>Nova Southeastern University</t>
  </si>
  <si>
    <t>1. Knowledge of Microsoft Office, including Word, Excel, PowerPoint and Outlook
2. Database and data entry skills
3. Ability to utilize or learn to utilize software relevant to the research program, new research methods and work routines quickly
...</t>
  </si>
  <si>
    <t>Continuous Improvement Engineering Co-op - Macon, GA - Fall 2024</t>
  </si>
  <si>
    <t>J D Irving Limited</t>
  </si>
  <si>
    <t>Innovation Management, Logistics</t>
  </si>
  <si>
    <t>1. High school degree or equivalent; must be enrolled in an accredited university/college program pursing a bachelor’s degree in a field of engineering
2. Proficient computer skills, including Microsoft Office Suite (Word, PowerPoint, and Excel)
3. Must be 18 years of age
...</t>
  </si>
  <si>
    <t>Graduate Research Assistant I - 992823</t>
  </si>
  <si>
    <t>1. Knowledge of Microsoft Office, including Word, Excel, PowerPoint and Outlook.
2. Database and data entry skills.
3. Ability to utilize or learn to utilize software relevant to the research program, new research methods and work routines quickly.
...</t>
  </si>
  <si>
    <t>Alliance Source Testing</t>
  </si>
  <si>
    <t>Customer Service, Information Technology</t>
  </si>
  <si>
    <t>1. Full-time student pursuing an engineering degree at an accredited college or university</t>
  </si>
  <si>
    <t>Internship Research &amp; Development</t>
  </si>
  <si>
    <t>DE - Duisburg</t>
  </si>
  <si>
    <t>1. Chemistry or Chemical Engineering Bachelor’s or Master’s student
2. Lab work experience (very key for us). Of course this can be during your studies.
3. Strong safety awareness, working very clean. Epoxies do stick, so this is very important!
...</t>
  </si>
  <si>
    <t>Hardware Application Designer - Intern(12 Months)</t>
  </si>
  <si>
    <t>1. Candidate should be working towards a Bachelor or Master Degree in Electrical or Computer discipline from an accredited program recognized by Canadian Professional Engineering licensing body
2. A basic level of knowledge related to electrical and mechanical theory, systems along with a basic understanding of CAD
3. Able to work full-time for the specified term length - including 40 hours/week
...</t>
  </si>
  <si>
    <t>Electrical Engineering Co-op - Fall Semester</t>
  </si>
  <si>
    <t>MSS Solutions, LLC</t>
  </si>
  <si>
    <t>Heating  Ventilation  and Air Conditioning (HVAC), Information Technology</t>
  </si>
  <si>
    <t>1. Current enrollment in an Undergraduate Electrical Engineering program.
2. Availability for two work cycles (or at least 3 semesters).
3. Ability to prioritize and manage multiple tasks independently, changing priorities as necessary to meet deadlines.
...</t>
  </si>
  <si>
    <t>PROFESSIONAL CIVIL ENGINEER TRAINEE</t>
  </si>
  <si>
    <t>State of Alabama Personnel Department</t>
  </si>
  <si>
    <t>1. Enrollment in a regionally accredited four-year U.S. College or equivalent in a Civil Engineering curriculum
2. Enrollment in a pre-engineering curriculum at a regionally accredited two or four-year U.S. college or equivalent
3. Enrollment in college-level courses (i.e. Calculus, Analytic Geometry, Chemistry, Physics, Surveying, etc.) at a regionally accredited U.S. college or equivalent which are transferable to a Civil Engineering program at a regionally accredited four-year U.S. college or equivalent</t>
  </si>
  <si>
    <t>Analog Design Intership</t>
  </si>
  <si>
    <t>Alphacore Inc</t>
  </si>
  <si>
    <t>Consulting, Electronics</t>
  </si>
  <si>
    <t>1. BS or Master in Electrical Engineering
2. Course work in Analog Design
3. Course work in Cadence tools
...</t>
  </si>
  <si>
    <t>Engineering Co-Op (Telecom)</t>
  </si>
  <si>
    <t>1. Pursuing a BS in Civil or Mechanical Engineering from an ABET accredited curriculum
2. Willing to work full-time during the spring semester and summer from January 2025 - August 2025
3. Computer proficiency with Word, Excel, PowerPoint, and MS Project
...</t>
  </si>
  <si>
    <t>Intern (Facilities Engineering)</t>
  </si>
  <si>
    <t>Piper Aircraft</t>
  </si>
  <si>
    <t>1. Currently enrolled full-time and pursuing an undergraduate or graduate degree from an accredited college/university. Rising Sophomore standing in related engineering degree major preferred.
2. Strong academic record in good standing with a preferred cumulative GPA of 3.0 or higher
3. Conscientious self-starter with good organizational skills, project management skills and attention to detail
...</t>
  </si>
  <si>
    <t>2024 Fall Semester Farm Crew - Student Farm at Penn State</t>
  </si>
  <si>
    <t>1. Able to prioritize and learn new tasks quickly, meet deadlines, and enjoy a fast-paced work environment
2. Must be self-motivated and be able to work independently, while also having the willingness to seek guidance and ask questions as needed from farm staff and other student farmers
3. Able to work outdoors in varied weather conditions including hot, cold, wind, rain, and snow
...</t>
  </si>
  <si>
    <t>1. Enrolled in an accredited engineering program
2. Working knowledge of Word and Excel
3. Strong analytical, conceptual, communication and organizational skills
...</t>
  </si>
  <si>
    <t>Engineer In Training (EIT)</t>
  </si>
  <si>
    <t>Nutrien</t>
  </si>
  <si>
    <t>White Springs, FL</t>
  </si>
  <si>
    <t>1. Bachelor of Engineering is required (Mechanical, Automotive or Civil)
2. Basic understanding of light vehicles and heavy equipment with utilization of engineering knowledge
3. Basic knowledge of project economics</t>
  </si>
  <si>
    <t>CO-OP ENGINEER</t>
  </si>
  <si>
    <t>Yokogawa</t>
  </si>
  <si>
    <t>1. Bachelor's degree in Engineering or related field
2. Strong passion for technology and care for the planet
3. Ability to work collaboratively in a global team environment
...</t>
  </si>
  <si>
    <t>ML Engineer Intern (Summer 2024)</t>
  </si>
  <si>
    <t>Typeface</t>
  </si>
  <si>
    <t>Artificial Intelligence (AI), Content</t>
  </si>
  <si>
    <t>1. Master’s or PhD degree in Computer Science or a related field
2. Experience with building and evolving ML Training and Inferencing systems at significant scale with a purpose of solving real-world problems
3. Have a track record of coming up with new ideas or improving upon existing ideas in machine learning, demonstrated by accomplishments such as first author publications or projects
...</t>
  </si>
  <si>
    <t>Graduate Research Assistant - Biology (Fall 2024)</t>
  </si>
  <si>
    <t>Jacksonville State University</t>
  </si>
  <si>
    <t>Metro Jacksonville</t>
  </si>
  <si>
    <t>$8.25 /h</t>
  </si>
  <si>
    <t>1. Must be classified as a degree-seeking graduate student at JSU.
2. Must be actively enrolled in a graduate degree program at JSU during the assistantship semester.
3. If a new student, must be admitted to a degree program.
...</t>
  </si>
  <si>
    <t>Materials Engineering Co-op</t>
  </si>
  <si>
    <t>1. Currently enrolled in accredited college/university for Materials Engineering, a Metallurgical Engineering program, or similar field.
2. A minimum of a sophomore standing and the ability to co-op for at least 3 terms.
3. Conscientious &amp; dependable, with the ability to work on small teams as well as independently.
...</t>
  </si>
  <si>
    <t>Co-op - Engineering - Spring 2025</t>
  </si>
  <si>
    <t>Graduate Fellow</t>
  </si>
  <si>
    <t>1. Bachelor's Level Degree
2. Ability to use both hands, dexterity in the fingers, and the ability to manipulate instruments, materials, and operate equipment
3. Ability to stop and reach in order to conduct lab procedures
...</t>
  </si>
  <si>
    <t>Aircraft Detailer - Las Vegas Harry Reid International Airport</t>
  </si>
  <si>
    <t>Clean Takeoff</t>
  </si>
  <si>
    <t>$20 /h</t>
  </si>
  <si>
    <t>1. Authorized to work in the United States
2. Valid driving license is a must
3. Must be able to communicate well in English
...</t>
  </si>
  <si>
    <t>Postdoctoral Fellow - Hematopoietic Biology &amp; Malignancy</t>
  </si>
  <si>
    <t>1. PhD degree in cancer biology, molecular biology, genetics, immunology, or related fields
2. Background in immunology
3. Ability to prioritize and manage multiple projects
...</t>
  </si>
  <si>
    <t>Research and Development Engineering Intern</t>
  </si>
  <si>
    <t>1. Undergraduate student at Penn State
2. Majoring in Computer Science, Information Sciences and Technology, Data Science, Engineering, Mathematics, Physics, or Geospatial Data Science
3. Ability to work up to 20 hours/week during fall and spring semesters and 40 hours/week over the summer
...</t>
  </si>
  <si>
    <t>$15.40-$15.40 /h</t>
  </si>
  <si>
    <t>Stagiaire Propriété Intellectuelle - De juillet à décembre 2025</t>
  </si>
  <si>
    <t>Linklaters Americas</t>
  </si>
  <si>
    <t>1. Étudiant(e) en Droit (Elève avocat, Master 2 en droit de la propriété intellectuelle)
2. Avoir de préférence déjà effectué un stage en cabinet/entreprise
3. Très bon niveau d’anglais</t>
  </si>
  <si>
    <t>Transportation Engineer Intern</t>
  </si>
  <si>
    <t>AMT Engineering</t>
  </si>
  <si>
    <t>Richmond, Virginia</t>
  </si>
  <si>
    <t>1. Must be at least 18 years old
2. Rising 3rd year or 4th year student pursuing BSCE
3. Minimum GPA of 3.0
...</t>
  </si>
  <si>
    <t>Process Engineer Co-op Fall 2024</t>
  </si>
  <si>
    <t>Tremco</t>
  </si>
  <si>
    <t>Ashland, OH</t>
  </si>
  <si>
    <t>1. Must be a sophomore, junior, or senior in good academic standing, pursing a bachelor’s degree in Engineering (Chemical, Mechanical, or Electrical focus preferred)
2. Ability to effectively communicate with operators, engineers, and managers
3. Possess an understanding of process variance and the resultant effects on quality
...</t>
  </si>
  <si>
    <t>Science Communication Research Associate (NPS, John Day Fossil Beds NM)</t>
  </si>
  <si>
    <t>Great Basin Institute</t>
  </si>
  <si>
    <t>$28.83-$28.83 /h</t>
  </si>
  <si>
    <t>1. Bachelor’s degree and at least one year of graduate school in earth science, paleontology, geology, biology, natural resource management, environmental science, science communication, or related discipline, or a combination of relevant education and field experience
2. Enthusiasm about the position, with interest in and knowledge of science communication, public engagement, and public speaking
3. Excellent organizational skills
...</t>
  </si>
  <si>
    <t>Stagiaire Ingénieur Affaires F/H</t>
  </si>
  <si>
    <t>VINCI</t>
  </si>
  <si>
    <t>Alger, OH</t>
  </si>
  <si>
    <t>1. Étudiant(e) en dernière année d'école d'ingénieurs en génie électrique ou domaine similaire.
2. Connaissances approfondies en conception électrique et en modélisation de systèmes.
3. Maîtrise des logiciels de conception électrique (AutoCAD, EPLAN, etc.).
...</t>
  </si>
  <si>
    <t>1. High School Graduate or equivalency required
2. Must be enrolled in a degree-granting program at OSU
3. Knowledge and understanding of biology, chemistry, and basic science research techniques and equipment desired
...</t>
  </si>
  <si>
    <t>Plastics Application Development &amp; Technical Service Co-Op - 2024</t>
  </si>
  <si>
    <t>Avient</t>
  </si>
  <si>
    <t>Avon Lake, OH</t>
  </si>
  <si>
    <t>1. Bachelors Student in Plastics Engineering or related Engineering field required.
2. 1+ year’s related experience (including internship/co-op experience) preferred
3. Injection molding, extrusion, blow molding, thermoforming experience a plus
...</t>
  </si>
  <si>
    <t>Graduate Assistant - Engineering ECE</t>
  </si>
  <si>
    <t>Little Rock</t>
  </si>
  <si>
    <t>$625-$625 /mon</t>
  </si>
  <si>
    <t>1. Bachelor’s Degree from an accredited institution of higher education
2. Regular admission to a UA Little Rock graduate degree program or good standing with the UA Little Rock Graduate School for continuing graduate students
3. Ability to work the required hours (FT-50% - 20 hours per week/PT-25% - 10 hours per week) with regular attendance</t>
  </si>
  <si>
    <t>Internship v týmu pojistné matematiky</t>
  </si>
  <si>
    <t>Prague</t>
  </si>
  <si>
    <t>1. Vysokoškolské vzdělání v pojistné matematice, matematice nebo statistice.
2. Čeština na výborné úrovni a angličtina úroveň min. B1.
3. Silné analytické myšlení.
...</t>
  </si>
  <si>
    <t>1. Students in their junior or senior year majoring in Mechanical Engineering, Electrical Engineering, Computer Science, or Physics are encouraged to apply.
2. You must be a U.S. Citizen to apply. Applicants selected will be subject to a government security investigation. Employment with the Applied Research Laboratory will require successful completion of a pre-employment drug screen.</t>
  </si>
  <si>
    <t>North America/USA/Missouri/St. Louis - M&amp;D, MO</t>
  </si>
  <si>
    <t>1. BSME, BSEE or equivalent undergraduate study, SO, JR or early SR level
2. Able to work minimum 32 hours / week (40 preferred)
3. Fall 2024 - Spring 2025 with option to extend through Summer
...</t>
  </si>
  <si>
    <t>South Bend, Indiana, United States</t>
  </si>
  <si>
    <t>Stagiaire ingénieur.e R&amp;D Process composites(H/F)</t>
  </si>
  <si>
    <t>FAIRMAT</t>
  </si>
  <si>
    <t>Advanced Materials, Automotive</t>
  </si>
  <si>
    <t>1. Vous êtes à la recherche d’un stage de fin d’étude
2. Vous avez une formation en matériaux et procédés
3. Vous avez une appétence pour le travail en laboratoire
...</t>
  </si>
  <si>
    <t>USAMRICD Invertebrate Pharmacology and Toxicology Research</t>
  </si>
  <si>
    <t>$46500-$52000 /yr</t>
  </si>
  <si>
    <t>1. Earned associate or bachelor's degree or currently pursuing with anticipated completion by May 31, 2028
2. Degree received within five years of the appointment start date
3. U.S. military veterans who have been honorably discharged and received an associate or bachelor's degree within ten years of the desired start date are also eligible
...</t>
  </si>
  <si>
    <t>Engineering Fall Co-op (ChemE) -Dublin GA</t>
  </si>
  <si>
    <t>WestRock</t>
  </si>
  <si>
    <t>Commercial, Manufacturing</t>
  </si>
  <si>
    <t>Dublin, GA</t>
  </si>
  <si>
    <t>1. Candidates must be actively enrolled in an accredited engineering college/university program
2. Preferred Major: Chemical Engineering, Paper Science, or similar</t>
  </si>
  <si>
    <t>Part-Time Undergraduate Research Assistant</t>
  </si>
  <si>
    <t>1. Strong skills in mathematics and coding (Python, MATLAB, other)
2. Work in interdisciplinary research involving the development of mathematical models
3. Experience in modeling, simulations, and mathematical analysis</t>
  </si>
  <si>
    <t>Engineering Intern/Co-op - Winter/Fall Semester - Easton, PA</t>
  </si>
  <si>
    <t>1. Sophomore or higher status in the following engineering majors: Industrial, Civil, Mechanical, Structural, Material Sciences
2. Demonstrated skills with Microsoft Offices packages: Word, Excel, Power Point
3. Must work well in team environment and have good communication skills
...</t>
  </si>
  <si>
    <t>1. Must be pursuing a Ph.D. in Computer Science/Engineering, Electrical Engineering, etc.
2. Outstanding engineering skills for rapid research prototyping, open-source release, or production development.
3. Experience in Python, C++ and CUDA
...</t>
  </si>
  <si>
    <t>CISO Strategy, Program &amp; GRC Intern</t>
  </si>
  <si>
    <t>1. Review and follow up on alerts generated by Nitro, Forcepoint, McAfee DLP, Varonis and Imperva security systems
2. Follow up messages in common mailboxes (CIRT and Reported-Phishing)
3. Generate statistics and standard reports
...</t>
  </si>
  <si>
    <t>ADC/ADD New Product Development Intern</t>
  </si>
  <si>
    <t>1. Participate in ADD application development and Database maintenance projects with the computer science knowledge.
2. Be responsible for document preparation, application testing, including unit testing, system integration testing, and user acceptance testing, to validate if the new application meets the business requirements for the Bank and its branches.
3. Familiar with Java, Python, SQL, DB maintenance.</t>
  </si>
  <si>
    <t>BKD BSA/AML Intern</t>
  </si>
  <si>
    <t>1. Support data related operations to the BSA Team, ABAC Coordinator, and Consumer Compliance Coordinator
2. Support other BAUs related to task or project tracking, communication, representation or paperwork
3. Support office routine such as printing, decking, records arranging, etc.
...</t>
  </si>
  <si>
    <t>1. Undergraduate research student assistants are needed to conduct work on several projects on bumble bee health and genetics
2. Collect biological specimens including bumble bee gynes, rear bumble bees, and maintain colonies
3. Process samples in the laboratory and report results to members of the Strange Lab
...</t>
  </si>
  <si>
    <t>Student Assistant 1</t>
  </si>
  <si>
    <t>1. Analysis of Ohio field soil samples for SCN populations
2. Assisting in the screening profiling of SCN populations
3. Preparation and maintenance of greenhouse and laboratory experiments for data collection
...</t>
  </si>
  <si>
    <t>IAD Quality Assurance Intern</t>
  </si>
  <si>
    <t>1. Bachelor's degree is required
2. 1+ years of relevant experience
3. Must meet BOCUSA Return To Office requirements</t>
  </si>
  <si>
    <t>Satellite Shelters Inc.</t>
  </si>
  <si>
    <t>Building Material, Internet</t>
  </si>
  <si>
    <t>Post Doc Res Assoc w/Ret</t>
  </si>
  <si>
    <t>$20000-$500000 /yr</t>
  </si>
  <si>
    <t>1. Postdoc. Applicants must demonstrate the potential ability to perform the essential functions of the job as outlined in the position description.
2. Develops scientific research projects and act as a principal investigator or co-principal investigator.
3. Researches and stays current with project-related scientific literature.
...</t>
  </si>
  <si>
    <t>Complex Systems Engineering and Analysis Intern</t>
  </si>
  <si>
    <t>1. Ability to express yourself in written and oral communication to others in order to provide understanding
2. Past success in providing ideas in written form for clear comprehension to an audience
3. U.S. Citizenship required</t>
  </si>
  <si>
    <t>Postdoctoral Research Associate - Earth, Environmental, and Planetary Sciences</t>
  </si>
  <si>
    <t>1. Ph.D. degree in seismology or a related field.</t>
  </si>
  <si>
    <t>Boston, MA (Main Campus)</t>
  </si>
  <si>
    <t>1. PhD in Mechanical Engineering, Biomedical Engineering, Robotics, or similar</t>
  </si>
  <si>
    <t>Stażysta ds. Aktuarialnych</t>
  </si>
  <si>
    <t>Aviva Canada</t>
  </si>
  <si>
    <t>ASEC - Warsaw</t>
  </si>
  <si>
    <t>1. Student lub absolwent kierunków ścisłych - matematyka, ekonomia, statystyka, metody ilościowe w ekonomii itp.
2. Znajomość języka angielskiego na poziomie średniozaawansowanym
3. Znajomość programu MS Excel
...</t>
  </si>
  <si>
    <t>Security Administrator</t>
  </si>
  <si>
    <t>Scheels</t>
  </si>
  <si>
    <t>E-Commerce, Fitness</t>
  </si>
  <si>
    <t>1. Ability to work in-person at Scheels Campus in Fargo, ND
2. Experience with Vulnerability scanning tools
3. Firewall, XDR, and or Antivirus management experience
...</t>
  </si>
  <si>
    <t>ALTERNANCE - INGENIEUR PROCEDE SiP - F/H</t>
  </si>
  <si>
    <t>1. En formation de niveau BAC+ 4/5
2. Vous avez des connaissances générales en Procédé de fluxage
3. Vous avez des compétences significatives en Prospection, Benchmark
...</t>
  </si>
  <si>
    <t>Production Worker - College Program</t>
  </si>
  <si>
    <t>Raynor Garage Doors</t>
  </si>
  <si>
    <t>Dixon, IL</t>
  </si>
  <si>
    <t>1. Must be 18 years of age
2. Ability to read and correctly interpret orders
3. Hands-on team player
...</t>
  </si>
  <si>
    <t>Temporary R&amp;D Software Engineer</t>
  </si>
  <si>
    <t>1. Undergoing or completed B.S. in Electrical Engineering, Computer Engineering, Computer Science, or a related field.
2. Proficiency in developing and testing software packages
3. Proficiency with high-level object-oriented programming and scripting languages, such as Python, C++, Java
...</t>
  </si>
  <si>
    <t>South Fulton Fellows -Unpaid Internship</t>
  </si>
  <si>
    <t>City of South Fulton GA</t>
  </si>
  <si>
    <t>College Park, GA</t>
  </si>
  <si>
    <t>1. Currently enrolled in a Bachelors Program within subject areas or qualifying work experience
2. Driver's License
3. Writing and interpersonal skills
...</t>
  </si>
  <si>
    <t>Developer Internship</t>
  </si>
  <si>
    <t>Sanborn, Head &amp; Associates, Inc.</t>
  </si>
  <si>
    <t>1. Recent degree or current enrollment in an engineering program in civil or environmental engineering (with a focus in geosciences or geology)
2. Willingness to learn new skills
3. Flexible schedule and ability to travel to project locations
...</t>
  </si>
  <si>
    <t>Internship, AI Engineer, Self-Driving (Fall 2024)</t>
  </si>
  <si>
    <t>$100000.0-$150000.0 annual</t>
  </si>
  <si>
    <t>1. Demonstrated experience in machine learning frameworks and models such as PyTorch, TensorFlow, GPT, CNNs, and generative models
2. Strong experience with Python and software engineering best practices
3. Experience with one or more of imitation Learning, reinforcement learning (offline/off-policy), modern neural network architectures (e.g., GPT, diffusion, generative models), or related techniques
...</t>
  </si>
  <si>
    <t>Electronics Engineering Co-op</t>
  </si>
  <si>
    <t>1. A minimum of a sophomore standing and the ability to co-op for at least 3 terms.
2. Understanding of electronics, circuits, and basic principles of electrical engineering.
3. Comfortable in an electronics lab environment, can run lab experiments and capture test data under supervision of senior staff.
...</t>
  </si>
  <si>
    <t>Part-Time Undergraduate Researcher Narayanan Group</t>
  </si>
  <si>
    <t>1. Undergraduate student at Penn State
2. Building ML-based system experience
3. Contribution to deep insights thrust of PRISM</t>
  </si>
  <si>
    <t>Sensors Engineering Co-op</t>
  </si>
  <si>
    <t>1. A minimum of a sophomore standing and the ability to co-op for at least 3 terms.
2. Understanding of electronics, circuits, and basic principles of electrical engineering and computer programming.
3. Comfortable in both electronics and wet lab environments; can run lab experiments and capture test data under supervision of senior staff.
...</t>
  </si>
  <si>
    <t>Rancho Cordova, CA</t>
  </si>
  <si>
    <t>$16.20-$26.69 /h</t>
  </si>
  <si>
    <t>1. Strong written and oral communication skills.
2. Ability to work independently and in a team environment
3. Strong organizational and time management skills
...</t>
  </si>
  <si>
    <t>Clinton, KY</t>
  </si>
  <si>
    <t>Entry Engineering Intern</t>
  </si>
  <si>
    <t>Pindel Global Precision</t>
  </si>
  <si>
    <t>New Berlin, WI</t>
  </si>
  <si>
    <t>1. Operate variety of CNC equipment as defined for CNC Operator role, approximately 75% of the time
2. Attend print reviews (at least 2 per summer)
3. Assist with quality department projects
...</t>
  </si>
  <si>
    <t>Summer 2024 ? Quantum Technology Internship (Undergraduate)</t>
  </si>
  <si>
    <t>1. Pursuing a bachelor's degree in Electrical Engineering, Computer Science, Physics, Mathematics, or related majors, at an accredited University with an accumulated GPA above 3.0.
2. Active USF student
3. Taking an undergraduate level course (or more) in quantum mechanics, quantum communications, quantum computing, quantum algorithms, quantum cryptography, or related in electrical engineering, physics, computer science, or mathematics, with grade A- or better.
...</t>
  </si>
  <si>
    <t>SkillBridge Intern - Platform Engineering</t>
  </si>
  <si>
    <t>Rise8</t>
  </si>
  <si>
    <t>1. Currently on active duty and eligible for SkillBridge
2. Possess a growth mindset
3. Demonstrated grit, resilience, and determination to overcome obstacles and achieve goals
...</t>
  </si>
  <si>
    <t>Postdoctoral Research Associate - Oncology</t>
  </si>
  <si>
    <t>1. Applicants should have a PhD or equivalent in biomedical sciences.</t>
  </si>
  <si>
    <t>1. This interdisciplinary research requires both biology/neuroscience and bioinformatics/statistics knowledge.
2. Candidates should have a PhD (or equivalent doctorate) in Genetics, Neuroscience, Bioinformatics, Computational biology, Biostatistics, Statistical Genetics, Medical Statistics, or related areas.
3. Alternatively, an MD with appropriate prior research experience may apply.
...</t>
  </si>
  <si>
    <t>Postdoctoral Research Associate - Engineering</t>
  </si>
  <si>
    <t>1. PhD in any engineering discipline or related physical science field
2. Prior experience with materials science</t>
  </si>
  <si>
    <t>Postdoctoral Research Associate - Cardiology</t>
  </si>
  <si>
    <t>Student Engineer, Portland, OR #112243</t>
  </si>
  <si>
    <t>Engineering Internship</t>
  </si>
  <si>
    <t>Chen Moore and Associates</t>
  </si>
  <si>
    <t>Construction, Environmental Engineering</t>
  </si>
  <si>
    <t>1. On track for completing a bachelor's in engineering.
2. Knowledge of FDOT standards.
3. Knowledge of Civil 3D and ArcGIS.
...</t>
  </si>
  <si>
    <t>GIS Specialist (Summer Intern)</t>
  </si>
  <si>
    <t>SES group</t>
  </si>
  <si>
    <t>1. 2+ years of school, training and/or work experience using GIS and/or CAD software products demonstrating thematic map production and basic geospatial analysis.
2. Can demonstrate a solid working knowledge of ESRI’s ArcGIS Pro, ArcMap and/or ArcGIS Online software applications and their respective geoprocessing tools.
3. Familiarity with AutoCAD and/or Trimble GPS products a plus!
...</t>
  </si>
  <si>
    <t>Roche Postdoctoral Fellow (RPF) in in vitro models of intestinal inflammation</t>
  </si>
  <si>
    <t>1. PhD in the field of immunology
2. Profound understanding of mucosal biology
3. Experience in scientific research continuously since PhD completion
...</t>
  </si>
  <si>
    <t>Field Pipeline Locator Intern</t>
  </si>
  <si>
    <t>Marin Water</t>
  </si>
  <si>
    <t>Non Profit, Water</t>
  </si>
  <si>
    <t>Corte Madera, CA</t>
  </si>
  <si>
    <t>1. Must be at least 18 years old
2. Valid California Driver’s License with satisfactory driving record</t>
  </si>
  <si>
    <t>Sustainability Institute Intern</t>
  </si>
  <si>
    <t>MSCI</t>
  </si>
  <si>
    <t>Analytics, Financial Services</t>
  </si>
  <si>
    <t>1. Keen interest in sustainability and financial markets
2. Strong communication and quantitative skills
3. Some exposure to the academic literature on ESG
...</t>
  </si>
  <si>
    <t>Architect Intern</t>
  </si>
  <si>
    <t>Watts Architecture &amp; Engineering</t>
  </si>
  <si>
    <t>$45000-$55000 /yr</t>
  </si>
  <si>
    <t>1. Bachelor's or Master's degree in Architecture
2. 1-3 years experience
3. AutoCAD, Revit, Photoshop
...</t>
  </si>
  <si>
    <t>ENGINEER INTERN (Remote)</t>
  </si>
  <si>
    <t>GATE Precast Company</t>
  </si>
  <si>
    <t>Kissimmee, FL</t>
  </si>
  <si>
    <t>1. Engineering Intern licensure (EIT) required
2. Strong verbal and written communication skills.
3. Capacity to work well with others
...</t>
  </si>
  <si>
    <t>Returning New Grad Engineer I- Great Lakes Division- For Current or Previous HNTB Interns Only</t>
  </si>
  <si>
    <t>$63206.95-$94810.42 /yr</t>
  </si>
  <si>
    <t>Ontivity</t>
  </si>
  <si>
    <t>Charging Infrastructure, Data Center</t>
  </si>
  <si>
    <t>New Braunfels, TX</t>
  </si>
  <si>
    <t>1. Experience using AutoCAD software is required
2. 2-3 Years of Engineering Design or Drafting Course work, Civil or Electrical Focus
3. Familiar with Design Codes and Engineering Fundamentals
...</t>
  </si>
  <si>
    <t>Arvada, CO</t>
  </si>
  <si>
    <t>Summer 2024 ? Quantum Technology Internship (Graduate)</t>
  </si>
  <si>
    <t>$27.72-$27.72 /h</t>
  </si>
  <si>
    <t>1. Pursuing a PhD in Electrical Engineering, Computer Science, Physics, Mathematics, or related majors, at an accredited University with an accumulated GPA above 3.0
2. Active USF student
3. Taking a graduate level course (or more) in quantum mechanics, quantum communications, quantum computing, quantum algorithms, quantum cryptography, or related in electrical engineering, physics, computer science, or mathematics, with grade A- or better
...</t>
  </si>
  <si>
    <t>Haines Structural Group</t>
  </si>
  <si>
    <t>1. BSCE/BSAE – OR – MSCE/MSAE degree from an ABET accredited Engineering curriculum
2. Certified Engineer-in-Training (has passed the FE Exam)
3. Possesses basic computer skills learned in college, such as spreadsheets and programming logic</t>
  </si>
  <si>
    <t>1. Candidate to be proficient with Microsoft Windows file operations and Microsoft office
2. Working level for data entry into existing spreadsheets
3. Familiarity with 3D and 2D CAD and Schematic Design
...</t>
  </si>
  <si>
    <t>Student Trainee (Engineering) - DIRECT HIRE</t>
  </si>
  <si>
    <t>U.S. Army Corps of Engineers</t>
  </si>
  <si>
    <t>1. Must be a current student majoring in an Engineering field
2. To qualify for a Direct Hire Internship as a GS-04, students must have completed two full academic years of post-high school study or have an associate's degree
3. To qualify for a Direct Hire Internship as a GS-05, students or recent graduates must have completed 4 academic years of post-high school leading to a bachelor's degree or equivalent degree
...</t>
  </si>
  <si>
    <t>Co-Op - Engineering - Fall 2024</t>
  </si>
  <si>
    <t>1. Pursuing a Bachelor degree in a discipline such as Industrial, Electrical, Chemical, Mechanical, Industrial, Computer Engineering or Packaging Science.
2. Understanding of engineering theory and fundamentals of equipment operation. Demonstrate the use of Engineering principles, theories, concepts and techniques.
3. Ability to work in an FDA regulated environment.
...</t>
  </si>
  <si>
    <t>Robotics and Perception Intern</t>
  </si>
  <si>
    <t>Industrial Next</t>
  </si>
  <si>
    <t>Automotive, Machinery Manufacturing</t>
  </si>
  <si>
    <t>1. Pytorch
2. Opencv
3. Numpy
...</t>
  </si>
  <si>
    <t>Process Engineering Intern - Fall</t>
  </si>
  <si>
    <t>1. Pursuing a Bachelor’s Degree or higher in engineering
2. At least 1-2 hands-on cleanroom or cleanroom-adjacent experiences, ideally fabricating devices of higher complexity than MIS capacitors
3. Hands-on experience with wafer fabrication tools (etch, deposition, patterning) and metrology tools (AFM, SEM, thin film measurement, etc.) You should have been brought up and independently using tools in our previous experience.
...</t>
  </si>
  <si>
    <t>$64608-$64608 /yr</t>
  </si>
  <si>
    <t>1. A baccalaureate degree in civil engineering from an accredited college.
2. A valid New York State Driver’s License is required for this position. This license must be maintained for the duration of appointment.</t>
  </si>
  <si>
    <t>Join our Early Talent community at AES!</t>
  </si>
  <si>
    <t>The AES Corporation</t>
  </si>
  <si>
    <t>1. Bachelor's degree or equivalent practical experience
2. Experience in one or more of the following areas: Finance, Operations, Development, Engineering, etc.
3. Ability to work in a team environment
...</t>
  </si>
  <si>
    <t>Hydrologist Resource Assistant</t>
  </si>
  <si>
    <t>$18.75-$18.75 /h</t>
  </si>
  <si>
    <t>1. Must have a valid driver's license and be insurable by Conservation Legacy (over 21 years old or drivers license for at least three years).
2. Bachelor of Science degree in hydrology or geology.
3. Must be 18 years or older.
...</t>
  </si>
  <si>
    <t>Graduate Assistant - Biological Sciences</t>
  </si>
  <si>
    <t>1. Bachelor's degree
2. Enrolled in EKU Graduate School</t>
  </si>
  <si>
    <t>NIH IMPACT Summer Scholar Research Support</t>
  </si>
  <si>
    <t>1. Completion of CITI training and other certifications required by research supervisors
2. Ability to work with human subjects over the age of 18
3. Successful completion of background check(s) in accordance with University policies</t>
  </si>
  <si>
    <t>1. A baccalaureate degree in civil engineering from an accredited college. A degree in any other engineering area or in civil engineering technology is not acceptable.</t>
  </si>
  <si>
    <t>2024 Fall Engineering Co-Op</t>
  </si>
  <si>
    <t>$37440-$42640 /h</t>
  </si>
  <si>
    <t>1. Pursuing a Bachelor of Science degree in Engineering (Computer, Industrial, Chemical, Mechanical, Electrical preferred), Metallurgy or Materials Science
2. Minimum GPA of 3.0
3. Ability to work in the United States on a full-time, permanent basis
...</t>
  </si>
  <si>
    <t>Research Engineer</t>
  </si>
  <si>
    <t>Michigan Technological University</t>
  </si>
  <si>
    <t>Houghton, MI</t>
  </si>
  <si>
    <t>1. Bachelor’s degree in an engineering or STEM field applicable to Energy and Mobility R&amp;D and testing
2. 1 year experience working as an engineer in a field applicable to Mobility or Energy R&amp;D and testing OR a thesis based graduate engineering degree (MS or PhD)
3. Maintain highly organized physical and virtual work areas
...</t>
  </si>
  <si>
    <t>R&amp;D Engineering Intern (2 Openings)</t>
  </si>
  <si>
    <t>1. Ph.D. in Plant Pathology or related field
2. Experience in coordinating and managing research projects
3. Experience in data collection and analysis
...</t>
  </si>
  <si>
    <t>Ashland City, TN</t>
  </si>
  <si>
    <t>Cyber Security Engineering Skillbridge Intern</t>
  </si>
  <si>
    <t>REDLattice Inc.</t>
  </si>
  <si>
    <t>Architecture, Software</t>
  </si>
  <si>
    <t>1. Must be a current, active duty service member with at least 120 days remaining
2. Participation must be approved by your command
3. Authorized to work in the US
...</t>
  </si>
  <si>
    <t>Electrical Engineering Intern - Fall</t>
  </si>
  <si>
    <t>1. Pursuing a Bachelor’s Degree or higher in engineering
2. Ability to learn quickly and troubleshoot technical problems
3. Hands-on prototyping experience and the ability to move through design cycles quickly
...</t>
  </si>
  <si>
    <t>Process Engineering Intern - Pocatello, ID</t>
  </si>
  <si>
    <t>1. Enrollment in an Academic Chemical Engineering program from a nationally accredited educational facility/university
2. Candidate must be willing to learn the process operation and work in a plant and process lab setting
3. Prefer a sophomore or above in credit standing who will work in conjunction with pursuit of chemical engineering degree and/or will return to school at the completion of the internship/coop
...</t>
  </si>
  <si>
    <t>TEC Civil Engineering Consultants</t>
  </si>
  <si>
    <t>1. BS in Civil Engineering
2. Pursuing a career in Land Development Civil Engineering
3. Familiarity with AutoCAD, Civil 3D and MS software applications a plus
...</t>
  </si>
  <si>
    <t>1. Must be enrolled at EKU.</t>
  </si>
  <si>
    <t>Crest Hill, IL</t>
  </si>
  <si>
    <t>1. Enrolled student working towards a Bachelor’s Degree in Mechanical, Electrical, Industrial, or Manufacturing Engineering
2. Strong written, verbal, and interpersonal skills; experience with project management
3. Strong PC Skills (spreadsheets, database management, word processing) a must
...</t>
  </si>
  <si>
    <t>Postdoctoral Scholar - Open Pool</t>
  </si>
  <si>
    <t>1. PhD in bioengineering, biochemistry, biology, human physiology, biophysics, physics, chemistry, chemical engineering or related disciplines
2. One year of lab experience
3. Demonstrated strong communication skills
...</t>
  </si>
  <si>
    <t>Co-op - Engineering - Fall 2025</t>
  </si>
  <si>
    <t>Co-op - Engineering - Summer 2025</t>
  </si>
  <si>
    <t>Summer 2025 Quantitative Developer Internship</t>
  </si>
  <si>
    <t>1. Undergraduate degree or higher in math, computer science, or other quantitative fields
2. Strong analytical skills, with attention to details
3. Strong passion in applying new technologies to trading
...</t>
  </si>
  <si>
    <t>Laboratory Extern (PRN) - Loris</t>
  </si>
  <si>
    <t>McLeod Health</t>
  </si>
  <si>
    <t>Loris, SC</t>
  </si>
  <si>
    <t>1. Enrolled in recognized school of Medical Technology/Clinical Laboratory Science or Medical Laboratory Technician</t>
  </si>
  <si>
    <t>Mueller Sports Medicine</t>
  </si>
  <si>
    <t>Prairie du Sac, WI</t>
  </si>
  <si>
    <t>1. Completed two years of post-high school education and enrolled for the fall semester at a technical college or four-year university. Pursuing a bachelor’s degree in a packaging engineering, mechanical engineering, field of study related to the area of the internship.
2. Have a grade point average sufficient to be considered in good academic standing.
3. Strong interest in packaging design, development, and innovation within the consumer goods or medical device industry.
...</t>
  </si>
  <si>
    <t>Engineering Intern (Spring 2025)</t>
  </si>
  <si>
    <t>Deceuninck North America</t>
  </si>
  <si>
    <t>Monroe, OH</t>
  </si>
  <si>
    <t>1. Intermediate to advanced proficiency in Microsoft Excel and PowerPoint.
2. Outstanding interpersonal skills.
3. Professional communication skills, both verbal and written.
...</t>
  </si>
  <si>
    <t>Machine Shop Tool &amp; Die Intern</t>
  </si>
  <si>
    <t>1. Some college experience preferred (Preferably students currently pursuing a degree in Tool &amp; Die Machining or related field)
2. Must have High School diploma or successfully obtained a GED
3. Ability to work in a fast-paced work environment
...</t>
  </si>
  <si>
    <t>1. Pursuing a bachelor's degree in Electrical Engineering, Computer Science, Physics, Mathematics, or related majors, at an accredited University with an accumulated GPA above 3.0.
2. Active USF student at the time of application.
3. Taking an undergraduate level course (or more) in quantum mechanics, quantum communications, quantum computing, quantum algorithms, quantum cryptography, or related in electrical engineering, physics, computer science, or mathematics, with grade A- or better.
...</t>
  </si>
  <si>
    <t>Monroeville, AL</t>
  </si>
  <si>
    <t>1. Strong skills in mathematics and coding (Python, MATLAB, other)
2. Work in interdisciplinary research involving the development of mathematical models
3. Review of applications will begin immediately and continue until the positions have been filled</t>
  </si>
  <si>
    <t>CPC Clinical Research</t>
  </si>
  <si>
    <t>Clinical Trials, Medical</t>
  </si>
  <si>
    <t>1. Currently pursuing a Bachelor’s Degree or above in engineering or science.
2. Strong written communication skills.
3. Strong mechanical aptitude.
...</t>
  </si>
  <si>
    <t>Engineering Associate</t>
  </si>
  <si>
    <t>1. Student in a B.S. Mechanical, Aerospace, Material Science, Computer Science Engineering program at a University.
2. Ability to read and comprehend simple instructions, short correspondence, and memos.
3. Ability to write simple correspondence.
...</t>
  </si>
  <si>
    <t>Co-op - Engineering - Fall 2024 (August - December)</t>
  </si>
  <si>
    <t>Joplin, MO</t>
  </si>
  <si>
    <t>1. High school diploma or equivalent
2. External applicants must be authorized to work in the US without employment visa or other sponsorship
3. Must be pursuing an academic degree
...</t>
  </si>
  <si>
    <t>Summer Internship Professional Handyman Business</t>
  </si>
  <si>
    <t>Ace Handyman Services Minnetonka</t>
  </si>
  <si>
    <t>Wayzata, MN</t>
  </si>
  <si>
    <t>1. High school diploma or GED
2. Working towards 2 year or 4 year college degree
3. Organized, detail oriented, self-starter
...</t>
  </si>
  <si>
    <t>Virginia Tech</t>
  </si>
  <si>
    <t>1. Ph.D. in Chemistry or an appropriate related field. PhD must be awarded no more than four years prior to the effective date of appointment with a minimum of one year eligibility remaining.
2. Experience in the synthesis and characterization of inorganic molecules and/or catalysts
3. Strong work habits and the ability to work independently as well as with a research group
...</t>
  </si>
  <si>
    <t>Postdoctoral Fellow - Genetics- Aballay's Lab</t>
  </si>
  <si>
    <t>1. Ph.D. degree with a strong publication record</t>
  </si>
  <si>
    <t>Praktikum bei Operational Excellence (Fokus Produktion) (m/w/d)</t>
  </si>
  <si>
    <t>Mannheim</t>
  </si>
  <si>
    <t>€2025-€2025 /mon</t>
  </si>
  <si>
    <t>1. Du bist immatrikulierter Student (m/w/d) des (Wirtschafts-) Ingenieurwesens, BWL/Management und vergleichbarer Masterstudiengänge oder befindest dich im Gap Year. Mit deiner Perspektive möchtest Du die Effizienz in der Produktion aktiv mitgestalten.
2. Du hast Spaß daran, auf Menschen zuzugehen und gemeinsam mit einem Team Konzepte zu erarbeiten
3. Du bist offen für Neues ist Kommunikation ist eine Stärke von Dir
...</t>
  </si>
  <si>
    <t>Maintenance Tech I - Apprentice</t>
  </si>
  <si>
    <t>Akron, Ohio, USA</t>
  </si>
  <si>
    <t>1. High school diploma or equivalent
2. Basic mechanical aptitude
3. Ability to work in a team environment
...</t>
  </si>
  <si>
    <t>Intern - Robotics Institute</t>
  </si>
  <si>
    <t>1. High School or GED
2. Strong analytical skills
3. Strong oral and written communication skills
...</t>
  </si>
  <si>
    <t>LIGO Lab Intern</t>
  </si>
  <si>
    <t>Caltech</t>
  </si>
  <si>
    <t>Hanford, WA</t>
  </si>
  <si>
    <t>$18.25-$21.50 /h</t>
  </si>
  <si>
    <t>1. Candidate should be currently pursuing an undergraduate degree for one of the following fields of study: education, engineering, computer science, or physics.
2. Candidate must be able to attend the LIGO Hanford Observatory in-person, therefore reliable transportation is required.</t>
  </si>
  <si>
    <t>Postdoctoral Appointee - Fault Tolerant Distributed Systems</t>
  </si>
  <si>
    <t>1. A recent or soon-to-completed PhD (typically within 0-3 years) in computer science, physics, or a related discipline.
2. Evidence of effectively communicating research through conference presentations and/or journal papers.
3. Effective written and verbal communication skills and the ability to work independently and as a part of a team.
...</t>
  </si>
  <si>
    <t>Postdoctoral Appointee - Quantum Materials</t>
  </si>
  <si>
    <t>1. Strong background in materials research for quantum information or sensing, preferably with practical experience.
2. Proficiency in materials synthesis and fabrication, particularly with a focus on quantum information science materials like diamond and SiC.
3. Extensive experience conducting experimental research on materials physics systems, utilizing advanced synthesis, fabrication, spectroscopy, or microscopy techniques.
...</t>
  </si>
  <si>
    <t>College Aide</t>
  </si>
  <si>
    <t>$15.50-$19.90 /h</t>
  </si>
  <si>
    <t>Nordex Energy Brasil</t>
  </si>
  <si>
    <t>ENVIRONMENTAL ENGINEERING INTERN</t>
  </si>
  <si>
    <t>Apprentice Cybersecurity Analyst</t>
  </si>
  <si>
    <t>Agency</t>
  </si>
  <si>
    <t>1. A bachelor's degree in business administration, information technology, or a related field
2. or 4 years of equivalent work experience in IT, business operations, or a similar field
3. Excellent written communication skills
...</t>
  </si>
  <si>
    <t>UU Student - Research (Work-Study)</t>
  </si>
  <si>
    <t>1. Perform biomedical research in the Funai laboratory located at the Eccles Institute of Human Genetics
2. Assistant senior research fellow with molecular biology experiments
3. Maintaining the mouse colonies
...</t>
  </si>
  <si>
    <t>George Mason University</t>
  </si>
  <si>
    <t>1. Terminal degree in a related field
2. Knowledge of and experience in geospatial information systems, crop modeling, or digital twin
3. Relevant programming skills</t>
  </si>
  <si>
    <t>Praktikum Technischer Service und Engineering (m/w/d)</t>
  </si>
  <si>
    <t>1. Du bist immatrikulierter Student (m/w/d) des (Wirtschafts-) Ingenieurwesens, BWL/Management und vergleichbarer Studiengänge oder befindest dich im Gap Year.
2. Du hast Spaß daran, auf Menschen zuzugehen und gemeinsam mit einem Team Konzepte zu erarbeiten
3. Du bist offen für Neues
...</t>
  </si>
  <si>
    <t>WRAIR - Genetics and Parasite Biology Research Fellowship</t>
  </si>
  <si>
    <t>1. Bachelor's or master's degree earned within the last 48 months or currently pursuing with an anticipated completion date of August 30, 2024
2. Preferred disciplines include Molecular Biology, Bioinformatics, Microbiology, or Cell Biology
3. Knowledge of basic laboratory skills (sterile technique is a plus)
...</t>
  </si>
  <si>
    <t>Postdoctoral Fellow, Diabetes</t>
  </si>
  <si>
    <t>New York Stem Cell Foundation</t>
  </si>
  <si>
    <t>Association, Medical</t>
  </si>
  <si>
    <t>$62400-$62400 /yr</t>
  </si>
  <si>
    <t>1. Recent PhD in Biology, or another relevant field
2. Experience with human pluripotent stem cells, including directed differentiation
3. Experience with directed differentiation towards the pancreatic lineage is a plus
...</t>
  </si>
  <si>
    <t>Poulos &amp; Bennett</t>
  </si>
  <si>
    <t>1. Majoring in Civil or Environmental Engineering
2. Exposure to stormwater, utility design and land development
3. Exposure to understanding of permitting process, codes, and criteria
...</t>
  </si>
  <si>
    <t>INTERN - Maintenance Helper</t>
  </si>
  <si>
    <t>United Dairy Farmers</t>
  </si>
  <si>
    <t>1. Basic maintenance skills
2. Ability to perform general plant maintenance
3. Experience with painting
...</t>
  </si>
  <si>
    <t>Temporary Research Hourly Evergreen Posting</t>
  </si>
  <si>
    <t>$14.42-$30 /h</t>
  </si>
  <si>
    <t>1. Experience or knowledge of research techniques in related lab or research setting</t>
  </si>
  <si>
    <t>Acumed</t>
  </si>
  <si>
    <t>Electrical Engineering - Intern</t>
  </si>
  <si>
    <t>BY LIGHT Professional IT Services</t>
  </si>
  <si>
    <t>Government, Information Services</t>
  </si>
  <si>
    <t>1. Currently pursuing a Bachelor’s or Master’s degree in Electrical Engineering or a related field.
2. Academic background in electrical circuits, power systems, and electromechanical systems.
3. Proficiency in CAD software (e.g., AutoCAD) and simulation tools (e.g., MATLAB, Simulink).
...</t>
  </si>
  <si>
    <t>USA - UT - Salt Lake City Fibers</t>
  </si>
  <si>
    <t>Research Scientist I - Microbiology and Immunology</t>
  </si>
  <si>
    <t>The University of Texas Medical Branch</t>
  </si>
  <si>
    <t>Galveston, TX</t>
  </si>
  <si>
    <t>1. Ph. D, M.D, D.O., or D.V.M in related field
2. Complete ASL3, ABSL2 and ABSL3 training</t>
  </si>
  <si>
    <t>ENGINEER IN TRAINING</t>
  </si>
  <si>
    <t>1. Bachelor's degree in Civil Engineering from an ABET accredited university
2. EIT licensure (Civil Engineering)
3. Produce structural design calculations for reinforced concrete, pre-stressed concrete, and structural steel connections
...</t>
  </si>
  <si>
    <t>Thrive Apprentice - Software Engineering: Network Automation</t>
  </si>
  <si>
    <t>PhD Internship in Molecular Biology– Axonal Transport - RiSE program for 12 months (m/f/d)</t>
  </si>
  <si>
    <t>1. Enrolled in a PhD or medical degree program at a university and are looking to expand your experience with an industry internship (your PhD defense doesn't take place in the first half of the internship)
2. Experience in neuronal in vitro models and with immunostainings and FISH is an advantage</t>
  </si>
  <si>
    <t>Construction Intern</t>
  </si>
  <si>
    <t>Ecosystem</t>
  </si>
  <si>
    <t>Energy, Industrial Engineering</t>
  </si>
  <si>
    <t>1. Mechanical engineering student entering their junior or senior year
2. Interest in building mechanics and energy performance
3. Resourceful, organized, autonomous, great communication skills and safety-oriented
...</t>
  </si>
  <si>
    <t>Undergraduate Research Assistants- Van Meter</t>
  </si>
  <si>
    <t>1. Assist with field work and water quality data acquisition in the field
2. Assist with acquisition of publicly available data and quality control
3. Conduct data analysis, including analysis of collected data, literature review, and synthesis of both publicly available and previously published data
...</t>
  </si>
  <si>
    <t>1. Candidate anticipates graduating with a bachelor’s degree in December 2024 or will be a sophomore, junior, or senior in 2025.
2. Candidate is pursuing a bachelor’s degree in Civil/Structural Engineering, Architecture, or Planning.
3. Actively engages multiple perspectives when solving problems, seeks to learn from peers, and encourages reciprocal learning among team members.
...</t>
  </si>
  <si>
    <t>Praktikant als Assistenz der Projektleitung in Luxemburg (aGw*)</t>
  </si>
  <si>
    <t>Lindner Group</t>
  </si>
  <si>
    <t>Luxemburg, WI</t>
  </si>
  <si>
    <t>1. Fließende Französischkenntnisse in Wort und Schrift
2. Studium im Bereich Bauingenieurwesen, Innenausbau, Holzbau, Holztechnik, Energie und Gebäudetechnologie, Baumanagement o. ä.
3. Teamfähigkeit und Kommunikationsgeschick
...</t>
  </si>
  <si>
    <t>Junior Research Assistant</t>
  </si>
  <si>
    <t>Santa Clara University</t>
  </si>
  <si>
    <t>$20.72-$22.79 /h</t>
  </si>
  <si>
    <t>1. Bachelor’s degree in chemistry, biochemistry or closely aligned field required.
2. 0-3 years of laboratory research experience required.
3. Basic understanding of working safely in a chemical laboratory, principles of chemical reactivity, stoichiometry, organic synthesis, and spectroscopic analysis of organic molecules.
...</t>
  </si>
  <si>
    <t>DoD SkillBridge CNO Developer Intern (SATX/Remote)</t>
  </si>
  <si>
    <t>ManTech</t>
  </si>
  <si>
    <t>USA-TX-San Antonio</t>
  </si>
  <si>
    <t>1. Separating from service within 180 days.
2. Receive Command Approval for SkillBridge participation.
3. Interest and ability to obtain TS/SCI w/ polygraph clearance.
...</t>
  </si>
  <si>
    <t>Oakwood Homes Summer Internship - Greenville, NC</t>
  </si>
  <si>
    <t>Clayton Homes</t>
  </si>
  <si>
    <t>1. Strong verbal and written communication skills
2. Knowledge of general construction
3. Possess strong customer service skills
...</t>
  </si>
  <si>
    <t>Post Doctoral Fellow - Radiation Oncology</t>
  </si>
  <si>
    <t>Postdoctoral Associate- Neurodevelopmental Disease</t>
  </si>
  <si>
    <t>1. MD or Ph.D. in Basic Science, Health Science, or a related field
2. No experience required</t>
  </si>
  <si>
    <t>AI/ML Engineer Intern - Spring 2025</t>
  </si>
  <si>
    <t>Cranium</t>
  </si>
  <si>
    <t>Artificial Intelligence (AI), Security</t>
  </si>
  <si>
    <t>1. Currently pursuing a bachelor’s or master's degree in Computer Science, Data Science, Electrical Engineering, or a related technical field with a focus on AI/ML.
2. Basic knowledge of machine learning frameworks such as TensorFlow, PyTorch, or Scikit-learn.
3. Experience with programming languages like Python, Java, or C++.
...</t>
  </si>
  <si>
    <t>AI/ML Engineer Intern - Summer 2025</t>
  </si>
  <si>
    <t>Short Hills, NJ</t>
  </si>
  <si>
    <t>AI/ML Engineer Intern - Fall 2024</t>
  </si>
  <si>
    <t>Part-Time Frog Research Assistant</t>
  </si>
  <si>
    <t>1. Undergraduate student at Penn State
2. Interest in amphibian research projects
3. Ability to design and set up breeding plans for frogs
...</t>
  </si>
  <si>
    <t>ENGINEERING INTERN</t>
  </si>
  <si>
    <t>ArmorWorks Enterprises</t>
  </si>
  <si>
    <t>Manufacturing, Security</t>
  </si>
  <si>
    <t>1. MUST BE A US PERSON ELIGIBLE TO WORK FOR ANY EMPLOYER IN THE UNITED STATES
2. Recent degree, or currently enrolled in an Engineering degree program at a college or technical school.
3. Strong attention to detail, organized, and the ability to take initiative, prioritize, and complete tasks as needed.
...</t>
  </si>
  <si>
    <t>Engineering Intern/Co-op-Seasonal</t>
  </si>
  <si>
    <t>JOST International</t>
  </si>
  <si>
    <t>Greeneville, TN</t>
  </si>
  <si>
    <t>1. Actively working toward an engineering or technical degree, with the intention to pursue a fulltime career in engineering.
2. Must be able to work with others in a team environment.
3. Excellent organizational and analytical skills in tasks and work.
...</t>
  </si>
  <si>
    <t>North Hills Signal Processing</t>
  </si>
  <si>
    <t>1. Experience with Microsoft Word and Excel
2. Familiarity with analytical and problem-solving skills
3. Basic communication and collaboration skills
...</t>
  </si>
  <si>
    <t>Operational Quality Assurance Intern</t>
  </si>
  <si>
    <t>immatics biotechnologies</t>
  </si>
  <si>
    <t>Houston</t>
  </si>
  <si>
    <t>1. Currently pursuing a degree in Science, or a related field.
2. Strong attention to detail and organizational skills.
3. Ability to work collaboratively in a team environment.
...</t>
  </si>
  <si>
    <t>Ausbildung zum Industriemechaniker (m/w/d) - Start 2025</t>
  </si>
  <si>
    <t>Ulm</t>
  </si>
  <si>
    <t>1. Sehr guter Hauptschulabschluss oder gute mittlere Reife
2. Interesse am Umgang mit modernster Technik
3. Verständnis für technische und logische Zusammenhänge
...</t>
  </si>
  <si>
    <t>Quality Systems Engineer Intern</t>
  </si>
  <si>
    <t>Proto Labs</t>
  </si>
  <si>
    <t>€600-€600 /mon</t>
  </si>
  <si>
    <t>1. Currently enrolled as 3rd/4th year student for a HBO, Bachelors or Master’s degree in Mechanical Engineering, Industrial Engineering or similar
2. EU passport holder, or currently enrolled in university in the Netherlands (visa applications not applicable)
3. Available for 5 months minimum, 32-40 hours per week starting around July
...</t>
  </si>
  <si>
    <t>Intern for Total Operational Weather Readiness-Satellites (TOWR-S)</t>
  </si>
  <si>
    <t>Silver Spring, Maryland</t>
  </si>
  <si>
    <t>1. High School Diploma
2. Must be currently enrolled in an undergraduate or graduate degree program at an accredited university pursuing an Atmospheric Science, Meteorology, Physical Sciences, Computer Science, Engineering, or related field
3. Students should have solid mathematics and geometry skills through basic integral calculus, along with the equivalent of two semesters of college level physics.
...</t>
  </si>
  <si>
    <t>RUS Staking Engineer</t>
  </si>
  <si>
    <t>Conexon</t>
  </si>
  <si>
    <t>Communications Infrastructure, Internet</t>
  </si>
  <si>
    <t>1. Make-ready evaluation and proposed solutions
2. Electrical engineering or staking experience required
3. Strong knowledge of electric distribution design and construction, including poles, devices, equipment and ability to change pole design or framing to suit fiber plant installation
...</t>
  </si>
  <si>
    <t>Graduate Research Assistant-hourly</t>
  </si>
  <si>
    <t>1. Current graduate students in Computer Science, Electrical Engineering, Engineering or related disciplines for research interns
2. Strong theoretical and practical background in machine learning and in particular with deep learning, machine learning, and in at least one of the following fields: predictive analysis, demand forecasting
3. Experience with machine learning libraries such as PyTorch, TensorFlow, Keras in addition familiarity with image processing in Python
...</t>
  </si>
  <si>
    <t>Postdoc Research Fellow - Office of Postdoctoral Studies</t>
  </si>
  <si>
    <t>University of Mississippi Medical Center</t>
  </si>
  <si>
    <t>Jackson, MS - Main Campus</t>
  </si>
  <si>
    <t>1. M.D., Ph.D., or Pharm D., or candidate for graduation from M.D., PH.D., or PharmD Educational program within next six months. Proof of degree must be provided prior to hire date. No other equivalents.
2. Written and verbal communications skills.
3. Interpersonal skills.
...</t>
  </si>
  <si>
    <t>Data Center Critical Facility Intern</t>
  </si>
  <si>
    <t>Iron Mountain</t>
  </si>
  <si>
    <t>Big Data, Cloud Storage</t>
  </si>
  <si>
    <t>US | VA | Manassas | 11680 Hayden Road</t>
  </si>
  <si>
    <t>1. Currently pursuing an Associates degree
2. Pursuing a discipline in Information Systems, or Technology or strong desire to understand technology hardware</t>
  </si>
  <si>
    <t>Applied Science Intern - Multi-View Reconstruction</t>
  </si>
  <si>
    <t>$6200-$6500 /mon</t>
  </si>
  <si>
    <t>1. On going MS or Ph.D student in Visual Computing, Computer Vision, Computer Graphics, 3D Vision, or related field industry or research experience with deep learning and computer vision
2. Familiar with Python
3. Experience with CV tools e.g. OpenCV, numpy, etc
...</t>
  </si>
  <si>
    <t>Covanta</t>
  </si>
  <si>
    <t>USA, NJ, Morristown</t>
  </si>
  <si>
    <t>1. Bachelor’s Degree in Mechanical, Electrical, Environmental, or Chemical Engineering
2. Enrolled in a four-year college or university
3. Genuine interest in developing a career in Waste to Energy</t>
  </si>
  <si>
    <t>1. A Baccalaureate degree in environmental, chemical, mechanical, petroleum, aeronautical, or materials engineering from an accredited college.
2. A Baccalaureate degree in engineering technology is not acceptable.</t>
  </si>
  <si>
    <t>Pipeline Engineer</t>
  </si>
  <si>
    <t>Samuel Engineering, Inc.</t>
  </si>
  <si>
    <t>1. Junior or Senior in University or College (for Pipeline Engineer Intern)
2. Bachelor's Degree (for Pipeline Engineer IV, III, II, and I)
3. Two (2) years of experience (for Pipeline Engineer III)
...</t>
  </si>
  <si>
    <t>Engineering/Supply Chain Co-op_Spring 2025</t>
  </si>
  <si>
    <t>PRECISE C.N.C. MACHINING INSTITUTE (PCMI) STUDENTS</t>
  </si>
  <si>
    <t>$16 /h</t>
  </si>
  <si>
    <t>1. Enjoy working with their hands, taking equipment apart and putting back together
2. Have good Math skills
3. Be mechanically inclined
...</t>
  </si>
  <si>
    <t>Engineering Intern, Motor Control (Master's/PhD Student)</t>
  </si>
  <si>
    <t>1. Current enrollment in or recent graduation from a Master’s or PhD program in Electrical Engineering, Computer Science, or a related field.
2. High School Diploma required.
3. 2+ years of experience required.
...</t>
  </si>
  <si>
    <t>Engineering Intern, eDrive HV Systems (Master's/PhD Student)</t>
  </si>
  <si>
    <t>1. Currently pursuing a Masters or PhD degree in electrical, electronics, and/or computer engineering.
2. Bachelor's Degree required.
3. 3+ years of experience required.
...</t>
  </si>
  <si>
    <t>测试实习生(路由器/交换机/网络系统)</t>
  </si>
  <si>
    <t>1. Graduate in 2025 or 2026, Bachelor or Master's degree in Computer Science, Software Engineering or Communication Engineering
2. Available for 3-5 days per week, lasting for 3-6 months or longer
3. Knowledge of telecommunication protocols like TCP/IP
...</t>
  </si>
  <si>
    <t>Think Big Intern - Heavy Equipment</t>
  </si>
  <si>
    <t>Albany, GA</t>
  </si>
  <si>
    <t>1. Meet the admission requirements to attend South Georgia Technical College
2. Mechanical aptitude (having the desire and skill to work with mechanical concepts)
3. Enjoys 'hands-on' challenging work
...</t>
  </si>
  <si>
    <t>Field Service Engineer - Western TN</t>
  </si>
  <si>
    <t>Makino</t>
  </si>
  <si>
    <t>1. Excellent communication and customer relation skills
2. Present professional image
3. Project leadership ability
...</t>
  </si>
  <si>
    <t>PhD internship in Neuroscience -12 months (m/f/d)- RiSE Program</t>
  </si>
  <si>
    <t>1. Enrolled in a PhD or medical degree program at a university and are looking to expand your experience with an industry internship (your PhD defense doesn't take place in the first half of the internship)
2. A valid LTK1/FELASA B animal licence
3. Proficient in neuroscience, vascular biology and/or cell biology and good knowledge of analysis methods for omics datasets
...</t>
  </si>
  <si>
    <t>UNIV - Post Doc Scholar- Microbiology and Immunology-1</t>
  </si>
  <si>
    <t>1. Recent doctoral degree or equivalent in biomedical sciences or have completed requirements for such a degree
2. PhD/MD or Equivalent
3. Ability to obtain and maintain a valid driver's license
...</t>
  </si>
  <si>
    <t>Postdoctoral Fellow – Regulation of Cancer Dormancy by Patient Physiology</t>
  </si>
  <si>
    <t>Moffitt Cancer Center</t>
  </si>
  <si>
    <t>1. MD or PhD in relevant field is required, preferably not received more than two years ago</t>
  </si>
  <si>
    <t>Engineering Co-op Internship</t>
  </si>
  <si>
    <t>Paramount, CA</t>
  </si>
  <si>
    <t>$19-$22 Hourly</t>
  </si>
  <si>
    <t>1. Minimum second year students working towards Bachelor degree in Mechanical/Manufacturing Engineering
2. Strong technical aptitude
3. Ability to work independently and interact closely with other departments, customers, and vendors
...</t>
  </si>
  <si>
    <t>Student Pathobiology Lab Assistant</t>
  </si>
  <si>
    <t>$25500-$25500 annually</t>
  </si>
  <si>
    <t>1. Currently enrolled as an Auburn University graduate student</t>
  </si>
  <si>
    <t>Bar Harbor, Maine</t>
  </si>
  <si>
    <t>Machine Learning Engineering Intern</t>
  </si>
  <si>
    <t>Palo Alto, California, United States of America</t>
  </si>
  <si>
    <t>1. Pursuing a degree in Computer Science, Engineering, Mathematics, or a related field – PHD Candidates preferred.
2. Demonstrated skills in Python/C++, C#, Swift, or Objective-C.
3. Familiarity with PyTorch, TensorFlow, Flutter, or similar frameworks.
...</t>
  </si>
  <si>
    <t>Machine Learning and Artificial Intelligence Applications in Power Electronics and Power Devices</t>
  </si>
  <si>
    <t>1. Recently obtained a bachelor's degree in Electrical or Computer Engineering
2. Currently enrolled in a Master's or Ph.D. Degree in Engineering
3. Perform research in power semiconductor module-level AI/ML implementation on embedded systems
...</t>
  </si>
  <si>
    <t>Post Doc Fellow - VAMC</t>
  </si>
  <si>
    <t>Tulane National Primate Research Center</t>
  </si>
  <si>
    <t>Hutchinson, MN</t>
  </si>
  <si>
    <t>1. MD or PhD in neuroscience is required.
2. Excellent oral and written communication skills with a strong command of English as a spoken as well as a written language
3. Demonstrated ability to write scientific papers based on research performed in the lab, as well as prepare proposals for external funding
...</t>
  </si>
  <si>
    <t>Quality Engineering Co-Op (Spring 2025)</t>
  </si>
  <si>
    <t>Bioeffects Advanced Imaging Summer Research Fellowship</t>
  </si>
  <si>
    <t>1. Currently pursuing a doctoral degree in Bioengineering and Biomedical Engineering, Chemical Engineering, Computer and Systems Engineering, Electrical and Electronic Engineering, Materials Science Engineering, Mechanical Engineering, Optics, or Cellular and Molecular Biology
2. U.S. Citizen Only
3. Currently pursuing a Doctoral Degree
...</t>
  </si>
  <si>
    <t>Paper Mill Engineering Co-op - Fort Edward, NY - Fall 2024/Winter 2025</t>
  </si>
  <si>
    <t>Fort Edward, NY</t>
  </si>
  <si>
    <t>$25.75-$27.40 /h</t>
  </si>
  <si>
    <t>1. Enrolled in Engineering Degree: Chemical, Mechanical, and/or Pulp &amp; Paper
2. Must have excellent interpersonal, organizational and communication skills
3. The following engineering courses are applicable: Fluid Mechanics, Process Control, Heat and Mass Transfer, Physics, Chemical Engineering, Mechanical Engineering and Statistics</t>
  </si>
  <si>
    <t>Materials Engineering Co-Op (Fall 2024)</t>
  </si>
  <si>
    <t>1. Working toward a Bachelor’s degree or higher in materials science &amp; engineering, corrosion engineering, or related discipline.</t>
  </si>
  <si>
    <t>University of Illinois City Scholar Co-Op</t>
  </si>
  <si>
    <t>1. Pursuing a Bachelor’s or Master's Degree
2. An incoming or current University of Illinois City Scholar student
3. Candidate must be an incoming or current Kettering University student
...</t>
  </si>
  <si>
    <t>Research Intern (Hoyleton, IL)</t>
  </si>
  <si>
    <t>The Maschhoffs</t>
  </si>
  <si>
    <t>Food and Beverage, Meat and Poultry</t>
  </si>
  <si>
    <t>Hoyleton, IL</t>
  </si>
  <si>
    <t>1. Animal husbandry skills, or the desire to learn how to effectively care for pigs
2. Availability to work every other weekend
3. Ability to lift, push or pull a minimum of 50 pounds
...</t>
  </si>
  <si>
    <t>Telecommunications Student Assistant</t>
  </si>
  <si>
    <t>1. Currently enrolled as an Auburn University undergraduate student
2. Valid driver’s license
3. Strong technical skills and a desire to learn about telecommunications systems and technologies
...</t>
  </si>
  <si>
    <t>1. Must be a U.S. citizen to apply
2. Successful completion of a pre-employment drug screen required
3. Must be a current Penn State employee, student, or complete the internal or external application process
...</t>
  </si>
  <si>
    <t>Electromechanical Engineering Intern  - Fall</t>
  </si>
  <si>
    <t xml:space="preserve"> Process Engineering Intern - Fall</t>
  </si>
  <si>
    <t>Mechanical Engineering Intern  - Fall</t>
  </si>
  <si>
    <t>Postdoc</t>
  </si>
  <si>
    <t>1. PhD or MD/PhD in Immunology, Biology, or a related field</t>
  </si>
  <si>
    <t>Injury Biomechanics Research Internship at AARL</t>
  </si>
  <si>
    <t>Fort Davis, AL</t>
  </si>
  <si>
    <t>1. Currently pursuing a bachelor's or master's degree in the field of engineering, life health and medical sciences, mathematics and statistics, or physics
2. Experience conducting injury biomechanics or human kinematics research
3. U.S. Citizen Only
...</t>
  </si>
  <si>
    <t>Graham Corporation</t>
  </si>
  <si>
    <t>Batavia, NY</t>
  </si>
  <si>
    <t>1. Pursuing a Bachelor’s Degree in Manufacturing Engineering, Industrial Engineering, Mechanical Engineering, or equivalent combination of education and experience.
2. Previous work in a manufacturing environment
3. Knowledge of fabrication, machining, welding, inspection, and measurement techniques
...</t>
  </si>
  <si>
    <t>Drafting Internship</t>
  </si>
  <si>
    <t>1. Convert drawings from GFM platform to Inventor
2. Plays an active role in product design/development
3. Review technical details
...</t>
  </si>
  <si>
    <t>Jacam Catalyst</t>
  </si>
  <si>
    <t>Sterling, KS</t>
  </si>
  <si>
    <t>1. Completed high school or GED
2. Enrolled in an engineering or industry related field
3. Willingness to learn
...</t>
  </si>
  <si>
    <t>Euclid Vision Corporation</t>
  </si>
  <si>
    <t>Eyewear, Health Care</t>
  </si>
  <si>
    <t>Sterling, VA</t>
  </si>
  <si>
    <t>1. Currently enrolled in university in an accredited Engineering or similar program
2. Ability to read and carefully follow instructions and standard operating procedures
3. Ability to program in at least one object-oriented programming language
...</t>
  </si>
  <si>
    <t>US-Bellevue-108th Ave</t>
  </si>
  <si>
    <t>1. Ph.D. students in computer science, electrical engineering, or a related field
2. Self-motivated and excited about developing novel techniques
3. Research experiences in natural language processing, speech processing, dialog system, or machine learning
...</t>
  </si>
  <si>
    <t>DATA AND SYSTEM (CRM) DEVELOPMENT TRAINEE</t>
  </si>
  <si>
    <t>Budapest</t>
  </si>
  <si>
    <t>1. Nappali tagozatos, aktív jogviszonyú hallgató vagy (a jelentkezéstől számított legalább másfél évig)
2. Magas szintű MS Excel (PIVOT táblák, függvények, vizualizáció stb.), MS Access, Power Query, Power BI tudással rendelkezel
3. Szívesen beszélsz üzleti környezetben is angolul
...</t>
  </si>
  <si>
    <t>Rome</t>
  </si>
  <si>
    <t>1. Laurea magistrale in ambito ingegneristico, informatico o in politiche pubbliche per la sicurezza
2. Parlare e scrivere fluentemente in inglese
3. Capacità di trovare soluzioni funzionali e innovative a progetti complessi
...</t>
  </si>
  <si>
    <t>1. Experience with R, Microsoft Office, and Geographic Information Systems (GIS) software (e.g. ArcGIS Pro, QGIS) is desired.
2. A driver’s license is necessary.</t>
  </si>
  <si>
    <t>BIM/VDC Fall 2024 Internship</t>
  </si>
  <si>
    <t>1. Student actively pursuing a four year or advanced degree in Building Design Sciences or a related field
2. Prior experience with Revit and Navisworks preferred
3. Minimum 2.5 GPA
...</t>
  </si>
  <si>
    <t>Personal Systems Machine Learning Internship</t>
  </si>
  <si>
    <t>1. Master or PhD Candidate in Computer Science or related technical areas</t>
  </si>
  <si>
    <t>CyberSecurity Skillbridge Internship</t>
  </si>
  <si>
    <t>Arctic Wolf</t>
  </si>
  <si>
    <t>1. Training/Experience in a cyber-related DoD career-field
2. Approved for Skillbridge participation for 3-6 months
3. Able to complete up to 40 hours a week of training/mentoring
...</t>
  </si>
  <si>
    <t>Pleasant Grove, UT</t>
  </si>
  <si>
    <t>1. Must be an Active Duty servicemember and approved for Skillbridge
2. Must have solid understanding of cyber security; Cyber security training and/or career-field experience is strongly preferred
3. Training/Experience in a cyber-related DoD career-field
...</t>
  </si>
  <si>
    <t>Triage Security Analyst - Intern</t>
  </si>
  <si>
    <t>1. Security basics with a demonstrated passion for networking and cybersecurity
2. Customer facing experience in any fashion with strong communication skills and easily interact with a variety of different people and personalities
3. Attention to process and a willingness to learn
...</t>
  </si>
  <si>
    <t>Selmer, TN</t>
  </si>
  <si>
    <t>Lippert</t>
  </si>
  <si>
    <t>Goshen, IN</t>
  </si>
  <si>
    <t>1. High School diploma or equivalent
2. Some technical education specific to CAD, associate degree or equivalent, or 1-3 years of modeling/drafting experience with Solidworks or other 3D modeling software
3. Must be able to rapidly transition between projects as priorities change
...</t>
  </si>
  <si>
    <t>STEM Research Participation Program: US Naval Postgraduate School</t>
  </si>
  <si>
    <t>Monterey, CA</t>
  </si>
  <si>
    <t>1. Open to qualified U.S. citizens, to foreign citizens who are eligible to participate as J-1 Exchange Visitors, and to foreign citizens eligible for other visa categories approved by the Sponsor and ORISE.
2. Individuals 18 years of age or older by the application deadline.
3. Currently enrolled as an undergraduate or graduate student at an accredited institution of higher education pursuing a degree in a science, technology, engineering or mathematics (STEM) discipline, or have interest or experience in a STEM field.
...</t>
  </si>
  <si>
    <t>Coloring Polymers and Bio-pigments for Autonomous Vehicles – Research Summer Internship</t>
  </si>
  <si>
    <t>1. High School diploma by May 20, 2024
2. Interest in an Electrical Engineering Major
3. Good understanding of Materials / Physics
...</t>
  </si>
  <si>
    <t>Research Participation Opportunities at the FDA Center for Devices and Radiological Health (CDRH)</t>
  </si>
  <si>
    <t>1. Applicants must be enrolled as an undergraduate, graduate, or doctoral student at an accredited U.S. college or university pursuing a degree in a STEM discipline or have received an undergraduate, graduate, or doctoral degree within five years of the start date of the appointment.
2. Generally, participants are not required to hold U.S. citizenship; however, a few CDRH divisions may appoint only U.S. citizens due to the sensitive nature of the research performed.
3. Degree: Associate's Degree, Bachelor's Degree, Master's Degree, or Doctoral Degree received within the last 60 months or currently pursuing.
...</t>
  </si>
  <si>
    <t>EACE Orthopaedic Trauma Research Postdoctoral Fellowship</t>
  </si>
  <si>
    <t>1. Completed PhD from an accredited institution in bioengineering, biomedical engineering, immunology, cell / molecular biology, physiology, or a related field within the last five years, or currently pursuing a PhD in the disciplines indicated with an anticipated graduation date prior to September 30, 2024.
2. Proficiency with contemporary biomedical wet lab methodology and small and/or large animal models.
3. Specific research background in the area of extremity trauma is highly desired.
...</t>
  </si>
  <si>
    <t>Algorithm Development and Translation - Undergraduate Summer Internship at USARIEM</t>
  </si>
  <si>
    <t>1. Must be a U.S. Citizen
2. Bachelor's Degree received within the last 60 months or currently pursuing
3. Current student pursuing or have obtained a Bachelor's degree in a biomedical or computational science field (such as biomedical engineering or computer science)
...</t>
  </si>
  <si>
    <t>Neuroscience and Cognitive Performance Research Fellowship</t>
  </si>
  <si>
    <t>Fort Stewart, GA</t>
  </si>
  <si>
    <t>1. Candidates must have or be pursuing a Doctoral degree or a Master's degree or equivalent. Degree must have been received within five years of the appointment start date.
2. Experience in neuroscience/psychology/biomedical sciences or a related field.
3. Be self-motivated and able to function well within a collaborative laboratory environment.
...</t>
  </si>
  <si>
    <t>U.S. Army MRICD In Vitro and In Vivo Evaluation of Nerve Agent Intoxication Countermeasures Research Internship</t>
  </si>
  <si>
    <t>$51000-$80000 /yr</t>
  </si>
  <si>
    <t>1. Must be a U.S. Citizen.
2. Completed a bachelor's degree or higher before entering internship.
3. Degree must have been received within 5 years of appointment start date.
...</t>
  </si>
  <si>
    <t>Doctoral/Postdoctoral Fellowship in "Emergent Materials Enabled by Nanoscience, Synthetic Biology, and Machine Learning" at DEVCOM-SC</t>
  </si>
  <si>
    <t>1. Doctoral Degree received within the last 12 months or currently pursuing in any area of science or engineering relevant to materials research, nanoscience, synthetic biology, or machine learning
2. Training in nanomaterials research including synthesis, characterization, and assembly; or synthetic biology research and exposure to genetic engineering, microbial engineering, bioinformatics; or machine learning research experience applied to the design of materials</t>
  </si>
  <si>
    <t>Biomechanics Summer Internship for Military Performance Research</t>
  </si>
  <si>
    <t>1. Currently enrolled in a bachelor's degree program in bioengineering, biomechanics, kinesiology, or a relevant field
2. Must be able to pass a basic security clearance to obtain a common access card
3. Compliance with the host facility's Environmental, Safety, and Health (ES&amp;H) requirements, including COVID-19 requirements
...</t>
  </si>
  <si>
    <t>Military Injury Biomechanics Post-Doctoral Research Fellowship</t>
  </si>
  <si>
    <t>1. Doctoral degree from an Accreditation Board for Engineering &amp; Technology (ABET) program in engineering (aerospace, electrical, biomedical, mechanical, biomechanics, physics), or kinesiology, athletic training, exercise physiology.
2. Demonstrated experience in multiple of the following research areas: biomedical imaging / imaging analysis tools (CT, MRI, x-rays), high-speed imaging / analysis tools, biomedical instrumentation (load cells, accelerometers), musculoskeletal modeling, motion capture, data acquisition equipment, biomechanical research / testing with demonstrated injury biomechanics research, post-mortem human specimen research / data, and/or anthropomorphic test devices research, experience writing / developing research proposals for funding and research protocols for human subjects or PMHS research, experience programming, data acquisition, instrumentation, kinematic / video motion capture, and use of MATLAB or comparable software (Python), ability to read, understand and execute techniques / procedures within the quality standards / timelines prescribed by the research plan.</t>
  </si>
  <si>
    <t>Human Physiology/Psychology Research - Postgraduate</t>
  </si>
  <si>
    <t>1. Master's or Doctoral degree received or currently pursuing from an accredited Human Physiology and/or Research Psychology program with GPA 3.5+
2. Desire and ability to communicate both written and oral, and collaborate in various scientific environments (hands-on, laboratory, computer based)</t>
  </si>
  <si>
    <t>USAARL Human Factors Research Internship - Undergraduate</t>
  </si>
  <si>
    <t>1. Actively pursuing a Bachelor's degree in Engineering, Human Factors, Research Psychology, or Computer Science. Other comparable fields will be considered.
2. U.S. Citizen Only
3. Currently pursuing a Bachelor's Degree.
...</t>
  </si>
  <si>
    <t>Dredging Research: Integrating Resilience - Graduate Students, Master's, or Doctoral Degree</t>
  </si>
  <si>
    <t>1. Graduate student or received a master's or doctoral degree
2. Specific skills in resilience modeling, advanced statistical analyses, weighting scheme development, value of information analysis, and multi-criteria decision analysis
3. U.S. Citizen Only
...</t>
  </si>
  <si>
    <t>USAISR Engineering and Computer Science Fellowship</t>
  </si>
  <si>
    <t>1. Hold or be currently pursuing a PhD in engineering, computer science, or related field
2. Degree must have been received within five years of the appointment start date
3. Education and/or experience in collaborating with a multidisciplinary team
...</t>
  </si>
  <si>
    <t>AFRL Aerospace Physiology Research Fellowship</t>
  </si>
  <si>
    <t>1. Hold or be currently pursuing a bachelor’s or master's degree in biomedical engineering, physiology, kinesiology, exercise science, cognitive science or a related field of study
2. Experience in a research laboratory environment with human subjects
3. Competent using Microsoft Word, Excel, and Power Point
...</t>
  </si>
  <si>
    <t>Research Engineer: Injury Biomechanics--Blunt Impact Injury Prevention</t>
  </si>
  <si>
    <t>1. Bachelor's or Master's degree or will have completed by December 31, 2021
2. Degree must have been received within two years of the appointment start date
3. B.S. in related engineering (mechanical, aerospace, biomedical) field plus at least 4 years of experience in research, engineering or clinical setting
...</t>
  </si>
  <si>
    <t>Team Enhancement, Assessment, and Measurement (TEAM) Laboratory Research Fellow - Air Force Research Laboratory</t>
  </si>
  <si>
    <t>1. Currently pursuing a Masters or Doctorate degree in the Behavioral Sciences
2. Highly competitive candidates will have prior lab experience and some experience with team research
3. U.S. Citizen Only
...</t>
  </si>
  <si>
    <t>Cold Regions Research and Engineering Laboratory - 2024 Spring/Summer Intern Program</t>
  </si>
  <si>
    <t>Hanover, NH</t>
  </si>
  <si>
    <t>1. U.S. Citizen Only
2. High School Diploma/GED, Associate's Degree, Bachelor's Degree, Master's Degree, or Doctoral Degree received within the last 60 months or currently pursuing
3. STEM students and recent graduates
...</t>
  </si>
  <si>
    <t>1. Current student pursuing a Bachelor's degree in a biomedical or computational science field (such as biomedical engineering, or computer science) or related sub-disciplines: Chemical Engineering, Electrical Engineering, Mechanical Engineering
2. Familiarity with advanced coding languages such as C# and Java, and have demonstrated this in developing their own programs
3. Experience programming within statistical software programs (such as Matlab or equivalent)
...</t>
  </si>
  <si>
    <t>Machine Learning Research Internship at Air Force Research Laboratory (AFRL)</t>
  </si>
  <si>
    <t>1. Currently pursuing a Bachelor's Degree
2. U.S. Citizen Only
3. Discipline(s): Communications and Graphics Design, Science Writing, Computer, Information, and Data Sciences, Data Science, Scientific Computing and Informatics, Mathematics and Statistics, Applied Mathematics, Probability and Statistics</t>
  </si>
  <si>
    <t>Undergraduate Molecular toxicology and Ecotoxicology Research Internship</t>
  </si>
  <si>
    <t>1. Currently pursuing an associate or bachelor's degree in biology, chemistry, environmental sciences or a related field.
2. U.S. Citizen Only
3. Overall GPA: 3.00
...</t>
  </si>
  <si>
    <t>Data Management and Handling Project Fellow - Master's level</t>
  </si>
  <si>
    <t>1. Earned Master's degree in Computer, Information and Data Sciences within the past 60 months or expected to earn a master's degree in one of these disciplines by June 1, 2024
2. Minimum GPA of 3.0
3. Must be able to obtain and hold a security clearance and pass random drug screening
...</t>
  </si>
  <si>
    <t>Anti-Shock Intervention Research Study</t>
  </si>
  <si>
    <t>1. Bachelor's or Master's degree in Chemistry and Materials Sciences, Engineering, or Life Health and Medical Sciences
2. Degree must have been received within five years of the appointment start date
3. U.S. military veterans who have been honorably discharged (or who have been medically discharged because of a service-connected disability) and who received a Bachelor's or Master's degree within ten years of the desired start date are also eligible
...</t>
  </si>
  <si>
    <t>Extreme Cold Environments Manikin Development Research Fellowship</t>
  </si>
  <si>
    <t>1. Background in biology and biomedical engineering
2. Currently pursuing a Bachelor's Degree
3. Citizenship: LPR or U.S. Citizen
...</t>
  </si>
  <si>
    <t>Applied Science Research - Undergraduate</t>
  </si>
  <si>
    <t>Patterson, OH</t>
  </si>
  <si>
    <t>1. Undergraduate student in a STEM program; desire and ability to collaborate in various environments (hands-on, laboratory, computer based).
2. Citizenship: U.S. Citizen Only
3. Degree: Currently pursuing a High School Diploma/GED, Associate's Degree, or Bachelor's Degree to be received by 5/31/2026 11:59:00 PM.
...</t>
  </si>
  <si>
    <t>U.S. Army MRICD Inhalation Toxicology Researcher</t>
  </si>
  <si>
    <t>$70000-$80000 /yr</t>
  </si>
  <si>
    <t>1. Applicant should have completed a Ph.D. in biochemistry, molecular biology, chemical engineering, chemistry, or a related field within the past five years or will be receiving their degree within the next 6 months.
2. Experience with at least one of the following is highly desired: inhalation exposure, aerosol generation, •in silico• modeling, or biochemical assay development.
3. Candidate must be willing to handle animals, human tissues, and cultured cells.
...</t>
  </si>
  <si>
    <t>EPA Fellowship in Geospatial Data Science - Carbon Storage and Sequestration in Wetlands and Upland Forests</t>
  </si>
  <si>
    <t>1. Master's or Doctoral degree in relevant fields, or currently pursuing with degree completion before the appointment start date
2. U.S. Citizen Only
3. Degree: Master's Degree or Doctoral Degree received within the last 60 months or currently pursuing
...</t>
  </si>
  <si>
    <t>Research Engineer: Musculoskeletal Injury Prevention and Protection</t>
  </si>
  <si>
    <t>1. Bachelor's or Master's degree in related engineering (mechanical, aerospace, biomedical) field
2. At least 4 years' experience in research, engineering, or clinical setting
3. Degree received within five years of the appointment start date
...</t>
  </si>
  <si>
    <t>EACE Rehabilitation Research Internship</t>
  </si>
  <si>
    <t>1. Graduated or completing a Bachelor's, Master's or Doctoral degree in rehabilitation or a related field within the past 60 months of the appointment start date or anticipated to be received by December 30, 2024
2. Minimum 1-2 years of experience working with clinically relevant outcome measures used in rehabilitation research
3. Experience in the fields of rehabilitation, collection of clinical outcome measures, clinical rehabilitation background, or related fields
...</t>
  </si>
  <si>
    <t>USFS Undergraduate Research Fellowship</t>
  </si>
  <si>
    <t>Walla Walla, WA</t>
  </si>
  <si>
    <t>1. Currently pursuing or have received an associate's or bachelor's degree in one of the relevant fields within the past year, or currently pursuing
2. Degree: Associate's Degree or Bachelor's Degree received within the last 12 months or currently pursuing
3. Discipline(s): Environmental and Marine Sciences, Environmental Sciences, Environmental Studies, Fish and Wildlife, Fisheries, Forest Resources and Science, Forestry Sciences, Natural Resources, Wildlife Management, Life Health and Medical Sciences, Agricultural Sciences, Animal Behavior, Animal Sciences, Biology (General), Ecology, Ecosystem Ecology, Evolutionary Biology, Population and Community Ecology, Wildlife Sciences, Zoology (General)</t>
  </si>
  <si>
    <t>High School Student 2024 STEM Summer Intern Program at Cold Regions Research and Engineering Laboratory</t>
  </si>
  <si>
    <t>1. Rising Junior and Senior high school students
2. Interested in hands-on experience in a real-world laboratory environment
3. Expect to receive a high school diploma/GED by May 31, 2024
...</t>
  </si>
  <si>
    <t>AFRL: Brain-Computer Interface Research Fellowship</t>
  </si>
  <si>
    <t>1. Must have completed or currently be pursuing a bachelor's or master's degree. Degree must be received within six months.
2. Citizenship: U.S. Citizen Only
3. Degree: Bachelor's Degree or Master's Degree received within the last 60 months or anticipated to be received by 1/1/2025 11:59:00 PM.
...</t>
  </si>
  <si>
    <t>Military Injury Biomechanics Post-Graduate Research Fellowship</t>
  </si>
  <si>
    <t>$52000-$60000 /yr</t>
  </si>
  <si>
    <t>1. Minimum of a bachelor's degree from an Accreditation Board for Engineering &amp; Technology (ABET) program in engineering (aerospace, electrical, biomedical, mechanical, biomechanics, physics); or kinesiology, athletic training, and exercise physiology.
2. Demonstrated experience in biomedical imaging / imaging analysis tools (CT, MRI, x-rays), high-speed imaging / analysis tools, biomedical instrumentation (load cells, accelerometers), musculoskeletal modeling, motion capture, data acquisition equipment, biomechanical research / testing with demonstrated injury biomechanics research, postmortem human specimen research / data and/or anthropomorphic test devices research.
3. Experience in programming, data acquisition, instrumentation, kinematic and video motion capture, and use of MATLAB highly preferred.
...</t>
  </si>
  <si>
    <t>Collaborative Hypersonic And Missile Defense Research</t>
  </si>
  <si>
    <t>1. Bachelor's, Master's, or Doctoral degree in a STEM field
2. Citizenship: U.S. Citizen Only
3. Degree: Bachelor's Degree, Master's Degree, or Doctoral Degree received within the last 60 months or currently pursuing
...</t>
  </si>
  <si>
    <t>Musculoskeletal Injury Research Fellowship with Focus on Post-Operative Recovery: Post Associates or Higher</t>
  </si>
  <si>
    <t>1. Received an associate’s degree or higher in physical therapy assisting, athletic training, kinesiology, exercise physiology, or related discipline
2. U.S. Citizenship
3. Excellent organizational skills
...</t>
  </si>
  <si>
    <t>Paper Mill Engineering Co-op - Macon, GA - Fall 2024</t>
  </si>
  <si>
    <t>Irving Tissue</t>
  </si>
  <si>
    <t>Forestry, Manufacturing</t>
  </si>
  <si>
    <t>1. Enrolled in Engineering Degree: Chemical, and/or Pulp &amp; Paper Science
2. Must have excellent interpersonal, organizational and communication skills
3. The following engineering courses are applicable: Fluid Mechanics, Process Control, Heat and Mass Transfer, Physics, Chemical Engineering, Organic/Inorganic Chemistry, and Statistics
...</t>
  </si>
  <si>
    <t>1. GUI design and programming experience
2. US citizen</t>
  </si>
  <si>
    <t>Intern – Robotics Software Simulation</t>
  </si>
  <si>
    <t>Bonsai Robotics</t>
  </si>
  <si>
    <t>1. Currently pursuing a Bachelor's degree or higher in computer science, mechanical, aerospace or any robotics related field
2. Previous experience in robotics or autonomous systems through internships, teams, clubs, previous jobs, etc
3. Previous experience in Gazebo or other simulators
...</t>
  </si>
  <si>
    <t>Overhead Door Corporation</t>
  </si>
  <si>
    <t>1. Able to read and understand work instructions in English
2. Current college student</t>
  </si>
  <si>
    <t>Automation Intern - Trento - Financial Services</t>
  </si>
  <si>
    <t>Trento</t>
  </si>
  <si>
    <t>1. Hai conseguito o stai conseguendo una laurea magistrale in ingegneria gestionale oppure in economia
2. Parli e scrivi in inglese fluentemente
3. Sei in grado di trovare soluzioni funzionali e innovative a progetti complessi
...</t>
  </si>
  <si>
    <t>Student:in (m/w/d) Digitalisierungsmanagement (Duales Studium)</t>
  </si>
  <si>
    <t>Dedalus CandG</t>
  </si>
  <si>
    <t>DEU - Jena</t>
  </si>
  <si>
    <t>1. Allgemeine Hochschulreife/Abitur
2. Du möchtest bei der DHGE (Duale Hochschule Gera-Eisenach) studieren und gleichzeitig dein Praxisausbildung bei uns beginnen
3. Ein freundliches, weltoffenes und serviceorientiertes Auftreten ist für Dich selbstverständlich
...</t>
  </si>
  <si>
    <t>1. Bachelor’s in Civil Engineering or completion of a minimum of 40 college hours of engineering coursework towards BS in Civil Engineering of which at least 24 hours are engineering, physics or math related.
2. Written recommendation from a civil engineering professor</t>
  </si>
  <si>
    <t>CO-OP ENGINEER SUMMER 2024</t>
  </si>
  <si>
    <t>1. Must be a full-time undergraduate student, enrolled in a cooperative engineering program in a 4-year college or university.
2. Must maintain a 2.5 or higher grade point average.
3. It is expected that the co-op will complete a minimum of three work rotations.</t>
  </si>
  <si>
    <t>1. Participates in hands-on product development and CAD Design.
2. Analyze CAD data to update ERP system.
3. Assists with addressing manufacturing change requests.
...</t>
  </si>
  <si>
    <t>Postdoctoral Scholar in the Neuromuscular Mechanics lab</t>
  </si>
  <si>
    <t>1. Expertise in neuromuscular physiology, musculoskeletal biomechanics, sensorimotor control and/or modeling and simulation of locomotion.
2. A PhD in a relevant field such as biology, engineering, kinesiology, physics, or mathematics by the start date.
3. A peer-reviewed publication record that is appropriate for career stage.
...</t>
  </si>
  <si>
    <t>Internship - 2024 (Zurich location)</t>
  </si>
  <si>
    <t>The AI Institute</t>
  </si>
  <si>
    <t>Zurich</t>
  </si>
  <si>
    <t>1. MS and PhD students in a robotics-relevant field at a top university
2. Good grasp of a broad set of techniques related to state and world estimation, active control of dynamic systems and planning/cognitive challenges of these types of systems
3. Expertise with at least one programming language (Python, C++, C) or proven track record in electronics/hardware design
...</t>
  </si>
  <si>
    <t>Alternant – Conseil en Transformation F/H</t>
  </si>
  <si>
    <t>Deloitte</t>
  </si>
  <si>
    <t>Strasbourg</t>
  </si>
  <si>
    <t>1. Etudiant-e en préparation d’un Master 2 d’une école de commerce, d'ingénieurs, IEP ou d'université où vous avez développé une forte sensibilité pour la transformation SI
2. Diplomate, votre excellent sens relationnel vous permet d'être à l'aise avec différents niveaux d'interlocuteurs
3. Enthousiaste, dynamique, impliqué(e), avec l'esprit entrepreneur et un bon niveau d'autonomie
...</t>
  </si>
  <si>
    <t>Development Engineering - Fall 2024 Co-Op</t>
  </si>
  <si>
    <t>Oshkosh AeroTech, LLC</t>
  </si>
  <si>
    <t>Warrenton, OR</t>
  </si>
  <si>
    <t>1. Currently enrolled as a Junior or Senior in Mechanical Engineering or Mechanical Engineering Technology; or graduate of Mechanical Engineering, or Mechanical Engineering Technology (less than one year); or currently enrolled in a Mechanical Engineering Masters Program
2. Manufacturing, Mechanical or Industrial Engineering students preferred
3. Fundamental understanding of hydraulic, pneumatic, and electrical systems
...</t>
  </si>
  <si>
    <t>1. GUI design and programming experience
2. Must be a US citizen</t>
  </si>
  <si>
    <t>Planning Analyst - Intern</t>
  </si>
  <si>
    <t>Hantz Group</t>
  </si>
  <si>
    <t>Crowdfunding, Finance</t>
  </si>
  <si>
    <t>Finance</t>
  </si>
  <si>
    <t>Meridian Charter Township, MI</t>
  </si>
  <si>
    <t>1. Pursuing a Bachelor’s Degree
2. Interest in pursuing a career in financial services
3. Availability to work 20-25 hours a week
...</t>
  </si>
  <si>
    <t>2025 Tax Intern</t>
  </si>
  <si>
    <t>Olsen Thielen and Co., Ltd.</t>
  </si>
  <si>
    <t>Tax and Audit</t>
  </si>
  <si>
    <t>Roseville, MN</t>
  </si>
  <si>
    <t>1. Must be enrolled in a bachelor's or master's degree in Accounting
2. Ability and motivated about working overtime as needed
3. Strong attention to detail
...</t>
  </si>
  <si>
    <t>2026 Tax Intern</t>
  </si>
  <si>
    <t>Winona, MN</t>
  </si>
  <si>
    <t>Investment Associate Intern - 2025</t>
  </si>
  <si>
    <t>Bridgewater Associates</t>
  </si>
  <si>
    <t>Westport, CT</t>
  </si>
  <si>
    <t>$41000-$41000 total</t>
  </si>
  <si>
    <t>1. Eligible to work in the United States for a minimum of 3 years from the candidate's start date.
2. Deep curiosity and a drive to understand complex systems, like markets and economies.
3. Ability to take abstract concepts and turn them into concrete solutions that solve challenging problems in markets and economies.
...</t>
  </si>
  <si>
    <t>2025 - Credit Delivery - Commercial Real Estate - Analyst Program (Intern Conversion)</t>
  </si>
  <si>
    <t>Truist</t>
  </si>
  <si>
    <t>1. Completed BA/BS degree with a scheduled graduation of December 2024 or May/June 2025
2. Must have been a 2024 Truist Intern
3. Proven analytical ability and attention to detail
...</t>
  </si>
  <si>
    <t>2025 Spring Audit Internship - Portland</t>
  </si>
  <si>
    <t>BerryDunn — Assurance, Tax and Consulting</t>
  </si>
  <si>
    <t>1. Currently enrolled as a student in an Accounting or related business program
2. Available to work a minimum of 24 hours per week over three business days (opportunities for 40 hours during summer session)
3. Must be legally authorized to work in the United States without the need for employer sponsorship, now or at any time in the future.
...</t>
  </si>
  <si>
    <t>2025 Summer Audit Internship - Bangor</t>
  </si>
  <si>
    <t>Finance Intern</t>
  </si>
  <si>
    <t>CTS Engines</t>
  </si>
  <si>
    <t>1. Pursuing a college or university degree in Finance or a related field (must be in Junior or Senior year)
2. Analytical mindset with a keen attention to detail.
3. Ability to apply logical thinking to define problems, collect data, establish facts and draw valid conclusions.
...</t>
  </si>
  <si>
    <t>2025 Truist Securities - Fixed Income S&amp;T (Sales, Trading &amp; Research) - Analyst Program (Intern Conversion)</t>
  </si>
  <si>
    <t>$100000-$100000 /yr</t>
  </si>
  <si>
    <t>1. Completed BA/BS degree with a scheduled graduation of December 2024 – May/June 2025
2. Proven analytical ability and attention to detail
3. Solid leadership and interpersonal skills
...</t>
  </si>
  <si>
    <t>2025 Truist Securities - Equity Capital Markets (Capital Markets) - Analyst Program (Intern Conversion)</t>
  </si>
  <si>
    <t>1. Completed BA/BS degree with a scheduled graduation of December 2024 or May/June 2025
2. Proven analytical ability and attention to detail
3. Solid leadership and interpersonal skills
...</t>
  </si>
  <si>
    <t>2025 Truist Securities - Investment Banking - Analyst Program (Intern Conversion)</t>
  </si>
  <si>
    <t>2025 Spring Audit Internship - Waltham</t>
  </si>
  <si>
    <t>Waltham, MA</t>
  </si>
  <si>
    <t>2025 Summer Outsourced Accounting Internship</t>
  </si>
  <si>
    <t>1. Currently enrolled in a BA/BS degree in Accounting preferred
2. Must be legally authorized to work in the United States without the need for employer sponsorship, now or at any time in the future.
3. Strong attention to detail and organizational skills required
...</t>
  </si>
  <si>
    <t>2025 Summer Audit Internship - Manchester</t>
  </si>
  <si>
    <t>2025 Spring Audit Internship - Bangor</t>
  </si>
  <si>
    <t>2025 Truist Securities - Investment Grade Debt Capital Markets (Capital Markets) - Analyst Program (Intern Conversion)</t>
  </si>
  <si>
    <t>2025 Truist Securities - Equity Research (Sales, Trading &amp; Research) - Analyst Program (Intern Conversion)</t>
  </si>
  <si>
    <t>Assurance Intern - Fall 2024 (Raleigh)</t>
  </si>
  <si>
    <t>1. Enrolled in a Bachelors or Masters program in Accounting
2. Proficient in Microsoft Office Suite, specifically Word, Excel and PowerPoint</t>
  </si>
  <si>
    <t>2025 Spring Audit Internship - Manchester</t>
  </si>
  <si>
    <t>2025 Summer Audit Internship - Portland</t>
  </si>
  <si>
    <t>2025 Summer Audit Internship - Waltham</t>
  </si>
  <si>
    <t>2025 - Credit Delivery - Asset Based Lending (Structured Credit) - Analyst Program (Intern Conversion)</t>
  </si>
  <si>
    <t>1. Completed BA/BS degree with a scheduled graduation December 2024 or May/June 2025
2. Must have been a 2024 Truist Intern
3. Proven analytical ability and attention to detail
...</t>
  </si>
  <si>
    <t>Fall 2024 Part-time- Cash Conversion Intern</t>
  </si>
  <si>
    <t>TQL</t>
  </si>
  <si>
    <t>1. Current students pursuing a degree in accounting, finance or a related field
2. Familiarity with payment types including but not limited to credit card, check and ACH
3. Exceptional attention to detail while operating in a fast-paced work environment
...</t>
  </si>
  <si>
    <t>Capital Planning Data Assistant (Co-op)</t>
  </si>
  <si>
    <t>Massachusetts School Building Authority (MSBA)</t>
  </si>
  <si>
    <t>1. Must be enrolled in, or recently graduated from, a degree program leading to a Bachelor’s or Master's in an analytical based subject
2. Legally eligible to work in the U.S</t>
  </si>
  <si>
    <t>2025 Summer Intern: Supply Chain Finance</t>
  </si>
  <si>
    <t>PepsiCo</t>
  </si>
  <si>
    <t>Brand Marketing, Fast-Moving Consumer Goods</t>
  </si>
  <si>
    <t>$20.50-$39.60 /h</t>
  </si>
  <si>
    <t>1. Currently pursuing a degree in: Finance and/or Accounting (other related majors will be considered)
2. Demonstrated interest in cost accounting and operations through coursework and/or previous internships
3. Strong people/communication skills to manage information gathering requests
...</t>
  </si>
  <si>
    <t>Wytheville, VA</t>
  </si>
  <si>
    <t>2025 Summer Intern: Corporate Audit</t>
  </si>
  <si>
    <t>$32.25-$46.50 /h</t>
  </si>
  <si>
    <t>1. Currently pursuing one of the following degrees with graduation date within two years of internship completion: Master’s degree in Accounting or Professional Program in Accounting (PPA/4+1), Master’s degree in Management of Information Systems (MIS) or 4+1, Master’s in Business Administration (MBA)
2. Intent to complete one or more of the following audit certifications upon graduation: Certified Public Accountant (CPA), Institute of Internal Auditors Certified Internal Auditor (IIA CIA), ISACA Certified Information Systems Auditor (CISA)
3. Fluency in written and spoken English
...</t>
  </si>
  <si>
    <t>Tolleson, AZ</t>
  </si>
  <si>
    <t>Purchase, NY</t>
  </si>
  <si>
    <t>2025 Summer Intern: Accounting Control- Purchase</t>
  </si>
  <si>
    <t>1. Interest in pursuing CPA and Big 4 track required
2. Currently pursuing a degree in: Accounting
3. Proficiency in Excel and Power Point
...</t>
  </si>
  <si>
    <t>2025 Summer Intern: Accounting Control- Chicago</t>
  </si>
  <si>
    <t>1. Currently pursuing a degree in: Accounting
2. GPA of 2.75 and above
3. Proficiency in Excel, Power Point, and key accounting system (Oracle or SAP) knowledge a plus
...</t>
  </si>
  <si>
    <t>Bridgeview, IL</t>
  </si>
  <si>
    <t>Summer 2025 Mars Finance Internship Experience</t>
  </si>
  <si>
    <t>Mars</t>
  </si>
  <si>
    <t>Confectionery, Consumer Goods</t>
  </si>
  <si>
    <t>1. Agile students who have a drive for results and a desire to learn
2. Ability to quickly build relationships
3. Students who are passionate about the consumer products industry
...</t>
  </si>
  <si>
    <t>Franklin, TN</t>
  </si>
  <si>
    <t>Intern-Accounts Payable</t>
  </si>
  <si>
    <t>R+L Global Logistics</t>
  </si>
  <si>
    <t>1. High school Diploma or GED required
2. Proficient in Microsoft Office Suite including Outlook, Excel and Word
3. Must possess strong communication skills, both written and oral, and inter-personal skills, with the ability to clearly professionally communicate with people in all levels of the organization
...</t>
  </si>
  <si>
    <t>Fall Co-op Intern - Analytics Analyst</t>
  </si>
  <si>
    <t>NFP</t>
  </si>
  <si>
    <t>Norwell, MA</t>
  </si>
  <si>
    <t>1. Proficient in Excel. Comfortable with technology
2. Demonstrated leadership experience in college, community, internship, or co-op experience
3. Strong organizational skills with the ability to handle multiple tasks in a fast-paced environment
...</t>
  </si>
  <si>
    <t>Finance - Intern</t>
  </si>
  <si>
    <t>Chefs Warehouse</t>
  </si>
  <si>
    <t>Catering, Food and Beverage</t>
  </si>
  <si>
    <t>Ridgefield, CT</t>
  </si>
  <si>
    <t>1. Must be enrolled in an accredited university/college in Junior or Senior year (At least 18 years of age)
2. Your degree should be business related (ie., Business Admin., Mgmt., etc.)
3. Availability to work a hybrid schedule 40 hours/week throughout summer break
...</t>
  </si>
  <si>
    <t>Tax Internship (Spring 2025 or Spring 2026)</t>
  </si>
  <si>
    <t>Katz , Sapper &amp; Miller</t>
  </si>
  <si>
    <t>Accounting, Professional Services</t>
  </si>
  <si>
    <t>1. Working towards an Undergraduate or Master's Degree in Business or Accounting.
2. On track for CPA Eligibility upon graduation
3. Outstanding students with a minimum overall GPA of a 3.0
...</t>
  </si>
  <si>
    <t>Transaction Advisory Services Internship (Fall 2024, Spring 2025, Summer 2025)</t>
  </si>
  <si>
    <t>1. Working towards an Undergraduate or Master's Degree in Accounting or Finance
2. Outstanding students with a minimum overall GPA of a 3.0
3. The ability to work effectively in a team environment with all levels of client personnel in various industries
...</t>
  </si>
  <si>
    <t>Part-Time Tax Internship (Spring 2025 or Fall 2025)</t>
  </si>
  <si>
    <t>Tax Internship (Summer 2025)</t>
  </si>
  <si>
    <t>Office of Equity and Investment Funds Internship</t>
  </si>
  <si>
    <t>U.S. International Development Finance Corp</t>
  </si>
  <si>
    <t>Banking, Business Development</t>
  </si>
  <si>
    <t>1. Applicants must be U.S. citizens enrolled at least part-time in an accredited institution of higher education pursuing a degree (minimum of 60 credit hours) in Business, Economics and Finance.
2. Successful completion of a background investigation is also required.</t>
  </si>
  <si>
    <t>CRM Credit Analyst I Intern</t>
  </si>
  <si>
    <t>1. Bachelor’s degree.
2. Ability to analyze data in English and Chinese.
3. Ability to conduct financial analysis in English and Chinese.
...</t>
  </si>
  <si>
    <t>Financial Analyst Intern</t>
  </si>
  <si>
    <t>CMAC Partners</t>
  </si>
  <si>
    <t>Winter Park, FL</t>
  </si>
  <si>
    <t>1. MBA GPA 3.7 or higher
2. Strong analytical and finance skills
3. Excellent oral and written communication skills
...</t>
  </si>
  <si>
    <t>Accounting Intern</t>
  </si>
  <si>
    <t>Nabidios</t>
  </si>
  <si>
    <t>$27.64-$38.46 /h</t>
  </si>
  <si>
    <t>1. An undergraduate or graduate degree in Accounting.
2. A demonstrable plan for passing the CPA exam.
3. The ability and willingness to travel and work in excess of standard hours when necessary.
...</t>
  </si>
  <si>
    <t>R.A Jones</t>
  </si>
  <si>
    <t>Customer Service, Machinery Manufacturing</t>
  </si>
  <si>
    <t>1. Pursuing a BS in Accounting or Business strongly preferred.
2. Knowledge of accounting and tax fundamentals
3. Advanced computer skills, proficient in Microsoft Excel.
...</t>
  </si>
  <si>
    <t>Global Accounting &amp; Finance Intern</t>
  </si>
  <si>
    <t>FGS Global</t>
  </si>
  <si>
    <t>1. Currently enrolled in a bachelor's degree program in Accounting, Finance, or a related field.
2. Strong analytical and problem-solving skills with a meticulous attention to detail.
3. Proficient in Microsoft Office Suite (Excel, Word, PowerPoint) and comfortable working with spreadsheets.
...</t>
  </si>
  <si>
    <t>Audit Internship (Spring 2025 or Spring 2026)</t>
  </si>
  <si>
    <t>Audit Internship (Spring 2026)</t>
  </si>
  <si>
    <t>Accounting Specialist (Intern)</t>
  </si>
  <si>
    <t>BAL</t>
  </si>
  <si>
    <t>Consulting, Customer Service</t>
  </si>
  <si>
    <t>1. Entry level position with no related experience required
2. College coursework in Accounting or related field
3. Experienced with Microsoft Office software, primarily Excel
...</t>
  </si>
  <si>
    <t>Accounting Paid Intern (Part-Time) - Special Projects Department</t>
  </si>
  <si>
    <t>1. Enrollment in a degree in Accounting, Finance, or Business with two years completed (minimum).
2. Fundamental understanding and grasp of Accounting Principles and concepts.
3. Self-motivated, organized, professional, and able to handle multiple work assignments.
...</t>
  </si>
  <si>
    <t>Audit Intern - Winter 2025</t>
  </si>
  <si>
    <t>1. Bachelor Degree
2. Accounting
3. Required cumulative GPA: 3.0
...</t>
  </si>
  <si>
    <t>Audit Internship (Summer 2025)</t>
  </si>
  <si>
    <t>2025 Spring Outsourced Accounting Internship</t>
  </si>
  <si>
    <t>Finance Internship</t>
  </si>
  <si>
    <t>1. Applicants must be United States citizens actively enrolled in a relevant graduate degree program in an accredited college or university on at least part-time basis.
2. Specific programs include: Finance, Accounting, International Affairs, International Development, International Relations or International Economics.
3. Actively enrolled means that you have not had a break of more than 5 months since your last course.
...</t>
  </si>
  <si>
    <t>Student Worker, Financial Services</t>
  </si>
  <si>
    <t>1. High school diploma or equivalent, required.
2. Must be currently enrolled in college working towards a degree.
3. Must be able to maintain highly confidential information.</t>
  </si>
  <si>
    <t>Sustainable and Inclusive Finance Internship</t>
  </si>
  <si>
    <t>1. Applicants must be United States citizens actively enrolled at least part-time in an accredited college or university in a relevant graduate degree program.
2. The ideal candidate should have a graduate level academic concentration in business, international affairs/development, economics, or finance.
3. Previous experience within a financial institution, social enterprise, and/or impact investing is highly desired.
...</t>
  </si>
  <si>
    <t>Accounting Co-op/Intern - Summer 2025</t>
  </si>
  <si>
    <t>Accounting Intern - Boise, ID (Fall 2024)</t>
  </si>
  <si>
    <t>Myers and Stauffer</t>
  </si>
  <si>
    <t>1. Intern must be working toward a Bachelor’s or Master’s degree in accounting or related field
2. Strong analytical and problem solving skills
3. Strong verbal and written communication skills
...</t>
  </si>
  <si>
    <t>2025 Staff Accountant Intern - St. Louis</t>
  </si>
  <si>
    <t>Novogradac</t>
  </si>
  <si>
    <t>$26-$26 /h</t>
  </si>
  <si>
    <t>1. Working toward a Bachelor’s degree, preferably in accounting or finance (obtained degree is a plus), and/or appropriate balance of education and work experience
2. GPA of 3.20 or higher
3. Exhibit a basic understanding of accounting and tax rules
...</t>
  </si>
  <si>
    <t>Financial Analyst</t>
  </si>
  <si>
    <t>NCR Voyix</t>
  </si>
  <si>
    <t>1. Manage and analyze over 1,300 invoices, ensuring accuracy and efficiency in billing processes.
2. Conduct detailed financial analysis to support business decisions.
3. Collaborate with cross-functional teams to streamline billing operations.
...</t>
  </si>
  <si>
    <t>Student Associate Tax 2024</t>
  </si>
  <si>
    <t>FORVIS</t>
  </si>
  <si>
    <t>1. Working toward a bachelor's or master's degree in accounting from an accredited college or university
2. Ability to balance academic schedule with the workload for multiple clients and projects while consistently meeting deadlines
3. Strong communication skills, both written and verbal
...</t>
  </si>
  <si>
    <t>Small Business Accountant</t>
  </si>
  <si>
    <t>Hovee &amp; Co</t>
  </si>
  <si>
    <t>1. Open to/planning on obtaining an accounting or tax credential (CPA or EA)
2. Associates in Accounting or general Bachelor's degree, or the ability to obtain one during the program
3. Comfortable using Excel and other Microsoft products.</t>
  </si>
  <si>
    <t>INTERNATIONAL ACCOUNTANT</t>
  </si>
  <si>
    <t>ASA Electronics</t>
  </si>
  <si>
    <t>Consumer Goods, Drones</t>
  </si>
  <si>
    <t>1. Strong written and oral language skills in both Chinese (Mandarin) and English
2. Bachelor’s Degree in Accounting or Finance
3. Skill set required critical thinking, attention to detail, analytical skills and good interpersonal skills
...</t>
  </si>
  <si>
    <t>2025 Summer Internship Program – Singapore</t>
  </si>
  <si>
    <t>BlackRock</t>
  </si>
  <si>
    <t>Asset Management, Crowdfunding</t>
  </si>
  <si>
    <t>1. Must have the right to work in Singapore
2. Candidates must be graduating from an undergraduate or a master’s degree program between September 2025 and August 2026</t>
  </si>
  <si>
    <t>Greater Chicago Area</t>
  </si>
  <si>
    <t>Accounting Paid Internship (On-Site Opportunity Only)</t>
  </si>
  <si>
    <t>TLF Apparel</t>
  </si>
  <si>
    <t>Apparel, E-Commerce</t>
  </si>
  <si>
    <t>1. Currently enrolled and pursuing a degree in Finance or Accounting
2. Attending an accredited college/university
3. Detail-oriented and deadline driven
...</t>
  </si>
  <si>
    <t>2025 Risk Advisory Summer Intern</t>
  </si>
  <si>
    <t>1. Must be pursuing a bachelor’s or master’s degree in Accounting or related field (e.g., Business Administration, Finance, Management Information Systems (MIS), etc.)
2. Must have an anticipated graduation date between December 2025 and August 2026, and be available to begin full-time work between January 2026-October 2026</t>
  </si>
  <si>
    <t>Accounting Internship- Summer 2025</t>
  </si>
  <si>
    <t>Wipfli LLP</t>
  </si>
  <si>
    <t>1. Pursuing a Bachelors or Masters degree in Accounting (completion of corporate or individual taxation class is required)
2. Above average competency in accounting as demonstrated by college GPA; Preffered 3.0 GPA or higher
3. Working towards eligibility to sit for CPA exam upon graduation (150 credits)
...</t>
  </si>
  <si>
    <t>Summer 2025 Audit Intern - Coral Gables</t>
  </si>
  <si>
    <t>Cherry Bekaert</t>
  </si>
  <si>
    <t>$26-$33 /h</t>
  </si>
  <si>
    <t>1. Juniors or seniors enrolled in an accredited accounting or related program, two years from graduation
2. Proficiency with computers and spreadsheet software programs
3. Ability to travel to client sites as needed, including frequent same-day travel</t>
  </si>
  <si>
    <t>Tax Intern - Spring 2025 (Huntsville, AL)</t>
  </si>
  <si>
    <t>Carr, Riggs &amp; Ingram</t>
  </si>
  <si>
    <t>1. Must be enrolled as a student in an accredited college or university with a major in accounting
2. Demonstrated written and oral communication skills
3. Demonstrated ability to work independently and as a team
...</t>
  </si>
  <si>
    <t>Japanese Business Services Audit or Tax - Intern (2025)</t>
  </si>
  <si>
    <t>Plante Moran</t>
  </si>
  <si>
    <t>1. Detail-oriented leader with problem solving, communication, and analytical skills.
2. Academic success (a minimum cumulative GPA of 3.0).
3. Pursuing a Bachelor’s degree with an emphasis in accounting; or Master’s degree in accounting or tax.
...</t>
  </si>
  <si>
    <t>Audit &amp; Assurance Intern - Winter 2025</t>
  </si>
  <si>
    <t>Grant Thornton</t>
  </si>
  <si>
    <t>1. Bachelor’s or Master’s degree in Accounting
2. Minimum Major And Overall GPA Of 3.0/4.0
3. Excellent analytical, communication (written and verbal) and interpersonal skills
...</t>
  </si>
  <si>
    <t>Tax Intern - Spring 2025 (New Bern, NC)</t>
  </si>
  <si>
    <t>New Bern, NC</t>
  </si>
  <si>
    <t>Assurance Intern - Summer 2025 (Anchorage)</t>
  </si>
  <si>
    <t>$22-$30 /h</t>
  </si>
  <si>
    <t>1. Enrolled in a Bachelors or Masters program in Accounting, required
2. Actively pursuing school credits to become a CPA
3. Proficient in Microsoft Office Suite, specifically Word, Excel and PowerPoint, required</t>
  </si>
  <si>
    <t>2025 Summer Intern: Strategic Finance- MBA</t>
  </si>
  <si>
    <t>$55-$56 /h</t>
  </si>
  <si>
    <t>1. Currently concentrating in: Finance (other related concentrations will be considered)
2. 3+ years of work experience
3. Bright, self-starting, innovative thinkers who are passionate about consumer products and have an interest in Corporate Finance
...</t>
  </si>
  <si>
    <t>Tax Intern - Spring 2025 (Houston, TX)</t>
  </si>
  <si>
    <t>Summer 2025 Tax Intern - Austin</t>
  </si>
  <si>
    <t>1. Juniors or seniors enrolled in an accredited accounting or related program, two years from graduation
2. Cumulative GPA of 3.0/4.0 or above preferred, but not required
3. Proficiency with computers and spreadsheet software programs
...</t>
  </si>
  <si>
    <t>Spring 2025 Tax Intern - Orland Park</t>
  </si>
  <si>
    <t>Orland Park, IL</t>
  </si>
  <si>
    <t>Credits, Incentives, &amp; Methods Tax Intern - Summer 2025</t>
  </si>
  <si>
    <t>RSM</t>
  </si>
  <si>
    <t>$31-$36 /h</t>
  </si>
  <si>
    <t>1. 90 credit hours completed
2. Working towards B.A. / B.S. degree or equivalent from accredited university
3. Accounting Major
...</t>
  </si>
  <si>
    <t>$31-$37 /h</t>
  </si>
  <si>
    <t>Tax Intern</t>
  </si>
  <si>
    <t>TotalEnergies Ventures</t>
  </si>
  <si>
    <t>1. Enrolled in a bachelors or master's program with concentrations in accounting, finance, business or information technology
2. Detail oriented, organized and able to multi-task effectively
3. Able to work in office in Houston, TX at a minimum of 30 hours per week</t>
  </si>
  <si>
    <t>Accounts Payable Intern (Onsite, Hybrid)</t>
  </si>
  <si>
    <t>1. Must be in pursuit of a bachelor’s degree in Accounting, Finance or a related field. Sophomore or Junior level candidates please apply. Must have a graduation date of December 2025 or later.
2. Demonstrated ability to maintain confidential information
3. Keen attention-to-detail and data validation skills, capable of multi-tasking.
...</t>
  </si>
  <si>
    <t>2025 Tax Winter Intern</t>
  </si>
  <si>
    <t>1. Must be pursuing a bachelor’s or master’s degree in Accounting
2. Must have an anticipated graduation date between December 2025 and August 2026, and be available to begin full-time work between January 2026-October 2026
3. Plans to pursue minimum requirements for CPA eligibility</t>
  </si>
  <si>
    <t>State and Local Tax Intern (Winter 2026/Summer 2026)</t>
  </si>
  <si>
    <t>Tax Intern - Spring 2025 (Melbourne, FL)</t>
  </si>
  <si>
    <t>Core Tax Intern - Winter 2025 (Anchorage)</t>
  </si>
  <si>
    <t>1. Enrolled in a Bachelors or Masters program in Accounting or other relevant field required
2. Actively pursuing school credits to become a CPA
3. Proficient in Microsoft Office Suite, specifically Word, Excel and PowerPoint</t>
  </si>
  <si>
    <t>Audit Intern | Multiple Locations Winter 2025</t>
  </si>
  <si>
    <t>KPMG US</t>
  </si>
  <si>
    <t>1. Must be enrolled in an accredited college or university and pursuing the following degrees/majors: Bachelor of Accountancy, Master of Accountancy, or equivalent program
2. Pursuing educational requirements for CPA licensure in the principal place of business (the state in which the office is located) for this position (completion of academic credits required prior to starting as an Audit Associate)
3. Upon completion of this internship, candidates must have additional academic credits to complete before obtaining their degree and/or CPA eligibility requirements
...</t>
  </si>
  <si>
    <t>Federal Credits and Incentives Tax Intern - Summer 2025</t>
  </si>
  <si>
    <t>$27-$32 /h</t>
  </si>
  <si>
    <t>Accounting Internship</t>
  </si>
  <si>
    <t>Blue &amp; Co</t>
  </si>
  <si>
    <t>Accounting, Tax Consulting</t>
  </si>
  <si>
    <t>1. Strong academic performance (Minimum GPA 3.2)
2. Accounting, Finance or related business major on track to meet the 150 credit hour requirement for CPA exam
3. Intermediate Excel skills
...</t>
  </si>
  <si>
    <t>Summer 2025 Audit Intern - Jeffersonville</t>
  </si>
  <si>
    <t>Tax Intern - Spring 2025 (Greenville, NC)</t>
  </si>
  <si>
    <t>Spring 2025 Audit Intern - Rockville</t>
  </si>
  <si>
    <t>Intern/Co-op - Accounting (Summer 2025)</t>
  </si>
  <si>
    <t>$19.33-$24.16 /h</t>
  </si>
  <si>
    <t>1. Required Major: Accounting
2. Strong academic performance
3. Candidates must be authorized to work in the US on a full-time indefinite basis without the need for employment visa sponsorship now or in the future
...</t>
  </si>
  <si>
    <t>Core Tax Intern - Summer 2025 (Madison)</t>
  </si>
  <si>
    <t>Assurance Intern - Winter 2025 (Chicago)</t>
  </si>
  <si>
    <t>1. A graduate student studying Finance or Accounting
2. Strong Microsoft Application Skills with high proficiency in Excel
3. Good written and oral communication skills
...</t>
  </si>
  <si>
    <t>Accounting Methods and Periods Tax Intern - Summer 2025</t>
  </si>
  <si>
    <t>$28-$33 /h</t>
  </si>
  <si>
    <t>Winter Tax Intern (2025)- Newburgh, NY</t>
  </si>
  <si>
    <t>PKF O'Connor Davies</t>
  </si>
  <si>
    <t>Newburgh, NY</t>
  </si>
  <si>
    <t>1. Must have at least 75% of a Bachelor’s degree in Accounting completed from an accredited university.
2. Potential candidates should have good communication and computer skills and be team players who are motivated to work in a fast-paced environment.
3. Interns must be customer-focused and able to multitask.
...</t>
  </si>
  <si>
    <t>Tax Intern - Spring 2025 (Hattiesburg, MS)</t>
  </si>
  <si>
    <t>Spring 2025 Tax Intern - Austin</t>
  </si>
  <si>
    <t>Tax Intern, Global Mobility Services | Philadelphia Winter 2025</t>
  </si>
  <si>
    <t>1. Must be enrolled in an accredited college or university and pursuing the following degrees/majors: Bachelors and/or Masters
2. Upon completion of this internship, candidates must have additional academic credits to complete before obtaining their degree and/or CPA eligibility requirements
3. Preferred GPA of 3.0 or above
...</t>
  </si>
  <si>
    <t>Core Tax Intern - Summer 2025 (Richmond)</t>
  </si>
  <si>
    <t>Core Tax Intern - Winter 2025 (Wilmington)</t>
  </si>
  <si>
    <t>International Tax General Intern - Summer 2025</t>
  </si>
  <si>
    <t>$29-$35 /h</t>
  </si>
  <si>
    <t>1. 90 credit hours completed
2. Working towards B.A. / B.S. / J.D. degree or equivalent from accredited university
3. Accounting Major
...</t>
  </si>
  <si>
    <t>Summer 2025 Tax Intern - Charlotte</t>
  </si>
  <si>
    <t>Bennett Thrasher</t>
  </si>
  <si>
    <t>1. Working towards undergraduate or graduate degree in Accounting with a GPA if 3.2 or higher (junior, senior, or masters student)
2. Basic knowledge of generally accepted accounting principles is required
3. Excellent written and verbal communication skills
...</t>
  </si>
  <si>
    <t>Spring 2025 Audit Intern - Austin</t>
  </si>
  <si>
    <t>Core Tax Intern - Winter 2025 (Norfolk)</t>
  </si>
  <si>
    <t>1. Enrolled in a Bachelors or Masters program in Accounting or other relevant field required
2. Proficient in Microsoft Office Suite, specifically Word, Excel and PowerPoint
3. Actively pursuing school credits to become a CPA</t>
  </si>
  <si>
    <t>Spring 2025 Tax Intern - Cincinnati</t>
  </si>
  <si>
    <t>Finance Trainee</t>
  </si>
  <si>
    <t>Rio Bravo, TX</t>
  </si>
  <si>
    <t>1. Student insurance
2. Proactive
3. Teamwork
...</t>
  </si>
  <si>
    <t>$35-$41 /h</t>
  </si>
  <si>
    <t>Spring 2025 Tax Intern - Elgin</t>
  </si>
  <si>
    <t>Summer 2025 Tax Intern - Lexington</t>
  </si>
  <si>
    <t>Tax Intern - Spring 2025 (Montgomery, AL)</t>
  </si>
  <si>
    <t>Winter Tax Intern (2025)- Stamford, CT</t>
  </si>
  <si>
    <t>NAM Investment Banking, Summer Analyst - New York (North America - 2025)</t>
  </si>
  <si>
    <t>Citibank</t>
  </si>
  <si>
    <t>$100000-$135000 /yr</t>
  </si>
  <si>
    <t>1. Graduating between December 2025 and June 2026
2. Preferred GPA of 3.5 or above
3. Commitment to personal growth and career development
...</t>
  </si>
  <si>
    <t>Winter Tax Intern (2025)- Hauppauge, NY</t>
  </si>
  <si>
    <t>Hauppauge, NY</t>
  </si>
  <si>
    <t>Assurance Intern, Third Party Attestation - Summer 2025 (San Jose)</t>
  </si>
  <si>
    <t>1. High School Diploma, GED or Equivalent, required
2. Enrolled in a Bachelor’s or Master’s degree program, required
3. Proficient in Microsoft Office Suite, specifically Word, Excel, and PowerPoint, required
...</t>
  </si>
  <si>
    <t>Assurance Intern - Winter 2025 (Columbus)</t>
  </si>
  <si>
    <t>Specialty Tax Services Intern, Partnerships - Winter 2025 (Multiple Locations)</t>
  </si>
  <si>
    <t>$28-$30 /h</t>
  </si>
  <si>
    <t>1. Currently enrolled in Bachelor’s or Master’s program in Accounting, or Finance, required
2. Actively pursuing school credits to be eligible to sit for the CPA exam, required
3. Proficiency with the Microsoft Office Suite, required
...</t>
  </si>
  <si>
    <t>Core Tax Intern - Summer 2025 (San Jose)</t>
  </si>
  <si>
    <t>Assurance Intern - Summer 2025 (Wilmington)</t>
  </si>
  <si>
    <t>Tax Intern - Busy Season (Des Moines)</t>
  </si>
  <si>
    <t>1. Working toward a Bachelor's degree in Accounting
2. On track to sit for CPA license
3. Authorized to work in the United States without visa sponsorship</t>
  </si>
  <si>
    <t>Northside Hospital</t>
  </si>
  <si>
    <t>1. High School Diploma or equivalent.
2. Knowledge of Microsoft Office products.
3. Excellent written and verbal communication skills.
...</t>
  </si>
  <si>
    <t>Social Media Intern</t>
  </si>
  <si>
    <t>355Life</t>
  </si>
  <si>
    <t>1. Strong analytical skills and proficiency in Excel/Google Sheets.
2. Ability to work independently and within a team in a fast-paced environment.
3. Excellent communication and presentation skills.
...</t>
  </si>
  <si>
    <t>Internal Auditor</t>
  </si>
  <si>
    <t>TEKsystems</t>
  </si>
  <si>
    <t>1. Minimum of 2-3 years in Internal Audit in Banking
2. General knowledge of Internal Audit Standards and COSO Framework
3. General knowledge of bank operations, products, services, and delivery channels
...</t>
  </si>
  <si>
    <t>Tax Winter 2025 Internship - Baltimore, MD</t>
  </si>
  <si>
    <t>CohnReznick</t>
  </si>
  <si>
    <t>1. Pursuing a Bachelor’s or Master’s degree in Accounting
2. Plan to complete 150 credit hours between May 2025 - September 2026 in order to be CPA licensed
3. Have a minimum 3.0 GPA in both your major and overall
...</t>
  </si>
  <si>
    <t>Audit Winter 2025 Internship - Baltimore, MD</t>
  </si>
  <si>
    <t>Shareholder Intern</t>
  </si>
  <si>
    <t>Tyonek Native Corporation</t>
  </si>
  <si>
    <t>1. Must be able to walk or stand on level and/or inclined surfaces and sit for extended periods of time.
2. Must be able to routinely climb / descend stairs.
3. On occasion must be able to lift 30 pounds.
...</t>
  </si>
  <si>
    <t>Financial Planning and Analysis Intern</t>
  </si>
  <si>
    <t>Grow Financial Federal Credit Union</t>
  </si>
  <si>
    <t>1. Must be currently enrolled as a student with a degree in Business, Economics, Accounting, or Finance from an accredited college or university.
2. Must have excellent communication and interpersonal skills to interface with credit union personnel.
3. Must be able to work independently.
...</t>
  </si>
  <si>
    <t>1. Currently pursuing a degree in Accounting, Finance, or a related field.
2. Proficient in Microsoft Office applications (Excel, Word, and PowerPoint).
3. Familiarity with bookkeeping and basic accounting procedures.
...</t>
  </si>
  <si>
    <t>2025 Truist Securities - Public Finance (Capital Markets) - Analyst Program (Intern Conversion)</t>
  </si>
  <si>
    <t>1. Completed BA/BS degree with a scheduled graduation of December 2024 or May/Jun 2025
2. Proven analytical ability and attention to detail
3. Solid leadership and interpersonal skills
...</t>
  </si>
  <si>
    <t>2025 Truist Securities - Equity S&amp;T (Sales, Trading &amp; Research) - Analyst Program (Intern Convesion)</t>
  </si>
  <si>
    <t>2025 Truist Securities - Project Finance (Capital Markets) - Analyst Program (Intern Conversion)</t>
  </si>
  <si>
    <t>1. Completed BA/BS degree with a scheduled graduation December 2024 or May/June 2025
2. Proven analytical ability and attention to detail
3. Solid leadership and interpersonal skills
...</t>
  </si>
  <si>
    <t>Student Employee-Student Financial Services-Assistant</t>
  </si>
  <si>
    <t>1. Attention to detail and execution of tasks in a timely manner are important.
2. Student must be able to communicate effectively and confidently.</t>
  </si>
  <si>
    <t>2025 - Credit Delivery - Asset Securitization - Analyst Program (Intern Conversion)</t>
  </si>
  <si>
    <t>2025 Grandbridge Real Estate - Analyst Program (Intern Conversion)</t>
  </si>
  <si>
    <t>1. Completed BA/BS degree in Business or related field, or equivalent education and related training with a scheduled final graduation date of December 2024 or May 2025
2. Proven analytical ability and attention to detail
3. Ability to collect, organize, analyze and report data
...</t>
  </si>
  <si>
    <t>2025 Truist Securities - Real Estate Investment Banking - Analyst Program (Intern Conversion)</t>
  </si>
  <si>
    <t>1. Completed BA/BS degree with a scheduled graduation of December 2024 or May/June 2025.
2. Proven analytical ability and attention to detail
3. Solid leadership and interpersonal skills
...</t>
  </si>
  <si>
    <t>USA-New Jersey-Newark</t>
  </si>
  <si>
    <t>1. Agile students who have a drive for results and a desire to learn
2. Ability to quickly build relationships
3. Passionate about the consumer products industry
...</t>
  </si>
  <si>
    <t>Personal Lines Underwriting Internship - Summer 2024</t>
  </si>
  <si>
    <t>Auto-Owners</t>
  </si>
  <si>
    <t>Auto Insurance, Insurance</t>
  </si>
  <si>
    <t>1. Student should be currently enrolled and entering their junior or senior year in college.
2. Ability to organize data, multi-task and make decisions independently.
3. Above average communication skills (written and verbal).
...</t>
  </si>
  <si>
    <t>Winter Audit Intern (2025) - Stamford, CT</t>
  </si>
  <si>
    <t>1. Must have at least 75% of a Bachelors degree in Accounting completed from an accredited university.
2. Potential candidates should have good communication and computer skills and be team players who are motivated to work in a fast-paced environment.
3. Interns must be customer-focused and able to juggle multiple tasks.
...</t>
  </si>
  <si>
    <t>Finance Intern - Fall 2024</t>
  </si>
  <si>
    <t>Republic Airways Holdings</t>
  </si>
  <si>
    <t>Air Transportation, Logistics</t>
  </si>
  <si>
    <t>1. Pursuing a bachelor’s degree (B.A. / B.S.) in Finance, Accounting, or Economics
2. Minimum 3.0 GPA on a 4.0 scale
3. Advanced Microsoft Office skills, especially Excel
...</t>
  </si>
  <si>
    <t>Tax Intern - Spring 2025 (New Orleans, LA)</t>
  </si>
  <si>
    <t>Tax Intern - Spring 2025 (Santa, Fe, NM)</t>
  </si>
  <si>
    <t>Accounting and Finance Intern</t>
  </si>
  <si>
    <t>Southfield, MI</t>
  </si>
  <si>
    <t>1. Accounting and Finance students completing their senior year or recently graduated, with an overall GPA of 3.3 or higher and interested in an accounting or finance as a career.
2. Eligible to work full time in the United States, without sponsorship.
3. Strong experience with Microsoft products (Excel, PowerPoint, Word, and Outlook)
...</t>
  </si>
  <si>
    <t>1. United States citizens actively enrolled in a relevant graduate degree program in an accredited college or university on at least part-time basis
2. Specific programs include: Finance, Accounting, International Affairs, International Development, International Relations or International Economics
3. Actively enrolled means that you have not had a break of more than 5 months since your last course
...</t>
  </si>
  <si>
    <t>Intern - Finance</t>
  </si>
  <si>
    <t>1. Full-time undergraduate student with anticipated graduation date between December 2024 and June 2025
2. GPA of 2.75 or above
3. Strong interest in business and finance, though no specific major or field is required
...</t>
  </si>
  <si>
    <t>2025 Emerging Markets Debt Internship</t>
  </si>
  <si>
    <t>Lazard</t>
  </si>
  <si>
    <t>Advice, Asset Management</t>
  </si>
  <si>
    <t>$90000-$90000 /yr</t>
  </si>
  <si>
    <t>1. Strong academic performance.
2. A major in Engineering, Finance, Mathematics, or another technical field.
3. Strong technical skills, with proficiency in coding (e.g., Python, R, VBA, or similar languages) is essential.
...</t>
  </si>
  <si>
    <t>Finance Intern - La Crosse, WI,</t>
  </si>
  <si>
    <t>Optum</t>
  </si>
  <si>
    <t>1. Junior working towards a Bachelor’s degree in Accounting or Finance or other applicable major
2. Internships are not intended for graduating seniors
3. Must be able to work part time during the school year with the possibility of working full time during the summer and breaks
...</t>
  </si>
  <si>
    <t>Investment Summer Analyst</t>
  </si>
  <si>
    <t>Greystar</t>
  </si>
  <si>
    <t>Property Development, Property Management</t>
  </si>
  <si>
    <t>Newport Beach, CA</t>
  </si>
  <si>
    <t>1. Strong desire to learn the real estate industry
2. Quantitative background and analytical problem-solving ability
3. Strong working knowledge of Microsoft Office specifically Excel, Word, and PowerPoint
...</t>
  </si>
  <si>
    <t>Accountant Payable Trainee</t>
  </si>
  <si>
    <t>SuperLotto Plus</t>
  </si>
  <si>
    <t>1. Current Accountant Trainee exam</t>
  </si>
  <si>
    <t>Tax JD Intern - Summer 2025</t>
  </si>
  <si>
    <t>1. Minimum Degree Required: Juris Doctorate
2. Minimum Years Of Experience: 0 year(s)</t>
  </si>
  <si>
    <t>2025 Auditor Development Program - Atlanta, GA (Intern Conversion)</t>
  </si>
  <si>
    <t>1. Bachelor’s degree in accounting, business or related field or equivalent education and related training or experience.
2. Zero to two years related experience.
3. Good analytical skills with high attention to details and accuracy.
...</t>
  </si>
  <si>
    <t>2025 Auditor Development Program - Charlotte, NC (Intern Conversion)</t>
  </si>
  <si>
    <t>Finance Intern - Paid - Meetinghouse Facilities (IFS)</t>
  </si>
  <si>
    <t>1. Be pursuing a Finance or Accounting bachelor’s degree.
2. Be available for the entire internship period starting September 3, 2024, and ending December 20, 2024.
3. Excel skills and knowledge (e.g., X-Lookups, V-Lookups, Pivot Tables, formulas).
...</t>
  </si>
  <si>
    <t>Alternant Transaction H/F</t>
  </si>
  <si>
    <t>RWE</t>
  </si>
  <si>
    <t>1. Étudiant(e) en formation financière, ou d’ingénierie
2. Avoir le goût du travail d’équipe
3. Compétences en gestion de projet
...</t>
  </si>
  <si>
    <t>2025 Commercial Banking Insights Programs - Middle Market Banking &amp; Specialized Industries Summer Analyst Program</t>
  </si>
  <si>
    <t>1. Exceptional verbal and written communication skills
2. Excellent problem solving and critical thinking skills
3. Strong attention to detail
...</t>
  </si>
  <si>
    <t>Participations Residuals Audits Intern – Fall 2024</t>
  </si>
  <si>
    <t>1. Ability to read and distill contracts down to essential terms
2. Basic Office skills
3. Strong Excel experience
...</t>
  </si>
  <si>
    <t>Forensic Accounting Intern</t>
  </si>
  <si>
    <t>1. Junior or senior level student
2. Accounting major, G.P.A. 3.0 or better
3. Proficient understanding of Microsoft Windows and Office applications, especially Microsoft Excel skills that are considered to be an intermediate or advanced level
...</t>
  </si>
  <si>
    <t>Forensic Accounting Intern - Full Time</t>
  </si>
  <si>
    <t>$30-$32 /h</t>
  </si>
  <si>
    <t>Business Finance Internship</t>
  </si>
  <si>
    <t>Upstate Shredding</t>
  </si>
  <si>
    <t>Owego, NY</t>
  </si>
  <si>
    <t>1. Bachelor’s degree or current enrollment in a program for Finance, Business Administration, Economics, or a related field.
2. Strong analytical skills and proficiency in financial modeling and data analysis.
3. Excellent command of Microsoft Excel and other MS Office applications.
...</t>
  </si>
  <si>
    <t>2025 Systematic Trading Analyst Program - Summer Analyst</t>
  </si>
  <si>
    <t>1. Pursuing a Bachelor’s or Master’s degree in Computer Science, Math, Physics, Engineering, or other quantitative fields with expected graduation in 2026
2. Knowledge and proficiency in strong programming skills in C++/Java or other object-oriented languages
3. Knowledge of statistics and machine learning
...</t>
  </si>
  <si>
    <t>Business Office Accounting Intern, part-time</t>
  </si>
  <si>
    <t>The Hun School of Princeton</t>
  </si>
  <si>
    <t>1. Recent graduate or actively working towards a degree in accounting or relevant degree
2. Strong understanding of accounting and financial principles
3. Excellent technology skills including Microsoft Office suite, advanced Excel skills, and Google Mail (Gmail) applications are required
...</t>
  </si>
  <si>
    <t>Orange Barrel Media</t>
  </si>
  <si>
    <t>1. working towards a 4-year degree in Accounting or Finance
2. Proven proficiency in Microsoft Office with excellent ability in Excel
3. Ability to work in a fast-paced environment and meet deadlines
...</t>
  </si>
  <si>
    <t>Bookkeeper Intern</t>
  </si>
  <si>
    <t>Interim Healthcare</t>
  </si>
  <si>
    <t>Health Care, Home Health Care</t>
  </si>
  <si>
    <t>1. Currently pursuing or recently completed a degree in Accounting, Finance, Business Administration, or a related field.
2. Strong interest in bookkeeping and financial management.
3. Excellent organizational and time management skills.
...</t>
  </si>
  <si>
    <t>Tax Intern | Multiple Locations Winter 2025</t>
  </si>
  <si>
    <t>1. Must be enrolled in an accredited college or university and pursuing the following degrees/majors: Bachelors and/or Masters in business, accounting, finance, taxation, mathematics, economics, information technology, data and analytics, engineering (financial, industrial or systems), or equivalent program
2. Pursuing educational requirements for CPA licensure in the principal place of business (the state in which the office is located) for this position (completion of academic credits required prior to starting as a Tax Associate)
3. Upon completion of this internship, candidates must have additional academic credits to complete before obtaining their degree and/or CPA eligibility requirements
...</t>
  </si>
  <si>
    <t>Fiscal Services Intern</t>
  </si>
  <si>
    <t>1. Currently pursuing a degree in Finance, Accounting, Business Administration or related field that will align with a credit earning internship
2. On-the-job training provided</t>
  </si>
  <si>
    <t>Corporate Internal Auditor</t>
  </si>
  <si>
    <t>Circle K Corporation</t>
  </si>
  <si>
    <t>1. Minimum of 2 years of auditing experience or 3 years of financial accounting experience.
2. Degree in Accounting/Business/Finance.
3. An accounting (CPA) or Certified Internal Auditor (CIA) designation (or in the process of obtaining one of these designations is desirable).
...</t>
  </si>
  <si>
    <t>Audit Intern - Summer 2025</t>
  </si>
  <si>
    <t>Blue Bell, PA</t>
  </si>
  <si>
    <t>$31-$38 /h</t>
  </si>
  <si>
    <t>Tax Intern - Spring 2025 (Tifton, GA)</t>
  </si>
  <si>
    <t>Tifton, GA</t>
  </si>
  <si>
    <t>$26-$31 /h</t>
  </si>
  <si>
    <t>1. 90 credit hours completed
2. Working towards B.A. / B.S. degree or equivalent from accredited university
3. Accounting major
...</t>
  </si>
  <si>
    <t>Audit Intern - Fall 2024 (Tampa, FL)</t>
  </si>
  <si>
    <t>Internship - Hedge Funds Credit Risk</t>
  </si>
  <si>
    <t>Societe Generale</t>
  </si>
  <si>
    <t>1. Graduated with a degree from Business/Engineering School or University in Finance
2. Previous experience in Investment Banking would be appreciated
3. Good Analytical Skills
...</t>
  </si>
  <si>
    <t>Tax Intern - Spring 2025 (Valdosta, GA)</t>
  </si>
  <si>
    <t>Audit Intern - Spring 2025 (Tifton, GA)</t>
  </si>
  <si>
    <t>Assurance Intern - Winter 2025 (Grand Rapids/Kalamazoo)</t>
  </si>
  <si>
    <t>Financial Planning Intern</t>
  </si>
  <si>
    <t>Wealth Enhancement Group</t>
  </si>
  <si>
    <t>Financial Services, Risk Management</t>
  </si>
  <si>
    <t>1. Preferably Pursuing bachelor’s degree in finance.
2. Preferably students between their junior and senior years
3. Well-developed written and verbal communication skills with the ability to successfully interact with people at all levels of the organization
...</t>
  </si>
  <si>
    <t>Audit Intern | Multiple Locations Summer 2025</t>
  </si>
  <si>
    <t>Tax Intern, Global Rewards Services | San Francisco Winter 2025</t>
  </si>
  <si>
    <t>1. Must be enrolled in an accredited college or university and pursuing the following degrees/majors: Bachelors and/or Masters in Business, Accounting, Systems, or equivalent program
2. Upon completion of this internship, candidates must have additional academic credits to complete before obtaining their degree and/or CPA eligibility requirements
3. Demonstrated quality service mindset; strong technical aptitude, critical thinking skills and ability to navigate MS Office applications including Excel, PowerPoint, Word, Outlook, Project, Visio or other process mapping software
...</t>
  </si>
  <si>
    <t>Federal Tax Advisory Intern (M&amp;A) (Winter 2026/Summer 2026)</t>
  </si>
  <si>
    <t>Sell Side Research Internship: Summer 2025</t>
  </si>
  <si>
    <t>1. Strong quantitative and analytical skills
2. Proficiency in Microsoft Office suite, specifically Excel
3. Strong communication skills and the ability to interact effectively with all levels of the organization
...</t>
  </si>
  <si>
    <t>Core Tax Intern - Summer 2025 (Baltimore)</t>
  </si>
  <si>
    <t>Analyst Internal Control</t>
  </si>
  <si>
    <t>1. SAP and excel proficiency required.
2. At least 2 years related experience in Accounting and/or Auditing required.
3. Bachelor’s in Accounting, Forensic Accounting, or Business Management
...</t>
  </si>
  <si>
    <t>Public Investments - Credit Investment Internship (MBA/MS), Summer 2025</t>
  </si>
  <si>
    <t>Northwestern Mutual</t>
  </si>
  <si>
    <t>$25-$50 /h</t>
  </si>
  <si>
    <t>1. Anticipated graduation date between December 2025 and June 2026 in a Master of Business Administration or Master of Science program in Finance, Investments or similar concentration
2. Passion for the art and science of investing
3. Exceptional oral and written communication skills
...</t>
  </si>
  <si>
    <t>2025 Wealth Analyst Program (Intern Conversion)</t>
  </si>
  <si>
    <t>1. This requisition is open to 2024 Truist Interns only. Applicants who were not 2024 Truist interns will not be considered.
2. Currently enrolled in a bachelor’s degree program (business or finance preferred) at an accredited college or university
3. Overall GPA of 3.0 or above
...</t>
  </si>
  <si>
    <t>2025 Accounting and Finance Summer Internship</t>
  </si>
  <si>
    <t>1. Rising junior’s working toward a Bachelor’s degree with an accredited college or university (or in a Graduate program)
2. Cumulative GPA of 3.2 or higher
3. Proficiency in Microsoft Excel
...</t>
  </si>
  <si>
    <t>2025 Asset Liability Management Summer Internship</t>
  </si>
  <si>
    <t>1. Currently working towards an Undergraduate, Graduate or PhD degree with an accredited college or university
2. Strong knowledge of statistics or financial engineering
3. Strong coding skills
...</t>
  </si>
  <si>
    <t>2025 Actuarial Summer Internship Program</t>
  </si>
  <si>
    <t>1. Rising junior or senior, or a recent college graduate, working towards a Bachelor’s degree with an accredited college or university (preferred majors in Actuarial Science, Mathematics, Statistics, Engineering, Sciences, Economics, or Finance)
2. Passage of one or more Society of Actuaries exams (working toward ASA/FSA designation)
3. Excellent written and oral communication skills
...</t>
  </si>
  <si>
    <t>Gravity Global</t>
  </si>
  <si>
    <t>Advertising, B2B</t>
  </si>
  <si>
    <t>$15.50-$17.50 /h</t>
  </si>
  <si>
    <t>1. Currently pursuing a Bachelor’s degree in Finance, Accounting, or a related field.
2. Strong analytical and problem-solving skills
3. Proficiency in Microsoft Excel and other financial software
...</t>
  </si>
  <si>
    <t>TAX INTERN – FALL 2024 / SPRING 2025</t>
  </si>
  <si>
    <t>1. Ability to work in-office a minimum of 16 hours per week
2. Currently pursuing or planning to pursue a degree at an accredited college or university in the United States
3. Possess basic computer skills and awareness of Microsoft Office applications
...</t>
  </si>
  <si>
    <t>Undergraduate Intern - Actuarial Science</t>
  </si>
  <si>
    <t>MUFG Union Bank</t>
  </si>
  <si>
    <t>1. Full or part-time enrollment in an accredited college or university baccalaureate program.</t>
  </si>
  <si>
    <t>Graduate Intern - Actuarial Science</t>
  </si>
  <si>
    <t>1. Bachelor’s degree.
2. Pursuance of a graduate degree full or part-time in an accredited college or university.</t>
  </si>
  <si>
    <t>Allen Lund Company</t>
  </si>
  <si>
    <t>Logistics, Software</t>
  </si>
  <si>
    <t>1. Self-motivated, enthusiastic team player who excels in a fast-paced environment
2. Proficiency in Microsoft Excel
3. Excellent and effective communication skills
...</t>
  </si>
  <si>
    <t>2025 Accounting Intern</t>
  </si>
  <si>
    <t>2025 Internal Audit Intern (Intern Conversion)</t>
  </si>
  <si>
    <t>1. This requisition is open to 2024 Truist Interns only. Applicants who were not 2024 Truist interns will not be considered.
2. Working toward the completion of a bachelor’s or advanced degree in accounting, mathematics, business or related field or equivalent education and related training at an accredited college or university.
3. Ability to work well in a team environment
...</t>
  </si>
  <si>
    <t>Investment Intern</t>
  </si>
  <si>
    <t>Shelter Mutual Insurance Co</t>
  </si>
  <si>
    <t>Columbia, MO - Corporate Office</t>
  </si>
  <si>
    <t>$15.17-$15.17 /h</t>
  </si>
  <si>
    <t>1. Basic finance and investment math; keyboarding skills
2. Self-starter, personal initiative, high sense of responsibility and accountability
3. Good communication, detailed orientated, superior organizational skills and ability to handle multiple projects
...</t>
  </si>
  <si>
    <t>Revenue Operations Intern</t>
  </si>
  <si>
    <t>Peek</t>
  </si>
  <si>
    <t>Analytics, Enterprise Software</t>
  </si>
  <si>
    <t>1. Self-starter
2. Very strong at excel (x &amp; v-look-ups are second nature)
3. Ability to learn new systems quickly
...</t>
  </si>
  <si>
    <t>Audit Intern</t>
  </si>
  <si>
    <t>Assurant</t>
  </si>
  <si>
    <t>Customer Service, Finance</t>
  </si>
  <si>
    <t>1. Junior status with targeted 2026 graduation in Accounting or Finance, or Senior who will pursue a master’s degree in Accounting
2. GPA 3.0 or higher required
3. Superior organizational skills, including ability to manage multiple, complex projects simultaneously
...</t>
  </si>
  <si>
    <t>Accounting Internship - Cincinnati, OH</t>
  </si>
  <si>
    <t>1. Currently pursuing a bachelor’s degree in accounting, finance, or related field</t>
  </si>
  <si>
    <t>Accounting &amp; Operations Internship - Fall 2024</t>
  </si>
  <si>
    <t>Select Management Group</t>
  </si>
  <si>
    <t>Management Consulting, Media and Entertainment</t>
  </si>
  <si>
    <t>1. Currently pursuing a Bachelor's degree in Accounting, Finance, or a related field
2. Strong understanding of accounting principles &amp; financial concepts
3. Proficiency in Google Suite, Microsoft Office Suite, especially Excel
...</t>
  </si>
  <si>
    <t>American Water</t>
  </si>
  <si>
    <t>Waste Management, Water</t>
  </si>
  <si>
    <t>1. A sophomore that is in the process of obtaining a bachelor's degree in an accounting related field.
2. Ability to work as part of a high performing team.
3. Utilize highly effective listening and feedback skills to promote open and constructive dialogue.
...</t>
  </si>
  <si>
    <t>Assurance Intern (Phoenix)</t>
  </si>
  <si>
    <t>1. You are working toward a Bachelor's degree in Accounting and are on track to sit for your CPA license.
2. Must be authorized to work in the United States now or in the future without visa sponsorship.
3. You are inquisitive and enjoy learning about various client business processes and traveling to different locations to help clients (10-40% travel is required in the role).
...</t>
  </si>
  <si>
    <t>Intern - Pathway (Accounting &amp; Finance)</t>
  </si>
  <si>
    <t>Nelnet</t>
  </si>
  <si>
    <t>$15-$17 /h</t>
  </si>
  <si>
    <t>1. Working towards a degree in Management, Accounting, Finance, Tax, Communication, or other business-related major
2. Has the confidence to present relevant information to other associates.
3. Uses different analysis techniques to look at competitive markets.
...</t>
  </si>
  <si>
    <t>Tax Internship - Spring 2025</t>
  </si>
  <si>
    <t>BerganKDV</t>
  </si>
  <si>
    <t>Accounting, Wealth Management</t>
  </si>
  <si>
    <t>1. Pursuing a bachelor’s degree in accounting, business or related field
2. Excellent interpersonal skills
3. Strong written and verbal communication skills
...</t>
  </si>
  <si>
    <t>Tax Internship (January to June 2025)</t>
  </si>
  <si>
    <t>KSM (Kelly S. Mathews, Llc)</t>
  </si>
  <si>
    <t>1. Currently enrolled in a degree program related to accounting, finance, or a related field.
2. Ability to work 20+ hours per week.
3. Strong business and accounting acumen.
...</t>
  </si>
  <si>
    <t>The Wendy's Company</t>
  </si>
  <si>
    <t>Food and Beverage, Restaurants</t>
  </si>
  <si>
    <t>$60000-$80000 /yr</t>
  </si>
  <si>
    <t>1. Bachelor’s degree in Accounting, Finance, or related field required.
2. Minimum of 1-2 years of auditing experience
3. Knowledge of the Sarbanes-Oxley Act of 2002 and PCAOB Audit Standard #5
...</t>
  </si>
  <si>
    <t>Audit Intern – Summer 2025</t>
  </si>
  <si>
    <t>Illinois Tool Works</t>
  </si>
  <si>
    <t>Glenview, IL</t>
  </si>
  <si>
    <t>1. Pursuing a Bachelor's or Master's degree in Accounting from an accredited university, with final academic graduation prior to August 2026.
2. Minimum of 3.0 GPA
3. Ability and desire to travel 40% (domestic &amp; international) and work at the Glenview, IL campus when not on an audit.
...</t>
  </si>
  <si>
    <t>Euronext Clearing - Risk Internship</t>
  </si>
  <si>
    <t>Euronext</t>
  </si>
  <si>
    <t>Rome, GA</t>
  </si>
  <si>
    <t>1. Ensure accuracy and reliability of accounting activities by preparing, processing and controlling financial information in compliance with applicable regulations.
2. Develop and implement accounting policies and procedures.
3. Process daily accounts payable activities (booking invoices, employee expenses and vendor master data creation) and/or receivable activities (collecting overdue invoices, processing incoming payments, creating customers, products, sales orders and invoices).
...</t>
  </si>
  <si>
    <t>Assurance Intern - Summer 2025</t>
  </si>
  <si>
    <t>Treasury &amp; Capital Markets Internship</t>
  </si>
  <si>
    <t>Porsche Financial Services, Inc.</t>
  </si>
  <si>
    <t>1. Undergraduate degree in Finance, Economics, Accounting, Business or related
2. 0 - 2 years of work experience
3. Demonstrated analytical thinking, financial analysis, and communication skills
...</t>
  </si>
  <si>
    <t>Waterstone Mortgage Corporation</t>
  </si>
  <si>
    <t>Financial Services, Mortgage</t>
  </si>
  <si>
    <t>1. Current college student
2. High attention to detail
3. Great organizational skills
...</t>
  </si>
  <si>
    <t>Summer Intern - Corporate Finance</t>
  </si>
  <si>
    <t>Sedgwick Claims Management Services</t>
  </si>
  <si>
    <t>Banking, Insurance</t>
  </si>
  <si>
    <t>1. Current enrollment as a Junior or Senior in a degree program and in good standing at an accredited college or university is required.
2. Grade Point Average of at least 2.5 or equivalent is required.
3. Prior work experience of some type is required, preferably in the field related to the college major.
...</t>
  </si>
  <si>
    <t>Internal Controls Specialist</t>
  </si>
  <si>
    <t>Progress Rail Services</t>
  </si>
  <si>
    <t>Albertville, AL</t>
  </si>
  <si>
    <t>1. Bachelor’s degree in Accounting, Finance or Business Administration.
2. 1-4 years of experience and a bachelor’s degree in Accounting, Finance or Business Administration.
3. Highly proficient in Microsoft Office software (Excel, Word, Power Point, PowerBI).
...</t>
  </si>
  <si>
    <t>Tax Seasonal Intern, State and Local Tax| Philadelphia Winter 2025</t>
  </si>
  <si>
    <t>1. Must be enrolled in an accredited college or university and pursuing the following degrees/majors: Bachelors and/or Masters in accounting, finance, taxation, mathematics, economics, information technology, data and analytics, engineering (financial, industrial or systems), or equivalent program
2. Pursuing educational requirements for CPA licensure in the principal place of business (the state in which the office is located) for this position (completion of academic credits required prior to starting as a Tax Associate)
3. Preferred GPA of 3.0 or above
...</t>
  </si>
  <si>
    <t>Fall 2024 Intern - Finance and Accounting</t>
  </si>
  <si>
    <t>Roc Nation</t>
  </si>
  <si>
    <t>1. Must be current student, enrolled in a Bachelor’s/Master’s program at an accredited college or university
2. Must be eligible to receive academic credit from their college or university for the duration of the internship
3. Background in Business, Accounting, and/or Finance preferred
...</t>
  </si>
  <si>
    <t>Development &amp; Acquisitions Intern - Fall Semester 2024 - Atlanta, GA</t>
  </si>
  <si>
    <t>Dominium Management Services</t>
  </si>
  <si>
    <t>Commercial Real Estate, Leasing</t>
  </si>
  <si>
    <t>1. Recent graduate or undergraduate student of a four-year Bachelor degree program in Real Estate, Finance, or related field
2. GPA of 3.5 or above strongly preferred
3. Active participation in Real Estate clubs/groups preferred
...</t>
  </si>
  <si>
    <t>2025 Spring Financial Institutions Audit Internship</t>
  </si>
  <si>
    <t>Doeren Mayhew</t>
  </si>
  <si>
    <t>1. Pursuing a bachelor's or master’s degree in Accounting
2. 3.0 GPA (cumulative and in accounting major)
3. Ability to take off winter semester classes (January through mid-April) and work 40+ hours per week is preferred (open to part-time internships depending on office location and service group)
...</t>
  </si>
  <si>
    <t>2025 AFRP Accounting - Intern</t>
  </si>
  <si>
    <t>$24.57-$52.50 /h</t>
  </si>
  <si>
    <t>1. Graduate from Bachelor's degree program between 12/2025 and 6/2026.
2. Ability to relocate to Seattle, WA.
3. Ability to complete internship between one of the following two date ranges: Monday, May 19, 2025 - Friday, August 8, 2025 or Monday, June 9, 2025 - Friday, August 29, 2025.
...</t>
  </si>
  <si>
    <t>Finance/Accounting Rotational Internship Program</t>
  </si>
  <si>
    <t>Humana</t>
  </si>
  <si>
    <t>$31,200-$85,100 /yr</t>
  </si>
  <si>
    <t>1. Currently pursuing a Finance or Accounting undergraduate degree or a related graduate-level business degree/certificate (MBA, MAcc, Accounting Certificate, etc.)
2. Able to complete at least one year in the program (through June 2025)
3. Enrolled in 9 or more credit hours (undergrad)/6 or more credit hours (grad) each semester
...</t>
  </si>
  <si>
    <t>Tax Intern - Not-For-Profit - Harrison, NY</t>
  </si>
  <si>
    <t>Harrison, NY</t>
  </si>
  <si>
    <t>$26-$28 /h</t>
  </si>
  <si>
    <t>1. Pursuing a Bachelor’s degree in Accounting from an accredited university.
2. Good communication and computer skills.
3. Team players who are motivated to work in a fast-paced environment.
...</t>
  </si>
  <si>
    <t>Tax Summer 2025 Internship - Bethesda, MD</t>
  </si>
  <si>
    <t>Financial Institutions Internal Audit Associate</t>
  </si>
  <si>
    <t>1. Bachelors’ Degree in Accounting, Finance, Management, Economics, Information Systems or related field
2. Earned or interested in pursuing CIA or CPA license
3. 0-1 year of recent or current experience in internal audit or public accounting (internship experience included)
...</t>
  </si>
  <si>
    <t>Live Nation Entertainment</t>
  </si>
  <si>
    <t>Concerts, Event Promotion</t>
  </si>
  <si>
    <t>Audit Summer 2025 Internship - Bethesda, MD</t>
  </si>
  <si>
    <t>1. In the process of obtaining a Bachelor’s or Master’s degree, preferably in accounting, finance, or data analytics set to graduate in Fall 2024 or Spring 2025
2. Excellent oral, written, and interpersonal skills
3. Strong worth ethic and demonstrated drive to achieve goals
...</t>
  </si>
  <si>
    <t>2025 CIB Global Markets Summer Analyst Program – US</t>
  </si>
  <si>
    <t>Santander CIB</t>
  </si>
  <si>
    <t>Banking</t>
  </si>
  <si>
    <t>$52.88-$52.88 /h</t>
  </si>
  <si>
    <t>1. An undergraduate student in a four year program with an expected graduation date between either December 2025 or May 2026.
2. Cumulative GPA is 3.5 or above.
3. Highly motivated and results oriented with a desire to exceed expectations.
...</t>
  </si>
  <si>
    <t>2025 CIB Investment Banking Summer Analyst Program – US</t>
  </si>
  <si>
    <t>Domestic Tax Intern (Year-Round, Onsite)</t>
  </si>
  <si>
    <t>1. Student must be pursuing a Bachelor’s degree program in Accounting, Finance, or a related field
2. Student must be in good academic standing at their university, with a preferred GPA of 3.0 or above on a 4.0 scale
3. A candidate will possess strong written and verbal skills, and be proficient in Excel and Word
...</t>
  </si>
  <si>
    <t>Accounting Intern - Research Finance - Academic Center - PRN</t>
  </si>
  <si>
    <t>Ochsner Health System</t>
  </si>
  <si>
    <t>1. Actively working toward Bachelor's degree in Accounting, Finance or related field.
2. Must have computer skills and dexterity required for data entry and retrieval of patient information.
3. Must have above average proficiency with Windows-style applications and keyboard.
...</t>
  </si>
  <si>
    <t>$33-$39 /h</t>
  </si>
  <si>
    <t>Co-op, Finance</t>
  </si>
  <si>
    <t>1. Working towards a Bachelor's degree with concentration in accounting or finance equivalent experience
2. Must have 3.0+ GPA, transcripts will be requested during selection process
3. Experience with budgeting, forecasting and reporting in a manufacturing environment
...</t>
  </si>
  <si>
    <t>Tax Intern - Winter 2025</t>
  </si>
  <si>
    <t>1. Bachelor Degree in Accounting
2. Required cumulative GPA: 3.0
3. 0 year(s) of experience</t>
  </si>
  <si>
    <t>Property Tax Intern</t>
  </si>
  <si>
    <t>Advantax</t>
  </si>
  <si>
    <t>Compliance, Consulting</t>
  </si>
  <si>
    <t>1. Be willing and able to work in a team environment
2. Be fast learners
3. Be able to perform tasks with accuracy, attention to detail, and organization
...</t>
  </si>
  <si>
    <t>Business Tax Intern - Winter 2025</t>
  </si>
  <si>
    <t>Seattle</t>
  </si>
  <si>
    <t>Audit Japanese Business Network (JBN) Intern - Summer 2025</t>
  </si>
  <si>
    <t>Commercial Banking Intern</t>
  </si>
  <si>
    <t>Third Coast Bank, SSB.</t>
  </si>
  <si>
    <t>1. Current enrollment in a Bachelor’s or Master’s degree program in Finance, Business Administration, Economics, or a related field.
2. Strong analytical skills and proficiency in financial analysis techniques.
3. Excellent verbal and written communication skills.
...</t>
  </si>
  <si>
    <t>Intern Bank</t>
  </si>
  <si>
    <t>Cadence Bank</t>
  </si>
  <si>
    <t>Banking, Commercial Lending</t>
  </si>
  <si>
    <t>1. College student, pursuing a degree in Business, Accounting, Banking and Finance, Marketing, Economics, Pre-Law, or similar related program
2. Self-starter and motivated
3. Excellent verbal and written communication skills
...</t>
  </si>
  <si>
    <t>Finance/Business Internship</t>
  </si>
  <si>
    <t>1. Bachelor's degree or current enrollment in a program for Finance, Business Administration, Economics, or a related field.
2. Strong analytical skills and proficiency in financial modeling and data analysis.
3. Excellent command of Microsoft Excel and other MS Office applications.
...</t>
  </si>
  <si>
    <t>Accounting Internship, TD Garden</t>
  </si>
  <si>
    <t>Delaware North</t>
  </si>
  <si>
    <t>1. Pursuing a degree (e.g., Bachelor’s/master’s candidate): Bachelor’s/Master’s.
2. Area of Study(s): Accounting, Hospitality, or other business-related fields.
3. Software/Technical Skills: Microsoft Excel, Attention to detail, Strong organizational skills.
...</t>
  </si>
  <si>
    <t>Tax Intern (Phoenix)</t>
  </si>
  <si>
    <t>1. Working toward a Bachelor's degree in Accounting
2. On track to sit for your CPA license
3. Authorized to work in the United States now or in the future without visa sponsorship
...</t>
  </si>
  <si>
    <t>Accounting Internship, Highmark Stadium</t>
  </si>
  <si>
    <t>Orchard Park, NY</t>
  </si>
  <si>
    <t>$17-$19 /h</t>
  </si>
  <si>
    <t>1. Must be a current student in an undergraduate or graduate degree program
2. Excellent written and oral communication skills
3. Ability to work in a fast-paced environment</t>
  </si>
  <si>
    <t>Intern, Warranty Processes and Reporting</t>
  </si>
  <si>
    <t>Bayerische Motoren Werke</t>
  </si>
  <si>
    <t>Woodcliff Lake, NJ</t>
  </si>
  <si>
    <t>$25.30-$32.20 /h</t>
  </si>
  <si>
    <t>1. Currently enrolled in a bachelor or master’s degree program at an accredited college or university
2. Possess a minimum cumulative GPA of 3.0 (not just in major)
3. Have completed at least 30 college credit hours at time of application
...</t>
  </si>
  <si>
    <t>Intern, Pricing and Communication</t>
  </si>
  <si>
    <t>MAX Surgical Specialty Management</t>
  </si>
  <si>
    <t>Hackensack, NJ</t>
  </si>
  <si>
    <t>1. Available to work 20-30 hours per week.
2. Proficiency in Excel is required; familiarity with accounting software is a plus.
3. Ability to learn quickly, work independently, and solve problems effectively.</t>
  </si>
  <si>
    <t>Budget College Aide - 643113</t>
  </si>
  <si>
    <t>New York City Department of Consumer and Worker Protection</t>
  </si>
  <si>
    <t>Working Student Accounting (f/m/d)</t>
  </si>
  <si>
    <t>CoachHub</t>
  </si>
  <si>
    <t>Corporate Training, Personal Development</t>
  </si>
  <si>
    <t>1. You are pursuing an academic degree in Accounting or a comparable education/qualification (CPA, ACCA, FACT)
2. Knowledge of accounting principles and experience with bookkeeping
3. Strong attention to detail and excellent organizational skills
...</t>
  </si>
  <si>
    <t>2025 Investment Banking Summer Analyst Program - Chicago</t>
  </si>
  <si>
    <t>1. Academic accomplishments
2. Interest in financial markets and analyzing various businesses and industries
3. Team spirit and collaboration
...</t>
  </si>
  <si>
    <t>2025 Summer Associate – Debt Finance</t>
  </si>
  <si>
    <t>1. 2L law student
2. Interest in Debt Finance practice
3. Ability to work in Los Angeles, New York, San Francisco, or Washington, DC</t>
  </si>
  <si>
    <t>$17.45-$22.40 /h</t>
  </si>
  <si>
    <t>SimplyHome</t>
  </si>
  <si>
    <t>Leasing, Property Management</t>
  </si>
  <si>
    <t>1. Enrolled and currently attending an Associate Degree program, 2-year program, Community College, or 4-year program at a college or university.
2. Ability to maintain professionalism and a strong customer-focused demeanor with demanding clientele.
3. Excellent time management skills, detail-orientation and ability to multi-task and prioritize work.
...</t>
  </si>
  <si>
    <t>Cincinnati Metro</t>
  </si>
  <si>
    <t>1. Education: A Bachelor's degree in Accounting, Finance, Economics, Business Administration, or equivalent work experience.
2. Work Experience: One to three plus years of Internal Audit or relevant business experience with a focus on business process operations. Basic to intermediate knowledge of internal audit practices, and financial and operational process documentation. Demonstrated ability to evaluate internal controls, effectively participate or execute large portions of an audit independently, analyze and solve complex problems, conduct research, and express ideas clearly, concisely and persuasively both verbally and in writing. Demonstrates a strong understanding of business ethics. Insurance Industry / life insurance is a plus.</t>
  </si>
  <si>
    <t>Enterprise Credit Summer Analyst Program 2025 - Global Commercial Banking Credit, Asset Based Finance &amp; Commercial Real Estate Credit</t>
  </si>
  <si>
    <t>1. Candidates are required to be pursuing a bachelor’s degree from an accredited college or university with a graduation timeframe between December 2025 and June 2026
2. A history of high achievement
3. Candidates should possess a high level of intellectual curiosity, a drive for operational excellence, and a commitment to achieving sustainable results
...</t>
  </si>
  <si>
    <t>Tax Analyst, International</t>
  </si>
  <si>
    <t>$75000-$115000 /yr</t>
  </si>
  <si>
    <t>1. Bachelor's degree
2. 2+ years of combined tax experience in public accounting and/or large multinational</t>
  </si>
  <si>
    <t>2025 Summer Key Investment Services (Certified Financial Planner Track)- Seattle &amp; Redmond, WA</t>
  </si>
  <si>
    <t>1. Graduating with a four-year degree or graduate level degree by May 2026 with focused coursework in finance, accounting, economics and/or data science
2. Individuals pursuing a career as a Financial Advisor and are participating in the CFP program in their education and will complete CFP exam prior to graduation.
3. Outstanding academic achievement (minimum 3.0 GPA)
...</t>
  </si>
  <si>
    <t>Investment Research Analyst Intern</t>
  </si>
  <si>
    <t>1. Pursuing a degree in finance, economics, or a related field.
2. NOT A REMOTE ROLE - In-Person Only - Must reside or currently enrolled in a Las Vegas, NV school
3. Strong analytical and research skills
...</t>
  </si>
  <si>
    <t>1. Bachelor Degree in Accounting
2. Required cumulative GPA: 3.0
3. Minimum 0 year(s) of experience</t>
  </si>
  <si>
    <t>Silicon Valley, CA</t>
  </si>
  <si>
    <t>Atlas Technical Consultants</t>
  </si>
  <si>
    <t>Construction, Consulting</t>
  </si>
  <si>
    <t>1. Pursuing a degree in Accounting or related field.
2. Microsoft PC applications; WORD, EXCEL
3. Advanced computer skills
...</t>
  </si>
  <si>
    <t>Summer 2025 Actuarial Intern (Omaha)</t>
  </si>
  <si>
    <t>Pacific Life</t>
  </si>
  <si>
    <t>1. Completion of at least 1 Society of Actuaries exam is required.
2. Pursuing an undergraduate degree majoring in Mathematics, Statistics, Economics, Finance, or Actuarial Science.
3. Ability to problem solve and demonstrate leadership.
...</t>
  </si>
  <si>
    <t>Tax JD Intern - Winter 2025</t>
  </si>
  <si>
    <t>1. Minimum Degree Required Juris Doctorate
2. Minimum Years Of Experience 0 year(s)</t>
  </si>
  <si>
    <t>Audit Intern - Spring 2026 (Nashville, TN)</t>
  </si>
  <si>
    <t>Ducommun</t>
  </si>
  <si>
    <t>1. Self-starter capable of interacting closely with production, bidding, and customer service as well as the ability to quickly identify and solve complex problems
2. Strong analytical ability and excellent communication skills
3. Strong computational skills and the ability to conceptualize and understand technical reports, data, drawings, etc.
...</t>
  </si>
  <si>
    <t>Summer 2025 Actuarial Intern (Newport Beach)</t>
  </si>
  <si>
    <t>ACCA Careers</t>
  </si>
  <si>
    <t>1. Graduate from Bachelor's degree program between 12/2025 and 6/2026.
2. Ability to relocate to Seattle, WA.
3. Ability to complete internship between 1 of the following 2 date ranges: Monday, May 19, 2025 - Friday, August 8, 2025 or Monday, June 9, 2025 - Friday, August 29, 2025.
...</t>
  </si>
  <si>
    <t>2025 Summer Key Investment Services Internship (Certified Financial Planner Track)- Kokomo, IN</t>
  </si>
  <si>
    <t>Kokomo, IN</t>
  </si>
  <si>
    <t>2025 Summer Key Investment Services Internship (Certified Financial Planner Track)- Albany, NY</t>
  </si>
  <si>
    <t>2025 Summer Key Investment Services Internship (Certified Financial Planner Track)- Colville, WA</t>
  </si>
  <si>
    <t>Colville, WA</t>
  </si>
  <si>
    <t>2025 Summer Key Investment Services Internship (Certified Financial Planner Track)- Westerville, OH</t>
  </si>
  <si>
    <t>Westerville, OH</t>
  </si>
  <si>
    <t>2025 Summer Key Investment Services Internship (Certified Financial Planner Track)- Maumee, OH</t>
  </si>
  <si>
    <t>2025 Summer Key Investment Services Internship (Certified Financial Planner Track)- Albany, OR</t>
  </si>
  <si>
    <t>Albany, OR</t>
  </si>
  <si>
    <t>Early Careers: Intern Conversion Only: Actuarial Delivery Group Analyst- 2025</t>
  </si>
  <si>
    <t>1. Bachelor’s degree required, with heavy quantitative emphasis such as majors in mathematics and statistics with a minimum GPA of 3.0
2. Completion of Summer 2024 WTW internship
3. Seeking candidates who are not interested in writing future actuarial exams
...</t>
  </si>
  <si>
    <t>Early Careers: Intern Conversion only- Retirement Actuarial Analyst- 2025</t>
  </si>
  <si>
    <t>$64000-$83000 /yr</t>
  </si>
  <si>
    <t>1. Bachelors or Master’s degree in actuarial science, mathematics, statistics, finance or any other major with significant quantitative course work with a minimum overall GPA of 3.0
2. Work experience that demonstrates strong technical and/or client service skills
3. Passion for solving problems and sharing solutions to exceed the standards of the client
...</t>
  </si>
  <si>
    <t>2025 Summer Key Investment Services Internship (Certified Financial Planner Track)- Monroe, MI</t>
  </si>
  <si>
    <t>2025 Summer Key Investment Services Internship (Certified Financial Planner Track)- Vandalia, OH</t>
  </si>
  <si>
    <t>2025 Summer Key Investment Services Internship (Certified Financial Planner Track)- Brunswick, ME</t>
  </si>
  <si>
    <t>Brunswick, ME</t>
  </si>
  <si>
    <t>2025 Summer Key Investment Services Internship (Certified Financial Planner Track)- Tacoma &amp; Lakewood, WA</t>
  </si>
  <si>
    <t>2025 Summer Key Investment Services Internship (Certified Financial Planner Track)- Vancouver, WA</t>
  </si>
  <si>
    <t>2025 Summer Key Investment Services Internship (Certified Financial Planner Track)- Bangor, ME</t>
  </si>
  <si>
    <t>Lakewood, WA</t>
  </si>
  <si>
    <t>2025 Summer Key Investment Services Internship (Certified Financial Planner Track)- Warsaw, IN</t>
  </si>
  <si>
    <t>Warsaw, IN</t>
  </si>
  <si>
    <t>John Hancock Actuarial Summer Internship Program 2025</t>
  </si>
  <si>
    <t>1. Strong university GPA with success in relevant courses
2. Ability to communicate clearly and concisely with both technical and non-technical team members
3. Strong analytical, quantitative and problem-solving skills, with the ability to be an innovative thinker and understand the 'big picture'
...</t>
  </si>
  <si>
    <t>Enterprise Credit Summer Analyst Program 2025 - Global Corporate &amp; Investment Banking Credit and Global Markets Credit</t>
  </si>
  <si>
    <t>1. Candidates are required to be pursuing a bachelor's degree from an accredited college or university with a graduation timeframe between December 2025 and June 2026
2. A history of high achievement
3. Candidates should possess a high level of intellectual curiosity, a drive for operational excellence, and a commitment to achieving sustainable results
...</t>
  </si>
  <si>
    <t>2025 Tax Season Intern</t>
  </si>
  <si>
    <t>Brown Edwards</t>
  </si>
  <si>
    <t>1. Accounting major who intends to begin a career in public accounting
2. Student in junior or senior year, with at least one section of Intermediate accounting already successfully passed
3. GPA of 3.0 and higher
...</t>
  </si>
  <si>
    <t>Enterprise Credit Summer Analyst Program 2025 - Consumer Credit</t>
  </si>
  <si>
    <t>Enterprise Credit Summer Analyst Program 2025 - Global Wealth &amp; Investment Management Credit</t>
  </si>
  <si>
    <t>Enterprise Credit Summer Analyst Program 2025 - Credit Data and Analytics and Business Controls/Process Optimization</t>
  </si>
  <si>
    <t>Intern - Wealth Management Firm</t>
  </si>
  <si>
    <t>Vision Financial Group</t>
  </si>
  <si>
    <t>Financial Services, Retirement</t>
  </si>
  <si>
    <t>1. High school degree completed; pursuing a degree in finance, economics, business administration, or a related field.
2. Strong interest in wealth management, financial markets, and investment strategies.
3. Excellent communication and interpersonal skills.
...</t>
  </si>
  <si>
    <t>Audit Summer 2025 Internship - Baltimore,</t>
  </si>
  <si>
    <t>Tax Summer 2025 Internship - Baltimore, MD</t>
  </si>
  <si>
    <t>Intern - Commercial Banking</t>
  </si>
  <si>
    <t>Intern - Commercial Credit Analyst</t>
  </si>
  <si>
    <t>1. Full-time undergraduate student with anticipated graduation date between December 2024 and June 2025 or recently graduated with Bachelor's Degree.
2. GPA of 2.75 or above
3. Proficient understanding of financial statements, accounting principles, and cash flow analysis
...</t>
  </si>
  <si>
    <t>Underwriter Development Program - January 2025</t>
  </si>
  <si>
    <t>1. Bachelor’s Degree 3.2 Minimum GPA.
2. Proven leadership skills through extracurricular activities, internships/co-ops, or work experience.
3. Superior verbal/written communication and analytical skills.</t>
  </si>
  <si>
    <t>Rapid Response Monitoring</t>
  </si>
  <si>
    <t>Electronics, Health Care</t>
  </si>
  <si>
    <t>1. Excellent attention to detail
2. Proficiency of the Microsoft Office suite (Word, Excel, PowerPoint)
3. Current enrollment in post-secondary collegiate school
...</t>
  </si>
  <si>
    <t>Tri-Arrows Aluminum, Inc.</t>
  </si>
  <si>
    <t>1. Junior or Senior undergraduate actively pursuing a degree within Accounting or Finance (or related field)
2. Possess Attention to Detail: Diligently attend to details and pursue quality in accomplishing tasks
3. Analysis/Reasoning: Examine data to grasp issues, draw conclusions, and solve problems
...</t>
  </si>
  <si>
    <t>Hiring Fiscal Specialist in California</t>
  </si>
  <si>
    <t>$24.44-$26.44 /h</t>
  </si>
  <si>
    <t>1. Management and oversight of financial activities
2. Budget preparation
3. Financial reporting
...</t>
  </si>
  <si>
    <t>Trading Analyst (Market Maker) Intern</t>
  </si>
  <si>
    <t>TradeX</t>
  </si>
  <si>
    <t>Consumer, FinTech</t>
  </si>
  <si>
    <t>1. Conducting market research and analysis to identify potential trading opportunities.
2. Assisting in developing trading strategies and executing trades.
3. Collaborating with team members to brainstorm new ideas and approaches.
...</t>
  </si>
  <si>
    <t>2025 Finance Intern</t>
  </si>
  <si>
    <t>$15.85-$31.65 /h</t>
  </si>
  <si>
    <t>1. Completed at least one year of college education before beginning internship
2. Must be enrolled in school the semester following your internship
3. BS/BA student
...</t>
  </si>
  <si>
    <t>Wallick Communities</t>
  </si>
  <si>
    <t>Project Management, Property Development</t>
  </si>
  <si>
    <t>1. You’re an accounting major who has taken Intermediate 1 accounting, or you’ve earned a bachelor’s degree in accounting and are currently pursuing a master’s degree in accounting
2. You demonstrate above-average competency in accounting and have a strong GPA
3. You’re a self-starter and detail-oriented</t>
  </si>
  <si>
    <t>Transaction Tax Intern- Fall 2024</t>
  </si>
  <si>
    <t>DuCharme, McMillen &amp; Associates</t>
  </si>
  <si>
    <t>1. Interns pursuing a degree in Accounting, Economics, Business Management &amp; Administration, &amp; Finance who have successfully completed Intermediate Accounting I.
2. GPA Desired: 2.5 or higher
3. Time requirement: hybrid, Part-time: January 8th-April 5th.
...</t>
  </si>
  <si>
    <t>Batts Morrison Wales &amp; Lee</t>
  </si>
  <si>
    <t>1. Accounting major
2. GPA of 3.5 or higher
3. Completed or will have completed Intermediate Accounting prior to the date of the desired internship</t>
  </si>
  <si>
    <t>2025 Summer Corporate Intern - Finance</t>
  </si>
  <si>
    <t>1. Must be enrolled full-time at a 4-year accredited university/college in one of the following degree programs: Bachelor’s or Master’s in Finance, Economics or other Business or Technology major.
2. Minimum 3.0/4.0 GPA (both Finance GPA &amp; Cumulative GPA).
3. 12 completed semester hours at a 4-year university prior to the start of the internship.
...</t>
  </si>
  <si>
    <t>Accounts Receivable Intern - Hybrid</t>
  </si>
  <si>
    <t>Financial Advisor - CFP opportunity (Training Provided)</t>
  </si>
  <si>
    <t>$80000-$200000 /yr</t>
  </si>
  <si>
    <t>1. Provide investment advice.
2. Perform financial planning.
3. Advise clients about retirement planning.
...</t>
  </si>
  <si>
    <t>Financial Services Intern</t>
  </si>
  <si>
    <t>Equify Financial</t>
  </si>
  <si>
    <t>1. Must be enrolled in a university or College, preferably in a four-year program majoring or minoring in Accounting, Finance, Economics or Business-related courses.
2. Should be in good standing at their university or College.
3. Recent Bachelor’s Degree recipients may be considered.
...</t>
  </si>
  <si>
    <t>Accountant, International (LATAM)</t>
  </si>
  <si>
    <t>1. Bachelor’s degree
2. 1+ years of accounting experience
3. Bilingual in Spanish</t>
  </si>
  <si>
    <t>PGIM: 2025 Real Estate, Summer Investment Analyst Program</t>
  </si>
  <si>
    <t>PGIM</t>
  </si>
  <si>
    <t>Asset Management</t>
  </si>
  <si>
    <t>1. Candidates must be enrolled in an accredited bachelor’s program or 5th year master’s program graduating between December 2025 and May 2026
2. Minimum GPA of 3.0
3. Prudential does not provide visa sponsorship for this position. Successful candidates must possess the requisite US employment authorization to be eligible for consideration</t>
  </si>
  <si>
    <t>PGIM: 2025 Fixed Income, Summer Investment Analyst Program (Portfolio Analysis Group)</t>
  </si>
  <si>
    <t>1. Candidates must be enrolled in an accredited bachelor’s program or 5th year master’s program graduating between December 2025 and May 2026
2. Minimum 3.0 GPA
3. Prudential does not provide visa sponsorship for this position. Successful candidates must possess the requisite US employment authorization to be eligible for consideration
...</t>
  </si>
  <si>
    <t>PGIM: 2025 Fixed Income Sophomore Externship Program</t>
  </si>
  <si>
    <t>Prudential Private Capital: 2025 Energy, Summer Investment Analyst Program</t>
  </si>
  <si>
    <t>Prudential Financial</t>
  </si>
  <si>
    <t>1. Candidates must be enrolled in an accredited bachelor’s program or 5th year master’s program graduating between December 2025 and May 2026
2. Minimum 3.0 GPA required
3. Prudential does not provide visa sponsorship for this position. Successful candidates must possess the requisite US employment authorization to be eligible for consideration
...</t>
  </si>
  <si>
    <t>PGIM: 2025 Fixed Income, Summer Investment Analyst Program (Credit Research Group)</t>
  </si>
  <si>
    <t>Prudential Private Capital: 2025 Power &amp; Renewables, Summer Investment Analyst Program</t>
  </si>
  <si>
    <t>1. Candidates must be enrolled in an accredited bachelor’s program graduating between December 2025 and May 2026
2. Minimum 3.0 GPA required
3. Prudential does not provide visa sponsorship for this position. Successful candidates must possess the requisite US employment authorization to be eligible for consideration
...</t>
  </si>
  <si>
    <t>Accounting Clerk FT - 5824</t>
  </si>
  <si>
    <t>Coast Guard Exchange (USCGCSC)</t>
  </si>
  <si>
    <t>Kodiak, AK</t>
  </si>
  <si>
    <t>$16.50 /h</t>
  </si>
  <si>
    <t>1. High School Diploma or GED.
2. One year of experience, which demonstrates proficiency in accounting clerical methods and techniques.
3. Experience in Microsoft Office with basic Excel experience.
...</t>
  </si>
  <si>
    <t>New Orleans - New Orleans Region - Louisiana</t>
  </si>
  <si>
    <t>Summer 2025 Key Investment Services Internship (Certified Financial Planner Track)- Kokomo, IN</t>
  </si>
  <si>
    <t>Summer 2025 Key Investment Services Internship (Certified Financial Planner Track)- Tacoma &amp; Lakewood, WA</t>
  </si>
  <si>
    <t>Summer 2025 Key Investment Services Internship (Certified Financial Planner Track)- Colville, WA</t>
  </si>
  <si>
    <t>Summer 2025 Key Investment Services Internship (Certified Financial Planner Track)- Monroe, MI</t>
  </si>
  <si>
    <t>Summer 2025 Key Investment Services (Certified Financial Planner Track)- Seattle &amp; Redmond, WA</t>
  </si>
  <si>
    <t>Summer 2025 Key Investment Services Internship (Certified Financial Planner Track)- Albany, NY</t>
  </si>
  <si>
    <t>Summer 2025 Key Investment Services Internship (Certified Financial Planner Track)- Westerville, OH</t>
  </si>
  <si>
    <t>Summer 2025 Key Investment Services Internship (Certified Financial Planner Track)- Maumee, OH</t>
  </si>
  <si>
    <t>Summer 2025 Key Investment Services Internship (Certified Financial Planner Track)- Vandalia, OH</t>
  </si>
  <si>
    <t>Summer 2025 Key Investment Services Internship (Certified Financial Planner Track)- Albany, OR</t>
  </si>
  <si>
    <t>Summer 2025 Key Investment Services Internship (Certified Financial Planner Track)- Warsaw, IN</t>
  </si>
  <si>
    <t>Summer 2025 Key Investment Services Internship (Certified Financial Planner Track)- Brunswick, ME</t>
  </si>
  <si>
    <t>1. Graduating with a four-year degree or graduate level degree by May 2026 with focused coursework in finance, accounting, economics and/or data science
2. Individuals pursuing a career as a Financial Advisor and are participating in the CFP program in their education and will complete CFP exam prior to graduation
3. Outstanding academic achievement (minimum 3.0 GPA)
...</t>
  </si>
  <si>
    <t>Summer 2025 Key Investment Services Internship (Certified Financial Planner Track)- Bangor, ME</t>
  </si>
  <si>
    <t>Accounting Internship- Spring 2025</t>
  </si>
  <si>
    <t>1. Pursuing a Bachelors or Masters degree in Accounting (completion of corporate or individual taxation class is required)
2. Above average competency in accounting as demonstrated by college GPA; Preferred 3.0 GPA or higher
3. Working towards eligibility to sit for CPA exam upon graduation (150 credits)
...</t>
  </si>
  <si>
    <t>Accounting Co-op (Valdosta Mill)</t>
  </si>
  <si>
    <t>1. Currently enrolled majoring in accounting program
2. Broad understanding of accounting principles, theories, concepts, and practices
3. Must be a student in good standing with the University
...</t>
  </si>
  <si>
    <t>Internship Fall 2024 - Finance</t>
  </si>
  <si>
    <t>1. Pursuing a degree in Finance, Accounting, Economics, Strategy or Data Analytics
2. Exceptional academic performance
3. Cumulative GPA of 3.75 or higher
...</t>
  </si>
  <si>
    <t>Internship Fall 2024 - Accounting</t>
  </si>
  <si>
    <t>1. Preference given to students currently in their junior or senior year of college, pursuing a degree in related field
2. Able to work in Idaho Falls, Idaho for your program dates of approximately 90 days
3. Cumulative GPA of 3.75 or higher
...</t>
  </si>
  <si>
    <t>Intern Audit Spring 2026 | San Antonio</t>
  </si>
  <si>
    <t>1. Solid technical accounting knowledge
2. Effective time management
3. Strong oral and written communication skills
...</t>
  </si>
  <si>
    <t>Board Fellow - Audit</t>
  </si>
  <si>
    <t>The Public Company Accounting Oversight Board(PCAOB)</t>
  </si>
  <si>
    <t>Association, Financial Services</t>
  </si>
  <si>
    <t>$28-$36 /h</t>
  </si>
  <si>
    <t>1. Currently pursuing a graduate-level degree in accounting, or a related field of study.
2. At least two years of professional work experience in the auditing profession or academia.
3. Interest in pursuing a career related to the public accounting and the auditing profession.
...</t>
  </si>
  <si>
    <t>Intern Tax Spring 2026 | San Antonio</t>
  </si>
  <si>
    <t>Tax Intern - Fall 2024 (McAllen, TX)</t>
  </si>
  <si>
    <t>McAllen, TX</t>
  </si>
  <si>
    <t>Intern Audit Spring 2026 | Austin</t>
  </si>
  <si>
    <t>Tax Intern, Global Executive &amp; Private Client Group | Atlanta Winter 2025</t>
  </si>
  <si>
    <t>1. Must be enrolled in an accredited college or university and pursuing the following degrees/majors: Bachelors and/or Masters with concentration in Tax, Accounting, International Business, Human Resources, or Finance, or equivalent program
2. Upon completion of this internship, candidates must have additional academic credits to complete before obtaining their degree and/or CPA eligibility requirements
3. Able to analyze basic tax and accounting information
...</t>
  </si>
  <si>
    <t>Intern Tax Spring 2026 | Austin</t>
  </si>
  <si>
    <t>Federal Tax Intern - Summer 2025</t>
  </si>
  <si>
    <t>Accounting Internship Summer 2025</t>
  </si>
  <si>
    <t>Enterprise Holdings</t>
  </si>
  <si>
    <t>Rental, Tourism</t>
  </si>
  <si>
    <t>1. Must be obtaining a Bachelor's Degree in Accounting or Finance, graduating between August 2025 and May 2026.
2. Must have basic proficiency with Microsoft Excel and Word
3. Must have a valid driver's license
...</t>
  </si>
  <si>
    <t>Accounting Intern - Fall 2024</t>
  </si>
  <si>
    <t>1. Must be currently enrolled in a college/university in a bachelors degree program in Accounting or Finance
2. Must have a graduation date of December 2024 OR Spring 2025
3. Must have proficiency with Microsoft Excel and Office 365
...</t>
  </si>
  <si>
    <t>2025 Staff Accountant Intern - Southfield</t>
  </si>
  <si>
    <t>1. Working toward a Bachelor's degree, preferably in accounting or finance (obtained degree is a plus), and/or appropriate balance of education and work experience
2. GPA of 3.20 or higher
3. Exhibit a basic understanding of accounting and tax rules
...</t>
  </si>
  <si>
    <t>Accounts Payable Intern - Remote</t>
  </si>
  <si>
    <t>1. Junior or Senior working towards a Bachelor’s degree in Accounting or Finance
2. Demonstrated knowledge of general accounting
3. Proficient computer skills with Microsoft Office programs
...</t>
  </si>
  <si>
    <t>Wisconsin Youth Accounting Apprenticeship</t>
  </si>
  <si>
    <t>Nestle Purina North America</t>
  </si>
  <si>
    <t>Jefferson, WI</t>
  </si>
  <si>
    <t>1. Currently enrolled with Wisconsin Youth Apprenticeship</t>
  </si>
  <si>
    <t>1. Must be currently enrolled in a college/university in a bachelors degree program in Accounting (preferred) or Finance
2. Must have a graduation date of December 2024 OR Spring 2025
3. Must have proficiency with Microsoft Excel and Office 365
...</t>
  </si>
  <si>
    <t>General Accounting College Aide</t>
  </si>
  <si>
    <t>Accounting Internship- Bilingual Japanese</t>
  </si>
  <si>
    <t>CDH</t>
  </si>
  <si>
    <t>1. In the process of obtaining a Bachelor’s Degree in accounting or related field
2. Ability and willingness to travel to clients within the Firm’s market area
3. Fluency in both English and Japanese is required</t>
  </si>
  <si>
    <t>Finance Graduate Summer Internship Program 2025</t>
  </si>
  <si>
    <t>$15600-$58500 annual</t>
  </si>
  <si>
    <t>1. Currently enrolled in a full-time graduate program and graduating in May 2026.
2. Master's in business administration, Finance, Accounting, Math, Economics, Statistics, Engineering, Information Systems, Data Science, Computer Science or equivalent.
3. 2 - 6 years' full-time professional experience.
...</t>
  </si>
  <si>
    <t>Audit Intern | Spring 2026</t>
  </si>
  <si>
    <t>1. Working towards a Bachelor's degree
2. Excellent interpersonal, analytical, research, including basic knowledge of GAAP and GAAS rules, procedures and standards
3. Demonstrated ability to communicate verbally and in writing throughout all levels of organization, both internally and externally
...</t>
  </si>
  <si>
    <t>2025 Staff Accountant Intern - Boston</t>
  </si>
  <si>
    <t>2025 Staff Accountant Intern - Bellevue</t>
  </si>
  <si>
    <t>2025 Staff Accountant Intern - Long Beach</t>
  </si>
  <si>
    <t>2025 Staff Accountant Intern - Andover</t>
  </si>
  <si>
    <t>First Community Credit Union</t>
  </si>
  <si>
    <t>Financial Services, Internet</t>
  </si>
  <si>
    <t>1. Candidate must be a junior or senior in pursuant of a bachelor's degree in accounting from an accredited college or university.</t>
  </si>
  <si>
    <t>Accounting &amp; Finance Intern</t>
  </si>
  <si>
    <t>Mid-Ohio Food Collective</t>
  </si>
  <si>
    <t>Grove City, OH</t>
  </si>
  <si>
    <t>1. Currently enrolled in an accredited college or university, majoring in Accounting or Finance.
2. Strong foundation in accounting principles and financial concepts.
3. Attention to detail and accuracy in data entry and financial analysis.
...</t>
  </si>
  <si>
    <t>Prudential Private Capital: 2025 Summer Investment Analyst Program</t>
  </si>
  <si>
    <t>Undergraduate Corporate Finance Summer Internship Program 2025</t>
  </si>
  <si>
    <t>1. Currently enrolled in an undergraduate program and entering your senior year following the summer of 2024.
2. Majoring in Finance, Accounting, Math, Economics, Statistics, Engineering, Information Systems, Data Science, Computer Science or equivalent.
3. Demonstrated problem solving and influencing skill-set.
...</t>
  </si>
  <si>
    <t>Finance Leadership Program Intern - Summer 2025</t>
  </si>
  <si>
    <t>McKesson</t>
  </si>
  <si>
    <t>$17.33-$28.88 /h</t>
  </si>
  <si>
    <t>1. At least three years of professional work experience
2. Enrolled as a student at the time of the internship, at the MBA level
3. Concentration or focus in finance
...</t>
  </si>
  <si>
    <t>Credits, Incentives, and Methods - Energy and Excise - Tax Intern - Summer 2025</t>
  </si>
  <si>
    <t>2025 Staff Accountant Intern - Austin</t>
  </si>
  <si>
    <t>1. Working toward a Bachelor's degree, preferably in accounting or finance (obtained degree is a plus), and/or appropriate balance of education and work experience
2. GPA of 3.20 or higher
3. Preferred completion of at least one Intermediate Accounting course and preferably on track or already qualified to sit for the CPA examination
...</t>
  </si>
  <si>
    <t>Audit Intern | Summer 2026</t>
  </si>
  <si>
    <t>Tax Intern - Franchise Services</t>
  </si>
  <si>
    <t>HORNE</t>
  </si>
  <si>
    <t>Accounting, Financial Services</t>
  </si>
  <si>
    <t>1. Junior or Senior student actively pursuing a degree in an area where the firm serves clients (accounting or related consulting area)
2. Proficiency with computer and spreadsheet software programs, or software appropriate to practice area
3. General knowledge of internship area as appropriate</t>
  </si>
  <si>
    <t>State and Local Tax Intern - Fall 2024</t>
  </si>
  <si>
    <t>Anders</t>
  </si>
  <si>
    <t>1. Must be enrolled in an accounting curriculum at the junior level or higher (Graduating December 2026 or earlier)
2. Plan to pursue CPA
3. Minimum 25+ hour work week required</t>
  </si>
  <si>
    <t>Accounting Intern (Part of Full time)</t>
  </si>
  <si>
    <t>Affordable Equity Partners</t>
  </si>
  <si>
    <t>1. Computer efficiency with email, electronic word processing and spreadsheet applications, such as Microsoft Outlook and Microsoft Office software (Excel, Word, and PowerPoint)
2. Moderate knowledge in Excel and Microsoft Word
3. Verbal/written/listening skills - Intermediate
...</t>
  </si>
  <si>
    <t>i3 Verticals</t>
  </si>
  <si>
    <t>Education, Financial Services</t>
  </si>
  <si>
    <t>1. Holding or in pursuit of a bachelor’s degree in accounting or a bachelor’s degree in business with emphasis in accounting is required
2. Must be highly skilled in use of Excel spreadsheets
3. Strong level of organization with excellent oral and written communication skills
...</t>
  </si>
  <si>
    <t>TAX INTERN - SPRING 2026</t>
  </si>
  <si>
    <t>Williams Benator &amp; Libby</t>
  </si>
  <si>
    <t>1. Pursuing a bachelor's or master's degree in accounting AND if you're an undergrad, you are entering your junior or senior year and have taken upper-level accounting courses
2. An achiever with an A or B average, particularly in accounting courses
3. Deeply familiar with Microsoft Excel
...</t>
  </si>
  <si>
    <t>TAX INTERN - SUMMER 2026</t>
  </si>
  <si>
    <t>AUDIT INTERN - SUMMER 2026</t>
  </si>
  <si>
    <t>AUDIT INTERN - SPRING 2026</t>
  </si>
  <si>
    <t>Client Accounting Intern - Dynamic Engineering</t>
  </si>
  <si>
    <t>Brick, NJ</t>
  </si>
  <si>
    <t>1. Must be hard-working and well organized with a high level of attention to detail.
2. Self-starter with excellent communication and interpersonal skills.
3. Strong attention to detail with excellent analytical, multitasking, and judgment capabilities.
...</t>
  </si>
  <si>
    <t>Banking Operations Intern - Fall 2024</t>
  </si>
  <si>
    <t>Community Financial Services Bank</t>
  </si>
  <si>
    <t>Benton, KY</t>
  </si>
  <si>
    <t>1. Learn basic Freddie Mac and other investor processes for selling, funding, and servicing loans
2. Process tax tracking for new and paid loans
3. Verify, process and pay tax, insurance and other escrow bills
...</t>
  </si>
  <si>
    <t>Managed Funds Association</t>
  </si>
  <si>
    <t>Crowdfunding, Financial Services</t>
  </si>
  <si>
    <t>1. Currently enrolled in an undergraduate or graduate accounting or finance program.
2. Available to work during MFA’s hours of operation (9:00 A.M. - 5:00 P.M.) in DC office on Tuesday, Wednesday, or Thursday; for a minimum of two days a week.
3. General understanding of Generally Accepted Accounting Principles (GAAP)
...</t>
  </si>
  <si>
    <t>Finance Intern, Chartwells Higher Ed / Louisiana State University - Baton Rouge</t>
  </si>
  <si>
    <t>Chartwells Higher Education</t>
  </si>
  <si>
    <t>1. Must be pursuing a degree in accounting or finance majors
2. Must be undergraduate student
3. General interest and knowledge
...</t>
  </si>
  <si>
    <t>Internship – Equity Research Analyst (Summer 2025)</t>
  </si>
  <si>
    <t>Robert W. Baird &amp; Co.</t>
  </si>
  <si>
    <t>1. Current enrollment in a Bachelor’s degree program required, graduation date of December 2025 or Spring 2026
2. Finance/Accounting degree strongly preferred
3. Candidates must have a track record of proven academic excellence
...</t>
  </si>
  <si>
    <t>Assurance Intern - Winter 2025 (NYC)</t>
  </si>
  <si>
    <t>$32-$36 /h</t>
  </si>
  <si>
    <t>2025 Financial Advisor Development Track Program - Summer Analyst Opportunity</t>
  </si>
  <si>
    <t>1. A well-rounded academic background with an interest in providing exceptional client service and financial advice
2. Pursuing a B.A. or B.S. degree, with an expected graduation date of December 2025 through June 2026
3. Excellent leadership, interpersonal, and problem-solving skills
...</t>
  </si>
  <si>
    <t>Global Markets Sustainable Finance Summer Analyst Program - 2025</t>
  </si>
  <si>
    <t>1. Students must be pursuing a Bachelors degree or a Bachelors direct to Masters degree from an accredited college or university with a graduation timeframe between December 2025 and June 2026
2. Extensive Excel and modeling skills
3. Strong quantitative and qualitative skills
...</t>
  </si>
  <si>
    <t>2025 Asset &amp; Wealth Management Risk Summer Analyst Program</t>
  </si>
  <si>
    <t>1. Pursuing a Bachelor’s or Master’s degree
2. Graduation date of December 2025 - June 2026
3. Adaptable team player with the initiative and insight to develop innovative risk solutions in partnership with our global clients and partners
...</t>
  </si>
  <si>
    <t>Tax Intern - Financial Services - Summer 2025 (New York City)</t>
  </si>
  <si>
    <t>Core Tax Intern - Summer 2025 (New York City)</t>
  </si>
  <si>
    <t>2025 Commercial Banking - Middle Market Banking &amp; Specialized Industries Summer Analyst Program</t>
  </si>
  <si>
    <t>Accounting Clerk - Intern</t>
  </si>
  <si>
    <t>Associa</t>
  </si>
  <si>
    <t>Accounting, Communities</t>
  </si>
  <si>
    <t>1. Proficiency in Microsoft Office (word, excel, outlook) and GAAP
2. Experience in General Ledger Accounting
3. Experience with AP and AR transaction process
...</t>
  </si>
  <si>
    <t>2025 Corporate &amp; Investment Bank Securities Services Leadership Program - Summer Analyst Program</t>
  </si>
  <si>
    <t>1. Exceptional writing, verbal communication and client facing skills
2. Have the aptitude to synthesize large amounts of information and to develop innovative solutions
3. Clear, articulate, and concise verbal and written communication
...</t>
  </si>
  <si>
    <t>2025 Guggenheim Securities Investment Banking Summer Associate – New York Generalist Program</t>
  </si>
  <si>
    <t>Guggenheim Partners</t>
  </si>
  <si>
    <t>1. On track to receive MBA or J.D. degree in December 2025 or Spring 2026
2. Support deal teams in developing, maintaining and using financial models
3. Perform financial and valuation analysis such as discounted cash flow analysis, multiple valuation analysis
...</t>
  </si>
  <si>
    <t>First Harvest Credit Union</t>
  </si>
  <si>
    <t>Banking, Credit</t>
  </si>
  <si>
    <t>Woodbury, NJ</t>
  </si>
  <si>
    <t>1. Major in Accounting/Finance or Business Administration
2. Proficient with Microsoft Suite, Outlook and using the web
3. Excellent oral and written communication and interpersonal skills
...</t>
  </si>
  <si>
    <t>Part-Time Fall 2024 Accounting Intern | Long Island, NY</t>
  </si>
  <si>
    <t>Ronkonkoma, NY</t>
  </si>
  <si>
    <t>1. Must be at least 18 years old
2. Must be enrolled full time for the upcoming semester in a college/university in a bachelors degree program in Accounting or Finance with a graduation date of December 2024 or May 2025.
3. Must have basic proficiency with Microsoft Excel and Word
...</t>
  </si>
  <si>
    <t>Core Tax Intern - Winter 2025 (Long Island)</t>
  </si>
  <si>
    <t>2025 Asset &amp; Wealth Management Global Private Bank LatAm Summer Analyst Program</t>
  </si>
  <si>
    <t>1. Pursuing a Bachelor’s or Master’s degree
2. Expected graduation date of December 2025 – June 2026
3. Attend college/university in the U.S.
...</t>
  </si>
  <si>
    <t>Investments Intern (New York City)</t>
  </si>
  <si>
    <t>1. Authorization to work permanently in the U.S.
2. Creative problem solver and analytical thinker
3. A demonstrated interest in investments
...</t>
  </si>
  <si>
    <t>2025 Corporate &amp; Investment Bank Payments Summer Analyst Program</t>
  </si>
  <si>
    <t>1. Attend college/university in the U.S.
2. All majors eligible to apply
3. Expected graduation date of December 2025 – June 2026 from Bachelor's or Master’s program (within 2 years of the Bachelor's degree)
...</t>
  </si>
  <si>
    <t>Assurance Intern - Nonprofit - Winter 2025 (NYC)</t>
  </si>
  <si>
    <t>Finance Management Summer 2025 Analyst</t>
  </si>
  <si>
    <t>1. Candidates are required to be currently enrolled in an undergraduate or accelerated (4+1) degree program from an accredited college or university.
2. Eligible candidates must have a final graduation date between November 2025 and August 2026.
3. Candidates should possess a high level of intellectual curiosity, a drive for operational excellence, and a commitment to achieving sustainable results.
...</t>
  </si>
  <si>
    <t>2025 Asset &amp; Wealth Management Global Private Bank Solutions Summer Analyst Program</t>
  </si>
  <si>
    <t>1. Expected graduation date of December 2025 – June 2026
2. Attend college/university in the U.S.
3. Driven and enjoy working in teams to develop complex solutions
...</t>
  </si>
  <si>
    <t>2025 Financial Advisor Development Track Program - Summer Analyst Opportunity (Insights Programs)</t>
  </si>
  <si>
    <t>2025 - Summer Analyst Internship - Unified Sectors-Advisory and M&amp;A</t>
  </si>
  <si>
    <t>BNP Paribas</t>
  </si>
  <si>
    <t>Banking, Consumer Lending</t>
  </si>
  <si>
    <t>1. Graduation year of Winter 2025 – Spring 2026
2. All majors accepted</t>
  </si>
  <si>
    <t>National Tax Office &amp; Transactional Specialist - Intern (2026)</t>
  </si>
  <si>
    <t>1. Detail-oriented leader with problem solving, communication, and analytical skills
2. Strong interest in tax law, as demonstrated by tax courses completed or planned before graduation
3. Pursuing a Bachelor's degree with an emphasis in accounting; or Master's degree in accounting or tax
...</t>
  </si>
  <si>
    <t>2025 2L Tax Summer Associate</t>
  </si>
  <si>
    <t>Fenwick &amp; West</t>
  </si>
  <si>
    <t>1. 2L law student
2. Interest in a career in tax law
3. Submit cover letter, current resume, undergraduate transcript, and law school transcript
...</t>
  </si>
  <si>
    <t>Global Payments Solutions Summer Analyst Program - 2025</t>
  </si>
  <si>
    <t>1. Candidates are required to be pursuing a Bachelor’s degree from an accredited college or university with a graduation timeframe between December 2025 and June 2026
2. Must demonstrate a track record of superior performance in extracurricular and professional activities
3. Dedication to building a career in the Global Payments Solutions industry</t>
  </si>
  <si>
    <t>2025 Institutional Actuarial Intern</t>
  </si>
  <si>
    <t>Global Atlantic</t>
  </si>
  <si>
    <t>$37000-$110000 /yr</t>
  </si>
  <si>
    <t>1. Pursuing a bachelor’s degree in a quantitative discipline such as Actuarial Science, Statistics, Mathematics, Computer Science with a graduation date of December 2025 or May 2026
2. Exceptional analytical abilities and the eagerness to learn
3. Inquisitive and intellectually curious
...</t>
  </si>
  <si>
    <t>1. Minimum sophomore, full-time student status in a 4-year program with accounting major or minor required.
2. Successful completion of, or current enrollment in, intermediate accounting is required.
3. Must be detail-conscious, responsible, dependable, and able to work well in a team environment.
...</t>
  </si>
  <si>
    <t>Infrastructure Finance Intern</t>
  </si>
  <si>
    <t>$23-$25 /h</t>
  </si>
  <si>
    <t>1. Must be currently enrolled in an undergraduate or graduate program
2. Attention to detail a must
3. Must possess strong problem-solving and communication skills
...</t>
  </si>
  <si>
    <t>2025 Guggenheim Securities Investment Banking Summer Associate – New York Capital Structure Advisory Group (Restructuring)</t>
  </si>
  <si>
    <t>1. On track to receive an MBA or JD from a top university
2. Must be on track to graduate in either December 2025 or Spring 2026</t>
  </si>
  <si>
    <t>2025 Guggenheim Securities Investment Banking Summer Associate – Menlo Park TMT</t>
  </si>
  <si>
    <t>1. On track to receive a Master’s degree in December 2025 or Spring 2026</t>
  </si>
  <si>
    <t>2025 Tax Internship</t>
  </si>
  <si>
    <t>Itasca, IL</t>
  </si>
  <si>
    <t>1. In the process of obtaining a Bachelor’s Degree in accounting or related field
2. Ability and willingness to travel to clients within the Firm’s market area</t>
  </si>
  <si>
    <t>2025 Assurance Internship</t>
  </si>
  <si>
    <t>1. On track to receive MBA or J.D. degree in December 2025 or Spring 2026</t>
  </si>
  <si>
    <t>2025 Guggenheim Securities Investment Banking Summer Associate – Houston Energy, Power, and Energy Transition</t>
  </si>
  <si>
    <t>1. On track to receive an MBA in finance / economics or a related field from a top university
2. On track to graduate in either December 2025 or Spring 2026</t>
  </si>
  <si>
    <t>2025 Guggenheim Securities Investment Banking Summer Associate – New York PEAG</t>
  </si>
  <si>
    <t>1. On track to receive MBA or J.D. degree in Spring 2026</t>
  </si>
  <si>
    <t>Accountant Trainee</t>
  </si>
  <si>
    <t>CA Department of Corrections &amp; Rehabilitation</t>
  </si>
  <si>
    <t>Corrections Facilities, Government</t>
  </si>
  <si>
    <t>Kern County, CA</t>
  </si>
  <si>
    <t>$4187-$4992 /h</t>
  </si>
  <si>
    <t>1. Completion of educational courses as specified in the Class Specification
2. Background Investigation clearance prior to being hired
3. Possession of Minimum Qualifications verified prior to interview and/or appointment
...</t>
  </si>
  <si>
    <t>Finance &amp; Operations Intern</t>
  </si>
  <si>
    <t>1. Pursuing a Bachelor’s or Master's degree in Finance, Business Administration, Accounting, or a related field. Equivalent work experience may be considered.
2. Process Documentation: Ability to capture and document business processes with accuracy and clarity to ensure smooth execution across the organization.
3. Strong Analytical Skills: Able to analyze complex data from various sources and develop actionable, data-driven insights and recommendations.
...</t>
  </si>
  <si>
    <t>Intern, Asset Management</t>
  </si>
  <si>
    <t>1. At least a sophomore pursuing a Bachelor’s degree in Finance, Economics, Business Administration or related field
2. Strong computer skills with advanced proficiency in Excel
3. Knowledge of SAP (S4, Analytical Cloud, Fiori) and Salesforce is a plus
...</t>
  </si>
  <si>
    <t>NAM Citi Research, Summer Associate - New York City (North America - 2025)</t>
  </si>
  <si>
    <t>$80000-$115000 /yr</t>
  </si>
  <si>
    <t>1. Currently maintain a GPA of 3.5 or above
2. Currently pursuing a Bachelor’s degree (graduating in Fall 2025 or Spring 2026)
3. Creative in solving problems and intellectually curious
...</t>
  </si>
  <si>
    <t>1. Dynamic individual interested in learning AR process in the WHQ FP&amp;A organization
2. Longer-term opening for the right candidate pursuing Accounting or Finance major/degree
3. Attention to detail and ability to document
...</t>
  </si>
  <si>
    <t>Tax Compliance Internship</t>
  </si>
  <si>
    <t>Iowa Civil Rights Commission</t>
  </si>
  <si>
    <t>Association, Consulting</t>
  </si>
  <si>
    <t>Iowa, IA</t>
  </si>
  <si>
    <t>1. Currently enrolled student in a degree program at an accredited educational institution
2. Must pass a criminal background check, FBI fingerprinting
3. Compliance with Iowa tax filing requirements
...</t>
  </si>
  <si>
    <t>Intern, Finance and Accounting</t>
  </si>
  <si>
    <t>DT Global</t>
  </si>
  <si>
    <t>1. Relevant college coursework in finance, accounting, business administration or other relevant fields
2. Proven analytical skills
3. Strong understanding of accounting and financial reporting principles and practices
...</t>
  </si>
  <si>
    <t>Financial Advisor Development Program</t>
  </si>
  <si>
    <t>Wellesley Hills, MA</t>
  </si>
  <si>
    <t>1. Full-time student
2. December 2024/May 2025 Grad
3. Strong academic performance and active involvement in clubs/organizations
...</t>
  </si>
  <si>
    <t>Specialty Tax Services Intern, International Tax Services - Summer 2025 (Los Angeles)</t>
  </si>
  <si>
    <t>$28-$37 /h</t>
  </si>
  <si>
    <t>1. Enrolled in a Bachelors or Master’s program in Accounting, Taxation or Master of Laws (LLM) degree program or other relevant field</t>
  </si>
  <si>
    <t>Finance &amp; Controlling Intern - Onsite</t>
  </si>
  <si>
    <t>1. Good standard of education, ideally with internship experience in administration.
2. Experience with office administration.
3. Strong organization and effective communication skills across all levels and functions.
...</t>
  </si>
  <si>
    <t>Full-Time Accounting Internship</t>
  </si>
  <si>
    <t>Holly Poultry</t>
  </si>
  <si>
    <t>Food and Beverage, Supply Chain Management</t>
  </si>
  <si>
    <t>1. Recent graduate or currently pursuing a degree in Accounting, Finance, or related field.
2. Proficiency in MS Office, particularly Excel.
3. Strong analytical and problem-solving skills.
...</t>
  </si>
  <si>
    <t>1. Working toward a Bachelor’s degree, preferably in accounting or finance (obtained degree is a plus), and/or appropriate balance of education and work experience
2. GPA of 3.20 or higher
3. Preferred completion of at least one Intermediate Accounting course and preferably on track or already qualified to sit for the CPA examination
...</t>
  </si>
  <si>
    <t>2025 Staff Accountant Intern - Portland</t>
  </si>
  <si>
    <t>Corporate Finance, Intern 2024</t>
  </si>
  <si>
    <t>Revantage Corporate Services</t>
  </si>
  <si>
    <t>$22.06-$31.97 /h</t>
  </si>
  <si>
    <t>1. Current junior undergraduate student at an accredited four-year institution (graduating 2025) pursuing a degree in Accounting or Finance
2. Minimum GPA of 3.2
3. Intermediate proficiency in MS Excel and Word
...</t>
  </si>
  <si>
    <t>Specialty Tax Services Intern, Transfer Pricing - Summer 2025 (Miami)</t>
  </si>
  <si>
    <t>1. Enrolled in a Bachelor’s or Master’s degree in Accounting, Economics, or other relevant field of study required
2. Proficient in the use of Microsoft Office Suite, specifically Excel, PowerPoint and Word
3. Exceptional research and writing skills
...</t>
  </si>
  <si>
    <t>Fixed Asset Specialist (One-Month Contract)</t>
  </si>
  <si>
    <t>Boart Longyear</t>
  </si>
  <si>
    <t>1. Must be authorized to work in the USA
2. Must have valid Driver’s License
3. Currently pursuing a Bachelor's or Master's degree in Accounting, Finance, Business Administration, or a related field.
...</t>
  </si>
  <si>
    <t>Core Tax Intern - Winter 2025 (Fort Lauderdale)</t>
  </si>
  <si>
    <t>Audit &amp; Assurance Intern - Summer 2025</t>
  </si>
  <si>
    <t>Internship – Corporate Credit Analyst</t>
  </si>
  <si>
    <t>Security Benefit</t>
  </si>
  <si>
    <t>Crowdfunding, Cyber Security</t>
  </si>
  <si>
    <t>1. Progress toward degrees in Finance, Accounting, Economics, or related fields
2. Demonstrated interest in investment management and basic understanding of financial markets
3. Ideal candidate will be well organized, independent, entrepreneurial, assertive, self-motivated, detail oriented and able to work in a fast-paced environment on multiple projects
...</t>
  </si>
  <si>
    <t>Euronext Clearing - Market Risk Internship</t>
  </si>
  <si>
    <t>1. Master's Degree in economics, finance, mathematics or engineering, physics
2. General knowledge of the financial services market
3. Sound knowledge of Ms Office Suite
...</t>
  </si>
  <si>
    <t>Finance Intern (Hybrid)</t>
  </si>
  <si>
    <t>QinetiQ North America</t>
  </si>
  <si>
    <t>1. Pursuing a bachelor’s degree in Accounting, Finance or related field.
2. Excellent communication and presentation skills; comfortable interacting with executive-level management.
3. Good analytic and data gathering skills; able to synthesis data into information and present findings.
...</t>
  </si>
  <si>
    <t>Specialty Tax Services Intern, State and Local Tax - Summer 2025 (Orange County)</t>
  </si>
  <si>
    <t>1. Enrolled in a Bachelors or Masters program in Accounting, Taxation, Finance or other relevant field, Juris Doctorate (J.D) program, or Master of Laws (LLM) program, required
2. Proficient in the use of Microsoft Office Suite, specifically Word, Excel and PowerPoint
3. Strong written and verbal communication skills
...</t>
  </si>
  <si>
    <t>Specialty Tax Services Intern, Transfer Pricing - Summer 2025 (Los Angeles)</t>
  </si>
  <si>
    <t>Specialty Tax Services Intern, State and Local Tax - Summer 2025 (Los Angeles)</t>
  </si>
  <si>
    <t>Specialty Tax Services Intern, Business Incentives Group - Summer 2025 (Los Angeles)</t>
  </si>
  <si>
    <t>1. Currently enrolled in a Bachelor’s or Master’s program in Accounting
2. Excellent verbal and written communication skills
3. Strong analytical and basic research skills
...</t>
  </si>
  <si>
    <t>Accounting Internship (12 months)</t>
  </si>
  <si>
    <t>Brookfield Asset Management</t>
  </si>
  <si>
    <t>Asset Management, Financial Services</t>
  </si>
  <si>
    <t>1. The ideal candidate will be service oriented with excellent interpersonal and communication skills (oral and written), as well as a strong team player with a good work ethic.
2. Must be flexible to come into the office.
3. 12-month commitment is expected.
...</t>
  </si>
  <si>
    <t>1. Intention to graduate with a minimum of a bachelors degree and begin full-time employment by August 2026
2. Exceptional quantitative, logical reasoning, and analytical skills
3. General computer skills required; computer programming skills a plus
...</t>
  </si>
  <si>
    <t>Administrative Accounting Intern - Columbia, SC</t>
  </si>
  <si>
    <t>Mauldin &amp; Jenkins, LLC</t>
  </si>
  <si>
    <t>1. Currently pursuing a college degree with a major or concentration in accounting
2. All students must provide their own housing and transportation for the duration of the internship
3. Strong verbal and written communication skills
...</t>
  </si>
  <si>
    <t>Tax Intern, Business Tax Services - Commercial Japanese Practice | Santa Clara Summer 2025</t>
  </si>
  <si>
    <t>1. Must be enrolled in an accredited college or university and pursuing the following degrees/majors: Bachelors and/or Masters in accounting, finance, taxation, mathematics, economics, information technology, data and analytics, engineering (financial, industrial or systems), or equivalent program
2. Pursuing educational requirements for CPA licensure in the principal place of business (the state in which the office is located) for this position (completion of academic credits required prior to starting as a Tax Associate)
3. Upon completion of this internship, candidates must have additional academic credits to complete before obtaining their degree and/or CPA eligibility requirements
...</t>
  </si>
  <si>
    <t>Audit or Tax - Intern (2026)</t>
  </si>
  <si>
    <t>1. Detail-oriented leader with problem solving, communication, and analytical skills.
2. Pursuing a Bachelor’s degree with an emphasis in accounting; or Master’s degree in accounting or tax.
3. Academic success (a minimum cumulative GPA of 3.0).
...</t>
  </si>
  <si>
    <t>Tax Intern - Spring 2025 (Miami, FL)</t>
  </si>
  <si>
    <t>Tax Intern, Business Tax Services - Commercial Japanese Practice | Santa Clara Winter 2025</t>
  </si>
  <si>
    <t>International Tax Services - Intern (2026)</t>
  </si>
  <si>
    <t>1. Detail-oriented leader with problem solving, communication, and analytical skills.
2. Pursuing a Bachelor's degree with an emphasis in accounting; or a Master's degree in accounting or tax, or LLM.
3. Completed the first two entry-level accounting courses and at a minimum, currently enrolled in the first intermediate level accounting course.
...</t>
  </si>
  <si>
    <t>Tax Intern - Fall 2024 (Miami, FL)</t>
  </si>
  <si>
    <t>Tax Intern - Summer 2025 (Miami, FL)</t>
  </si>
  <si>
    <t>1. Pursuing a bachelor's or master’s degree in Accounting
2. 3.0 GPA (cumulative and in accounting major)
3. Ability to take off Spring semester classes (January through mid-April) and work 40+ hours per week is preferred (open to part-time internships depending on office location and service group)
...</t>
  </si>
  <si>
    <t>Audit Intern Spring 2025</t>
  </si>
  <si>
    <t>Crowe</t>
  </si>
  <si>
    <t>$24-$38 /h</t>
  </si>
  <si>
    <t>1. Pursuing a Bachelor's and/or Master's in Accounting or similar degree
2. Pursuing CPA-eligibility (150 credit hours) by graduation
3. Strong academic credentials
...</t>
  </si>
  <si>
    <t>Audit Intern - Spring 2025 (Miami, FL)</t>
  </si>
  <si>
    <t>Deckers Outdoor Corporation</t>
  </si>
  <si>
    <t>1. Currently pursuing a degree Bachelor of Science/Business Administration, Master of Science in Accounting, Finance, Taxation or other relevant field.</t>
  </si>
  <si>
    <t>Audit Intern - Fall 2024 (Miami, FL)</t>
  </si>
  <si>
    <t>1. Undergraduate or graduate students earning degrees in Business, Finance, Economics, and/or Accounting.
2. Attention to detail, the ability to multi-task, and excellent communication skills are essential to this position.
3. Ability to handle sensitive client information confidentially.
...</t>
  </si>
  <si>
    <t>Audit Intern - Summer 2025 (Miami, FL)</t>
  </si>
  <si>
    <t>1. Must be enrolled in a college or University.
2. Students entering their sophomore or junior year of college.
3. Undergraduate Accounting majors or Graduate students preferred.
...</t>
  </si>
  <si>
    <t>Actuarial Intern Summer 2025 (CMH Health)</t>
  </si>
  <si>
    <t>Milliman</t>
  </si>
  <si>
    <t>Brookfield, CT</t>
  </si>
  <si>
    <t>$19-$36 /h</t>
  </si>
  <si>
    <t>1. Pursuing a bachelor’s or master’s degree in actuarial science, mathematics, economics, finance, accounting, or another major with quantitative course work
2. Junior standing is preferred, will accept sophomore standing at time of application
3. At least one actuarial exam passed
...</t>
  </si>
  <si>
    <t>1. Currently pursuing a degree in Accounting, Finance, or a related field.
2. Basic understanding of accounting principles and practices.
3. Proficiency in Microsoft Excel and other accounting software (experience with Deltek Vision is a plus).
...</t>
  </si>
  <si>
    <t>Coop placement - Finance and Accounting</t>
  </si>
  <si>
    <t>UPS Supply Chain Solutions</t>
  </si>
  <si>
    <t>Logistics, Supply Chain Management</t>
  </si>
  <si>
    <t>CA - SCS-BURLINGTON DISTRICT OFF-3873 (ONBRL)</t>
  </si>
  <si>
    <t>1. Rising college junior or senior, or recent graduate from Business, Finance, Accounting or related program
2. Demonstrates an understanding of basic financial terminology and concepts such as operating profit/loss and net income
3. Knowledge of Microsoft Word, Excel, PowerPoint, and Access
...</t>
  </si>
  <si>
    <t>Ann Arbor/Farmington Hills, MI</t>
  </si>
  <si>
    <t>New York New York United States</t>
  </si>
  <si>
    <t>$110000-$110000 /yr</t>
  </si>
  <si>
    <t>Auburn Hills - Michigan - USA</t>
  </si>
  <si>
    <t>1. Dynamic individual interested in learning AR process in the WHQ FP&amp;A organization.
2. This position would be longer-term opening for the right candidate pursuing Accounting or Finance major/degree.
3. Seeking someone with attention to detail, ability to document, and comfortable interacting at all levels of the corporation.
...</t>
  </si>
  <si>
    <t>Audit Internship Spring 2026</t>
  </si>
  <si>
    <t>Urbandale, IA</t>
  </si>
  <si>
    <t>Tax Intern - Summer 2025 (Ridgeland, MS)</t>
  </si>
  <si>
    <t>Ridgeland, MS</t>
  </si>
  <si>
    <t>Audit Intern - Summer 2025 (Ridgeland, MS)</t>
  </si>
  <si>
    <t>Audit Intern - Spring 2025 (Ridgeland, MS)</t>
  </si>
  <si>
    <t>Tax Intern - Spring 2025 (Ridgeland, MS)</t>
  </si>
  <si>
    <t>Tax Internship - Spring 2026</t>
  </si>
  <si>
    <t>Bloomington, MN</t>
  </si>
  <si>
    <t>Audit Internship Spring 2025</t>
  </si>
  <si>
    <t>Actuarial Analyst Intern – Winter 2025</t>
  </si>
  <si>
    <t>$23-$39 /h</t>
  </si>
  <si>
    <t>1. Working towards or completed a bachelor’s degree in Mathematics, Statistics, Actuarial Science, Economics, or another related field
2. Working towards successful completion of one or more Society of Actuaries (SOA) exams
3. Expected graduation date no later than April 2026
...</t>
  </si>
  <si>
    <t>Financial Accounting Intern, Part Time Co-Op</t>
  </si>
  <si>
    <t>Elevance Health</t>
  </si>
  <si>
    <t>1. Pursuing a Bachelors Degree in Accounting, Finance, or related major at an accredited college or university
2. Ability to work a minimum of 20 hours per week for the duration of the internship out of our Mason, Ohio location</t>
  </si>
  <si>
    <t>Underwriting Intern - Fall 2024</t>
  </si>
  <si>
    <t>Mission Underwriters</t>
  </si>
  <si>
    <t>1. A current student pursuing an undergraduate degree in Risk Management &amp; Insurance, or a similar field. Two years of course work completed towards a degree (Junior or Senior) would be preferred.
2. Minimum GPA to apply is a 3.0 on a scale of 4.0
3. Must be in the same geographic location as the job (Cincinnati, OH) or willing to relocate yourself. This is NOT a remote position
...</t>
  </si>
  <si>
    <t>Lake Ronkonkoma, NY</t>
  </si>
  <si>
    <t>1. Must be enrolled in a bachelor's or master's degree in Accounting
2. Junior or Senior or higher status and on track to graduate with 150 credits
3. Ability and motivated about working overtime as needed
...</t>
  </si>
  <si>
    <t>2025 Commercial Banking Summer Internship - Early Careers</t>
  </si>
  <si>
    <t>$20-$45 /h</t>
  </si>
  <si>
    <t>1. 6+ months of work experience, or equivalent demonstrated through one or a combination of the following: work experience, training, military experience, education.
2. Strong organizational, multi-tasking, and prioritizing skills
3. Solid problem solving and decision-making skills
...</t>
  </si>
  <si>
    <t>Accounting Intern to Hire</t>
  </si>
  <si>
    <t>North Atlantic</t>
  </si>
  <si>
    <t>Construction, Home Improvement</t>
  </si>
  <si>
    <t>Somerset, MA</t>
  </si>
  <si>
    <t>1. Currently pursuing a degree in accounting, finance, or related field.
2. Effective verbal and written communication skills.
3. Good understanding of accounting principles.
...</t>
  </si>
  <si>
    <t>Internship - Acquisitions</t>
  </si>
  <si>
    <t>Time Equities</t>
  </si>
  <si>
    <t>Commercial Real Estate, Property Management</t>
  </si>
  <si>
    <t>1. Pursuing a bachelor’s or master’s Degree (major in Finance, Business, Economics, or related field preferred)
2. Candidate must have experience underwriting commercial properties using Excel
3. Able to work independently, present recommendations, and interact with senior management and partners in the decision-making process
...</t>
  </si>
  <si>
    <t>Nienhuis Financial Group</t>
  </si>
  <si>
    <t>1. Currently enrolled in a college or university tax or accounting program
2. High school diploma or equivalent
3. Extremely strong technical skills – computer software, hardware, and general office equipment
...</t>
  </si>
  <si>
    <t>Intern - Actuarial/Data Science</t>
  </si>
  <si>
    <t>SECURA Insurance</t>
  </si>
  <si>
    <t>1. Actively pursuing Bachelor's degree in Actuarial Science, Data Science, or other related field.
2. Advanced data analysis skills including the ability to operate &amp; design complex Excel spreadsheets.
3. Proficient in Word and PowerPoint.
...</t>
  </si>
  <si>
    <t>Audit Intern (R1944)</t>
  </si>
  <si>
    <t>Sompo International</t>
  </si>
  <si>
    <t>Health Insurance, Insurance</t>
  </si>
  <si>
    <t>Morristown, NJ</t>
  </si>
  <si>
    <t>1. Student must be a Sophomore or Junior enrolled in an accredited university working towards a Bachelor’s or Master’s degree in Accounting, Finance, Economics, Business, Information Technology, Computer Science, Mathematics, or related degrees.
2. Minimum GPA requirement of 3.0 on a 4.0 scale
3. Proficient in using Microsoft Word, Excel, and PowerPoint
...</t>
  </si>
  <si>
    <t>Holt of California</t>
  </si>
  <si>
    <t>Pleasant Grove, CA</t>
  </si>
  <si>
    <t>1. Working towards an Accounting degree with upper division coursework
2. Strong attention to detail including following instructions
3. Ability to prioritize responsibilities and manage multiple tasks
...</t>
  </si>
  <si>
    <t>Audit Intern, Japanese Practice| Multiple Locations Summer 2025</t>
  </si>
  <si>
    <t>Finance Internship - Fall 2024</t>
  </si>
  <si>
    <t>1. Upper level major in Finance, Accounting, or related field
2. Strong analytical, problem-solving, and decision-making skills
3. Proficient in spreadsheets, and other MS Office applications
...</t>
  </si>
  <si>
    <t>Tax &amp; Audit Interns</t>
  </si>
  <si>
    <t>Tonneson + Co</t>
  </si>
  <si>
    <t>1. Accounting, finance, or business majors
2. Interested in pursuing careers in public accounting
3. Available for Winter 2025 in Wakefield, MA
...</t>
  </si>
  <si>
    <t>Audit Intern - Spring 2025 (Goldsboro, NC)</t>
  </si>
  <si>
    <t>Goldsboro, NC</t>
  </si>
  <si>
    <t>Audit Intern - Summer 2025 (Melbourne, FL)</t>
  </si>
  <si>
    <t>Audit Intern - Fall 2024 (New Orleans, LA)</t>
  </si>
  <si>
    <t>Spring 2025 Audit Intern - Chicago</t>
  </si>
  <si>
    <t>Summer 2025 Audit Intern - Chicago</t>
  </si>
  <si>
    <t>1. Working towards undergraduate or graduate degree in Accounting with a GPA if 3.2 or higher
2. Basic knowledge of generally accepted accounting principles is required
3. Excellent written and verbal communication skills
...</t>
  </si>
  <si>
    <t>Tax Intern - Spring 2025 (Laurel, MS)</t>
  </si>
  <si>
    <t>Laurel, MS</t>
  </si>
  <si>
    <t>Tax Intern - Spring 2025 (Greensboro, NC)</t>
  </si>
  <si>
    <t>Audit Intern - Spring 2025 (Peachtree City, GA)</t>
  </si>
  <si>
    <t>Summer 2025 Tax Intern - Orland Park</t>
  </si>
  <si>
    <t>Audit Intern - Summer 2025 (Atlanta, GA)</t>
  </si>
  <si>
    <t>TBS Accounting Co-op</t>
  </si>
  <si>
    <t>Takeda</t>
  </si>
  <si>
    <t>$12.50-$19.57 /h</t>
  </si>
  <si>
    <t>1. Bachelor's degree in Finance or Accounting in process
2. Understanding of controls and SOX compliance
3. Strong IT skills, particularly MS Excel
...</t>
  </si>
  <si>
    <t>Summer 2025 Audit Intern - Elgin</t>
  </si>
  <si>
    <t>Tax Intern - Spring 2025 (Orlando, FL)</t>
  </si>
  <si>
    <t>Audit Intern - Spring 2025 (Raleigh, NC)</t>
  </si>
  <si>
    <t>Tax Intern - Spring 2025 (Peachtree City, GA)</t>
  </si>
  <si>
    <t>Rogers Corporation</t>
  </si>
  <si>
    <t>Electronics, Industrial</t>
  </si>
  <si>
    <t>1. Bachelor’s Degree in Accounting, Finance, Business or related field. May consider equivalent work experience in lieu of degree
2. 2+ years of progressive experience in audit including SOX, accounting, and/or finance
3. Travel Requirement: 30%</t>
  </si>
  <si>
    <t>Summer 2025 Tax Intern - Elgin</t>
  </si>
  <si>
    <t>Summer 2025 Tax Intern - Chicago</t>
  </si>
  <si>
    <t>Audit Intern - Spring 2025 (Nashville, TN)</t>
  </si>
  <si>
    <t>Spring 2025 Audit Intern - Orland Park</t>
  </si>
  <si>
    <t>Audit Intern - Summer 2025 (Peachtree City, GA)</t>
  </si>
  <si>
    <t>Summer 2025 Audit Intern - Orland Park</t>
  </si>
  <si>
    <t>1. Must be a full-time college Senior student enrolled in a bachelor's degree program in Accounting or Finance specifically graduating by May 2025.
2. The internship will require a commitment to work 20 hours per week for 12 weeks.
3. Must be authorized to work in the United States and not require work authorization sponsorship by our company for this position now or in the future.
...</t>
  </si>
  <si>
    <t>Audit Intern - Spring 2025 (Melbourne, FL)</t>
  </si>
  <si>
    <t>Audit Intern - Summer 2025 (Nashville, TN)</t>
  </si>
  <si>
    <t>Tax Intern - Spring 2025 (Raleigh, NC)</t>
  </si>
  <si>
    <t>Michigan Sugar Company</t>
  </si>
  <si>
    <t>Bay City, MI</t>
  </si>
  <si>
    <t>1. Currently pursuing a degree in Finance, Accounting, Business, Data Analytics, or a related field.
2. Proven experience with PowerBI, including dashboard creation, data modeling, and DAX functions.
3. Strong analytical and problem-solving skills.
...</t>
  </si>
  <si>
    <t>Tax Intern - Spring 2025 (Goldsboro, NC)</t>
  </si>
  <si>
    <t>Audit Intern - Spring 2025 (Atlanta, GA)</t>
  </si>
  <si>
    <t>1. Must be enrolled as a student in an accredited college or university with a major in accounting.
2. Demonstrated written and oral communication skills.
3. Demonstrated ability to work independently and as a team.
...</t>
  </si>
  <si>
    <t>Spring 2025 Audit Intern - Elgin</t>
  </si>
  <si>
    <t>Federal Tax Services Intern - Winter 2025</t>
  </si>
  <si>
    <t>Livingston, NJ</t>
  </si>
  <si>
    <t>Retirement Actuarial Internship/Returnship</t>
  </si>
  <si>
    <t>Aon</t>
  </si>
  <si>
    <t>Lincolnshire, IL</t>
  </si>
  <si>
    <t>$23.50-$35.50 /h</t>
  </si>
  <si>
    <t>1. Relevant work or internship experience.
2. Involvement in extracurricular activities.
3. Proficiency in Microsoft office products such as Word, PowerPoint, Excel and Outlook is required.
...</t>
  </si>
  <si>
    <t>2025 Staff Accountant Intern - Cleveland</t>
  </si>
  <si>
    <t>Audit and Tax Intern | Spring 2026</t>
  </si>
  <si>
    <t>1. Working towards a Bachelor's degree
2. Excellent interpersonal, analytical, research and audit project management skills, including basic knowledge of GAAP, Taxation compliance, codes and regulations and GAAS rules, procedures and standards
3. Demonstrated ability to communicate verbally and in writing throughout all levels of organization, both internally and externally
...</t>
  </si>
  <si>
    <t>Finance Military SkillBridge Internship</t>
  </si>
  <si>
    <t>1. Bachelor’s Degree in Business or related field
2. Must be detail-conscious, responsible, dependable, and able to work well in a team environment.
3. Must possess excellent interpersonal skills with the ability to interact and build relationships with team personnel, Trane commercial offices, business units, and all Trane customers.
...</t>
  </si>
  <si>
    <t>Financial Controller Internship</t>
  </si>
  <si>
    <t>NSI Group</t>
  </si>
  <si>
    <t>1. A Bachelor's degree in Finance, Accounting, and Global Business Management.
2. Must have professional proficiency in English (oral and written)</t>
  </si>
  <si>
    <t>Actuarial Intern Spring 2025 (CMH Health)</t>
  </si>
  <si>
    <t>1. Pursuing a bachelor’s or master’s degree in actuarial science, mathematics, economics, finance, accounting, or another major with quantitative course work
2. Must be able to work full-time from mid-January 2025 to mid-June 2025 (40+ hours/week along with extended hours, at times of 50+ or 60+ hours per week)</t>
  </si>
  <si>
    <t>Investment Analyst Intern - Private Markets Real Assets (Energy and Transition, Minerals and Mining, Infrastructure)</t>
  </si>
  <si>
    <t>Utah Retirement Systems</t>
  </si>
  <si>
    <t>1. Actively pursuing undergraduate or graduate degree at an accredited university in the fields of investment management, business administration, accounting, financial management, business economics, mathematics or related field
2. Must demonstrate competence with basic investments and portfolio management concepts either through applicable work experience or education; or an equivalent combination or education and experience
3. Introductory knowledge of Microsoft Office Suite, Access, Visual Basic, SQL, and Bloomberg
...</t>
  </si>
  <si>
    <t>2026 Audit Intern</t>
  </si>
  <si>
    <t>Intern Finance Accounting</t>
  </si>
  <si>
    <t>San Fernando Valley Community Mental Health Center</t>
  </si>
  <si>
    <t>1. High standards of ethics &amp; integrity.
2. Ability to respect the confidentiality of the team, client data, and refrain from inappropriate behavior.
3. Ability to communicate facts clearly, directly and adhere to policy.
...</t>
  </si>
  <si>
    <t>2025 Audit Intern</t>
  </si>
  <si>
    <t>Los Angeles County, CA</t>
  </si>
  <si>
    <t>Internal Audit &amp; Billing Analyst</t>
  </si>
  <si>
    <t>Korn Ferry</t>
  </si>
  <si>
    <t>$60000-$75000 /yr</t>
  </si>
  <si>
    <t>1. Bachelor’s degree in Finance, Accounting, Business Administration or another related field required.
2. Ability to have a weekly presence in our Los Angeles office (1-2 times per week).
3. 1+ years of experience with auditing, billing, and contract review and processes.
...</t>
  </si>
  <si>
    <t>1. Must be at least a Sophomore and actively seeking a Bachelor’s or Master’s degree in Accounting or related field with a cumulative GPA of 2.50 or greater.
2. Must have experience with PowerPoint, Excel, Word, Microsoft Teams, and Outlook.</t>
  </si>
  <si>
    <t>Summer Analyst - Southeast Hub</t>
  </si>
  <si>
    <t>$32 /h</t>
  </si>
  <si>
    <t>1. High school degree required.
2. Pursuing a degree with a concentration in Finance, Operations, Economics, or Business is desirable.
3. Prior internship experience in wealth management experience a plus.
...</t>
  </si>
  <si>
    <t>Kamehameha Schools</t>
  </si>
  <si>
    <t>1. High School Diploma or GED
2. Enrolled in a post-secondary education program, or have graduated within the previous year
3. Proficient in the use of the PC/Mac and standard office software</t>
  </si>
  <si>
    <t>Trust Investments Intern - Trust Investments</t>
  </si>
  <si>
    <t>WesBanco Bank</t>
  </si>
  <si>
    <t>1. Customer Service Skills
2. Interpersonal Skills
3. Possess clear, concise, effective written and oral communication skills
...</t>
  </si>
  <si>
    <t>BorgWarner Arden 2024 Fall Internship- Finance and Purchasing</t>
  </si>
  <si>
    <t>Arden, NC</t>
  </si>
  <si>
    <t>1. Degrees and/or coursework in Business, Accounting, Finance, Supply Chain, etc.
2. Eager and willing to learn and ability to adapt to new challenges.
3. Good typing, word processing and communication skills.
...</t>
  </si>
  <si>
    <t>Audit Summer 2025 Internship - Charlotte, NC</t>
  </si>
  <si>
    <t>1. Pursuing a Bachelor’s or Master’s degree in Accounting
2. Plan to complete 150 credit hours between December 2025 - September 2026 in order to be CPA licensed
3. Have a minimum 3.0 GPA in both your major and overall
...</t>
  </si>
  <si>
    <t>Accounting Internship (Fall 2024 - Spring 2025)</t>
  </si>
  <si>
    <t>Cerity Partners</t>
  </si>
  <si>
    <t>1. Be enrolled in an undergraduate program at an accredited university with a minimum 3.0 GPA.
2. Majoring in Finance, Accounting, or related business degree.
3. Be proficient in Microsoft Office Applications.
...</t>
  </si>
  <si>
    <t>Credit Risk Intern</t>
  </si>
  <si>
    <t>Desert Financial Credit Union</t>
  </si>
  <si>
    <t>1. High School Diploma or GED
2. Proficiency in SQL for querying databases or experience with Python for data manipulation and analysis
3. Microsoft Office Suite (Power Point, Word, etc.)
...</t>
  </si>
  <si>
    <t>2025 Finance Summer Internship - Early Careers</t>
  </si>
  <si>
    <t>2025 Summer Corporate Intern - Accounting</t>
  </si>
  <si>
    <t>1. Must be enrolled full-time at a 4-year accredited university/college in an Accounting degree program.
2. Minimum 3.0/4.0 GPA (both Accounting GPA &amp; Cumulative GPA).
3. 12 completed semester hours at a 4-year university before the start of the internship.
...</t>
  </si>
  <si>
    <t>Finance Co-op</t>
  </si>
  <si>
    <t>Sentry</t>
  </si>
  <si>
    <t>Stevens Point, WI</t>
  </si>
  <si>
    <t>1. Pursuing an undergraduate degree in Accounting or Finance or a related field (Junior and above)
2. CPA, or ability to sit for CPA exam strongly preferred
3. Maintain a minimum in-major GPA of 3.0
...</t>
  </si>
  <si>
    <t>Summer 2025 Tax Internship- Denver</t>
  </si>
  <si>
    <t>Topel Forman L.L.C.</t>
  </si>
  <si>
    <t>1. Accounting major
2. Proficient in Microsoft Office applications
3. Attention to detail
...</t>
  </si>
  <si>
    <t>Summer 2025 Tax Internship- Chicago</t>
  </si>
  <si>
    <t>Financial Advisor Internship</t>
  </si>
  <si>
    <t>1. Must be currently enrolled in college courses</t>
  </si>
  <si>
    <t>Internship, CFO Advisory (Summer 2025)</t>
  </si>
  <si>
    <t>1. Working towards a BA/BS degree or equivalent from an accredited university
2. Must be able to work 3 days/week during the intern cycle (on-site required)
3. Candidates should be highly motivated, possess a critical-thinking and problem-solving mindset, and be team players who possess excellent communication skills, both verbal and written
...</t>
  </si>
  <si>
    <t>1. Actively pursuing undergraduate or graduate degree at an accredited university in the fields of investment management, business administration, accounting, financial management, business economics, mathematics or related field
2. Must demonstrate competence with basic investments and portfolio management concepts either through applicable work experience or education; or an equivalent combination or education and experience
3. Required Technical Skills Include Introductory Knowledge Of Microsoft Office Suite, Access, Visual Basic, SQL, and Bloomberg
...</t>
  </si>
  <si>
    <t>James River Insurance</t>
  </si>
  <si>
    <t>Greater Richmond Region</t>
  </si>
  <si>
    <t>1. Proficiency in MS Office (Word, Excel, Outlook) and Internet researching
2. Prior experience in scanning documents using Adobe Acrobat
3. Excellent data entry skills
...</t>
  </si>
  <si>
    <t>Financial Planning Internship- Spring/ Summer 2025</t>
  </si>
  <si>
    <t>Lancaster, PA</t>
  </si>
  <si>
    <t>1. High Stress Tolerance - Thrives in a high-pressure environment
2. Innovative - Prefers working in unconventional ways or on tasks that require creativity
3. Achievement-Oriented - Enjoys taking on challenges, even if they might fail
...</t>
  </si>
  <si>
    <t>Accounting Internship - Spring 2025</t>
  </si>
  <si>
    <t>$25-$31 /h</t>
  </si>
  <si>
    <t>1. Pursuing a Bachelors or Master's degree in Accounting
2. Above average knowledge in accounting as demonstrated by college GPA; Preferred 3.0 GPA or higher
3. Ability to think independently and make good decisions based on education and experience
...</t>
  </si>
  <si>
    <t>Intern - Credit Analyst, Year-Round</t>
  </si>
  <si>
    <t>1. Currently enrolled in a US accredited degree program for at least another 12 months and can dedicate 12 months toward this internship
2. Able to work a minimum of 20 hours per week during normal business hours (Mon-Fri)
3. Must have and maintain a minimum GPA of a 2.8 or higher
...</t>
  </si>
  <si>
    <t>2025 Global Finance &amp; Business Management Analyst Program – Summer Analyst (DE, IL, OH, TX)</t>
  </si>
  <si>
    <t>1. Pursuing a B.A., B.S., or 5th year M.A. or M.S., with an expected graduation date between December 2025 and June 2026
2. Ability to thrive in a dynamic and collaborative work environment
3. Excellent leadership, interpersonal and problem-solving skills
...</t>
  </si>
  <si>
    <t>Eagle Rock Properties</t>
  </si>
  <si>
    <t>Construction, Property Management</t>
  </si>
  <si>
    <t>Plainview, NY</t>
  </si>
  <si>
    <t>$19.75-$20 /h</t>
  </si>
  <si>
    <t>1. Must be majoring in Accounting or related studies
2. Excellent attention to detail and strong organizational skills
3. Effective communication and interpersonal skills
...</t>
  </si>
  <si>
    <t>2025 Global Finance &amp; Business Management Analyst Program – Summer Analyst -  NY Metro</t>
  </si>
  <si>
    <t>Dalby, Wendland &amp; Co., P.C.</t>
  </si>
  <si>
    <t>Bookkeeping and Payroll, Consulting</t>
  </si>
  <si>
    <t>$22.75-$22.75 /h</t>
  </si>
  <si>
    <t>1. Enrollment in a 4 year college accounting program required.
2. High School Diploma or GED required.</t>
  </si>
  <si>
    <t>2025 Commercial Real Estate Summer Analyst Program</t>
  </si>
  <si>
    <t>2025 Global Finance &amp; Business Management Analyst Program – Summer Analyst (Insights Programs)</t>
  </si>
  <si>
    <t>2025 Global Finance &amp; Business Management Analyst Program - Corporate Controllers Track (Delaware) - Summer Analyst</t>
  </si>
  <si>
    <t>Fall Accounting GL Intern</t>
  </si>
  <si>
    <t>1. Enrolled in an accredited US university program, pursuing a degree in accounting or finance
2. Basic knowledge of Microsoft Office products
3. Proficient in Excel
...</t>
  </si>
  <si>
    <t>2025 Financial Advisor Development Track Program - Summer Analyst Opportunity (Chicago)</t>
  </si>
  <si>
    <t>2025 Internal Audit Analyst Program - Summer Analyst Opportunity Insight Programs</t>
  </si>
  <si>
    <t>1. Pursuing a B.A., B.S., or 5th year M.A. or M.S., with an expected graduation date of December 2025 through July 2026
2. A well-rounded academic background
3. All majors considered
...</t>
  </si>
  <si>
    <t>2025 Internal Audit Analyst Program - Summer Analyst Opportunity (Jersey City, NJ)</t>
  </si>
  <si>
    <t>2025 Internal Audit Analyst Program - Summer Analyst Opportunity</t>
  </si>
  <si>
    <t>Finance &amp; Accounting Internship Program - Fall 2024</t>
  </si>
  <si>
    <t>1. Pursuing a Bachelor’s Degree in Finance or Accounting
2. Highly organized, possess high attention to detail, deadline oriented
3. Excellent analytical and communication (both verbal and written) skills
...</t>
  </si>
  <si>
    <t>Accounts Payable/Site Payments Intern- Fall 2024</t>
  </si>
  <si>
    <t>1. Pursuing a Bachelor's Degree in Finance, Accounting, Business, or Economics
2. Graduating in December 2024 or May 2025
3. Proficient in Microsoft Office programs
...</t>
  </si>
  <si>
    <t>Hilltop Wealth Advisors</t>
  </si>
  <si>
    <t>Wealth Management</t>
  </si>
  <si>
    <t>Chapel Hill, NC</t>
  </si>
  <si>
    <t>1. Ideally a second or third year college student majoring in financial services, marketing, finance, or economics
2. General financial knowledge and interest in Financial Services
3. Intrinsically motivated
...</t>
  </si>
  <si>
    <t>Clayton, MO</t>
  </si>
  <si>
    <t>The Investment Center</t>
  </si>
  <si>
    <t>Advice, Finance</t>
  </si>
  <si>
    <t>1. Strong knowledge of financial planning, finance, and retirement planning
2. Understanding of investment strategies and financial advisory services
3. Excellent communication and interpersonal skills
...</t>
  </si>
  <si>
    <t>Finance and Accounting Internship</t>
  </si>
  <si>
    <t>Janel</t>
  </si>
  <si>
    <t>Garden City, NY</t>
  </si>
  <si>
    <t>1. Must be 18 years of age or older
2. Undergraduate or graduate students currently pursuing an associate, bachelor's, or master’s degree from a 2 or 4-year college or university preferably with a Finance, Accounting, Business, or related major/minor
3. Recent undergraduate or graduate students with a degree from a 2 or 4-year college or university preferably with a Finance, Accounting, Business, or related major/minor within the last 2 years</t>
  </si>
  <si>
    <t>apprenticeship 24 months – product financial flow analyst m/f</t>
  </si>
  <si>
    <t>Gentilly</t>
  </si>
  <si>
    <t>1. Soft skills: rigor, adaptability, good relational sense
2. Technical skills: SAP
3. Education: bac +5 in supply chain or data science
...</t>
  </si>
  <si>
    <t>Kawaiahao Plaza</t>
  </si>
  <si>
    <t>1. High School Diploma or GED.
2. Enrolled in a post-secondary education program, or have graduated within the previous year.
3. Proficient in the use of the PC/Mac and standard office software.</t>
  </si>
  <si>
    <t>Blackburn, Childers &amp; Steagall</t>
  </si>
  <si>
    <t>Johnson City, Tennessee, United States</t>
  </si>
  <si>
    <t>1. Students in their junior year, senior year, or a master's program.
2. At least one section of Intermediate accounting should have already been successfully passed.
3. GPA's of 3.0 and higher.
...</t>
  </si>
  <si>
    <t>United States - Illinois - Abbott Park</t>
  </si>
  <si>
    <t>Summer Analyst - Accounting &amp; Finance</t>
  </si>
  <si>
    <t>1. High school diploma
2. Must be enrolled as a rising senior student in an accredited college or university with a major in accounting, finance, economics.
3. Familiarity with Microsoft Office with emphasis on Excel such as: pivot tables, v-lookups, index, match, etc.
...</t>
  </si>
  <si>
    <t>Summer Analyst - Investment &amp; Client Solutions, Manager Approval</t>
  </si>
  <si>
    <t>1. High school degree required.
2. Pursuing a degree with a concentration in Finance, Mathematics, Economics, Business, or Computer Science is desirable.
3. Prior internship experience in the financial industry, including wealth management or asset management a plus.
...</t>
  </si>
  <si>
    <t>Specialty Tax Services Intern, Transfer Pricing - Summer 2025 (Dallas)</t>
  </si>
  <si>
    <t>Summer Analyst - Wealth Planning Center</t>
  </si>
  <si>
    <t>1. Working knowledge of Microsoft products such as Excel, Word, PowerPoint, and Outlook
2. Enthusiastic and positive approach to problem-solving and client service
3. Strong organization skills and the ability to multitask and reprioritize within tight deadlines
...</t>
  </si>
  <si>
    <t>QuVa Pharma</t>
  </si>
  <si>
    <t>Sugar Land, TX</t>
  </si>
  <si>
    <t>1. A High School diploma or equivalent
2. 18+ years of age
3. Able to successfully complete a drug and background check
...</t>
  </si>
  <si>
    <t>Credit and Collections Full Year Part Time Co-Op</t>
  </si>
  <si>
    <t>1. Must be able to work at least 20 hours per week for multiple semesters.
2. Would prefer a 2 or 4 year college student studying accounting.
3. Must be legally authorized to work in the United States.</t>
  </si>
  <si>
    <t>Student Assistant</t>
  </si>
  <si>
    <t>Department of Health Care Access and Information</t>
  </si>
  <si>
    <t>$2,985-$4,023 /h</t>
  </si>
  <si>
    <t>1. Must be enrolled at a minimum of six semester units or nine quarter units for undergraduate students; four semester units or six quarter units for graduate students.
2. Accounting or Finance majors preferred.</t>
  </si>
  <si>
    <t>Accounts Payable Intern</t>
  </si>
  <si>
    <t>Western States Fire Protection</t>
  </si>
  <si>
    <t>Construction, Information Technology</t>
  </si>
  <si>
    <t>Centennial, CO</t>
  </si>
  <si>
    <t>$15.50-$19.50 /h</t>
  </si>
  <si>
    <t>1. Possess excellent written and verbal communication skills.
2. Willing to learn the WSFP Accounts Payable processes.
3. Sufficient understanding of Microsoft Office Suite.
...</t>
  </si>
  <si>
    <t>Financial Advisor Post Graduate Program</t>
  </si>
  <si>
    <t>West Chester, OH</t>
  </si>
  <si>
    <t>$1000-$uncapped /mon</t>
  </si>
  <si>
    <t>1. Current full-time student in their senior year
2. Connected to the Cincinnati/Dayton area
3. Ability to work on own initiative and independently
...</t>
  </si>
  <si>
    <t>Financial Planning and Sales Internship - Fall 2024</t>
  </si>
  <si>
    <t>$1000-$1000 /mon</t>
  </si>
  <si>
    <t>1. Current full-time student in college (senior status preferred)
2. Connected to the Cincinnati/Dayton area
3. Ability to work on own initiative and independently
...</t>
  </si>
  <si>
    <t>Denver Metropolitan Area</t>
  </si>
  <si>
    <t>DSB Rock Island</t>
  </si>
  <si>
    <t>Mendota Heights, MN</t>
  </si>
  <si>
    <t>1. Ability to work in a fast-paced, hands-on learning environment
2. Strong communication and teamwork skills
3. Ability to adapt quickly and be part of a collaborative culture
...</t>
  </si>
  <si>
    <t>Summer Accounting Internship</t>
  </si>
  <si>
    <t>Stella Farms</t>
  </si>
  <si>
    <t>1. Studying accounting or agribusiness
2. Responsibility for all aspects of A/P and A/R
3. Ability to process invoices from vendors and payments from customers
...</t>
  </si>
  <si>
    <t>$20904-$61672 /yr</t>
  </si>
  <si>
    <t>1. Working towards a Bachelor's degree in Business, Finance, Accounting or related discipline from an accredited college in a related discipline.
2. Displays Analytical ability and Problem Solving Skills with attention to detail and reporting accuracy
3. Quick Learner with aptitude for various systems and processes
...</t>
  </si>
  <si>
    <t>2025 Corporate &amp; Investment Bank Markets Summer Analyst Program - Research</t>
  </si>
  <si>
    <t>1. Attend college/university in the U.S
2. Expected graduation date of December 2025 – June 2026 from Bachelor’s or Master’s program
3. If you are pursuing a Master’s degree, it must be within 2 years of receiving your Bachelor’s degree.
...</t>
  </si>
  <si>
    <t>2025 Corporate &amp; Investment Bank Markets Summer Analyst Program</t>
  </si>
  <si>
    <t>1. Attend college/university in the U.S.
2. Graduation date of December 2025 – June 2026 from a Bachelor’s or Master’s program (within 2 years of receiving your Bachelor’s degree)
3. Excellent analytical, quantitative and interpretative skills
...</t>
  </si>
  <si>
    <t>Corporate Audit- Automation, Data Quality, Tech Summer 2025 Analyst</t>
  </si>
  <si>
    <t>1. Candidates are required to be pursuing an undergraduate degree from an accredited college or university. Eligible candidates must have a graduation timeframe between November 2025 and August 2026.
2. Candidates must have strong written and verbal communication skills, the ability to adapt to change, be flexible and open-minded.
3. Must have the ability to effectively communicate quantitative topics to technical and non-technical audiences.
...</t>
  </si>
  <si>
    <t>Global Credit and Special Situations Summer Associate Program - 2025</t>
  </si>
  <si>
    <t>1. Candidates are required to be pursuing an MBA degree from an accredited college or university with a graduation timeframe between December 2025 and June 2026
2. Candidates are required to have 2.5 years of prior work experience
3. Solid accounting, corporate finance, valuation, and credit skills gained through extensive experience in areas such as mergers and acquisitions, leveraged finance, private equity, and debt or equity research
...</t>
  </si>
  <si>
    <t>Summer 2025 Audit Intern - Atlanta</t>
  </si>
  <si>
    <t>Spring 2025 Tax Intern - Charlotte</t>
  </si>
  <si>
    <t>Summer 2025 Audit Intern - Greenville</t>
  </si>
  <si>
    <t>Wealth Management Summer Analyst Program - Private Bank - Trust 2025</t>
  </si>
  <si>
    <t>1. Students must be pursuing a Bachelors or Bachelors direct to Masters degree from an accredited college or university with a graduation timeframe between November 2025 and August 2026
2. Demonstrated record of achievement such as extracurricular activities or leadership roles
3. Passion for investing and a strong understanding of finance
...</t>
  </si>
  <si>
    <t>Pomona Capital Accounting Intern</t>
  </si>
  <si>
    <t>Voya Investment Management</t>
  </si>
  <si>
    <t>1. Actively pursuing an Accounting degree. Current sophomore or junior in a 5-year Accounting program preferred.
2. Prior work experience in a professional office environment
3. Strong academic background – 3.4 minimum GPA
...</t>
  </si>
  <si>
    <t>Summer 2025 Tax Intern - Atlanta</t>
  </si>
  <si>
    <t>Summer 2025 Tax Intern - Rockville</t>
  </si>
  <si>
    <t>Spring 2025 Tax Intern - Greenville</t>
  </si>
  <si>
    <t>Corporate Audit Summer 2025 Analyst</t>
  </si>
  <si>
    <t>1. Candidates are required to be pursuing an undergraduate degree from an accredited college or university. Eligible candidates must have a graduation timeframe between November 2025 and August 2026.
2. Common areas of study include but are not limited to: Finance, Data Analytics, Accounting, Management Information Systems, Economics, Computer Science.
3. 3.2 minimum GPA preferred.
...</t>
  </si>
  <si>
    <t>Student Assistant - CRI - Accounting Assistant (Fall 2024)</t>
  </si>
  <si>
    <t>$9-$9 /h</t>
  </si>
  <si>
    <t>1. Must be enrolled in six or more undergraduate credit hours or three or more graduate credit hours at Georgia Southern University</t>
  </si>
  <si>
    <t>Intern, Finance</t>
  </si>
  <si>
    <t>1. Proficient with basic computer programs
2. Prepare balance sheet account reconciliations
3. Analyze financial data and be detailed-oriented
...</t>
  </si>
  <si>
    <t>VACCO Industries</t>
  </si>
  <si>
    <t>South El Monte, CA</t>
  </si>
  <si>
    <t>1. Attention to detail and high level of accuracy
2. Possess excellent communication skills both verbal and written
3. Proficiency with various software programs including Word, Excel and Outlook
...</t>
  </si>
  <si>
    <t>Wausau, WI</t>
  </si>
  <si>
    <t>1. Pursuing a Bachelors or Master’s degree in Accounting (completion of corporate or individual taxation class is required)
2. Above average competency in accounting as demonstrated by college GPA; Minimum 3.2 GPA
3. Working towards eligibility to sit for CPA exam upon graduation (150 credits)
...</t>
  </si>
  <si>
    <t>Macro Analyst Internship: Summer 2025</t>
  </si>
  <si>
    <t>1. Strong written, analytical, and financial research skills
2. Ability to prioritize and complete multiple tasks in a fast paced, dynamic environment
3. Demonstrated interest in the financial markets
...</t>
  </si>
  <si>
    <t>Global Quantitative Analytics Summer 2025 Analyst</t>
  </si>
  <si>
    <t>1. Candidates are required to be pursuing an undergraduate or masters degree from an accredited college or university. Eligible candidates must have a graduation timeframe between November 2025 and August 2026.
2. Candidates should possess a high level of intellectual curiosity, a drive for excellence, and a commitment to achieving sustainable results. Additionally, students should hold strong academic and technical skills as well as show proficiencies in leadership, teamwork, problem solving &amp; analytical skills, verbal and written communication, and professionalism.
3. Candidates must have advanced programming skills, including but not limited to Python, SQL, R, and/or C++.</t>
  </si>
  <si>
    <t>Valuation Actuarial: Life &amp; Reinsurance Modeling</t>
  </si>
  <si>
    <t>1. Full-time college student pursuing degree in Mathematics, Actuarial Sciences, Finance or Computer Science at the freshman level or higher.
2. Commitment to pursue an actuarial credential demonstrated by preparation for Society of Actuaries-administered exams or exam credit.
3. Advanced Excel knowledge/skill required.
...</t>
  </si>
  <si>
    <t>2025 Audit Winter Intern</t>
  </si>
  <si>
    <t>Specialty Tax Services Intern, Partnerships - Summer 2025 (Multiple Locations)</t>
  </si>
  <si>
    <t>Assurance Intern - Winter 2025 (Madison)</t>
  </si>
  <si>
    <t>$22-$36 /h</t>
  </si>
  <si>
    <t>Assurance Intern, Third Party Attestation - Summer 2025 (San Francisco)</t>
  </si>
  <si>
    <t>Assurance Intern - Summer 2025 (San Francisco)</t>
  </si>
  <si>
    <t>Assurance Intern - Winter 2025 (Stamford)</t>
  </si>
  <si>
    <t>Assurance Intern - Summer 2025 (Baltimore)</t>
  </si>
  <si>
    <t>Tax Solutions Group - Intern (2025)</t>
  </si>
  <si>
    <t>1. Detail-oriented leader with problem solving, communication, and analytical skills
2. Pursuing a Bachelor's degree with an emphasis in accounting; or Master's degree in accounting or tax
3. Academic success (a minimum cumulative GPA of 3.0)
...</t>
  </si>
  <si>
    <t>National Tax Office &amp; Transactional Specialist - Intern (2025)</t>
  </si>
  <si>
    <t>1. Detail-oriented leader with problem solving, communication, and analytical skills.
2. Strong interest in tax law, as demonstrated by tax courses completed or planned before graduation
3. Pursuing a Bachelor's degree with an emphasis in accounting; or Master's degree in accounting or tax
...</t>
  </si>
  <si>
    <t>International Tax Services - Intern (2025)</t>
  </si>
  <si>
    <t>Assurance Intern - Healthcare Services</t>
  </si>
  <si>
    <t>Accounting Intern - Atlanta, GA</t>
  </si>
  <si>
    <t>CompetitivePaid time and half for overtime-CompetitivePaid time and half for overtime /h</t>
  </si>
  <si>
    <t>State and Local Tax (SALT) - Intern (2025)</t>
  </si>
  <si>
    <t>1. Detail-oriented leader with problem solving, communication, and analytical skills.
2. Pursuing a Bachelor's degree with an emphasis in accounting; or Master's degree in accounting or tax.
3. Completed the first two entry-level accounting courses and at a minimum, currently enrolled in the first intermediate level accounting course.
...</t>
  </si>
  <si>
    <t>Summer 2025 Tax Intern - Virginia Beach</t>
  </si>
  <si>
    <t>Associate Audit January 2025 | Louisville</t>
  </si>
  <si>
    <t>1. Bachelor's or master's degree in accounting
2. Eligibility to sit for the CPA exam in the state where the office is located
3. Solid technical accounting knowledge
...</t>
  </si>
  <si>
    <t>2025 Audit Summer Intern</t>
  </si>
  <si>
    <t>Audit or Tax - Intern (2025)</t>
  </si>
  <si>
    <t>Spring 2025 Audit Intern - Raleigh</t>
  </si>
  <si>
    <t>Winter Tax Intern: Scanner (2025) - Providence, RI</t>
  </si>
  <si>
    <t>1. Must have at least 75% of a Bachelors degree in Accounting completed from an accredited university or college
2. Good communication and computer skills
3. Team player
...</t>
  </si>
  <si>
    <t>Spring 2025 Audit Intern - Richmond</t>
  </si>
  <si>
    <t>Winter Audit Intern (2025) - Cranford, NJ</t>
  </si>
  <si>
    <t>Cranford, NJ</t>
  </si>
  <si>
    <t>Wealth Management Sophomore Summer Analyst Program - Chief Investment Office, Investment Solutions Group, and Merrill Home Office 2025</t>
  </si>
  <si>
    <t>1. Bachelors or Bachelors direct to Masters degree program student with a graduation date between November 2026 and August 2027
2. Demonstrated record of achievement, such as extracurricular activities or leadership roles
3. Finance knowledge
...</t>
  </si>
  <si>
    <t>Internship - Investments - Reconciliation Intern</t>
  </si>
  <si>
    <t>1. Full-time college student pursuing a bachelor's degree in finance, accounting, economics, data analytics or a related field.
2. Familiarity with investment instruments, including equities, fixed income, real estate, and alternative investments.
3. Experience in using trade settlement and corporate action processing systems and software, such as Bloomberg, Charles River, MarkitEDM, Clearwater, Aladdin, WSO, Pam or similar platforms is a plus.
...</t>
  </si>
  <si>
    <t>Wealth Management Summer Analyst Program - Chief Investment Office, Investment Solutions Group, and Merrill Home Office 2025</t>
  </si>
  <si>
    <t>1. Bachelors or Bachelors direct to Masters degree program student with a graduation date between December 2025 and August 2026
2. Demonstrated record of achievement, such as extracurricular activities or leadership roles
3. Finance knowledge
...</t>
  </si>
  <si>
    <t>Summer 2025 Audit Intern - Austin</t>
  </si>
  <si>
    <t>Summer 2025 Tax Intern - Richmond</t>
  </si>
  <si>
    <t>Audit Intern - Public &amp; Middle Market</t>
  </si>
  <si>
    <t>Tax Internship</t>
  </si>
  <si>
    <t>1. Enrolled in a bachelors or master's program with concentrations in accounting, finance or business
2. Detail oriented, organized and able to multi-task effectively
3. Able to work in office in Houston, TX at a minimum of 30 hours per week</t>
  </si>
  <si>
    <t>Specialty Tax Services Intern, Business Incentives Group - Summer 2025 (Grand Rapids)</t>
  </si>
  <si>
    <t>Specialty Tax Services Intern, International Tax Services - Summer 2025 (Grand Rapids)</t>
  </si>
  <si>
    <t>1. Enrolled in a Bachelors or Master’s program in Accounting, Taxation or Master of Laws (LLM ) degree program other relevant field
2. Strong written and verbal communication skills
3. Ability to follow instructions as directed
...</t>
  </si>
  <si>
    <t>Core Tax Intern - Summer 2025 (San Francisco)</t>
  </si>
  <si>
    <t>Specialty Tax Services Intern, Transfer Pricing - Summer 2025 (San Francisco)</t>
  </si>
  <si>
    <t>Core Tax Intern - Winter 2025 (Columbus)</t>
  </si>
  <si>
    <t>Winter Audit Intern (2025) - Bethesda, MD</t>
  </si>
  <si>
    <t>Spring 2025 Audit Intern - Ft. Lauderdale</t>
  </si>
  <si>
    <t>$27-$33 /h</t>
  </si>
  <si>
    <t>2025 Audit Summer Internship - Early Careers</t>
  </si>
  <si>
    <t>$33.66-$33.66 /h</t>
  </si>
  <si>
    <t>Spring 2025 Tax Intern - Rockville</t>
  </si>
  <si>
    <t>Accounting Co-op ( Shared Services) - Summer/Fall 2024</t>
  </si>
  <si>
    <t>1. Pursuing a bachelor’s degree in Accounting, Finance or Business Administration
2. Strong attention to detail and excellent organizational skills
3. Proficiency in Microsoft Excel and other accounting software is a plus
...</t>
  </si>
  <si>
    <t>Summer 2025 Audit Intern - Charlotte</t>
  </si>
  <si>
    <t>Spring 2025 Tax Intern - Virginia Beach</t>
  </si>
  <si>
    <t>West Des Moines, IA</t>
  </si>
  <si>
    <t>Winter Audit Intern (2025) - Harrison, NY</t>
  </si>
  <si>
    <t>Spring 2025 Tax Intern - Tysons</t>
  </si>
  <si>
    <t>State and Local Tax Intern - Summer 2025</t>
  </si>
  <si>
    <t>Summer 2025 Audit Intern - Tysons</t>
  </si>
  <si>
    <t>State and Local Tax Intern - Winter 2025</t>
  </si>
  <si>
    <t>Spring 2025 Tax Intern - Richmond</t>
  </si>
  <si>
    <t>Summer 2025 Tax Intern - Indianapolis</t>
  </si>
  <si>
    <t>Spring 2025 Audit Intern - Tysons</t>
  </si>
  <si>
    <t>Global Markets Sustainable Finance Sophomore Summer Analyst Program - 2025</t>
  </si>
  <si>
    <t>1. Students must be pursuing a Bachelors degree or a Bachelors direct to Masters degree from an accredited college or university with a graduation timeframe between December 2026 and June 2027
2. Extensive Excel and modeling skills
3. Strong quantitative and qualitative skills
...</t>
  </si>
  <si>
    <t>Spring 2025 Audit Intern - Charlotte</t>
  </si>
  <si>
    <t>Summer 2025 Audit Intern - Nashville</t>
  </si>
  <si>
    <t>Global Services: Corporate Finance Internal Audit Intern - Summer 2024</t>
  </si>
  <si>
    <t>1. Pursuing a Bachelor’s degree in Finance, Accounting, or related field
2. Must be an undergraduate Sophomore or Junior
3. Must have excellent written and oral English language communication skills
...</t>
  </si>
  <si>
    <t>Audit Intern - Summer 2026</t>
  </si>
  <si>
    <t>Global Markets Sales &amp; Trading Rotational Sophomore Summer Analyst Program – 2025</t>
  </si>
  <si>
    <t>Audit Intern-Winter 2025</t>
  </si>
  <si>
    <t>Spring 2025 Audit Intern - Cincinnati</t>
  </si>
  <si>
    <t>Radnor, PA</t>
  </si>
  <si>
    <t>1. Pursuing a Bachelors or Master’s degree in Accounting
2. Above average competency in accounting as demonstrated by college GPA; Minimum 3.0 GPA
3. Working towards eligibility to sit for CPA exam upon graduation (150 credits)
...</t>
  </si>
  <si>
    <t>$32-$38 /h</t>
  </si>
  <si>
    <t>Summer 2025 Tax Intern - Raleigh</t>
  </si>
  <si>
    <t>Spring 2025 Audit Intern - Jeffersonville</t>
  </si>
  <si>
    <t>Spring 2025 Audit Intern - Greenville</t>
  </si>
  <si>
    <t>Summer 2025 Tax Intern - Nashville</t>
  </si>
  <si>
    <t>Accounting Intern - Birmingham, AL</t>
  </si>
  <si>
    <t>Assurance Intern - Winter 2025 (Baltimore)</t>
  </si>
  <si>
    <t>2025 Summer Internship - Investor Relations</t>
  </si>
  <si>
    <t>Capstone Investment Advisors</t>
  </si>
  <si>
    <t>1. Current undergraduates pursuing studies in marketing, Finance, or related field
2. Proficient in Microsoft Office (Excel, PowerPoint, Word, and Outlook)
3. Motivated and proactive
...</t>
  </si>
  <si>
    <t>Accounting Intern - Savannah, GA</t>
  </si>
  <si>
    <t>Tax Intern - Summer 2025</t>
  </si>
  <si>
    <t>1. Must be enrolled in an accounting, finance, or related curriculum at the junior level or higher (Graduating December 2026 or earlier)
2. Plan to pursue CPA</t>
  </si>
  <si>
    <t>Summer 2025 Audit Intern - Raleigh</t>
  </si>
  <si>
    <t>Bedford, NH</t>
  </si>
  <si>
    <t>$33.66-$33.66 Hourly</t>
  </si>
  <si>
    <t>Spring 2025 Tax Intern - Indianapolis</t>
  </si>
  <si>
    <t>Summer 2025 Audit Intern - Louisville</t>
  </si>
  <si>
    <t>Winter Tax Intern (2025)- Harrison, NY</t>
  </si>
  <si>
    <t>Summer 2025 Tax Intern - Louisville</t>
  </si>
  <si>
    <t>Specialty Tax Services Intern, International Tax Services - Summer 2025 (Milwaukee)</t>
  </si>
  <si>
    <t>Accounting Intern - Albany, GA</t>
  </si>
  <si>
    <t>1. Currently pursuing a college degree with a major or concentration in accounting
2. Strong verbal and written communication skills
3. Knowledge of the Firm</t>
  </si>
  <si>
    <t>MRSGNA Intern - Underwriting Ops &amp; Collections</t>
  </si>
  <si>
    <t>1. Good Verbal communication
2. Excellent Organizational skills
3. Professionalism
...</t>
  </si>
  <si>
    <t>2025 Tax Summer Intern</t>
  </si>
  <si>
    <t>University Associate, Risk, Forensics &amp; Compliance (Forensics)</t>
  </si>
  <si>
    <t>Ankura</t>
  </si>
  <si>
    <t>1. Bachelor’s Degree or Master’s Degree in accounting, finance, or related field
2. Interest to pursue a CPA license or other advanced certifications upon graduation and completion of state requirements
3. Ability to work well independently, as well as collaboratively with colleagues
...</t>
  </si>
  <si>
    <t>Assurance Intern (Spring 2025)</t>
  </si>
  <si>
    <t>Clark Schaefer Hackett</t>
  </si>
  <si>
    <t>1. Pursuing a Bachelor’s and/or Master’s in Accounting or related degrees
2. Strong analytical and problem-solving skills
3. Strong academic credentials
...</t>
  </si>
  <si>
    <t>Summer 2025 Tax Intern - Augusta</t>
  </si>
  <si>
    <t>Specialty Tax Services Intern, State and Local Tax - Summer 2025 (Minneapolis)</t>
  </si>
  <si>
    <t>Global Research Summer Analyst Program - 2025</t>
  </si>
  <si>
    <t>1. Students must be pursuing a Bachelors degree or a Bachelors direct to Masters degree from an accredited college or university with a graduation timeframe between December 2025 and June 2026
2. 3.5 minimum GPA preferred
3. Candidates must demonstrate a combination of academic aptitude, creative thinking and distinguished written and verbal communications skills. Accounting and Quantitative skills a plus
...</t>
  </si>
  <si>
    <t>Winter Tax Intern: Scanner (2025) - Cranford, NJ</t>
  </si>
  <si>
    <t>1. Must have at least 75% of a Bachelors degree in Accounting completed from an accredited university or college.
2. Good communication and computer skills.
3. Team player who is motivated to work in a fast-paced environment.
...</t>
  </si>
  <si>
    <t>Spring 2025 Audit Intern - Tampa</t>
  </si>
  <si>
    <t>Winter Audit Intern (2025) - Shelton, CT</t>
  </si>
  <si>
    <t>Federal Tax Intern - Winter 2025</t>
  </si>
  <si>
    <t>Accounting Intern - Columbia, SC</t>
  </si>
  <si>
    <t>Columbia, South Carolina Metropolitan Area</t>
  </si>
  <si>
    <t>competitivenot specified-competitivenot specified /h</t>
  </si>
  <si>
    <t>1. Currently pursuing a college degree with a major or concentration in accounting
2. Strong verbal and written communication skills
3. Knowledge of generally accepted accounting principles and generally accepted auditing standards
...</t>
  </si>
  <si>
    <t>2025 Investment Banking Summer Analyst Program - Houston</t>
  </si>
  <si>
    <t>Investment Analyst Intern - Private Debt &amp; Equity, Summer 2025</t>
  </si>
  <si>
    <t>$16.50-$30 /h</t>
  </si>
  <si>
    <t>1. Pursuing a Bachelor's degree in Finance, Accounting, Economics, Mathematics, or related field from an accredited college or university with a graduation date between December 2025 - June 2026
2. Cumulative grade point average of 3.5 or higher
3. Previous work or classroom experience in one or more of the following: Investment Banking, Equity Research, Private Equity, and/or Corporate Development
...</t>
  </si>
  <si>
    <t>Spring 2025 Audit Intern - Augusta</t>
  </si>
  <si>
    <t>LEAD Finance Rotational Program Internship</t>
  </si>
  <si>
    <t>1. Overall GPA greater than or equal to 3.0/4.0
2. Major GPA greater than or equal to 3.0/4.0
3. Expected graduation by May 2024
...</t>
  </si>
  <si>
    <t>Summer 2025 Tax Intern - Cincinnati</t>
  </si>
  <si>
    <t>1. Juniors or seniors enrolled in an accredited accounting or related program, two years from graduation
2. Proficiency with computers and spreadsheet software programs
3. Ability to travel to client sites as needed, including frequent same-day travel
...</t>
  </si>
  <si>
    <t>$26-$32 /h</t>
  </si>
  <si>
    <t>Federal Tax Intern - Summer 2026</t>
  </si>
  <si>
    <t>International Tax Transfer Pricing Intern - Summer 2025</t>
  </si>
  <si>
    <t>Summer 2025 Tax Intern - Jeffersonville</t>
  </si>
  <si>
    <t>Summer 2025 Audit Intern - Ft. Lauderdale</t>
  </si>
  <si>
    <t>Winter Tax Intern (2025)- Woodcliff Lake, NJ</t>
  </si>
  <si>
    <t>Aprio Spring 2025 Tax Internship Application - Nashville, TN</t>
  </si>
  <si>
    <t>Aprio LLP</t>
  </si>
  <si>
    <t>1. Accounting Major
2. 3.0 or higher GPA
3. Understanding and applying excel skills
...</t>
  </si>
  <si>
    <t>Spring 2025 Tax Intern - Nashville</t>
  </si>
  <si>
    <t>Audit Intern -Spring 2025</t>
  </si>
  <si>
    <t>Weaver</t>
  </si>
  <si>
    <t>1. Working towards a Bachelor’s or Master’s degree in Accounting or related field with the goal to obtain the credit hours necessary to become a CPA
2. Ability to travel to client sites as needed
3. Familiarity with Microsoft Excel, Word, and Outlook
...</t>
  </si>
  <si>
    <t>Summer 2024 Audit Intern - Augusta</t>
  </si>
  <si>
    <t>FP&amp;A Intern</t>
  </si>
  <si>
    <t>SRS Distribution</t>
  </si>
  <si>
    <t>1. Will obtain a Master’s degree in Business, Accounting, Finance, or related field by August 2025. GPA of 3.2 or above.
2. Notable work experiences and ethic with exceptional references
3. Proven team involvement and leadership skills in school and at work
...</t>
  </si>
  <si>
    <t>Spring 2025 Tax Intern - Augusta</t>
  </si>
  <si>
    <t>Assurance Intern (Winter 2026/Summer 2026)</t>
  </si>
  <si>
    <t>$32-$39 /h</t>
  </si>
  <si>
    <t>Spring 2025 Audit Intern - Louisville</t>
  </si>
  <si>
    <t>Summer 2025 Tax Intern - Greenville</t>
  </si>
  <si>
    <t>Spring 2025 Audit Intern - Atlanta</t>
  </si>
  <si>
    <t>Spring 2025 Tax Intern - Chicago</t>
  </si>
  <si>
    <t>Winter Tax Intern (2025)- New York City</t>
  </si>
  <si>
    <t>Federal Tax Intern - Winter 2026</t>
  </si>
  <si>
    <t>Specialty Tax Services Intern, International Tax Services - Summer 2025 (San Francisco)</t>
  </si>
  <si>
    <t>1. Enrolled in a Bachelors or Master’s program in Accounting, Taxation or Master of Laws (LLM ) degree program other relevant field, required</t>
  </si>
  <si>
    <t>Winter Tax Intern: Inputter (2025)- Providence, RI</t>
  </si>
  <si>
    <t>Summer 2025 Audit Intern - Virginia Beach</t>
  </si>
  <si>
    <t>Spring 2025 Tax Intern - Atlanta</t>
  </si>
  <si>
    <t>Specialty Tax Services Intern, State and Local Tax - Summer 2025 (Greater Washington DC)</t>
  </si>
  <si>
    <t>Core Tax Intern - Winter 2025 (Baltimore)</t>
  </si>
  <si>
    <t>Audit Intern- Winter 2025</t>
  </si>
  <si>
    <t>Core Tax Intern - Winter 2025 (Philadelphia)</t>
  </si>
  <si>
    <t>Summer 2025 Audit Intern - Richmond</t>
  </si>
  <si>
    <t>Core Tax Intern - Winter 2025 (Minneapolis)</t>
  </si>
  <si>
    <t>Spring 2025 Audit Intern - Indianapolis</t>
  </si>
  <si>
    <t>Assurance Intern - Summer 2025 (San Jose)</t>
  </si>
  <si>
    <t>Core Tax Intern - Summer 2025 (Norfolk)</t>
  </si>
  <si>
    <t>Commodities Summer Analyst Program – 2025</t>
  </si>
  <si>
    <t>1. Candidates are required to be pursuing a bachelor’s degree from an accredited college or university with a graduation timeframe between December 2025 and June 2026
2. Candidates must demonstrate a combination of academic aptitude, quantitative skills, strategic and creative thinking, and strong written and oral communications skills
3. Superior analytical and organizational skills
...</t>
  </si>
  <si>
    <t>Tax Intern - Spring 2025 (Atlanta, GA)</t>
  </si>
  <si>
    <t>International Tax General Intern - Winter 2025</t>
  </si>
  <si>
    <t>Specialty Tax Services Intern, State and Local Tax - Summer 2025 (San Francisco)</t>
  </si>
  <si>
    <t>Federal Tax Intern (Winter 2026/Summer 2026)</t>
  </si>
  <si>
    <t>Core Tax Intern - Winter 2025 (Madison)</t>
  </si>
  <si>
    <t>Specialty Tax Services Intern, State and Local Tax - Summer 2025 (Grand Rapids)</t>
  </si>
  <si>
    <t>Assurance Intern - Summer 2025 (Stamford)</t>
  </si>
  <si>
    <t>Summer 2025 Audit Intern - Lexington</t>
  </si>
  <si>
    <t>Spring 2025 Audit Intern - Lexington</t>
  </si>
  <si>
    <t>1. Enrolled in an accredited accounting or related program, two years from graduation
2. Cumulative GPA of 3.0/4.0 or above preferred, but not required
3. Proficiency with computers and spreadsheet software programs
...</t>
  </si>
  <si>
    <t>Assurance Intern - Winter 2025 (Nashville)</t>
  </si>
  <si>
    <t>Core Tax Intern - Summer 2025 (Anchorage)</t>
  </si>
  <si>
    <t>Winter Audit Intern (2025) - Newburgh, NY</t>
  </si>
  <si>
    <t>Spring 2025 Audit Intern - Coral Gables</t>
  </si>
  <si>
    <t>International Tax Intern - Winter 2025</t>
  </si>
  <si>
    <t>Spring 2025 Tax Intern - Ft. Lauderdale</t>
  </si>
  <si>
    <t>Specialty Tax Services Intern, State and Local Tax - Winter 2025 (Greater Washington DC)</t>
  </si>
  <si>
    <t>Tax Intern - Spring 2025 (Mobile, AL)</t>
  </si>
  <si>
    <t>Spring 2025 Audit Intern - Virginia Beach</t>
  </si>
  <si>
    <t>Specialty Tax Services Intern, Business Incentives Group - Summer 2025 (Houston)</t>
  </si>
  <si>
    <t>Intern/Co-op - Accounting (Spring 2025)</t>
  </si>
  <si>
    <t>Specialty Tax Services Intern, State and Local Tax - Summer 2025 (Milwaukee)</t>
  </si>
  <si>
    <t>Spring 2025 Tax Intern - Louisville</t>
  </si>
  <si>
    <t>Assurance Intern - Summer 2025 (Madison)</t>
  </si>
  <si>
    <t>Summer 2025 Audit Intern - Augusta</t>
  </si>
  <si>
    <t>Underwriting Intern 2024</t>
  </si>
  <si>
    <t>Reliance Matrix</t>
  </si>
  <si>
    <t>1. Student pursuing at least a Bachelor's degree
2. Strong GPA
3. Excellent Verbal and written communication skills
...</t>
  </si>
  <si>
    <t>Specialty Tax Services Intern, State and Local Tax - Summer 2025 (Atlanta)</t>
  </si>
  <si>
    <t>Summer 2025 Audit Intern - Cincinnati</t>
  </si>
  <si>
    <t>Summer 2024 Tax Intern - Augusta</t>
  </si>
  <si>
    <t>Heritage Landscape Supply Group</t>
  </si>
  <si>
    <t>Hardware, Retail</t>
  </si>
  <si>
    <t>State and Local Tax Intern - Summer 2026</t>
  </si>
  <si>
    <t>Tax Accounting &amp; Compliance Fall Intern</t>
  </si>
  <si>
    <t>1. Current enrollment at an accredited university as a sophomore or above
2. Pursuing a degree in Accounting or Finance
3. Strong Microsoft Excel skills
...</t>
  </si>
  <si>
    <t>Winter Tax Intern (2025)- Cranford, NJ</t>
  </si>
  <si>
    <t>Core Tax Intern - Summer 2025 (West Palm Beach)</t>
  </si>
  <si>
    <t>Specialty Tax Services Intern, State and Local Tax - Summer 2025 (Philadelphia)</t>
  </si>
  <si>
    <t>Specialty Tax Services Intern, International Tax Services - Summer 2025 (Greater Washington DC)</t>
  </si>
  <si>
    <t>Core Tax Intern - Winter 2025 (Milwaukee)</t>
  </si>
  <si>
    <t>Specialty Tax Services Intern, State and Local Tax - Summer 2025 (San Jose)</t>
  </si>
  <si>
    <t>NAM Commercial Banking, Summer Analyst - Dallas (2024)</t>
  </si>
  <si>
    <t>$50000-$140000 /yr</t>
  </si>
  <si>
    <t>1. Dynamic individual interested in a client-facing role who is passionate about partnering with stakeholders to achieve goals
2. Strong analytical and problem-solving skills
3. Majoring in Finance or Accounting, or have experience in Financial Services through clubs or internships
...</t>
  </si>
  <si>
    <t>Summer 2025 Audit Intern - Tampa</t>
  </si>
  <si>
    <t>Latin America Global Investment Banking Sophomore Summer Analyst Program – 2025</t>
  </si>
  <si>
    <t>1. Students must be pursuing a Bachelors degree or a Bachelors direct to Masters degree from an accredited college or university with a graduation timeframe between December 2026 and June 2027
2. Required to be fluent (oral and written) in Spanish and/or Portuguese
3. Must demonstrate a track record of superior performance in extracurricular and professional activities
...</t>
  </si>
  <si>
    <t>1. Candidates are required to be currently enrolled in an undergraduate or accelerated (4+1) degree program from an accredited college or university. Eligible candidates must have a final graduation date between November 2025 and August 2026.
2. Candidates should possess a high level of intellectual curiosity, a drive for operational excellence, and a commitment to achieving sustainable results.
3. Students should hold strong academic and technical skills in Microsoft Office as well as show proficiencies in leadership, teamwork, problem solving &amp; analytical skills, verbal and written communication, and professionalism.
...</t>
  </si>
  <si>
    <t>Tangible Property Services Tax Intern - Summer 2025</t>
  </si>
  <si>
    <t>1. Minimum 90 credits completed towards a B.A. or B.S. degree or equivalent from an accredited university focused on Accounting, Civil Engineering, or Architecture.
2. Travel to assigned client locations is required. Must have access to and ability to arrange for use of reliable modes of transportation to those locations
3. Minimum 3.0 GPA preferred</t>
  </si>
  <si>
    <t>Equity Analyst Internship: Summer 2025</t>
  </si>
  <si>
    <t>Cherry Hill, NJ</t>
  </si>
  <si>
    <t>Intern Team - Accounting and Finance Intern</t>
  </si>
  <si>
    <t>Magnolia</t>
  </si>
  <si>
    <t>Waco, TX</t>
  </si>
  <si>
    <t>1. Must be a college junior or senior, graduate student, or recent graduate (up to two years post grad) preferably working toward a Bachelor’s degree in Accounting or Finance
2. Must be available to work 15-25 hours weekly for the duration of the internship program</t>
  </si>
  <si>
    <t>Growth Equity Investment Analyst Internship: Summer 2025</t>
  </si>
  <si>
    <t>1. Impressive academic record
2. Superior work ethic, strong desire to learn, and uncompromising attention to detail
3. Excellent analytical, research, and organizational skills
...</t>
  </si>
  <si>
    <t>Audit Intern, Japanese Practice | Multiple Locations Winter 2025</t>
  </si>
  <si>
    <t>Accounting Internship - Summer 2025</t>
  </si>
  <si>
    <t>$33.50-$33.50 /h</t>
  </si>
  <si>
    <t>1. Bachelor’s or Master’s degree in Accounting
2. Minimum major and overall GPA of 3.0/4.0 preferred
3. The willingness and ability to work additional hours, as needed, and travel to various client sites
...</t>
  </si>
  <si>
    <t>Veterans Transition Program-Financial Planning &amp; Analysis Associate</t>
  </si>
  <si>
    <t>$95000-$125000 /yr</t>
  </si>
  <si>
    <t>1. Bachelor’s Degree or Master’s Degree in Finance, Economics, Accounting, Engineering or other quantitative fields
2. At least 2 to 4 years of relevant work experience in an analytical and/or planning role; preferably in Financial Services
3. Solid proficiency in all Microsoft Office applications; advanced skills in Excel (pivot tables, vlookups, sumifs, sumproduct, indexmatch); experience with IBM Cognos TM1 is strongly preferred
...</t>
  </si>
  <si>
    <t>2025 Private Equity Summer Analyst</t>
  </si>
  <si>
    <t>StepStone Group</t>
  </si>
  <si>
    <t>$95000-$95000 /yr</t>
  </si>
  <si>
    <t>1. Must be able to work legally in the U.S. without requiring visa sponsorship now or in the future
2. Undergraduate student graduating anywhere from December 2025 through June 2026
3. GPA of 3.5 or higher
...</t>
  </si>
  <si>
    <t>1. Pursuing a Bachelors or Master’s degree in Accounting
2. Above average knowledge in accounting as demonstrated by college GPA; Preferred 3.0 GPA or higher
3. Ability to think independently and make good decisions based on education and experience
...</t>
  </si>
  <si>
    <t>Transaction Tax Compliance Intern-Fall 2024</t>
  </si>
  <si>
    <t>1. Interns pursuing a degree in Accounting or Finance who have successfully completed Intermediate Accounting I
2. GPA Desired: 2.5 or higher
3. Time requirement: hybrid-full time from January 8th, 2024 to April 5th, 2024
...</t>
  </si>
  <si>
    <t>Compliance and Monitoring Accounting Intern</t>
  </si>
  <si>
    <t>1. Bachelor’s or Master's degree in Accounting, or degree appropriate to practice area
2. Effectively communicates, both oral and written, with team members and clients
3. Proficient in use of technology, including Microsoft Excel and other data analysis tools
...</t>
  </si>
  <si>
    <t>Staff Internal Auditor</t>
  </si>
  <si>
    <t>1. Bachelors degree in Accounting, Finance, Information Systems, or Business related field
2. 1-3 years professional experience
3. Ability to articulate and defend the unique Christian educational mission and vision of Liberty University and its subsidiaries to a wide variety of individuals and groups
...</t>
  </si>
  <si>
    <t>1. Must be legally authorized to work in the United States on a full-time basis upon hire
2. Experience in utilizing educational knowledge and skills to perform accounting-related responsibilities
3. Ability to respond to client and firm associate requests in a timely, accurate, positive, and professional manner
...</t>
  </si>
  <si>
    <t>Waynesboro, VA</t>
  </si>
  <si>
    <t>1. Currently enrolled in a Bachelor's or Master's degree program in Finance, Accounting, Economics, or related field
2. Strong analytical skills and attention to detail
3. Proficiency in Microsoft Office suite, particularly Excel
...</t>
  </si>
  <si>
    <t>Finance Intern (TN)</t>
  </si>
  <si>
    <t>Matthews Real Estate Investment Services</t>
  </si>
  <si>
    <t>1. Pursuing a degree in Business/Finance/Economics/Data Analytics or related field
2. Proactive and results-driven individual who thrives in a fast-paced and dynamic environment
3. Strong analytical and communication skills
...</t>
  </si>
  <si>
    <t>Associate – Project Finance – Campus 2024</t>
  </si>
  <si>
    <t>Guidehouse</t>
  </si>
  <si>
    <t>1. Minimum Degree Required: Bachelor’s Degree (Must still be enrolled in an accredited degree program in 2023 and graduate by Summer of 2024)
2. Applicants must be currently authorized to work in the country</t>
  </si>
  <si>
    <t>Tax Intern, International Compliance</t>
  </si>
  <si>
    <t>Interpublic Group</t>
  </si>
  <si>
    <t>Advertising, Marketing Automation</t>
  </si>
  <si>
    <t>1. Sophomores and above majoring in Accounting or Finance
2. Accounting and analytical skills
3. Strong computer skills – including knowledge of Excel, Word &amp; PowerPoint
...</t>
  </si>
  <si>
    <t>$37.95-$37.95 /h</t>
  </si>
  <si>
    <t>Spring 2025 Tax Intern - Lexington</t>
  </si>
  <si>
    <t>Spring 2025 Tax Intern - Jeffersonville</t>
  </si>
  <si>
    <t>Internal Auditor - Part Time</t>
  </si>
  <si>
    <t>1. Student in pursuit of a Bachelor’s degree in Accounting or related field
2. Knowledge and proficiency with Microsoft Word and Excel
3. Must possess strong communication skills</t>
  </si>
  <si>
    <t>Property Tax Compliance Intern - Fall 2024</t>
  </si>
  <si>
    <t>1. Pursuing degree in Accounting, Finance, Economics, or related field preferred
2. Strong organizational skills and ability to complete high volume work in a timely and highly accurate manner
3. Proficient in Microsoft Excel and Word
...</t>
  </si>
  <si>
    <t>Internal Audit Internship, Part-Time</t>
  </si>
  <si>
    <t>1. In pursuit of a Bachelor’s degree in Accounting or related field
2. Knowledge and proficiency with Microsoft Word and Excel
3. Must possess strong communication skills</t>
  </si>
  <si>
    <t>Healthcare Audit, Fall 2025</t>
  </si>
  <si>
    <t>1. Perform audit, review, and compliance testing procedures in accordance with firm and professional standards
2. Communicate with engagement leaders regarding open items, testing problems, or other important matters in a timely manner
3. Prepare (or review client prepared) financial statements and footnotes, management reports, and other engagement outputs
...</t>
  </si>
  <si>
    <t>Summer 2024 Audit Intern - Atlanta</t>
  </si>
  <si>
    <t>Audit Intern - Fall 2025 (Melbourne, FL)</t>
  </si>
  <si>
    <t>Tax Intern - Spring 2025 - Austin, TX</t>
  </si>
  <si>
    <t>1. Working towards a Bachelor’s or Master’s degree in Accounting or related field with the goal to obtain the credit hours necessary to become a CPA
2. Familiarity with Microsoft Excel, Word, and Outlook
3. Excellent written and oral communication skills
...</t>
  </si>
  <si>
    <t>Midland, TX</t>
  </si>
  <si>
    <t>Spring 2025 Tax Intern</t>
  </si>
  <si>
    <t>Sikich</t>
  </si>
  <si>
    <t>1. Sophomore, Junior, or Senior status at time of internship
2. Minimum 30 hours a week for PT or 40 hours for FT
3. Engaged in an accounting, cost accounting, or taxation program at a college or university
...</t>
  </si>
  <si>
    <t>Audit Intern - Winter 2026</t>
  </si>
  <si>
    <t>Summer 2025 Audit Intern - Rockville</t>
  </si>
  <si>
    <t>Summer 2025 Tax Intern - Tysons</t>
  </si>
  <si>
    <t>Real Estate Syndications Summer Analyst Program - 2025</t>
  </si>
  <si>
    <t>1. Candidates are required to be pursuing a Bachelor's degree from an accredited college or university with a graduation timeframe between December 2025 and June 2026
2. Candidates must demonstrate a combination of academic aptitude, quantitative skills, strategic and creative thinking, and strong written and oral communications skills
3. Superior analytical and organizational skills
...</t>
  </si>
  <si>
    <t>Tax Intern - Spring 2025 - Midland, TX</t>
  </si>
  <si>
    <t>$31-$31 /h</t>
  </si>
  <si>
    <t>Spring 2025 Audit Intern - Nashville</t>
  </si>
  <si>
    <t>Audit and Assurance Intern - Winter/Spring 2025</t>
  </si>
  <si>
    <t>1. Must be enrolled in an accounting, finance, or related curriculum at the junior level or higher (Graduating December 2026 or earlier)
2. Plan to pursue CPA
3. Minimum 25+ hour work week required</t>
  </si>
  <si>
    <t>Accounting Intern - Bradenton</t>
  </si>
  <si>
    <t>NAM Investment Banking, Summer Analyst - Houston (North America - 2025)</t>
  </si>
  <si>
    <t>1. 0-2 years relevant experience
2. Commitment to personal growth and career development
3. A strong desire to learn and succeed in team environments
...</t>
  </si>
  <si>
    <t>NAM Investment Banking, Summer Analyst - Chicago (North America - 2025)</t>
  </si>
  <si>
    <t>Accounting Intern - Raleigh, NC</t>
  </si>
  <si>
    <t>Accounting Student Internship</t>
  </si>
  <si>
    <t>Olsson Associates</t>
  </si>
  <si>
    <t>1. Strong communication skills.
2. Ability to contribute and work well on a team.
3. Proficient in Microsoft Office Suite products.
...</t>
  </si>
  <si>
    <t>Audit or Tax 2025 Internship</t>
  </si>
  <si>
    <t>Rehmann</t>
  </si>
  <si>
    <t>1. Pursuit of an accounting major and eventual CPA license
2. Completion of Intermediate Financial Accounting I by the start of the internship
3. Preferred graduation dates with 150 credit hours: December 2024 – August 2026
...</t>
  </si>
  <si>
    <t>Summer 2025 Tax Intern - Ft. Lauderdale</t>
  </si>
  <si>
    <t>2025 Actuarial Intern</t>
  </si>
  <si>
    <t>1. Enrollment in a four-year degree program for actuarial science, math, statistics or related field; December 2025 or May 2026 graduates
2. Completion of an actuarial exam required
3. Demonstrated skills in Microsoft Office suite, specifically Excel
...</t>
  </si>
  <si>
    <t>West Marine</t>
  </si>
  <si>
    <t>1. Current enrollment in accredited university as a Junior or above
2. Pursuing a degree in tax or accounting
3. Bookkeeping or office experience preferable
...</t>
  </si>
  <si>
    <t>New York State Accounting Internship (Spring 2025)</t>
  </si>
  <si>
    <t>The Bonadio Group</t>
  </si>
  <si>
    <t>1. Active enrollment in an accredited Accounting, Business or related curriculum that satisfies the 150-hour academic requirement toward CPA certification
2. Excellent written and verbal communication skills
3. Passion for providing superior customer satisfaction
...</t>
  </si>
  <si>
    <t>Accounting Intern - Macon GA</t>
  </si>
  <si>
    <t>Bibb County, GA</t>
  </si>
  <si>
    <t>New York State Accounting Internship (Summer 2025)</t>
  </si>
  <si>
    <t>1. Active enrollment in an accredited Accounting, Business or related curriculum that satisfies the 150-hour academic requirement towards CPA certification
2. Excellent written and verbal communication skills
3. Passion for providing superior customer satisfaction
...</t>
  </si>
  <si>
    <t>Corporate Banking, Summer Analyst - New York (North America - 2025)</t>
  </si>
  <si>
    <t>Accounting Intern - January 2025</t>
  </si>
  <si>
    <t>Federated Insurance</t>
  </si>
  <si>
    <t>Auto Insurance, Consulting</t>
  </si>
  <si>
    <t>1. Currently pursuing a Bachelor’s Degree in Accounting (Sophomore, Junior or Senior level at the time of internship)
2. Minimum overall GPA of 3.2
3. Strong computer knowledge
...</t>
  </si>
  <si>
    <t>Accounting Student Experience</t>
  </si>
  <si>
    <t>Statesville, NC</t>
  </si>
  <si>
    <t>1. Freshman, Sophomore, Junior, or Senior standing seeking a degree in Business Administration, Finance, or Accounting
2. Working knowledge of Microsoft Office Suite (Word, Excel, Access &amp; PowerPoint)
3. A self-starter and will dig into problems independently and will look for limited guidance</t>
  </si>
  <si>
    <t>Capital Markets, Latin America Credit Markets Group, Summer Analyst - New York (North America - 2025)</t>
  </si>
  <si>
    <t>1. Graduating between December 2025 and June 2026
2. Preferred GPA of 3.3 or above
3. Commitment to personal growth and career development
...</t>
  </si>
  <si>
    <t>Mishawaka, IN</t>
  </si>
  <si>
    <t>Assurance Intern - Winter 2025</t>
  </si>
  <si>
    <t>NAM Investment Banking, Financial Institutions Group, Summer Analyst- New York (North America- 2025)</t>
  </si>
  <si>
    <t>$100,000-$135,000 /yr</t>
  </si>
  <si>
    <t>Federal Tax Advisory Intern (CIM) (Winter 2026/Summer 2026)</t>
  </si>
  <si>
    <t>Tax Intern - Winter/Spring 2025</t>
  </si>
  <si>
    <t>Audit and Assurance Intern - Summer 2025</t>
  </si>
  <si>
    <t>Finance Co-Op 2024</t>
  </si>
  <si>
    <t>1. Pursuing Bachelor of Business in Finance or Accounting
2. Full time student at a 2-year college or 4-year university local to Saginaw
3. Candidate must be able to work onsite, in Saginaw, MI
...</t>
  </si>
  <si>
    <t>Payment Channel Intern</t>
  </si>
  <si>
    <t>South Shore Bank</t>
  </si>
  <si>
    <t>Financial Services, Venture Capital</t>
  </si>
  <si>
    <t>South Weymouth, MA</t>
  </si>
  <si>
    <t>1. High School Diploma or pursuing an associate degree
2. Experience with providing excellent customer service
3. Good oral and written communication skills
...</t>
  </si>
  <si>
    <t>Student Associate Tax Spring 2025</t>
  </si>
  <si>
    <t>Summer Analyst - Investment &amp; Client Solutions, Alternatives</t>
  </si>
  <si>
    <t>$38-$not specified /h</t>
  </si>
  <si>
    <t>Summer Analyst - Fixed Income</t>
  </si>
  <si>
    <t>1. High school degree required.
2. Pursuing a degree with a concentration in Finance, Economics, or Business is desirable.</t>
  </si>
  <si>
    <t>Summer Analyst - Advisor Performance &amp; Compensation</t>
  </si>
  <si>
    <t>1. High school degree required.
2. Pursuing a degree with a concentration in Finance, Accounting, Economics, or Business is desirable.
3. Prior internship experience in corporate finance, accounting, asset management or investment banking experience a plus.
...</t>
  </si>
  <si>
    <t>Summer Analyst - Private Equity</t>
  </si>
  <si>
    <t>$48-$48 /h</t>
  </si>
  <si>
    <t>1. High school degree required.
2. Pursuing a degree with a concentration in Finance, Mathematics, Economics, or Business, is desirable.
3. Prior internship experience in the financial industry, including private equity or asset management a plus.
...</t>
  </si>
  <si>
    <t>Summer Analyst - Fundamental Equity</t>
  </si>
  <si>
    <t>1. High school degree required.
2. Pursuing a degree with a concentration in Economics, Business or Finance is desirable.
3. Prior internship experience in asset management a plus.
...</t>
  </si>
  <si>
    <t>Summer Analyst - Investment &amp; Client Solutions, Distribution</t>
  </si>
  <si>
    <t>$38-$38 /h</t>
  </si>
  <si>
    <t>Invesco US</t>
  </si>
  <si>
    <t>$30-$40 /h</t>
  </si>
  <si>
    <t>Summer Analyst - Investment &amp; Client Solutions, Banking &amp; Lending</t>
  </si>
  <si>
    <t>Investments Intern (Atlanta)</t>
  </si>
  <si>
    <t>Fall 2024 Financial Capability Intern</t>
  </si>
  <si>
    <t>1. High level of organizational and communication skills
2. Strong interest in working with international clients and individuals of diverse cultures
3. Proven ability to work with consideration and respect for cross-cultural differences
...</t>
  </si>
  <si>
    <t>Senior Tax Accountant</t>
  </si>
  <si>
    <t>McSoley McCoy &amp; Co.</t>
  </si>
  <si>
    <t>1. Bachelor’s degree in Accounting, Finance, or related field required
2. Minimum of 3 years of recent public accounting experience with a focus on tax compliance
3. Strong leadership skills
...</t>
  </si>
  <si>
    <t>Assistant Accountant</t>
  </si>
  <si>
    <t>PCOnline</t>
  </si>
  <si>
    <t>1. Bachelor’s degree in Accounting or Finance
2. The ability to thinking analytically and learning actively are required
3. Must be detail oriented</t>
  </si>
  <si>
    <t>Avery Dennison</t>
  </si>
  <si>
    <t>1. Pursuing a BS in Finance or Business or related field required.
2. Reliable Transportation to and from work is required</t>
  </si>
  <si>
    <t>2024-2025 - Commercial &amp; Investment Bank - Markets Equity Research - Part Time Analyst Internship</t>
  </si>
  <si>
    <t>1. Proven analytical skills, experience with quantitative and data analysis
2. Exceptional writing skills
3. Genuine interest in financial markets and economic data and trends
...</t>
  </si>
  <si>
    <t>Banking Intern</t>
  </si>
  <si>
    <t>Security National Bank: Sioux City, IA</t>
  </si>
  <si>
    <t>1. Currently enrolled in a 4-year college or university pursuing a bachelor's degree with an expected graduation date in the next 6-12 months.
2. Demonstrated leadership ability and interest in Finance through academics, extra-curricular activities, or professional/volunteer work
3. Possess strong collaboration skills with the ability to work independently.
...</t>
  </si>
  <si>
    <t>Assurance Intern - Financial Services - Winter 2025 (NYC)</t>
  </si>
  <si>
    <t>2025 Summer Undergraduate Corporate Intern: Accounting and Finance Development Program</t>
  </si>
  <si>
    <t>Walmart</t>
  </si>
  <si>
    <t>E-Commerce, Grocery</t>
  </si>
  <si>
    <t>$43888-$65000 /yr</t>
  </si>
  <si>
    <t>1. Students pursuing a BS/BA in Accounting, Finance, Economics, Analytics, Business, Strategy or other business-related fields will be considered (3.0 GPA or higher preferred).
2. Graduating in December 2025 or May 2026.
3. You must demonstrate the ability to grasp concepts quickly and make your presence felt.
...</t>
  </si>
  <si>
    <t>Equity Research Real Estate Securities Intern</t>
  </si>
  <si>
    <t>CenterSquare Investment Management</t>
  </si>
  <si>
    <t>Commercial Real Estate, Market Research</t>
  </si>
  <si>
    <t>1. Strong academic background and GPA, majoring in finance, accounting or economics
2. A keen interest in real estate, the stock market and/or macroeconomic events
3. Superior knowledge of excel required (i.e. vlookups, macros and index)
...</t>
  </si>
  <si>
    <t>Private Equity Real Estate Intern</t>
  </si>
  <si>
    <t>Private Equity Real Estate Intern (Newport Beach, CA)</t>
  </si>
  <si>
    <t>Quantitative Investment Intern</t>
  </si>
  <si>
    <t>Intern Finance &amp; Acctg</t>
  </si>
  <si>
    <t>Mineral Wells, TX</t>
  </si>
  <si>
    <t>1. Be enrolled in a business degree program, such as accounting or finance major or minor or general business, completed the foundational accounting courses (Financial Accounting and Managerial Accounting) and able to apply principles of accounting to analyze diverse and complex financial information.
2. Possess analytical and technical accounting skills required to understand, analyze, research, and recommend opportunities for improvements.
3. Be able to manage multiple projects.
...</t>
  </si>
  <si>
    <t>Finance Intern - Paid - Meetinghouse Facilities</t>
  </si>
  <si>
    <t>1. Be pursuing a Finance or Accounting bachelor’s degree.
2. Be available for the entire internship period starting September 16, 2024, and ending January 3, 2025.
3. Proven success in a team environment.
...</t>
  </si>
  <si>
    <t>1. Be enrolled in a business degree program, such as accounting or finance major or minor or general business, completed the foundational accounting courses (Financial Accounting and Managerial Accounting) and able to apply principles of accounting to analyze diverse and complex financial information.
2. Candidate shall have completed sophomore year with a overall GPA of 3.0 or higher
3. Possess analytical and technical accounting skills required to understand, analyze, research, and recommend opportunities for improvements.
...</t>
  </si>
  <si>
    <t>CompSource Mutual</t>
  </si>
  <si>
    <t>$55000-$70000 /yr</t>
  </si>
  <si>
    <t>1. Bachelor’s degree in accounting, finance or business with coursework in management information systems, computer science, data and analytics, or software engineering preferred
2. 0-3 years of accounting, auditing, or equivalent experience (internship background considered) or a combination of education and experience
3. Strong technical aptitude, critical thinking, and research abilities
...</t>
  </si>
  <si>
    <t>Winter Internship 2025 | Audit Intern | DC Metro (44631)</t>
  </si>
  <si>
    <t>1. Qualified candidates will be a junior or year prior to graduation (dependent on 4- or 5-year program) in an accounting program.
2. Have the flexibility to work Monday – Thursday in person/in the office each week.
3. Have the flexibility to work weekends as needed.
...</t>
  </si>
  <si>
    <t>Winter Internship 2025 | Audit Intern | Philadelphia (44638)</t>
  </si>
  <si>
    <t>2025 Corporate Risk Summer Intern Program (Master's) - Early Careers</t>
  </si>
  <si>
    <t>Specialty Tax Services Intern, International Tax Services - Winter 2025 (Miami)</t>
  </si>
  <si>
    <t>Winter Internship 2025 | Audit Intern | Chicago (44641)</t>
  </si>
  <si>
    <t>Winter Internship 2025 | Audit Intern | Braintree, MA (44628)</t>
  </si>
  <si>
    <t>Braintree, MA</t>
  </si>
  <si>
    <t>Winter Internship 2025 | Audit Intern | White Plains, NY (44640)</t>
  </si>
  <si>
    <t>Student Intern Level I (20 Hours per week), Finance Admin</t>
  </si>
  <si>
    <t>NYC Health + Hospitals</t>
  </si>
  <si>
    <t>1. Students in high school or entering freshman year through the completion of senior year of college
2. Students must be at least 16 years of age at the time of appointment
3. No student may be employed more than half-time during any week when the student is enrolled in classes that are in session
...</t>
  </si>
  <si>
    <t>2025 Staff Accountant Intern - Philadelphia</t>
  </si>
  <si>
    <t>2025 Summer Staff Accountant Intern</t>
  </si>
  <si>
    <t>Dover, OH</t>
  </si>
  <si>
    <t>2025 Staff Accountant Intern - Dover</t>
  </si>
  <si>
    <t>2025 Staff Accountant Intern - Atlanta</t>
  </si>
  <si>
    <t>Financial Advisor - In Training Remote</t>
  </si>
  <si>
    <t>Right Hire Consulting LLC</t>
  </si>
  <si>
    <t>1. Are a self-starter.
2. Have an entrepreneurial mindset.
3. Are a customer service champion.
...</t>
  </si>
  <si>
    <t>Cost Accountant Internship 2025</t>
  </si>
  <si>
    <t>Allan Myers Inc.</t>
  </si>
  <si>
    <t>Worcester, PA</t>
  </si>
  <si>
    <t>1. Pursuing or recently obtained a Bachelor’s degree in Accounting, Finance, or another related degree
2. 0-2 years of accounting or finance experience
3. Must be a team player
...</t>
  </si>
  <si>
    <t>Bohemia, NY, United States of America</t>
  </si>
  <si>
    <t>New York, New York</t>
  </si>
  <si>
    <t>1. Service oriented with excellent interpersonal and communication skills (oral and written)
2. Strong team player with a good work ethic
3. Flexible to come into the office
...</t>
  </si>
  <si>
    <t>Tax Intern - Spring 2026 (Nashville, TN)</t>
  </si>
  <si>
    <t>Intrinsic Development</t>
  </si>
  <si>
    <t>Building Material, Civil Engineering</t>
  </si>
  <si>
    <t>1. Currently pursuing a Bachelor's degree in Accounting or related field
2. Detail oriented individual
3. Ability to work individually and with a team</t>
  </si>
  <si>
    <t>Real Estate Finance Intern</t>
  </si>
  <si>
    <t>$12-$15 /h</t>
  </si>
  <si>
    <t>1. Ability to start immediately and able to commit to at least 1 year
2. Currently major in Finance, Accounting, Real Estate or related field focus
3. Highly organized with a strong work ethic
...</t>
  </si>
  <si>
    <t>Winter Internship 2025 | Audit Intern | Long Island (44633)</t>
  </si>
  <si>
    <t>Winter Internship 2025 | Audit Intern | Florham Park, NJ (44632)</t>
  </si>
  <si>
    <t>Winter Internship 2025 | Audit Intern | New York City (44637)</t>
  </si>
  <si>
    <t>Auditor/Accountant Internship - Hourly - Albany</t>
  </si>
  <si>
    <t>New York State Department of Labor</t>
  </si>
  <si>
    <t>Consulting, Government</t>
  </si>
  <si>
    <t>1. Currently enrolled in an accredited accounting, auditing, or taxation program or pursuing a bachelor's degree that will result in having 24 credit hours in accounting, auditing, or taxation.
2. A working knowledge of accounting/auditing procedures and techniques.
3. Proficient in Microsoft Word &amp; Excel.</t>
  </si>
  <si>
    <t>Expert-Comptable Stagiaire H/F</t>
  </si>
  <si>
    <t>EXCO</t>
  </si>
  <si>
    <t>Rochelle, LA</t>
  </si>
  <si>
    <t>1. Expérience confirmée en cabinet comptable
2. Capacité à gérer un portefeuille clients diversifié
3. Capacité à établir et faire respecter les plannings et les délais
...</t>
  </si>
  <si>
    <t>Winter 2025 Tax Intern-Denver</t>
  </si>
  <si>
    <t>Winter 2025 Audit Internship-Chicago</t>
  </si>
  <si>
    <t>Spring 2025 Audit Intern</t>
  </si>
  <si>
    <t>Copeland Buhl &amp; Company PLLP</t>
  </si>
  <si>
    <t>1. Satisfactory completion of Intermediate Accounting I and working towards an accounting or finance degree
2. Meet firm standard for chargeable hours and realization
3. Strong interpersonal and relationship building skills
...</t>
  </si>
  <si>
    <t>Finance and Campaign Operations Intern</t>
  </si>
  <si>
    <t>1. Studying Accounting or Finance with an interest in progressive causes OR studying Political Science with an interest in learning finance and accounting processes
2. Interest and background in progressive issues and advocacy campaigns
3. Works well in teams and is a self-motivated self-starter
...</t>
  </si>
  <si>
    <t>Internal Audit Associate (Calhoun, Georgia, United States, 30701)</t>
  </si>
  <si>
    <t>Calhoun, GA</t>
  </si>
  <si>
    <t>1. Bachelor's degree in a related field preferred.
2. 1-2 years of relevant experience desirable OR an equivalent combination of education and experience.
3. Willing to actively pursue CPA, CIA, or CISA certification.
...</t>
  </si>
  <si>
    <t>Warren Averett</t>
  </si>
  <si>
    <t>Fort Walton Beach, FL</t>
  </si>
  <si>
    <t>1. Pursuit of a Bachelor’s Degree in Accounting
2. Desire to obtain the schooling required to take the uniformed CPA exam and have the required hours to be awarded the CPA license
3. Excellent interpersonal skills in working with other staff and clients</t>
  </si>
  <si>
    <t>Elder Hanson &amp; Company</t>
  </si>
  <si>
    <t>Naperville, IL</t>
  </si>
  <si>
    <t>$17-$22 /h</t>
  </si>
  <si>
    <t>1. College student pursuing a bachelor's or master's degree in accounting, finance, or a related field
2. Minimum GPA of 3.0
3. Basic knowledge of Microsoft Word, Excel, Outlook, and Adobe Acrobat
...</t>
  </si>
  <si>
    <t>Public Accounting Internship</t>
  </si>
  <si>
    <t>MBE CPAs</t>
  </si>
  <si>
    <t>Kimball, NE</t>
  </si>
  <si>
    <t>1. Pursuing a degree in accounting at a technical school, college, or university.
2. Interested in pursuing a career in public accounting.
3. Comfortable working daily in Microsoft Office products including Excel, Word, and Outlook.
...</t>
  </si>
  <si>
    <t>Intern - Contract Audit - Business Undergraduate Year Round</t>
  </si>
  <si>
    <t>Wisconsin Dells, WI</t>
  </si>
  <si>
    <t>Public Accounting Internship (January - April 2025)</t>
  </si>
  <si>
    <t>Brady Ware &amp; Company</t>
  </si>
  <si>
    <t>Richmond, IN</t>
  </si>
  <si>
    <t>1. Junior or Senior undergrad or enrolled in Master's program
2. Must be able to work 40 hours a week
3. Must be willing to work up to 50 hours a week mid-March through April 15
...</t>
  </si>
  <si>
    <t>Summer 2024 Tax Internship</t>
  </si>
  <si>
    <t>Avfuel</t>
  </si>
  <si>
    <t>Fuel, Manufacturing</t>
  </si>
  <si>
    <t>1. Pursuing Accounting or Tax related degree with rising junior status in the fall
2. Advanced excel skills
3. Strong written and verbal communication skills
...</t>
  </si>
  <si>
    <t>Sturgeon Bay, WI</t>
  </si>
  <si>
    <t>2025 Audit Busy Season (Spring) Intern - St. Louis, MO</t>
  </si>
  <si>
    <t>UHY Advisors</t>
  </si>
  <si>
    <t>1. Must be pursuing a degree in Accounting at an accredited college/university.
2. High School Diploma or GED.
3. Demonstrated knowledge of basic business, technology, or audit principles/standards.
...</t>
  </si>
  <si>
    <t>Mauston, WI</t>
  </si>
  <si>
    <t>2025 Tax Busy Season (Spring) Intern - Nashville, TN</t>
  </si>
  <si>
    <t>1. Must be pursuing a degree in Accounting at an accredited college/university.
2. High School Diploma or GED.
3. No experience required.
...</t>
  </si>
  <si>
    <t>1. Currently enrolled in a college or university as a full-time student with at least a sophomore status towards a bachelor’s degree with an accounting/finance emphasis.
2. Ability to maintain at least a 3.2 grade point average.
3. Must have previously taken or scheduled to take an Intermediate Accounting class.
...</t>
  </si>
  <si>
    <t>Sun Prairie, WI</t>
  </si>
  <si>
    <t>Baraboo, WI</t>
  </si>
  <si>
    <t>2025 Audit Busy Season (Spring) Intern - Nashville, TN</t>
  </si>
  <si>
    <t>1. High School Diploma (or GED or High School Equivalence Certificate)
2. Enrollment in an accounting program at an accredited college/university</t>
  </si>
  <si>
    <t>Reedsburg, WI</t>
  </si>
  <si>
    <t>2025 Audit Busy Season (Spring) Intern - Kansas City, MO</t>
  </si>
  <si>
    <t>Master Taxes Inc</t>
  </si>
  <si>
    <t>Germantown, TN</t>
  </si>
  <si>
    <t>1. Good understanding of financial statements and accounting processes
2. Proficiency in using accounting software
3. Knowledge of finance principles and practices
...</t>
  </si>
  <si>
    <t>2025 Point72 Academy Investment Analyst Summer Internship Program</t>
  </si>
  <si>
    <t>$120000-$140000 /yr</t>
  </si>
  <si>
    <t>1. Current student graduating between December 2025 and July 2026
2. High enthusiasm for the financial services industry
3. Interest in analyzing companies and looking at stocks
...</t>
  </si>
  <si>
    <t>Accounting Intern-Fall 2024</t>
  </si>
  <si>
    <t>Make-A-Wish® Illinois</t>
  </si>
  <si>
    <t>1. Excellent oral and written communication skills
2. Strong attention to detail
3. Proficiency with technology, including Microsoft Office, specifically Microsoft Excel and Microsoft Word
...</t>
  </si>
  <si>
    <t>2025 Summer Investment Analyst</t>
  </si>
  <si>
    <t>Bracebridge Capital</t>
  </si>
  <si>
    <t>FinTech, Insurance</t>
  </si>
  <si>
    <t>1. Class of 2026 students with top academic credentials who are pursuing a degree in Applied Mathematics, Economics, Computer Science, Mathematics, Engineering or related field
2. Students pursuing a non-quantitative degree are invited to apply if they have sufficient coursework in quantitative fields
3. Strong math, analytical and programming skills
...</t>
  </si>
  <si>
    <t>Audit Intern - Summer 2026 (Nashville, TN)</t>
  </si>
  <si>
    <t>Crown Credit/Business Co-Op Full Year Part Time</t>
  </si>
  <si>
    <t>New Knoxville, OH</t>
  </si>
  <si>
    <t>1. Candidate must be pursuing a 2 or 4 year degree in accounting, finance, or business related field.
2. Candidate must be able to work a minimum of 15 hours a week.
3. Experience with Microsoft Office, Leaseworks, Onbase, and Power BI
...</t>
  </si>
  <si>
    <t>Finance Intern - Fall Semester 2024 - Minneapolis, MN</t>
  </si>
  <si>
    <t>1. Must be in the process of earning a bachelor’s degree in Finance or a business-related field; or earned a bachelor’s degree in Finance or a business-related field within the previous 12 months
2. Very strong verbal and written communication skills
3. Intermediate or advanced knowledge of Microsoft Office, most notably Excel
...</t>
  </si>
  <si>
    <t>Spring 2025 Intern, Finance/Accounting</t>
  </si>
  <si>
    <t>1. A Freshman, Sophomore, Junior or Senior standing in school with requisite educational experience in accounting, finance, actuarial science, analytics, statistics, economics, mathematics or another relevant field
2. A GPA of 3.0 or higher
3. A well-rounded skill set including strong time-management, attention to detail, written and oral communication, teamwork skills, as well as a proficiency in MS Excel</t>
  </si>
  <si>
    <t>Summer 2025 Internship Program - Accounting Internship</t>
  </si>
  <si>
    <t>Kearney</t>
  </si>
  <si>
    <t>Alexandria, VA</t>
  </si>
  <si>
    <t>1. Must currently be in Sophomore, Junior, or Senior pursuing a 5th year standing in an accredited college/university working towards a BA/BS degree in Accounting, Information Systems, Accounting and Information Systems, Computer Science, Information Technology, and/or Business Administration with a focus in Accounting.
2. Ability to obtain and maintain an interim U.S. Secret security clearance (requires U.S. citizenship)
3. Excellent verbal and written communication skills</t>
  </si>
  <si>
    <t>Summer 2025 Internship Program - Finance</t>
  </si>
  <si>
    <t>1. Must currently be in Sophomore, Junior, or Senior pursuing a 5th year standing in an accredited college/university working towards a BA/BS degree in Accounting, Information Systems, Accounting and Information Systems, Computer Science, Information Technology, and/or Business Administration with a focus in Accounting, Finance or Economics.
2. Ability to obtain and maintain an interim U.S. Secret security clearance (requires U.S. citizenship)
3. Excellent verbal and written communication skills</t>
  </si>
  <si>
    <t>RBT CPAs, LLP</t>
  </si>
  <si>
    <t>Accounting, Finance</t>
  </si>
  <si>
    <t>Orange County, NY</t>
  </si>
  <si>
    <t>1. Accounting Majors
2. Hudson Valley resident
3. In-person availability
...</t>
  </si>
  <si>
    <t>Woodbridge</t>
  </si>
  <si>
    <t>1. Proof of associate or bachelor’s degree program being completed currently by a community college or university; and related experience and/or training in the field of Accounting.
2. Ability to read, analyze, and interpret general business periodicals, professional journals, technical procedures, or governmental regulations.
3. Ability to write reports, business correspondence, and procedure manuals.
...</t>
  </si>
  <si>
    <t>USTV Finance Intern – Fall 2024</t>
  </si>
  <si>
    <t>1. Undergrad or current graduate student (accounting or finance)</t>
  </si>
  <si>
    <t>Project Accounting - Intern (STUDENTS OR RECENT GRADUATES ONLY)</t>
  </si>
  <si>
    <t>Turner Industries Group</t>
  </si>
  <si>
    <t>1. Candidate should be working towards a Bachelor's degree in the field of business, preferably accounting or finance.
2. Candidate must have completed a minimum of 45 hours of college coursework.
3. Candidate must be able to work at least 15 hours per week.
...</t>
  </si>
  <si>
    <t>Student Intern</t>
  </si>
  <si>
    <t>Versar</t>
  </si>
  <si>
    <t>Construction, Management Information Systems</t>
  </si>
  <si>
    <t>Kendall, FL</t>
  </si>
  <si>
    <t>1. Current undergraduate students at Junior or Senior level with studies in the areas of Accounting Finance.</t>
  </si>
  <si>
    <t>Forensic Accounting and Litigation Intern | Fall 2024</t>
  </si>
  <si>
    <t>Laguna Niguel, CA</t>
  </si>
  <si>
    <t>1. Working towards a Bachelor's degree
2. Excellent interpersonal, analytical, research and tax project management skills, including knowledge of GAAP, Taxation compliance, codes and regulations
3. Demonstrated ability to communicate verbally and in writing throughout all levels of the organization, both internally and externally
...</t>
  </si>
  <si>
    <t>Accounting/Finance Intern - Budgeting</t>
  </si>
  <si>
    <t>1. Completed sophomore year of undergraduate studies with declared major in accounting, finance, business or related degree.
2. Knowledgeable of Microsoft Office, especially proficient with the use of Excel.
3. Must be able to demonstrate excellent examples of attention to detail as well as organizational and analytical skills.
...</t>
  </si>
  <si>
    <t>Accounting Intern - Regulatory Accounting</t>
  </si>
  <si>
    <t>1. Completed freshmen year of undergraduate studies with declared major in Accounting.
2. Currently enrolled in school full time (minimum 12 credit hours/semester).
3. Must possess strong computer skills and Excel experience with spreadsheets.
...</t>
  </si>
  <si>
    <t>Tax Intern - Spring 2025 (Nashville, TN)</t>
  </si>
  <si>
    <t>Core Tax Intern - Winter 2025 (Nashville)</t>
  </si>
  <si>
    <t>Operation Underground Railroad</t>
  </si>
  <si>
    <t>Murray, UT</t>
  </si>
  <si>
    <t>1. Desire to expand knowledge of the accounting profession.
2. Basic understanding of ethical financial principles and procedures.
3. Proficiency in using spreadsheet software (e.g., Microsoft Excel, Google Sheets) and other relevant applications.
...</t>
  </si>
  <si>
    <t>Fall 2024- Program Financial Analyst Intern</t>
  </si>
  <si>
    <t>1. Enrolled in a Bachelor’s or Masters degree program in Business, Accounting, or Finance
2. Current standing must be a Junior, Senior or Graduate student with a minimum of 3.0 GPA
3. Strong communication and organizational skills
...</t>
  </si>
  <si>
    <t>Fall 2024- Pricing Analyst- Intern</t>
  </si>
  <si>
    <t>Intern, Transaction Advisory (Summer 2025)</t>
  </si>
  <si>
    <t>Tax Accounting Internship/Hybrid Fall</t>
  </si>
  <si>
    <t>Tokio Marine North America Services</t>
  </si>
  <si>
    <t>Bala-Cynwyd, PA</t>
  </si>
  <si>
    <t>1. Must be actively enrolled in an undergraduate program in Business Administration, Accounting, or Finance</t>
  </si>
  <si>
    <t>Fall 2024-Program Financial Analyst Intern</t>
  </si>
  <si>
    <t>Financial Intern Assistant</t>
  </si>
  <si>
    <t>Slagle Financial</t>
  </si>
  <si>
    <t>Advice, Financial Services</t>
  </si>
  <si>
    <t>1. Currently pursuing a bachelor’s degree in finance, accounting, or related field.</t>
  </si>
  <si>
    <t>Internal Control Analyst</t>
  </si>
  <si>
    <t>East Brunswick, NJ</t>
  </si>
  <si>
    <t>$80000-$90000 /yr</t>
  </si>
  <si>
    <t>1. 1 to 2 years’ experience in Internal or External Audit, ideally in the retail/CPG environment
2. Proficiency in Microsoft Excel (Pivot Tables, V-Look ups, etc.)
3. High level of integrity and ethics
...</t>
  </si>
  <si>
    <t>Assurance Staff Accountants</t>
  </si>
  <si>
    <t>1. Bachelor’s degree in accounting or a related field
2. Previous professional work or internship experience in public accounting or related field
3. Ability to apply knowledge obtained by a bachelor’s degree in Accounting
...</t>
  </si>
  <si>
    <t>Summer 2024 - Automation and Digitization - Finance Specialty  Internship/Co-Op</t>
  </si>
  <si>
    <t>1. Pursuing a Bachelor’s or Master’s in Finance, Business Analytics/Informatics, or Accounting
2. Experience with process optimization/automation and data analytics/visualization (e.g., Power BI / Tableau, R, etc.)
3. Strong analytical and mathematical skills
...</t>
  </si>
  <si>
    <t>Financial Analysts</t>
  </si>
  <si>
    <t>Brandon, FL</t>
  </si>
  <si>
    <t>$54.2K-$68.6K /yr</t>
  </si>
  <si>
    <t>1. Bachelor's degree in Finance, Accounting, Economics, or related field.
2. Strong analytical and quantitative skills, with attention to detail.
3. Proficiency in Microsoft Excel and financial modeling.
...</t>
  </si>
  <si>
    <t>Intern - Tire Real Estate / Finance, Year-Round</t>
  </si>
  <si>
    <t>1. Currently enrolled in a US accredited degree program pursuing a degree in real estate and/or finance
2. Able to work a minimum of 20 hours per week during normal business hours (Mon-Fri)
3. Must have and maintain a minimum GPA of a 2.8 or higher
...</t>
  </si>
  <si>
    <t>Tax Intern - Fall 2024</t>
  </si>
  <si>
    <t>1. Pursuing a Bachelor's or Master's Degree in Accounting, Finance, or Tax
2. Graduating December 2024 or May 2025
3. Minimum GPA 3.2
...</t>
  </si>
  <si>
    <t>Financial Advisor Internship | Full Time Opportunities</t>
  </si>
  <si>
    <t>1. Full-time student; juniors and seniors preferred
2. Entrepreneurial and curiosity for sales
3. Highly involved on campus (leader, campus orgs, student government, etc)
...</t>
  </si>
  <si>
    <t>Scribner Cohen + Company</t>
  </si>
  <si>
    <t>1. Open only to Accounting students
2. Completion of Intermediate Accounting</t>
  </si>
  <si>
    <t>1. Currently pursuing a Bachelor’s or Master's degree in Accounting, Business Intelligence, or related program from an accredited university/college.
2. Expected graduation date of December 2024 or later.
3. Excellent written and verbal communication skills.
...</t>
  </si>
  <si>
    <t>Assurance Intern - Winter 2025 (Minneapolis)</t>
  </si>
  <si>
    <t>1. Enrolled in an Associate’s Degree or Bachelor’s Degree program in Accounting, Finance, or Business Administration, required
2. Proficient in the use of Microsoft Office Suite, specifically Excel and Word, required
3. Ability to work in a deadline-driven environment and handle multiple projects/tasks with an attention to detail
...</t>
  </si>
  <si>
    <t>Tax Intern - Spring 2025 (Wilson, NC)</t>
  </si>
  <si>
    <t>Wilson, NC</t>
  </si>
  <si>
    <t>2025 Audit Busy Season (Spring) Intern - West Des Moines, IA</t>
  </si>
  <si>
    <t>Assurance - Intern Summer 2025 (Baton Rouge)</t>
  </si>
  <si>
    <t>EisnerAmper</t>
  </si>
  <si>
    <t>1. Working towards a Bachelor’s or Master’s degree in Accounting or related field is required.
2. Must exhibit a high degree of professionalism and maintain the highest level of confidentiality.
3. Must have a desire to learn and be flexible.
...</t>
  </si>
  <si>
    <t>Specialty Tax Services Intern, International Tax Services - Summer 2025 (Atlanta)</t>
  </si>
  <si>
    <t>1. Pursuing a Bachelors or Master's degree in Accounting (completion of corporate or individual taxation class is required)
2. Above average competency in accounting as demonstrated by college GPA; Minimum 3.2 GPA
3. Working towards eligibility to sit for CPA exam upon graduation (150 credits)
...</t>
  </si>
  <si>
    <t>Estagiário (administração/Gestão Financeira)</t>
  </si>
  <si>
    <t>Grupo Tracbel</t>
  </si>
  <si>
    <t>1. Ensino Superior em andamento a partir do 3º Período (Administração, Ciência Contábeis ou afins)
2. Conhecimento Pacote Office</t>
  </si>
  <si>
    <t>Summer 2025 Tax Intern (New York)</t>
  </si>
  <si>
    <t>Armanino</t>
  </si>
  <si>
    <t>Accounting, Association</t>
  </si>
  <si>
    <t>1. Must be legally authorized to work in the United States without the need for employer sponsorship, now or at any time in the future
2. Current enrollment in a bachelor's or master’s program in business with an emphasis in accounting</t>
  </si>
  <si>
    <t>Winter 2025 Tax Intern (New York)</t>
  </si>
  <si>
    <t>Spring Audit Intern 2025</t>
  </si>
  <si>
    <t>Keiter</t>
  </si>
  <si>
    <t>Glen Allen, VA</t>
  </si>
  <si>
    <t>1. Completed at least one semester of an intermediate level accounting class
2. Strong written and verbal communication skills
3. Strong computer skills, including financial spreadsheet (Microsoft Excel, Word)
...</t>
  </si>
  <si>
    <t>Temporary Administrative Tax Assistant</t>
  </si>
  <si>
    <t>Withum</t>
  </si>
  <si>
    <t>Accounting, Advertising</t>
  </si>
  <si>
    <t>1. Bachelor’s degree or equivalent combination of education and experience in business, accounting, or related field
2. Experience in tax administrative support work, office practices and administrative procedures
3. Tech savvy with the ability and desire to embrace necessary software applications
...</t>
  </si>
  <si>
    <t>$25-$26 /h</t>
  </si>
  <si>
    <t>Wangard Partners, Inc.</t>
  </si>
  <si>
    <t>Accounting Intern - Part Time/Seasonal</t>
  </si>
  <si>
    <t>HEI Hotels + Resorts</t>
  </si>
  <si>
    <t>Financial Services, Hotel</t>
  </si>
  <si>
    <t>1. Bachelor's Degree in Accounting preferred.
2. Strong organizational skills with attention to detail.
3. Ability to compile facts and figures.
...</t>
  </si>
  <si>
    <t>Intern, Asset Management (Summer 2025)</t>
  </si>
  <si>
    <t>Ventas</t>
  </si>
  <si>
    <t>Financial Services, Health Care</t>
  </si>
  <si>
    <t>1. Successful completion of several finance, economics, or accounting courses
2. Currently enrolled as a junior at a four-year accredited college or university in a relevant course of study or MBA program graduating in 2026
3. Microsoft Office proficiency, specifically in Excel and PowerPoint is required
...</t>
  </si>
  <si>
    <t>Intern - Martin &amp; Company – Investment Management Subsidiary of FHN</t>
  </si>
  <si>
    <t>1. Full-time undergraduate student with anticipated graduation date between December 2024 and June 2025
2. GPA of 2.75 or above
3. Strong interest in investing and finance, though no specific major or field is required
...</t>
  </si>
  <si>
    <t>F. Schumacher &amp; Co.</t>
  </si>
  <si>
    <t>1. Currently pursuing a Bachelor's or Master's degree in Finance, Accounting, or related field.
2. Strong analytical and quantitative skills, with a keen attention to detail.
3. Proficiency in Microsoft Excel and other financial software.
...</t>
  </si>
  <si>
    <t>Forensic Accounting and Litigation Intern | 2025</t>
  </si>
  <si>
    <t>Audit and Tax Intern | Summer 2026</t>
  </si>
  <si>
    <t>1. Excellent interpersonal, analytical, research, including basic knowledge of GAAP and GAAS rules, procedures and standards
2. Demonstrated ability to communicate verbally and in writing throughout all levels of organization, both internally and externally
3. Ability to multi-task, think independently and problem solve in a results driven team oriented environment
...</t>
  </si>
  <si>
    <t>Audit Intern | Spring 2025</t>
  </si>
  <si>
    <t>R&amp;R Human Resources Solutions</t>
  </si>
  <si>
    <t>Northbrook, IL</t>
  </si>
  <si>
    <t>1. Currently pursuing a degree in Accounting with a path to taking the CPA exam
2. Basic understanding of tax laws and accounting principles
3. Proficiency in Microsoft Office Suite, especially Excel
...</t>
  </si>
  <si>
    <t>Orange County, CA</t>
  </si>
  <si>
    <t>$27-$28 /h</t>
  </si>
  <si>
    <t>IL - Chicago</t>
  </si>
  <si>
    <t>Quantitative Trading Analyst Intern</t>
  </si>
  <si>
    <t>1. Pursuing a bachelor’s, master’s or PhD in mathematics, economics, physics, statistics, computer science or any engineering related field with an expected graduation date between December 2025 and June 2026
2. Advanced quantitative, analytical and problem-solving skills
3. Proficient programming in Python
...</t>
  </si>
  <si>
    <t>Accounting Intern - Fall</t>
  </si>
  <si>
    <t>Huseman Group</t>
  </si>
  <si>
    <t>1. Bachelor's degree in Accounting, Finance, or a related field
2. Familiarity with AIA documents and construction draws process
3. Ability to prepare financial statements and conduct account reconciliations
...</t>
  </si>
  <si>
    <t>Corporate Accounting Intern (Fall 2024)</t>
  </si>
  <si>
    <t>1. Must be in junior standing or higher, pursuing a bachelor’s Degree in Accounting
2. Solid verbal and written communication skills
3. Able to work independently and as part of a team
...</t>
  </si>
  <si>
    <t>Budget College Aide - 640278</t>
  </si>
  <si>
    <t>1. Must be a student matriculated in a college or be a recent college graduate (winter/spring term of the Program year)</t>
  </si>
  <si>
    <t>1. Pursuing a Bachelors or Master's degree in Accounting
2. Above average competency in accounting as demonstrated by college GPA; Minimum 3.0 GPA
3. Working towards eligibility to sit for CPA exam upon graduation (150 credits)
...</t>
  </si>
  <si>
    <t>Financial Data Associate</t>
  </si>
  <si>
    <t>Moody’s</t>
  </si>
  <si>
    <t>$60,300-$87,300 /yr</t>
  </si>
  <si>
    <t>1. Entry level position. Some relevant work experience and/or relevant internship experience preferred.
2. Undergraduate/first-level degree (E.g. Bachelor’s degree)
3. Excellent attention to detail and ability to complete repetitive process with no error
...</t>
  </si>
  <si>
    <t>Legend Homes</t>
  </si>
  <si>
    <t>Finance Intern - Fall 2024 (Calhoun, Georgia, United States)</t>
  </si>
  <si>
    <t>Finance Generalist Internship (Part Time)</t>
  </si>
  <si>
    <t>Cru</t>
  </si>
  <si>
    <t>Communities, Non Profit</t>
  </si>
  <si>
    <t>1. High school degree or equivalent; must be enrolled in an accredited university/college program
2. Current GPA of 3.0
3. Non-US citizens must have a valid student VISA</t>
  </si>
  <si>
    <t>Real Estate Accounting Intern</t>
  </si>
  <si>
    <t>Greenwood Star</t>
  </si>
  <si>
    <t>1. Strong Excel skills
2. A combination of education, training, and experience that demonstrates the application and usage of generally accepted accounting principles (GAAP)
3. Demonstrated ability to read, write, and communicate effectively to prepare and explain financial data to board members, senior managers, staff, and internal and external auditors
...</t>
  </si>
  <si>
    <t>Financial Center of Excellence - College Part Time (Cash Management)</t>
  </si>
  <si>
    <t>Juno Beach, FL</t>
  </si>
  <si>
    <t>1. High School Grad / GED
2. Experience:0+ years
3. Cumulative GPA of 3.0 or higher
...</t>
  </si>
  <si>
    <t>Summer 2025 Finance and Accounting Co-Op openings</t>
  </si>
  <si>
    <t>1. Enrolled and completed 2+ years accredited university in Finance, Accounting or a similar discipline.
2. Ability to provide leadership
3. Basic knowledge of Accounting
...</t>
  </si>
  <si>
    <t>Accounting Intern - Chicago, IL (Fall 2024)</t>
  </si>
  <si>
    <t>Equity Residential</t>
  </si>
  <si>
    <t>1. Prefer candidates pursuing a Bachelor’s degree in Accounting, Finance, or a related field.
2. Familiarity and previous experience with Google Applications (Gmail, Calendar, Docs, Sheets), Excel and Essbase are also preferred.
3. Ability to effectively and objectively communicate and work with internal and external customers, as well as strong analytical skills and a keen eye for detail.
...</t>
  </si>
  <si>
    <t>2024-2025 Athletics Department, Business/Accounting Office Student Assistant</t>
  </si>
  <si>
    <t>1. Current FIU student and eligible for Federal Work Study</t>
  </si>
  <si>
    <t>Audit Intern | Summer 2025</t>
  </si>
  <si>
    <t>Audit Intern - Spring 2025 (Montgomery, AL)</t>
  </si>
  <si>
    <t>Banking, Capital Markets, Summer Analyst - New York (North America - 2025)</t>
  </si>
  <si>
    <t>1. Graduating between December 2025 and June 2026
2. Preferred GPA of 3.3 or above
3. Demonstrated commitment to personal growth and career development
...</t>
  </si>
  <si>
    <t>Audit and Tax Intern | Summer 2025</t>
  </si>
  <si>
    <t>$24-$27 /h</t>
  </si>
  <si>
    <t>2025 Financial Forecasting Accountant Intern</t>
  </si>
  <si>
    <t>1. Working toward a Bachelor's degree, preferably in accounting, finance, or economics
2. GPA of 3.2 or higher
3. Exhibit interest in developing a better knowledge of community development finance, renewable energy and other tax credit subsidized investments
...</t>
  </si>
  <si>
    <t>2025 Staff Accountant Intern - NYC</t>
  </si>
  <si>
    <t>Audit and Tax Intern | Spring 2025</t>
  </si>
  <si>
    <t>Student Assistant, Finance</t>
  </si>
  <si>
    <t>Flying Tiger Copenhagen</t>
  </si>
  <si>
    <t>Consumer Goods, Retail</t>
  </si>
  <si>
    <t>Denmark, WI</t>
  </si>
  <si>
    <t>1. Currently enrolled in an economically relevant field of study, such as finance, financial economics, accounting, or similar
2. Proficient in Microsoft Office or IT skills
3. Fluent in English, both oral and written
...</t>
  </si>
  <si>
    <t>Commercial Business Analyst - Stage</t>
  </si>
  <si>
    <t>ITA - Lodi Plant</t>
  </si>
  <si>
    <t>1. Degree in Economics, Business or equivalent
2. Being familiar with MS Office suite
3. Accuracy, data and detail-orientation
...</t>
  </si>
  <si>
    <t>Spring 2025 Tax Intern - Raleigh</t>
  </si>
  <si>
    <t>2024 Summer Staff Accountant Intern - San Francisco</t>
  </si>
  <si>
    <t>Tax Intern - Fall 2024 (Houston, TX)</t>
  </si>
  <si>
    <t>Cost Accounting Intern Fall 2024</t>
  </si>
  <si>
    <t>PACCAR Engine Company</t>
  </si>
  <si>
    <t>Columbus, MS</t>
  </si>
  <si>
    <t>1. Proficient in Microsoft Office
2. Excellent verbal and written communication skills
3. Ability to multi-task
...</t>
  </si>
  <si>
    <t>$37-$44 /h</t>
  </si>
  <si>
    <t>2025 Staff Accountant Intern - Walnut Creek</t>
  </si>
  <si>
    <t>Walnut Creek, CA</t>
  </si>
  <si>
    <t>2025 Staff Accountant Intern - San Francisco</t>
  </si>
  <si>
    <t>2025 Staff Accountant Intern - Petaluma</t>
  </si>
  <si>
    <t>Petaluma, CA</t>
  </si>
  <si>
    <t>Finance Operations Assistant (Student)</t>
  </si>
  <si>
    <t>$17.50-$22 /h</t>
  </si>
  <si>
    <t>1. High School diploma or equivalent
2. Students pursuing an undergraduate or graduate degree
3. Ability to start position, beginning July 2024
...</t>
  </si>
  <si>
    <t>LightPath Technologies</t>
  </si>
  <si>
    <t>1. Assist with vendor invoice processing using the 3-way match to enter purchase order vouchers in ERP system; identify discrepancies and escalate as appropriate.
2. Assist with coding of non-purchase order invoices and entering vouchers in ERP system.
3. Assist with receivable invoice processing and distribution of invoices.
...</t>
  </si>
  <si>
    <t>Accounting Internship (Part-Time)</t>
  </si>
  <si>
    <t>1. College Junior or Senior preferred in finance or accounting
2. Current GPA of 3.0
3. Non-US citizens must have a valid student VISA</t>
  </si>
  <si>
    <t>Real Estate Acquisitions Intern</t>
  </si>
  <si>
    <t>DC Partners</t>
  </si>
  <si>
    <t>Finance, Property Development</t>
  </si>
  <si>
    <t>1. Pursuing a Bachelor's or Master's degree in Real Estate, Finance, or a related field
2. Strong analytical and quantitative skills
3. Proficiency in financial modeling and Microsoft Excel
...</t>
  </si>
  <si>
    <t>Investment Analyst Intern</t>
  </si>
  <si>
    <t>Tencent America</t>
  </si>
  <si>
    <t>Advertising, Artificial Intelligence (AI)</t>
  </si>
  <si>
    <t>1. Proficiency in data analysis and financial analysis, able to conduct industry or company research projects independently
2. Candidates who are able to work 3 days per week and for a minimum 3 months period are highly preferable
3. Willing to abide by the contract and abide by the specific terms of the contract regarding the working period
...</t>
  </si>
  <si>
    <t>Part-Time Project Bookkeeper and Project Assistant</t>
  </si>
  <si>
    <t>Miami Beach, FL</t>
  </si>
  <si>
    <t>1. Associate degree in accounting, finance, or a related field preferred.
2. 1-2 years of experience in bookkeeping or a related role, and/or construction projects.
3. Proficiency in accounting software (e.g., QuickBooks) and MS Office Suite.
...</t>
  </si>
  <si>
    <t>Business and Financial Analyst Intern</t>
  </si>
  <si>
    <t>China Telecom Americas</t>
  </si>
  <si>
    <t>1. Bachelor’s degree in Business, Finance, Mathematics, Data Analytics, Economics, or related field in progress or completed.
2. Critical thinking and problem-solving proficiency.
3. Ability to gather critical information, review, and analyze data requirements.
...</t>
  </si>
  <si>
    <t>2025 Tax &amp; Audit Internship</t>
  </si>
  <si>
    <t>Boeckermann Grafstrom &amp; Mayer</t>
  </si>
  <si>
    <t>1. Enrolled in a Bachelor’s or Master’s degree program in Accounting
2. Maintaining a cumulative GPA of 3.0 or higher
3. On-track to graduate with 150 credits
...</t>
  </si>
  <si>
    <t>GHA Technologies</t>
  </si>
  <si>
    <t>1. College/University students in Financial Degree programs
2. Previous experience working within an Accounting Department would be preferred</t>
  </si>
  <si>
    <t>1. Ability to effectively manage competing priorities
2. Strong sense of professional and personal accountability
3. Basic computer skills and experience with Microsoft Office applications
...</t>
  </si>
  <si>
    <t>1. Ideal opportunity for College/University students in Financial Degree programs!
2. Exceptional opportunity for someone to expand and enhance their scope of skills.
3. Local AZ candidates, only</t>
  </si>
  <si>
    <t>Gilbert, AZ</t>
  </si>
  <si>
    <t>4401 Connecticut Campus (Washington, DC)</t>
  </si>
  <si>
    <t>Clinton Township, MI</t>
  </si>
  <si>
    <t>Romeo, MI</t>
  </si>
  <si>
    <t>Tecumseh, MI</t>
  </si>
  <si>
    <t>Canton, MI</t>
  </si>
  <si>
    <t>Davison, MI</t>
  </si>
  <si>
    <t>Sault Ste. Marie, MI</t>
  </si>
  <si>
    <t>Marquette, MI</t>
  </si>
  <si>
    <t>Taylor, MI</t>
  </si>
  <si>
    <t>Grandville, MI</t>
  </si>
  <si>
    <t>Portfolio Management Intern</t>
  </si>
  <si>
    <t>Corient</t>
  </si>
  <si>
    <t>1. Must be a rising junior or senior by the summer of 2025.
2. Currently enrolled in a degree program related to finance, economics, mathematics, or a related field.
3. Demonstrated coursework or experience in finance, economics, or mathematics.
...</t>
  </si>
  <si>
    <t>Willoughby, OH</t>
  </si>
  <si>
    <t>Spring 2025 Tax Internship</t>
  </si>
  <si>
    <t>Guinn, Vinopal &amp; Zahradka LLP</t>
  </si>
  <si>
    <t>Hudson, WI</t>
  </si>
  <si>
    <t>1. Working towards a bachelor's degree in accounting or related field
2. Authorized to work in the United States</t>
  </si>
  <si>
    <t>Patrick Accounting</t>
  </si>
  <si>
    <t>Financial Services, Legal</t>
  </si>
  <si>
    <t>$14-$18 /h</t>
  </si>
  <si>
    <t>1. Undergraduate college student (junior or senior) in the Greater Memphis Area
2. Strong interest in accounting &amp; tax services
3. Passion for small businesses and their success
...</t>
  </si>
  <si>
    <t>Herzog Contracting</t>
  </si>
  <si>
    <t>1. Pursuing an accounting or business management related degree at an accredited four-year school.
2. Good with numbers and analytical acumen.
3. General understanding of accounting and financial principles.
...</t>
  </si>
  <si>
    <t>Current Interns Only - Financial Analyst (FADP)  2024 Intern Posting</t>
  </si>
  <si>
    <t>Target</t>
  </si>
  <si>
    <t>Communities, E-Commerce</t>
  </si>
  <si>
    <t>$54800-$98600 /yr</t>
  </si>
  <si>
    <t>1. Currently enrolled in final year of undergraduate program (Finance or Accounting Preferred)
2. Successful internship or related work experience
3. Demonstrated leadership, collaboration, communication and decision-making skills
...</t>
  </si>
  <si>
    <t>Intern - Financial Intelligence Unit, Fall 2024</t>
  </si>
  <si>
    <t>Capitol Federal Financial</t>
  </si>
  <si>
    <t>1. Minimum one to three years of similar or related experience, including preparatory experience.
2. High school diploma or equivalent required.</t>
  </si>
  <si>
    <t>Intern - Accounting</t>
  </si>
  <si>
    <t>Cosmo International Fragrances</t>
  </si>
  <si>
    <t>Chemical, Consumer Goods</t>
  </si>
  <si>
    <t>Deerfield Beach, FL</t>
  </si>
  <si>
    <t>1. Ability to work and learn under the direction of the designated department manager
2. Work under the direction of the department manager
3. Provide assistance on assigned projects: Physical Inventory &amp; Fixed Assets, Updating fixed assets in SAP, Assist in other projects as assigned
...</t>
  </si>
  <si>
    <t>The Shyft Group</t>
  </si>
  <si>
    <t>Waterville, ME</t>
  </si>
  <si>
    <t>1. High School Diploma or GED required (Enrollment in Bachelor or Associate degree in accounting or finance preferred)
2. Flexibility, positivity, and professionalism in an environment with fluctuating priorities
3. Proficient with computers; skilled in use of Excel Spreadsheets
...</t>
  </si>
  <si>
    <t>Audit Intern (R1943)</t>
  </si>
  <si>
    <t>1. Must be enrolled in an undergraduate degree program majoring in Accounting, Finance, Economics, Business, Information Technology, Computer Science, Mathematics, or related degrees.
2. Minimum GPA requirement of 3.0 on a 4.0 scale.
3. Must be graduating December 2026 or later to be eligible.
...</t>
  </si>
  <si>
    <t>Investment Analyst internship</t>
  </si>
  <si>
    <t>Capitant</t>
  </si>
  <si>
    <t>Education, Finance</t>
  </si>
  <si>
    <t>Ghent, ME</t>
  </si>
  <si>
    <t>1. Ability to work independently and in a team
2. Strong analytical and problem-solving skills
3. Excellent communication and interpersonal abilities
...</t>
  </si>
  <si>
    <t>Internship, Assurance (Summer 2025)</t>
  </si>
  <si>
    <t>Investment Associate (Financial Services Career Development Program)</t>
  </si>
  <si>
    <t>Hennion &amp; Walsh</t>
  </si>
  <si>
    <t>Crowdfunding, Insurance</t>
  </si>
  <si>
    <t>Parsippany, NJ</t>
  </si>
  <si>
    <t>1. Bachelor's degree or equivalent combination of education/experience
2. Personal or professional track record of achievement
3. Highly professional work ethic
...</t>
  </si>
  <si>
    <t>Omaha NE-6750</t>
  </si>
  <si>
    <t>Newport Beach CA-700</t>
  </si>
  <si>
    <t>Staff Accountant (Remote, NM or TX)</t>
  </si>
  <si>
    <t>Outfield Healthcare Partners</t>
  </si>
  <si>
    <t>1. BA/BS degree in Finance and/or Accounting preferred
2. One year of experience in bookkeeping or accounting
3. Must be proficient in MS Word/Excel, and an Accounting database computer system
...</t>
  </si>
  <si>
    <t>Maloney + Novotny</t>
  </si>
  <si>
    <t>1. Working toward a Bachelor of Science/Business Administration (Accounting Major) or a Master of Science in Accounting
2. Strong academic credentials
3. Working toward meeting requirements to sit for the CPA exam
...</t>
  </si>
  <si>
    <t>Finance Intern – AP/AR</t>
  </si>
  <si>
    <t>1. Currently pursuing a Bachelor’s or Master’s degree in Finance, Accounting, Economics, or related field
2. Strong analytical skills
3. Excellent attention to detail
...</t>
  </si>
  <si>
    <t>Tech Accountant – Internship</t>
  </si>
  <si>
    <t>1. Currently pursuing a Bachelor’s or Master’s degree in Accounting, Finance, or related field
2. Strong analytical skills
3. Excellent attention to detail
...</t>
  </si>
  <si>
    <t>Summer 2025 Audit Intern</t>
  </si>
  <si>
    <t>Maher Duessel</t>
  </si>
  <si>
    <t>1. Sophomore or Junior status working toward Bachelor’s Degree in Accounting
2. On track to attain 150 credits at time of graduation preferred
3. Strong written and verbal communication skills
...</t>
  </si>
  <si>
    <t>Butler, PA</t>
  </si>
  <si>
    <t>State College, PA</t>
  </si>
  <si>
    <t>AASA, The School Superintendents Association</t>
  </si>
  <si>
    <t>1. Currently pursuing a degree in accounting, finance, business administration, or a related field.
2. Basic understanding of accounting principles and financial reporting.
3. Proficiency in Microsoft Office Suite (Excel, Word, etc.).
...</t>
  </si>
  <si>
    <t>G FUTURE BUSINESS TRAINEE - Accounts Payable / Accounts Receivable Department</t>
  </si>
  <si>
    <t>1. Bachelor's degree in a Business-related discipline (Finance, Accounting, and other related disciplines).
2. College graduate - recently completed or be in the process of completing degree before program starts.
3. Record of high academic achievement (Minimum GPA 3.0).
...</t>
  </si>
  <si>
    <t>VX Media LLC</t>
  </si>
  <si>
    <t>1. Currently pursuing or recently completed a degree in Accounting, Finance, or a related field.
2. Strong academic record, particularly in accounting and finance courses.
3. Proficiency in Microsoft Office Suite, especially Excel.
...</t>
  </si>
  <si>
    <t>Bayerkohler &amp; Graff</t>
  </si>
  <si>
    <t>Accounting, Compliance</t>
  </si>
  <si>
    <t>1. High level of professional communication
2. Attention to detail
3. Organization and time management skills</t>
  </si>
  <si>
    <t>Private Equity Summer Analyst</t>
  </si>
  <si>
    <t>Access Holdings</t>
  </si>
  <si>
    <t>1. Current junior with a record of high academic achievement (cumulative GPA 3.3 or higher)
2. Must be eligible to work in the US without requiring sponsorship both now and in the future</t>
  </si>
  <si>
    <t>Accounting Co-op/Intern - Spring 2025</t>
  </si>
  <si>
    <t>California State University</t>
  </si>
  <si>
    <t>1. Current enrollment with a CSU campus in a bachelor’s or masters degree program in accounting, business administration, or related field.
2. Ability to work with all levels of staff and management.
3. Excellent written and communication skills.
...</t>
  </si>
  <si>
    <t>Ripple Junction Design Co.</t>
  </si>
  <si>
    <t>1. Must be recent graduate or actively working towards a Bachelor’s Degree in Finance, Accounting.
2. Microsoft and Excel skills, ability to learn new computer systems quickly
3. Rolling up your sleeves and being a team player regardless of the task.
...</t>
  </si>
  <si>
    <t>Intern - Internal Audit</t>
  </si>
  <si>
    <t>SBA Communications</t>
  </si>
  <si>
    <t>Telecommunications, Wireless</t>
  </si>
  <si>
    <t>Boca Raton, FL Corporate Office</t>
  </si>
  <si>
    <t>1. H.S. Diploma/GED
2. Seeking college student in accounting, finance or economics; or recent graduate and &lt;1 year relevant experience</t>
  </si>
  <si>
    <t>Year-Round Finance Intern</t>
  </si>
  <si>
    <t>1. Must be a full-time student currently enrolled in a 4 year-college or university program in the Louisville, KY area, pursuing a bachelor’s degree in business, Accounting, Finance, Economics, Math or related field.
2. Must commit to working year-round (minimum of 2 semesters).
3. Must be able to work 20-25 hrs/wk onsite at GE Appliances facility during the school year (around class schedules) and 30-40 hrs/wk during the Summer.
...</t>
  </si>
  <si>
    <t>Republic Finance</t>
  </si>
  <si>
    <t>1. Pursuing a major in Finance, Accounting or Business Administration with additional focus on Analytics, or have professional experience in the above mentioned areas.
2. Cumulative GPA of 3.5 or above.
3. Demonstrated leadership and teamwork capabilities, strong interpersonal communication skills, and involvement in professional/community/extracurricular activities.
...</t>
  </si>
  <si>
    <t>POOL: RedTire Program Finance Analyst Intern</t>
  </si>
  <si>
    <t>$10 /h</t>
  </si>
  <si>
    <t>1. Basic knowledge and understanding of finance, accounting procedures and financial analysis as evidenced in application materials.
2. Detail-orientated, methodical in analyzing data (like tax information), and ability to multi-task and prioritize assignments as evidenced in application materials.
3. Strong interpersonal and written communication skills as evidenced in application materials.
...</t>
  </si>
  <si>
    <t>Pool: Accounting Student Assistant</t>
  </si>
  <si>
    <t>1. During the semester term of the appointment, the KU student hourly must be enrolled in no fewer than 6 credit hours.
2. Must have a GPA of 2.5 or higher</t>
  </si>
  <si>
    <t>Financial Services Student Invoice Assistant</t>
  </si>
  <si>
    <t>1. Enrolled in at least six (6) hours at the University of Kansas.
2. High attention to detail as evidenced by application materials.</t>
  </si>
  <si>
    <t>2025 Internship (Audit/Tax) in Tampa, Pensacola or Orlando, FL</t>
  </si>
  <si>
    <t>Saltmarsh, Cleaveland &amp; Gund</t>
  </si>
  <si>
    <t>1. Minimum of 24+ hours a week for spring interns
2. Availability to work in Tampa, Pensacola, or Orlando, Florida offices
3. Positive attitude and patience when learning new software and processes
...</t>
  </si>
  <si>
    <t>Audit Internship (Fall 2024, Spring 2025)</t>
  </si>
  <si>
    <t>State of North Dakota</t>
  </si>
  <si>
    <t>1. Overall GPA of 3.0 or higher.
2. Successful completion of the hiring process including reference, background, and criminal record checks.
3. An upbeat, positive attitude and willingness to learn.</t>
  </si>
  <si>
    <t>USA, Louisville, KY</t>
  </si>
  <si>
    <t>Financial Management Team Intern</t>
  </si>
  <si>
    <t>1. Pursuing bachelor's degree in finance, economics, data science, statistics, or business preferred.
2. Knowledge of Microsoft Office applications and ability to learn new software programs quickly, strong background in Excel and PowerPoint required.
3. Strong presentation and preparation skills.
...</t>
  </si>
  <si>
    <t>Intern Audit ISG Spring 2025 | Uptown Charlotte</t>
  </si>
  <si>
    <t>Lexington, KY USA</t>
  </si>
  <si>
    <t>Halstead, KS</t>
  </si>
  <si>
    <t>1. Education: Currently pursuing a degree in Finance, Accounting, Business Administration, or a related field. Students must be at a minimum sophomore standing with a GPA 2.8 or higher.
2. Technical Skills: Proficiency in Microsoft Office Suite, particularly Excel. Familiarity with accounting software (e.g., QuickBooks, SAP, Oracle) is a plus.
3. Analytical Skills: Strong analytical and problem-solving skills. Ability to interpret financial data and provide meaningful insights.
...</t>
  </si>
  <si>
    <t>Individual Equity Strategy Intern</t>
  </si>
  <si>
    <t>Spring 2026 Audit Intern (Warner Robins, GA)</t>
  </si>
  <si>
    <t>Nichols, Cauley &amp; Associates</t>
  </si>
  <si>
    <t>1. Currently enrolled in a Bachelor's or Master's program in Accounting or a related field.
2. Strong academic record with a focus on accounting, auditing, or finance.
3. Excellent analytical and problem-solving skills.
...</t>
  </si>
  <si>
    <t>Internship, Assurance (Spring 2025)</t>
  </si>
  <si>
    <t>2025 CIB Corporate Banking Summer Analyst Program – US</t>
  </si>
  <si>
    <t>1. An undergraduate student in a four-year program with an expected graduation date between either December 2025 or May 2026.
2. Cumulative GPA is 3.5 or above.
3. Highly motivated and results-oriented with a desire to exceed expectations.
...</t>
  </si>
  <si>
    <t>Associate Tax January 2026 | Tulsa</t>
  </si>
  <si>
    <t>1. Bachelor's or master's degree in accounting
2. Eligibility to sit for the CPA exam in the state of office location
3. Solid technical accounting knowledge
...</t>
  </si>
  <si>
    <t>Tax Summer 2025 Internship - Tysons Corner, VA</t>
  </si>
  <si>
    <t>Audit Summer 2025 Internship - Tysons, VA</t>
  </si>
  <si>
    <t>Sr Auditor Internal</t>
  </si>
  <si>
    <t>First Student</t>
  </si>
  <si>
    <t>Transportation</t>
  </si>
  <si>
    <t>1. Bachelors degree in Accounting, Finance, Economics or other related Business Degree. Masters in Accounting/Finance a plus.
2. CPA required
3. CIA, CFE, CRMA or CMA desirable
...</t>
  </si>
  <si>
    <t>Tax Winter 2025 Internship - Atlanta, GA</t>
  </si>
  <si>
    <t>Tax Winter 2025 Internship - Dallas, TX</t>
  </si>
  <si>
    <t>Senior Internal Auditor - Hybrid</t>
  </si>
  <si>
    <t>AAA Auto Club Enterprises</t>
  </si>
  <si>
    <t>$88300-$117700 /yr</t>
  </si>
  <si>
    <t>1. Bachelor’s Degree and either CIA, CFE, or CPA certification is required.
2. Minimum 5 years of experience independently conducting operational, financial, and/or regulatory internal audits.
3. Excellent verbal and written communication skills. Ability to communicate with all levels of corporate employees and management, including executives.
...</t>
  </si>
  <si>
    <t>Tax Winter 2025 Internship - Boca Raton, FL</t>
  </si>
  <si>
    <t>Tax Winter 2025 Internship - Jupiter, FL</t>
  </si>
  <si>
    <t>Jupiter, FL</t>
  </si>
  <si>
    <t>Tax Summer 2025 Internship - Sunrise, FL</t>
  </si>
  <si>
    <t>Audit Summer 2025 Internship - Jupiter, FL</t>
  </si>
  <si>
    <t>Tax Summer 2025 Internship - Boston, MA</t>
  </si>
  <si>
    <t>Tax Winter 2025 Internship - Miami, FL</t>
  </si>
  <si>
    <t>Tax Summer 2025 Internship - Jupiter, FL</t>
  </si>
  <si>
    <t>Tax Winter 2025 Internship - Bethesda, MD</t>
  </si>
  <si>
    <t>2025 Winter Audit Intern - Washington DC (Bethesda, MD)</t>
  </si>
  <si>
    <t>Audit Summer 2025 Internship - Sunrise, FL</t>
  </si>
  <si>
    <t>Tax Winter 2025 Internship - Denver, CO</t>
  </si>
  <si>
    <t>Tax Summer 2025 Internship - Braintree, Wakefield MA</t>
  </si>
  <si>
    <t>Audit Winter 2025 Internship - Chicago, IL</t>
  </si>
  <si>
    <t>Spring Tax Intern 2025</t>
  </si>
  <si>
    <t>Investment Engineer Intern - Summer 2025</t>
  </si>
  <si>
    <t>$41,000-$41,000 /h</t>
  </si>
  <si>
    <t>1. Passion and knack for building data models and algorithmic systems that solve complex investment problems
2. Deep interest in markets, finance, and investing
3. Great analytical mind
...</t>
  </si>
  <si>
    <t>Royal Oak Enterprises, LLC</t>
  </si>
  <si>
    <t>1. Successful completion of at least two years of undergraduate business courses
2. Concentration in accounting preferred
3. Basic understanding of Microsoft Excel
...</t>
  </si>
  <si>
    <t>Audit Winter 2026 Internship - Charlotte, NC</t>
  </si>
  <si>
    <t>1. Pursuing a Bachelor’s or Master’s degree in Accounting
2. Plan to complete 150 credit hours between May 2026 - September 2027 in order to be CPA licensed
3. Have a minimum 3.0 GPA in both your major and overall
...</t>
  </si>
  <si>
    <t>Audit Internship (Spring 2025)</t>
  </si>
  <si>
    <t>Tax Winter 2025 Internship - Tysons, VA</t>
  </si>
  <si>
    <t>Tax Summer 2025 Internship - Boca Raton, FL</t>
  </si>
  <si>
    <t>Tax Summer 2025 Internship - Miami, FL</t>
  </si>
  <si>
    <t>Audit Winter 2025 Internship - Miami, FL</t>
  </si>
  <si>
    <t>Audit Winter 2025 Internship - Braintree, Wakefield MA</t>
  </si>
  <si>
    <t>Audit Winter 2025 Internship - Charlotte, NC</t>
  </si>
  <si>
    <t>Audit Winter 2025 Internship - Atlanta, GA</t>
  </si>
  <si>
    <t>Audit Winter 2025 Internship - Jupiter, FL</t>
  </si>
  <si>
    <t>Tax Winter 2025 Internship - Sunrise, FL</t>
  </si>
  <si>
    <t>1. Pursuing a Bachelor’s or Master’s degree in Accounting
2. Plan to complete 150 credit hours between December 2025- September 2026 in order to be CPA licensed
3. Have a minimum 3.0 GPA in both your major and overall
...</t>
  </si>
  <si>
    <t>Audit Summer 2025 Internship - Boca Raton, FL</t>
  </si>
  <si>
    <t>Audit Summer 2025 Internship - Miami, FL</t>
  </si>
  <si>
    <t>Audit Winter 2025 Internship - Boca Raton, FL</t>
  </si>
  <si>
    <t>Audit Winter 2025 Internship - Sunrise, FL</t>
  </si>
  <si>
    <t>Associate Tax July 2026 | Enid</t>
  </si>
  <si>
    <t>Enid, OK</t>
  </si>
  <si>
    <t>Associate Audit July 2026 | Oklahoma City</t>
  </si>
  <si>
    <t>Finance Internship 2024 Fall</t>
  </si>
  <si>
    <t>Montgomery Investment Technology</t>
  </si>
  <si>
    <t>Cinnaminson, NJ</t>
  </si>
  <si>
    <t>1. Specialized academic training and achievement
2. Demonstrated ability to meet deadlines and attention to detail
3. Strong written and communication skills
...</t>
  </si>
  <si>
    <t>Associate Tax July 2026 | Oklahoma City</t>
  </si>
  <si>
    <t>Intern - Financial Analytics (Managed Care Contracting)</t>
  </si>
  <si>
    <t>Cone Health</t>
  </si>
  <si>
    <t>1. Incoming undergraduate seniors or first-year MBA students
2. Preferred Majors: Business Administration, Finance, Mathematics, Health Care Administration
3. Minimum 3.0 GPA
...</t>
  </si>
  <si>
    <t>Associate Tax July 2026 | Tulsa</t>
  </si>
  <si>
    <t>Associate Audit July 2026 | Tulsa</t>
  </si>
  <si>
    <t>Associate Tax September 2026 | Tulsa</t>
  </si>
  <si>
    <t>Associate Tax January 2026 | Enid</t>
  </si>
  <si>
    <t>Intern Tax Summer 2025 | Atlanta</t>
  </si>
  <si>
    <t>Associate Audit September 2026 | Oklahoma City</t>
  </si>
  <si>
    <t>Associate Tax September 2026 | Oklahoma City</t>
  </si>
  <si>
    <t>Associate Tax September 2025 | Tulsa</t>
  </si>
  <si>
    <t>Associate Tax September 2025 | Enid</t>
  </si>
  <si>
    <t>Associate Tax September 2026 | Enid</t>
  </si>
  <si>
    <t>CAREER DEVELOPMENT PROGRAM - FINANCIAL SERVICES</t>
  </si>
  <si>
    <t>1. Actively pursuing an Associate’s or Bachelor’s degree required. Accounting, Finance, or Business degree preferred.
2. Preferred availability is 4 hours per day, a total of 20 hours per week. Hours must be scheduled Monday-Friday 7am-5pm, year-round.
3. 1-2 years customer service experience preferred
...</t>
  </si>
  <si>
    <t>Tax Internship (January - April 2025)</t>
  </si>
  <si>
    <t>Transaction Advisory Services Intern - Summer 2025</t>
  </si>
  <si>
    <t>Miller, Cooper &amp; Co., Ltd.</t>
  </si>
  <si>
    <t>1. Working towards a bachelor’s degree in accounting with a minimum GPA of 3.2
2. CPA Eligible (with 150 credit hours) between May and August 2026
3. Work between June 2025 through mid-August 2025
...</t>
  </si>
  <si>
    <t>Tax Intern - Spring 2026</t>
  </si>
  <si>
    <t>1. Working towards a bachelor’s degree in accounting with a minimum GPA of 3.2
2. CPA Eligible (with 150 credit hours) between May and August 2027
3. Available to work a typical Monday through Saturday work schedule during the internship- January 2026 and runs through April 2026
...</t>
  </si>
  <si>
    <t>Audit Intern - Spring 2026</t>
  </si>
  <si>
    <t>1. Working towards a bachelor’s degree in accounting with a minimum GPA of 3.2
2. CPA Eligible (with 150 credit hours) between May and August 2027
3. Available to work a typical Monday through Saturday work schedule during the internship- January 2026 and runs through March 2026
...</t>
  </si>
  <si>
    <t>Financial Analysis Internship</t>
  </si>
  <si>
    <t>1. Currently pursuing or recently completed a degree in Finance, Accounting, Economics, or a related field
2. Strong analytical and problem-solving skills
3. Proficiency in Microsoft Office Suite (Excel, PowerPoint, Word)
...</t>
  </si>
  <si>
    <t>Associate Tax July 2025 | Tulsa</t>
  </si>
  <si>
    <t>2026 Tax Season Co-Op | Internship</t>
  </si>
  <si>
    <t>Kirsch CPA Group</t>
  </si>
  <si>
    <t>1. Pursuing an Accounting Major with a strong interest in tax and business advisory services
2. Maintaining a minimum GPA of 3.2
3. Willing to work 20-40 hours during the tax season, which may encompass Saturdays
...</t>
  </si>
  <si>
    <t>2026 Summer Accounting | Tax Internship</t>
  </si>
  <si>
    <t>1. Pursuing a Bachelor’s degree in Accounting or a Master of Science in Accounting Degree (an undergraduate degree in Accounting is preferred)
2. A keen interest in all facets of Tax and a drive to meet CPA minimum eligibility requirements for a career in public accounting
3. A solid academic record that underscores your commitment and potential
...</t>
  </si>
  <si>
    <t>Associate Tax January 2025 | Oklahoma City</t>
  </si>
  <si>
    <t>Investment Manager Research Intern, Portfolio Strategy</t>
  </si>
  <si>
    <t>1. Must be a rising junior or senior by the summer of 2025
2. Currently enrolled in a degree program related to finance, economics, mathematics, or a related field
3. Demonstrated coursework or experience in finance, economics, or mathematics
...</t>
  </si>
  <si>
    <t>Associate Tax July 2025 | Oklahoma City</t>
  </si>
  <si>
    <t>Associate Audit July 2025 | Tulsa</t>
  </si>
  <si>
    <t>Associate Tax July 2025 | Enid</t>
  </si>
  <si>
    <t>Endurance Specialty Holdings</t>
  </si>
  <si>
    <t>Audit &amp; Assurance - PSP Summer 2025 - Minneapolis</t>
  </si>
  <si>
    <t>1. Pursuing a Bachelor of Science/Business Administration of Science degree in Accounting or related field
2. Definitive plans for meeting minimum requirements for CPA eligibility
3. Limited immigration sponsorship may be available
...</t>
  </si>
  <si>
    <t>Venture Investing - Technology Investing Intern (Remote)</t>
  </si>
  <si>
    <t>Augment Jobs</t>
  </si>
  <si>
    <t>1. Currently pursuing a Bachelor's or Master's degree in Finance, Business Administration, Economics, Computer Science, or related field.
2. Strong interest in venture capital, entrepreneurship, and technology innovation.
3. Analytical mindset with the ability to conduct in-depth research and financial analysis.
...</t>
  </si>
  <si>
    <t>SEK, CPAs &amp; Advisors</t>
  </si>
  <si>
    <t>1. Accounting Major
2. GPA of 3.0 or higher
3. Career plans to obtain 150 credits and sit for the CPA exam.
...</t>
  </si>
  <si>
    <t>Associate Audit January 2025 | Oklahoma City</t>
  </si>
  <si>
    <t>Internal Financial Advisor</t>
  </si>
  <si>
    <t>Gradient Securities</t>
  </si>
  <si>
    <t>1. High School Diploma or GED
2. Series 7, 66 or equivalent licenses
3. Life and health insurance license
...</t>
  </si>
  <si>
    <t>MBA Corporate Finance Internship 2025</t>
  </si>
  <si>
    <t>Nalco Water, An Ecolab Company</t>
  </si>
  <si>
    <t>USA - Minnesota - Saint Paul</t>
  </si>
  <si>
    <t>1. An anticipated MBA graduation date of May/June 2026
2. A concentration in Finance or similar.
3. Four years of professional experience pre-MBA*.</t>
  </si>
  <si>
    <t>Intern Audit Summer 2026 | Irvine</t>
  </si>
  <si>
    <t>Venture Capital Investment Intern</t>
  </si>
  <si>
    <t>1. Currently enrolled in a Bachelor's or Master's degree program in Finance, Economics, Business Administration, or a related field.
2. Strong analytical skills with proficiency in financial modeling and Excel.
3. Excellent written and verbal communication skills.
...</t>
  </si>
  <si>
    <t>Intern Tax Summer 2026 | Irvine</t>
  </si>
  <si>
    <t>$22-$32 /h</t>
  </si>
  <si>
    <t>Mid-Minnesota Legal Aid</t>
  </si>
  <si>
    <t>Legal, Non Profit</t>
  </si>
  <si>
    <t>1. Enrollment in an Accounting, Finance, or Business-related program (undergraduate or graduate level).
2. Strong attention to detail and organizational skills.
3. Excellent written and verbal communication skills.
...</t>
  </si>
  <si>
    <t>Associate Audit July 2026 | Waco</t>
  </si>
  <si>
    <t>Spring 2025 Municipal Advisory Internship</t>
  </si>
  <si>
    <t>Baker Tilly US</t>
  </si>
  <si>
    <t>1. Enrolled as a student during the current school year in an accounting, finance, or related business program
2. Available to travel as needed for client projects
3. Outstanding academic performance required, with a preferred GPA of 3.0 or above
...</t>
  </si>
  <si>
    <t>Intern Audit Spring 2026 | Irvine</t>
  </si>
  <si>
    <t>Intern Tax Spring 2026 | Irvine</t>
  </si>
  <si>
    <t>2025 Investment Banking Summer Analyst - Healthcare</t>
  </si>
  <si>
    <t>Ziegler</t>
  </si>
  <si>
    <t>Advice, Banking</t>
  </si>
  <si>
    <t>1. Rising Senior with strong academic standing at a leading university or college
2. Demonstrated work ethic and willingness to excel in a fast-paced work environment
3. Proficiency in finance and accounting topics with strong written and oral communication skills
...</t>
  </si>
  <si>
    <t>Internal Audit Staff</t>
  </si>
  <si>
    <t>Switch</t>
  </si>
  <si>
    <t>Data Center, Information Services</t>
  </si>
  <si>
    <t>1. Entry-level understanding of risk and control concepts related to business processes and information security
2. Exceptional people skills with demonstrated ability to communicate process/controls and audit objectives in a collaborative and complex environment
3. Ability to think strategically and execute plans to meet business objectives
...</t>
  </si>
  <si>
    <t>Hamilton</t>
  </si>
  <si>
    <t>Biotechnology, Life Science</t>
  </si>
  <si>
    <t>1. Ability to work and communicate professionally by phone, email, and in-person.
2. Ability to demonstrate strong discretion and maintain confidentiality.
3. Detail-oriented, driven, efficient, and organized.
...</t>
  </si>
  <si>
    <t>Summer 2025 - Financial Planning and Analysis Intern</t>
  </si>
  <si>
    <t>1. Strong analytical abilities, problem-solving skills and a solutions focused mindset are necessary to adapt to a rapidly changing environment
2. Possess initiative, as well as strong analytical, communication, and problem-solving skills.
3. Collaborate with local colleagues to provide insight and support strategic goals
...</t>
  </si>
  <si>
    <t>Investment Analyst (Buy-Side)</t>
  </si>
  <si>
    <t>$100000-$105000 /yr</t>
  </si>
  <si>
    <t>1. Expected undergraduate graduation date of May - June 2024
2. Proficient in Microsoft Excel and PowerPoint. Bloomberg or programming experience a plus
3. Progress toward CFA charter is required. Successful candidates should complete CFA Level 1 within 18 months of their start date</t>
  </si>
  <si>
    <t>1. Must be in pursuit of a bachelor's degree in Accounting, Finance or a related field. Sophomore or Junior level candidates please apply. Must have a graduation date of December 2025 or later.
2. Demonstrated ability to maintain confidential information
3. Keen attention-to-detail and data validation skills, capable of multi-tasking.
...</t>
  </si>
  <si>
    <t>Senior Manager, Internal Audit- Corporate Functions</t>
  </si>
  <si>
    <t>Charles Schwab</t>
  </si>
  <si>
    <t>1. 8+ years of financial services-related audit experience with increasing responsibility. Risk Management, Corporate Functions and/or Treasury experience specific to internal audit and/or similar Big 4 Accounting or regulatory experience a plus.
2. Demonstrated experience leading internal audits and their associated team members, amongst a complex operational and regulatory environment
3. Ability to lead a project team and cultivate a strong working relationship with external co-sourcing provider, regulators, and internal lines of businesses.
...</t>
  </si>
  <si>
    <t>Private Asset Analyst Intern</t>
  </si>
  <si>
    <t>LP Analyst</t>
  </si>
  <si>
    <t>1. GPA 3.3 and above
2. Strong Excel skills; Proficiency in PowerPoint a plus
3. Exceptionally high attention to detail and proficiency with numbers
...</t>
  </si>
  <si>
    <t>International Finance Apprentice - Spring 2025</t>
  </si>
  <si>
    <t>Samaritan's Purse</t>
  </si>
  <si>
    <t>North Wilkesboro, NC</t>
  </si>
  <si>
    <t>1. A Bachelor's or Master's degree in Finance or Accounting (required)
2. Analytical, strategic thinking, and demonstrated leadership skills
3. Adaptable to working in a variety of international contexts
...</t>
  </si>
  <si>
    <t>College Aide/Assistant to the Deputy Comptroller for Administration</t>
  </si>
  <si>
    <t>Pulakos CPAs PC</t>
  </si>
  <si>
    <t>1. Must have good working knowledge of MS Office suite</t>
  </si>
  <si>
    <t>Associate Tax January 2026</t>
  </si>
  <si>
    <t>Forvis Mazars</t>
  </si>
  <si>
    <t>1. Associate positions require a bachelor's or master's degree in accounting
2. Associates must be eligible to sit for the CPA exam in the state in which your office will be located
3. Solid technical accounting knowledge
...</t>
  </si>
  <si>
    <t>Intern Tax Spring 2025</t>
  </si>
  <si>
    <t>Intern Tax Summer 2025</t>
  </si>
  <si>
    <t>Associate Tax September 2025</t>
  </si>
  <si>
    <t>ORIX Venture Finance</t>
  </si>
  <si>
    <t>Advertising, Financial Services</t>
  </si>
  <si>
    <t>1. Current undergraduate students entering their senior year of study, majoring in accounting or finance
2. Possess a strong desire for a career in audit and have completed relevant coursework
3. High proficiency in Microsoft Office and other specialized technology as required
...</t>
  </si>
  <si>
    <t>Intern Audit Summer 2026 | San Jose</t>
  </si>
  <si>
    <t>$38-$40 /h</t>
  </si>
  <si>
    <t>Intern Audit Spring 2026 | San Jose</t>
  </si>
  <si>
    <t>Winter - Summer 2025 Staff Accountant Intern</t>
  </si>
  <si>
    <t>Neville Wainio CPAs</t>
  </si>
  <si>
    <t>St Augustine, FL</t>
  </si>
  <si>
    <t>1. Basic audit objectives, testing methods and documentation
2. Basic financial statement groupings
3. Various depreciation methods and lives
...</t>
  </si>
  <si>
    <t>Client Accounting Services Intern - Fall 2025</t>
  </si>
  <si>
    <t>Saville, Dodgen &amp; Company</t>
  </si>
  <si>
    <t>1. Pursuing or graduate of an undergraduate or master’s degree in accounting
2. Completion of Intermediate I Accounting class by time of internship
3. Proficient in Microsoft Word, Excel, and Outlook
...</t>
  </si>
  <si>
    <t>Finance MBA Intern</t>
  </si>
  <si>
    <t>Firefly Health</t>
  </si>
  <si>
    <t>Watertown, MA</t>
  </si>
  <si>
    <t>1. Bachelor's in Accounting, Finance or other relevant undergraduate degree
2. Currently pursuing or recently completed an MBA
3. Exceptional MS Excel and PowerPoint skills
...</t>
  </si>
  <si>
    <t>TLS | Beca Fiscal Vigo</t>
  </si>
  <si>
    <t>Vigo</t>
  </si>
  <si>
    <t>1. Grado Derecho, ADE, Derecho + ADE, Economía.
2. Nivel de inglés alto, hablado y escrito.
3. Dominio de herramientas ofimáticas, particularmente entorno Word, Excel, Power.
...</t>
  </si>
  <si>
    <t>Intern Audit Spring 2026 | Charleston SC</t>
  </si>
  <si>
    <t>Intern Audit Spring 2026 | Indianapolis</t>
  </si>
  <si>
    <t>1. Accounting majors who intend to begin their careers in public accounting
2. GPA's of 3.0 and higher
3. Availability of 15-20 hours per week
...</t>
  </si>
  <si>
    <t>Tax Intern - Summer 2024</t>
  </si>
  <si>
    <t>Kerkering Barberio Pension Services</t>
  </si>
  <si>
    <t>1. Ability to become proficient with multiple computer programs and spreadsheets.
2. Demonstrates good critical thinking, professional judgment, and decision-making skills.
3. Effective verbal and written communication skills.
...</t>
  </si>
  <si>
    <t>Budget College Aide - 631022</t>
  </si>
  <si>
    <t>Associate Audit October 2025 | Tampa Bay</t>
  </si>
  <si>
    <t>Associate Audit October 2026 | Jacksonville</t>
  </si>
  <si>
    <t>Associate Audit July 2025 | Waco</t>
  </si>
  <si>
    <t>Associate Audit October 2024 | Greenville NC</t>
  </si>
  <si>
    <t>Associate Audit October 2025 |Greenville NC</t>
  </si>
  <si>
    <t>Associate Tax July 2025 | Indianapolis</t>
  </si>
  <si>
    <t>Associate Tax January 2025 | Tulsa</t>
  </si>
  <si>
    <t>Intern Tax Summer 2025 | Chicago</t>
  </si>
  <si>
    <t>Associate Tax September 2025 | Rogers</t>
  </si>
  <si>
    <t>Associate Audit September 2024 | Fort Smith</t>
  </si>
  <si>
    <t>Associate Audit September 2024 | Fort Wayne</t>
  </si>
  <si>
    <t>Associate Audit October 2024 | Birmingham</t>
  </si>
  <si>
    <t>Associate Tax January 2026 | Jacksonville FL</t>
  </si>
  <si>
    <t>Associate Audit July 2025 | Rogers</t>
  </si>
  <si>
    <t>Associate Audit October 2024| Charleston WV</t>
  </si>
  <si>
    <t>Associate Audit October 2024 | Richmond</t>
  </si>
  <si>
    <t>Associate Tax January 2026 | Phoenix</t>
  </si>
  <si>
    <t>Intern Tax Spring 2025 | Indianapolis</t>
  </si>
  <si>
    <t>Associate Audit October 2025 | Winston-Salem</t>
  </si>
  <si>
    <t>Winston-Salem, NC</t>
  </si>
  <si>
    <t>Associate Audit July 2025 | Pittsburgh</t>
  </si>
  <si>
    <t>Associate Audit July 2025 | Des Moines</t>
  </si>
  <si>
    <t>Investment banking fall 2024 internship</t>
  </si>
  <si>
    <t>First Analysis</t>
  </si>
  <si>
    <t>1. Bachelor's degree in business (finance) or a related area or a bachelor’s degree with relevant experience
2. Ability to work in a fast-paced, team-based environment
3. Strong research skills
...</t>
  </si>
  <si>
    <t>Washington D.C.</t>
  </si>
  <si>
    <t>Finance Transformation Intern (Private sector) | Milano [ADV]</t>
  </si>
  <si>
    <t>1. Ti stai per laureare o hai una laurea in Economia e Management
2. Parli e scrivi in inglese fluentemente
3. Sei in grado di trovare soluzioni funzionali, creative ed innovative a progetti complessi
...</t>
  </si>
  <si>
    <t>Associate Internal Auditor</t>
  </si>
  <si>
    <t>ScionHealth</t>
  </si>
  <si>
    <t>$46800.0-$70200.0 /yr</t>
  </si>
  <si>
    <t>1. Associates or Bachelor's degree in Accounting, or related field with significant accounting concentration
2. 1-2 years of experience in an accounting related field, auditing, or financial analysis</t>
  </si>
  <si>
    <t>1. 2L summer associate for the 2025 summer program
2. Interest in Debt Finance practice
3. Ability to work in any of the following offices: Los Angeles, New York, San Francisco, Washington, DC
...</t>
  </si>
  <si>
    <t>Associate Tax July 2025 | Chicago</t>
  </si>
  <si>
    <t>Associate Audit September 2025 | Oklahoma City</t>
  </si>
  <si>
    <t>Associate Tax September 2024 | Little Rock</t>
  </si>
  <si>
    <t>Intern Tax Spring 2025 | Atlanta</t>
  </si>
  <si>
    <t>Associate Audit September 2025 | Tulsa</t>
  </si>
  <si>
    <t>Spring 2026 Audit Intern (Kennesaw, GA)</t>
  </si>
  <si>
    <t>Stage/Tax Trainee - Tax Corporate</t>
  </si>
  <si>
    <t>1. Laureando/a in discipline economiche o giovane professionista con esperienza di 6/12 mesi in ambito Corporate Tax
2. Esperienza in ambito Corporate Tax all'interno di primari studi legali tributari
3. Attenzione al dettaglio e dedizione
...</t>
  </si>
  <si>
    <t>TLS | Beca Fiscal Mallorca</t>
  </si>
  <si>
    <t>Palma de Mallorca</t>
  </si>
  <si>
    <t>I-2562 - Accounting Co-Op Student</t>
  </si>
  <si>
    <t>Hilcorp Energy</t>
  </si>
  <si>
    <t>1. Ability to establish and maintain effective working relationships with employees, supervisors, other departments, officials, and the public
2. Ability to complete multiple, diverse tasks of differing priorities without close supervision
3. Excellent written and verbal communications skills
...</t>
  </si>
  <si>
    <t>Intern Audit Spring 2025 | Springfield</t>
  </si>
  <si>
    <t>Intern Tax Spring 2026 | Birmingham</t>
  </si>
  <si>
    <t>Associate Tax July 2024| Charleston WV</t>
  </si>
  <si>
    <t>Associate Audit July 2025 | Little Rock</t>
  </si>
  <si>
    <t>Acadia Healthcare</t>
  </si>
  <si>
    <t>1. Bachelor’s Degree in Accounting
2. CPA eligible is required
3. Advanced computer skills including Microsoft Office; especially Word, Excel, and PowerPoint
...</t>
  </si>
  <si>
    <t>Property &amp; Inland Marine Underwriting Intern - Year Round</t>
  </si>
  <si>
    <t>Richardson, TX (USA)</t>
  </si>
  <si>
    <t>1. Current enrollment in an accredited college or university with a major in such areas as business administration, finance, economics, statistics, communications, or risk management and insurance
2. An overall GPA of 3.0 or higher
3. Strong verbal and written communication skills
...</t>
  </si>
  <si>
    <t>Financing and Investment Intern</t>
  </si>
  <si>
    <t>Antelope Enterprise Holdings</t>
  </si>
  <si>
    <t>Manufacturing, Service Industry</t>
  </si>
  <si>
    <t>1. Bachelor's degree in Finance, Economics, Business, or a related field
2. Ability to thrive in a fast-paced, deadline-driven environment while managing multiple priorities effectively</t>
  </si>
  <si>
    <t>Associate Tax September 2026 | Decatur</t>
  </si>
  <si>
    <t>Associate Audit July 2025| Charleston WV</t>
  </si>
  <si>
    <t>Intern Audit Spring 2026 | Salt Lake City</t>
  </si>
  <si>
    <t>Associate Tax January 2025 | Phoenix</t>
  </si>
  <si>
    <t>Intern Tax Spring 2025 | Chicago</t>
  </si>
  <si>
    <t>Intern Tax Spring 2025 | Cincinnati</t>
  </si>
  <si>
    <t>Intern Tax Summer 2025| Louisville</t>
  </si>
  <si>
    <t>Intern Audit Spring 2025 | Louisville</t>
  </si>
  <si>
    <t>Audit Associate January 2025 | Atlanta</t>
  </si>
  <si>
    <t>Intern Audit Summer 2025 | Cincinnati</t>
  </si>
  <si>
    <t>Intern Tax Spring 2025 | Louisville</t>
  </si>
  <si>
    <t>Intern Audit Summer 2025 | Louisville</t>
  </si>
  <si>
    <t>College Intern - Financial Planning &amp; Analysis</t>
  </si>
  <si>
    <t>1. Currently a full-time college student enrolled in a two-year or four-year college program and following a course of study leading to a Bachelor's or Master's degree, with emphasis in Finance, Mathematics, Statistics, Business, Economics, Accounting, Computer Sciences, or any field related to the hiring department's business.
2. Must be a full-time student maintaining a 2.5 GPA.
3. Intern must conduct themselves in a professional manner.</t>
  </si>
  <si>
    <t>Audit Internship - June 2025</t>
  </si>
  <si>
    <t>Miller Kaplan</t>
  </si>
  <si>
    <t>1. Must be enrolled in an accredited college or university and pursuing the following degrees/majors: Bachelor of Accountancy, Master of Accountancy, or equivalent program.
2. Must have a current/most recent GPA of 3.0, or above.
3. Able to manage multiple tasks, prioritize, and meet deadlines.
...</t>
  </si>
  <si>
    <t>Audit Internship - January 2025</t>
  </si>
  <si>
    <t>Financial Analysis &amp; Planning Intern</t>
  </si>
  <si>
    <t>National Indemnity Company</t>
  </si>
  <si>
    <t>1. Minimum incoming Junior class standing
2. Proficiency with personal computers and software such as Excel, PowerPoint and Word
3. Excellent grammar, proofreading and oral / written communication skills
...</t>
  </si>
  <si>
    <t>Intern Debt &amp; Capital Advisory (f/m/x)</t>
  </si>
  <si>
    <t>1. Enrolled in a Master‘s degree in economics, finance, business or similar or in a gap year between Bachelor‘s and Master‘s degree programmes
2. Great analytical skills and very detail oriented
3. Fluent in English, both written and spoken, fluency in German is advantageous</t>
  </si>
  <si>
    <t>2025 Finance Leadership Development Program Summer Analyst</t>
  </si>
  <si>
    <t>Blackstone Group</t>
  </si>
  <si>
    <t>Advice, Business Development</t>
  </si>
  <si>
    <t>$90,000-$90,000 /yr</t>
  </si>
  <si>
    <t>1. Strong academic record
2. Proficiency in Microsoft Excel and PowerPoint
3. Strong quantitative skills
...</t>
  </si>
  <si>
    <t>Associate Audit July 2025 | Oklahoma City</t>
  </si>
  <si>
    <t>Associate Audit January 2025 | Little Rock</t>
  </si>
  <si>
    <t>Associate Audit January 2025 | Tulsa</t>
  </si>
  <si>
    <t>Intern Tax Spring 2025 | Enid</t>
  </si>
  <si>
    <t>Intern Tax Spring 2025 | Tulsa</t>
  </si>
  <si>
    <t>Commercial Banking Summer Internship--2025 (May 2026 Graduates!)</t>
  </si>
  <si>
    <t>Texas Capital Bank</t>
  </si>
  <si>
    <t>1. Currently pursuing a BBA, BA, BS or master’s degree in finance, accounting, or a related field from an accredited college or university, with expected graduation of May of 2026.
2. Completion of at least 6 hours of accounting by summer of 2025.
3. Completion of at least 6 hours of finance by summer of 2025.
...</t>
  </si>
  <si>
    <t>Accountancy working student (all offices)</t>
  </si>
  <si>
    <t>1. You are in the second or third year of your bachelor's degree (business economics, business administration)
2. You are working on your MSc. in Accounting
3. You are available at least three days a week for a period of at least three months
...</t>
  </si>
  <si>
    <t>Stagiaire en Fiscalité individuelle - Mobilité Internationale F/H</t>
  </si>
  <si>
    <t>Lyon</t>
  </si>
  <si>
    <t>1. Elève avocat(e), diplômé(e) d'un Master 2 en Droit Fiscal
2. Volontaire et rigoureux(se), et faisant preuve de curiosité intellectuelle, votre capacité relationnelle ainsi que vos qualités d'analyse et de synthèse seront vos atouts pour réussir dans ce poste
3. Vous souhaitez exercer votre activité professionnelle dans un contexte international
...</t>
  </si>
  <si>
    <t>Private Credit Associate Intern</t>
  </si>
  <si>
    <t>1. Currently pursuing a Bachelor’s degree in Finance, Economics, Business Administration, or a related field.
2. Strong analytical skills with proficiency in financial modeling and valuation techniques.
3. Excellent communication and interpersonal skills, with the ability to work effectively in a team-oriented environment.
...</t>
  </si>
  <si>
    <t>Debt Capital Markets Analyst Intern</t>
  </si>
  <si>
    <t>1. Currently enrolled in a bachelor's or master's degree program in finance, economics, or a related field
2. Strong analytical skills with proficiency in financial modeling and data analysis
3. Excellent written and verbal communication skills
...</t>
  </si>
  <si>
    <t>Financial Planning Fall Internship</t>
  </si>
  <si>
    <t>1. Full-time student; juniors or seniors
2. Entrepreneurial and curiosity for sales
3. Highly involved on campus (leader, campus orgs, student government, etc)
...</t>
  </si>
  <si>
    <t>Associate Tax January 2025 | Rogers</t>
  </si>
  <si>
    <t>Associate Audit January 2026 | Tulsa</t>
  </si>
  <si>
    <t>Sterling St James LLC</t>
  </si>
  <si>
    <t>Medina, OH</t>
  </si>
  <si>
    <t>1. Bachelor’s degree in Accounting or Finance
2. CPA or CIA certification preferred
3. 1-3 years of experience in internal auditing or public accounting
...</t>
  </si>
  <si>
    <t>Associate Tax January 2025 | Kansas City</t>
  </si>
  <si>
    <t>Associate Audit January 2025| Bowling Green</t>
  </si>
  <si>
    <t>Intern Tax Spring 2025 | Oklahoma City</t>
  </si>
  <si>
    <t>Audit Associate</t>
  </si>
  <si>
    <t>Talent2Win Perú</t>
  </si>
  <si>
    <t>1. Bachelor's degree in Accounting or Finance from an accredited University
2. 0-3 years experience
3. Must be proficient in Microsoft Excel
...</t>
  </si>
  <si>
    <t>Associate Tax January 2025 | Jackson</t>
  </si>
  <si>
    <t>Intern Tax Spring 2025 | Rogers</t>
  </si>
  <si>
    <t>Associate Audit January 2025 | Jackson</t>
  </si>
  <si>
    <t>Associate Tax October 2024 | Charleston, WV</t>
  </si>
  <si>
    <t>Associate Audit July 2026 | Colorado Springs</t>
  </si>
  <si>
    <t>$68000-$70000 /yr</t>
  </si>
  <si>
    <t>Intern Tax Spring 2025 | Springfield</t>
  </si>
  <si>
    <t>Intern Tax Summer 2025 | Fort Wayne</t>
  </si>
  <si>
    <t>Associate Audit July 2025 | Chicago</t>
  </si>
  <si>
    <t>Associate Tax October 2024 | Winston-Salem</t>
  </si>
  <si>
    <t>Intern Audit Spring 2025 | Rogers</t>
  </si>
  <si>
    <t>Intern Audit Spring 2025 | Fort Wayne</t>
  </si>
  <si>
    <t>Associate Audit January 2025 | Springfield</t>
  </si>
  <si>
    <t>Associate Tax January 2026 | Chicago</t>
  </si>
  <si>
    <t>Associate Tax July 2025 | Des Moines</t>
  </si>
  <si>
    <t>Associate Tax September 2025 | Chicago</t>
  </si>
  <si>
    <t>Associate Audit October 2024 | Boca Raton FL</t>
  </si>
  <si>
    <t>Associate Tax January 2025 | Fort Worth</t>
  </si>
  <si>
    <t>Intern Tax Spring 2026| Pittsburgh</t>
  </si>
  <si>
    <t>Intern Tax Spring 2026 | Dallas</t>
  </si>
  <si>
    <t>Intern Audit Spring 2025 | Little Rock</t>
  </si>
  <si>
    <t>Intern Tax Spring 2026| Chicago</t>
  </si>
  <si>
    <t>Associate Audit October 2025 | Charleston SC</t>
  </si>
  <si>
    <t>Intern Audit Spring 2025 | Richmond</t>
  </si>
  <si>
    <t>Intern Tax Spring 2025 | Pittsburgh</t>
  </si>
  <si>
    <t>Intern Tax Summer 2025 | Tulsa</t>
  </si>
  <si>
    <t>Intern Tax Spring 2026 | Salt Lake City</t>
  </si>
  <si>
    <t>Associate Tax January 2025| Chicago</t>
  </si>
  <si>
    <t>Intern Audit Summer 2025 | Charleston SC</t>
  </si>
  <si>
    <t>Intern Tax Spring 2025| Richmond</t>
  </si>
  <si>
    <t>Associate Audit January 2026 | Oklahoma City</t>
  </si>
  <si>
    <t>Associate Audit January 2025 | Chicago</t>
  </si>
  <si>
    <t>Associate Audit January 2025 | Indianapolis</t>
  </si>
  <si>
    <t>Associate Audit July 2025 | Springfield</t>
  </si>
  <si>
    <t>Intern Audit Summer 2026 | Atlanta</t>
  </si>
  <si>
    <t>Associate Audit September 2025| Kansas City</t>
  </si>
  <si>
    <t>Associate Audit September 2026 | Kansas City</t>
  </si>
  <si>
    <t>Associate Audit January 2025 | Des Moines</t>
  </si>
  <si>
    <t>Intern Audit Spring 2026 | Boca Raton</t>
  </si>
  <si>
    <t>Intern Audit Spring 2026 | Jacksonville</t>
  </si>
  <si>
    <t>Intern Audit Summer 2025 | Little Rock</t>
  </si>
  <si>
    <t>Intern Tax Summer 2026 | Salt Lake City</t>
  </si>
  <si>
    <t>Associate Tax January 2025 | Indianapolis</t>
  </si>
  <si>
    <t>Intern Tax Summer 2025 | Little Rock</t>
  </si>
  <si>
    <t>Associate Tax September 2024 | Louisville</t>
  </si>
  <si>
    <t>Intern Tax Spring 2026 | Kansas City</t>
  </si>
  <si>
    <t>Associate Tax September 2025 | Fort Wayne</t>
  </si>
  <si>
    <t>Associate Tax January 2025| Charleston WV</t>
  </si>
  <si>
    <t>Associate Tax September 2025 | Phoenix</t>
  </si>
  <si>
    <t>Intern Tax Summer 2025 | Birmingham</t>
  </si>
  <si>
    <t>Associate Audit January 2025 | Madison</t>
  </si>
  <si>
    <t>Associate Tax January 2025 | Springfield</t>
  </si>
  <si>
    <t>Intern Tax Spring 2025 | Norfolk</t>
  </si>
  <si>
    <t>Associate Tax July 2025 | Joplin</t>
  </si>
  <si>
    <t>Internal Audit, Staff</t>
  </si>
  <si>
    <t>1. BS or BA Degree in Accounting or Finance
2. 1-2 years’ experience in auditing or accounting
3. Possess excellent communication skills, both written and verbal, and excellent organizational skills
...</t>
  </si>
  <si>
    <t>Abacus CPAs, LLC</t>
  </si>
  <si>
    <t>1. Student currently pursuing a bachelor’s degree in Accounting
2. Completed a tax or accounting class
3. Integrity, Client Service Orientation, People Focus, Positive Attitude, and Ownership
...</t>
  </si>
  <si>
    <t>Associate Tax January 2025 | Joplin</t>
  </si>
  <si>
    <t>Intern Tax Spring 2025 | Tysons, VA</t>
  </si>
  <si>
    <t>Assurance Intern</t>
  </si>
  <si>
    <t>Finley &amp; Cook</t>
  </si>
  <si>
    <t>Shawnee, OK</t>
  </si>
  <si>
    <t>1. Able to analyze information skillfully.
2. Good judgment and problem-solving skills.
3. Effective oral and written communication skills in the English language.
...</t>
  </si>
  <si>
    <t>Intern Tax Spring 2026 | Atlanta</t>
  </si>
  <si>
    <t>Associate Audit January 2025 | Cincinnati</t>
  </si>
  <si>
    <t>Intern Audit Spring 2025 | Asheville</t>
  </si>
  <si>
    <t>Intern Audit Summer 2026| Pittsburgh</t>
  </si>
  <si>
    <t>Associate Tax January 2025 | Omaha</t>
  </si>
  <si>
    <t>Associate Audit January 2026 | Houston</t>
  </si>
  <si>
    <t>Intern Audit Spring 2025 | Denver</t>
  </si>
  <si>
    <t>Associate Audit October 2025 | Jacksonville FL</t>
  </si>
  <si>
    <t>Intern Tax Spring 2025 |Charlotte</t>
  </si>
  <si>
    <t>Associate Audit January 2025| Charleston WV</t>
  </si>
  <si>
    <t>Associate Tax January 2026 | Colorado Springs</t>
  </si>
  <si>
    <t>Associate Audit July 2024 | Fort Smith</t>
  </si>
  <si>
    <t>Intern Tax Summer 2025 | Greenville SC</t>
  </si>
  <si>
    <t>Associate Tax September 2025 | Evansville</t>
  </si>
  <si>
    <t>Associate Tax January 2025 | Dallas</t>
  </si>
  <si>
    <t>Associate Audit January 2025 | Rogers</t>
  </si>
  <si>
    <t>Associate Tax July 2025 | Waco</t>
  </si>
  <si>
    <t>Associate Audit October 2025 | Raleigh</t>
  </si>
  <si>
    <t>Associate Audit January 2026 | Indianapolis</t>
  </si>
  <si>
    <t>Intern Audit Summer 2025| High Point</t>
  </si>
  <si>
    <t>Intern Tax Summer 2026 | St. Louis</t>
  </si>
  <si>
    <t>Associate Tax September 2025 | Colorado Springs</t>
  </si>
  <si>
    <t>Associate Audit January 2025 | Wichita</t>
  </si>
  <si>
    <t>Associate Tax September 2024 | Decatur</t>
  </si>
  <si>
    <t>Intern Audit Spring 2025 | Pittsburgh</t>
  </si>
  <si>
    <t>Associate Tax October 2025 | Greenville SC</t>
  </si>
  <si>
    <t>Associate Tax January 2025 | Branson</t>
  </si>
  <si>
    <t>Branson, MO</t>
  </si>
  <si>
    <t>Associate Audit January 2025 | Waco</t>
  </si>
  <si>
    <t>Associate Audit September 2026 | St. Louis</t>
  </si>
  <si>
    <t>Associate Tax July 2025 | Rogers</t>
  </si>
  <si>
    <t>Intern Audit Spring 2026 | Chicago</t>
  </si>
  <si>
    <t>Associate Tax September 2024 | Rogers</t>
  </si>
  <si>
    <t>Associate Tax January 2026 | Wichita</t>
  </si>
  <si>
    <t>Intern Tax Summer 2025 | Charleston SC</t>
  </si>
  <si>
    <t>Associate Tax July 2025 | Memphis</t>
  </si>
  <si>
    <t>Intern Audit Spring 2025 | Indianapolis</t>
  </si>
  <si>
    <t>Intern Audit Summer 2025 | Birmingham</t>
  </si>
  <si>
    <t>Associate Tax September 2025 | Little Rock</t>
  </si>
  <si>
    <t>Intern Tax Summer 2025 | Rogers</t>
  </si>
  <si>
    <t>Associate Tax July 2025 | Springfield</t>
  </si>
  <si>
    <t>Associate Tax September 2024 | Enid</t>
  </si>
  <si>
    <t>Intern Tax Spring 2026 | Boca Raton</t>
  </si>
  <si>
    <t>Associate Tax January 2026 | Indianapolis</t>
  </si>
  <si>
    <t>Intern Tax Spring 2025 | Joplin</t>
  </si>
  <si>
    <t>Intern Tax Summer 2025 | Fort Smith</t>
  </si>
  <si>
    <t>Associate Tax July 2025 | St. Louis</t>
  </si>
  <si>
    <t>Associate Audit September 2025 | Dallas</t>
  </si>
  <si>
    <t>Associate Audit July 2026 | Phoenix</t>
  </si>
  <si>
    <t>Associate Audit September 2026 | Colorado Springs</t>
  </si>
  <si>
    <t>Associate Tax September 2024 | Cincinnati</t>
  </si>
  <si>
    <t>Associate Tax July 2025 | Lincoln</t>
  </si>
  <si>
    <t>Associate Audit January 2026 | Omaha</t>
  </si>
  <si>
    <t>Associate Tax January 2025 | Jacksonville FL</t>
  </si>
  <si>
    <t>Intern Audit Summer 2026 | St. Louis</t>
  </si>
  <si>
    <t>Associate Audit January 2025| Pittsburgh</t>
  </si>
  <si>
    <t>Associate Audit September 2025 | Phoenix</t>
  </si>
  <si>
    <t>Associate Audit January 2026 | Dallas</t>
  </si>
  <si>
    <t>Intern Tax Spring 2025 | St. Louis</t>
  </si>
  <si>
    <t>Associate Tax July 2025 | Madison</t>
  </si>
  <si>
    <t>Associate Audit September 2024 | Pittsburgh</t>
  </si>
  <si>
    <t>Intern Tax Spring 2025 | Colorado Springs</t>
  </si>
  <si>
    <t>Intern Audit Spring 2025| Kansas City</t>
  </si>
  <si>
    <t>Associate Audit July 2025 | Dallas</t>
  </si>
  <si>
    <t>Associate Audit January 2026 | Colorado Springs</t>
  </si>
  <si>
    <t>Associate Audit October 2025 | Grenville SC</t>
  </si>
  <si>
    <t>Associate Tax September 2024 | Oklahoma City</t>
  </si>
  <si>
    <t>Intern Tax Spring 2026 | Fort Worth</t>
  </si>
  <si>
    <t>Intern Audit Summer 2025 | Indianapolis</t>
  </si>
  <si>
    <t>Associate Audit January 2025| Fort Wayne</t>
  </si>
  <si>
    <t>Intern Tax Spring 2025 | Salt Lake City</t>
  </si>
  <si>
    <t>Associate Tax January 2026 | Oklahoma City</t>
  </si>
  <si>
    <t>Intern Tax Spring 2025 | Branson</t>
  </si>
  <si>
    <t>Associate Tax January 2025 | Madison</t>
  </si>
  <si>
    <t>Associate Tax September 2026 | Denver</t>
  </si>
  <si>
    <t>Intern Tax Spring 2026 | Decatur</t>
  </si>
  <si>
    <t>Associate Audit January 2025 | High Point</t>
  </si>
  <si>
    <t>Associate Audit July 2026 | Greenville NC</t>
  </si>
  <si>
    <t>Intern Tax Spring 2025 | Decatur</t>
  </si>
  <si>
    <t>Intern Audit Spring 2026 | Dallas</t>
  </si>
  <si>
    <t>Intern Tax Spring 2026 | Phoenix</t>
  </si>
  <si>
    <t>Intern Audit Spring 2026 | St. Louis</t>
  </si>
  <si>
    <t>Associate Tax January 2026 | Kansas City</t>
  </si>
  <si>
    <t>Intern Tax Spring 2025 | Madison</t>
  </si>
  <si>
    <t>Associate Tax July 2026 | Colorado Springs</t>
  </si>
  <si>
    <t>1. Bachelor's or master's degree in accounting
2. Eligible to sit for the CPA exam in the state where the office is located
3. Solid technical accounting knowledge
...</t>
  </si>
  <si>
    <t>Associate Audit September 2025 | Little Rock</t>
  </si>
  <si>
    <t>Associate Tax January 2025 | Little Rock</t>
  </si>
  <si>
    <t>Associate Tax January 2026 | Dallas</t>
  </si>
  <si>
    <t>Associate Tax January 2025|Pittsburgh</t>
  </si>
  <si>
    <t>Intern Audit Summer 2026 | Kansas City</t>
  </si>
  <si>
    <t>Associate Audit September 2025 | Decatur</t>
  </si>
  <si>
    <t>Associate Audit July 2024 | Little Rock</t>
  </si>
  <si>
    <t>Associate Tax January 2025 | Atlanta</t>
  </si>
  <si>
    <t>Intern Audit Spring 2025 | Charleston WV</t>
  </si>
  <si>
    <t>Associate Tax September 2026 | Salt Lake City</t>
  </si>
  <si>
    <t>Intern Tax Spring 2026 | Jackson</t>
  </si>
  <si>
    <t>Intern Audit Summer 2025 | Colorado Springs</t>
  </si>
  <si>
    <t>Intern Tax Summer 2026 | Decatur</t>
  </si>
  <si>
    <t>Associate Tax July 2026 | Denver</t>
  </si>
  <si>
    <t>1. Bachelor's or master's degree in accounting
2. Eligible to sit for the CPA exam in the state of office location
3. Solid technical accounting knowledge
...</t>
  </si>
  <si>
    <t>Associate Tax January 2025 | St. Louis</t>
  </si>
  <si>
    <t>Associate Audit October 2025 | Tysons</t>
  </si>
  <si>
    <t>Associate Tax September 2025 | Jackson</t>
  </si>
  <si>
    <t>Associate Audit October 2025 | Greenville SC</t>
  </si>
  <si>
    <t>Intern Audit Spring 2025 | Wichita</t>
  </si>
  <si>
    <t>Intern Tax Spring 2025 | Charleston SC</t>
  </si>
  <si>
    <t>Intern Tax Spring 2026 | Tampa Bay</t>
  </si>
  <si>
    <t>Intern Audit Summer 2026 | Jacksonville</t>
  </si>
  <si>
    <t>Associate Audit July 2026 | Denver</t>
  </si>
  <si>
    <t>Associate Audit September 2025 | Pittsburgh</t>
  </si>
  <si>
    <t>Associate Tax September 2024 | Evansville</t>
  </si>
  <si>
    <t>Intern Audit Summer 2026 | Boca Raton</t>
  </si>
  <si>
    <t>Intern Audit Spring 2025 | Atlanta</t>
  </si>
  <si>
    <t>Associate Audit January 2025| Kansas City</t>
  </si>
  <si>
    <t>Associate Tax January 2026 | Waco</t>
  </si>
  <si>
    <t>Associate Tax September 2025 | Irvine</t>
  </si>
  <si>
    <t>$64000-$74000 /yr</t>
  </si>
  <si>
    <t>Associate Tax October 2026 | Tampa Bay</t>
  </si>
  <si>
    <t>Intern Audit Summer 2026 | Birmingham</t>
  </si>
  <si>
    <t>Associate Audit September 2026 | Omaha</t>
  </si>
  <si>
    <t>Associate Tax October 2025 | Raleigh</t>
  </si>
  <si>
    <t>Associate Audit September 2025 | Des Moines</t>
  </si>
  <si>
    <t>Associate Audit January 2025 | Omaha</t>
  </si>
  <si>
    <t>Associate Audit January 2026 | Kansas City</t>
  </si>
  <si>
    <t>Associate Audit September 2025 | Lincoln</t>
  </si>
  <si>
    <t>Associate Tax October 2025 | Greenville NC</t>
  </si>
  <si>
    <t>Associate Tax October 2025 | High Point</t>
  </si>
  <si>
    <t>Intern Audit Spring 2025 | Tulsa</t>
  </si>
  <si>
    <t>Intern Tax Spring 2025 | Asheville</t>
  </si>
  <si>
    <t>Associate Audit January 2026 | Wichita</t>
  </si>
  <si>
    <t>Intern Audit Summer 2025 | Richmond</t>
  </si>
  <si>
    <t>Associate Audit July 2025| Kansas City</t>
  </si>
  <si>
    <t>Associate Audit September 2026 | Dallas</t>
  </si>
  <si>
    <t>Intern Tax Summer 2025 | Boca Raton</t>
  </si>
  <si>
    <t>Associate Tax July 2024 | Little Rock</t>
  </si>
  <si>
    <t>Intern Audit Spring 2025 | High Point</t>
  </si>
  <si>
    <t>Associate Tax July 2025 | Jackson</t>
  </si>
  <si>
    <t>Intern Audit Spring 2025 | Greenville SC</t>
  </si>
  <si>
    <t>Associate Audit September 2026 | Lincoln</t>
  </si>
  <si>
    <t>Associate Tax September 2024 | San Antonio</t>
  </si>
  <si>
    <t>Intern Tax Summer 2025 | Enid</t>
  </si>
  <si>
    <t>Intern Audit Summer 2025 | Charleston WV</t>
  </si>
  <si>
    <t>Associate Audit September 2025| Evansville</t>
  </si>
  <si>
    <t>Associate Audit July 2024 | Pittsburgh</t>
  </si>
  <si>
    <t>Associate Tax January 2025 | Fort Smith</t>
  </si>
  <si>
    <t>Associate Tax January 2025 | Raleigh</t>
  </si>
  <si>
    <t>Intern Tax Spring 2025 | Fort Smith</t>
  </si>
  <si>
    <t>Associate Tax October 2025 | Charleston SC</t>
  </si>
  <si>
    <t>Intern Audit Summer 2026 | Salt Lake City</t>
  </si>
  <si>
    <t>Associate Audit January 2027 | Chicago</t>
  </si>
  <si>
    <t>Associate Tax January 2025 | Louisville</t>
  </si>
  <si>
    <t>Associate Tax September 2026 | St. Louis</t>
  </si>
  <si>
    <t>Associate Audit January 2025 | Lincoln</t>
  </si>
  <si>
    <t>Intern Audit Summer 2025 | Tysons, VA</t>
  </si>
  <si>
    <t>Intern Audit Summer 2026 | Greenville SC</t>
  </si>
  <si>
    <t>Intern Tax Summer 2025 | Richmond</t>
  </si>
  <si>
    <t>Intern Tax Summer 2025 | Oklahoma City</t>
  </si>
  <si>
    <t>Associate Tax January 2026 | Denver</t>
  </si>
  <si>
    <t>Associate Audit October 2025 | Atlanta</t>
  </si>
  <si>
    <t>Associate Tax September 2024 | Fort Smith</t>
  </si>
  <si>
    <t>Associate Tax October 2024 | Norfolk</t>
  </si>
  <si>
    <t>Associate Tax October 2025 | Tysons</t>
  </si>
  <si>
    <t>Associate Tax January 2025 | Evansville</t>
  </si>
  <si>
    <t>Intern Audit Summer 2025 | Tulsa</t>
  </si>
  <si>
    <t>Associate Tax July 2025 | Denver</t>
  </si>
  <si>
    <t>Intern Tax Spring 2026 | St. Louis</t>
  </si>
  <si>
    <t>Associate Audit July 2025 | Wichita</t>
  </si>
  <si>
    <t>Associate Audit September 2024 | Little Rock</t>
  </si>
  <si>
    <t>Associate Tax July 2026 | Salt Lake City</t>
  </si>
  <si>
    <t>Associate Tax January 2025| Bowling Green</t>
  </si>
  <si>
    <t>1. Bachelor's or master's degree in accounting
2. Eligible to sit for the CPA exam or have CPA certification
3. Solid technical accounting knowledge
...</t>
  </si>
  <si>
    <t>Associate Tax July 2025 | Fort Worth</t>
  </si>
  <si>
    <t>Associate Audit September 2025 | Louisville</t>
  </si>
  <si>
    <t>Associate Audit July 2024| Charleston WV</t>
  </si>
  <si>
    <t>Associate Tax September 2025 | Denver</t>
  </si>
  <si>
    <t>Associate Audit January 2025 | Fort Smith</t>
  </si>
  <si>
    <t>Associate Audit September 2025 | Madison</t>
  </si>
  <si>
    <t>Associate Audit July 2026 | Salt Lake City</t>
  </si>
  <si>
    <t>Associate Audit January 2025 | Greenville SC</t>
  </si>
  <si>
    <t>Associate Audit January 2026 | Chicago</t>
  </si>
  <si>
    <t>Intern Audit Spring 2025 | Oklahoma City</t>
  </si>
  <si>
    <t>Intern Audit Summer 2025 | Asheville</t>
  </si>
  <si>
    <t>Intern Audit Spring 2025 | Fort Smith</t>
  </si>
  <si>
    <t>Intern Tax Summer 2025| Charlotte</t>
  </si>
  <si>
    <t>Associate Audit September 2026 | Tulsa</t>
  </si>
  <si>
    <t>Intern Audit Spring 2026 | Birmingham</t>
  </si>
  <si>
    <t>Associate Audit July 2024 | Rogers</t>
  </si>
  <si>
    <t>Associate Tax January 2026 | Lincoln</t>
  </si>
  <si>
    <t>Associate Tax July 2025 | Salt Lake City</t>
  </si>
  <si>
    <t>Associate Audit September 2025 | Fort Wayne</t>
  </si>
  <si>
    <t>Intern Tax Summer 2026 | Chicago</t>
  </si>
  <si>
    <t>Associate Tax July 2024| Pittsburgh</t>
  </si>
  <si>
    <t>Intern Tax Summer 2025| Asheville</t>
  </si>
  <si>
    <t>Associate Audit September 2025 | Irvine</t>
  </si>
  <si>
    <t>Associate Tax October 2024 | Tysons</t>
  </si>
  <si>
    <t>Intern Audit Summer 2025 | Pittsburgh</t>
  </si>
  <si>
    <t>Intern Tax Spring 2025 | Bowling Green</t>
  </si>
  <si>
    <t>Associate Tax July 2025 | Kansas City</t>
  </si>
  <si>
    <t>Associate Audit September 2025 | Rogers</t>
  </si>
  <si>
    <t>Intern Tax Spring 2026 | Houston</t>
  </si>
  <si>
    <t>Intern Audit Spring 2025 | Charleston SC</t>
  </si>
  <si>
    <t>Intern Audit Summer 2026 | Decatur</t>
  </si>
  <si>
    <t>Associate Tax January 2025 | Lincoln</t>
  </si>
  <si>
    <t>Associate Tax September 2024 | Waco</t>
  </si>
  <si>
    <t>Intern Audit Summer 2025 | Fort Smith</t>
  </si>
  <si>
    <t>Intern Audit Spring 2025| St. Louis</t>
  </si>
  <si>
    <t>Associate Tax July 2025 | Little Rock</t>
  </si>
  <si>
    <t>Associate Tax July 2025 | Dallas</t>
  </si>
  <si>
    <t>Associate Audit January 2025 | Jacksonville FL</t>
  </si>
  <si>
    <t>Associate Tax July 2025 | Phoenix</t>
  </si>
  <si>
    <t>Associate Tax January 2025 | Colorado Springs</t>
  </si>
  <si>
    <t>Associate Tax January 2025 | Cincinnati</t>
  </si>
  <si>
    <t>Associate Tax January 2025 | Decatur</t>
  </si>
  <si>
    <t>Associate Audit January 2026 | Phoenix</t>
  </si>
  <si>
    <t>Associate Audit July 2024| Fort Wayne</t>
  </si>
  <si>
    <t>Audit Associate | October 2026 Charlotte</t>
  </si>
  <si>
    <t>Associate Tax October 2024 | Richmond</t>
  </si>
  <si>
    <t>Associate Tax January 2026 | Houston</t>
  </si>
  <si>
    <t>Intern Audit Summer 2025 | Charlotte</t>
  </si>
  <si>
    <t>Intern Audit Summer 2025 | Springfield</t>
  </si>
  <si>
    <t>Intern Audit Summer 2025 | Rogers</t>
  </si>
  <si>
    <t>Intern Audit Spring 2026 | Atlanta</t>
  </si>
  <si>
    <t>Intern Audit Spring 2026 | Fort Worth</t>
  </si>
  <si>
    <t>Intern Tax Spring 2025 | Charleston WV</t>
  </si>
  <si>
    <t>Intern Tax Spring 2025 | High Point</t>
  </si>
  <si>
    <t>Intern Tax Summer 2025 | Pittsburgh</t>
  </si>
  <si>
    <t>Intern Audit Summer 2025 | Chicago</t>
  </si>
  <si>
    <t>Intern Audit Summer 2025 | Fort Wayne</t>
  </si>
  <si>
    <t>Intern Audit Spring 2025 | Norfolk</t>
  </si>
  <si>
    <t>Associate Tax January 2026 | Tampa Bay FL</t>
  </si>
  <si>
    <t>Associate Audit September 2025 | Omaha</t>
  </si>
  <si>
    <t>Associate Audit January 2025 | Raleigh</t>
  </si>
  <si>
    <t>Associate Tax September 2025 | St. Louis</t>
  </si>
  <si>
    <t>Associate Audit September 2025 | St. Louis</t>
  </si>
  <si>
    <t>Associate Tax January 2026 | Omaha</t>
  </si>
  <si>
    <t>Associate Tax October 2025 | Jacksonville</t>
  </si>
  <si>
    <t>Intern Audit Spring 2025 | Charlotte</t>
  </si>
  <si>
    <t>Associate Audit October 2025 |Asheville</t>
  </si>
  <si>
    <t>Associate Tax July 2026 | Dallas</t>
  </si>
  <si>
    <t>Intern Audit Spring 2026 | Tampa Bay</t>
  </si>
  <si>
    <t>Intern Tax Spring 2025 | Denver</t>
  </si>
  <si>
    <t>$30-$30 /yr</t>
  </si>
  <si>
    <t>Intern Audit Spring 2025 | Tampa Bay</t>
  </si>
  <si>
    <t>Intern Tax Summer 2025 | Tysons, VA</t>
  </si>
  <si>
    <t>Intern Audit Summer 2025 | Oklahoma City</t>
  </si>
  <si>
    <t>Associate Audit January 2025 | San Jose</t>
  </si>
  <si>
    <t>$75000-$85000 /yr</t>
  </si>
  <si>
    <t>Associate Tax January 2026 | Salt Lake City</t>
  </si>
  <si>
    <t>Associate Audit January 2026 | Fort Worth</t>
  </si>
  <si>
    <t>Associate Tax October 2024 | Birmingham</t>
  </si>
  <si>
    <t>Associate Tax July 2026| Lincoln</t>
  </si>
  <si>
    <t>Associate Tax September 2026 | Colorado Springs</t>
  </si>
  <si>
    <t>Intern Tax Summer 2026 | Jacksonville</t>
  </si>
  <si>
    <t>Associate Audit January 2026 | Denver</t>
  </si>
  <si>
    <t>Associate Tax October 2025 | Atlanta</t>
  </si>
  <si>
    <t>Associate Tax September 2025| Pittsburgh</t>
  </si>
  <si>
    <t>Associate Tax September 2024 | Pittsburgh</t>
  </si>
  <si>
    <t>Intern Audit Spring 2026 | Phoenix</t>
  </si>
  <si>
    <t>Associate Audit September 2025 | Chicago</t>
  </si>
  <si>
    <t>Associate Tax July 2026 | Omaha</t>
  </si>
  <si>
    <t>Associate Audit January 2025| Evansville</t>
  </si>
  <si>
    <t>Intern Tax Summer 2025 | Norfolk</t>
  </si>
  <si>
    <t>Intern Tax Summer 2026 | Birmingham</t>
  </si>
  <si>
    <t>Associate Tax October 2025 | Charleston WV</t>
  </si>
  <si>
    <t>Intern Audit Spring 2025 | Tysons, VA</t>
  </si>
  <si>
    <t>Associate Audit January 2025 | Birmingham</t>
  </si>
  <si>
    <t>Intern Tax Summer 2025 | Charleston WV</t>
  </si>
  <si>
    <t>Intern Audit Summer 2025 | Norfolk</t>
  </si>
  <si>
    <t>Intern Audit Spring 2025 | Colorado Springs</t>
  </si>
  <si>
    <t>Intern Tax Spring 2025| Kansas City</t>
  </si>
  <si>
    <t>Associate Audit July 2025 | Jackson</t>
  </si>
  <si>
    <t>Associate Audit September 2025 | Waco</t>
  </si>
  <si>
    <t>Associate Tax January 2025 | Denver</t>
  </si>
  <si>
    <t>Associate Tax September 2025 | Decatur</t>
  </si>
  <si>
    <t>Associate Tax July 2025| Omaha</t>
  </si>
  <si>
    <t>Associate Tax September 2024 | Denver</t>
  </si>
  <si>
    <t>$66000-$68000 /yr</t>
  </si>
  <si>
    <t>Intern Tax Summer 2026 | Atlanta</t>
  </si>
  <si>
    <t>Associate Audit January 2025 | Winston-Salem</t>
  </si>
  <si>
    <t>Intern Tax Spring 2025 | Little Rock</t>
  </si>
  <si>
    <t>Intern Audit Spring 2026 | Houston</t>
  </si>
  <si>
    <t>Associate Tax July 2025 | Wichita</t>
  </si>
  <si>
    <t>Intern Audit Summer 2025 | Decatur</t>
  </si>
  <si>
    <t>Associate Audit September 2026 | Salt Lake City</t>
  </si>
  <si>
    <t>Intern Audit Spring 2026 | Kansas City</t>
  </si>
  <si>
    <t>Associate Tax October 2025 | Tampa Bay</t>
  </si>
  <si>
    <t>Associate Audit September 2025 | Fort Worth</t>
  </si>
  <si>
    <t>Associate Audit January 2025 | Decatur</t>
  </si>
  <si>
    <t>Associate Tax September 2026 | Houston</t>
  </si>
  <si>
    <t>Associate Tax July 2026| Chicago</t>
  </si>
  <si>
    <t>Associate Audit September 2024| Decatur</t>
  </si>
  <si>
    <t>Associate Tax October 2025 | Asheville</t>
  </si>
  <si>
    <t>Associate Tax October 2025 | Birmingham</t>
  </si>
  <si>
    <t>Associate Audit September 2026 | Decatur</t>
  </si>
  <si>
    <t>Associate Audit October 2025 | Birmingham</t>
  </si>
  <si>
    <t>Associate Audit October 2025 | Charleston WV</t>
  </si>
  <si>
    <t>Associate Audit September 2026 | Denver</t>
  </si>
  <si>
    <t>Associate Tax July 2025 | Colorado Springs</t>
  </si>
  <si>
    <t>Audit Associate | October 2025 Charlotte</t>
  </si>
  <si>
    <t>Associate Tax September 2024| Fort Wayne</t>
  </si>
  <si>
    <t>Global Commercial Banking Credit, Asset Based Finance &amp; Commercial Real Estate Credit - Enterprise Credit Summer Analyst Program 2025</t>
  </si>
  <si>
    <t>1. Candidates are required to be pursuing a bachelor’s degree from an accredited college or university with a graduation timeframe between December 2025 and June 2026
2. 2.0 minimum GPA preferred - A history of high achievement
3. Common areas of study include but are not limited to: Corporate Finance, Accounting – 12+ credit hours preferred, Economics, Other related majors
...</t>
  </si>
  <si>
    <t>Credit Data and Analytics and Business Controls/Process Optimization - Enterprise Credit Summer Analyst Program 2025</t>
  </si>
  <si>
    <t>1. Candidates are required to be pursuing a bachelor’s degree from an accredited college or university with a graduation timeframe between December 2025 and June 2026
2. 2.0 minimum GPA preferred - A history of high achievement
3. Common areas of study include but are not limited to: Corporate Finance, Business Administration/Management, Accounting, Computer Science/Information Systems, Economics, Other related majors
...</t>
  </si>
  <si>
    <t>1. Candidates are required to be pursuing an undergraduate degree from an accredited college or university. Eligible candidates must have a graduation timeframe between November 2025 and August 2026.
2. Common areas of study include but are not limited to: Finance, Data Analytics, Accounting, Management Information Systems, Economics, Computer Science
3. Candidates should possess a high level of intellectual curiosity, a drive for operational excellence and a commitment to achieving sustainable results.
...</t>
  </si>
  <si>
    <t>Summer Analyst (2025)</t>
  </si>
  <si>
    <t>Starwood Property Trust</t>
  </si>
  <si>
    <t>1. Currently pursuing a college or university degree
2. Outstanding record of academic achievement
3. Strong interest in commercial real estate</t>
  </si>
  <si>
    <t>1. Must be a recent graduate or working towards a Bachelor's or Masters in Accounting or Finance
2. Working knowledge of Microsoft Excel, familiarity with SQL a plus
3. Experience with General Ledger software; Microsoft Dynamics, Great Plains a plus
...</t>
  </si>
  <si>
    <t>Quantitative Trader Intern</t>
  </si>
  <si>
    <t>1. Pursuing a Bachelor's, Master's, or Doctorate degree in a technical or industry related field such as, but not limited to, mathematics, statistics or financial engineering with a graduation date between December 2024 and Spring 2025
2. Proficiency in Python programming required (1-2 years of experience)
3. Required math coursework: Differential Equations, Linear Algebra, Multivariable Calculus, Probability and Advanced Statistics
...</t>
  </si>
  <si>
    <t>Student/Intern International Billing</t>
  </si>
  <si>
    <t>1. High School graduate
2. Currently enrolled in undergraduate program and have completed at least one year of the program.
3. Possesses excellent interpersonal skills in order to assist both internal and external partners and potential partners.
...</t>
  </si>
  <si>
    <t>Tax Intern - Spring 2025</t>
  </si>
  <si>
    <t>1. Ability to become proficient with multiple computer programs and spreadsheets
2. Demonstrates good critical thinking, professional judgment, and decision-making skills
3. Effective verbal and written communication skills
...</t>
  </si>
  <si>
    <t>Retail Options</t>
  </si>
  <si>
    <t>Crowdfunding</t>
  </si>
  <si>
    <t>1. Bachelor’s degree in Accounting or Finance
2. CPA or CIA certification
3. 1-3 years of experience in internal audit or public accounting
...</t>
  </si>
  <si>
    <t>People, Technology and Processes</t>
  </si>
  <si>
    <t>Apps, Information Technology</t>
  </si>
  <si>
    <t>1. Must be currently enrolled in an undergraduate or graduate program in Accounting or Finance
2. Experience with Microsoft Office – skilled in excel
3. Strong ethic and ability to work in a team environment
...</t>
  </si>
  <si>
    <t>Accounting/Office Intern</t>
  </si>
  <si>
    <t>MS Technology</t>
  </si>
  <si>
    <t>Architecture, Industrial Engineering</t>
  </si>
  <si>
    <t>1. High school diploma or general education degree (GED)
2. Actively enrolled in a college program preferably seeking degree in Accounting/Finance, Business Administration, or similar
3. Excellent customer service and communications/interpersonal skills
...</t>
  </si>
  <si>
    <t>Intern - Financial Risk Management - Machine Learning (Milano)</t>
  </si>
  <si>
    <t>1. Hai conseguito o stai conseguendo una laurea magistrale in ambito economico/statistico, matematico, fisico o ingegneristico
2. Possiedi competenze analitiche e di matematica finanziaria (processi stocastici, teoria della probabilità, metodi numerici di ottimizzazione e analisi serie storiche, ecc)
3. Hai conoscenza dei derivati e degli altri strumenti finanziari, dei principali modelli e metodologie di pricing e delle tecniche di misurazione dei rischi di mercato
...</t>
  </si>
  <si>
    <t>KERING SAP Finance Apprentice</t>
  </si>
  <si>
    <t>1. You are preparing your graduation on a Master 1 or Master 2
2. Knoweldge of SAP FI-CO as a plus
3. You have a keen interest in technological tools and issues
...</t>
  </si>
  <si>
    <t>1. Bachelor’s degree
2. Ability to analyze data in English and Chinese
3. Ability to conduct financial analysis in English and Chinese
...</t>
  </si>
  <si>
    <t>IAD Risk &amp; Operations Audit Intern</t>
  </si>
  <si>
    <t>1. Bachelor degree or above
2. Major in accounting, finance, data analytic, risk management, taxation etc.
3. Strong capability and skillset in both Mandarin and English business communication, writing, and reporting</t>
  </si>
  <si>
    <t>OSD Back Office Intern</t>
  </si>
  <si>
    <t>1. Complete daily operation verify transactions including FX, MM, IRS, CCS, CP, and RMB clearing settlement etc
2. Perform settlement for Corp MM funds (CBD)
3. Complete confirmation matching
...</t>
  </si>
  <si>
    <t>IAD IT Audit Intern</t>
  </si>
  <si>
    <t>1. Bachelor degree or above, major in accounting, finance, risk management, computer science etc.
2. Strong capability and skillset in Mandarin and English business communication, writing, and reporting</t>
  </si>
  <si>
    <t>TSD Supply Chain &amp; Trade Finance Section Intern</t>
  </si>
  <si>
    <t>1. Major in accounting or finance and with good understanding about financials
2. Ability to read, write, analyze and interpret general business literatures
3. Good communication skill and Strong sense of responsibility</t>
  </si>
  <si>
    <t>Financing and Investment Specialist</t>
  </si>
  <si>
    <t>Director of Internal Audit</t>
  </si>
  <si>
    <t>Southern Utah University</t>
  </si>
  <si>
    <t>Cedar City, UT</t>
  </si>
  <si>
    <t>1. Master's Degree required; preferred CPA or CIA.
2. Effective written and verbal communication skills combined with professional appearance and attitude.
3. Strong analytical and problem-solving skills; attention to detail as well as strong organizational and documentation skills.
...</t>
  </si>
  <si>
    <t>Internal Controls &amp; Financial Analyst</t>
  </si>
  <si>
    <t>Polyplex USA, LLC</t>
  </si>
  <si>
    <t>1. In process for Bachelors’ degree for Accounting or Finance
2. Must be within the 3rd or 4th year of study</t>
  </si>
  <si>
    <t>Finance &amp; Administration Intern Fall 2024</t>
  </si>
  <si>
    <t>American Council on Renewable Energy (ACORE)</t>
  </si>
  <si>
    <t>1. Experience with administrative activities and/or office duties a plus but a willingness to learn quickly and work independently is required
2. Proficient (expert level) in Excel, Word, PP, and other Microsoft Office Suite applications
3. At least three days a week of internship availability
...</t>
  </si>
  <si>
    <t>STAGE TERRAIN - LA ROCHELLE (17) H/F</t>
  </si>
  <si>
    <t>ADIE</t>
  </si>
  <si>
    <t>CivicTech, Social</t>
  </si>
  <si>
    <t>1. Etudiant en BTS ou Master en ESC, IAE, IEP, Université
2. Bonne maîtrise des outils bureautique (pack Office/suite Google)
3. Autonomie
...</t>
  </si>
  <si>
    <t>Pathstone</t>
  </si>
  <si>
    <t>Advice, Compliance</t>
  </si>
  <si>
    <t>1. Working toward a bachelor’s degree or recently graduated</t>
  </si>
  <si>
    <t>Avantus Federal</t>
  </si>
  <si>
    <t>College Aide (Audits &amp; Accounts Unit)</t>
  </si>
  <si>
    <t>NYC Department of Health and Mental Hygiene</t>
  </si>
  <si>
    <t>Student Accounts: Accounts Receivable</t>
  </si>
  <si>
    <t>Jarvis Christian College</t>
  </si>
  <si>
    <t>Career Planning, Higher Education</t>
  </si>
  <si>
    <t>Hawkins, TX</t>
  </si>
  <si>
    <t>1. B.A. degree in Accounting, or equivalent work experience
2. Working knowledge of Microsoft applications
3. Ability to multi-task and meet as well as exceed job expectations with limited supervision
...</t>
  </si>
  <si>
    <t>Werkstudent Real Estate Advisory &amp; Valuations</t>
  </si>
  <si>
    <t>1. Je hebt een studieachtergrond in (Technische) Bouwkunde, Bedrijfskunde of Economics &amp; Finance.
2. Je beheerst de Nederlandse en Engelse taal.
3. Je kunt goed overweg met de programma’s van MS Office.
...</t>
  </si>
  <si>
    <t>Futures and Options Intern, BICM - Campus 2024</t>
  </si>
  <si>
    <t>US - NY, New York</t>
  </si>
  <si>
    <t>$39100-$70400 /yr</t>
  </si>
  <si>
    <t>1. High school students vetted through the Futures &amp; Options program with interest in Finance, Accounting, or Economics
2. Solid academic performance in course of study
3. Working knowledge of Word, Excel, PowerPoint, and Access programs
...</t>
  </si>
  <si>
    <t>EP Wealth Advisors</t>
  </si>
  <si>
    <t>1. Enrolled in a university program with a general interest in Wealth Management
2. Ability to work 20 hours on-site at the listed location
3. A strong desire to learn about the Financial Services Industry and grow your career within it
...</t>
  </si>
  <si>
    <t>Fidelity’s Securities Industry Essentials® (SIE®) Scholar - Covington, KY</t>
  </si>
  <si>
    <t>Fidelity</t>
  </si>
  <si>
    <t>1. Ability to learn about the financial services industry
2. Interest in helping clients with their finances and planning for their future
3. Willingness to prepare for and sit for the Securities Industry Essentials® (SIE®) Exam
...</t>
  </si>
  <si>
    <t>ACCOUNTING, FINANCE &amp; OPERATIONS INTERN</t>
  </si>
  <si>
    <t>The International Center (Indianapolis)</t>
  </si>
  <si>
    <t>1. Efficiency with Excel
2. Ability to make financial summaries
3. Basic knowledge of debits and credits
...</t>
  </si>
  <si>
    <t>Co-op Global Treaty Finance Operations</t>
  </si>
  <si>
    <t>1. Detail oriented with strong organizational skills
2. Excellent analytical and problem solving skills
3. Proficiency in MS Office (Excel, Access, Outlook &amp; Word)
...</t>
  </si>
  <si>
    <t>Intermediate Internal Auditor - Investigations</t>
  </si>
  <si>
    <t>1. Bachelor’s degree in Accounting, Finance, Business, or related field
2. Minimum of 2 years of relevant experience in internal audit, forensic accounting, investigations, or related field
3. Strong analytical and problem-solving skills
...</t>
  </si>
  <si>
    <t>Intern, Finance (Fall 2024)</t>
  </si>
  <si>
    <t>1. Must be an Accounting major or minor
2. Must know how to prepare excel spreadsheets
3. Detail-oriented and organized
...</t>
  </si>
  <si>
    <t>Point72 Academy Investment Analyst Program for Upcoming Graduates (2025 – US)</t>
  </si>
  <si>
    <t>$125000-$125000 /yr</t>
  </si>
  <si>
    <t>1. Current student graduating between December 2024 and July 2025
2. High enthusiasm for the financial services industry
3. Interest in analyzing companies and looking at stocks
...</t>
  </si>
  <si>
    <t>1. High School Grad / GED
2. Experience: 0+ years
3. Cumulative GPA of 3.0 or higher
...</t>
  </si>
  <si>
    <t>Claim Internship - Fall 2024</t>
  </si>
  <si>
    <t>Arbella Insurance Foundation</t>
  </si>
  <si>
    <t>1. Open to all college majors
2. Sound time management skills with attention to detail
3. Must be organized and able to work in a fast-paced environment
...</t>
  </si>
  <si>
    <t>Finance Intern (Spring 2025)</t>
  </si>
  <si>
    <t>1. Intermediate proficiency in Microsoft Excel
2. Self-starter, with strong desire to learn and take the initiative
3. Able to take direction, absorb information quickly, and adapt to changing priorities
...</t>
  </si>
  <si>
    <t>LSL</t>
  </si>
  <si>
    <t>1. Junior or Senior level currently pursuing a Bachelor’s Degree in accounting, finance, or economics
2. Minimum 3.0 GPA preferred
3. Excellent verbal and written communication skills with the ability to read, write, speak, and interpret rules, procedures, and routine correspondence in English
...</t>
  </si>
  <si>
    <t>Tax Accountant - DOD Skillbridge Internship</t>
  </si>
  <si>
    <t>EY Foundry</t>
  </si>
  <si>
    <t>Finance, Financial Exchanges</t>
  </si>
  <si>
    <t>1. U.S. Military experience as an E4 or above (Navy, Air Force, Army, Marines, Coast Guard, Space Force); Military experience within a Finance Occupation preferred but not required
2. Command approval to participate in this internship
3. High school diploma or state-recognized GED required; Associate (or higher) Degree in Accounting is required
...</t>
  </si>
  <si>
    <t>Manhattan Star Academy</t>
  </si>
  <si>
    <t>Manhattan</t>
  </si>
  <si>
    <t>1. Assist with simple data projects related to budgeting process, database systems, and analyzing revenue and expenses
2. Tasks tailored to the intern's level of experience
3. Shadow staff and attend department team meetings
...</t>
  </si>
  <si>
    <t>Auditeur Stagiaire de fin d'études - Marseille F/H</t>
  </si>
  <si>
    <t>Marseille</t>
  </si>
  <si>
    <t>1. Vous êtes étudiant en formation supérieure Bac + 5 avec une spécialisation en finance ou en comptabilité, contrôle de gestion
2. Vous êtes rigoureux et doté d'un esprit d'initiative efficace, vous savez travailler en autonomie
3. Vous faites preuve d'un bon sens relationnel et d'un excellent niveau de communication tant d'un point de vue écrit qu'oral
...</t>
  </si>
  <si>
    <t>Werkstudent (m/w/d) Controlling Real Estate</t>
  </si>
  <si>
    <t>Stuttgart</t>
  </si>
  <si>
    <t>1. Studium der Fachrichtung Wirtschaftswissenschaften, BWL, Immobilienmanagement oder vergleichbar
2. Erfahrung im Controlling von Vorteil
3. Kenntnisse in MS-Office, insbesondere in Excel und PowerPoint
...</t>
  </si>
  <si>
    <t>Toronto Internal Audit and Financial Advisory Intern - 2024</t>
  </si>
  <si>
    <t>Protiviti</t>
  </si>
  <si>
    <t>Consulting, Risk Management</t>
  </si>
  <si>
    <t>TORONTO</t>
  </si>
  <si>
    <t>1. Bachelor’s or Master’s degree in a relevant discipline (e.g., Accounting, Finance, Information Systems, Information Technology, and Management Information Systems)
2. All applicants applying for Canadian job openings need authorization to work in Canada for Protiviti without sponsorship now or in the future
3. Must be within one year of graduation at the time of internship
...</t>
  </si>
  <si>
    <t>Investor Relations - Client Onboarding (H/F) - Stage Septembre 2024</t>
  </si>
  <si>
    <t>Ardian</t>
  </si>
  <si>
    <t>Biopharma, Financial Services</t>
  </si>
  <si>
    <t>1. Stagiaire motivé(e), autonome et disposant d’un réel sens de l’initiative et des responsabilités
2. Doté(e) d’un très bon relationnel et d’un esprit d’équipe, vous savez être polyvalent(e) avec un esprit d’analyse et de synthèse
3. Rigoureux(se) et organisé(e), vous avez une excellente expression orale et rédactionnelle en français et en anglais
...</t>
  </si>
  <si>
    <t>Corporate Sustainability Intern</t>
  </si>
  <si>
    <t>1. Bachelor's degree in Business, Accounting, Finance or related field of study preferred. Current enrollment in an MA, MS or MBA program strongly preferred.
2. Demonstrated knowledge and advanced proficiency working with Microsoft Office Suite software, including Microsoft Word, Microsoft Excel, Microsoft PowerPoint and Microsoft Outlook.
3. Accounting, audit or assurance experience.
...</t>
  </si>
  <si>
    <t>Spring 2025 Tax Internships</t>
  </si>
  <si>
    <t>Johnson Block &amp; Company, Inc.</t>
  </si>
  <si>
    <t>1. Currently pursuing a Bachelor’s degree in Accounting.
2. Achieving credits to sit for the CPA exam.</t>
  </si>
  <si>
    <t>2025 Investment Banking Summer Analyst</t>
  </si>
  <si>
    <t>Blitzer, Clancy &amp; Company</t>
  </si>
  <si>
    <t>1. Current undergraduate or graduate student at an accredited College or University
2. Strong GPA performance
3. Actively pursuing a degree in Finance, Accounting, Economics or a related field
...</t>
  </si>
  <si>
    <t>Working Student Indirect Taxes (Amsterdam, Rotterdam, Utrecht, Eindhoven and Groningen)</t>
  </si>
  <si>
    <t>1. University study background in Tax Law or Tax Economics
2. Ambition to be a successful tax consultant
3. Curiosity about PwC's culture
...</t>
  </si>
  <si>
    <t>Auditeur financier débutant | Lyon | Stage/Apprentissage | H/F</t>
  </si>
  <si>
    <t>1. Vous recherchez un stage ou un contrat d’apprentissage à partir de septembre ou janvier dans le cadre de l’obtention BAC+5 en école de commerce, d’ingénieurs ou universités.
2. Vous aimez les chiffres ? On ne va pas se mentir, pour faire de l’audit, c’est mieux !
3. Mais bon ce n'est pas pour autant que le travail en équipe n'est pas votre fort.
...</t>
  </si>
  <si>
    <t>Santander Bank</t>
  </si>
  <si>
    <t>Working student Tax Accounting &amp; Tax Compliance Consultancy (Amsterdam, Rotterdam, Utrecht and Eindhoven)</t>
  </si>
  <si>
    <t>1. Available at least three days a week
2. Studying Tax Law, Tax Economics, Tax &amp; Technology or another relevant university education in (Business) Economics, Accountancy, (Technical) Business Administration, Econometrics, Mathematics, provided you have an affinity with the field
3. Like to analyze and solve new issues in a practical and creative way
...</t>
  </si>
  <si>
    <t>EPM Intern (Private sector) | Verona [ADV]</t>
  </si>
  <si>
    <t>Verona</t>
  </si>
  <si>
    <t>1. Laurea magistrale in ambito economico-statistico, ingegneristico e informatico
2. Fluent in English
3. Strong IT skills
...</t>
  </si>
  <si>
    <t>Working student Accounting, Reporting &amp; Compliance (Amsterdam, Rotterdam, Utrecht and Eindhoven)</t>
  </si>
  <si>
    <t>1. Available at least three days a week
2. Studying Accountancy, Finance &amp; Control, Business Economics or another financial field
3. Like to analyze and solve new issues in a practical and creative way
...</t>
  </si>
  <si>
    <t>Accounting Intern Spring 2025 - Tax Focus (Rochester, NY)</t>
  </si>
  <si>
    <t>Bowers &amp; Company CPAs PLLC</t>
  </si>
  <si>
    <t>1. Active enrollment and a major in Accounting, Business, or Finance
2. Interest in pursuing a career in public accounting
3. Preferably pursuing the 150-credit hour academic requirement towards CPA eligibility
...</t>
  </si>
  <si>
    <t>Academy Risk FS - Risk, Capital &amp; Reporting (RC&amp;R)</t>
  </si>
  <si>
    <t>1. Laureato o laureando magistrale in Economia degli Intermediari Finanziari (preferibilmente a orientamento Quant) e/o in materie STEM (es. Ingegneria Gestionale, Matematica, Fisica, Statistica)
2. Spiccato interesse per tematiche di Risk Management e per il mondo Finance
3. Fluente in inglese
...</t>
  </si>
  <si>
    <t>Prácticas Tax</t>
  </si>
  <si>
    <t>Hogan Lovells</t>
  </si>
  <si>
    <t>Madrid</t>
  </si>
  <si>
    <t>1. Cursando último año del grado en Derecho o dobles grados o Máster de Acceso a la Abogacía
2. Buen expediente académico
3. Inglés excelente
...</t>
  </si>
  <si>
    <t>Financial Administration, Student Assistant</t>
  </si>
  <si>
    <t>La Sierra University</t>
  </si>
  <si>
    <t>Riverside, CA</t>
  </si>
  <si>
    <t>$16-$17.90 /h</t>
  </si>
  <si>
    <t>1. Ability to perform basic math and basic knowledge of statistical analysis and knowledge of composition, grammar, and a variety of communication styles.
2. Ability to communicate both simple and complex messages.
3. Knowledge of both personal computers and apple software as well as strong computer skills (Microsoft Office Suite - Excel, Publisher and Word).
...</t>
  </si>
  <si>
    <t>Financial Service Intern</t>
  </si>
  <si>
    <t>Red River Credit Union</t>
  </si>
  <si>
    <t>Accounting, Banking</t>
  </si>
  <si>
    <t>Texarkana, TX</t>
  </si>
  <si>
    <t>1. Must be enrolled full time at a Texas A&amp;M Texarkana.
2. Competent computer skills and use of standard office equipment.
3. Ability to meet, speak and deal effectively with people, being professional at all times.
...</t>
  </si>
  <si>
    <t>THE MALL LUXURY OUTLETS Accounting Intern</t>
  </si>
  <si>
    <t>MILANO</t>
  </si>
  <si>
    <t>1. Degree in Economics or a diploma in Accounting
2. Understanding and knowledge of accounting principles, practices, standards, laws and regulation
3. Basic knowledge of budgeting procedures and SDI flow
...</t>
  </si>
  <si>
    <t>Central Hudson Gas &amp; Electric Corporation</t>
  </si>
  <si>
    <t>1. Accounting, Finance or Business Administration majors will be considered
2. Candidates must be currently enrolled in an associates degree program or higher to be considered
3. Must be able to work a minimum of 16 hours per week
...</t>
  </si>
  <si>
    <t>Spring 2025 Audit Internship (Dublin, GA)</t>
  </si>
  <si>
    <t>1. An accounting student who has made substantial progress toward obtaining an accounting degree
2. Above average competency in accounting as demonstrated by their grade point average
3. A self-starter and can work effectively even when given minimal direction or formal training
...</t>
  </si>
  <si>
    <t>Département Règlementation Bancaire et Financière - Stage juillet/décembre 2025</t>
  </si>
  <si>
    <t>1. Étudiant(e) en Droit (Master 2, IEJ, Ecole du Barreau) ou en école de commerce
2. Avoir déjà effectué un stage en cabinet
3. Très bon niveau d’anglais
...</t>
  </si>
  <si>
    <t>Intern - Corporate Risk &amp; Sustainability</t>
  </si>
  <si>
    <t>Raleigh, North Carolina</t>
  </si>
  <si>
    <t>1. Completing graduate studies in a relevant field
2. Desire to collaborate, learn, solve problems, and create impact
3. Curious, creative, and committed to leveraging knowledge and skills for the greater good
...</t>
  </si>
  <si>
    <t>Poughkeepsie</t>
  </si>
  <si>
    <t>Pricing Analyst Intern</t>
  </si>
  <si>
    <t>1. Full-time student currently enrolled in 4 year-college or university program pursuing a Bachelor's degree in marketing, sales, business or other business-related degree program.
2. Minimum cumulative 3.0 out of 4.0 overall grade point average
3. Strong problem solving abilities.
...</t>
  </si>
  <si>
    <t>Spring 2026 Tax Internship (Warner Robins)</t>
  </si>
  <si>
    <t>1. Pursuing a degree in Accounting
2. Strong understanding of basic accounting principles
3. Proficiency in Microsoft Excel and other relevant software
...</t>
  </si>
  <si>
    <t>Spring 2025 Audit Intern (Dalton, GA)</t>
  </si>
  <si>
    <t>Spring 2026 Audit Intern (Peachtree Corners, GA)</t>
  </si>
  <si>
    <t>Spring 2025 Tax Intern (Warner Robins, GA)</t>
  </si>
  <si>
    <t>Spring 2025 Tax Internship (Rome, GA)</t>
  </si>
  <si>
    <t>Spring 2025 Audit Intern (Dublin, GA)</t>
  </si>
  <si>
    <t>Spring 2026 Tax Internship (Canton)</t>
  </si>
  <si>
    <t>Canton, GA</t>
  </si>
  <si>
    <t>Spring 2026 Tax Internship (Dalton)</t>
  </si>
  <si>
    <t>Spring 2025 Tax Intern (Dalton, GA)</t>
  </si>
  <si>
    <t>Part-time Tax Intern - Fall 2024 (Warner Robins, GA)</t>
  </si>
  <si>
    <t>Spring 2025 Tax Internship (Dublin, GA)</t>
  </si>
  <si>
    <t>Spring 2026 Tax Internship (Dublin)</t>
  </si>
  <si>
    <t>Spring 2025 Audit Intern (Rome, GA)</t>
  </si>
  <si>
    <t>Spring 2025 Audit Intern (Warner Robins, GA)</t>
  </si>
  <si>
    <t>Spring 2026 Tax Internship (Fayetteville)</t>
  </si>
  <si>
    <t>Fayetteville, GA</t>
  </si>
  <si>
    <t>Spring 2026 Tax Internship (Rome)</t>
  </si>
  <si>
    <t>Spring 2026 Tax Internship (Peachtree Corners)</t>
  </si>
  <si>
    <t>Tax Accounting Intern</t>
  </si>
  <si>
    <t>KerberRose S.C.</t>
  </si>
  <si>
    <t>Sister Bay, WI</t>
  </si>
  <si>
    <t>1. Must be attending a 4-year University and be enrolled in an Accounting Program
2. Ability to work daytime hours Monday-Friday with opportunity for Saturday hours
3. Strong attention to detail and organizational skills
...</t>
  </si>
  <si>
    <t>KERING FINANCE Tax Intern</t>
  </si>
  <si>
    <t>1. An Accounting or Law graduate
2. Proficient in Excel and Word, good knowledge of Tax software/database is a plus
3. A professional with strong analytical skills and proactive attitude
...</t>
  </si>
  <si>
    <t>Intern (f/m/x) Corporate Finance / Mergers &amp; Acquisitions</t>
  </si>
  <si>
    <t>1. Advanced business student or in a related field, with excellent academic achievements
2. Interest in corporate finance or investment banking complemented by prior experience / internships in the field of banking, consulting or accounting
3. Knowledge in fundamental and market-oriented valuation methods (DCF, multiples)
...</t>
  </si>
  <si>
    <t>Stage Finance - Contrôle de Gestion Groupe (H/F/N) - 6 mois</t>
  </si>
  <si>
    <t>Ekimetrics</t>
  </si>
  <si>
    <t>€1400-€1400 /mon</t>
  </si>
  <si>
    <t>1. Formation comptabilité et contrôle de gestion
2. Forte appétence pour Excel
3. Anglais opérationnel</t>
  </si>
  <si>
    <t>IT Internal Audit Intern Spring 2025</t>
  </si>
  <si>
    <t>KraftCPAs</t>
  </si>
  <si>
    <t>1. Commitment to outstanding client service
2. Accounting student
3. 3.0 GPA or above
...</t>
  </si>
  <si>
    <t>Fidelity’s Securities Industry Essentials® (SIE®) Scholar- Merrimack, NH</t>
  </si>
  <si>
    <t>1. Securities Industry Essentials® (SIE®) Exam
2. Fundamental investment concepts
3. Basic financial products
...</t>
  </si>
  <si>
    <t>Fidelity’s Securities Industry Essentials® (SIE®) Scholar- Smithfield, RI</t>
  </si>
  <si>
    <t>Smithfield, RI</t>
  </si>
  <si>
    <t>1. Securities Industry Essentials (SIE) Exam
2. Series 7
3. Financial industry knowledge
...</t>
  </si>
  <si>
    <t>Revenue Accounting Internship - Pittsburg, KS</t>
  </si>
  <si>
    <t>1. Strong understanding of foundation principles and ability to impress upon peers their value add.
2. Communicate with all departments and levels of management within the organization with a strong positive attitude.
3. Desire to only provide reliable information and willingness to understand information to the core of its being.
...</t>
  </si>
  <si>
    <t>Audit Interne / Internal Audit (H/F) - Stage Septembre 2024</t>
  </si>
  <si>
    <t>1. Commitment
2. Discipline
3. Intellectual curiosity and professional skepticism
...</t>
  </si>
  <si>
    <t>Internal Audit Summer Analyst Program</t>
  </si>
  <si>
    <t>Nomura</t>
  </si>
  <si>
    <t>1. GPA: 3.2+
2. Pursuing a bachelor’s degree (preferably Accounting or Finance)
3. Graduating between December 2025 and June 2026 at a college/university in the United States</t>
  </si>
  <si>
    <t>College Coop: Accounting Analyst</t>
  </si>
  <si>
    <t>1. Must be an accounting major who has completed at least 2 to 3 accounting classes.
2. Intermediate to advanced skills in Microsoft Office especially Excel.</t>
  </si>
  <si>
    <t>Accountancy meeloopstage (alle kantoren)</t>
  </si>
  <si>
    <t>1. Je volgt een economische of financiële hbo-opleiding in je derde of vierde jaar;
2. Je volgt een economische of financiële wo-bachelor in je derde jaar;
3. Je bent communicatief en cijfermatig sterk, klantgericht en werkt graag in een team;
...</t>
  </si>
  <si>
    <t>Accountancy thesis internship (all offices)</t>
  </si>
  <si>
    <t>1. In the final phase of an HBO bachelor or WO (master) in the economical or financial field
2. Curious, ambitious, and eager to show its skills during its Graduation Internship
3. Open to meeting new people
...</t>
  </si>
  <si>
    <t>New York City, NY – U.S.</t>
  </si>
  <si>
    <t>Houston, TX – U.S.</t>
  </si>
  <si>
    <t>Product Management and Marketing Internship</t>
  </si>
  <si>
    <t>Cryoport</t>
  </si>
  <si>
    <t>Clinical Trials, Logistics</t>
  </si>
  <si>
    <t>1. Currently pursuing a degree in Business, Marketing, Product Management, or related field
2. Excellent written and verbal communication skills
3. Strong analytical and problem-solving skills
...</t>
  </si>
  <si>
    <t>Co Op Product Management</t>
  </si>
  <si>
    <t>1. Undergraduate student currently pursuing a Bachelor's degree in Business Analytics, Business Administration, Marketing, Engineering Management, or related field
2. Sophomore or higher class status
3. Ability to work 40 hours per week during the scheduled semester
...</t>
  </si>
  <si>
    <t>Product Management Intern D (Salt Lake City, UT)</t>
  </si>
  <si>
    <t>1. Pursuing a Bachelor’s Degree technical discipline (Engineering, Information Technology, Computer Science, etc.), Business Administration, Management, or related</t>
  </si>
  <si>
    <t>Product Management Hydronic Solutions Intern Summer 2024</t>
  </si>
  <si>
    <t>Watts Water Technologies</t>
  </si>
  <si>
    <t>Blauvelt, NY</t>
  </si>
  <si>
    <t>1. Must be a current student, working toward bachelors or master's degree in engineering, or related business field with an interest in pursuing Product Management for an engineered solutions manufacturing company (non-consumer goods)
2. Must have a GPA of 3.0 or higher
3. Experienced in identifying and analyzing issues, making recommendations and implementing solutions
...</t>
  </si>
  <si>
    <t>Product Intern</t>
  </si>
  <si>
    <t>1. Strong analytics and reporting skills – Excel is a must.
2. Create pivot tables as needed to provide insights.
3. Develop dashboards to visually illustrate insights.
...</t>
  </si>
  <si>
    <t>Global Product Solutions and Operations Intern (Core Ads)- 2025 Summer (MBA)</t>
  </si>
  <si>
    <t>1. Currently pursuing a full-time MBA or related discipline.
2. Experience within the digital advertising industry across search, marketplace, social, display, direct response, and/or ad networks with a keen understanding of Search Ads.
3. Experience partnering with product teams to identify and bring to market solutions for sellers.
...</t>
  </si>
  <si>
    <t>Product Strategy Intern (Web Ads)- 2025 Summer (MBA)</t>
  </si>
  <si>
    <t>1. Currently pursuing a full-time MBA or related discipline
2. Experience working on Performance Ads and with Product and Engineering teams
3. Comfort with ambiguity and using a data-driven approach to establish strategy and priorities
...</t>
  </si>
  <si>
    <t>Product Operations Intern</t>
  </si>
  <si>
    <t>Peppr</t>
  </si>
  <si>
    <t>1. Proven experience in creating, editing, and organizing user manuals and documentation materials for technical and non-technical audiences.
2. Strong analytical and interpersonal skills to effectively extract and document key requirements.
3. Background in working closely with product and development teams to translate client requirements into viable and innovative solutions.
...</t>
  </si>
  <si>
    <t>Product Manager Intern</t>
  </si>
  <si>
    <t>Whalesync</t>
  </si>
  <si>
    <t>Computer, Data Center Automation</t>
  </si>
  <si>
    <t>1. Worked or interned in a startup or high-growth SaaS company.
2. Able to spend time during the work week (PST) in our virtual (remote) office.
3. Familiar with technical concepts like APIs, databases, and data types (although you don’t have to write any code).
...</t>
  </si>
  <si>
    <t>2025 Technology Summer Internship Program - Technology Analyst</t>
  </si>
  <si>
    <t>1. You must be a rising senior or graduate student studying towards a Bachelor’s or Master’s degree in Business, Economics, Computer Science, Engineering, Cyber Security or other related major with a keen interest in the financial services industry, along with documenting IT solution requirements (business, functional and/or technical), and strong technical knowledge.</t>
  </si>
  <si>
    <t>Product Management Intern</t>
  </si>
  <si>
    <t>Open Network Exchange</t>
  </si>
  <si>
    <t>1. Pursing a bachelor’s degree in business administration or finance
2. Desire to learn and contribute to a growing team
3. Excellent organizational skills.</t>
  </si>
  <si>
    <t>Assoc, Product Management (Lynchburg, VA)</t>
  </si>
  <si>
    <t>1. Bachelor’s in an Engineering program.</t>
  </si>
  <si>
    <t>Product Implementation Intern</t>
  </si>
  <si>
    <t>1. Interns are required to work 20 hours per week (flexible M-F schedule) year round.
2. Junior or incoming Senior enrolled in a University, pursuing a BS or BA degree within the field of Computer Science, Data Analytics, or Mathematics (or equivalent) as we are looking for you to solve real world problems.
3. Students currently enrolled to a local Atlanta, St. Petersburg or Tampa University are eligible.
...</t>
  </si>
  <si>
    <t>V.I.E - Fragrance Product Executive - Miami</t>
  </si>
  <si>
    <t>Cartier</t>
  </si>
  <si>
    <t>Jewelry, Manufacturing</t>
  </si>
  <si>
    <t>1. You are graduated from a Master's in Business, Marketing or related disciplines.
2. You already had similar professional experiences in Product Management in the Luxury and/or Fashion Industry, ideally on the Fragrance category.
3. You demonstrate excellent written and verbal English language skills along with strong interpersonal and communication skills.
...</t>
  </si>
  <si>
    <t>Product Manager MBA Intern (Web Ads and Open-Loop E-Commerce) - 2025 Summer (MBA)</t>
  </si>
  <si>
    <t>1. Currently pursuing a full time MBA or related discipline.
2. Have a basic understanding of the advertising system, good data sense and high abstract ability, and attention to detail.</t>
  </si>
  <si>
    <t>Product Manager Intern (Search Ads) - 2025 Summer (BS/MS)</t>
  </si>
  <si>
    <t>1. Pursuing a BA/BS degree in Computer Science or related technical field (e.g. Mathematics, Statistics) or equivalent practical experience
2. Excellent communication, organizational, and analytical skills</t>
  </si>
  <si>
    <t>CNN Mobile Product Design Intern: NYC - Fall 2024</t>
  </si>
  <si>
    <t>1. Strong understanding of Figma, including understanding of the concept of components, interactive components, variables, prototypes, and asset libraries
2. Interested in Apps design patterns for IOS and Android
3. Keen interest in news media user experiences across the digital landscape
...</t>
  </si>
  <si>
    <t>Product Development Internship- R&amp;D 2025</t>
  </si>
  <si>
    <t>1. Must be enrolled in a BS or MS degree program in Food Science, Food Engineering, Bakery Science, Chemistry, Chemical Engineering, or related field
2. Completion of degree by Spring 2027
3. Analytical skills for data tracking and results analysis
...</t>
  </si>
  <si>
    <t>Intern, Product Development - Navigation</t>
  </si>
  <si>
    <t>$29.90-$36.80 /h</t>
  </si>
  <si>
    <t>1. Currently enrolled in a bachelor or master's degree program at an accredited college or university
2. Possess a minimum cumulative GPA of 3.0 (not just in major)
3. Have completed at least 30 college credit hours at time of application
...</t>
  </si>
  <si>
    <t>Product Partnerships MBA Intern (Monetization Product Partnerships) - 2025 Summer (MBA)</t>
  </si>
  <si>
    <t>$40-$40 /h</t>
  </si>
  <si>
    <t>1. 1-2 years relevant experience in management consulting, data analytics, project management, program management, or finance/accounting
2. Experience owning and scaling growth projects in a fast-paced tech environment.
3. Experience presenting to internal and external audiences at all levels of seniority.
...</t>
  </si>
  <si>
    <t>Product Operations Intern (Trust &amp; Safety- Product Business Partner ) - 2025 Summer (BS/MS)</t>
  </si>
  <si>
    <t>1. Experience with project coordination or project management
2. Exceptional communication skills with capabilities to build relationships with stakeholders
3. Self-starter that takes initiative in driving projects forward and solving ambiguous problems
...</t>
  </si>
  <si>
    <t>Product Cybersecurity Intern</t>
  </si>
  <si>
    <t>1. Bachelor or Master candidate within Cybersecurity, Information Systems, Computer or Electrical Engineering, Similar Majors / Career Tracks
2. Professional interest including Embedded Device Engineering, Cybersecurity Technical Governance, Industrial Automation Control Systems, Source Code Development (C, C#, C++), Source Code Vulnerability Scanning (SSAT, DSAT), DevSecOps Tools &amp; Pipelines
3. Resume detailing work experiences and accomplishments
...</t>
  </si>
  <si>
    <t>(Fall) Culinary (Ninja Test Kitchen) Co-op: July to December 2024</t>
  </si>
  <si>
    <t>1. Final year in Culinary Science, Culinology, Food Science or Product Development programs</t>
  </si>
  <si>
    <t>Product Manager MBA Intern (Ap Ads and Gaming) - 2025 Summer (MBA)</t>
  </si>
  <si>
    <t>1. Currently pursuing a full-time MBA or related discipline.
2. BA/BS degree in Computer Science, EE, Mathematics, Statistics, or equivalent practical experience
3. Fast learner with a good sense of judgment and original thinking
...</t>
  </si>
  <si>
    <t>Project Hire/Internal Assignment-Product Design Coordinator</t>
  </si>
  <si>
    <t>The Walt Disney Company</t>
  </si>
  <si>
    <t>Amusement Park and Arcade, Animation</t>
  </si>
  <si>
    <t>Glendale, CA</t>
  </si>
  <si>
    <t>$52400-$70200 /yr</t>
  </si>
  <si>
    <t>1. Organized with data and projects for the Product Design team
2. Ability to understand and convey creative and constructive feedback
3. Ability to build presentations in PowerPoint or similar software
...</t>
  </si>
  <si>
    <t>Intern - Product support &amp; content creation</t>
  </si>
  <si>
    <t>Gravity Sketch</t>
  </si>
  <si>
    <t>1. Extensive experience in Gravity Sketch, demonstrating proficiency in creating 3D content.
2. A fast-paced, proactive attitude with a strong willingness to learn and adapt quickly to new challenges.
3. Excellent recording and video creation skills, with the ability to produce polished, engaging content that effectively communicates concepts and instructions.
...</t>
  </si>
  <si>
    <t>School to Work - Associate Product Manager</t>
  </si>
  <si>
    <t>1. Pursuing a bachelor’s degree in Engineering, Business, Marketing, or Analytics
2. Must carry a minimum of 12 credit hours during the fall and spring semesters
3. Must have a minimum of 2.5 GPA
...</t>
  </si>
  <si>
    <t>2025 Chase Leadership Development Program - Summer Analyst (New York)</t>
  </si>
  <si>
    <t>1. Pursuing a B.A., B.S., or 5th year M.A. or M.S. degree with expected graduation of December 2025 through June 2026
2. Proficient in Microsoft Excel and Word
3. Exceptional analytical, interpersonal and communication skills
...</t>
  </si>
  <si>
    <t>Product Development Intern- Summer 2025</t>
  </si>
  <si>
    <t>1. Must be enrolled in a BS or MS degree program in Food Science, Food Engineering, Bakery Science, Chemistry, Chemical Engineering, or related field
2. Completion of degree by Spring 2026, Spring 2025 preferred
3. GPA of 3.0 and above preferred
...</t>
  </si>
  <si>
    <t>Product Manager MBA Intern (Ads Privacy &amp; Targeting) - 2025 Summer (MBA)</t>
  </si>
  <si>
    <t>1. Currently pursuing a full-time MBA or a related technical field.
2. Hands-on product management experience
3. Strong logical and critical thinking skills, utilizing a facts and data-driven approach to problem-solving.
...</t>
  </si>
  <si>
    <t>Sunwater Institute Product Research Intern</t>
  </si>
  <si>
    <t>1. Current or recent undergraduate student
2. Strong academic foundation in political science, history, economics, philosophy, design, or related fields</t>
  </si>
  <si>
    <t>(Fall) Product Development Co-Op: June to December 2024</t>
  </si>
  <si>
    <t>1. Candidate for a Bachelor’s Degree in Business, Marketing, Management, or a combination of the above
2. A “100% on” consumer-first perspective when it comes to introducing new products/processes or improving current products
3. A mindset geared toward building relationships across multi-functional teams, coupled with excellent interpersonal skills
...</t>
  </si>
  <si>
    <t>Product Development Internship (Fall 2024)</t>
  </si>
  <si>
    <t>LoveShackFancy</t>
  </si>
  <si>
    <t>E-Commerce, Fashion</t>
  </si>
  <si>
    <t>1. Must receive academic credit as a requirement
2. Meticulous, attention to detail, + ability to multitask
3. Excellent verbal and written communication skills
...</t>
  </si>
  <si>
    <t>Product Manager Intern (Business Risk Integrated Control) - 2025 Summer (BS/MS)</t>
  </si>
  <si>
    <t>1. Currently pursuing a BS/MS in Software Development, Computer Science, Computer Engineering, or a related technical discipline
2. Able to commit to working for 12 weeks during summer 2025
3. Strong communication and coordination skills and exceptional logical thinking ability
...</t>
  </si>
  <si>
    <t>Product / IT Intern</t>
  </si>
  <si>
    <t>1. Interns are required to work 20 hours per week (flexible M-F schedule) year round
2. Junior or incoming Senior enrolled in Columbus State University, pursuing a BS or BA degree within the field of Computer Science or Mathematics (or equivalent) as we are looking for you to solve real world problems
3. Knowledge of Scrum and Agile Software Development Methodology (and/or Project Management Methodology) is a bonus
...</t>
  </si>
  <si>
    <t>School To Work - Product Management  - Fall</t>
  </si>
  <si>
    <t>1. Pursuing a bachelor’s degree in Engineering, Business, Marketing, or Analytics
2. Must carry a minimum of 12 credit hours during the fall and spring semesters
3. Must have a minimum of 2.5 GPA</t>
  </si>
  <si>
    <t>Amazon Robotics - Tech Product Manager Co-op - Fall 2024</t>
  </si>
  <si>
    <t>1. Currently working towards MBA
2. Bachelor’s degree in Computer Science, Robotics or related Engineering fields
3. Must be eligible and available for a full-time (40h / week) co-op from July - Dec 2024
...</t>
  </si>
  <si>
    <t>Working Student (m/f/x) Direct to consumer eCommerce IT</t>
  </si>
  <si>
    <t>1. Ideally you are a Master's student in Computer Sciences, Economics, or eCommerce
2. You are interested in direct-to-consumer eCommerce via websites and marketplaces
3. You are willing to learn new tools and methods
...</t>
  </si>
  <si>
    <t>Fall 2024 Internship - Product Development</t>
  </si>
  <si>
    <t>rag &amp; bone</t>
  </si>
  <si>
    <t>1. Previous internships or currently studying in the Fashion Industry
2. This internship is 'FOR CREDIT ONLY' Must need approval from school to participate</t>
  </si>
  <si>
    <t>Product Analyst Intern</t>
  </si>
  <si>
    <t>AmesburyTruth</t>
  </si>
  <si>
    <t>Broadcasting, Building Material</t>
  </si>
  <si>
    <t>1. 1-2 years of professional experience or pursuing a Bachelor's degree in general business or marketing
2. Proficient in Microsoft Excel
3. Experience in working with project teams
...</t>
  </si>
  <si>
    <t>Valmont</t>
  </si>
  <si>
    <t>1. Junior or Senior standing with progress towards a bachelor’s degree or Master’s degree in Business Administration, Information Systems, Computer Science, Supply Chain/Operations, Business Intelligence &amp; Analytics (BIA), FinTech, or other relevant field
2. Strong working knowledge of Microsoft Word, Excel, Outlook and Power Point
3. High level of initiative and self-motivation
...</t>
  </si>
  <si>
    <t>Co-Op: Product Management</t>
  </si>
  <si>
    <t>1. Knowledge and familiarity with Agile develop methodologies and product management frameworks
2. Proficient and knowledge in using collaboration tools, project management software, and data analysis tools
3. Strong analytical and problem-solving skills, with the ability to gather and interpret data to make informed decisions
...</t>
  </si>
  <si>
    <t>Fall Intern, Product Management</t>
  </si>
  <si>
    <t>1. Currently enrolled in a BA/BS degree program at an accredited university
2. Product management background and focus
3. Strong interest in healthcare and technology solutions
...</t>
  </si>
  <si>
    <t>Omaha NE</t>
  </si>
  <si>
    <t>SAP iXp Intern - Cloud Identity Access Governance Product Manager</t>
  </si>
  <si>
    <t>$15-$62 annual</t>
  </si>
  <si>
    <t>1. Enrolled college student in Computer Science or a related field
2. Hybrid with min. 1 day/week onsite in our beautiful Palo Alto office</t>
  </si>
  <si>
    <t>2025 Asset Management Product Summer Analyst Program</t>
  </si>
  <si>
    <t>1. Attend college/university in the U.S.
2. Driven and enjoy working in teams to develop complex solutions
3. Expected graduation date of December 2025 – June 2026 with either a Bachelor's or Master's degree
...</t>
  </si>
  <si>
    <t>Product Management CO-OP - Controls Products - REQ # 860</t>
  </si>
  <si>
    <t>Mitsubishi Electric Trane HVAC US</t>
  </si>
  <si>
    <t>Electronics, Heating  Ventilation  and Air Conditioning (HVAC)</t>
  </si>
  <si>
    <t>$15.38-$21.15 /h</t>
  </si>
  <si>
    <t>1. Currently pursuing Bachelor's in Mechanical Engineering or Industrial Design programs.
2. A college student with at least 1 year of school completed.
3. Must be able to work 40 hours a week in our Suwanee, GA office, Monday through Friday for a summer internship.
...</t>
  </si>
  <si>
    <t>Customer Research Intern (Utility) (Spring 2025)</t>
  </si>
  <si>
    <t>Entergy Corporation</t>
  </si>
  <si>
    <t>1. Seeking an Anthropology, Sociology, UX Research, Psychology, Advertising, or Strategic Design major, or other similar field.
2. Junior and Senior candidate with graduation dates of May 2025 and beyond preferred.
3. Must be actively pursuing a bachelors, masters or doctorate degree as indicated above and at minimum classified as a sophomore or beyond.
...</t>
  </si>
  <si>
    <t>KION GROUP</t>
  </si>
  <si>
    <t>Grand Rapids, MI, United States</t>
  </si>
  <si>
    <t>1. Bachelor or Master candidate within Cybersecurity, Information Systems, Computer or Electrical Engineering, or Similar Majors / Career Tracks
2. Professional interest including Embedded Device Engineering, Cybersecurity Technical Governance, Industrial Automation Control Systems, Source Code Development (C, C#, C++), Source Code Vulnerability Scanning (SSAT, DSAT), DevSecOps Tools &amp; Pipelines
3. Resume detailing work experiences and accomplishments
...</t>
  </si>
  <si>
    <t>Innovation and Product Development Intern</t>
  </si>
  <si>
    <t>Life Alive Café</t>
  </si>
  <si>
    <t>1. Currently pursuing a degree in Culinary Arts, Food Science, Nutrition, Data Management, or a related field.
2. Strong interest in culinary trends and recipe development.
3. Proficiency in Microsoft Excel and other data management tools.
...</t>
  </si>
  <si>
    <t>Internship, Digital Services, Product, Fall 2024</t>
  </si>
  <si>
    <t>1. Undergraduate or graduate student, majoring in UX, surveying, or other related field
2. All applicants should have completed the equivalent of four semesters of college coursework (not including AP classes in high school) by the time they begin an internship
3. Website and mobile app experience is a plus
...</t>
  </si>
  <si>
    <t>Product Development Intern</t>
  </si>
  <si>
    <t>Dreamwear</t>
  </si>
  <si>
    <t>1. Currently enrolled in a 4 year Bachelor’s degree program in Fashion Merchandising, Product Development, or Manufacturing
2. Team player with the ability to handle fast-paced work environment
3. Self-motivated with the ability to work independently
...</t>
  </si>
  <si>
    <t>Senior Product Manager - Student Loans</t>
  </si>
  <si>
    <t>Credible</t>
  </si>
  <si>
    <t>Consumer Lending, Credit</t>
  </si>
  <si>
    <t>$108000-$143000 /yr</t>
  </si>
  <si>
    <t>1. At least 5+ years of experience in a Product Management role for web-based consumer Internet products
2. Bachelor's Degree
3. Ability to use data, your experience and product instincts to identify the most impactful areas of focus
...</t>
  </si>
  <si>
    <t>International Associate Product Manager</t>
  </si>
  <si>
    <t>Klein Tools</t>
  </si>
  <si>
    <t>Mansfield, TX</t>
  </si>
  <si>
    <t>1. Bachelors Degree in business, marketing, or related technical field and two (2) years of relevant business experience
2. Ability to project manage multiple tasks effectively
3. Ability to understand and perform basic mathematics and financial calculations
...</t>
  </si>
  <si>
    <t>NJEDA</t>
  </si>
  <si>
    <t>Financial Services, Security</t>
  </si>
  <si>
    <t>Middlesex County, NJ</t>
  </si>
  <si>
    <t>1. Enrollment in an accredited undergraduate or graduate program, preferably with a focus on finance, law, public policy, or related areas. Will work with degree program requirements for credit.
2. Ability to communicate effectively both verbally and in writing; proficient in grammar, spelling and editing; adept at communicating with business professionals and EDA staff
3. Ability to prioritize and manage workload; must be highly organized, detail-oriented, and handle various tasks simultaneously; must work independently within limited time constraints with little supervision
...</t>
  </si>
  <si>
    <t>Product Manager - Student Loans</t>
  </si>
  <si>
    <t>$100000-$125000 /yr</t>
  </si>
  <si>
    <t>1. At least 3+ years of experience in a Product Management role for web-based consumer Internet products
2. Bachelor's Degree
3. Ability to use data, your experience and product instincts to identify the most impactful areas of focus
...</t>
  </si>
  <si>
    <t>Moen Incorporated</t>
  </si>
  <si>
    <t>North Olmsted, OH</t>
  </si>
  <si>
    <t>1. Actively enrolled in a College or University program working towards a Bachelors or Master’s degree in a relevant major
2. Demonstrates strong analytical skills
3. Demonstrates excellent verbal, written and presentation skills
...</t>
  </si>
  <si>
    <t>Product Intern, Fintech - 12 Months</t>
  </si>
  <si>
    <t>Super.com</t>
  </si>
  <si>
    <t>E-Commerce, FinTech</t>
  </si>
  <si>
    <t>$39-$45.60 /h</t>
  </si>
  <si>
    <t>1. Entrepreneurial, get-stuff-done mindset
2. Growth mindset, humility, and the ability to own your domain and your work
3. Exceptional written and verbal communication skills
...</t>
  </si>
  <si>
    <t>$32.50-$38 /h</t>
  </si>
  <si>
    <t>Los Angeles</t>
  </si>
  <si>
    <t>Seattle, Washington</t>
  </si>
  <si>
    <t>ORD New Activities Risk Management/Issues Management Intern</t>
  </si>
  <si>
    <t>1. Bachelor’s degree or above</t>
  </si>
  <si>
    <t>SkillBridge Intern - Product Manager</t>
  </si>
  <si>
    <t>Product Manager Leader-Customer Service Platform-International E-commerce</t>
  </si>
  <si>
    <t>1. Bachelor degree or above
2. 4+ years as a product manager, relevant experience in customer service filed
3. Experience working with complex organization and cross-functional environment
...</t>
  </si>
  <si>
    <t>Product - Technical Development Fit Model, Size 4</t>
  </si>
  <si>
    <t>Aritzia</t>
  </si>
  <si>
    <t>Support Office (Vancouver)</t>
  </si>
  <si>
    <t>1. Measurements – must be a standard size 4: Bust 34"; waist 26"; hips 36"; height 5'2", 5’5” or 5’8”
2. Posture – must be excellent
3. Stamina – must be able to stand for extended periods of time
...</t>
  </si>
  <si>
    <t>Associate Product Manager</t>
  </si>
  <si>
    <t>Ngram</t>
  </si>
  <si>
    <t>Analytics, Blockchain</t>
  </si>
  <si>
    <t>1. High energy and doesn't take No for an answer
2. SEO / cold email strategies
3. A passion for AI
...</t>
  </si>
  <si>
    <t>Student Assistant - Content Marketing</t>
  </si>
  <si>
    <t>Content Marketing</t>
  </si>
  <si>
    <t>1. Currently enrolled student at Auburn University
2. Interest in Communications and Marketing
3. Strong writing and editing experience
...</t>
  </si>
  <si>
    <t>Marketing Intern - Mandarin Speaking</t>
  </si>
  <si>
    <t>HungryPanda</t>
  </si>
  <si>
    <t>Delivery, E-Commerce</t>
  </si>
  <si>
    <t>General Marketing Management</t>
  </si>
  <si>
    <t>$15-$19 /h</t>
  </si>
  <si>
    <t>1. Fluent in Mandarin and English
2. Strong communication skills
3. Ability to work in a fast-paced environment
...</t>
  </si>
  <si>
    <t>Iowa Wild - Social Media Intern</t>
  </si>
  <si>
    <t>MINNESOTA SPORTS &amp; ENTERTAINMENT</t>
  </si>
  <si>
    <t>1. Current student majoring in marketing, communications, film/digital cinematography, creative writing or other related field, or recent college graduate with degree in one of these fields.
2. Knowledge and experience with the following social platforms: TikTok, X, Facebook, and Instagram.
3. Experience capturing engaging content with camera and iPhone.
...</t>
  </si>
  <si>
    <t>David Zwirner Gallery</t>
  </si>
  <si>
    <t>Lifestyle, Retail</t>
  </si>
  <si>
    <t>1. Ability to multitask
2. Attention to detail
3. Strong communication skills
...</t>
  </si>
  <si>
    <t>Full-Time Marketing Operations Intern</t>
  </si>
  <si>
    <t>Growth Marketing</t>
  </si>
  <si>
    <t>1. Working towards or recently finished a bachelor’s degree in business, marketing, communications, or related field.
2. Familiarity with SQL, JSON, and/or R.
3. Ability to manage multiple projects simultaneously with attention to detail.
...</t>
  </si>
  <si>
    <t>Intern I-Marketing (Hourly)</t>
  </si>
  <si>
    <t>Austin Community College</t>
  </si>
  <si>
    <t>1. High school diploma or educational equivalent; current GPA 2.8 and above.
2. Must possess required knowledge and be able to explain and demonstrate, with or without reasonable accommodations, that the essential functions of the job can be performed.
3. Mastery of standard software suites, including Microsoft Office, Figma, Canva, Adobe Creative, or similar programs.
...</t>
  </si>
  <si>
    <t>Marketing Intern</t>
  </si>
  <si>
    <t>Monetary Metals</t>
  </si>
  <si>
    <t>1. Strong administrative skills and attention to detail are a must
2. Ability to navigate Microsoft 365
3. Familiarity with WordPress and Salesforce
...</t>
  </si>
  <si>
    <t>Communications Specialist - BYU-Pathway Worldwide (Part-time, Student Employee)</t>
  </si>
  <si>
    <t>Brand Marketing</t>
  </si>
  <si>
    <t>1. Earning/earned a degree in communication or English
2. Microsoft and online office applications (Google Docs/Drive)
3. Brightspot and/or another web content management tool
...</t>
  </si>
  <si>
    <t>Communication Internship - BYU-Pathway Worldwide (Full-time, Intern)</t>
  </si>
  <si>
    <t>1. Resume
2. Cover letter addressed to the BYU-Pathway Communication Team
3. Use strong writing, communication, and editing skills
...</t>
  </si>
  <si>
    <t>Fundraising and Events Intern</t>
  </si>
  <si>
    <t>Kidsave</t>
  </si>
  <si>
    <t>Child Care, Children</t>
  </si>
  <si>
    <t>$500-$750 /mon</t>
  </si>
  <si>
    <t>1. Currently enrolled in an undergraduate, graduate, or college program or have completed at least 2 years of college or relevant coursework
2. Comfortable and confident in speaking and building rapport with prospective donors and supporters
3. Event planning and/or fundraising experience or equivalent coursework
...</t>
  </si>
  <si>
    <t>Marketing Internship (Paid)</t>
  </si>
  <si>
    <t>vialytics</t>
  </si>
  <si>
    <t>Big Data, Government</t>
  </si>
  <si>
    <t>1. Strong written and verbal communication skills
2. Available to work ~30 hours / week
3. Proficiency in graphic design tools (e.g., Adobe Creative Suite, Canva)
...</t>
  </si>
  <si>
    <t>On-Site Marketing Intern</t>
  </si>
  <si>
    <t>Acutis Diagnostics</t>
  </si>
  <si>
    <t>1. Currently pursuing a degree in Marketing, Business, Communications or a related field
2. Creative mindset with an eye for detail
3. Basic understanding of SEO and content creation
...</t>
  </si>
  <si>
    <t>SAP iXp Intern - Sales, Content &amp; Communication</t>
  </si>
  <si>
    <t>1. Bachelor’s or Master’s Degree in English, Communication, Business Administration, or a related field of study
2. Ability to work well in a team as well as independently
3. Ability and confidence to conduct research and self-educate on job related soft skills
...</t>
  </si>
  <si>
    <t>Content Analysis Intern - European Market (Unpaid)</t>
  </si>
  <si>
    <t>ODK Media</t>
  </si>
  <si>
    <t>Advertising, Information Technology</t>
  </si>
  <si>
    <t>Fullerton, CA</t>
  </si>
  <si>
    <t>1. Fluency in English.
2. Native fluency in German, French, OR Spanish highly desirable.
3. A passionate consumer or follower of at least one type of German, French, or Spanish video content (films, series, documentaries, etc.).
...</t>
  </si>
  <si>
    <t>Content Writing and Digital Content Interns</t>
  </si>
  <si>
    <t>WebstaurantStore Food Service Equipment and Supply Company</t>
  </si>
  <si>
    <t>Consumer Goods, Industrial</t>
  </si>
  <si>
    <t>Lititz, PA</t>
  </si>
  <si>
    <t>1. Have solid written and verbal communication skills
2. Are self-motivated to complete work assignments
3. Possess strong attention to detail
...</t>
  </si>
  <si>
    <t>Fall 2024 Internship - Digital Marketing</t>
  </si>
  <si>
    <t>Hurricane Junior Golf Tour</t>
  </si>
  <si>
    <t>Events, Golf</t>
  </si>
  <si>
    <t>1. Pursuing a degree in Business/Sports Management/Marketing or other related fields
2. This is an unpaid internship, and you must receive at least one (1) credit for the onsite experience from an accredited College/University
3. Must be within good standing of your College/University
...</t>
  </si>
  <si>
    <t>Michigan State University MATLAB Student Ambassador</t>
  </si>
  <si>
    <t>MathWorks</t>
  </si>
  <si>
    <t>Analytics, Database</t>
  </si>
  <si>
    <t>1. Candidates must be pursuing a bachelor's level degree in a technical discipline.
2. Proficient in MATLAB, familiarity with Simulink a plus
3. Strong interpersonal skills with a passion for social media (Facebook, LinkedIn, Twitter, blogging, etc.)
...</t>
  </si>
  <si>
    <t>University of Toronto MATLAB Student Ambassador</t>
  </si>
  <si>
    <t>1. Commitment of 5 hours per week
2. Ability to explore and implement creative ideas for spreading awareness for the MathWorks brand and products among students
3. Skills to identify and engage with prominent student organizations related to Engineering, Math, Science, and Finance
...</t>
  </si>
  <si>
    <t>Intern - Product Marketing and Management</t>
  </si>
  <si>
    <t>Product Marketing</t>
  </si>
  <si>
    <t>Communications Internship, Washington, D.C.</t>
  </si>
  <si>
    <t>PADF</t>
  </si>
  <si>
    <t>1. Currently enrolled in or recently graduated from a degree program in Communications, Journalism, Public Relations, or a related field.
2. Strong writing and editing skills, with keen attention to detail.
3. Experience in digital storytelling and content creation.
...</t>
  </si>
  <si>
    <t>Social Media Creator Intern (TikTok)</t>
  </si>
  <si>
    <t>Flash</t>
  </si>
  <si>
    <t>1. Currently enrolled in or recently graduated from a marketing, communications, or related programs
2. Proficiency in creating engaging social media content across various platforms (Instagram, TikTok, Twitter, etc.)
3. Strong understanding of social media trends and best practices
...</t>
  </si>
  <si>
    <t>Marketing and Content Creator</t>
  </si>
  <si>
    <t>$14.50-$14.50 /h</t>
  </si>
  <si>
    <t>1. Work 5-10 hours a week with set schedule approved by supervisor
2. Available to meet with supervisor for a one-on-one every other week
3. Must be able to remain organized and effectively communicate with staff members about programs and content via email and Teams
...</t>
  </si>
  <si>
    <t>IN-25002 Digital Streaming Engagement Intern</t>
  </si>
  <si>
    <t>World Wildlife Fund</t>
  </si>
  <si>
    <t>1. Pursuing either an Associate’s or Bachelor’s or Graduate Degree program in communications, marketing, digital media, or a related field. Those studying outside these areas are still encouraged to apply.
2. Strong written and verbal communication skills; proficiency in social media platforms and livestreaming tools, basic graphic design and video editing skills.
3. Excellent research skills
...</t>
  </si>
  <si>
    <t>Marketing - Content Creator and Social Media Intern</t>
  </si>
  <si>
    <t>1. Passion for animal welfare
2. Minimum of 2 years of marketing experience
3. Exceptional communication and negotiation skills
...</t>
  </si>
  <si>
    <t>Co-Op Marketing</t>
  </si>
  <si>
    <t>1. Undergraduate student currently pursuing a Bachelor’s Degree in Marketing, Business Analytics, Business Administration, Communications, or a related field
2. Ability to work 40 hours per week during the scheduled semester
3. Legal authorization to work in the United States - Sponsorship for this role will not be provided</t>
  </si>
  <si>
    <t>Student Worker: Brand Ambassador for Winter/Summer</t>
  </si>
  <si>
    <t>University of Mississippi</t>
  </si>
  <si>
    <t>Education, Sports</t>
  </si>
  <si>
    <t>University, MS</t>
  </si>
  <si>
    <t>1. An outgoing, friendly personality, and a desire to meet new people
2. Strong social media presence on multiple platforms
3. Experience developing/creating online content
...</t>
  </si>
  <si>
    <t>Marketing and Communications Internship</t>
  </si>
  <si>
    <t>The Institute For Advanced Learning And Research</t>
  </si>
  <si>
    <t>Danville, VA</t>
  </si>
  <si>
    <t>1. Enrollment in degree-seeking program pursuing an Associate's or Bachelor's degree.
2. Strong written and verbal communication with a mastery of proper grammar.
3. Initiative, self-motivation and ability to work independently.
...</t>
  </si>
  <si>
    <t>Social Media Manager</t>
  </si>
  <si>
    <t>English Village Lane, A Rug co.</t>
  </si>
  <si>
    <t>1. Strong written and verbal communication skills
2. Experience in creating social media content and managing social media platforms
3. Knowledge of social media analytics tools
...</t>
  </si>
  <si>
    <t>Communications Internship FALL 2024</t>
  </si>
  <si>
    <t>Communication Intern</t>
  </si>
  <si>
    <t>Meet Minneapolis</t>
  </si>
  <si>
    <t>Consulting, Leisure</t>
  </si>
  <si>
    <t>1. Actively pursuing a degree in Public Relations, Journalism or Communications with an emphasis in public relations.
2. Candidate must be in school during the full term of the internship (junior or senior students only).
3. Graduation date must be later than April 2025.
...</t>
  </si>
  <si>
    <t>Digital Marketing Internship</t>
  </si>
  <si>
    <t>Social Media Marketing Intern</t>
  </si>
  <si>
    <t>Unbox the Dress</t>
  </si>
  <si>
    <t>E-Commerce, Sustainability</t>
  </si>
  <si>
    <t>Triad Area</t>
  </si>
  <si>
    <t>$750-$750 stipend</t>
  </si>
  <si>
    <t>1. Requires 15-20 hours on site at our beautiful Design Studio and offices in Winston Salem, NC with select virtual hours; from September-December
2. The internship is for class credit but a $750 stipend to cover travel is provided
3. Must be pursuing a Bachelor's Degree in a relevant field
...</t>
  </si>
  <si>
    <t>Sales And Marketing Internship (Paid)</t>
  </si>
  <si>
    <t>Heads and Tails Marketing</t>
  </si>
  <si>
    <t>1. Current students and recent graduates, including international students studying in the US.
2. Goal-oriented mindset
3. Positive outlook
...</t>
  </si>
  <si>
    <t>Part-Time Marketing Assistant</t>
  </si>
  <si>
    <t>Sanders-Brown Center on Aging</t>
  </si>
  <si>
    <t>1. currently enrolled student
2. Experience with graphic design and creation of promotional materials is required.
3. Attention to detail and experience with graphic design and creation of promotional materials is required.</t>
  </si>
  <si>
    <t>Marketing Creative Strategy Intern</t>
  </si>
  <si>
    <t>Interactive Strategies</t>
  </si>
  <si>
    <t>Washington Highlands, MD</t>
  </si>
  <si>
    <t>1. Exceptional writer
2. Creative and strategic thinker
3. Extremely detail-oriented
...</t>
  </si>
  <si>
    <t>Marketing Intern, Chartwells Higher Ed / Texas A&amp;M University - Corpus Christi</t>
  </si>
  <si>
    <t>$10.50-$10.50 /h</t>
  </si>
  <si>
    <t>1. Excellent communication skills, written and verbal
2. Customer service experience/knowledge
3. Knowledge of social media platforms
...</t>
  </si>
  <si>
    <t>Digital Marketing Training &amp; Internship</t>
  </si>
  <si>
    <t>Digital Marketing Intern, Chartwells Higher Ed + Boost / Texas A&amp;M University - Corpus Christi</t>
  </si>
  <si>
    <t>$14.20-$14.20 /h</t>
  </si>
  <si>
    <t>1. Excellent communication skills, written and verbal
2. Customer service experience/knowledge
3. Knowledge of social media platforms and content creation
...</t>
  </si>
  <si>
    <t>PhotoSolve</t>
  </si>
  <si>
    <t>Artificial Intelligence (AI), Education</t>
  </si>
  <si>
    <t>$1000-$not specified /mon</t>
  </si>
  <si>
    <t>1. College Students
2. Experience/interest in social media management, marketing, and content creation
3. On track to graduate from a 4-year university in the United States or Canada
...</t>
  </si>
  <si>
    <t>Media Relations Intern</t>
  </si>
  <si>
    <t>N6 Powered by KRMA</t>
  </si>
  <si>
    <t>1. Ability to manage tasks with a sense of urgency
2. Ability to work productively to deliver superior foundations to the team in a timely manner
3. Support ongoing media relations program infrastructure and databases for multiple accounts
...</t>
  </si>
  <si>
    <t>Elwood Clothing</t>
  </si>
  <si>
    <t>1. Highly organized &amp; self motivated
2. You are creative and eager to learn
3. Passionate about the apparel industry
...</t>
  </si>
  <si>
    <t>2024 Fall Co-Op: Communications (Troy, MI)</t>
  </si>
  <si>
    <t>Textron</t>
  </si>
  <si>
    <t>Aerospace, Finance</t>
  </si>
  <si>
    <t>1. Pursuing a Bachelor and/ or Master's degree in communications or similar qualification
2. Skillset and competencies related to Marketing
3. Fluent in written and spoken English
...</t>
  </si>
  <si>
    <t>Marketing Intern - 6 Months</t>
  </si>
  <si>
    <t>Meyer</t>
  </si>
  <si>
    <t>Consumer Goods, Cooking</t>
  </si>
  <si>
    <t>Vallejo, CA</t>
  </si>
  <si>
    <t>1. Requires completion or current pursuit of a bachelor's degree in Marketing or a related field.
2. Interest in social media, email/SMS, and influencer marketing.
3. Must possess a strong working knowledge of Google Docs, Google Sheets, and Google Slides.
...</t>
  </si>
  <si>
    <t>Fall 2024 Benefit Concert - Artist Engagement and Events Fellowship</t>
  </si>
  <si>
    <t>New York Civil Liberties Union</t>
  </si>
  <si>
    <t>1. Demonstrated interest in event production, planning and interested in a career in events, development and/or non-profits.
2. Strong social media, research, planning and organizational skills.
3. Motivated, deadline-driven and adept at balancing and prioritizing a variety of tasks.
...</t>
  </si>
  <si>
    <t>Social Media Intern (Remote Opportunity)</t>
  </si>
  <si>
    <t>American Marketing Association</t>
  </si>
  <si>
    <t>Advertising, Association</t>
  </si>
  <si>
    <t>1. You are a current college student pursuing a Marketing, Business, or other related Communications degree or have a background in/exposure to the Marketing industry
2. You have strong written communication skills
3. You actively use at least two social media platforms (Facebook, Instagram, TikTok, LinkedIn preferred)
...</t>
  </si>
  <si>
    <t>Kautex Textron</t>
  </si>
  <si>
    <t>Post Graduate Public Relations Intern</t>
  </si>
  <si>
    <t>Highwire PR</t>
  </si>
  <si>
    <t>Public Relations, Social Media</t>
  </si>
  <si>
    <t>1. College graduate
2. A genuine interest in technology and tech companies
3. An enthusiastic self-starter with a ‘can do’ attitude
...</t>
  </si>
  <si>
    <t>Strategic Communication and Outreach Intern</t>
  </si>
  <si>
    <t>1. In the process of receiving a degree (Bachelors or Masters) by Spring 2024 in one of the following majors: Communication Studies, Business Administration, or other related major</t>
  </si>
  <si>
    <t>Co-op, Marketing and Communications - Cargo (Spring 2025)</t>
  </si>
  <si>
    <t>1. Must be enrolled as a full-time student pursuing an undergraduate degree in a 4-year academic institution throughout the co-op program
2. At least a 3.0 GPA on a 4-point scale
3. Must be available to work on a full-time basis as an undergraduate student during the following 3 alternating semesters: Spring 2025, Fall 2025, Summer 2026
...</t>
  </si>
  <si>
    <t>Market Research Intern</t>
  </si>
  <si>
    <t>Noblesville, IN</t>
  </si>
  <si>
    <t>1. Student with a minimum one - two years college experience in Business, Marketing or Engineering related fields.
2. Candidate has excellent communication skills and interest in the automotive industry.
3. Must have a strong work ethic and be naturally curious.
...</t>
  </si>
  <si>
    <t>CSC Strategic Consulting</t>
  </si>
  <si>
    <t>Consulting, Content Marketing</t>
  </si>
  <si>
    <t>1. Exceptional communication skills: email, phone, text, in-person.
2. Social media savvy.
3. Knowledge of Instagram, Facebook, Pinterest, Twitter and TikTok required.
...</t>
  </si>
  <si>
    <t>Corporate PR Intern (Fall 2024)</t>
  </si>
  <si>
    <t>Weber Shandwick</t>
  </si>
  <si>
    <t>1. The ideal candidate must be a college graduate by the start of the internship or have demonstrated transferrable skills
2. Must be available to work 40 hours a week starting September 2024
3. Strong critical thinking and analytical skills; growth mindset
...</t>
  </si>
  <si>
    <t>Marketing, Branding &amp; External Communications Intern (REF2215Y)- FALL 2024</t>
  </si>
  <si>
    <t>Elbit Systems of America</t>
  </si>
  <si>
    <t>1. Seeking a degree in Marketing, Communications, Public Relations, Business, Advertising, or equivalent
2. Ability to work on-site at our Fort Worth, Texas location
3. Optimistic, positive-energy team player with a drive for delivering marketing and communications results through superior brand experiences in a team environment
...</t>
  </si>
  <si>
    <t>B2B Marketing - Student Internship</t>
  </si>
  <si>
    <t>Project Brains</t>
  </si>
  <si>
    <t>1. Analytical Skills
2. Communication Skills
3. Creativity
...</t>
  </si>
  <si>
    <t>Sensear</t>
  </si>
  <si>
    <t>Carpentersville, IL</t>
  </si>
  <si>
    <t>1. Currently pursuing a degree in Marketing, Communications, or a related field.
2. Excellent writing and editing skills with a strong attention to detail.
3. Proficiency in using social media platforms (LinkedIn, Facebook, Instagram, Twitter) and understanding their best practices.
...</t>
  </si>
  <si>
    <t>B2B Product Marketing Intern Cluster Uptime &amp; Sustainability</t>
  </si>
  <si>
    <t>Bridgestone Americas</t>
  </si>
  <si>
    <t>Amsterdam, VA</t>
  </si>
  <si>
    <t>€550-€550 /mon</t>
  </si>
  <si>
    <t>1. Want a career in product marketing
2. Enjoy working hard and a quick learner
3. Are highly proficient in verbal and written English
...</t>
  </si>
  <si>
    <t>Part-Time Public Relations Intern</t>
  </si>
  <si>
    <t>BPM-PR Firm</t>
  </si>
  <si>
    <t>1. Currently enrolled in a college/university (minimum 1 year completed)
2. Previous PR or Marketing experience (preferably within an agency)
3. Proficiency in Excel and Outlook
...</t>
  </si>
  <si>
    <t>Part Time Public Relations Intern</t>
  </si>
  <si>
    <t>Marketing Assistant Fragrances US</t>
  </si>
  <si>
    <t>Dolce &amp; Gabbana</t>
  </si>
  <si>
    <t>1. Bachelor or Master's degree, preferably in Marketing, Business Administration, Operations Management, or related fields.
2. Strong analytical skills with the ability to manage budgets, analyze competition and data, and make strategic recommendations.
3. Excellent organizational and time management skills, with the ability to prioritize tasks and meet deadlines.
...</t>
  </si>
  <si>
    <t>Writer/Researcher Internship</t>
  </si>
  <si>
    <t>Callidus Agency</t>
  </si>
  <si>
    <t>Fashion, Sports</t>
  </si>
  <si>
    <t>1. Currently enrolled in or recently graduated from a finance, marketing, or related program
2. Strong research and writing skills
3. Excellent attention to detail and organizational abilities
...</t>
  </si>
  <si>
    <t>Content Writer Intern</t>
  </si>
  <si>
    <t>Infinity Sales Group, LLC</t>
  </si>
  <si>
    <t>1. Currently enrolled in a Bachelor’s program in Journalism, English, Communications, or a related field
2. Some experience in content writing, preferably through coursework or personal projects
3. A portfolio of published articles or writing samples
...</t>
  </si>
  <si>
    <t>SUPERTUTOR</t>
  </si>
  <si>
    <t>1. Strong communication skills, both written and verbal
2. Experience in market research and analysis
3. Ability to support sales efforts and coordinate marketing campaigns
...</t>
  </si>
  <si>
    <t>Social Media Specialist</t>
  </si>
  <si>
    <t>Voodoo</t>
  </si>
  <si>
    <t>Casual Games, Mobile Apps</t>
  </si>
  <si>
    <t>1. Deep understanding and knowledge of TikTok and Instagram.
2. Must be a US citizen.
3. Currently enrolled in a college or university.
...</t>
  </si>
  <si>
    <t>Marketing and Sales Internship</t>
  </si>
  <si>
    <t>Alpha Ascension</t>
  </si>
  <si>
    <t>1. Candidates must be motivated, ambitious, and eager to make an impact.
2. Candidates must be looking to gain real world experience in an ever-growing, ever-changing industry.</t>
  </si>
  <si>
    <t>Marketing &amp; Sales Internship</t>
  </si>
  <si>
    <t>Atradius Trade Credit Insurance, Inc.</t>
  </si>
  <si>
    <t>1. Currently enrolled in a Bachelors degree with focus on Business, Marketing or similar major.
2. Strong communication skills and willingness to collaborate
3. Detail-oriented mind-set with a high level of accuracy
...</t>
  </si>
  <si>
    <t>Equine Marketing Intern</t>
  </si>
  <si>
    <t>1. Experience or knowledge in the equine industry
2. Prior experience or knowledge in the equine industry</t>
  </si>
  <si>
    <t>Social &amp; Digital Marketing Internship - College Credit Only</t>
  </si>
  <si>
    <t>Dallas Wings</t>
  </si>
  <si>
    <t>1. Ability to work non-traditional and long hours including evening and weekends
2. Students must be currently enrolled at an accredited university; in an undergraduate or graduate degree program</t>
  </si>
  <si>
    <t>2024 Animal Health Global Marketing Co-Op (Swine)</t>
  </si>
  <si>
    <t>Merck</t>
  </si>
  <si>
    <t>Rahway, NJ</t>
  </si>
  <si>
    <t>$39600-$105500 /yr</t>
  </si>
  <si>
    <t>1. Candidates must be currently in the process of earning a BA, BS or master’s degree in animal science, Veterinary School, Animal Health, Business, Marketing, Communications or related degree programs.
2. Candidates must have completed at least 2 years of college course work by July 2024
3. Candidates must have experience working in a multinational and/or corporate business setting
...</t>
  </si>
  <si>
    <t>Fall 2024 Management Trainee Intern Pompano Beach</t>
  </si>
  <si>
    <t>Pompano Beach, FL</t>
  </si>
  <si>
    <t>1. Must be a Senior enrolled full-time in a Bachelor's degree program
2. Must be at least 18 years old
3. Must have a minimum of six months experience in sales, customer service, management or leadership
...</t>
  </si>
  <si>
    <t>Bilingual International Marketing Trainee (Mexico)</t>
  </si>
  <si>
    <t>1. In Office Position. 4.5 day regular work week. Ability to commute daily to local office is required.
2. Excellent oral and written communication skills
3. Able to work independently and communicate within a team environment
...</t>
  </si>
  <si>
    <t>Rensselaer Polytechnic Institute MATLAB Student Ambassador</t>
  </si>
  <si>
    <t>1. Candidates must be pursuing a bachelor's level degree in a technical discipline.
2. Visa sponsorship will not be provided for this position.
3. Candidates for this position must be authorized to work in the United States on a full-time basis for any employer without restriction.
...</t>
  </si>
  <si>
    <t>MATLAB Student Ambassador</t>
  </si>
  <si>
    <t>1. Authorized to work in the United States on a full-time basis for any employer without restriction
2. Experience with MATLAB
3. Undergraduate or Graduate student in good academic standing with at least 2 semesters remaining in the degree program (preferably in Engineering)
...</t>
  </si>
  <si>
    <t>2025 Marketing Intern</t>
  </si>
  <si>
    <t>$19.50-$22.50 /h</t>
  </si>
  <si>
    <t>1. Pursuing a BS/BA in Marketing, Business with Marketing Emphasis, Business Analytics, or Communications with Advertising Emphasis - with a cumulative overall GPA at or above 3.0
2. Minimum Work Experience: At least one internship or work experience
3. Demonstrated leadership skills such as: campus organizations, sports team captain, resident advisor, etc. or exceptional leadership of work projects
...</t>
  </si>
  <si>
    <t>Davidson, NC</t>
  </si>
  <si>
    <t>Carrollton, TX</t>
  </si>
  <si>
    <t>HID Global</t>
  </si>
  <si>
    <t>1. Currently enrolled in a bachelor’s degree program in Marketing, Communications, Business, or a related field.
2. Strong written and verbal communication skills with a keen eye for detail.
3. Proficiency in Microsoft Office Suite and familiarity with social media platforms.
...</t>
  </si>
  <si>
    <t>Washington University St Louis MATLAB Student Ambassador</t>
  </si>
  <si>
    <t>University of Central Florida MATLAB Student Ambassador</t>
  </si>
  <si>
    <t>Marketing Internship - College Credit Only</t>
  </si>
  <si>
    <t>1. Ability to work non-traditional and long hours including evenings and weekends
2. Must be able to lift 25+ pounds
3. Students must be currently enrolled at an accredited university; in an undergraduate or graduate degree program</t>
  </si>
  <si>
    <t>Maersk</t>
  </si>
  <si>
    <t>1. Min 3.0 GPA
2. Degree pursuit in Marketing, Communications, Media/PR, Video/Content/Creative, Branding, Business, Supply Chain Management, or related.
3. Strong Time Management skills
...</t>
  </si>
  <si>
    <t>Marketing &amp; Publicity Intern, Special Interest</t>
  </si>
  <si>
    <t>Bloomsbury USA</t>
  </si>
  <si>
    <t>1. Candidates must have a demonstrably strong interest in publishing.
2. Ideal candidates are detail-oriented, able to manage their own time, and highly organized.
3. Candidates must reside in the New York tristate area.
...</t>
  </si>
  <si>
    <t>Social View Agency</t>
  </si>
  <si>
    <t>1. This person should be ready to pick up digital projects across the board at any given moment
2. An interest or skill in photography or videography is necessary
3. You’re open to learning and mastering any tools that will build your skills
...</t>
  </si>
  <si>
    <t>Scooter’s Coffee Frisco Bowl Marketing and Digital Media Intern</t>
  </si>
  <si>
    <t>Frisco</t>
  </si>
  <si>
    <t>1. Must be an active college student.
2. Must receive college credit for internship with our company.
3. Must be able to work at least 20 hours per week.
...</t>
  </si>
  <si>
    <t>Federal Work Study Student Social Media Assistant</t>
  </si>
  <si>
    <t>Western University of Health Sciences</t>
  </si>
  <si>
    <t>1. A student in good standing in the College of Pharmacy, at Western University of Health Sciences.
2. Meet the financial aid requirements for the federal work study program</t>
  </si>
  <si>
    <t>Field Marketing and Engagement Intern</t>
  </si>
  <si>
    <t>Parkhurst Dining Services</t>
  </si>
  <si>
    <t>1. Current university student pursuing a degree in Marketing, Advertising, Communications, Business Management, Hospitality Management, or related field
2. Excellent written and verbal communication skills, with a strong attention to detail and ability to learn and apply new information
3. Ability to manage and prioritize multiple projects in a fast-paced environment
...</t>
  </si>
  <si>
    <t>CrossCountry Mortgage</t>
  </si>
  <si>
    <t>Greater Cleveland</t>
  </si>
  <si>
    <t>1. Pursuing a career in Marketing, Advertising, Communications, Business or related field.
2. Experience in marketing related coursework, professional networks, or internships.
3. Design experience – solid understanding of the Adobe Creative Suite, InDesign, Photoshop and Illustrator.
...</t>
  </si>
  <si>
    <t>Social Media Student Assistant</t>
  </si>
  <si>
    <t>1. Assist w/ Libraries social media platforms
2. Possibly to revive the TikTok account
3. Research Threads</t>
  </si>
  <si>
    <t>Fashion Marketing Intern</t>
  </si>
  <si>
    <t>F&amp;W Style</t>
  </si>
  <si>
    <t>1. Sales and fashion styling skills
2. Knowledge and passion for fashion
3. Basic understanding of fashion design
...</t>
  </si>
  <si>
    <t>Sports Marketing Internship (Unpaid)</t>
  </si>
  <si>
    <t>Optimal Sports Management</t>
  </si>
  <si>
    <t>Marketing, Sporting Goods</t>
  </si>
  <si>
    <t>1. Minimum 1-2 years of experience in sales, prospecting, and making outbound calls.
2. Strong passion for sales and an outbound mentality.
3. Excellent verbal and written communication skills.
...</t>
  </si>
  <si>
    <t>Brand Ambassador</t>
  </si>
  <si>
    <t>Crossingz</t>
  </si>
  <si>
    <t>1. Passion for Networking: Enthusiastic about professional networking and helping peers make connections.
2. Student in the US: Currently enrolled in a university or college situated in the United States.
3. Communication Skills: Excellent verbal and written communication skills.
...</t>
  </si>
  <si>
    <t>Marketing Specialist I (Athletics) (Multiple Positions)</t>
  </si>
  <si>
    <t>$47356-$59195 /yr</t>
  </si>
  <si>
    <t>1. Bachelor's Degree or equivalent advanced learning attained through experience required.
2. One (1) year of relevant work experience required.
3. Working knowledge of Microsoft Office.
...</t>
  </si>
  <si>
    <t>Brand Marketing Internship</t>
  </si>
  <si>
    <t>Eagle Peak Solutions</t>
  </si>
  <si>
    <t>1. Teamwork
2. Problem-solving skills
3. Student mentality
...</t>
  </si>
  <si>
    <t>Marketing &amp; Community Growth Intern at ZettaBlock</t>
  </si>
  <si>
    <t>ZettaBlock</t>
  </si>
  <si>
    <t>1. Strong interest in marketing, community management, or related fields.
2. Excellent communication and interpersonal skills.
3. Native-level fluency in English.
...</t>
  </si>
  <si>
    <t>Communications Intern</t>
  </si>
  <si>
    <t>U.S. Xpress Enterprises</t>
  </si>
  <si>
    <t>Fleet Management, Logistics</t>
  </si>
  <si>
    <t>1. High School Diploma
2. Currently pursuing a degree in Communications or related discipline from a four-year college or university
3. Work on student publications in high school or college
...</t>
  </si>
  <si>
    <t>Intern, Digital Marketing</t>
  </si>
  <si>
    <t>1. Ability to create content for social media platforms and manage a content creation schedule
2. Reliability: Have reliable transportation to and from Total Mortgage Arena for games
3. Flexibility: Ability to work all Bridgeport Islanders home games for the 2023-24 season
...</t>
  </si>
  <si>
    <t>Student Marketing Assistant - Institutional Student Worker</t>
  </si>
  <si>
    <t>University of North Georgia</t>
  </si>
  <si>
    <t>1. Must be enrolled at the University of North Georgia in a minimum of six (6) credit hours to qualify as a student worker.
2. Resume
3. Cover letter</t>
  </si>
  <si>
    <t>Research &amp; Social Impact Fellow</t>
  </si>
  <si>
    <t>Raise for Good</t>
  </si>
  <si>
    <t>Consulting, Social</t>
  </si>
  <si>
    <t>Habitat for Humanity</t>
  </si>
  <si>
    <t>1. Currently enrolled in a Bachelor's or Master's degree program in Communications, Marketing, Public Relations, Journalism, or a related field.
2. Strong written and verbal communication skills, with keen attention to detail and accuracy.
3. Proficiency in digital communication and platforms, including social media management tools and content management systems.
...</t>
  </si>
  <si>
    <t>Marketing Intern, Chartwells Higher Ed / Michigan Technological University</t>
  </si>
  <si>
    <t>Internship - MARKETING</t>
  </si>
  <si>
    <t>UTEX Industries</t>
  </si>
  <si>
    <t>Automotive, Energy</t>
  </si>
  <si>
    <t>1. Currently pursuing or recently completed a degree, in Marketing, Business, Communications or related field.
2. 0-2 years of related experience.
3. Advanced computer skills, including experience in Microsoft Office, Canva and Adobe.
...</t>
  </si>
  <si>
    <t>CRYOPDP</t>
  </si>
  <si>
    <t>Health Care, Logistics</t>
  </si>
  <si>
    <t>Irvine, California</t>
  </si>
  <si>
    <t>Social Media and Development-Intern</t>
  </si>
  <si>
    <t>BCFS Health and Human Services</t>
  </si>
  <si>
    <t>1. Must be an undergrad/graduate college student.
2. Must be willing to work 15-20 hours per week at the local program office.
3. Personal/Business/Organization social media account management experience.
...</t>
  </si>
  <si>
    <t>1. High school diploma or educational equivalent; current GPA 2.8 and above.
2. Mastery of standard software suites, including Microsoft Office, Figma, Canva, Adobe Creative, or similar programs.
3. Knowledge of the current trends and features of social media and digital marketing platforms.
...</t>
  </si>
  <si>
    <t>Marketing Leadership Development Program (Conversion)</t>
  </si>
  <si>
    <t>Aetna, a CVS Health Company</t>
  </si>
  <si>
    <t>RI - Woonsocket</t>
  </si>
  <si>
    <t>$21.10-$49.08 /h</t>
  </si>
  <si>
    <t>1. Meet educational requirements (see education section)
2. Have a willingness to relocate if needed
3. Anticipated completion of bachelor’s degree program by start date June 2025 or equivalent experience
...</t>
  </si>
  <si>
    <t>AARP</t>
  </si>
  <si>
    <t>Elderly, Non Profit</t>
  </si>
  <si>
    <t>1. Currently enrolled in a degree program at an accredited college or university
2. Considered a rising undergraduate junior, senior, or graduate student
3. Remain academically enrolled throughout the internship
...</t>
  </si>
  <si>
    <t>Marketing Internship</t>
  </si>
  <si>
    <t>Agilent Technologies</t>
  </si>
  <si>
    <t>1. Currently enrolled in a bachelor’s degree program, with a focus on Marketing, Business or Related field.
2. Completed Junior year in a 4-year degree program.
3. Candidates must be detail-oriented.
...</t>
  </si>
  <si>
    <t>Internship: Marketing (Seasonal 2024-2025)</t>
  </si>
  <si>
    <t>Monumental Sports &amp; Entertainment</t>
  </si>
  <si>
    <t>1. Current undergraduate or graduate student.
2. Strong writing skills.
3. Understanding of marketing, plus of sports marketing.
...</t>
  </si>
  <si>
    <t>PR/Communications Intern - Fall 2024</t>
  </si>
  <si>
    <t>Destination Cleveland</t>
  </si>
  <si>
    <t>Leisure, Tourism</t>
  </si>
  <si>
    <t>1. Experience in communications-related internship or relevant classwork; understanding of the PR process as it pertains to working with the media is preferred.
2. Strong verbal and written communications skills
3. Self-motivated and team player attitude
...</t>
  </si>
  <si>
    <t>Internship: Strategic Marketing (Seasonal 2024-25)</t>
  </si>
  <si>
    <t>1. Current undergraduate or graduate student.
2. Innovative, independent, and upbeat.
3. Organized, able to prioritize work and problem solve in a dynamic, fast-paced environment.
...</t>
  </si>
  <si>
    <t>Digital Media Intern (Programmatic Division)</t>
  </si>
  <si>
    <t>1. Recent college graduate (2023/2024)
2. Strong interest in digital marketing, particularly programmatic
3. Exceptional verbal and written communication skills
...</t>
  </si>
  <si>
    <t>Internship: Venues Marketing (Seasonal 2024-25)</t>
  </si>
  <si>
    <t>Digital Marketing Intern (Paid Search / Paid Social)</t>
  </si>
  <si>
    <t>1. Recent college graduate (2023/2024)
2. Strong interest in digital marketing, particularly paid search and paid social advertising
3. Exceptional verbal and written communication skills
...</t>
  </si>
  <si>
    <t>Social Media Marketing Intern (Unpaid)</t>
  </si>
  <si>
    <t>Marketing Fems</t>
  </si>
  <si>
    <t>1. Must be available to attend either in-person meetings on Tuesdays from 6-8pm or virtually via Zoom on Wednesdays from 5-6pm
2. Commitment of 10-15 hours per week
3. Ability to manage client accounts in the non-profit sector
...</t>
  </si>
  <si>
    <t>Event Marketing Intern</t>
  </si>
  <si>
    <t>Launch 513</t>
  </si>
  <si>
    <t>1. Must be 18 years of age
2. Strong organizational skills and attention to detail
3. Excellent communication and interpersonal skills
...</t>
  </si>
  <si>
    <t>Digital Media Intern (Media Planning Division)</t>
  </si>
  <si>
    <t>$26.15-$55.91 /h</t>
  </si>
  <si>
    <t>Emran Law Firm</t>
  </si>
  <si>
    <t>1. pursuing a degree in Marketing, Communications, Journalism, Law or a related field.
2. Basic understanding of social media platforms (e.g., Facebook, Twitter, Instagram, LinkedIn, TikTok, YouTube).
3. Strong written and verbal communication skills.
...</t>
  </si>
  <si>
    <t>Digital Marketing Intern</t>
  </si>
  <si>
    <t>Friends At Work</t>
  </si>
  <si>
    <t>Digital Entertainment</t>
  </si>
  <si>
    <t>1. Currently enrolled in or a recent graduate of a University program in Music Business, Marketing, Communications, Public Relations, or a related field
2. Basic understanding of social media and its strategic applications in marketing; eager to test &amp; learn in the 'real world.'
3. Lives on social media and can identify key conversations and trends, often ahead of others.
...</t>
  </si>
  <si>
    <t>2025 Summer Intern: Marketing Intern - Undergrad</t>
  </si>
  <si>
    <t>1. Currently pursuing an undergraduate degree with an expected graduation date between December 2025 and May 2026
2. Have a minimum GPA of 3.0. Please include on your resume.
3. This position is limited to persons with indefinite right to work in the United States.
...</t>
  </si>
  <si>
    <t>Marketing Communications Internship</t>
  </si>
  <si>
    <t>Gateway Pet Guardians</t>
  </si>
  <si>
    <t>1. Enthusiastic about marketing communications at a nonprofit.
2. Ability to work independently with minimal supervision.
3. Ability to work collaboratively with others.
...</t>
  </si>
  <si>
    <t>Influencer Marketing Intern</t>
  </si>
  <si>
    <t>Nira Skin</t>
  </si>
  <si>
    <t>Cosmetics, Laser</t>
  </si>
  <si>
    <t>Danvers, MA</t>
  </si>
  <si>
    <t>1. Completed or in-process of completing a bachelor’s degree in marketing
2. Strong interest in influencer marketing, social media marketing, and/or the skincare industry
3. Familiarity with social media platforms and graphic design tools (e.g., Photoshop, Illustrator, Canva)
...</t>
  </si>
  <si>
    <t>Content Marketing Internship - Fall 2024</t>
  </si>
  <si>
    <t>RF-SMART</t>
  </si>
  <si>
    <t>Information Technology, Logistics</t>
  </si>
  <si>
    <t>1. Pursuing a bachelor's or master's degree in marketing, communications, or a related field
2. Strong copywriting skills are a must
3. Must work well independently and be able to prioritize and meet deadlines
...</t>
  </si>
  <si>
    <t>Yalo</t>
  </si>
  <si>
    <t>Chamblee, GA</t>
  </si>
  <si>
    <t>1. Currently pursuing a degree in Marketing, Advertising, or related field
2. Strong written and verbal communication skills
3. Detail-oriented and highly organized
...</t>
  </si>
  <si>
    <t>Lutheran Social Ministries of Maryland</t>
  </si>
  <si>
    <t>Westminster, CO</t>
  </si>
  <si>
    <t>1. Copywriting for websites, blogs, email campaigns, press releases and social media posts
2. Update existing web page copy and images and create blog posts using WordPress
3. Create and send email campaigns to internal and external target audiences using Constant Contact
...</t>
  </si>
  <si>
    <t>1. Studying at a two-year college or four-year university pursuing a marketing-related degree
2. Interested or familiar with working on SEO and SEM
3. Interested or familiar with website analytics and website CMS
...</t>
  </si>
  <si>
    <t>Business Marketing Intern - SUMMER Internship</t>
  </si>
  <si>
    <t>Divergent Marketing Solutions Inc.</t>
  </si>
  <si>
    <t>1. Going to school for Business Management/Marketing
2. Creative, driven, and meticulous individuals with a passion for marketing, communications, advertising, and new technology
3. Ability to implement internal and external communication programs
...</t>
  </si>
  <si>
    <t>2024 Sales &amp; Marketing Internship</t>
  </si>
  <si>
    <t>Elysium Ventures</t>
  </si>
  <si>
    <t>1. Degree in Marketing, Business Management, or Communications is desired
2. Ability to stay level-headed and take the initiative when problems arise
3. Strong communication and interpersonal skills to relate to a variety of people
...</t>
  </si>
  <si>
    <t>Social Media Student Internship</t>
  </si>
  <si>
    <t>1. This person should be ready to pick up digital projects across the board at any given moment
2. Being able to get to the studio and capture content in person
3. An interest or skill in photography or videography is necessary
...</t>
  </si>
  <si>
    <t>Marketing Internship - Entry Level</t>
  </si>
  <si>
    <t>Athletics Communications Intern (Staff Wage)</t>
  </si>
  <si>
    <t>$16-$24 /h</t>
  </si>
  <si>
    <t>1. High school diploma or equivalent.
2. At least two years of experience. Degree in English or communications may substitute for experience.</t>
  </si>
  <si>
    <t>Somerville, MA</t>
  </si>
  <si>
    <t>Student Employee-IMC Content Communications-Content Creator</t>
  </si>
  <si>
    <t>1. Responsible for planning and creating engaging content for SHSU social media
2. Writing news stories for Today@Sam
3. Attending university events
...</t>
  </si>
  <si>
    <t>Digital Media Planner Apprentice</t>
  </si>
  <si>
    <t>Catalyte</t>
  </si>
  <si>
    <t>Artificial Intelligence (AI), Enterprise Software</t>
  </si>
  <si>
    <t>$7.25-$19.24 /h</t>
  </si>
  <si>
    <t>1. Be at least 18 years old
2. Basic proficiency using a computer and the internet
3. Be a U.S. citizen or eligible to work in the U.S. for 30 continuous months. Catalyte does not offer visa assistance or sponsorship of any kind.
...</t>
  </si>
  <si>
    <t>Student Employee-Campus Recreation-Marketing Ambassador(2)</t>
  </si>
  <si>
    <t>$9.50-$9.50 /h</t>
  </si>
  <si>
    <t>1. Self-starter who works well independently with little supervision
2. Interest in marketing, public relations and advertising
3. Strong customer service/people skills
...</t>
  </si>
  <si>
    <t>1. You must be available a minimum of 16 hours a week (2 days a week) on a fixed schedule starting in September 2024.
2. The internship is a 4-month position, with the possibility of extending.
3. This can be a remote position.
...</t>
  </si>
  <si>
    <t>Fairfield, CA</t>
  </si>
  <si>
    <t>1. Teamwork - We’re team players in everything we do
2. Problem-solving skills - Identify issues and immediately respond with solutions
3. Student mentality - Management is constantly trying to improve by providing feedback to all departments so it is crucial to be able to take constructive criticism and implement it
...</t>
  </si>
  <si>
    <t>Marketing and Customer Support Intern</t>
  </si>
  <si>
    <t>Empire MG Inc.</t>
  </si>
  <si>
    <t>1. Dynamic and personable
2. Able to identify market and sales opportunities
3. Maintain relationships with prestigious clientele
...</t>
  </si>
  <si>
    <t>Library Communications Internship</t>
  </si>
  <si>
    <t>City of Burlington, Vermont</t>
  </si>
  <si>
    <t>1. Ability to actively support City diversity, equity, and cultural competency efforts within stated job responsibilities and work effectively across diverse cultures and constituencies.
2. Demonstrated commitment to diversity, equity and inclusion as evidenced by ongoing trainings and professional development.
3. Detail-oriented with ability to work well in a collaborative environment.
...</t>
  </si>
  <si>
    <t>Sales &amp; Marketing Intern (Onsite)</t>
  </si>
  <si>
    <t>1. Pursuing Bachelor's degree in Business, Marketing or related field.
2. Must be a sophomore or junior status with at least 3 semesters left in school (May 2026 grad or later)
3. Must have the ability to work 15-20 hours per week during school year and 40 hours per week during summer (and winter break).
...</t>
  </si>
  <si>
    <t>Digital Marketing and Marketing Research - Austin, TX</t>
  </si>
  <si>
    <t>North Star Resource Group</t>
  </si>
  <si>
    <t>1. Marketing and Research Experience
2. Excellent working knowledge of Excel
3. Great internet research skills
...</t>
  </si>
  <si>
    <t>Internship: Digital Marketing (Seasonal 2024-25)</t>
  </si>
  <si>
    <t>1. Innovative, independent, and upbeat with excellent interpersonal skills.
2. Organized, able to prioritize work and problem solve in a dynamic, fast-paced environment.
3. Passion for sports and social media.
...</t>
  </si>
  <si>
    <t>Internship: Marketing (Seasonal 2024-25)</t>
  </si>
  <si>
    <t>Internship: Corporate Communications (Seasonal 2024-25)</t>
  </si>
  <si>
    <t>1. Related internships or college course work in public relations, journalism, communications, or sports management.
2. Excellent writing skills and demonstrated ability to produce long or short form content.
3. Demonstrated understanding of media relations and social media.
...</t>
  </si>
  <si>
    <t>Marketing Student Worker</t>
  </si>
  <si>
    <t>Haleon</t>
  </si>
  <si>
    <t>Consumer, Health Care</t>
  </si>
  <si>
    <t>Delta Park, UT</t>
  </si>
  <si>
    <t>1. Currently or recently enrolled as student in business, marketing or communication.
2. Excellent written and oral communication skills.
3. Structured and ability to meet short deadlines.
...</t>
  </si>
  <si>
    <t>PR &amp; Communications Intern</t>
  </si>
  <si>
    <t>MemorialCare</t>
  </si>
  <si>
    <t>1. Support with copy editing
2. Collaborate and brainstorm with the Marketing team on campaign ideas and strategy
3. Create PowerPoint presentations
...</t>
  </si>
  <si>
    <t>Marketing and Events Intern – Salt Lake City, Utah</t>
  </si>
  <si>
    <t>1. Currently enrolled student (Junior/Senior) pursuing a bachelor's degree or recent graduate with a bachelor's degree (within the last 12 months) in a related field such as Marketing, Communications, Event Management, Event Production, etc.
2. Experience with Microsoft Office Suite required
3. Have excellent verbal and written communication skills
...</t>
  </si>
  <si>
    <t>Fall Marketing Intern</t>
  </si>
  <si>
    <t>Pursuit Digital</t>
  </si>
  <si>
    <t>1. Currently studying a related field at a college or University.
2. Love of marketing and/or social media.
3. Great attitude and fun to be around.
...</t>
  </si>
  <si>
    <t>"Military Only DOD SkillBridge Approved Internship"  SDR/RDR/Marketing Researcher</t>
  </si>
  <si>
    <t>Healthcare Recruitment Partners</t>
  </si>
  <si>
    <t>1. One (1) + year of administrative support experience
2. Currently in the military &amp; planning to leave in the next six months
3. Tech Savvy: experience using Outlook, LinkedIn, Excel/Word, Teams, etc.
...</t>
  </si>
  <si>
    <t>Quix Plumbing Service</t>
  </si>
  <si>
    <t>Commercial, Field Support</t>
  </si>
  <si>
    <t>1. Excellent written and verbal communication skills
2. Experience in market research and analysis
3. Sales and customer service skills
...</t>
  </si>
  <si>
    <t>Social Media Content Creator</t>
  </si>
  <si>
    <t>$1000-$more /mon</t>
  </si>
  <si>
    <t>Field Marketing Representative (Fiber Internet)</t>
  </si>
  <si>
    <t>3C World Group</t>
  </si>
  <si>
    <t>Information Technology, Internet</t>
  </si>
  <si>
    <t>1. Entrepreneurial mindset a must!
2. Personal initiative, assertiveness, and attention to detail
3. Demonstrate flexibility, initiative, good judgment, critical thinking, and discretion
...</t>
  </si>
  <si>
    <t>Product Marketing Manager Intern (Brand Ads)- 2025 Summer (MBA)</t>
  </si>
  <si>
    <t>1. Currently pursuing a full time MBA or related discipline
2. Product marketing or product management experience with premium video ads or custom programs
3. Experience in the digital advertising industry, preferably at a platform or media company</t>
  </si>
  <si>
    <t>Fall 2024 Management Trainee Intern SRQ Airport</t>
  </si>
  <si>
    <t>1. Must be a rising Junior or Senior enrolled full time for the upcoming semester in a college or university. Graduating no later than May 2025
2. Must have a minimum of three months experience in sales, customer service, management or leadership.
3. Must have a valid driver's license with no more than 2 moving violations and/or at-fault accidents in the last 3 years.
...</t>
  </si>
  <si>
    <t>CNN Public Relations Intern: DC - Fall 2024</t>
  </si>
  <si>
    <t>1. College student majoring in public relations, communications, public affairs, journalism, political science and/or related fields.
2. Strong verbal and written communication skills.
3. Knowledge and use of AP Style writing.
...</t>
  </si>
  <si>
    <t>Marketing Intern - South Park Mall</t>
  </si>
  <si>
    <t>Simon Property Group</t>
  </si>
  <si>
    <t>Leasing, Real Estate</t>
  </si>
  <si>
    <t>1. Must be able to work business hours Monday-Friday with occasional evenings, weekends, and holidays as needed
2. Strong working knowledge of Social Media: Facebook, Twitter, Instagram, &amp; FourSquare
3. Proficient in Microsoft Word, Excel, Access and PowerPoint
...</t>
  </si>
  <si>
    <t>Fall 2024 Management Trainee Intern RSW Airport</t>
  </si>
  <si>
    <t>CNN Communications &amp; PR Intern: ATL - Fall 2024</t>
  </si>
  <si>
    <t>1. Proficiency with social media platforms a must
2. Must be actively enrolled in an accredited college or university degree program for the full duration of the internship (proof of enrollment required)
3. Must be a rising Junior or Senior \u2022Undergrad\u2022 Student (18 years or older)
...</t>
  </si>
  <si>
    <t>Multicultural Marketing Intern</t>
  </si>
  <si>
    <t>Allied Global Marketing</t>
  </si>
  <si>
    <t>Advertising</t>
  </si>
  <si>
    <t>1. Outgoing personality, fun attitude and great work ethic.
2. Passionate about entertainment and film.
3. Must have reliable transportation.
...</t>
  </si>
  <si>
    <t>Fall 2024 Intern - Artist Marketing</t>
  </si>
  <si>
    <t>1. Detail oriented, with an organized manner of working
2. Experience building decks/presentations
3. Ability to adapt and multitask in fast-paced work environments
...</t>
  </si>
  <si>
    <t>Fall 2024 Management Trainee Intern Cape Coral</t>
  </si>
  <si>
    <t>Cape Coral, FL</t>
  </si>
  <si>
    <t>Brand Marketing and Communications Intern</t>
  </si>
  <si>
    <t>1. Currently pursuing a degree in Public Relations, Communications, Marketing, or a related field. Recent graduates are also welcome to apply
2. Strong written and verbal communication skills, with an eye for detail
3. Familiarity with social media platforms and digital PR and Brand trends
...</t>
  </si>
  <si>
    <t>Reach Records Digital Marketing Intern - Fall 2024</t>
  </si>
  <si>
    <t>Reach Records</t>
  </si>
  <si>
    <t>Audio Recording and Production, Media and Entertainment</t>
  </si>
  <si>
    <t>1. Must provide their own computer and smartphone for the duration of the internship
2. Must be available at least 24 hours per week during operation business hours (9-5pm)
3. Must be located in Atlanta or be able to relocate to Atlanta and have a reliable car for the duration of the internship</t>
  </si>
  <si>
    <t>1. Experience using social media platforms, including Twitter, Facebook, Instagram
2. Adobe Creative Suite (primarily Photoshop and Premiere)
3. Detail-oriented and organized
...</t>
  </si>
  <si>
    <t>2025 Group Benefit Solutions (GBS) Strategy Solutions &amp; Marketing Summer Internship Program - TN/PA</t>
  </si>
  <si>
    <t>1. You must be a rising junior or senior pursuing a degree at an accredited college or university</t>
  </si>
  <si>
    <t>Marketing internships-Fall 2024</t>
  </si>
  <si>
    <t>Urban Creator</t>
  </si>
  <si>
    <t>Advertising, Consulting</t>
  </si>
  <si>
    <t>1. Passionate about creating and delivering highly engaging event experiences that align with business and marketing objectives
2. Leverage marketing technology to support customer and prospect engagement and opportunity progression
3. Deep event management experience
...</t>
  </si>
  <si>
    <t>2025 NYL Investments Summer Internship Program</t>
  </si>
  <si>
    <t>New York Life Investment Management</t>
  </si>
  <si>
    <t>1. Currently pursuing an undergraduate or graduate degree at an accredited 4-year university or college with an anticipated graduation date between December 2025 and June 2027
2. Excellent interpersonal skills
3. Technical, analytical and problem-solving skills with strong attention to detail</t>
  </si>
  <si>
    <t>Fall 2024 Communications &amp; Development Intern</t>
  </si>
  <si>
    <t>1. Must be a current undergraduate student, graduate student, or less than 12 months past graduation.
2. Candidates must be a U.S. citizen or must have active and compliant visas and work authorization status in the United States (the IRC must not be represented as a sponsor or host in any application, filing, or other context for an intern).
3. Usage of a personal computer and internet access for remote work purposes.
...</t>
  </si>
  <si>
    <t>Technical Marketing Intern</t>
  </si>
  <si>
    <t>1. Enrolled in a Bachelor’s Degree program for Mechanical Engineering, Optics, Physics or related field(s)
2. Demonstrated initiative, resiliency, flexibility, time-management, and organizational skills
3. Excellent written and oral communication skills
...</t>
  </si>
  <si>
    <t>Self-Help - Marketing Assistant</t>
  </si>
  <si>
    <t>1. Assist Public Communications Specialist with a new short-form video series highlighting pieces of the Campus Living department and our partners, mainly in other Student Affairs departments
2. Assist with departmental branding and recognition efforts
3. Assist with basic departmental graphic design work
...</t>
  </si>
  <si>
    <t>DIGITAL MARKETING INTERN - FALL</t>
  </si>
  <si>
    <t>Jasco Products</t>
  </si>
  <si>
    <t>Consumer Electronics, Electronic Design Automation (EDA)</t>
  </si>
  <si>
    <t>1. Must be actively enrolled full-time in an undergraduate or graduate degree program at the time of the internship
2. Must be Sophomore status or above
3. Must be 18 or older on date of hire
...</t>
  </si>
  <si>
    <t>Automotive Program Service Assistant (Social Media) WS, Student</t>
  </si>
  <si>
    <t>Linn-Benton Community College</t>
  </si>
  <si>
    <t>$15.13-$15.13 /h</t>
  </si>
  <si>
    <t>1. Must maintain enrollment in at least six (6) credits at LBCC
2. Maintain satisfactory academic progress throughout each term
3. Maintain a cumulative grade point average of 2.0 or better
...</t>
  </si>
  <si>
    <t>Marketing Intern (CM)</t>
  </si>
  <si>
    <t>Y-PLANET INC</t>
  </si>
  <si>
    <t>$5000-$5000 /mon</t>
  </si>
  <si>
    <t>1. Have an understanding of TikTok, live streaming, and familiar with the social media marketing on platforms such as: TikTok, Instagram, etc.
2. Have strong communication skills, adaptable, and performs well in a fast pace environment</t>
  </si>
  <si>
    <t>Marketing &amp; PR Internship</t>
  </si>
  <si>
    <t>Edge Branding Inc.</t>
  </si>
  <si>
    <t>$0-$4000 /mon</t>
  </si>
  <si>
    <t>1. Motivated to smash targets consistently
2. Ability to perform under pressure
3. Desire to work in a fast-paced environment
...</t>
  </si>
  <si>
    <t>Marketing Internship 2024 Fall</t>
  </si>
  <si>
    <t>1. Excellent research and organizational skills
2. Great communication skills and verbal command of the English language
3. Web savvy and computer literate
...</t>
  </si>
  <si>
    <t>1. Experience with a variety of social media platforms
2. The ability to create content for a variety of social media platforms</t>
  </si>
  <si>
    <t>Fall Social Media and Marketing Intern</t>
  </si>
  <si>
    <t>787 Social</t>
  </si>
  <si>
    <t>Consulting, Content Creators</t>
  </si>
  <si>
    <t>1. Strong skills in Social Media Marketing and Content Creation
2. Solid understanding of Digital Marketing principles
3. Excellent communication abilities
...</t>
  </si>
  <si>
    <t>Clark Nexsen</t>
  </si>
  <si>
    <t>1. A high school diploma or GED equivalent is required.
2. Either studying or have obtained an Associates or Bachelor’s Degree in Marketing, Communications, English, Journalism, Creative Writing, Business, or a related field.
3. A Communications Intern should be able to effectively utilize current company software programs for word processing, e-mail, and information management. Programs include MS Word, MS Excel, MS Powerpoint, and MS Outlook.
...</t>
  </si>
  <si>
    <t>Marketing Intern, Chartwells Higher Ed / Oklahoma Baptist University</t>
  </si>
  <si>
    <t>US - Florham Park</t>
  </si>
  <si>
    <t>Intern, eCommerce</t>
  </si>
  <si>
    <t>E.L.F. Beauty</t>
  </si>
  <si>
    <t>1. Interest in eCommerce merchandising, marketing and sales
2. Strong analytical and problem solving skills
3. Strong attention to detail
...</t>
  </si>
  <si>
    <t>Gulfshore Life</t>
  </si>
  <si>
    <t>Lifestyle, News</t>
  </si>
  <si>
    <t>1. Strong awareness and presence in Southwest Florida social, restaurant, hospitality and charity scene
2. Attention to detail
3. Ability to network and build relationships
...</t>
  </si>
  <si>
    <t>Sampson Construction</t>
  </si>
  <si>
    <t>Construction, Property Development</t>
  </si>
  <si>
    <t>1. Currently pursuing a degree in Marketing, Journalism, Communications, Design, or a related field.
2. Strong communication skills, both written and verbal.
3. Proficiency in Adobe Creative Cloud (InDesign, Photoshop, Illustrator, Premiere Pro) and Microsoft 365 (Word, Excel, PowerPoint, Outlook, Teams).
...</t>
  </si>
  <si>
    <t>Anheuser-Busch NÜTRL Student Brand Manager</t>
  </si>
  <si>
    <t>Advantage Solutions</t>
  </si>
  <si>
    <t>Consumer, Marketing</t>
  </si>
  <si>
    <t>Oxford, OH</t>
  </si>
  <si>
    <t>1. Must be of legal drinking age (21+). Role requires Responsible Alcohol Training.
2. Access to a computer with Microsoft Office and home internet access.
3. Personal smartphone with the ability to communicate/report while in the field.
...</t>
  </si>
  <si>
    <t>Digital Communications Intern</t>
  </si>
  <si>
    <t>Kansas Department of Health and Environment</t>
  </si>
  <si>
    <t>Association, Finance</t>
  </si>
  <si>
    <t>Shawnee County, KS</t>
  </si>
  <si>
    <t>$15.03-$15.03 /h</t>
  </si>
  <si>
    <t>1. Currently enrolled in a college program in Marketing or Communications, Advertising or Public Relations, or a field that requires similar skills.
2. Valid Driver's License - Incumbent is required to have and maintain a valid driver's license when operating a state vehicle, a private vehicle, or a rental vehicle for the benefit of the State
3. Must hold and maintain a valid driver’s license and have reliable transportation to sites.
...</t>
  </si>
  <si>
    <t>(Unpaid) Marketing Internship</t>
  </si>
  <si>
    <t>Illinois Heartland Library System</t>
  </si>
  <si>
    <t>1. Valid driver’s license or other accommodations for travel.
2. Knowledge of building marketing programs and reporting on the results.
3. Exposure to digital and direct response marketing.
...</t>
  </si>
  <si>
    <t>Tradeshows + Events Marketing Intern</t>
  </si>
  <si>
    <t>STERIS Corporation</t>
  </si>
  <si>
    <t>1. 3+ years of college education in Marketing, Communications, or related Major and an interest in pursuing a career in Marketing
2. High level of proficiency in Microsoft Word, Excel and PowerPoint.
3. Strong analytical skills and problem-solving skills.
...</t>
  </si>
  <si>
    <t>Global Markets Internship</t>
  </si>
  <si>
    <t>BBVA</t>
  </si>
  <si>
    <t>$75000-$75000 /yr</t>
  </si>
  <si>
    <t>1. Good understanding of written and spoken Spanish
2. MSc in Mathematics, Physics, Computer Science or Engineering
3. Proficient in productivity tools (spreadsheets, word processors, etc.)
...</t>
  </si>
  <si>
    <t>Local College Co-op - Business Communications</t>
  </si>
  <si>
    <t>1. Must be 18 or older
2. High school diploma/GED and already enrolled at an accredited college or university, pursuing an undergraduate degree.
3. Successfully complete a minimum of 6 credit hours per term during both the Fall and Winter terms (:Sept-Apr).
...</t>
  </si>
  <si>
    <t>Marketing &amp; PR Intren</t>
  </si>
  <si>
    <t>ASM Global</t>
  </si>
  <si>
    <t>Customer Service, Event Management</t>
  </si>
  <si>
    <t>1. Actively enrolled and currently pursuing a two or four-year program at an accredited college or university with a focus in Communications (i.e., Public Relations, Marketing, Journalism, or Advertising).
2. Demonstrate knowledge of industry terminology, facility capabilities, operational procedures, event coordination, and event-related services.
3. Handle conflict, make common sense decisions, and exercise proper action during high-tension and stressful situations.
...</t>
  </si>
  <si>
    <t>Three Six Zero</t>
  </si>
  <si>
    <t>Angel Investment, Film</t>
  </si>
  <si>
    <t>1. Must be a 3rd or 4th year undergraduate currently enrolled in a college or university and receiving academic credit for this internship
2. Must have a high level of interpersonal skills in order to handle varied personalities, sensitive and timely situations
3. Attention to detail and strong organizational skills required
...</t>
  </si>
  <si>
    <t>Marketing Events Intern</t>
  </si>
  <si>
    <t>Broad River Retail</t>
  </si>
  <si>
    <t>Consumer Goods, Furniture</t>
  </si>
  <si>
    <t>1. Curiosity, fast-learner, and resourceful
2. Strong communication skills
3. Excellent organizational skills and meticulous attention to detail
...</t>
  </si>
  <si>
    <t>Fall Marketing Internship - Awesome Inc</t>
  </si>
  <si>
    <t>Awesome Inc</t>
  </si>
  <si>
    <t>1. Passion, curiosity, determination, and healthy disregard of the fear of failure
2. Ability to produce an extensive portfolio of work in a 15-20 week internship
3. Strengths in copywriting, social media management, data analytics, and video content production
...</t>
  </si>
  <si>
    <t>Communications Intern (US)</t>
  </si>
  <si>
    <t>GoFundMe</t>
  </si>
  <si>
    <t>Crowdfunding, Internet</t>
  </si>
  <si>
    <t>1. A rising Junior or Senior in college or recent college graduate
2. Communications, Public Relations, Journalism Major or a related field
3. Excellent attention to detail
...</t>
  </si>
  <si>
    <t>THECB - Intern, Social Media</t>
  </si>
  <si>
    <t>Texas Higher Education Coordinating Board</t>
  </si>
  <si>
    <t>1. Currently a college graduating senior or graduate student in advertising, communications, English, journalism, marketing, public relations, or a similar field.
2. Professional experience in creating multimedia content on Facebook, LinkedIn, Instagram, and Twitter/X. Professional experience may be substituted for classwork.
3. Experience in Adobe design software.
...</t>
  </si>
  <si>
    <t>Sweetie High</t>
  </si>
  <si>
    <t>Internet, Media and Entertainment</t>
  </si>
  <si>
    <t>1. Must be willing to commit to at least a minimum of three (3) full days each week (9:00AM PST - 5:00PM PST) as well as being flexible with non-traditional hours
2. Must have extensive knowledge on TikTok, Instagram, &amp; YouTube (or aptitude to learn)
3. Must own a laptop &amp; smartphone
...</t>
  </si>
  <si>
    <t>Growth Designer (Full-Time or Internship)</t>
  </si>
  <si>
    <t>Playbook</t>
  </si>
  <si>
    <t>Cloud Storage, Creative Agency</t>
  </si>
  <si>
    <t>1. A unique blend of design/UX and business/sales sense.
2. 3+ years in growth, design/UX, engineering, product management, venture capital, or management consulting.
3. Strong interpersonal skills to build and maintain relationships with partners and internal teams.
...</t>
  </si>
  <si>
    <t>Ravive Plastic Surgery &amp; MedSpa</t>
  </si>
  <si>
    <t>1. Previous experience managing social media for a PLASTIC SURGERY PRACTICE
2. Ability to share your portfolio
3. Create and manage social media content calendars, created 21 days in advance for each month
...</t>
  </si>
  <si>
    <t>Arthur Elliott</t>
  </si>
  <si>
    <t>1. Currently enrolled in a 4-year university or college pursuing an undergraduate or graduate degree in marketing, advertising, management, communications, or related field of study.
2. Understanding of various marketing tactics and desire to learn more.
3. Ability to think outside the box and transform purposeful ideas into powerful results.
...</t>
  </si>
  <si>
    <t>2024 Fall Internship - Communications</t>
  </si>
  <si>
    <t>1. Pursuing Bachelor’s degree in communications, journalism, marketing or related field
2. Relevant experience in media relations and strategic communications
3. Must have outstanding writing, editing and proofreading skills utilizing AP style
...</t>
  </si>
  <si>
    <t>Digital Marketing Associate Intern</t>
  </si>
  <si>
    <t>Coozmoo Technologies</t>
  </si>
  <si>
    <t>Animation, Digital Marketing</t>
  </si>
  <si>
    <t>Pearland, TX</t>
  </si>
  <si>
    <t>1. Diploma Course / certificate or Bachelor’s degree in Marketing, Communications, Business, or a related field.
2. Previous experience in digital marketing or a related role.
3. Experience with digital marketing tools and platforms (e.g., Google Analytics, Facebook Ads Manager).
...</t>
  </si>
  <si>
    <t>Marketing Intern - Agency Partnerships</t>
  </si>
  <si>
    <t>XIRCLS</t>
  </si>
  <si>
    <t>1. Currently pursuing or recently completed a degree in Marketing, Communications, Business, or related fields.
2. Strong passion for marketing and eagerness to learn within a startup environment.
3. Excellent communication skills for engaging diverse audiences.
...</t>
  </si>
  <si>
    <t>Social Media / Marketing Internship</t>
  </si>
  <si>
    <t>Common Threads</t>
  </si>
  <si>
    <t>1. Pursuing a graduate or undergraduate degree in marketing, communications
2. Familiarity with software such as Microsoft Office, Google Docs, WordPress, Adobe Photoshop, InDesign and Canva
3. Desire to learn new skills and work on a variety of projects
...</t>
  </si>
  <si>
    <t>Development &amp; Communications Intern</t>
  </si>
  <si>
    <t>AsylumWorks</t>
  </si>
  <si>
    <t>1. College student with experience or a focus of study in communications, international relations, business, human services, or a related field
2. Demonstrated commitment to AsylumWorks’ mission, vision, and values
3. Willingness to provide hands-on administrative support
...</t>
  </si>
  <si>
    <t>Textron eAviation</t>
  </si>
  <si>
    <t>Building Industry Association of the Red River Valley</t>
  </si>
  <si>
    <t>$minimum wage-$not specified /h</t>
  </si>
  <si>
    <t>1. commit 10-20 hours per week with flexibility, lasting through fall term
2. be a student with junior or senior status studying communications (or a related field)
3. have ability to communicate effectively with others both verbally and in writing
...</t>
  </si>
  <si>
    <t>Social Media &amp; Content Creation Intern</t>
  </si>
  <si>
    <t>Primo Water Corporation</t>
  </si>
  <si>
    <t>Consumer, Food and Beverage</t>
  </si>
  <si>
    <t>1. Currently pursuing or recently completed a bachelor's degree in marketing, communications, or a related field.
2. Passion for social media and content creation with a basic understanding of social media platforms and digital marketing strategies.
3. Familiarity with creating short-form video content (TikTok &amp; Instagram Reels) and must be comfortable in front of the camera and speaking to the camera.
...</t>
  </si>
  <si>
    <t>Advertising Vehicles</t>
  </si>
  <si>
    <t>1. Current undergraduate students at Sophomore level or higher
2. Confidence with taking and editing high quality pictures and assisting with video and post production
3. Strong interpersonal skills and ability to work with a variety of individual work styles
...</t>
  </si>
  <si>
    <t>Entry Level Event Assistant</t>
  </si>
  <si>
    <t>OED</t>
  </si>
  <si>
    <t>1. Excellent verbal and written communication abilities.
2. Keen eye for detail and a creative mindset.
3. Strong organizational skills to manage multiple tasks and projects efficiently.</t>
  </si>
  <si>
    <t>Event Assistant - Entry-Level Opening</t>
  </si>
  <si>
    <t>1. Excellent verbal and written communication skills.
2. Strong attention to detail and creativity.
3. Exceptional organizational skills to manage multiple tasks efficiently.</t>
  </si>
  <si>
    <t>Brand &amp; Sales Marketing Intern, SPT – Fall 2024</t>
  </si>
  <si>
    <t>1. Exceptional Communication Skills: Exhibit proficiency in both written and verbal communication to effectively convey ideas and information.
2. Keen Attention to Detail: Demonstrate accuracy and care in all tasks and projects.
3. Strategic Thinking and Creativity: Possess the ability to think strategically and demonstrate creativity.
...</t>
  </si>
  <si>
    <t>Intern - Marketing &amp; Communications</t>
  </si>
  <si>
    <t>Port of San Diego</t>
  </si>
  <si>
    <t>1. Students currently enrolled as part-time students [generally six (6) – eleven (11) units] or full time students [generally twelve (12) units and above] at an accredited college or university may qualify for the Intern Program.
2. A current, valid California Class C driver's license at time of appointment and maintained at all times thereafter in order to operate a vehicle on District business.
3. If assigned to perform work at any of the District's maritime facilities you must be able to pass a background check in accordance with current Federal and State requirements.
...</t>
  </si>
  <si>
    <t>Nonprofit Events/Social Media Intern - Fall 2024</t>
  </si>
  <si>
    <t>The Little Lighthouse Foundation</t>
  </si>
  <si>
    <t>1. Detail oriented
2. Excellent writing skills in English
3. Able to follow instructions
...</t>
  </si>
  <si>
    <t>Field Marketing Intern</t>
  </si>
  <si>
    <t>1. Must be enrolled as a full-time college or graduate student and be able to receive academic credit.
2. Must be at least 18 years of age upon internship start date.
3. Must be legally authorized to work in the U.S. according to each state’s requirements.
...</t>
  </si>
  <si>
    <t>Fall Social Media Fellow</t>
  </si>
  <si>
    <t>Health Tech 4 Medicaid</t>
  </si>
  <si>
    <t>1. Current student or post-grad looking for hands on social media experience
2. High degree of initiative and independence
3. Great written and interpersonal communication skills
...</t>
  </si>
  <si>
    <t>Remote Communications Internship &amp; Fellowship (5-Months)</t>
  </si>
  <si>
    <t>International Justice Mission</t>
  </si>
  <si>
    <t>Association</t>
  </si>
  <si>
    <t>1. Bachelor's degree
2. Organizational and administrative skills
3. Attention to detail
...</t>
  </si>
  <si>
    <t>Advancement - Social Media Assistant (NEC STUDENT ONLY)</t>
  </si>
  <si>
    <t>The New England Conservatory of Music</t>
  </si>
  <si>
    <t>Education, Music</t>
  </si>
  <si>
    <t>1. Social media experience
2. Excellent oral and written communication skills
3. In-depth knowledge of Facebook, Instagram, Linktree, and LinkedIn
...</t>
  </si>
  <si>
    <t>Summer 2025 Real Estate Capital Internship – Chicago</t>
  </si>
  <si>
    <t>1. Pursuing a bachelor’s degree (must graduate Winter 2025 or Spring 2026.)
2. Demonstrated teamwork and leadership through extracurricular activities</t>
  </si>
  <si>
    <t>Campus Ambassador</t>
  </si>
  <si>
    <t>Trinka AI</t>
  </si>
  <si>
    <t>Artificial Intelligence (AI)</t>
  </si>
  <si>
    <t>1. Student status at a university or college
2. Interest in artificial intelligence and ethical AI practices
3. Strong communication and organizational skills
...</t>
  </si>
  <si>
    <t>Fall 2024 Intern - Music Brand Partnerships</t>
  </si>
  <si>
    <t>1. Must be current student, enrolled in a Bachelor’s/Master’s program at an accredited college or university
2. Must be eligible to receive academic credit from their college or university for the duration of the internship
3. Background in marketing or communications a plus
...</t>
  </si>
  <si>
    <t>Fall 2024 Intern - Digital Marketing &amp; Strategy</t>
  </si>
  <si>
    <t>1. Must be eligible to receive academic credit from your college or university
2. Must be currently enrolled as a full-time college student working towards your Associate’s, Bachelor’s or Masters degree
3. Extremely detail oriented and organized
...</t>
  </si>
  <si>
    <t>Fall 2024 Intern - Label Marketing</t>
  </si>
  <si>
    <t>1. Must be a current student, enrolled in a Bachelor’s/Master’s program at an accredited College or University
2. Must be eligible to receive academic credit from their College or University for the duration of the internship
3. Takes initiative, works independently and can be accountable
...</t>
  </si>
  <si>
    <t>Alfred Fleishman Diversity Fellowship, Copywriter - Summer 2024, New York</t>
  </si>
  <si>
    <t>$41600-$45760 /h</t>
  </si>
  <si>
    <t>1. Qualified candidates will be recent graduates, available to work 40 hours a week.
2. Committed to cultivating diverse teams and contributing to an inclusive working and learning environment.
3. Basic job requirements for Fellows include excellent written and oral communications skills, an innate curiosity, and desire to learn in a fast-pace and ever-changing environment.
...</t>
  </si>
  <si>
    <t>Fall 2024 Intern - Digital Marketing &amp; Strategy (Label)</t>
  </si>
  <si>
    <t>Fall 2024 Management Trainee Internship- Greater Columbus</t>
  </si>
  <si>
    <t>1. Must be at least 18 years old.
2. Must be a current college student enrolled in a bachelors degree program, graduating no later than December 2024 or Spring 2025.
3. Must be able to work 20 hours/week for a full 12-13 weeks (up to 89 days maximum during the window of August 20th through November 22nd.
...</t>
  </si>
  <si>
    <t>Liner</t>
  </si>
  <si>
    <t>Apps, Artificial Intelligence (AI)</t>
  </si>
  <si>
    <t>1. Ability to work in-person at San Francisco or Berkeley during the contract period.
2. Ability to analyze data and find meaningful patterns.
3. Must be willing to use personal social media to advertise on behalf of Liner.
...</t>
  </si>
  <si>
    <t>M.Coast Enterprise</t>
  </si>
  <si>
    <t>Alpine Marketing Intern [Paid] - Fall/Winter 2024</t>
  </si>
  <si>
    <t>Salomon Group</t>
  </si>
  <si>
    <t>Outdoors, Sporting Goods</t>
  </si>
  <si>
    <t>1. Energy, positive attitude, solution finding! You are one of the faces of the alpine brand.
2. Organized and detail oriented
3. Effective, creative and thorough communicator
...</t>
  </si>
  <si>
    <t>Communications Internship</t>
  </si>
  <si>
    <t>Lambda Legal</t>
  </si>
  <si>
    <t>1. A strong commitment to social justice, equality, and civil rights issues, particularly those involving the LGBTQ+ and HIV-affected communities
2. Experience creating and maintaining databases or spreadsheets with detailed information
3. Exceptional communication skills both written and verbal
...</t>
  </si>
  <si>
    <t>Marketing Peer to Peer- NCCU</t>
  </si>
  <si>
    <t>Aramark</t>
  </si>
  <si>
    <t>Apparel, Food Processing</t>
  </si>
  <si>
    <t>1. Currently enrolled as a student at NCCU
2. Frequent lifting, carrying, pushing, or pulling greater than 50 lbs.
3. Must be able to follow basic safety procedures and precautions due to physical risks and exposure to hazardous chemicals
...</t>
  </si>
  <si>
    <t>IT Staffing Intern</t>
  </si>
  <si>
    <t>Client Resources</t>
  </si>
  <si>
    <t>Information Technology, Mobile</t>
  </si>
  <si>
    <t>Omaha Metropolitan Area</t>
  </si>
  <si>
    <t>1. Currently enrolled as a student (undergraduate or graduate) with a major in business, marketing, communications, or a related field
2. Strong written and verbal communication skills
3. Proficient in social media platforms and content creation tools
...</t>
  </si>
  <si>
    <t>Written Content Intern - Digital Commerce</t>
  </si>
  <si>
    <t>The Bluebird Group</t>
  </si>
  <si>
    <t>1. Experience in product focused technical or copy writing
2. Excellent written communicator and editor
3. Proficient in Microsoft Office Suite
...</t>
  </si>
  <si>
    <t>$14-$19 /h</t>
  </si>
  <si>
    <t>2024 Marketing and Sales Internship</t>
  </si>
  <si>
    <t>1. Able to work full-time hours and weekends
2. Adapt well to change, both in sales mentality and with customers
3. Self-starter with the ability to shine in unsupervised individual tasks as well as team projects
...</t>
  </si>
  <si>
    <t>2024-2025 - Student Access and Success, Social Media Creator</t>
  </si>
  <si>
    <t>1. Student enrolled at FIU, who have been awarded Federal Work Study (FWS) as part of their Financial Aid Award package.
2. Student must be enrolled with a minimum of six (6) credit hours in a course of study leading to a degree or a Financial Aid eligible certificate, during Fall, Spring, and Summer semesters.
3. Knowledge of Adobe, Canva, Instagram, Facebook
...</t>
  </si>
  <si>
    <t>Intern, Entertainment and Influencer Marketing-Remote</t>
  </si>
  <si>
    <t>American Heart Association</t>
  </si>
  <si>
    <t>Association, Fitness</t>
  </si>
  <si>
    <t>1. Candidates who are seniors or graduate students pursuing a degree in communications, social/digital media, public relations, or marketing with an interest in entertainment and influencer marketing and non-profit organizations.
2. Knowledge of the American Heart Association and strong awareness of and interest in current events, pop culture, social media trends (including emerging platforms and AI), and what’s in the news related to health care, heart disease, stroke, and nonprofit organizations.
3. Strong verbal and written communication skills, including professional interaction with colleagues.
...</t>
  </si>
  <si>
    <t>Marketing/Community Relations Intern (FALL 2024 SEMESTER)</t>
  </si>
  <si>
    <t>Ackerman Cancer Center</t>
  </si>
  <si>
    <t>1. Seeking Bachelor’s Degree in marketing or communications
2. Strong oral &amp; written communication skills
3. Proficient computer skills with Microsoft Office and graphic design software
...</t>
  </si>
  <si>
    <t>Business Marketing Internship</t>
  </si>
  <si>
    <t>1. Currently enrolled in a Business Management or Marketing program
2. Creative, driven, and meticulous individuals with a passion for marketing, communications, advertising, and new technology
3. Ability to implement internal and external communication programs
...</t>
  </si>
  <si>
    <t>Provo Campus</t>
  </si>
  <si>
    <t>Intern, Marketing</t>
  </si>
  <si>
    <t>Concord, NC</t>
  </si>
  <si>
    <t>1. Must be able to work business hours Monday-Friday with occasional evenings, weekends, and holidays as needed
2. Strong working knowledge of Social Media: Facebook, Twitter, and Instagram
3. Proficient in Microsoft Word, Excel, and PowerPoint
...</t>
  </si>
  <si>
    <t>Kentucky Farm Bureau Insurance</t>
  </si>
  <si>
    <t>1. High school diploma or GED required.
2. Currently enrolled in college level coursework.
3. Demonstrated proficiency with Microsoft Office products such as Word and Excel.
...</t>
  </si>
  <si>
    <t>Management and Marketing Intern</t>
  </si>
  <si>
    <t>Beverly Hills, CA</t>
  </si>
  <si>
    <t>1. Current undergrad student
2. Possess a willingness to learn and take/follow directions
3. Resourceful, proactive and have a positive attitude
...</t>
  </si>
  <si>
    <t>Corporate Communications Intern - Fall 2024</t>
  </si>
  <si>
    <t>UFC</t>
  </si>
  <si>
    <t>Association, Events</t>
  </si>
  <si>
    <t>1. Must be enrolled in a relevant academic program: Public Relations, Journalism, English, or Communications.
2. Junior, Senior, or Graduate level is preferred.
3. Proficient in Microsoft Word.
...</t>
  </si>
  <si>
    <t>Intern, Local Marketing (Hybrid)</t>
  </si>
  <si>
    <t>Homebase</t>
  </si>
  <si>
    <t>Apps, Human Resources</t>
  </si>
  <si>
    <t>1. Experience working in a small business or partnering with the SMBs
2. A strong bias for action, and exceptional communication and operations skills
3. Deep customer empathy
...</t>
  </si>
  <si>
    <t>Global Markets, Rising Junior Summer Internship 2025</t>
  </si>
  <si>
    <t>1. Candidates are required to be pursuing a bachelor's degree from an accredited college or university
2. Strong quantitative and qualitative skills</t>
  </si>
  <si>
    <t>Social Media and Digital Marketing Internship</t>
  </si>
  <si>
    <t>Red Light Management</t>
  </si>
  <si>
    <t>1. Experience with TikTok, Instagram, X, Facebook and all other social media platforms.
2. Familiarity with editing short form content for Reels &amp; TikTok in-app (Graphics, Overlay Text, Sounds, Effects, etc.).
3. Has a finger on the pulse of current TikTok and pop culture trends in the music space and in general.
...</t>
  </si>
  <si>
    <t>TNT Kid's Fitness &amp; Gymnastics</t>
  </si>
  <si>
    <t>Fitness, Non Profit</t>
  </si>
  <si>
    <t>1. Currently enrolled in a bachelor’s degree program in Marketing, Communications, or related field.
2. Strong verbal and written communication skills.
3. Excellent organizational and time-management skills.
...</t>
  </si>
  <si>
    <t>1. 3+ years of college education in Marketing or Communications and an interest in pursuing a career in Marketing
2. High level of proficiency in Microsoft Word, Excel and PowerPoint.
3. Strong analytical skills and problem-solving skills.
...</t>
  </si>
  <si>
    <t>Corporate Communications Intern</t>
  </si>
  <si>
    <t>1. Sophomore or junior level in a B.S. degree program from an accredited college or university in communications, public relations, communications studies, or strategic communications
2. Excellent written and verbal communication skills
3. Current computer literacy including Microsoft Office Products
...</t>
  </si>
  <si>
    <t>Digital Marketing Fall 2024 Internship, TD Garden</t>
  </si>
  <si>
    <t>1. Pursuing a Bachelor’s or Masters degree in Marketing, Digital, or Communications or recent graduates.
2. Experience with MS Office required familiarity with social media platforms and reporting tools (i.e. Facebook, Twitter, Khoros, Sprout, Google Analytics, Salesforce, or a similar CRM) preferred.
3. Availability to come in to our corporate office Tuesdays, Wednesdays, and Thursdays.
...</t>
  </si>
  <si>
    <t>Communications, Content, Copyright Intern</t>
  </si>
  <si>
    <t>MissPoppins</t>
  </si>
  <si>
    <t>Artificial Intelligence (AI), Consumer</t>
  </si>
  <si>
    <t>1. Must have prior experience in writing professional level content and communication campaigns
2. Senior year undergrad or Masters in English, Communications, or related field
3. Be able to diagnose problems quickly and have foresight into potential issues
...</t>
  </si>
  <si>
    <t>Fall Communications/PR Intern</t>
  </si>
  <si>
    <t>Charleston Battery</t>
  </si>
  <si>
    <t>E-Commerce, Sports</t>
  </si>
  <si>
    <t>1. Ability to work in a fast-paced environment
2. Solid writing skills and familiarity with AP Style
3. Takes ownership of projects and tasks, including multiple at a time
...</t>
  </si>
  <si>
    <t>[Fall 2024] Marketing and Membership Internship</t>
  </si>
  <si>
    <t>1. Undergraduates and graduates currently enrolled in accredited academic year programs are eligible
2. Applicants must have completed a minimum of one year’s worth of academic coursework; undergraduate freshmen are not eligible
3. Detail oriented, strong organizational and interpersonal skills</t>
  </si>
  <si>
    <t>Marketing Communications Intern</t>
  </si>
  <si>
    <t>FormFactor</t>
  </si>
  <si>
    <t>Manufacturing, Mobile</t>
  </si>
  <si>
    <t>$20.50-$28.50 /h</t>
  </si>
  <si>
    <t>1. Pursuit of degree in Marketing, Graphic Design or related major.
2. Excellent organizational and communication skills.
3. Ability to work independently/remotely while effectively collaborating with colleagues across many disciplines, organizations, and continents.
...</t>
  </si>
  <si>
    <t>Social Media &amp; Marketing Intern - Paid</t>
  </si>
  <si>
    <t>Mother's Market &amp; Kitchen</t>
  </si>
  <si>
    <t>Food and Beverage, Grocery</t>
  </si>
  <si>
    <t>1. Monitor all social media platforms for trending news, ideas and feedback
2. Engage with in-store partners (brands we carry) and influencers on social media platforms
3. Create social media content
...</t>
  </si>
  <si>
    <t>Marketing and Communications Intern</t>
  </si>
  <si>
    <t>HFO</t>
  </si>
  <si>
    <t>1. Some marketing/graphic design/writing experience (school, internships, etc.)
2. Proficiency in graphic design tools (Adobe Creative Suite, Canva, etc.)
3. Excellent written and verbal communication skills
...</t>
  </si>
  <si>
    <t>Hose Master LLC</t>
  </si>
  <si>
    <t>1. High school diploma and pursuing a degree (Bachelor or Master) in Marketing or Business.
2. Computer skills (Excel, PowerPoint, and MS Office Suite) required.
3. Basic understanding of marketing principles.
...</t>
  </si>
  <si>
    <t>Carver Road Hospitality</t>
  </si>
  <si>
    <t>1. Currently enrolled in a marketing, communications, or other program at a college or university.
2. Strong written and verbal communication skills.
3. Ability to work independently and prioritize tasks.
...</t>
  </si>
  <si>
    <t>All Points Acupuncture &amp; Wellness Center</t>
  </si>
  <si>
    <t>Alternative Medicine, Health Care</t>
  </si>
  <si>
    <t>Rochelle Park, NJ</t>
  </si>
  <si>
    <t>1. Social Media Marketing and Social Media Content Creation skills
2. Digital Marketing and Marketing skills
3. Strong Communication skills
...</t>
  </si>
  <si>
    <t>Nina McLemore</t>
  </si>
  <si>
    <t>1. Must have experience with shopify coding.
2. Must have experience with Klavijo.
3. Advanced with social media platforms: Pinterest, Facebook, Instagram.
...</t>
  </si>
  <si>
    <t>10PM Curfew</t>
  </si>
  <si>
    <t>1. Obsessed with all things female lifestyle, beauty, fashion, and health &amp; wellness.
2. Engaging on Instagram and TikTok.
3. Create and curate engaging and attention-grabbing posts.
...</t>
  </si>
  <si>
    <t>Fall Digital Marketing Internship at Bright Age Digital Creative Agency</t>
  </si>
  <si>
    <t>Bright Age Digital Creative Agency</t>
  </si>
  <si>
    <t>1. Must have completed or is currently enrolled a four-year degree program in English, Film and Media Studies, Creative Writing, Marketing, Public Relations, Advertising, Communication, Psychology or a related field.
2. Minimum College GPA of 3.4
3. Must be prepared to communicate with many different people daily in a timely and professional manner
...</t>
  </si>
  <si>
    <t>MacArthur Justice Center</t>
  </si>
  <si>
    <t>$350-$350 /wk</t>
  </si>
  <si>
    <t>1. Excellent writing and editing skills
2. Familiarity and experience with social media platforms, including X/Twitter, Facebook, and LinkedIn
3. Working knowledge of Microsoft Suite, including Word and Excel
...</t>
  </si>
  <si>
    <t>VDC Research</t>
  </si>
  <si>
    <t>Consulting, Embedded Systems</t>
  </si>
  <si>
    <t>Southborough, MA</t>
  </si>
  <si>
    <t>1. Candidate of a BA/BS degree
2. Strong written and oral business communication skills
3. Strong MS Office skills—Excel, Power Point, and Word
...</t>
  </si>
  <si>
    <t>Marketing Intern, Chartwells Higher Ed / University of Texas - Rio Grande Valley</t>
  </si>
  <si>
    <t>Edinburg, TX</t>
  </si>
  <si>
    <t>1. Photo editing software skills are required.
2. Excellent communication skills, written and verbal
3. Customer service experience/knowledge
...</t>
  </si>
  <si>
    <t>Social Media Marketing Manager</t>
  </si>
  <si>
    <t>The KINN</t>
  </si>
  <si>
    <t>$500-$500 per project</t>
  </si>
  <si>
    <t>1. Bachelor's degree in marketing, communication, or related field.
2. Minimum of 1+ years of experience in social media marketing, preferably in a similar role.
3. Strong writing, editing, and communication skills.
...</t>
  </si>
  <si>
    <t>Richmond, CA</t>
  </si>
  <si>
    <t>1. Assist in marketing and promotional activities to gain new customer acquisitions and maintain existing customer retention
2. Collaborate with the marketing and sales team to drive the marketing and promotions of our clients by preparing and delivering promotional presentations
3. Develop diverse marketing and sales approaches and maintain relationships with potential consumers
...</t>
  </si>
  <si>
    <t>Paid Internship Sophia's Garden and CEPS Social Media Coordinator - Fall 2024</t>
  </si>
  <si>
    <t>State University of New York College at Cortland</t>
  </si>
  <si>
    <t>Cortland, NY</t>
  </si>
  <si>
    <t>1. Must be a current SUNY Cortland student of sophomore, junior, or senior status
2. Familiarity with software, social media, communication
3. Must have excellent writing skills</t>
  </si>
  <si>
    <t>Symrise AG</t>
  </si>
  <si>
    <t>Teterboro, NJ</t>
  </si>
  <si>
    <t>1. Must be enrolled in an accredited university/college in Junior or Senior year
2. Your degree should be business related (ie., Business Admin., Mgmt., Marketing, etc.)
3. Availability to work remote schedule 20-30 hours/week
...</t>
  </si>
  <si>
    <t>Marketing And Development Intern</t>
  </si>
  <si>
    <t>Hospitality Homes</t>
  </si>
  <si>
    <t>Brookline, MA</t>
  </si>
  <si>
    <t>1. Must be self-motivated, organized, detail oriented, be able to prioritize
2. Must have knowledge of social media platforms and best practices.
3. Must be available for two events: September 21st 12-4pm (Everybody Fights Seaport) &amp; October 6th 10am-3pm (Wimbledon Tennis &amp; Pickleball Club)
...</t>
  </si>
  <si>
    <t>Programs and Digital Content Intern (Hybrid)</t>
  </si>
  <si>
    <t>AGSIW</t>
  </si>
  <si>
    <t>1. Student enrolled in a relevant graduate or undergraduate degree program or a recent graduate in international affairs, political science, government, economics, or similar major
2. Demonstrated interest in international relations and the Middle East and Gulf region through previous experience or coursework
3. Strong writing skills, excellent communication abilities, and attention to detail
...</t>
  </si>
  <si>
    <t>KB Home</t>
  </si>
  <si>
    <t>1. High school degree or equivalent required
2. Currently in-program or having just graduated with a degree in Marketing, Social Media Management or other industry-related discipline
3. Excellent organizational and project management skills
...</t>
  </si>
  <si>
    <t>Social Analytics &amp; Insights Intern, SPT Research – Fall 2024</t>
  </si>
  <si>
    <t>1. Passionate about television content and an avid viewer across a variety of platforms
2. Familiarity with relevant social platforms, especially TikTok, Reddit, YouTube, as well as Twitter/X, Facebook, Instagram, etc.
3. Familiarity with social analytics software including Canvs, ListenFirst, Quid, Meltwater, Tubular, Talkwalker, etc.
...</t>
  </si>
  <si>
    <t>Arena Marketing Intern |Donald L Tucker Civic Center (Florida State U)</t>
  </si>
  <si>
    <t>Oakview Group</t>
  </si>
  <si>
    <t>$13.75-$13.75 /h</t>
  </si>
  <si>
    <t>1. Must be a college junior, senior or graduate student.
2. Availability to work 12 hours a week, including evenings and weekends.
3. Working knowledge of Microsoft Word, Excel, and PowerPoint.
...</t>
  </si>
  <si>
    <t>Marketing Assistant/ Intern</t>
  </si>
  <si>
    <t>Sun Tan City</t>
  </si>
  <si>
    <t>1. Proficient with Microsoft Suite and Adobe Creative Suite
2. Experience setting up social media campaigns, particularly Facebook and Instagram
3. Experience in sales
...</t>
  </si>
  <si>
    <t>IN PERSON SEO + Marketing Intern</t>
  </si>
  <si>
    <t>URBAN FURNISHED</t>
  </si>
  <si>
    <t>1. Currently pursuing a bachelor’s or master’s degree in hospitality, tourism, business, operations, or a related field, with a minimum GPA of 3.0
2. Ability to reliably commute to our office in Chelsea
3. Strong interest and enthusiasm for the hospitality industry and operations
...</t>
  </si>
  <si>
    <t>Marketing Assistant/Intern</t>
  </si>
  <si>
    <t>Buff City Soap</t>
  </si>
  <si>
    <t>Events Marketing Intern</t>
  </si>
  <si>
    <t>Versaterm</t>
  </si>
  <si>
    <t>Apps, Electronics</t>
  </si>
  <si>
    <t>1. Passion for event planning and marketing
2. Desire to learn and grow in the field of corporate marketing
3. Ability to multi-task, prioritize and meet deadlines in a fast-paced environment
...</t>
  </si>
  <si>
    <t>Paid Marketing Internship - Full Time</t>
  </si>
  <si>
    <t>Stoic Management Group</t>
  </si>
  <si>
    <t>1. Bachelor's degree in Marketing, Business, or other related fields (or working towards one)
2. Basic knowledge of marketing &amp; startup</t>
  </si>
  <si>
    <t>H!ero</t>
  </si>
  <si>
    <t>Bellflower, CA</t>
  </si>
  <si>
    <t>1. Enrollment in Marketing, Business, Communications Technology or related degree program
2. Ethical, collaborative, adaptable self-starter with a confident demeanor
3. Ability to manifest positive and professional working relationships in a cross-functional team atmosphere
...</t>
  </si>
  <si>
    <t>Intern: Film Marketing / Los Angeles</t>
  </si>
  <si>
    <t>Neon</t>
  </si>
  <si>
    <t>E-Commerce, Film</t>
  </si>
  <si>
    <t>$16.90-$16.90 /h</t>
  </si>
  <si>
    <t>1. Enrolled in an accredited college or university, taking at least one class in the semester/quarter (Spring/Fall) prior to participation in the internship program, or currently participating in a NEON Internship.
2. Enthusiasm and a positive attitude
3. Excellent computer skills, including proficiency in Google Docs and Excel
...</t>
  </si>
  <si>
    <t>ESPN Social Media Intern, Remote, Fall 2024</t>
  </si>
  <si>
    <t>ESPN</t>
  </si>
  <si>
    <t>Broadcasting, Film Production</t>
  </si>
  <si>
    <t>Bristol, CT</t>
  </si>
  <si>
    <t>$21.70-$21.70 /h</t>
  </si>
  <si>
    <t>1. Elite knowledge of social media, including expertise on Instagram, TikTok, Snapchat, X and Facebook
2. Strong writing and copyediting skills in addition to creative thinking and solid news judgment
3. Elite knowledge of all sports including current athletes, rules and events
...</t>
  </si>
  <si>
    <t>Internal Marketing Communications Intern (Fall 2024)</t>
  </si>
  <si>
    <t>Badger Meter</t>
  </si>
  <si>
    <t>1. Currently pursuing Bachelor’s degree in Marketing, Human Resources, Communications, or related degree
2. Experience with Adobe Creative Cloud (InDesign, Illustrator, Photoshop, Premier Pro)
3. Must be located in WI, or attending local WI school for onsite work
...</t>
  </si>
  <si>
    <t>Socialite Media Fall Intern</t>
  </si>
  <si>
    <t>Socialite Media</t>
  </si>
  <si>
    <t>$750-$750 total stipend</t>
  </si>
  <si>
    <t>1. Current college student or recent graduate majoring in Marketing, Communication, Graphic Design, Journalism, or PR; and/or 1-2 years of similar industry experience
2. Must have an interest in helping small businesses
3. Must have an interest in Social Media Marketing and/or PR or Influencer Marketing
...</t>
  </si>
  <si>
    <t>Intern - Sales and Marketing</t>
  </si>
  <si>
    <t>The Barcode Group</t>
  </si>
  <si>
    <t>E-Commerce, Marketplace</t>
  </si>
  <si>
    <t>1. A minimum of a high school diploma or general education degree (GED)
2. Excellent communication skills both verbal and written
3. Excellent prioritization and organizational skills including the ability to handle a variety of tasks and interruptions on a regular basis
...</t>
  </si>
  <si>
    <t>UFC Public Relations Intern - Fall 2024</t>
  </si>
  <si>
    <t>1. Must be enrolled in a relevant academic program: Public Relations, Journalism, English, or Communications majors.
2. Junior, Senior, or Graduate level is preferred.
3. Proficient in Microsoft Word.
...</t>
  </si>
  <si>
    <t>Intern, Marketing and Communications</t>
  </si>
  <si>
    <t>Wedbush Securities</t>
  </si>
  <si>
    <t>1. Must be enrolled in an accredited university, preferably pursuing a major in marketing, communications or related field
2. Professional presentation skills, demeanor and ability to effectively interact with all organizational levels
3. Exceptional organizational skills and the ability to prioritize daily work flow
...</t>
  </si>
  <si>
    <t>Marketing Design Intern</t>
  </si>
  <si>
    <t>Lamar Advertising Company</t>
  </si>
  <si>
    <t>1. Currently pursuing a degree in Graphic Design – Junior level preferred
2. High School diploma or equivalent is required
3. Working knowledge of Adobe Creative Suite (primarily Illustrator and Photoshop)
...</t>
  </si>
  <si>
    <t>Marketing Ambassador Intern, Chartwells Higher Ed / Boise State University</t>
  </si>
  <si>
    <t>Intern, Product Marketing, Innovation</t>
  </si>
  <si>
    <t>1. Bachelor’s degree or currently pursuing a degree in business or marketing or related field
2. Full competency of Microsoft Office Suite – specifically Excel and PowerPoint
3. Passion for color cosmetics and skincare
...</t>
  </si>
  <si>
    <t>Marketing and Admissions Intern</t>
  </si>
  <si>
    <t>Chester County Intermediate Unit Practical Nursing Program</t>
  </si>
  <si>
    <t>Downingtown, PA</t>
  </si>
  <si>
    <t>$17.34-$17.34 /h</t>
  </si>
  <si>
    <t>1. Candidate must be currently enrolled as a college student majoring in marketing/communications/related studies
2. Knowledge of various Software Training Programs in Word Processing and Desktop Publishing
3. Excellent verbal and written communication skills required
...</t>
  </si>
  <si>
    <t>Student Worker - Social Media and Marketing Content Creator, FRS</t>
  </si>
  <si>
    <t>University of Nevada</t>
  </si>
  <si>
    <t>University of Nevada, Reno - Main Campus</t>
  </si>
  <si>
    <t>1. Candidate must be enrolled at the University of Nevada, Reno</t>
  </si>
  <si>
    <t>stage 6 mois – marketing digital</t>
  </si>
  <si>
    <t>1. Bac+4 à bac+6 en marketing digital
2. Anglais courant
3. Rigueur
...</t>
  </si>
  <si>
    <t>PR, Social &amp; Content Intern</t>
  </si>
  <si>
    <t>Hiebing</t>
  </si>
  <si>
    <t>1. Applicants should have a well-curated social media presence that demonstrates curiosity for what will be trending next.
2. Ability to monitor social media conversations.
3. Collaborate in the development of target-focused communications.
...</t>
  </si>
  <si>
    <t>Communications Coordinator</t>
  </si>
  <si>
    <t>Berkley Alternative Markets Tech</t>
  </si>
  <si>
    <t>Information Technology, Insurance</t>
  </si>
  <si>
    <t>1. Effective written and verbal communication skills
2. Microsoft Office proficient
3. Professional demeanor
...</t>
  </si>
  <si>
    <t>Social Media Leagues Intern - St. Louis, MO</t>
  </si>
  <si>
    <t>TOCA Football</t>
  </si>
  <si>
    <t>Recreation, Soccer</t>
  </si>
  <si>
    <t>1. Strong understanding of social media platforms and their respective best practices.
2. Excellent written and verbal communication skills.
3. Creative thinking and ability to generate engaging content.
...</t>
  </si>
  <si>
    <t>Social Media Leagues Intern - Chicago, IL</t>
  </si>
  <si>
    <t>Social Media Leagues Intern - DFW</t>
  </si>
  <si>
    <t>Lubbock Economic Development Alliance</t>
  </si>
  <si>
    <t>Business Development, Marketing</t>
  </si>
  <si>
    <t>1. Creative and driven mindset
2. Strong communication skills
3. Enthusiasm about social media trends
...</t>
  </si>
  <si>
    <t>Girls Inc</t>
  </si>
  <si>
    <t>$750-$1500 stipend</t>
  </si>
  <si>
    <t>1. Excellent ability to write for various channels and platforms
2. Experience gathering and creating content for social media; experience supporting social media campaigns a plus
3. Excellent interpersonal skills, organization, and problem-solving skills
...</t>
  </si>
  <si>
    <t>Social Media Leagues Intern - Nashville, TN</t>
  </si>
  <si>
    <t>Marketing Intern - Jergens</t>
  </si>
  <si>
    <t>Kao Corporation</t>
  </si>
  <si>
    <t>Beauty, Chemical</t>
  </si>
  <si>
    <t>1. Student pursuing bachelor’s degree or MBA required; Marketing majors preferred.
2. Available 40 hours during Fall Semester preferred, with the possibility of remaining on through the Spring semester.
3. Prior internship experience in a marketing or sales environment is required.
...</t>
  </si>
  <si>
    <t>PT Clerk, Data</t>
  </si>
  <si>
    <t>Southwire Company</t>
  </si>
  <si>
    <t>Consumer Goods, Electrical Distribution</t>
  </si>
  <si>
    <t>Remo, VA</t>
  </si>
  <si>
    <t>1. Must be a rising sophomore or junior
2. Ability to work at least 20 hours per week
3. Studying towards a Bachelor's or Master’s Degree in a relevant field (Management Information Systems or Business interest preferred)
...</t>
  </si>
  <si>
    <t>Ibero-American Action League</t>
  </si>
  <si>
    <t>1. Aid in the day-to-day management of social media platforms, including content creation, scheduling, and engagement.
2. Provide support in organizing and executing Ibero events, including logistics coordination and on-site assistance.
3. Assist in editing flyers and promotional materials to ensure high-quality visual content.
...</t>
  </si>
  <si>
    <t>ADIM Media</t>
  </si>
  <si>
    <t>Digital Marketing, Graphic Design</t>
  </si>
  <si>
    <t>Tomball, TX</t>
  </si>
  <si>
    <t>1. Currently enrolled or recently graduated with a Bachelor’s degree program in Marketing, Communications, Business, or a related field.
2. Must be able to work on-site.
3. Strong written and verbal communication skills.
...</t>
  </si>
  <si>
    <t>Intern, Experiential Marketing</t>
  </si>
  <si>
    <t>Intern Team - Brand Experience Intern</t>
  </si>
  <si>
    <t>1. Must be a college junior or senior, graduate student, or recent graduate (up to two years post grad)
2. Must be available to work 15-25 hours weekly for the duration of the internship program
3. Must be available October 8-12 to support our annual flagship event, Silobration</t>
  </si>
  <si>
    <t>Public Relations / Social Media Intern</t>
  </si>
  <si>
    <t>Big South Conference</t>
  </si>
  <si>
    <t>Recreation, Sports</t>
  </si>
  <si>
    <t>$625 /wk</t>
  </si>
  <si>
    <t>1. Bachelor’s Degree required.
2. Excellent writing, communication and organizational skills
3. Experience/knowledge with website content management systems, use of all social media platforms, proficiency in desktop publishing (InDesign) are essential
...</t>
  </si>
  <si>
    <t>Museum Marketing Assistant</t>
  </si>
  <si>
    <t>$14-$15 /h</t>
  </si>
  <si>
    <t>1. A work-study award is required for this position.
2. Availability to work during the UNM Art Museum’s public hours, including Fridays, Saturdays, and occasional evenings.
3. Ability to work independently and take initiative, while also working effectively in a team environment.
...</t>
  </si>
  <si>
    <t>Marketing and Events Coordinator</t>
  </si>
  <si>
    <t>Alliance Sport Marketing</t>
  </si>
  <si>
    <t>Marketing, Sports</t>
  </si>
  <si>
    <t>Cheshire, CT</t>
  </si>
  <si>
    <t>$2000-$2000 /mon</t>
  </si>
  <si>
    <t>1. Must be able to travel (75% of the time)
2. Well-organized
3. Excellent written and verbal communication skills
...</t>
  </si>
  <si>
    <t>Press/PR Intern</t>
  </si>
  <si>
    <t>31 Phillip Lim</t>
  </si>
  <si>
    <t>Fashion, Men's</t>
  </si>
  <si>
    <t>1. Dependable
2. Detail-oriented
3. Organized
...</t>
  </si>
  <si>
    <t>UEC Social Media Coordinator</t>
  </si>
  <si>
    <t>University of Maryland</t>
  </si>
  <si>
    <t>$15-$30 /h</t>
  </si>
  <si>
    <t>1. Bachelor’s Degree
2. Must be currently enrolled as a master’s level graduate student.</t>
  </si>
  <si>
    <t>Social Media Intern (Fall 2024)</t>
  </si>
  <si>
    <t>Panasonic Homes</t>
  </si>
  <si>
    <t>Construction, Home Decor</t>
  </si>
  <si>
    <t>$17-$38 /h</t>
  </si>
  <si>
    <t>1. Currently pursuing a degree in communications, journalism, marketing, business, or other related concentration
2. Have excellent verbal and written communications skills
3. Hands on experience with all social media networking sites and platforms with a focus on social media monitoring</t>
  </si>
  <si>
    <t>Fall 2024 Media Relations Intern</t>
  </si>
  <si>
    <t>National Women's Law Center</t>
  </si>
  <si>
    <t>Advocacy, Employment</t>
  </si>
  <si>
    <t>$175-$175 /mon</t>
  </si>
  <si>
    <t>1. Current enrollment in a graduate or undergraduate degree.
2. Strong writing skills.
3. Training or coursework in journalism or media relations.
...</t>
  </si>
  <si>
    <t>Events and Marketing Internship</t>
  </si>
  <si>
    <t>The Alpha Group</t>
  </si>
  <si>
    <t>Assisted Living, Charity</t>
  </si>
  <si>
    <t>Delaware, OH</t>
  </si>
  <si>
    <t>1. Studies in the field of Business, Marketing, Public Relations; Event Planning; Hospitality; Minimum of a High School Diploma or GED.
2. Must be at least 18 years of age.
3. Must have a valid Ohio Driver’s License and good driving record.
...</t>
  </si>
  <si>
    <t>Access PAID SUMMER 2025-2026 Internships with SEO Career at SEO (Sponsors for Educational Opportunity)</t>
  </si>
  <si>
    <t>SEO (Sponsors for Educational Opportunity)</t>
  </si>
  <si>
    <t>$10000-$10000 summer</t>
  </si>
  <si>
    <t>1. Enrolled in an accredited, four-year U.S. college or university
2. All majors
3. Graduating with a bachelor’s degree in December 2025 or later
...</t>
  </si>
  <si>
    <t>Fall Intern</t>
  </si>
  <si>
    <t>LLYC</t>
  </si>
  <si>
    <t>Public Relations</t>
  </si>
  <si>
    <t>1. Currently enrolled in an undergraduate program with a focus on Public Relations, Marketing, Communications, Journalism, or a related field.
2. Strong academic record with a GPA of 3.0 or higher.
3. Excellent written and verbal communication skills.
...</t>
  </si>
  <si>
    <t>Digital Media Buying Intern - Fall 2024</t>
  </si>
  <si>
    <t>Harmelin Media</t>
  </si>
  <si>
    <t>Advertising, News</t>
  </si>
  <si>
    <t>1. Strong written and verbal communication skills
2. Ability to work in a team environment
3. Proficient computer skills, especially Microsoft Outlook, Word, Excel and PowerPoint
...</t>
  </si>
  <si>
    <t>Fall 2024 Marketing Internship</t>
  </si>
  <si>
    <t>Altar'd State</t>
  </si>
  <si>
    <t>1. Currently pursuing a degree in Marketing, Business, Communications, or a related field.
2. Strong written and verbal communication skills.
3. Basic understanding of marketing principles and digital marketing platforms.
...</t>
  </si>
  <si>
    <t>Larison Media</t>
  </si>
  <si>
    <t>Peru, IN</t>
  </si>
  <si>
    <t>1. Ability to participate and adapt to a fast-paced environment.
2. Critical thinking and problem solving skills.
3. Willingness to practice innovation and creativity.
...</t>
  </si>
  <si>
    <t>Anchor Home</t>
  </si>
  <si>
    <t>Baltimore metropolitan area, MD</t>
  </si>
  <si>
    <t>1. Bachelor’s degree or currently working towards a bachelor’s degree in marketing, communications, business, or a related field.</t>
  </si>
  <si>
    <t>2024 Fall Internship - Marketing</t>
  </si>
  <si>
    <t>1. Pursing a Bachelor’s in Business Administration, Marketing, Communications, Aviation, or related field
2. Action oriented and seizes opportunities
3. Strong sense of accountability and integrity
...</t>
  </si>
  <si>
    <t>Content Marketing Intern</t>
  </si>
  <si>
    <t>Ditch</t>
  </si>
  <si>
    <t>FinTech</t>
  </si>
  <si>
    <t>1. Strong understanding of social media platforms and trends.
2. Excellent written and verbal communication skills.
3. Creativity and the ability to generate engaging content ideas.
...</t>
  </si>
  <si>
    <t>Fall 2024 PR and Social Media Internship</t>
  </si>
  <si>
    <t>J Public Relations</t>
  </si>
  <si>
    <t>$575-$575 stipend</t>
  </si>
  <si>
    <t>1. Must be available for live training 10 am - 2 pm PST / 1 pm - 5 pm EST the week of August 26th, 2024
2. Must be able to receive academic credit and have Junior or Senior standing (2025 or 2026 graduation)
3. Must be able to commute to one of our US offices weekly (San Diego or Los Angeles, CA; Denver, CO; Nashville, TN; or New York City, NY)
...</t>
  </si>
  <si>
    <t>1. Typically studying in a field related to the assigned function.</t>
  </si>
  <si>
    <t>New Business + Marketing Intern</t>
  </si>
  <si>
    <t>Collective Measures</t>
  </si>
  <si>
    <t>1. Excellent written and verbal communication skills with a heavy emphasis on persuasive business writing and knowledge of AP style
2. Outstanding organizational skills and the ability to manage multiple initiatives simultaneously while meeting deadlines
3. Self-starter approach to work, positive attitude, willingness to learn, and drive to consistently meet and exceed expectations to take on more responsibility
...</t>
  </si>
  <si>
    <t>Communications Co-op Student - Remote (4 month term - Fall 2024)</t>
  </si>
  <si>
    <t>High Liner Foods</t>
  </si>
  <si>
    <t>New Home, MO</t>
  </si>
  <si>
    <t>1. Enrolled in or recently graduated from a communications, public marketing, journalism, or related degree program.
2. Enthusiasm for learning and a passion for communications and public relations.
3. Previous internship or work experience in communications, public relations, or related field.
...</t>
  </si>
  <si>
    <t>Nickerson &amp; Associates</t>
  </si>
  <si>
    <t>Email, Management Consulting</t>
  </si>
  <si>
    <t>1. Recent graduate or current student pursuing a degree in Marketing or related field
2. GPA of 3.3 or higher
3. Strong creative skills
...</t>
  </si>
  <si>
    <t>Labster</t>
  </si>
  <si>
    <t>E-Learning, EdTech</t>
  </si>
  <si>
    <t>1. You are in a Bachelor’s or Master’s program for marketing, communications, or English
2. You have experience writing and editing content
3. You are self-directed with strong prioritization, organization, and project management skills
...</t>
  </si>
  <si>
    <t>Prescription PR</t>
  </si>
  <si>
    <t>Northport, NY</t>
  </si>
  <si>
    <t>1. 14 Hours Per Week, approximately
2. Strong writing skills
3. Working Knowledge of Google Suite
...</t>
  </si>
  <si>
    <t>Marketing Intern (Fall)</t>
  </si>
  <si>
    <t>KLASCHOOLS</t>
  </si>
  <si>
    <t>1. Currently pursuing or recently completed a degree in Marketing, Communications, Business, or a related field.
2. Strong written and verbal communication skills.
3. Proficiency in social media platforms and digital marketing tools.
...</t>
  </si>
  <si>
    <t>NJI Media</t>
  </si>
  <si>
    <t>1. Meticulous attention to detail
2. Top-notch research and data entry skills
3. A desire to flex creative muscles and develop outside-the-box ideas
...</t>
  </si>
  <si>
    <t>Marketing Programs Intern</t>
  </si>
  <si>
    <t>Primary Health Medical Group</t>
  </si>
  <si>
    <t>Emergency Medicine, Health Care</t>
  </si>
  <si>
    <t>1. Applicants should be entering their senior year in college or have recently earned their degree in Marketing, Advertising, Communications, Graphic Design, or other related equivalent experience
2. Design or other related equivalent experience
3. Strong verbal or written communication skills
...</t>
  </si>
  <si>
    <t>College Intern - Community, Comm and Marketing</t>
  </si>
  <si>
    <t>1. Knowledge such as accounting, general administrative principles, communications, marketing, personnel, finance, training, business and other non-scientific fields.
2. College level coursework (100+) from an accredited institution will be evaluated on an individual basis according to the skill/level to determine if applicable to the position by management.
3. All employees must live and work in Arizona.
...</t>
  </si>
  <si>
    <t>Eversheds Sutherland</t>
  </si>
  <si>
    <t>1. A Bachelor’s degree or currently pursuing degree is required from an accredited college or university.
2. Excellent written/verbal communication and project management skills.
3. Takes initiative and works in a fast-paced team environment.
...</t>
  </si>
  <si>
    <t>Paid Business and Marketing Internship</t>
  </si>
  <si>
    <t>Bottomless Promotion</t>
  </si>
  <si>
    <t>1. Prior experience or coursework in business or marketing.
2. Strong analytical and critical thinking skills.
3. Excellent communication and presentation abilities.
...</t>
  </si>
  <si>
    <t>RecruitGo</t>
  </si>
  <si>
    <t>1. Currently pursuing or recently completed a degree in Marketing, Communications, Public Relations, or a related field
2. Strong understanding of social media platforms and their respective best practices
3. Excellent written and verbal communication skills with a keen eye for detail
...</t>
  </si>
  <si>
    <t>Lonestar Autism Solutions</t>
  </si>
  <si>
    <t>1. Currently pursuing an Undergraduate or Master's degree, OR recently graduated with a degree in marketing, communication, professional writing, business, or related field.
2. Should have excellent organizational skills with the ability to manage time efficiently.
3. Excellent writing and communication skills.
...</t>
  </si>
  <si>
    <t>Market Manager Trainee (Columbus, GA)</t>
  </si>
  <si>
    <t>1. Degree in business management or related field
2. Quantitative aptitude or experience managing budgets
3. Leadership and decision-making ability
...</t>
  </si>
  <si>
    <t>Management Trainee - Fall Internship</t>
  </si>
  <si>
    <t>1. Must be a rising Senior (Fall 2024 or Spring 2025 grad) enrolled full time for the upcoming semester in a college or university.
2. Must have a valid driver's license with no more than 2 moving violations and/or at-fault accidents in the past 5 years.
3. No drug or alcohol-related conviction on your record in the past 5 years (i.e., DUI, DWI)
...</t>
  </si>
  <si>
    <t>Communications Intern [Fall 2024]</t>
  </si>
  <si>
    <t>1. 0-3 years of experience in communications. Time in a fast-paced environment; agency, politics or in-house tech experience is preferred.
2. Excellent attention to detail, project management and writing skills, paired with exceptional judgment and a strong interest in the U.S. traditional and emerging media landscape.
3. Strong research skills and the ability to synthesize and collate information from informal sources, including traditional and social media.
...</t>
  </si>
  <si>
    <t>Operation Intern (Family Events)</t>
  </si>
  <si>
    <t>BIGO Technology</t>
  </si>
  <si>
    <t>1. Currently pursuing or recently completed a Bachelor's or Master's degree
2. Excellent communication skills, both written and verbal
3. Proficiency in Google Sheets
...</t>
  </si>
  <si>
    <t>Miracom Hive</t>
  </si>
  <si>
    <t>1. Currently enrolled in a Bachelor’s or Master’s degree program in Marketing, Communications, Business, or related field.
2. Strong written and verbal communication skills with a keen eye for detail.
3. Proficiency in Microsoft Office Suite and experience with social media management tools.
...</t>
  </si>
  <si>
    <t>Paid Internship Program (ASAP)</t>
  </si>
  <si>
    <t>1. BA degree in Marketing, Communications, Journalism or relevant field
2. Impeccable writing skills and attention to detail
3. Excellent project management skills, must be able to multi-task and be well organized
...</t>
  </si>
  <si>
    <t>Paid Internship</t>
  </si>
  <si>
    <t>Malibu Events Promotions</t>
  </si>
  <si>
    <t>1. High school graduate/GED required.
2. Possess strong strategic thinking skills.
3. Good communication (written, oral and listening), presentation and customer.
...</t>
  </si>
  <si>
    <t>Public Relations Intern</t>
  </si>
  <si>
    <t>United States Fund For Unicef</t>
  </si>
  <si>
    <t>1. Must be a current student enrolled in a College or University degree program
2. Interest in public relations, external communications, entertainment industry preferred
3. Experience with monitoring and reporting
...</t>
  </si>
  <si>
    <t>Bristol, CT, USA</t>
  </si>
  <si>
    <t>Internship: Digital Marketing &amp; Social Media</t>
  </si>
  <si>
    <t>Freestyle Creative</t>
  </si>
  <si>
    <t>Advertising, Commercial</t>
  </si>
  <si>
    <t>1. College junior or senior studying public relations, advertising, marketing or communications
2. Strong social media writing skills
3. Strong analytical and critical thinking skills
...</t>
  </si>
  <si>
    <t>Internship Fall 2024 - Brand Management</t>
  </si>
  <si>
    <t>1. Preference given to students currently in their junior or senior year of college, pursuing a degree in Marketing
2. Able to work in Idaho Falls, Idaho for your program dates of approximately 90 days
3. Cumulative GPA of 3.75 or higher
...</t>
  </si>
  <si>
    <t>Marketing Intern - US</t>
  </si>
  <si>
    <t>Fraser Yachts</t>
  </si>
  <si>
    <t>Marketing, Sales</t>
  </si>
  <si>
    <t>1. At ease with the Microsoft Suite and other marketing IT tools (ex: Adobe Suite)
2. Ability to meet high standards of design and attention to detail
3. Strong organizational and multi-tasking skills with an ability to prioritize and meet tight deadlines
...</t>
  </si>
  <si>
    <t>Fall 2024 Management Trainee Intern Hollywood</t>
  </si>
  <si>
    <t>Hollywood, FL</t>
  </si>
  <si>
    <t>Intern, Channel Marketing (Cle de Peau Beaute)</t>
  </si>
  <si>
    <t>Clé de Peau Beauté</t>
  </si>
  <si>
    <t>1. Part time availability for NYC-based rising college junior and seniors working towards a bachelor’s degree
2. Proficiency in Excel, Word, and PowerPoint
3. Team oriented individual with strong interpersonal skills and administrative skills
...</t>
  </si>
  <si>
    <t>Fall Internship - Management Trainee Intern</t>
  </si>
  <si>
    <t>Bluffton, SC</t>
  </si>
  <si>
    <t>1. Must be at least 18 years old
2. Must be a current college/university Junior or Senior graduating with Bachelor's degree in December 2024 or May 2025.
3. Must have 6 months (can be non-concurrent) of sales or customer service or marketing or leadership experience.
...</t>
  </si>
  <si>
    <t>Management Trainee Fall Internship - HOU Airport</t>
  </si>
  <si>
    <t>1. Must have a valid driver's license with a good driving record, no more than 2 at-fault accidents or moving violations in the past 3 years (1 of the 2 violations or at-fault accidents must fall off within 12 months of employment)
2. No drug or alcohol related conviction (ie, DUI/DWI) on driving record in the past 5 years
3. Must be a current Senior enrolled full-time in a Bachelor's degree program or Masters of Business Administration, with a graduation date of December 2024
...</t>
  </si>
  <si>
    <t>Marketing Sales Intern</t>
  </si>
  <si>
    <t>1. Must be attending an accredited college or university and studying mass communications, media, or related major
2. Graduate students are eligible
3. Each Intern is required to work 10-20 hours a week depending on the hours needed to receive college credit
...</t>
  </si>
  <si>
    <t>Marketing Specialist</t>
  </si>
  <si>
    <t>Aayats</t>
  </si>
  <si>
    <t>1. Digital Marketing: 4+ Years
2. Content Creation: 3+ Years
3. Social Media Management: 2+ Years
...</t>
  </si>
  <si>
    <t>Office of Technology Commercialization Intern</t>
  </si>
  <si>
    <t>Purdue Research Foundation</t>
  </si>
  <si>
    <t>1. Strong written and verbal communication skills.
2. Strong analytical skills including simplifying complex technical details for non-technical audiences.
3. Advanced research capabilities.
...</t>
  </si>
  <si>
    <t>Corporate Marketing Intern - Fall 2024 - Hybrid</t>
  </si>
  <si>
    <t>Smithers-Oasis Company</t>
  </si>
  <si>
    <t>Kent, OH</t>
  </si>
  <si>
    <t>1. A college student currently pursuing a degree in Communications, Marketing, or other business-related degree.
2. An individual with the ability to communicate clearly – both from a verbal and written standpoint.
3. An individual with the ability to work on multiple projects concurrently.
...</t>
  </si>
  <si>
    <t>MY OUTFIT ONLINE</t>
  </si>
  <si>
    <t>1. Pursuing or recently completed a Bachelor's degree in Marketing, Communications, or a related field.
2. Strong visual skills with an emphasis on aesthetics and brand consistency.
3. Proficient with key platforms such as Instagram, TikTok, and Pinterest.
...</t>
  </si>
  <si>
    <t>Retail Brand Ambassador</t>
  </si>
  <si>
    <t>Tidewater Consulting</t>
  </si>
  <si>
    <t>1. Must be enrolled in an accredited four-year college or university.
2. Works with integrity and professionalism, upholds company standards.
3. Team Oriented, dedicated, with extreme attention to detail.
...</t>
  </si>
  <si>
    <t>Student Brand Ambassador</t>
  </si>
  <si>
    <t>Thomson Reuters</t>
  </si>
  <si>
    <t>Advice, Analytics</t>
  </si>
  <si>
    <t>$10-$25 /h</t>
  </si>
  <si>
    <t>1. Current student at the specific school of Law, in good standing
2. Encompass a creative mindset, working independently with a high sense of responsibility and initiative
3. Has excellent interpersonal skills, is creative, and can engage with students, professors, and librarians
...</t>
  </si>
  <si>
    <t>Socia Media Intern</t>
  </si>
  <si>
    <t>1. Enrolled in, or have completed, a graduate school programme (second university degree or equivalent, or higher); or, be enrolled in, or have completed, the final academic year of a first university degree programme (minimum bachelor's level or equivalent)
2. Familiarity with software programmes Canva, Trello, PowerPoint, and/or Adobe Photoshop (or graphic design programmes)
3. Fluency in French
...</t>
  </si>
  <si>
    <t>Management Trainee Fall Internship</t>
  </si>
  <si>
    <t>1. Must have a valid driver's license with a good driving record, no more than 2 at-fault accidents or moving violations in the past 3 years
2. (1 of the 2 violations or at-fault accidents must fall off within 12 months of employment)
3. No drug or alcohol related conviction (ie, DUI/DWI) on driving record in the past 5 years
...</t>
  </si>
  <si>
    <t>Student - Digital Marketing Intern</t>
  </si>
  <si>
    <t>Utah Valley University</t>
  </si>
  <si>
    <t>Business Development, Education</t>
  </si>
  <si>
    <t>1. Must be a current UVU student.
2. Excellent knowledge of social media platforms.
3. Knowledge of analytical tools.
...</t>
  </si>
  <si>
    <t>Humble, TX</t>
  </si>
  <si>
    <t>Recurring Revenue Marketing Internship</t>
  </si>
  <si>
    <t>1. Currently enrolled in a Bachelor’s Degree program, with a focus on Business, Data Analytics, or Marketing
2. Candidate must be detail oriented with problem-solving skills
3. Must possess effective communication (verbal and written) and interpersonal skills.
...</t>
  </si>
  <si>
    <t>1. Interest in building a career in marketing
2. Ability to travel
3. Customer outreach skills
...</t>
  </si>
  <si>
    <t>Internal Communications - Intern</t>
  </si>
  <si>
    <t>Videojet Technologies</t>
  </si>
  <si>
    <t>Electronics, Laser</t>
  </si>
  <si>
    <t>Wood Dale, IL</t>
  </si>
  <si>
    <t>1. Be working towards an undergraduate degree in Communications, Journalism, Marketing or English.
2. Have a GPA of 3.0 or above and be in good standing
3. Have a passion for writing, problem solving and determination to succeed
...</t>
  </si>
  <si>
    <t>Public Relations Intern (Fall 2024)</t>
  </si>
  <si>
    <t>1. Recent college graduate or related experience
2. Availability: 40 hours a week from September to December</t>
  </si>
  <si>
    <t>Spring, TX</t>
  </si>
  <si>
    <t>1. Must have a valid driver's license with a good driving record, no more than 2 at-fault accidents or moving violations in the past 3 years (1 of the 2 violations or at-fault accidents must fall off within 12 months of employment).
2. No drug or alcohol related conviction (ie, DUI/DWI) on driving record in the past 5 years.
3. Must be a current Senior enrolled full-time in a Bachelor's degree program or Masters of Business Administration, with a graduation date of December 2024.
...</t>
  </si>
  <si>
    <t>Marketing Intern, Integrated Campaigns</t>
  </si>
  <si>
    <t>8x8</t>
  </si>
  <si>
    <t>Information Technology, SaaS</t>
  </si>
  <si>
    <t>1. Strong interest in marketing and a desire to learn about campaign management and execution.
2. Excellent verbal and written communication skills.
3. Proficient in Google Workspace (Sheets, Slides, Forms, etc.).
...</t>
  </si>
  <si>
    <t>BEYONDER Camp</t>
  </si>
  <si>
    <t>1. High proficiency in Photoshop and Canva is a must.
2. Strong understanding of social media platforms, particularly Facebook, Instagram, and Reddit.
3. Excellent communication and interpersonal skills.
...</t>
  </si>
  <si>
    <t>Sustainability Communications Intern</t>
  </si>
  <si>
    <t>1. Must be a current University of Utah Student</t>
  </si>
  <si>
    <t>1. Must be enrolled in an accredited four-year college or university
2. Works with integrity and professionalism, upholds company standards
3. Team Oriented, dedicated, with extreme attention to detail
...</t>
  </si>
  <si>
    <t>Media and Marketing Internship</t>
  </si>
  <si>
    <t>Operation Smile</t>
  </si>
  <si>
    <t>1. Proficiency in Microsoft Office
2. High School graduate, some college preferred
3. Strong communication skills
...</t>
  </si>
  <si>
    <t>1. Currently enrolled in a Bachelor’s Degree program, with a focus on Business, Data Analytics, or Marketing
2. Candidate must be detail oriented with problem-solving skills
3. Must possess effective communication (verbal and written) and interpersonal skills
...</t>
  </si>
  <si>
    <t>Public Relations Fall 2024 Internship</t>
  </si>
  <si>
    <t>Derris</t>
  </si>
  <si>
    <t>1. Must be a rising college senior (or junior), postgraduate student or non-student
2. Background in communications, marketing or related educational field
3. Self-motivation, good organizational skills, detail-orientation, ability to prioritize, multi-task and meet deadlines in a fast-paced environment
...</t>
  </si>
  <si>
    <t>Marketing &amp; Social Media Internship</t>
  </si>
  <si>
    <t>Blueprint</t>
  </si>
  <si>
    <t>Berkeley, CA</t>
  </si>
  <si>
    <t>1. Bachelor's degree, or equivalent education + work experience
2. Excellent written and oral communication skills
3. Strong interest in digital health, health tech &amp; prosumer products
...</t>
  </si>
  <si>
    <t>Marketing Internship - Fall 2024</t>
  </si>
  <si>
    <t>1. Strong written and verbal communication skills
2. Proficiency with still and video cameras
3. Proficient in Microsoft and Adobe products, particularly Premiere Pro and Photoshop (After Effects and Illustrator a plus!)
...</t>
  </si>
  <si>
    <t>D1 Marketing Internship</t>
  </si>
  <si>
    <t>D1 Sports Training</t>
  </si>
  <si>
    <t>1. Seeking a bachelors or master’s degree in business, communications, film, journalism, marketing, public relations, sport management or equivalent combination of experience and education.</t>
  </si>
  <si>
    <t>Fall 2024 PR Intern</t>
  </si>
  <si>
    <t>Avenue Z</t>
  </si>
  <si>
    <t>Artificial Intelligence (AI), Blockchain</t>
  </si>
  <si>
    <t>1. Strong interest in fintech, venture capital, healthcare, and innovative technology companies.
2. Eagerness to learn and willingness to take on a highly visible role within the internal team, client interactions, and media engagements.
3. Proactive and creative mindset to support account teams on key deliverables.</t>
  </si>
  <si>
    <t>INTERN -Public Relations -Summer 2025</t>
  </si>
  <si>
    <t>RBB</t>
  </si>
  <si>
    <t>Consulting, Marketing</t>
  </si>
  <si>
    <t>1. Current college student or recent graduate (previous PR agency experience is a plus)
2. A passion for news and social media
3. Flawless grammar and experience with AP Style
...</t>
  </si>
  <si>
    <t>Intern - Marketing</t>
  </si>
  <si>
    <t>$13-$16 /h</t>
  </si>
  <si>
    <t>1. Working toward a 4-year degree in marketing or related field.
2. Dedicated interest in marketing
3. Detail-oriented
...</t>
  </si>
  <si>
    <t>INTERN -Paid Search (Digital) Summer 2025</t>
  </si>
  <si>
    <t>1. Current college student or recent graduate (previous digital/paid digital experience is a plus)
2. A passion for the digital space and/or social media
3. Strong attention to detail
...</t>
  </si>
  <si>
    <t>Marketing Co-op</t>
  </si>
  <si>
    <t>1. Must be able to accept position as a minimum of 3-month full-time assignment or part-time (20+ hours/week) for 6 months
2. Must be enrolled full-time in an accredited residential college or university (not online university)
3. Must be at least sophomore level working towards a bachelor’s degree in business, marketing, mass communications, or other related fields of study
...</t>
  </si>
  <si>
    <t>Strategic Communications – IT Intern</t>
  </si>
  <si>
    <t>Marsh McLennan Agency</t>
  </si>
  <si>
    <t>Employee Benefits, Health Care</t>
  </si>
  <si>
    <t>1. Recent grad or pursuing Bachelor’s or Master’s Degree in Computer Science or related field
2. Ability to tell a story using digital tools such as Powerpoint, FIGMA or similar
3. Ability to view a product or process from multiple perspectives and present information tailored for specific audiences
...</t>
  </si>
  <si>
    <t>NBC Sports Bay Area Marketing Intern - Fall 2024</t>
  </si>
  <si>
    <t>NBCUniversal Career</t>
  </si>
  <si>
    <t>Media and Entertainment</t>
  </si>
  <si>
    <t>$18.07-$18.07 /h</t>
  </si>
  <si>
    <t>1. Must be actively enrolled in a degree-granting program at an accredited institution during the length of the program.
2. Current class standing of sophomore or above (30 credits).
3. Hybrid: This position has been designated as hybrid, generally contributing from the office a minimum of three days per week. Our in-office days are Monday, Tuesday, and Thursday.
...</t>
  </si>
  <si>
    <t>Entry Level Digital Media Planner Apprentice</t>
  </si>
  <si>
    <t>$13-$19.24 /h</t>
  </si>
  <si>
    <t>1. Be at least 18 years old
2. Basic proficiency using a computer and the internet
3. Be a U.S. citizen or eligible to work in the U.S. for 30 continuous months</t>
  </si>
  <si>
    <t>Marketing Trainee</t>
  </si>
  <si>
    <t>NexMark</t>
  </si>
  <si>
    <t>South Salt Lake, UT</t>
  </si>
  <si>
    <t>$35000-$60000 /yr</t>
  </si>
  <si>
    <t>1. High school or equivalent
2. 1 year of customer service experience
3. 1 year of sales experience
...</t>
  </si>
  <si>
    <t>Marketing Intern, Chartwells Higher Ed / IUPUI</t>
  </si>
  <si>
    <t>Intern: Corporate Relations &amp; Exhibition Services</t>
  </si>
  <si>
    <t>RSNA Radiological Society of North America</t>
  </si>
  <si>
    <t>1. Knowledge of Microsoft Office (Word, Excel and Outlook) and various software programs
2. Excellent oral and written communication skills
3. Ability to work at McCormick Place for RSNA 2024, December 1-4</t>
  </si>
  <si>
    <t>Marketing Intern - Fall 2024</t>
  </si>
  <si>
    <t>Red Gold</t>
  </si>
  <si>
    <t>Elwood, IN</t>
  </si>
  <si>
    <t>1. Current enrollment in an undergraduate degree program with an interest and aptitude to work in marketing, communications, or special events
2. In-depth working knowledge of Facebook, X, Instagram, Pinterest, and TikTok
3. Excellent written and oral communication
...</t>
  </si>
  <si>
    <t>Digital Marketing Intern, Chartwells Higher Ed + Boost / IUPUI</t>
  </si>
  <si>
    <t>Digital Marketing Fellowship (Fall 2024)</t>
  </si>
  <si>
    <t>BluShark Digital</t>
  </si>
  <si>
    <t>Advertising, E-Commerce</t>
  </si>
  <si>
    <t>1. Willing and eager to learn
2. Detail-oriented and accurate
3. Reliable and hardworking
...</t>
  </si>
  <si>
    <t>AI/Web3 Community Manager Intern</t>
  </si>
  <si>
    <t>Nebulai</t>
  </si>
  <si>
    <t>Blockchain, Information Technology</t>
  </si>
  <si>
    <t>1. An intimate understanding of the emerging technologies ecosystem.
2. 1+ year of established online community management experience, preferably in an environment managing a consumer-focused Telegram/Discord community.
3. Strong interpersonal and written/verbal communication skills.
...</t>
  </si>
  <si>
    <t>Entry Level Digital Media Planner</t>
  </si>
  <si>
    <t>$40000-$40000 /yr</t>
  </si>
  <si>
    <t>Digital marketing &amp; SEO Intern 🇫🇷</t>
  </si>
  <si>
    <t>GreenTomatoMedia Limited</t>
  </si>
  <si>
    <t>Apps, Publishing</t>
  </si>
  <si>
    <t>Guernsey, WY</t>
  </si>
  <si>
    <t>€1000-€1000 /mon</t>
  </si>
  <si>
    <t>1. French Native with Fluency in English, both written and verbal.
2. A proactive, results-driven mindset with keen attention to detail.
3. Strong communication and negotiation skills.</t>
  </si>
  <si>
    <t>Experiential Marketing Intern</t>
  </si>
  <si>
    <t>$48000-$48000 /yr</t>
  </si>
  <si>
    <t>1. Strong computer skills navigating Word, Excel, PowerPoint, SharePoint
2. Ability to communicate effectively both verbally and in written form
3. Excellent organization skills with a high attention to detail
...</t>
  </si>
  <si>
    <t>Intern - eCommerce</t>
  </si>
  <si>
    <t>Fairlawn, OH</t>
  </si>
  <si>
    <t>1. Currently enrolled in an accredited university or college
2. Minimum Sophomore standing or higher
3. Able to work a minimum of 20 hours/week
...</t>
  </si>
  <si>
    <t>Market Research Intern (Fall 2024)</t>
  </si>
  <si>
    <t>KRC Research</t>
  </si>
  <si>
    <t>1. Strong preference for those who are a graduate student, recent college graduate or current/rising college senior.
2. Must be able to work a minimum of 30+ hours per week, with a strong preference for those who can work full-time (40 hours per week). This internship will begin in September 2024 and go through December 2024.
3. Must have superior analytical and writing skills, be a proactive communicator, and possess a keen eye for detail.
...</t>
  </si>
  <si>
    <t>Social Media Content Manager Intern</t>
  </si>
  <si>
    <t>Ellie Mental Health Pittsburgh</t>
  </si>
  <si>
    <t>Wexford, PA</t>
  </si>
  <si>
    <t>1. Strong interest in building content around Facebook, Instagram, LinkedIn, TikTok and other social media platforms
2. A portfolio of work showing your aptitude for successfully using said social media accounts (e.g. website portfolio, personal or professional social media account, etc)
3. Self-motivated and able to quickly understand and execute upon tasks without the need for a ton of supervision (i.e. OK with being fairly autonomous)
...</t>
  </si>
  <si>
    <t>Mattress Factory</t>
  </si>
  <si>
    <t>1. Cover letter, along with resume is required
2. Currently enrolled in an undergraduate or graduate program in a related field</t>
  </si>
  <si>
    <t>Communications Internship (Fall 2024 - remote)</t>
  </si>
  <si>
    <t>Catholic Leadership Institute</t>
  </si>
  <si>
    <t>1. At least one year of college with coursework in communications, marketing, digital media, business administration, journalism, Catholic Studies, theology
2. Business or journalistic writing and editing experience
3. Working knowledge of Microsoft 365
...</t>
  </si>
  <si>
    <t>Criteo</t>
  </si>
  <si>
    <t>Ad Retargeting, Advertising</t>
  </si>
  <si>
    <t>Development Department Intern</t>
  </si>
  <si>
    <t>Read Better Be Better</t>
  </si>
  <si>
    <t>1. Detail-oriented
2. Creative
3. Problem-solver
...</t>
  </si>
  <si>
    <t>Office Operations &amp; Marketing Manager</t>
  </si>
  <si>
    <t>Skyward Building Services</t>
  </si>
  <si>
    <t>1. Currently enrolled in a bachelor’s or master’s degree program in Business Administration, Marketing, Facilities Management, or related field.
2. Strong attention to detail and organizational skills.
3. Proficiency in Microsoft Office suite, particularly Excel.
...</t>
  </si>
  <si>
    <t>Personalized Internet Assessor Colombia - Spanish Language</t>
  </si>
  <si>
    <t>1. Proficiency in both written and verbal English &amp; Spanish
2. Residency in Colombia for the past 5 consecutive years
3. Ownership and regular use of a smartphone (Android V4.2 or higher or iPhone running iOS version 14.0 or higher) and a desktop/laptop with internet connection at your expense
...</t>
  </si>
  <si>
    <t>Praktikant Marketing Brand Excellence - MU Consumer (m/w/d)</t>
  </si>
  <si>
    <t>1. Du befindest dich in einem fortgeschrittenen, wirtschaftswissenschaftlichen Studium, gerne mit Marketingschwerpunkt, und bringst relevante Erfahrungen aus qualifizierten Praktika mit
2. Du hast ca. 6 Monate Zeit, um dein Praktikum bei uns zu absolvieren
3. Du bringst ein gutes Gespür und Leidenschaft für Marken, Trends und Kommunikation mit
...</t>
  </si>
  <si>
    <t>Lennar Corporation</t>
  </si>
  <si>
    <t>Construction, Lifestyle</t>
  </si>
  <si>
    <t>$1-$100000 /h</t>
  </si>
  <si>
    <t>1. Must be a junior or senior at a college or university in a marketing program or recently completed a marketing program
2. Must possess initiative and be highly motivated
3. Basic skills in Microsoft Excel and Word on Mac or PC platforms
...</t>
  </si>
  <si>
    <t>Digital Media Intern</t>
  </si>
  <si>
    <t>Sony Electronics</t>
  </si>
  <si>
    <t>$17-$26 /h</t>
  </si>
  <si>
    <t>1. Program will run August through November
2. Able to commit to 20-40 hours in a week (in office Tuesday and Wednesday and remote Thursday)
3. Rising junior or senior in collegiate program with a 3.0 GPA or above
...</t>
  </si>
  <si>
    <t>Fall Internship - Audience Development</t>
  </si>
  <si>
    <t>FloSports</t>
  </si>
  <si>
    <t>Advertising, Fitness</t>
  </si>
  <si>
    <t>1. Must have experience in writing content with basic editing skills
2. Familiarity in AP Style, Chicago Style required
3. Experience in Google Docs, PowerPoint and Excel or Google Sheets
...</t>
  </si>
  <si>
    <t>Fall Internship - Social Media</t>
  </si>
  <si>
    <t>1. Must have a demonstrated understanding of social media platforms, their unique audiences and how to use them to maximize engagement efforts
2. Strong project time management skills with the ability to prioritize multiple tasks and consistently meet deadlines in a dynamic work environment
3. Candidates should have experience working with social media tooling and analytics platforms, such as Hootsuite or Sprout.</t>
  </si>
  <si>
    <t>Yearlong Research Intern, 360 Insurance</t>
  </si>
  <si>
    <t>U.S. News &amp; World Report</t>
  </si>
  <si>
    <t>Education, Events</t>
  </si>
  <si>
    <t>1. Completion of a bachelor’s degree in statistics, data science, business or a related field.
2. Advanced analysis and modeling skills in Google Sheets.
3. The ability to thrive in a fast-paced environment and turn projects around quickly.
...</t>
  </si>
  <si>
    <t>Public Relations Intern - Fall 2024 (for credit only)</t>
  </si>
  <si>
    <t>Talbots</t>
  </si>
  <si>
    <t>1. Enrolled in an accredited degree program
2. Proficient with Microsoft office applications (i.e., Word, Excel, PowerPoint)
3. Strong verbal and written communication skills
...</t>
  </si>
  <si>
    <t>SAP iXp Intern - North America Field Marketing</t>
  </si>
  <si>
    <t>$17-$40 /h</t>
  </si>
  <si>
    <t>1. Ability to self-learn quickly, ask questions and operate with autonomy within a team environment.
2. Proficiency in Microsoft Office Suite including Word, PowerPoint, Excel, Teams and SharePoint
3. Project management and organizational skills, preferably in marketing and/or event management
...</t>
  </si>
  <si>
    <t>1. Must be enrolled at a local university or junior college
2. Position suited for students in STEM programs or studying Environmental Sciences, Communications, Graphic Design, or Communications programs or pathways
3. Interns must be enrolled students in good standing at the commencement of the intern semester
...</t>
  </si>
  <si>
    <t>Digital Marketing &amp; Communication Intern (School Credit Only)</t>
  </si>
  <si>
    <t>United Way Miami</t>
  </si>
  <si>
    <t>1. Enrolled in undergraduate or graduate degree program
2. Schedule: 15-20 hours a week</t>
  </si>
  <si>
    <t>Public Relations Intern | Wings Event Center</t>
  </si>
  <si>
    <t>Greenleaf Hospitality</t>
  </si>
  <si>
    <t>1. Interest in writing/broadcast/public relations
2. Base knowledge of professional hockey
3. Timeliness and professional appearance
...</t>
  </si>
  <si>
    <t>FC Dallas</t>
  </si>
  <si>
    <t>eSports, Sporting Goods</t>
  </si>
  <si>
    <t>1. Must be an active college student. Preferably pursuing a degree and/or career in Sports Marketing, Digital Media, Marketing or Public Relations.
2. Must receive college credit for internship with our company.
3. Must be able to work at least 20 hours per week.
...</t>
  </si>
  <si>
    <t>Marketing Intern, Chartwells Higher Ed / Florida International University</t>
  </si>
  <si>
    <t>Event Planning, Social Media and Public Relations Intern</t>
  </si>
  <si>
    <t>C • L • E Cotton Candy</t>
  </si>
  <si>
    <t>1. A car to travel to and from events
2. Computer to complete assignments
3. Fill out and sign a travel release, and hold harmless agreement</t>
  </si>
  <si>
    <t>Evermore Orlando Resort</t>
  </si>
  <si>
    <t>Hospitality, Hotel</t>
  </si>
  <si>
    <t>1. Preferred current graduate school with a focus in Graphic Design, Hospitality Management, Marketing, Communications, program preferred (enrolled or graduate)
2. Graphic Design major preferred
3. Basic knowledge of layouts, typography, line composition, color, and other graphic design fundamentals
...</t>
  </si>
  <si>
    <t>Praktikant oder Werkstudent (w/m/d) Marketing Schwerpunkt Website-Relaunch</t>
  </si>
  <si>
    <t>Consileon Business Consultancy GmbH</t>
  </si>
  <si>
    <t>1. Fortgeschrittenes Studium der Wirtschaftswissenschaften, Volkswirtschaft, Wirtschaftsinformatik oder andere mit Bezug zum Marketing
2. Erste praktische Erfahrungen im Bereich Kommunikation, digitale Medien, SEO/SEA und Content-Management-Systeme (WordPress bevorzugt)
3. Begeisterung für digitale Themen und schnelles Einarbeiten in neue Themengebiete und Tools
...</t>
  </si>
  <si>
    <t>Marketing Intern (Lubbock)</t>
  </si>
  <si>
    <t>Parkhill, Smith &amp; Cooper</t>
  </si>
  <si>
    <t>1. Currently enrolled in a college or university, working toward a degree in a related field.
2. Strong organizational and time management skills.
3. Ability to work collaboratively with a diverse team.</t>
  </si>
  <si>
    <t>Marsh &amp; McLennan Companies</t>
  </si>
  <si>
    <t>Financial Services, Professional Services</t>
  </si>
  <si>
    <t>White Plains - Hamilton</t>
  </si>
  <si>
    <t>Lead Marketing Program Internship</t>
  </si>
  <si>
    <t>1. Currently enrolled in a Bachelor’s Degree program, with a focus on Business, Marketing, or Computer Science.
2. Candidate must be detail oriented with problem-solving skills
3. Must possess effective communication (verbal and written) and interpersonal skills.
...</t>
  </si>
  <si>
    <t>Intern - Marketing Operations</t>
  </si>
  <si>
    <t>1. Currently enrolled in a bachelor’s degree program, with a focus on Marketing, Business, or a Related field.
2. Completed Junior year in a 4-year degree program.
3. Candidate must be detail-oriented.
...</t>
  </si>
  <si>
    <t>Ryan T. Hughes Law</t>
  </si>
  <si>
    <t>1. Strong skills in Social Media Marketing and Content Creation.
2. Excellent communication and interpersonal skills.
3. Ability to work both independently and as part of a team.
...</t>
  </si>
  <si>
    <t>Beauty Marketing Internship (Fall 2024)</t>
  </si>
  <si>
    <t>1. Passion for the beauty industry
2. Tapped into cultural and social trends and can proactively pitch ideas for the brand
3. Proficient in all Microsoft Office applications (Excel, Word, PowerPoint); ability to deliver strong, polished, effective PowerPoint/Canva presentations
...</t>
  </si>
  <si>
    <t>Interclypse</t>
  </si>
  <si>
    <t>1. A Degree or pursuing a degree in a marketing-relevant field.
2. Technical Certifications in Google Ads or other relevant digital advertising platforms and the willingness to acquire new certifications as needed.
3. Experience in and/or a willingness to learn PPC advertising strategies and other forms of digital advertising.
...</t>
  </si>
  <si>
    <t>Postgraduate  Intern</t>
  </si>
  <si>
    <t>1. Completion of postsecondary applicable degree/training program</t>
  </si>
  <si>
    <t>Social Media Manager, Temporary</t>
  </si>
  <si>
    <t>Digital Media Management</t>
  </si>
  <si>
    <t>Brand Marketing, Digital Media</t>
  </si>
  <si>
    <t>$21.63-$32.69 /h</t>
  </si>
  <si>
    <t>1. Experience working within the social media space, preferably within an agency environment.
2. Experience working across social campaigns on a team required
3. Experience posting on all platforms, as well as best practices for each (Facebook, Twitter, Instagram, TikTok, Reddit, Pinterest)
...</t>
  </si>
  <si>
    <t>Internship Trainee Digital Marketing</t>
  </si>
  <si>
    <t>Exchange Robotics (Techstars Atlanta JPM S24)</t>
  </si>
  <si>
    <t>1. Social Media Marketing and Digital Marketing skills
2. Experience in web analytics and online marketing
3. Effective written and verbal communication skills
...</t>
  </si>
  <si>
    <t>Ellie Mental Health</t>
  </si>
  <si>
    <t>Child Care, Clinical Trials</t>
  </si>
  <si>
    <t>Outsmart Labs</t>
  </si>
  <si>
    <t>1. Ability to learn quickly, demonstrates initiative, adapt / adjust to shifting priorities, and becoming the best
2. Proficient in the use of social media networks and ad platforms (Instagram, TikTok, Pinterest, etc.)
3. Outstanding written and verbal communication skills
...</t>
  </si>
  <si>
    <t>Communications &amp; Outreach Student Hourly</t>
  </si>
  <si>
    <t>1. During the semester term of the appointment, the student hourly must be enrolled in no fewer than 6 credit hours. For summer periods, the student hourly must have been enrolled in no less than 6 hours in the past spring semester or be preenrolled in upcoming fall semester in no less than 6 hours or be enrolled in summer session or be admitted to study in the upcoming fall semester. Student Hourlies may be undergraduate or graduate students. (Exceptions granted for GRA/GTA/GA appointments DO NOT apply to Student Hourly appointments)
2. Demonstrated computer competency (Microsoft Office Suite) and capacity to learn new software systems as detailed in resume.
3. Strong attention to detail as evidenced through previous experience and application materials.
...</t>
  </si>
  <si>
    <t>Public Relations Intern, Affiliate Marketing (Fall 2024)</t>
  </si>
  <si>
    <t>Jennifer Bett Communications</t>
  </si>
  <si>
    <t>Brand Marketing, Public Relations</t>
  </si>
  <si>
    <t>1. We are seeking in-person interns for the New York area.
2. Must be available 2-3 days a week, from 9:00-4:45 pm EST.
3. This is a paid internship.
...</t>
  </si>
  <si>
    <t>Cobb Chamber</t>
  </si>
  <si>
    <t>1. Currently enrolled in a degree program related to marketing, public relations, communication or related field.
2. Experience with Adobe programs (InDesign, Photoshop, Illustrator, Premiere Pro)
3. Detail-oriented with strong organizational skills and the ability to manage multiple tasks simultaneously.
...</t>
  </si>
  <si>
    <t>2024-2025 - Marketing and New Media, Student Marketing Assistant</t>
  </si>
  <si>
    <t>1. Enrolled student at FIU with Federal Work Study (FWS) as part of Financial Aid Award package
2. Minimum of six (6) credit hours in a course of study leading to a degree or a Financial Aid eligible certificate during Fall, Spring, and Summer semesters
3. Availability to work hours based on class schedule and department needs
...</t>
  </si>
  <si>
    <t>2024-2025 Honors College, Social Media Student Assistant</t>
  </si>
  <si>
    <t>1. Current FIU student and eligible for Federal Work Study
2. Ability to use graphic tools to create flyers, posts, and info graphics using Adobe Creative Suite &amp; Canva
3. Ability to work independently and in a team environment
...</t>
  </si>
  <si>
    <t>Sales And Marketing Intern</t>
  </si>
  <si>
    <t>Utility Management Services</t>
  </si>
  <si>
    <t>1. Current enrollment in an undergraduate or graduate program for Marketing, Communications, Sales, or a similar field
2. Transportation to and from the UMS office on designated office days
3. Attention to detail
...</t>
  </si>
  <si>
    <t>SB Projects</t>
  </si>
  <si>
    <t>Broadcasting, Music</t>
  </si>
  <si>
    <t>Santa Monica, CA</t>
  </si>
  <si>
    <t>$17.27-$17.27 /h</t>
  </si>
  <si>
    <t>1. Attention to detail and strong organizational skills required
2. Organizing large amounts of data efficiently
3. Maintaining and updating internal data reports
...</t>
  </si>
  <si>
    <t>Fall Intern, PR + Activation</t>
  </si>
  <si>
    <t>CerconeBrownCompany</t>
  </si>
  <si>
    <t>1. Available 20 hours per week between Monday and Friday
2. Creative and logistical mindset
3. Strong writing and communication skills
...</t>
  </si>
  <si>
    <t>Campus Marketing Representative - University of Arizona</t>
  </si>
  <si>
    <t>Brave</t>
  </si>
  <si>
    <t>1. Current undergraduate/graduate student at University of Arizona or Arizona State University
2. Must be enrolled in at least 50% of in-person classes
3. Major in business administration, marketing, and sales with a strong interest in event planning
...</t>
  </si>
  <si>
    <t>Campus Marketing Representative - NEW YORK UNIVERSITY</t>
  </si>
  <si>
    <t>$2800-$2800 /h</t>
  </si>
  <si>
    <t>1. Current undergraduate/graduate student at New York University.
2. Must be enrolled in at least 50% of in-person classes
3. Major in business administration, marketing, and sales with a strong interest in event planning
...</t>
  </si>
  <si>
    <t>Communications Team Intern (Course Credit Eligible)</t>
  </si>
  <si>
    <t>1. Currently enrolled in a college or university program
2. Strong communication skills
3. Ability to work collaboratively in a team environment
...</t>
  </si>
  <si>
    <t>Marketing &amp; Communications Intern</t>
  </si>
  <si>
    <t>DCS Corp</t>
  </si>
  <si>
    <t>Aerospace, Management Consulting</t>
  </si>
  <si>
    <t>1. Due to the sensitivity of customer related requirements, U.S. Citizenship is required.
2. Genuine enthusiasm for creating compelling media content and marketing materials.
3. Completed or working toward a college degree (junior level and up), preferably in a related field (e.g., English, Marketing/Communications, Advertising, Multimedia Design, or Public Relations).
...</t>
  </si>
  <si>
    <t>Marketing Events Internship (Fall 2024) - Myrtle Beach</t>
  </si>
  <si>
    <t>Marriott Vacations Worldwide</t>
  </si>
  <si>
    <t>Myrtle Beach, SC</t>
  </si>
  <si>
    <t>1. Candidate should be pursuing a college degree.</t>
  </si>
  <si>
    <t>Serene</t>
  </si>
  <si>
    <t>1. College degree or in the process of completion a plus
2. 1-2 years' experience or study in marketing, sales, public relations, advertising, business communications, and related fields an asset
3. Excellent written and verbal communication skills
...</t>
  </si>
  <si>
    <t>Premiere Creative</t>
  </si>
  <si>
    <t>Millburn, NJ</t>
  </si>
  <si>
    <t>1. Be hard-working, organized, and self-starter
2. Feel comfortable in a fast-paced environment
3. Hold a passion for digital marketing
...</t>
  </si>
  <si>
    <t>Hourly - Public Relations Assistant</t>
  </si>
  <si>
    <t>1. Currently enrolled U of A student</t>
  </si>
  <si>
    <t>Strategic Student Program: Search Marketing and Social Acquisition Marketing Interns (GSM; Fall 2024)</t>
  </si>
  <si>
    <t>Maryland Heights, MO</t>
  </si>
  <si>
    <t>$18-$44 /h</t>
  </si>
  <si>
    <t>1. Currently enrolled in a Bachelor's degree program in Marketing, Communications, Digital Media, or related field.
2. Strong passion for search engine marketing and a desire to learn and grow in the field.
3. Excellent written and verbal communication skills, with a keen eye for detail.
...</t>
  </si>
  <si>
    <t>Strategic Student Program: eXplore Marketing Intern (Fall 2024, GSM)</t>
  </si>
  <si>
    <t>1. Currently enrolled as an undergraduate or masters student studying Business, preferably Marketing
2. Comfortable with frequent meetings on the phone
3. Strong analytical skills, able to identify and communicate solutions and recommendations
...</t>
  </si>
  <si>
    <t>Content and Event Strategy Intern</t>
  </si>
  <si>
    <t>1. During the semester term of the appointment, the student hourly must be enrolled in no fewer than 6 credit hours.
2. Student Hourlies may be undergraduate or graduate students.</t>
  </si>
  <si>
    <t>Brand Ambassador - Mississippi Valley Fair</t>
  </si>
  <si>
    <t>1. Must be willing to work at the Mississippi Valley Fair (July 30 - August 4)
2. Ability to work on your feet for several hours
3. Excellent verbal communication skills
...</t>
  </si>
  <si>
    <t>Alumni Relations Associate</t>
  </si>
  <si>
    <t>The Pittsburgh Steelers, LLC</t>
  </si>
  <si>
    <t>Online Portals, Sports</t>
  </si>
  <si>
    <t>1. Preferred degree in Marketing, Sports Management, Business Administration or related field
2. Proficiency in Microsoft Office software
3. Strong organization and time management skills
...</t>
  </si>
  <si>
    <t>Apex Dermatology and Skin Surgery Center</t>
  </si>
  <si>
    <t>Mayfield Heights, OH</t>
  </si>
  <si>
    <t>1. Currently pursuing or recently completed a degree in Marketing, Communications, Business Administration, or a related field.
2. Strong writing and editing skills with attention to detail.
3. Basic knowledge of social media platforms and their best practices.
...</t>
  </si>
  <si>
    <t>Biehl</t>
  </si>
  <si>
    <t>Marine Technology, Risk Management</t>
  </si>
  <si>
    <t>1. Strong desire to learn along with professional drive
2. Solid understanding of different marketing techniques
3. Excellent verbal and written communication skills
...</t>
  </si>
  <si>
    <t>Social Media Assistant (Student/Work Study)</t>
  </si>
  <si>
    <t>1. Applicants must be a registered student for the academic year 2024-2025 at the University of Michigan-Flint.</t>
  </si>
  <si>
    <t>Student Intern - Marketing - Tulane University</t>
  </si>
  <si>
    <t>1. Must be currently enrolled in a college or university
2. Must be able to effectively communicate and understand directions
3. Must be able to understand safety rules, Aramark Alcohol Regulations, operating and maintenance instructions and procedures
...</t>
  </si>
  <si>
    <t>Marketing Analytics Intern</t>
  </si>
  <si>
    <t>Student Marketing Assistant - University of North Georgia</t>
  </si>
  <si>
    <t>Oakwood, GA</t>
  </si>
  <si>
    <t>1. Frequent lifting, carrying, pushing, or pulling greater than 50 lbs.
2. Must be able to follow basic safety procedures and precautions due to physical risks and exposure to hazardous chemicals</t>
  </si>
  <si>
    <t>INTERN -Paid Search (Digital) -Spring 2025</t>
  </si>
  <si>
    <t>Markets - Sales and Trading, Summer Analyst, New York City - US, 2025</t>
  </si>
  <si>
    <t>1. Currently pursuing a Bachelor’s degree (graduating in Fall 2025 or Spring 2026)
2. Excited to work in the New York office
3. Maintain a GPA of 3.3 or above
...</t>
  </si>
  <si>
    <t>League City, TX</t>
  </si>
  <si>
    <t>INTERNSHIP - Marketing Assistant</t>
  </si>
  <si>
    <t>$20-$33 /h</t>
  </si>
  <si>
    <t>1. Willingness to learn new technology products to support the job
2. Comfortable with technical content creation
3. Strong understanding of MS Office Products
...</t>
  </si>
  <si>
    <t>University of Chicago MATLAB Student Ambassador</t>
  </si>
  <si>
    <t>1. Candidates must be pursuing a bachelor's level degree in a technical discipline.
2. Visa sponsorship will not be provided for this position.
3. Candidates for this position must be authorized to work in the United States on a full-time basis for any employer without restriction.</t>
  </si>
  <si>
    <t>Baytown, TX</t>
  </si>
  <si>
    <t>Fr. App</t>
  </si>
  <si>
    <t>Apps, Social Media</t>
  </si>
  <si>
    <t>1. Communication and Networking skills
2. An understanding of social media and its trends
3. Ability to think creatively and bring innovative ideas to the table</t>
  </si>
  <si>
    <t>1. Junior/Senior year student enrolled in a college and pursuing a major in marketing, communications, business, or other relevant studies.
2. Applied understanding of marketing knowledge and familiarity with digital channels (TikTok, Facebook, Instagram, Twitter, YouTube, Google Ads etc.)
3. Strong research and analytical skills.
...</t>
  </si>
  <si>
    <t>QVC Intern - Brand Influencer &amp; Talent Partnerships - Fall 2024</t>
  </si>
  <si>
    <t>Qurate Retail Group</t>
  </si>
  <si>
    <t>1. Must be a Junior, Senior or Graduate student enrolled in an accredited college, university or master's program.
2. QVC will consider students who have completed at least four semesters of college.
3. Have experience with social media, influencer marketing, and retail landscape.
...</t>
  </si>
  <si>
    <t>Seamgen</t>
  </si>
  <si>
    <t>1. Interest in SEO and link building
2. Familiarity with social media platforms and online communities
3. Excellent communication skills
...</t>
  </si>
  <si>
    <t>Marketing PR Internship</t>
  </si>
  <si>
    <t>J.S. Held</t>
  </si>
  <si>
    <t>1. Currently pursuing or recently completed a degree in public relations, communications, journalism or a related field
2. Strong written and verbal communication skills, familiar with AP style is a plus
3. Familiarity with media monitoring tools and social media platforms, such as X, LinkedIn
...</t>
  </si>
  <si>
    <t>Public Relations Internship - Detroit - Summer/Fall 2024</t>
  </si>
  <si>
    <t>1. Qualified candidates will have completed their junior year of college with a focus in journalism, public relations, communications, English or a similar major.
2. Ideal candidates will be available for three full days in the office.
3. Qualified candidates must be committed to cultivating diverse teams and contributing to an inclusive working and learning environment.</t>
  </si>
  <si>
    <t>Social Digital Internship - Detroit - Summer/Fall 2024</t>
  </si>
  <si>
    <t>1. Candidates must be a college junior, senior or a recent college graduate and hard working with at least a 3.0 GPA.
2. The candidates must also display an eagerness to expand their skills in social-focused communications, marketing, advertising and project management.
3. The ideal candidate for this position must be social media savvy, extremely comfortable making recommendations for content ideas, willing to interpret social performance data, detail-oriented and able to effectively manage multiple tasks simultaneously.
...</t>
  </si>
  <si>
    <t>Student Worker, Office of Special Events, Strategy and Engagement</t>
  </si>
  <si>
    <t>Purdue for Life Foundation</t>
  </si>
  <si>
    <t>1. High School diploma or GED equivalent required
2. Students in HTM majors preferred</t>
  </si>
  <si>
    <t>Content Creation Intern</t>
  </si>
  <si>
    <t>Diane von Furstenberg</t>
  </si>
  <si>
    <t>Fashion</t>
  </si>
  <si>
    <t>1. In office 3 days a week
2. Proficient in CapCut and video editing
3. Comfortable on camera
...</t>
  </si>
  <si>
    <t>2024-2025 - Frost Art Museum, Student Marketing &amp; Communications Assistant</t>
  </si>
  <si>
    <t>1. Possess a strong sense of responsibility, organization and customer service skills.
2. Knowledge of Windows, Mac, Microsoft Office Suite (Word, Excel, PowerPoint, and Outlook).
3. Ability to maintain pleasant working relationships and work well in a team environment.
...</t>
  </si>
  <si>
    <t>American Lung Association</t>
  </si>
  <si>
    <t>1. Must be working towards a bachelor’s degree in Non-Profit Management, Health Administration, Communications, Marketing, or related field
2. Qualified candidates must be enthusiastic, reliable, and interested in developing a career in business development or non-profit management
3. Qualified candidates should possess strong writing skills, attention to detail, and have a keen interest in the mission of the American Lung Association
...</t>
  </si>
  <si>
    <t>Girl Scouts of Greater Iowa</t>
  </si>
  <si>
    <t>1. College student or recent college graduate pursuing a degree in marketing, communications, journalism, or a related field.
2. Excellent written and verbal communications skills.
3. Possess creativity, flexibility, variety, and growth potential.
...</t>
  </si>
  <si>
    <t>EMC Mechanical Services</t>
  </si>
  <si>
    <t>1. Currently enrolled in, or recently graduated from, a Marketing degree program or related field.
2. Strong understanding of social media best practices.
3. Basic knowledge of content creation tools and editing software.
...</t>
  </si>
  <si>
    <t>Woodfin-Your Home Team</t>
  </si>
  <si>
    <t>Fan Engagement &amp; Entertainment Intern (FALL 2024) - COLLEGE CREDIT ONLY</t>
  </si>
  <si>
    <t>Nashville Soccer Club</t>
  </si>
  <si>
    <t>Gaming, Local</t>
  </si>
  <si>
    <t>1. Enrolled in an undergraduate or graduate program and eligible for college credit.
2. Available 20-25 hours per week.
3. Available to work all Home Matches.</t>
  </si>
  <si>
    <t>Marketing Assistant (Student)</t>
  </si>
  <si>
    <t>dollars17.50-dollars22 /h</t>
  </si>
  <si>
    <t>1. High School diploma or equivalent
2. Students pursuing an undergraduate or graduate degree in marketing, business, or other related fields
3. 1-3 years of relevant work experience
...</t>
  </si>
  <si>
    <t>Sunwater Institute Marketing and Development Internship</t>
  </si>
  <si>
    <t>1. Current or recent undergraduate student
2. Strong academic foundation in political science, history, economics, philosophy, or related fields</t>
  </si>
  <si>
    <t>Frisco, Texas, United States</t>
  </si>
  <si>
    <t>New York University and Remote</t>
  </si>
  <si>
    <t>$2800-$2800 semester</t>
  </si>
  <si>
    <t>US-DE-Wilmington</t>
  </si>
  <si>
    <t>Marketing &amp; Communications Intern - Tyson's, VA</t>
  </si>
  <si>
    <t>1. Previous experience, internship, or coursework in marketing or related field
2. Currently pursuing a Bachelor or Master degree
3. Excellent written communications skills
...</t>
  </si>
  <si>
    <t>Part-Time Student Social Media Intern</t>
  </si>
  <si>
    <t>Indiana University Indianapolis</t>
  </si>
  <si>
    <t>1. Currently enrolled as a student at Indiana University.
2. Strong understanding of major social media platforms and their respective audiences.
3. Excellent written and verbal communication skills.
...</t>
  </si>
  <si>
    <t>Marketing Intern (On-Site)</t>
  </si>
  <si>
    <t>Mcomm</t>
  </si>
  <si>
    <t>1. Knowledge and understanding of database management, reporting, analytics, and data visualization.
2. Ability to collect and analyze social media, website, digital ad, and email metrics.
3. Familiarity with online marketing strategies, platforms, and digital advertising.
...</t>
  </si>
  <si>
    <t>Intern, Brand Marketing, Keys Soulcare</t>
  </si>
  <si>
    <t>1. Completed Bachelor's degree in marketing, business, or a related field
2. Strong written and verbal communication skills
3. Ability to commit to a 9-12 month internship
...</t>
  </si>
  <si>
    <t>&lt;Nail Brand&gt; Hand Model/ Social Media Marketing Intern (paid)</t>
  </si>
  <si>
    <t>BAZZAAL</t>
  </si>
  <si>
    <t>1. Long healthy natural nails
2. Interest in learning about social media marketing, especially for the beauty/skincare/nail industry
3. Ability to commute to Culver City, Los Angeles, 1-2 times a week</t>
  </si>
  <si>
    <t>INTERN -Public Relations - Spring 2025</t>
  </si>
  <si>
    <t>Content Creator Intern - Houston</t>
  </si>
  <si>
    <t>54 Thrones</t>
  </si>
  <si>
    <t>Beauty</t>
  </si>
  <si>
    <t>1. Excellent writing and editing skills
2. Experience with content creation and marketing
3. Knowledge of social media platforms and trends
...</t>
  </si>
  <si>
    <t>Cimple soft</t>
  </si>
  <si>
    <t>1. Strong understanding of social media platforms and their best practices.
2. Basic knowledge of SEO and analytics tools.
3. Excellent communication and organizational skills.
...</t>
  </si>
  <si>
    <t>TikTok Content Creation Intern</t>
  </si>
  <si>
    <t>Launchify</t>
  </si>
  <si>
    <t>Customer Service, E-Commerce</t>
  </si>
  <si>
    <t>La Jolla Shores, CA</t>
  </si>
  <si>
    <t>1. Currently pursuing or recently completed a degree in Marketing, Communications, Digital Media, or a related field.
2. Strong passion for social media, particularly TikTok, and a good understanding of its features and trends.
3. Excellent communication skills, both written and verbal.
...</t>
  </si>
  <si>
    <t>HUB International</t>
  </si>
  <si>
    <t>Insurance, InsurTech</t>
  </si>
  <si>
    <t>1. Proficiency with Canva
2. Some experience with Adobe Creative Suite—specifically Photoshop, InDesign, and Illustrator
3. Advanced Microsoft Word, PowerPoint, and Excel skills
...</t>
  </si>
  <si>
    <t>QVC Brand Influencer Intership - Fall 2024</t>
  </si>
  <si>
    <t>1. Candidates must be a college junior, senior or a recent college graduate and hard working with at least a 3.0 GPA.
2. Candidates must also display an eagerness to expand their skills in social-focused communications, marketing, advertising and project management.
3. The ideal candidate for this position must be social media savvy, extremely comfortable making recommendations for content ideas, willing to interpret social performance data, detail-oriented and able to effectively manage multiple tasks simultaneously.
...</t>
  </si>
  <si>
    <t>Market Research Part Time Co Op</t>
  </si>
  <si>
    <t>1. Pursuing a BS in marketing, economics, psychology or Business or related field required.</t>
  </si>
  <si>
    <t>1. Enrolled in a graduate school programme (second university degree or equivalent, or higher), or enrolled in the final academic year of a first university degree programme (minimum Bachelor's level or equivalent), or have graduated with a university degree
2. Computer literate and proficient in standard software applications (e.g., MS Office 365 or similar)
3. Demonstrated keen interest in the work of the United Nations and personal commitment to the ideals of the Charter
...</t>
  </si>
  <si>
    <t>The Southern Baptist Theological Seminary</t>
  </si>
  <si>
    <t>1. Understanding, and appreciation, of the Southern Seminary and Boyce College brand
2. Ability to compose clear, concrete, and accurate writing for digital channels
3. Self-motivated
...</t>
  </si>
  <si>
    <t>The Post and Courier</t>
  </si>
  <si>
    <t>Information Services, News</t>
  </si>
  <si>
    <t>1. Enrolled in, or recently graduated from, a four-year college or university with studies focused on marketing, communications, graphic design or a related field
2. Possess strong written and verbal skills
3. Experience in Canva and social media platforms
...</t>
  </si>
  <si>
    <t>Fundraising &amp; Workforce Development Intern</t>
  </si>
  <si>
    <t>Forging Industry Association</t>
  </si>
  <si>
    <t>1. Interest in learning about the fundraising and workforce development side of a non-profit
2. Experience with Microsoft Office computer programs
3. Positive attitude and willingness to learn
...</t>
  </si>
  <si>
    <t>Sayn Beauty</t>
  </si>
  <si>
    <t>Consumer Goods, Cosmetics</t>
  </si>
  <si>
    <t>1. College students or recent graduates
2. Interest in social media / content marketing
3. Ability to work part-time or full-time for 3 months
...</t>
  </si>
  <si>
    <t>SEO Internship (Link Building)</t>
  </si>
  <si>
    <t>1. French Native with a Fluency in English, both written and verbal
2. Proactive, results-driven mindset with keen attention to detail
3. Strong communication and negotiation skills
...</t>
  </si>
  <si>
    <t>Integrated Marketing Intern</t>
  </si>
  <si>
    <t>April Six</t>
  </si>
  <si>
    <t>1. Currently a junior or senior preferably at a University or College in Central, Mountain or Pacific time zones</t>
  </si>
  <si>
    <t>(Fall) Community Manager Co-op: July to December 2024</t>
  </si>
  <si>
    <t>1. Excellent written and verbal communication skills, with the ability to communicate effectively with diverse audiences and adapt to various communication styles.
2. Strong interpersonal skills and the ability to empathize with community members, address concerns, and resolve conflicts diplomatically.
3. Proficiency in social media management and analytics tools.
...</t>
  </si>
  <si>
    <t>Communications Associate</t>
  </si>
  <si>
    <t>Partnership for Public Service</t>
  </si>
  <si>
    <t>$50000-$52000 /yr</t>
  </si>
  <si>
    <t>1. Bachelor’s degree in marketing, journalism, public relations, communications or similar field or equivalent professional work or military experience.
2. One to two years of experience, which may include internships.
3. Familiarity with Microsoft Office, including Excel, Word, PowerPoint and SharePoint.
...</t>
  </si>
  <si>
    <t>CAMPUS USA Credit Union</t>
  </si>
  <si>
    <t>Newberry, FL</t>
  </si>
  <si>
    <t>1. Must be currently enrolled at a degree-seeking university or college or a recent graduate of a university or college
2. Must be willing and able to provide samples of digital marketing work, professional or personal
3. Must have excellent written and verbal skills
...</t>
  </si>
  <si>
    <t>Intern - Brand &amp; Experience</t>
  </si>
  <si>
    <t>Springfield Clinic</t>
  </si>
  <si>
    <t>1. Must be enrolled in an accredited university/college program.
2. Must be a self-starter, extremely organized, with a high attention to detail, and able to work independently with moderate supervision or direction.
3. Excellent written and verbal communication skills.
...</t>
  </si>
  <si>
    <t>Media Relations Assistant (Student/Work Study)</t>
  </si>
  <si>
    <t>Technical Marketing and Reporting Intern</t>
  </si>
  <si>
    <t>DP World Group</t>
  </si>
  <si>
    <t>Government, Logistics</t>
  </si>
  <si>
    <t>1. Interest in sales and market research
2. Enrolled in an undergraduate or graduate degree program in business or economics
3. Must be heading into junior or senior year or are a recent graduate
...</t>
  </si>
  <si>
    <t>Metis Technology Solutions</t>
  </si>
  <si>
    <t>1. A minimum of one year of education beyond High School preferably in the Business or Graphic design fields.</t>
  </si>
  <si>
    <t>Social Media/Tiktok Intern</t>
  </si>
  <si>
    <t>CLO Virtual Fashion</t>
  </si>
  <si>
    <t>1. Currently enrolled in or recently graduated from a degree program in Digital Media, Design, Marketing, Communications, or a related field
2. Familiarity with social media management and using content calendars
3. Passionate about TikTok and content creation
...</t>
  </si>
  <si>
    <t>Concordia University MATLAB Student Ambassador</t>
  </si>
  <si>
    <t>1. Commitment of 5 hours per week
2. Explore and implement creative ideas for spreading awareness for the MathWorks brand and products among students
3. Identify and engage with prominent student organizations related to Engineering, Math, Science, and Finance
...</t>
  </si>
  <si>
    <t>University of Utah MATLAB Student Ambassador</t>
  </si>
  <si>
    <t>1. Must be pursuing a bachelor's level degree in a technical discipline
2. Visa sponsorship will not be provided for this position
3. Candidates for this position must be authorized to work in the United States on a full-time basis for any employer without restriction
...</t>
  </si>
  <si>
    <t>Management Trainee Fall Intern----Northern Kentucky</t>
  </si>
  <si>
    <t>1. Must be enrolled as a Senior in the upcoming term in a 4-year college/university graduating no later than May 2025
2. Must have a minimum of 6 months experience in customer service, sales, and/or leadership
3. Must have a valid driver's license with no more than 2 moving violation and/or at fault accidents within the past 3 years
...</t>
  </si>
  <si>
    <t>Marketing Communcations Intern</t>
  </si>
  <si>
    <t>$17-$26 /yr</t>
  </si>
  <si>
    <t>1. Program will run August through November
2. Ability to commit to 20-40 hours in a week (in office Tuesday and Wednesday and remote Thursday)
3. Rising junior or senior in collegiate program with a 3.0 GPA or above
...</t>
  </si>
  <si>
    <t>LogRocket</t>
  </si>
  <si>
    <t>1. Active status in a program to receive a degree in English, Journalism, Creative Writing, or a similar area of study
2. Strong attention to detail and extremely organized
3. Excellent verbal and written communication skills
...</t>
  </si>
  <si>
    <t>University of California Davis MATLAB Student Ambassador</t>
  </si>
  <si>
    <t>The Ohio State MATLAB Student Ambassador</t>
  </si>
  <si>
    <t>Northwestern University MATLAB Student Ambassador</t>
  </si>
  <si>
    <t>Intern Communication &amp; Public Engagement / Fall 2024</t>
  </si>
  <si>
    <t>National Endowment for Democracy</t>
  </si>
  <si>
    <t>1. Candidate must be a registered student enrolled in an undergraduate or graduate-level program
2. Qualified candidates should have excellent writing and analytical skills, sharp attention to detail, and strong technical skills. Website/CMS experience is preferred. Multimedia experience is a plus
3. Motivated creative thinker with a strong work ethic</t>
  </si>
  <si>
    <t>Case Western Reserve University MATLAB Student Ambassador</t>
  </si>
  <si>
    <t>Global Marketing, Fall '24 Intern (On-Site)</t>
  </si>
  <si>
    <t>Headquarters, KY</t>
  </si>
  <si>
    <t>1. College undergraduate or graduate status with 1-3 years at an accredited college or university, pursuing an academic field of study related to Marketing, Sales, Business, or Management.
2. Strong oral and written communication skills are required
3. Good interpersonal skills to work effectively with others
...</t>
  </si>
  <si>
    <t>Management Trainee Fall Intern----Dayton</t>
  </si>
  <si>
    <t>University of Florida MATLAB Student Ambassador</t>
  </si>
  <si>
    <t>University of California Los Angeles MATLAB Ambassador</t>
  </si>
  <si>
    <t>Carnegie Mellon University MATLAB Student Ambassador</t>
  </si>
  <si>
    <t>Virginia Tech MATLAB Student Ambassador</t>
  </si>
  <si>
    <t>Polytechnique Montréal MATLAB Student Ambassador</t>
  </si>
  <si>
    <t>Academy Media Intern</t>
  </si>
  <si>
    <t>D.C. United</t>
  </si>
  <si>
    <t>1. Candidates must be available to work flexible hours including evenings, weekends, and holidays.
2. Candidates must possess a strong professional attitude and be extremely detail-oriented.
3. Applicants should be working towards an undergraduate or graduate degree with an emphasis in sports business, management, marketing, communication, etc.
...</t>
  </si>
  <si>
    <t>Junior Marketing Coordinator</t>
  </si>
  <si>
    <t>1. Must be enrolled in an accredited four-year college or university
2. Works with integrity and professionalism, upholds company standards
3. Ability to multitask and prioritize efficiently with minimal supervision
...</t>
  </si>
  <si>
    <t>Entry Level Marketing</t>
  </si>
  <si>
    <t>1. Ability to thrive in a fast-paced environment with competitive pay options
2. Exhibits a high level of urgency while delivering unmatched client satisfaction
3. Embodies a positive attitude, accountability, and an openness to diversity
...</t>
  </si>
  <si>
    <t>Fry's- Fall 2024 Marketing / Corporate Affairs Intern</t>
  </si>
  <si>
    <t>Kroger</t>
  </si>
  <si>
    <t>Grocery, Marketing</t>
  </si>
  <si>
    <t>1. Enrolled in an accredited college or university.
2. Excellent oral and written communication skills.
3. Ability to navigate change and respond to challenges with a positive demeanor.
...</t>
  </si>
  <si>
    <t>Fall 2024 - eCommerce Content Intern</t>
  </si>
  <si>
    <t>Hugo Boss</t>
  </si>
  <si>
    <t>Apparel, Beauty</t>
  </si>
  <si>
    <t>1. Must be a rising Junior or Senior at a local college/university pursuing a bachelor's degree
2. Studying and/or interest in eCommerce Merchandising
3. Excellent written and verbal communication skills
...</t>
  </si>
  <si>
    <t>Peninsula Open Space Trust</t>
  </si>
  <si>
    <t>1. Live in the Bay Area
2. Possess a driver's license
3. Great attention to detail for editing and fact-checking; organizational skills
...</t>
  </si>
  <si>
    <t>Estágio Trade Marketing (Canal Alimentar)</t>
  </si>
  <si>
    <t>Huntly, VA</t>
  </si>
  <si>
    <t>1. Cursando bacharelado em Engenharia, Administração, Economia Publicidade e Propaganda
2. Período / Previsão de Formatura: cursando a partir do 4º período – com disponibilidade para cumprir 2 anos de estágio
3. Boa comunicação, proatividade e capacidade analítica são essenciais
...</t>
  </si>
  <si>
    <t>Lights On</t>
  </si>
  <si>
    <t>1. Current enrollment in a bachelor’s degree program in Marketing, Communications, Business Administration, or a related field.
2. Strong interest in digital marketing and advertising industries.
3. Excellent verbal and written communication skills.
...</t>
  </si>
  <si>
    <t>Marketing Intern, Chartwells Higher Ed / Louisiana State University - Baton Rouge</t>
  </si>
  <si>
    <t>Detroit</t>
  </si>
  <si>
    <t>1. Candidates must be a college junior, senior or a recent college graduate and hard working with at least a 3.0 GPA.
2. Candidates must display an eagerness to expand their skills in social-focused communications, marketing, advertising, and project management.
3. Ideal candidate must be social media savvy, extremely comfortable making recommendations for content ideas, willing to interpret social performance data, detail-oriented, and able to effectively manage multiple tasks simultaneously.
...</t>
  </si>
  <si>
    <t>1. Completed junior year of college with a focus in journalism, public relations, communications, English or a similar major
2. Available for three full days in the office
3. Committed to cultivating diverse teams and contributing to an inclusive working and learning environment
...</t>
  </si>
  <si>
    <t>1. Completed Bachelor's degree in marketing, business, or a related field.
2. Strong written and verbal communication skills.
3. Ability to commit to a 9-12 month internship.
...</t>
  </si>
  <si>
    <t>Marketing internship</t>
  </si>
  <si>
    <t>1. Currently enrolled in a bachelor’s degree program, with a focus on Marketing, Business, or a related field.
2. Completed Junior year in a 4-year degree program.
3. Candidate must be detail-oriented.
...</t>
  </si>
  <si>
    <t>Student - Advancement Marketing Digital Media Internship</t>
  </si>
  <si>
    <t>1. Must be a currently enrolled Auburn University student</t>
  </si>
  <si>
    <t>Morgan 6</t>
  </si>
  <si>
    <t>1. Current enrollment in a relevant undergraduate or graduate program
2. Strong written and verbal communication skills
3. Creativity and a passion for marketing
...</t>
  </si>
  <si>
    <t>Copywriter Sports Academic Year 2024-2025 Student Associate</t>
  </si>
  <si>
    <t>Madison Square Garden Sports Corp.</t>
  </si>
  <si>
    <t>1. Strong interest in copywriting
2. Knowledge of the Knicks and Rangers
3. An ability to generate creative ideas
...</t>
  </si>
  <si>
    <t>Intern, Market Research (Fall 2024)</t>
  </si>
  <si>
    <t>Inter Miami CF</t>
  </si>
  <si>
    <t>Soccer, Sports</t>
  </si>
  <si>
    <t>1. Applicants should be working towards an undergraduate or graduate degree with an emphasis in Actuarial Science, Mathematics, Economics, Computer Science, or Business Analytics.
2. Candidates must be receiving college credit for the internship.
3. Excellent communication and organization skills, distilling complex analyses and concepts into concise business-focused takeaways.
...</t>
  </si>
  <si>
    <t>Intern for NYC PR &amp; Marketing Agency</t>
  </si>
  <si>
    <t>Channel V Media</t>
  </si>
  <si>
    <t>1. Candidates must be willing to commit to a minimum of 18 hours/week (or minimum required for credit).
2. Candidates must also have an interest in business, technology, and media.
3. Qualified candidates will have strong communication skills (both spoken and written) and experience using social media.</t>
  </si>
  <si>
    <t>Student Marketing Specialist Legends - University of Nebraska</t>
  </si>
  <si>
    <t>Legends Hospitality</t>
  </si>
  <si>
    <t>Hospitality, Marketing</t>
  </si>
  <si>
    <t>1. Ability to work a total of 12hrs min -28hr max per week
2. Demonstrated capacity to manage relationships with colleagues, constituents, alumni and current donors to deliver effective results, including the achievement of specific and measurable goals
3. Proven ability to exercise discretion at all times and able to keep confidential all data related to the University of Nebraska and its alumni
...</t>
  </si>
  <si>
    <t>Madison Square Garden Entertainment Corp.</t>
  </si>
  <si>
    <t>Media and Entertainment, Sports</t>
  </si>
  <si>
    <t>Unpaid Social Media Marketing Intern</t>
  </si>
  <si>
    <t>Changing Worlds</t>
  </si>
  <si>
    <t>Children, Education</t>
  </si>
  <si>
    <t>1. Experience and knowledge with Facebook, LinkedIn, and Instagram
2. Proficiency in copywriting and editing
3. Knowledge and experience in Canva
...</t>
  </si>
  <si>
    <t>Social Media &amp; Communication Co-Op</t>
  </si>
  <si>
    <t>Corporation for Findlay Market</t>
  </si>
  <si>
    <t>1. Excellent verbal and written communication skills
2. Experience in professional communications–press releases, newsletters, etc.
3. Keen attention to detail
...</t>
  </si>
  <si>
    <t>PAID Content Copywriter - Summer Internship [Anaheim]</t>
  </si>
  <si>
    <t>Chups</t>
  </si>
  <si>
    <t>Consumer, Content Creators</t>
  </si>
  <si>
    <t>1. In college or recently graduated 🎓
2. Interested in becoming a copywriter pro 🥇
3. Have 1-2 years of experience with writing in a professional setting 🖊
...</t>
  </si>
  <si>
    <t>Communications &amp; Public Relations Intern – Fall 2024</t>
  </si>
  <si>
    <t>Moomoo</t>
  </si>
  <si>
    <t>1. Currently enrolled in a bachelor’s or master’s degree program in communications, marketing, journalism, or a related field.
2. Looking to complete an internship to fulfill requirements to complete your degree (for college credit).
3. Excellent writing and editing skills with a strong attention to detail.
...</t>
  </si>
  <si>
    <t>NAMI Wisconsin</t>
  </si>
  <si>
    <t>1. Experience or interest in event planning and communications
2. Knowledge of or willingness to learn about NAMI and mental illness
3. Excellent written and verbal communication skills and including feeling comfortable making unsolicited phone calls
...</t>
  </si>
  <si>
    <t>FLX Bike</t>
  </si>
  <si>
    <t>Consumer, Electric Vehicle</t>
  </si>
  <si>
    <t>1. Social Media
2. Lives close to office location (92117)
3. Energetic
...</t>
  </si>
  <si>
    <t>Development &amp; Events INTERN</t>
  </si>
  <si>
    <t>Greater Phoenix Chamber</t>
  </si>
  <si>
    <t>1. Applicants should be current students for a Bachelor’s degree at one of Arizona’s participating universities and have a cumulative GPA of 3.0 or higher at the time of application. Studying in the fields of business, marketing, event management, nonprofit studies, or related field preferred. If not a student, applicant should understand this is a part-time, temporary internship role, not full-time employment.
2. Strong proficiency with Microsoft Office Suite required
3. Ability to learn and navigate database software and procedures
...</t>
  </si>
  <si>
    <t>Digital Strategy Internship — Campaigns and Advocacy</t>
  </si>
  <si>
    <t>BCom Solutions</t>
  </si>
  <si>
    <t>Advertising, Social Media</t>
  </si>
  <si>
    <t>1. Interest in progressive politics
2. Meticulous attention to detail
3. Strong writing, copyediting, and proofreading skills
...</t>
  </si>
  <si>
    <t>Intern - Corporate Communications</t>
  </si>
  <si>
    <t>1. Passion for writing and excellent editing and communication skills
2. Creative, enthusiastic, and self-motivated with a positive attitude
3. Ability to multi-task and meet deadlines
...</t>
  </si>
  <si>
    <t>Visual Merchandising Intern, Latin America (Spanish speaking)</t>
  </si>
  <si>
    <t>Dior</t>
  </si>
  <si>
    <t>1. Bachelor’s Degree in Architecture/Design or related field
2. Experience/Interest in Retail Design and Project Management
3. Proficient in Sketchup, Illustrator, Photoshop and Excel (Autocad and Displayer are a plus)
...</t>
  </si>
  <si>
    <t>Kayaku Advanced Materials</t>
  </si>
  <si>
    <t>1. Currently enrolled in or recently graduated from a Bachelor's degree program in Marketing, Communications, or related field
2. At least a Junior (based on accumulated credits) at a College/University
3. Strong written and verbal communication skills, with a keen eye for detail
...</t>
  </si>
  <si>
    <t>1. Interested in digital marketing
2. Aptitude in a relevant skill such as graphic design, copywriting, content creation, or data analysis
3. Reliable, self-motivated and eager to learn
...</t>
  </si>
  <si>
    <t>ISM</t>
  </si>
  <si>
    <t>Detroit Metro</t>
  </si>
  <si>
    <t>1. Excellent communication skills
2. Experience in market research and analysis
3. Understanding of sales tactics and strategies
...</t>
  </si>
  <si>
    <t>Media Intern</t>
  </si>
  <si>
    <t>Calumet, MI</t>
  </si>
  <si>
    <t>1. Ability to communicate and collaborate in a variety of settings.
2. Adaptability and capacity to work in a fluid environment.
3. Strong problem-solving and decision-making abilities.
...</t>
  </si>
  <si>
    <t>Marketing and Events Intern - Beaufort</t>
  </si>
  <si>
    <t>1. Studies in journalism, marketing or related field, or equivalent work experience
2. Ability to work independently remotely, if necessary, in a suitable workspace that meets safety guidelines
3. Reliable access to internet service
...</t>
  </si>
  <si>
    <t>Marketing Graduate</t>
  </si>
  <si>
    <t>Sage Group</t>
  </si>
  <si>
    <t>Business Information Systems, Enterprise Software</t>
  </si>
  <si>
    <t>1. Passion for Learning: A strong commitment to continuous learning and growth.
2. Proactive Attitude: A self-starter who is eager to take on new challenges.
3. Curious Mindset: An inquisitive nature that embraces innovation.
...</t>
  </si>
  <si>
    <t>Podium</t>
  </si>
  <si>
    <t>Collaboration, Consumer Reviews</t>
  </si>
  <si>
    <t>1. Education: Currently a Sophomore or Junior majoring in Marketing, Event Marketing, Business, Communication, or related field.
2. Ability to work on-site in the Lehi, UT office 24 hours/week (Tue, Wed, Thur in office preferred, but willing to work around your class schedule)
3. Strong Communication Skills: Excellent verbal and written communication skills, with the ability to engage effectively with diverse audiences.
...</t>
  </si>
  <si>
    <t>Internal Communications Intern - Fall 2024</t>
  </si>
  <si>
    <t>Amrock</t>
  </si>
  <si>
    <t>1. Self-directed approach with the ability to work with a team
2. Advanced ability to communicate both verbally and written
3. Proficiency in the Microsoft Office suite, including Excel, PowerPoint and Word
...</t>
  </si>
  <si>
    <t>Student Worker - Marketing Intern -- SRU Dining</t>
  </si>
  <si>
    <t>Slippery Rock, PA</t>
  </si>
  <si>
    <t>1. Enrolled in Slippery Rock University
2. Frequent lifting, carrying, pushing, or pulling greater than 50 lbs.
3. Must be able to follow basic safety procedures and precautions due to physical risks and exposure to hazardous chemicals</t>
  </si>
  <si>
    <t>Communications Intern-PAID</t>
  </si>
  <si>
    <t>United Way of the Greater Lehigh Valley</t>
  </si>
  <si>
    <t>1. Communications, marketing, or journalism major
2. Exceptional writing skills in English
3. Familiarity with the Lehigh Valley and UWGLV's work in the community
...</t>
  </si>
  <si>
    <t>INTERN - Global Communications</t>
  </si>
  <si>
    <t>1. Enrolled in or have completed a graduate school programme (second university degree or equivalent, or higher) OR enrolled in or have completed the final academic year of a first university degree programme (minimum bachelor’s degree or equivalent)
2. Knowledge of media monitoring and analysis
3. Knowledge of social media metrics</t>
  </si>
  <si>
    <t>Media and Communications Intern</t>
  </si>
  <si>
    <t>Arkansas Department of Transportation</t>
  </si>
  <si>
    <t>Commercial, Government</t>
  </si>
  <si>
    <t>1. Student pursuing the educational equivalent of a bachelor’s degree or master's degree in public relations, communications, journalism, business, or related field.
2. The ability to communicate clearly and effectively in both written and verbal formats.
3. Working knowledge of Microsoft Word, Excel, and Outlook.
...</t>
  </si>
  <si>
    <t>I Am Boundless</t>
  </si>
  <si>
    <t>Family, Residential</t>
  </si>
  <si>
    <t>1. Pursuing a degree in a related field as a junior or senior (e.g., Public Relations, Journalism, Marketing/Communications, or English)
2. Enthusiasm for the Boundless mission
3. Must be computer literate (working knowledge of word processing, PowerPoint, Excel, Microsoft Teams)
...</t>
  </si>
  <si>
    <t>Student: Social Media Intern (F.C. Tucker Bluegrass)</t>
  </si>
  <si>
    <t>1. Must be a current UK student
2. Experience using Canva for content creation
3. Digital marketing experience
...</t>
  </si>
  <si>
    <t>Trend/Merchandising Intern</t>
  </si>
  <si>
    <t>Cider</t>
  </si>
  <si>
    <t>Consumer, Direct Marketing</t>
  </si>
  <si>
    <t>1. Currently pursuing a bachelor's or master's degree in fashion trend forecasting, fashion design, fashion merchandising, textiles, or a related field.
2. Passion for Fashion: Demonstrated interest in fashion and a strong understanding of current and emerging trends. Stay updated on industry news, designers, local retail stores, influencers, and fashion publications.
3. Analytical Skills: Ability to gather, analyze, and interpret primary and secondary sources to identify trends and patterns. Proficiency in Excel or other data analysis tools is preferred.
...</t>
  </si>
  <si>
    <t>Marketing and Events Intern (Fall 2024)</t>
  </si>
  <si>
    <t>Indiana Park and Recreation Association</t>
  </si>
  <si>
    <t>$1000-$1500 stipend</t>
  </si>
  <si>
    <t>1. Interest in non-profit management, marketing, and/or business
2. Digital marketing design
3. Ability to manage website
...</t>
  </si>
  <si>
    <t>Social Media Internship</t>
  </si>
  <si>
    <t>Mile High Creatives</t>
  </si>
  <si>
    <t>1. Current enrollment in a relevant field of study, such as marketing, communications, digital media, or related disciplines.
2. Strong familiarity with various social media platforms and best practices.
3. An understanding of digital marketing principles and brand communication.
...</t>
  </si>
  <si>
    <t>Public Relations &amp; Advertising Intern</t>
  </si>
  <si>
    <t>Georgia Farm Bureau</t>
  </si>
  <si>
    <t>Agriculture, Farming</t>
  </si>
  <si>
    <t>1. High school graduate
2. Currently enrolled as a full-time undergraduate student at Mercer University</t>
  </si>
  <si>
    <t>Social Media &amp; Marketing Intern</t>
  </si>
  <si>
    <t>PMI Entertainment Group</t>
  </si>
  <si>
    <t>Gaming, Sports</t>
  </si>
  <si>
    <t>1. Currently pursuing a degree in Marketing, Communications, or a related field
2. Must be able to work nights and weekends, based on event schedule
3. Proven interpersonal and customer service skills necessary to promptly answer and resolve questions in a professional manner with patrons as well as maintain open channels of communication with all department and supervisory personnel when providing information
...</t>
  </si>
  <si>
    <t>Fall 2024 Merchandising Internship</t>
  </si>
  <si>
    <t>1. Student or graduate with a solid academic record pursuing a 4-year degree in Retail, Fashion Merchandising, Business Management, or Marketing
2. Desire 1-2 years retail experience
3. Positive attitude and willingness to learn
...</t>
  </si>
  <si>
    <t>Onsite Marketing Internship (Fall) - San Antonio</t>
  </si>
  <si>
    <t>Hyatt</t>
  </si>
  <si>
    <t>$16.50-$16.50 /h</t>
  </si>
  <si>
    <t>1. Candidate should be pursuing a college degree.
2. It is preferred that the candidate is actively pursuing a degree in Hospitality, Marketing, Sales or Business. Candidates who have an undecided major may also be considered.
3. Prior Hospitality or Sales experience preferred.</t>
  </si>
  <si>
    <t>Marketing Events College Internship (Fall) - Sacramento, CA</t>
  </si>
  <si>
    <t>Hyatt Residence Club</t>
  </si>
  <si>
    <t>Hospitality, Internet</t>
  </si>
  <si>
    <t>Media Team - Paid Intern</t>
  </si>
  <si>
    <t>1. Enrolled in an educational institution
2. Qualified for one year following graduation
3. Sign a Paid Internship Engagement Letter
...</t>
  </si>
  <si>
    <t>1. Enrolled and currently attending an Associate Degree program, 2-year program, Community College, or 4-year program at a college or university.
2. Experience in photography or with digital editing programs
3. Excellent time management skills, detail-orientation and ability to multi-task and prioritize work.
...</t>
  </si>
  <si>
    <t>Marketing Intern - Biotech - GeneSight Marketing - Onsite (Mason, Ohio Office)</t>
  </si>
  <si>
    <t>Myriad Genetics</t>
  </si>
  <si>
    <t>1. Pursuing a bachelor’s degree in business, preferably in Marketing
2. Relevant experience or coursework in the following: marketing strategy, product management, brand management, project management, sales, digital marketing
3. Ability to manage projects of varying complexity with strong execution and organization
...</t>
  </si>
  <si>
    <t>Intern, Power Marketing</t>
  </si>
  <si>
    <t>1. Must be at least a junior or senior working toward an undergraduate or graduate degree with at least a current GPA of 2.8 or higher
2. Proficient with Microsoft Excel, PowerPoint, and Word
3. Business acumen with an ability to prepare complex quantitative analysis
...</t>
  </si>
  <si>
    <t>Merchandising Intern</t>
  </si>
  <si>
    <t>Movado Group</t>
  </si>
  <si>
    <t>Consumer, Consumer Goods</t>
  </si>
  <si>
    <t>Paramus, NJ</t>
  </si>
  <si>
    <t>1. Must be a currently enrolled college student
2. Strong analytical and math skills required
3. Strong Microsoft Office applications- must have solid Excel knowledge
...</t>
  </si>
  <si>
    <t>Marketing &amp; Operations Intern, Academy</t>
  </si>
  <si>
    <t>Axis Communications AB</t>
  </si>
  <si>
    <t>Customer Service, Intelligent Systems</t>
  </si>
  <si>
    <t>1. Marketing coursework / interest
2. Social media skills
3. Exceptional verbal and written communication skills
...</t>
  </si>
  <si>
    <t>Catbird</t>
  </si>
  <si>
    <t>E-Commerce, Jewelry</t>
  </si>
  <si>
    <t>1. Has had previous internships in PR / Fashion PR.
2. Is available to work two days a week from our Brooklyn HQ (September-December)
3. Has excellent communication skills, is well written, organized, and is magic!</t>
  </si>
  <si>
    <t>Digital Marketing Intern (Fall2024 - CO or MN)</t>
  </si>
  <si>
    <t>1. Currently pursuing a degree in Marketing, Communications, Advertising, Business or a related field (or recently graduated).
2. Basic understanding of digital marketing concepts and familiarity with paid media channels.
3. Familiarity with platforms such as Google Ads, Facebook Ads Manager, LinkedIn Ads or Google Analytics is a plus.
...</t>
  </si>
  <si>
    <t>Marketing Co-op/Intern - Summer 2025</t>
  </si>
  <si>
    <t>1. Legally authorized to work in the U.S. without sponsorship
2. Effective oral and written communication skills
3. Customer service and interpersonal skills
...</t>
  </si>
  <si>
    <t>Marketing and Social Media Internship (Seasonal)</t>
  </si>
  <si>
    <t>Koa Sports</t>
  </si>
  <si>
    <t>Sports, Sports Leagues and Teams</t>
  </si>
  <si>
    <t>1. Must be a college student interested in Marketing/Advertising, Communications, Business, or Sport Management field
2. Be able to work remotely and on-site as needed
3. Positive team player
...</t>
  </si>
  <si>
    <t>Summer/Fall Youth Sports Management and Marketing Internship</t>
  </si>
  <si>
    <t>VOLO Sports</t>
  </si>
  <si>
    <t>Adult, Events</t>
  </si>
  <si>
    <t>1. Works well in a team atmosphere
2. Self-reliant and eager to take on any task - no matter how big or small
3. Strong customer service skills
...</t>
  </si>
  <si>
    <t>Content Creator</t>
  </si>
  <si>
    <t>Starshot Ventures</t>
  </si>
  <si>
    <t>1. This person must be active (ideally a runner), as the vast majority of your work will be creating content by runners, for runners
2. Proven track record of creating engaging content on Instagram &amp; TikTok
3. Strong understanding of TikTok and Instagram’s platform, algorithm, and trends
...</t>
  </si>
  <si>
    <t>Marketing/Events Intern</t>
  </si>
  <si>
    <t>cheetah clean</t>
  </si>
  <si>
    <t>Automotive, Creative Agency</t>
  </si>
  <si>
    <t>$15 /h</t>
  </si>
  <si>
    <t>1. Currently pursuing a BS in Marketing or a similarly related field.
2. Attention to detail, ability to follow through on tasks, and creative.
3. Hands-on experience with Marketing computer software or ability to learn software quickly.
...</t>
  </si>
  <si>
    <t>Flying Scooter Productions</t>
  </si>
  <si>
    <t>Advertising, Broadcasting</t>
  </si>
  <si>
    <t>1. Enrolled as a Junior or Senior in college as a Marketing, Business, Advertising, Communication, or PR major
2. Must live or be located in Pittsburgh, PA
3. Excellent written and verbal communication, strong editing skills
...</t>
  </si>
  <si>
    <t>RETURNship</t>
  </si>
  <si>
    <t>Stoltz Marketing Group</t>
  </si>
  <si>
    <t>Advertising, Information and Communications Technology (ICT)</t>
  </si>
  <si>
    <t>1. A person who has chosen or been forced to leave the workforce for 3+ years due to life circumstances. That could include caring for yourself, navigating health challenges, caring for children, an aging parent, etc.
2. Availability to work 20-30 hours/week in our corporate headquarters in downtown Boise, Monday-Friday, during business hours. We can be flexible and work around caregiver schedules (9 am-3 pm for example).
3. Shows interest in learning about marketing strategy, media planning, account management, graphic design, photography, videography, or digital marketing.
...</t>
  </si>
  <si>
    <t>Fall Executive Communications Internship</t>
  </si>
  <si>
    <t>SKDKnickerbocker</t>
  </si>
  <si>
    <t>1. A habit of consuming tons of news and a desire to change it for the better.
2. Writing experience in organizations such as political campaigns, government, issue advocacy groups, media, public affairs agencies, or similar.
3. Ability to manage time and responsibilities while working on multiple projects with competing deadlines.
...</t>
  </si>
  <si>
    <t>Graduate-Level Marketing Intern</t>
  </si>
  <si>
    <t>NCJW NY</t>
  </si>
  <si>
    <t>$190-$190 /wk</t>
  </si>
  <si>
    <t>1. Bachelor’s Degree, and working towards or completed relevant Master’s Degree.
2. Relevant previous work/internship experience.
3. Excellent writing skills.
...</t>
  </si>
  <si>
    <t>Campus Marketing Representative - Universiy of Pennsylvania</t>
  </si>
  <si>
    <t>$1600-$1600 /h</t>
  </si>
  <si>
    <t>1. Current undergraduate/graduate student at University of Pennsylvania
2. Must be enrolled in at least 50% of in-person classes
3. Major in business administration, marketing, and sales with a strong interest in event planning
...</t>
  </si>
  <si>
    <t>Campus Marketing Representative - University of Illinois - Urbana-Champaign</t>
  </si>
  <si>
    <t>1. Current undergraduate/graduate student at University of Illinois - Urbana-Champaign
2. Must be enrolled in at least 50% of in-person classes
3. Major in business administration, marketing, and sales with a strong interest in event planning
...</t>
  </si>
  <si>
    <t>Campus Marketing Representative - North Carolina State University at Raleigh</t>
  </si>
  <si>
    <t>1. Current undergraduate/graduate student at North Carolina State University at Raleigh
2. Must be enrolled in at least 50% of in-person classes
3. Major in business administration, marketing, and sales with a strong interest in event planning
...</t>
  </si>
  <si>
    <t>Campus Marketing Representative - University of Pennsylvania - Pittsburg</t>
  </si>
  <si>
    <t>1. Current undergraduate/graduate student at University of Pennsylvania - Pittsburg
2. Must be enrolled in at least 50% of in-person classes
3. Major in business administration, marketing, and sales with a strong interest in event planning
...</t>
  </si>
  <si>
    <t>Campus Marketing Representative - University of North Carolina - Charlotte</t>
  </si>
  <si>
    <t>1. Current undergraduate/graduate student at University of North Carolina - Charlotte
2. Must be enrolled in at least 50% of in-person classes
3. Major in business administration, marketing, and sales with a strong interest in event planning
...</t>
  </si>
  <si>
    <t>Campus Marketing Representative - Temple University</t>
  </si>
  <si>
    <t>1. Current undergraduate/graduate student at Penn State or Temple University
2. Must be enrolled in at least 50% of in-person classes
3. Major in business administration, marketing, and sales with a strong interest in event planning
...</t>
  </si>
  <si>
    <t>Campus Marketing Representative - University of North Carolina - Chapel Hill</t>
  </si>
  <si>
    <t>1. Current undergraduate/graduate student at University of North Carolina - Chapel Hill
2. Must be enrolled in at least 50% of in-person classes
3. Major in business administration, marketing, and sales with a strong interest in event planning
...</t>
  </si>
  <si>
    <t>Marketing/Development/Public Relations Intern</t>
  </si>
  <si>
    <t>Siouxland Community Health</t>
  </si>
  <si>
    <t>1. Solid experience &amp; advanced knowledge of marketing, development, and public relations
2. Excellent organizational skills, attention to detail, and ability to prioritize in a changing environment
3. Excellent interpersonal skills and follow-up skills
...</t>
  </si>
  <si>
    <t>Product Marketing Intern</t>
  </si>
  <si>
    <t>Verbit</t>
  </si>
  <si>
    <t>1. Currently pursuing a Bachelor’s or Master’s degree in Marketing, Business, Communications, or a related field.
2. Strong analytical skills and ability to interpret data to drive marketing decisions.
3. Excellent written and verbal communication skills.
...</t>
  </si>
  <si>
    <t>On-Site Search Intern-Fall 2024</t>
  </si>
  <si>
    <t>Imperial Supplies</t>
  </si>
  <si>
    <t>1. Recently graduated or has active enrollment in a 2- or 4-year accredited college in a relevant course of study
2. Exposure to eCommerce, digital marketing, or digital merchandising, with understanding of site search experience
3. Strong oral and written communications skills, and be able to work effectively and independently, while building relationships with others
...</t>
  </si>
  <si>
    <t>QVC Brand Influencer &amp; Strategic Partnerships Fall 2024 Intern</t>
  </si>
  <si>
    <t>1. Must be enrolled in a college or university in an undergraduate or graduate program.
2. Knowledge of web/digital based technologies as well as various computer programs including PowerPoint, Word, and Excel.
3. Self-motivated, attentive to detail, an outstanding communicator (written and verbal), and a team-player with a positive attitude.</t>
  </si>
  <si>
    <t>School to Work - Marketing - Fall 2024</t>
  </si>
  <si>
    <t>1. Currently pursuing a degree in Marketing, Communications, Business, or a related field.
2. Basic understanding of and/or interest in working with HTML.
3. Experience with graphic design programs such as Adobe InDesign, Illustrator or Photoshop is a plus.
...</t>
  </si>
  <si>
    <t>Dr. Idriss</t>
  </si>
  <si>
    <t>1. Enrolled in college or university program
2. Experience with Instagram and TikTok required
3. High level of creativity
...</t>
  </si>
  <si>
    <t>Marketing Internship, Eastern Pennsylvania Nonprofit</t>
  </si>
  <si>
    <t>Access Services</t>
  </si>
  <si>
    <t>Child Care, Health Care</t>
  </si>
  <si>
    <t>1. Student of any year pursuing a degree in marketing, communications, and/or business management, or a recent graduate with a degree in marketing, communications, and/or business management
2. Have an interest in marketing and communications
3. Open and creative brainstormer
...</t>
  </si>
  <si>
    <t>1. Interest in social media and particularly the beauty industry.
2. Proficient knowledge of social media platforms such as TikTok, Instagram, Threads, Pinterest, and LinkedIn
3. Video editing skills and Adobe suite skills highly preferred
...</t>
  </si>
  <si>
    <t>Unpaid: Social Media Intern - Tempe</t>
  </si>
  <si>
    <t>International Friendships, Inc.</t>
  </si>
  <si>
    <t>1. Adherence to IFI's statement of faith, core values, and policies
2. Training, experience or certification in social media creation and management
3. Well organized with attention to detail and ability to complete tasks independently
...</t>
  </si>
  <si>
    <t>Paravine Marketing</t>
  </si>
  <si>
    <t>Lee County, FL</t>
  </si>
  <si>
    <t>1. Currently enrolled in a college program, pursuing a degree in Marketing, Communications, Entrepreneurship, Business, or related field.
2. Strong passion for marketing or entrepreneurship and a desire to learn and grow in the field.
3. Excellent verbal and written communication skills.
...</t>
  </si>
  <si>
    <t>Fall Internship - Management Trainee Internship</t>
  </si>
  <si>
    <t>Greenwood, SC</t>
  </si>
  <si>
    <t>1. Must be at least 18 years old
2. Must be a current college/university Junior or Senior graduating with Bachelor's degree in December 2024 or May 2025
3. Must have 6 months (can be non-concurrent) of sales or customer service or marketing or leadership experience
...</t>
  </si>
  <si>
    <t>Global Markets Quantitative Strategies Group Summer Associate Program - 2025</t>
  </si>
  <si>
    <t>1. Candidates are required to be pursuing a degree from an accredited college or university with a graduation timeframe between December 2024 and June 2025 at the following level: PhD or Master’s in a quantitative field such as mathematics, physics, engineering, operations research, computer science, financial mathematics, computational finance, or financial engineering
2. A record of superior academic achievement
3. Understanding of basic financial modeling
...</t>
  </si>
  <si>
    <t>Orangeburg, SC</t>
  </si>
  <si>
    <t>Student Field Research Executive</t>
  </si>
  <si>
    <t>Real Image Media Technologies</t>
  </si>
  <si>
    <t>Film Production, Hardware</t>
  </si>
  <si>
    <t>Salem, IN</t>
  </si>
  <si>
    <t>1. Currently pursuing studies or recently graduated in business, marketing, or related fields
2. Excellent communication and interpersonal skills
3. Ability to work independently and diligently
...</t>
  </si>
  <si>
    <t>Marketing and Social Media Intern - Auburn University Dining</t>
  </si>
  <si>
    <t>1. Previous custodial experience preferred
2. Frequent lifting, carrying, pushing, or pulling greater than 50 lbs.
3. Must be able to follow basic safety procedures and precautions due to physical risks and exposure to hazardous chemicals</t>
  </si>
  <si>
    <t>1. Bachelor’s degree from an accredited college/university
2. Exceptional attention to detail is a must
3. Ability to multi-task between concurrent assignments, prioritize effectively, and adapt quickly to changing priorities, assignments, and roles
...</t>
  </si>
  <si>
    <t>Intern, Communications</t>
  </si>
  <si>
    <t>1. Undergraduate or post-graduate student with strong communications background and a major in communications, journalism or related field.
2. Must be able to work all home game nights, plus 3-5 office hours each week
3. Intense desire to progress in the sports communications industry
...</t>
  </si>
  <si>
    <t>Intern, Public &amp; Media Relations</t>
  </si>
  <si>
    <t>East Meadow, NY</t>
  </si>
  <si>
    <t>1. Attend all New York Islanders home games including pre-season &amp; post-season (typical game night hours: 2-11 p.m., with rotating morning shifts beginning at 8:30am).
2. Facilitate game day tasks such as media credentialing, press-box set-up, media hospitality, stat distribution and stat tracking.
3. Distribute statistics and notes to media, scouts and team staff before, during and after games.
...</t>
  </si>
  <si>
    <t>Intern, Development &amp; Community Events-Tucson, Arizona</t>
  </si>
  <si>
    <t>1. Experience/interest in promotion, sales, or fundraising.
2. Demonstrated skills in effective one-on-one and group communications and comfort with working with all levels of community leaders, volunteers, and staff.
3. Excellent communication and customer service skills.
...</t>
  </si>
  <si>
    <t>Community Engagement Intern</t>
  </si>
  <si>
    <t>Palo Alto, California, United States</t>
  </si>
  <si>
    <t>1. An interest in and love of the outdoors and nature
2. Good computer skills and a willingness to learn other cloud-based systems like database, project management, digital asset management, web content and others
3. Excellent organizational skills and attention to detail
...</t>
  </si>
  <si>
    <t>Heidrick &amp; Struggles International</t>
  </si>
  <si>
    <t>1. Must be a student currently enrolled in an accredited undergraduate or graduate program, preferably in Marketing or related academic program.
2. Excellent demonstrated aptitude in MS PowerPoint, Excel and Word
3. A proven ability to multi-task and manage multiple priorities
...</t>
  </si>
  <si>
    <t>Communications Intership</t>
  </si>
  <si>
    <t>Brooklyn, New York</t>
  </si>
  <si>
    <t>1. Previous internships in PR / Fashion PR
2. Available to work two days a week from our Brooklyn HQ (September-December)
3. Excellent communication skills
...</t>
  </si>
  <si>
    <t>USA - MA - Chelmsford</t>
  </si>
  <si>
    <t>1. Currently enrolled in a bachelor’s degree program, with a focus on Marketing, Business, or related field.
2. Completed Junior year in a 4-year degree program.
3. Candidate must be detail-oriented.
...</t>
  </si>
  <si>
    <t>1. Currently enrolled in a bachelor’s degree program, with a focus on Marketing, Business or Related field.
2. Completed Junior year in a 4-year degree program.
3. Candidate must be detail-oriented.
...</t>
  </si>
  <si>
    <t>Praktikant (m/w/d) im Bereich Marketing</t>
  </si>
  <si>
    <t>1. Immatrikulierter Student (m/w/d) des Studiengangs BWL, Marketing, Kommunikationswissenschaft oder einer ähnlichen Studienrichtung
2. Sehr gute Englischkenntnisse
3. Guter Umgang mit dem MS-Office Paket
...</t>
  </si>
  <si>
    <t>Doritos® Dinamita® College Brand Ambassador</t>
  </si>
  <si>
    <t>Evolvez Agency</t>
  </si>
  <si>
    <t>Advertising, Business Development</t>
  </si>
  <si>
    <t>$600-$600 total stipend</t>
  </si>
  <si>
    <t>1. Must be a full-time, currently enrolled college student available to promote Dinamita® in-person on your college campus in the upcoming Fall semester/quarter.
2. Should not be participating in another Ambassador program within the packaged snack industry
3. Passionate about event planning, social content creation &amp; promotion, and being a trendsetter for new products amongst your peers. Added bonus if you already love Doritos® &amp; Dinamita®!
...</t>
  </si>
  <si>
    <t>1. Currently pursuing a degree in Marketing, Communications, Business, or a related field.
2. Strong understanding of marketing principles and a keen interest in brand development.
3. Excellent communication skills and a knack for creative content creation.
...</t>
  </si>
  <si>
    <t>Marketing Co-op - Healthcare Professional</t>
  </si>
  <si>
    <t>1. Current undergraduate student in pursuit of a Bachelor’s Degree with an expected graduation in spring 2025, preferably with a Marketing or Business focus
2. Must be able to commit to 6-month duration - 40 hours per week (Monday – Friday) for the length of the assignment (July 2024-Dec 2024)
3. Cumulative 3.0 GPA
...</t>
  </si>
  <si>
    <t>Digital Marketing Intern/Co-op</t>
  </si>
  <si>
    <t>908 Devices</t>
  </si>
  <si>
    <t>Battery, Chemical</t>
  </si>
  <si>
    <t>1. Experience with basic graphic design (web design)
2. Passion for marketing and eager to research the latest best practices and new technologies for enhancing user experience</t>
  </si>
  <si>
    <t>Partners for Diversity Internship, Public Relations</t>
  </si>
  <si>
    <t>Finn Partners</t>
  </si>
  <si>
    <t>1. BIPOC student ready to kickstart their career in PR or marketing
2. Junior or senior majoring in marketing, journalism or communications
3. Creative, fast thinker who can handle multiple projects simultaneously
...</t>
  </si>
  <si>
    <t>BerlinRosen</t>
  </si>
  <si>
    <t>1. Must be a rising college senior (or junior), postgraduate student or non-student
2. Self-motivated, detail-oriented, multi-tasker, good organizational skills and ability to prioritize and meet deadlines in a fast-paced environment
3. Strong writing; write clear, public-facing materials, including blogs to tweets to research memos, quickly
...</t>
  </si>
  <si>
    <t>Digital Marketing - Account Management Internship</t>
  </si>
  <si>
    <t>1. A Bachelor’s Degree (either in-progress or completed) in Marketing, Advertising, Business, Journalism, Communications, Information Systems, Statistics, or related field
2. GPA above 3.4
3. Customer service experience in any industry
...</t>
  </si>
  <si>
    <t>Content Management Intern</t>
  </si>
  <si>
    <t>Advisors Excel</t>
  </si>
  <si>
    <t>Topeka Metropolitan Area</t>
  </si>
  <si>
    <t>1. Detail oriented, focused on quality in all aspects of your work
2. Strong organizational and time management skills
3. Resourceful in solving problems and maximizing resources
...</t>
  </si>
  <si>
    <t>Summer 2025 Mars Wrigley MBA Marketing Internship</t>
  </si>
  <si>
    <t>1. Students who are passionate about marketing and the CPG industry.
2. Collaborators with strong problem-solving skills and a solutions-oriented mindset.
3. Eligible candidates will intern the summer prior to their final graduation date (1st year MBA).
...</t>
  </si>
  <si>
    <t>N&amp;J Marketing Intern</t>
  </si>
  <si>
    <t>MarineMax</t>
  </si>
  <si>
    <t>1. Current enrollment in or recent graduation from a related bachelor’s or master’s degree program (e.g., Marketing, Business Administration, Communications)
2. Understanding of marketing principles and enthusiasm for the latest marketing trends and technologies
3. Strong writing and content creation skills, with the ability to adapt style and tone to different channels and audiences
...</t>
  </si>
  <si>
    <t>PR &amp; Digital Communications Intern, GENYOUth</t>
  </si>
  <si>
    <t>Dairy Management</t>
  </si>
  <si>
    <t>Nutrition, Wellness</t>
  </si>
  <si>
    <t>1. Recent college graduate (Class of 2024) interested in building upon existing experience in social/digital media, public relations, media relations, creative storytelling, and content creation
2. Interest in or experience with non-profit management, CSR, and youth health and wellness
3. Must be eligible to work in the U.S. without requiring visa sponsorship now or in the future</t>
  </si>
  <si>
    <t>2025 Summer Corporate Intern - Communications</t>
  </si>
  <si>
    <t>1. Currently enrolled in a full-time, four-year accredited college or university or graduate school in one of the following degree programs: Communications, Public Relations, English, Journalism or Marketing.
2. Minimum 3.0/4.0 Cumulative GPA (no rounding).
3. Expected graduation: December 2024 and beyond.
...</t>
  </si>
  <si>
    <t>Ettika</t>
  </si>
  <si>
    <t>Fashion, Jewelry</t>
  </si>
  <si>
    <t>1. Excellent communication skills
2. Experience in market research and sales
3. Knowledge of marketing strategy development
...</t>
  </si>
  <si>
    <t>Internal Marketing Assistant</t>
  </si>
  <si>
    <t>Max Well Therapy</t>
  </si>
  <si>
    <t>1. Communication Skills
2. Computer Skills
3. Online Marketing experience
...</t>
  </si>
  <si>
    <t>Swine Marketing Intern</t>
  </si>
  <si>
    <t>1. Experience or knowledge in the swine industry
2. Prior experience or knowledge in the swine industry</t>
  </si>
  <si>
    <t>Sheep Marketing Intern</t>
  </si>
  <si>
    <t>1. Experience or knowledge in the sheep industry
2. Prior experience or knowledge in the sheep industry
3. Contacting sellers within the sheep and livestock industries
...</t>
  </si>
  <si>
    <t>Skillman, NJ</t>
  </si>
  <si>
    <t>Management Trainee Intern</t>
  </si>
  <si>
    <t>1. Must be a current or rising Senior enrolled full-time in a bachelor's degree program.
2. Must have a valid driver's license with no more than two moving violations or at-fault accidents on driving record in the last 3 years.
3. No drug or alcohol related conviction on driving record in the past 5 years.
...</t>
  </si>
  <si>
    <t>Bilingual International Marketing Intern (Mexico)</t>
  </si>
  <si>
    <t>1. High level of proficiency in the Spanish language</t>
  </si>
  <si>
    <t>Marketing Intern (PHX)</t>
  </si>
  <si>
    <t>1. Actively enrolled in college pursuing a degree
2. Ability to work in a fast-paced environment, while maintaining strong attention to detail
3. Excellent writing, editing, and proofreading skills with a diligent eye for detail, language, flow, and grammar
...</t>
  </si>
  <si>
    <t>New York University MATLAB Student Ambassador</t>
  </si>
  <si>
    <t>Markets - Quantitative Analysis, Summer Analyst - New York City - US, 2025</t>
  </si>
  <si>
    <t>1. Maintain a GPA of 3.3 or above
2. Obtaining a Bachelor’s or Master’s (graduating in Fall 2025 or Spring 2026), majoring in Quantitative Finance, Computer Science, Engineering, Mathematics and/or a closely related degree
3. Excellent mathematical and/or programming skills
...</t>
  </si>
  <si>
    <t>Merchandising/Administrative Intern</t>
  </si>
  <si>
    <t>Li &amp; Fung</t>
  </si>
  <si>
    <t>1. Currently pursuing a degree in Merchandising, Business, or a related field.
2. Strong organizational and multitasking skills.
3. Excellent verbal and written communication skills.
...</t>
  </si>
  <si>
    <t>SOCIAL MEDIA ASSISTANT (INTERN)</t>
  </si>
  <si>
    <t>New York City Campaign Finance Board</t>
  </si>
  <si>
    <t>Search Engine Marketing Intern</t>
  </si>
  <si>
    <t>1. paid search marketing
2. paid campaigns
3. postings through social media
...</t>
  </si>
  <si>
    <t>Livestock Marketing Intern</t>
  </si>
  <si>
    <t>1. Learn all aspects of Sandhills products and services
2. Focus on new market development within the livestock industry
3. Contact sellers within the livestock industry and educate them on products and services
...</t>
  </si>
  <si>
    <t>Troon</t>
  </si>
  <si>
    <t>Golf, Hospitality</t>
  </si>
  <si>
    <t>Oak Forest, IL</t>
  </si>
  <si>
    <t>1. Active college student
2. Passion for the golf industry
3. Ability to capture content using a cell phone for marketing purposes
...</t>
  </si>
  <si>
    <t>Cattle Feeder Marketing Intern</t>
  </si>
  <si>
    <t>1. Experience or knowledge in the cattle feeder industry
2. Experience working on a feedlot
3. Prior experience or knowledge in the cattle feeder industry
...</t>
  </si>
  <si>
    <t>Digital Marketing Specialist Intern</t>
  </si>
  <si>
    <t>1. Experience in paid search marketing through search engines
2. Experience in paid campaigns and postings through social media
3. Experience in email marketing
...</t>
  </si>
  <si>
    <t>Marketing Intern, Shelton Group</t>
  </si>
  <si>
    <t>1. Senior in the last semester of undergraduate work
2. Desire to learn
3. Positive, passionate, curious, courageous, and authentic
...</t>
  </si>
  <si>
    <t>Digital Intern</t>
  </si>
  <si>
    <t>Wichita Falls, TX</t>
  </si>
  <si>
    <t>Summer 2025 Mars Petcare MBA Marketing Internship</t>
  </si>
  <si>
    <t>Marketing and Events Internship - Bombardier Defense</t>
  </si>
  <si>
    <t>Bombardier Aviation</t>
  </si>
  <si>
    <t>1. Currently enrolled in a university program studying business, marketing, hospitality, event management, or communications.
2. Per US ITAR (International Traffic in Arms Regulations) Requirements, must be a U.S. Citizen or U.S. Permanent Resident (Green Card Holder).
3. Has interest/experience in marketing and communications related to the Defense industry.
...</t>
  </si>
  <si>
    <t>Social Media Content Creator Intern</t>
  </si>
  <si>
    <t>Blissy</t>
  </si>
  <si>
    <t>Burbank, CA</t>
  </si>
  <si>
    <t>1. Full-Time in office availability, M-F 9am-5pm at our Burbank, CA HQ
2. Detail-oriented and driven
3. Familiarity with how to use TikTok, Instagram, Youtube and relevant editing tools
...</t>
  </si>
  <si>
    <t>Marketing Intern, Chartwells Higher Ed / California State University - Monterey Bay</t>
  </si>
  <si>
    <t>Seaside, CA</t>
  </si>
  <si>
    <t>$19.50-$19.50 /h</t>
  </si>
  <si>
    <t>2025 Summer Corporate Intern - Marketing</t>
  </si>
  <si>
    <t>1. Must be enrolled full time at a 4-year accredited university/college in one of the following degree programs: Marketing, Business, Graphic Design, Communications, PR, or related degree
2. Minimum cumulative GPA of 2.8/4.0 (no rounding)
3. Graduation date must be August 2025 and beyond
...</t>
  </si>
  <si>
    <t>RCR</t>
  </si>
  <si>
    <t>1. Currently enrolled in a Bachelor's degree program, preferably in Marketing, Communications, or a related field.
2. Strong written and verbal communication skills.
3. Proficiency in Microsoft Office suite (Word, Excel, PowerPoint).
...</t>
  </si>
  <si>
    <t>Employee Communications Specialist -Intern</t>
  </si>
  <si>
    <t>HealthEdge</t>
  </si>
  <si>
    <t>Enterprise Software, Health Care</t>
  </si>
  <si>
    <t>1. Bachelor’s degree in Communications or related major, ideally pursuing a Master’s degree
2. Proven experience in social media management, multimedia design, and content creation
3. Strong writing ability and experience with editorial processes
...</t>
  </si>
  <si>
    <t>Marketing Internship (Paid) |  Business Development Associate</t>
  </si>
  <si>
    <t>Inspire Hospice and Palliative Care</t>
  </si>
  <si>
    <t>$45000-$50000 /yr</t>
  </si>
  <si>
    <t>1. Completed or pursuing a degree in marketing, sales, business, or health administration.
2. Passion for sales and growth, tech-savvy, and highly organized.
3. Excellent computer skills, intermediate knowledge of Excel, and a great phone presence.
...</t>
  </si>
  <si>
    <t>Axon Neurosciences</t>
  </si>
  <si>
    <t>CRM, Health Care</t>
  </si>
  <si>
    <t>1. Proficient with Microsoft Office (especially Word and Excel)
2. Google environment
3. Ability to work well independently, incorporate suggestions and meet deadlines
...</t>
  </si>
  <si>
    <t>Marietta, GA</t>
  </si>
  <si>
    <t>1. Prior experience with Canva
2. Proficient with Microsoft Office (especially Word and Excel)
3. Ability to work well independently, incorporate suggestions and meet deadlines
...</t>
  </si>
  <si>
    <t>SoundCloud UGA Student Brand Influencer</t>
  </si>
  <si>
    <t>BDS Connected Solutions</t>
  </si>
  <si>
    <t>$26-$27 /h</t>
  </si>
  <si>
    <t>1. High school diploma or equivalent required.
2. Must currently be an enrolled student at the University of Georgia in Athens, GA.
3. Social Media-Savvy: Active and engaged presence on social media platforms popular with college students.
...</t>
  </si>
  <si>
    <t>Marketing Admin Intern</t>
  </si>
  <si>
    <t>1. Must be a current University of Utah student.
2. Candidates will be expected to understand the following systems: Microsoft Office Suite, including Excel, Outlook, PowerPoint and Word</t>
  </si>
  <si>
    <t>Brand Intern (Fall 2024) ,</t>
  </si>
  <si>
    <t>Lede Company</t>
  </si>
  <si>
    <t>Consulting, Creative Agency</t>
  </si>
  <si>
    <t>1. Proficiency using Microsoft Office and Google Drive essential
2. Ability to take initiative and must have the confidence to learn in a fast-paced environment
3. Must be reliable with excellent organizational skills and very strong attention to detail
...</t>
  </si>
  <si>
    <t>Junior Marketing Assistant Internship</t>
  </si>
  <si>
    <t>Monroe Tractor &amp; Implement Co.</t>
  </si>
  <si>
    <t>Agriculture, Real Estate</t>
  </si>
  <si>
    <t>Henrietta, NY</t>
  </si>
  <si>
    <t>1. Currently pursuing a bachelor's degree in Marketing, Communications, or related field.
2. Strong written and verbal communication skills with a keen eye for detail.
3. Proficiency in content management systems (CMS) for website updates (Wordpress).
...</t>
  </si>
  <si>
    <t>Marketing Intern - Remote</t>
  </si>
  <si>
    <t>Center for Internet Security</t>
  </si>
  <si>
    <t>Association, Cyber Security</t>
  </si>
  <si>
    <t>1. 2 years of study in Marketing, Graphic Design, or related field
2. Proficient in Microsoft Office applications
3. Fluent in Adobe Creative Suite and comfortable designing (InDesign, Photoshop, Illustrator) and a bonus to have editing skills (Premiere, After Effects)
...</t>
  </si>
  <si>
    <t>SAP iXp Intern - Partner Ecosystem Success Advocacy &amp; Amplification</t>
  </si>
  <si>
    <t>1. Enrolled BA or MA student, ideally in public relations, journalism, communication, or related fields
2. Good writing and editing skills in English; some experience newsletter copy is a plus
3. Detail-oriented, works well independently and cross-functionally
...</t>
  </si>
  <si>
    <t>Fall 2024 Management Trainee Intern Kendall</t>
  </si>
  <si>
    <t>Fall 2024 Management Trainee Intern Homestead</t>
  </si>
  <si>
    <t>Homestead, FL</t>
  </si>
  <si>
    <t>Advertising Intern (Norwalk, CT)</t>
  </si>
  <si>
    <t>Hearst Connecticut Media Group</t>
  </si>
  <si>
    <t>1. Currently enrolled in a Bachelor's degree program or recent graduate in Business, Sales, Marketing, Advertising, Social Media or a related field.
2. Strong communication skills, both written and verbal.
3. Enthusiastic about sales and eager to learn and grow in a sales role.
...</t>
  </si>
  <si>
    <t>Graduate Leadership Program - Media Marketing</t>
  </si>
  <si>
    <t>1. Completed a Bachelor’s or Master’s Degree between Fall 2024 and Spring 2025 in Business, Marketing, Advertising, Communication, or a related field.
2. Tech Savvy: A whiz at Microsoft Excel and comfortable working with numbers and data.
3. Work Experience: Prior internships or work experience relevant to the marketing &amp; advertising industry can help your resume standout
...</t>
  </si>
  <si>
    <t>Retail Media Intern - Amazon</t>
  </si>
  <si>
    <t>1. Pay per click advertising experience preferred
2. Basic understanding of SEO
3. Able to balance both creativity and analytics
...</t>
  </si>
  <si>
    <t>1. Undergraduate within 1-2 years of graduation, working towards a bachelor’s degree preferably in a business or marketing related field of study, and with a competitive academic standing.
2. Proficiency with computers and Microsoft applications (Word, Excel, PowerPoint).
3. Strong interpersonal skills to establish rapport with internal associates and any prospective or existing clients.
...</t>
  </si>
  <si>
    <t>Daybreaker Social Media Internship</t>
  </si>
  <si>
    <t>DAYBREAKER</t>
  </si>
  <si>
    <t>New York County, NY</t>
  </si>
  <si>
    <t>1. Graphic design experience for social media content is a serious plus
2. Social media savvy
3. A keen aesthetic for content and design
...</t>
  </si>
  <si>
    <t>Marketing &amp; Communications Co-op</t>
  </si>
  <si>
    <t>Intern, Marketing Business Operations</t>
  </si>
  <si>
    <t>1. Strong academic background and GPA, majoring in marketing, finance, or a related study
2. Excellent communication skills, both oral and written
3. An interest in real estate, the stock market, and/or macroeconomic events
...</t>
  </si>
  <si>
    <t>Loewe Perfumes</t>
  </si>
  <si>
    <t>1. Candidate must be an active student in the NYC area
2. Extremely detail oriented, with an organized manner of working
3. A team player who works very well with others and communicates clearly and articulately
...</t>
  </si>
  <si>
    <t>Digital Marketing Intern (Remote)</t>
  </si>
  <si>
    <t>Solenis</t>
  </si>
  <si>
    <t>Chemical, Industrial</t>
  </si>
  <si>
    <t>1. Current enrollment in an undergraduate course for marketing, communications, or similar field. OR bachelor's degree in Marketing, Business, Communications, or a related field.
2. Familiarity with digital marketing, SEO, and general project management.
3. Excellent written and verbal communication skills with the ability to present to both technical and non-technical audiences.
...</t>
  </si>
  <si>
    <t>1. Familiarity with social media platforms (e.g. Instagram, Facebook, Twitter, etc.)
2. Experience with content creation platforms (e.g. Canva, Adobe, etc.)
3. Experience in photography and film
...</t>
  </si>
  <si>
    <t>The Restaurant Store</t>
  </si>
  <si>
    <t>E-Commerce, Food Processing</t>
  </si>
  <si>
    <t>1. Competency in Microsoft Office (Excel, Word)
2. Familiarity with Google Analytics
3. Business writing experience
...</t>
  </si>
  <si>
    <t>Social Media Intern Fall 2024</t>
  </si>
  <si>
    <t>Butterfly Pavilion</t>
  </si>
  <si>
    <t>Events, Museums and Historical Sites</t>
  </si>
  <si>
    <t>$1-$1.01 /h</t>
  </si>
  <si>
    <t>1. Creative mindset
2. Driven, proactive, and resourceful team member
3. Efficiency in project and time management
...</t>
  </si>
  <si>
    <t>Pop-Tarts® Crunchy Poppers College Brand Ambassador</t>
  </si>
  <si>
    <t>1. Must be a full-time, currently enrolled college student available to promote Pop-Tarts® Crunchy Poppers in-person on your college campus in the upcoming Fall semester/quarter.
2. Should not be participating in another Ambassador program within the packaged snack industry
3. Passionate about event planning, social content creation &amp; promotion, and being a trendsetter for new products amongst your peers. Added bonus if you already love Pop-Tarts®!
...</t>
  </si>
  <si>
    <t>Working student (m/f/x) Global Marketing Communications B2B</t>
  </si>
  <si>
    <t>1. You are studying Communication, Marketing, Business Management or similar
2. You are a Digital Native and the learning of new digital tools and systems is easy for you
3. You have ideally gained some experience with digital marketing tools (CMS, Web Analytics, etc.)
...</t>
  </si>
  <si>
    <t>Vertical Marketing Intern</t>
  </si>
  <si>
    <t>1. Availability to work part-time at 20 - 25 hours/week
2. $17 per hour
3. Availability to work in office at the Lehi HQ 3 days per week
...</t>
  </si>
  <si>
    <t>Intern - Product Marketing Operations</t>
  </si>
  <si>
    <t>Elekta</t>
  </si>
  <si>
    <t>1. Enrolled student completing an accredited undergraduate or graduate program
2. Transferable skills from either prior professional experience or academic coursework relevant to Healthcare, Life Sciences, Technology, Product Marketing, Marketing, Sales, Business, or Product Management is a plus
3. Demonstrated ability to balance academic and extracurricular commitments (e.g. work experience, clubs, volunteer activities, teams, etc.)
...</t>
  </si>
  <si>
    <t>1. A proactive worker who is comfortable working on both team and individual projects.
2. A no-task-is-too-small attitude.
3. Excellent communication skills.
...</t>
  </si>
  <si>
    <t>Intern - Sales &amp; Marketing</t>
  </si>
  <si>
    <t>1. Minimum of 15-20 hours per week preferred.
2. Applicant must have a history of relevant coursework or experience.
3. Strong written and verbal communication skills.
...</t>
  </si>
  <si>
    <t>Student Worker - Marketing Intern</t>
  </si>
  <si>
    <t>Mississippi State, MS</t>
  </si>
  <si>
    <t>1. Previous food service experience preferred
2. Must have or acquire food safety certification
3. Demonstrates guest service skills</t>
  </si>
  <si>
    <t>1. Currently pursuing a degree in Marketing, Business, Communications, or a related field
2. Interest in working in sales with a creative mindset and an eye for detail
3. Basic understanding of SEO and content creation
...</t>
  </si>
  <si>
    <t>Student-Athletics Social Media Assistant</t>
  </si>
  <si>
    <t>Southern New Hampshire University</t>
  </si>
  <si>
    <t>On-Site (New Hampshire)</t>
  </si>
  <si>
    <t>1. Full-time enrollment in an Undergraduate Day program
2. Preference will be given to candidates with undergraduate degrees in Marketing, Art &amp; Design, and Liberal Arts who are pursuing a graduate degree in a Marketing related field
3. Video editing skills is a major plus as is photography</t>
  </si>
  <si>
    <t>USA - New Jersey - Rahway</t>
  </si>
  <si>
    <t>Part-time Consumer Insights Internship</t>
  </si>
  <si>
    <t>Maryville, TN</t>
  </si>
  <si>
    <t>1. Must be a junior, senior, or recent graduate of a degree program in Business Administration, Marketing, Finance, or other related field.
2. Strong research and analytical skills required.
3. Must have a working knowledge of market research processes.
...</t>
  </si>
  <si>
    <t>Advocacy Mobilization Intern</t>
  </si>
  <si>
    <t>1. Must be enrolled in a degree program at an accredited college/university, rising undergraduate juniors or seniors, graduate students, or post-doctoral students and remain academically enrolled throughout the internship, or must have previously graduated from college and enrolled in a continuing education program
2. Must be a self-starter and adaptable, with the ability to work under tight deadlines
3. Ability to manage multiple projects, anticipate project needs, and discern work priorities
...</t>
  </si>
  <si>
    <t>Marketing &amp; Copyediting Intern – Fall 2024</t>
  </si>
  <si>
    <t>$18.20-$30.02 /h</t>
  </si>
  <si>
    <t>1. High School Diploma/GED or equivalent plus enrolled in a related undergraduate or graduate program</t>
  </si>
  <si>
    <t>Intern, Marketing-1</t>
  </si>
  <si>
    <t>Quantis</t>
  </si>
  <si>
    <t>1. Academic background in communications or marketing, or experience with content writing for the web and social media
2. Excellent English communication abilities (both oral and written)
3. Fluent or native English writing ability (mandatory)
...</t>
  </si>
  <si>
    <t>Georgia Dental Association</t>
  </si>
  <si>
    <t>Association, Dental</t>
  </si>
  <si>
    <t>1. A rising junior or senior currently enrolled in a college or university program, preferably studying hospitality, business, marketing communications, health services, or a related field.
2. Strong organizational and multitasking skills, with the ability to prioritize tasks and meet deadlines in a fast-paced environment.
3. Excellent communication skills, both written and verbal, with a professional and customer service-oriented demeanor.
...</t>
  </si>
  <si>
    <t>Public Relations &amp; Social Media Intern</t>
  </si>
  <si>
    <t>Groot PR</t>
  </si>
  <si>
    <t>1. Create content and write for a weekly newsletter
2. Create content for press releases
3. Create media lists per music genre
...</t>
  </si>
  <si>
    <t>Social Marketing Intern</t>
  </si>
  <si>
    <t>Phusion Projects</t>
  </si>
  <si>
    <t>1. Bachelor's Degree (BA) from four-year college or university, currently enrolled in four-year college or university, or 1-2 years of related experience and/or training
2. Computer skills and extreme familiarity with all social media platforms/ analytics tools required
3. Proficiency in Power Point &amp; Excel
...</t>
  </si>
  <si>
    <t>Democracy Digital Intern</t>
  </si>
  <si>
    <t>1. Passionate about issues related to social justice
2. Committed to progressive values and prioritizing diversity, equity, and inclusion
3. Effective multitasker and can manage multiple projects with concurrent deadlines
...</t>
  </si>
  <si>
    <t>Pringles® Mingles College Brand Ambassador</t>
  </si>
  <si>
    <t>1. Must be a full-time, currently enrolled college student available to promote Pringles® Mingles in-person on your college campus in the upcoming Fall semester/quarter.
2. Should not be participating in another Ambassador program within the packaged snack industry
3. Passionate about event planning, social content creation &amp; promotion, and being a trendsetter for new products amongst your peers. Added bonus if you already love Pringles®!
...</t>
  </si>
  <si>
    <t>Tapatío College Brand Ambassador</t>
  </si>
  <si>
    <t>1. Must be a full-time, currently enrolled college student available to promote Tapatío in-person on your college campus in the upcoming Fall semester/quarter.
2. Should not be participating in another Ambassador program within the frozen meal industry.
3. There must be a Walmart near your campus for you to be eligible for this job because you will be responsible for purchasing Tapatío frozen meals to distribute within student organizations.
...</t>
  </si>
  <si>
    <t>LV Collective</t>
  </si>
  <si>
    <t>1. Currently in pursuit of a bachelor's degree, preferably in Marketing, Communications, Journalism, Public Relations or related fields of study
2. Fluent in the English language, its rules and proper usage; experience with AP style preferred
3. Strong grasp of social media platforms including Instagram and TikTok
...</t>
  </si>
  <si>
    <t>Marketing Intern / Junior Social Media Content Assistant - (Only Residents of the Palm Beach, FL Area)</t>
  </si>
  <si>
    <t>Caruso Eye Care</t>
  </si>
  <si>
    <t>Royal Palm Beach, FL</t>
  </si>
  <si>
    <t>1. Currently pursuing or recently completed a degree in Marketing, Communications, Business, Technology, or a related field.
2. Experience with photography and videography.
3. Strong interpersonal communication skills.
...</t>
  </si>
  <si>
    <t>Digital Media Planner - Entry Level</t>
  </si>
  <si>
    <t>Decatur, GA</t>
  </si>
  <si>
    <t>C3 Presents - Digital Guest Experience Intern - Fall 2024</t>
  </si>
  <si>
    <t>1. Enrolled in a Bachelor's/Masters program at an accredited college or university
2. Excellent organization, attention to detail, takes initiative and fast learner
3. Project Coordination skills: ability to plan, adhere to timelines, be responsive to other team deadlines
...</t>
  </si>
  <si>
    <t>Public Relations and Marketing Office, Student Worker</t>
  </si>
  <si>
    <t>Lincoln Land Community College</t>
  </si>
  <si>
    <t>$Minimum wage-$Minimum wage /h</t>
  </si>
  <si>
    <t>1. Must maintain satisfactory academic progress
2. Must be enrolled at least half-time (6 credit hours) during the semester of employment, with the exception of summer term
3. Complete LLCC’s mandatory harassment prevention training within 30 days of employment
...</t>
  </si>
  <si>
    <t>Advertising / Digital Marketing / Website Intern</t>
  </si>
  <si>
    <t>Treasure Island Resort &amp; Casino</t>
  </si>
  <si>
    <t>Welch, MN</t>
  </si>
  <si>
    <t>$14.25-$14.25 /h</t>
  </si>
  <si>
    <t>1. High School Diploma/GED or equivalent experience
2. Current enrollment in 2 or 4-year post-secondary educational program pursuing a degree in a field of study related to the area where the internship is being performed</t>
  </si>
  <si>
    <t>C3 Presents - Festival Marketing Intern - Fall 2024</t>
  </si>
  <si>
    <t>1. Currently enrolled in an accredited College or University; Preferably in a field related to the internship you are applying for
2. Junior or Senior standing
3. Previous experience preferred (school, internship, or professional)
...</t>
  </si>
  <si>
    <t>1. Must be a Senior enrolled full time for the upcoming semester in a college or university with a graduation date before June 2025.
2. 10-12 week commitment with the availability to start from the 1st day of training in December.
3. Must have a minimum of six months experience in sales, customer service, management or leadership. (military, athletic/team activities, community, social or academic organizations.)
...</t>
  </si>
  <si>
    <t>Marketing &amp; Communications Intern - Fall 2024</t>
  </si>
  <si>
    <t>1. Currently enrolled in a bachelor's or master’s degree program in Marketing, Communications or equivalent, in the United States
2. Intern must have reliable transportation to and from the worksite
3. Legally authorized to work in the United States without company sponsorship now and in the future
...</t>
  </si>
  <si>
    <t>Student Brand Ambassador - University of Washington (Seattle)</t>
  </si>
  <si>
    <t>Kaplan</t>
  </si>
  <si>
    <t>Corporate Training, EdTech</t>
  </si>
  <si>
    <t>1. Current sophomore, junior, or senior on campus
2. Engaged in your campus community or an active member or leader of a student club or organization
3. Active on social media with an engaged audience and strong digital presence
...</t>
  </si>
  <si>
    <t>Ocugen</t>
  </si>
  <si>
    <t>1. Currently enrolled in a bachelor’s or master’s degree program, preferably in Marketing, Communications, or related field
2. Strong written and verbal communication skills and attention to detail
3. Experience with major social media platforms and understanding of social media trends and best practices
...</t>
  </si>
  <si>
    <t>Marketing/Communications Intern/Co-op</t>
  </si>
  <si>
    <t>1. Portfolio required
2. Currently enrolled and attending an accredited college/university studying Visual Communications, Graphic Design, Marketing, or a related field
3. Detail-oriented, problem-solving mindset and excellent communication skills
...</t>
  </si>
  <si>
    <t>Accelerate Marketing Analyst</t>
  </si>
  <si>
    <t>Avis Budget Group</t>
  </si>
  <si>
    <t>1. Creative marketer who can bring great ideas that can be quickly turned into actionable plans to drive revenue.
2. Interest to learn across a matrixed environment, combining disciplines of Marketing, Creative &amp; Sales. Is comfortable bringing projects together across collaborative teams.
3. Channel savvy; able to understand the nuances behind marketing across social, digital and traditional.
...</t>
  </si>
  <si>
    <t>Inbound Marketing Intern (Part Time)</t>
  </si>
  <si>
    <t>1. Currently enrolled in or graduate from a degree program in marketing, communications, or a related field
2. Previous experience using HubSpot required
3. Familiarity with marketing concepts and techniques
...</t>
  </si>
  <si>
    <t>Special Events/Marketing Intern</t>
  </si>
  <si>
    <t>Ronald McDonald House Charities of Alabama</t>
  </si>
  <si>
    <t>1. Currently enrolled in a college/university working towards a degree in marketing, public relations, non-profit administration, human services, hospitality, communications, or related fields
2. Dependable and able to work with minimal supervision
3. Responsible, flexible, hard‐working, ethical, and committed to the mission of RMHCA
...</t>
  </si>
  <si>
    <t>Vibe Credit Union</t>
  </si>
  <si>
    <t>$18-$18.25 /h</t>
  </si>
  <si>
    <t>1. Currently pursuing or recently completed a degree in Marketing, Business, communications, or a related field.
2. Experience with graphic design software (e.g., Adobe Photoshop, Illustrator) is a plus.
3. Basic knowledge of SEO and Google Analytics.
...</t>
  </si>
  <si>
    <t>Web 3 Marketing Intern</t>
  </si>
  <si>
    <t>Power Meta Corporation</t>
  </si>
  <si>
    <t>$15.50-$20 /h</t>
  </si>
  <si>
    <t>1. Highly motivated and results-driven
2. Experience in marketing and sales outreach in Web 3.0
3. Ability to create content for social media channels
...</t>
  </si>
  <si>
    <t>Internship - Marketing Analyst</t>
  </si>
  <si>
    <t>Shar Products Company</t>
  </si>
  <si>
    <t>Music</t>
  </si>
  <si>
    <t>1. Currently pursuing or recently completed a degree in Business, Marketing, Economics, Statistics, or a related field
2. Strong analytical and critical thinking skills with the ability to interpret and synthesize data
3. Experience with market research methods, data collection, and analysis
...</t>
  </si>
  <si>
    <t>Social Media and Influencer Marketing Intern</t>
  </si>
  <si>
    <t>1. Ability to work independently and as part of a team in a fast-paced environment.
2. Knowledge across social media and influencer marketing.
3. Excellent communication, presentation and writing skills with a strategic and critical POV.
...</t>
  </si>
  <si>
    <t>Intern - Communications (Fall 2024)</t>
  </si>
  <si>
    <t>Center for Strategic and International Studies</t>
  </si>
  <si>
    <t>$17.50-$19.50 /h</t>
  </si>
  <si>
    <t>1. Bachelors’ degree in a relevant field
2. Excellent verbal and written communication skills with the ability to provide strong customer service
3. Strong interpersonal skills and attention to detail and the ability to prioritize, track, and accomplish multiple tasks simultaneously in a dynamic and fast-paced environment
...</t>
  </si>
  <si>
    <t>1. Current students and graduate students are eligible.
2. Each intern is required to work up to 20 hours per week for 12 weeks.
3. Must be at least 18 years of age.
...</t>
  </si>
  <si>
    <t>JS Media</t>
  </si>
  <si>
    <t>1. Strong work ethic
2. Experience selling (can be retail or ecommerce)
3. Some website design experience
...</t>
  </si>
  <si>
    <t>Marketing And Public Relations Intern</t>
  </si>
  <si>
    <t>Frozen Bean</t>
  </si>
  <si>
    <t>1. Excellent communication skills
2. Experience in market research and sales support
3. Knowledge of marketing strategy development
...</t>
  </si>
  <si>
    <t>Social Media &amp; Logistics Intern</t>
  </si>
  <si>
    <t>ST International Supply Inc</t>
  </si>
  <si>
    <t>1. Social Media Marketing and Social Media Content Creation skills
2. Strong understanding of social media platforms and trends
3. Digital Marketing and Marketing skills
...</t>
  </si>
  <si>
    <t>Marketing and Communications Intern- Fall 2024</t>
  </si>
  <si>
    <t>1. Excellent oral and written communications skills
2. Good time management and organizational skills
3. Understanding of style guides and familiarity with the Associated Press Stylebook
...</t>
  </si>
  <si>
    <t>Student Worker - Marketing Intern - Shenandoah University</t>
  </si>
  <si>
    <t>Sutton, WV</t>
  </si>
  <si>
    <t>Tree of Life Counseling and Wellness Center</t>
  </si>
  <si>
    <t>Health Care, Mental Health</t>
  </si>
  <si>
    <t>1. In school for communication, marketing or film production
2. Must have social media experience and in depth understanding
3. Have online engagement
...</t>
  </si>
  <si>
    <t>1. Current student seeking a Bachelor's degree from an accredited University or College
2. Strong writing and communication skills
3. Must have strong analytical and problem-solving skills
...</t>
  </si>
  <si>
    <t>Social Media and Content Creation Intern</t>
  </si>
  <si>
    <t>NoGood</t>
  </si>
  <si>
    <t>1. Experience in creating short-form video content for TikTok, YouTube, Instagram on either a brand or personal channel
2. Strong writing and social media copywriting skills, including long- and short-form
3. Impeccable storytelling skills — you know how to capture attention and maintain it
...</t>
  </si>
  <si>
    <t>Walker Sands</t>
  </si>
  <si>
    <t>$39520-$39520 /yr</t>
  </si>
  <si>
    <t>1. Passionate about the PR/Communication industry.
2. A desire and eagerness to learn and grow.
3. Candidates for the internship must be eligible for full-time employment at the conclusion of their internship.
...</t>
  </si>
  <si>
    <t>Marketing Intern, Chartwells Higher Ed / California State University - Fullerton</t>
  </si>
  <si>
    <t>Democracy Campaigns Intern</t>
  </si>
  <si>
    <t>1. Demonstrated interest in progressive causes
2. Skilled writer with the ability to incorporate the perspectives of multiple communities
3. Skilled researcher with the ability to clearly and concisely summarize information
...</t>
  </si>
  <si>
    <t>Fall 2024 Digital Marketing Intern, Workman Imprints</t>
  </si>
  <si>
    <t>Hachette Book Group</t>
  </si>
  <si>
    <t>Books, EBooks</t>
  </si>
  <si>
    <t>1. Interest in digital marketing with an emphasis on email marketing, digital advertising, and light digital asset creation and design
2. Highly organized and detail-oriented
3. Excellent written and verbal communication skills
...</t>
  </si>
  <si>
    <t>Graduate Assistant, Marketing and Communications - HKY</t>
  </si>
  <si>
    <t>Lenoir Rhyne University</t>
  </si>
  <si>
    <t>1. Enrolled graduate student at Lenoir-Rhyne University
2. Strong attention to detail, good organizational skills and ability to learn new tasks quickly and meet deadlines
3. Experience providing great customer service and engagement with the ability to build relationships with internal and external audiences
...</t>
  </si>
  <si>
    <t>Reingold</t>
  </si>
  <si>
    <t>1. Entrepreneurial spirit and a positive attitude.
2. Ability to communicate clearly and confidently, orally and in writing.
3. Capacity to thrive under pressure and meet tight deadlines.
...</t>
  </si>
  <si>
    <t>NewsNation/ T Howard Foundation Communications Internship Fall 2024 (New York)</t>
  </si>
  <si>
    <t>1. Must be pursuing an associate’s, bachelor’s or master’s degree at an accredited Institution and be able to provide documentation to confirm your degree progress.
2. Current class standing of sophomore or above
3. Cumulative GPA of 3.0 or above
...</t>
  </si>
  <si>
    <t>Communications Intern (Fall)</t>
  </si>
  <si>
    <t>1. Must be enrolled in a degree program at an accredited college/university rising undergraduate juniors or seniors, graduate students, or post-doctoral students and remain academically enrolled throughout the internship or must have previously graduated from college and enrolled in a continuing education program
2. Pursuing a degree in communications, marketing, journalism, gerontology, political science, policy, or related fields
3. Must be a self-starter and adaptable, with the ability to work under tight deadlines
...</t>
  </si>
  <si>
    <t>US Sailing</t>
  </si>
  <si>
    <t>Non Profit, Recreation</t>
  </si>
  <si>
    <t>1. Knowledgeable and interested in developing your communications skills
2. Strong organizational abilities
3. Excellent written and verbal communication skills
...</t>
  </si>
  <si>
    <t>Student Assistant - Communications and Marketing</t>
  </si>
  <si>
    <t>1. Currently enrolled as an Auburn University undergraduate student
2. Interest in Communications and Marketing
3. The ability to work independently with little supervision on certain projects and initiatives
...</t>
  </si>
  <si>
    <t>Kerecis</t>
  </si>
  <si>
    <t>1. Strong attention to detail
2. Strong organizational skills
3. Excellent written and verbal communication abilities – especially the ability to conduct professional and effective sales calls via telephone, with timely and well-organized follow-up
...</t>
  </si>
  <si>
    <t>2024-2025 - College of Business Marketing and Communication, Student Digital Marketing Support Assistant</t>
  </si>
  <si>
    <t>1. Students enrolled at FIU, who have been awarded Federal Work Study (FWS) as part of their Financial Aid Award package.
2. Student must be enrolled with a minimum of six (6) credit hours in a course of study leading to a degree or a Financial Aid eligible certificate, during Fall, Spring, and Summer semesters.
3. Hours will vary based on class schedule and needs of the department.
...</t>
  </si>
  <si>
    <t>2024-2025 - Music, Student Marketing Assistant</t>
  </si>
  <si>
    <t>1. Must have excellent writing skills.
2. Journalistic or public relations interest.
3. Must be personable.
...</t>
  </si>
  <si>
    <t>Austin, TX, USA</t>
  </si>
  <si>
    <t>Digital Marketing Intern (Fall Semester)</t>
  </si>
  <si>
    <t>Fujitsu Network Communications</t>
  </si>
  <si>
    <t>Communications Infrastructure, Software</t>
  </si>
  <si>
    <t>1. Currently pursuing a Bachelor’s or Master’s Degree in Marketing, Communications, Business, or related degree
2. Minimum GPA - 3.0
3. Proven ability to be proactive and show initiative
...</t>
  </si>
  <si>
    <t>Public Relations/Communications Co-Op 2024</t>
  </si>
  <si>
    <t>1. Candidate must be attending a 2-year college or 4-year university local to Saginaw
2. Candidate must be pursuing a degree in Business, or related field
3. Candidate must be able to work 20-32 hours during Fall and Winter semesters
...</t>
  </si>
  <si>
    <t>Marketing Intern | Fall 2024</t>
  </si>
  <si>
    <t>GigFinesse</t>
  </si>
  <si>
    <t>Internet, Music</t>
  </si>
  <si>
    <t>1. Enthusiasm for live music
2. Strong work ethic and impeccable attention to detail
3. Exceptional communication skills, both written and verbal
...</t>
  </si>
  <si>
    <t>AI Content Writing Internship</t>
  </si>
  <si>
    <t>1. Interest in AI and content creation
2. Strong writing and editing skills
3. Ability to work independently and collaboratively within a team
...</t>
  </si>
  <si>
    <t>Intern Marketing</t>
  </si>
  <si>
    <t>1. Candidate must be a College of Business &amp; Technology major with at least sophomore status.
2. Candidate must have at least one year of school remaining.
3. Candidate must be able to work a minimum of 20 hours per week during the school year and full time during the summer months (will be flexible around class commitments).</t>
  </si>
  <si>
    <t>FALL 2024 PR INTERN</t>
  </si>
  <si>
    <t>CLD PR</t>
  </si>
  <si>
    <t>Advertising, Events</t>
  </si>
  <si>
    <t>1. Self-driven with a willingness to meet and exceed expectations
2. Independent
3. Can handle a fast pace environment
...</t>
  </si>
  <si>
    <t>Northrop &amp; Johnson</t>
  </si>
  <si>
    <t>Sales, Shipping Broker</t>
  </si>
  <si>
    <t>1. Current enrollment in or recent graduation from a related bachelor’s or master’s degree program (e.g., Marketing, Business Administration, Communications).
2. Understanding of marketing principles and enthusiasm for the latest marketing trends and technologies.
3. Strong writing and content creation skills, with the ability to adapt style and tone to different channels and audiences.
...</t>
  </si>
  <si>
    <t>Marketing Internship (Fall 2024)</t>
  </si>
  <si>
    <t>Libbey</t>
  </si>
  <si>
    <t>3D Printing, Electronics</t>
  </si>
  <si>
    <t>1. Ability to work 15-20 hours per week, plus additional hours during peak periods
2. Currently pursuing bachelor’s degree
3. Digital marketing experience preferred; but willingness to learn is a must
...</t>
  </si>
  <si>
    <t>1. Ability to communicate clearly and confidently, both verbally and in writing
2. Capacity to thrive under pressure and to meet tight deadlines
3. Entrepreneurial and innovative spirit
...</t>
  </si>
  <si>
    <t>MFS Social Media Student Worker</t>
  </si>
  <si>
    <t>Abilene Christian University</t>
  </si>
  <si>
    <t>1. Social media experience needed to promote the Marriage and Family Studies department pages.</t>
  </si>
  <si>
    <t>University of Washington Seattle MATLAB Student Ambassador</t>
  </si>
  <si>
    <t>1. US Person Status
2. Pursuing or recently completed a Bachelor's or Master's degree in Marketing, Business, Market Research, or a related field
3. Exceptional research and analytical skills
...</t>
  </si>
  <si>
    <t>Valley Truck Centers</t>
  </si>
  <si>
    <t>Automotive, Professional Services</t>
  </si>
  <si>
    <t>1. Part-time availability for three days per week, or around 25 hours per week
2. Social media content creation and posting skills
3. Event planning skills
...</t>
  </si>
  <si>
    <t>Contracted Student Intern - Marketing</t>
  </si>
  <si>
    <t>1. Must be a current undergraduate or graduate student
2. Excellent research, writing, editing, and proofing skills
3. Highly communicative and collaborative
...</t>
  </si>
  <si>
    <t>YB USA Marketing and Development VISTA- Canoga Park</t>
  </si>
  <si>
    <t>AmeriCorps National Civilian Community Corps</t>
  </si>
  <si>
    <t>1. Community Organization
2. Leadership
3. Writing/Editing
...</t>
  </si>
  <si>
    <t>Volunteer Social Media Marketing and Sales</t>
  </si>
  <si>
    <t>NorthStar Transitions</t>
  </si>
  <si>
    <t>1. Passion for marketing and a desire to learn and develop new social media skills
2. Looking for an opportunity more than just a semester internship
3. Passion for learning new techniques and processes
...</t>
  </si>
  <si>
    <t>Content Marketing Writing Intern</t>
  </si>
  <si>
    <t>Unicity International</t>
  </si>
  <si>
    <t>1. Excellent writing and communication skills.
2. Familiarity with content marketing and digital media.
3. Excellent attention to detail and project management abilities.
...</t>
  </si>
  <si>
    <t>Fall 2024 Management Trainee Intern West Palm Beach FL</t>
  </si>
  <si>
    <t>1. Proficiency with social media platforms a must
2. Must be actively enrolled in an accredited college or university degree program for the full duration of the internship (proof of enrollment required)
3. Must be a rising Junior or Senior •Undergrad• Student (18 years or older)
...</t>
  </si>
  <si>
    <t>California State University Long Beach MATLAB Ambassador</t>
  </si>
  <si>
    <t>Fall 2024 Management Trainee Intern Port St Lucie FL</t>
  </si>
  <si>
    <t>1. Currently pursuing or completed B.A./B.S./Masters. Concentration in marketing, communications, digital media, or finance preferred
2. Additional fluency in Spanish, Portuguese, or Mandarin is strongly preferred but not required
3. Relevant internship(s) in marketing, business, investment writing, or communications (preferably within the financial services or asset management industry)
...</t>
  </si>
  <si>
    <t>Peer to Peer Student Worker - Marketing - University of Louisiana</t>
  </si>
  <si>
    <t>Monroe, LA</t>
  </si>
  <si>
    <t>1. The ideal candidate will have a solid understanding of all social media platforms
2. Experience in graphic design programs such as Adobe Creative Suites and/or Canva
3. Strong eye for detail with design, able to proof work and ensure accuracy in work completed</t>
  </si>
  <si>
    <t>Intern, Marketing Communications Innovations-Remote</t>
  </si>
  <si>
    <t>1. Candidates who are seniors or graduate students pursuing a degree in journalism, communications, public relations, marketing or localization/translation with an interest in non-profit and health care communications.
2. Public Relations experience or emphasis in PR coursework.
3. Ability to juggle multiple projects and seek assistance in a timely manner.
...</t>
  </si>
  <si>
    <t>Hero Hub</t>
  </si>
  <si>
    <t>Consulting, Digital Marketing</t>
  </si>
  <si>
    <t>1. Currently enrolled in a relevant degree program (e.g., Marketing, Business, Communications)
2. Strong written and verbal communication skills
3. Knowledge of social media platforms and digital marketing
...</t>
  </si>
  <si>
    <t>Digital Media Apprentice</t>
  </si>
  <si>
    <t>College Student Paid Marketing Intern</t>
  </si>
  <si>
    <t>SAGE Dining Services</t>
  </si>
  <si>
    <t>Ripon, WI</t>
  </si>
  <si>
    <t>1. Customer service skills
2. Pleasant demeanor
3. Great communication skills
...</t>
  </si>
  <si>
    <t>Strategic Writing Internship</t>
  </si>
  <si>
    <t>BadCat Digital</t>
  </si>
  <si>
    <t>Digital Marketing, Professional Services</t>
  </si>
  <si>
    <t>1. Outstanding writing and editing skills
2. Eager to learn and work with various departments in the company
3. Excellent verbal and written communication skills
...</t>
  </si>
  <si>
    <t>BOTTEGA VENETA Public Relations Intern</t>
  </si>
  <si>
    <t>Bottega Veneta</t>
  </si>
  <si>
    <t>1. Able to work in a team environment
2. Ability to take initiative and perform tasks in a self-sufficient manner
3. Eager to learn
...</t>
  </si>
  <si>
    <t>Social Media and Marketing Internship</t>
  </si>
  <si>
    <t>Yacht Management South Florida</t>
  </si>
  <si>
    <t>Commercial, Management Consulting</t>
  </si>
  <si>
    <t>1. Currently pursuing or completed a Bachelor's degree in Marketing, Communications, Business or related field.
2. Strong communication skills, both written and verbal
3. Creativity and ability to think outside the box
...</t>
  </si>
  <si>
    <t>AXA Investment Managers</t>
  </si>
  <si>
    <t>1. Currently pursuing or completed B.A./B.S./Masters. Concentration in marketing, communications, digital media, or finance preferred
2. Relevant internship(s) in marketing, business, investment writing, or communications (preferably within the financial services or asset management industry)
3. Writing for digital and social platforms
...</t>
  </si>
  <si>
    <t>PLS Logistics Services</t>
  </si>
  <si>
    <t>Logistics, Shipping Broker</t>
  </si>
  <si>
    <t>1. Currently enrolled in or graduated from a bachelor’s program relative to Business, Marketing, Communications, Public Relations, etc.
2. Available 20-30 hrs. per week during regular business hours</t>
  </si>
  <si>
    <t>Marketing Research Intern</t>
  </si>
  <si>
    <t>Foundry</t>
  </si>
  <si>
    <t>Advertising, Enterprise Software</t>
  </si>
  <si>
    <t>$21-$22 /h</t>
  </si>
  <si>
    <t>1. Junior or senior in college
2. Excel in marketing/marketing communication courses
3. Team-player with the ability to prioritize
...</t>
  </si>
  <si>
    <t>Marketing Energy Crew - Matchday</t>
  </si>
  <si>
    <t>Haslam Sports Group</t>
  </si>
  <si>
    <t>Sports, Venture Capital</t>
  </si>
  <si>
    <t>1. Available for 10 months of the year, potentially February through November
2. Max of 15 hours per match week paid hourly
3. Must be a minimum of 18 years of age
...</t>
  </si>
  <si>
    <t>Summer 2025 - Brand Management Internship</t>
  </si>
  <si>
    <t>Conagra Brands</t>
  </si>
  <si>
    <t>Food Processing, Lifestyle</t>
  </si>
  <si>
    <t>1. Must be entering your 1st year MBA program Summer/Fall 2024 and will not graduate prior to August 2025
2. People who are creative and innovative
3. Critical thinkers who can solve problems and make data-driven decisions
...</t>
  </si>
  <si>
    <t>Digital and Communications Intern (NCS) - Department of Finance</t>
  </si>
  <si>
    <t>City of Baltimore</t>
  </si>
  <si>
    <t>Government, News</t>
  </si>
  <si>
    <t>1. Journalism, Public Relations, Communications majors, or related field
2. Demonstrated written and verbal communication and project management skills
3. Proficient in Microsoft Office products: Word, Outlook, PowerPoint, and Excel
...</t>
  </si>
  <si>
    <t>Marketing Intern - HUBZone Residency (REQUIRED)</t>
  </si>
  <si>
    <t>NexThreat</t>
  </si>
  <si>
    <t>1. HUBZone Residency (REQUIRED) Your primary work location and address must be in an area designated as a Historically Underutilized Business Zone (HUBZone)
2. Currently pursuing or recently completed a degree in Marketing, Communications, or a related field
3. Strong written and verbal communication skills, with the ability to create compelling content for various marketing channels
...</t>
  </si>
  <si>
    <t>Remote Korean Internet Ads Rater - US</t>
  </si>
  <si>
    <t>1. Fluent in Korean (written and spoken)
2. Fluent in English (written and spoken)
3. Strong understanding of pop culture in Korea
...</t>
  </si>
  <si>
    <t>Ponte Vedra Beach, FL</t>
  </si>
  <si>
    <t>1. Pursuing a Bachelor’s degree in Graphic Design, Visual Communication, or related disciplines.
2. Hands-on experience with Adobe Creative Cloud applications, primarily Photoshop, Illustrator and InDesign. Experience with After Effects and/or Premiere Pro is a plus.
3. Experience with Microsoft Office Suite, specifically Word and PowerPoint
...</t>
  </si>
  <si>
    <t>Administration / Social Media Intern</t>
  </si>
  <si>
    <t>1. Willingness to work cooperatively as part of a small team
2. Demonstrates environmental stewardship actions
3. Reliable transportation required, along with valid U.S. driver's license and clean driving record
...</t>
  </si>
  <si>
    <t>Epoca International Inc</t>
  </si>
  <si>
    <t>1. Currently pursuing a bachelor's degree in Marketing, communications, or related field.
2. Ability to work independently and collaboratively.
3. Knowledge of SEO and SEM.
...</t>
  </si>
  <si>
    <t>WAY Internship: CNN Underscored Social Media: NYC - Fall 2024</t>
  </si>
  <si>
    <t>1. Must be actively enrolled in an accredited college or university degree program for the full duration of the internship (proof of enrollment required)
2. Must be a rising Senior undergraduate, graduating in Spring 2025 (18 years or older)
3. Must be in academic good standing (3.0 or above cumulative GPA)
...</t>
  </si>
  <si>
    <t>Dairy Cattle Marketing Intern</t>
  </si>
  <si>
    <t>1. Experience or knowledge in the dairy cattle industry
2. Prior experience or knowledge in the dairy cattle industry
3. Contacting sellers within the dairy cattle and livestock industries
...</t>
  </si>
  <si>
    <t>Student Marketing Intern- Kutztown University Dining Services</t>
  </si>
  <si>
    <t>Kutztown, PA</t>
  </si>
  <si>
    <t>1. Student at Kutztown University
2. Likes to have fun at work and demonstrates a competitive sales nature
3. Interest in sales/marketing
...</t>
  </si>
  <si>
    <t>1. Solid understanding of all social media platforms
2. Experience in graphic design programs such as Adobe Creative Suites and/or Canva
3. Strong eye for detail with design, able to proof work and ensure accuracy in work completed</t>
  </si>
  <si>
    <t>Summer 2025 Brand Management Internship (1Y MBA)</t>
  </si>
  <si>
    <t>Ewing, NJ</t>
  </si>
  <si>
    <t>1. First-year full-time MBA students, ideally with a concentration in marketing
2. Ability to commit to 10 weeks in Ewing, New Jersey during the summer of 2025
3. 1+ years of professional work experience
...</t>
  </si>
  <si>
    <t>Public Relations Internship - Sacramento - Summer/Fall 2024</t>
  </si>
  <si>
    <t>1. Graduated and completed college coursework in journalism, public relations, communications, or related fields
2. Fundamental writing, research, communications, and critical-thinking skills
3. Ability to work easily in both large team environments and independently
...</t>
  </si>
  <si>
    <t>MBA Marketing Internship 2025</t>
  </si>
  <si>
    <t>Ecolab</t>
  </si>
  <si>
    <t>Cleaning Products, Energy</t>
  </si>
  <si>
    <t>1. An anticipated MBA graduation date of May/June 2026.
2. A concentration in Marketing, General Management, or similar.
3. Two years professional experience pre-MBA.</t>
  </si>
  <si>
    <t>Marketing Specialist Intern</t>
  </si>
  <si>
    <t>ADTRAN</t>
  </si>
  <si>
    <t>Software, Video</t>
  </si>
  <si>
    <t>1. Be enrolled full-time and pursuing an undergraduate degree or graduate degree in Marketing, Business, Communications, or another related major.
2. Have an overall cumulative GPA of 3.5 out of 4.0 or higher
3. Successful completion of introductory courses in marketing, business or equivalent. (Senior collegiate level desired, Juniors also encouraged to apply)
...</t>
  </si>
  <si>
    <t>University of Southern California MATLAB Student Ambassador</t>
  </si>
  <si>
    <t>Copywriting Intern</t>
  </si>
  <si>
    <t>Revenue Accelerator</t>
  </si>
  <si>
    <t>1. Pursuing Bachelor's degree in English, Journalism, Marketing, or Communications (or similar)
2. A polished communicator with excellent written and verbal communication skills
3. Strong creative thinking skills and ability to think conceptually
...</t>
  </si>
  <si>
    <t>Dream Marketing Internship in Paradise: Bali Calling!</t>
  </si>
  <si>
    <t>LIV-LIFE INC.</t>
  </si>
  <si>
    <t>1. A bachelor's degree holder with a passion for marketing and digital media
2. A self-starter with boundless creativity and enthusiasm
3. Someone ready to embrace new challenges and think outside the box
...</t>
  </si>
  <si>
    <t>Optimatik</t>
  </si>
  <si>
    <t>1. Current student at a high school or university in the United States
2. Confident &amp; well-connected within your school ecosystem (in lots of clubs &amp; have a good network of friends)
3. Experimental &amp; willing to implement bold ideas
...</t>
  </si>
  <si>
    <t>Frazer, PA</t>
  </si>
  <si>
    <t>Brand Representative</t>
  </si>
  <si>
    <t>Gazette Gal</t>
  </si>
  <si>
    <t>$0-$250 /mon</t>
  </si>
  <si>
    <t>1. Efficient communication
2. Enthusiastic
3. Organized</t>
  </si>
  <si>
    <t>Intern - Marketing &amp; Communications (Project Management)</t>
  </si>
  <si>
    <t>United States Holocaust Memorial Museum</t>
  </si>
  <si>
    <t>$16-$17.50 /h</t>
  </si>
  <si>
    <t>1. Education in marketing, communications, and/or project management is required
2. Project management work experience can be used in place of education
3. Excellent communication skills - verbally and in writing
...</t>
  </si>
  <si>
    <t>Marketing Intern, Chartwells Higher Ed / University of Pittsburgh</t>
  </si>
  <si>
    <t>United States of America, Georgia (Remote)</t>
  </si>
  <si>
    <t>1. Role is remote-based.
2. Current enrollment in an undergraduate course for marketing, communications, or similar field. OR bachelor's degree in Marketing, Business, Communications, or a related field.
3. Familiarity with digital marketing, SEO, and general project management.
...</t>
  </si>
  <si>
    <t>Reflex</t>
  </si>
  <si>
    <t>Austin</t>
  </si>
  <si>
    <t>1. Current enrollment in or recent graduate of a Bachelor’s program in Marketing, Fashion Merchandise, Communications, Journalism, or a related field.
2. Proficiency in graphic design using tools like Canva, Figma, or similar platforms.
3. Passion and strong understanding of social media platforms and their respective audiences.
...</t>
  </si>
  <si>
    <t>Marketing Intern, Chartwells Higher Ed + Boost / St. John Fisher University</t>
  </si>
  <si>
    <t>ABB</t>
  </si>
  <si>
    <t>Working Student - Content Marketing</t>
  </si>
  <si>
    <t>Native Instruments</t>
  </si>
  <si>
    <t>Audio, Audio Recording and Production</t>
  </si>
  <si>
    <t>1. Currently enrolled in a degree program, preferably in Marketing, Communications, Music Technology, or a related field.
2. Excellent written and verbal communication skills in English.
3. You are interested in blog/editorial strategy and content marketing.
...</t>
  </si>
  <si>
    <t>Digital Marketing Intern - Remote or Hybrid-NYC</t>
  </si>
  <si>
    <t>BaubleBar</t>
  </si>
  <si>
    <t>1. Currently working toward receiving a bachelor's degree in marketing, communications, or a similar field
2. Previous internship experience in beauty or fashion, marketing or communications
3. Proficiency in Excel and PowerPoint
...</t>
  </si>
  <si>
    <t>Sales &amp; Marketing Intern</t>
  </si>
  <si>
    <t>ClairVista</t>
  </si>
  <si>
    <t>Customer Service, Messaging</t>
  </si>
  <si>
    <t>1. Junior, Senior, or new graduate
2. Business major with GPA of 3.5 or higher
3. Effective business communications – written and verbal
...</t>
  </si>
  <si>
    <t>Influencer</t>
  </si>
  <si>
    <t>Hunter Marketing</t>
  </si>
  <si>
    <t>Email Marketing, Marketing</t>
  </si>
  <si>
    <t>Columbus, Ohio Metropolitan Area</t>
  </si>
  <si>
    <t>1. Currently enrolled at The Ohio State University, Columbus College of Art and Design, Columbus State Community College or Columbus City Schools (high school candidates must be 17 or older).
2. Strong understanding of social media platforms, particularly Instagram, TikTok and YouTube.
3. Excellent communication and storytelling skills.
...</t>
  </si>
  <si>
    <t>Federal Work Study- Student Affairs Media Designer</t>
  </si>
  <si>
    <t>Prepory</t>
  </si>
  <si>
    <t>Career Planning, E-Learning</t>
  </si>
  <si>
    <t>Davie, FL</t>
  </si>
  <si>
    <t>1. Currently pursuing a degree in Marketing, Communications, Advertising / PR
2. Knowledge of engagement practices across TikTok, LinkedIn, Reddit, Instagram
3. Familiarity with Canva and/or other design platforms
...</t>
  </si>
  <si>
    <t>Marketing &amp; Sales Intern | Augusta Entertainment Complex</t>
  </si>
  <si>
    <t>1. Employee must be at least 18 years old
2. High School diploma or GED (or any equivalent combination of education and experience)
3. Recommended for Sport Management, Marketing, Communications, Management, or Hospitality Majors
...</t>
  </si>
  <si>
    <t>1. Currently enrolled in a degree program, preferably in Marketing, Communications, Music Technology, or a related field.
2. Excellent written and verbal communication skills in English.
3. You are interested in blog/editorial strategy and content marketing.</t>
  </si>
  <si>
    <t>Sales &amp; Marketing Associate  or Internship</t>
  </si>
  <si>
    <t>United Water Restoration Long Island</t>
  </si>
  <si>
    <t>Islandia, NY</t>
  </si>
  <si>
    <t>1. Confident
2. Outgoing
3. Social media savvy
...</t>
  </si>
  <si>
    <t>Advanced Computer Technologies</t>
  </si>
  <si>
    <t>East Hanover, NJ</t>
  </si>
  <si>
    <t>1. Undergraduate Juniors or Seniors pursuing a degree in Marketing, Communication, or related fields</t>
  </si>
  <si>
    <t>Cramify College Brand Ambassador</t>
  </si>
  <si>
    <t>1. Must be a full-time, currently enrolled college student in the upcoming Fall semester/quarter
2. Passionate about educational companies &amp; viewed as a trendsetter for new products/services
3. A strong presence on Instagram and TikTok is required. For Instagram, we require applicants to have at least 1,000 followers with strong engagement rates. For TikTok, we require applicants to consistently have videos that generate over 500 views.
...</t>
  </si>
  <si>
    <t>Marketing Intern - West Chester Univ.</t>
  </si>
  <si>
    <t>Université de Sherbrooke MATLAB Student Ambassador</t>
  </si>
  <si>
    <t>MTS - Internship, Data Analysis and Reporting</t>
  </si>
  <si>
    <t>1. Monitoring of Market Making activities with the updating of lists of Stocks and Market Operators necessary for the timely calculation of their own performances
2. Write technical documentation
3. Maintenance of the WEB front-end pages of the Clients and of the internal Management for the consultation and printing of performance indicators both in terms of volume and price
...</t>
  </si>
  <si>
    <t>Intern Communications Intern</t>
  </si>
  <si>
    <t>1. Junior or Senior Public Relations, Journalism, or Communications major (or recent graduate)
2. Strong academic performer with excellent written and verbal communication skills
3. A problem-solver with a keen eye for detail</t>
  </si>
  <si>
    <t>Social Media and Public Relations Intern</t>
  </si>
  <si>
    <t>Top of Mind PR</t>
  </si>
  <si>
    <t>Event Management, Public Relations</t>
  </si>
  <si>
    <t>1. Dependable and self-motivated
2. Creativity, enthusiasm, initiative and an interest in learning about digital marketing and communications
3. Outstanding oral and written communication skills
...</t>
  </si>
  <si>
    <t>Slim Chickens</t>
  </si>
  <si>
    <t>Restaurants</t>
  </si>
  <si>
    <t>1. Valid Driver’s License
2. Preference for Junior or Senior in College who is majoring in Marketing or Communications</t>
  </si>
  <si>
    <t>Java House</t>
  </si>
  <si>
    <t>1. Head intern must be a motivated self-starter, whom isn’t hesitant on cold-calling, recruiting, scheduling, and leading a team of 4-5 members
2. Organizational skills and attention to detail
3. Ability to learn quickly
...</t>
  </si>
  <si>
    <t>Public Relations Intern (On-Site Washington, DC) - Fall 2024</t>
  </si>
  <si>
    <t>Rational 360</t>
  </si>
  <si>
    <t>Creative Agency, Digital Media</t>
  </si>
  <si>
    <t>1. Excellent writing and editing skills
2. Must be available to work a minimum of 20 hours per week
3. Ability to handle multiple assignments at once
...</t>
  </si>
  <si>
    <t>Frontline Audience Development Intern – Fall 2024</t>
  </si>
  <si>
    <t>GBH</t>
  </si>
  <si>
    <t>1. Must have excellent research, writing, presentation and organizational skills.
2. Eye for detail, proofreading and copyediting.
3. Be able to demonstrate sound news judgment.
...</t>
  </si>
  <si>
    <t>1. Self-driven with a willingness to meet and exceed expectations
2. Independent
3. Can handle a fast-paced environment
...</t>
  </si>
  <si>
    <t>Townsquare Media Albany - Internship</t>
  </si>
  <si>
    <t>Townsquare Media</t>
  </si>
  <si>
    <t>Albany, New York Metropolitan Area</t>
  </si>
  <si>
    <t>1. At least 18 years of age
2. Residents of New York State and/or attending school in New York State
3. First time entrants into the program
...</t>
  </si>
  <si>
    <t>Fall 2024 Management Trainee Intern Coral Springs</t>
  </si>
  <si>
    <t>Student Intern - External Communication</t>
  </si>
  <si>
    <t>IAV Automotive Engineering, Inc.</t>
  </si>
  <si>
    <t>1. Current student working towards a Bachelor's degree or Master's degree with focus in Marketing or Communication &amp; Media
2. Requires working 20 hours a week and know how to manage work and school schedules.
3. Feeling for storytelling and design
...</t>
  </si>
  <si>
    <t>GemsNY</t>
  </si>
  <si>
    <t>Jewelry</t>
  </si>
  <si>
    <t>Fort Lee, NJ</t>
  </si>
  <si>
    <t>1. Passion for social media and content creation.
2. Have good photography skills and be comfortable in front of the camera.
3. Excellent communication and writing skills.
...</t>
  </si>
  <si>
    <t>Intern - Product Marketing</t>
  </si>
  <si>
    <t>1. Currently pursuing a degree in Business, Marketing, Engineering or related field
2. Excellent communication and teamwork abilities
3. Some business experience or related courses
...</t>
  </si>
  <si>
    <t>Fall 2024 Communications Co-Op_Greenville, SC</t>
  </si>
  <si>
    <t>1. The ability to interact in a professional manner with external partners, suppliers, customers, and colleagues.
2. Success in working with other people or team to meet a common objective.
3. Proficient in the use of Microsoft Office® Suite (Word, Excel, PowerPoint) and ability to learn other software systems.
...</t>
  </si>
  <si>
    <t>INTERN (Social Media and Communications)</t>
  </si>
  <si>
    <t>Rite of Passage</t>
  </si>
  <si>
    <t>Minden, NV</t>
  </si>
  <si>
    <t>1. High School diploma or equivalent.
2. Strong writing and proofreading ability required.
3. Familiarity with Windows applications.</t>
  </si>
  <si>
    <t>Summer Analyst (Summer 2025)</t>
  </si>
  <si>
    <t>G2 Capital Advisors</t>
  </si>
  <si>
    <t>1. Currently enrolled in a 4-year academic institution with an outstanding record (3.5 GPA minimum)
2. Rising junior or senior
3. Prior professional experience or internship in the field of finance, economics, engineering, or accounting
...</t>
  </si>
  <si>
    <t>Consumer Survey Internship</t>
  </si>
  <si>
    <t>SIS International Research</t>
  </si>
  <si>
    <t>1. Market Research and Surveying skills
2. Strong communication and interpersonal skills
3. Experience with data collection and analysis
...</t>
  </si>
  <si>
    <t>Digital Marketing</t>
  </si>
  <si>
    <t>Jack Flash Stores</t>
  </si>
  <si>
    <t>Effingham, IL</t>
  </si>
  <si>
    <t>1. Currently pursuing a Bachelor's or Master's degree in Statistics, Marketing, Communications, Finance, Business, Design, Graphic Design, or a related field
2. Available remotely and/or in office for a combined total of 15 hours per week
3. Basic knowledge and/or previous experience in digital marketing
...</t>
  </si>
  <si>
    <t>Student, Marketing Analytics, Trading Analytics, Marketing Support, Logistics OR Asphalt Support - Dublin, OH (Spring 2025)</t>
  </si>
  <si>
    <t>2024 - 2025 Athletics Department, Athletics Social Media Student Assistant</t>
  </si>
  <si>
    <t>1. Current FIU student and eligible for Federal Work Study
2. High school Diploma
3. Ability to work flexible hours as needed
...</t>
  </si>
  <si>
    <t>2024-2025 Athletics, Marketing &amp; Game Presentation Student Assistant</t>
  </si>
  <si>
    <t>1. Current FIU student and eligible for Federal Work Study
2. Students enrolled at FIU, who have been awarded Federal Work Study (FWS) as part of their Financial Aid Award package.
3. Student must be enrolled with a minimum of six (6) credit hours in a course of study leading to a degree or a Financial Aid eligible certificate, during Fall, Spring, and Summer semesters.
...</t>
  </si>
  <si>
    <t>Marketing Intern (Fall 2024)</t>
  </si>
  <si>
    <t>1. Preferably a rising college junior pursuing a Bachelor’s degree in Communications, Writing, Graphic Design, or a related field.
2. Familiarity and previous experience with Google Applications (Gmail, Calendar, Docs, Sheets), InDesign, Canva are preferred.
3. Ability to effectively and objectively communicate and work with internal and external customers, as well as strong analytical skills and a keen eye for detail.
...</t>
  </si>
  <si>
    <t>Marketing Intern (Remote)</t>
  </si>
  <si>
    <t>1. Role is remote-based.
2. Current enrollment in an undergraduate course for marketing, communications, or similar field.
3. Familiarity with Microsoft Office Suite.
...</t>
  </si>
  <si>
    <t>Marketing and Social Media Intern-Western Kentucky University</t>
  </si>
  <si>
    <t>1. Excellent written and verbal communications
2. Knowledge of MS Word, Excel and PowerPoint
3. Good organizational skills
...</t>
  </si>
  <si>
    <t>University of Michigan Ann Arbor MATLAB Student Ambassador</t>
  </si>
  <si>
    <t>STUDENT FUNDRAISER - CRIMSON CALLER (FALL SEMESTER)</t>
  </si>
  <si>
    <t>The University of Oklahoma Foundation</t>
  </si>
  <si>
    <t>1. Outgoing, energetic, and knowledgeable student
2. Must be available for required in-person training the evening of Sept. 6 and during the day Sept. 7
3. Minimum two shifts per week; all hours are evenings or weekends
...</t>
  </si>
  <si>
    <t>Marketing Intern Fall 2024</t>
  </si>
  <si>
    <t>1. Marketing, Integrated Marketing &amp; Communications, Communications, and/or Advertising major
2. Writing/editing skills
3. Email marketing experience is a plus
...</t>
  </si>
  <si>
    <t>Market Research Analyst Intern</t>
  </si>
  <si>
    <t>1. Undergraduate and graduate students in medicine, pharmacy, biology and other related majors, with previous experience in consulting firms, brokerage firms or other related internships preferred
2. Fluent in English, listening, reading and writing
3. Proficient in the use of office software, especially excel
...</t>
  </si>
  <si>
    <t>Performance Marketing Intern</t>
  </si>
  <si>
    <t>21.co</t>
  </si>
  <si>
    <t>1. At least one year of education beyond High School, preferably dedicated coursework in Business, Graphic design, or Marketing.
2. Detail-orientated, well-organized, and able to manage multiple high-priority projects at once.
3. A curious and creative marketer who enjoys exploring data
...</t>
  </si>
  <si>
    <t>Marketing Intern, Restaurant Associates / Kennedy Center</t>
  </si>
  <si>
    <t>Restaurant Associates</t>
  </si>
  <si>
    <t>Education, Food and Beverage</t>
  </si>
  <si>
    <t>1. Excellent communication skills, written and verbal
2. Knowledge of social media platforms
3. Good to better interpersonal skills
...</t>
  </si>
  <si>
    <t>Social Content Intern</t>
  </si>
  <si>
    <t>Hydrow</t>
  </si>
  <si>
    <t>Fitness, Sports</t>
  </si>
  <si>
    <t>1. 1-2 years working in a media environment, creating and managing content
2. Proven ability to develop engaging multimedia content, including text, images, and videos for public distribution
3. Strong copywriter and editor (especially short-form, social-media friendly)
...</t>
  </si>
  <si>
    <t>Donor Relations Communications Assistant</t>
  </si>
  <si>
    <t>1. Must be a current, enrolled student at the University of Utah pursuing a degree in a related field (e.g., communications, English, marketing, or similar).
2. Must have strong written and verbal communication skills, as well as a demonstrated ability to work collaboratively in a team environment.</t>
  </si>
  <si>
    <t>Social Media Student Worker, Marketing &amp; Communications</t>
  </si>
  <si>
    <t>1. PNW Student
2. Strong written &amp; verbal communication skills.
3. Ability to work collaboratively in a fast-paced environment.
...</t>
  </si>
  <si>
    <t>Remote Schedule Coordinator</t>
  </si>
  <si>
    <t>Awesome Travel Adventures</t>
  </si>
  <si>
    <t>1. Comprehensive training provided to equip with necessary knowledge and skills
2. Laptop or smartphone and dependable Wi-Fi connection required
3. Excellent professional phone and email communication skills</t>
  </si>
  <si>
    <t>Student Worker (SC - Student Development)</t>
  </si>
  <si>
    <t>South Orange County Community College District</t>
  </si>
  <si>
    <t>Education, Personal Development</t>
  </si>
  <si>
    <t>Mission Viejo, CA</t>
  </si>
  <si>
    <t>1. Must be a current Saddleback College student enrolled in 12+ units in the Fall/Spring and 6+ units during the summer to continue employment.
2. To assist permanent Student Development staff with office activities and events.
3. Planning, staffing, marketing, and evaluation of campus-wide events, including virtual events.
...</t>
  </si>
  <si>
    <t>Newsday</t>
  </si>
  <si>
    <t>Journalism, News</t>
  </si>
  <si>
    <t>1. Bachelor’s degree in relevant field or aspiring to have one; newsroom experience is a huge plus
2. Expert user of Instagram, TikTok, YouTube, X and Facebook
3. Exceptionally strong headline writing
...</t>
  </si>
  <si>
    <t>LEDVANCE</t>
  </si>
  <si>
    <t>Lighting</t>
  </si>
  <si>
    <t>Wilmington, MA</t>
  </si>
  <si>
    <t>1. Currently enrolled college students or recent graduates who have graduated within the past 12 months
2. Available for a 6-12 month assignment
3. Ability to work a minimum of 3 days on-site, Monday - Friday, 8:30 AM - 5:00 PM
...</t>
  </si>
  <si>
    <t>Liberty Hardware</t>
  </si>
  <si>
    <t>Consumer Goods, Hardware</t>
  </si>
  <si>
    <t>$14-$18.15 /h</t>
  </si>
  <si>
    <t>1. High school diploma or equivalent is required.
2. Must be enrolled in an undergraduate program at an accredited university or college, preferably in a field related to Marketing or Business.</t>
  </si>
  <si>
    <t>Unpaid Intern - Athletic Communications</t>
  </si>
  <si>
    <t>Stephens College</t>
  </si>
  <si>
    <t>1. Pursuing a degree in communications, journalism, sports management, or a related field.
2. Strong written and verbal communication skills.
3. Proficiency in social media platforms.
...</t>
  </si>
  <si>
    <t>Digital Marketing Intern Fall 2024</t>
  </si>
  <si>
    <t>1. Marketing, Integrated Marketing &amp; Communications, Communications, and/or Advertising major
2. Writing/editing skills
3. Research experience and skills
...</t>
  </si>
  <si>
    <t>TruePoint Communications</t>
  </si>
  <si>
    <t>1. Understanding of business use of popular social media channels such as Facebook, Twitter, Pinterest, LinkedIn, Instagram, etc., and the ability to effectively interpret and summarize data
2. Strong research skills and ability to summarize large amounts of data into digestible takeaways
3. Strong writing skills
...</t>
  </si>
  <si>
    <t>Summer/Fall Sports Management and Marketing Internship</t>
  </si>
  <si>
    <t>Advertising Operations Intern (Unpaid)</t>
  </si>
  <si>
    <t>1. Currently enrolled in or recent graduate of a Bachelor's or Master's program in advertising, marketing, business or related field
2. Strong organizational skills and attention to detail
3. Excellent communication and interpersonal skills
...</t>
  </si>
  <si>
    <t>Ferrilli</t>
  </si>
  <si>
    <t>Cloud Infrastructure, Cloud Security</t>
  </si>
  <si>
    <t>Haddonfield, NJ</t>
  </si>
  <si>
    <t>1. Active enrollment in a Bachelor's or Master's degree program.
2. Hands-on technical or functional experience through formal education, internships, or real-world experience.
3. Strong MS Office (Outlook, PowerPoint, Excel) skills.
...</t>
  </si>
  <si>
    <t>Jacksonville Zoo and Gardens</t>
  </si>
  <si>
    <t>Association, Hospitality</t>
  </si>
  <si>
    <t>1. Major in communication, marketing, or related field
2. Excellent writing/editing skills
3. Strong organizational skills
...</t>
  </si>
  <si>
    <t>Internal Communications Internship</t>
  </si>
  <si>
    <t>1. Knowledge of Canva, Microsoft 365, particularly Power Point.
2. Passion for developing stories for different media: news articles, videos, and photos.
3. A self-starter who has an eye for identifying stories and engagement opportunity.
...</t>
  </si>
  <si>
    <t>Western States Cat</t>
  </si>
  <si>
    <t>Commercial, Industrial</t>
  </si>
  <si>
    <t>1. Proof of high school diploma or General Education Degree (GED).
2. Enrolled in a college or university pursuing a degree in a Marketing related field with a GPA of 2.5 or higher.
3. Must be able to communicate (speak, read, comprehend, write in English).
...</t>
  </si>
  <si>
    <t>2025 Summer Undergraduate Intern: Walmart Merchandising</t>
  </si>
  <si>
    <t>1. Must be enrolled in a Bachelor’s degree program currently
2. Expected graduation date between December 2025-August 2026</t>
  </si>
  <si>
    <t>Houston, Texas, United States</t>
  </si>
  <si>
    <t>BrassCraft</t>
  </si>
  <si>
    <t>US - North Carolina - Winston-Salem</t>
  </si>
  <si>
    <t>Development &amp; Marketing Intern</t>
  </si>
  <si>
    <t>WFYI Public Media</t>
  </si>
  <si>
    <t>Broadcasting, Journalism</t>
  </si>
  <si>
    <t>1. Must be enrolled in an accredited college or university
2. Experience, through coursework or external training, with social media marketing, content management systems and/or email marketing tools
3. Strongly self-motivated with the ability to meet deadlines
...</t>
  </si>
  <si>
    <t>Berkowitz Pollack Brant</t>
  </si>
  <si>
    <t>Miami-Dade County, FL</t>
  </si>
  <si>
    <t>1. Current undergraduate student in Marketing, Communications, Event Management, or a related field.
2. Keen interest in learning about various aspects of marketing and communications.
3. Basic proficiency in digital tools like WordPress, Canva, and Microsoft</t>
  </si>
  <si>
    <t>Intern - Strategic Pricing &amp; Market Intelligence</t>
  </si>
  <si>
    <t>1. Must be enrolled in a US accredited degree program pursuing a degree in Business, Marketing, or related field
2. Must have and maintain a minimum GPA of a 2.8 or higher
3. Ability to work a minimum of 20 hours per week, Monday - Friday
...</t>
  </si>
  <si>
    <t>Student Assistant - Marketing Order and Farm Products Program</t>
  </si>
  <si>
    <t>NYS Department of Agriculture and Markets</t>
  </si>
  <si>
    <t>$16.10-$16.10 /h</t>
  </si>
  <si>
    <t>1. Be a United States citizen or foreign national eligible to work in the United States
2. Be 18 years of age or older
3. Be actively enrolled in a New York State college, university, or graduate program, or be a resident of New York State, attending a college, university, or graduate program outside of New York State
...</t>
  </si>
  <si>
    <t>Marketing Events College Internship (Fall: Part Time) - Sacramento, CA</t>
  </si>
  <si>
    <t>Communications and Results Reporting Intern</t>
  </si>
  <si>
    <t>1. Enrolled in a graduate school programme in journalism, communication, media studies, digital communications, filmmaking, international relations or related field (second university degree or equivalent, or higher) OR enrolled in the final academic year of a first university degree programme in related field OR have graduated with a university degree in related field and must commence the internship within a one-year period of graduation
2. Strong writing skills in English
3. Advanced knowledge of Microsoft Office (Word, Excel, Power Point), Adobe (InDesign, Illustrator), design and email marketing platforms such as Bee pro, Canva, Mailchimp
...</t>
  </si>
  <si>
    <t>Werkstudierende (m/w/d) Online Marketing</t>
  </si>
  <si>
    <t>moccamedia</t>
  </si>
  <si>
    <t>Trier, ND</t>
  </si>
  <si>
    <t>1. Du studierst BWL, vorzugsweise mit einem Fokus auf Marketing
2. Du bist offen, kommunikativ und legst Wert auf Teamarbeit
3. Du bist versiert im Umgang mit MS Office und lässt dich von großen Datenmengen nicht einschüchtern</t>
  </si>
  <si>
    <t>Werkstudierende/geringfügig Beschäftigte (m/w/d) Marketing international</t>
  </si>
  <si>
    <t>1. Du studierst aktuell und möchtest als Werkstudierender arbeiten oder bist auf der Suche nach einem Minijob.
2. Du kommunizierst sicher auf Niederländisch - jede weitere Fremdsprache (v. a. Englisch) ist ein großer Vorteil.
3. Gute Kenntnisse in den Office-Anwendungen, vor allem in Excel, sind für Dich selbstverständlich.
...</t>
  </si>
  <si>
    <t>Praktikum Marketing International (m/w/d)</t>
  </si>
  <si>
    <t>1. Du studierst Wirtschaftswissenschaften, Medienkommunikation oder einen vergleichbaren Studiengang
2. In Niederländisch kommunizierst Du sicher, jede weitere Sprache ist ein Plus
3. In den MS-Office-Programmen bist Du versiert
...</t>
  </si>
  <si>
    <t>Fall 2024: Communications and Development Intern (Unpaid)</t>
  </si>
  <si>
    <t>1. Currently enrolled student in an undergraduate or graduate degree program or graduated within one year, preferably event planning, marketing, communications or related area of study.
2. Proficient in spoken and written English. Experience in graphic design or Canva a plus. Proficient in Microsoft Office suite.
3. Detail-oriented and able to multi-task efficiently. Experience in event planning, sales or marketing, or managing social media a plus.
...</t>
  </si>
  <si>
    <t>Better Markets</t>
  </si>
  <si>
    <t>1. Initiative, good attitude, and willingness to learn.
2. Excellent written and verbal communication skills.
3. AP Style knowledge.
...</t>
  </si>
  <si>
    <t>Intern, Content</t>
  </si>
  <si>
    <t>St. Louis Blues</t>
  </si>
  <si>
    <t>1. Journalism, communications, digital media or related degree preferred
2. Strong writer with experience writing news or blog-style pieces
3. Innovative person, who is looking to put their creativity to work and interested in pursuing a future career in digital marketing or content
...</t>
  </si>
  <si>
    <t>1. Completion of postsecondary applicable degree/training program.
2. May require licensure or certification in related field.</t>
  </si>
  <si>
    <t>Intern, Social Media</t>
  </si>
  <si>
    <t>Part Time Paid Marketing Intern</t>
  </si>
  <si>
    <t>Digital Marketing Intern - Email and ORM</t>
  </si>
  <si>
    <t>Go Fish Digital</t>
  </si>
  <si>
    <t>Content, Content Creators</t>
  </si>
  <si>
    <t>1. Junior or senior at a four-year university
2. Active, engaged, and knowledgeable internet user
3. Strong interest in digital marketing, particularly email marketing and online reputation management
...</t>
  </si>
  <si>
    <t>Fabrizia Spirits Zest Squad Brand Ambassador</t>
  </si>
  <si>
    <t>Fabrizia Spirits</t>
  </si>
  <si>
    <t>Food and Beverage, Wine And Spirits</t>
  </si>
  <si>
    <t>$42.5-$57.5 /h</t>
  </si>
  <si>
    <t>1. Bilingual English and Spanish speaking candidates
2. Ability to relocate to Fort Lauderdale, FL before starting work
3. In-person work location</t>
  </si>
  <si>
    <t>Artist Relations Intern | Fall 2024</t>
  </si>
  <si>
    <t>1. Enthusiasm for live music, especially the Austin scene
2. Strong work ethic and ability to work efficiently
3. Skill in leveraging personal networks
...</t>
  </si>
  <si>
    <t>Marketing Intern - Flagship Specialty Partners</t>
  </si>
  <si>
    <t>Flagship Specialty Partners</t>
  </si>
  <si>
    <t>1. Currently pursuing a Bachelor’s degree in Marketing, Business, Communications, or a related field.
2. Strong analytical skills and the ability to interpret market data.
3. Excellent communication and interpersonal skills.
...</t>
  </si>
  <si>
    <t>Development Intern - Fall 2024 (remote)</t>
  </si>
  <si>
    <t>Human Rights First</t>
  </si>
  <si>
    <t>1. Strong computer and research skills
2. Strong communication and interpersonal skills
3. Organized and detail-oriented approach to projects
...</t>
  </si>
  <si>
    <t>Marketing/E-Marketing Intern</t>
  </si>
  <si>
    <t>Dividend Assets Capital, LLC</t>
  </si>
  <si>
    <t>1. Recent grad or 3rd or 4th year student in a marketing, communications, graphic arts and/or video production college degree program or related field
2. Some demonstrated experience in marketing (digital and traditional) and/or sales
3. Working knowledge of email marketing systems, WordPress, LinkedIn, YouTube and other social media platforms
...</t>
  </si>
  <si>
    <t>New Student Programs Social Media &amp; Marketing Student Coordinator (Work-Study)</t>
  </si>
  <si>
    <t>University of the Incarnate Word</t>
  </si>
  <si>
    <t>1. UIW student approved and eligible to participate in the Federal Work-Study program.
2. Ability to be organized and finish projects.
3. Ability to create social media content such as Instagram, TikTok, Facebook, YouTube).
...</t>
  </si>
  <si>
    <t>Marketing/Social Media Intern</t>
  </si>
  <si>
    <t>1. Enthusiastic, proactive, and hardworking student intern
2. Contribute to engaging new audiences and retaining current audiences through marketing tactics
3. Work with Marketing team on branding, creative graphic services, video and audio promotion production, analytics, digital/social media, and legacy advertising and promotion
...</t>
  </si>
  <si>
    <t>Fall Marketing Internship</t>
  </si>
  <si>
    <t>BluWave</t>
  </si>
  <si>
    <t>Communications and Program Assistant, Career Development (Student)</t>
  </si>
  <si>
    <t>1. Graduate students currently pursuing a master's degree in communications, public affairs, international relations, or a related field is preferred. Highly qualified undergraduates will also be considered.
2. Proficiency in social media account management (Instagram, LinkedIn, Twitter) and strong background with graphic design are required.
3. Exceptional written and verbal communication skills, with the ability to synthesize and convey complex ideas clearly.
...</t>
  </si>
  <si>
    <t>Andromeda Systems</t>
  </si>
  <si>
    <t>$15-$22 /h</t>
  </si>
  <si>
    <t>1. Currently enrolled in a Bachelor's degree program in communications, marketing, design, or a related field
2. Basic understanding of marketing principles and desire to learn more
3. Experience in creating effective designs, social media posts, and branding
...</t>
  </si>
  <si>
    <t>Marketing Intern, Chartwells Higher Ed / Southeast Missouri State University</t>
  </si>
  <si>
    <t>Cape Girardeau, MO</t>
  </si>
  <si>
    <t>$12.30-$12.30 /h</t>
  </si>
  <si>
    <t>1. Must be majoring in Marketing or a related field.
2. Excellent communication skills, written and verbal
3. Customer service experience/knowledge
...</t>
  </si>
  <si>
    <t>Marketing Outreach Coordinator Intern</t>
  </si>
  <si>
    <t>Launch That</t>
  </si>
  <si>
    <t>1. A college junior, senior, graduate student or recent college postgraduate with an interest or education in digital marketing OR someone seeking to change careers to digital marketing
2. A fundamental understanding of Internet search and an ability to learn more about it
3. Knowledge of Gmail and Google apps
...</t>
  </si>
  <si>
    <t>1. Completion of postsecondary applicable degree/training program.</t>
  </si>
  <si>
    <t>RAINN</t>
  </si>
  <si>
    <t>1. Applicable course completion
2. Self-starter and independent worker who brings a creative and thoughtful approach to projects
3. Excellent written/verbal communication, interpersonal, time management, and professionalism skills
...</t>
  </si>
  <si>
    <t>1. Completion of postsecondary applicable degree/training program
2. May require licensure or certification in related field</t>
  </si>
  <si>
    <t>College Marketing Representative - Philadelphia</t>
  </si>
  <si>
    <t>The Orchard</t>
  </si>
  <si>
    <t>Art, Digital Entertainment</t>
  </si>
  <si>
    <t>1. Undergraduate Student currently enrolled in a 4 year university in the Philadelphia area with a minimum of 2 years left prior to graduation
2. Understanding of social media marketing and staying current on trends
3. Active presence creating content on TikTok, Instagram, and X
...</t>
  </si>
  <si>
    <t>Public Information Intern</t>
  </si>
  <si>
    <t>1. Learn to write press releases and news stories for internal and external communications vehicles including newsletters and social media
2. Assist with organizing press clips, building and updating news media lists and other assignments
3. Work with internal staff to create and facilitate public facing events
...</t>
  </si>
  <si>
    <t>Administrative &amp; Marketing Internship | Palm Beach County Convention Center</t>
  </si>
  <si>
    <t>1. Experience in digital marketing and social media
2. Current College student
3. Proven ability to think strategically with a willingness to roll up sleeves and execute on projects
...</t>
  </si>
  <si>
    <t>Milwaukee Magazine Social Media/ Video Internship- Fall 2024</t>
  </si>
  <si>
    <t>Quad</t>
  </si>
  <si>
    <t>Advertising, Content</t>
  </si>
  <si>
    <t>West Allis, WI</t>
  </si>
  <si>
    <t>1. Ability to work 15-20 hours per week
2. Ability to take the internship for college credit
3. Submit a resume AND a link to portfolio
...</t>
  </si>
  <si>
    <t>College Intern- Marketing Programs</t>
  </si>
  <si>
    <t>1. Currently a full-time college student enrolled in a two-year or four-year college program and following a course of study leading to a Bachelor's or Master's degree, with an emphasis in Marketing, Communications, Public Relations, Public Administration, Business, or a related field.
2. Must be a full-time student maintaining a 2.5 GPA.
3. Excellent written and verbal communication skills are necessary.
...</t>
  </si>
  <si>
    <t>Werkstudent in der Heute in Hamburg Redaktion (m/w/d) – ab sofort</t>
  </si>
  <si>
    <t>Haspa Next</t>
  </si>
  <si>
    <t>1. Du studierst mindestens im 2. Semester Journalismus / Digitale Medien / Kommunikationswissenschaften / Medien Management oder etwas Vergleichbares.
2. Du hast idealerweise erste praktische Erfahrungen im Online Redaktion gesammelt.
3. Du liebst die Hansestadt und interessierst dich dafür, immer neue Ecken zu entdecken und auszuprobieren.
...</t>
  </si>
  <si>
    <t>Digital Communications Intern - Fall 2024 (Part-Time)</t>
  </si>
  <si>
    <t>Cheekwood</t>
  </si>
  <si>
    <t>Art, Museums and Historical Sites</t>
  </si>
  <si>
    <t>1. Must be an undergraduate enrolled in an accredited college pursuing a degree in Interactive Media, Digital Media, Public Relations, Marketing, Video Production, Communications, Advertising or any related major. Recent graduates will also be considered.
2. Strong working knowledge of social media platforms including Instagram, Facebook, YouTube, TikTok and LinkedIn.
3. Ability to work both independently and collaboratively within a team to meet deadlines.
...</t>
  </si>
  <si>
    <t>Universal Nutrition</t>
  </si>
  <si>
    <t>Dietary Supplements, Health Care</t>
  </si>
  <si>
    <t>1. Must be TikTok savvy and have a strong understanding of current trends.
2. Comfortable with being on camera and presenting content.
3. Proficient in basic photo/video editing technology, specifically CapCut.
...</t>
  </si>
  <si>
    <t>Main Campus (Washington, DC)</t>
  </si>
  <si>
    <t>Silver Star</t>
  </si>
  <si>
    <t>1. Strong written and verbal communication skills
2. Highly organized with strong attention to detail
3. Ability to multitask and prioritize in a fast-paced environment
...</t>
  </si>
  <si>
    <t>Influencer and Social Media Marketing Intern - Fall 2024</t>
  </si>
  <si>
    <t>Creator Deck</t>
  </si>
  <si>
    <t>1. Identifying social media creators and influencers for various campaigns in the fashion, beauty, food/spirits, arts and crafts space
2. Keeping up-to-date with the latest social media trends and provide insights on trending content
3. Reaching out to creators and influencers and liaising between influencers and the team/brand clients
...</t>
  </si>
  <si>
    <t>Bilingual Campus Student Ambassador (Chinese/English) 校园大使</t>
  </si>
  <si>
    <t>Sinica Education</t>
  </si>
  <si>
    <t>1. Current freshman or sophomore on campus
2. Engaged in your campus international community or an active member or leader of a student club or organization
3. Skilled in finding relevant international student groups and fostering those relationships</t>
  </si>
  <si>
    <t>North Central Texas Council of Governments</t>
  </si>
  <si>
    <t>1. Must be enrolled in an accredited college or university in a degree-seeking program during employment.
2. No experience required.</t>
  </si>
  <si>
    <t>Hunch</t>
  </si>
  <si>
    <t>Chatbot, Information and Communications Technology (ICT)</t>
  </si>
  <si>
    <t>1. Currently enrolled in a Bachelor's or Master's degree program in Marketing, Communications, Business Administration, or a related field.
2. Strong passion for marketing and event management, with a proactive and creative approach to problem-solving.
3. Excellent organizational skills and attention to detail, capable of managing multiple tasks and deadlines effectively.
...</t>
  </si>
  <si>
    <t>Werkstudent im Marketing (m/w/d)</t>
  </si>
  <si>
    <t>VitalAire</t>
  </si>
  <si>
    <t>1. Masterstudium, bevorzugt im Bereich Gesundheitsmanagement, Marketing oder Betriebswirtschaftslehre mit Schwerpunkt Marketing
2. Von Vorteil sind Erfahrungen im Marketing und mit Content Management Systemen
3. Verständnis für und Interesse an technischen bzw. medizinischen Themen
...</t>
  </si>
  <si>
    <t>Internship, Foreign Affairs, Data Science, Fall 2024</t>
  </si>
  <si>
    <t>1. Undergraduate or graduate student focusing on social/ research sciences, library studies, statistics
2. All applicants should have completed the equivalent of four semesters of college coursework (not including AP classes in high school) by the time they begin an internship)
3. Passion for website and audience development
...</t>
  </si>
  <si>
    <t>Internship, Foreign Affairs, Marketing Product, Summer 2024</t>
  </si>
  <si>
    <t>1. Undergraduate student with educational concentration in design, business, marketing, computer science, engineering, or other related field
2. All applicants should have completed the equivalent of four semesters of college coursework (not including AP classes in high school) by the time they begin an internship)
3. Proficient in Microsoft Excel
...</t>
  </si>
  <si>
    <t>Onsite Marketing Internship (Fall: Full Time) - Hyatt Vacations San Antonio</t>
  </si>
  <si>
    <t>HVC Sacramento AMS</t>
  </si>
  <si>
    <t>1. Candidate should be pursuing a college degree.
2. It is preferred that the candidate is actively pursuing a degree in Hospitality, Marketing, Sales or Business.  Candidates who have an undecided major may also be considered.
3. Prior Hospitality or Sales experience preferred.
...</t>
  </si>
  <si>
    <t>Austin, Texas</t>
  </si>
  <si>
    <t>New York City, NY</t>
  </si>
  <si>
    <t>Student Hourly Digital Media Assistant</t>
  </si>
  <si>
    <t>1. During the semester term of the appointment, the student hourly must be enrolled in no fewer than 6 credit hours.
2. Photography and photo editing skills as evidenced by application materials.
3. Videography and video editing skills as evidenced by application materials.
...</t>
  </si>
  <si>
    <t>Certify Health</t>
  </si>
  <si>
    <t>Biometrics, Health Care</t>
  </si>
  <si>
    <t>1. Currently seeking a Bachelor’s degree in Marketing, Communications, or Business Administration
2. Knowledge of social media marketing platforms and best practices
3. Familiarity with marketing computer software and online applications is a plus (e.g. CRM tools, Online analytics, Hubspot)
...</t>
  </si>
  <si>
    <t>retrain.ai</t>
  </si>
  <si>
    <t>Artificial Intelligence (AI), Developer APIs</t>
  </si>
  <si>
    <t>1. Excellent knowledge of MS Office
2. Experience in market research and analysis
3. Strong desire to learn along with a professional drive
...</t>
  </si>
  <si>
    <t>Marketing and CX Co-op/Intern- Spring 2025</t>
  </si>
  <si>
    <t>Brand Strategy Marketing Internship -Atlanta, GA- Fall 2024</t>
  </si>
  <si>
    <t>Fuse</t>
  </si>
  <si>
    <t>Advertising, Communities</t>
  </si>
  <si>
    <t>1. Strong organizational skills time / project management, and communication skills.
2. The ability to work with a variety of people
3. Applicants must be currently enrolled in college.
...</t>
  </si>
  <si>
    <t>Working Warhawk II - Student Affairs Social Media/Marketing Assistant</t>
  </si>
  <si>
    <t>Auburn University, Montgomery</t>
  </si>
  <si>
    <t>1. Must be enrolled at the Auburn University at Montgomery in a minimum of six (6) credit hours to qualify as a student worker.
2. Experience with various social media platforms, their functions, and ability to enhance online engagement; exceptional communication skills (must be able to clearly and concisely communicate via Internet); proven success in personal social media platforms, including online engagement with subscribers
3. Ability to work nights and/or weekends as needed.</t>
  </si>
  <si>
    <t>Social Media Editor &amp; Manager Intern</t>
  </si>
  <si>
    <t>Nekia Nichelle, LLC.</t>
  </si>
  <si>
    <t>1. Continued education, Recent graduate, or currently enrolled in a relevant degree program (e.g., Marketing, Communications, Digital Media)
2. Strong passion for and understanding of various social media platforms
3. Excellent written and verbal communication skills
...</t>
  </si>
  <si>
    <t>Current Interns Only - Marketing Associate 2024 Intern Posting</t>
  </si>
  <si>
    <t>$16.92-$98,600 /h</t>
  </si>
  <si>
    <t>1. Four-year degree in Business, Marketing, or related area, or equivalent experience
2. 2+ years of project management or marketing experience
3. Ability to manage and execute projects in many different stages and work within ambiguous situations
...</t>
  </si>
  <si>
    <t>Internship, Education, Marketing, Fall 2024</t>
  </si>
  <si>
    <t>1. Undergraduate student focusing on marketing, business, international relations, political science, communications or related field
2. All applicants should have completed the equivalent of four semesters of college coursework (not including AP classes in high school) by the time they begin an internship
3. Relevant office experience preferred, with interest in advertising and market analysis
...</t>
  </si>
  <si>
    <t>Communications Intern - Fall 2024 (remote)</t>
  </si>
  <si>
    <t>1. Computer and internet connection
2. Research and track press mentions and relevant media coverage
3. Compile and update contact lists of journalists and media targets
...</t>
  </si>
  <si>
    <t>Event Marketing Internship - Fall 2024</t>
  </si>
  <si>
    <t>Fuse Marketing</t>
  </si>
  <si>
    <t>Advertising, Lifestyle</t>
  </si>
  <si>
    <t>1. Strong organizational skills time / project management, and communication skills
2. The ability to work with a variety of people
3. Applicants must be currently enrolled in college
...</t>
  </si>
  <si>
    <t>Army West Point Athletic Association Inc.</t>
  </si>
  <si>
    <t>1. Must be currently enrolled in an accredited university or currently a high school senior
2. Excellent oral and written communication skills
3. Working knowledge of Microsoft Office Package (Word, Excel, PowerPoint)
...</t>
  </si>
  <si>
    <t>Digital Fellow - Fall 2024 (On Site - Washington, DC)</t>
  </si>
  <si>
    <t>1. Knowledge of social media platforms
2. Interest in politics
3. Knowledge and experience with common monitoring and reporting tools for social media and PR (Ex: Brandwatch, Tableau, Crimson Hexagon, Digimind, Hootsuite, Sprout Social, etc.)
...</t>
  </si>
  <si>
    <t>PR / Digital Communications Internship - Fall 2024</t>
  </si>
  <si>
    <t>1. Strong organizational skills time / project management, and communication skills
2. Exceptional writing skills required
3. The ability to work with a variety of people
...</t>
  </si>
  <si>
    <t>Current Interns Only - Associate Buyer 2024 Intern Posting</t>
  </si>
  <si>
    <t>1000 Nicollet Mall, Minneapolis,MN 55403-2542</t>
  </si>
  <si>
    <t>1. A four-year degree or equivalent experience
2. Strong financial, strategic and planning skills
3. Entrepreneurial spirit with strong analytical, decision-making, and organization skills
...</t>
  </si>
  <si>
    <t>GOOD AMERICAN</t>
  </si>
  <si>
    <t>Apparel, B2C</t>
  </si>
  <si>
    <t>Hollywood, CA</t>
  </si>
  <si>
    <t>1. Currently enrolled in a degree or program, preferably in Fashion Merchandising, Business Administration, or a related field.
2. Strong organizational skills with a keen eye for detail.
3. Effective communication skills, both written and verbal.
...</t>
  </si>
  <si>
    <t>Brand Strategy Marketing Internship - Fall 2024</t>
  </si>
  <si>
    <t>Crewfare</t>
  </si>
  <si>
    <t>Software, Travel</t>
  </si>
  <si>
    <t>1. Currently pursuing a degree in Marketing, Business, Graphic Design, or a related field.
2. Strong written and verbal communication skills.
3. Proficiency in graphic design tools (e.g., Adobe Creative Suite, Canva).
...</t>
  </si>
  <si>
    <t>Marketing and Publicity Intern, James Patterson Books</t>
  </si>
  <si>
    <t>1. Proficiency in MS Word, Excel, PowerPoint, and Outlook required.
2. Candidate should possess excellent writing skills and be highly organized, detail oriented, articulate, culture-savvy, creative, and personable.
3. A passion for books and reading is a must, as is a strong interest in—and thorough familiarity with—popular culture.</t>
  </si>
  <si>
    <t>Internship, Global Communications and Media Relations, Fall 2024</t>
  </si>
  <si>
    <t>1. Undergraduate or graduate student with a concentration in international relations, political science, journalism, PR/marketing, or public affairs
2. All applicants should have completed the equivalent of four semesters of college coursework (not including AP classes in high school) by the time they begin an internship
3. Proficiency in Microsoft Office suite, as well as social media channels and research databases
...</t>
  </si>
  <si>
    <t>Fall 2024 Marketing Intern</t>
  </si>
  <si>
    <t>ISlide</t>
  </si>
  <si>
    <t>1. Enrolled in a marketing, business or other relevant degree
2. Experience with E-commerce or Digital Advertising
3. Enthusiastic and strong work ethic
...</t>
  </si>
  <si>
    <t>Seadev</t>
  </si>
  <si>
    <t>Apps, Digital Marketing</t>
  </si>
  <si>
    <t>1. Bachelor's Degree in Marketing or Business/ other related majors
2. Background in Rural, Construction, or Agriculture preferred
3. Strong understanding of social media platforms and trends
...</t>
  </si>
  <si>
    <t>NEON College Ambassador</t>
  </si>
  <si>
    <t>1. Must be a current undergraduate student (rising sophomore, junior, or senior) on campus for the entirety of the school year 2024-25
2. Creative self-starter
3. Social media / communications savvy
...</t>
  </si>
  <si>
    <t>Student Brand Ambassador - University of Illinois (Champaign)</t>
  </si>
  <si>
    <t>1. Enrolled student on your campus
2. Engaged in your campus community or an active member or leader of a student club or organization
3. Knowledge of campus culture and ability to build relationships
...</t>
  </si>
  <si>
    <t>San Diego</t>
  </si>
  <si>
    <t>U.S. Advancement Internship (Remote &amp; Hybrid)</t>
  </si>
  <si>
    <t>Virginia - Remote</t>
  </si>
  <si>
    <t>1. Bachelor's degree must be completed or in progress for this internship, and applicants need to have completed at least two years of undergraduate study.
2. Eager commitment to IJM's Core Values: Christian, Professional and Bridge-Building
3. Humble and resilient
...</t>
  </si>
  <si>
    <t>Global Resources Internship (Remote &amp; Hybrid)</t>
  </si>
  <si>
    <t>1. Bachelor's degree must be completed or in progress for this internship and applicants need to have completed at least two years of undergraduate study.
2. Eager commitment to IJM's Core Values: Christian, Professional and Bridge-Building;
3. Humble and resilient;
...</t>
  </si>
  <si>
    <t>Student Brand Ambassador - University of Southern California</t>
  </si>
  <si>
    <t>1. Current sophomore, junior, or senior on campus
2. Engaged in your campus community or an active member or leader of a student club or organization
3. Skilled in finding relevant student groups and fostering those relationships
...</t>
  </si>
  <si>
    <t>Paid Public Relations &amp; Marketing Internship</t>
  </si>
  <si>
    <t>617MediaGroup</t>
  </si>
  <si>
    <t>Advertising, Professional Services</t>
  </si>
  <si>
    <t>1. A fast and creative writer with an interest in the news and market trends
2. You've had internships before, preferably with a focus on PR or Marketing
3. You have basic knowledge of digital organizing, including text, email, and social media campaigning
...</t>
  </si>
  <si>
    <t>Marketing Intern- Social Media and External Communications</t>
  </si>
  <si>
    <t>The Family Place</t>
  </si>
  <si>
    <t>Child Care, Homeless Shelter</t>
  </si>
  <si>
    <t>1. Current full-time undergraduate student as of Fall 2024</t>
  </si>
  <si>
    <t>Social Entrepreneur, Digital Marketing Internship Program</t>
  </si>
  <si>
    <t>Links Global</t>
  </si>
  <si>
    <t>1. Full-time college student maintaining a 3.0 GPA or higher
2. Completed the equivalent of four semesters of college coursework
3. Willing to commit 15-20 hours a week per semester
...</t>
  </si>
  <si>
    <t>Arena Marketing Intern | Addition Financial Arena (University of Central Florida)</t>
  </si>
  <si>
    <t>1. Help the Marketing Department with events and promotions for Addition Financial Arena and The Venue.
2. Assist the marketing team with advertising of all shows. (Receiving proposals, negotiating and placement of ads in Print, Radio, TV, Digital and Billboard)
3. Help proofread ad copy, radio spot copy, press releases, weekly e-blasts, etc.
...</t>
  </si>
  <si>
    <t>Marketing Intern - SweetWater Brewing Co</t>
  </si>
  <si>
    <t>Tilray Brands, Inc.</t>
  </si>
  <si>
    <t>1. Current enrollment in, or recent graduate from, a related bachelor’s degree program preferred
2. Excellent verbal and written communication skills
3. Proficiency in MS Office</t>
  </si>
  <si>
    <t>Boston Kids Marketing Internship</t>
  </si>
  <si>
    <t>1. Works well in a team atmosphere, and requires minimal supervision and direction
2. Self-reliant and eager to take on any task - no matter how big or small
3. Currently enrolled in college or recently graduated
...</t>
  </si>
  <si>
    <t>Social Media Assistant - Student Worker</t>
  </si>
  <si>
    <t>1. Must be a residential student at Liberty University and is Work Study approved.
2. Proficient in Adobe Creative Cloud.
3. Proficient in Microsoft Office Suite.
...</t>
  </si>
  <si>
    <t>Fall 2024 Development Internship</t>
  </si>
  <si>
    <t>Kentucky Educational Television</t>
  </si>
  <si>
    <t>News, Social Media</t>
  </si>
  <si>
    <t>1. Junior-, senior-, and graduate-level students attending any college or university in Kentucky and the Southern Indiana region are eligible
2. Kentucky residents attending a college or university out of state may apply
3. Minimum GPA of 3.0
...</t>
  </si>
  <si>
    <t>1. Currently attending Arizona State University, in pursuit of a Bachelor's degree, preferably in Marketing, Communications, Journalism, Public Relations or related fields of study
2. Must reside in Tempe, AZ
3. Experience running social media, email campaigns and/or managing a website for a student organization, business, or nonprofit is preferable but not required
...</t>
  </si>
  <si>
    <t>Publicity Assistant, Knopf Doubleday Publishing Group (Hybrid)</t>
  </si>
  <si>
    <t>Penguin Random House</t>
  </si>
  <si>
    <t>1. Outstanding interpersonal and organizational skills
2. Exceptional writing skills and attention to detail
3. Ability to read on deadline
...</t>
  </si>
  <si>
    <t>Pelvic Rehabilitation Medicine</t>
  </si>
  <si>
    <t>1. Working towards a bachelor’s degree in journalism, communications, public relations, marketing, or a relevant field
2. Desire to be working in B2C marketing or social media
3. Understanding of B2C digital marketing practices such as SEO, SEM, SMO, and PPC
...</t>
  </si>
  <si>
    <t>Greenville Swamp Rabbits</t>
  </si>
  <si>
    <t>1. Enrolled in a bachelor's or master's degree program. MUST be able to receive course credit.
2. Social Media experience in a sports setting is strongly preferred.
3. Experience and competency in the Adobe Creative Suite is preferred.
...</t>
  </si>
  <si>
    <t>Marketing Internship - Bilingual (Japanese/English) Oahu</t>
  </si>
  <si>
    <t>Kapolei, HI</t>
  </si>
  <si>
    <t>1. Must be fluent in English and Japanese
2. Candidate should be pursuing a college degree.</t>
  </si>
  <si>
    <t>Allied OMS</t>
  </si>
  <si>
    <t>1. Pursuing a bachelor’s or master’s degree in Communications, Journalism, English, or a related field; must be at least a senior in undergrad to be considered; please include a writing sample with your resume
2. Ideal candidate has at least 1 semester of external internship or working experience in a content-heavy role
3. Strong communication skills and the ability to work effectively in a team-oriented environment
...</t>
  </si>
  <si>
    <t>Downtown Detroit Brand Ambassador</t>
  </si>
  <si>
    <t>Bluewater Technologies Group</t>
  </si>
  <si>
    <t>1. Must be social - this position requires a lot of interaction with visitors
2. Must be kind, reliable, and have the ability to adapt
3. No formal experience required, but having a customer service background is a plus
...</t>
  </si>
  <si>
    <t>EFJohnson Technologies</t>
  </si>
  <si>
    <t>Public Relations, Wireless</t>
  </si>
  <si>
    <t>1. Pursuing a degree in Marketing, Advertising, Communication, Graphic Design or relevant discipline
2. Ability to work in cross-functional environment
3. Strong communication and analytic skills
...</t>
  </si>
  <si>
    <t>Social Media Scheduler</t>
  </si>
  <si>
    <t>1. Familiarity with using various social media platforms: Instagram, Facebook, Twitter, etc.
2. Self-starter, goal-orientated professional who adheres to guidelines and schedule for social media presence
3. Personable and able to foster working relationships with partners and colleagues.
...</t>
  </si>
  <si>
    <t>Bon Secours Wellness Arena</t>
  </si>
  <si>
    <t>Events, Media and Entertainment</t>
  </si>
  <si>
    <t>1. Pursuing a degree in communications, marketing, media/multimedia, or a comparable program
2. Must maintain a minimum 3.0 cumulative GPA (without rounding)
3. Strong communication skills and a high attention to detail
...</t>
  </si>
  <si>
    <t>San Jose</t>
  </si>
  <si>
    <t>DuBois</t>
  </si>
  <si>
    <t>Chemical, Transportation</t>
  </si>
  <si>
    <t>Sharonville, OH - HQ</t>
  </si>
  <si>
    <t>1. Proficient in Microsoft Office Suite
2. Proficient in Adobe Creative Suite
3. Basic understanding of Wordpress
...</t>
  </si>
  <si>
    <t>JOYBA® College Brand Ambassador</t>
  </si>
  <si>
    <t>1. Must be a full-time, currently enrolled college student available to promote JOYBA® in-person on your college campus in the upcoming Fall semester/quarter.
2. Should not be participating in another Ambassador program within the beverage industry.
3. Passionate about event planning, social content creation &amp; promotion, and being a trendsetter for new products amongst your peers. Added bonus if you already love JOYBA®!
...</t>
  </si>
  <si>
    <t>Sales and Marketing Internship</t>
  </si>
  <si>
    <t>1. Currently pursuing or recently completed a degree in Marketing, Business Administration, Communications, or a related field
2. Strong understanding of marketing principles and sales strategies
3. Excellent verbal and written communication skills
...</t>
  </si>
  <si>
    <t>SEO/SEM, Digital Marketing Internship Program</t>
  </si>
  <si>
    <t>2024-25 High School Marketing/Human Resources Internship</t>
  </si>
  <si>
    <t>Endress+Hauser Group</t>
  </si>
  <si>
    <t>Industrial Automation, Logistics</t>
  </si>
  <si>
    <t>1. Must be entering senior year of high school in the Fall of 2024
2. Must be considering a career in Marketing/Human Resources
3. Customer service skills as evidenced through previous job experiences
...</t>
  </si>
  <si>
    <t>Digital Marketing Analyst, Digital Marketing Internship Program</t>
  </si>
  <si>
    <t>1. Passion for learning
2. Strategic thinker
3. Excellent written and verbal communication skills
...</t>
  </si>
  <si>
    <t>Digital Wealth Intern</t>
  </si>
  <si>
    <t>$64800-$84000 /yr</t>
  </si>
  <si>
    <t>1. Bachelor’s in finance, economics or business.
2. Proficient in Word, Excel and Power Point.
3. Excellent time management skills and ability to multi-task and prioritize work.
...</t>
  </si>
  <si>
    <t>Marketing Intern, Chartwells Higher Ed / Carlow University</t>
  </si>
  <si>
    <t>Marketing &amp; Advertising, Digital Marketing Internship Program</t>
  </si>
  <si>
    <t>College Marketing Intern</t>
  </si>
  <si>
    <t>Black Hills Federal Credit Union</t>
  </si>
  <si>
    <t>1. organization
2. communication
3. math
...</t>
  </si>
  <si>
    <t>Santander US</t>
  </si>
  <si>
    <t>Banking, Commercial</t>
  </si>
  <si>
    <t>Digital Media Developer, Digital Marketing Internship Program</t>
  </si>
  <si>
    <t>Filmmaker, Digital Marketing Internship Program</t>
  </si>
  <si>
    <t>International Affairs, Digital Marketing Internship Program</t>
  </si>
  <si>
    <t>Gender and Inclusive Development Intern, Democracy, Governance, and Conflict</t>
  </si>
  <si>
    <t>1. Pursuing a bachelor's degree required, preferably in international development, gender and inclusion, conflict resolution and peacebuilding, or a similar area.
2. Minimum one year of relevant experience preferred.
3. Professional demeanor and communication skills, especially via email and by phone.
...</t>
  </si>
  <si>
    <t>Fall 2024 Marketing &amp; Publicity Intern, Workman Imprints</t>
  </si>
  <si>
    <t>1. Interest in commercial adult nonfiction and children’s books (fiction and nonfiction)
2. Highly organized and detail-oriented
3. Excellent written and verbal communication
...</t>
  </si>
  <si>
    <t>Marketing Intern, Chartwells Higher Ed / Plymouth State University</t>
  </si>
  <si>
    <t>Plymouth, NH</t>
  </si>
  <si>
    <t>BPS Communications Internship: 2024-25 School Year</t>
  </si>
  <si>
    <t>Bellevue Public Schools</t>
  </si>
  <si>
    <t>1. Enrolled in college/university, with a major in communications, journalism, public relations, graphic design, or related field in good academic standing.
2. Be self-motivated and organized.
3. Demonstrate excellent communication skills.</t>
  </si>
  <si>
    <t>Intern - State Farm Agent Team Member</t>
  </si>
  <si>
    <t>State Farm</t>
  </si>
  <si>
    <t>Auto Insurance, Finance</t>
  </si>
  <si>
    <t>$10-$15 /h</t>
  </si>
  <si>
    <t>1. Interest in marketing products and services based on customer needs
2. Excellent communication skills - written, verbal and listening
3. Organizational skills
...</t>
  </si>
  <si>
    <t>Fall Marketing Internship (Full Time or Part Time) - Hilton Head Island</t>
  </si>
  <si>
    <t>Hilton Head Island, SC</t>
  </si>
  <si>
    <t>1. Candidate should be pursuing a college degree.
2. Prior Hospitality or Sales experience preferred.
3. All interns must maintain a neat, clean and well-groomed appearance per Marriott Vacations Worldwide Corporation Policy Marketing and Sales Standards of Appearance.</t>
  </si>
  <si>
    <t>Abri Credit Union</t>
  </si>
  <si>
    <t>Romeoville, IL</t>
  </si>
  <si>
    <t>1. In final year of earning a Bachelor's Degree in Marketing or a related field</t>
  </si>
  <si>
    <t>Internship - Communication Intern</t>
  </si>
  <si>
    <t>John Thomas School of Discovery</t>
  </si>
  <si>
    <t>Nixa, MO</t>
  </si>
  <si>
    <t>1. Journalism, editing, advertising, and video editing experience preferred
2. Must exhibit strong, excellent editing/proofreading skills
3. Be able to work independently
...</t>
  </si>
  <si>
    <t>Marketing and Events Coordinator - Fall 2024</t>
  </si>
  <si>
    <t>1. Must be able to travel (50% or more of the time)
2. Well-organized
3. Excellent written and verbal communication skills
...</t>
  </si>
  <si>
    <t>Athletics Marketing &amp; Promotions Team--Hourly Student</t>
  </si>
  <si>
    <t>$8-$8 /h</t>
  </si>
  <si>
    <t>1. Highly motivated individual who is looking to gain career experience within collegiate athletics
2. Excellent interpersonal and communication skills
3. Must be willing to work nights, weekends, and holidays for home events</t>
  </si>
  <si>
    <t>Internal Communications Specialist</t>
  </si>
  <si>
    <t>Trilogy Health Services</t>
  </si>
  <si>
    <t>Assisted Living, Health Care</t>
  </si>
  <si>
    <t>Louisville Metro</t>
  </si>
  <si>
    <t>1. Bachelor Degree
2. 1-3 years of experience
3. Strong writing, editing, and interpersonal skills</t>
  </si>
  <si>
    <t>Social Media and Marketing Intern</t>
  </si>
  <si>
    <t>15 Seconds of Fame</t>
  </si>
  <si>
    <t>Events, Sports</t>
  </si>
  <si>
    <t>1. Strong critical thinking skills
2. Solid knowledge and understanding of social media (especially TikTok)
3. Excited to brainstorm and add value to active and upcoming social media campaigns
...</t>
  </si>
  <si>
    <t>Fall Communications Intern</t>
  </si>
  <si>
    <t>International Center for Journalists</t>
  </si>
  <si>
    <t>Journalism</t>
  </si>
  <si>
    <t>1. Good writing skills
2. Experience with social media
3. Enthusiastic, efficient, and flexible
...</t>
  </si>
  <si>
    <t>Part Time Onsite Marketing Internship (Fall: September Start)</t>
  </si>
  <si>
    <t>South Lake Tahoe, CA</t>
  </si>
  <si>
    <t>1. Candidate should be pursuing a college degree.
2. It is preferred that the candidate is actively pursuing a degree in Hospitality, Marketing, Sales or Business. Candidates who have an undecided major may also be considered.
3. Prior Hospitality or Sales experience preferred.
...</t>
  </si>
  <si>
    <t>Community Relations Intern</t>
  </si>
  <si>
    <t>Lake Michigan Credit Union</t>
  </si>
  <si>
    <t>1. Proficiency with using the Microsoft Office Suite.
2. Enjoyment working independently, but likes being a part of a team.
3. Excellent written and verbal communication skills.
...</t>
  </si>
  <si>
    <t>1. Proficiency in MS Word, Excel, PowerPoint, and Outlook required.
2. Candidate should possess excellent writing skills and be highly organized, detail oriented, articulate, culture-savvy, creative, and personable.
3. Relevant prior work experience is preferred, but above all the candidate should be confident and possess a natural problem-solving intelligence.
...</t>
  </si>
  <si>
    <t>Fall Mailing Intern</t>
  </si>
  <si>
    <t>Ashoka</t>
  </si>
  <si>
    <t>Infrastructure, Non Profit</t>
  </si>
  <si>
    <t>Arlington, Virginia</t>
  </si>
  <si>
    <t>1. Currently enrolled in or recent graduate of a college or university program, preferably in communications, marketing, public relations, or a related field.
2. Strong research skills, with the ability to gather and synthesize information from various sources.
3. Experience in analyzing articles and other media content.
...</t>
  </si>
  <si>
    <t>Marketing Intern, Chartwells Higher Ed / Baylor University</t>
  </si>
  <si>
    <t>Praktikant oder Werkstudent (m/w/d) Sales &amp; Marketing Healthcare</t>
  </si>
  <si>
    <t>1. Fortgeschrittenes Studium mit sehr guten Leistungen, idealerweise mit Healthcare- und/oder IT-Bezug
2. Hohes Interesse an der digitalen Transformation der Healthcare-Branche und IT-affin
3. Einsatzbereitschaft, Kreativität und Eigeninitiative
...</t>
  </si>
  <si>
    <t>Graduate Communications Specialist</t>
  </si>
  <si>
    <t>Organic Social Media Contractor</t>
  </si>
  <si>
    <t>Lifetouch</t>
  </si>
  <si>
    <t>Photography</t>
  </si>
  <si>
    <t>1. Recent graduate, or current junior or senior enrolled in a Bachelor's degree program.
2. Strong understanding of various social media platforms, their features, and best practices for content creation and engagement.
3. Excellent written and verbal communication skills, with a keen eye for detail and creativity.
...</t>
  </si>
  <si>
    <t>Philanthropy / Event Management Non-Profit Management InternshipFall 2024</t>
  </si>
  <si>
    <t>Dallas Zoo</t>
  </si>
  <si>
    <t>Dallas, Texas, United States</t>
  </si>
  <si>
    <t>1. Must be available 20-24 hours per week for up to 12 weeks (dependent on area) including holidays and weekends
2. Flexible, self-motivated, and a team player
3. Understand and follow oral and written instructions
...</t>
  </si>
  <si>
    <t>Conservation Fundraising Campaign Internship - Fall 2024</t>
  </si>
  <si>
    <t>1. Currently enrolled undergraduate student at an accredited college/university in the United States
2. Highly-motivated individual
3. Availability to work 20-40 hours per week for a minimum of 12 weeks
...</t>
  </si>
  <si>
    <t>1. Interest in marketing products and services based on customer needs
2. Excellent communication skills - written, verbal and listening
3. People-oriented
...</t>
  </si>
  <si>
    <t>Copywriting Internship - Summer 2024</t>
  </si>
  <si>
    <t>Athena Global Advisors</t>
  </si>
  <si>
    <t>1. A degree in copywriting, communications, marketing, or similar
2. Evidence of writing experience (link to a website with writing samples preferred)
3. The ability to think and write to fit cross platform channels
...</t>
  </si>
  <si>
    <t>STAGE MARKET RESEARCH</t>
  </si>
  <si>
    <t>Cerved</t>
  </si>
  <si>
    <t>Milano, TX</t>
  </si>
  <si>
    <t>1. Laurea in matematica, economia, scienze statistiche o attuariali
2. Ottima conoscenza dei principali applicativi Office (Excel, Word, Powerpoint)</t>
  </si>
  <si>
    <t>Curiosity</t>
  </si>
  <si>
    <t>Advertising, Creative Agency</t>
  </si>
  <si>
    <t>1. Junior or senior in college majoring in communications, marketing, advertising, or media
2. Outstanding writer and communicator</t>
  </si>
  <si>
    <t>Summer Marketing Internship</t>
  </si>
  <si>
    <t>Hines Park Lincoln</t>
  </si>
  <si>
    <t>1. Must be 18 years or older
2. Positive attitude, can-do mentality, confident, outgoing personality eagerness to improve
3. Professional attitude and the ability to deliver best-in-class customer service
...</t>
  </si>
  <si>
    <t>Digital Marketing Unpaid Internship</t>
  </si>
  <si>
    <t>Blackmore Partners</t>
  </si>
  <si>
    <t>1. Bachelor's degree in marketing, Computer Science, Advertising, Journalism, or English preferred.
2. Must have a stable computer/laptop, Wi-Fi, and a working webcam.
3. Ability to manage multiple projects in a fast-paced environment and adapt to rapidly changing priorities.
...</t>
  </si>
  <si>
    <t>Internship - Marketing Content Specialist</t>
  </si>
  <si>
    <t>Upper Hand</t>
  </si>
  <si>
    <t>Fitness, Information Technology</t>
  </si>
  <si>
    <t>1. Strong writing and communication skills
2. Familiarity with social media platforms and SEO best practices
3. Ability to work independently and as part of a team
...</t>
  </si>
  <si>
    <t>Trainee Online Marketing (all genders)</t>
  </si>
  <si>
    <t>PIA Media</t>
  </si>
  <si>
    <t>Digital Marketing, SEM</t>
  </si>
  <si>
    <t>1. Du interessierst dich für digitale Themen und Trends, hast idealerweise schon erste Erfahrungen damit gemacht (z.B. als Praktikant:in, Werkstudent:in oder privat) und hast Lust darauf, in einer Agentur zu arbeiten.
2. Mit deiner Begeisterungsfähigkeit, positiven Ausstrahlung und deiner Kommunikationsstärke überzeugst du deine Mitmenschen – seien es Kolleg:innen oder Kunden.
3. Du hast Freude am analytischen Denken und bist idealerweise fit in Excel und PowerPoint.
...</t>
  </si>
  <si>
    <t>The IRONMAN Group</t>
  </si>
  <si>
    <t>Greater Tampa Bay Area</t>
  </si>
  <si>
    <t>1. Keen attention to detail and time management skills.
2. Strong writing and editing skills
3. Working knowledge of full Microsoft suite, Adobe InDesign and Photoshop</t>
  </si>
  <si>
    <t>Business Strategy Intern - Fall 2024</t>
  </si>
  <si>
    <t>DoorList</t>
  </si>
  <si>
    <t>Event Management, Physical Security</t>
  </si>
  <si>
    <t>1. Strong communication skills, both written and verbal
2. Ability to work independently and remotely</t>
  </si>
  <si>
    <t>Student Marketing Intern - Assumption University</t>
  </si>
  <si>
    <t>GRAY TELEVISION SALES INTERNSHIP FALL '24 - WIBW</t>
  </si>
  <si>
    <t>Gray TV</t>
  </si>
  <si>
    <t>Broadcasting, Digital Media</t>
  </si>
  <si>
    <t>$minimum wage in your state-$15 /h</t>
  </si>
  <si>
    <t>1. You must be currently enrolled in a college/university. Senior Year Preferred
2. Strong work ethic, and organization skills
3. College student earning a degree with a desire to get hands-on experience in Sales, Journalist/Broadcast</t>
  </si>
  <si>
    <t>Marketing Intern (Paid): August-December 2024</t>
  </si>
  <si>
    <t>Travel Quest Network</t>
  </si>
  <si>
    <t>Corporate Training, Training</t>
  </si>
  <si>
    <t>1. Working on or have a BA/BS degree
2. Possess a strong attention to detail
3. Willing to experiment, learn, and grow creatively
...</t>
  </si>
  <si>
    <t>Athletics Marketing Intern</t>
  </si>
  <si>
    <t>Brown University</t>
  </si>
  <si>
    <t>1. High School Diploma/GED
2. Strong organizational, interpersonal, oral communication and computer skills needed
3. Experienced with Adobe Photoshop
...</t>
  </si>
  <si>
    <t>Paid Digital Intern (Coordinated)</t>
  </si>
  <si>
    <t>Democratic Party of Wisconsin</t>
  </si>
  <si>
    <t>Politics</t>
  </si>
  <si>
    <t>1. Growth Mindset - Able to take and implement feedback
2. Relentlessly Goal-Oriented - Enjoys working toward and achieving ambitious goals. Keeps calm in stressful situations. Has the capacity and willingness to work long hours during peak season, rolling up their sleeves and getting the work done
3. Cultural Competency - Able to build authentic relationships across lines of difference, such as race, ethnicity, sexual orientation, class, ability, gender identity, citizenship status, or other identities. Understands how to take an inclusive lens into all aspects of work
...</t>
  </si>
  <si>
    <t>Intern - Digital Media Unpaid Internship Fall 2024 (Manchester)</t>
  </si>
  <si>
    <t>Waypoint</t>
  </si>
  <si>
    <t>Children, Family</t>
  </si>
  <si>
    <t>1. Passionate about the mission and purpose of the organization
2. Ability to work at least 10-15 hours per week for 10-12 weeks
3. Must be a junior or senior in college
...</t>
  </si>
  <si>
    <t>Pizzitola</t>
  </si>
  <si>
    <t>Marketing College Intern</t>
  </si>
  <si>
    <t>BayCare Medical Group</t>
  </si>
  <si>
    <t>1. High School Diploma or Equivalent
2. Currently Enrolled in Bachelors Degree Program - Marketing or related field</t>
  </si>
  <si>
    <t>Marketing Intern - Summer 2024 - Maryland</t>
  </si>
  <si>
    <t>Live! Casino and Hotel</t>
  </si>
  <si>
    <t>Casino, Gambling</t>
  </si>
  <si>
    <t>1. Must be a high school senior, college junior, senior or graduate student studying a related major
2. Must be able to obtain and maintain a valid gaming license as determined by the Maryland Lottery and Gaming Control Agency
3. Lifting, pushing and carrying up to 20lbs
...</t>
  </si>
  <si>
    <t>Marketing INTERN</t>
  </si>
  <si>
    <t>CW Group</t>
  </si>
  <si>
    <t>Property Development, Real Estate</t>
  </si>
  <si>
    <t>St George, UT</t>
  </si>
  <si>
    <t>1. Enthusiastic and talented Marketing Intern
2. Located in Washington, UT
3. Perform comprehensive website audits
...</t>
  </si>
  <si>
    <t>Farm Fresh RI Development &amp; Communications AmeriCorps VISTA</t>
  </si>
  <si>
    <t>1. Excellent communication skills
2. Outgoing and energetic
3. Collaborative attitude
...</t>
  </si>
  <si>
    <t>Werkstudent Amazon Sales &amp; Marketing (m/w/d)</t>
  </si>
  <si>
    <t>Berlin</t>
  </si>
  <si>
    <t>1. Idealerweise bist du bereits in einem höheren Semester oder Master eingeschrieben im Bereich Betriebswirtschaft, Volkswirtschaft, Marketing oder einem vergleichbaren Studienfach
2. Sehr gute Deutsch- und Englischkenntnisse in Wort und Schrift
3. Fortgeschrittene Kenntnisse in Microsoft Powerpoint und Excel
...</t>
  </si>
  <si>
    <t>Working student (m/f/d) - Application Marketing</t>
  </si>
  <si>
    <t>Nexperia</t>
  </si>
  <si>
    <t>Hamburg</t>
  </si>
  <si>
    <t>€18.40-€18.40 /h</t>
  </si>
  <si>
    <t>1. Currently studying Electrical Engineering or Industrial Engineering
2. Good knowledge of Microsoft Office, especially Excel
3. Business fluent in English and/or German, oral and written</t>
  </si>
  <si>
    <t>Marketing Intern, Chartwells Higher Ed / University of Houston</t>
  </si>
  <si>
    <t>Hulsing Enterprises</t>
  </si>
  <si>
    <t>Prairie Village, KS</t>
  </si>
  <si>
    <t>1. Detail-oriented
2. Creative
3. Ability to work 15-20 hours per week
...</t>
  </si>
  <si>
    <t>Communications Intern: Spring 2025</t>
  </si>
  <si>
    <t>MP&amp;F Strategic Communications</t>
  </si>
  <si>
    <t>Advertising, Web Development</t>
  </si>
  <si>
    <t>1. College juniors, seniors or graduate students
2. Able to dedicate 30-40 hours a week for fall or spring internship, 40 hours a week for summer internship
3. In-person internship in downtown Nashville office
...</t>
  </si>
  <si>
    <t>SEO Associate Intern (REMOTE Full-time Path Opportunity Available)</t>
  </si>
  <si>
    <t>FourFront</t>
  </si>
  <si>
    <t>1. Bachelor’s degree in business, marketing, writing or related field (preferred)
2. Ability to perform in-depth internet research on any topic
3. Strong proficiency with Microsoft Office software, especially Excel
...</t>
  </si>
  <si>
    <t>Public Relations Intern - Buffalo Sabres &amp; Buffalo Bandits</t>
  </si>
  <si>
    <t>Buffalo Sabres</t>
  </si>
  <si>
    <t>Event Management, Events</t>
  </si>
  <si>
    <t>1. Must be 18 years of age or older
2. Pursuing a degree in public relations, journalism or a related field, sports experience a plus
3. Strong writing skills
...</t>
  </si>
  <si>
    <t>Stażysta /-tka w zespole Media&amp;Digital w Dziale Marketingu-OTC (Płatny staż)</t>
  </si>
  <si>
    <t>Warsaw</t>
  </si>
  <si>
    <t>1. Status studenta lub absolwent studiów wyższych (preferowane kierunki: marketing, zarządzanie, ekonomia lub pokrewne)
2. Dostępność na podjęcie pracy w wymiarze min. 32 godziny tygodniowo – warunek konieczny
3. Chęć do rozwoju i nauki, wysoki poziom zaangażowania oraz gotowość do pracy w dynamicznym środowisku
...</t>
  </si>
  <si>
    <t>Praktikant (m/w/d) Brand Management Monkey 47</t>
  </si>
  <si>
    <t>Pernod Ricard</t>
  </si>
  <si>
    <t>1. Du hast dein Studium (vorzugsweise in Marketing, Werbung oder Betriebswirtschaft) abgeschlossen oder bist kurz davor.
2. Du hast Interesse an digitalen Medien, E-Commerce und eCRM-Management.
3. Du bist ein Teamplayer und zeigst Eigeninitiative.
...</t>
  </si>
  <si>
    <t>Beca Marketing</t>
  </si>
  <si>
    <t>ACCIONA</t>
  </si>
  <si>
    <t>Energy, Infrastructure</t>
  </si>
  <si>
    <t>1. Estudiante de último año del grado universitario en Periodismo y/o Marketing
2. Conocimiento de ofimática nivel usuario. Edición fotográfica y diseño básico. Gestión de contenidos web y redes sociales.
3. Nivel alto nivel de inglés</t>
  </si>
  <si>
    <t>Sensis Agency</t>
  </si>
  <si>
    <t>$California minimum wage /h</t>
  </si>
  <si>
    <t>1. Fluent in both English and Spanish with exceptional written and oral communication skills.
2. Currently pursuing a bachelor’s degree in communications, Public Relations, Journalism, or a related field.
3. Available to work up to 28 hours per week at California minimum wage.
...</t>
  </si>
  <si>
    <t>Student Marketing Ambassador-Virginia Commonwealth University</t>
  </si>
  <si>
    <t>1. Likes to have fun at work and demonstrates a sales-competitive nature
2. Desire to actively engage with customers to promote dining programs and services
3. Work well independently and with a team
...</t>
  </si>
  <si>
    <t>GRAY TELEVISION FUTURE FOCUS INTERNSHIP - MARKETING &amp; CREATIVE SERVICES</t>
  </si>
  <si>
    <t>1. Interest in the program
2. Ability to work about 25 hours per week
3. Willingness to fully vaccinate against the coronavirus before or by the first workday</t>
  </si>
  <si>
    <t>Stażysta /-tka w dziale Brand Marketingu</t>
  </si>
  <si>
    <t>Praktikant Marketing Management (d/w/m)</t>
  </si>
  <si>
    <t>Essity</t>
  </si>
  <si>
    <t>Consumer Goods, Health Care</t>
  </si>
  <si>
    <t>1. Studium mit Schwerpunkt Marketing o. ä. an einer deutschen Universität oder Fachhochschule (Studierende im Gap Year sind ebenfalls herzlich willkommen.)
2. Erste praktische Erfahrung im Gesundheitswesen oder bei einem Unternehmen sind von Vorteil
3. Ergebnisorientierte Arbeitsweise und großes Interesse an Projektmanagement
...</t>
  </si>
  <si>
    <t>Institute for Youth in Policy</t>
  </si>
  <si>
    <t>Institute, NC</t>
  </si>
  <si>
    <t>1. Grant Writing
2. Organization
3. Policy Analysis
...</t>
  </si>
  <si>
    <t>Vaughn Construction</t>
  </si>
  <si>
    <t>1. Currently pursuing or recently graduated with a degree in English, marketing, business, or related field.
2. Availability to work at least 30 hours per week during regular work hours.
3. Desire to learn and advance professionally. Submitting a writing sample is required.
...</t>
  </si>
  <si>
    <t>Global Marketing and Communications Intern</t>
  </si>
  <si>
    <t>TIP Group</t>
  </si>
  <si>
    <t>1. Level of English: proficient
2. Currently studying Marketing/Communications - to be eligible for this role, you need to be enrolled in a European study program
3. Office 365 proficient
...</t>
  </si>
  <si>
    <t>2024-2025 Boston Red Sox Florida Marketing &amp; Game Day Associate</t>
  </si>
  <si>
    <t>Boston Red Sox</t>
  </si>
  <si>
    <t>Fort Myers, FL, United States</t>
  </si>
  <si>
    <t>1. Proficient in Microsoft Word, Excel, and PowerPoint
2. Proficient in Adobe Photoshop, InDesign and Canva
3. Ability to multi-task and manage large groups of people
...</t>
  </si>
  <si>
    <t>FWS | People Working Cooperatively Marketing Student Employee</t>
  </si>
  <si>
    <t>Mount St. Joseph University</t>
  </si>
  <si>
    <t>1. Currently enrolled student at Mount St. Joseph University
2. Must be eligible for Federal Work Study
3. Ability to work on own initiative, independently, and to deadlines
...</t>
  </si>
  <si>
    <t>Part-Time Media Assistant</t>
  </si>
  <si>
    <t>Turning Point Action</t>
  </si>
  <si>
    <t>Events, Information Services</t>
  </si>
  <si>
    <t>1. Strong organizational and time management skills.
2. Good problem-solving abilities and exceptional communication skills.
3. Highly organized and able to work in a fast-paced environment
...</t>
  </si>
  <si>
    <t>USA-Tennessee-Franklin</t>
  </si>
  <si>
    <t>Praktikant B2B-Marketing und Kommunikation (w/m/d)</t>
  </si>
  <si>
    <t>1. Immatrikuliert im Bachelor / Master Kommunikationswissenschaften, Public Relations o. ä. oder im Gap Year zwischen Bachelor- und Master-Studium
2. Idealerweise bereits erste praktische Erfahrung im Journalismus, in der Unternehmenskommunikation oder auf Agenturseite
3. Praxis in der Bild-, Video- und/oder Tonbearbeitung
...</t>
  </si>
  <si>
    <t>Communications and Volunteer Engagement Intern</t>
  </si>
  <si>
    <t>1. Must be enrolled in a degree program at an accredited college/university rising undergraduate juniors or seniors, graduate students, or post-doctoral students and remain academically enrolled throughout the internship or must have previously graduated from college and enrolled in a continuing education program
2. Must be a self-starter and adaptable, with the ability to work under tight deadlines
3. Ability to manage multiple projects, anticipate project needs, and discern work priorities
...</t>
  </si>
  <si>
    <t>Marketing and Events Internship</t>
  </si>
  <si>
    <t>Internal Communications Editor II - 991780</t>
  </si>
  <si>
    <t>1. Ability to plan, shoot, and edit short news items for digital newsletters or other channels
2. Use a web Content Management System (CMS) interface to enter updates to web pages
3. Generate messages suitable for use with a variety of target audiences via social media and other digital channels, following university templates and protocols</t>
  </si>
  <si>
    <t>Dolls Kill</t>
  </si>
  <si>
    <t>1. Currently pursuing or recently completed a degree in Marketing, Communications, Fashion, or a related field
2. Strong understanding of social media platforms and related editing tools
3. Creative mindset with a keen eye for aesthetics and attention to detail
...</t>
  </si>
  <si>
    <t>Praktikant (m/w/d) Trade Marketing</t>
  </si>
  <si>
    <t>TOM TAILOR</t>
  </si>
  <si>
    <t>Fashion, Lifestyle</t>
  </si>
  <si>
    <t>Headquarter Hamburg</t>
  </si>
  <si>
    <t>1. Abschluss eines Studiums mit Schwerpunkt Marketing und/oder Kommunikation oder bereits abgeschlossenes Studium in einem dieser Fachbereiche
2. Erste praktische Erfahrungen im Bereich Marketing und/oder Projektmanagement
3. Affinität für Mode, Lifestyle und Werbung
...</t>
  </si>
  <si>
    <t>Public Relations Internship</t>
  </si>
  <si>
    <t>Merlin Entertainments</t>
  </si>
  <si>
    <t>Digital Entertainment, Leisure</t>
  </si>
  <si>
    <t>Winter Haven, FL</t>
  </si>
  <si>
    <t>1. Must be pursuing a bachelor’s degree and enrolled as a sophomore-level or greater in marketing, communications, public relations, business, or similar college/university program or have graduated within the last six months
2. Must be in academic good standing (3.0 or above GPA) if currently enrolled or a final GPA if recent graduate
3. Demonstrated interest in public relations and communications
...</t>
  </si>
  <si>
    <t>Marketing Associate Intern</t>
  </si>
  <si>
    <t>My Virtual Resources, LLC</t>
  </si>
  <si>
    <t>1. Previous experience in market research or other related fields
2. Familiarity with quantitative and qualitative data collection
3. Strong analytical and critical thinking skills
...</t>
  </si>
  <si>
    <t>Marketing Intern National Industry Fall 2024 | Springfield</t>
  </si>
  <si>
    <t>1. Must be at least a junior and pursuing a degree in marketing, advertising, or a related field
2. Professional demeanor
3. Proficiency in Microsoft Office Suite
...</t>
  </si>
  <si>
    <t>Business Development and Product Marketing Intern 2024 | Springfield</t>
  </si>
  <si>
    <t>1. Must be a full-time student in an accredited college or university
2. Must have declared a major in an applicable field (Business Analysis, Market Research, Communications, Public Relations, Marketing, Marketing Management, Entrepreneurship, Business, Business Administration, Economics, etc.)
3. Must be a fourth-year college student (80+ credit hours)
...</t>
  </si>
  <si>
    <t>Short Story</t>
  </si>
  <si>
    <t>1. Experience with creating graphic and video content for various platforms
2. Pursuing a Degree in Marketing, Business, or a related field
3. Basic knowledge of Graphic Design and Video Editing
...</t>
  </si>
  <si>
    <t>APAF Communications Intern</t>
  </si>
  <si>
    <t>American Psychiatric Association</t>
  </si>
  <si>
    <t>1. Must be enrolled in college or graduate school
2. Excellent graphic design skills (Canva, Adobe Creative Suite)
3. Ability to multitask and produce high-quality work on a deadline
...</t>
  </si>
  <si>
    <t>Duales Studium BWL - Marketing Management - Mannheim 2025</t>
  </si>
  <si>
    <t>€1197-€1322 brutto</t>
  </si>
  <si>
    <t>1. Allgemeine oder fachgebundene Hochschulreife oder Fachhochschulreife
2. Interesse an Sales und Marketing
3. E-Commerce und Onlinemarketing sind für dich keine Fremdwörter
...</t>
  </si>
  <si>
    <t>S.W. Collins Company</t>
  </si>
  <si>
    <t>Caribou, ME</t>
  </si>
  <si>
    <t>1. Detail oriented
2. Creative
3. Proficient in basic computer applications
...</t>
  </si>
  <si>
    <t>Marketing Assistant Internship</t>
  </si>
  <si>
    <t>Cull Group</t>
  </si>
  <si>
    <t>1. Demonstrated proficiency using Mac and Windows computers
2. Experience with cloud-based software
3. Working knowledge of Google Docs and Microsoft Office including word processing and spreadsheets
...</t>
  </si>
  <si>
    <t>Broadcasting &amp; Media Relations Internship</t>
  </si>
  <si>
    <t>Worcester Railers HC</t>
  </si>
  <si>
    <t>Sports, Ticketing</t>
  </si>
  <si>
    <t>1. Passion for broadcasting
2. Desire to write, shoot/edit video, create content
3. Willingness to learn other duties as assigned</t>
  </si>
  <si>
    <t>Marketing Specialist - Growth (Spring 2024 Intern)</t>
  </si>
  <si>
    <t>Meetsta</t>
  </si>
  <si>
    <t>Communities, Dating</t>
  </si>
  <si>
    <t>$10-$20 /h</t>
  </si>
  <si>
    <t>1. Startup Interest: Strong work ethic and conviction to work in a demanding startup environment.
2. Solid understanding of different marketing techniques
3. Excellent verbal and written communication skills
...</t>
  </si>
  <si>
    <t>Health Care District of Palm Beach County</t>
  </si>
  <si>
    <t>Palm Beach County, FL</t>
  </si>
  <si>
    <t>1. Communications major in an accredited university or college, senior or junior preferred.
2. Desire to pursue a career in Communications
3. Minimum 2.5 GPA</t>
  </si>
  <si>
    <t>Enterra Medical</t>
  </si>
  <si>
    <t>1. High school degree or equivalent; must be enrolled in an accredited university/college program
2. 0-2 years of industry experience
3. Proficient computer skills, including Microsoft Office Suite (Word, PowerPoint, and Excel)
...</t>
  </si>
  <si>
    <t>PROtect</t>
  </si>
  <si>
    <t>Insurance, Public Safety</t>
  </si>
  <si>
    <t>1. Basic understanding of marketing principles and practices.
2. Strong written and verbal communication abilities.
3. Self-motivated with the capacity to work independently.
...</t>
  </si>
  <si>
    <t>Marketing &amp; Sales Intern | Macon Centreplex</t>
  </si>
  <si>
    <t>$12-$12.50 /h</t>
  </si>
  <si>
    <t>1. Must be a college junior, senior or graduate student
2. Recommended for Sport Management, Marketing, Communications, Management, or Hospitality Majors
3. A 3.0 or higher cumulative GPA, preferred
...</t>
  </si>
  <si>
    <t>Field Marketing Student Worker - Beacon Biologics</t>
  </si>
  <si>
    <t>Versiti</t>
  </si>
  <si>
    <t>1. High School Diploma Currently enrolled in an accredited college or university majoring in marketing, bio-medical, or related field; or recent graduate looking for entry level experience.</t>
  </si>
  <si>
    <t>1. During the semester term of the appointment, the student hourly must be enrolled in no fewer than 6 credit hours. For summer periods the student hourly must: 1) have been enrolled in no less than 6 hours in the past spring semester or 2) be pre-enrolled in upcoming fall semester in no less than 6 hours or 3) be enrolled in summer session or 4) be admitted to study in the upcoming fall semester. Student Hourlies may be undergraduate or graduate students. (Exceptions granted for GRA/GTA/GA appointments DO NOT apply to Student Hourly appointments).
2. Photography and photo editing skills as evidenced by application materials.
3. Videography and video editing skills as evidenced by application materials.
...</t>
  </si>
  <si>
    <t>Athletic Communications Intern</t>
  </si>
  <si>
    <t>1. High School Diploma/GED
2. Interest in collegiate athletics, athletic administration, or communications and social media
3. Familiarity with social platforms, specifically Instagram, Twitter, and TikTok
...</t>
  </si>
  <si>
    <t>Student Brand Ambassador - Content Creator</t>
  </si>
  <si>
    <t>1. Bachelor’s Degree in Marketing, Business, Communications, or a related field.
2. Prior experience in a customer service environment.
3. Excellent verbal and written communication skills.
...</t>
  </si>
  <si>
    <t>Bridge Specialty Group</t>
  </si>
  <si>
    <t>San Antonio, TX, USA</t>
  </si>
  <si>
    <t>1. Business, Economic, and Marketing Majors
2. Future Sales and Broker talent
3. Sharp and proficient skills with Microsoft Excel, Word, PowerPoint, as well as Outlook
...</t>
  </si>
  <si>
    <t>Tik-Tok, Reels &amp; Stories for Real Estate Marketing - Internship</t>
  </si>
  <si>
    <t>The OCG</t>
  </si>
  <si>
    <t>$500-$1000 bonuses</t>
  </si>
  <si>
    <t>1. Experience with creating Tik-Tok, Reels, and Stories content
2. Interest in social media marketing
3. Ability to work with a team of real estate agents
...</t>
  </si>
  <si>
    <t>Werkstudent (m/w/d) Personal Marketing &amp; Employer Branding</t>
  </si>
  <si>
    <t>1. Mindestens noch ein Jahr im Studium (Wirtschaftspsychologie, Betriebswirtschaftslehre (mit Marketing, HR-Schwerpunkt), Journalismus oder einem vergleichbaren Studiengang immatrikuliert
2. Erste praktische Erfahrungen im (Marketing)-Projektmanagement, Agentur- oder Kommunikationsbereich oder anderen relevanten Bereichen
3. Gutes Auge für Gestaltung/Design und Fähigkeit, Ideen in Worte zu fassen
...</t>
  </si>
  <si>
    <t>Praktikant (m/w/d) HR Personal Marketing &amp; Employer Branding</t>
  </si>
  <si>
    <t>1. Studying Business Psychology, Business Administration (with Marketing, HR focus), Journalism or a comparable course of study and being enrolled
2. Having practical experience in (Marketing) project management, agency or communication area or other relevant areas
3. Having a good eye for design and the ability to articulate ideas in words
...</t>
  </si>
  <si>
    <t>Praktikum im Marketing &amp; Produktmanagement Labordiagnostik  (m/w/d)</t>
  </si>
  <si>
    <t>1. Du bist immatrikulierte/r, fortgeschrittene/r Bachelor- oder Masterstudierende/r der Natur- oder Wirtschaftswissenschaften, der Medizin, des Ingenieurwesens, der Informationstechnologie oder eines vergleichbaren Studiengangs
2. Du bist es gewohnt, selbständig und mit hohem Engagement zu arbeiten und verfügst über eine schnelle Auffassungsgabe
3. Komplexe Fragestellungen aus dem Gesundheitswesen motivieren Dich und Herausforderungen treiben Dich an
...</t>
  </si>
  <si>
    <t>1. Must be pursuing a bachelor’s degree and enrolled as a sophomore-level or higher in marketing, communications, business, or similar college/university program, or have graduated within the last six months
2. Must be in academic good standing (3.0 or above GPA) if currently enrolled or a final GPA if recent graduate
3. An official transcript may be required upon request
...</t>
  </si>
  <si>
    <t>Brand Ambassador- Only Available to Students of the University of West Georgia</t>
  </si>
  <si>
    <t>Systems &amp; Methods</t>
  </si>
  <si>
    <t>Computer, Software</t>
  </si>
  <si>
    <t>1. 1+ years of college or technical school experience
2. Full-time student with a 3.0 GPA or higher
3. Active member of campus groups and organizations
...</t>
  </si>
  <si>
    <t>Marketing Internship/ Trainee</t>
  </si>
  <si>
    <t>GACC Midwest - German American Chamber of Commerce of the Midwest, Inc.</t>
  </si>
  <si>
    <t>1. Undergraduate degree or current student who can work during regular hours.
2. Curious, fast-learning, and resourceful.
3. Ability to work on multiple projects and meet deadlines.
...</t>
  </si>
  <si>
    <t>Brand Ambassador- Only Available to Students of West Georgia Technical College</t>
  </si>
  <si>
    <t>Marketing Operations Intern</t>
  </si>
  <si>
    <t>Instnt</t>
  </si>
  <si>
    <t>1. Pursuing a degree in Operations, Marketing, or related fields
2. Strong knowledge of MS Excel (Vlookup, Pivot table)
3. Strong analytical, reporting, and data skills</t>
  </si>
  <si>
    <t>FWS - Marketing &amp; Communications</t>
  </si>
  <si>
    <t>1. Marketing Management or Audio Video Production student
2. Completed courses in Project Management, Marketing 101, and English composition
3. Some photography/videography skills
...</t>
  </si>
  <si>
    <t>Artist Relations Intern</t>
  </si>
  <si>
    <t>PCN</t>
  </si>
  <si>
    <t>E-Commerce, Lifestyle</t>
  </si>
  <si>
    <t>1. Experience in the music/nightlife industry
2. Deep knowledge and connections in a wide variety of music genres, particularly house music, hip-hop, and Pop
3. Highly organized and skilled project manager
...</t>
  </si>
  <si>
    <t>Communications Intern Fall 2024</t>
  </si>
  <si>
    <t>1. Strong interpersonal skills and experience working as part of a team
2. Experience working in a professional environment
3. Self-motivated and dependable
...</t>
  </si>
  <si>
    <t>1. Currently pursuing a degree in marketing, communication, or a relevant field
2. Strong written and verbal communication skills
3. Knowledge of digital marketing strategies and tools
...</t>
  </si>
  <si>
    <t>Social Media and Marketing Specialist</t>
  </si>
  <si>
    <t>MD Residential Experts Team</t>
  </si>
  <si>
    <t>Anne Arundel County, MD</t>
  </si>
  <si>
    <t>1. Excellent Media Presentation content Photography and Short Video skills
2. Ability to Tell Our Story through all Media Channels
3. Excellent written skills</t>
  </si>
  <si>
    <t>Praktikant oder Werkstudent (w/m/d) Marketing</t>
  </si>
  <si>
    <t>1. Fortgeschrittenes Studium der Wirtschaftswissenschaften, Volkswirtschaft, Wirtschaftsinformatik oder andere mit Bezug zum Marketing
2. Autonomer Arbeitsstil, Einsatzfreude, Initiative und Teamgeist
3. Vorkenntnisse im Copywriting
...</t>
  </si>
  <si>
    <t>Content Marketing Intern (Remote)</t>
  </si>
  <si>
    <t>Wise Growth Marketing</t>
  </si>
  <si>
    <t>$12-$18 /h</t>
  </si>
  <si>
    <t>1. Research Enthusiast: Complex topics don't intimidate you; they excite you. You're ready to dive in, learn, and become an expert.
2. Self-Starter: This role is remote and asynchronous. You're disciplined, organized, and thrive when given autonomy.
3. Eager Learner: Whether you're a newbie or have some experience, you're hungry to learn, grow, and contribute.
...</t>
  </si>
  <si>
    <t>1. Currently pursuing a degree in Marketing, Business, or a related field.
2. Strong attention to detail.
3. Proficiency in Microsoft Office, including PowerPoint, Word, and Excel.
...</t>
  </si>
  <si>
    <t>MARKETING &amp; COMMUNICATIONS INTERN</t>
  </si>
  <si>
    <t>1. Interest in international affairs, diversity, and/or non-profit marketing
2. Strong writing skills
3. Experience or desire for experience in design, social media management, communication, website maintenance, and/or marketing and communication analysis
...</t>
  </si>
  <si>
    <t>Shield Team: Albany (Year-Round Marketing Internship)</t>
  </si>
  <si>
    <t>Premier Lacrosse League</t>
  </si>
  <si>
    <t>E-Commerce, Retail</t>
  </si>
  <si>
    <t>1. Must be able to work out of or travel to New York
2. Must be at least 18 years of age
3. Must be available to work at least 2 weekends per month year-round
...</t>
  </si>
  <si>
    <t>Marketing and Sales Intern - Paid Internship</t>
  </si>
  <si>
    <t>SmartMeetings</t>
  </si>
  <si>
    <t>1. Motivated student
2. Sales support experience
3. Detail-oriented
...</t>
  </si>
  <si>
    <t>1. Junior or Senior in college, preferably with a concentration in advertising, marketing, or communications
2. Basic understanding of the principles of marketing and advertising, as well as an understanding of media concepts and terms
3. Strong aptitude in math
...</t>
  </si>
  <si>
    <t>Student Marketing Assistant</t>
  </si>
  <si>
    <t>UB Campus Dining &amp; Shops</t>
  </si>
  <si>
    <t>1. Background and interest in marketing/advertising
2. Regular attendance for scheduled shifts
3. Ability to work with minimal supervision
...</t>
  </si>
  <si>
    <t>Tarkett Luxembourg</t>
  </si>
  <si>
    <t>1. Currently enrolled in a Bachelor's degree program
2. Ability to work up to 30 hours per week
3. Starting availability in mid-May
...</t>
  </si>
  <si>
    <t>Shield Team: Philadelphia (Year-round Marketing Internship)</t>
  </si>
  <si>
    <t>1. Must be able to work out of or travel to Philadelphia, PA
2. Must be at least 18 years of age
3. Must be available to work at least 2 weekends per month year-round
...</t>
  </si>
  <si>
    <t>Social Media Internship Paid</t>
  </si>
  <si>
    <t>1. Excellent Media Presentation content Photography and Short Video skills
2. Ability to Tell Our Story through all Media Channels</t>
  </si>
  <si>
    <t>News On 6 Marketing Intern</t>
  </si>
  <si>
    <t>Griffin Communications</t>
  </si>
  <si>
    <t>1. GPA of 2.75 or above
2. Intern must have completed 60 credit hours toward their degree. Copy of official transcript must be uploaded with application
3. Intern must be able to lift a weight up to 20 pounds</t>
  </si>
  <si>
    <t>Digital Marketing Specialist - B2B SaaS</t>
  </si>
  <si>
    <t>AssistNow</t>
  </si>
  <si>
    <t>1. Proven experience as a Digital Marketing Specialist or similar role with a focus on B2B SaaS products.
2. Strong creative skills with the ability to produce innovative and original ideas.
3. Experience with SEO/SEM, Google Analytics, CRM software, and content management systems.
...</t>
  </si>
  <si>
    <t>Administrative/Marketing Paid Internship</t>
  </si>
  <si>
    <t>Kitchen Tune-Up Franchise System</t>
  </si>
  <si>
    <t>Bloomfield, NJ</t>
  </si>
  <si>
    <t>1. Proficient in Microsoft Excel
2. Computer and smartphone proficient.
3. Social Media management experience preferred
...</t>
  </si>
  <si>
    <t>French- Marketing and Customer Services in Vélez-Málaga, Spain</t>
  </si>
  <si>
    <t>€300-€499 /mon</t>
  </si>
  <si>
    <t>1. Excellent French level
2. English or Spanish fluent
3. Organized and motivated
...</t>
  </si>
  <si>
    <t>VT Group</t>
  </si>
  <si>
    <t>Information Technology, Military</t>
  </si>
  <si>
    <t>1. Must be a rising senior pursuing a Bachelor’s Degree in Arts with a concentration in Digital Marketing, Communications or other similar program.
2. Proficient in Adobe Creative Suite, including Adobe Premiere, After Effects, and Illustrator
3. Strong knowledge of video production techniques and equipment
...</t>
  </si>
  <si>
    <t>Student Worker (Ole Miss Marketing &amp; Fan Experience Gameday Assistant)</t>
  </si>
  <si>
    <t>1. Interest in pursuing a career in sports administration, advertising, public relations, event management, operations, or marketing
2. Full-time undergraduate student at the University of Mississippi
3. Strong customer service, organizational, and written/verbal communication skills
...</t>
  </si>
  <si>
    <t>RoomReady</t>
  </si>
  <si>
    <t>Normal, IL</t>
  </si>
  <si>
    <t>$16-$18 /h</t>
  </si>
  <si>
    <t>1. Excellent verbal and written communication skills
2. Ability to stay organized and multi-task in a professional and efficient manner
3. Organized and detail-oriented High level of accountability
...</t>
  </si>
  <si>
    <t>TikTok Content Creation Ambassador</t>
  </si>
  <si>
    <t>Maia</t>
  </si>
  <si>
    <t>Artificial Intelligence (AI), B2C</t>
  </si>
  <si>
    <t>1. Create engaging and viral TikTok content about Maia and relationships to build brand awareness and acquire new app users.
2. Build a cohesive brand from the ground-up.
3. Represent Maia online and IRL.
...</t>
  </si>
  <si>
    <t>Content Writing Intern</t>
  </si>
  <si>
    <t>1. Pursuing a degree in Journalism, Business, Marketing, or related fields
2. Strong oral and written communication skills
3. Strong attention to detail</t>
  </si>
  <si>
    <t>COMMUNITY DEVELOPMENT &amp; PHILANTHROPY INTERN</t>
  </si>
  <si>
    <t>1. Ability to plan, organize, and implement fundraising activities, including events, social media awareness, and direct mail campaigns
2. Identifying potential donors, finding grant opportunities, and writing grant proposals
3. Excellent Communication Skills
...</t>
  </si>
  <si>
    <t>Merchandising Solutions Co-Op Intern</t>
  </si>
  <si>
    <t>1. Must be eighteen years of age or older.
2. Must be legally permitted to work in the United States.
3. Enrolled in Business Administration or Management</t>
  </si>
  <si>
    <t>Marketing Intern, Fall 2024</t>
  </si>
  <si>
    <t>Southern Tide</t>
  </si>
  <si>
    <t>Greenville, SC - Southern Tide Headquarters</t>
  </si>
  <si>
    <t>1. Self-motivated with attention to detail
2. Extremely reliable and driven
3. Excellent verbal, written, and interpersonal communication skills
...</t>
  </si>
  <si>
    <t>Shield Team: California (Year-round Marketing Internship)</t>
  </si>
  <si>
    <t>1. Must be able to work out of or travel to California
2. Must be at least 18 years of age
3. Must be available to work at least 2 weekends per month year-round
...</t>
  </si>
  <si>
    <t>Student Worker-Marketing Assistant</t>
  </si>
  <si>
    <t>1. Must be a currently enrolled full-time student during fall and spring semesters
2. Must be enrolled in school during time of employment and/or enrolled for a future term
3. Must have lived on campus in a residence hall for at least a full semester
...</t>
  </si>
  <si>
    <t>1. High School Diploma
2. Must be currently enrolled in a two or four year program with a focus on Marketing or other related discipline
3. Prior knowledge of or interested in learning more about Sales &amp; Marketing in the automotive and aftermarket industry
...</t>
  </si>
  <si>
    <t>1. Previous marketing experience appreciated
2. Must be currently enrolled as a student at the University of Kentucky
3. Outgoing and helpful demeanor
...</t>
  </si>
  <si>
    <t>Venue Marketing Intern</t>
  </si>
  <si>
    <t>1. Completion of undergraduate sophomore or junior year at an undergraduate college or university working towards a 4-year degree preferably in Marketing or Business
2. Proficient in Microsoft Word, Excel, and Power Point
3. Strong written and verbal communication skills
...</t>
  </si>
  <si>
    <t>GRAY TELEVISION SALES INTERNSHIP FALL '24 - WKYT</t>
  </si>
  <si>
    <t>$12.30 /h</t>
  </si>
  <si>
    <t>1. Strong Initiative/self-starter
2. Work well as a member of a team
3. Strong verbal and written communication skills
...</t>
  </si>
  <si>
    <t>1. Pursuing a degree in Marketing, Communications or related fields
2. Strong knowledge of graphic design
3. Strong written and verbal communication skills</t>
  </si>
  <si>
    <t>Social Media Intern, The Lineup – PT For-Credit Summer 2024</t>
  </si>
  <si>
    <t>1. Strong knowledge of Facebook, Twitter, Instagram and emerging platforms (such as TikTok)
2. Excellent written and verbal communication skills
3. Personal interest in and passion for horror, true crime, and paranormal books, movies, television, and other media
...</t>
  </si>
  <si>
    <t>GRAY TELEVISION SALES INTERNSHIP SUMMER '24 - KAIT</t>
  </si>
  <si>
    <t>Gear &amp; Events Intern</t>
  </si>
  <si>
    <t>Movement Mortgage</t>
  </si>
  <si>
    <t>Indian Land, South Carolina</t>
  </si>
  <si>
    <t>1. 1-3 years of event coordinating experience
2. Demonstrates exceptional communication, organization, and self-management skills
3. Problem solving skills
...</t>
  </si>
  <si>
    <t>Oakland, California</t>
  </si>
  <si>
    <t>1. Bachelor’s degree or currently pursuing a degree in business or marketing or related field
2. Prior internships in marketing, innovation, product development preferred, prestige or mass beauty experience working with Product Development and R&amp;D a plus
3. Full competency of Microsoft Office Suite – specifically Excel and PowerPoint
...</t>
  </si>
  <si>
    <t>Intern, CRM</t>
  </si>
  <si>
    <t>1. Highly proficient in Excel
2. Strong critical thinking and ability to analyze data to draw conclusions
3. Relevant experience working on a retail, e-commerce and/or consumer products brand
...</t>
  </si>
  <si>
    <t>Summer 2024 Remote Communications &amp; Development Intern</t>
  </si>
  <si>
    <t>Marketing internship in a boat rental company in Malaga, Spain</t>
  </si>
  <si>
    <t>1. Intermediate English and Spanish
2. Marketing, Business or related studies
3. Experience in Marketing is a plus
...</t>
  </si>
  <si>
    <t>Stone Group of Companies</t>
  </si>
  <si>
    <t>Building Material, Commercial Real Estate</t>
  </si>
  <si>
    <t>1. Proven experience in Microsoft Office Suite and Adobe Creative Suite, with an emphasis in Photoshop, Illustrator, and InDesign.
2. Ability to conduct independent research, synthesize what you’ve learned and use that knowledge to inform good business decisions
3. Strong written and verbal communication skills
...</t>
  </si>
  <si>
    <t>1. Interest in learning in a fast-paced, professional environment
2. Ability to place calls to existing customers
3. Willingness to work on marketing campaigns
...</t>
  </si>
  <si>
    <t>2024 Summer Internship: Corporate Reputation</t>
  </si>
  <si>
    <t>Revere, a Daniel J Edelman Holdings Company</t>
  </si>
  <si>
    <t>1. Passionate about pursuing a career in communications
2. Curious about current affairs and like to keep on top of the news agenda
3. Keen learners, who like trying new things and are open to new challenges
...</t>
  </si>
  <si>
    <t>Intern - Video Content Creator / Influencer / Social Media Coordinator</t>
  </si>
  <si>
    <t>ANTI ELIXIR</t>
  </si>
  <si>
    <t>1. Create amazing video and other marketing content to build brand and product awareness and buzz
2. Coordinate various social media platforms
3. Leverage guerilla marketing strategies and online marketing channels
...</t>
  </si>
  <si>
    <t>Fall Intern- SEO</t>
  </si>
  <si>
    <t>LatinoJustice PRLDEF</t>
  </si>
  <si>
    <t>Communities, Consulting</t>
  </si>
  <si>
    <t>1. Energetic, motivated law students with a record of commitment to social justice work
2. Excellent legal, written, research, and communications skills.</t>
  </si>
  <si>
    <t>Apprenti(e) en Marketing</t>
  </si>
  <si>
    <t>Saint-Denis</t>
  </si>
  <si>
    <t>1. En formation Bac +4/5 de type École de Commerce, D’ingénieur ou Université
2. Recherche d'un contrat de 2 ans idéalement
3. Niveau d'anglais courant à l'écrit et à l'oral
...</t>
  </si>
  <si>
    <t>Sporty Group</t>
  </si>
  <si>
    <t>FinTech, Gaming</t>
  </si>
  <si>
    <t>MADRID</t>
  </si>
  <si>
    <t>1. Education: Currently pursuing or recently graduated with a degree in Marketing, Communications, or a related field
2. Language Skills: Excellent written and verbal communication skills in English; proficiency in Spanish is advantageous
3. Location: Must be located in Madrid and able to work from office 2 to 3 days per week
...</t>
  </si>
  <si>
    <t>Student Worker - School of Diplomacy Marketing Social Media Team Member - 2024/25</t>
  </si>
  <si>
    <t>Seton Hall University</t>
  </si>
  <si>
    <t>College Recruiting, Education</t>
  </si>
  <si>
    <t>South Orange, NJ</t>
  </si>
  <si>
    <t>1. Social media experience</t>
  </si>
  <si>
    <t>Academy Media Internship</t>
  </si>
  <si>
    <t>1. Working towards an undergraduate or graduate degree with an emphasis in sports business, management, marketing etc.
2. Possess a strong professional attitude and be extremely detail oriented
3. Valid driver's license
...</t>
  </si>
  <si>
    <t>Part-Time Research Communications Intern</t>
  </si>
  <si>
    <t>1. Current Penn State student at University Park campus
2. Ability to commit 10 to 15 hours per week at $12 per hour
3. Excellent written and verbal communication skills
...</t>
  </si>
  <si>
    <t>Student Brand Ambassador - University of North Carolina Chapel Hill</t>
  </si>
  <si>
    <t>Student Brand Ambassador - Boston University</t>
  </si>
  <si>
    <t>Student Brand Ambassador Ohio State University (Main Campus)</t>
  </si>
  <si>
    <t>Energizer Holdings</t>
  </si>
  <si>
    <t>1. Education and Certification: Communications, Marketing, Business, or similar. However, other majors will be considered if applicant has relevant interests and skills
2. Junior or senior in college
3. Confident self-starter, comfortable in a fast-paced work environment, willing to ask questions for guidance when uncertain
...</t>
  </si>
  <si>
    <t>(Hybrid) Fall 2024 Communications Internship (October 2024 - May 2025)</t>
  </si>
  <si>
    <t>The Chicago Community Trust</t>
  </si>
  <si>
    <t>1. Excellent oral and written communication skills
2. Strong attention to detail
3. Proficiency in Microsoft Office, specifically Microsoft Word and PowerPoint
...</t>
  </si>
  <si>
    <t>Marketing - Unpaid Internship</t>
  </si>
  <si>
    <t>Loretto</t>
  </si>
  <si>
    <t>1. Ideal candidate would be an upperclassman with related course work/intern experience and strong writing skills to be able to work on assignments remotely. Knowledge of AP style is required.
2. Should be pursuing, BA or BS in communications, marketing or related field
3. Strong deadline-driven writing and analytical skills
...</t>
  </si>
  <si>
    <t>Green Bay Gamblers Social Media and Media Relations Internship</t>
  </si>
  <si>
    <t>1. Possess excellent communication and writing skills.
2. Offer superior customer service.
3. Excellent written and verbal skills
...</t>
  </si>
  <si>
    <t>Social Media Coordinator (Intern)</t>
  </si>
  <si>
    <t>Kpler</t>
  </si>
  <si>
    <t>Athens</t>
  </si>
  <si>
    <t>1. Bachelor's degree in Marketing, Communications, or a related field.
2. Comprehensive knowledge and understanding of social media channels and digital marketing principles.
3. Familiarity with Google Analytics and paid campaign strategies is advantageous.
...</t>
  </si>
  <si>
    <t>Redacteur internet advertenties | freelance | vanuit huis</t>
  </si>
  <si>
    <t>Nederland Vacature Groep</t>
  </si>
  <si>
    <t>Human Resources, Online Portals</t>
  </si>
  <si>
    <t>1. Je moet de laatste 3 opeenvolgende jaren in Nederland gewoond hebben
2. Je moet bekend zijn met actuele en historische zaken, media, sport, nieuws, sociale media en culturele zaken in Nederland
3. Vloeiend zijn in Engels en Nederlands
...</t>
  </si>
  <si>
    <t>Social Media Intern - Buffalo Sabres &amp; Buffalo Bandits</t>
  </si>
  <si>
    <t>1. Must be 18 years of age or older
2. Pursuing or completed a degree in Communications, Sports Management, Public Relations, or similar field
3. Available to work evening, weekend, holiday hours as needed
...</t>
  </si>
  <si>
    <t>Praha</t>
  </si>
  <si>
    <t>1. Passion for marketing and curiosity to learn more
2. Strong interest in Brand &amp; Shopper marketing, Digital
3. Personality with strong communication skills and focused on analytics &amp; different marketing techniques
...</t>
  </si>
  <si>
    <t>Marketing MCE Intern</t>
  </si>
  <si>
    <t>1. Knowledge and interest in brand and digital marketing with focus on HCPs
2. Master of English (written &amp; spoken) language and Czech or Slovak language is a must
3. Ability to work collaboratively and constructively in a cross-functional, multicultural and increasingly virtual environment
...</t>
  </si>
  <si>
    <t>1. Junior or senior college student pursuing a bachelor’s degree or recent college graduate (prefer majors are Marketing, Communications or Business)
2. Self-motivated – high achiever
3. Analytical ability
...</t>
  </si>
  <si>
    <t>Graduate Assistant - Social Media Manager</t>
  </si>
  <si>
    <t>1. Full-time Graduate Student (registered for 9 graduate hours or more)
2. Minimum GPA 3.0 or higher
3. Clear or provisional admission to a degree-seeking program (Certs and non-degree do not qualify)</t>
  </si>
  <si>
    <t>Development &amp; Public Relations Intern (Development Focus)</t>
  </si>
  <si>
    <t>The Baby Fold</t>
  </si>
  <si>
    <t>Non Profit, Special Education</t>
  </si>
  <si>
    <t>1. Currently pursuing a bachelor’s degree in Public Relations, Communication Studies, or related field.
2. Proficiency in Microsoft Office software programs and computer technology needed to produce reports and publications.
3. Ability to create, compose, and edit written materials.
...</t>
  </si>
  <si>
    <t>Growth Marketing Intern</t>
  </si>
  <si>
    <t>Chatter Buzz Media</t>
  </si>
  <si>
    <t>Public Relations, SEO</t>
  </si>
  <si>
    <t>1. Already in last year of college or have 2-3 internships experiences in marketing
2. Passionate about growth marketing
3. Creative, determined, and resourceful
...</t>
  </si>
  <si>
    <t>Development &amp; Public Relations Intern (Event Planning Focus)</t>
  </si>
  <si>
    <t>Intern, Resource Development</t>
  </si>
  <si>
    <t>Boys &amp; Girls Clubs of Greater St. Louis</t>
  </si>
  <si>
    <t>Non Profit, Personal Development</t>
  </si>
  <si>
    <t>1. Currently enrolled in a college or university program, pursuing a degree in nonprofit management, fundraising, communications, or a related field.
2. Strong written and verbal communication skills.
3. Detail-oriented with excellent organizational and time management abilities.
...</t>
  </si>
  <si>
    <t>Stażysta /-tka w Dziale Marketingu-OTC (Płatny staż)</t>
  </si>
  <si>
    <t>ASM Global Los Angeles</t>
  </si>
  <si>
    <t>Amazon Ecommerce Intern</t>
  </si>
  <si>
    <t>ZURU</t>
  </si>
  <si>
    <t>United States, Los Angeles</t>
  </si>
  <si>
    <t>$16.90-$18 /h</t>
  </si>
  <si>
    <t>1. In 3rd or 4th year of Undergrad – Majoring in Marketing, Business or Data Science
2. Well versed with Amazon as a shopping platform and will drive process improvements and automation across catalog(s)
3. Computer literate on all major business software packages (including Excel)
...</t>
  </si>
  <si>
    <t>Summer 2024 Marketing Internship</t>
  </si>
  <si>
    <t>Fortune Brands Home &amp; Security</t>
  </si>
  <si>
    <t>Consumer Goods, Security</t>
  </si>
  <si>
    <t>Oak Creek, WI</t>
  </si>
  <si>
    <t>1. Currently enrolled in an undergraduate program focusing on marketing, communications, or related field
2. Experienced using Microsoft Products including Power Point, Word, Excel, and Outlook
3. Willingness and desire to develop a career in Marketing
...</t>
  </si>
  <si>
    <t>Marketing Assistant Internship | Ryan Center and Boss Ice Arena</t>
  </si>
  <si>
    <t>1. Must be a full-time student at URI and in good academic standing
2. Availability to work a pre-determined number of hours per week
3. Organization and Time Management skills
...</t>
  </si>
  <si>
    <t>Student Brand Ambassador - Rutgers University (New Brunswick)</t>
  </si>
  <si>
    <t>New Brunswick, NJ, USA</t>
  </si>
  <si>
    <t>Student Brand Ambassador - Boston College</t>
  </si>
  <si>
    <t>Boston, MA, USA</t>
  </si>
  <si>
    <t>Event: Step Behind the Scenes - Career Day</t>
  </si>
  <si>
    <t>Freshfields Bruckhaus Deringer</t>
  </si>
  <si>
    <t>Vienna</t>
  </si>
  <si>
    <t>1. Studierende der (Wirtschafts-)Rechtswissenschaften und Berufseinsteiger:innen (w/m/x)
2. Interesse an Wirtschaft
3. Bereitschaft, in multinationalen Teams zu arbeiten</t>
  </si>
  <si>
    <t>Working Student - Online Marketing Campaign Manager - German speaking</t>
  </si>
  <si>
    <t>JustWatch</t>
  </si>
  <si>
    <t>Content Discovery, Video Advertising</t>
  </si>
  <si>
    <t>1. Enrolled at a German University working towards your Bachelor / Master
2. Analytical and number-driven mindset (proficiency in Excel and big spreadsheets)
3. First experiences with or strong interest in online marketing and the usual tools like Google Ads, DV360, Facebook Business Manager, or similar
...</t>
  </si>
  <si>
    <t>Economic Empowerment Intern- UNPAID</t>
  </si>
  <si>
    <t>1. Demonstrates ability to communicate well with people of varied backgrounds
2. High level of comfort, functioning and effectiveness in multi-cultural and multi-disciplinary teams
3. Excellent organizational skills with a high level of attention to detail and computer literacy
...</t>
  </si>
  <si>
    <t>Sales &amp; Marketing Business Internship</t>
  </si>
  <si>
    <t>Babylon Management</t>
  </si>
  <si>
    <t>Brand Marketing, Business Development</t>
  </si>
  <si>
    <t>General Sales Management</t>
  </si>
  <si>
    <t>1. Highly motivated self-starter capable of working independently and in a team environment
2. Strong interpersonal skills with the ability to develop and maintain relationships
3. High level of professionalism and enthusiasm
...</t>
  </si>
  <si>
    <t>Client Development Intern</t>
  </si>
  <si>
    <t>Customer Success</t>
  </si>
  <si>
    <t>1. Diligent and extremely organized
2. Strong sense of time management, especially when tasked with several time sensitive projects
3. Previous experience with data entry, updating records and research
...</t>
  </si>
  <si>
    <t>2025 Truist Securities - Investment Banking - Associate Program (MBA) (Intern Convesion)</t>
  </si>
  <si>
    <t>1. MBA from a leading program with a scheduled graduation of December 2024 or May/June 2025
2. Minimum of 3 years work experience required
3. Ability to understand complex financial products and desire for significant transaction execution responsibility
...</t>
  </si>
  <si>
    <t>Sales Intern GSIP</t>
  </si>
  <si>
    <t>Gallagher</t>
  </si>
  <si>
    <t>Outside sales</t>
  </si>
  <si>
    <t>1. Rising sophomores and juniors with an expected graduation date between December 2024 and June 2026
2. Unrestricted work authorization to work in the United States
3. Willing to execute the Company's Employee Agreement which requires, among other things, post-employment obligations relating to non-solicitation, confidentiality and non-disclosure
...</t>
  </si>
  <si>
    <t>Customer Success IoT Intern (Fixed Term)</t>
  </si>
  <si>
    <t>Stanford, CA</t>
  </si>
  <si>
    <t>$75000-$82000 /yr</t>
  </si>
  <si>
    <t>1. Experience with various operating systems and computing devices.
2. Exposure to both Windows and Unix/Linux systems.
3. Strong communication and interpersonal skills.
...</t>
  </si>
  <si>
    <t>Business Development Intern</t>
  </si>
  <si>
    <t>NanoImaging Services</t>
  </si>
  <si>
    <t>Biotechnology, Nanotechnology</t>
  </si>
  <si>
    <t>SD Metro Area</t>
  </si>
  <si>
    <t>1. Commuting distance to Sorrento Valley San Diego.
2. Currently enrolled in life sciences graduate program
3. No business development experience necessary, willing to train
...</t>
  </si>
  <si>
    <t>STAGE - CHARGÉ(E) DE PARTENARIATS PRIVÉS</t>
  </si>
  <si>
    <t>Paris, ME</t>
  </si>
  <si>
    <t>€4.35-€4.35 /h</t>
  </si>
  <si>
    <t>1. BAC + 3 Minimum
2. Très bonnes capacités rédactionnelles
3. Très bonne maîtrise du Pack Office (bonnes connaissances d'Excel et de Powerpoint)
...</t>
  </si>
  <si>
    <t>Partnerships and Business Development Intern</t>
  </si>
  <si>
    <t>International Development Enterprises(iDE)</t>
  </si>
  <si>
    <t>Agriculture, Developer Platform</t>
  </si>
  <si>
    <t>1. Currently pursuing or recently earned a Master's Degree.
2. Experience in research and analysis
3. Ability to analyze and condense large reports
...</t>
  </si>
  <si>
    <t>Sales And Marketing Representative</t>
  </si>
  <si>
    <t>Smartfix</t>
  </si>
  <si>
    <t>Inside Sales</t>
  </si>
  <si>
    <t>1. Experience or strong interest in sales and marketing.
2. Strong communication skills, with proficiency in English; knowledge of Chinese, Spanish, or other languages is a plus.
3. Creative thinker with a proactive mindset.
...</t>
  </si>
  <si>
    <t>Information Technology Sales Specialist</t>
  </si>
  <si>
    <t>Cloud Pro AI</t>
  </si>
  <si>
    <t>Artificial Intelligence (AI), Cloud Data Services</t>
  </si>
  <si>
    <t>1. Currently enrolled in a degree program related to Business, Marketing, IT or a relevant field.
2. Strong communication and interpersonal skills for customer interactions.
3. Eagerness to learn and a proactive attitude toward tasks and challenges.
...</t>
  </si>
  <si>
    <t>Business Development Internship</t>
  </si>
  <si>
    <t>1. Applicants must be U.S. citizens enrolled at least part-time in an accredited college or university in a graduate level program.
2. The ideal candidate should have a concentration in business, economics, international relations, development policy, or other related subjects.
3. Strong written, research and oral communication skills are required.
...</t>
  </si>
  <si>
    <t>2025 Account Representative Intern</t>
  </si>
  <si>
    <t>$20.82-$44.52 /h</t>
  </si>
  <si>
    <t>B2B Sales Analyst</t>
  </si>
  <si>
    <t>1. Analytical Skills and Business knowledge
2. Strong Communication skills
3. Exposure to Sales or Business Development
...</t>
  </si>
  <si>
    <t>Part-Time Mystery Shopper- Intern</t>
  </si>
  <si>
    <t>Kasasa</t>
  </si>
  <si>
    <t>Consulting, Content</t>
  </si>
  <si>
    <t>Retail Sales</t>
  </si>
  <si>
    <t>1. Excellent Communication Skills: Ability to articulate clearly and professionally over the phone.
2. Attention to Detail: Observant and meticulous in evaluating customer service interactions.
3. Reliability: Dependable and able to meet assignment deadlines.
...</t>
  </si>
  <si>
    <t>Internet Sales Manager</t>
  </si>
  <si>
    <t>Up to Par Management</t>
  </si>
  <si>
    <t>Marina del Rey, CA</t>
  </si>
  <si>
    <t>$16.78-$not specified /h</t>
  </si>
  <si>
    <t>1. At least one previous role based in strong customer service experience
2. Team player attitude
3. Prompt and courteous
...</t>
  </si>
  <si>
    <t>Sales Intern (NJ)</t>
  </si>
  <si>
    <t>1. Working towards a Bachelor’s degree in Business, Real Estate or related field.
2. Proficient in Microsoft Office – plus ability to learn new systems.
3. Maintaining a professional demeanor.
...</t>
  </si>
  <si>
    <t>Sales and Management Intern</t>
  </si>
  <si>
    <t>The Buckle, Inc.</t>
  </si>
  <si>
    <t>1. In pursuit of a Bachelor's degree from a four-year college or university in relevant field of study; no prior experience or training necessary.
2. Physical ability to lift and maneuver 30lbs throughout the store and backroom.</t>
  </si>
  <si>
    <t>Visalia, CA</t>
  </si>
  <si>
    <t>1. In pursuit of a Bachelor's degree from a four-year college or university in relevant field of study; no prior experience or training necessary.
2. Physical ability to lift and maneuver 30 lbs throughout the store and backroom.
3. Interested in long-term commitment with Buckle.
...</t>
  </si>
  <si>
    <t>1. In pursuit of a Bachelor's degree from a four-year college or university in relevant field of study; no prior experience or training necessary.
2. Physical ability to lift and maneuver 30lbs throughout the store and backroom.
3. Specific vision abilities required by this job include close vision, distance vision, color vision, peripheral vision, depth perception and ability to adjust focus.</t>
  </si>
  <si>
    <t>Sales Intern (PHL)</t>
  </si>
  <si>
    <t>Internet Sales Representative / Business Development</t>
  </si>
  <si>
    <t>Burns Buick GMC Genesis Hyundai</t>
  </si>
  <si>
    <t>$generous base salary-$performance based income potential /yr</t>
  </si>
  <si>
    <t>1. Good verbal and written communication skills
2. Self-motivation, with a passion to succeed
3. Proficiency with Microsoft Word, Excel, and Outlook
...</t>
  </si>
  <si>
    <t>Sales Intern (BHM)</t>
  </si>
  <si>
    <t>Highland Village, TX</t>
  </si>
  <si>
    <t>1. In pursuit of a Bachelor's degree from a four-year college or university in relevant field of study; no prior experience or training necessary
2. Physical ability to lift and maneuver 30lbs throughout the store and backroom</t>
  </si>
  <si>
    <t>Sales Intern (DC)</t>
  </si>
  <si>
    <t>Sales Operations Analyst Intern</t>
  </si>
  <si>
    <t>Sales Operations</t>
  </si>
  <si>
    <t>$24-$35 /h</t>
  </si>
  <si>
    <t>1. Pursuing a Bachelor’s or Master's degree in Business, Supply Chain, Analytics, Sales, any other related majors.
2. The ideal candidate profile includes the knowledge in the data mining, analysis and associated software management skill with a strong attention to detail.
3. Considering the daily interaction required with multiple organizations this successful candidate should be curious, ambitious and outgoing.
...</t>
  </si>
  <si>
    <t>Banco de Talentos - Vendas Internas - Araxá</t>
  </si>
  <si>
    <t>Montandon, PA</t>
  </si>
  <si>
    <t>1. Ensino médio completo
2. Pacote Office
3. Conhecimentos em negociação e vendas
...</t>
  </si>
  <si>
    <t>Sales Intern (DEN)</t>
  </si>
  <si>
    <t>Sales Intern (LOU)</t>
  </si>
  <si>
    <t>Internship Customer Service, Account Management and Product Sales Management</t>
  </si>
  <si>
    <t>Lufthansa Technik Component Services</t>
  </si>
  <si>
    <t>1. Current enrollment in a Bachelor/Master’s program with an emphasis on Business, Entrepreneurship, Data Analytics or Aviation Engineering
2. Strong interest in customer service, business development &amp; data analytics
3. Advanced knowledge of MS Office applications, as well as Tableau
...</t>
  </si>
  <si>
    <t>NYL Real Estate Investors Discovery Program</t>
  </si>
  <si>
    <t>1. Intellectually curious student interested in learning about commercial real estate investment platform
2. Available to attend the 3-Day Discovery Program in-person at 51 Madison Avenue, New York from June 4 - June 6
3. Willingness to interact with leaders in Acquisitions, Asset Management, Loan Originations, Loan Management, Accounting, Real Estate Law, and more
...</t>
  </si>
  <si>
    <t>Part-Time Fall Internship – Sales Operations Coordinator</t>
  </si>
  <si>
    <t>Reynolds and Reynolds</t>
  </si>
  <si>
    <t>Automotive, Retail</t>
  </si>
  <si>
    <t>Dayton Metropolitan Area</t>
  </si>
  <si>
    <t>1. Advanced Excel knowledge
2. Excellent verbal and written communication skills
3. Analytical problem solver
...</t>
  </si>
  <si>
    <t>Sales and Management Intern (First and Main)</t>
  </si>
  <si>
    <t>$14.42-$16 /h</t>
  </si>
  <si>
    <t>Markets - Sales and Trading, Summer Analyst, Chicago - US, 2025</t>
  </si>
  <si>
    <t>1. Currently pursuing a Bachelor’s degree (graduating in Fall 2025 or Spring 2026)
2. Excited to work in the Chicago office
3. Maintain a GPA of 3.3 or above
...</t>
  </si>
  <si>
    <t>Inside Sales Internship</t>
  </si>
  <si>
    <t>ASC American Sun Components</t>
  </si>
  <si>
    <t>Electronics, Supply Chain Management</t>
  </si>
  <si>
    <t>1. Actively promote and sell semiconductors through outbound calls, emails, and other communication channels.
2. Develop a deep understanding of our electronic components offerings.
3. Utilize sales techniques to effectively communicate the value proposition of each ticket type to potential customers.
...</t>
  </si>
  <si>
    <t>Entry Level  Internship - Sales Management</t>
  </si>
  <si>
    <t>Prime Tech Enterprise</t>
  </si>
  <si>
    <t>1. Bachelor's degree in Business Administration, Marketing, or related field (or equivalent work experience)
2. Strong passion for developing a career in the sales and business industry
3. Excellent interpersonal and communication skills, both written and verbal
...</t>
  </si>
  <si>
    <t>Entry Level Internship - Sales Management</t>
  </si>
  <si>
    <t>1. Bachelor's degree in Business Administration, Marketing, or related field (or equivalent work experience).
2. Strong passion for developing a career in the sales and business industry.
3. Excellent interpersonal and communication skills, both written and verbal.
...</t>
  </si>
  <si>
    <t>1. Rising sophomores and juniors with an expected graduation date between December 2024 and June 2026
2. Program starts: June 3rd, 2024 and ends: August 2nd, 2024
3. Preferred areas of study include, but are not limited to the following: Risk Management and Insurance, Sales, Marketing, Communications, General Business, Management, Economics, Finance, Liberal Arts or Social Sciences
...</t>
  </si>
  <si>
    <t>Whippany, NJ</t>
  </si>
  <si>
    <t>Rolling Meadows, IL</t>
  </si>
  <si>
    <t>2025 Consumer, Small &amp; Business Banking Internship - Early Careers</t>
  </si>
  <si>
    <t>Solar Sales Analyst Intern / CO-OP</t>
  </si>
  <si>
    <t>1. Must be pursuing a business, computer science or engineering related degree.
2. Experienced in data analytics and data mining.
3. Must understand solar photovoltaic technology.
...</t>
  </si>
  <si>
    <t>Co-op Branch Teller (Students Only)</t>
  </si>
  <si>
    <t>Belco Community Credit Union</t>
  </si>
  <si>
    <t>Newville, PA</t>
  </si>
  <si>
    <t>1. High School Diploma or GED is required.
2. Must complete and pass the prescribed online Learning Management System courses assigned for this position within two years after position acceptance and before consideration for promotion.</t>
  </si>
  <si>
    <t>Pricing Specialist FT 5837</t>
  </si>
  <si>
    <t>1. High school diploma or GED.
2. Two years’ general experience in merchandising, administration, or an associate degree.
3. Experience in Microsoft Office with basic Excel experience.
...</t>
  </si>
  <si>
    <t>Sales Clerk Int 5835</t>
  </si>
  <si>
    <t>Astoria, OR</t>
  </si>
  <si>
    <t>$16.67-$16.67 /h</t>
  </si>
  <si>
    <t>1. Potential to stock merchandise, assist patrons and operate a cash register which is shown by the ability to read, comprehend and explain product literature; as well as count, subtract, multiply, and divide for stocking and inventory purposes as evidenced by high school course work, a GED or high school diploma.
2. Ability to routinely lift 10 pounds and occasionally lift 25 pounds and stand for long periods of time.</t>
  </si>
  <si>
    <t>Marketing &amp; Sales Representative - Start ASAP</t>
  </si>
  <si>
    <t>Aspire Team</t>
  </si>
  <si>
    <t>1. Entrepreneurial: You thrive in the startup environment and are passionate about innovation and business growth
2. Positive Attitude: You're eager to learn and absorb knowledge about startups and marketing
3. Coachable: You welcome constructive feedback as a means to improve and grow
...</t>
  </si>
  <si>
    <t>Sales Development Representative</t>
  </si>
  <si>
    <t>Eagan, MN</t>
  </si>
  <si>
    <t>1. Must have completed an internship with Thomson Reuters or be currently an intern for the Tax and Accounting Professionals division
2. Bachelor’s degree or degree in progress required
3. Strong performance and achievement during the internship is required</t>
  </si>
  <si>
    <t>Intern, Customer Analytics &amp; Strategy Engagement</t>
  </si>
  <si>
    <t>ENGIE Global Energy Management &amp; Sales</t>
  </si>
  <si>
    <t>1. You must be at least a junior (by end of last spring semester) working toward a Bachelor’s or Master’s student working towards a master’s in Finance, Economics, Engineering, Statistics, Mathematics, Data Science degree or related field
2. You enjoy collaborating with several groups on projects, not afraid to ask questions
3. You will gain an understanding in forecasting models for renewable products based on market and economic growth indicators
...</t>
  </si>
  <si>
    <t>Intern, Business Development</t>
  </si>
  <si>
    <t>$21-$30 /h</t>
  </si>
  <si>
    <t>1. Currently pursuing a Bachelor’s degree in business, Geographic Information System (GIS), sustainability, engineering or related field
2. You are a strong team player with excellent interpersonal skills and the ability to work in a collaborative environment across departments and with external stakeholders
3. You possess strong analytical and critical thinking skills with a solution-oriented approach to problem-solving and the ability to shift focus quickly and efficiently between varying priorities
...</t>
  </si>
  <si>
    <t>Healthcare Management Intern</t>
  </si>
  <si>
    <t>Affordable Medical Supplies</t>
  </si>
  <si>
    <t>1. Major in Healthcare Management, and/or Business Administration
2. Fluency in Microsoft Office Suite (Outlook, Excel, Word, PowerPoint, etc.)
3. Strong written, verbal, and collaboration skills
...</t>
  </si>
  <si>
    <t>Business Development Intern- Spring 2025</t>
  </si>
  <si>
    <t>1. Strong written communication skills
2. Excellent interpersonal, presentation, email, and phone skills
3. Proficient in using Microsoft Office applications
...</t>
  </si>
  <si>
    <t>Sales Intern</t>
  </si>
  <si>
    <t>River Run</t>
  </si>
  <si>
    <t>1. High School Graduate or Equivalent
2. Must have strong organizational and prioritization skills
3. Knowledge of Microsoft Office, including but not limited to Outlook and Excel
...</t>
  </si>
  <si>
    <t>Elektrobit Oyj</t>
  </si>
  <si>
    <t>Automotive, Embedded Systems</t>
  </si>
  <si>
    <t>1. Pursuing a bachelor’s degree in business administration or equivalent.
2. Prior internship or work experience in a business environment is a plus.
3. Proficient with Microsoft Office applications including Word, Excel, and PowerPoint.
...</t>
  </si>
  <si>
    <t>B2B Business Development Strategy Internship</t>
  </si>
  <si>
    <t>Marketeq Digital</t>
  </si>
  <si>
    <t>1. Currently pursuing a Bachelor's or Master's degree in Information Technology, Computer Science, or a related field.
2. Strong analytical and problem-solving skills.
3. Excellent communication and presentation skills.
...</t>
  </si>
  <si>
    <t>College Financial Representative</t>
  </si>
  <si>
    <t>1. Must be a junior or senior in college
2. Ability to complete all investment and insurance exams (Life &amp; Health, SIE, Series 6, and Series 63)
3. Willingness to build practice through referrals only (not friends and family)
...</t>
  </si>
  <si>
    <t>SAP iXp Intern - Business Technology Platform, Sales Development Executive</t>
  </si>
  <si>
    <t>1. You are ready to commit to a full-time 6-month placement (40 hours per week), 3 days a week in office
2. You will ideally be in the last stages of your education and ready for your first career step, so you could be bachelors or master´s student
3. Your preferred field of study should have a commercial focus such as Business Administration, Management, Sales, Marketing, Data / Process Management, IT/Digital Transformation etc.
...</t>
  </si>
  <si>
    <t>Financial Representative Intern / Post-Graduate Apprentice</t>
  </si>
  <si>
    <t>$52000-$106000 /yr</t>
  </si>
  <si>
    <t>1. Must be a full-time student at a four-year institution.
2. Driven, coachable, and has leadership skills.
3. Good communication skills.
...</t>
  </si>
  <si>
    <t>CAPTRUST</t>
  </si>
  <si>
    <t>1. Actively pursuing four-year college degree - rising junior or senior - (preferred) Business Administration, Statistics, Economics, Finance, Human Resources, Information Technology
2. Prior experience preferred; previous experience in the investment industry is a plus
3. Strong proficiency in Microsoft Office, especially Microsoft Excel
...</t>
  </si>
  <si>
    <t>Business Development Representative - Fall Co-Op</t>
  </si>
  <si>
    <t>Cheetah Capital</t>
  </si>
  <si>
    <t>$3000-$7500 /mon</t>
  </si>
  <si>
    <t>1. Undergraduate student focusing on business studies or exceptionally talented undergraduates from other disciplines
2. Demonstrates humility, a drive for impact, and enthusiasm for the dynamic startup culture, showing adaptability to take on various roles during the internship
3. Commits to data-driven research and experimentation, with problem-solving skills to tackle complex, open-ended challenges
...</t>
  </si>
  <si>
    <t>Summer 2025 College Financial Representative</t>
  </si>
  <si>
    <t>Internal Sales Associate (Charlotte, NC (Hybrid) or Remote)</t>
  </si>
  <si>
    <t>Brighthouse Financial</t>
  </si>
  <si>
    <t>$45900-$45900 /yr</t>
  </si>
  <si>
    <t>1. Excellent communication skills / interpersonal skills, coachable, energetic and a positive attitude.
2. Self-motivation, a competitive nature and are driven to reach goals in fast paced environment.
3. The ability to build and maintain business relationships, professional and an aptitude for sales.
...</t>
  </si>
  <si>
    <t>Top Ranked Internship: Greater Minneapolis-St.Paul (Entrepreneurship, Finance, Sales)</t>
  </si>
  <si>
    <t>1. Driven
2. Coachable
3. Leadership skills
...</t>
  </si>
  <si>
    <t>Central Creator Strategy Intern (Global E-commerce) - 2024 Fall (BS/MS)</t>
  </si>
  <si>
    <t>$23.75-$23.75 /h</t>
  </si>
  <si>
    <t>1. Currently pursuing an Undergraduate/Graduate degree
2. Able to commit to working for 12 weeks during Fall 2024
3. Must obtain work authorization in country of employment at the time of hire, and maintain ongoing work authorization during employment
...</t>
  </si>
  <si>
    <t>Business Development/Sales Intern</t>
  </si>
  <si>
    <t>1. Currently pursuing or recently completed a degree in Business Administration, Marketing, Healthcare Management, or a related field.
2. Strong interest in business development and the healthcare industry.
3. Excellent organizational and time management skills.
...</t>
  </si>
  <si>
    <t>Happy Valley, OR</t>
  </si>
  <si>
    <t>SkillBridge - Customer Success Associate Internship</t>
  </si>
  <si>
    <t>Qualtrics</t>
  </si>
  <si>
    <t>Consumer, Data Integration</t>
  </si>
  <si>
    <t>1. Currently on active military duty and exiting the military within the next 12 months
2. Bachelor’s degree, or completion of Bachelor’s degree by military exit date
3. Strong prioritization skills with the ability to be proactive
...</t>
  </si>
  <si>
    <t>Junior Commercial Real Estate Agent/Assistant</t>
  </si>
  <si>
    <t>Marcus &amp; Millichap</t>
  </si>
  <si>
    <t>Commercial Real Estate, Finance</t>
  </si>
  <si>
    <t>1. Proficient in all Microsoft Office applications
2. Strong written, verbal, and mathematical skills
3. Good telephone manner
...</t>
  </si>
  <si>
    <t>1. In pursuit of a Bachelor's degree from a four-year college or university in relevant field of study; no prior experience or training necessary.
2. Physical ability to lift and maneuver 30 lbs throughout the store and backroom.</t>
  </si>
  <si>
    <t>2025 Group Benefit Solutions (GBS) Sales Summer Internship Program</t>
  </si>
  <si>
    <t>1. Fresh and progressive points of view and skills with the curiosity and willingness to apply them to critical work efforts across our company.
2. Completed 3 years towards a bachelor’s degree (rising senior) in Business, Economics, Risk Management or related fields
3. Proficiency with Microsoft Office apps, especially Microsoft Word and Excel</t>
  </si>
  <si>
    <t>International Ops Internship - Malmo</t>
  </si>
  <si>
    <t>Indie Campers</t>
  </si>
  <si>
    <t>Malmo, NE</t>
  </si>
  <si>
    <t>1. You are a student or recent graduate in Hospitality, Tourism, International Studies, Business Administration or a related field looking for an internship.
2. You are fluent in English, have a work permit and a valid driver's licence (mandatory).
3. You like international environments and meeting new cultures.
...</t>
  </si>
  <si>
    <t>Development Internship-Fall 2024</t>
  </si>
  <si>
    <t>Environmental Law &amp; Policy Center</t>
  </si>
  <si>
    <t>$16.20-$16.20 /h</t>
  </si>
  <si>
    <t>1. Must be currently enrolled in a course of study at a university or community college.
2. The ideal candidate will be very organized.
3. Have excellent interpersonal and communication skills.
...</t>
  </si>
  <si>
    <t>Ticket Sales and Fan Relations Internship, Boston Bruins</t>
  </si>
  <si>
    <t>1. Availability to intern all 44 home games of the Boston Bruins. Night and weekend availability is required.
2. Enrolled in an undergraduate program in a related field.
3. This role will begin in September 2024 and end in April 2025 upon the completion of the regular season with Playoff games TBD.
...</t>
  </si>
  <si>
    <t>E-commerce Content Intern – London or Paris</t>
  </si>
  <si>
    <t>The Invisible Collection</t>
  </si>
  <si>
    <t>Paris, OR</t>
  </si>
  <si>
    <t>1. Ongoing degree in a relevant area such as e-commerce, business, or marketing
2. Excellent written and verbal communication in English and/or French
3. Strong coordination skills and the ability to collaborate across teams
...</t>
  </si>
  <si>
    <t>Student Digital Sales Associate</t>
  </si>
  <si>
    <t>Saxo Markets</t>
  </si>
  <si>
    <t>1. Du er en stærk og åben kommunikator, der ikke er bange for at tage dialoger med nye kunder.
2. Du er interesseret i de finansielle markeder, og er i gang med din bachelor på en videregående uddannelse hos f.eks. CBS/KU, der gør dig kvalificeret til at varetage jobbet og være med til at skabe værdi for Saxo og vores mange kunder.
3. Du taler og skriver flydende dansk og engelsk. Da mange dialoger foregår på dansk er dette en absolut nødvendig.
...</t>
  </si>
  <si>
    <t>Sales Management Trainee Intern- Spring</t>
  </si>
  <si>
    <t>1. Must be at least 18 years old.
2. Must be enrolled full-time in a bachelor's degree program with a graduation date no later than May 2025.
3. Must be committed to work the entire length of the internship Friday, January 24th to Thursday, April 24th.
...</t>
  </si>
  <si>
    <t>Rosemont, IL</t>
  </si>
  <si>
    <t>1. Student: juniors and seniors preferred
2. Entrepreneurial ambitions and curiosity for sales
3. Highly involved on campus (leader, athlete, campus orgs, student government, etc)
...</t>
  </si>
  <si>
    <t>Branch Operations Intern</t>
  </si>
  <si>
    <t>Regional Finance</t>
  </si>
  <si>
    <t>1. Current full-time Sophomore, Junior or Senior in an accredited college program.
2. Flexible schedule while working between 8 and 25 hours a week.
3. Computer literacy.
...</t>
  </si>
  <si>
    <t>American Fidelity</t>
  </si>
  <si>
    <t>Financial Services, Health Insurance</t>
  </si>
  <si>
    <t>1. Currently enrolled in a relevant degree program
2. Strong attention to detail and organizational skills.
3. Excellent written and verbal communication skills.
...</t>
  </si>
  <si>
    <t>REMOTE SALES GROWTH POSITION</t>
  </si>
  <si>
    <t>People 1st</t>
  </si>
  <si>
    <t>Chalmette, LA</t>
  </si>
  <si>
    <t>1. Passion for leadership and driving positive change
2. Strong communication and interpersonal skills
3. Ability to work independently and as part of a team
...</t>
  </si>
  <si>
    <t>BDC Rep/ Internet Sales Specialist - Queensboro VW</t>
  </si>
  <si>
    <t>Respect Auto Group</t>
  </si>
  <si>
    <t>Woodside, NY</t>
  </si>
  <si>
    <t>1. Auto dealership Internet Sales or Business Development Center (BDC) experience is a plus!
2. Proven sales experience
3. Superior communication and customer service skills
...</t>
  </si>
  <si>
    <t>Development Internship</t>
  </si>
  <si>
    <t>PAWS Chicago</t>
  </si>
  <si>
    <t>Events, Homeless Shelter</t>
  </si>
  <si>
    <t>1. Passion for animals and animal welfare
2. Outstanding written and personal communication skills, with great attention to detail
3. Energetic team player who encompasses a friendly, helpful demeanor
...</t>
  </si>
  <si>
    <t>Seasonal Sales Associate - Orlando International #921</t>
  </si>
  <si>
    <t>Aeropostale</t>
  </si>
  <si>
    <t>Greater Orlando</t>
  </si>
  <si>
    <t>1. Flexible availability to meet the needs of the business (including evenings and weekends).
2. Bend, lift, open and move product and fixtures up to 50 lbs., as needed.</t>
  </si>
  <si>
    <t>2025 Technical Sales Intern - Controls</t>
  </si>
  <si>
    <t>Valley View, OH</t>
  </si>
  <si>
    <t>1. Pursuing bachelor’s degree - preferred: Information Technology, Information Systems, Engineering Technology, Engineering
2. Be a U.S. citizen or have the legal right to work in the U.S. without requiring sponsorship now or in the future
3. Possess a valid driver’s license for a minimum of 12 months, ability to provide proof of insurance, and have no major or frequent traffic violations including, but not limited to: DUI in the previous 3 years, Hit &amp; Run, License Suspension, Reckless / Careless Driving or multiple smaller infractions or preventable collisions in the previous 3 years</t>
  </si>
  <si>
    <t>Pricing Assistant Intern</t>
  </si>
  <si>
    <t>Rebel Athletic</t>
  </si>
  <si>
    <t>1. Pursuing a bachelor's degree in finance, Accounting, Business preferred or equivalent combination of education and experience.
2. Strong attention to detail and extremely organized.
3. Ability to manage work time to meet deadlines including recognize priorities and organize workload accordingly while maintaining focus to quality and details.
...</t>
  </si>
  <si>
    <t>Channel Intern (YPP)</t>
  </si>
  <si>
    <t>Logitech</t>
  </si>
  <si>
    <t>$27-$50 /h</t>
  </si>
  <si>
    <t>1. Incoming Junior or Senior enrolled in college or university
2. Self-starter with a bias for action, inquisitive, hungry to learn, and highly organized
3. Excellent communication skills with a willingness to express ideas and bring a fresh perspective
...</t>
  </si>
  <si>
    <t>$22.68-$32.40 /h</t>
  </si>
  <si>
    <t>Development &amp; Acquisitions Intern - Fall Semester 2024 - Dallas, TX</t>
  </si>
  <si>
    <t>1. Be a U.S. citizen or have the legal right to work in the U.S. without requiring sponsorship now or in the future.
2. Possess a valid driver’s license for a minimum of 12 months, ability to provide proof of insurance, and have no major or frequent traffic violations including, but not limited to: DUI in the previous 3 years, Hit &amp; Run, License Suspension, Reckless / Careless Driving or multiple smaller infractions or preventable collisions in the previous 3 years.</t>
  </si>
  <si>
    <t>Real Estate Agent Internship</t>
  </si>
  <si>
    <t>Keller Williams Capital Properties</t>
  </si>
  <si>
    <t>Real Estate, Real Estate Brokerage</t>
  </si>
  <si>
    <t>1. Have a desire to work independently
2. Practice professionalism
3. Strong work ethic
...</t>
  </si>
  <si>
    <t>Sales Representative</t>
  </si>
  <si>
    <t>Moxie Pest Control</t>
  </si>
  <si>
    <t>Commercial, Customer Service</t>
  </si>
  <si>
    <t>$15000-$90000 seasonal</t>
  </si>
  <si>
    <t>1. Enthusiastic and dedicated attitude
2. Ability to work long hours in the field
3. Willingness to learn and undergo comprehensive training
...</t>
  </si>
  <si>
    <t>Hexa Property Management</t>
  </si>
  <si>
    <t>$100-$150 /mon</t>
  </si>
  <si>
    <t>1. Currently enrolled in a Bachelor's degree program, preferably in Marketing, Sales, Business Administration, or a related field
2. Strong written and verbal communication skills in English and Spanish
3. Excellent interpersonal skills and ability to work effectively in a distributed team environment
...</t>
  </si>
  <si>
    <t>Account Management Intern</t>
  </si>
  <si>
    <t>1. Current senior, Graduate student or recent graduate in Marketing, Communications, Business, Management, or a related field.
2. Excellent organizational skills with a keen attention to detail
3. Strong writing skills
...</t>
  </si>
  <si>
    <t>Business Manager Internship</t>
  </si>
  <si>
    <t>3rd Degree Solutions</t>
  </si>
  <si>
    <t>1. A high school diploma or equivalent
2. Strong verbal and written communication skills are essential for interacting with customers, understanding their needs, and explaining product features.
3. Genuinely interested in helping customers find the right products or solutions.
...</t>
  </si>
  <si>
    <t>FYI</t>
  </si>
  <si>
    <t>West Hollywood, CA</t>
  </si>
  <si>
    <t>1. Recently graduated with a Bachelor's degree in Business Administration, Management, or a related field.
2. 2+ years of administrative experience in software and start-up environment.
3. Excellent written and verbal communication skills, with the ability to put together detailed research reports and presentations with thoroughness and attention to detail.
...</t>
  </si>
  <si>
    <t>INSURANCE AGENT NO COLD CALLING</t>
  </si>
  <si>
    <t>Remote Sales Leadership Role</t>
  </si>
  <si>
    <t>REMOTE SALES - No Cold Calling</t>
  </si>
  <si>
    <t>Zionsville, IN</t>
  </si>
  <si>
    <t>Thrive Apprentice-Data Analytics-Analyst - Business Development</t>
  </si>
  <si>
    <t>Irving, Texas</t>
  </si>
  <si>
    <t>1. Pursuing Bachelor’s degree in Business, Marketing or related field.
2. Must be a sophomore or junior status with at least 3 semesters left in school (May 2026 grad or later)
3. Must have the ability to work 15-20 hours per week during school year and 40 hours per week during summer (and winter break).
...</t>
  </si>
  <si>
    <t>Intern - Pathway (Sales)</t>
  </si>
  <si>
    <t>1. Working towards a degree in Sales, Marketing, Communication, Finance, Business Administration or other business-related major
2. Has familiarity with Salesforce or other CRM-related technology
3. Communicate through different channels to internal and external stakeholders one-on-one, large presentations, virtually, and in-person (depending on your location)
...</t>
  </si>
  <si>
    <t>Executive Search Intern</t>
  </si>
  <si>
    <t>1. Must be a university student entering their final year of undergraduate or graduate education at an accredited institution.
2. Possess professional communication skills including writing, speaking and listening.
3. Have well-developed organizational, analytical, planning, and project management skills.
...</t>
  </si>
  <si>
    <t>SAP iXp Intern - CX Sales Development</t>
  </si>
  <si>
    <t>1. Under-/Graduate or Master student with interest in business; active student status is required
2. Fluent in English, both written and verbal
3. Attention to detail; strives to deliver high quality work and results
...</t>
  </si>
  <si>
    <t>Development Intern - Fall 2024</t>
  </si>
  <si>
    <t>1. Pursuing undergraduate or master’s degree
2. Previous experience demonstrating high-level writing and research skills
3. Strong communicator with clear verbal and written expression
...</t>
  </si>
  <si>
    <t>Showroom Internship Experience</t>
  </si>
  <si>
    <t>DL1961</t>
  </si>
  <si>
    <t>1. Current student or Bachelor’s Degree in marketing, communications, or any related field.
2. Previous Internship experience in fashion is a plus or office/showroom administration
3. Detail-oriented, punctual and meticulous
...</t>
  </si>
  <si>
    <t>[Fall 2024] Advancement - Corporate Partnerships &amp; Events Internship</t>
  </si>
  <si>
    <t>1. Working knowledge of Microsoft Suite
2. Research skills
3. Google forms
...</t>
  </si>
  <si>
    <t>Sales Executive and Business Development</t>
  </si>
  <si>
    <t>1. Passionate about technology
2. Excellent communication skills
3. Ability to thrive in a fast-paced environment
...</t>
  </si>
  <si>
    <t>Information Technology Sales Executive</t>
  </si>
  <si>
    <t>Sales Internship 2024-Hiring Now!</t>
  </si>
  <si>
    <t>3v Expansions</t>
  </si>
  <si>
    <t>1. Experience in retail, sales, customer service, OR equivalent entry-level position is required
2. Energetic, team-oriented, and passionate about working with other team members/customers
3. Self-motivated and goal-oriented professional
...</t>
  </si>
  <si>
    <t>Business Development Telemarketer</t>
  </si>
  <si>
    <t>WOW Payments</t>
  </si>
  <si>
    <t>1. Excellent oral and written communication skills
2. Ability to take initiative and work independently
3. Good familiarity with word processing, spreadsheet and database applications
...</t>
  </si>
  <si>
    <t>International Women's Forum</t>
  </si>
  <si>
    <t>Career Planning, Training</t>
  </si>
  <si>
    <t>US5000-US5000 stipend</t>
  </si>
  <si>
    <t>1. Highly organized individual with excellent project management skills
2. Outstanding written and oral communication skills
3. Ability to solve problems resourcefully, work independently and switch tasks efficiently
...</t>
  </si>
  <si>
    <t>User Growth and Membership Development - Part-Time Intern</t>
  </si>
  <si>
    <t>SkillHero</t>
  </si>
  <si>
    <t>$15-$28 /h</t>
  </si>
  <si>
    <t>1. Strong ability to communicate information to diverse audiences
2. Eagerness to gain experience with business development and customer experience
3. Passion for education, workforce development and connecting individuals with opportunity
...</t>
  </si>
  <si>
    <t>Strategy, Business Development and Marketing Associate (Unpaid)</t>
  </si>
  <si>
    <t>Artisan Analytix</t>
  </si>
  <si>
    <t>1. Currently pursuing or recently completed a Bachelor’s degree in Business, Marketing, Public Administration, or a related field.
2. Strong interest in government contracting, business development, and marketing.
3. Excellent research, analytical, and organizational skills.
...</t>
  </si>
  <si>
    <t>Murray Logistics</t>
  </si>
  <si>
    <t>Food and Beverage, Oil and Gas</t>
  </si>
  <si>
    <t>1. Bachelor Degree or Higher (or soon to complete)
2. Strong written and verbal communication skills
3. Highly-motivated to overachieve targets
...</t>
  </si>
  <si>
    <t>Sales Internship</t>
  </si>
  <si>
    <t>PerformLine</t>
  </si>
  <si>
    <t>Compliance, Risk Management</t>
  </si>
  <si>
    <t>1. Organized, detail-oriented and an expert multi-tasker
2. Track record of over-achievement
3. Self-motivated, team player comfortable in a high-growth, fast-paced, start-up environment
...</t>
  </si>
  <si>
    <t>Sennovate</t>
  </si>
  <si>
    <t>Cyber Security, Information Services</t>
  </si>
  <si>
    <t>1. Currently enrolled in a Bachelor's or Master's degree program in Business, Marketing, Communications, or a related field.
2. Excellent verbal and written communication skills.
3. Strong organizational and time management abilities.
...</t>
  </si>
  <si>
    <t>Business Management Internship</t>
  </si>
  <si>
    <t>Atlas Marketing Solutions</t>
  </si>
  <si>
    <t>1. A high school diploma or equivalent
2. Prior experience in customer service, sales, business development or related fields
3. Professional and confident demeanor with a very warm and sociable attitude
...</t>
  </si>
  <si>
    <t>Citrus Heights, CA</t>
  </si>
  <si>
    <t>1. A high school diploma or equivalent
2. Strong verbal and written communication skills are essential for interacting with customers, understanding their needs, and explaining product features
3. Genuinely interested in helping customers find the right products or solutions
...</t>
  </si>
  <si>
    <t>Fenton, MO</t>
  </si>
  <si>
    <t>Lehre Digitaler Verkauf Sportartikel (w/m/d)</t>
  </si>
  <si>
    <t>HERVIS</t>
  </si>
  <si>
    <t>Consumer, E-Commerce</t>
  </si>
  <si>
    <t>Center City, MN</t>
  </si>
  <si>
    <t>€880-€1430 /mon</t>
  </si>
  <si>
    <t>1. Du bist motiviert Neues zu lernen und willst ein Profi in unseren Sportwelten (Ski, Bike, Outdoor, Running, Sportswear) werden
2. Du bist sportbegeistert und hast Spaß an Kundenkontakt, Beratung und Verkauf
3. Du gehst offen auf Menschen zu und nimmst gerne neue Herausforderungen an
...</t>
  </si>
  <si>
    <t>Seasonal Sales Associate-2287 (Nautica) Orlando International Premium Outlets</t>
  </si>
  <si>
    <t>1. Engaging personality who provides great service.
2. Excited to meet new people.
3. Thoughtful with a desire to make others feel good about themselves and their individual style.
...</t>
  </si>
  <si>
    <t>Brooks Brothers</t>
  </si>
  <si>
    <t>North America Account Manager Summer 2025 Sales Internship</t>
  </si>
  <si>
    <t>Gartner</t>
  </si>
  <si>
    <t>$17-$25 /h</t>
  </si>
  <si>
    <t>1. Enrollment in a Bachelor’s degree program with expected graduation date within a year of successfully completing the internship program.
2. Exceptional communication and time management skills.
3. A results-based, goal-focused mindset with a natural curiosity, demonstrated by extracurricular involvement in clubs or community.
...</t>
  </si>
  <si>
    <t>Sales Clerk Int 5827</t>
  </si>
  <si>
    <t>1. Potential to stock merchandise, assist patrons and operate a cash register which is shown by the ability to read, comprehend and explain product literature; as well as count, subtract, multiply, and divide for stocking and inventory purposes as evidenced by high school course work, a GED or high school diploma.
2. Ability to routinely lift 10 pounds and occasionally lift 25 pounds and stand for long periods of time.
3. Must be available to work weekend days.</t>
  </si>
  <si>
    <t>Business Development Intern-HYBRID</t>
  </si>
  <si>
    <t>Intrepid, An Employee-Owned Company</t>
  </si>
  <si>
    <t>1. Must be a resident of the Huntsville, AL area.
2. You must be currently enrolled in school and working toward a degree in a relevant program (Business Administration, Sales, Communications, or Information Technology-related field.)
3. Proactive and independent with the ability to take initiative.
...</t>
  </si>
  <si>
    <t>Remote - Florida</t>
  </si>
  <si>
    <t>Fall Internship - Global Partnerships</t>
  </si>
  <si>
    <t>1. Strong communication skills and the ability to build strong relationships
2. Tech savvy and able to thrive in a fast paced, team environment
3. Attention to detail, superior organizational skills, and the flexibility to comfortably navigate ambiguity
...</t>
  </si>
  <si>
    <t>1. In pursuit of a Bachelor's degree from a four-year college or university in relevant field of study; no prior experience or training necessary.
2. Ability to work a flexible schedule, which may include mornings, evenings, and weekends, and the day of/day after Thanksgiving and Christmas, based upon store and business needs.
3. Physical ability to lift and maneuver 30lbs throughout the store and backroom.
...</t>
  </si>
  <si>
    <t>$3000-$3000 /mon</t>
  </si>
  <si>
    <t>1. MBA degree with a focus on Sales &amp; Marketing.
2. Excellent communication and presentation skills, with the ability to articulate technical concepts to non-technical audiences.
3. Strong analytical and problem-solving skills.
...</t>
  </si>
  <si>
    <t>CRM Business Analyst Internship (Fall 2024)</t>
  </si>
  <si>
    <t>1. Strong analytical skills with an ability to work with complex data sets.
2. Proficiency with Microsoft Office Suite, particularly Excel and PowerPoint.
3. Excellent communication and presentation skills.
...</t>
  </si>
  <si>
    <t>E-Commerce Operations Analyst Internship (Fall 2024)</t>
  </si>
  <si>
    <t>1. Advanced Excel
2. SQL
3. Tableau
...</t>
  </si>
  <si>
    <t>2025 Sales Engineer Intern - Equipment</t>
  </si>
  <si>
    <t>1. Pursuing bachelor’s degree in engineering (Open to all engineering areas of emphasis)
2. Be a U.S. citizen or have the legal right to work in the U.S. without requiring sponsorship now or in the future
3. Possess a Valid Driver’s License For a Minimum Of 12 Months
...</t>
  </si>
  <si>
    <t>2025 Sales Engineer Intern - Services</t>
  </si>
  <si>
    <t>1. Pursuing bachelor’s degree in Business, Management, Sales, Entrepreneurship, Marketing, Engineering
2. Be a U.S. citizen or have the legal right to work in the U.S. without requiring sponsorship now or in the future.
3. Possess a Valid Driver’s License For a Minimum Of 12 Months
...</t>
  </si>
  <si>
    <t>Account Strategy Intern - Fall</t>
  </si>
  <si>
    <t>ConsumerTrack, Inc.</t>
  </si>
  <si>
    <t>Advertising, Digital Media</t>
  </si>
  <si>
    <t>1. Students with class standing of junior or above preferred.
2. Demonstrated success at working in a fast-paced environment.
3. Computer Skills; Microsoft Excel, Microsoft Word, and PowerPoint.
...</t>
  </si>
  <si>
    <t>Intern Team - Merchandise Planning Intern</t>
  </si>
  <si>
    <t>1. Must be a college junior or senior, graduate student, or recent graduate (up to two years post grad)
2. Must be available to work 15-25 hours weekly for the duration of the internship program</t>
  </si>
  <si>
    <t>Intern, Sales Operations - MINI</t>
  </si>
  <si>
    <t>Sales Engineering Co/op Internship</t>
  </si>
  <si>
    <t>1. Minimum second year students working towards Bachelor degree in Mechanical or Aerospace Engineering
2. A strong technical aptitude along with the ability to work independently, yet interact closely with maintenance technicians, production crew and vendors
3. Strong cross functional team skills
...</t>
  </si>
  <si>
    <t>SSBH</t>
  </si>
  <si>
    <t>1. Currently pursuing a Bachelor's degree, preferably in Business Administration, Finance, or a related field.
2. Strong communication and interpersonal skills.
3. Detail-oriented with excellent organizational abilities.
...</t>
  </si>
  <si>
    <t>Spring 2025 Internship/Post-Grad Apprenticeship Financial Representative</t>
  </si>
  <si>
    <t>Northwestern Mutual - Philadelphia</t>
  </si>
  <si>
    <t>1. Energetic and motivated individuals with a desire to build a career in finance.
2. Ability to understand clients' goals and visions to uncover financial solutions.
3. Willingness to develop rapport with prospective clients and foster long-term relationships.
...</t>
  </si>
  <si>
    <t>SAP iXp Intern - Sales Development Executive</t>
  </si>
  <si>
    <t>1. Upper Classmen
2. Preferred major = Business
3. A high-energy team player with the ability to develop strong relationships with customers and partners.
...</t>
  </si>
  <si>
    <t>Part Time Credit Union Intern Position</t>
  </si>
  <si>
    <t>Our Community Credit Union</t>
  </si>
  <si>
    <t>Elma, WA</t>
  </si>
  <si>
    <t>$16.28-$18 /h</t>
  </si>
  <si>
    <t>1. Assisting with Administrative tasks
2. Filing
3. Helping staff with special projects
...</t>
  </si>
  <si>
    <t>1. Excellent written and verbal communication skills.
2. Ability to perform multiple tasks at one time and attention to detail.
3. Current college student at Freshmen, Sophomore, Junior, Senior, Graduate status or a recent graduate within the last three months.
...</t>
  </si>
  <si>
    <t>Fall Internship - New York Showroom</t>
  </si>
  <si>
    <t>InterDesign</t>
  </si>
  <si>
    <t>Consumer Goods, Home Improvement</t>
  </si>
  <si>
    <t>1. Excellent computer skills, including Microsoft Office.
2. Organized and detail oriented
3. Fast learner
...</t>
  </si>
  <si>
    <t>District Manager in Training</t>
  </si>
  <si>
    <t>Batesburg, SC</t>
  </si>
  <si>
    <t>1. Bachelor's degree in Business Administration or related field
2. 3-5 years of experience in retail management
3. Strong leadership and interpersonal skills
...</t>
  </si>
  <si>
    <t>Raznameh Group</t>
  </si>
  <si>
    <t>Business Intelligence, Mobile Apps</t>
  </si>
  <si>
    <t>1. Currently enrolled in a bachelor's degree program (any major)
2. Strong communication, written, and verbal skills
3. Excellent organizational skills and attention to detail
...</t>
  </si>
  <si>
    <t>Temasek Associate Internship Programme 2025 - Investment Group (China)</t>
  </si>
  <si>
    <t>Temasek Holdings</t>
  </si>
  <si>
    <t>Angel Investment, Finance</t>
  </si>
  <si>
    <t>1. An undergraduate/postgraduate student (with no full-time working experience) graduating in winter 2025 / summer 2026, from any discipline
2. Passionate and curious about investing
3. Logical and comfortable working with data
...</t>
  </si>
  <si>
    <t>Sales Clerk Int 5823</t>
  </si>
  <si>
    <t>Berwyn, PA</t>
  </si>
  <si>
    <t>1. Rising sophomores and juniors with an expected graduation date between December 2024 and June 2026
2. Preferred areas of study include, but are not limited to the following: Risk Management and Insurance, Sales, Marketing, Communications, General Business, Management, Economics, Finance, Liberal Arts or Social Sciences
3. All candidates are required to submit an application via https://jobs.ajg.com/ajg-students/
...</t>
  </si>
  <si>
    <t>Assistant Account Executive, PR</t>
  </si>
  <si>
    <t>Mullen Communications</t>
  </si>
  <si>
    <t>$40,000-$50,000 /yr</t>
  </si>
  <si>
    <t>1. Previous successful PR experience in a relevant creative industry (internship or coursework) or a strong desire to begin a career in PR
2. Strong storytelling and administrative skills to consistently deliver quality work to the team and clients
3. Strong time management, prioritization, and organizational skills
...</t>
  </si>
  <si>
    <t>Sales Management Trainee Intern- Fall</t>
  </si>
  <si>
    <t>1. Must be at least 18 years old.
2. Must be enrolled full-time in a bachelor's degree program with a graduation date no later than May 2025.
3. Must commit to work the entire length of the internship Friday, August 23rd to Thursday, November 17th.
...</t>
  </si>
  <si>
    <t>Entry Level Financial Services</t>
  </si>
  <si>
    <t>Solorio's inc</t>
  </si>
  <si>
    <t>1. Must be 18+ (This is a FEDERAL requirement)
2. Must pass a background check (No Felonies)
3. Self-Disciplined, Self-Accountability
...</t>
  </si>
  <si>
    <t>Investing in You: Early Careers at BlackRock Asia Pacific</t>
  </si>
  <si>
    <t>1. Ideally you will be graduating from an undergraduate or a master's degree program between September 2024 and August 2026.</t>
  </si>
  <si>
    <t>After Sales and Client Development Intern - Generation H</t>
  </si>
  <si>
    <t>Hermès International</t>
  </si>
  <si>
    <t>Consumer Goods, Fashion</t>
  </si>
  <si>
    <t>1. Enrolled in an Associates, Bachelor’s, or Master’s Degree program
2. Ability to prioritize and multi-task in a highly complex work environment
3. Ability to take initiative and work independently at times
...</t>
  </si>
  <si>
    <t>Sales and Marketing Intern</t>
  </si>
  <si>
    <t>1. Currently enrolled in school with a goal to enter the biotech space.
2. Strong research and analytical skills.
3. Excellent learner who is eager to make a difference.
...</t>
  </si>
  <si>
    <t>Secaucus, NJ</t>
  </si>
  <si>
    <t>1. Working towards a bachelor's degree in a related discipline
2. On the SOA Exam track</t>
  </si>
  <si>
    <t>Development and Membership Intern</t>
  </si>
  <si>
    <t>1. Cover letter, along with resume is required.
2. Currently enrolled in an undergraduate or graduate program in a related field
3. Proficiency in Microsoft Office Suite (Word, Excel, PowerPoint). Experience with CRM systems or other databases is a plus.</t>
  </si>
  <si>
    <t>Internet Sales Coordinator</t>
  </si>
  <si>
    <t>1. High School Diploma or equivalent; college degree preferred.
2. Experience in sales, with preference for telephone and real estate experience.
3. Strong interpersonal, communication, and organizational skills; ability to work independently.
...</t>
  </si>
  <si>
    <t>2025 Graduate Talent Program - Global Banking - Chicago</t>
  </si>
  <si>
    <t>UBS</t>
  </si>
  <si>
    <t>1. Graduating between December 2024 and June 2025 with a cumulative GPA of 3.0 and above
2. Passion for financial markets and detail-oriented problem solver skilled in Microsoft Excel and PowerPoint
3. Values align with hard-working, trustworthy, dedicated, and collaborative
...</t>
  </si>
  <si>
    <t>Intern - Sales</t>
  </si>
  <si>
    <t>MedPro Group</t>
  </si>
  <si>
    <t>1. Active pursuit of BA/BS degree in business or related field preferred.
2. Proven ability to work on a team or operate independently and prioritize job duties.
3. Outstanding interpersonal, oral and written communication skills.
...</t>
  </si>
  <si>
    <t>Business Development Associate</t>
  </si>
  <si>
    <t>College Financial Representative (Fall 2024 - Honolulu)</t>
  </si>
  <si>
    <t>1. Full-time student at a Junior or Senior class standing
2. Excellent time-management skills
3. Interest in financial literacy and planning tools
...</t>
  </si>
  <si>
    <t>Nature's Path</t>
  </si>
  <si>
    <t>1. In good academic standing
2. Passionate about sales and strategy development
3. Strong communicator with strategic, analytical and creative thinking skills
...</t>
  </si>
  <si>
    <t>Professional Sports Partners</t>
  </si>
  <si>
    <t>Brand Marketing, Consulting</t>
  </si>
  <si>
    <t>1. Seeking experience in sponsorship sales or a closely related sales field.
2. Comfortable with communicating to PSP clients and partners. Communication is a strength.
3. Driven by goals, both short-term and long-term.</t>
  </si>
  <si>
    <t>Fall Finance Internship</t>
  </si>
  <si>
    <t>1. US work authorization is required (CPT and/or OPT)
2. Full-time student or Post-Grad student
3. Juniors, Seniors, and Graduate students only
...</t>
  </si>
  <si>
    <t>Financial Representative Intern</t>
  </si>
  <si>
    <t>1. Strive to understand clients' goals and visions to uncover financial solutions
2. Develop rapport with clients and foster long-term relationships
3. Be knowledgeable about Northwestern Mutual financial products and financial market trends
...</t>
  </si>
  <si>
    <t>Account Management Intern - Fall 2024</t>
  </si>
  <si>
    <t>Magnet Media</t>
  </si>
  <si>
    <t>1. Currently enrolled as a junior or senior in an accredited college or university, and in good standing
2. Coursework related to creative media
3. Willingness to learn in a fast-paced environment
...</t>
  </si>
  <si>
    <t>Commercial Development Internship (Summer 2025)</t>
  </si>
  <si>
    <t>1. Undergraduate student going into Junior or Senior year in a business discipline
2. Valid state Driver’s License</t>
  </si>
  <si>
    <t>Client Success Intern (Onsite at KPG Corporate Office)</t>
  </si>
  <si>
    <t>Kittle Property Group</t>
  </si>
  <si>
    <t>1. Currently enrolled in a relevant degree program (e.g., Business, Marketing, Communications, Property Management).
2. Strong communication and interpersonal skills.
3. Ability to handle multiple tasks and prioritize effectively.
...</t>
  </si>
  <si>
    <t>Corporate Development Intern</t>
  </si>
  <si>
    <t>Houlihan Lokey</t>
  </si>
  <si>
    <t>1. Must be a junior or senior in a Bachelor’s degree program, preferably in Finance, Accounting, or Economics.
2. A basic understanding of financial modeling and analysis commonly used in acquisition work, and general knowledge of relevant accounting principles.
3. A candidate should possess strong written and verbal communication skills, as the Corporate Development team works closely and frequently with senior management.
...</t>
  </si>
  <si>
    <t>M&amp;A Associate</t>
  </si>
  <si>
    <t>HighTower Advisors</t>
  </si>
  <si>
    <t>1. Bachelor’s degree in business, finance or other related field from an accredited college or university
2. 1+ years of full-time work experience in business development, sales, transaction advisory, M&amp;A, corporate development, investment banking, or other analytical or relationship management role(s)
3. Competence in quantitative and analytical skills, including understanding in financial statement analysis and valuation modeling (experience with excel preferred)
...</t>
  </si>
  <si>
    <t>1. Minimum High School Diploma or equivalent required, college degree preferred
2. Minimum 1 year of sales experience required, telephone sales preferred
3. Previous experience in the homebuilding industry preferred
...</t>
  </si>
  <si>
    <t>Loyola Academy</t>
  </si>
  <si>
    <t>Wilmette, IL</t>
  </si>
  <si>
    <t>1. H.S. Diploma or equivalent required
2. Excellent verbal and written communication skills and interpersonal skills
3. Ability to work independently and collaboratively
...</t>
  </si>
  <si>
    <t>Intern, Business Development - Environment &amp; Infrastructure</t>
  </si>
  <si>
    <t>1. Relevant college enrollment and/or coursework in international development, environmental science, engineering, or a related field
2. Strong research and analytical skills, with the ability to synthesize complex information from multiple sources
3. Excellent written and verbal communication skills
...</t>
  </si>
  <si>
    <t>1. Pursuing a Bachelor’s degree with demonstrated academic success
2. Strong interest in understanding the business sales process and how professional services organizations market themselves, sell into existing and new client prospects, and achieve aggressive growth goals
3. Strong critical thinking and reasoning skills with the ability to analyze quantitative and qualitative data and information to draw conclusions and make informed decisions
...</t>
  </si>
  <si>
    <t>Celebrity Operations Strategy Intern (Global E-commerce) - 2024 Off-Cycle (BS/MS)</t>
  </si>
  <si>
    <t>1. Currently pursuing an undergraduate or a graduate degree
2. Able to commit to working for 12 weeks during Fall 2024
3. Must obtain work authorization in country of employment at the time of hire, and maintain ongoing work authorization during employment
...</t>
  </si>
  <si>
    <t>1. Minimum High School or GED required. Some college preferred.
2. Minimum 1 years experience of Internet consumer experience and/or Internet exposure
3. Valid drivers license and good driving record
...</t>
  </si>
  <si>
    <t>1. High School Diploma (or equivalent) required.
2. Must be organized, motivated, and efficient team player with a strong work ethic and strong desire to succeed.
3. Must present a conservative business appearance.
...</t>
  </si>
  <si>
    <t>1. Minimum High School Diploma or GED required
2. Previous sales and/or telephone sales experience preferred
3. Strong interpersonal and communication skills
...</t>
  </si>
  <si>
    <t>Outside Sales Representative</t>
  </si>
  <si>
    <t>CHS Hedging</t>
  </si>
  <si>
    <t>1. High School diploma or GED
2. Knowledge of Sales, Business Development, and/or Sales Business Operations</t>
  </si>
  <si>
    <t>Account Executive (Part Time / Paid College Intern)</t>
  </si>
  <si>
    <t>The Movement</t>
  </si>
  <si>
    <t>1. Ability to generate new merchant partnerships
2. Ability to increase student user acquisition
3. Ability to foster brand awareness in the greater Morristown area
...</t>
  </si>
  <si>
    <t>Inside Sales Representative</t>
  </si>
  <si>
    <t>MIURA AMERICA CO., LTD.</t>
  </si>
  <si>
    <t>Rockmart, GA</t>
  </si>
  <si>
    <t>1. Bachelor's degree in Business Administration, Sales, or related field preferred.
2. 1-2 years of experience in inside sales or customer service role preferred.
3. Proficiency in Microsoft Office Suite and Salesforce CRM.
...</t>
  </si>
  <si>
    <t>2025 Guggenheim Securities Investment Banking Summer Associate – Boston</t>
  </si>
  <si>
    <t>2025 Guggenheim Securities Investment Banking Summer Associate – Chicago</t>
  </si>
  <si>
    <t>2025 Guggenheim Securities Investment Banking Summer Associate – Atlanta</t>
  </si>
  <si>
    <t>SAP iXp Intern - Sales Performance Management - Information Security Specialist</t>
  </si>
  <si>
    <t>1. Strong understanding of cybersecurity principles, including network security, encryption, access control, and incident response
2. Excellent communication skills, both written and verbal, with the ability to explain complex technical concepts to non-technical audiences
3. Detail-oriented with strong analytical and problem-solving abilities
...</t>
  </si>
  <si>
    <t>M&amp;A Intern</t>
  </si>
  <si>
    <t>Tide Rock Holdings</t>
  </si>
  <si>
    <t>Financial Services, Impact Investing</t>
  </si>
  <si>
    <t>1. Pursuing a degree in the field of finance, accounting, entrepreneurship, economics, management, and/or general business
2. College juniors, seniors, or graduate students local to San Diego or New York City
3. Part-time availability, approximately 20 hours/week, in the office (no remote options)
...</t>
  </si>
  <si>
    <t>Intern-Inside Sales Account Manager</t>
  </si>
  <si>
    <t>Girlstown USA, TX</t>
  </si>
  <si>
    <t>1. Self-starter and driven
2. Willing to dig deep into information to extract usable data
3. Work well in a team environment
...</t>
  </si>
  <si>
    <t>Intern, Development</t>
  </si>
  <si>
    <t>Worldreader.org</t>
  </si>
  <si>
    <t>Consumer Electronics, Non Profit</t>
  </si>
  <si>
    <t>1. Currently an undergraduate student enrolled at a four-year university based in the United States, preferably located in the San Francisco Bay area.
2. Commitment to full internship timeframe (September-December).
3. Ability to work effectively in a remote work environment.
...</t>
  </si>
  <si>
    <t>Ticket Sales &amp; Service Intern</t>
  </si>
  <si>
    <t>1. Ability to work at least 25 hours per week in the office
2. Work D.C. United home matches and grassroot marketing events
3. Attend onboarding/offboarding sessions
...</t>
  </si>
  <si>
    <t>Sales Analyst Intern</t>
  </si>
  <si>
    <t>ABC Technologies</t>
  </si>
  <si>
    <t>1. Must be pursuing a bachelor’s degree in business management, or data analytic related field
2. Excellent organizational skills, with an ability to prioritize important projects and has a keen attention to detail
3. Proficient in Data Entry and Typing
...</t>
  </si>
  <si>
    <t>Inside Sales Internship - Peak Pinnacle</t>
  </si>
  <si>
    <t>Peak Sports MGMT</t>
  </si>
  <si>
    <t>1. Highly motivated individuals
2. Responsible for promoting and selling tickets through outbound calls, emails, and other communication channels
3. Develop a deep understanding of ticket offerings including single game tickets, group packages, season passes, and premium ticket options
...</t>
  </si>
  <si>
    <t>Financial Representative Internship - Sales &amp; Entrepreneurship Focused</t>
  </si>
  <si>
    <t>1. Be knowledgeable about Northwestern Mutual financial products and financial market trends.
2. Build and maintain client bases, keep current client financial plans up-to-date, and build a portfolio of new clients on an ongoing basis.
3. Provide dedicated and focused client experiences.</t>
  </si>
  <si>
    <t>Leadership Development Program - Commercial Excellence</t>
  </si>
  <si>
    <t>Synthomer</t>
  </si>
  <si>
    <t>Mogadore, OH</t>
  </si>
  <si>
    <t>1. Candidates must be highly motivated, results-oriented, and possess a passion for strengthening operational, strategic thinking and leadership skills.
2. Bachelor’s Degree Operational Excellence, Project Management, Business, or related field from an accredited university. (MBA preferred)
3. Minimum of one internship or CO-OP that provide practical experience in strategic marketing or market development (two or more preferred)
...</t>
  </si>
  <si>
    <t>Cooper City, FL</t>
  </si>
  <si>
    <t>hourlyCompetitive-hourlyNot specified /h</t>
  </si>
  <si>
    <t>Sales Management Trainee Internship- Lincoln, NE - Fall 2024</t>
  </si>
  <si>
    <t>1. Must be a Senior, enrolled and graduating in December 2024 with a Bachelor's degree.
2. Must have a valid driver's license with no more than 2 moving violations and/or at fault accidents in the past 3 years.
3. No drug or alcohol related conviction on driving record within the past 5 years.
...</t>
  </si>
  <si>
    <t>2024 Diversity Leadership Symposium: 2025 Nestlé Sales Development Program</t>
  </si>
  <si>
    <t>1. Bachelor's Degree conferred by June 2025
2. Majors in Business Administration, Communications, Marketing, Sales Management, Data or Business Analytics, and Agricultural Business
3. Cumulative GPA of 3.0 or above
...</t>
  </si>
  <si>
    <t>Merchandise Internship - 2024 SOLHEIM CUP</t>
  </si>
  <si>
    <t>1. Assist in receiving all merchandise for The Shop
2. Receive product cartons
3. Conduct inventory processes
...</t>
  </si>
  <si>
    <t>BBW Supervisor-INTERNATIONAL PLAZA</t>
  </si>
  <si>
    <t>Bath &amp; Body Works</t>
  </si>
  <si>
    <t>1. Proven experience delivering sales results
2. Ability to effectively communicate and foster a customer-focused selling culture
3. Ability to provide effective, in-the-moment coaching to associates
...</t>
  </si>
  <si>
    <t>Sales Management Trainee Internship- Sioux Falls, SD - Fall 2024</t>
  </si>
  <si>
    <t>Internet TV Sales Expert</t>
  </si>
  <si>
    <t>Acosta Sales &amp; Marketing</t>
  </si>
  <si>
    <t>1. Displaying a high-energy personality and natural ability to start conversations with shoppers.
2. Demonstrating resilience and resourcefulness with intercepting shoppers in a high-traffic environment.
3. Staying hungry to excel in an uncapped commission sales role, plus a competitive hourly base rate.
...</t>
  </si>
  <si>
    <t>Sales Management Trainee Internship- Sioux City, IA - Fall 2024</t>
  </si>
  <si>
    <t>Marketing and Communication Intern with our Business Development Department</t>
  </si>
  <si>
    <t>1. High school diploma or similar
2. Degree in marketing, business or currently working towards
3. Strong self-motivation
...</t>
  </si>
  <si>
    <t>GRAY MEDIA SALES INTERNSHIP FALL '24 - KOLN</t>
  </si>
  <si>
    <t>1. Be currently enrolled in a college/university, preferably in your senior year
2. Strong work ethic, and organizational skills
3. College student, junior or senior, earning a degree in Journalism/Communications, Sales/Business, Journalist/Broadcasting fields, with a desire to get hands-on experience</t>
  </si>
  <si>
    <t>Intern: Lubricant Sales Program (Fall 2024)</t>
  </si>
  <si>
    <t>Volvo Construction Equipment</t>
  </si>
  <si>
    <t>3D Printing, Building Maintenance</t>
  </si>
  <si>
    <t>Shippensburg, PA</t>
  </si>
  <si>
    <t>1. Currently enrolled and pursuing an Accounting, Finance, Business Administration degree at an accredited school
2. Completed 30 semester hours of undergraduate studies prior to the start of the internship
3. Fall/Spring Interns may work up to 30 hours per week and must be enrolled as full-time student
...</t>
  </si>
  <si>
    <t>USA - TX - Frisco</t>
  </si>
  <si>
    <t>Lancaster, OH</t>
  </si>
  <si>
    <t>Financial Coaching &amp; Economic Mobility Intern (Fall 2024)</t>
  </si>
  <si>
    <t>1. Strong interest in working with international clients
2. Familiarity with a coaching model and related activities
3. Proven ability to work with consideration and respect for cross-cultural differences
...</t>
  </si>
  <si>
    <t>Research Intern - Fall 2024 - Newport Beach, California</t>
  </si>
  <si>
    <t>1. Bachelor's degree or currently pursuing a bachelor's degree
2. Excellent quantitative skills
3. Excellent written and verbal communication skills
...</t>
  </si>
  <si>
    <t>1. Looking for a Summer full-time internship
2. Full-time student; juniors and seniors preferred
3. Entrepreneurial and curiosity for sales
...</t>
  </si>
  <si>
    <t>Financial Sales Intern - Internship Spring 2025 (Paid)</t>
  </si>
  <si>
    <t>1. Obtain Life, Accident, &amp; Health License for the state of NJ (Financed by Northwestern Mutual) with opportunity to obtain Series 6 and 63 licenses.
2. Attend personal and professional training and development sessions
3. Build your own (daily) schedule to meet with prospects and clients at your convenience
...</t>
  </si>
  <si>
    <t>Summer 2025 - Commodity Trader Intern</t>
  </si>
  <si>
    <t>Part Time Sales (16 and 17 Years Old)</t>
  </si>
  <si>
    <t>1. Effective communication and decision-making skills.
2. Ability to lift and load merchandise.
3. Ability to work a flexible schedule to meet the business needs, including holidays, evenings and weekend shifts.</t>
  </si>
  <si>
    <t>Unisys</t>
  </si>
  <si>
    <t>Business Development, Information Services</t>
  </si>
  <si>
    <t>1. Currently enrolled in a university program related to business, marketing, or a related field.
2. Strong analytical and problem-solving skills.
3. Excellent communication and presentation skills
...</t>
  </si>
  <si>
    <t>Sales Management Trainee Internship- Cedar Rapids, IA - Fall 2024</t>
  </si>
  <si>
    <t>Sales Management Trainee Internship, Champaign, IL - Fall 2024</t>
  </si>
  <si>
    <t>1. Must be a Senior, enrolled and graduating in December 2024 with a Bachelor's degree.
2. Must have a valid driver's license with no more than 2 moving violations and/or at fault accidents in the past 3 years.
3. Must be authorized to work in the United States and not require work authorization sponsorship by our company for this position now or in the future.
...</t>
  </si>
  <si>
    <t>Merchandise Internship -2024 CINCINNATI OPEN</t>
  </si>
  <si>
    <t>Loveland, OH</t>
  </si>
  <si>
    <t>Sales Management Trainee Internship- Davenport, IA - Fall 2024</t>
  </si>
  <si>
    <t>Markets - Commodities, Summer Analyst, Houston - US, 2025</t>
  </si>
  <si>
    <t>1. Interested in commodity markets
2. Obtaining a Bachelor’s or Master’s degree (graduating in December 2025 or June 2026)
3. Excited to work in the Houston office
...</t>
  </si>
  <si>
    <t>Sales Management Trainee Internship - Rockford, IL - Fall 2024</t>
  </si>
  <si>
    <t>Sales Management Trainee Internship, Bloomington, IL - Fall 2024</t>
  </si>
  <si>
    <t>Bloomington, IL</t>
  </si>
  <si>
    <t>Sales Management Trainee Internship, Peoria, IL - Fall 2024</t>
  </si>
  <si>
    <t>Lead Supervisor I Premium Outlets International</t>
  </si>
  <si>
    <t>Coach</t>
  </si>
  <si>
    <t>1. 1-3 years of previous retail experience (cashier/stock experience, sales, etc.) preferably in a luxury retail service environment
2. Possesses current knowledge of fashion trends and competition in the marketplace
3. High school diploma or equivalent
...</t>
  </si>
  <si>
    <t>Sales Associate III - Premium Outlets International</t>
  </si>
  <si>
    <t>1. Understands organizational objectives and makes decisions that align with Company priorities
2. Takes ownership and is committed to delivering results, while remaining actively aware of personal and store metrics; and creates personal sales and clienteling strategies in partnership with the management team
3. Creates short- and long-term strategies to achieve personal metrics and performance goals
...</t>
  </si>
  <si>
    <t>SkillBridge Account Manager</t>
  </si>
  <si>
    <t>Edgewood Partners Insurance Center</t>
  </si>
  <si>
    <t>$55000-$65000 /yr</t>
  </si>
  <si>
    <t>1. College Degree preferred or equivalent working experience
2. Current active military servicemember seeking a SkillBridge transition role and available to join program for 4 months minimum and 6 months ideally
3. Willingness to study for and complete successfully the Property and Casualty licensing requirements for the role
...</t>
  </si>
  <si>
    <t>Sales Management Trainee Internship, Dekalb, IL - Fall 2024</t>
  </si>
  <si>
    <t>Sales Management Trainee Internship- Omaha, NE - Fall 2024</t>
  </si>
  <si>
    <t>Sales Management Trainee Internship- Ames, IA - Fall 2024</t>
  </si>
  <si>
    <t>Ames, IA</t>
  </si>
  <si>
    <t>Sales Management Trainee Internship- Des Moines, IA - Fall 2024</t>
  </si>
  <si>
    <t>Sales Development Intern</t>
  </si>
  <si>
    <t>1. Junior or Senior in a Marketing, Business Management, or related program.
2. Coursework or experience relating to: marketing, communications, business management.
3. Previous experience with customer service.</t>
  </si>
  <si>
    <t>Sales Management Trainee Internship, Galesburg, IL - Fall 2024</t>
  </si>
  <si>
    <t>Galesburg, IL</t>
  </si>
  <si>
    <t>Sales Management Trainee Internship, Decatur, IL - Fall 2024</t>
  </si>
  <si>
    <t>Sales Management Trainee Internship, Springfield, IL - Fall 2024</t>
  </si>
  <si>
    <t>Fall Retail Management Internship - LOFT Streets of West Chester</t>
  </si>
  <si>
    <t>ANN INC.</t>
  </si>
  <si>
    <t>Westchester, OH</t>
  </si>
  <si>
    <t>1. Current college junior, senior, or recent college graduate
2. Professional and/or academic recommendations
3. Ability to work approximately 20-25 hours per week, including nights, weekends, and holidays
...</t>
  </si>
  <si>
    <t>Client Relations Management Trainee</t>
  </si>
  <si>
    <t>GTM / CX Strategy &amp; Operations (Contract/Internship)</t>
  </si>
  <si>
    <t>Workmate Labs</t>
  </si>
  <si>
    <t>New York HQ</t>
  </si>
  <si>
    <t>1. Bachelor's degree or equivalent practical experience
2. Experience in management consulting or other equivalent business strategy experience
3. Strong analytical skills. Able to synthesize takeaways and recommendations</t>
  </si>
  <si>
    <t>Summer Insurance Advisory Services Intern 2025</t>
  </si>
  <si>
    <t>1. Risk management college students
2. Real-world experience in identifying new business opportunities
3. Real-world experience in presenting to a client
...</t>
  </si>
  <si>
    <t>Strategic Support Associate, FSCDP</t>
  </si>
  <si>
    <t>Jackson</t>
  </si>
  <si>
    <t>1. HS Diploma or GED required
2. Juniors pursuing a four-year degree preferred. Exceptional seniors, sophomores, those pursuing a 2 year degree, or recent graduates will be considered
3. Degrees/Minors in Marketing, Advertising, Sales, Business, Communication and Hospitality preferred
...</t>
  </si>
  <si>
    <t>College Financial Representative (Fall 2024)</t>
  </si>
  <si>
    <t>$Not specified-$Not specified uncapped commissions</t>
  </si>
  <si>
    <t>Intern, Asset Management (Fall 2024)</t>
  </si>
  <si>
    <t>1. Currently pursuing or recently completed a degree in Marketing, Business, Economics, Sports Management, or a related field.
2. Candidates must be receiving college credit for the internship.
3. Ability to understand and interpret contractual language.
...</t>
  </si>
  <si>
    <t>Venture Scout Fellow</t>
  </si>
  <si>
    <t>1. Curiosity and passion for innovation
2. Basic understanding of the venture capital process
3. A self-starter with strong work ethic and the ability to self-manage your time and priorities
...</t>
  </si>
  <si>
    <t>Buoy</t>
  </si>
  <si>
    <t>1. Live in Seattle
2. CX or General Startup Experience
3. Tech Chops
...</t>
  </si>
  <si>
    <t>Fall 2024 Merchandise Planning Internship</t>
  </si>
  <si>
    <t>1. Currently pursuing a degree in Business, Merchandising, Supply Chain Management, or a related field.
2. Strong analytical skills with the ability to work with large datasets and interpret data.
3. Excellent communication and teamwork skills.
...</t>
  </si>
  <si>
    <t>AUTOMOTIVE INTERNET  SALES MANAGER</t>
  </si>
  <si>
    <t>DeLand</t>
  </si>
  <si>
    <t>1. At least one previous role based in strong customer service experience
2. Prior automotive sales experience
3. Team player attitude
...</t>
  </si>
  <si>
    <t>Internet Sales Manager $125,000+ per year!</t>
  </si>
  <si>
    <t>Tracy Volkswagen</t>
  </si>
  <si>
    <t>Tracy, CA</t>
  </si>
  <si>
    <t>$125000 /yr</t>
  </si>
  <si>
    <t>1. High school diploma or equivalent is required
2. Comfortable with compensation based on commission sales
3. Enthusiastic with high energy throughout the sales workday
...</t>
  </si>
  <si>
    <t>Business Development Coordinator / Internet Sales</t>
  </si>
  <si>
    <t>Thompson Buick GMC Cadillac</t>
  </si>
  <si>
    <t>$Generous base salary-$performance based income potential /yr</t>
  </si>
  <si>
    <t>Internet  Car Sales -  Business Development Rep</t>
  </si>
  <si>
    <t>Lawless Chrysler Dodge Jeep Ram</t>
  </si>
  <si>
    <t>1. Be process driven with strong communication skills and willing to work with a solid team.
2. Time management, prioritization, and multitasking skills</t>
  </si>
  <si>
    <t>Internet Sales Associate</t>
  </si>
  <si>
    <t>New SCUBA Marketing</t>
  </si>
  <si>
    <t>1. Strong verbal and written communication skills
2. Proficiency with Microsoft Word, Excel, and Outlook
3. Ability to hit sales quotas and closing percentages
...</t>
  </si>
  <si>
    <t>2025 Chase Associate Program - Summer Associate Opportunity</t>
  </si>
  <si>
    <t>1. Pursuing an MBA or Master’s degree with expected graduation between December 2025 and June 2026
2. A minimum of 3 years, but no more than 5 years of professional experience in any role/industry, demonstrating unique perspectives and exceptional leadership
3. Strong desire to learn about and eventually take on roles in executive and general management, product management, and strategy leadership in Chase
...</t>
  </si>
  <si>
    <t>Advertising Sales Intern - Beaufort</t>
  </si>
  <si>
    <t>1. Studies in journalism, marketing, business, or related field, or equivalent work experience
2. Ability to work independently remotely, if necessary, in a suitable workspace that meets safety guidelines
3. Reliable access to internet service
...</t>
  </si>
  <si>
    <t>Internal Sales Associate</t>
  </si>
  <si>
    <t>1. Bachelor’s degree required; concentration in marketing or business is preferred
2. Series 6 (or 7), 63 and Life License, or obtained within 90 days of hire
3. Computer proficiency
...</t>
  </si>
  <si>
    <t>Sales Intern (Hybrid)</t>
  </si>
  <si>
    <t>1. Strong research and analytical skills with attention to detail.
2. Excellent communication skills, both written and verbal.
3. Proficient in using online research tools, databases, and CRM systems.
...</t>
  </si>
  <si>
    <t>Golf Operations Internship</t>
  </si>
  <si>
    <t>1. Enrollment in current PGA Golf Management Program or Associate Education
2. Certificates/Licenses: Current PGA/LGPA Membership</t>
  </si>
  <si>
    <t>2025 Summer Internship - Investment - Boston</t>
  </si>
  <si>
    <t>1. Bachelor’s or Master’s students in a quantitative field, including Economics, Econometrics, Finance, Applied Math and Statistics
2. Proficiency in Python, Java or similar language
3. Excellent verbal and written communication skills
...</t>
  </si>
  <si>
    <t>Sales Development Representative Intern</t>
  </si>
  <si>
    <t>Boost Organic Inc.</t>
  </si>
  <si>
    <t>1. No Sales Experience Required: A hunger for learning, coaching, and excellence is a must.
2. Grit: Can persist through challenges and has the perseverance and drive to achieve high results.
3. Enterprising Personality: Resourcefulness, initiative, and the drive to recognize and seize opportunities.
...</t>
  </si>
  <si>
    <t>Patchogue, NY</t>
  </si>
  <si>
    <t>$15.0-$16.7 /h</t>
  </si>
  <si>
    <t>1. Currently pursuing an undergraduate or graduate degree, or recent graduate
2. Students pursuing degrees in the fields of communications, marketing, public relations, nonprofit management, business, or other related fields may be particularly interested in this position and are encouraged to apply
3. Willing to learn about IRC history, philosophy, global work, and local efforts; adhere to IRC volunteer and workplace policies.
...</t>
  </si>
  <si>
    <t>Real Estate Intern</t>
  </si>
  <si>
    <t>1904Group</t>
  </si>
  <si>
    <t>1. Is highly organized
2. Has an ownership mindset with top-notch communication skills
3. Can work independently and prioritize shifting responsibilities
...</t>
  </si>
  <si>
    <t>Financial Representative Internship (Undergraduate and Post-Graduate)</t>
  </si>
  <si>
    <t>1. Full-time student; juniors and seniors preferred
2. Entrepreneurial and curiosity for sales
3. Highly involved on campus (leader, campus orgs, student government, etc.)
...</t>
  </si>
  <si>
    <t>Fall Financial Representative Intern</t>
  </si>
  <si>
    <t>1. Currently enrolled in a bachelor's or master's degree program with a graduation date of December 2024 or May 2025
2. Has entrepreneurial ambitions with a curiosity for a career in sales</t>
  </si>
  <si>
    <t>Wholesale Sales Intern</t>
  </si>
  <si>
    <t>Loeffler Randall</t>
  </si>
  <si>
    <t>1. Enrolled in applicable Bachelor’s Degree program
2. Intermediate proficiency in Microsoft Excel</t>
  </si>
  <si>
    <t>Financial Sales Professional Assistant Intern</t>
  </si>
  <si>
    <t>Equitable Advisors</t>
  </si>
  <si>
    <t>1. Strong oral and written communication skills
2. Proficient computer skills, Microsoft Office applications and the Internet
3. Professional telephone and presentation skills
...</t>
  </si>
  <si>
    <t>Beauty Sales - Tom Ford - International Plaza</t>
  </si>
  <si>
    <t>Nordstrom</t>
  </si>
  <si>
    <t>1. Excellent communication and people skills
2. A self-motivated, goal-oriented focus
3. Strong interest to use networking and technology to achieve sales goals
...</t>
  </si>
  <si>
    <t>Field Sales &amp; Marketing Intern</t>
  </si>
  <si>
    <t>1. All Majors – Rising Juniors and Seniors preferred.
2. Eligible to work in the United States without sponsorship or restrictions.
3. Ability to stand for the duration of shift except for meal and rest breaks.
...</t>
  </si>
  <si>
    <t>Sales Development &amp; Marketing intern</t>
  </si>
  <si>
    <t>Isotrol</t>
  </si>
  <si>
    <t>1. Currently enrolled in a Bachelor’s or Master's program in Business Administration, Marketing or a similar field.
2. Strong academic performance with a GPA of 3.0 or above.
3. Self motivated with a passion for learning and problem-solving.
...</t>
  </si>
  <si>
    <t>Capital Markets Intern</t>
  </si>
  <si>
    <t>Business Development Associate (International)</t>
  </si>
  <si>
    <t>SecurityScorecard</t>
  </si>
  <si>
    <t>Cyber Security, Risk Management</t>
  </si>
  <si>
    <t>1. 1-2 years of experience in sales development, lead generation, or business development in B2B/SaaS environments
2. Track record of consistent and effective sales development performance
3. History of creative, persistent, and effective outbound sales lead follow-up messaging
...</t>
  </si>
  <si>
    <t>Sales Clerk INT 5802</t>
  </si>
  <si>
    <t>Elizabeth City, NC</t>
  </si>
  <si>
    <t>Global Markets Sales &amp; Trading Summer Associate Program - 2025</t>
  </si>
  <si>
    <t>1. Candidates are required to be pursuing a Master's degree from an accredited college or university with a graduation timeframe between December 2025 and June 2026 in a field of Quantitative Finance, Financial Engineering, or Physics/Applied Maths/Computer Science. Experience in a technical field that blends advanced quantitative methods with finance and economics would be an advantage.
2. Candidates are required to have 2.5 years of prior work experience
3. Strong quantitative and qualitative skills
...</t>
  </si>
  <si>
    <t>Wealth Management Summer Analyst Program - Private Bank 2025</t>
  </si>
  <si>
    <t>1. Students must be pursuing a Bachelors or Bachelors direct to Masters degree from an accredited college or university with a graduation timeframe between December 2025 and August 2026
2. Demonstrated record of achievement such as extracurricular activities or leadership roles
3. Passion for investing and a strong understanding of finance
...</t>
  </si>
  <si>
    <t>GRAY MEDIA SALES INTERNSHIP FALL '24 - WIS-TV</t>
  </si>
  <si>
    <t>$14.45-$15.15 /h</t>
  </si>
  <si>
    <t>$17.5-$17.8 /h</t>
  </si>
  <si>
    <t>Lake Grove, NY</t>
  </si>
  <si>
    <t>Business Transformation - Intern</t>
  </si>
  <si>
    <t>Riveron</t>
  </si>
  <si>
    <t>1. Rising Senior at an accredited university
2. Majoring in accounting, business analytics, business management, finance, or other related field
3. 3.40 GPA or above
...</t>
  </si>
  <si>
    <t>Brighton, CO</t>
  </si>
  <si>
    <t>Port Angeles, WA</t>
  </si>
  <si>
    <t>Saugerties, NY</t>
  </si>
  <si>
    <t>Pittsburg, CA</t>
  </si>
  <si>
    <t>$16.0-$16.65 /h</t>
  </si>
  <si>
    <t>Beacon, NY</t>
  </si>
  <si>
    <t>Sales Intern (ATL)</t>
  </si>
  <si>
    <t>1. Working towards a Bachelor’s degree in Business, Real Estate or related field
2. Proficient in Microsoft Office – plus ability to learn new systems
3. Maintaining a professional demeanor
...</t>
  </si>
  <si>
    <t>Paid Internship ( Customer Sales/Business Development)</t>
  </si>
  <si>
    <t>1. Prior sales experience or sales training preferred
2. Coachable and ready to be trained and educated by our team to completely understand our services, and how to best find prospective clients to enroll
3. A self-starter that is ready to fit this position into their own life and leverage all the provided tools to make a difference in their financial structure
...</t>
  </si>
  <si>
    <t>Wealth Management Summer Analyst Program - Merrill Wealth Management 2025</t>
  </si>
  <si>
    <t>1. Bachelors or Bachelors direct to Masters degree program student with a graduation date between November 2025 and August 2026
2. Seeking a detailed oriented, highly motivated individual who enjoys multi-tasking within a dynamic environment
3. Superior relationship and interpersonal skills
...</t>
  </si>
  <si>
    <t>Wealth Management Sophomore Summer Analyst Program - Private Bank 2025</t>
  </si>
  <si>
    <t>1. Bachelor’s degree student with a graduation date between November 2026 and August 2027
2. Demonstrated record of achievement such as extracurricular activities or leadership roles
3. Passion for investing and a strong understanding of finance
...</t>
  </si>
  <si>
    <t>Sales Intern (NYC)</t>
  </si>
  <si>
    <t>Sales Management Trainee Internship</t>
  </si>
  <si>
    <t>Sumter, SC</t>
  </si>
  <si>
    <t>1. Current college\university student graduating with Bachelors Degree in December 2024 or May 2025.
2. Must have 6 months (can be non-concurrent) of sales or customer service or marketing or leadership experience.
3. Must have a valid drivers license with no more than 2 moving violations and/or at-fault accidents within the past 3 years.
...</t>
  </si>
  <si>
    <t>1. Full-time availability from mid-June through the end of July (6 weeks)
2. Close supervision and performance monitoring
3. Preparation for advancement into a sales position upon graduation
...</t>
  </si>
  <si>
    <t>2025 Asset Management Client Summer Analyst Program</t>
  </si>
  <si>
    <t>1. Attend college/university in the U.S.
2. Expected graduation date of December 2025 – June 2026
3. Excellent communication and presentation skills
...</t>
  </si>
  <si>
    <t>Sales Intern (SD)</t>
  </si>
  <si>
    <t>Spring Valley, NY</t>
  </si>
  <si>
    <t>Sales Development Representative - Internship</t>
  </si>
  <si>
    <t>Motive</t>
  </si>
  <si>
    <t>1. Be entering or currently enrolled in their last year of college (graduation occurring Fall/Winter 2024 highly preferred).
2. A strong work ethic, with a desire to learn and grow within a fast-paced environment.
3. Excellent communication and interpersonal skills, with the ability to build rapport and effectively present information.
...</t>
  </si>
  <si>
    <t>Temporary Wealth Coordinator</t>
  </si>
  <si>
    <t>N/AN/A-N/AN/A N/A</t>
  </si>
  <si>
    <t>1. General knowledge of wealth management
2. Compilation and production of client meeting materials
3. Support Sales/Marketing needs relating to presentations and RFPs
...</t>
  </si>
  <si>
    <t>Sales Intern (NASH)</t>
  </si>
  <si>
    <t>Alpine Physician Partners</t>
  </si>
  <si>
    <t>1. Ability to work in a fast-paced environment
2. Strong communication skills
3. Self-motivated and driven
...</t>
  </si>
  <si>
    <t>Sales Intern (DAL)</t>
  </si>
  <si>
    <t>Sales Intern (ENC)</t>
  </si>
  <si>
    <t>1. Working towards a Bachelor’s degree in Business, Real Estate or related field.
2. 1 + years of experience in sales preferred, but not required, to maximize training experience.
3. Proficient in Microsoft Office – plus ability to learn new systems.
...</t>
  </si>
  <si>
    <t>Sales Intern (JAX)</t>
  </si>
  <si>
    <t>Sales Intern (ELS)</t>
  </si>
  <si>
    <t>Bilingual International Sales Intern (Mexico)</t>
  </si>
  <si>
    <t>TruckPaper Sales Intern</t>
  </si>
  <si>
    <t>1. Ability to gather listings and sell advertisements
2. Learn about company products and business objectives
3. Shadow other members of the department to gain exposure to sales strategies
...</t>
  </si>
  <si>
    <t>ETF Sales Internship: Summer 2025</t>
  </si>
  <si>
    <t>1. Excellent interpersonal, written and verbal communication skills
2. Strong quantitative skills along with demonstrated analytical ability
3. Ability to complete multiple tasks simultaneously in a fast-paced, team-oriented environment
...</t>
  </si>
  <si>
    <t>Client Solutions Internship - Youngstown, OH (Summer 2024)</t>
  </si>
  <si>
    <t>FactSet</t>
  </si>
  <si>
    <t>Analytics, Finance</t>
  </si>
  <si>
    <t>Youngstown, OH</t>
  </si>
  <si>
    <t>1. Strong interest in Finance and/or FinTech
2. Client centric mindset
3. Desire to collaborate across teams
...</t>
  </si>
  <si>
    <t>TractorHouse Sales Intern</t>
  </si>
  <si>
    <t>Student Relationship Officer</t>
  </si>
  <si>
    <t>Gesa Credit Union</t>
  </si>
  <si>
    <t>Credit, Financial Services</t>
  </si>
  <si>
    <t>$16.28-$19.50 /h</t>
  </si>
  <si>
    <t>1. High school diploma or equivalent
2. Actively enrolled as a full-time student at Washington State University with a minimum cumulative GPA of 2.75
3. Commitment to the entire duration of the full academic year, report for work on time, and maintain attendance
...</t>
  </si>
  <si>
    <t>2023 SET(Sales Execellent Trainee) Summer Intern 채용 (Test)</t>
  </si>
  <si>
    <t>AB InBev APAC</t>
  </si>
  <si>
    <t>Tower City, ND</t>
  </si>
  <si>
    <t>1. Ambitious, bold &amp; resilient
2. Looking for fast career growth
3. Cross-functional experiences
...</t>
  </si>
  <si>
    <t>The TCW Group</t>
  </si>
  <si>
    <t>$70000-$85000 /yr</t>
  </si>
  <si>
    <t>1. Bachelor’s Degree in a business or finance related major preferred
2. 1 - 2 years Sales experience, preferably within financial services
3. Series 7 &amp; 63 Licenses (or attained within first 90 days)</t>
  </si>
  <si>
    <t>Sales Intern (OC)</t>
  </si>
  <si>
    <t>Sales Intern (HOU)</t>
  </si>
  <si>
    <t>Sales Intern (MSP)</t>
  </si>
  <si>
    <t>Intern ** Bilingual English/Mandarin</t>
  </si>
  <si>
    <t>Morgan Stanley</t>
  </si>
  <si>
    <t>1. High school diploma required. In pursuit of college degree preferable.
2. At least 18 years of age.
3. Internships are intended to be positions that are for limited duration, with a maximum duration ten months.
...</t>
  </si>
  <si>
    <t>Machinery Trader Sales Intern</t>
  </si>
  <si>
    <t>1. Ability to gather listings and sell advertisements from customers in various industries
2. Learn about company products and business objectives
3. Shadow other members of the department to gain exposure to sales strategies
...</t>
  </si>
  <si>
    <t>Sales Management Trainee Intern</t>
  </si>
  <si>
    <t>1. Must be a rising Senior enrolled full time for the upcoming semester in a college or university.
2. Must have a valid driver's license with no more than 2 moving violations and/or at-fault accidents in the past 5 years.
3. No drug or alcohol-related conviction on your record in the past 5 years (i.e., DUI, DWI)
...</t>
  </si>
  <si>
    <t>Sales Intern (PHX)</t>
  </si>
  <si>
    <t>Sales Intern (AUS)</t>
  </si>
  <si>
    <t>Sales Intern (TPA)</t>
  </si>
  <si>
    <t>Sales Intern (FLL)</t>
  </si>
  <si>
    <t>Sales Intern (WC)</t>
  </si>
  <si>
    <t>Internship | Technical Scholar Program | Clearwater, FL</t>
  </si>
  <si>
    <t>SYNNEX</t>
  </si>
  <si>
    <t>1. Expected to graduate within 6-18 months of the program.
2. Actively enrolled in school and working towards a technical or bachelor's degree. A technical focus is preferred.
3. Able to execute instructions and to request clarification when needed.
...</t>
  </si>
  <si>
    <t>Sales Intern (CLE)</t>
  </si>
  <si>
    <t>Sales Analyst Student Experience</t>
  </si>
  <si>
    <t>1. Freshman, Sophomore, Junior, or Senior standing seeking a degree in Marketing, Management, Business Administration, Finance, Economics, Statistics, or related field
2. Ability to draw conclusions and present findings based off of data
3. Be able to independently work through a project from start to finish with limited supervision, as well as have the skills to work collaboratively on a team
...</t>
  </si>
  <si>
    <t>Development Assistant (Paid Internship)</t>
  </si>
  <si>
    <t>Access</t>
  </si>
  <si>
    <t>1. Associate degree or completion of 60 credits from an accredited college or university
2. Active enrollment in college or university
3. Degree in Business, Marketing, Public Relations, Nonprofit Management, English, Communications, or a related field
...</t>
  </si>
  <si>
    <t>Intern**</t>
  </si>
  <si>
    <t>$17.28-$17.28 /h</t>
  </si>
  <si>
    <t>Co-Op - Scheduling</t>
  </si>
  <si>
    <t>Sunoco LP</t>
  </si>
  <si>
    <t>Fuel, Oil and Gas</t>
  </si>
  <si>
    <t>1. Position requires a strong set of interpersonal skills.</t>
  </si>
  <si>
    <t>Summer Analyst - US Institutional Sales</t>
  </si>
  <si>
    <t>1. Undergraduate degree required
2. Pursuing a Master of Business Administration, preferably with a focus in Finance
3. Prior experience in financial services and/or asset management a plus
...</t>
  </si>
  <si>
    <t>Summer Analyst - Strategic Partnerships &amp; Community Impact</t>
  </si>
  <si>
    <t>1. High school degree required.
2. Pursuing a degree with a concentration in Finance, Marketing, Economics or Business is desirable.
3. Prior internship experience in consulting, wealth or asset management experience a plus.
...</t>
  </si>
  <si>
    <t>Home Loan Internal Production - JR Home Loan Advisor</t>
  </si>
  <si>
    <t>Golden 1 Credit Union</t>
  </si>
  <si>
    <t>$22.09-$28 /h</t>
  </si>
  <si>
    <t>1. Associate’s degree or equivalent work experience in administrative function or Home Loan Production or Operations.
2. Two years or more years’ experience in Home Loan or Real Estate industry preferred.
3. Maintain knowledge of FNMA guidelines, ATR guidelines, HMDA, Home Loan and Equity products, policies, procedures and turn time goals.
...</t>
  </si>
  <si>
    <t>Business Development Fall 2024 Internship</t>
  </si>
  <si>
    <t>1. Must be a rising college senior (or junior), postgraduate student or non-student
2. Self-motivated, detail-oriented, multi-tasker, good organizational skills and ability to prioritize and meet deadlines in a fast-paced environment
3. Strong writing; write clear and persuasive copy, quickly
...</t>
  </si>
  <si>
    <t>College Financial Representative (Spring 2025)</t>
  </si>
  <si>
    <t>E-Commerce Intern</t>
  </si>
  <si>
    <t>1. College students or recent graduates
2. Interest in gaining career-related work experience in the beauty industry
3. Knowledge of E-Commerce platforms such as Shopify and Klaviyo</t>
  </si>
  <si>
    <t>Winter 2025 Titleist Golf Ball Fitting Intern</t>
  </si>
  <si>
    <t>Acushnet Rubber</t>
  </si>
  <si>
    <t>Sporting Goods</t>
  </si>
  <si>
    <t>1. Must have a personal vehicle to travel to and from events with supplies to conduct event.
2. Must be enrolled full time in a 2 or 4 year college</t>
  </si>
  <si>
    <t>Capital Markets Intern Program, Summer 2025</t>
  </si>
  <si>
    <t>1. Strong academic background, preferably in business or real estate
2. Current college junior or senior
3. Desire to work in the commercial real estate industry
...</t>
  </si>
  <si>
    <t>Praktikant International Business Development B2B (m/w/d)</t>
  </si>
  <si>
    <t>1. Du befindest Dich im Masterstudium – oder im Gap Year vor dem Masterstudium - zum Betriebswirtschaftler, studierst Marketing, oder einen vergleichbaren wirtschaftswissenschaftlichen Studiengang
2. Du bist kommunikationsstark und hast Spaß an der Arbeit im Team und mit externen Stakeholdern
3. Du verfügst über einen hohe Eigenmotivation und eine eigenständige Arbeitsweise
...</t>
  </si>
  <si>
    <t>Business Development &amp; Communications Intern</t>
  </si>
  <si>
    <t>Empower</t>
  </si>
  <si>
    <t>Charity, Finance</t>
  </si>
  <si>
    <t>$65-$65 /wk</t>
  </si>
  <si>
    <t>1. Detail-oriented and organized
2. Passionate to support EMpower's mission and learn about the nonprofit sector
3. Highly self-motivated and able to work autonomously
...</t>
  </si>
  <si>
    <t>Fall Intern - State Farm Agent Team Member</t>
  </si>
  <si>
    <t>Westland, MI</t>
  </si>
  <si>
    <t>1. Property and Casualty Insurance License
2. State Farm Agency Business Plan
3. Learning how to interview and prospect for sales representatives
...</t>
  </si>
  <si>
    <t>Sales Clerk INT 5796</t>
  </si>
  <si>
    <t>Sales Clerk INT 5797</t>
  </si>
  <si>
    <t>BBW Key Holder-INTERNATIONAL PLAZA</t>
  </si>
  <si>
    <t>1. Preferably an existing sales associate that aspires to a management role
2. Ability to foster a customer-focused selling culture
3. Demonstrated selling and operational results
...</t>
  </si>
  <si>
    <t>$800-$1500 depending on members met with</t>
  </si>
  <si>
    <t>1. Enrolling Essential Workers in permanent insurance benefits
2. Customizing programs to fit each family’s needs
3. Working in a team setting to acquire real life sales experience
...</t>
  </si>
  <si>
    <t>Fall Financial Representative Internship</t>
  </si>
  <si>
    <t>2L Summer Associate - All Offices</t>
  </si>
  <si>
    <t>Carlton Fields</t>
  </si>
  <si>
    <t>Legal</t>
  </si>
  <si>
    <t>$2600-$3700 /wk</t>
  </si>
  <si>
    <t>1. Rising 2Ls
2. Interested in a variety of robust litigation, regulatory, and transactional practices
3. Strong work ethic
...</t>
  </si>
  <si>
    <t>Accelerate Sales Analyst</t>
  </si>
  <si>
    <t>1. A collaborative team player who is comfortable asking questions and providing unique solutions
2. Someone who is outgoing and takes initiative
3. Has the ability to work independently and can see a task completed to delivery
...</t>
  </si>
  <si>
    <t>Animal Health International - Inside Sales Rep</t>
  </si>
  <si>
    <t>Patterson Companies</t>
  </si>
  <si>
    <t>Sioux Center, IA</t>
  </si>
  <si>
    <t>1. Associate’s Degree in Animal Science, Ag, Ag Business or related fields, or equivalent work experience
2. Proven customer service and organization skills
3. Measurable accuracy and strong attention to detail
...</t>
  </si>
  <si>
    <t>Donor Relations and Data Entry Intern-Fall 2024</t>
  </si>
  <si>
    <t>1. Creative writing and editing skills
2. Strong attention to detail
3. Proficiency with Microsoft 365 applications
...</t>
  </si>
  <si>
    <t>Sales Development Representative (start immediately)</t>
  </si>
  <si>
    <t>VG SALES</t>
  </si>
  <si>
    <t>1. College graduate (or graduating in May 2024) with a bachelor’s degree or equivalent
2. Organized and creative
3. Growth mindset
...</t>
  </si>
  <si>
    <t>Real Estate Development Co-Op (Nashville) - Spring 2025</t>
  </si>
  <si>
    <t>1. Pursuing a Bachelor’s degree in Real Estate Development
2. Candidates must be proficient in Microsoft Office 365.</t>
  </si>
  <si>
    <t>Distribution Development Trainee</t>
  </si>
  <si>
    <t>Dakota Supply</t>
  </si>
  <si>
    <t>1. Graduate of a 4-year program
2. Strong commitment to growing and developing your skills and product knowledge
3. Excellent relationship building skills
...</t>
  </si>
  <si>
    <t>LeadRush Labs</t>
  </si>
  <si>
    <t>1. No sales experience is needed, but a hunger for learning, coaching, and excellence.
2. Grit: Can persist through challenges, and has the perseverance and drive to achieve high results
3. An enterprising personality: Have the resourcefulness, initiative, and drive to recognize opportunities, and the motivation to make the most of them.
...</t>
  </si>
  <si>
    <t>Financial Sales Intern - Internship Fall 2024 (Paid)</t>
  </si>
  <si>
    <t>1. Full-time student
2. Strong academic performance and active involvement in clubs/organizations
3. Devoted work ethic
...</t>
  </si>
  <si>
    <t>FALL 2024: Financial Representative Internship (Part-Time)</t>
  </si>
  <si>
    <t>1. Full-time students; juniors and seniors preferred
2. Entrepreneurial and curiosity for sales
3. Highly involved on campus (leader, campus orgs, student government, etc)
...</t>
  </si>
  <si>
    <t>1. Full-time students
2. Entrepreneurial and curiosity for sales
3. Highly involved on campus (leader, campus orgs, student government, etc)
...</t>
  </si>
  <si>
    <t>Fall Intern, Account Management (Sales)</t>
  </si>
  <si>
    <t>1. Be at least a Junior pursuing a degree in marketing, business, or a related field with a minimum GPA of 3.0
2. Comfortable with working independently in an empowering, fast-paced, results-oriented culture</t>
  </si>
  <si>
    <t>Fall Intern, Sales Coordinator</t>
  </si>
  <si>
    <t>1. Currently enrolled in an accredited degree program, Sales or Marketing major
2. Experience with Microsoft Office applications
3. Prior experience working in a sales environment a plus
...</t>
  </si>
  <si>
    <t>Greenwich, CT</t>
  </si>
  <si>
    <t>1. Junior or Senior in a Marketing, Business Management, or related program.
2. Coursework or experience relating to: marketing, communications, business management.
3. Previous experience with customer service.
...</t>
  </si>
  <si>
    <t>Part-Time Sales Associate</t>
  </si>
  <si>
    <t>Camas, WA</t>
  </si>
  <si>
    <t>1. Enrolled college student pursuing a Bachelor's or Associates degree
2. No prior sales experience required
3. Commute to the Camas, WA office
...</t>
  </si>
  <si>
    <t>$22-$22 Hour</t>
  </si>
  <si>
    <t>Co-op, Business Development (Posting)</t>
  </si>
  <si>
    <t>$16-$21 /h</t>
  </si>
  <si>
    <t>1. Currently attending an accredited college or university
2. 3.0 cumulative GPA or higher
3. Proficient in understanding databases and analyzing data
...</t>
  </si>
  <si>
    <t>Financial Planning Representative Intern</t>
  </si>
  <si>
    <t>Associate Investment Advisor</t>
  </si>
  <si>
    <t>Investment Consulting Group of Birmingham Michigan</t>
  </si>
  <si>
    <t>Birmingham, MI</t>
  </si>
  <si>
    <t>1. An understating of our marketing platform.
2. Assisting in social media marketing efforts (LinkedIn, Facebook, Instagram).
3. Prospecting for new business using our marketing platform.
...</t>
  </si>
  <si>
    <t>1. Full-time student; juniors and seniors preferred
2. Entrepreneurial ambitions and curiosity for sales
3. Highly involved on campus (leader, athlete, campus orgs, student government, etc)
...</t>
  </si>
  <si>
    <t>Fisher Investments</t>
  </si>
  <si>
    <t>Sales Intern (CHI)</t>
  </si>
  <si>
    <t>Business Development Associate (Intern to Hire)</t>
  </si>
  <si>
    <t>InsightSoftware</t>
  </si>
  <si>
    <t>Accounting, Analytics</t>
  </si>
  <si>
    <t>1. Previous successful sales experience OR a strong desire to begin a sales career
2. A disciplined approach to daily activity planning, setting goals, and achieving results
3. The desire to meet and exceed measurable performance goals
...</t>
  </si>
  <si>
    <t>New Business Representative - College Program (Part Time)</t>
  </si>
  <si>
    <t>MassMutual Ascend</t>
  </si>
  <si>
    <t>1. At least a high school diploma or equivalent
2. Currently enrolled in a college or university pursuing an associate or bachelor's degree
3. Able to work 20 hours per week during normal business hours</t>
  </si>
  <si>
    <t>Development &amp; Acquisitions Intern - Fall Semester 2024 - Phoenix, AZ</t>
  </si>
  <si>
    <t>Fall 2024 Microenterprise Development (MED) Intern</t>
  </si>
  <si>
    <t>1. Strong interest in working with international clients
2. Proven ability to work with consideration and respect for cross-cultural differences
3. Excellent communication and organization skills
...</t>
  </si>
  <si>
    <t>Endevor</t>
  </si>
  <si>
    <t>Asset Management, Information Technology</t>
  </si>
  <si>
    <t>1. College experience, pursuing a degree in Business, Finance, Economics, Computer Science or related fields.
2. Highly proficient in Microsoft tools, especially Excel.
3. General understanding and experience with CRM applications and report building.
...</t>
  </si>
  <si>
    <t>College Financial Representative Internship (Training + Mentorship Provided)</t>
  </si>
  <si>
    <t>College Financial Representative Development Program</t>
  </si>
  <si>
    <t>1. US work authorization is required
2. Full-time student</t>
  </si>
  <si>
    <t>Customer Service + Direct Sales College Student</t>
  </si>
  <si>
    <t>BoxUp</t>
  </si>
  <si>
    <t>E-Commerce, Packaging Services</t>
  </si>
  <si>
    <t>1. College student
2. Part-time availability
3. Majoring in Sales, graphic design, marketing, or a business field
...</t>
  </si>
  <si>
    <t>1. Must live in or attend college in Central Ohio.
2. Be knowledgeable about Northwestern Mutual financial products and financial market trends.
3. Build and maintain client bases, keep current client financial plans up-to-date, and build a portfolio of new clients on an ongoing basis.
...</t>
  </si>
  <si>
    <t>1. Full-time student: SENIORS GRADUATING FALL 24 ONLY
2. Entrepreneurial and curiosity for sales
3. Highly involved on campus (leader, campus orgs, student government, etc)
...</t>
  </si>
  <si>
    <t>CRE Sales Intern</t>
  </si>
  <si>
    <t>Greysteel</t>
  </si>
  <si>
    <t>1. Demonstrated interest in pursuing a brokerage career in commercial real estate.
2. Currently pursuing a bachelor’s or master’s degree in real estate, finance, entrepreneurship, or related field study – and will be an active student (enrolled in classes) at the time of the internship session.
3. Confirmed eligibility to receive course credit for internship through enrolled university.
...</t>
  </si>
  <si>
    <t>Nationally Ranked Internship: Financial Representative (Fall 2024 internship)</t>
  </si>
  <si>
    <t>1. Strive to understand clients' goals and visions to uncover financial solutions
2. Develop rapport with clients and foster long-term relationships
3. Be knowledgeable about financial products and financial market trends
...</t>
  </si>
  <si>
    <t>Wealth Management Associate Internship FALL 2024 ( PAID )</t>
  </si>
  <si>
    <t>West Hartford, CT</t>
  </si>
  <si>
    <t>1. Obtain Life, Accident, &amp; Health License for the state of Connecticut (Financed by Northwestern Mutual) with opportunity to obtain Series 6 and 63 licenses.
2. Attend personal and professional training and development sessions
3. Build your own (daily) schedule to meet with prospects and clients at your convenience
...</t>
  </si>
  <si>
    <t>Intern-Avalanche Ticket Sales</t>
  </si>
  <si>
    <t>1. High School or GED
2. Currently pursuing a college degree
3. Applicants must meet minimum qualifications at the time of hire.</t>
  </si>
  <si>
    <t>Dishefs</t>
  </si>
  <si>
    <t>Food and Beverage, Food Delivery</t>
  </si>
  <si>
    <t>1. Actively pursuing a degree in Business, Marketing, Sales, or a related field
2. Has a strong interest in technology, sales, and the restaurant industry
3. Possesses excellent communication and interpersonal skills
...</t>
  </si>
  <si>
    <t>$14.15-$15.1 /h</t>
  </si>
  <si>
    <t>Hilo, HI</t>
  </si>
  <si>
    <t>US International Expansion Specialist</t>
  </si>
  <si>
    <t>bunq</t>
  </si>
  <si>
    <t>$95238-$115104 /yr</t>
  </si>
  <si>
    <t>1. Excellent understanding of local North American markets and different regulations relevant to banking
2. Deep knowledge of different setups and regulatory structures in North American markets
3. Defining and executing a local setup strategy / bunq roll-out playbook
...</t>
  </si>
  <si>
    <t>Field Sales Intern</t>
  </si>
  <si>
    <t>Simpson Strong-Tie Company</t>
  </si>
  <si>
    <t>Building Material, Customer Service</t>
  </si>
  <si>
    <t>$11.73-$17.60 /h</t>
  </si>
  <si>
    <t>1. High School Diploma or GED required
2. Pursuing a Bachelor’s Degree in construction management, engineering, business or marketing
3. Familiarity with construction terms and processes is desirable
...</t>
  </si>
  <si>
    <t>Overland, MO</t>
  </si>
  <si>
    <t>$14.09-$21.15 /h</t>
  </si>
  <si>
    <t>$12.64-$18.99 /h</t>
  </si>
  <si>
    <t>Intern - Account Executive</t>
  </si>
  <si>
    <t>1. 1 year of college completed towards a BA/BS degree in business or related field, and 1 year of school remaining.
2. Proven ability to work on a team or operate independently and prioritize job duties.
3. Outstanding interpersonal, oral, and written communication skills.
...</t>
  </si>
  <si>
    <t>Palmdale, CA</t>
  </si>
  <si>
    <t>Jacksonville, NC</t>
  </si>
  <si>
    <t>Ashland, KY</t>
  </si>
  <si>
    <t>Loveland, CO</t>
  </si>
  <si>
    <t>1. In pursuit of a Bachelor's degree from a four-year college or university in relevant field of study; no prior experience or training necessary.
2. Physical ability to lift and maneuver 30 lbs throughout the store and backroom.
3. Specific vision abilities required by this job include close vision, distance vision, color vision, peripheral vision, depth perception and ability to adjust focus.</t>
  </si>
  <si>
    <t>Greenwood, IN</t>
  </si>
  <si>
    <t>1. In pursuit of a Bachelor's degree from a four-year college or university in relevant field of study; no prior experience or training necessary.
2. Physical ability to lift and maneuver 30lbs throughout the store and backroom.
3. Regularly required to stand; walk; use hands to finger, handle, or feel; reach with hands and arms; climb or balance and jump; stoop, kneel, crouch, or crawl and talk or hear.
...</t>
  </si>
  <si>
    <t>Kalispell, MT</t>
  </si>
  <si>
    <t>Lufkin, TX</t>
  </si>
  <si>
    <t>Woodbury, MN</t>
  </si>
  <si>
    <t>Scottsbluff, NE</t>
  </si>
  <si>
    <t>$13-$15 /h</t>
  </si>
  <si>
    <t>Pineville, NC</t>
  </si>
  <si>
    <t>Hutchinson, KS</t>
  </si>
  <si>
    <t>Stephenville, TX</t>
  </si>
  <si>
    <t>Wesley Chapel, FL</t>
  </si>
  <si>
    <t>Boardman, OH</t>
  </si>
  <si>
    <t>Houma, LA</t>
  </si>
  <si>
    <t>Carbondale, IL</t>
  </si>
  <si>
    <t>Bridgeport, WV</t>
  </si>
  <si>
    <t>1. In pursuit of a Bachelor's degree from a four-year college or university in relevant field of study; no prior experience or training necessary.
2. Physical ability to lift and maneuver 30 lbs throughout the store and backroom.
3. Ability to work a flexible schedule, which may include mornings, evenings, and weekends, and the day of/day after Thanksgiving and Christmas, based upon store and business needs.
...</t>
  </si>
  <si>
    <t>Fort Gratiot, MI</t>
  </si>
  <si>
    <t>Garden City, KS</t>
  </si>
  <si>
    <t>Bristol, TN</t>
  </si>
  <si>
    <t>Hurst, TX</t>
  </si>
  <si>
    <t>1. Attend training sessions on the different departments within MMA and the insurance industry.
2. Assist with the research and development of sales presentations and preparations for client meetings.
3. Assist in performing day-to-day administrative duties.
...</t>
  </si>
  <si>
    <t>Partnerships Executive</t>
  </si>
  <si>
    <t>Fospha Marketing</t>
  </si>
  <si>
    <t>Internet, Marketing</t>
  </si>
  <si>
    <t>1. Collaboration: You like working with others and are capable of fostering strong partnerships.
2. Communication: Excellent communication skills are essential for coordinating across teams and ensuring all partners are aligned with our objectives.
3. Problem Solving: Ability to handle inquiries and potential issues with effective solutions, providing timely responses when additional information is needed.
...</t>
  </si>
  <si>
    <t>Victor, NY</t>
  </si>
  <si>
    <t>St Clairsville, OH</t>
  </si>
  <si>
    <t>Farmington, UT</t>
  </si>
  <si>
    <t>Altoona, PA</t>
  </si>
  <si>
    <t>Logistics Account Manager Associate - Internship Fall 2024</t>
  </si>
  <si>
    <t>Scotlynn Group</t>
  </si>
  <si>
    <t>1. Full-time or part-time Business Student, preferably Junior or Senior with a minimum 3.0 GPA
2. Enthusiastic and with desire to develop sales skills
3. Strong time management and communication skills</t>
  </si>
  <si>
    <t>Coralville, IA</t>
  </si>
  <si>
    <t>Mason City, IA</t>
  </si>
  <si>
    <t>Estero, FL</t>
  </si>
  <si>
    <t>Southlake, TX</t>
  </si>
  <si>
    <t>Buford, GA</t>
  </si>
  <si>
    <t>Team Logic</t>
  </si>
  <si>
    <t>1. A strong personal presence and sincere interest in helping clients
2. Excellent communication and interpersonal skills
3. Strong analytical and problem-solving skills
...</t>
  </si>
  <si>
    <t>Des Peres, MO</t>
  </si>
  <si>
    <t>Mankato, MN</t>
  </si>
  <si>
    <t>Merrillville, IN</t>
  </si>
  <si>
    <t>Maple Grove, MN</t>
  </si>
  <si>
    <t>Sales and Management Intern (Fairfield Commons)</t>
  </si>
  <si>
    <t>Barboursville, WV</t>
  </si>
  <si>
    <t>Stillwater, OK</t>
  </si>
  <si>
    <t>Farmington, NM</t>
  </si>
  <si>
    <t>Sterling, CO</t>
  </si>
  <si>
    <t>Sales and Management Intern (The Shops At Perry Crossing)</t>
  </si>
  <si>
    <t>Plainfield, IN</t>
  </si>
  <si>
    <t>Santa Rosa, CA</t>
  </si>
  <si>
    <t>$17.45-$20 /h</t>
  </si>
  <si>
    <t>1. In pursuit of a Bachelor's degree from a four-year college or university in relevant field of study; no prior experience or training necessary.
2. Physical ability to lift and maneuver 30 lbs throughout the store and backroom.
3. Interested in long-term commitment with Buckle.</t>
  </si>
  <si>
    <t>Kennewick, WA</t>
  </si>
  <si>
    <t>Sales and Management Intern (Woodland Mall)</t>
  </si>
  <si>
    <t>1. In pursuit of a Bachelor's degree from a four-year college or university in relevant field of study; no prior experience or training necessary.
2. Physical ability to lift and maneuver 30lbs throughout the store and backroom.
3. Ability to work a flexible schedule, which may include mornings, evenings, and weekends, and the day of/day after Thanksgiving and Christmas, based upon store and business needs.</t>
  </si>
  <si>
    <t>Riverton, UT</t>
  </si>
  <si>
    <t>Medford, OR</t>
  </si>
  <si>
    <t>Cedar Hill, TX</t>
  </si>
  <si>
    <t>Fredericksburg, VA</t>
  </si>
  <si>
    <t>Niles, OH</t>
  </si>
  <si>
    <t>Sales and Management Intern (Elmwood Shopping Center)</t>
  </si>
  <si>
    <t>Fairview Heights, IL</t>
  </si>
  <si>
    <t>Salina, KS</t>
  </si>
  <si>
    <t>Cedar Falls, IA</t>
  </si>
  <si>
    <t>Douglasville, GA</t>
  </si>
  <si>
    <t>St Peters, MO</t>
  </si>
  <si>
    <t>Bloomington, IN</t>
  </si>
  <si>
    <t>Florence, AL</t>
  </si>
  <si>
    <t>Amarillo, TX</t>
  </si>
  <si>
    <t>Orange Park, FL</t>
  </si>
  <si>
    <t>Piqua, OH</t>
  </si>
  <si>
    <t>Grapevine, TX</t>
  </si>
  <si>
    <t>Greensburg, PA</t>
  </si>
  <si>
    <t>Katy, TX</t>
  </si>
  <si>
    <t>Poplar Bluff, MO</t>
  </si>
  <si>
    <t>Liberal, KS</t>
  </si>
  <si>
    <t>Lone Tree, CO</t>
  </si>
  <si>
    <t>$14.42-$18 /h</t>
  </si>
  <si>
    <t>SkillBridge Intern - Customer Success Manager, GEMSS</t>
  </si>
  <si>
    <t>Iron Bow</t>
  </si>
  <si>
    <t>1. Eligible for a SkillBridge Internship
2. Bachelor’s degree is strongly preferred
3. Requires a technology background (networking or software related) and customer-facing experience
...</t>
  </si>
  <si>
    <t>Account Development Intern</t>
  </si>
  <si>
    <t>Windfall</t>
  </si>
  <si>
    <t>Analytics, Computer</t>
  </si>
  <si>
    <t>1. Currently enrolled in college or university pursuing a Bachelor's degree (preference will be given to candidates entering their senior year)
2. Comfort learning new technology or prior experience with our sales tools (e.g. Salesforce, Zoominfo, and SalesNav)
3. High attention to detail and comfortable working with data in spreadsheets
...</t>
  </si>
  <si>
    <t>Sales Intern (CLT)</t>
  </si>
  <si>
    <t>Development Operations Assistant (Student)</t>
  </si>
  <si>
    <t>1. High School diploma or equivalent
2. Students pursuing an undergraduate or graduate degree
3. 1-3 years of relevant experience
...</t>
  </si>
  <si>
    <t>Lead Development Representative (LDR) - INTERN</t>
  </si>
  <si>
    <t>Zuddl</t>
  </si>
  <si>
    <t>Digital Media, Events</t>
  </si>
  <si>
    <t>1. Fresh Perspective: We're looking for fresh minds who are excited to jump into the world of sales and learn new things.
2. Internship Experience: If you've already done an internship in sales, that's a big plus! It means you've got a taste of what this role is about.
3. Proactive Attitude: We want someone who takes the lead, doesn't wait to be told what to do, and is eager to contribute.
...</t>
  </si>
  <si>
    <t>Sales Operations Intern - GuidePoint Security University</t>
  </si>
  <si>
    <t>1. High school diploma (GED) required
2. Prior experience in Customer Relationship Management (CRM) software required
3. Intermediate level experience with Microsoft Office and Internet navigation
...</t>
  </si>
  <si>
    <t>New Business Development and Knowledge Management Intern, Fall 2024</t>
  </si>
  <si>
    <t>Banyan Global</t>
  </si>
  <si>
    <t>1. High school diploma or GED.
2. Strong organizational skills, ability to multi-task, and strong attention to detail.
3. Interest and relevant coursework/extracurricular experience in international development.
...</t>
  </si>
  <si>
    <t>Sales Engineer – Co-op</t>
  </si>
  <si>
    <t>HTS</t>
  </si>
  <si>
    <t>1. Extremely high technical aptitude and desire to learn and become an expert
2. Love for selling with grit and perseverance
3. Entrepreneurial drive and desire to succeed
...</t>
  </si>
  <si>
    <t>$800-$1500 /wk</t>
  </si>
  <si>
    <t>1. Fully remote sales representative intern in the financial services industry
2. Paid internship
3. Potential to become a full-time position upon graduation
...</t>
  </si>
  <si>
    <t>1. Full-time availability from mid-June through the end of July (6 weeks)
2. Ability to work under close supervision and performance monitoring
3. Interest in progressing into a sales position upon graduation
...</t>
  </si>
  <si>
    <t>KERING EYEWEAR Sales Brand Ambassador Intern</t>
  </si>
  <si>
    <t>Kering Eyewear</t>
  </si>
  <si>
    <t>Eyewear, Fashion</t>
  </si>
  <si>
    <t>1. Current Senior or recent graduation (with the past year) with a degree in Sales, Business Management, Economics, Marketing, or similar fields
2. Passion for luxury and fashion
3. A dynamic, proactive, passionate, enthusiastic, and curious individual, fast learner and committed to teamwork, with the ability to multitask in a fast-paced environment
...</t>
  </si>
  <si>
    <t>Retail Management Intern</t>
  </si>
  <si>
    <t>1. Actively working toward the obtainment of a 2 or 4-year degree
2. Possess high aptitude for learning a variety of tasks
3. Knowledgeable with Microsoft Office products
...</t>
  </si>
  <si>
    <t>Wanderlust Coordinator Remote</t>
  </si>
  <si>
    <t>Go See this World</t>
  </si>
  <si>
    <t>Columbia, WA</t>
  </si>
  <si>
    <t>1. Love for travel
2. Must be 18+ Years of Age
3. Must be legally Authorized to work in the U.S.</t>
  </si>
  <si>
    <t>College Aide - Employer Engagement and Partnerships</t>
  </si>
  <si>
    <t>$16.50-$20.90 /h</t>
  </si>
  <si>
    <t>Charleston-Huntington</t>
  </si>
  <si>
    <t>1. Must be a full-time college student
2. Entrepreneurial and curiosity for sales
3. Highly involved on campus (leader, campus orgs, student government, etc)
...</t>
  </si>
  <si>
    <t>Wholesale Sales Intern - Fall 2024</t>
  </si>
  <si>
    <t>PAIGE</t>
  </si>
  <si>
    <t>1. Must be able to receive credit
2. Must be available 2-3 days per week in person
3. High interest in fashion/wholesale industry
...</t>
  </si>
  <si>
    <t>Sales Clerk Leader PT 5783</t>
  </si>
  <si>
    <t>$18.84-$18.84 /h</t>
  </si>
  <si>
    <t>1. Prior retail experience in inventory control and sales.
2. Ability to routinely lift 25 pounds or more and stand for long periods of time.
3. Computer experience is required.</t>
  </si>
  <si>
    <t>Summer Seasonal Associate - Orange Park</t>
  </si>
  <si>
    <t>Belk</t>
  </si>
  <si>
    <t>Fort Meade, FL</t>
  </si>
  <si>
    <t>1. Availability: Sunday, July 14th, 2024 – Saturday, August 3rd, 2024
2. Proactively greets and engages customers in a professional and friendly way
3. Maintains Belk professional dress standards and appearance
...</t>
  </si>
  <si>
    <t>Remote Travel Agency Entrepreneur</t>
  </si>
  <si>
    <t>Archer Travel Group</t>
  </si>
  <si>
    <t>1. No cold calling required
2. Travel agent certification training is included at no extra cost
3. Benefit from a proven training program designed for success
...</t>
  </si>
  <si>
    <t>Territory Manager - Baton Rouge, LA</t>
  </si>
  <si>
    <t>Elevation Capital</t>
  </si>
  <si>
    <t>Consumer, Enterprise</t>
  </si>
  <si>
    <t>LA</t>
  </si>
  <si>
    <t>1. High school diploma or GED</t>
  </si>
  <si>
    <t>Territory Manager - Tampa, FL</t>
  </si>
  <si>
    <t>Territory Manager - St. Louis, MO</t>
  </si>
  <si>
    <t>St. Louis, MO</t>
  </si>
  <si>
    <t>Summer Seasonal Associate - Northlake Mall</t>
  </si>
  <si>
    <t>Ausbildung zum Kaufmann im Einzelhandel (m/w/d)</t>
  </si>
  <si>
    <t>KiK</t>
  </si>
  <si>
    <t>Fashion, Retail</t>
  </si>
  <si>
    <t>Flensburg, MN</t>
  </si>
  <si>
    <t>1. Fachoberschulreife
2. Lernbereitschaft und Eigeninitiative
3. Organisationstalent
...</t>
  </si>
  <si>
    <t>Norden, SD</t>
  </si>
  <si>
    <t>Comptable (H/F) en alternance</t>
  </si>
  <si>
    <t>ISIFA PLUS VALUES CFA</t>
  </si>
  <si>
    <t>1. Lycéen / étudiant de niveau Bac
2. Formation dans le domaine de la Comptabilité et de la Gestion
3. Inscription dans un DCG - Diplôme de Comptabilité et de Gestion</t>
  </si>
  <si>
    <t>$8-$16 /h</t>
  </si>
  <si>
    <t>1. Sales Experience Preferred
2. Successful Track Record for Meeting Sales Goals Preferred
3. Excellent Communication Skills – Written, Verbal, and Auditory
...</t>
  </si>
  <si>
    <t>Spirits Industry Apprentice</t>
  </si>
  <si>
    <t>Nedaj Vodka</t>
  </si>
  <si>
    <t>1. Minimum age of 21
2. Enrolled in a 4-year college bachelor's degree program
3. Available for remote work for 4-5 weeks</t>
  </si>
  <si>
    <t>Mobile Expert for Metro by T-Mobile -CANTON RD</t>
  </si>
  <si>
    <t>Xclusive Trading</t>
  </si>
  <si>
    <t>Electronics, Telecommunications</t>
  </si>
  <si>
    <t>1. No prior experience required. Training will be provided and paid.
2. Bilingual Preferred
3. Wireless knowledge and/or sales experience
...</t>
  </si>
  <si>
    <t>Werkstudent im Bereich Sales (m/w/d)</t>
  </si>
  <si>
    <t>CEE Group</t>
  </si>
  <si>
    <t>1. Fortgeschrittenes Studium der Wirtschaftswissenschaften, Betriebswirtschaftslehre oder eines vergleichbaren Studiengangs
2. Du hast bereits erste Erfahrungen durch Praktika oder Werkstudententätigkeiten gesammelt
3. Du hast Interesse an Finanz, Wirtschafts- und Kommunikationsthemen, ein grundlegendes Verständnis betriebswirtschaftlicher Zusammenhänge zeichnen dich ebenso aus
...</t>
  </si>
  <si>
    <t>User Management and Sales Intern</t>
  </si>
  <si>
    <t>1. Bachelors or Masters degree in communication, marketing, or any related majors
2. Understand and be able to use data to support business decisions
3. Versatility in focus and coordination with other team members
...</t>
  </si>
  <si>
    <t>Athletics Ticket Office Intern</t>
  </si>
  <si>
    <t>1. Associate’s Degree required.
2. Strong financial accounting ability.
3. Strong organizational, interpersonal, oral communication and computer skills needed.
...</t>
  </si>
  <si>
    <t>Apparel and Merchandise Assistant</t>
  </si>
  <si>
    <t>1. Currently enrolled undergraduate student at Auburn University
2. Be available to work home football game days
3. The ability to stand for 4 hours at a time</t>
  </si>
  <si>
    <t>TekRevol</t>
  </si>
  <si>
    <t>Android, Application Performance Management</t>
  </si>
  <si>
    <t>1. Bachelor's degree in Marketing, Business Administration, or a related field is preferred
2. Excellent communication skills, both verbal and written, with a strong emphasis on email communication
3. Strong organizational and time management skills, with the ability to manage multiple projects and priorities simultaneously
...</t>
  </si>
  <si>
    <t>Summer 2025 Risk Management Intern</t>
  </si>
  <si>
    <t>Sterling Seacrest Pritchard</t>
  </si>
  <si>
    <t>1. Currently enrolled in a college or university program
2. Ability to work full-time (40 hours per week) for the duration of the internship
3. Strong communication skills, both written and verbal
...</t>
  </si>
  <si>
    <t>Sales &amp; Marketing Co-op (Fall 2024)</t>
  </si>
  <si>
    <t>JBM Packaging</t>
  </si>
  <si>
    <t>1. Pursuing a B.S. in Business, Marketing, or related degree.
2. Eagerness to learn and passion for continuous improvement.
3. Responsible and flexible in a fast-paced environment.
...</t>
  </si>
  <si>
    <t>Seasonal Associate, Business Development and Capture</t>
  </si>
  <si>
    <t>ICF Next</t>
  </si>
  <si>
    <t>$32591-$55405 /yr</t>
  </si>
  <si>
    <t>1. Currently pursuing a Bachelor’s degree with an anticipated graduation of December 2024 or later.</t>
  </si>
  <si>
    <t>Intern- Merch Buying- Fall 2024</t>
  </si>
  <si>
    <t>USA, FL, St Petersburg</t>
  </si>
  <si>
    <t>1. Must be a Junior, Senior, or Graduate student enrolled in an accredited college, university, or master's program.
2. Completed at least 4 semesters.</t>
  </si>
  <si>
    <t>$70000-$100000 uncapped commission</t>
  </si>
  <si>
    <t>1. Self-starter and results-driven
2. Great communication skills
3. Ability to commute/relocate to New York, NY 10005 before starting work</t>
  </si>
  <si>
    <t>POOL: Catalyst Entrepreneur Cohort</t>
  </si>
  <si>
    <t>1. Must be a KU student enrolled in at least 6 credit hours.
2. Proficient in Microsoft Office Suite including, PowerPoint, Excel and Word.
3. Must have an idea for a new venture – the venture itself does not have to be operating yet, but it could be.
...</t>
  </si>
  <si>
    <t>Intern, Sales Analyst</t>
  </si>
  <si>
    <t>1. Demonstrate eagerness for CPG (preferably beauty) and supporting major accounts
2. Self-motivated, goal oriented, desire to deliver results
3. Fast learner, quick thinker
...</t>
  </si>
  <si>
    <t>B2B Sales Development Internship Program</t>
  </si>
  <si>
    <t>1. Undergraduate student – at least junior standing as of June 2018
2. Identified leadership capability – academics, athletics and/or extra-curricular activities
3. Strong interest in a sales career after graduation
...</t>
  </si>
  <si>
    <t>Sales Clerk Leader FT 5778</t>
  </si>
  <si>
    <t>$19.43-$19.43 /h</t>
  </si>
  <si>
    <t>1. Prior retail experience in inventory control and sales.
2. Ability to routinely lift 25 pounds or more and stand for long periods of time.</t>
  </si>
  <si>
    <t>Sales Clerk INT 5779</t>
  </si>
  <si>
    <t>Cape May, NJ</t>
  </si>
  <si>
    <t>Paid Commercial Real Estate Agent Internship</t>
  </si>
  <si>
    <t>Boston City Properties</t>
  </si>
  <si>
    <t>$small-$20,000-30,000+ /wk</t>
  </si>
  <si>
    <t>1. Massachusetts real estate license or currently attending the MA real estate class
2. Ability to help with showings, answer calls, and interact with buyers/sellers/renters
3. Willingness to work in both Boston and Amherst MA offices
...</t>
  </si>
  <si>
    <t>SkillBridge Account Executive Internship</t>
  </si>
  <si>
    <t>Inkit</t>
  </si>
  <si>
    <t>Document Management, Document Preparation</t>
  </si>
  <si>
    <t>1. Military Background: 4-6+ years of service as a Non-Commissioned Officer or Junior Military Officer, demonstrating leadership, accountability, and a capacity for acquiring new competencies relevant to sales.
2. Intrinsic Motivation: Exhibits a strong internal drive and commitment to excel, in alignment with Inkit's mission to redefine document automation.
3. Exceptional Communicator: Distinguished ability to communicate effectively, both in writing and verbally, with a talent for nurturing stakeholder relationships across diverse sectors.</t>
  </si>
  <si>
    <t>SkillBridge BDR Internship</t>
  </si>
  <si>
    <t>1. Military Experience: A minimum of 3 years of service, showcasing leadership, responsibility, and adaptability, with a keen interest in transitioning to a sales career.
2. Ambition and Initiative: Strong desire to excel, aligning with Inkit's vision of leading document automation innovation.
3. Communication Excellence: Outstanding ability to articulate ideas, listen attentively, and maintain meaningful relationships across various sectors, showcasing exceptional writing and speaking skills.</t>
  </si>
  <si>
    <t>Very Great</t>
  </si>
  <si>
    <t>1. High attention to detail and excellent written and verbal communication skills
2. Passion for consumer / retail brands with an eagerness to learn sales within the wholesale industry
3. Thrives in a fast-paced environment and can prioritize workload based deadlines
...</t>
  </si>
  <si>
    <t>College Financial Representative- Fall 2024</t>
  </si>
  <si>
    <t>1. Authorized to work in the US
2. A Full-time student (at least 12 credit hours)
3. Involved on campus or in a community (leader, campus organizations, student gov., etc.)
...</t>
  </si>
  <si>
    <t>Mobile Expert for Metro by T-Mobile - GEORGETOWN</t>
  </si>
  <si>
    <t>Georgetown, TX</t>
  </si>
  <si>
    <t>Mobile Expert for Metro by T-Mobile - KYLE</t>
  </si>
  <si>
    <t>Kyle, TX</t>
  </si>
  <si>
    <t>1. No prior experience required. Training will be provided and paid.
2. Bilingual Preferred
3. High school or equivalent (Preferred)
...</t>
  </si>
  <si>
    <t>Mobile Expert for Metro by T-Mobile - AIRPORT</t>
  </si>
  <si>
    <t>Mobile Expert for Metro by T-Mobile - GEORGIA</t>
  </si>
  <si>
    <t>$12-$13 /h</t>
  </si>
  <si>
    <t>Mobile Expert for Metro by T-Mobile - AMARILLO</t>
  </si>
  <si>
    <t>$11-$13 /h</t>
  </si>
  <si>
    <t>Mobile Expert for Metro by T-Mobile - 4600 WASHINGTON</t>
  </si>
  <si>
    <t>1. Bilingual Preferred
2. Wireless knowledge and/or sales experience
3. Outstanding communication and people skills
...</t>
  </si>
  <si>
    <t>Mobile Expert for Metro by T-Mobile - N STATE</t>
  </si>
  <si>
    <t>1. No prior experience required
2. Bilingual Preferred
3. High school or equivalent (Preferred)
...</t>
  </si>
  <si>
    <t>Houston Texas United States</t>
  </si>
  <si>
    <t>1. Interested in commodity markets
2. Obtaining a Bachelor’s or Master’s degree (graduating in December 2025 or June 2026)
3. Excited to work in our Houston office
...</t>
  </si>
  <si>
    <t>1. Must be pursuing a business, computer science or engineering related degree
2. Experienced in data analytics and data mining
3. Must understand solar photovoltaic technology
...</t>
  </si>
  <si>
    <t>B2C Sales Development Representative (Part-Time)</t>
  </si>
  <si>
    <t>Mallard Bay</t>
  </si>
  <si>
    <t>Hunting, Information Technology</t>
  </si>
  <si>
    <t>1. Demonstrated Interest or Experience in sales, whether through other internships, jobs, or coursework.  Preference will be given to experience over coursework.
2. Track record of over-achieving quota
3. Hunting or Fishing domain expertise
...</t>
  </si>
  <si>
    <t>Area Sales Associate (On Field)</t>
  </si>
  <si>
    <t>Haptik</t>
  </si>
  <si>
    <t>1. Completed Bachelor's or Master's degree program, preferably in Business, Marketing, or a related field.
2. Available for a 6-month contract commitment.
3. Proficient in Microsoft Office Suite and CRM tools.</t>
  </si>
  <si>
    <t>Partnership Development Internship</t>
  </si>
  <si>
    <t>1. You've had internships before, preferably with a focus on partnership development or marketing
2. You have experience working in HubSpot
3. You're dogged and organized
...</t>
  </si>
  <si>
    <t>1. Bachelor's degree in Business Administration, Marketing, or related field.
2. Proven experience in business development, sales, or a similar role.
3. Strong analytical and problem-solving skills with the ability to interpret complex data.
...</t>
  </si>
  <si>
    <t>NEW YORK</t>
  </si>
  <si>
    <t>1. Dedicated to customer service
2. Able to achieve mutually agreed upon marketing goals
3. Interested in marketing products and services based on customer needs</t>
  </si>
  <si>
    <t>Holland, MI</t>
  </si>
  <si>
    <t>$2000-$3000 /mon</t>
  </si>
  <si>
    <t>1. Self-motivated
2. Ability to multi-task
3. Ability to effectively relate to a customer</t>
  </si>
  <si>
    <t>Junior/ Founder's Associate</t>
  </si>
  <si>
    <t>Wordware</t>
  </si>
  <si>
    <t>1. High agency
2. Ability to deliver results independently with minimal guidance
3. Ability to prioritize and accomplish tasks quickly
...</t>
  </si>
  <si>
    <t>Terri Bias &amp; Associates</t>
  </si>
  <si>
    <t>1. Currently pursuing a degree in Real Estate, Business, Finance, or a related field
2. Strong interest in the real estate industry and a desire to learn
3. Excellent communication and interpersonal skills
...</t>
  </si>
  <si>
    <t>Brilliant PR &amp; Marketing</t>
  </si>
  <si>
    <t>1. Foundational marketing skills
2. Professional demeanor and a drive to succeed
3. Team player attitude and proven ability to communicate and work with team members across different teams
...</t>
  </si>
  <si>
    <t>Mobile Expert for Metro by T-Mobile - DUNCANVILLE</t>
  </si>
  <si>
    <t>Duncanville, TX</t>
  </si>
  <si>
    <t>Mobile Expert for Metro by T-Mobile - 3200 LANCASTER</t>
  </si>
  <si>
    <t>TX</t>
  </si>
  <si>
    <t>Mobile Expert for Metro by T-Mobile - JACKSBORO</t>
  </si>
  <si>
    <t>Mobile Expert for Metro by T-Mobile - COLLINS</t>
  </si>
  <si>
    <t>$10-$12 /h</t>
  </si>
  <si>
    <t>Mobile Expert for Metro by T-Mobile - 1720 BIG ALICE</t>
  </si>
  <si>
    <t>Alice, TX</t>
  </si>
  <si>
    <t>Mobile Expert for Metro by T-Mobile - 3622 GREELEY</t>
  </si>
  <si>
    <t>Mobile Expert for Metro by T-Mobile - 2515 GREELEY</t>
  </si>
  <si>
    <t>Mobile Expert for Metro by T-Mobile - GLENWOOD</t>
  </si>
  <si>
    <t>Glenwood Springs, CO</t>
  </si>
  <si>
    <t>1. No prior experience required
2. Bilingual Preferred
3. Wireless knowledge and/or sales experience
...</t>
  </si>
  <si>
    <t>Mobile Expert for Metro by T-Mobile - AURORA 10222 COLFAX</t>
  </si>
  <si>
    <t>Mobile Expert for Metro by T-Mobile - 9293 FEDERAL</t>
  </si>
  <si>
    <t>Sales Intern - Bentonville (Remote)</t>
  </si>
  <si>
    <t>1. Enthusiastic and self-motivated
2. Stellar communication and interpersonal skills
3. Thrives in a fast-paced environment
...</t>
  </si>
  <si>
    <t>Sales Clerk INT 5767</t>
  </si>
  <si>
    <t>Intern, Sales Development Representative</t>
  </si>
  <si>
    <t>Workato</t>
  </si>
  <si>
    <t>Cloud Computing, Data Integration</t>
  </si>
  <si>
    <t>1. Recent graduate or pursuing a degree in Computer Science, Data/Business Analytics, Information Systems, Statistics or relevant experience from previous employment
2. Able to commit for at least 3 - 6 months, with a minimum of 25 hours per week. (Hours can be flexible depending on your schedule)
3. Exceptional verbal and written presentation skills to communicate analytical insights to business leaders
...</t>
  </si>
  <si>
    <t>DOD Skillbridge - FNSS Customer Success</t>
  </si>
  <si>
    <t>Aura Intelligence, Inc.</t>
  </si>
  <si>
    <t>1. Currently enrolled in a Bachelor's degree program in Business, Marketing, or a related field
2. Excellent communication and interpersonal skills
3. Strong organizational skills with attention to detail
...</t>
  </si>
  <si>
    <t>Sales Clerk INT 5765</t>
  </si>
  <si>
    <t>Sales Clerk INT 5766</t>
  </si>
  <si>
    <t>Northspyre</t>
  </si>
  <si>
    <t>Assistive Technology, Information Technology</t>
  </si>
  <si>
    <t>1. Recent college graduate or early career professional interested in the real estate technology industry (Bachelor’s degree required, GPA 3.2+)
2. Excellent communication skills (written and verbal)
3. High emotional intelligence and are able to read the emotions of others effectively
...</t>
  </si>
  <si>
    <t>Internet &amp; Phone Sales Representative</t>
  </si>
  <si>
    <t>Mass Markets</t>
  </si>
  <si>
    <t>$11-$14 /h</t>
  </si>
  <si>
    <t>1. Must be 18 years of age or older
2. High school diploma or equivalent
3. Excellent organizational, written, and oral communication skills
...</t>
  </si>
  <si>
    <t>Summer Seasonal Associate - Triangle</t>
  </si>
  <si>
    <t>Triangle Area</t>
  </si>
  <si>
    <t>1. Sunday, July 14th, 2024 – Saturday, August 3rd, 2024 availability
2. Proactively greets and engages customers in a professional and friendly way
3. Maintains Belk professional dress standards and appearance
...</t>
  </si>
  <si>
    <t>Summer Seasonal Associate - Columbiana</t>
  </si>
  <si>
    <t>Business Analyst (Intern)</t>
  </si>
  <si>
    <t>EmergingTech</t>
  </si>
  <si>
    <t>1. Currently enrolled in a relevant degree program, e.g., Business, Marketing, Economics, etc., or recent graduate
2. Strong written and verbal communication skills
3. Detail-oriented with excellent organizational abilities
...</t>
  </si>
  <si>
    <t>Sales Clerk Leader FT 5758</t>
  </si>
  <si>
    <t>Ketchikan, AK</t>
  </si>
  <si>
    <t>Norton Shores, MI</t>
  </si>
  <si>
    <t>Temecula, CA</t>
  </si>
  <si>
    <t>Vienna, WV</t>
  </si>
  <si>
    <t>Victoria, TX</t>
  </si>
  <si>
    <t>Pueblo, CO</t>
  </si>
  <si>
    <t>Ardmore, OK</t>
  </si>
  <si>
    <t>Raleigh, NC - Triangle Town Center Belk</t>
  </si>
  <si>
    <t>1. High School Diploma or GED equivalent preferred
2. Experience in retail preferred
3. Communication skills
...</t>
  </si>
  <si>
    <t>Summer Seasonal Associate - Euless</t>
  </si>
  <si>
    <t>Euless, TX - Euless Belk</t>
  </si>
  <si>
    <t>Summer Seasonal Associate - Hamilton Place</t>
  </si>
  <si>
    <t>Chattanooga, TN - Hamilton Place Belk</t>
  </si>
  <si>
    <t>Columbia, SC - Columbiana Centre Belk</t>
  </si>
  <si>
    <t>Network Engagement Intern</t>
  </si>
  <si>
    <t>1. Highly conceptual and analytical
2. Entrepreneurial and creative
3. Quick learner; not afraid to dive into new methodologies/ frameworks
...</t>
  </si>
  <si>
    <t>Holiday Mailing Intern</t>
  </si>
  <si>
    <t>1. Currently enrolled in a college or university program, preferably in management, communications, marketing, or a related field.
2. Strong organizational and time management skills.
3. Ability to handle multiple tasks and meet deadlines.
...</t>
  </si>
  <si>
    <t>Whitehall, PA</t>
  </si>
  <si>
    <t>Quincy, IL</t>
  </si>
  <si>
    <t>Friendswood, TX</t>
  </si>
  <si>
    <t>Janesville, WI</t>
  </si>
  <si>
    <t>Trading Internship for Women+</t>
  </si>
  <si>
    <t>1. Junior standing (graduating between December 2025 – June 2026)
2. Ability to relocate to Chicago for the internship
3. Interest in the trading industry
...</t>
  </si>
  <si>
    <t>Business Development and Marketing Intern - Phoenix, AZ - NEW</t>
  </si>
  <si>
    <t>PHI Air Medical</t>
  </si>
  <si>
    <t>Air Transportation, Health Care</t>
  </si>
  <si>
    <t>1. Currently pursuing a degree in Marketing, Business Administration, Communications, or a related field.
2. Strong interest in marketing, business development, and digital media.
3. Excellent verbal and written communication skills.
...</t>
  </si>
  <si>
    <t>North Platte, NE</t>
  </si>
  <si>
    <t>Mobile Expert for Metro by T-Mobile - LOYOLA AUSTIN</t>
  </si>
  <si>
    <t>Tech Data</t>
  </si>
  <si>
    <t>Cloud Computing, Information Services</t>
  </si>
  <si>
    <t>US-FL-Clearwater</t>
  </si>
  <si>
    <t>Mobile Expert for Metro by T-Mobile - LIMERICK AVENUE</t>
  </si>
  <si>
    <t>Digital Division Intern</t>
  </si>
  <si>
    <t>Insurica</t>
  </si>
  <si>
    <t>Communities, Financial Services</t>
  </si>
  <si>
    <t>1. Good PC skills, with a focus on the Microsoft Office suite of products (Word, Excel, PowerPoint, Outlook, Teams, etc.) with a developing understanding of automated agency management systems
2. Self-starter, imaginative, analytical, and creative
3. Ability to acquire knowledge for, study, and pass the insurance licensing exam and meet continuing education requirements
...</t>
  </si>
  <si>
    <t>E-Commerce Internship</t>
  </si>
  <si>
    <t>1. College students or recent graduates
2. Career-related work experience in the beauty industry
3. On-the-job training
...</t>
  </si>
  <si>
    <t>Lehi</t>
  </si>
  <si>
    <t>Mobile Expert for Metro by T-Mobile - BASTROP</t>
  </si>
  <si>
    <t>Mobile Expert for Metro by T-Mobile - CONGRESS</t>
  </si>
  <si>
    <t>Intern, Business Development and Licensing</t>
  </si>
  <si>
    <t>Mass General Brigham</t>
  </si>
  <si>
    <t>1. A strong interest in healthcare innovation and technology commercialization and demonstrated aptitude to quickly understand new products, systems, innovations and business concepts based on technology, particularly their market opportunities and obstacles.
2. Undergraduate degree in a scientific discipline or engineering required (candidates that currently hold, or are currently pursuing, an advanced degree are strongly preferred).
3. Ability to hold employment in the United States or United States citizenship.
...</t>
  </si>
  <si>
    <t>Aflac</t>
  </si>
  <si>
    <t>1. Full-time student in a related field of study with a preferred GPA of 2.5 or above.
2. Willingness to obtain a life and health insurance license; study resources provided.
3. Must be at least 18 years old and authorized to work in the United States without need of current or future employer-sponsored work authorization.</t>
  </si>
  <si>
    <t>Mobile Expert for Metro by T-Mobile - Garland</t>
  </si>
  <si>
    <t>Mobile Expert for Metro by T-Mobile - EIGHT STREET</t>
  </si>
  <si>
    <t>Mobile Expert for Metro by T-Mobile - 2010 WALNUT</t>
  </si>
  <si>
    <t>Mobile Expert for Metro by T-Mobile - 1985 FAYETTEVILLE</t>
  </si>
  <si>
    <t>1. No prior experience required. Training will be provided and paid.
2. Bilingual Preferred
3. Ability to Relocate to Fayetteville, AR 72703 before starting work (Required)</t>
  </si>
  <si>
    <t>Mobile Expert for Metro by T-Mobile - CANTON RD</t>
  </si>
  <si>
    <t>Mobile Expert for Metro by T-Mobile - WEST AMARILLO</t>
  </si>
  <si>
    <t>Mobile Expert for Metro by T-Mobile - HEREFORD</t>
  </si>
  <si>
    <t>Hereford, TX</t>
  </si>
  <si>
    <t>Mobile Expert for Metro by T-Mobile - 3101 WESTERN</t>
  </si>
  <si>
    <t>1. No prior experience required. Training will be provided and paid.
2. Bilingual Preferred
3. Ability to Relocate to Amarillo, TX 79109 before starting work</t>
  </si>
  <si>
    <t>Mobile Expert</t>
  </si>
  <si>
    <t>1. No prior experience required. Training will be provided and paid.
2. Bilingual Preferred
3. Ability to Relocate to Amarillo, TX 79107 before starting work</t>
  </si>
  <si>
    <t>1. Bilingual Preferred
2. Ability to Relocate to Amarillo, TX 79109 before starting work</t>
  </si>
  <si>
    <t>Sales Clerk INT 5749</t>
  </si>
  <si>
    <t>MMG Executives</t>
  </si>
  <si>
    <t>Advertising, Event Promotion</t>
  </si>
  <si>
    <t>1. Ability to learn basic sales and marketing skills
2. Detail oriented
3. Fun and outgoing personality
...</t>
  </si>
  <si>
    <t>GRAY TELEVISION SALES INTERNSHIP FALL '24 - WALA</t>
  </si>
  <si>
    <t>$Minimum Wage-$15 /h</t>
  </si>
  <si>
    <t>1. Be currently enrolled in a college/university, preferably in your senior year.
2. Strong work ethic, and organization skills.
3. College student, seniors preferred, earning a degree in Journalism/Communications, Sales, or related fields, with a desire to get hands-on experience in the local media industry.</t>
  </si>
  <si>
    <t>Internet Sales Business Development Center (BDC)</t>
  </si>
  <si>
    <t>Peter Boulware Toyota</t>
  </si>
  <si>
    <t>1. Previous phone and/or internet sales experience is a PLUS
2. Must have a clean &amp; valid driver’s license
3. Must be willing to submit to a drug screen prior to employment
...</t>
  </si>
  <si>
    <t>ZenTrades</t>
  </si>
  <si>
    <t>1. Currently enrolled student seeking practical experience.
2. Excellent communication (written &amp; verbal) and articulation skills.
3. Critical thinking and an analytical mindset.
...</t>
  </si>
  <si>
    <t>Designer In Training Salon - Holyoke Mall</t>
  </si>
  <si>
    <t>JCPenney</t>
  </si>
  <si>
    <t>Holyoke, MA</t>
  </si>
  <si>
    <t>1. License: You must be enrolled in cosmetology school and within 6 months of graduation upon hire date.
2. Ability to work alongside one of our top Master stylists and learn the JCPenney Salon culture.
3. Upon graduation and obtaining a license, you will be ready to start servicing clients as a Designer Stylist.
...</t>
  </si>
  <si>
    <t>Pharmacy Vaccine Account Representative - Military Skillbridge Opportunity (Remote)</t>
  </si>
  <si>
    <t>Montgomery County, PA</t>
  </si>
  <si>
    <t>1. Bachelor’s degree with 0-3 years Sales experience OR a minimum of high school diploma with at least 4 years of relevant work experience which could include: professional sales, experience in marketing, military, or healthcare/scientific field (pharmaceutical, biotech, or medical devices).
2. Transitioning Service Member who is eligible for participation in the DOD SkillBridge program.</t>
  </si>
  <si>
    <t>Mobile Expert for Metro by T-Mobile - 9615 GESSNER</t>
  </si>
  <si>
    <t>Mobile Expert for Metro by T-Mobile - HOUSTON - BEECHNUT</t>
  </si>
  <si>
    <t>Internal Sales Analyst, Carlyle Private Wealth</t>
  </si>
  <si>
    <t>The Carlyle Group</t>
  </si>
  <si>
    <t>Aerospace, Asset Management</t>
  </si>
  <si>
    <t>$105000-$105000 /yr</t>
  </si>
  <si>
    <t>1. College degree required.
2. Min GPA 3.30
3. FINRA Series 7 and 63 required (or must be obtained within 90 days)
...</t>
  </si>
  <si>
    <t>Business Development/Sales Fellowship (Summer 2024)</t>
  </si>
  <si>
    <t>USA INSULATION OF NEW ENGLAND</t>
  </si>
  <si>
    <t>1. Excellent English Communication (verbal and written)
2. Great interpersonal skills
3. Self-driven
...</t>
  </si>
  <si>
    <t>1. Interest in marketing products and services based on customer needs
2. Enthusiastic about the role insurance and financial products play in helping people manage the risks of everyday life, recover from the unexpected, and realize their dreams
3. Self-motivated
...</t>
  </si>
  <si>
    <t>Mobile Expert for Metro by T-Mobile Dallas</t>
  </si>
  <si>
    <t>1. Bilingual Preferred
2. High school or equivalent (Preferred)
3. Spanish (Required)
...</t>
  </si>
  <si>
    <t>Aushilfe (all genders) Zalando Outlet Berlin</t>
  </si>
  <si>
    <t>Zalando SE</t>
  </si>
  <si>
    <t>1. Erfahrung im Einzelhandel oder im Umgang mit Kund*innen
2. Gutes Deutsch
3. Positives Auftreten
...</t>
  </si>
  <si>
    <t>Discover MUFG Insight Day | 5 November 2024 | IN-PERSON</t>
  </si>
  <si>
    <t>1. Students in their penultimate or final year of studies
2. Studying all degree disciplines
3. Registrations to attend close on 30 October 2023</t>
  </si>
  <si>
    <t>MUFG Women in Finance Insight Day | 30 October 2024 | In-Person</t>
  </si>
  <si>
    <t>1. Female-identifying second year and third year students
2. Bright and ambitious graduate talent
3. Commitment to Inclusion &amp; Diversity
...</t>
  </si>
  <si>
    <t>Euless, TX</t>
  </si>
  <si>
    <t>Mobile Expert for Metro by T-Mobile Fort Worth.2</t>
  </si>
  <si>
    <t>MediaCross</t>
  </si>
  <si>
    <t>1. Must be enrolled in a college or university with a minimum junior-level undergraduate status, pursuing a degree in Sales, Marketing, Business, Communications or related field.
2. Must be available to work 20 hours per week, with at least two days in-office.
3. Team player with the ability to take on multiple projects and work in a deadline-driven environment.
...</t>
  </si>
  <si>
    <t>Mobile Expert for Metro by T-Mobile - CAMP BOWIE</t>
  </si>
  <si>
    <t>Pharmacy Intern (Managed Care)</t>
  </si>
  <si>
    <t>Save-On-Foods</t>
  </si>
  <si>
    <t>Vancouver</t>
  </si>
  <si>
    <t>1. Must currently be enrolled in a Faculty of Pharmacy at an accredited University
2. Completed 2nd or 3rd year of Pharmaceutical Sciences
3. Strong communication, writing, and presentation skills
...</t>
  </si>
  <si>
    <t>Mobile Expert for Metro by T-Mobile - UNIVERSITY AVE</t>
  </si>
  <si>
    <t>2024-2025 Boston Red Sox Florida Corporate Partnerships Associate</t>
  </si>
  <si>
    <t>1. Highly organized and able to meet deadlines
2. Ability to work in a high-paced environment
3. Strong understanding and use of Microsoft Excel, Word and PowerPoint
...</t>
  </si>
  <si>
    <t>Mobile Expert for Metro by T-Mobile - NEW CAMERON</t>
  </si>
  <si>
    <t>Mobile Expert for Metro by T-Mobile - CAMERON</t>
  </si>
  <si>
    <t>Fall Sales Intern</t>
  </si>
  <si>
    <t>SiteZeus</t>
  </si>
  <si>
    <t>Computer, Real Estate</t>
  </si>
  <si>
    <t>1. Desire or passion for technology, the art of sales, and Startups
2. Kind and fun to work with
3. Easy to talk to
...</t>
  </si>
  <si>
    <t>PepWear</t>
  </si>
  <si>
    <t>1. Current student with strong ties to campus Greek life.
2. Excellent communication and interpersonal skills, with the ability to engage effectively with a variety of audiences.
3. Proven ability to persuade and influence others.
...</t>
  </si>
  <si>
    <t>Eugene-Springfield Area</t>
  </si>
  <si>
    <t>Greater Madison Area</t>
  </si>
  <si>
    <t>Urbana-Champaign Area</t>
  </si>
  <si>
    <t>IC-Cedar Rapids Area</t>
  </si>
  <si>
    <t>Mobile Expert for Metro by T-Mobile - 502 SUNSET</t>
  </si>
  <si>
    <t>Mobile Expert for Metro by T-Mobile - 1772 SUNSET</t>
  </si>
  <si>
    <t>Sales and Trading Intern</t>
  </si>
  <si>
    <t>1. Pursuing a bachelor’s degree in Finance, Economics, Business, or related field.
2. Strong analytical and quantitative skills.
3. Excellent communication and interpersonal skills.
...</t>
  </si>
  <si>
    <t>BDC INTERNET SALES</t>
  </si>
  <si>
    <t>ATLANTIC COAST AUTOMOTIVE INC</t>
  </si>
  <si>
    <t>1. Motivated, enthusiastic, and driven professionals
2. No experience necessary
3. Florida Drug-Free Workplace: Pre-employment Drug Testing</t>
  </si>
  <si>
    <t>Internship Venture Fellow</t>
  </si>
  <si>
    <t>1. Excellent analytical and problem solving skills, in order to identify and evaluate investment opportunities within the Web3 ecosystem
2. Strong communication and interpersonal skills, to engage with team members and pitch potential investments to LPs
3. Experience in the practical applications of web3 or AI related technologies
...</t>
  </si>
  <si>
    <t>Hexus</t>
  </si>
  <si>
    <t>New York City</t>
  </si>
  <si>
    <t>1. Graduating with a B.S. (or higher) from a 4 year accredited university.
2. Demonstrate exceptional listening skills and exude an energetic phone demeanor.
3. Proficient in utilizing sales, prospecting, and marketing tools and processes.
...</t>
  </si>
  <si>
    <t>Bass Pro Shops 2025 Internship</t>
  </si>
  <si>
    <t>Cabela's</t>
  </si>
  <si>
    <t>Hunting, Retail</t>
  </si>
  <si>
    <t>Springfield, MO (Bass Pro Shops Base Camp)</t>
  </si>
  <si>
    <t>1. Minimum Education Required: Completion of Junior year of college through graduating year.
2. Minimum GPA: 3.0
3. Available for full commitment of 10-week program (40 hours/week)
...</t>
  </si>
  <si>
    <t>Inside Sales/Business Development Intership</t>
  </si>
  <si>
    <t>Bluetick Consultants</t>
  </si>
  <si>
    <t>1. Conduct thorough market research to identify opportunities and compile a list of potential clients from both IT and non-IT industries. Utilize various channels such as cold-calling, email, networking, and social media for business development.
2. Establish and nurture relationships with prospects through LinkedIn, ensuring consistent engagement.
3. Follow up with new leads to discuss product and service offerings and schedule regular meetings.
...</t>
  </si>
  <si>
    <t>Sales Representative (Spring 2024 Intern)</t>
  </si>
  <si>
    <t>1. Proven work experience as a sales representative
2. Excellent knowledge of MS Office
3. Familiarity with BRM, PRM, and CRM practices along with the ability to build productive business professional relationships
...</t>
  </si>
  <si>
    <t>Werkstudent*in (w/m/d) Marketing &amp; Business Development für den Bereich Litigation &amp; Arbitration</t>
  </si>
  <si>
    <t>Munich</t>
  </si>
  <si>
    <t>1. Laufendes Studium, gerne im Bereich Wirtschaftswissenschaften, Marketing, Kommunikation oder Vergleichbares
2. Sehr gute mündliche und schriftliche Kommunikationsfähigkeiten und Ausdrucksvermögen in Deutsch und Englisch
3. Teamplayer*in mit sorgfältiger, eigenständiger und zuverlässiger Arbeitsweise
...</t>
  </si>
  <si>
    <t>$12-$16 /h</t>
  </si>
  <si>
    <t>Mobile Expert for Metro by T-Mobile - W. CANNON</t>
  </si>
  <si>
    <t>Bilingual Financial Services Professional / Work From Home Business Opportunity</t>
  </si>
  <si>
    <t>Work from home business opportunity</t>
  </si>
  <si>
    <t>$30000-$150000 /yr</t>
  </si>
  <si>
    <t>1. Bilingual Financial Services Professional
2. Interest in working from home
3. Passion for business opportunities
...</t>
  </si>
  <si>
    <t>Deals | Beca Forensic Services</t>
  </si>
  <si>
    <t>1. Estudiantes cursando últimos años de Economía, ADE, Contabilidad, Finanzas o cualquier doble grado relacionado.
2. Proactividad, atención al detalle e implicación en proyectos complejos y confidenciales.</t>
  </si>
  <si>
    <t>Customer Success - Stage</t>
  </si>
  <si>
    <t>D-EDGE</t>
  </si>
  <si>
    <t>E-Commerce, Hospitality</t>
  </si>
  <si>
    <t>€1-€2 /yr</t>
  </si>
  <si>
    <t>1. Tu prépares un diplôme BAC +2 minimum et recherche un stage de 6 mois rémunéré, à Paris idéalement à partir de juillet 2024
2. Curieux : Tu souhaites découvrir le monde de la tech, la gestion clients dans une entreprise SaaS et améliorer tes compétences techniques.
3. Attentif aux détails : Tu auras plusieurs projets à mener de front et nous détestons le micro-management, il est donc primordial que tu sois rigoureux et attentif à la qualité de ton travail.
...</t>
  </si>
  <si>
    <t>Queens Branch Banking Department New Account Intern</t>
  </si>
  <si>
    <t>1. Bilingual; preferably can read, write and type in Chinese and English
2. Must be detail oriented, organized and can multitask
3. Knowledge on Word, Excel, PowerPoint and etc.
...</t>
  </si>
  <si>
    <t>BKD Business Development &amp; Management Intern</t>
  </si>
  <si>
    <t>1. Assist with statistical data analysis and marketing research from related fields and peer banks’ products
2. Assist with periodic business reporting and metrics
3. Help collect and organize business requirements for business development and system enhancement tasks
...</t>
  </si>
  <si>
    <t>QNB Business Development Intern</t>
  </si>
  <si>
    <t>Mobile Expert for Metro by T-Mobile - HOUSTON - 12819 ALDINE</t>
  </si>
  <si>
    <t>Mobile Expert for Metro by T-Mobile - HOUSTON - PORT ARTHUR</t>
  </si>
  <si>
    <t>Port Arthur, TX</t>
  </si>
  <si>
    <t>Mobile Expert for Metro by T-Mobile - HOUSTON - 3974 EASTEX</t>
  </si>
  <si>
    <t>Praktikant Produktstrategie Wertpapiere (w/m/d) in Frankfurt / Nürnberg</t>
  </si>
  <si>
    <t>1. Immatrikuliert im Bachelor / Master (Wirtschaftswissenschaften, idealerweise mit Schwerpunkt Allgemeine BWL, Finanzen, Strategie, ESG-Investing oder ähnliches) oder im Gap Year zwischen Bachelor- und Master-Studium
2. Analytische Fähigkeiten
3. Interesse an Wertpapierthemen / den Kapitalmärkten sowie an Nachhaltigkeit und nachhaltigem Investieren
...</t>
  </si>
  <si>
    <t>Automotive Sales Manager</t>
  </si>
  <si>
    <t>Wise Auto Group</t>
  </si>
  <si>
    <t>1. Proven experience in automotive sales management or a related leadership role
2. Strong leadership skills with the ability to motivate and empower a team
3. Excellent communication and interpersonal abilities
...</t>
  </si>
  <si>
    <t>Real Estate Intern, Development</t>
  </si>
  <si>
    <t>Heartland Dental Care</t>
  </si>
  <si>
    <t>Consulting, Dental</t>
  </si>
  <si>
    <t>1. Pursuing degree in Real Estate, Business Management, or similar field
2. Practical and working knowledge of Business concepts
3. Strong computer skills, including experience with Microsoft Word, Outlook Excel and PowerPoint
...</t>
  </si>
  <si>
    <t>Aushilfe (all genders) Zalando Outlet Mannheim</t>
  </si>
  <si>
    <t>Customer Success Executive - Apprentice</t>
  </si>
  <si>
    <t>Ogury</t>
  </si>
  <si>
    <t>Advertising, Big Data</t>
  </si>
  <si>
    <t>1. Passion for advertising, digital technologies, and the mobile ecosystem
2. Detail-oriented, comfortable with numbers, and have strong analytical and relational skills
3. Fast learner and proactive in your job
...</t>
  </si>
  <si>
    <t>Praktikant (m/w/d) im technischen Kunden- und Projektmanagement</t>
  </si>
  <si>
    <t>Laserhub</t>
  </si>
  <si>
    <t>Industrial, Internet</t>
  </si>
  <si>
    <t>Stuttgart / remote</t>
  </si>
  <si>
    <t>1. Du studierst Maschinenbau, Wirtschaftsingenieurwesen oder einen ähnlichen Studiengang und bringst demzufolge ein ausgeprägtes technisches Verständnis mit
2. Du bist kommunikativ und arbeitest gerne im Team
3. Du sprichst fließend Deutsch und gutes Englisch
...</t>
  </si>
  <si>
    <t>Praktikant (m/w/d) technisches Projektmanagement &amp; Vertriebskoordination</t>
  </si>
  <si>
    <t>Future Opening: Intern - State Farm Agent Team Member</t>
  </si>
  <si>
    <t>Mortgage Loan Originator</t>
  </si>
  <si>
    <t>ELGA Credit Union</t>
  </si>
  <si>
    <t>Grand Blanc, MI</t>
  </si>
  <si>
    <t>1. Six months to two years of mortgage loan origination experience.
2. A two-year college degree, or (2) completion of a specialized certification or licensing, or (3) completion of specialized training courses conducted by vendors, or (4) job-specific skills acquired through an apprenticeship program.
3. Must be registered with NMLS in accordance with the SAFE ACT.
...</t>
  </si>
  <si>
    <t>Hang</t>
  </si>
  <si>
    <t>Apps, Loyalty Programs</t>
  </si>
  <si>
    <t>1. Currently pursuing (or recently completed) a bachelor’s degree in Business Administration, Computer Science, Finance, or a related field.
2. Demonstrated interest in working at a high-growth technology startup.
3. Excellent analytical, problem-solving, and interpersonal skills.
...</t>
  </si>
  <si>
    <t>Potamkin Hyundai</t>
  </si>
  <si>
    <t>Miami Lakes, FL</t>
  </si>
  <si>
    <t>1. High school diploma or general education degree (GED); or one to three months’ related experience and/or training; or equivalent combination of education and experience.
2. Ability to communicate orally or in written form effectively with co-workers, potential and current clients.
3. Ability to read, analyze and interpret written and verbal instructions.
...</t>
  </si>
  <si>
    <t>Aushilfe (all genders) Zalando Outlet Frankfurt/Main (Leipziger Strasse)</t>
  </si>
  <si>
    <t>Frankfurt/ Main</t>
  </si>
  <si>
    <t>Remote, New York</t>
  </si>
  <si>
    <t>1. Interested in learning in a fast-paced, professional environment
2. Placing calls to existing customers
3. Working on marketing campaigns
...</t>
  </si>
  <si>
    <t>Raymore, MO</t>
  </si>
  <si>
    <t>$16.28-$16.28 /h</t>
  </si>
  <si>
    <t>College Financial Representative, Internship Program</t>
  </si>
  <si>
    <t>$500-$1,000 /yr</t>
  </si>
  <si>
    <t>Fall Sales Internship</t>
  </si>
  <si>
    <t>Prosource</t>
  </si>
  <si>
    <t>1. Working towards a college degree or have obtained a college degree
2. History of success (scholastics, sports, prior employment, awards, etc.)
3. Knowledge of relevant computer applications (Outlook, Excel, Word, PowerPoint)
...</t>
  </si>
  <si>
    <t>Inver Grove Heights, MN</t>
  </si>
  <si>
    <t>Internet Sales - Family Toyota of Arlington</t>
  </si>
  <si>
    <t>Family Toyota of Arlington</t>
  </si>
  <si>
    <t>1. Experience, education and prior sales training are a PLUS.
2. Must be familiar with Client Relationship Management (CRM) software.</t>
  </si>
  <si>
    <t>INFORMATION SYSTEMS &amp; CRM MANAGEMENT INTERN</t>
  </si>
  <si>
    <t>1. CRM administration experience
2. Data quality control experience
3. Training experience
...</t>
  </si>
  <si>
    <t>TX - Industrial Sales Account Manager Trainee – Rotational Development Program</t>
  </si>
  <si>
    <t>SunSource</t>
  </si>
  <si>
    <t>$50000-$65000 /yr</t>
  </si>
  <si>
    <t>1. 2 year technical degree and/or training in related field
2. Strong ambition to pursue a career in industrial or engineering sales
3. Outgoing and able to build professional relationships
...</t>
  </si>
  <si>
    <t>Longview, WA</t>
  </si>
  <si>
    <t>Oak Grove, MO</t>
  </si>
  <si>
    <t>Stillwater, MN</t>
  </si>
  <si>
    <t>$Competitive hourly base pay-$Uncapped commissions per subscription plan sold /h</t>
  </si>
  <si>
    <t>Praktikant oder Werkstudent (m/w/d) Business Development Healthcare</t>
  </si>
  <si>
    <t>Blue Springs, MO</t>
  </si>
  <si>
    <t>McMinnville, OR</t>
  </si>
  <si>
    <t>Spanish Fork, UT</t>
  </si>
  <si>
    <t>Thrive Apprentice Retail</t>
  </si>
  <si>
    <t>410 E Altamonte Dr, Altamonte Springs, Florida</t>
  </si>
  <si>
    <t>1. You must be a member of the Multiverse community to be considered and have completed the assessment.
2. High school diploma or GED.
3. Willingness to work evenings, weekends and holidays.
...</t>
  </si>
  <si>
    <t>Industrial Sales Account Manager Trainee – Rotational Development Program</t>
  </si>
  <si>
    <t>1. 2 year technical degree and/or training in related field
2. Mechanical interest and Aptitude
3. Ability to start work by or before Summer 2024
...</t>
  </si>
  <si>
    <t>1. High-energy personality and natural ability to start conversations with shoppers
2. Resilience and resourcefulness with intercepting shoppers in a high-traffic environment
3. Ability to excel in an uncapped commission sales role, plus a competitive hourly base rate
...</t>
  </si>
  <si>
    <t>Pharmaziepraktikant*in im Bereich Customer Growth GSA/Praluent</t>
  </si>
  <si>
    <t>1. Du bist Pharmaziestudent*in und hast zum Zeitpunkt des Praktikums Dein 2. Staatsexamen erfolgreich abgeschlossen
2. Du bringst Interesse mit für Themen rund um die Digitalisierung im Gesundheitswesen
3. Du hast ein hohes Interesse an pharmazeutischen Abläufen
...</t>
  </si>
  <si>
    <t>Lees Summit, MO</t>
  </si>
  <si>
    <t>$Competitive-$Uncapped commissions /h</t>
  </si>
  <si>
    <t>STAGE - ASSISTANT COMMERCIAL GRANDS COMPTES H/F</t>
  </si>
  <si>
    <t>Puma</t>
  </si>
  <si>
    <t>1. Préparer un Diplôme bac+4 / 5 dans le domaine du Commerce
2. Avoir le goût du dépassement de soi et être une personne pleine d’enthousiasme et d’énergie
3. Avoir l’esprit d’équipe et aimer jouer en collectif
...</t>
  </si>
  <si>
    <t>Young Talent Program Sales Intern</t>
  </si>
  <si>
    <t>Milano</t>
  </si>
  <si>
    <t>1. Master's Degree (achieved or close to be achieved)
2. Proficient in English and Italian
3. Good command of MS office, especially Excel.
...</t>
  </si>
  <si>
    <t>$25-$uncapped commissions /h</t>
  </si>
  <si>
    <t>hourlyCompetitive-hourlyUncapped commissions /h</t>
  </si>
  <si>
    <t>Springfield, OR</t>
  </si>
  <si>
    <t>$25-$uncapped /h</t>
  </si>
  <si>
    <t>1. High-energy personality and natural ability to start conversations with shoppers
2. Resilience and resourcefulness with intercepting shoppers in a high-traffic environment
3. Ability to stand/move around for 8+ hour shifts
...</t>
  </si>
  <si>
    <t>Mobile Expert for Metro by T-Mobile - NORTHWEST HWY</t>
  </si>
  <si>
    <t>Mobile Expert for Metro by T-Mobile - ARLINGTON</t>
  </si>
  <si>
    <t>Mobile Expert for Metro by T-Mobile - BENBROOK HWY</t>
  </si>
  <si>
    <t>1. No prior experience required
2. Bilingual Preferred
3. Outstanding communication and people skills
...</t>
  </si>
  <si>
    <t>Appointment Setter Intern</t>
  </si>
  <si>
    <t>Optifino</t>
  </si>
  <si>
    <t>1. Some experience or coursework in sales, marketing, or a similar field.
2. Top-notch communication and people skills.
3. Ability to work solo and manage your time like a pro.
...</t>
  </si>
  <si>
    <t>Real Estate Assistant</t>
  </si>
  <si>
    <t>FAM Realty Group</t>
  </si>
  <si>
    <t>Real Estate, Real Estate Investment</t>
  </si>
  <si>
    <t>Dana Point, CA</t>
  </si>
  <si>
    <t>$88000-$88000 /yr</t>
  </si>
  <si>
    <t>1. Passion for Real Estate: A genuine interest in the real estate industry and a desire to build a successful career.
2. Excellent Communicator: Strong verbal and written communication skills to effectively engage with clients and team members.
3. Eager to Learn: A proactive attitude and willingness to learn from experienced professionals.
...</t>
  </si>
  <si>
    <t>Deerfield, IL</t>
  </si>
  <si>
    <t>Campus Store Sales and Customer Service- Student Worker</t>
  </si>
  <si>
    <t>North Central College</t>
  </si>
  <si>
    <t>1. Strong customer service skills including effective communication
2. Be able to stand for long periods
3. Ability to prioritize and organize workload
...</t>
  </si>
  <si>
    <t>1. Must be working towards a bachelor's degree in Non-Profit Management, Marketing, Communications, Public Health, Public Relations, Hospitality, or related field
2. Must be eligible to receive college credit for internship
3. Qualified candidates must be enthusiastic, reliable, and interested in developing a career in non-profit management, communications, public relations, or similar field
...</t>
  </si>
  <si>
    <t>6 months Internship Capital Markets Solutions</t>
  </si>
  <si>
    <t>1. have a strong interest in financial markets
2. have excellent communication &amp; interpersonal skills
3. Fluency in English is essential for all roles and a second European language would be a huge plus given the pan-European role
...</t>
  </si>
  <si>
    <t>Mobile Expert for Metro by T-Mobile - VINTON</t>
  </si>
  <si>
    <t>Resource Development Intern</t>
  </si>
  <si>
    <t>Casa Central</t>
  </si>
  <si>
    <t>1. Interest in advancing skills in nonprofit resource development
2. Ability to work on various projects to support administrative department goals
3. Ability to work on special events sponsored by the agency
...</t>
  </si>
  <si>
    <t>Summer 2024 Sales/Marketing Internship (for local candidates)</t>
  </si>
  <si>
    <t>Soccer Shots Franchising</t>
  </si>
  <si>
    <t>$13.25-$17 /h</t>
  </si>
  <si>
    <t>1. Passion for positively impacting children’s lives through the love of sports and fitness.
2. Prior experience working with children is preferred, formal or informal
3. Valid driver’s license and access to personal vehicle that is insured
...</t>
  </si>
  <si>
    <t>Mobile Expert for Metro by T-Mobile - 1703 GREENVILLE</t>
  </si>
  <si>
    <t>Greenville, MS</t>
  </si>
  <si>
    <t>Mobile Expert for Metro by T-Mobile - 212 NORTHSIDE</t>
  </si>
  <si>
    <t>Mobile Expert for Metro by T-Mobile - LAKE UNDERHILL</t>
  </si>
  <si>
    <t>Mobile Expert for Metro by T-Mobile - FOREST CITY</t>
  </si>
  <si>
    <t>Mobile Expert for Metro by T-Mobile - WINTER GARDEN</t>
  </si>
  <si>
    <t>Mobile Expert for Metro by T-Mobile - SEMORAN BLVD</t>
  </si>
  <si>
    <t>Mobile Expert for Metro by T-Mobile - GOLDENROD</t>
  </si>
  <si>
    <t>Mobile Expert for Metro by T-Mobile - COLONIAL DR</t>
  </si>
  <si>
    <t>Mobile Expert for Metro by T-Mobile - 2305 ORANGE</t>
  </si>
  <si>
    <t>Mobile Expert for Metro by T-Mobile - APOPKA</t>
  </si>
  <si>
    <t>Apopka, FL</t>
  </si>
  <si>
    <t>Mobile Expert for Metro by T-Mobile - PINELLAS PARK</t>
  </si>
  <si>
    <t>Mobile Expert for Metro by T-Mobile - ZEPHYHILLS</t>
  </si>
  <si>
    <t>Zephyrhills, FL</t>
  </si>
  <si>
    <t>Mobile Expert for Metro by T-Mobile - TUTTLE AVE</t>
  </si>
  <si>
    <t>Associate Consultant Intern, Advisors - 2025</t>
  </si>
  <si>
    <t>Mastercard</t>
  </si>
  <si>
    <t>1. Undergraduate or master’s degree with an expected graduation date between Dec 2025-July 2026
2. Candidates must be eligible to work in the United States, now as well as in the future, without employer sponsorship.</t>
  </si>
  <si>
    <t>Salesforce Consulting Intern (Remote Eligible - Fall OR Spring)</t>
  </si>
  <si>
    <t>1. You are working toward a Bachelor's degree in Business, Accounting, Information Systems or other related field.
2. You have a genuine interest in working with CRM applications and cloud-based software implementations, business process consulting, or general systems integration work.
3. You have the ability to effectively maintain and build working relationships with coworkers and clients.
...</t>
  </si>
  <si>
    <t>US E - GPS Consulting CBO Ops Trans – (internal transfer) VA PDM Operations Case Management Analyst - DMA 194166 MM</t>
  </si>
  <si>
    <t>Deloitte Consulting</t>
  </si>
  <si>
    <t>1. Bachelor’s degree required
2. 1 year healthcare or related medical experience with intermediate knowledge of medical terminology
3. A minimum of 1 year of prior experience performing work on a VA MDE
...</t>
  </si>
  <si>
    <t>Purchase, New York</t>
  </si>
  <si>
    <t>1. Undergraduate or master’s degree with an expected graduation date between Dec 2025-July 2026
2. This role is not eligible for Mastercard’s work authorization sponsorship. As such, candidates must be eligible to work in the United States, now as well as in the future, without employer sponsorship.</t>
  </si>
  <si>
    <t>Project Engineer | Management &amp; Consulting (University Recruitment)</t>
  </si>
  <si>
    <t>$63700-$95400 /yr</t>
  </si>
  <si>
    <t>1. Engineering, Construction Management, or Architectural degree, or completion of Construction Management Certificate Program, or equivalent
2. 1-3 years of construction-related experience, or equivalent
3. Basic understanding of construction cost accounting
...</t>
  </si>
  <si>
    <t>Project Engineer | Management &amp; Consulting</t>
  </si>
  <si>
    <t>Financial Planning &amp; Analysis Junior Associate Consultant (Intern)</t>
  </si>
  <si>
    <t>Mercedes-Benz USA</t>
  </si>
  <si>
    <t>Advertising, Automotive</t>
  </si>
  <si>
    <t>1. Graduate Student with a Bachelor's Degree in Finance, Accounting, Computer Science, Data Science, Engineering, or a closely related field preferred.
2. Available from Aug 2024 - Aug 2025
3. Hybrid in-person schedule 3 days weekly, up to 28 hours maximum
...</t>
  </si>
  <si>
    <t>Federal Management Consulting Intern - Business Development</t>
  </si>
  <si>
    <t>Aptive Resources</t>
  </si>
  <si>
    <t>Business Information Systems, Consulting</t>
  </si>
  <si>
    <t>1. Currently enrolled and pursuing an undergraduate or graduate degree in Business Administration or a related field at an accredited college or university while participating in the internship.
2. Proven critical thinking, communication, client relationship, and writing skills.
3. Excellent communication and time management skills.
...</t>
  </si>
  <si>
    <t>Business Consultant Trainee</t>
  </si>
  <si>
    <t>Kairos Utama Indonesia</t>
  </si>
  <si>
    <t>1. Youthful FEMALE with energetic personality
2. Fresh graduate are welcome
3. Bachelor's degree in related field preferable majoring in Marketing Management or Industrial Engineering
...</t>
  </si>
  <si>
    <t>Consultant Junior en Mobilité Internationale H/F</t>
  </si>
  <si>
    <t>Ernst &amp; Young</t>
  </si>
  <si>
    <t>1. Très bonnes capacités d’expression orale et écrite, en français et en anglais
2. Capacité d’analyse juridique : détermination du statut ou de la base légale de la procédure, questions ponctuelles des clients ou du réseau EY sur l’une ou l’autre des matières, étude de faisabilité du schéma de mobilité envisagé par le client…
3. Attention aux détails et rigueur dans la préparation des dossiers : vérification des documents et informations transmis, vérification de l’exactitude des données, …
...</t>
  </si>
  <si>
    <t>Fall 2024 - New Business Assistant</t>
  </si>
  <si>
    <t>GSD&amp;M</t>
  </si>
  <si>
    <t>1. Candidates MUST be enrolled as a relevant junior, senior or graduate-level student
2. Must be available during the fall (9/17/24 - 11/22/24)
3. Must be able to work 20 hours a week</t>
  </si>
  <si>
    <t>Management Consulting Intern - Actuaries - Summer 2025</t>
  </si>
  <si>
    <t>1. Bachelor Degree
2. Actuarial Science, Statistics, Mathematics, Other
3. 0 year(s) of experience</t>
  </si>
  <si>
    <t>Healthcare Reimbursement Accounting Consultant - Winter Intern (2025)</t>
  </si>
  <si>
    <t>1. Detail-oriented leader with problem solving, communication, and analytical skills.
2. Pursuing a Bachelor’s or Master’s degree in accounting, finance, or a related field.
3. Academic success (a minimum cumulative GPA of 3.0).</t>
  </si>
  <si>
    <t>IgniteU Fellow</t>
  </si>
  <si>
    <t>NYSTEC</t>
  </si>
  <si>
    <t>Information Technology, Non Profit</t>
  </si>
  <si>
    <t>1. Works under general supervision, receives minimal instruction for new assignments and exercises high initiative and discretion in completing assigned tasks.
2. Ability to problem solve complex assignments requiring research and analysis.
3. Must demonstrate expertise in an area of specialization and apply and interpret fundamental principles, theories, and concepts within that specialization.
...</t>
  </si>
  <si>
    <t>USA Associate Consultant 2025 [JANUARY 2025 START]</t>
  </si>
  <si>
    <t>OC&amp;C Strategy Consultants</t>
  </si>
  <si>
    <t>Buffalo-Niagara Area</t>
  </si>
  <si>
    <t>1. Recent grads/those graduating by December 2024
2. Must submit a Cover Letter &amp; CV and apply via the specified portal
3. Highest level of communication and analytical skills
...</t>
  </si>
  <si>
    <t>Intern (Paid): Solution Consultant, SaaS, FinTech</t>
  </si>
  <si>
    <t>ACI Worldwide</t>
  </si>
  <si>
    <t>Billing, InsurTech</t>
  </si>
  <si>
    <t>1. Strong written and oral communication
2. Strong problem-solving and critical-thinking skills.
3. Ability to self-motivate and work independently with little supervision.
...</t>
  </si>
  <si>
    <t>Bilingual Regional Trip Consultant</t>
  </si>
  <si>
    <t>EF Go Ahead Tours</t>
  </si>
  <si>
    <t>Tourism, Travel</t>
  </si>
  <si>
    <t>$45000-$90000 /yr</t>
  </si>
  <si>
    <t>1. Fluent in both written and spoken Spanish and English
2. Influential and can intrinsically motivate others (persuade vs. tell)
3. A good listener with strong communication and collaboration skills
...</t>
  </si>
  <si>
    <t>SkillBridge Intern -Technical Consultant, Search</t>
  </si>
  <si>
    <t>Elastic</t>
  </si>
  <si>
    <t>1. A degree in Computer Science or related field (or equivalent experience)
2. A background in open-source machine learning frameworks like PyTorch, backed by
3. A genuine passion for open-source technology and proficiency in at least one programming language
...</t>
  </si>
  <si>
    <t>Werkstudent HR Consulting (m/w/d)</t>
  </si>
  <si>
    <t>1. Eingeschriebener Student (m/w/d) der Fachrichtung Wirtschaftswissenschaften, Sozialwissenschaften, Rechtswissenschaften oder vergleichbar
2. Interesse an personalwirtschaftlichen Themen sowie an der Zusammenarbeit mit KollegInnen verschiedener Nationalität und Herkunft
3. Idealerweise bereits erste Erfahrungen im Bereich Human Resources oder vergleichbare kaufmännische Praktika / Werkstudententätigkeiten
...</t>
  </si>
  <si>
    <t>Big E Central Sr. Peer Consultant</t>
  </si>
  <si>
    <t>1. Must be enrolled at EKU
2. Confidentiality
3. Attention to detail
...</t>
  </si>
  <si>
    <t>Business Consulting Internship</t>
  </si>
  <si>
    <t>Kaufman Rossin</t>
  </si>
  <si>
    <t>1. Currently enrolled in a Master's or Bachelor's in Accounting
2. Knowledge of general accounting principles, as well as tax provisions
3. Strong skills in Excel, Word, PPT, and Adobe</t>
  </si>
  <si>
    <t>Digital Advisory Intern (f/m/d)</t>
  </si>
  <si>
    <t>Porsche Cars North America</t>
  </si>
  <si>
    <t>1. Recent graduate or currently a Senior attaining Bachelor's Degree in Business Administration or equivalent
2. Preferably previous internship/work experience in consulting
3. Strong written and oral communication skills
...</t>
  </si>
  <si>
    <t>Workday HCM Associate Consultant (Early Talent)</t>
  </si>
  <si>
    <t>Alchemy.us</t>
  </si>
  <si>
    <t>1. Bachelor's Degree, ideally in Human Resources or similar discipline.
2. 1-3 years of relevant work experience in a higher education setting or within a Human Resources department.
3. Experience using ERP, HCM, or HRIS solutions: Workday, PeopleSoft, SAP, Oracle, etc.
...</t>
  </si>
  <si>
    <t>Outsourced Financial Advisory Consultant - Intern (Winter 2025)</t>
  </si>
  <si>
    <t>1. Detail-oriented leader with problem solving, communication, critical thinker, organizational, technical and analytical skills.
2. Pursuing a Bachelor's degree in accounting, finance, or related field.
3. Academic success (a minimum cumulative GPA of 3.0).</t>
  </si>
  <si>
    <t>Technical Accounting Advisory Consultant - Intern (2025)</t>
  </si>
  <si>
    <t>1. Pursuing a bachelor's degree in accounting or finance with a minor in accounting
2. Academic success (a minimum cumulative GPA of 3.0)
3. Detail-oriented leader with problem-solving, communication, critical thinking, organizational, and technical skills</t>
  </si>
  <si>
    <t>Risk and Accounting Advisory Services (RAAS) Consultant - Intern (2025)</t>
  </si>
  <si>
    <t>1. Detail-oriented leader with problem solving, communication, organizational, technical and analytical skills.
2. Pursuing a Bachelor’s degree in accounting, economics, finance, or related field.
3. Academic success (a minimum cumulative GPA of 3.0).</t>
  </si>
  <si>
    <t>Consultant Intern</t>
  </si>
  <si>
    <t>1. Full-time availability from mid-June through the end of July (6 weeks)
2. Ability to work under close supervision and have performance monitored
3. Willingness to rotate through practice groups/teams to learn about clients and industries
...</t>
  </si>
  <si>
    <t>Summer 2025 Risk Advisory Consultant - Cybersecurity</t>
  </si>
  <si>
    <t>1. Be enrolled as a full-time student during the 2024/2025 school year in an Accounting, Cybersecurity, Information Systems or Finance related degree
2. Availability to begin full-time employment in Summer 2025
3. Outstanding academic performance required, with a preferred GPA of 3.0 or above
...</t>
  </si>
  <si>
    <t>Cybersecurity Consultant - Intern (2025)</t>
  </si>
  <si>
    <t>1. Detail-oriented leader with problem solving, communication, and analytical skills.
2. Pursuing a Bachelor's degree in accounting, information security, business administration, finance, management information systems, or related field.
3. Academic success (a minimum cumulative GPA of 3.0).
...</t>
  </si>
  <si>
    <t>Cost Segregation Consultant - Intern (2025)</t>
  </si>
  <si>
    <t>1. Detail-oriented leader with problem-solving, communication, and analytical skills
2. Strong estimating skills
3. Understanding of Legal Construction Documentation
...</t>
  </si>
  <si>
    <t>Property Tax Consulting Intern - Fall 2024</t>
  </si>
  <si>
    <t>1. Pursuing a Bachelor’s degree in Accounting, Finance, Economics, or related field
2. Intermediate knowledge of Microsoft Word or Excel
3. Excellent verbal and written communication skills
...</t>
  </si>
  <si>
    <t>Consultant – State and Local Government, Sacramento – Campus 2024</t>
  </si>
  <si>
    <t>$54300-$81500 /yr</t>
  </si>
  <si>
    <t>1. Minimum Years of Experience: 0 years
2. Minimum Degree Status: Bachelor's Degree-Must be current or recently enrolled in an accredited degree program and graduate between Summer 2023 and Summer 2024
3. Ability to accommodate an expected summer 2024 start date</t>
  </si>
  <si>
    <t>ERP Consultant Intern</t>
  </si>
  <si>
    <t>Calsoft Systems</t>
  </si>
  <si>
    <t>Enterprise Resource Planning (ERP), Information Technology</t>
  </si>
  <si>
    <t>1. Experience with Enterprise Resource Planning (ERP) Systems
2. Knowledge of ERP systems such as Microsoft Dynamics GP, NAV, AX, and D365
3. Ability to gather and analyze business requirements
...</t>
  </si>
  <si>
    <t>Assurance and Consulting Intern (PT)- Retirement Plan Services and Employee Benefit Plan Audit</t>
  </si>
  <si>
    <t>PBMares, LLP</t>
  </si>
  <si>
    <t>1. Current college/university student with a major in Accounting or related field
2. Will be eligible with 120 credit hours and planning to sit for the CPA exam upon graduation
3. GPA of at least 3.0
...</t>
  </si>
  <si>
    <t>1. Full-time availability from mid-June through the end of July (6 weeks)
2. Ability to work under close supervision and have performance monitored for advancement opportunities
3. Willingness to rotate through practice groups/teams to learn about clients and industries
...</t>
  </si>
  <si>
    <t>Political Consulting Internship</t>
  </si>
  <si>
    <t>The Advance Group</t>
  </si>
  <si>
    <t>Commercial, Document Management</t>
  </si>
  <si>
    <t>1. Positive, mature, and professional attitude
2. Team player
3. Critical thinker, detail oriented
...</t>
  </si>
  <si>
    <t>Advisory - Intern (Industrial)</t>
  </si>
  <si>
    <t>Frost &amp; Sullivan</t>
  </si>
  <si>
    <t>1. Bachelor’s degree or equivalent is required. Bachelor’s degree in engineering is preferred.
2. Education, training, or certification in strategy, project management, performance improvement, and change management is desired.
3. Strong analytical and problem-solving skills.
...</t>
  </si>
  <si>
    <t>DVOP GOVERNMENT OPERATIONS CONSULTANT II - 40047162</t>
  </si>
  <si>
    <t>State of Florida</t>
  </si>
  <si>
    <t>1. Must become certified as a Workforce Development Professional (Tier 1) within 12 months of appointment.
2. Required to travel locally and must furnish own transportation.
3. The incumbent may be required to work weekends or after regular work hours at job fairs, or community meetings.
...</t>
  </si>
  <si>
    <t>DVOP GOVERNMENT OPERATIONS CONSULTANT II - 40034478</t>
  </si>
  <si>
    <t>1. Must become certified as a Workforce Development Professional (Tier 1) within 12 months of appointment.
2. Required to travel locally and must furnish own transportation.
3. The incumbent may be required to work weekends or after regular work hours at job fairs, or community meetings.</t>
  </si>
  <si>
    <t>Computer Support Student Help Desk Consultant - Massachusetts College of Liberal Arts</t>
  </si>
  <si>
    <t>Massachusetts College of Liberal Arts</t>
  </si>
  <si>
    <t>North Adams, MA</t>
  </si>
  <si>
    <t>1. Matriculated incoming or current MCLA student
2. Skilled computing knowledge</t>
  </si>
  <si>
    <t>POOL: Jayhawk Consultant</t>
  </si>
  <si>
    <t>1. Must be a KU student enrolled in at least 6 credit hours.
2. Proficient in Microsoft Suites. Especially, PowerPoint, Excel and Word.</t>
  </si>
  <si>
    <t>Graduate Writing Consultant - Student Hourly</t>
  </si>
  <si>
    <t>1. Graduate student at KU, enrolled in at least 6 credit hours
2. Excellent written communication skills as evidenced in application materials
3. A commitment to the improvement of one’s own writing and professional development as a writing consultant
...</t>
  </si>
  <si>
    <t>SRF Consulting Internship Program</t>
  </si>
  <si>
    <t>SRF Consulting Group</t>
  </si>
  <si>
    <t>1. Current enrollment in a Civil/Structural/Traffic Engineering, Biosystems Engineering (with a Hydrology or Water Resources emphasis), Transportation Planning, Urban/Regional Planning or related program
2. Excellent verbal/written communication skills are a plus</t>
  </si>
  <si>
    <t>IT Consultant Assistant</t>
  </si>
  <si>
    <t>1. Must be enrolled at EKU</t>
  </si>
  <si>
    <t>Consultant en gestion des risques et Audit IT | Toulouse | Alternance / Stage | H/F</t>
  </si>
  <si>
    <t>1. Vous recherchez un stage de fin d'études ou un contrat d'apprentissage à partir de septembre dans le cadre de l'obtention BAC+5 en école de commerce, d'ingénieurs ou universités.
2. Si, en plus, vous avez déjà fait un stage en audit interne/contrôle interne ou audit des SI, c’est parfait !
3. Vous avez une appétence pour les nouvelles technologies et la gestion des risques ? On ne va pas se mentir, pour faire ce métier, c’est mieux !
...</t>
  </si>
  <si>
    <t>Deals - Financial Due Diligence Intern - Summer 2025 - Women's Consulting Experience</t>
  </si>
  <si>
    <t>1. Bachelor Degree
2. The WCE program is eligible to students who self-identify as female and 1) are currently enrolled sophomores in a four-year degree program or juniors in a five-year degree program, and 2) are not current or prior PwC interns.
3. 0 year(s) of experience</t>
  </si>
  <si>
    <t>ESG Initiative Student Program Consultant</t>
  </si>
  <si>
    <t>$7.25-$75 /h</t>
  </si>
  <si>
    <t>1. Advise and supervise student teams in sourcing and researching impactful startups
2. Provide students with strategic guidance, including giving feedback on deliverables, assisting with presentations and document preparation, and more
3. Manage weekly student team meetings
...</t>
  </si>
  <si>
    <t>New Joiners 2024 Consulting Sector Público (Madrid)</t>
  </si>
  <si>
    <t>1. Estudiantes de último curso de Grado/Postgrado o perfiles de recién graduados
2. Grado en LEINN (Liderazgo Emprendedor e Innovación)
3. Dobles titulaciones ADE + Business Analytics o ADE + Tecnología
...</t>
  </si>
  <si>
    <t>Research Associate, Advisory</t>
  </si>
  <si>
    <t>Zonda</t>
  </si>
  <si>
    <t>1. Bachelor’s degree in real estate, business, economics, urban studies, political science or related fields demonstrating qualitative and quantitative reasoning
2. Some work or internship experience in consulting, market research or real estate is preferred
3. Strong academic record
...</t>
  </si>
  <si>
    <t>Praktikant (w/m/d) in der Unternehmensberatung, Bereich Forensic Services (25-40h/Woche)</t>
  </si>
  <si>
    <t>EUR2200 /mon</t>
  </si>
  <si>
    <t>1. Bachelor Abschluss im Bereich Betriebs- oder Volkswirtschaft und 1 Jahr Arbeitserfahrung (Praktika) in einem einschlägigen Bereich
2. Sicherer Umgang mit MS Office
3. Verhandlungssichere Deutschkenntnisse sowie gute Englischkenntnisse in Wort und Schrift
...</t>
  </si>
  <si>
    <t>Technology Strategy Junior Consultant - Milano - INTERNSHIP</t>
  </si>
  <si>
    <t>1. Ti stai per laureare o hai una laurea in Ingegneria Gestionale, Ingegneria Informatica, Fisica, Matematica e Scienze Economiche
2. Parli e scrivi in inglese fluentemente e sai relazionarti in un contesto internazionale
3. Sai lavorare per obiettivi, con orientamento al risultato e metterti in gioco con curiosità e impegno
...</t>
  </si>
  <si>
    <t>Apprenti consultant fonctionnel PLM / Transformation Digitale F/H</t>
  </si>
  <si>
    <t>1. Être étudiant en BAC+4/5 et à la recherche d'un contrat d’apprentissage ou de professionnalisation à partir de septembre 2024 (préciser la durée du contrat et le rythme d’alternance au moment de la candidature)
2. Intérêt pour les systèmes d’informations et les nouvelles technologies
3. Aimer travailler en équipe, dans un contexte international
...</t>
  </si>
  <si>
    <t>ALTERNANCE - Assistant Consultant Média H/F</t>
  </si>
  <si>
    <t>Dentsu Aegis Network</t>
  </si>
  <si>
    <t>Advertising, Information Services</t>
  </si>
  <si>
    <t>1. En cursus dans une Grande École ou cursus universitaire équivalent
2. Bénéficier idéalement d'une première expérience en agence média
3. Culture média et digitale pour appréhender rapidement l'environnement de l’agence
...</t>
  </si>
  <si>
    <t>Part-Time Sales Consultant Internship</t>
  </si>
  <si>
    <t>DOCUmation</t>
  </si>
  <si>
    <t>Cyber Security, Printing</t>
  </si>
  <si>
    <t>1. Outgoing personality
2. Willingness to learn
3. Strategic prospecting
...</t>
  </si>
  <si>
    <t>Accounting &amp; Consulting Intern</t>
  </si>
  <si>
    <t>BTerrell Group</t>
  </si>
  <si>
    <t>Cloud Storage, Internet</t>
  </si>
  <si>
    <t>1. Majoring in Accounting is preferred
2. Working towards a Bachelor’s or Master's degree
3. Quick Learner
...</t>
  </si>
  <si>
    <t>Working Student Actuarial &amp; Quantitative Consulting (Amsterdam en Rotterdam)</t>
  </si>
  <si>
    <t>1. You have a University Master study background in Econometrics, Actuarial Science or Mathematics
2. You have a good command of Dutch and English, both spoken and written
3. You are available for six months, two or three days per week</t>
  </si>
  <si>
    <t>BSc3 Economics &amp; Business - Stage Universiteit van Amsterdam</t>
  </si>
  <si>
    <t>1. Je volgt een economische of financiële wo-bachelor in je derde jaar
2. Je bent communicatief en cijfermatig sterk, klantgericht en werkt graag in een team
3. Je wilt graag je opgedane kennis in de praktijk toetsen en een beeld krijgen van PwC als mogelijk toekomstige werkgever
...</t>
  </si>
  <si>
    <t>Stage in area Consulting [Online / Phone Recruitment]</t>
  </si>
  <si>
    <t>1. Prevedi di conseguire entro 6/9 mesi una laurea Magistrale o un Master di primo livello in Economia, Ingegneria, Informatica, Matematica, Fisica o Statistica
2. Sei capace di comunicare in modo efficace
3. Impari velocemente e ti piace pensare fuori dagli schemi
...</t>
  </si>
  <si>
    <t>Data &amp; Analytics Consultant - INTERNSHIP - Napoli [CNS]</t>
  </si>
  <si>
    <t>Naples</t>
  </si>
  <si>
    <t>1. Conseguito o stai conseguendo una laurea magistrale in ambito economico-statistico, ingegneristico e informatico
2. Parli e scrivi in inglese fluentemente
3. Capacità di trovare soluzioni funzionali e innovative a progetti complessi
...</t>
  </si>
  <si>
    <t>ALTERNANCE - Assistant Consultant Plurimédia H/F</t>
  </si>
  <si>
    <t>1. De formation supérieure (Bac +4 ou plus) vous avez de bonnes connaissances en Marketing et êtes passionné(e) pour les médias et les problématiques de stratégie de marque.
2. Doté(e) d’excellentes qualités relationnelles, vous saurez démontrer vos talents de diplomate, votre capacité à innover, votre force de proposition et votre sens du résultat dans le suivi de projets.
3. À l'aise avec les données chiffrées, vous avez de bonnes capacités d'analyse et de synthèse, une bonne maîtrise bureautique (Excel, Word, Powerpoint) ainsi qu’un bon niveau d’orthographe.
...</t>
  </si>
  <si>
    <t>Stage Conseil en Transformation F/H</t>
  </si>
  <si>
    <t>1. Étudiant-e école d’Ingénieurs / de Commerce et Université qui souhaite faire son stage de fin d’études dans un environnement stimulant et innovant.
2. Vous êtes attiré-e par l’analyse des processus métier et de leur bonne intégration dans les SI.
3. Vous êtes passionné-e par les sujets de transformation SI et métier.
...</t>
  </si>
  <si>
    <t>Employment Intern- UNPAID</t>
  </si>
  <si>
    <t>HR Manager</t>
  </si>
  <si>
    <t>1. Fluency in spoken and written English
2. Must be culturally sensitive, respectful of diverse backgrounds, and willing to work with English language learners; previous cross-cultural communication experience is a plus.
3. Flexibility, patience, and willingness to learn/perform reasonable duties as needed.
...</t>
  </si>
  <si>
    <t>Fall Internship - Economic Empowerment Intern - Unpaid</t>
  </si>
  <si>
    <t>Recruiter</t>
  </si>
  <si>
    <t>1. Enrollment as undergraduate or graduate student, or recent graduate
2. Willingness to communicate with speakers with limited English proficiency Platforms such as language line, Tarjimly, and Google Translate will be at your disposal.
3. Openness to working with people from varied backgrounds.
...</t>
  </si>
  <si>
    <t>Human Resources Intern</t>
  </si>
  <si>
    <t>Resort Lifestyle Communities</t>
  </si>
  <si>
    <t>1. Currently pursuing a degree in Business Administration or Organizational Leadership, with a focus on Human Resources.
2. Exceptional communication skills, both written and verbal.
3. Demonstrates a professional demeanor and positive attitude.
...</t>
  </si>
  <si>
    <t>HR Assistant - HUBZone Program Coordinator (Remote)</t>
  </si>
  <si>
    <t>QUE Technology Group</t>
  </si>
  <si>
    <t>1. Proven experience in HR administration, compliance, or recruiting.
2. Excellent, proactive communicator to be able to collaborate with team in a remote setting.
3. Fast learner who can easily grasp complex concepts and apply critical thinking skills.
...</t>
  </si>
  <si>
    <t>People Success (HR) Intern</t>
  </si>
  <si>
    <t>1. High school diploma or equivalent required
2. Must currently be enrolled in an associate or bachelor's degree program at an accredited institution
3. Strong customer service and time management skills
...</t>
  </si>
  <si>
    <t>Intern, Equity, Diversity, Inclusion &amp;amp; Acces</t>
  </si>
  <si>
    <t>1. Enrolled student currently pursuing an undergraduate or graduate degree in relevant field of study.
2. Minimum of 3.0 GPA.
3. Demonstrate ability to create and design flyers and other promotional materials.
...</t>
  </si>
  <si>
    <t>Talent Acquisition Sourcer &amp; Staffing Partnerships Specialist (TEMPORARY)</t>
  </si>
  <si>
    <t>Southcoast Health</t>
  </si>
  <si>
    <t>New Bedford, MA</t>
  </si>
  <si>
    <t>$36.13-$60.76 /h</t>
  </si>
  <si>
    <t>1. Bachelor's degree in Human Resources, Business, Management, or related field, or equivalent combination of related knowledge and experience required.
2. Minimum of 2 years of sourcing experience is required.
3. Fully adept search capabilities with proven sourcing/recruiting experience and skills, including conducting research, creating Boolean search strings, networking, cold-calling, and utilizing a variety of internet sourcing tools.
...</t>
  </si>
  <si>
    <t>Matchmaking Assistant/Recruiter</t>
  </si>
  <si>
    <t>Real Black Love Matchmaking</t>
  </si>
  <si>
    <t>Dating</t>
  </si>
  <si>
    <t>$15-$17.50 /h</t>
  </si>
  <si>
    <t>1. Must have an amazing personality and want to learn the 'ins and outs' of the business of love.
2. Need to be a people person, a social butterfly, and have a Very Strong sales acumen.
3. Must be able to work both with a team, as well as independently.
...</t>
  </si>
  <si>
    <t>Student Recruitment Specialist (Internship)</t>
  </si>
  <si>
    <t>Kipp Victory Academy</t>
  </si>
  <si>
    <t>1. Seeking a undergraduate or master's degree
2. 20 years or older</t>
  </si>
  <si>
    <t>HR Intern</t>
  </si>
  <si>
    <t>Mansueto Ventures</t>
  </si>
  <si>
    <t>Advertising, Printing</t>
  </si>
  <si>
    <t>1. Pursing a bachelor’s degree in Human Resource Management or related field
2. Exceptional written and oral communication skills
3. Ability to take initiative based on observation
...</t>
  </si>
  <si>
    <t>Internship Opportunity: Human Resources Training - Denver</t>
  </si>
  <si>
    <t>Colorado Department of Transportation</t>
  </si>
  <si>
    <t>Construction, Digital Media</t>
  </si>
  <si>
    <t>1. A recent college graduate. Recently graduated means the individual should have attended an accredited college or university and have graduated with an Associate’s, Bachelor’s, Master’s or PhD degree related to Human Resources within the past three calendar years.
2. Any full-time college student enrolled in an accredited community college, college, or university seeking an Associate’s, Bachelor’s, Master’s or PhD degree in an area related to Human Resources. (For Associate’s and Bachelor’s degree programs, full-time is equivalent to 12 credits. For Master’s and Ph.D. programs, full-time is often 9 credits.)
3. A certified participant in the Colorado Refugee Services Program.
...</t>
  </si>
  <si>
    <t>Gender Equity and Inclusion Intern</t>
  </si>
  <si>
    <t>1. Applicants must be U.S. citizens enrolled at least part-time in an accredited institution of higher education pursuing a Master's degree or equivalent.
2. Successful completion of a background investigation is also required.</t>
  </si>
  <si>
    <t>Lead Manager International Payroll</t>
  </si>
  <si>
    <t>Reynolds American</t>
  </si>
  <si>
    <t>Consumer, Manufacturing</t>
  </si>
  <si>
    <t>Compensation and Benefits</t>
  </si>
  <si>
    <t>1. 3-5 years in corporate Global payroll environment with multi-countries
2. Proficient in the use of office technologies (MS Excel for Data Analysis and Reporting, Outlook, and Word)
3. Demonstrated ability to work independently and as a team member
...</t>
  </si>
  <si>
    <t>Human Resources Internship</t>
  </si>
  <si>
    <t>1. Candidates applying for this position must be in a student status in either an undergraduate or graduate program.
2. Candidates should provide a resume that demonstrates prior work history and coursework completed.
3. Candidates who apply for this position must be able to be on-site at 1100 New York Avenue, NW Washington, DC, every other Monday and other days as required.
...</t>
  </si>
  <si>
    <t>Co-op Human Resources</t>
  </si>
  <si>
    <t>1. Undergraduate student pursuing a Bachelor’s Degree in Human Resources, Business Management, Business Administration or related degree
2. Ability to work 40 hours per week during the scheduled semester
3. Exceptional verbal and written communication skills, organization skills, analytical skills, and the ability to prioritize tasks
...</t>
  </si>
  <si>
    <t>1. Must be self-motivated and able to work independently
2. Effective interpersonal, verbal/written communication skills
3. Highly organized, analytical, and detail-oriented
...</t>
  </si>
  <si>
    <t>Fast Company</t>
  </si>
  <si>
    <t>News, Publishing</t>
  </si>
  <si>
    <t>Inc. Magazine</t>
  </si>
  <si>
    <t>Talent Pipeline (Talent Pipeline)</t>
  </si>
  <si>
    <t>Buchanan Logistics</t>
  </si>
  <si>
    <t>Talent, OR</t>
  </si>
  <si>
    <t>1. Interested in a career in transportation
2. Ability to upload resume, cover letter, and other documents
3. Willingness to answer questions about yourself</t>
  </si>
  <si>
    <t>Co-op, Crew Resources - Pilot Resources (Fall, 2024)</t>
  </si>
  <si>
    <t>1. Actively enrolled in an undergraduate program - Bachelor's degree in-progress
2. Good analytical and organizational skills strongly preferred
3. Must have the ability to anticipate and plan for competing priorities while meeting strict deadlines
...</t>
  </si>
  <si>
    <t>Skill Bridge - ATI Corporate Based Internship</t>
  </si>
  <si>
    <t>Advanced Physical Therapy</t>
  </si>
  <si>
    <t>Health Care, Rehabilitation</t>
  </si>
  <si>
    <t>Bolingbrook, IL</t>
  </si>
  <si>
    <t>Human Resources Student Experience</t>
  </si>
  <si>
    <t>1. Freshman, Sophomore, Junior, or Senior standing seeking a degree in Human Resources, Business, or related field
2. Excellent communications skills and high level of motivation
3. Be able to commit to Bobcat for the entire term of the co-op (8-months) or internship (4-months)</t>
  </si>
  <si>
    <t>Early Career Talent Community</t>
  </si>
  <si>
    <t>Veeam Software</t>
  </si>
  <si>
    <t>Cloud Infrastructure, Data Center</t>
  </si>
  <si>
    <t>1. For Internship - Rising Senior
2. For Full-Time - Recent Graduate (within the last 2 years) OR Senior completing or completed an undergraduate degree from an accredited college or university
3. Knowledge on technology and willingness to learn further
...</t>
  </si>
  <si>
    <t>Human Resources Internship – Fall</t>
  </si>
  <si>
    <t>Chuck E. Cheese</t>
  </si>
  <si>
    <t>1. A Bachelor’s degree in process.
2. Be at least 18 years of age.
3. A strong interest in benefits administration.
...</t>
  </si>
  <si>
    <t>Talent Acquisition Internship – Fall</t>
  </si>
  <si>
    <t>1. A Bachelor’s degree in process
2. Be at least 18 years of age
3. A strong interest in Human Resources and specifically in Talent Acquisition/Recruiting
...</t>
  </si>
  <si>
    <t>Year-Round HR Intern</t>
  </si>
  <si>
    <t>Spring Hill, TN</t>
  </si>
  <si>
    <t>1. Knowledge of basic Human Resources principles and concepts
2. Good interpersonal and presentation skills
3. Data entry skills
...</t>
  </si>
  <si>
    <t>Riverhead Building Supply</t>
  </si>
  <si>
    <t>Calverton, NY</t>
  </si>
  <si>
    <t>1. Must have hands on working knowledge of MS office. Specifically basic skills in outlook, word and excel.
2. Flexible shift, full time or part time available.</t>
  </si>
  <si>
    <t>Human Resources Intern - Starts November 4, 2024!</t>
  </si>
  <si>
    <t>Metrolina Greenhouses INC</t>
  </si>
  <si>
    <t>York, SC</t>
  </si>
  <si>
    <t>1. Enrolled in Human Resources Management
2. Ability to work up to 20-30 hours per week Monday – Friday
3. Fluency in the English language
...</t>
  </si>
  <si>
    <t>Cybersecurity Incident Response Analyst - Apprentice</t>
  </si>
  <si>
    <t>Huntington National Bank</t>
  </si>
  <si>
    <t>1. High School diploma and 3.0 overall GPA
2. 0-1 years experience</t>
  </si>
  <si>
    <t>Veteran Benefits Representative</t>
  </si>
  <si>
    <t>Altig - American Income Life Insurance Company</t>
  </si>
  <si>
    <t>Insurance</t>
  </si>
  <si>
    <t>STAS HR Intern</t>
  </si>
  <si>
    <t>University of Florida</t>
  </si>
  <si>
    <t>1. This position is open to all students who are eligible to work on campus and will be employed through student Other Personnel Services (OPS) and must maintain a minimum 2.0 grade point average.
2. Registered students are employed on a part-time basis, up to 20 hours per week.
3. Successful pre-employment screening including a background check.</t>
  </si>
  <si>
    <t>Diversity Summer Series: Crushing The Campus Recruiting Process</t>
  </si>
  <si>
    <t>Oliver Wyman</t>
  </si>
  <si>
    <t>New York - 1166</t>
  </si>
  <si>
    <t>1. Enrolled in a bachelor’s degree program at an accredited US college or university.
2. Graduating no earlier than June 2025 and no later than December 2027.
3. Have legal work authorization in the U.S. on a permanent and ongoing basis without the need for sponsorship now or in the future.</t>
  </si>
  <si>
    <t>Talent Management Intern</t>
  </si>
  <si>
    <t>Oklahoma Water Resources Board</t>
  </si>
  <si>
    <t>Sustainability, Water</t>
  </si>
  <si>
    <t>Oklahoma County</t>
  </si>
  <si>
    <t>1. Must be enrolled in an institution of higher education and working toward an undergraduate degree, which shall include associate's degrees or certifications by the Oklahoma Department of Career and Technology Education, or a graduate degree.</t>
  </si>
  <si>
    <t>Pittsburgh Main Bo Pa</t>
  </si>
  <si>
    <t>HR Operations Intern</t>
  </si>
  <si>
    <t>Patelco Credit Union</t>
  </si>
  <si>
    <t>1. Excellent communication skills, both verbal and written.
2. Ability to work collaboratively and communicate effectively with employees and managers at all levels.
3. Ability to handle and maintain confidential details and records.
...</t>
  </si>
  <si>
    <t>1. Candidates must be in a student status in either an undergraduate or graduate program
2. Candidates should provide a resume demonstrating prior work history and coursework completed
3. Candidates must be able to be on-site at 1100 New York Avenue, NW Washington, DC, every other Monday and other days as required
...</t>
  </si>
  <si>
    <t>Human Resources Co-op/Intern- Summer 2025</t>
  </si>
  <si>
    <t>Timmonsville, SC</t>
  </si>
  <si>
    <t>1. Effective oral and written communication skills
2. Customer service and interpersonal skills
3. Computer skills (Microsoft Word, Excel and Power Point)
...</t>
  </si>
  <si>
    <t>Human Resources Internship- Fall 2024</t>
  </si>
  <si>
    <t>1. Currently pursuing a degree in Human Resources, Business Administration, Marketing, Communications, or a related field.
2. Strong interest in talent acquisition and employer branding.
3. Excellent verbal and written communication skills.
...</t>
  </si>
  <si>
    <t>Scientech Research</t>
  </si>
  <si>
    <t>Business Development, Financial Services</t>
  </si>
  <si>
    <t>1. Bachelor’s degree in HRM or studying toward a degree in Human Resources or related field.
2. Good understanding of full-cycle recruiting
3. Proficiency in Microsoft Office suite.
...</t>
  </si>
  <si>
    <t>Student Employee - Human Resources - Benefits</t>
  </si>
  <si>
    <t>1. Must be a current SHSU student and enrolled in six or more credit hours.
2. The ability to exercise a high level of confidentiality is required.
3. Requires a commitment to accuracy of data entry, attention to detail, time management, and organizational skills.</t>
  </si>
  <si>
    <t>HRIS Intern</t>
  </si>
  <si>
    <t>1. Current student pursuing a bachelor’s degree in one of the following: Human Resources, Information Systems, Data Analytics or related field
2. Must have exceptional verbal and written communication skills
3. Proficient in Microsoft Office Suite
...</t>
  </si>
  <si>
    <t>Scholar Recruitment Intern: Ft. Worth Campuses</t>
  </si>
  <si>
    <t>Uplift Education</t>
  </si>
  <si>
    <t>Communities, E-Learning</t>
  </si>
  <si>
    <t>1. Associates degree or higher preferred; relevant work experience may be substituted for degree preference; being an Uplift Alum may be substituted for degree preference
2. Effective organizational, communication and interpersonal skills
3. The ability to work independently and be self-motivated
...</t>
  </si>
  <si>
    <t>Talent &amp; Diversity Engagement Intern</t>
  </si>
  <si>
    <t>1. Currently pursuing a degree in Business Administration, Marketing, Human Resources or related field is a plus.
2. Are a champion of diversity, equity, and inclusion in the workplace with ideas for recruiting and supporting intern candidates from diverse backgrounds.
3. Are curious and excited to quickly learn the ins and outs of campus recruiting.
...</t>
  </si>
  <si>
    <t>Constellium</t>
  </si>
  <si>
    <t>Belleville, MI</t>
  </si>
  <si>
    <t>1. Actively pursuing an undergraduate or graduate degree in Human Resources or Human Resources-related field, or recently completed an HR degree
2. Strong organizational skills with ability to handle multiple tasks simultaneously and complete in a time efficient manner
3. Strong customer service/client-oriented skills
...</t>
  </si>
  <si>
    <t>Spring 2025 Management Trainee Intern RSW Fort Myers Airport</t>
  </si>
  <si>
    <t>1. Must be a rising Senior enrolled full time for the upcoming semester in a college or university. Graduating no later than August 2025
2. Must have a minimum of three months experience in sales, customer service, management or leadership.
3. Must have a valid driver's license with no more than 2 moving violations and/or at-fault accidents in the last 3 years.
...</t>
  </si>
  <si>
    <t>Spring 2025 Management Trainee Intern SRQ Sarasota Airport</t>
  </si>
  <si>
    <t>Graduate Assistant - Athletics, Wrestling</t>
  </si>
  <si>
    <t>University of Central Oklahoma</t>
  </si>
  <si>
    <t>1. Classified as a graduate student at the University of Central Oklahoma.</t>
  </si>
  <si>
    <t>Early Talent Analyst, Direct Hire I</t>
  </si>
  <si>
    <t>BNY Mellon</t>
  </si>
  <si>
    <t>1. Outstanding record of academic achievement (minimum cumulative GPA of 3.2)
2. Bachelor's Degree in finance, Economics, or a related field of study
3. Prior internship experience at a top-tier investment bank or consulting firm
...</t>
  </si>
  <si>
    <t>HR/Payroll Student Assistant</t>
  </si>
  <si>
    <t>1. This position is only open to current University of Maryland, College Park undergraduate students.
2. Proficient in Microsoft Office suite.
3. Must possess excellent communication skills and work in a team environment.</t>
  </si>
  <si>
    <t>2025 Summer Associate – Labor &amp; Employment</t>
  </si>
  <si>
    <t>1. Must be a 2L student enrolled in an accredited law school.
2. Strong academic performance.
3. Interest in labor and employment law.
...</t>
  </si>
  <si>
    <t>Disability and Neurodiverse Talent Community</t>
  </si>
  <si>
    <t>HR Solutions Graduate Intern</t>
  </si>
  <si>
    <t>1. Currently enrolled in an HR Masters or MBA program
2. Attending school while located in the Milwaukee area and available to work a minimum of 30-40 hours/week, year-round
3. Available to assist with evening and weekend events as needed
...</t>
  </si>
  <si>
    <t>Performance Solutions: Human Resource Intern</t>
  </si>
  <si>
    <t>1. Human Resources or Business student with a passion for HR.
2. At least 30 credit hours completed, 60 preferred.
3. Strong attention to detail.
...</t>
  </si>
  <si>
    <t>Talent Acquistion Intern</t>
  </si>
  <si>
    <t>1. Pursuing, or has earned, an undergraduate degree in an applicable field of study.
2. Flexible and adaptive with the ability to work well in a fast-paced environment with minimal direction.
3. Analytical, capable of developing and managing related reports and metrics.
...</t>
  </si>
  <si>
    <t>2025 Group Benefit Solutions (GBS) Underwriting Summer Internship Program - Chattanooga</t>
  </si>
  <si>
    <t>1. You must be a rising senior or graduate student pursuing a degree in Risk Management, Economics, Finance, Accounting, Mathematics, Data Analytics, Business Management
2. Proficiency with Microsoft office software such as Word and Excel</t>
  </si>
  <si>
    <t>2025 Group Benefit Solutions (GBS) Underwriting Summer Internship Program - Kansas</t>
  </si>
  <si>
    <t>2025 Group Benefit Solutions (GBS) Underwriting Summer Internship Program - Phoenix</t>
  </si>
  <si>
    <t>2025 Group Benefit Solutions (GBS) Underwriting Summer Internship Program - Farmington</t>
  </si>
  <si>
    <t>Farmington, CT</t>
  </si>
  <si>
    <t>2025 Group Benefit Solutions (GBS) Underwriting Summer Internship Program - Philadelphia</t>
  </si>
  <si>
    <t>Talent Acquisition Intern - 2024 Project Intern (BS/MS)</t>
  </si>
  <si>
    <t>1. Currently pursuing an Undergraduate or Master in HR or a related technical discipline
2. Oriented with a passion for learning and development, and full enthusiasm for human resources-related work.
3. Demonstrated understanding of the internet industry, previous work, or intern experience in HR is highly valued.
...</t>
  </si>
  <si>
    <t>Employment and Economic Empowerment Intern (Unpaid)</t>
  </si>
  <si>
    <t>1. Knowledge of employer expectations, job retention, and job search techniques
2. Ability to maintain confidentiality regarding client information
3. Strong verbal and written skills in English
...</t>
  </si>
  <si>
    <t>Best Point</t>
  </si>
  <si>
    <t>1. Current or recent enrollment in a graduate or undergraduate degree program with an interest and aptitude to work in Human Resources, or management/administrative fields
2. Ability to prioritize tasks and handle numerous assignments simultaneously
3. Highly proficient in Microsoft Office and internet applications</t>
  </si>
  <si>
    <t>Human Resources Co-Op</t>
  </si>
  <si>
    <t>Secant Technologies</t>
  </si>
  <si>
    <t>Telford, PA</t>
  </si>
  <si>
    <t>1. Currently enrolled in a Bachelor’s or master’s program in Human Resources, Business Administration, or a related field.
2. Strong interest in pursuing a career in Human Resources.
3. Excellent organizational skills and attention to detail.
...</t>
  </si>
  <si>
    <t>Year-Round HR Administration Intern</t>
  </si>
  <si>
    <t>1. Pursuing a degree in Human Resources, Business Management, Communication or related field.
2. Available for on-site responsibilities 3 days per week.
3. Excellent attention to detail and written communication skills.
...</t>
  </si>
  <si>
    <t>Leadership Development Program Intern - Human Resources (Starts May 2025)</t>
  </si>
  <si>
    <t>1. Willing and able to move anywhere in the U.S.A.
2. Receive a Master’s degree in Business, Human Resources Management, or other related discipline between May 2025 - June 30, 2026
3. U.S. Person (U.S. citizen, permanent resident, refugee or asylee) or eligible to obtain necessary export authorizations required</t>
  </si>
  <si>
    <t>Human Resources Intern (College Intern)</t>
  </si>
  <si>
    <t>Ohio Department of Medicaid</t>
  </si>
  <si>
    <t>1. Must be currently enrolled in an accredited college or university (undergraduate or graduate)</t>
  </si>
  <si>
    <t>2025 Summer Associate – Compensation &amp; Benefits</t>
  </si>
  <si>
    <t>1. Excellent academic credentials
2. Superior writing skills
3. Superior oral communication skills
...</t>
  </si>
  <si>
    <t>HR Specialist</t>
  </si>
  <si>
    <t>Toyoda Gosei North America Corporation</t>
  </si>
  <si>
    <t>1. Bachelor degree in business required, focus in Human Resources preferred
2. Minimum of two years of experience working in Human Resources function required
3. Proficiency using Microsoft Office Suites 2010 or newer is required
...</t>
  </si>
  <si>
    <t>Scouting Talents: Upload your profile and join the team!</t>
  </si>
  <si>
    <t>Truly Free</t>
  </si>
  <si>
    <t>Consumer Goods, Laundry and Dry-cleaning</t>
  </si>
  <si>
    <t>Behavor Analyst - Excellent employee benefit plan</t>
  </si>
  <si>
    <t>BUCKS COUNTY IU 22 SCHOOL DISTRICT</t>
  </si>
  <si>
    <t>1. A minimum of a Bachelor’s Degree and successful completion of two foundational courses in behavior analysis is required.
2. Internship in Behavior Analysis is flexible in duration, dependent upon whether the applicant’s experience standard is affiliated with a university approved practicum (750-1000 hours minimum) or whether they are seeking independent field work (1500 hours minimum).
3. The number of internship positions available each semester is dependent upon the number of returning interns, and the number of available mentors who are currently BCIU #22 employees, are hired as a behavior analyst, hold a current BCBA certification, and have been certified for at least 1 year.
...</t>
  </si>
  <si>
    <t>Pittstown, NJ</t>
  </si>
  <si>
    <t>Bath, PA</t>
  </si>
  <si>
    <t>North Brunswick, NJ</t>
  </si>
  <si>
    <t>Montgomery, PA</t>
  </si>
  <si>
    <t>Pennsauken, NJ</t>
  </si>
  <si>
    <t>Influencer Recruiter</t>
  </si>
  <si>
    <t>Choose</t>
  </si>
  <si>
    <t>1. Current enrollment in a Bachelor’s degree program in Marketing, Communications, Business Administration, or related field.
2. Curious and creative, you have interest in social media and influencer contents.
3. Excellent verbal and written communication skills.
...</t>
  </si>
  <si>
    <t>SalesEra</t>
  </si>
  <si>
    <t>1. Available for the work from anywhere remote internship
2. Can start internship immediately
3. Are available for at least 6 months
...</t>
  </si>
  <si>
    <t>Recruiting Coordinator Associate - Internship Fall 2024</t>
  </si>
  <si>
    <t>1. Currently enrolled in a bachelor’s or master’s degree program in Human Resources, Business Administration, Psychology, or a related field.
2. Proficient in Microsoft Suite.
3. Available to work 25+ hours weekly onsite in our Fort Myers Headquarters.
...</t>
  </si>
  <si>
    <t>Co-op, Crew Resources - Crew Bidding and Planning, (Spring, 2025)</t>
  </si>
  <si>
    <t>1. Actively enrolled in an undergraduate program - Bachelor's degree in-progress
2. Must have the ability to anticipate and plan for competing priorities while meeting strict deadlines
3. Must be able to communicate with pilots regarding proprietary, confidential, legal, complex, or sensitive issues
...</t>
  </si>
  <si>
    <t>Human Resources: Paid Internship</t>
  </si>
  <si>
    <t>American Plastics</t>
  </si>
  <si>
    <t>Innovation Management, Manufacturing</t>
  </si>
  <si>
    <t>1. Studying toward a degree in human resource management or related field.
2. Proven experience working in an office environment.
3. Proficiency in all Microsoft Office applications.
...</t>
  </si>
  <si>
    <t>National Board For Certified Counselors</t>
  </si>
  <si>
    <t>1. Adaptability – Ability to adjust to circumstances and think creatively.
2. Attention to Detail – Ability to pay close attention to detail for accuracy and thoroughness in completing work.
3. Collaboration and Teamwork – Ability to work cooperatively with other individuals and make valued contributions to the outputs of others in order to assist own team or project to achieve the required outputs.
...</t>
  </si>
  <si>
    <t>International Recruitment Specialist</t>
  </si>
  <si>
    <t>Oklahoma State University</t>
  </si>
  <si>
    <t>Education, Social Impact</t>
  </si>
  <si>
    <t>1. Bachelor's degree
2. One year of related work experience
3. Must have a valid passport and driver’s license
...</t>
  </si>
  <si>
    <t>1. Ability to read and interpret documents such as safety rules, policies and procedure manuals and operating instructions.
2. Excellent communication and organizational skills
3. Knowledge of HRIS – utilization and management
...</t>
  </si>
  <si>
    <t>Co-Op: HR Associate Generalist - Carol Stream, IL</t>
  </si>
  <si>
    <t>Carol Stream, IL</t>
  </si>
  <si>
    <t>1. Currently enrolled as a Senior level in college going for a degree in Human Resources or relevant degree from an accredited institution.
2. No relocation benefit is being offered for this position. Only candidates that currently reside within the immediate geographical area of 50 miles of Carol Stream, IL will be considered. Active Duty Military Service member candidates are exempt from the geographical area limitation.
3. Must be able to work in the United States without corporate sponsorship now and within the future</t>
  </si>
  <si>
    <t>Employee Engagement Specialist - Hybrid - Tampa</t>
  </si>
  <si>
    <t>Checkers &amp; Rally's</t>
  </si>
  <si>
    <t>1. 1 year of human resources experience or a combination of experience and education and internships.
2. Affinity for HR information systems and data.
3. Excellent ability to multi-task.
...</t>
  </si>
  <si>
    <t>HR - entry level opportunity</t>
  </si>
  <si>
    <t>Merritt Woodwork</t>
  </si>
  <si>
    <t>1. Excellent organizational skills and attention to detail.
2. Knowledge of office management systems and procedures.
3. Ability to operate general office equipment.
...</t>
  </si>
  <si>
    <t>College Recruitment Internship/CO-OP Opportunities (For 2025)</t>
  </si>
  <si>
    <t>Huitt-Zollars</t>
  </si>
  <si>
    <t>Nueces County, TX</t>
  </si>
  <si>
    <t>1. Student attending accredited universities
2. At least a junior standing
3. Interest in Architecture, Civil Engineering, Structural Engineering, Electrical Engineering, Mechanical Engineering, Surveying, Environmental Engineering, Landscape Architecture, or related fields</t>
  </si>
  <si>
    <t>1. Student with at least a junior standing attending an accredited university
2. Creative, team-oriented individual who thrives in a dynamic, collaborative, inclusive environment</t>
  </si>
  <si>
    <t>Fall 2024 - HRIS &amp; Benefits Intern</t>
  </si>
  <si>
    <t>1. You must be able to work on location, 20-24 hours per week
2. Intern for the full Fall term - September 4 - December 20, 2024
3. You must be a rising Junior or Senior at a local college/ university pursuing a bachelor's degree
...</t>
  </si>
  <si>
    <t>Diversity &amp; Inclusion Summit - San Francisco - College Program 2025</t>
  </si>
  <si>
    <t>1. Legal work authorization to work in the U.S. on a permanent and ongoing basis without the need for sponsorship now or in the future.</t>
  </si>
  <si>
    <t>Fall 2024 Economic Empowerment - Benefits Intern</t>
  </si>
  <si>
    <t>1. Current undergraduate, graduate student or less than 12 months out of school.
2. Fall (September, October, November): Minimum 20 hours/week for 3 months
3. Minimum 10 hours/week
...</t>
  </si>
  <si>
    <t>Recruiting Operations Intern</t>
  </si>
  <si>
    <t>CALSTART</t>
  </si>
  <si>
    <t>Environmental Consulting, Oil and Gas</t>
  </si>
  <si>
    <t>1. Currently pursuing or recently completed a degree in Human Resources, Business, Psychology, or a related field
2. Strong organizational skills and attention to detail
3. Excellent communication and interpersonal skills
...</t>
  </si>
  <si>
    <t>Public Benefits Intern (Unpaid)</t>
  </si>
  <si>
    <t>[Fall 2024] Office of People and Culture Internship</t>
  </si>
  <si>
    <t>1. Have some knowledge and interest toward modern and contemporary American art
2. Be people-focused, charismatic, and dedicate themselves to upholding the OPC’s values
3. Hold an interest in museum administration; previous museum experience not required
...</t>
  </si>
  <si>
    <t>Recruitment Internship (Business Development) (Paid)</t>
  </si>
  <si>
    <t>Ekcel Systems Inc</t>
  </si>
  <si>
    <t>1. Pursuing a bachelor's degree
2. Excellent communication and interpersonal skills
3. Ability to work independently and as part of a team
...</t>
  </si>
  <si>
    <t>Intern, Human Resources (HRBP) 1 1</t>
  </si>
  <si>
    <t>1. Candidate must be currently enrolled in an undergraduate or graduate degree program in Business, Human Resources, Organizational Psychology, or other related major and be returning to school upon completion of the assignment.</t>
  </si>
  <si>
    <t>Fall 2024 Management Trainee Intern - Western Suffolk County</t>
  </si>
  <si>
    <t>Commack, NY</t>
  </si>
  <si>
    <t>1. Must be at least 18 years old.
2. Must be a student in a Bachelor's degree program at a college/university, with an anticipated graduation date in December 2024.
3. The ability to operate a motor vehicle is an essential function of this position. Applicants must have a valid, unrestricted driver's license.
...</t>
  </si>
  <si>
    <t>Fall 2024 Management Trainee Intern - Eastern Suffolk County</t>
  </si>
  <si>
    <t>Riverhead, NY</t>
  </si>
  <si>
    <t>Fall 2024 Management Trainee Intern - Northern Queens</t>
  </si>
  <si>
    <t>Jamaica, NY</t>
  </si>
  <si>
    <t>Talent Relations &amp; Publicity Intern, SPT – Fall 2024</t>
  </si>
  <si>
    <t>1. Exceptional organizational and follow-through skills
2. Ability to adapt, multi-task, prioritize and handle tasks under pressure
3. Strong Interpersonal skills
...</t>
  </si>
  <si>
    <t>Refugee Cash Assistance Intern (Unpaid)</t>
  </si>
  <si>
    <t>1. Be fluent in a second language, strong preference for Spanish and/or Haitian Creole
2. Ability to work 10-20 hrs a week
3. Language: Strong preference for Spanish and/or Haitian Creole</t>
  </si>
  <si>
    <t>Summer Analyst - Human Resources</t>
  </si>
  <si>
    <t>1. Desire to excel within HR or an alternative investment manager
2. Relevant coursework
3. Minimum 3.5 GPA or equivalent
...</t>
  </si>
  <si>
    <t>Unigen</t>
  </si>
  <si>
    <t>Manufacturing, Professional Services</t>
  </si>
  <si>
    <t>Newark, CA</t>
  </si>
  <si>
    <t>1. High School Diploma
2. Effective communication skills
3. Advanced knowledge of Google Mail, Calendar, and intermediate knowledge of Microsoft Office.</t>
  </si>
  <si>
    <t>Human Resources Intern (FALL 2024 SEMESTER: PART-TIME)</t>
  </si>
  <si>
    <t>1. Currently enrolled in an undergraduate or graduate degree program from an accredited university
2. Formal college-level HR course work/knowledge of HR principles and best practices
3. Strong oral &amp; written communication skills
...</t>
  </si>
  <si>
    <t>Summer Internship - Administrative Assistant</t>
  </si>
  <si>
    <t>Konrad Technologies</t>
  </si>
  <si>
    <t>Consulting, Hardware</t>
  </si>
  <si>
    <t>1. Currently enrolled in a college or university program – preferably in Business Administration, Human Resources, Information Technology, Finance, or a related field.
2. Strong organizational skills and attention to detail.
3. Excellent verbal and written communication skills.
...</t>
  </si>
  <si>
    <t>[Fall 2024] Development Research Intern, IINE Boston</t>
  </si>
  <si>
    <t>IINE</t>
  </si>
  <si>
    <t>Career Planning, Consulting</t>
  </si>
  <si>
    <t>1. Interest in international, refugee, asylee, and/or immigrant issues.
2. Strong computer skills are essential.
3. Familiarity with research, especially in the context of resource reliability.
...</t>
  </si>
  <si>
    <t>[Fall 2024] Human Resources Intern, IINE Manchester</t>
  </si>
  <si>
    <t>1. Interest in international, refugee, asylee, and immigrant issues
2. Interest in human resources, systems, data, and networking
3. Ability to work respectfully in a multicultural environment
...</t>
  </si>
  <si>
    <t>1. Currently enrolled in a college program with a major in Human Resources, Psychology, Sociology, or a related field.
2. Strong attention to detail and commitment to maintaining accurate records.
3. Demonstrated ability to handle confidential information with discretion.
...</t>
  </si>
  <si>
    <t>[Fall 2024] Employment Services Intern, IINE Lowell</t>
  </si>
  <si>
    <t>1. Interest in international, refugee, asylee, and/or immigrant issues
2. Patience speaking with non-native English speakers/non-English speakers
3. Professionalism, discretion, and maturity in dealing with confidential information
...</t>
  </si>
  <si>
    <t>[Fall 2024] Employment Services Intern, IINE Manchester</t>
  </si>
  <si>
    <t>1. Interest in international, refugee, asylee, and/or immigrant issues
2. Patience speaking with non-native English speakers / non-English speakers
3. Professionalism, discretion, and maturity in dealing with confidential information
...</t>
  </si>
  <si>
    <t>Recruitment Intern - Unpaid</t>
  </si>
  <si>
    <t>McLaren Health Care</t>
  </si>
  <si>
    <t>Greater Lansing</t>
  </si>
  <si>
    <t>1. Actively pursuing a degree in business administration, health care administration, human resources, or related field
2. Internship must fit within school's degree program and graduation requirement</t>
  </si>
  <si>
    <t>HR Systems Intern</t>
  </si>
  <si>
    <t>Virginia Housing</t>
  </si>
  <si>
    <t>1. Understanding of relational databases
2. Be proficient in Microsoft Office Suite (Word, Excel, Outlook)
3. Have high attention to detail
...</t>
  </si>
  <si>
    <t>Intern - HR</t>
  </si>
  <si>
    <t>Regional Transportation District</t>
  </si>
  <si>
    <t>$15.32-$19.38 /h</t>
  </si>
  <si>
    <t>1. High school diploma or GED
2. Currently enrolled in a college degree granting academic program in good standing
3. Colorado residency
...</t>
  </si>
  <si>
    <t>Human Resources Intern, Chartwells Higher Ed / University of Pittsburgh</t>
  </si>
  <si>
    <t>1. Work closely with the human resources manager.
2. Work across department managers and manage expectations.
3. Create job postings.
...</t>
  </si>
  <si>
    <t>HR Summer Internship Program</t>
  </si>
  <si>
    <t>1. Currently pursuing a Graduate degree in HR/HR-related program
2. Strong problem-solving skills, critical thinking/sound judgement
3. Excellent communication/relationship skills
...</t>
  </si>
  <si>
    <t>Workforce Engagement Development Internship</t>
  </si>
  <si>
    <t>City and County of Denver</t>
  </si>
  <si>
    <t>$19.28-$21.79 /h</t>
  </si>
  <si>
    <t>1. Current enrollment in an accredited college program leading to a certificate, licensure, associates, bachelor’s, or higher degree in, or a recent graduate (completed specified program within 1 year of completion).
2. An interest in supporting the public health workforce
3. Outstanding written and verbal communication skills.
...</t>
  </si>
  <si>
    <t>Immanuel</t>
  </si>
  <si>
    <t>Assisted Living, Hospital</t>
  </si>
  <si>
    <t>$0-$19 /h</t>
  </si>
  <si>
    <t>1. High School Diploma/GED is required.
2. Obtained at least a sophomore status in a Bachelor degree program with completion of a minimum of 24 semester credit hours; or be enrolled in a Graduate degree program.
3. Currently enrolled at an accredited college or university.</t>
  </si>
  <si>
    <t>Human Resources Assistant Co-op</t>
  </si>
  <si>
    <t>Baldwin &amp; Shell Construction Company</t>
  </si>
  <si>
    <t>1. Current college student pursuing a Bachelor’s degree in Human Resources, or related field.
2. Proficient in Microsoft Outlook, PowerPoint, Excel, and Word.
3. Strong interpersonal, written, and verbal communications skills.
...</t>
  </si>
  <si>
    <t>Human Resource Fall Intern - Paid</t>
  </si>
  <si>
    <t>1. High School diploma or equivalent is required with at least 2 years of Human Resources experience.
2. Familiarity with and knowledge of basic Human Resources.
3. Proficient with Windows operating systems (Word, Excel, and PowerPoint, etc.).
...</t>
  </si>
  <si>
    <t>Walden Security</t>
  </si>
  <si>
    <t>1. Current student pursuing a Bachelor's or Master's degree in Human Resources, Business Administration, Management, or a related field.
2. Intermediate experience with MS Office and internet programs.
3. Strong collaboration and communication skills (verbal and written).
...</t>
  </si>
  <si>
    <t>Fall 2024 Internship - Recruitment Intern</t>
  </si>
  <si>
    <t>1. Pursuing a degree in Business/Sports Management or other related fields
2. Must receive at least one (1) credit for the onsite experience from an accredited College/University
3. Must be within good standing of your College/University</t>
  </si>
  <si>
    <t>Intern Team - Recruiting Intern</t>
  </si>
  <si>
    <t>1. Must be a college junior or senior, graduate student, or recent graduate (up to two years post grad)
2. Must be available to work 15-25 hours weekly for the duration of the internship program
3. Assist in resume reviews and phone screening processes
...</t>
  </si>
  <si>
    <t>Human Resources Student Internship</t>
  </si>
  <si>
    <t>Assuaged</t>
  </si>
  <si>
    <t>Education, Nutrition</t>
  </si>
  <si>
    <t>1. Currently pursuing a degree in Human Resources, Communications, or a related field.
2. Genuine passion for HR, and promoting healthier lifestyles.
3. A self-starter who is highly motivated and proactive.
...</t>
  </si>
  <si>
    <t>Orange Logic</t>
  </si>
  <si>
    <t>Asset Management, Digital Media</t>
  </si>
  <si>
    <t>1. Current enrollment in an accredited four-year college or university
2. Junior or senior class standing pursuing a degree in Human Resources, Business Administration, or related field
3. Exceptional writing and grammatical skills
...</t>
  </si>
  <si>
    <t>Case Manager Admissions</t>
  </si>
  <si>
    <t>Austin Area Urban League</t>
  </si>
  <si>
    <t>1. Associate’s Degree or equivalent experience in a related field.
2. Must have the ability to obtain approval from the Texas Workforce Commission as an Authorized Representative within 30 days of employment.
3. Demonstrated high degree of professionalism and customer service orientation.
...</t>
  </si>
  <si>
    <t>Human Resources Clerk (Entry-Level)</t>
  </si>
  <si>
    <t>Six Flags</t>
  </si>
  <si>
    <t>Amusement Park and Arcade, Media and Entertainment</t>
  </si>
  <si>
    <t>1. Proven ability to live the Six Flags Mantra and adhere to all grooming standards.
2. Excellent organizational skills and the ability to handle multiple projects simultaneously are vital to success.
3. Proven ability to use independent judgment and effectively prioritize.
...</t>
  </si>
  <si>
    <t>Career Opportunities: Junior Global Recruiter (5254)</t>
  </si>
  <si>
    <t>Eutelsat</t>
  </si>
  <si>
    <t>News, Satellite Communication</t>
  </si>
  <si>
    <t>ID</t>
  </si>
  <si>
    <t>1. Bachelor’s degree in human resources, Business Administration, foreign languages or a related field.
2. Fluency in English (essential) and proficiency in French (desirable).
3. Strong communication and interpersonal skills.
...</t>
  </si>
  <si>
    <t>Talent Acquisition Intern</t>
  </si>
  <si>
    <t>CMI Media Group</t>
  </si>
  <si>
    <t>Chesterbrook, PA</t>
  </si>
  <si>
    <t>1. Strong interest in talent acquisition and human resources.
2. Excellent communication and interpersonal skills.
3. Detail-oriented with strong organizational skills.
...</t>
  </si>
  <si>
    <t>1. Enrolled student in the advanced phase of your Master degree, preferably in Psychology, Business Management, Human Resources or in a related field.
2. First work experience in Human Resources.
3. Excellent multi-tasking and prioritization skills, with a high sense for quality and professional management of administration.
...</t>
  </si>
  <si>
    <t>Internal Manager in Training</t>
  </si>
  <si>
    <t>1. High School diploma or GED preferred.
2. Experience in retail sales preferred.
3. Experience to perform the essential duties, responsibilities and working in the conditions described below.
...</t>
  </si>
  <si>
    <t>Resource Management Intern</t>
  </si>
  <si>
    <t>1. Experience in resource management, project management or project coordination preferred
2. Experience with Microsoft Office Suite and Microsoft Project, with ability to utilize Microsoft Excel for project reporting
3. Experience with generating and coordinating schedules
...</t>
  </si>
  <si>
    <t>Talent Acquisition Intern 2024</t>
  </si>
  <si>
    <t>Cleveland, TN</t>
  </si>
  <si>
    <t>1. Enrolled at an accredited college or university majoring in an undergraduate or graduate Human Resources, Marketing, or business-related degree program.
2. Must be enrolled in a local college or university and within a reasonable commute of an Olin worksite if working part-time while completing courses
3. Must have an overall grade point average of 3.0 or higher on a 4.0 scale (Documentation required). Cumulative GPA on current institution transcript will be used in transfer college situations.
...</t>
  </si>
  <si>
    <t>Logicalis US</t>
  </si>
  <si>
    <t>Baltimore City County, MD</t>
  </si>
  <si>
    <t>1. Learn to become a master at sourcing top talents through utilizing innovative strategies to identify potential candidates through various channels, including job boards, social media, and networking events.
2. Support on screen resumes and conduct initial candidate assessments to ensure alignment with job requirements and cultural fit;
3. Ensure best possible experience from both a candidate and hiring manager perspective by ensuring timeliness of updates, market intelligence and quality of resumes provided.
...</t>
  </si>
  <si>
    <t>2025 2L Coleman Fellowship</t>
  </si>
  <si>
    <t>O'Melveny &amp; Myers</t>
  </si>
  <si>
    <t>$0-$50000 /yr</t>
  </si>
  <si>
    <t>1. Cover letter
2. Resume
3. Undergraduate and law school transcripts
...</t>
  </si>
  <si>
    <t>Admissions Student Recruiter - Hybrid Role</t>
  </si>
  <si>
    <t>Sonoran University of Health Sciences</t>
  </si>
  <si>
    <t>1. Bachelor’s degree in education, Marketing, Psychology, Communication, Business Administration, etc. or a related field
2. Knowledge and experience working in Salesforce and or other CRM tools
3. One year experience in admissions, recruitment, or retention desired
...</t>
  </si>
  <si>
    <t>1. In a human resource management program or studying toward a degree in human resource management or related field.
2. Proven experience working in an office environment.
3. Proficiency in all Microsoft Office applications.
...</t>
  </si>
  <si>
    <t>Human Resources Co-op Fall 2024</t>
  </si>
  <si>
    <t>Ferguson Construction Co.</t>
  </si>
  <si>
    <t>1. Must be enrolled in a college institution majoring in Human Resources, Business, or related field.</t>
  </si>
  <si>
    <t>HR Talent Development Intern</t>
  </si>
  <si>
    <t>1. Typically requires a bachelor's degree and 0 to 2 years of experience.
2. Oral and written communication skills.
3. Ability to build collaborative relationships.
...</t>
  </si>
  <si>
    <t>Summer Associate, Client Service, 2025</t>
  </si>
  <si>
    <t>AlphaSights</t>
  </si>
  <si>
    <t>Information Services, Knowledge Management</t>
  </si>
  <si>
    <t>$14423-$14423 internship</t>
  </si>
  <si>
    <t>1. Undergraduate Junior (Class of 2026)
2. Track record of strong academic performance (minimum GPA of 3.3)
3. Extracurricular achievement throughout school and university
...</t>
  </si>
  <si>
    <t>Incentive Compensation Intern</t>
  </si>
  <si>
    <t>Watsonville, CA</t>
  </si>
  <si>
    <t>1. High School diploma required and current enrollment at an accredited institution of higher learning such as a college or university.
2. Business Management, Human Resources or closely related degree.
3. Excellent verbal and written skills
...</t>
  </si>
  <si>
    <t>HR Business Partner Intern E (Plano, TX)</t>
  </si>
  <si>
    <t>1. Bachelor’s degree in Human Resources, Business Management or equivalent area</t>
  </si>
  <si>
    <t>Associate, Human Resources Opportunity for 2025 BBA Grads</t>
  </si>
  <si>
    <t>SC Johnson</t>
  </si>
  <si>
    <t>1. Prior HR Internship experience.
2. Bachelor’s degree in Human Resources, Labor Relations, Psychology, Business, or related field.
3. Qualified candidates must be legally authorized to work in the United States without the need for current or future sponsorship for full-time employment.</t>
  </si>
  <si>
    <t>Front Desk Student Worker</t>
  </si>
  <si>
    <t>1. Current Student
2. Must be able to lift up to 50 pounds
3. Displays professionalism, maturity, and tact
...</t>
  </si>
  <si>
    <t>Yeshiva University</t>
  </si>
  <si>
    <t>1. Must be enrolled in a College or University studying toward a degree in Human Resource Management or related field
2. Strong Communication Skills
3. Proficiency in all Microsoft Office applications
...</t>
  </si>
  <si>
    <t>Morton Salt</t>
  </si>
  <si>
    <t>1. Bachelor's degree in Human Resources, Business Administration, or a related field in progress. Senior status preferred.
2. Desire for a long-term career in HR after completing degree.
3. Basic understanding of HR principles, practices, and employment laws preferred.
...</t>
  </si>
  <si>
    <t>Precision Value &amp; Health - Intern Talent Community</t>
  </si>
  <si>
    <t>Precision for Medicine</t>
  </si>
  <si>
    <t>1. College student looking to gain exposure and practical experience in the pharmaceutical industry
2. Internship opportunities across various disciplines including Account Services, Business Development, Clinical Services, Content, Consulting, Creative, Investor Relations, Program and Project Management, Strategy, Writing and Editorial
3. Ownership of meaningful projects
...</t>
  </si>
  <si>
    <t>CommuniCare Health Services</t>
  </si>
  <si>
    <t>1. College Senior or Junior working towards a degree in Human Resources Management
2. Highly proficient in MS Word, Power Point, and Excel: computer skills are strongly utilized in this position
3. Strong organizational skills
...</t>
  </si>
  <si>
    <t>ADMINISTRATIVE ASSISTANT HOURLY (INTERN)</t>
  </si>
  <si>
    <t>Compass Group</t>
  </si>
  <si>
    <t>Advice, Food and Beverage</t>
  </si>
  <si>
    <t>Jefferson City, TN</t>
  </si>
  <si>
    <t>1. Food Service Experience Required.
2. Answer telephones and direct inquires in a professional and client centric manner.
3. Maintain confidential personnel files.
...</t>
  </si>
  <si>
    <t>Human Resources - L&amp;D Intern (Fall 2024)</t>
  </si>
  <si>
    <t>Cedar Fair Entertainment Company</t>
  </si>
  <si>
    <t>Leisure, Lifestyle</t>
  </si>
  <si>
    <t>Doswell, VA</t>
  </si>
  <si>
    <t>1. MUST be actively pursuing a college degree or a recent college graduate within the last 6 months.
2. Flexibility with scheduling and an ability to work nights, weekends and holiday periods to meet business needs.
3. Good presentation/public speaking skills as well as confidence with speaking in front of large groups for long periods of time.
...</t>
  </si>
  <si>
    <t>Patient Recruitment Associate-Intern</t>
  </si>
  <si>
    <t>ICON plc</t>
  </si>
  <si>
    <t>1. Excellent communication – written and verbal skills
2. Experience in marketing or sales position will be considered an asset
3. Ability to creatively think for out of the box ideas on marketing and research promotion
...</t>
  </si>
  <si>
    <t>Recruiting &amp; Marketing Intern</t>
  </si>
  <si>
    <t>KC Metro Area</t>
  </si>
  <si>
    <t>$180-$500 /wk</t>
  </si>
  <si>
    <t>1. Involved on campus
2. Loves to network and build high-level relationships in the community
3. Highly self-motivated
...</t>
  </si>
  <si>
    <t>1. Working on a bachelor’s or master’s degree in Human Resources, Psychology, Business Management, or a related field; must be at least a senior in undergrad to be considered
2. Proficient computer knowledge and skills in Microsoft Office (Word, PowerPoint, Excel, and Outlook)
3. Excellent administrative and project management skills
...</t>
  </si>
  <si>
    <t>Professional Intern - Human Resources</t>
  </si>
  <si>
    <t>Entertainment Technology Partners</t>
  </si>
  <si>
    <t>Events, Information Technology</t>
  </si>
  <si>
    <t>1. Candidates must be enrolled in accredited college, university, or certification program.
2. Must work a minimum of 20 hours/week, but no more than 24 hours/week.
3. Proficient with the Microsoft Office Suite.
...</t>
  </si>
  <si>
    <t>Motor City Wash Works</t>
  </si>
  <si>
    <t>Local Business, Manufacturing</t>
  </si>
  <si>
    <t>Wixom, MI</t>
  </si>
  <si>
    <t>1. Enrolled in Bachelor's degree program for Human Resources or related field.
2. Advanced skills in Microsoft Word, Outlook and Excel; proficient in Microsoft PowerPoint.
3. Ability to prioritize workload, multi-task and work under pressure in a fast-paced environment.
...</t>
  </si>
  <si>
    <t>Internship - Human Resources Associate</t>
  </si>
  <si>
    <t>1. Full-time Student in Human Resource Development, Human Resource Management, Business, Psychology, or Sociology
2. Undergraduate or Graduate Student
3. Strong analytical and research skills
...</t>
  </si>
  <si>
    <t>Employer Engagement Coordinator</t>
  </si>
  <si>
    <t>1. Bachelor's degree
2. Superior interpersonal communication skills
3. Working knowledge of Microsoft office programs and tools
...</t>
  </si>
  <si>
    <t>Skillbridge Recruiting Intern (Transitioning Military)</t>
  </si>
  <si>
    <t>AMERICAN SYSTEMS</t>
  </si>
  <si>
    <t>1. Candidates must be eligible to participate in a SkillBridge program. If you are unsure if you are eligible, please visit the SkillBridge website or speak with your Unit Commander or Transition Coordinator.
2. Must have 180 days of military service or fewer remaining prior to your date of discharge and have at least 180 continuous days of active military service (as defined by the DOD SkillBridge eligibility requirements)
3. Must have approval from your unit commander to participate in a SkillBridge program (as defined by the DOD SkillBridge eligibility requirements)
...</t>
  </si>
  <si>
    <t>Fall 2024 WMG Emerging Talent Associate Program (WRMGO)</t>
  </si>
  <si>
    <t>Warner Music Group</t>
  </si>
  <si>
    <t>$16-$17.28 /h</t>
  </si>
  <si>
    <t>1. At least 18 years of age by September 3, 2024
2. Located within the United States for the duration of the program
3. Have access to housing and transportation within the designated city
...</t>
  </si>
  <si>
    <t>Talent Management &amp; Entertainment Internship - Fall 2024</t>
  </si>
  <si>
    <t>1. Excellent social media literacy (drafting captions, creating graphics, understanding of copy writing, etc)
2. Interest in a career related to talent management, agency, PR, digital, or production/casting
3. Experience and understanding of digital influencer/talent landscape strongly preferred
...</t>
  </si>
  <si>
    <t>Ozaukee County</t>
  </si>
  <si>
    <t>Government, Human Resources</t>
  </si>
  <si>
    <t>Port Washington, WI</t>
  </si>
  <si>
    <t>$14.13-$16.09 /h</t>
  </si>
  <si>
    <t>1. Prospective or current students receiving Bachelors or Masters Degree in business administration or human resources.
2. Previous experience working in a professional setting
3. Ability to work independently and manage multiple projects simultaneously
...</t>
  </si>
  <si>
    <t>Pivotal Housing Partners</t>
  </si>
  <si>
    <t>1. Current student studying Human Resources, Marketing, Communications, or other applicable field of study
2. Interest in learning more about Talent Acquisition
3. Ability to work autonomously; self-motivated
...</t>
  </si>
  <si>
    <t>USA - WI - Racine</t>
  </si>
  <si>
    <t>San Francisco - Embarcadero</t>
  </si>
  <si>
    <t>1. Sophomores, Juniors, or Seniors who attend College/University in the United States (Graduation year of 2025, 2026, 2027)
2. All majors are encouraged to apply
3. Preferably identify with an underrepresented group. Examples include, but not limited to: Racial or ethnic minority group, Lower income household (&lt;104k), First generation college student, Person with disabilities, Veteran, LGBTQ+
...</t>
  </si>
  <si>
    <t>Human Resources (HR) Intern</t>
  </si>
  <si>
    <t>College Internship - Talent Acquisition Intern</t>
  </si>
  <si>
    <t>City of Seattle</t>
  </si>
  <si>
    <t>$20.94-$25.68 /h</t>
  </si>
  <si>
    <t>1. Must be an undergraduate or graduate level student pursuing a degree in Business, Political Science, Political Policy, Human Resources, Public Administration, or other related field
2. Undergraduate students must be enrolled on either a part-time or full-time basis and maintain a 2.0 GPA for the duration of the internship
3. Graduate students must be enrolled on either a part-time or full-time basis and maintain a 3.0 GPA for the duration of the internship</t>
  </si>
  <si>
    <t>Dallas Diversity Equity and Inclusion Intern</t>
  </si>
  <si>
    <t>1. Must be currently enrolled (or a recent graduate) in an Associate’s, Bachelor’s or Master’s program focused on Women’s/Gender Studies, Public Health, Social Work, Art Therapy, Expressive Arts Therapy or a related field.
2. Must have driver’s license and reliable transportation (if seeking an in-person)
3. Strong communication and interpersonal skills
...</t>
  </si>
  <si>
    <t>Payroll Specialist Intern (HR Department)</t>
  </si>
  <si>
    <t>MINISO USA</t>
  </si>
  <si>
    <t>West Covina, CA</t>
  </si>
  <si>
    <t>1. Currently enrolled in a college/university or a recent graduate, preferably with a focus on Human Resources, Business Administration, Data Science, Accounting, Economics, Psychology, Sociology, Communication, Public Administration or related fields. (We welcome candidates from any major who are passionate about human resources!)
2. Strong organizational and time-management skills.
3. Excellent communication and interpersonal skills.
...</t>
  </si>
  <si>
    <t>AmeriCorps VISTAs : Communications and Learning &amp; Development</t>
  </si>
  <si>
    <t>Big Brothers Big Sisters of America</t>
  </si>
  <si>
    <t>1. Interested in a mission-driven organization
2. AmeriCorps Volunteers in Service to America (VISTAs) in Atlanta, GA and Tampa, FL
3. Fully Remote and must live in Atlanta, GA or Tampa, FL surrounding areas
...</t>
  </si>
  <si>
    <t>Undergrad Internship - Operations (Intra-Semester)</t>
  </si>
  <si>
    <t>Amgen</t>
  </si>
  <si>
    <t>$24.70-$28.30 /h</t>
  </si>
  <si>
    <t>1. 18 years or older
2. Currently enrolled in a full-time Bachelor’s Degree program from an accredited college or university with a 3.0 minimum GPA or equivalent
3. Completion of one year of study from an accredited college or university prior to the internship commencing
...</t>
  </si>
  <si>
    <t>Sherwin-Williams</t>
  </si>
  <si>
    <t>1. Must be at least 18 years of age
2. Must be legally authorized to work in country of employment without sponsorship for employment visa status now or in the future
3. Must be currently enrolled in an accredited four-year college or university at the time of the internship
...</t>
  </si>
  <si>
    <t>Scram Systems</t>
  </si>
  <si>
    <t>Sharonville, OH</t>
  </si>
  <si>
    <t>1. Currently pursuing or recently completed a degree in Human Resources, Business Administration, or a related field
2. Strong interest in pursuing a career in Human Resources
3. Excellent communication and interpersonal skills
...</t>
  </si>
  <si>
    <t>1. Currently studying HR, Business, or related field at the collegiate level
2. Good computer skills and a working knowledge of Microsoft Office products required
3. Excellent organizational skills and high level of attention to detail
...</t>
  </si>
  <si>
    <t>Diversity, Equity and Inclusion Intern - Fall Recruitment (Hybrid - DC, MD, VA Only)</t>
  </si>
  <si>
    <t>CareFirst</t>
  </si>
  <si>
    <t>$18720-$26000 /yr</t>
  </si>
  <si>
    <t>1. This internship is for a motivated, undergraduate or graduate level student interested in a career in Diversity, Equity and Inclusion.
2. Education Level: This position requires an individual working towards at least a bachelor's degree from an accredited College or University.
3. Experience: Junior or Senior Undergraduate student targeting majors in Diversity Equity and Inclusion, Human Resources, Business Administration, Psychology or related studies with a cumulative GPA of 3.25 or above.
...</t>
  </si>
  <si>
    <t>Learning &amp; Development Internship</t>
  </si>
  <si>
    <t>APCO Worldwide</t>
  </si>
  <si>
    <t>1. Recent college graduate or senior in class standing
2. Excellent communication/customer service skills
3. Collaborative team player who also can work independently and be a self-starter, take initiative, and set priorities
...</t>
  </si>
  <si>
    <t>HR Intern - Organizational Development</t>
  </si>
  <si>
    <t>$17.50-$20.50 /h</t>
  </si>
  <si>
    <t>1. Candidate must be a full-time college student or recent graduate, in their sophomore year or greater, working towards a Bachelor’s Degree in Human Resources or Business with a concentration in HR Management
2. Experience in administrative support, HR, or customer service is an asset
3. High proficiency with standard office computer technology such as Microsoft Office (Microsoft Excel, Word, Outlook and PowerPoint) and the internet (ie: online research skills)
...</t>
  </si>
  <si>
    <t>2025 2L Diversity &amp; Inclusion Scholarship, Labor &amp; Employment (Chicago, IL; Los Angeles, CA; San Francisco, CA)</t>
  </si>
  <si>
    <t>Vedder Price</t>
  </si>
  <si>
    <t>$50000-$50000 /yr</t>
  </si>
  <si>
    <t>1. Rising second-year law student
2. Background or experience contributing to diversity of Vedder Price and legal profession
3. Geographic tie to Chicago, Los Angeles, or San Francisco office
...</t>
  </si>
  <si>
    <t>Flatiron Construction</t>
  </si>
  <si>
    <t>Chino, CA</t>
  </si>
  <si>
    <t>1. Must be currently pursuing a Bachelor degree in Human Resources Management, Business or related major, from an accredited university.
2. Must be results oriented, high initiative, ability to influence others and work in a team environment
3. Strong computer skills including MS Office applications
...</t>
  </si>
  <si>
    <t>People Scientist</t>
  </si>
  <si>
    <t>Jerry</t>
  </si>
  <si>
    <t>Artificial Intelligence (AI), Auto Insurance</t>
  </si>
  <si>
    <t>1. Master’s Degree in IO or Cognitive Psychology, Learning Sciences, or Human Resources
2. Previous internship or work experience in HR preferred</t>
  </si>
  <si>
    <t>Tectonic Engineering &amp; Surveying Consultants, P.C.</t>
  </si>
  <si>
    <t>Mountainville, NY</t>
  </si>
  <si>
    <t>1. Should be currently pursuing an Associate’s Degree or Bachelor’s Degree in Business Administration, with a demonstrated interest and basic understanding of HR
2. Ability to work in a flexible way that allows for changes in assignments and priorities depending upon identified needs of the department and the Company
3. Excellent computer skills, especially in Microsoft Office Suite
...</t>
  </si>
  <si>
    <t>HR Culture and Inclusion Intern</t>
  </si>
  <si>
    <t>Nu Skin</t>
  </si>
  <si>
    <t>Provo, Utah</t>
  </si>
  <si>
    <t>1. Currently enrolled in a university degreed program. Preferably Experience Design
2. Organizational Skills and ability to self-manage project work
3. Customer service focused
...</t>
  </si>
  <si>
    <t>Graduate Administrative Assistant, College of Sciences and Technology</t>
  </si>
  <si>
    <t>University of Houston, Downtown</t>
  </si>
  <si>
    <t>$12-$higher /h</t>
  </si>
  <si>
    <t>1. Must be an active UHD MS in Data Analytics student in good standing taking at least 2 courses per long semester</t>
  </si>
  <si>
    <t>Specialist Student Records</t>
  </si>
  <si>
    <t>Austin Independent School District</t>
  </si>
  <si>
    <t>Fall 2024 WMG Emerging Talent Associate Program (300 Elektra Entertainment)</t>
  </si>
  <si>
    <t>Fall 2024 WMG Emerging Talent Associate Program (Atlantic Records)</t>
  </si>
  <si>
    <t>Alumni Relations Intern</t>
  </si>
  <si>
    <t>Troutman Pepper</t>
  </si>
  <si>
    <t>1. Current enrollment towards a Bachelor’s degree or any combination of training, education, and experience that demonstrates ability to perform the essential duties of the position.</t>
  </si>
  <si>
    <t>Intern, Recruiting - Business Development</t>
  </si>
  <si>
    <t>1. Relevant college coursework in international development, political science, area studies, international business or other relevant fields.
2. Demonstrated interest in international development and desire to learn first-hand about it by building strong relationships with prospective (and highly sought-after) development talent overseas.
3. Mastery of Microsoft Office tools required; experience with SharePoint, MS Teams, Boolean search on databases, and other relevant technical skills strongly preferred.
...</t>
  </si>
  <si>
    <t>Administrative Fellow - Talent - Full Time</t>
  </si>
  <si>
    <t>The Guthrie Clinic</t>
  </si>
  <si>
    <t>Sayre, PA</t>
  </si>
  <si>
    <t>1. Masters degree in health care administration, business administration or related discipline from an accredited graduate program</t>
  </si>
  <si>
    <t>HR Compliance Intern</t>
  </si>
  <si>
    <t>Golden Hippo</t>
  </si>
  <si>
    <t>1. Working towards a Bachelor’s degree in human resources, psychology or related fields.
2. Basic understanding of human resources policies and practices.
3. Ability to research, understand and communicate complex labor laws.
...</t>
  </si>
  <si>
    <t>Human Resources Assistant</t>
  </si>
  <si>
    <t>Agricultural Research Service</t>
  </si>
  <si>
    <t>Albany, CA</t>
  </si>
  <si>
    <t>$17.20 /h</t>
  </si>
  <si>
    <t>1. Must be a US Citizen or U.S. Permanent Resident.
2. Must be in good academic standing as defined by their academic institution.
3. Unofficial Transcript can be used when applying for the position.
...</t>
  </si>
  <si>
    <t>1. Must be at least 18 years old
2. Pursuing Bachelor or Associate Degree in Human Resources or related field
3. Minimum GPA of 3.0
...</t>
  </si>
  <si>
    <t>Intern, Human Resources</t>
  </si>
  <si>
    <t>1. Relevant college coursework in human resources, international development, political science, area studies, business administration or other relevant fields.
2. Excellent verbal and written communication skills
3. Strong organizational and prioritization skills with close attention to detail
...</t>
  </si>
  <si>
    <t>Alila</t>
  </si>
  <si>
    <t>Hotel, Resorts</t>
  </si>
  <si>
    <t>Big Sur, CA</t>
  </si>
  <si>
    <t>$23-$26 /h</t>
  </si>
  <si>
    <t>1. Bilingual - Spanish and English Speaking
2. Bachelor's degree or One year Human Resources experience - Required
3. A true desire to satisfy the needs of others in a fast-paced environment.
...</t>
  </si>
  <si>
    <t>PRG Real Estate</t>
  </si>
  <si>
    <t>1. Previous internship within HR or Payroll is strongly preferred
2. Organizational skills to enable effective management of multiple, shifting priorities
3. Ability to see a project through to completion
...</t>
  </si>
  <si>
    <t>Human Resources Intern (Year-Round) - Airport Warehouse</t>
  </si>
  <si>
    <t>1. High School diploma
2. Currently College Junior/Senior level pursuing Bachelor's degree in Human Resources, Organizational Development or related fields
3. Ability to maintain confidentiality of all aspects of job responsibilities
...</t>
  </si>
  <si>
    <t>Early Employment Intern (Fall 2024)</t>
  </si>
  <si>
    <t>1. Strong interest in working with international clients
2. Proficiency with resume writing and other employment related activities
3. Proven ability to work with consideration and respect for cross-cultural differences
...</t>
  </si>
  <si>
    <t>SITE HR ADMINISTRATION TRAINEE</t>
  </si>
  <si>
    <t>OPmobility</t>
  </si>
  <si>
    <t>1. Immediate availability.
2. Ability to work a minimum of 20-30 hours per week (to accommodate class schedule).
3. Currently pursuing a Bachelor's degree in HR or Business Administration
...</t>
  </si>
  <si>
    <t>Hiring Our Heroes Fellowship</t>
  </si>
  <si>
    <t>Clearway Energy Group</t>
  </si>
  <si>
    <t>1. Candidates participating in the current Hiring Our Heroes Fellowship cohort ONLY
2. Passion for renewable energy
3. Submission of current resume and position of interest for consideration
...</t>
  </si>
  <si>
    <t>HR Summer Intern - Early Career Program Development</t>
  </si>
  <si>
    <t>Moss &amp; Associates</t>
  </si>
  <si>
    <t>Association, Construction</t>
  </si>
  <si>
    <t>1. Proven exposure to student engagement and quantitative and qualitative research
2. Learner, self-starter, solution provider, adaptable resource, actively listens
3. More than intermediate knowledge and proficiency in PowerPoint, Word, and Excel, and exposure to the Microsoft Suite/Office
...</t>
  </si>
  <si>
    <t>Hourly Future Openings- Employment Application</t>
  </si>
  <si>
    <t>Marmon Aerospace &amp; Defense</t>
  </si>
  <si>
    <t>1. Aptitude, attitude, and entrepreneurial spirit
2. Completion of additional job-related screening processes
3. Equal opportunity employer
...</t>
  </si>
  <si>
    <t>Adjoint de direction en alternance à Olivet H/F</t>
  </si>
  <si>
    <t>emeis</t>
  </si>
  <si>
    <t>Olivet, IL</t>
  </si>
  <si>
    <t>1. Vous intégrez un master dans le domaine des Ressources Humaines ou de la direction d’établissement de santé
2. Vous recherchez l’utilité au quotidien et souhaitez contribuer à l’accompagnement des plus fragiles
3. Vous disposez de qualités relationnelles, d’adaptation, d’écoute
...</t>
  </si>
  <si>
    <t>Houston Office - 2025 2L Litigation Summer Associate</t>
  </si>
  <si>
    <t>Winston &amp; Strawn LLP</t>
  </si>
  <si>
    <t>1. Second-year law student
2. Interest in litigation
3. Excellent academic credentials
...</t>
  </si>
  <si>
    <t>Human Resources and Customer Service Intern at AT&amp;T Stadium</t>
  </si>
  <si>
    <t>1. Striving for a career in Human Resources and Customer Service
2. Seeking growth in industry knowledge</t>
  </si>
  <si>
    <t>Marmon Foodservice Technologies</t>
  </si>
  <si>
    <t>1. Aptitude, attitude, and entrepreneurial spirit
2. Ability to drive success
3. Commitment to attracting and retaining top talent</t>
  </si>
  <si>
    <t>1. Must be a full-time college Senior student enrolled in a bachelor's degree program (or part time if less than 12 credits remaining) and graduating by May 2025.
2. The internship will require a commitment to work 20 to 25 hours per week.
3. Must be authorized to work in the United States and not require work authorization sponsorship by our company for this position now or in the future.
...</t>
  </si>
  <si>
    <t>HR Intern - Southern California</t>
  </si>
  <si>
    <t>Consolidated Container Company</t>
  </si>
  <si>
    <t>1. Enrolled in an HR master’s or bachelor’s degree or related program.
2. A Minimum GPA of 3.0 is required.
3. Bilingual in Spanish
...</t>
  </si>
  <si>
    <t>Receptionist - Human Resources - Temporary Position</t>
  </si>
  <si>
    <t>Bellevue School District</t>
  </si>
  <si>
    <t>$28.92-$28.92 /h</t>
  </si>
  <si>
    <t>1. High school diploma or GED
2. Three (3) year’s previous experience in secretarial or related work
3. Knowledge of basic computer skills, such as Microsoft Office or 365 and applications
...</t>
  </si>
  <si>
    <t>Internship &amp; Job Development Specialist</t>
  </si>
  <si>
    <t>Goodwill Industries of Kentucky</t>
  </si>
  <si>
    <t>Consumer, Email</t>
  </si>
  <si>
    <t>1. Bachelor’s Degree required. A degree in marketing, public relations, business administration, career counseling, workforce development or related field is preferred.
2. Previous experience in sales, marketing, human resources, or job development is a plus.
3. Previous experience working with young adults and/or individuals with barriers to employment is a plus.
...</t>
  </si>
  <si>
    <t>Human Resources Intern (Part-Time)</t>
  </si>
  <si>
    <t>Epic Piping</t>
  </si>
  <si>
    <t>1. Education: Currently pursuing a degree at an accredited university
2. Computer Skills: Proficient in Microsoft Office</t>
  </si>
  <si>
    <t>Internship- Human Resources</t>
  </si>
  <si>
    <t>1. Must be enrolled college student pursuing a degree in Human Resources, Organizational Development or other related field of study.
2. Must have strong communication skills, analytical skills, and computer skills.
3. Proficiency in MS Office is required, specifically MS Excel.</t>
  </si>
  <si>
    <t>Pop Mart</t>
  </si>
  <si>
    <t>Manufacturing, Retail</t>
  </si>
  <si>
    <t>1. Bachelor's degree in human resource management or studying toward a degree in human resource management or related field.
2. Experience with MS Office, Excel and PowerPoint
3. Have a good understanding of full-cycle recruiting
...</t>
  </si>
  <si>
    <t>Graduate Assistant -  Adult and Professional Studies</t>
  </si>
  <si>
    <t>Newman University</t>
  </si>
  <si>
    <t>$166.67-$166.67 /mon</t>
  </si>
  <si>
    <t>1. Must remain in good academic standing, which is a minimum cumulative GPA of 3.00
2. A criminal background check will be performed before the employment offer</t>
  </si>
  <si>
    <t>1. Current enrollment towards a Bachelor’s degree or any combination of training, education, and experience that demonstrates ability to perform the essential duties of the position.
2. Sound business judgment and ability to maintain a high level of confidentiality.
3. Exceptional attention to detail, organizational and communication skills.
...</t>
  </si>
  <si>
    <t>Join Pfizer’s Digital Hackathon Talent Community</t>
  </si>
  <si>
    <t>United States - New York - New York City</t>
  </si>
  <si>
    <t>1. Students must be authorized to work on a full time, permanent basis in the U.S.
2. Permanent work authorization in the United States is required.</t>
  </si>
  <si>
    <t>1. Must be at least a sophomore and actively seeking a Bachelor’s or Master’s degree in Human Resource Management with a cumulative GPA of 2.5 or greater.
2. Must have experience with PowerPoint, Excel, Word, Microsoft Teams, and Outlook.</t>
  </si>
  <si>
    <t>Employment Intern (UNPAID) Fall/Spring</t>
  </si>
  <si>
    <t>1. Minimum of 10 hours per week
2. Provide case management and employment services directly to clients enrolled in the Matching Grant program, helping them to achieve early self-sufficiency. Works closely with the Employment Specialists to ensure clients receive seamless and high quality services;
3. Serves as an advocate and resource for clients and provides equal treatment to all client groups in accordance with the agency's commitment to the dignity of all persons.
...</t>
  </si>
  <si>
    <t>Intern - Human Resources - Liebherr Mining</t>
  </si>
  <si>
    <t>1. Currently enrolled in a 4-year degree program with enough credits equivalent to a Junior with good academic standing in the field of Human Resources or related field of study.
2. Knowledge of employment law and governmental regulations.
3. Ability to work and communicate effectively with all levels of staff inside and outside the organization.
...</t>
  </si>
  <si>
    <t>Fall 2024 Internship - Human Resources</t>
  </si>
  <si>
    <t>Ohio History Connection</t>
  </si>
  <si>
    <t>Art, Government</t>
  </si>
  <si>
    <t>1. Must be enrolled in an academic program OR a recent graduate from an academic program (within one year)
2. Any majors accepted, but preference is with students seeking work in the museum and non-profit field
3. Experience with Microsoft Office preferred.
...</t>
  </si>
  <si>
    <t>Fall 2024 People Development Internship</t>
  </si>
  <si>
    <t>1. Currently pursuing a degree in Human Resources and in your junior/senior year
2. Strong communication skills, both written and verbal
3. Detail-oriented with strong organizational skills
...</t>
  </si>
  <si>
    <t>Saline, MI</t>
  </si>
  <si>
    <t>1. Completing a bachelor’s in human resources or business administration.
2. Able to learn on the fly and handle a fast-paced environment.
3. Excellent oral and written communication skills
...</t>
  </si>
  <si>
    <t>Intern-Human Resources</t>
  </si>
  <si>
    <t>1. Current status of enrolled in a Human Resources, Business, or a related field program (BS required, MS preferred)
2. Strong written and verbal communication skills (i.e. written communications, public speaking, etc)
3. Strong knowledge and interest of HR practices and current trends, particularly in the areas of D&amp;I and ERI
...</t>
  </si>
  <si>
    <t>2025 Human Resources Internship Program - Early Careers</t>
  </si>
  <si>
    <t>Human Resources Intern (Fall 2024)</t>
  </si>
  <si>
    <t>Loro Piana</t>
  </si>
  <si>
    <t>1. Proficiency in Microsoft Office (Word, Excel, PowerPoint).
2. Strong teamwork, communication, and problem-solving skills.
3. Detail-oriented with excellent organizational skills.
...</t>
  </si>
  <si>
    <t>Anchor Glass Container</t>
  </si>
  <si>
    <t>Shakopee, MN</t>
  </si>
  <si>
    <t>1. In process of obtaining a Bachelor’s degree in Human Resources or other related areas.
2. Proficient in Microsoft Office including Word, Excel, Power Point.
3. Must be able to communicate effectively with various levels of management within the company and externally.
...</t>
  </si>
  <si>
    <t>Hatboro-Horsham School District</t>
  </si>
  <si>
    <t>Horsham, PA</t>
  </si>
  <si>
    <t>1. Recruitment, posting positions, screening applications
2. Training and development support
3. Personnel file projects
...</t>
  </si>
  <si>
    <t>Intern (Talent Acquisition)</t>
  </si>
  <si>
    <t>CalOptima</t>
  </si>
  <si>
    <t>$47840-$64584 /yr</t>
  </si>
  <si>
    <t>1. High School diploma or equivalent required.
2. Enrolled in a college or university two- or four-year degree program, an accredited vocational institution or a graduate program with coursework in Business Administration, Human Services, Human Resources Management and/or related studies required.
3. A statement of interest for this internship (2 pages maximum).
...</t>
  </si>
  <si>
    <t>Application for Open Part-time Staff 2024-2025</t>
  </si>
  <si>
    <t>Salt Lake Community College</t>
  </si>
  <si>
    <t>1. Ability to communicate effectively with a broad range of people with a variety of abilities and backgrounds
2. Ability to maintain good working relationships across the College
3. Ability to work with all groups from a variety of academic, socioeconomic, cultural, and ethnic backgrounds, and with community college students, faculty, and staff, including those with disabilities</t>
  </si>
  <si>
    <t>HR Co-Op Student</t>
  </si>
  <si>
    <t>1. Desire to build a career in Human Resources.
2. Ability to establish and maintain effective working relationships with employees, supervisors, other departments, officials, and the public.
3. Self-starter with the ability to complete tasks without constant oversight.
...</t>
  </si>
  <si>
    <t>Downtown Denver</t>
  </si>
  <si>
    <t>Summer Analyst - Human Capital</t>
  </si>
  <si>
    <t>1. High school degree required.
2. Pursuing a degree with a concentration in Human Resources, Finance, Business is desirable.
3. Prior internship experience in asset management, wealth management, or investment banking experience a plus.
...</t>
  </si>
  <si>
    <t>Supplemental Benefit Intern</t>
  </si>
  <si>
    <t>Alignment Health</t>
  </si>
  <si>
    <t>1. Current enrollment in a bachelor’s or master’s degree program in Healthcare Administration, Public Health, Business Administration, or a related field.
2. Strong analytical and problem-solving skills with the ability to interpret data and draw meaningful conclusions.
3. Excellent communication, analytical and collaborative problem-solving skills
...</t>
  </si>
  <si>
    <t>Human Resources Support Specialist</t>
  </si>
  <si>
    <t>Becks Hybrids</t>
  </si>
  <si>
    <t>Agriculture</t>
  </si>
  <si>
    <t>Atlanta, IN</t>
  </si>
  <si>
    <t>1. Associates Degree
2. Must possess and maintain a valid driver’s license and insurable driving record as determined by Beck’s automobile insurance policy.
3. General understanding and use of office equipment.
...</t>
  </si>
  <si>
    <t>Domtar</t>
  </si>
  <si>
    <t>Manufacturing, Paper Manufacturing</t>
  </si>
  <si>
    <t>Plymouth, NC</t>
  </si>
  <si>
    <t>1. Must be enrolled in an accredited program or a recent graduate. Desired majors include Human Resources Management, Labor Relations, General Business or an interest in HR in Manufacturing.
2. Proficient with Microsoft Office applications.</t>
  </si>
  <si>
    <t>Recruitment Internship - Fall 2024</t>
  </si>
  <si>
    <t>Girl Scouts of Eastern Missouri</t>
  </si>
  <si>
    <t>Email, Non Profit</t>
  </si>
  <si>
    <t>Missouri River, MO</t>
  </si>
  <si>
    <t>1. Enrolled in a graduate, bachelor's or associate's degree program
2. Completed at least one (1) semester of college
3. Pursuing a degree relevant to the role</t>
  </si>
  <si>
    <t>2024-2025 Student Affairs Vice President Office, Student HR Assistant</t>
  </si>
  <si>
    <t>1. A current Human Resources Management student or a student in a related field
2. Intermediate level of Microsoft Word and Excel
3. Possess a high sense of responsibility and customer service skills
...</t>
  </si>
  <si>
    <t>1. College Student with coursework in Human Resources, Business Management, or related field.
2. Excellent verbal and written communication skills.
3. Strong organizational skills with proven ability to complete multiple tasks simultaneously.
...</t>
  </si>
  <si>
    <t>Houston Office – 2025 2L Transactions Summer Associate</t>
  </si>
  <si>
    <t>1. Second-year law student
2. Interest in transactions
3. Excellent academic credentials
...</t>
  </si>
  <si>
    <t>Global Human Resources Summer 2025 Associate</t>
  </si>
  <si>
    <t>1. A minimum of three years, full-time meaningful and related work experience is required
2. Candidates are required to be pursuing an MBA or Masters from an accredited college or university with a graduation timeframe between graduation date between November 2025 and August 2026.
3. Common areas of study include but are not limited to: industrial or organizational psychology, human resources management, communications, industrial labor relations, organizational development, or other related degrees.
...</t>
  </si>
  <si>
    <t>Intern, Distribution Center Recruiting (Part-Time)</t>
  </si>
  <si>
    <t>Abercrombie &amp; Fitch</t>
  </si>
  <si>
    <t>1. At least 18 years of age
2. Working towards a Bachelor’s degree (intern)
3. Detail oriented
...</t>
  </si>
  <si>
    <t>Global Human Resources Summer 2025 Analyst</t>
  </si>
  <si>
    <t>1. Candidates are required to be pursuing an undergraduate degree from an accredited college or university. Eligible candidates must have a graduation date between November 2025 and August 2026
2. Common areas of study included but are not limited to: Business, Industrial or Organizational Psychology, Human Resources Management, Industrial and Labor Relations, Organizational Development, Economics or other related degree
3. Candidates should possess a high level of intellectual curiosity, a drive for operational excellence and a commitment to achieving sustainable results.
...</t>
  </si>
  <si>
    <t>Human Resources Spring Co-Op</t>
  </si>
  <si>
    <t>1. Enrollment in a 4 year accredited degree program, working towards a BS in HR/Business or other applicable degree.
2. Must be a sophomore, junior or senior status.
3. Must possess working knowledge and experience with Microsoft Office programs
...</t>
  </si>
  <si>
    <t>New York Office - 2025 2L Summer Associate</t>
  </si>
  <si>
    <t>1. Second-year law student
2. Strongly leaning towards either litigation or transactions
3. Excellent academic credentials
...</t>
  </si>
  <si>
    <t>Silicon Valley Office - 2L Summer Associate Diversity Scholarship</t>
  </si>
  <si>
    <t>1. Second-year law student
2. Interest in joining the 2025 Summer Associate Program
3. Submit application form, resume, law school transcript, and a brief personal statement
...</t>
  </si>
  <si>
    <t>Assurance - Intern Summer 2025 (Donaldsonville)</t>
  </si>
  <si>
    <t>Donaldsonville, LA</t>
  </si>
  <si>
    <t>Silicon Valley Office - 2025 2L Litigation Summer Associate</t>
  </si>
  <si>
    <t>Miami Office - 2L Summer Associate Diversity Scholarship</t>
  </si>
  <si>
    <t>Supervisory Internal Revenue Agent (Examiner) - MSP, Direct Hire, 12 Month Register AMENDED</t>
  </si>
  <si>
    <t>Internal Revenue Service</t>
  </si>
  <si>
    <t>1. Must be a U.S. Citizen or National and provide proof of U.S. Citizenship.
2. Undergo a review of prior performance/conduct and an income tax verification.
3. Must successfully complete a background investigation, including a FBI criminal history record check (fingerprint check).
...</t>
  </si>
  <si>
    <t>HR Talent Acquisition Intern</t>
  </si>
  <si>
    <t>Hexion - Epoxy Business</t>
  </si>
  <si>
    <t>1. Pursuing a Bachelor's degree, preferably in human resources, marketing, communications or a related discipline.
2. Strong communication and interpersonal skills, with the ability to build rapport and engage with teams effectively.
3. Highly motivated and proactive, with a strong desire to learn and succeed in a process-driven environment.
...</t>
  </si>
  <si>
    <t>Recruitment Intern</t>
  </si>
  <si>
    <t>1. Processing applications and sending correspondences
2. Posting job descriptions and creating a recruiting history
3. Conducting telephone and personal interviews
...</t>
  </si>
  <si>
    <t>Technical Recruiter - New Grad</t>
  </si>
  <si>
    <t>Applied Intuition</t>
  </si>
  <si>
    <t>Autonomous Vehicles, Enterprise Software</t>
  </si>
  <si>
    <t>$72000-$84000 /yr</t>
  </si>
  <si>
    <t>1. A Bachelor’s degree from a reputable university
2. High EQ; is able to quickly build rapport with candidates and employees
3. Excellent written and verbal communication skills
...</t>
  </si>
  <si>
    <t>Empirical or Behavioral Research Fellows</t>
  </si>
  <si>
    <t>1. Already submitted an application for a Behavioral or Research Fellow position via the myHR Faculty Recruiting portal
2. Northwestern strongly recommends COVID-19 vaccinations and boosters for people who can obtain them
3. Equal Opportunity, Affirmative Action Employer of all protected classes, including veterans and individuals with disabilities
...</t>
  </si>
  <si>
    <t>$14423-$14423 /yr</t>
  </si>
  <si>
    <t>DEI SkillBridge Intern</t>
  </si>
  <si>
    <t>1. Currently an active Military member who is SkillBridge Internship eligible
2. Flexible and agile to balance multiple priorities in an innovative environment.
3. Willingness and ability to adapt to changing work situations.
...</t>
  </si>
  <si>
    <t>General Interest: Join Our Talent Community (San Francisco Bay Area)</t>
  </si>
  <si>
    <t>Altos Labs</t>
  </si>
  <si>
    <t>1. Fully vaccinated against COVID-19, subject to legally required exemptions
2. Equal employment opportunities to all employees and applicants for employment
3. Prohibits discrimination and harassment of any type without regard to various protected characteristics
...</t>
  </si>
  <si>
    <t>Join Our Early Talent Community</t>
  </si>
  <si>
    <t>Day One Biopharmaceuticals</t>
  </si>
  <si>
    <t>Fall 2024 Human Resources (HR) Undergraduate Internship</t>
  </si>
  <si>
    <t>Brennan Center for Justice</t>
  </si>
  <si>
    <t>1. Interest in human resources
2. Independent self-starter
3. Detail-oriented
...</t>
  </si>
  <si>
    <t>Fall 2024 Immigration Casework Intern</t>
  </si>
  <si>
    <t>1. Prefer students or recent graduates with interest and experience with USCIS forms
2. Must have reliable work hours and able to commit 3 days a week (9-5)
3. Able to work independently and under pressure with multiple tasks and competing deadlines
...</t>
  </si>
  <si>
    <t>Fall 2024 Employment Casework Intern</t>
  </si>
  <si>
    <t>1. Strong interest in working with an international population
2. Proficiency with employment related activities
3. Proven ability to work with consideration and respect for cross-cultural differences
...</t>
  </si>
  <si>
    <t>Milwaukee Brewers</t>
  </si>
  <si>
    <t>1. Currently or recently enrolled in a graduate or undergraduate degree program with an interest and aptitude to work in Human Resources, or related field
2. One to two years related experience and/or training; or equivalent combination of education and experience</t>
  </si>
  <si>
    <t>NexCare Health Systems</t>
  </si>
  <si>
    <t>Elder Care, Elderly</t>
  </si>
  <si>
    <t>1. At least 18 years of age or old
2. Currently enrolled in a four-year College/University program
3. Studying human resource management or a similar field
...</t>
  </si>
  <si>
    <t>Marlborough School</t>
  </si>
  <si>
    <t>1. Working towards a Degree in Human Resources Management or similar field.
2. High level of confidentiality required.
3. Experience with Google-Suite.
...</t>
  </si>
  <si>
    <t>Hunt Valley, MD</t>
  </si>
  <si>
    <t>1. Must be currently enrolled in an undergraduate or graduate degree program or be considered a recent graduate
2. Must be at least in your sophomore year of an accredited college/university
3. Must be a U.S. citizen or eligible to work in the U.S.
...</t>
  </si>
  <si>
    <t>Fall 2024 WMG Emerging Talent Associate Program (Warner Chappell Music)</t>
  </si>
  <si>
    <t>Fall 2024 WMG Emerging Talent Associate Program (Rhino &amp; Legal Shared Services)</t>
  </si>
  <si>
    <t>Fall 2024 WMG Emerging Talent Associate Program (Warner Music Nashville)</t>
  </si>
  <si>
    <t>Fall 2024 WMG Emerging Talent Associate Program (Warner Music Group Corporate)</t>
  </si>
  <si>
    <t>Fall 2024 WMG Emerging Talent Associate Program (Nonesuch &amp; Warner Records)</t>
  </si>
  <si>
    <t>Fall 2024 WMG Emerging Talent Associate Program (10K Projects)</t>
  </si>
  <si>
    <t>Naples, FL</t>
  </si>
  <si>
    <t>1. Must be in 3rd or 4th year of completing your Bachelor's Degree
2. Highly proficient in MS Office with advanced Excel skills
3. Ability to read, comprehend and analyze Collective Bargaining Agreements
...</t>
  </si>
  <si>
    <t>Workforce Development Operations intern</t>
  </si>
  <si>
    <t>Equinix</t>
  </si>
  <si>
    <t>Cloud Data Services, Data Center</t>
  </si>
  <si>
    <t>1. The ability to lift and carry 50 lbs. and are agile in manual dexterity (climb, stoop, et.) with or without an accommodation
2. The flexibility to work any assigned shift, off-schedule, fill in for workmate, respond to emergencies, holidays, nights etc.
3. A natural curiosity and strong troubleshooting skills
...</t>
  </si>
  <si>
    <t>Advisory Internship</t>
  </si>
  <si>
    <t>1. Authorized to work in the United States without sponsorship
2. Interest in future internship opportunities in Advisory service teams</t>
  </si>
  <si>
    <t>Co-op, Human Resources (Fall)</t>
  </si>
  <si>
    <t>1. Currently attending an accredited college or university
2. 3.0 Cumulative GPA or higher
3. Major in Human Resources Management, Business Management, or an Industrial &amp; Labor Relations
...</t>
  </si>
  <si>
    <t>1. Strong problem-solving and judgment skills.
2. High level of attention to detail and accuracy.
3. Strong organizational skills with the ability to manage multiple tasks and meet deadlines.
...</t>
  </si>
  <si>
    <t>USA - Los Angeles - 777 S. Santa Fe Ave</t>
  </si>
  <si>
    <t>USA - New York - 1633 Broadway</t>
  </si>
  <si>
    <t>Fall 2024 WMG Emerging Talent Associate Program (WMX &amp; WRMGO)</t>
  </si>
  <si>
    <t>Year Round Intern - Human Resources</t>
  </si>
  <si>
    <t>Union Pacific Corporation</t>
  </si>
  <si>
    <t>1. College credits equivalent to one year toward an undergraduate degree
2. Proficient verbal and written communication skills
3. Basic organization, prioritization and time/project management skills</t>
  </si>
  <si>
    <t>SAP iXp Intern - Customer Success Global HR Business Partner</t>
  </si>
  <si>
    <t>1. Strong collaboration and communication skills
2. Thinks broadly and strategically about issues and yet manages detail
3. Solves problems swiftly and independently, and constantly thinks on his/ her feet
...</t>
  </si>
  <si>
    <t>Employment Development Intern</t>
  </si>
  <si>
    <t>1. Must be currently enrolled in a graduate/undergraduate program, or have graduated less than 6 months ago
2. Ability to communicate clearly and effectively in English; fluency in additional foreign language preferred
3. Background check is required
...</t>
  </si>
  <si>
    <t>1. Currently enrolled Columbia University student
2. Bachelor's degree</t>
  </si>
  <si>
    <t>1. Bachelor's degree
2. Currently enrolled Columbia University student</t>
  </si>
  <si>
    <t>Human Resources- Web Portal Intern (Part Time, Temporary)</t>
  </si>
  <si>
    <t>Nicklaus Children's Health System</t>
  </si>
  <si>
    <t>1. Enrolled and in final year of an accredited undergraduate program in relevant field. Recent graduate students will also be considered.
2. Previous experience with SharePoint, Wix.com, or WordPress.com
3. Able to work a minimum of 20 hours weekly (M-F) and commit for a 9 to 12 month assignment.</t>
  </si>
  <si>
    <t>People Operations Coordinator</t>
  </si>
  <si>
    <t>Own Company</t>
  </si>
  <si>
    <t>1. Bachelor’s degree with a preferred focus in Human Resources, Psychology, or Business Information Systems
2. 1-2 years of experience (internships included) in an HR or data and systems-focused role
3. Experience with Workday or other HR systems is a plus
...</t>
  </si>
  <si>
    <t>Recruiting Support Intern - IT</t>
  </si>
  <si>
    <t>1. Student enrolled in University program with one to two full years remaining
2. Desire to learn corporate culture and commit for a year timeline
3. Customer focused – enjoys engaging with people via phone and written via email
...</t>
  </si>
  <si>
    <t>SpawGlass</t>
  </si>
  <si>
    <t>Civil Engineering, Commercial</t>
  </si>
  <si>
    <t>Selma, TX</t>
  </si>
  <si>
    <t>1. Currently pursuing a degree in Human Resources, Business, Communications, Psychology, or a related field
2. Proficiency in Microsoft Office Suite
3. Strong organizational, time management, and communication skills, with the ability to maintain confidentiality and work both independently and in a team environment
...</t>
  </si>
  <si>
    <t>Work Study Student - Office of Human Resources - Office Assistant (Fall 2024)</t>
  </si>
  <si>
    <t>1. Must be enrolled in six or more undergraduate credit hours at Georgia Southern University
2. Must be Federal Work eligible</t>
  </si>
  <si>
    <t>Penn Community Bank</t>
  </si>
  <si>
    <t>Perkasie, PA</t>
  </si>
  <si>
    <t>1. Completion of Junior Year of High School
2. Excellent customer service and communication skills
3. Ability to interact well with Team Members and customers
...</t>
  </si>
  <si>
    <t>Moonachie, NJ</t>
  </si>
  <si>
    <t>1. Must be currently enrolled in college as a Sophomore or Junior and studying towards a Bachelor’s or Master’s degree
2. Must bi-lingual in Spanish and English
3. Must be able to work in-office (hours are flexible)
...</t>
  </si>
  <si>
    <t>Werkstudent Recruiting Logistik (m/w/d)</t>
  </si>
  <si>
    <t>Rewe Group</t>
  </si>
  <si>
    <t>Food and Beverage, Sustainability</t>
  </si>
  <si>
    <t>1. Dein Studium im Bereich der Psychologie, Betriebswirtschaft, Sozialwissenschaften oder einem vergleichbaren Bereich.
2. Deine erste Praxiserfahrung, idealerweise aus einem Praktikum oder einer Werkstudententätigkeit.
3. Deine guten PC-Anwenderkenntnisse in den gängigen MS-Office-Produkten.</t>
  </si>
  <si>
    <t>HR Intern (Payroll)</t>
  </si>
  <si>
    <t>GrayMatter Systems</t>
  </si>
  <si>
    <t>Warrendale, PA</t>
  </si>
  <si>
    <t>1. Currently pursuing or recently completed a degree in Human Resources, Business Administration, or a related field
2. Ability to handle confidential information with discretion
3. Strong organizational skills and attention to detail
...</t>
  </si>
  <si>
    <t>Housing Assistant Intern</t>
  </si>
  <si>
    <t>1. Background in social work OR other related fields
2. Experience working with refugees/diverse populations
3. Motivated, flexible and ability to work independently, prioritize, and manage time effectively
...</t>
  </si>
  <si>
    <t>Steel Technologies</t>
  </si>
  <si>
    <t>1. Enrolled in a related Bachelor’s program
2. Available to work at least 10 hours per week
3. Proficient in Microsoft Office</t>
  </si>
  <si>
    <t>2024-2025 CARTA Deans Off, Student Human Resources Office Assistant</t>
  </si>
  <si>
    <t>1. At least 2 semesters of FIU work experience or related experience outside the University
2. Complete Appropriate HR trainings
3. Requires prior completion of FIU Service Excellence training or completion within first 30 days
...</t>
  </si>
  <si>
    <t>Intern - Enrollment Field Operations (Immediate Opening)</t>
  </si>
  <si>
    <t>IDEA Public Schools Enterprises</t>
  </si>
  <si>
    <t>WESLACO, TEXAS, United States</t>
  </si>
  <si>
    <t>1. High School Diploma
2. Able to work 20-25 hours a week including hours past 5pm and weekends
3. Strong organizational and communication skills with a positive attitude
...</t>
  </si>
  <si>
    <t>VIRTUAL "Networking in the City" with Next Step Auburn, Internship Program</t>
  </si>
  <si>
    <t>City of Auburn (Washington)</t>
  </si>
  <si>
    <t>Greater Seattle Area</t>
  </si>
  <si>
    <t>Human Resources Intern - Part time</t>
  </si>
  <si>
    <t>1. First consideration will be given to those applicants that apply within the first 14 days.
2. Comprehensive Benefits Please see Preferred Qualifications.
3. An Equal Opportunity / Affirmative Action Employer. Females, minorities, veterans, and persons with disabilities are strongly encouraged to apply.
...</t>
  </si>
  <si>
    <t>Fall Intern, Accreditation Analyst</t>
  </si>
  <si>
    <t>1. Currently enrolled in an accredited college or university
2. Advanced understanding of Excel
3. Experience with project coordination
...</t>
  </si>
  <si>
    <t>HR Intern II, Louisville, KY</t>
  </si>
  <si>
    <t>1. Must be enrolled in an undergraduate degree program and completed at least one year of college (over 30 semester hours)
2. Minimum 3.0 GPA required
3. Excellent computer skills with knowledge of Microsoft Office (including Outlook and Excel)</t>
  </si>
  <si>
    <t>Keches Law Group</t>
  </si>
  <si>
    <t>Law Enforcement, Legal</t>
  </si>
  <si>
    <t>Bridgewater, MA</t>
  </si>
  <si>
    <t>1. Current enrollment in a Bachelor’s degree program in HR Management or similar field.
2. Experience working in a fast-paced environment, multi-tasking, and delivering deadlines.
3. Ability to work independently.
...</t>
  </si>
  <si>
    <t>Research Cohort SPARC IBD Intern</t>
  </si>
  <si>
    <t>Crohn's &amp; Colitis Foundation</t>
  </si>
  <si>
    <t>Medical, Non Profit</t>
  </si>
  <si>
    <t>1. Candidate must have a Bachelor’s degree and be seeking to earn a Master’s in Health Sciences or related field.
2. Excellent oral and written communication skills.
3. Knowledge of Microsoft Office is required.
...</t>
  </si>
  <si>
    <t>Human Resources Business Partner Co-op Fall 2024</t>
  </si>
  <si>
    <t>1. Must have legal work authorization in the U.S.
2. Must be able to work Eastern Time Zone business hours Monday-Friday</t>
  </si>
  <si>
    <t>Intern - Assessment &amp; Testing - Psychological Consultation Center</t>
  </si>
  <si>
    <t>Pine Rest</t>
  </si>
  <si>
    <t>Byron Center, MI</t>
  </si>
  <si>
    <t>1. Must be enrolled in Master’s Level Psychology Program.</t>
  </si>
  <si>
    <t>Junior Human Resources Associate</t>
  </si>
  <si>
    <t>L'Oreal</t>
  </si>
  <si>
    <t>Somerset, NJ</t>
  </si>
  <si>
    <t>1. Candidates must have received a Bachelor’s degree within the last 12 months OR must have graduated with a Master’s degree within the last 12 months with no more than a 6-month gap in education history
2. Possess a 3.0 GPA or higher
3. Have excellent organizational skills, a keen eye for attention to detail and a proven ability to handle multiple tasks in a fast-paced environment
...</t>
  </si>
  <si>
    <t>1. Candidates must have received a Bachelor’s degree within the last 12 months OR must have graduated with a Master’s degree within the last 12 months with no more than a 6-month gap in education history
2. Possess a 3.0 GPA or higher
3. Prior internship or office experience preferred
...</t>
  </si>
  <si>
    <t>BWH Talent Acquisition Internship</t>
  </si>
  <si>
    <t>1. Currently pursuing an undergraduate degree in Business, Healthcare, Psychology, Human Resources or related field
2. Prior administrative experience with proficiency in the MS Office Suite
3. A desire to learn in a fast-paced environment
...</t>
  </si>
  <si>
    <t>Human Resources/Organizational Development Co-Op (Fall 2024 &amp; Spring 2025)</t>
  </si>
  <si>
    <t>$22 /h</t>
  </si>
  <si>
    <t>1. Must be currently enrolled in an accredited university and pursuing a bachelor’s or master’s degree in related discipline
2. Minimum preferred overall GPA of at least 3.0
3. Able to complete multiple rotations: Fall 2024 &amp; Spring 2025
...</t>
  </si>
  <si>
    <t>Intern - Human Resources</t>
  </si>
  <si>
    <t>2025 2L Summer Associate - Fort Wayne</t>
  </si>
  <si>
    <t>Faegre Drinker</t>
  </si>
  <si>
    <t>Consulting, Law Enforcement</t>
  </si>
  <si>
    <t>1. 2L law student
2. Strong academic records
3. Entrepreneurial spirits
...</t>
  </si>
  <si>
    <t>2025 2L Summer Associate - Indianapolis</t>
  </si>
  <si>
    <t>TEST COORD/INT SUB</t>
  </si>
  <si>
    <t>Guilford County Schools</t>
  </si>
  <si>
    <t>Education, Government</t>
  </si>
  <si>
    <t>$15.60-$15.60 /h</t>
  </si>
  <si>
    <t>HR Talent Acquisition Intern (m/f/x)</t>
  </si>
  <si>
    <t>1. Enrolled at a university or currently in gap year between Bachelor's and Master's degree in HR Management, Economics, or related field
2. Some initial experience working in HR
3. Thrive in a collaborative team environment
...</t>
  </si>
  <si>
    <t>Intern: Human Resources</t>
  </si>
  <si>
    <t>Odysea Aquarium LLC</t>
  </si>
  <si>
    <t>1. Comfortable being a member of a high performing team
2. Maintains a professional appearance and demeanor
3. Ability to multi-task
...</t>
  </si>
  <si>
    <t>Summer HR Internship</t>
  </si>
  <si>
    <t>ProAmpac</t>
  </si>
  <si>
    <t>Customer Service, Manufacturing</t>
  </si>
  <si>
    <t>$Not mentioned-$Not mentioned /h</t>
  </si>
  <si>
    <t>Fall 2024 Career Development Intern</t>
  </si>
  <si>
    <t>1. Strong interest in working with international clients
2. Proficiency with resume writing, LinkedIn and employment related activities
3. Proven ability to work with consideration and respect for cross-cultural differences
...</t>
  </si>
  <si>
    <t>Volunteer Services Administrative Intern</t>
  </si>
  <si>
    <t>Jewish Family Service of Colorado</t>
  </si>
  <si>
    <t>Events, Non Profit</t>
  </si>
  <si>
    <t>1. Preferably, completed or working toward the completion of a college degree in a related field such as Business Administration, Nonprofit Management, or Social Work.
2. Previous Internship or related experience in volunteer engagement and/or management is a plus.
3. Must be computer literate with knowledge of Microsoft Word, PowerPoint, and Excel.
...</t>
  </si>
  <si>
    <t>Federal Work Study- Human Resources Office Support</t>
  </si>
  <si>
    <t>2025 Summer Corporate Intern - Human Resources</t>
  </si>
  <si>
    <t>1. Must be enrolled full-time at a 4-year accredited university/college in one of the following degree programs: Human Resources or in Business with emphasis in Human Resources.
2. Must be pursuing a Bachelor's or Masters in Human Resources or in Business with an emphasis in Human Resources.
3. Minimum 2.8/4.0 Cumulative GPA (no rounding).
...</t>
  </si>
  <si>
    <t>Mason Life Internship</t>
  </si>
  <si>
    <t>Groundswell</t>
  </si>
  <si>
    <t>Groundswell 1 - McLean, Virginia (Greensboro Dr)</t>
  </si>
  <si>
    <t>1. Must be an active participant in the Mason LIFE Program</t>
  </si>
  <si>
    <t>Talent Intern (Influencer)</t>
  </si>
  <si>
    <t>Viral Nation</t>
  </si>
  <si>
    <t>1. Must have either recently graduated, or be currently enrolled in a program with some experience in a professional setting
2. Must have a basic understanding of talent management/talent representation of Social Media Influencers and/or Celebrities
3. Proficient in use of Google Suite, experience with data management tools a plus</t>
  </si>
  <si>
    <t>Recruitment Outreach Intern</t>
  </si>
  <si>
    <t>Per Scholas</t>
  </si>
  <si>
    <t>National, MD</t>
  </si>
  <si>
    <t>1. Excellent written communication, presentation, and customer service skills.
2. Strong emotional intelligence, persuasion, and influencing skills
3. Functional expertise in navigating Google Suite (Docs, Sheets, Slides, Forms, etc)
...</t>
  </si>
  <si>
    <t>Fall 2024 Employment Intern</t>
  </si>
  <si>
    <t>2025 Summer Human Resources Co-Op</t>
  </si>
  <si>
    <t>1. Full-time student pursuing a Bachelor's degree in Human Resources, Labor, Industrial Relations, Business, or related field
2. Proficiency in Microsoft Word, Excel, Power Point
3. Knowledge of basic office equipment
...</t>
  </si>
  <si>
    <t>Student, Human Resources - Columbus, OH (Spring 2025)</t>
  </si>
  <si>
    <t>2024-2025 Athletics, Student Football Recruiting Assistant</t>
  </si>
  <si>
    <t>1. Current FIU student and eligible for Federal Work Study
2. Ability to work flexible hours as needed
3. Ability to work occasional evenings, weekends</t>
  </si>
  <si>
    <t>Student, Talent Acquisition - Dublin, OH (Spring 2025)</t>
  </si>
  <si>
    <t>HR Analyst Internship</t>
  </si>
  <si>
    <t>1. Excellent verbal and written communication skills.
2. Strong analytical and problem-solving skills.
3. Thorough understanding of local, state, and federal laws involving employment, HR, and HR policies.
...</t>
  </si>
  <si>
    <t>Veolia Water Technologies &amp; Solutions</t>
  </si>
  <si>
    <t>1. Currently pursuing or recently graduated with a Bachelor’s Degree in Human Resources, Business or related field required.
2. 0-1 year of demonstrated experience supporting manufacturing or hourly client groups</t>
  </si>
  <si>
    <t>1. Pursuing a Bachelor's degree from four-year college or university with concentration in Human Resources Management, Business Administration or related field.</t>
  </si>
  <si>
    <t>UU Student HR Asst</t>
  </si>
  <si>
    <t>$12.02-$14 /h</t>
  </si>
  <si>
    <t>1. Two years of general office experience or equivalency (one year of education can be substituted for two years of related work experience)
2. Familiarity with general office equipment
3. Demonstrated organizational, computer, human relation, and effective communication skills
...</t>
  </si>
  <si>
    <t>Home Place, IN</t>
  </si>
  <si>
    <t>Volunteer Communications Specialist - AmeriCorps VISTA</t>
  </si>
  <si>
    <t>Partnership 4 Kids</t>
  </si>
  <si>
    <t>Career Planning, Education</t>
  </si>
  <si>
    <t>$877.66-$877.66 /wk</t>
  </si>
  <si>
    <t>1. High School Diploma/GED
2. Bachelor’s preferred
3. Driver's License (Required)
...</t>
  </si>
  <si>
    <t>Texas Tissue Converting</t>
  </si>
  <si>
    <t>Industrial, Packaging Services</t>
  </si>
  <si>
    <t>Conroe, TX</t>
  </si>
  <si>
    <t>1. High School Diploma or equivalent
2. Enrolled in a Human Resources Related Major or Minor
3. Ability to utilize Microsoft office products (Excel, Word, Office, etc.)
...</t>
  </si>
  <si>
    <t>Graduate Assistant, Human Resources</t>
  </si>
  <si>
    <t>Cumberland University</t>
  </si>
  <si>
    <t>1. Must maintain a 3.0 or above overall GPA
2. Must be enrolled in a graduate program at Cumberland University
3. Proficient in Microsoft Office programs
...</t>
  </si>
  <si>
    <t>Keystone Custom Homes</t>
  </si>
  <si>
    <t>1. Working toward a bachelor's degree in Human Resources or a related field
2. Strong organizational and communication skills
3. Enjoy working with HR software and databases</t>
  </si>
  <si>
    <t>Milwaukee-Wisconsin-United States of America</t>
  </si>
  <si>
    <t>Insurance Agent Recruiting Intern - Fall 2024 &amp; Spring 2025</t>
  </si>
  <si>
    <t>Farm Bureau Financial Services</t>
  </si>
  <si>
    <t>1. Be a current college student (Junior or Senior preferred), working toward a college degree in finance, marketing, management, communications, or a similar field.
2. Prior sales and phone experience preferred.
3. Sourcing and networking skills through recruiting and social media platforms.
...</t>
  </si>
  <si>
    <t>Organizational Development Internship</t>
  </si>
  <si>
    <t>1. Current student attending college/university in an undergraduate program with a focus in organizational development, human resources, healthcare, business or other related quantitative discipline.
2. Excellent interpersonal skills, with the ability to interact effectively with individuals at all levels within OSF Healthcare.
3. Proven ability to multi-task, manage multiple projects simultaneously, and maintain a high level of attention to detail</t>
  </si>
  <si>
    <t>Diversity &amp; Inclusion Research Intern (Fall 2024)</t>
  </si>
  <si>
    <t>1. Prefer candidates pursuing a Bachelor’s degree in Human Resources, Political Science, English, Communications, or a related field.
2. Ability to effectively and objectively communicate and work with internal and external customers, as well as strong organizational skills and a keen eye for detail.
3. Must be comfortable working autonomously and multi-tasking in a fast-paced environment with fluid deadlines.
...</t>
  </si>
  <si>
    <t>FCP Tribal Talent Program Participant</t>
  </si>
  <si>
    <t>Casino Queen Marquette</t>
  </si>
  <si>
    <t>Crandon, WI</t>
  </si>
  <si>
    <t>1. Must be enrolled member of Forest County Potawatomi Tribe
2. Must have a high school diploma or equivalent.
3. Proficient in Microsoft applications such as Word, Excel, One Note, Power Point, Outlook
...</t>
  </si>
  <si>
    <t>People Operations Intern</t>
  </si>
  <si>
    <t>1. Currently pursuing or recently completed a degree in Human Resources, Business Administration, or a related field.
2. Ability to handle confidential information with discretion.
3. Strong organizational skills and attention to detail.
...</t>
  </si>
  <si>
    <t>Human Resource Intern</t>
  </si>
  <si>
    <t>Northern Kentucky Water District</t>
  </si>
  <si>
    <t>Recycling, Sustainability</t>
  </si>
  <si>
    <t>1. Enrolled in undergraduate degree program as a Junior or Senior, or in a graduate degree program in a related field of study.
2. Basic experience in Human Resources preferred.
3. Valid Driver’s License
...</t>
  </si>
  <si>
    <t>HR Intern Fall 2024</t>
  </si>
  <si>
    <t>Kalahari</t>
  </si>
  <si>
    <t>Pocono Manor, PA</t>
  </si>
  <si>
    <t>1. Currently going to school with a focus on Human Resources/Hospitality management.
2. Organizational skills &amp; attention to detail.
3. English as first spoken language however, bi-lingual is helpful.</t>
  </si>
  <si>
    <t>Office Coordination Intern</t>
  </si>
  <si>
    <t>Hexagon Bio</t>
  </si>
  <si>
    <t>$24-$34 /h</t>
  </si>
  <si>
    <t>1. At least two years of relevant experience in a customer service oriented role.
2. Ability to work from our office in Menlo Park Monday-Friday, between the hours of 8:00 am - 5:00 pm.</t>
  </si>
  <si>
    <t>Student Office Assistant, Human Resources</t>
  </si>
  <si>
    <t>University of Montevallo</t>
  </si>
  <si>
    <t>Montevallo, AL</t>
  </si>
  <si>
    <t>1. High School Diploma or GED equivalent
2. Be self-directed and motivated
3. Adhere to strict ethical and legal requirements concerning confidentiality and protecting information
...</t>
  </si>
  <si>
    <t>Intern - Human Resources  San Diego Convention Center.</t>
  </si>
  <si>
    <t>Elmira, NY</t>
  </si>
  <si>
    <t>1. Enrolled in an undergraduate or graduate degree program in Human Resources or a related field
2. Basic understanding of labor laws
3. Familiarity with HRIS (Human Resources Information System) software is advantageous
...</t>
  </si>
  <si>
    <t>Intern - Human Resources  Las Vegas Convention Center</t>
  </si>
  <si>
    <t>Student Services/Working Papers Secretary (Job Grade 4)</t>
  </si>
  <si>
    <t>Allentown School District</t>
  </si>
  <si>
    <t>$33492-$33492 /yr</t>
  </si>
  <si>
    <t>1. Two to three years of related experience and/or training.
2. Ability to complete assigned administrative tasks accurately while maintaining strict confidentiality of human resources information in written, oral, and electronic format.
3. Ability to read and comprehend instructions, correspondence, and memos.
...</t>
  </si>
  <si>
    <t>Student Employment-Student Affairs</t>
  </si>
  <si>
    <t>Elizabeth City State University</t>
  </si>
  <si>
    <t>1. Must be currently enrolled as an ECSU student.</t>
  </si>
  <si>
    <t>2024/2025 Capital Markets, U.S. Pathways Diversity Award Program</t>
  </si>
  <si>
    <t>Royal Bank of Canada</t>
  </si>
  <si>
    <t>1. Passionate about a career in Capital Markets
2. Undergraduate student enrolled full-time at a U.S. college or university graduating between December 2026 and June 2027
3. Able to join for a 2026 summer internship</t>
  </si>
  <si>
    <t>Global Talent Sourcing Intern/HR Recruiting Intern</t>
  </si>
  <si>
    <t>1. Currently an undergraduate or master’s degree student in across any disciplines with a strong interest and passion in recruitment is preferred
2. Ideally with prior recruitment and/or sourcing experience with exposure to Boolean searches
3. Strong analytical skills, proficiency in gathering and analyzing information, and ability to identify problems through the information
...</t>
  </si>
  <si>
    <t>HR Student Office Assistant</t>
  </si>
  <si>
    <t>1. Must be enrolled at EKU
2. Basic knowledge of Microsoft Excel &amp; other Computer Skills
3. Confidentiality &amp; Compliance with applicable Laws &amp; Policies
...</t>
  </si>
  <si>
    <t>Human Resources Co-op/Intern- Spring 2025</t>
  </si>
  <si>
    <t>Flexible Administrative Support Temps (FAST) Roster</t>
  </si>
  <si>
    <t>Univresity of Idaho</t>
  </si>
  <si>
    <t>$7.25-$13 /h</t>
  </si>
  <si>
    <t>1. Available to work at least 20 hours per week between 7:30 AM and 5:00 PM, Monday-Friday
2. Duration of employment may range from one day to several months, full-time or part-time
3. Duties vary from light clerical/receptionist to more challenging secretarial/technical work and other professional work
...</t>
  </si>
  <si>
    <t>Ferrovial</t>
  </si>
  <si>
    <t>Construction, Facility Management</t>
  </si>
  <si>
    <t>1. 1-2 years' experience in office environment, preferably in Human Resources
2. Interest in Human Resources &amp; Recruiting
3. Excellent written and verbal communication skills
...</t>
  </si>
  <si>
    <t>Recruiting Intern</t>
  </si>
  <si>
    <t>Dominion Senior Living</t>
  </si>
  <si>
    <t>1. Possess a genuine heart and passion for serving.
2. Must have a task-oriented mind-set, self-starter, and positive attitude.
3. Demonstrated organizational and time management skills; ability to prioritize tasks.
...</t>
  </si>
  <si>
    <t>Loma Linda University Medical Center</t>
  </si>
  <si>
    <t>Loma Linda, CA</t>
  </si>
  <si>
    <t>1. Bachelor's Degree required
2. Must be a current student at Loma Linda University
3. Able to read, write, and speak with professional quality
...</t>
  </si>
  <si>
    <t>Fort Worth</t>
  </si>
  <si>
    <t>Intern-Volunteer</t>
  </si>
  <si>
    <t>1. Bachelor’s Degree
2. Master level student in Counseling, Marriage and Family Therapy or Social Work
3. 2 years of experience working with individuals and families
...</t>
  </si>
  <si>
    <t>Intern -Human Resources</t>
  </si>
  <si>
    <t>Doherty Enterprises</t>
  </si>
  <si>
    <t>Allendale, NJ</t>
  </si>
  <si>
    <t>1. Pursuing College Degree-preferably in Human Resources or related
2. Strong Organizational skills and an eye for detail
3. Proactive, self-starter
...</t>
  </si>
  <si>
    <t>Global People Support Internship (Remote &amp; Hybrid)</t>
  </si>
  <si>
    <t>1. Bachelor's degree must be completed or in progress for this internship, and applicants need to have completed at least two years of undergraduate study.
2. Mature orthodox Christian faith
3. Humble and resilient
...</t>
  </si>
  <si>
    <t>HR INTERN</t>
  </si>
  <si>
    <t>1. Pursuing a degree in Human Resources (Sophomore level)
2. Microsoft Office/Excel
3. Excellent Attention to Detail
...</t>
  </si>
  <si>
    <t>People &amp; Culture (Human Resources) Intern</t>
  </si>
  <si>
    <t>Lyric Opera of Chicago</t>
  </si>
  <si>
    <t>1. Currently pursuing an undergraduate degree in Business or Human Resources Management
2. Ability to apply sound judgment, creativity, and problem-solving skills to improve HR programs and operations
3. Strong verbal and written communication skills
...</t>
  </si>
  <si>
    <t>Talent Pipeline</t>
  </si>
  <si>
    <t>DuTrac Community Credit Union</t>
  </si>
  <si>
    <t>Iowa Junction, IL</t>
  </si>
  <si>
    <t>1. Skills and experience in a specific field</t>
  </si>
  <si>
    <t>1. Bachelor's degree
2. 0 to 2 years of experience
3. Oral and written communication skills
...</t>
  </si>
  <si>
    <t>1. Pursuing a bachelor’s degree in human resources, employment law, or related field and/or equivalent experience
2. Excellent verbal and written communication skills
3. Excellent interpersonal and customer service skills
...</t>
  </si>
  <si>
    <t>HR Management Development Associate</t>
  </si>
  <si>
    <t>Carroll County, KY</t>
  </si>
  <si>
    <t>$60000 /yr</t>
  </si>
  <si>
    <t>1. Bachelor’s degree in Human Resources or related years of work experience
2. General knowledge of employment and labor laws
3. Ability to think strategically
...</t>
  </si>
  <si>
    <t>Human Resource Generalist PRN</t>
  </si>
  <si>
    <t>Heart of Texas Region MHMR Center</t>
  </si>
  <si>
    <t>1. Must be a student in good standing at an accredited college or university, currently enrolled in an undergraduate major such as Human Resources, Organizational Psychology, or Business Administration.
2. Excellent computer skills with knowledge of Microsoft Office tools (Excel, Word, PowerPoint, and Outlook).
3. Must display excellent organizational skills, time management, confidentiality, and attention to detail.
...</t>
  </si>
  <si>
    <t>Co-op - (HR) University Relations - Fall 2024</t>
  </si>
  <si>
    <t>1. High school diploma or equivalent
2. Must be pursuing an academic degree in Human Resources or related field
3. Maintain a 2.5 GPA or higher per semester
...</t>
  </si>
  <si>
    <t>Skillbridge Intern - Human Resources</t>
  </si>
  <si>
    <t>Steampunk</t>
  </si>
  <si>
    <t>1. Active Duty Military
2. Is within 180 days of separation or retirement
3. Has received Unit Commander approval to participate in the DoD SkillBridge Program
...</t>
  </si>
  <si>
    <t>HR Fall Co-op 2024</t>
  </si>
  <si>
    <t>1. High School Diploma and enrolled in a college/university pursuing a BA/BS degree with a focus in Human Resources, Business Administration, or Social Sciences
2. Minimum of three months HR-related experience
3. Basic research
...</t>
  </si>
  <si>
    <t>HR Internship - Fall 2024</t>
  </si>
  <si>
    <t>Advanced Behavioral Health</t>
  </si>
  <si>
    <t>1. Currently Enrolled in an undergraduate program at an accredited college or university.
2. Excellent verbal and written communication skills.
3. Outstanding organizational, problem solving, and management skills.
...</t>
  </si>
  <si>
    <t>Refugee Career and Financial Coaching Intern - Fall 2024</t>
  </si>
  <si>
    <t>1. Prior experience and interest working with refugees and immigrants preferred.
2. Prior experience and interest in workforce development or related services preferred.
3. Ability to work independently and as a team member in a fast-paced, cross-cultural environment.
...</t>
  </si>
  <si>
    <t>Talent Intern - Fall 2024</t>
  </si>
  <si>
    <t>HCSS</t>
  </si>
  <si>
    <t>1. Currently enrolled in an accredited college/university and able to commute to our office during your internship
2. Cooperative and like to lend a helping hand to others
3. Detail-oriented, a problem solver, and a logical thinker
...</t>
  </si>
  <si>
    <t>GF Intern Administrative</t>
  </si>
  <si>
    <t>Refugee Employment and Skill-Building Intern - Fall 2024</t>
  </si>
  <si>
    <t>1. Current undergraduate, graduate student or less than 12 months out of school.
2. Minimum 24 hours per week, three-month commitment and three full working days per week; full-time 32-40 hours per week highly preferred.
3. Strong digital literacy skills and the ability to learn new software and tasks.
...</t>
  </si>
  <si>
    <t>Graduate Assistant-FWS</t>
  </si>
  <si>
    <t>Early Talent/Internship</t>
  </si>
  <si>
    <t>Quanterix</t>
  </si>
  <si>
    <t>1. Currently enrolled in a Bachelor's, Master's or PhD program
2. Interest in the life sciences, biotechnology, or healthcare industry
3. Strong academic performance
...</t>
  </si>
  <si>
    <t>Internship - Human Resources</t>
  </si>
  <si>
    <t>1. Basic PC skills
2. Attention to detail
3. Good written and verbal communication skills</t>
  </si>
  <si>
    <t>People Operations Internship (Fall 2024, Sept/Dec, On-site)</t>
  </si>
  <si>
    <t>Locus Robotics</t>
  </si>
  <si>
    <t>E-Commerce, Industrial Automation</t>
  </si>
  <si>
    <t>1. Enrolled in a Bachelor's degree program as a rising Senior or MBA student.
2. GPA of 3.0 or greater.
3. Proficiency with software applications including Microsoft Outlook, Excel, Word, Google Drive, Zoom.
...</t>
  </si>
  <si>
    <t>Capitol Broadcasting Company</t>
  </si>
  <si>
    <t>1. Studying toward a degree in human resource management or related field.
2. Proven experience working in an office environment.
3. Working knowledge of U.S. labor laws.
...</t>
  </si>
  <si>
    <t>Human Resources Intern - Dallas</t>
  </si>
  <si>
    <t>Texas Department of Transportation</t>
  </si>
  <si>
    <t>Mesquite, TX</t>
  </si>
  <si>
    <t>1. Must be a student in high school or other educational institution or accepted into a college, university or educational institution.
2. Must be at least 16 years of age
3. Some skill in using computers and applicable programs, applications, and systems
...</t>
  </si>
  <si>
    <t>Economic Empowerment Intern - Fall 2024</t>
  </si>
  <si>
    <t>HRD - Benefit and Compensation Team Intern</t>
  </si>
  <si>
    <t>1. Bachelor’s degree required, ideally in Human Resources, Organizational Development, Labor Relations, or other related majors
2. 0-2 years of HR related experience with strong interest and passion in HR as a career required
3. Be capable of multi-tasking and working in a fast-paced environment
...</t>
  </si>
  <si>
    <t>HR Training Internship</t>
  </si>
  <si>
    <t>PDQ</t>
  </si>
  <si>
    <t>Recipes, Restaurants</t>
  </si>
  <si>
    <t>1. Proficiency in video editing software: Adobe Premier Pro, Premier Rush, After Effects, etc.
2. Enthusiasm for our saucy vibe and dedication to quality that sets PDQ apart.
3. Genuine interest in Training and HR practices and a knack for bringing out the best in people.
...</t>
  </si>
  <si>
    <t>Refugee Employment Coordination Intern - Fall 2024</t>
  </si>
  <si>
    <t>1. Current undergraduate, graduate student or less than 12 months out of school.
2. Minimum 24 hours per week, three-month commitment and three full working days per week; full-time 32-40 hours per week highly preferred.
3. Able to work independently being self-motivated and mission driven to assist refugees and other humanitarian immigrants.
...</t>
  </si>
  <si>
    <t>2025 Human Resources Summer Internship</t>
  </si>
  <si>
    <t>1. Currently enrolled in a Bachelor's or Master's program in Human Resources, Business Administration, or related field
2. Ability to work full-time for 10 weeks during the summer
3. Interest in Human Resources and the food industry
...</t>
  </si>
  <si>
    <t>Bellwether Women's Mentorship Program</t>
  </si>
  <si>
    <t>Bellwether Asset Management</t>
  </si>
  <si>
    <t>El Segundo, CA / Salt Lake City, UT</t>
  </si>
  <si>
    <t>1. Undergraduate women at local universities
2. Interested in pursuing a career in real estate
3. Apply through the Bellwether website
...</t>
  </si>
  <si>
    <t>US-OH-Columbus</t>
  </si>
  <si>
    <t>Benefits Representative</t>
  </si>
  <si>
    <t>1. Passion for Independence: Seek the freedom to shape your career and lifestyle
2. Ambition: Fuel your journey with the ambition to achieve more than you ever thought possible
3. Adventure-Ready: Embrace new experiences and the thrill of exploring the world. If you’re ready to transform your life, apply now</t>
  </si>
  <si>
    <t>Intern Employment Support Specialist</t>
  </si>
  <si>
    <t>Goodwill NYNJ</t>
  </si>
  <si>
    <t>1. BA Level Intern
2. Strong verbal and written communication skills; and strong interpersonal skills.
3. Must be a team player and demonstrate a willingness to learn.
...</t>
  </si>
  <si>
    <t>HR Summer College Intern</t>
  </si>
  <si>
    <t>1. Above average level of experience with all Microsoft Office programs
2. Able to identify and assist in solving issues in a timely manner
3. Great communication skills
...</t>
  </si>
  <si>
    <t>Human Resources Admin (Intern)</t>
  </si>
  <si>
    <t>BlueScope Recycling</t>
  </si>
  <si>
    <t>Environmental Engineering, Mining</t>
  </si>
  <si>
    <t>Mansfield, OH</t>
  </si>
  <si>
    <t>1. Currently pursuing a degree in Human Resources, Business Administration, or related field.
2. Strong attention to detail and organizational skills
3. Proficiency in Microsoft Office Suite (Word, Excel, PowerPoint, Outlook)
...</t>
  </si>
  <si>
    <t>Utah Transit Authority</t>
  </si>
  <si>
    <t>$18.57-$18.57 /h</t>
  </si>
  <si>
    <t>1. Be currently enrolled in an accredited college or university, seeking at least an undergraduate degree in Communications, Sociology, Community Health, or a related field.
2. Must have at least a 2.0 GPA. (Must submit a transcript of grades and two letters of recommendation.)
3. Previous experience with community outreach and event planning and implementation is a plus.
...</t>
  </si>
  <si>
    <t>Recruiting Coordinator Intern</t>
  </si>
  <si>
    <t>1. Currently pursuing a degree in Human Resources, Business, or a related field.
2. Basic computer and Microsoft Office experience.
3. Strong communication and interpersonal skills.
...</t>
  </si>
  <si>
    <t>Jabil</t>
  </si>
  <si>
    <t>Horseheads, NY</t>
  </si>
  <si>
    <t>1. Enrolled in an undergraduate or graduate degree program in Human Resources or a related field
2. Prior experience working in an office &amp;/or manufacturing environment is preferred
3. Basic understanding of labor laws
...</t>
  </si>
  <si>
    <t>Technical Recruiter Internship</t>
  </si>
  <si>
    <t>VRPRO IT</t>
  </si>
  <si>
    <t>1. Good communication skills
2. Need someone interested to pursue career in IT Recruiting
3. Willing to support high volume recruitment activity
...</t>
  </si>
  <si>
    <t>Postdoctoral Fellows - Open Pool</t>
  </si>
  <si>
    <t>$45000-$65000 /yr</t>
  </si>
  <si>
    <t>1. Applicants must hold a Ph.D. degree in an appropriate discipline.</t>
  </si>
  <si>
    <t>Applied Medical Technology Inc.</t>
  </si>
  <si>
    <t>1. Currently enrolled in an accredited degree program and actively working toward a Bachelor’s degree in Human Resources Management or related field.
2. Overall 3.0 GPA or higher preferred.
3. Knowledge of Microsoft Office (Word, Excel, Outlook) required.</t>
  </si>
  <si>
    <t>AirClean Systems</t>
  </si>
  <si>
    <t>1. Currently enrolled in an accredited degree program and actively working toward a Bachelor’s degree in Human Resources Management or related field.
2. Overall 3.0 GPA or higher preferred.
3. Knowledge of Microsoft Office (Word, Excel, Outlook) required.
...</t>
  </si>
  <si>
    <t>Bright Harbor Healthcare</t>
  </si>
  <si>
    <t>Bayville, NJ</t>
  </si>
  <si>
    <t>1. Current student pursuing a degree in Human Resources or related field
2. Strong verbal and written communication skills
3. Proficiency in Microsoft Office applications
...</t>
  </si>
  <si>
    <t>ASPIRE TO ACHIEVE INSIGHT DAY | 22 OCTOBER | IN-PERSON</t>
  </si>
  <si>
    <t>1. Second and final year students from lower socio-economic backgrounds
2. Interest in a career in Finance</t>
  </si>
  <si>
    <t>Legacy Service Partners</t>
  </si>
  <si>
    <t>1. Currently pursuing a degree in Human Resources, Business Administration, Psychology, or a related field.
2. Strong interest in recruitment and talent acquisition.
3. Excellent communication and interpersonal skills.
...</t>
  </si>
  <si>
    <t>1. Current student at Columbia University and its affiliates
2. Strong interest in the mission of the research project
3. Willingness to work flexible hours to reach study participants
...</t>
  </si>
  <si>
    <t>Temp for MGMT 8010</t>
  </si>
  <si>
    <t>1. COVID-19 vaccination or a University authorized exemption is a requirement for all positions at the University of Pennsylvania
2. Background check may be required after a conditional job offer is made</t>
  </si>
  <si>
    <t>Temporary Worker</t>
  </si>
  <si>
    <t>1. COVID-19 vaccination is a requirement for all positions at the University of Pennsylvania
2. New hires are expected to be fully vaccinated before beginning work at the University
3. Temp will assist in both the RESPECT study and SKYLINE study including data entry, monitoring of participant activities, uploading study documents to web-interventions and conducting follow-up calls with participants after appropriate training</t>
  </si>
  <si>
    <t>1. Strong editing and proofreading abilities with excellent grammar, spelling and composition skills
2. Has completed courses in Human Resources/Communications
3. Self-motivated, displays initiative and ability to follow through with tasks to completion
...</t>
  </si>
  <si>
    <t>Practicante de Seguridad y Salud en el Trabajo</t>
  </si>
  <si>
    <t>Bogota</t>
  </si>
  <si>
    <t>1. Estudiante Universitario en: Sistema de gestión en seguridad y salud en el trabajo
2. Estudiante Universitario en: Gestión en seguridad y salud en el trabajo
3. Estudiante Universitario en: Salud laboral
...</t>
  </si>
  <si>
    <t>1. Rising College junior or senior or recent undergraduate
2. Minimum GPA 3.0
3. Highly organized, detail oriented, able to manage projects effectively and ability to be self-directed and take initiative
...</t>
  </si>
  <si>
    <t>CAP Summer Associate - US (2025)</t>
  </si>
  <si>
    <t>1. December 2025 or Spring/Summer 2026 undergraduate or master’s students (non-MBA)
2. Highly curious, analytical, and critical thinkers with demonstrated interest in investing
3. Ability and ambition to learn quickly and grow from experiences
...</t>
  </si>
  <si>
    <t>Working Student HR Business Partner (f/m/d)</t>
  </si>
  <si>
    <t>DE - Hamburg</t>
  </si>
  <si>
    <t>1. Student of a degree in Economics, Psychology or similar with an HR focus.
2. Initial experience in HR or project management.
3. Passionate about HR and eager to learn.
...</t>
  </si>
  <si>
    <t>Praktikant im Recruiting (w/m/d)</t>
  </si>
  <si>
    <t>1. Immatrikuliert im Bachelor oder Master der Wirtschafts-, Kommunikations- oder Sozialwissenschaften (idealerweise mit Schwerpunkt Personal), (Wirtschafts-) Psychologie oder im Gap Year zwischen Bachelor- und Master-Studium
2. Fit in MS Office sowie sehr gutes Deutsch und Englisch
3. Spaß und Interesse an Recruiting- &amp; HR-Themen
...</t>
  </si>
  <si>
    <t>I-2413.B - HR Co-Op Student</t>
  </si>
  <si>
    <t>Harvest Midstream</t>
  </si>
  <si>
    <t>Energy, Natural Resources</t>
  </si>
  <si>
    <t>1. Minimum of a 3.2 GPA.
2. Willing to work 20-29 hours a week
3. Ability to establish and maintain effective working relationships with employees, supervisors, other departments, officials, and the public.
...</t>
  </si>
  <si>
    <t>STAGE - RECRUTEMENT &amp; PROJETS RH H/F</t>
  </si>
  <si>
    <t>1. Être autonome et ne pas avoir peur de faire bouger les lignes
2. Être très rigoureux.se et ne jamais renoncer
3. Avoir le travail en équipe ancré en soi et apprécier travailler avec plusieurs personnes sur des sujets variés
...</t>
  </si>
  <si>
    <t>Praktikant Talent Acquisition (d/w/m)</t>
  </si>
  <si>
    <t>1. Du studierst Betriebswirtschaft, Sozialwissenschaften, Wirtschaftspsychologie oder eine andere vergleichbare kaufmännische Studienrichtung oder befindest dich gerade zwischen dem Bachelor oder dem Master (Gap Year)
2. Erste Erfahrungen mit MS Outlook
3. Sicherer Umgang mit Excel, Word und Power Point</t>
  </si>
  <si>
    <t>Beca Talento Corporativo</t>
  </si>
  <si>
    <t>1. Cursar último año de Grado en Derecho, ADE, Economía, Psicología, Estudios Internacionales, RRII o dobles grados que contengan alguna de las titulaciones anteriores o Máster en Recursos Humanos.
2. Nivel alto de inglés (tanto hablado como escrito), mínimo C1, se examinará durante el proceso de selección.
3. Posibilidad de incorporación inmediata.
...</t>
  </si>
  <si>
    <t>Join our Student Talent Network</t>
  </si>
  <si>
    <t>Keystone Strategy</t>
  </si>
  <si>
    <t>Boston, New York, San Francisco, Seattle</t>
  </si>
  <si>
    <t>Werkstudent / Praktikant (m/w/x) im Bereich HR Personalmarketing &amp; Recruiting</t>
  </si>
  <si>
    <t>1. Du befindest Dich mindestens im vierten Semester eines Wirtschafts-, sozialwissenschaftlichen oder eines vergleichbaren Studiengangs
2. Sehr gutes Deutsch und gutes Englisch beherrscht Du in Wort und Schrift
3. Routiniert gehst Du mit den gängigen MS-Office Programmen (Word, Excel, Power Point, Outlook) um
...</t>
  </si>
  <si>
    <t>FALL 2024 HUMAN RESOURCES CO-OP</t>
  </si>
  <si>
    <t>HR Apprentice</t>
  </si>
  <si>
    <t>1. Vous êtes étudiant(e) en M1 ou M2 en spécialisation RH
2. Vous êtes dynamique, curieux et créatif
3. Vous avez de bonnes capacités d'analyse
...</t>
  </si>
  <si>
    <t>Komodo</t>
  </si>
  <si>
    <t>1. Meaningful relationships with digital talent, creative agencies, and brands
2. A thorough knowledge of the ever-evolving social media landscape and best practices to grow talents’ various platforms
3. Attention to detail and exceptional organization
...</t>
  </si>
  <si>
    <t>Safe Observant Seniors (SOS) Intern [Unpaid]</t>
  </si>
  <si>
    <t>Family &amp; Children's Association</t>
  </si>
  <si>
    <t>1. Human Services or Business Majors accepted
2. Intermediate computer skills with MS Office required</t>
  </si>
  <si>
    <t>HR Intern - Summer 2024</t>
  </si>
  <si>
    <t>Butler, IN</t>
  </si>
  <si>
    <t>1. Pursuing a Bachelor’s degree in Marketing, Graphic Design, Communications, Business, or related degree
2. Proficient computer skills – experience with Microsoft Office, design program such as Adobe InDesign, Adobe Illustrator, Canvas, or Publisher
3. Ability to skillfully multitask
...</t>
  </si>
  <si>
    <t>Talent Acquisition Coordinator (apprenticeship)</t>
  </si>
  <si>
    <t>Pigment</t>
  </si>
  <si>
    <t>Analytics, Business Development</t>
  </si>
  <si>
    <t>1. Organized with great attention to detail
2. Ability to prioritize tasks and build out a weekly schedule
3. Good with tools and familiarity with job boards and applicant tracking systems
...</t>
  </si>
  <si>
    <t>1. Minimum of a 3.2 GPA
2. Willing to work 20-29 hours a week
3. Ability to establish and maintain effective working relationships with employees, supervisors, other departments, officials, and the public
...</t>
  </si>
  <si>
    <t>Summer Internship - Human Resources &amp; Talent Acquisition</t>
  </si>
  <si>
    <t>Hikma Pharmaceuticals</t>
  </si>
  <si>
    <t>1. Must be an Undergraduate, Graduate, or Professional Student in good academic standing.
2. Must have completed 12 credit hours within a related major and/or other related coursework.
3. Overall, cumulative GPA must be at least 3.0 (on 4.0 scale) or better.
...</t>
  </si>
  <si>
    <t>INTERNATIONAL RELOCATIONS INTERN</t>
  </si>
  <si>
    <t>1. Detail-oriented
2. Communication skills
3. Organization and time management skills
...</t>
  </si>
  <si>
    <t>Werkstudent (m/w/d) Strategic HR Management</t>
  </si>
  <si>
    <t>1. Mindestens noch ein Jahr im Studium Personalmanagement, (Wirtschafts-)Psychologie, Betriebswirtschaftslehre mit HR-Schwerpunkt oder einem vergleichbaren Studiengang immatrikuliert
2. Erste praktische Erfahrungen im Projektmanagement, Personalbereich oder anderen relevanten Bereichen
3. Strukturierte Arbeitsweise
...</t>
  </si>
  <si>
    <t>Praktikant (m/w/d) HR Development</t>
  </si>
  <si>
    <t>1. Studying Business Administration, Psychology, Educational Sciences, or a comparable course of study with a focus on HR
2. First experience in the HR field
3. Proficient in working with MS Office programs
...</t>
  </si>
  <si>
    <t>Praktikant Talent Acquisition (m/w/d)</t>
  </si>
  <si>
    <t>1. Studying in the field of Personalmanagement, (Business) Psychology, Business Administration with HR focus or a comparable course of study
2. Interest in holistic Talent Acquisition approach
3. Reliability and a friendly nature
...</t>
  </si>
  <si>
    <t>Graduate Assistant - Men's Hockey</t>
  </si>
  <si>
    <t>Franklin Pierce University</t>
  </si>
  <si>
    <t>Rindge, NH</t>
  </si>
  <si>
    <t>$4000-$8000 stipend</t>
  </si>
  <si>
    <t>1. Bachelors Degree required
2. Previous coaching experience and/or successful NCAA or Junior playing experience required
3. Strong organizational, time management, and communication skills
...</t>
  </si>
  <si>
    <t>Internship, Human Resources</t>
  </si>
  <si>
    <t>Care New England</t>
  </si>
  <si>
    <t>Association, Health Care</t>
  </si>
  <si>
    <t>1. High School degree
2. College level student required
3. Knowledge of personal computers, including word processing and statistical applications
...</t>
  </si>
  <si>
    <t>Intern, Human Resources-Recruiting &amp; Training (Fall 2024)</t>
  </si>
  <si>
    <t>1. Ability to handle and maintain the confidentiality of highly sensitive information
2. Strong work ethic, positive attitude and professional demeanor
3. Ability to work independently and as part of a team
...</t>
  </si>
  <si>
    <t>Co-op - Business - EHS - Finance - HR - Fall 2024</t>
  </si>
  <si>
    <t>CMC</t>
  </si>
  <si>
    <t>Agriculture, Construction</t>
  </si>
  <si>
    <t>1. Ability to work an 8-hour schedule, which may require some evening or weekend work
2. Ability to work in extreme heat
3. Must be able to lift up to 50 lbs
...</t>
  </si>
  <si>
    <t>Corporate Internship</t>
  </si>
  <si>
    <t>Tower Loan</t>
  </si>
  <si>
    <t>1. Currently enrolled in a bachelor's or master's degree program
2. Strong academic performance with a minimum GPA of 2.5
3. Excellent communication, interpersonal, and teamwork skills
...</t>
  </si>
  <si>
    <t>Banco de Talentos - Programa de Estágio!
Florianópolis - SC e Remoto
Banco de talentos</t>
  </si>
  <si>
    <t>Nia - Tecnologia para Negócios Imobiliários</t>
  </si>
  <si>
    <t>Greenville County, SC</t>
  </si>
  <si>
    <t>R$1200-R$1200 /mon</t>
  </si>
  <si>
    <t>1. Superior cursando ou completo em áreas de negócios (Marketing, Administração, Gestão Comercial, etc)
2. Tenha uma comunicação clara
3. Seja dinâmico(a) e pró-ativo(a)
...</t>
  </si>
  <si>
    <t>People Operations Assistant</t>
  </si>
  <si>
    <t>Foundation for Individual Rights in Education</t>
  </si>
  <si>
    <t>1. Strong organizational skills and attention to detail.
2. Excellent computer skills (Mac) including knowledge of MS Office and the Google/Gmail platform.
3. An understanding of and enthusiasm for FIRE’s mission.
...</t>
  </si>
  <si>
    <t>SkillBridge Compensation Intern</t>
  </si>
  <si>
    <t>Pediatric Associates</t>
  </si>
  <si>
    <t>Plantation, FL</t>
  </si>
  <si>
    <t>1. Detail orientated, analytical and problem-solving skills
2. Reporting skills, analyzing information
3. Presentation skills, verbal, and written communication
...</t>
  </si>
  <si>
    <t>Internal Recruitment Hires</t>
  </si>
  <si>
    <t>Siemens Healthineers</t>
  </si>
  <si>
    <t>$xx-$xx /wk</t>
  </si>
  <si>
    <t>1. ARRT, CPR and/or BLS and State License, if applicable
2. Residing within the USA is required to be considered eligible for application</t>
  </si>
  <si>
    <t>Trainee Employment team | Lecce office</t>
  </si>
  <si>
    <t>1. A Law Degree from an Italian university with excellent academic credentials
2. Strong interest in Labour law
3. Exceptional interpersonal and communication skills
...</t>
  </si>
  <si>
    <t>Internship: Human Resource Department</t>
  </si>
  <si>
    <t>ERIE'S PUBLIC SCHOOLS</t>
  </si>
  <si>
    <t>$15.77-$15.77 /h</t>
  </si>
  <si>
    <t>1. A bachelor’s degree in Human Resources Management or in the process of obtaining a degree in Human Resources/Business Management
2. 1+ years of experience working in an office environment
3. A fundamental comprehension of the relevant labor laws
...</t>
  </si>
  <si>
    <t>Student Recruiter</t>
  </si>
  <si>
    <t>1. Must be an enrolled AFROTC cadet to apply</t>
  </si>
  <si>
    <t>Non-Profit Development AmeriCorps Member, VISTA</t>
  </si>
  <si>
    <t>EntreNous Youth Empowerment Services</t>
  </si>
  <si>
    <t>Compton, CA</t>
  </si>
  <si>
    <t>1. Experience in conducting needs assessments and research
2. Ability to develop recruitment strategies and benchmarks
3. Strong communication and interpersonal skills
...</t>
  </si>
  <si>
    <t>Student Human Resources Assistant</t>
  </si>
  <si>
    <t>1. Professional appearance, demeanor, and hygiene required.
2. The ability to lift 30+ pounds, remain in a stationary position, or move about for the entire shift scheduled, as well as position oneself as the job requires.
3. Regular attendance for scheduled shifts is required.
...</t>
  </si>
  <si>
    <t>Join our Student and New Graduates Talent Community! (Multiple Locations)</t>
  </si>
  <si>
    <t>Southland Industries</t>
  </si>
  <si>
    <t>1. Ambitious, innovative, and hard-working individuals
2. Design Engineer I
3. Electrical Engineer I
...</t>
  </si>
  <si>
    <t>Summer Employment Opportunities (Beavertown Location)</t>
  </si>
  <si>
    <t>Conestoga Wood Specialties</t>
  </si>
  <si>
    <t>Beavertown, PA</t>
  </si>
  <si>
    <t>1. Applicants must have the ability to read a tape measure
2. Pre-employment drug testing and background investigations conducted</t>
  </si>
  <si>
    <t>2025 Summer Associate - 2L (Class of 2025) - HOU</t>
  </si>
  <si>
    <t>Greenberg Traurig</t>
  </si>
  <si>
    <t>1. Rising 2L candidate for the 2025 Summer Program
2. Cover letter
3. Resume
...</t>
  </si>
  <si>
    <t>Temporary Employment - Prior Approval Required</t>
  </si>
  <si>
    <t>Southeast Kentucky Community and Technical College, Cumberland</t>
  </si>
  <si>
    <t>1. Applicants must complete the online application process.</t>
  </si>
  <si>
    <t>Werkstudent (m/w/x) HR Support</t>
  </si>
  <si>
    <t>Werkstudent Recruiting / Hochschulmarketing (m/w/d)</t>
  </si>
  <si>
    <t>INSUR:IT</t>
  </si>
  <si>
    <t>1. Eingeschriebener Studierender (m/w/d), idealerweise in einer der folgenden Studiengänge: Betriebswirtschaftslehre, Wirtschaftswissenschaften, Psychologie; Schwerpunkt im Personalbereich von Vorteil
2. Interesse an vielseitigen Tätigkeiten im Bereich Human Resources sowie an aktuellen Trends im Themenfeld Recruiting
3. Gutes Gespür für Kommunikationsfragestellungen; gern bereits erste Praxiserfahrung im Personalbereich
...</t>
  </si>
  <si>
    <t>Columbus Campus</t>
  </si>
  <si>
    <t>1. Must be an enrolled AFROTC cadet to apply.</t>
  </si>
  <si>
    <t>HRIS Data Apprentice M/F</t>
  </si>
  <si>
    <t>1. Currently pursuing or recently completed a Bachelor's or Master's degree in Human Resources, Information Systems, Data Analytics, or a related field and looking for an apprenticeship
2. Proficient in Microsoft Office Suite, particularly Excel and knowledge of HRIS systems, Workday is a plus
3. Self-starter who thrives in a collaborative environment, team player
...</t>
  </si>
  <si>
    <t>HR Officer (Apprentice)</t>
  </si>
  <si>
    <t>Deutsche Bank</t>
  </si>
  <si>
    <t>1. Must be eligible to work in France
2. Good verbal and written communication capabilities in French and English is mandatory
3. Bachelor or higher student degree with a specialization in Human Resources
...</t>
  </si>
  <si>
    <t>Management Analyst Intern</t>
  </si>
  <si>
    <t>USA-VA-Herndon</t>
  </si>
  <si>
    <t>$39700-$65300 /yr</t>
  </si>
  <si>
    <t>1. Strong interpersonal, creative problem-solving, written, and verbal communications skills
2. Highly organized and detail-oriented with a bias for action
3. Ability to prioritize and manage multiple tasks concurrently
...</t>
  </si>
  <si>
    <t>2025 SUMMER ASSOCIATE - 2L (CLASS OF 2026) - WPB</t>
  </si>
  <si>
    <t>West Palm Beach</t>
  </si>
  <si>
    <t>1. Rising 2L candidate for the 2025 Summer Program
2. Cover letter, resume, 1L transcript (unofficial is acceptable), and brief writing sample in PDF format</t>
  </si>
  <si>
    <t>Student Employment Specialist</t>
  </si>
  <si>
    <t>$16.50-$19 /h</t>
  </si>
  <si>
    <t>1. A high level of organization and understanding of University and department PRRs
2. Demonstrate excellent customer service skills
3. Ability to work with a team to serve a diverse population
...</t>
  </si>
  <si>
    <t>2025 Summer Associate - 2L</t>
  </si>
  <si>
    <t>Fort Lauderdale</t>
  </si>
  <si>
    <t>1. Rising 2L candidate
2. Cover letter, resume, 1L transcript (unofficial is acceptable), and brief writing sample in PDF format</t>
  </si>
  <si>
    <t>Werkstudent (d/m/w) im Bereich Human Resources: Ausbildung &amp; Early Careers</t>
  </si>
  <si>
    <t>1. Du bist eingeschriebener Vollzeitstudent (d/m/w) im Bereich Personalwesen, Eventmanagement, Marketing, Betriebswirtschaftslehre, Projektmanagement oder einer vergleichbaren Studienrichtung
2. Idealerweise bringst Du erste praktische Erfahrung oder eine abgeschlossene Berufsausbildung mit
3. Du verfügst über gute bis sehr gute Kenntnisse im Umgang mit Google Workspace
...</t>
  </si>
  <si>
    <t>FWSP Student Clerical - Undergrad Recruiting and Admissions</t>
  </si>
  <si>
    <t>1. Enrolled at least half-time (5 hours for graduates, 6 hours for undergraduates) during Fall/Spring Semesters
2. Enrolled full-time (9 credit hours for graduates, 12 credit hours for undergraduates) during Fall/Spring Semesters for international students
3. Enrolled in at least 3 credit hours during Summer Semester
...</t>
  </si>
  <si>
    <t>Part-Time Temporary (Pool) - 2024</t>
  </si>
  <si>
    <t>Tennessee Board of Regents</t>
  </si>
  <si>
    <t>Clifton, TN</t>
  </si>
  <si>
    <t>1. Completion of a high school diploma or GED
2. Ability to work a flexible schedule
3. Ability to work at various campuses
...</t>
  </si>
  <si>
    <t>Lewisburg, TN</t>
  </si>
  <si>
    <t>Lawrenceburg, TN</t>
  </si>
  <si>
    <t>Columbia, TN</t>
  </si>
  <si>
    <t>2025 SUMMER ASSOCIATE - 2L (CLASS OF 2026) - MIA</t>
  </si>
  <si>
    <t>Cleveland, Ohio, United States</t>
  </si>
  <si>
    <t>1. Proficient with Microsoft Office Suite.
2. Effective written and verbal communication skills.
3. Strong organization and time management skills.
...</t>
  </si>
  <si>
    <t>1. Bachelor’s degree in human resource management or studying toward a degree in human resource management or related field.
2. Exceptional oral and written business communication.
3. Ethical and responsible with regards to moral and legal compliance.
...</t>
  </si>
  <si>
    <t>1. Bachelor/Master, preferably in the field of Psychology, Business Administration or Management. We are mainly looking for the right mindset!
2. Good communication skills in English, both written and verbal.
3. Microsoft Office skills are a must.
...</t>
  </si>
  <si>
    <t>Fidelity’s Securities Industry Essentials® (SIE®) Scholar - Westlake, TX</t>
  </si>
  <si>
    <t>Westlake, TX</t>
  </si>
  <si>
    <t>1. Finishing schooling or considering changing careers
2. Preparing to sit for the SIE® Exam
3. Understanding fundamental investment concepts
...</t>
  </si>
  <si>
    <t>Unofficial DP&amp;L Company Page</t>
  </si>
  <si>
    <t>HR Intern - Spring 2024</t>
  </si>
  <si>
    <t>Human Resources Co-op - Macon, GA - Fall 2024</t>
  </si>
  <si>
    <t>1. Currently enrolled in Business Administration, with an interest in Human Resources (co-op program or regular studies)
2. Available for a Summer work term and in good academic standing
3. Demonstrated problem-solving skills with a strong attention to detail
...</t>
  </si>
  <si>
    <t>Elmira</t>
  </si>
  <si>
    <t>1. In process of obtaining a Bachelor’s degree in Human Resources or other related areas.
2. Proficient in Microsoft office including Word, Excel, Power Point.
3. Must be able to communicate effectively with various levels of management within the company and externally.
...</t>
  </si>
  <si>
    <t>National Indigenous Campus Recruitment - Talent Pool</t>
  </si>
  <si>
    <t>KPMG Canada</t>
  </si>
  <si>
    <t>London, CA</t>
  </si>
  <si>
    <t>1. You are an undergraduate Indigenous student or recent graduate who intends to apply for a role with KPMG in Canada this year.
2. You have an excellent academic record
3. You are committed to achieving your Canadian CPA designation
...</t>
  </si>
  <si>
    <t>Sr Interior Design Professional</t>
  </si>
  <si>
    <t>Spatial Design</t>
  </si>
  <si>
    <t>1. One year of college
2. Possession of a valid driver’s license and ability to safely operate a vehicle.
3. The ability to communicate effectively in both written and verbal format.
...</t>
  </si>
  <si>
    <t>3D Motion Design Internship - Fall 2024 (Paid)</t>
  </si>
  <si>
    <t>Warm &amp; Fuzzy</t>
  </si>
  <si>
    <t>Advertising, Animation</t>
  </si>
  <si>
    <t>Design</t>
  </si>
  <si>
    <t>1. Creative and artistically self-driven.
2. Strong portfolio of work showing impressive artistic talent.
3. Currently enrolled or recently graduated from a related field of study.
...</t>
  </si>
  <si>
    <t>Copy of Design Intern</t>
  </si>
  <si>
    <t>Custer, Inc.</t>
  </si>
  <si>
    <t>1. Currently in school, working toward a bachelor’s degree of Interior Design from accredited design school. Must have successfully completed sophomore year to apply
2. Must be able to work a minimum requirement of 15 hours per week
3. on fire passion for design and creating environments that exceed expectations
...</t>
  </si>
  <si>
    <t>UX Researcher Apprentice</t>
  </si>
  <si>
    <t>User Experience (UX)</t>
  </si>
  <si>
    <t>1. Be at least 18 years old
2. Have a high school diploma (10th grade or better ability in reading + math)
3. Basic proficiency using a computer and the internet
...</t>
  </si>
  <si>
    <t>Creative Services Intern</t>
  </si>
  <si>
    <t>Skylark</t>
  </si>
  <si>
    <t>1. Current student (or recent grad) pursuing a degree in marketing, graphic design, or related field
2. Strong portfolio showcasing creativity and attention to detail
3. Proficiency in Adobe Illustrator &amp; InDesign
...</t>
  </si>
  <si>
    <t>Design / Art Direction Internship (Hybrid Role, based in Denver or Los Angeles)</t>
  </si>
  <si>
    <t>Thin kmotive</t>
  </si>
  <si>
    <t>Advertising, Social Media Marketing</t>
  </si>
  <si>
    <t>1. proficient in MAC environment using the usual 'tools of the trade' (Adobe Creative Suite)
2. graduate of a graphic design degree program
3. able to present an impressive online portfolio of their design work
...</t>
  </si>
  <si>
    <t>Paid Interior Design Intern (Full-Time) - Special Projects Department</t>
  </si>
  <si>
    <t>1. Paid Interns are qualified while enrolled in an educational institution and for one year following graduation.
2. They must sign a Paid Internship Engagement Letter.
3. Independence in working, tact, and diplomacy are required.
...</t>
  </si>
  <si>
    <t>Internship: Digital Media (Seasonal 2024-25)</t>
  </si>
  <si>
    <t>1. Strong interpersonal, written, and verbal communication skills.
2. Creative experience in Adobe (Photoshop/Illustrator/Premier/AfterEffects).
3. Working experience running social media accounts.
...</t>
  </si>
  <si>
    <t>Fall Intern - DIGITAL, Data and Technology Infrastructure and Solutions</t>
  </si>
  <si>
    <t>1. Experience with UI mockup tooling (such as Figma, Miro, etc.) and the process of user journey mapping.
2. Previous experience in creating interactive wireframes and creating visual representations of user journeys.
3. Pursuing undergraduate or postgraduate education with a strong interest in Design, Visual/Interaction Design, Computer Science.
...</t>
  </si>
  <si>
    <t>Graphic Designer</t>
  </si>
  <si>
    <t>Digital Factory</t>
  </si>
  <si>
    <t>Advertising, Banking</t>
  </si>
  <si>
    <t>1. Portfolio or sample of completed design projects
2. Have a degree or a current or recent enrollment in a Business, Marketing, Art and Design, Advertising, Communications, or related degree program
3. Proficiency in Adobe Creative Suite: Photoshop, Illustrator and/or InDesign. InVision experience a plus
...</t>
  </si>
  <si>
    <t>Web Foundation Product Design Intern: DC - Fall 2024</t>
  </si>
  <si>
    <t>1. Strong understanding of Figma, including understanding of the concept of components, interactive components, variables, prototypes, and asset libraries.
2. Keen interest in news media user experiences across the digital landscape.
3. Must be actively enrolled in an accredited college or university degree program for the full duration of the internship (proof of enrollment required).
...</t>
  </si>
  <si>
    <t>Graphic Designer Internship</t>
  </si>
  <si>
    <t>1. Currently enrolled in or recently graduated from a graphic design, finance, marketing, or related program
2. Proficient in design software such as Adobe Creative Suite (Photoshop, Illustrator, InDesign)
3. Strong understanding of design principles and typography
...</t>
  </si>
  <si>
    <t>Web Design Intern</t>
  </si>
  <si>
    <t>1. Strong eye for design
2. Ability to use Photoshop and other Adobe Creative products
3. Excellent written and verbal communication skills
...</t>
  </si>
  <si>
    <t>2024 Summer Intern - Creative &amp; Editorial</t>
  </si>
  <si>
    <t>MJH Life Sciences</t>
  </si>
  <si>
    <t>Health Care, Information Services</t>
  </si>
  <si>
    <t>1. Currently enrolled in an undergraduate or graduate program
2. Interest in medical communications
3. Strong written and verbal communication skills
...</t>
  </si>
  <si>
    <t>Intern - Designer (Sept - Dec 2024)</t>
  </si>
  <si>
    <t>Hasbro</t>
  </si>
  <si>
    <t>Card and Board Games, Consumer</t>
  </si>
  <si>
    <t>1. Currently enrolled in an accredited, degree-seeking program pursuing an undergraduate degree in Product Design, Industrial Design, or equivalent major with at least one quarter or semester left after December 2024.
2. Available to work full-time hours in-person at our Pawtucket, RI office location for the entire duration of the internship.
3. Authorized to work in the U.S. for any employer.
...</t>
  </si>
  <si>
    <t>Fall 2024 Design Internship (NY)</t>
  </si>
  <si>
    <t>Wolff Olins</t>
  </si>
  <si>
    <t>1. Have strong graphic design and typography skills
2. Be fluent across Adobe Creative Suite
3. Be able to work in Figma
...</t>
  </si>
  <si>
    <t>$31-$35 annual</t>
  </si>
  <si>
    <t>1. Portfolio of work featuring strong branding and web design
2. Good communicator and team player
3. Effective time management
...</t>
  </si>
  <si>
    <t>Intern, Creative Services</t>
  </si>
  <si>
    <t>1. Ability to create and edit static graphics, motion graphics, and short-form video content
2. Reliability: Have reliable transportation to and from Total Mortgage Arena for games
3. Flexibility: Ability to work all Bridgeport Islanders home games for the 2023-24 season
...</t>
  </si>
  <si>
    <t>UX Intern</t>
  </si>
  <si>
    <t>Deluxe Corp</t>
  </si>
  <si>
    <t>1. Coursework completed in UX, computer science or related major area.
2. 0-2 years of experience in UX design, interaction design, or a related field.
3. Understanding design tools such as Sketch, Figma, Axure, Adobe Creative Suite, etc.
...</t>
  </si>
  <si>
    <t>Registration and Production Intern</t>
  </si>
  <si>
    <t>1. Diligent, organized, and detail-oriented
2. Proficient in Adobe Creative Suite
3. Proficient in Microsoft Excel
...</t>
  </si>
  <si>
    <t>Visual Merchandising Intern</t>
  </si>
  <si>
    <t>L’OCCITANE Group</t>
  </si>
  <si>
    <t>1. Current student pursuing a major in Visual Merchandising or Fashion Merchandising
2. Ability to commit up to 28 hours/week
3. Working toward a Bachelor’s degree (rising junior or senior) or Master’s degree
...</t>
  </si>
  <si>
    <t>User Interface Design Intern - Fall 2024 - ASL</t>
  </si>
  <si>
    <t>1. Pursuing a Bachelor’s degree in Graphic Design, Human Systems Engineering, Human Factors, Computer Science, or related fields.
2. 3.0 or higher cumulative GPA
3. Full-Time Intern- Must be registered for Full-time Internship Credit
...</t>
  </si>
  <si>
    <t>Design Intern</t>
  </si>
  <si>
    <t>Alexander Wang</t>
  </si>
  <si>
    <t>Apparel</t>
  </si>
  <si>
    <t>1. Currently pursuing or recently obtained a Bachelor’s or Associate’s degree in Fashion Design.
2. Needs to be available for a minimum of 4 days per week, ideally 5
3. 0 – 1 year of experience, or strong internship experience.
...</t>
  </si>
  <si>
    <t>Interior Design Intern</t>
  </si>
  <si>
    <t>Crimson Design Group</t>
  </si>
  <si>
    <t>Commercial, Interior Design</t>
  </si>
  <si>
    <t>1. Passionate about the culture and core values of Crimson Design Group.
2. Takes initiative, dedication, can-do attitude, sense of urgency.
3. Contributes, values everyone, team player.
...</t>
  </si>
  <si>
    <t>Design Professional</t>
  </si>
  <si>
    <t>$530-$530 /wk</t>
  </si>
  <si>
    <t>Girl Scouts of Greater Atlanta</t>
  </si>
  <si>
    <t>Adult, Education</t>
  </si>
  <si>
    <t>Tate, GA</t>
  </si>
  <si>
    <t>1. Enrolled and/or completed a degree in graphic design, illustration, visual arts, web design, or marketing.
2. Able to provide samples of illustrations, graphic design projects, and other multimedia-related works of art.
3. Intermediate-level knowledge using desktop publishing tools, including Adobe Creative Suite, etc.
...</t>
  </si>
  <si>
    <t>Tyler Technologies</t>
  </si>
  <si>
    <t>GovTech, Information Services</t>
  </si>
  <si>
    <t>1. Currently pursuing a bachelor’s and/or master’s degree in communications, marketing and/or digital design
2. Training/experience in use of the Adobe Creative Suite applications, specifically Premiere, After Effects, InDesign, Photoshop and Illustrator
3. Good understanding of sales/marketing concepts
...</t>
  </si>
  <si>
    <t>ESPN Creative Studio &amp; Visual Storytelling Intern, Remote, Fall 2024</t>
  </si>
  <si>
    <t>1. Fundamental creative skills in typography, composition, and graphic design
2. Sound knowledge of the sports landscape and appreciation for and understanding of Internet pop culture
3. Demonstrated communication and organization skills
...</t>
  </si>
  <si>
    <t>Fall 2024 Intern - Creative &amp; Design</t>
  </si>
  <si>
    <t>1. Curious, collaborative, and excited to learn new skills
2. Problem solver with an instinct to think through things by making
3. Portfolio demonstrating ability to think creatively and execute a range of design artifacts
...</t>
  </si>
  <si>
    <t>Intern - Graphic Designer, Monopoly (Sept - Dec 2024)</t>
  </si>
  <si>
    <t>1. Currently enrolled in an accredited, degree-seeking program majoring in Graphic Design or Fine Arts or related degree with at least one quarter or semester left after Spring 2025.
2. Available to work full-time hours in person at our Pawtucket, RI office location for the entire duration of the internship.
3. Authorized to work in the U.S. for any employer.
...</t>
  </si>
  <si>
    <t>Product Design Internship</t>
  </si>
  <si>
    <t>Sysdig</t>
  </si>
  <si>
    <t>Cloud Computing, Cloud Security</t>
  </si>
  <si>
    <t>1. Portfolio showcasing experience with UI/UX design and design systems
2. Proficiency in Figma and strong visual design skills with a keen eye for detail
3. Familiarity with front-end development and how design translates into code
...</t>
  </si>
  <si>
    <t>Student Intern - Marketing (Graphic Design) Tulane University</t>
  </si>
  <si>
    <t>1. Sophomore classification or higher at Tulane University
2. Effective communication and presentation skills; both verbally and in written form in English
3. Ability to work 10-20 hours per week
...</t>
  </si>
  <si>
    <t>Graphic Design Intern</t>
  </si>
  <si>
    <t>Strategic Factory</t>
  </si>
  <si>
    <t>Owings Mills, MD</t>
  </si>
  <si>
    <t>1. Completed coursework in graphic design.
2. Solid understanding of computers, data entry, internet searches, the Microsoft Office suite, the Adobe Creative Cloud Suite, and email applications.
3. Proficient Adobe InDesign knowledge.
...</t>
  </si>
  <si>
    <t>Industrial Design Co-Op</t>
  </si>
  <si>
    <t>1. Current enrollment in a degree-seeking Bachelor's level program in Industrial Design or related field
2. Must work a minimum of 35 hours per week for the full term</t>
  </si>
  <si>
    <t>1. Currently enrolled in an undergraduate Fashion Design program
2. Must be able to commit to at least 2-3 full days
3. Knowledge of Photoshop, Illustrator, and Microsoft Excel
...</t>
  </si>
  <si>
    <t>Visual Design Intern</t>
  </si>
  <si>
    <t>MCD Partners</t>
  </si>
  <si>
    <t>1. A self-motivated individual with interest and experience in interactive design
2. Diligent, detail-oriented, and able to follow direction well
3. Strong skills in typography, graphic design, and layout
...</t>
  </si>
  <si>
    <t>Plano, Texas</t>
  </si>
  <si>
    <t>Remote, NJ, USA</t>
  </si>
  <si>
    <t>Architect (Industrial) - Internship/Co-Op (Start May 2025)</t>
  </si>
  <si>
    <t>Architectural Design</t>
  </si>
  <si>
    <t>1. Sophomore, Junior or Senior pursuing a bachelor’s degree in Architecture.
2. GPA: 3.0 or above
3. Desire to work on, familiar with, or experience in commercial or industrial projects.
...</t>
  </si>
  <si>
    <t>Graphic Design &amp; Social Marketing Intern</t>
  </si>
  <si>
    <t>Semy</t>
  </si>
  <si>
    <t>Apps, E-Commerce</t>
  </si>
  <si>
    <t>1. Currently pursuing a degree in Graphic Design, Marketing, Visual Arts, or a related field.
2. Experienced with social networks, social marketing, influencer marketing, and modern-day trends and visuals.
3. Familiar with graphic design software (e.g., Adobe Illustrator, Photoshop, InDesign).
...</t>
  </si>
  <si>
    <t>Graphic Design Marketing Intern</t>
  </si>
  <si>
    <t>Tribu Creative</t>
  </si>
  <si>
    <t>1. Graphics, Graphic Design, and Logo Design skills
2. Experience in Branding and Image Editing
3. Proficiency in Adobe Creative Suite (Illustrator, Photoshop)
...</t>
  </si>
  <si>
    <t>Urbanspace</t>
  </si>
  <si>
    <t>Commercial, Real Estate</t>
  </si>
  <si>
    <t>1. Currently enrolled in or recently graduated from an accredited interior design program.
2. Proficiency in design software such as AutoCAD, SketchUp, and Adobe Creative Suite.
3. Strong creative and technical skills with an eye for detail and a passion for design.
...</t>
  </si>
  <si>
    <t>Creative Intern</t>
  </si>
  <si>
    <t>1. Currently pursuing or recently completed a degree in Marketing, Communications, Graphic Design, or a related field.
2. Proficiency in Adobe Creative Suite (Photoshop, Illustrator, InDesign) and/or other design software.
3. Strong written and verbal communication skills.
...</t>
  </si>
  <si>
    <t>Graphic Artist/ UX Designer Intern</t>
  </si>
  <si>
    <t>Nu-Calgon</t>
  </si>
  <si>
    <t>Food and Beverage, Heating  Ventilation  and Air Conditioning (HVAC)</t>
  </si>
  <si>
    <t>1. Completed at least Sophomore year at a college or university.
2. Assist in loading/producing stories/creating graphics for social media and website assets.
3. Help develop strategies for capturing target audience and increasing engagement.
...</t>
  </si>
  <si>
    <t>CISE Graphic Designer - IE</t>
  </si>
  <si>
    <t>James Madison Innovations</t>
  </si>
  <si>
    <t>1. Proficient in Adobe Creative Suite (Photoshop, Illustrator, InDesign, etc.)
2. Strong understanding of design principles, typography, and layout
3. Creativity and originality in design approach, with a keen eye for detail and aesthetics
...</t>
  </si>
  <si>
    <t>Creative Services Trainee</t>
  </si>
  <si>
    <t>Fox Television Stations</t>
  </si>
  <si>
    <t>Association, Broadcasting</t>
  </si>
  <si>
    <t>1. Passionate, proactive self-starter with an eagerness to thrive in the media industry.
2. Excellent written and verbal communication skills and ability to collaborate and quickly develop relationships.
3. Demonstrated creativity and an innovative approach to content creation.
...</t>
  </si>
  <si>
    <t>Alfred Fleishman Diversity Fellowship, Art Direction/Design - Summer 2024, New York</t>
  </si>
  <si>
    <t>1. Available to start in Summer 2024, Monday through Friday, 40 hours a week working Eastern Time hours, for six months minimum.
2. Committed to cultivating diverse teams and contributing to an inclusive working and learning environment.
3. A portfolio demonstrating a strong sense of conceptual skills, design aesthetic and typography. Please include a link to your portfolio in your resume.
...</t>
  </si>
  <si>
    <t>Packaging Design Intern- Lancaster</t>
  </si>
  <si>
    <t>Cascades Inc</t>
  </si>
  <si>
    <t>Lancaster, NY</t>
  </si>
  <si>
    <t>1. Pursuit of a diploma in Packaging design, or other related disciplines
2. Experience with ArtiosCAD or similar software such as Cimex
3. Detail oriented, with strong listening skills
...</t>
  </si>
  <si>
    <t>Marketing Graphic Designer Fall Intern (ON-SITE)</t>
  </si>
  <si>
    <t>Vida Shoes International</t>
  </si>
  <si>
    <t>1. Pursuing a Bachelor’s Degree in Graphic Design, Fine Arts, Marketing or a related field
2. Proficient in Microsoft Office, Adobe Illustrator, Photoshop, InDesign
3. Strong conceptual thinking with the ability to generate ideas as well as creatively execute briefs
...</t>
  </si>
  <si>
    <t>National Parks Conservation Association</t>
  </si>
  <si>
    <t>Non Profit, Wildlife Conservation</t>
  </si>
  <si>
    <t>1. A portfolio showcasing design skills and range of projects is required.
2. Proficiency in Adobe Creative Suite (Photoshop, Illustrator, InDesign) or equivalent design software.
3. Ability to work on Mac or PC platforms.
...</t>
  </si>
  <si>
    <t>[Fall 2024] Graphic Design Internship</t>
  </si>
  <si>
    <t>1. Working knowledge of Adobe design suite, and strong typographic foundation
2. Undergraduates and graduates currently enrolled in accredited academic year programs are eligible
3. Applicants must have completed a minimum of one year’s worth of academic coursework; undergraduate freshmen are not eligible</t>
  </si>
  <si>
    <t>Bishop Fox</t>
  </si>
  <si>
    <t>Cloud Security, Consulting</t>
  </si>
  <si>
    <t>1. Recent graduate or Senior working toward a degree in Graphic Design.
2. Proficiency in Adobe Creative Suite and Office365.
3. Contemporary design sense with an eye for typography, color palettes, and layout hierarchy.
...</t>
  </si>
  <si>
    <t>Blundstone USA</t>
  </si>
  <si>
    <t>1. Exceptional creativity and innovative design skills.
2. Strong skills in 2D design and video editing.
3. Proficiency in Adobe Creative Suite (Photoshop, Premiere Pro, InDesign).
...</t>
  </si>
  <si>
    <t>[Fall 2024] Multimedia &amp; Photography Intern, IINE Boston</t>
  </si>
  <si>
    <t>Photographer</t>
  </si>
  <si>
    <t>1. Interest in international, refugee, asylee, and immigrant issues
2. Interest in marketing, communications, and fundraising
3. Ability to work respectfully in a multicultural environment.
...</t>
  </si>
  <si>
    <t>Fall Graphic Design Internship</t>
  </si>
  <si>
    <t>1. Intermediate level Adobe Photoshop and some Illustrator Skills
2. Strong understanding of Typography
3. Strong interpersonal skills, with ability to form productive working relationships
...</t>
  </si>
  <si>
    <t>Vince Camuto Design Team Intern - (NYC)</t>
  </si>
  <si>
    <t>BCI Brands</t>
  </si>
  <si>
    <t>1. Bachelor’s degree in Fashion Design
2. Must be able to commit to at least 3 days a week
3. Detail oriented with strong organizational, communication, and time management skills
...</t>
  </si>
  <si>
    <t>Design Intern – Fall 2024</t>
  </si>
  <si>
    <t>1. Must be a student enrolled in an accredited college or university.
2. Ability to create and design using the Adobe Creative Suite (especially Adobe Photoshop, Illustrator).
3. Ideally have some knowledge of Keynote and Power Point.
...</t>
  </si>
  <si>
    <t>Designer</t>
  </si>
  <si>
    <t>Riithink Digital Marketing</t>
  </si>
  <si>
    <t>Advertising, Email Marketing</t>
  </si>
  <si>
    <t>1. Pursuing a degree in Graphic Design, Visual Arts, or a related field.
2. Proficiency in Adobe Creative Suite (Photoshop, Illustrator, XD, InDesign).
3. Strong understanding of design principles, composition, and typography.
...</t>
  </si>
  <si>
    <t>Microsoft Power Platform- UI Intern</t>
  </si>
  <si>
    <t>Altronic</t>
  </si>
  <si>
    <t>Girard, OH</t>
  </si>
  <si>
    <t>1. Currently enrolled as a junior or senior undergraduate student pursuing a degree in Computer Science, Information Systems, or a related field.
2. Strong analytical and problem-solving skills with attention to detail.
3. Ability to work independently as well as collaboratively in a team environment.
...</t>
  </si>
  <si>
    <t>Designer / Intern, Architecture</t>
  </si>
  <si>
    <t>Grace Hebert Curtis Architects</t>
  </si>
  <si>
    <t>Architecture, Interior Design</t>
  </si>
  <si>
    <t>1. Proficient in REVIT, 3D software, Bluebeam, Adobe Suite and MS Office
2. Ability to work in a team environment and collaborate with others
3. Excellent organizational and research skills
...</t>
  </si>
  <si>
    <t>Co-op, Customer Experience Design (Spring 2025)</t>
  </si>
  <si>
    <t>1. Must be available for three alternating semesters
2. Must be enrolled in an accredited College or University during program duration
3. Experience in research analysis, deck building/presentations, project coordination, and communications
...</t>
  </si>
  <si>
    <t>Marketing Graphic Design Student</t>
  </si>
  <si>
    <t>Knoxville Utilities Board</t>
  </si>
  <si>
    <t>1. Must have and maintain a full-time student status at an accredited college or university pursuing an associates, Bachelor's, or graduate-level degree.
2. Have and maintain a cumulative GPA of 2.5 or higher
3. Must be able to work a minimum of 15 hours per week, Monday through Friday, between 7:00am and 5:00pm
...</t>
  </si>
  <si>
    <t>Paid Graphic Design Intern</t>
  </si>
  <si>
    <t>Detroit Regional Chamber</t>
  </si>
  <si>
    <t>Association, Business Development</t>
  </si>
  <si>
    <t>1. Working towards a college degree/recently graduated from a four-year program in graphic design or similar (must provide portfolio).
2. Understanding of organization styles and standards.
3. Ability to multitask on multiple projects at once with multiple clients and staff.
...</t>
  </si>
  <si>
    <t>Creative PM Intern</t>
  </si>
  <si>
    <t>1. Works well under pressure
2. Works well cross departmentally
3. Detail oriented
...</t>
  </si>
  <si>
    <t>Photography Intern (Buffalo Sabres &amp; Buffalo Bandits)</t>
  </si>
  <si>
    <t>$15.50-$15.50 /h</t>
  </si>
  <si>
    <t>1. Candidate is at least 18 years of age.
2. Must submit a digital portfolio to be considered.
3. A minimum of 1 year working for a professional team or university athletics department.
...</t>
  </si>
  <si>
    <t>3D Generalist Intern – Experiential &amp; Immersive Design (Fall 2024)</t>
  </si>
  <si>
    <t>LMI</t>
  </si>
  <si>
    <t>1. Current enrollment in a undergrad or graduate degree seeking program.
2. Familiarity with and understanding of a professional 3D visualization &amp; fx pipelines.
3. Familiarity with Unreal Engine 5 and relevant 3D software &amp; photorealistic cinematic rendering.
...</t>
  </si>
  <si>
    <t>Insomniac - Merchandising &amp; Design Intern</t>
  </si>
  <si>
    <t>$17.27-$18 /h</t>
  </si>
  <si>
    <t>1. Must be at least 18 years of age and currently enrolled in an accredited college, university or trade school
2. Must be able to work out of DTLA and Calabasas offices
3. Must have a strong portfolio that demonstrates a clear understanding of Fashion design, graphic design, layout, color and experience with Adobe Creative Suite (Illustrator, InDesign, Photoshop)
...</t>
  </si>
  <si>
    <t>Design Internship (Fall 2024)</t>
  </si>
  <si>
    <t>1. Interns MUST receive college academic CREDIT as this is an unpaid internship
2. Interns MUST be a fulltime design student/major
3. Interns MUST be able to provide a design portfolio and resume
...</t>
  </si>
  <si>
    <t>Fall 2024 - Creative (Art Director) Assistant</t>
  </si>
  <si>
    <t>1. Must be enrolled as a relevant junior, senior or graduate-level student (Advertising, Marketing, Public Relations, Design, Art, Communication)
2. Must be enrolled in a Creative Sequence or Portfolio School/Program
3. Must be proficient in Adobe Creative Suite, Google Slides (Sketch a plus)
...</t>
  </si>
  <si>
    <t>Fall 2024 - Creative (Writer) Assistant</t>
  </si>
  <si>
    <t>1. Must be enrolled as a relevant junior, senior or graduate-level student at their college or university (Advertising, Marketing, Public Relations, Design, Art, Communication)
2. Must be enrolled in a Creative Sequence or Portfolio School/Program
3. Must be available during the fall (9/17/24 - 11/22/24)
...</t>
  </si>
  <si>
    <t>Technical Design Internship (Fall 2024)</t>
  </si>
  <si>
    <t>1. The candidate MUST receive academic credit as a requirement.
2. Understanding the basics of technical design; ie specing, handling a tech pack.
3. Coordinate with each technical designer on daily tasks.
...</t>
  </si>
  <si>
    <t>Insomniac Events</t>
  </si>
  <si>
    <t>Concerts, Media and Entertainment</t>
  </si>
  <si>
    <t>Intern, Graphic Design</t>
  </si>
  <si>
    <t>1. Must be able to work an average of 20-30 hours per week, mid-May through mid-August
2. Basic understanding of the printing and digital design processes
3. Strong layout design skills
...</t>
  </si>
  <si>
    <t>Website Intern</t>
  </si>
  <si>
    <t>The Asia Foundation</t>
  </si>
  <si>
    <t>1. Working toward a degree in digital media, web development, UI/UX design, computer science or a related field
2. Intermediate technical and administrative skills
3. Proficiency in WordPress
...</t>
  </si>
  <si>
    <t>UI/UX Design Intern</t>
  </si>
  <si>
    <t>1. Strong portfolio showcasing proficiency in UI/UX design principles and methodologies.
2. Proficiency in design tools such as Adobe Creative Suite, Sketch, Figma, or similar.
3. Basic understanding of front-end development technologies (HTML, CSS, JavaScript) is a plus.
...</t>
  </si>
  <si>
    <t>Hammitt</t>
  </si>
  <si>
    <t>Hermosa Beach, CA</t>
  </si>
  <si>
    <t>1. Experience with Adobe InDesign, Illustrator and Photoshop
2. Knowledge of typography, layout, hierarchy, branding
3. Solid understanding of design principles and best practices across digital and print.
...</t>
  </si>
  <si>
    <t>Junior Graphic Designer - BYU-Pathway Worldwide (Intern)</t>
  </si>
  <si>
    <t>1. Currently enrolled in a CES School
2. Basic Knowledge of Adobe Creative Suite, including: Adobe Illustrator, Adobe Photoshop, Adobe InDesign
3. Meet deadlines while juggling multiple projects
...</t>
  </si>
  <si>
    <t>Industrial Design Researcher - Intern</t>
  </si>
  <si>
    <t>Lifetime Products</t>
  </si>
  <si>
    <t>Clearfield, UT</t>
  </si>
  <si>
    <t>1. Currently enrolled in an Industrial Design major with a Design Research emphasis.
2. Proven experience in industrial Design Research, with a strong portfolio showcasing successful projects in the consumer goods space.
3. Excellent communication skills and ability to present research findings in a clear and compelling manner.
...</t>
  </si>
  <si>
    <t>Creative Internship Experience</t>
  </si>
  <si>
    <t>1. Current student or Bachelor’s Degree in marketing, communications, or any related field.
2. Must have portfolio of assets to share during the recruitment process.
3. Adobe Creative Suite knowledge – InDesign, Illustrator, Photoshop, Video Editing Skills
...</t>
  </si>
  <si>
    <t>Vince Camuto Design Team Intern - IMMEDIATE START (NYC)</t>
  </si>
  <si>
    <t>1. Bachelor's degree in Fashion Design required (please note we are accepting applicants that are in their junior/senior year of school pursuing a Fashion Design degree as well!)
2. Must be able to commit to at least 3 days a week
3. Detail oriented with strong organizational, communication, and time management skills
...</t>
  </si>
  <si>
    <t>Undergrad Technical Intern - Research Computing User Experience (UX) Internship - PEARC</t>
  </si>
  <si>
    <t>Electrical Pre-Press (EPP) Graphic Design Co-Op (August-Dec 2024)</t>
  </si>
  <si>
    <t>1. Experience with the Macintosh platform utilizing the Adobe Creative Suite of Software. ie: Illustrator, Photoshop, and Acrobat.
2. Offset and/or Flexographic printing knowledge.
3. Demonstrated ability to color separate and step and repeat electronic art.
...</t>
  </si>
  <si>
    <t>Industrial Design Intern (Fall 2024)</t>
  </si>
  <si>
    <t>Munchkin</t>
  </si>
  <si>
    <t>Baby, Consumer</t>
  </si>
  <si>
    <t>1. Excellent sketch skills (Pencil and Digital)
2. Proficient with Illustrator, Photoshop, SolidWorks, and Keyshot
3. Exceptional interpersonal skills and ability to work effectively with people of all levels and ability to function in a team environment
...</t>
  </si>
  <si>
    <t>A&amp;F Co. Design Sophomore Summit - Summer 2024</t>
  </si>
  <si>
    <t>1. Expected graduation year of 2026
2. Minimum 3.0 cumulative GPA
3. To be eligible for consideration, students must also submit their portfolio/website and unofficial transcripts and resumes, complete with cumulative GPA.
...</t>
  </si>
  <si>
    <t>Motion Graphics Intern</t>
  </si>
  <si>
    <t>$17.20-$22 /h</t>
  </si>
  <si>
    <t>1. Strong ability to collaborate, communicate, problem solve, create motion graphics, and edit video
2. Understanding of the design process, experience with video workflow and organization, type design, and fluent working knowledge of Adobe After Effects, Adobe Premiere, Adobe Photoshop, Adobe Illustrator
3. Desire to learn, create, and have fun
...</t>
  </si>
  <si>
    <t>1. Creative thinker and problem solver
2. Knowledge of design fundamentals and principles
3. Motivation and passion
...</t>
  </si>
  <si>
    <t>Graphic Design Intern - Columbia</t>
  </si>
  <si>
    <t>South Carolina Department of Employment and Workforce</t>
  </si>
  <si>
    <t>Richland County, SC</t>
  </si>
  <si>
    <t>1. Must be 18 years of age.
2. Must be a legal U.S. Citizen.
3. Must be currently enrolled or a graduate of a Bachelor’s or Master’s program in Graphic Design, Communications, Marketing, Digital Media, or a related field.
...</t>
  </si>
  <si>
    <t>Design Intern (Fall 2024)</t>
  </si>
  <si>
    <t>1. Recent college graduate or related experience
2. Availability: 40 hours a week from September to December
3. Proficient knowledge of the Adobe Creative Suite, primarily Photoshop, Illustrator and InDesign
...</t>
  </si>
  <si>
    <t>Summer Creative Assistant</t>
  </si>
  <si>
    <t>1. Must be a Liberty University student
2. Experience in content creation (graphic design, photography, videography, copywriting, etc.)
3. Ability to operate a DSLR camera and accessories
...</t>
  </si>
  <si>
    <t>HOKA Footwear Design Intern - Performance</t>
  </si>
  <si>
    <t>HOKA</t>
  </si>
  <si>
    <t>1. A strong sense of product and graphic design (portfolio of sample work required with application)
2. A proactive and curious mindset
3. The ability to problem-solve in a fast-paced, highly creative environment
...</t>
  </si>
  <si>
    <t>Architectural Designer Intern</t>
  </si>
  <si>
    <t>Harley Ellis Devereaux (HED)</t>
  </si>
  <si>
    <t>1. Bachelor's degree preferred
2. Good written and verbal communication skills
3. Computer literacy required, CADD experience considered a plus
...</t>
  </si>
  <si>
    <t>$17-$20 /yr</t>
  </si>
  <si>
    <t>1. Intermediate knowledge of graphic design software (Photoshop, Illustrator)
2. Extremely detail-oriented
3. Capable of working in a fast-paced environment</t>
  </si>
  <si>
    <t>DigiComms Fellowship</t>
  </si>
  <si>
    <t>Climate Action Campaign DC</t>
  </si>
  <si>
    <t>1. A background in social media channels, digital media, graphic design and creating visual content
2. Ability to write posts for social media and on-graphic copy
3. Knowledge of editing and design platforms such as Canva, Adobe Premiere, and CapCut
...</t>
  </si>
  <si>
    <t>Intern UI and Graphic Designer (44592)</t>
  </si>
  <si>
    <t>Welbilt</t>
  </si>
  <si>
    <t>New Port Richey, FL</t>
  </si>
  <si>
    <t>1. Currently enrolled in or recently graduated from a bachelor's program in Graphic Design, Multimedia, or UX/UI Design.
2. Junior or Senior level enrolled in a college or university program.
3. Proficiency in Figma and Adobe Illustrator.
...</t>
  </si>
  <si>
    <t>NYC Internship Fall 2024</t>
  </si>
  <si>
    <t>Place Showroom</t>
  </si>
  <si>
    <t>1. Proficient in Microsoft Office
2. Position requires strong organizational skills
3. Attention to detail
...</t>
  </si>
  <si>
    <t>MTC Graphic Design Intern</t>
  </si>
  <si>
    <t>Johnson County Community College</t>
  </si>
  <si>
    <t>1. The qualified candidate will be a current JCCC student with a focus in Graphic Design or Advertising
2. Proficient in Adobe Creative Suite (Illustrator, InDesign, Photoshop)</t>
  </si>
  <si>
    <t>Intern, Designer</t>
  </si>
  <si>
    <t>Zeno Group</t>
  </si>
  <si>
    <t>1. Experience with Adobe Creative Cloud: InDesign, Illustrator, Photoshop, Premiere Pro, and After Effects is a must.
2. A love for PowerPoint, and if not love then a healthy respect for PowerPoint. Either way, you’ll need to be a PPT wizard and know your way around Microsoft Office Suite, as well.
3. Ability to juggle multiple assignments and work in a high-pressure environment.
...</t>
  </si>
  <si>
    <t>Graphic Design Intern - Fall</t>
  </si>
  <si>
    <t>1. Currently enrolled and pursuing degree in relevant field</t>
  </si>
  <si>
    <t>INTERN -Content (Creative Services) Summer 2025</t>
  </si>
  <si>
    <t>1. Authorized to work lawfully in the United States for any US Employer
2. Passion for content
3. Solid grammar skills
...</t>
  </si>
  <si>
    <t>CASAS | Graphic Designer Student Assistant</t>
  </si>
  <si>
    <t>1. Current Liberty University student in good standing with the University
2. Able to work between 12-16 hours a week (between the hours of 8 a.m.-4:30 p.m., Monday through Friday)
3. Possess a creative mindset, intellectual curiosity, and a desire to learn
...</t>
  </si>
  <si>
    <t>TGW North America</t>
  </si>
  <si>
    <t>1. Actively pursuing a degree in Graphic Design, Illustration, or a related field.
2. Understanding of Design Theory and an eye for detail
3. Highly proficient in Illustrator, InDesign, Photoshop, and Canva
...</t>
  </si>
  <si>
    <t>1. Currently pursuing an associate's, bachelor's, or graduate degree, preferably in advertising, graphic design, or a related field
2. Demonstrated ability to execute creative vision with style and creativity
3. Energetic, task-oriented, and proactive with a strong work ethic and positive attitude
...</t>
  </si>
  <si>
    <t>1. strong graphic design and typography skills
2. fluent across Adobe Creative Suite
3. able to work in Figma
...</t>
  </si>
  <si>
    <t>Apparel Design Intern - Woven Tops - Fall 2024 (for credit only)</t>
  </si>
  <si>
    <t>1. Enrolled in an accredited college degree program
2. Knowledge of Adobe Illustrator and Photoshop
3. Excellent written and oral communication skills
...</t>
  </si>
  <si>
    <t>Internship - Designer</t>
  </si>
  <si>
    <t>1. College/university students or technical trade/vocational students
2. Studying Civil Engineering with a focus on Transportation, Environmental, and Mechanical/Electrical Engineering</t>
  </si>
  <si>
    <t>Emo Nite - Design Intern</t>
  </si>
  <si>
    <t>Calabasas, CA</t>
  </si>
  <si>
    <t>1. Knowledge and interest in music industry, emo music, and Emo Nite’s brand preferred
2. Excellent communication and interpersonal skills, with the ability to build relationships across departments and functions
3. Strong time management skills
...</t>
  </si>
  <si>
    <t>Accessories Design Intern - Fall 2024 (for credit only)</t>
  </si>
  <si>
    <t>1. Enrolled in an accredited college degree program
2. Interest in career in Accessories Design after college
3. Knowledge of Adobe Illustrator and Photoshop
...</t>
  </si>
  <si>
    <t>Spring 2025 UX Intern (BS or MS)</t>
  </si>
  <si>
    <t>1. University student pursuing a degree in UX, Industrial design, Human Factors engineering or any other design related fields with a GPA of 3.0 or higher.
2. Ability to support UX team efforts to communicate business requirements into relevant designs.
3. Basic understanding of the user-centered design process along with experience with user research, UI design, interaction design, and usability testing.
...</t>
  </si>
  <si>
    <t>Intern - Graphic Design</t>
  </si>
  <si>
    <t>Layton Construction</t>
  </si>
  <si>
    <t>1. Portfolio</t>
  </si>
  <si>
    <t>Product Design Intern – Paid Internship (Cerritos, CA)</t>
  </si>
  <si>
    <t>InBody</t>
  </si>
  <si>
    <t>Cerritos, CA</t>
  </si>
  <si>
    <t>1. Currently pursuing a degree in Product Design, UX/UI Design, Human-Computer Interaction, or related field
2. A portfolio showcasing design projects or coursework (required)
3. Basic understanding of UX/UI design principles and methodologies
...</t>
  </si>
  <si>
    <t>Cyma Rubin Visualization Gallery Graduate Assistant</t>
  </si>
  <si>
    <t>1. Graduate student enrolled at NC State University
2. Strong communication and presentation skills
3. Familiarity with digital media creation tools, such as Google Slides, Adobe suite or similar
...</t>
  </si>
  <si>
    <t>1. Experience with Adobe Creative Cloud: InDesign, Illustrator, Photoshop, Premiere Pro, and After Effects is a must.
2. Ability to juggle multiple assignments and work in a high-pressure environment.
3. Experience in creating wow-inducing digital content for various social media platforms, notably LinkedIn, X, TikTok, and Instagram.
...</t>
  </si>
  <si>
    <t>iPhone Photographer</t>
  </si>
  <si>
    <t>Huntsville-Decatur Area</t>
  </si>
  <si>
    <t>1. Must be 18 years or older
2. Reside in the United States
3. Own an iOS device (iPhone or iPad) with a collection of personal photos
...</t>
  </si>
  <si>
    <t>Modesto-Merced Area</t>
  </si>
  <si>
    <t>Boise Metropolitan Area</t>
  </si>
  <si>
    <t>Spokane-CdA Area</t>
  </si>
  <si>
    <t>September 2024 - December 2024: Creative Services Intern (Undergraduate)</t>
  </si>
  <si>
    <t>iRobot</t>
  </si>
  <si>
    <t>Artificial Intelligence (AI), Hardware</t>
  </si>
  <si>
    <t>Bedford, MA</t>
  </si>
  <si>
    <t>1. Currently pursuing a Bachelors degree in Graphic Design or other design-related degree.
2. Ability to work full-time from beginning of September through December during business operating hours.
3. Strong knowledge of Adobe Creative Cloud (PSD, InD, Ai, XD), Microsoft Office suite. And video editing if possible (Premier Pro or After Effects).
...</t>
  </si>
  <si>
    <t>Beauty Creative Internship (Fall 2024)</t>
  </si>
  <si>
    <t>1. Passion for the beauty industry
2. Tapped into cultural and social trends and can proactively pitch ideas for the brand
3. Proficient in all Adobe Creative Suite (InDesign, Illustrator, and Photoshop) ability to deliver strong, polished, effective presentations and graphic collateral
...</t>
  </si>
  <si>
    <t>Internship - Landscape Architect</t>
  </si>
  <si>
    <t>Barr Engineering Co.</t>
  </si>
  <si>
    <t>1. Pursuing a bachelor’s or master’s in landscape architecture, horticulture or natural resources, or other related degrees from an accredited program
2. Demonstrated interest in landscape architecture
3. Exposure to AutoCAD
...</t>
  </si>
  <si>
    <t>Tallahassee Metro</t>
  </si>
  <si>
    <t>Greater Columbus Area</t>
  </si>
  <si>
    <t>Knoxville Metro</t>
  </si>
  <si>
    <t>Greater Augusta Area</t>
  </si>
  <si>
    <t>Charleston, South Carolina Metropolitan Area</t>
  </si>
  <si>
    <t>Huntington Beach, CA</t>
  </si>
  <si>
    <t>Roseville, CA</t>
  </si>
  <si>
    <t>Killeen-Temple Area</t>
  </si>
  <si>
    <t>Fort Collins Area</t>
  </si>
  <si>
    <t>Lakewood, NJ</t>
  </si>
  <si>
    <t>Mobile Metropolitan Area</t>
  </si>
  <si>
    <t>Greater Chattanooga</t>
  </si>
  <si>
    <t>Elk Grove, CA</t>
  </si>
  <si>
    <t>Shreveport-BC Area</t>
  </si>
  <si>
    <t>Little Rock Metro</t>
  </si>
  <si>
    <t>Greater Sioux Falls Area</t>
  </si>
  <si>
    <t>Greater Amarillo Area</t>
  </si>
  <si>
    <t>Grand Prairie, TX</t>
  </si>
  <si>
    <t>Des Moines Metro</t>
  </si>
  <si>
    <t>Cape Coral Metro</t>
  </si>
  <si>
    <t>Fontana, CA</t>
  </si>
  <si>
    <t>Fayetteville, North Carolina Metropolitan Area</t>
  </si>
  <si>
    <t>Brownsville Metro</t>
  </si>
  <si>
    <t>Akron metropolitan area, OH</t>
  </si>
  <si>
    <t>Greater Birmingham, Alabama Area</t>
  </si>
  <si>
    <t>Grand Rapids Metro</t>
  </si>
  <si>
    <t>Springfield-Branson, Missouri Area</t>
  </si>
  <si>
    <t>Greater Clarksville Area</t>
  </si>
  <si>
    <t>Pembroke Pines, FL</t>
  </si>
  <si>
    <t>Lancaster, CA</t>
  </si>
  <si>
    <t>Surprise, AZ</t>
  </si>
  <si>
    <t>Part-Time Work From Home as Photo Collector Anywhere in the US</t>
  </si>
  <si>
    <t>1. Be 18 years or older
2. Reside in the US
3. Photos must be taken with an IOS device (iPhone or iPad)
...</t>
  </si>
  <si>
    <t>Experiential Creative Intern</t>
  </si>
  <si>
    <t>1. Outgoing personality, positive attitude, and strong work ethic.
2. Passionate about creating immersive brand experiences.
3. Must be an undergraduate/grad student (Academic credit is a must).
...</t>
  </si>
  <si>
    <t>Greater McAllen Area</t>
  </si>
  <si>
    <t>Visalia-Hanford Area</t>
  </si>
  <si>
    <t>Waco Area</t>
  </si>
  <si>
    <t>Greater Savannah Area</t>
  </si>
  <si>
    <t>Gainesville Metro</t>
  </si>
  <si>
    <t>West Valley City, UT</t>
  </si>
  <si>
    <t>1. Majoring in Information and Library Science preferred.
2. Currently enrolled in a master's degree program based in the US.
3. Basic understanding of metadata standards and practices.
...</t>
  </si>
  <si>
    <t>Crawfordville, FL</t>
  </si>
  <si>
    <t>Graphic Design Intern (Course Credit Eligible)</t>
  </si>
  <si>
    <t>1. Collaborate closely with Social Media Team
2. Attend Brain Trust Meetings over Zoom twice weekly
3. Play an integral role in storytelling of 'Adventure Ted Chronicles'
...</t>
  </si>
  <si>
    <t>Fall 2024 - Visual Merchandising Intern</t>
  </si>
  <si>
    <t>1. Must be able to work on location, 20-24 hours per week
2. Intern for the full Fall term - September 4 - December 20, 2024
3. Must be a rising Junior or Senior at a local college/university pursuing a bachelor's degree
...</t>
  </si>
  <si>
    <t>TapeManBlue</t>
  </si>
  <si>
    <t>E-Commerce, Electrical Distribution</t>
  </si>
  <si>
    <t>1. Currently attends an accredited college or university - majoring in graphic design, marketing, digital media, or a closely-related field
2. Strong portfolio showcasing projects from prior jobs/classes
3. Proficient in Adobe Creative Suite (Illustrator &amp; InDesign)
...</t>
  </si>
  <si>
    <t>Product Designer Intern - TikTok Design - 2024 Fall</t>
  </si>
  <si>
    <t>$30-$50 /h</t>
  </si>
  <si>
    <t>1. Currently pursuing a Bachelor/Master/PhD degree in product design related majors (product interaction design and HCI, etc.)
2. Ability to rapidly iterate and produce multiple concepts and strong willingness to learn and adapt to a fast-growing environment
3. Great communication skills to be able to articulate your concepts, vision, and decision-making
...</t>
  </si>
  <si>
    <t>1. Intermediate knowledge of Adobe Photoshop and Illustrator a must
2. Advanced visual and written communication skills
3. Some to advanced knowledge of fabrics across categories
...</t>
  </si>
  <si>
    <t>Social Media and Graphic Design Internship</t>
  </si>
  <si>
    <t>1. Minimum GPA of 2.8
2. Strong skills in graphic design and social media management
3. Excellent communication and organization skills
...</t>
  </si>
  <si>
    <t>MM.LaFleur</t>
  </si>
  <si>
    <t>1. Must be enrolled in or recently completed a graphic design program
2. Must have enough quality design work to fill a portfolio
3. Experience designing graphics for women’s fashion/retail preferred
...</t>
  </si>
  <si>
    <t>Graphic Design Internship</t>
  </si>
  <si>
    <t>WETA</t>
  </si>
  <si>
    <t>1. Proficiency in Adobe Creative Suite: Strong command of Photoshop, Illustrator, and InDesign for creating impactful marketing materials.
2. Fundamentals of Graphic Design: Understanding of typography, layout, color theory, and print production techniques to produce visually compelling content.
3. Effective Communication: Ability to communicate clearly and concisely, collaborate within a team, and confidently present work.
...</t>
  </si>
  <si>
    <t>Fall Art Intern</t>
  </si>
  <si>
    <t>Calcium+Company</t>
  </si>
  <si>
    <t>Advertising, Health Care</t>
  </si>
  <si>
    <t>1. Must be legally authorized to work in the United States
2. Full-time rising junior or rising senior, currently enrolled at Drexel University studying Advertising, Graphic Design, Communication Arts, or a similar field
3. Strong organizational and planning skills, strong attention to detail, and excellent verbal and written communication skills
...</t>
  </si>
  <si>
    <t>Motion Graphic Designer Internship</t>
  </si>
  <si>
    <t>1. Adobe After Effects: 4+ Years
2. Adobe Premiere (Or Comparable Software): 3+ Years
3. Adobe Illustrator: 2+ Years</t>
  </si>
  <si>
    <t>INTERN -Content (Creative Services) -Spring 2025</t>
  </si>
  <si>
    <t>1. Ability to legally work for any US Employer
2. Passion for content
3. Solid grammar skills
...</t>
  </si>
  <si>
    <t>Full-time Live Events Intern</t>
  </si>
  <si>
    <t>Leading Authorities International</t>
  </si>
  <si>
    <t>1. Ability to work in office 4-5 days a week
2. Must possess a professional, positive attitude and be able to work individually or as a contributing member of a team
3. Just-graduated or current student learning in related program such as theatre, event management, live event production, audio visual design or design
...</t>
  </si>
  <si>
    <t>Greater Abilene Area</t>
  </si>
  <si>
    <t>PR Design Intern</t>
  </si>
  <si>
    <t>assouline</t>
  </si>
  <si>
    <t>Books, E-Commerce</t>
  </si>
  <si>
    <t>1. Strong knowledge and experience in utilizing InDesign
2. Currently pursuing a bachelor’s degree in related field (Design, Communications or Marketing)
3. Interest in culture, art, and fashion
...</t>
  </si>
  <si>
    <t>Fall Strategy Internship</t>
  </si>
  <si>
    <t>The Culinary Edge</t>
  </si>
  <si>
    <t>Consulting, Food and Beverage</t>
  </si>
  <si>
    <t>1. Undergraduate student or recent graduate (within the last 12 months)
2. Strong working knowledge of Mac, Microsoft office suites, and Google suites
3. Ability to work in-person 4-5x a week at our San Francisco test kitchen, located in the SOMA neighborhood</t>
  </si>
  <si>
    <t>NFM+Dymun</t>
  </si>
  <si>
    <t>1. Successful completion of Junior year or better at an accredited school, majoring in Fine Arts/Creative Design
2. 3.0 GPA in at least one semester
3. Experience in digital illustration and layout software, including Photoshop, Illustrator, InDesign and other industry design and production software
...</t>
  </si>
  <si>
    <t>(Fall) CMF Design Co-op: June to December 2024</t>
  </si>
  <si>
    <t>1. Pursing Bachelor of Fine Arts (BFA) in Industrial Design, or other related design field
2. Specialization/Interest in CMF preferred
3. Strong skill/knowledge in the Adobe Suite (Illustrator, InDesign, Photoshop)
...</t>
  </si>
  <si>
    <t>$28.5-$47.5 /h</t>
  </si>
  <si>
    <t>(Fall) Social Graphic Designer Co-op: July to December 2024</t>
  </si>
  <si>
    <t>1. Proven experience as a graphic designer, with a strong portfolio showcasing proficiency in creating visual content for social media platforms.
2. Proficiency in graphic design software such as Adobe Photoshop, Illustrator, or Canva.
3. Strong understanding of design principles, typography, color theory, and composition.
...</t>
  </si>
  <si>
    <t>Visual Merchandising Internship (Fall 2024)</t>
  </si>
  <si>
    <t>1. Currently enrolled in college or university
2. Ability to multi-task in a fast-paced environment
3. Fashion major preferred
...</t>
  </si>
  <si>
    <t>Visual Media Embark Intern</t>
  </si>
  <si>
    <t>Answers in Genesis</t>
  </si>
  <si>
    <t>Petersburg, KY</t>
  </si>
  <si>
    <t>1. Must agree with and be able to sign our Statement of Faith.
2. Maintains a personal relationship with Jesus Christ.
3. Must live in ministry-provided housing while serving as an intern
...</t>
  </si>
  <si>
    <t>Work Study Student - Botanic Garden - Graphic Design/Branding Assistant (Fall 2024)</t>
  </si>
  <si>
    <t>Greater Billings Area</t>
  </si>
  <si>
    <t>Pueblo-Cañon City Area</t>
  </si>
  <si>
    <t>Palm Bay-Melbourne-Titusville</t>
  </si>
  <si>
    <t>Greater Columbia, Missouri Area</t>
  </si>
  <si>
    <t>Beaumont-PA Area</t>
  </si>
  <si>
    <t>1. Attaining 4-year undergraduate degree
2. 1-3 years of experience in working with Adobe Creative Suite applications (Photoshop, Illustrator, etc.)
3. You are interested in a design-focused role
...</t>
  </si>
  <si>
    <t>Springfield, Illinois Metropolitan Area</t>
  </si>
  <si>
    <t>1. Must be at least a sophomore and actively seeking a Bachelor’s or Master’s degree in Marketing, Graphic Design, or other closely related field with a cumulative GPA of 2.5 or greater.
2. Must have experience with PowerPoint, Excel, Word, Microsoft Teams, and Outlook.</t>
  </si>
  <si>
    <t>Post Graduate Design Intern</t>
  </si>
  <si>
    <t>1. Graphic design degree or equivalent experience
2. 1-2yrs of professional experience
3. Provide a compelling portfolio showcasing a range of graphic design work and the process behind those pieces
...</t>
  </si>
  <si>
    <t>1. Student enrolled in either a two-year design degree program with intent to continue to four years or a bachelor degree-seeking student
2. Sophomore class standing or greater
3. Understanding of marketing techniques and graphic design principles
...</t>
  </si>
  <si>
    <t>Ashley Furniture Industries</t>
  </si>
  <si>
    <t>Furniture, Manufacturing</t>
  </si>
  <si>
    <t>1. Desired Degree Programs: Interior Design, Interior Architecture or similar field (College Senior preferred)
2. Positive can-do attitude
3. Self-starter with hunger to learn
...</t>
  </si>
  <si>
    <t>Fall 2024 Photography Internship</t>
  </si>
  <si>
    <t>1. Desired 1-2 years of retail experience
2. Junior, Senior, or recent graduate with a solid academic record pursuing a 4-year degree in Photography
3. Some knowledge of Canon EOS, Profoto gear, Photoshop, Bridge, Capture One Pro, Lightroom, Premier, and Mac OS X
...</t>
  </si>
  <si>
    <t>1. Ability to work normal office hours (minimum of 20 hours/week).
2. Unpaid Internship
3. Must have your own laptop
...</t>
  </si>
  <si>
    <t>Production Artist Internship - Fall 2024</t>
  </si>
  <si>
    <t>1. Student expected to graduate in Fall 2024 or Spring 2025, working towards a bachelor’s degree in a creative field (i.e., graphic design, visual communication, digital design, or related field)
2. Proficient knowledge of Microsoft Office and Adobe Creative Cloud
3. Enjoy learning and growing in a fast-paced, collaborative environment</t>
  </si>
  <si>
    <t>UX Design Intern - Fall 2024</t>
  </si>
  <si>
    <t>1. Pursuing a Bachelor's degree or higher in Visual/Communication Design, Human-Computer Interaction, Industrial Design, or related field
2. Available to work 40 hours per week in our Cincinnati, OH office
3. Graduating by December 2025, 3.5 GPA or higher
...</t>
  </si>
  <si>
    <t>Fall 2024 Intern - Design &amp; Video</t>
  </si>
  <si>
    <t>Product Design Intern, Visual or Design System (TikTok Design) - 2024 Fall Intern (BS/MS)</t>
  </si>
  <si>
    <t>1. Portfolio demonstrating strong skill set in visual and user-centered design process
2. Ability to rapidly iterate and produce multiple concepts
3. Great communication skills to be able to articulate your concepts, vision, and decision-making
...</t>
  </si>
  <si>
    <t>Ventura, CA</t>
  </si>
  <si>
    <t>Downey, CA</t>
  </si>
  <si>
    <t>Clovis, CA</t>
  </si>
  <si>
    <t>Fargo-Moorhead</t>
  </si>
  <si>
    <t>Santa Maria, CA</t>
  </si>
  <si>
    <t>CS-Bryan Area</t>
  </si>
  <si>
    <t>South Fulton, GA</t>
  </si>
  <si>
    <t>Greater Tuscaloosa Area</t>
  </si>
  <si>
    <t>South Bend-Mishawaka</t>
  </si>
  <si>
    <t>Renton, WA</t>
  </si>
  <si>
    <t>Rialto, CA</t>
  </si>
  <si>
    <t>Midland-Odessa Area</t>
  </si>
  <si>
    <t>Miami Gardens, FL</t>
  </si>
  <si>
    <t>Woodbridge, NJ</t>
  </si>
  <si>
    <t>Greater Evansville Area</t>
  </si>
  <si>
    <t>Buckeye, AZ</t>
  </si>
  <si>
    <t>Green Bay, Wisconsin Metropolitan Area</t>
  </si>
  <si>
    <t>Greater Wichita Falls, Texas Area</t>
  </si>
  <si>
    <t>Vacaville, CA</t>
  </si>
  <si>
    <t>Thousand Oaks, CA</t>
  </si>
  <si>
    <t>Lafayette, Louisiana Metropolitan Area</t>
  </si>
  <si>
    <t>Antioch, CA</t>
  </si>
  <si>
    <t>Spokane Valley, WA</t>
  </si>
  <si>
    <t>Sandy Springs, GA</t>
  </si>
  <si>
    <t>Rio Rancho, NM</t>
  </si>
  <si>
    <t>Inglewood, CA</t>
  </si>
  <si>
    <t>Greater Bend Area</t>
  </si>
  <si>
    <t>Greater Chico Area</t>
  </si>
  <si>
    <t>Daly City, CA</t>
  </si>
  <si>
    <t>Omaha Home Office</t>
  </si>
  <si>
    <t>Fall 2024 Graphic Design Internship</t>
  </si>
  <si>
    <t>1. Pursuing a degree in Graphic Design, Visual Communications, or a related field.
2. Proficiency in design software such as Adobe Creative Suite (Photoshop, Illustrator, InDesign, etc.).
3. Strong creative and conceptual thinking skills.
...</t>
  </si>
  <si>
    <t xml:space="preserve">Experiential Creative Intern </t>
  </si>
  <si>
    <t>Civil/Landscape Design Intern</t>
  </si>
  <si>
    <t>1. Currently a student majoring in drafting, civil engineering, landscape design or related field.
2. Experience with Lumion, AutoCAD/Civil 3D, Land FX, Adobe Creative Suites (PhotoShop, InDesign, Illustrator, Sketchup), GIS/ArcView, Microsoft Office (Word, Excel, Power Point).
3. Strong freehand illustration and rendering skills.
...</t>
  </si>
  <si>
    <t>Design User Experience Co-op/Intern - Summer 2025</t>
  </si>
  <si>
    <t>Part-Time Remote Photo Collector (No experience needed) – WFH - Anywhere in US</t>
  </si>
  <si>
    <t>Graphic Design - Intern</t>
  </si>
  <si>
    <t>1. Currently pursuing or recently completed a degree in Graphic Design, Visual Arts, or a related field.
2. Strong portfolio showcasing a variety of design work, including digital and print projects.
3. Proficiency in Adobe Creative Suite (Photoshop, Illustrator, InDesign, etc.).
...</t>
  </si>
  <si>
    <t>Portland, Oregon Metropolitan Area</t>
  </si>
  <si>
    <t>School to Work - Photographer &amp; Photo Editor - Fall</t>
  </si>
  <si>
    <t>1. Experience in digital photography.
2. Proficient in Adobe Photoshop
3. Ability to learn on the job in a dynamic environment while balancing multiple priorities.
...</t>
  </si>
  <si>
    <t>Design Internship</t>
  </si>
  <si>
    <t>Paws and Claws Cat Rescue</t>
  </si>
  <si>
    <t>1. Currently pursuing or has obtained a degree in Graphic Design, Visual Arts, or a related field.
2. Proficient in Canva and a more high-level design website
3. Strong creativity and design skills with a keen eye for detail.
...</t>
  </si>
  <si>
    <t>2024-2025 Veteran &amp; Military Affairs, Student Marketing/Graphic Design Assistant</t>
  </si>
  <si>
    <t>1. At least 2 semesters of FIU work experience or related experience outside the University
2. Students enrolled at FIU, who have been awarded Federal Work Study (FWS) as part of their Financial Aid Award package
3. Student must be enrolled with a minimum of six (6) credit hours in a course of study leading to a degree or a Financial Aid eligible certificate, during Fall, Spring, and Summer semesters</t>
  </si>
  <si>
    <t>Current Interns Only - UX Design 2024 Intern Posting</t>
  </si>
  <si>
    <t>$16.92-$168800 /h</t>
  </si>
  <si>
    <t>1. 1+ years’ experience in digital software product work, with user experience emphases in research, UX architecture, interaction design and/or visual design
2. Bachelor’s degree with focus on User Experience Design, Human-Computer Interaction, or related field
3. A portfolio featuring product design work
...</t>
  </si>
  <si>
    <t>$16.92-$168,800 /h</t>
  </si>
  <si>
    <t>UX Research Intern [Fall 2024]</t>
  </si>
  <si>
    <t>$34-$38 /h</t>
  </si>
  <si>
    <t>1. You’re currently enrolled in an accredited university and pursuing a degree in Design, Human-Computer Interaction, Human Factors, Psychology, Sociology or Cognitive Science
2. You have experience in applying human-centered research techniques to product definition and designs
3. You have a core understanding of UX and design processes, preferably through college-level coursework or direct experience
...</t>
  </si>
  <si>
    <t>Online Graphics and Web Designer Internship</t>
  </si>
  <si>
    <t>1. Bachelor’s Degree in graphic design, web design, or related fields
2. GPA above 3.4
3. Design Background with a portfolio showcasing graphic/web design work
...</t>
  </si>
  <si>
    <t>Landscape Architect</t>
  </si>
  <si>
    <t>1. Bachelor’s or Master’s degree in Landscape Architecture
2. 0-2 years of relevant experience. Prior related internship experience is a plus
3. Demonstrated passion for design excellence and the challenges of creating inspiring places in urban environments
...</t>
  </si>
  <si>
    <t>Intern - Architecture Students</t>
  </si>
  <si>
    <t>Perkins &amp; Will</t>
  </si>
  <si>
    <t>1. Students of Architecture or design-related majors enrolled in their fall 2024 semester
2. Portfolio is required</t>
  </si>
  <si>
    <t>Architecture Intern- Washington, DC</t>
  </si>
  <si>
    <t>IBI Group</t>
  </si>
  <si>
    <t>1. In the process of getting a Bachelor’s Degree in architecture or related design field.
2. Self-motivated and willing to learn
3. Highly collaborative and a strong team player</t>
  </si>
  <si>
    <t>Designer Co-op</t>
  </si>
  <si>
    <t>1. Pursing Associate degree in Mechanical Design or related technical discipline.
2. Mastery in all aspects of computer modeling and drawing documentation with additional consideration to clarity of presentation and conformance to Standard Practices &amp; Work Instructions.
3. Proficiency in change/revision annotation writing and parts chart arrangement.
...</t>
  </si>
  <si>
    <t>Graphic Design Output Intern</t>
  </si>
  <si>
    <t>1. Stable and progressive work history
2. Excellent hand-eye coordination
3. Ability to learn new systems and software
...</t>
  </si>
  <si>
    <t>Designer - International Implementation</t>
  </si>
  <si>
    <t>$69000-$115000 /yr</t>
  </si>
  <si>
    <t>1. Minimum 2 years interior and/or architectural design experience in a retail, hospitality or restaurant design or development organization. Experience can include relevant internship experience.
2. Bachelor of Architecture or equivalent Interior Design degree.
3. Proficiency in Bluebeam. AutoCAD, 3D visualization (Sketch-Up / Photoshop) capabilities a definite plus. MS Office suite a must.
...</t>
  </si>
  <si>
    <t>GRAPHIC DESIGN INTERN</t>
  </si>
  <si>
    <t>Creative/Promo/Production Intern</t>
  </si>
  <si>
    <t>1. Can work in the US legally without any sponsorship
2. Be of advanced skill level due to complexity of projects
3. A collaborative worker with a willingness to learn
...</t>
  </si>
  <si>
    <t>Laminate Tube Printing Assistant</t>
  </si>
  <si>
    <t>1. High School diploma / GED equivalent.
2. Understanding of printing operations desired.
3. Basic trouble shooting skills.
...</t>
  </si>
  <si>
    <t>Design Intern, FW 24</t>
  </si>
  <si>
    <t>Dagne Dover</t>
  </si>
  <si>
    <t>1. Are upbeat, positive, and believe that the best way to handle any challenge is head-on
2. Thrive in a fast-paced environment and are able to switch gears on a moment’s notice
3. Are proactive; see something that isn’t working? Help fix it!
...</t>
  </si>
  <si>
    <t>C3 Presents - Merchandise Graphic Design Intern - Fall 2024</t>
  </si>
  <si>
    <t>1. Currently enrolled in an accredited College or University
2. Previous experience preferred (school, internship, or professional)
3. Creative thinker and problem solver
...</t>
  </si>
  <si>
    <t>Viki</t>
  </si>
  <si>
    <t>Music, TV</t>
  </si>
  <si>
    <t>1. Effective and strong communicator
2. Proven ability to assist and create high-quality creatives (portfolio required)
3. Experienced in all aspects of creative project management from kickoff to completion
...</t>
  </si>
  <si>
    <t>Pep LLC</t>
  </si>
  <si>
    <t>1. Proficient in Adobe product suite (specifically Adobe InDesign, Adobe Illustrator, Adobe Photoshop and Acrobat Pro)
2. Proficient in Microsoft Office Suite (especially Powerpoint)
3. Expertise in creating posts, reels, videos, other content for social media platforms including Facebook, Instagram, LinkedIn, Twitter, TikTok
...</t>
  </si>
  <si>
    <t>Creator Intern</t>
  </si>
  <si>
    <t>Acorns</t>
  </si>
  <si>
    <t>1. One or more years of relevant experience
2. Excellent knowledge of social media channels
3. Passion for creating engaging content that educates and informs Acorns customers
...</t>
  </si>
  <si>
    <t>Oklahoma City Thunder</t>
  </si>
  <si>
    <t>1. Presently enrolled at an accredited college or university and approved by your school to receive internship credit
2. Possess an understanding of various printing methods and the steps by which digital artwork becomes a printed page
3. Experience using Creative Suite on the Macintosh platform working primarily in InDesign, Illustrator and Photoshop
...</t>
  </si>
  <si>
    <t>Graphic Designer Intern - Marketing</t>
  </si>
  <si>
    <t>B-Sew Inn</t>
  </si>
  <si>
    <t>B2C, E-Commerce</t>
  </si>
  <si>
    <t>1. High School Diploma or GED required.
2. Bachelor’s degree in graphic design or related field
3. 1 year experience as graphic designer or related field.
...</t>
  </si>
  <si>
    <t>Intern Team - Creative Operations Intern</t>
  </si>
  <si>
    <t>Athletics Creative Intern</t>
  </si>
  <si>
    <t>Cornell Law School</t>
  </si>
  <si>
    <t>$1750-$1750 /mon</t>
  </si>
  <si>
    <t>1. Bachelor's degree in journalism or related field preferred.
2. Previous work experience in graphic design as an undergraduate, graduate, or intern preferred.
3. Demonstrated knowledge of video editing and graphic design.
...</t>
  </si>
  <si>
    <t>Graphic Design &amp; Marketing Intern</t>
  </si>
  <si>
    <t>WBEZ</t>
  </si>
  <si>
    <t>Communities, Content</t>
  </si>
  <si>
    <t>1. Diligent, detail-oriented, and able to follow direction well
2. Passionate in news media/publishing
3. A design portfolio or work samples is required
...</t>
  </si>
  <si>
    <t>Design Intern - Paid Internship</t>
  </si>
  <si>
    <t>Lusive Decor</t>
  </si>
  <si>
    <t>1. Extremely organized
2. Excellent verbal and communication skills
3. Attention to detail
...</t>
  </si>
  <si>
    <t>Baker Labs</t>
  </si>
  <si>
    <t>1. Junior or senior majoring in Graphic Design
2. Available to work 10-15 hours per week
3. Transportation to the office located in Downtown Knoxville
...</t>
  </si>
  <si>
    <t>1. Design clear and engaging graphics
2. Assist in creating presentations using PowerPoint
3. Assist with collateral pieces
...</t>
  </si>
  <si>
    <t>The Cary Company</t>
  </si>
  <si>
    <t>Addison, IL</t>
  </si>
  <si>
    <t>1. A working knowledge of Adobe Creative Cloud. Particularly InDesign, Illustrator and Photoshop
2. Superb people reading skills and are able to provide customers and co-workers with the designs they are looking for when they don’t often know themselves
3. The persuasive talent to sell your ideas, backed up with logical reasoning, and then carry those ideas through to fruition
...</t>
  </si>
  <si>
    <t>1. Currently pursuing a degree in Graphic Design or related field
2. Capable of using Microsoft Office Suite (Word, Excel, PowerPoint) as well as Apple Business Essentials (Keynote)
3. A portfolio of your work to show at the interview
...</t>
  </si>
  <si>
    <t>Part Time School Photographer (Paid Training) - College Park, GA</t>
  </si>
  <si>
    <t>Jostens</t>
  </si>
  <si>
    <t>1. Ability to put a smile on peoples' faces
2. Comfortable working in a school environment with children of all ages and abilities
3. Valid US driver's license and reliable, insured vehicle (use of public transportation is not permitted)
...</t>
  </si>
  <si>
    <t>Intern, Photography</t>
  </si>
  <si>
    <t>Kirkland's</t>
  </si>
  <si>
    <t>1. Proven use of creativity with an eye for product styling, lighting and composition
2. Eager to learn, follow direction, and collaborate with various departments within the company
3. Manage multiple deadlines simultaneously
...</t>
  </si>
  <si>
    <t>1. Obtained or in pursuit of a bachelor’s or master’s degree in graphic arts, design, or related field
2. Compelling portfolio showcasing a diverse range of design projects that demonstrate a keen eye for detail, typography, and layout
3. Strong understanding of both print and digital design
...</t>
  </si>
  <si>
    <t>UX Researcher Intern</t>
  </si>
  <si>
    <t>Saviynt</t>
  </si>
  <si>
    <t>1. Currently pursuing or recently completed a degree in Human-Computer Interaction, Cognitive Psychology, Design, or a related field.
2. Basic understanding of UX research methods and usability testing.
3. Proficiency in using UX research tools and software (e.g., User Testing, Optimal Workshop, etc.).
...</t>
  </si>
  <si>
    <t>1. Currently pursuing an associate’s, bachelor’s, or graduate degree, preferably in advertising, graphic design, or a related field
2. Demonstrated ability to execute creative vision with style and creativity
3. Energetic, task-oriented, and proactive with a strong work ethic and positive attitude
...</t>
  </si>
  <si>
    <t>honeygrow</t>
  </si>
  <si>
    <t>Hospitality, Restaurants</t>
  </si>
  <si>
    <t>1. Must be at least 18 years of age.
2. BFA or enrollment in a related program.
3. Strong working knowledge of Adobe Creative Cloud (InDesign, Photoshop, and Illustrator).
...</t>
  </si>
  <si>
    <t>1. Must be currently enrolled in an undergraduate or graduate program
2. Attention to detail
3. Must possess strong problem-solving and communication skills
...</t>
  </si>
  <si>
    <t>Design Intern - Fall 2024</t>
  </si>
  <si>
    <t>Falcon’s Beyond</t>
  </si>
  <si>
    <t>Enterprise, Information Technology</t>
  </si>
  <si>
    <t>1. Enrolled in school and working towards a Bachelor’s Degree and/or Master’s Degree in Themed Entertainment, Interior Design, Architecture, Theater, Art, or Design
2. Knowledge and proficiency in AutoCAD, Rhino, and Microsoft Suite
3. Strong communication skills
...</t>
  </si>
  <si>
    <t>Fall Graphic Design Intern</t>
  </si>
  <si>
    <t>Grassroots Analytics</t>
  </si>
  <si>
    <t>1. Team player, able to multitask, and eager to learn
2. In-person office presence at Chinatown, DC location for part or full-time work
3. Proficiency in Adobe Creative Suite (specifically InDesign, Illustrator, and Photoshop)
...</t>
  </si>
  <si>
    <t>Content &amp; Graphic Design Intern</t>
  </si>
  <si>
    <t>Indie Consulting</t>
  </si>
  <si>
    <t>Advertising, Management Consulting</t>
  </si>
  <si>
    <t>1. Working towards a Bachelor’s Degree (Junior or Senior) in Graphic Design, Marketing, Advertising, or a related field, preferred.
2. High attention to detail with a focus on quality and consistency in design and content.
3. Strong graphic design skills with proficiency in design software (e.g., Adobe Creative Suite: Photoshop, Illustrator, InDesign).
...</t>
  </si>
  <si>
    <t>2024 Fall Part  - Time Co - Op Cross Media Designer - Hunt Valley, MD</t>
  </si>
  <si>
    <t>1. Currently pursuing bachelor’s degree in Graphic Design, Communications, Fine Arts, Digital Development or related field
2. Proficient in Adobe Creative Suite
3. Basic knowledge of HTML and CSS
...</t>
  </si>
  <si>
    <t>Creative and Social Intern</t>
  </si>
  <si>
    <t>IHC Agency</t>
  </si>
  <si>
    <t>Digital Marketing, Public Relations</t>
  </si>
  <si>
    <t>1. 1+ year(s) in social media management (specifically experience with Instagram and TikTok)
2. Experience in Creative Design Software (Adobe Creative Suite, Canva, CapCut, Etc.)
3. Experience with Social Media Platforms: TikTok, Instagram, Etc.
...</t>
  </si>
  <si>
    <t>IGNITE Student Photographer</t>
  </si>
  <si>
    <t>1. Must be a registered La Sierra Student</t>
  </si>
  <si>
    <t>2024-2025 - Office of Financial Aid, Student Graphic Design Assistant</t>
  </si>
  <si>
    <t>1. Ability to communicate effectively.
2. Possess a high sense of responsibility and customer service skills.
3. Knowledge of PC operations and software.
...</t>
  </si>
  <si>
    <t>Part Time School Photographer (Paid Training) - Peachtree City, GA</t>
  </si>
  <si>
    <t>Social Media + Graphic Design Intern</t>
  </si>
  <si>
    <t>Reach Media Detroit, LLC.</t>
  </si>
  <si>
    <t>1. Understanding of communication design, theories, and principles
2. Ability to develop ideas and concepts with brand guidelines &amp; aesthetic
3. Graphic Design, Advertising major or similar field
...</t>
  </si>
  <si>
    <t>Language and Desktop Publishing Assistant, Chinese</t>
  </si>
  <si>
    <t>1. Be enrolled in or have completed a graduate school programme (second university degree or equivalent, or higher)
2. Be enrolled in or have completed the final academic year of a first university degree programme (minimum bachelor’s level or equivalent)
3. Be computer literate in standard word processing and spreadsheets software applications
...</t>
  </si>
  <si>
    <t>BeRailSafe Visual Media Intern</t>
  </si>
  <si>
    <t>1. Undergraduate student enrolled at an institute of higher learning seeking a degree related to fine arts, visual media, and/or animation.
2. Ability to create animated shorts for the unit, sound design for animated shorts, participate in story building sessions.
3. Proficiency in Harmony 22 (Toon Boom)
...</t>
  </si>
  <si>
    <t>Intern, Innovation Designer (Fall 2024)</t>
  </si>
  <si>
    <t>1. Undergraduate student with experience and interest in UI/UX/Industrial design or other design fields/areas
2. Self-starter with the ability to work independently and collaboratively
3. Curiosity and willingness to explore topics beyond the surface
...</t>
  </si>
  <si>
    <t>Graduate Intern, Innovation Designer (Fall 2024)</t>
  </si>
  <si>
    <t>1. Graduate student with experience and interest in UI/UX/Industrial design or other design fields/areas
2. Self-starter with the ability to work independently and collaboratively
3. Curiosity and willingness to explore topics beyond the surface
...</t>
  </si>
  <si>
    <t>2024-2025 Athletics, Women's Basketball Creative Content Producer</t>
  </si>
  <si>
    <t>1. Current FIU student and eligible for Federal Work Study
2. Artistic Vision
3. Knowledge of design programs on the Mac operating system, including Adobe Photoshop, Adobe Illustrator, Adobe InDesign, Adobe Acrobat and font management
...</t>
  </si>
  <si>
    <t>Merchandise Intern (Fall)</t>
  </si>
  <si>
    <t>Houston Livestock Show And Rodeo</t>
  </si>
  <si>
    <t>Education, Email</t>
  </si>
  <si>
    <t>1. One-two years of relevant experience
2. Accustomed to a fast-paced environment
3. Ability to multitask
...</t>
  </si>
  <si>
    <t>University Student Assistant - Graphic Designer for the College of Arts, Humanities, and Sciences (Fall 2024)</t>
  </si>
  <si>
    <t>1. Applicants must be enrolled as a JSU student taking at least three (3) hours per fall or spring semester.
2. If not a first-time student, the applicant must have a GPA of 2.00 or higher.
3. Selected applicants must provide evidence of student enrollment and GPA (unofficial transcript or printout of enrollment/GPA from MyJSU).
...</t>
  </si>
  <si>
    <t>Menswear Design Intern</t>
  </si>
  <si>
    <t>1. Fashion Design Majors Only!
2. Knowledge of 3D software (CLO, Browzwear, etc)
3. Team player with a passion for Design &amp; Development
...</t>
  </si>
  <si>
    <t>Jacksonville, AL</t>
  </si>
  <si>
    <t>1. Applicants must be enrolled as a JSU student taking at least three (3) hours per fall or spring semester.
2. If not a first-time student, the applicant must have a GPA of 2.00 or higher.
3. Selected applicants must provide evidence of student enrollment and GPA (unofficial transcript or printout of enrollment/GPA from MyJSU).</t>
  </si>
  <si>
    <t>UGC Map Design Intern</t>
  </si>
  <si>
    <t>NetEase</t>
  </si>
  <si>
    <t>Advertising, Gaming</t>
  </si>
  <si>
    <t>1. Proficient in utilizing game editors such as MC, Roblox, Mario Maker, Fortnite, or other game editors, with a track record of crafting content for sophisticated User-Generated Content (UGC) or sandbox games.
2. Experience in the entire game creation process, from conception to publishing, iterating corresponding creative content based on user or official feedback.
3. Passionate about gaming, and mobile gaming experience is preferred.
...</t>
  </si>
  <si>
    <t>Garland, TX</t>
  </si>
  <si>
    <t>Greater Laredo Area</t>
  </si>
  <si>
    <t>Toledo, Ohio Metropolitan Area</t>
  </si>
  <si>
    <t>Lubbock-Levelland Area</t>
  </si>
  <si>
    <t>Wichita, Kansas Metropolitan Area</t>
  </si>
  <si>
    <t>Greater Fort Wayne</t>
  </si>
  <si>
    <t>Corpus Christi Area</t>
  </si>
  <si>
    <t>Colorado Springs Area</t>
  </si>
  <si>
    <t>Charlotte Metro</t>
  </si>
  <si>
    <t>1. Knowledge of Adobe Photoshop, InDesign and Illustration
2. Knowledge of video editing software
3. Passion for developing stories in different media: news articles, videos, and photos
...</t>
  </si>
  <si>
    <t>Greater Phoenix Area</t>
  </si>
  <si>
    <t>NOLA Region</t>
  </si>
  <si>
    <t>El Paso Metro</t>
  </si>
  <si>
    <t>Greater Anchorage Area</t>
  </si>
  <si>
    <t>Greater Reno Area</t>
  </si>
  <si>
    <t>Memphis Metro</t>
  </si>
  <si>
    <t>Greater Lexington Area</t>
  </si>
  <si>
    <t>Greater Milwaukee</t>
  </si>
  <si>
    <t>Lincoln, Nebraska Metropolitan Area</t>
  </si>
  <si>
    <t>Greater Bakersfield Area</t>
  </si>
  <si>
    <t>North Las Vegas, NV</t>
  </si>
  <si>
    <t>Metropolitan Fresno</t>
  </si>
  <si>
    <t>Tulsa Metropolitan Area</t>
  </si>
  <si>
    <t>Greater Tucson Area</t>
  </si>
  <si>
    <t>ABQ-SF Metro Area</t>
  </si>
  <si>
    <t>San Antonio, Texas Metropolitan Area</t>
  </si>
  <si>
    <t>New York, NY, USA</t>
  </si>
  <si>
    <t>1. You are curious, collaborative, and excited to learn new skills
2. You’re a problem solver with an instinct to think through things by making—a craftsperson who sweats the details of building high quality, elegant, and intuitive design that puts users at the center of the experience
3. Prior work experience isn't required, but you must have a portfolio that demonstrates your ability to think creatively and execute a range of design artifacts (websites, mobile apps, posters, logos, etc.). It's ok if you only have school projects to share, as long as you are prepared to describe your thought process
...</t>
  </si>
  <si>
    <t>Pickering Firm, Inc.</t>
  </si>
  <si>
    <t>1. Bachelor's degree in architecture
2. 0-5 years of experience in construction and architecture
3. Proficient in AutoCAD and Revit</t>
  </si>
  <si>
    <t>Vimergy</t>
  </si>
  <si>
    <t>Dietary Supplements, Manufacturing</t>
  </si>
  <si>
    <t>1. Current enrollment in a BA in Graphic Design or another related field.
2. Present a portfolio of work to prove graphic design abilities and skills.
3. Self-motivated and organized.</t>
  </si>
  <si>
    <t>Digital Communications Content Creation Internship  - Fall 2024</t>
  </si>
  <si>
    <t>Winooski, VT</t>
  </si>
  <si>
    <t>1. Understanding of Gen Z and Millennial trends/habits on social channels
2. Passion for action sports, music, fashion or other youth culture is a strong plus
3. Excellent research, organizational, and time management skills
...</t>
  </si>
  <si>
    <t>STO Building Group</t>
  </si>
  <si>
    <t>1. Proficient in InDesign, Photoshop, and Illustrator; familiarity with AfterEffects is a plus
2. Portfolio</t>
  </si>
  <si>
    <t>User Experience Research Ops Intern/Co-op (US - Remote, Fall 2024)</t>
  </si>
  <si>
    <t>1. Actively pursuing a Bachelors, Master's, or PhD in any field.
2. At least one semester/quarter remaining to complete after the internship.
3. Available to work 40 hours a week for 15 weeks.</t>
  </si>
  <si>
    <t>Web Designer Intern</t>
  </si>
  <si>
    <t>1. Experience with design software such as Figma
2. Experience designing responsive and mobile-friendly websites
3. Strong understanding of web design principles, such as layout, typography, and color theory
...</t>
  </si>
  <si>
    <t>Operation Intern (Campaign &amp; Design)</t>
  </si>
  <si>
    <t>1. Currently pursuing or recently completed a Bachelor's or Master's degree.
2. Excellent communication skills, both written and verbal.
3. Graphic design experience or skills.
...</t>
  </si>
  <si>
    <t>Graduate Interior Design Intern</t>
  </si>
  <si>
    <t>Empire State Realty Trust</t>
  </si>
  <si>
    <t>$27.50-$27.50 /h</t>
  </si>
  <si>
    <t>1. Bachelor’s degree required; major or significant coursework in Interior Design, Art, Graphic Design, or related disciplines highly preferred.
2. At least one year of related work experience highly preferred.
3. Strong organizational skills and operationally minded.
...</t>
  </si>
  <si>
    <t>Photography Intern</t>
  </si>
  <si>
    <t>Good Shepherd Services</t>
  </si>
  <si>
    <t>Charity, Consulting</t>
  </si>
  <si>
    <t>1. Must be currently pursuing or holding a degree in photography, visual arts, communications, or related field (or recent graduate). Candidates with photography experience and strong interest will also be considered.
2. Strong technical knowledge of digital photography, including camera operation and techniques.
3. Excellent eye for composition and visual storytelling.
...</t>
  </si>
  <si>
    <t>Marketing and Graphic Design Internship-Fall 2024</t>
  </si>
  <si>
    <t>ZooTampa at Lowry Park</t>
  </si>
  <si>
    <t>Charity, Non Profit</t>
  </si>
  <si>
    <t>1. Junior or senior in graphic design or similar background with an interest in marketing, communications, and public relations.
2. Intermediate or higher understanding of the Adobe Creative Cloud products (Photoshop, Illustrator, InDesign).
3. Knowledge of Microsoft Office and be able to adapt well and quickly to various other computer programs and technologies.
...</t>
  </si>
  <si>
    <t>San Francisco, CA / Chicago, IL / New York, NY</t>
  </si>
  <si>
    <t>School Photographer - Charleston, SC</t>
  </si>
  <si>
    <t>1. Ability to put a smile on peoples’ faces
2. Comfortable working in a school environment with children of all ages and abilities
3. Valid US driver's license and reliable, insured vehicle (use of public transportation is not permitted)
...</t>
  </si>
  <si>
    <t>Utah Jazz</t>
  </si>
  <si>
    <t>1. Undergraduate Junior or Senior studying Graphic Design or a related field
2. GPA 3.0 or higher
3. Able to work 20 to 25 hours
...</t>
  </si>
  <si>
    <t>Creative Fellow (hybrid)</t>
  </si>
  <si>
    <t>VOX Global</t>
  </si>
  <si>
    <t>1. Passion to create innovative designs for web and print campaigns
2. Proficiency in the Adobe Creative Suite
3. Effective writing and editing skills
...</t>
  </si>
  <si>
    <t>Washington, D.C.</t>
  </si>
  <si>
    <t>Fall 2024: DNC Design Internship</t>
  </si>
  <si>
    <t>Democratic National Committee</t>
  </si>
  <si>
    <t>Advice, CivicTech</t>
  </si>
  <si>
    <t>$3600-$3600 stipend</t>
  </si>
  <si>
    <t>1. Proficient in Adobe Photoshop, Illustrator, InDesign, and have basic understanding of the rest of the Adobe Suite
2. Ability to work under tight deadlines and occasional rapid response situations
3. Detailed-oriented, self-starter, and well-organized
...</t>
  </si>
  <si>
    <t>Student Hourly- Design Photo Lab Assistants</t>
  </si>
  <si>
    <t>1. Must have completed PHTO 205 or PHTO 303.
2. During the semester term of the appointment, the student hourly must be enrolled in no fewer than 6 credit hours.
3. Student Hourlies may be undergraduate or graduate students.</t>
  </si>
  <si>
    <t>Women's Design Internship</t>
  </si>
  <si>
    <t>Buck Mason</t>
  </si>
  <si>
    <t>1. Must be working towards a bachelor’s degree as a current Womenswear Design Student at a fashion design school
2. Knowledge of Adobe Suite
3. Knowledge of vintage military and workwear apparel</t>
  </si>
  <si>
    <t>Design User Experience- Business Co-op/Intern- Spring 2025</t>
  </si>
  <si>
    <t>Anaik</t>
  </si>
  <si>
    <t>1. Organizational Skills: Strong ability to organize samples, products, and digital files efficiently.
2. Attention to Detail: Meticulous in checking and analyzing new samples and ensuring accuracy in all tasks.
3. Technical Skills: Proficiency in taking high-resolution photographs of samples and products.</t>
  </si>
  <si>
    <t>Content Creator Intern</t>
  </si>
  <si>
    <t>High Scale</t>
  </si>
  <si>
    <t>1. Pursuing a degree in Communications, Marketing, Media Studies, or a related field.
2. Strong creative portfolio showcasing content creation skills (graphic design, photography, video editing, etc.).
3. Proficiency in creative tools such as Adobe Creative Suite, Canva, Capcut, TikTok, Instagram, and Facebook.
...</t>
  </si>
  <si>
    <t>Intern - PT - Graphic Design</t>
  </si>
  <si>
    <t>First Commonwealth Financial Corporation</t>
  </si>
  <si>
    <t>1. Working towards a Bachelor’s degree in business related field.</t>
  </si>
  <si>
    <t>Graphic Design Co-Op - Fall 2024</t>
  </si>
  <si>
    <t>1. Sophomore or beyond in a 2- or 4-year Graphic Design program
2. GPA of at least 3.0
3. Must be able to work from our Mason office</t>
  </si>
  <si>
    <t>Creative Services / Graphic Design Internship - Fall 2024</t>
  </si>
  <si>
    <t>1. Experience with Adobe Illustrator, Photoshop and InDesign
2. Strong attention to detail
3. Proficient in Microsoft Word, Excel, Power Point
...</t>
  </si>
  <si>
    <t>Junior Designer - 2024 Internship</t>
  </si>
  <si>
    <t>IA Interior Architects</t>
  </si>
  <si>
    <t>1. Enrolled in a CIDA OR NAAB accredited Architecture, Interior Architecture, Interior Design or other design related program
2. Currently enrolled in the third year of a bachelor's program or higher
3. Fundamental knowledge of space planning, design methods, documentation, materials and aesthetics
...</t>
  </si>
  <si>
    <t>2024 Fall Part - Time Co - Op Cross Media Designer - Hunt Valley, MD</t>
  </si>
  <si>
    <t>Creative Assistant - The Lowder Center</t>
  </si>
  <si>
    <t>1. Currently enrolled student at Auburn University.</t>
  </si>
  <si>
    <t>Fall Architecture Intern/Co-op</t>
  </si>
  <si>
    <t>Meyers + Associates</t>
  </si>
  <si>
    <t>1. Strong design skills and a passion for creativity
2. A high degree of self-motivation: able to take initiative and go above and beyond tasks given
3. Ability to work through and meet quick deadlines
...</t>
  </si>
  <si>
    <t>Creative Media Intern</t>
  </si>
  <si>
    <t>All In Strategies</t>
  </si>
  <si>
    <t>1. Enthusiasm for graphic design and a strong desire to learn and grow in this field.
2. Creative mindset with a keen eye for compelling visuals and the ability to translate ideas into stunning designs.
3. Proficiency in graphic design software (e.g., Adobe Creative Suite).
...</t>
  </si>
  <si>
    <t>Designer In Training Salon - Tuttle Crossing Mall</t>
  </si>
  <si>
    <t>1. Currently pursuing or recently completed a degree in Computer Science, Graphic Design, Animation, or related field.
2. Proficiency in 2D or 3D modeling and animation software such as Blender, Maya, or similar.
3. Ability to work collaboratively in a team environment.
...</t>
  </si>
  <si>
    <t>Game Designer (One Time Collab for $2000)</t>
  </si>
  <si>
    <t>Anykraft</t>
  </si>
  <si>
    <t>Online Games, Software</t>
  </si>
  <si>
    <t>$2000-$2000 one-time</t>
  </si>
  <si>
    <t>1. You have created at least 2 maps AND played at least 3 different maps in Neon World Maker
2. You love gaming
3. You spend all your time building and creating
...</t>
  </si>
  <si>
    <t>Toshiba Global Commerce Solutions</t>
  </si>
  <si>
    <t>Hardware, Information Services</t>
  </si>
  <si>
    <t>1. Currently enrolled in a bachelor's or graduate degree program, majoring in graphic design, illustration, or other similar degree
2. Strong knowledge of typography, layout, color theory, and latest design tools
3. Creativity with an attention to detail
...</t>
  </si>
  <si>
    <t>1. Proficiency with Adobe Design suite mainly Illustrator, Photoshop, InDesign and Acrobat
2. Proficiency in Microsoft Word, PowerPoint, and Excel
3. Demonstrate creativity and technical skills in all aspects of graphic design including concepts, typography, imagery, color and layout
...</t>
  </si>
  <si>
    <t>Digital Design Intern</t>
  </si>
  <si>
    <t>MATTE Projects</t>
  </si>
  <si>
    <t>1. Figma experience is a must! Including prototyping
2. Experience in graphic design
3. Demonstrable multidisciplinary design skills with a portfolio of work showcasing digital projects
...</t>
  </si>
  <si>
    <t>Assistant Director / Creative Design</t>
  </si>
  <si>
    <t>$44000-$44000 /yr</t>
  </si>
  <si>
    <t>1. Master's degree and/or a bachelor's degree in graphic design, visual arts or related field with experience.
2. Proven ability to work in a team environment.
3. Creative mindset.
...</t>
  </si>
  <si>
    <t>BlueTeam</t>
  </si>
  <si>
    <t>1. Strong organizational and project management skills with the ability to manage multiple tasks simultaneously
2. Excellent communication and interpersonal skills
3. Proven experience building digital and print marketing materials
...</t>
  </si>
  <si>
    <t>Sandbox U - Virtual Creative Mentorship</t>
  </si>
  <si>
    <t>Hook Studios</t>
  </si>
  <si>
    <t>Internet, iOS</t>
  </si>
  <si>
    <t>1. Drive and passion for the creative industry
2. Availability to meet weekly over 10 weeks in the Fall
3. Access to a computer with video camera and internet</t>
  </si>
  <si>
    <t>Washington, DC (Remote)</t>
  </si>
  <si>
    <t>SimpleCiti</t>
  </si>
  <si>
    <t>Lending, Real Estate</t>
  </si>
  <si>
    <t>1. Currently enrolled in or recently graduated from a Bachelor's or Master's program in Graphic Design, Visual Arts, Fine Arts, Marketing, or a related field
2. Proficiency in Adobe Creative Suite (Photoshop, Illustrator, InDesign)
3. A strong portfolio showcasing a variety of design projects
...</t>
  </si>
  <si>
    <t>MJR Digital Cinemas</t>
  </si>
  <si>
    <t>Theatre</t>
  </si>
  <si>
    <t>Bloomfield Hills, MI</t>
  </si>
  <si>
    <t>1. Working towards Bachelors degree in related field and / or
2. Equivalent combination of education and experience
3. Experience in typography and color theory
...</t>
  </si>
  <si>
    <t>1. Pursuing a degree in graphic design, marketing, or a comparable program
2. Must maintain a minimum 3.0 cumulative GPA (without rounding)
3. Proficient in Adobe Creative Suite and other graphic design software
...</t>
  </si>
  <si>
    <t>Sky Ranch</t>
  </si>
  <si>
    <t>Van, TX</t>
  </si>
  <si>
    <t>1. Bachelor's degree preferred
2. One year of experience in a related field
3. Knowledge of how to work manual mode on a camera to take photos that align with the branding standards of Sky Ranch
...</t>
  </si>
  <si>
    <t>Industrial Design Co Op/Intern</t>
  </si>
  <si>
    <t>Stress Engineering Services</t>
  </si>
  <si>
    <t>1. Minimum 2 years of study in a Bachelors Program for Industrial Design or related field</t>
  </si>
  <si>
    <t>Creative Writer, Digital Marketing Internship Program</t>
  </si>
  <si>
    <t>Photography Assistant Co-Op</t>
  </si>
  <si>
    <t>1. Currently enrolled student at Mount St. Joseph University
2. Must have taken CED 220 - Foundations of Professionalism and be enrolled/participate in the Cooperative Education program
3. Ability to work on own initiative, independently, and on deadlines
...</t>
  </si>
  <si>
    <t>San Mateo, California</t>
  </si>
  <si>
    <t>Creative Student Worker for OSD</t>
  </si>
  <si>
    <t>1. Preferably past experience in related field
2. Proficiency in operating gear related to specific skillset
3. Proficiency in Adobe programs related to specific skillset
...</t>
  </si>
  <si>
    <t>Digital Graphic Design Intern - Template Specialist</t>
  </si>
  <si>
    <t>1. Passionate about creating Templates for a variety of users
2. Proficient in English
3. Skills in template design using Canva and other platforms
...</t>
  </si>
  <si>
    <t>Graphic Design Intern for Ashoka's In-House Creative Studio</t>
  </si>
  <si>
    <t>1. Completed a program at an accredited university or currently enrolled soon to graduate
2. Comfortable working and writing in English
3. Has experience in graphic design, able to use Adobe Photoshop, Illustrator and InDesign
...</t>
  </si>
  <si>
    <t>Web UX/UI Design Intern</t>
  </si>
  <si>
    <t>1. Passionate about UI/UX design
2. Proficient in English
3. Experience in UX/UI design, with proficiency in Adobe XD, Figma, or related tools
...</t>
  </si>
  <si>
    <t>Intern, Social Media (Fall 2024)</t>
  </si>
  <si>
    <t>1. Must be available to work nights and weekends 2-4 times a week
2. Background in photography and/or videography, either through extracurriculars, academic experience, or professional internship experience
3. Background in contributing to management of professional social media accounts; working knowledge of Facebook, Instagram, LinkedIn, TikTok, Threads, X on a professional level
...</t>
  </si>
  <si>
    <t>Designer In Training Salon - Aventura Mall</t>
  </si>
  <si>
    <t>Aventura, FL</t>
  </si>
  <si>
    <t>UI/UX Designer</t>
  </si>
  <si>
    <t>STAND 8</t>
  </si>
  <si>
    <t>$90000-$110000 /yr</t>
  </si>
  <si>
    <t>1. Bachelor's or master's degree in UX Design, Human-Computer Interaction (HCI), Psychology, Graphic Design, Interaction Design, or a related field.
2. Prototyping and Wireframing Tools: Proficiency in tools like Figma, Adobe XD &amp; Creative Suite, Zeplin, MIRO.
3. Design Software: Knowledge of graphic design software such as Adobe Photoshop, Illustrator, or similar tools for visual design tasks.
...</t>
  </si>
  <si>
    <t>Graphic Design Intern (Canton, OH)</t>
  </si>
  <si>
    <t>1. A current student or recent graduate from a Graphic Design related program is required.
2. A minimum of a 3.0/4.0 grade point average (GPA) is required.
3. A solid understanding of design principles such as composition, typography, and color theory.
...</t>
  </si>
  <si>
    <t>State Electric Supply Company</t>
  </si>
  <si>
    <t>1. Pursuing a bachelor’s degree in graphic design or related field
2. Familiarity with design principles
3. Proficient in Adobe Creative Suite and Microsoft Office
...</t>
  </si>
  <si>
    <t>Graphic Design Intern, Chartwells Higher Ed / University of Houston</t>
  </si>
  <si>
    <t>1. Excellent communication skills, written and verbal
2. Customer service experience/knowledge
3. Previous graphic design experience
...</t>
  </si>
  <si>
    <t>1. Currently pursuing a degree in Graphic Design, Visual Communication, or a related field.
2. Have the drive and ambition to search for answers and be self-motivated.
3. Ability to work with a creative advertising team and learn their role and how to best help the team achieve a goal.
...</t>
  </si>
  <si>
    <t>Designer In Training Salon - Mesilla Valley Mall</t>
  </si>
  <si>
    <t>UX Intern for Browser-based Video Surveillance System</t>
  </si>
  <si>
    <t>1. Pursuing a degree in Computer Science, Software Engineering, Human-Computer Interaction, or a related field
2. Strong proficiency in JavaScript, HTML, and CSS
3. Basic understanding of UI/UX design principles and best practices
...</t>
  </si>
  <si>
    <t>San Mateo County, CA</t>
  </si>
  <si>
    <t>Designer In Training Salon - Westdale Mall</t>
  </si>
  <si>
    <t>Designer In Training Salon - Fox River Mall</t>
  </si>
  <si>
    <t>Designer In Training Salon - Miller Hill Mall</t>
  </si>
  <si>
    <t>Designer In Training Salon - Lakeside S/C</t>
  </si>
  <si>
    <t>Designer In Training Salon - Barton Creek Sq</t>
  </si>
  <si>
    <t>Designer In Training Salon - Melbourne Square</t>
  </si>
  <si>
    <t>Designer In Training Salon - River Hills Mall</t>
  </si>
  <si>
    <t>Designer In Training Salon - Alderwood Mall</t>
  </si>
  <si>
    <t>Lynnwood, WA</t>
  </si>
  <si>
    <t>Designer In Training Salon - Park Meadows Mall</t>
  </si>
  <si>
    <t>Designer In Training Salon - West Roads S/C</t>
  </si>
  <si>
    <t>Designer In Training Salon - Mall Saint Matthews</t>
  </si>
  <si>
    <t>Designer In Training Salon - Westmoreland Mall</t>
  </si>
  <si>
    <t>Designer In Training Salon - Alamo Ranch Mrktpl</t>
  </si>
  <si>
    <t>Designer In Training Salon - Valley West Mall</t>
  </si>
  <si>
    <t>Designer In Training Salon - Southpark Mall</t>
  </si>
  <si>
    <t>Colonial Heights, VA</t>
  </si>
  <si>
    <t>Photographer + Videographer Intern, Chartwells Higher Ed / University of North Carolina - Charlotte</t>
  </si>
  <si>
    <t>1. Excellent written and oral communication skills.
2. Proficient in photography techniques, including lighting, audio/video editing, and graphic design.
3. Ability to provide photography and photo editing for social media and website content.
...</t>
  </si>
  <si>
    <t>Designer In Training Salon - Fashion Valley Mall</t>
  </si>
  <si>
    <t>Designer In Training Salon - Tucson Mall</t>
  </si>
  <si>
    <t>Designer In Training Salon - East Towne Mall</t>
  </si>
  <si>
    <t>Designer In Training Salon - Plaza Carolina Mall</t>
  </si>
  <si>
    <t>Carolina, NC</t>
  </si>
  <si>
    <t>Designer In Training Salon - Oak Park Shopg Cntr</t>
  </si>
  <si>
    <t>1. Must be enrolled in cosmetology school and within 6 months of graduation upon hire date
2. Ability to work alongside one of our top Master stylists and learn the JCPenney Salon culture
3. Upon graduation and obtaining a license, you will be ready to start servicing clients as a Designer Stylist
...</t>
  </si>
  <si>
    <t>Designer In Training Salon - Burnsville S/C</t>
  </si>
  <si>
    <t>Burnsville, MN</t>
  </si>
  <si>
    <t>Designer In Training Salon - North Star Mall</t>
  </si>
  <si>
    <t>Website Content Management Internship (2 positions available)</t>
  </si>
  <si>
    <t>Community Unit School District 308</t>
  </si>
  <si>
    <t>Oswego, IL</t>
  </si>
  <si>
    <t>1. Familiarity with a CMS program similar to WordPress
2. Basic grammar and writing skills
3. Ability to work well with others at all levels of the organization
...</t>
  </si>
  <si>
    <t>Designer In Training Salon - Rogue Valley Mall</t>
  </si>
  <si>
    <t>Designer In Training Salon - Killeen Mall</t>
  </si>
  <si>
    <t>Killeen, TX</t>
  </si>
  <si>
    <t>Designer In Training Salon - Southpark Center</t>
  </si>
  <si>
    <t>Strongsville, OH</t>
  </si>
  <si>
    <t>Designer In Training Salon - Valley Crossing S/C</t>
  </si>
  <si>
    <t>Weslaco, TX</t>
  </si>
  <si>
    <t>Designer In Training Salon - Westfarms Mall</t>
  </si>
  <si>
    <t>Designer In Training Salon - Ashland Town Ctr</t>
  </si>
  <si>
    <t>Designer In Training Salon - Mill Creek Mall</t>
  </si>
  <si>
    <t>Designer In Training Salon - Arrowhead Towne Ctr</t>
  </si>
  <si>
    <t>Designer In Training Salon - Coral Square Mall</t>
  </si>
  <si>
    <t>Designer In Training Salon - Indian Mound Mall</t>
  </si>
  <si>
    <t>Heath, OH</t>
  </si>
  <si>
    <t>Designer In Training Salon - Greenwood Park Mall</t>
  </si>
  <si>
    <t>Designer In Training Salon - Alton Sq</t>
  </si>
  <si>
    <t>Designer In Training Salon - West Town Mall</t>
  </si>
  <si>
    <t>Designer In Training Salon - Brunswick Sq Mall</t>
  </si>
  <si>
    <t>South Brunswick, NJ</t>
  </si>
  <si>
    <t>Designer In Training Salon - University Oaks S/C</t>
  </si>
  <si>
    <t>Designer In Training Salon - Great Northern Mall</t>
  </si>
  <si>
    <t>Designer In Training Salon - Oakwood Mall</t>
  </si>
  <si>
    <t>Designer In Training Salon - Lehigh Valley Mall</t>
  </si>
  <si>
    <t>Designer In Training Salon - Rosedale S/C</t>
  </si>
  <si>
    <t>Internship - Design (The Chautauquan Daily)/Seasonal Employment</t>
  </si>
  <si>
    <t>Chautauqua Institution</t>
  </si>
  <si>
    <t>Communities, Creative Agency</t>
  </si>
  <si>
    <t>Chautauqua, NY</t>
  </si>
  <si>
    <t>$3250-$3250 seasonal</t>
  </si>
  <si>
    <t>1. Experience with Adobe InDesign
2. Ability to collaborate on the design of a newspaper
3. Capability to work on special projects like creating illustrations and infographics
...</t>
  </si>
  <si>
    <t>Internship - Photographer (The Chautauquan Daily)/Seasonal Employment</t>
  </si>
  <si>
    <t>1. Talented interns from universities
2. Photography interns
3. Pursue at least one comprehensive project
...</t>
  </si>
  <si>
    <t>Designer In Training Salon - 5th Avenue Mall-Sur</t>
  </si>
  <si>
    <t>Designer In Training Salon - Fair Oaks Mall</t>
  </si>
  <si>
    <t>Designer In Training Salon - Galleria Mall</t>
  </si>
  <si>
    <t>Designer In Training Salon - Louis Joliet Mall</t>
  </si>
  <si>
    <t>Designer In Training Salon - Orland Square Mall</t>
  </si>
  <si>
    <t>Athletics student graphic designer Student Worker Fall 024</t>
  </si>
  <si>
    <t>University of Central Arkansas</t>
  </si>
  <si>
    <t>1. Current enrollment at UCA
2. Excellent organizational and time management skills
3. Ability to work independently and as part of a team
...</t>
  </si>
  <si>
    <t>Designer In Training Salon - Capital Mall</t>
  </si>
  <si>
    <t>Designer In Training Salon - North Grand Mall</t>
  </si>
  <si>
    <t>Designer In Training Salon - Tucson Spectrum</t>
  </si>
  <si>
    <t>Designer In Training Salon - Galleria/Sunset Mall</t>
  </si>
  <si>
    <t>Designer In Training Salon - Beaver Valley Mall</t>
  </si>
  <si>
    <t>Monaca, PA</t>
  </si>
  <si>
    <t>Designer In Training Salon - Stonecreek Crossing</t>
  </si>
  <si>
    <t>Designer In Training Salon - Apache Mall</t>
  </si>
  <si>
    <t>Designer In Training Salon - Superst'n Springs Ml</t>
  </si>
  <si>
    <t>Designer In Training Salon - Walden Galleria</t>
  </si>
  <si>
    <t>Cheektowaga, NY</t>
  </si>
  <si>
    <t>Designer In Training Salon - West Park Mall</t>
  </si>
  <si>
    <t>Designer In Training Salon - Kirkwood Mall</t>
  </si>
  <si>
    <t>Designer In Training Salon - Trumbull Shopng Park</t>
  </si>
  <si>
    <t>Designer In Training Salon - Ingram Park Mall</t>
  </si>
  <si>
    <t>Designer In Training Salon - Fairfield Commons</t>
  </si>
  <si>
    <t>Designer In Training Salon - Countryside Mall</t>
  </si>
  <si>
    <t>Designer In Training Salon - Rockaway Town Square</t>
  </si>
  <si>
    <t>Designer In Training Salon - Three Rivers Mall</t>
  </si>
  <si>
    <t>Kelso, WA</t>
  </si>
  <si>
    <t>Designer In Training Salon - Turkey Creek S/C</t>
  </si>
  <si>
    <t>Farragut, TN</t>
  </si>
  <si>
    <t>Designer In Training Salon - Valley Mall</t>
  </si>
  <si>
    <t>Designer In Training Salon - Robinson Town Ctr</t>
  </si>
  <si>
    <t>Designer in Training Salon - Boise Towne Sq</t>
  </si>
  <si>
    <t>Designer In Training Salon - West Towne Mall</t>
  </si>
  <si>
    <t>Designer In Training Salon - Towne East Square</t>
  </si>
  <si>
    <t>Designer In Training Salon - Nature Coast Commons</t>
  </si>
  <si>
    <t>Spring Hill, FL</t>
  </si>
  <si>
    <t>Designer In Training Salon - Town East Mall</t>
  </si>
  <si>
    <t>Designer In Training Salon - Columbia Mall</t>
  </si>
  <si>
    <t>NYIC VISTA, Graphic Design @ New York Immigration Coalition</t>
  </si>
  <si>
    <t>$29123.35-$29123.35 /yr</t>
  </si>
  <si>
    <t>1. College graduate</t>
  </si>
  <si>
    <t>School Photographer - Portland, OR</t>
  </si>
  <si>
    <t>Apparel Graphic Design Intern</t>
  </si>
  <si>
    <t>1. Understanding of our unique aesthetic and lifestyle
2. Currently enrolled in a graphic design program in university
3. A Demonstrated proficiency in Adobe Illustrator and Photoshop
...</t>
  </si>
  <si>
    <t>Internship - UX Designer</t>
  </si>
  <si>
    <t>€350-€350 /mon</t>
  </si>
  <si>
    <t>1. Je bent een (HBO of Universitair) student op het gebied van CMD, HCI of een gerelateerd vakgebied.
2. Je hebt een passie voor UX-design en bent gedreven om de gebruikerservaring van complexe applicatie te optimaliseren
3. Je bent creatief en gedreven, en je hebt een goed oog voor detail.
...</t>
  </si>
  <si>
    <t>Creative Content Assistant</t>
  </si>
  <si>
    <t>1. General knowledge and familiarity with scientific research and engineering relating to climate change impacts, forecasting, and potential solutions
2. Reliable, diligent, and pays close attention to detail
3. Experience using digital software for making and distributing creative content
...</t>
  </si>
  <si>
    <t>Sign Production Designer Intern</t>
  </si>
  <si>
    <t>Safeway Sign Company</t>
  </si>
  <si>
    <t>Adelanto, CA</t>
  </si>
  <si>
    <t>1. Degree in Computer Graphics Arts is a plus.
2. Able to read a ruler/tape measure properly.
3. Able to sit-stand-bend over on a regular basis.
...</t>
  </si>
  <si>
    <t>Nortek</t>
  </si>
  <si>
    <t>O'Fallon, MO</t>
  </si>
  <si>
    <t>1. Proficient in Adobe InDesign, Adobe Illustrator, and Adobe Photoshop
2. Pursuing or recently completed a degree in graphic design
3. Ability to maintain strict confidentiality of all sensitive information and data, and ensure that all confidential information is handled in accordance with established policies and procedures</t>
  </si>
  <si>
    <t>1. Currently enrolled in a Bachelor’s degree or higher in a creative field
2. Exposure to Adobe Suite, Photoshop, InDesign, QuarkXPress, and Illustrator
3. Excellent written and verbal communication skills
...</t>
  </si>
  <si>
    <t>Intern, Graphic Design (Fall 2024)</t>
  </si>
  <si>
    <t>1. Talented graphic design students with an interest in performing arts or music preferred
2. Strong technical skills in Adobe creative suite (InDesign, Photoshop, Illustrator) on Mac platform
3. Strong understanding and appreciation for typography
...</t>
  </si>
  <si>
    <t>Assistant to the Architect - Architect/Design Intern</t>
  </si>
  <si>
    <t>Marengo Morton Architects</t>
  </si>
  <si>
    <t>Architecture, Commercial</t>
  </si>
  <si>
    <t>1. Some experience in the architectural, interior design or construction field
2. Experienced candidates only
3. Position is in person in San Diego</t>
  </si>
  <si>
    <t>Graphic Design Work Study Summer 2024</t>
  </si>
  <si>
    <t>1. Second-year Graphic Design Major nearing graduation
2. Federal Work Study eligible
3. Comfortable with design, typography, taking on projects with and without creative briefs
...</t>
  </si>
  <si>
    <t>1. Must be pursuing a degree in Mechanical Engineering, Construction Management, Drafting, Fire Science, Project Management, or other related degree
2. Proficient in Microsoft Word, PowerPoint, Excel and Outlook
3. Proficiency or knowledge in autocad related programs
...</t>
  </si>
  <si>
    <t>Graphic Design Assistant (Intern)</t>
  </si>
  <si>
    <t>Goodwill Manasota</t>
  </si>
  <si>
    <t>1. Currently pursuing a degree in graphic design, visual communication, or a related field.
2. Proficient in Adobe Creative Suite, including Photoshop, Illustrator, and InDesign.
3. Excellent communication skills and ability to collaborate effectively in a team environment.
...</t>
  </si>
  <si>
    <t>Volunteer : Comic Illustrator</t>
  </si>
  <si>
    <t>Aeon for Ocean</t>
  </si>
  <si>
    <t>Charity, Education</t>
  </si>
  <si>
    <t>1. Adobe Creative Suite or Similar program knowledge
2. Strong drawing skills (either analogue or digital)
3. Ability to express concepts visually
...</t>
  </si>
  <si>
    <t>Architectural Staff</t>
  </si>
  <si>
    <t>K A Oldham Design, Inc.</t>
  </si>
  <si>
    <t>1. Skills with AutoCAD, Revit and Sketchup</t>
  </si>
  <si>
    <t>Graphic Design Studio Assistant</t>
  </si>
  <si>
    <t>UX design internship in Malaga, Spain</t>
  </si>
  <si>
    <t>1. IT, design or digital marketing student with a focus on design
2. Minimum 6 months
3. English advanced</t>
  </si>
  <si>
    <t>School Photographer - Temecula, CA</t>
  </si>
  <si>
    <t>1. Must be pursuing a degree in Mechanical Engineering, Construction Management, Drafting, Fire Science, Project Management, or other related degree.
2. Proficient in Microsoft Word, PowerPoint, Excel, and Outlook
3. Proficiency or knowledge in AutoCAD related programs
...</t>
  </si>
  <si>
    <t>Summer Intern Houston - Website and Shopify developer</t>
  </si>
  <si>
    <t>Vintures</t>
  </si>
  <si>
    <t>1. Currently pursuing a degree in Computer Science, Information Technology, Hospitality, or a related field
2. Basic proficiency in HTML, CSS, JavaScript, or other relevant programming languages
3. Keen interest in UI/UX design principles and responsive web design
...</t>
  </si>
  <si>
    <t>Digital Print Operations Intern</t>
  </si>
  <si>
    <t>RPG Squarefoot Solutions</t>
  </si>
  <si>
    <t>CAD, Construction</t>
  </si>
  <si>
    <t>$14-$16 /h</t>
  </si>
  <si>
    <t>1. Currently enrolled in a degree program related to Graphics, IT, Architecture, Construction, Engineering, or a related field
2. Strong attention to detail and the ability to follow instructions accurately
3. Excellent communication and interpersonal skills
...</t>
  </si>
  <si>
    <t>Design Intern, Digital Product</t>
  </si>
  <si>
    <t>1. Current undergrad or recent graduate with a background in Graphic Design or Interaction/Digital Design degree
2. Passionate about learning the ins &amp; outs of digital/UX design experience
3. Solid portfolio showcasing work that illustrate strong visual design skills
...</t>
  </si>
  <si>
    <t>School Photographer - Shawnee. KS</t>
  </si>
  <si>
    <t>Shawnee, KS</t>
  </si>
  <si>
    <t>Designit</t>
  </si>
  <si>
    <t>Copenhagen</t>
  </si>
  <si>
    <t>1. A graphic/digital design student who has not yet graduated
2. A problem solver, with ideas that challenge the ordinary, together with the drive and the guts – to bring them to life
3. Passionate about visual identity design, graphic design, digital design, UX, design systems and motion design
...</t>
  </si>
  <si>
    <t>Creative Group Intern</t>
  </si>
  <si>
    <t>1. Student matriculated in a college or recent college graduate (winter/spring term of the Program year)</t>
  </si>
  <si>
    <t>Marketing Intern-Graphic Design</t>
  </si>
  <si>
    <t>Books A Million</t>
  </si>
  <si>
    <t>1. Senior level or recent graduate. Degree in Graphic Design preferred.
2. Knowledge of various design applications.
3. Knowledge of printing, prepress, and digital output.</t>
  </si>
  <si>
    <t>Intern - Design</t>
  </si>
  <si>
    <t>Vivaldi Group</t>
  </si>
  <si>
    <t>1. Can articulate thinking and ideas through visual and verbal language
2. Strong typography skillset
3. Proficient knowledge of Adobe Illustrator, Adobe Photoshop, and Adobe InDesign
...</t>
  </si>
  <si>
    <t>Brand Design Intern</t>
  </si>
  <si>
    <t>1. A graphic design/typography student who has not yet graduated
2. A problem solver, with ideas that challenge the ordinary, together with the drive and the guts – to bring them to life
3. Passionate about visual identity design, graphic design, iconography and typography
...</t>
  </si>
  <si>
    <t>Intern - Strategic Planning (Hourly)</t>
  </si>
  <si>
    <t>Business and Strategic Management</t>
  </si>
  <si>
    <t>1. Maintaining an established work schedule.
2. The ability to work independently within departmental policies and guidelines.
3. Respecting a unique and diverse multicultural environment.
...</t>
  </si>
  <si>
    <t>2025 Program Manager - Intern</t>
  </si>
  <si>
    <t>Project and Program Management</t>
  </si>
  <si>
    <t>$24.09-$51.54 /h</t>
  </si>
  <si>
    <t>MISSION TRANSACTION UNIT INTERN</t>
  </si>
  <si>
    <t>Operations Management</t>
  </si>
  <si>
    <t>1. Applicants must be U.S. citizens enrolled at least part-time in an accredited college or university in a relevant graduate degree program.
2. The ideal candidate should have a graduate-level academic concentration in business, international affairs/development, economics, statistics, or finance.
3. Exposure to and experience in excel and financial modeling.
...</t>
  </si>
  <si>
    <t>Project Management Co-op</t>
  </si>
  <si>
    <t>Timberline Construction Corporation</t>
  </si>
  <si>
    <t>Real Estate, Telecommunications</t>
  </si>
  <si>
    <t>Canton, MA</t>
  </si>
  <si>
    <t>1. Working towards a Bachelor's Degree in an applicable discipline
2. Experience working with contracts, plans, and specifications, and to be knowledgeable about construction methods, materials, and regulations.
3. Familiarity with computers and software programs for job costing, online collaboration, scheduling and estimating.
...</t>
  </si>
  <si>
    <t>Federal Work Study (On-Campus) - Administrative Assistant</t>
  </si>
  <si>
    <t>Executive and Administrative</t>
  </si>
  <si>
    <t>1. Must qualify and receive an award from the ECU Financial Aid Office.</t>
  </si>
  <si>
    <t>Esports Project Management Admin-2</t>
  </si>
  <si>
    <t>Stride</t>
  </si>
  <si>
    <t>$21.08-$33.73 /h</t>
  </si>
  <si>
    <t>1. Three (3) years of successful experience in Esports and gaming industry
2. Ability to work on the weekend and some nights
3. Strong interpersonal and organizational skills and a cordial manner
...</t>
  </si>
  <si>
    <t>Gateways Summer Leadership Program (Summer 2025)</t>
  </si>
  <si>
    <t>1. Applicants must be U.S. citizens enrolled at least part-time in an accredited college or university in an undergraduate or graduate level program studying Finance, Accounting, International Affairs, International Development, International Relations or International Economics.
2. Exposure to and experience in excel and financial modeling.
3. Excellent research and communication skills required.</t>
  </si>
  <si>
    <t>Strategy Intern</t>
  </si>
  <si>
    <t>1. Applicants must be U.S. citizens enrolled at least part-time in an accredited college or university in an undergraduate program.
2. Strong written, research and oral communication skills are required.
3. Strong ability with programs such as Word, Excel and PowerPoint is required.
...</t>
  </si>
  <si>
    <t>2025 Summer Internship Program – Hong Kong</t>
  </si>
  <si>
    <t>1. Candidates studying any degree subject
2. Graduating from an undergraduate or a master’s degree program between September 2025 and August 2026</t>
  </si>
  <si>
    <t>2025 Summer Internship Program – Japan</t>
  </si>
  <si>
    <t>1. Native Japanese language skills or N1 equivalent in Japanese-Language Proficiency Test
2. Graduating from an undergraduate or a master’s degree program between September 2025 and August 2026</t>
  </si>
  <si>
    <t>Strategy Student Experience</t>
  </si>
  <si>
    <t>1. Freshman, Sophomore, Junior, or Senior standing seeking a degree in Business Administration, Economics, Marketing, Finance, Mathematics or related field
2. Comfortable presenting analysis and research to senior managers
3. Be able to commit to Bobcat for the entire term of the co-op (8-months) or internship (4-months)
...</t>
  </si>
  <si>
    <t>Administrative Intern - Chattanooga, TN</t>
  </si>
  <si>
    <t>1. Currently enrolled in college pursuing a degree</t>
  </si>
  <si>
    <t>Administrative Intern/Co-op</t>
  </si>
  <si>
    <t>1. High School Diploma or GED
2. Proficiency in MS Excel, PowerPoint, SharePoint, and Visio
3. Strong written communication skills
...</t>
  </si>
  <si>
    <t>Program Management Intern (GBS-Monetization Strategy and Operations-Global Platform Governance and Operations)- 2025 Summer (BS/MS)</t>
  </si>
  <si>
    <t>1. Previous experience in strategy, consulting, media, tech industries with program/project management responsibilities
2. Excellent program, project and process management ability
3. Ability to work with multiple teams and stakeholders; excellent communication, collaboration, negotiation and influence skills
...</t>
  </si>
  <si>
    <t>Office and Events Fellowship</t>
  </si>
  <si>
    <t>National Hispanic Media Coalition</t>
  </si>
  <si>
    <t>Digital Media, Social Media</t>
  </si>
  <si>
    <t>1. Currently enrolled in, or a recent graduate of, an accredited college with an interest in non-profit, social justice advocacy, and digital media creation.
2. Experience with event planning, organizing groups, campaigns, and/or logistics.
3. Demonstrate knowledge working with computers.
...</t>
  </si>
  <si>
    <t>Administrative Intern</t>
  </si>
  <si>
    <t>LS3P ASSOCIATES LTD.</t>
  </si>
  <si>
    <t>1. Provides general office support with a variety of clerical and related tasks
2. Scans and catalogues documents, creating electronic filings
3. Organizes and documents various office materials
...</t>
  </si>
  <si>
    <t>Graduate Administrative Assistant</t>
  </si>
  <si>
    <t>Troy University</t>
  </si>
  <si>
    <t>Troy, AL</t>
  </si>
  <si>
    <t>1. Must be a current Troy University graduate student
2. Excellent organizational skills
3. Excellent English and Chinese translation skills</t>
  </si>
  <si>
    <t>2024 MoMA 12-Month Internship - Office of The Director</t>
  </si>
  <si>
    <t>Museum of Modern Art</t>
  </si>
  <si>
    <t>$42000-$42000 /yr</t>
  </si>
  <si>
    <t>1. Recent graduates of bachelor’s or master’s degree programs.
2. Proficiency in Microsoft Word and PowerPoint.
3. Ability to perform basic functions in Excel.
...</t>
  </si>
  <si>
    <t>Real Estate Strategy Intern</t>
  </si>
  <si>
    <t>Holiday Stationstores</t>
  </si>
  <si>
    <t>Oil and Gas, Retail</t>
  </si>
  <si>
    <t>Nonstore B152 Charlotte NC</t>
  </si>
  <si>
    <t>1. High school diploma &amp; enrolled student in undergraduate or graduate course work.
2. Proficient in data analysis using various tools and statistical packages.
3. Intermediate Microsoft Excel and PowerPoint proficiency.
...</t>
  </si>
  <si>
    <t>Project Management Intern</t>
  </si>
  <si>
    <t>RR Donnelley</t>
  </si>
  <si>
    <t>1. Junior or Senior majoring in Business. Business Majors preferred.
2. Strong computer aptitude.
3. Customer service skills required.
...</t>
  </si>
  <si>
    <t>CGSR Student Administrative Intern</t>
  </si>
  <si>
    <t>1. Must be a continuing college or university student in good standing at an accredited institution pursuing an undergraduate degree in business or a related field.
2. Effective organizational skills, attention to detail, accuracy and follow-through.
3. Experience working under limited supervision, in an environment of rapidly changing priorities, deadlines, and frequent interruptions.
...</t>
  </si>
  <si>
    <t>2025 Summer Intern: Shopper Insights Intern - MBA</t>
  </si>
  <si>
    <t>1. Currently pursuing a degree in: Marketing, Business Administration, or other Business related majors (other related majors may be considered)
2. Ideal candidates demonstrate strong collaborative, analytical, data management and mining skills
3. Exemplary communication, analytical thinker, and leadership skills
...</t>
  </si>
  <si>
    <t>Sustainability Intern</t>
  </si>
  <si>
    <t>Akin Gump</t>
  </si>
  <si>
    <t>Advice, Children</t>
  </si>
  <si>
    <t>1. High School diploma or equivalent required
2. Bachelor’s Degree or enrollment in a degree seeking program required
3. Interest in sustainability and its role at a corporate level
...</t>
  </si>
  <si>
    <t>Project Coordinator -Community Nutrition Program Internship</t>
  </si>
  <si>
    <t>Philadelphia Corporation for Aging</t>
  </si>
  <si>
    <t>1. Current graduate student or recent Master’s level graduate.
2. Outstanding project management skills.
3. Ability to work independently and manage a variety of tasks simultaneously.
...</t>
  </si>
  <si>
    <t>Student Employee-University Hotel-Administrative Staff Assistant (10 Positions Open)</t>
  </si>
  <si>
    <t>1. Must be available to work shifts within the following times: 7am-3pm, 3pm-11pm, and 11pm-7am on a rotation basis.
2. Must be available weekends, holidays, summer.</t>
  </si>
  <si>
    <t>1. Must be graduating by December 2024
2. Must be at least 18 years old
3. Must have a valid driver's license with no more than 2 moving violations and/or at fault accidents in the past 3 years.
...</t>
  </si>
  <si>
    <t>Spring 2025 Management Trainee Intern Cape Coral</t>
  </si>
  <si>
    <t>Fall 2024 Project Management Co-Op - Dayton</t>
  </si>
  <si>
    <t>Heapy Engineering</t>
  </si>
  <si>
    <t>1. Currently pursuing Electrical/Electrical Technology, Mechanical/Mechanical Technology, Architectural Engineering, Construction Management Degree or other AEC Industry-related fields.
2. Able to work full-time (40-hour per week) in an office work schedule for a semester long period.
3. Legal authorization to work in the United States – Sponsorship for this role will not be provided.
...</t>
  </si>
  <si>
    <t>Administrative Assistant Intern</t>
  </si>
  <si>
    <t>1. Currently enrolled in a college or university program, preferably in Business Administration, Healthcare Administration, or a related field.
2. Strong organizational skills and attention to detail.
3. Excellent verbal and written communication skills.
...</t>
  </si>
  <si>
    <t>Physician Fellow - Administrative Fellowship - Anesthesiology - Vituity Practice Management - Emeryville</t>
  </si>
  <si>
    <t>Vituity</t>
  </si>
  <si>
    <t>Emeryville, CA</t>
  </si>
  <si>
    <t>1. Graduate of an accredited anesthesia residency program required
2. Seeking highly competitive and motivated candidates with strong leadership potential
3. 1 year Anesthesia Medicine Physician Administrative Fellowship program
...</t>
  </si>
  <si>
    <t>Management Trainee Fall Intern----Cincinnati</t>
  </si>
  <si>
    <t>Co-op, Flight Operations – Operations Support, Technology and Business Strategy (Spring, 2025)</t>
  </si>
  <si>
    <t>1. Pursuing an undergraduate degree in Business Administration (Information Technology Management), Aviation Management or Industrial Engineering (or similar degree with applicable skills)
2. Team player that fosters trust, open dialogue, and healthy conflict with coworkers
3. Strong interpersonal skills and servant leadership required to promote intentional relationships
...</t>
  </si>
  <si>
    <t>Co-op, Crew Resources - Crew Tracking (Spring, 2025)</t>
  </si>
  <si>
    <t>1. Knowledge of SQL or Database query tool(s); SAS preferred, but not required
2. Outside of the box thinking
3. Strong organizational, project management, and personal management skills
...</t>
  </si>
  <si>
    <t>Fall 2024 Management Trainee Intern Naples</t>
  </si>
  <si>
    <t>East Naples, FL</t>
  </si>
  <si>
    <t>Administrative Intern 1</t>
  </si>
  <si>
    <t>ARA</t>
  </si>
  <si>
    <t>1. Basic computer and Microsoft Office Suite experience
2. Must be proficient in MS Word, and snip &amp; sketch
3. Must have demonstrated scholastic excellence</t>
  </si>
  <si>
    <t>2025 Financial Services Enterprise Internship (Intern Conversion)</t>
  </si>
  <si>
    <t>1. Working towards the completion of a BA/BS or advanced degree program at an accredited college or university.
2. Demonstrated strong academic performance.
3. Demonstrated leadership through on-campus involvement or work experience.
...</t>
  </si>
  <si>
    <t>Program Management Intern – Fall 2024 (remote)</t>
  </si>
  <si>
    <t>1. Dedicated interest and passion for immigration law and protecting the rights of migrants
2. Strong organizational skills and attention to detail, with the ability to manage multiple deadlines at once
3. Excellent database management and data analysis skills, including proficiency with excel
...</t>
  </si>
  <si>
    <t>Athletic Graduate Intern - Football Offense</t>
  </si>
  <si>
    <t>Gardner-Webb University</t>
  </si>
  <si>
    <t>Boiling Springs, NC</t>
  </si>
  <si>
    <t>1. Assist with a variety of things; film, recruiting, practice plans, game plans, equipment, and support staff.
2. Provide extra support to coaches and players at practice, during games, off the field, and more.
3. Create play sequences.
...</t>
  </si>
  <si>
    <t>MBA 2025 Summer Associate (Internship) Health &amp; Life Sciences Practice</t>
  </si>
  <si>
    <t>$3650-$3650 /wk</t>
  </si>
  <si>
    <t>1. Currently enrolled in top MBA program
2. Minimum 3-4 years of experience in project-based, team-oriented environments
3. Track record of leading and managing teams and delivering against tight deadlines in fast paced and demanding environments
...</t>
  </si>
  <si>
    <t>MBA 2025 Summer Associate (Internship) Private Capital Practice</t>
  </si>
  <si>
    <t>1. Minimum of 3-4 years of pre and/or post transaction experience working in private equity at a management consulting or PE firm.
2. Some professional working experience with exposure to commercial and operational due diligence in a management consulting firm.
3. Knowledge and in-depth experience with customer research techniques (interviews, surveys, focus groups, etc.).
...</t>
  </si>
  <si>
    <t>2025 Summer Key's Technology, Operations &amp; Services (Business Risk &amp; Controls Track) Internship - Remote</t>
  </si>
  <si>
    <t>Remote, United States</t>
  </si>
  <si>
    <t>1. Graduating with a four-year degree or graduate level degree by May 2026 with focused coursework in finance, accounting, economics, Risk Management and/or data science
2. Outstanding academic achievement (minimum 3.0 GPA)
3. Demonstrated leadership and teamwork from past work experience and/or extracurricular activities
...</t>
  </si>
  <si>
    <t>Office Assistant, SIS Graduate Advising (Student)</t>
  </si>
  <si>
    <t>1. Must enrolled in a graduate degree program at American University.
2. Ability to maintain a high level of confidentiality.
3. Strong sense of initiative, maturity, and a high level of attention to detail.
...</t>
  </si>
  <si>
    <t>Intern (Pricing and Legal Project Management)</t>
  </si>
  <si>
    <t>Paul Hastings</t>
  </si>
  <si>
    <t>1. Strong interpersonal and relationship-building skills, with the ability to interact effectively with attorneys and firm professional staff at all levels
2. Exceptional oral communication skills and ability to work independently and be proactive
3. Strong financial analysis skills, including the ability to prepare concise reports to assist firm management in assessing the effectiveness and financial impact of managed engagements
...</t>
  </si>
  <si>
    <t>Co-op, Scheduling Analytics - Network Planning (Spring 2025)</t>
  </si>
  <si>
    <t>1. Must be enrolled in an undergraduate degree-seeking program, ideally analytical related such as Business, Economics, Engineering, Aviation Management, or similar field of study
2. At least a 3.0 GPA on a 4-point scale
3. Must be available to work on a full-time basis as an undergraduate student during the following 3 alternating semesters: Spring 2025, Fall 2025, Summer 2026
...</t>
  </si>
  <si>
    <t>1. Must be a Junior or Senior majoring in Business, Finance, or related field
2. Ideal candidates will be eager to learn, enthusiastic, and reliable with a strong work ethic
3. Strong communication and organizational skills
...</t>
  </si>
  <si>
    <t>Rowlett, TX</t>
  </si>
  <si>
    <t>Fall Management Trainee Intern</t>
  </si>
  <si>
    <t>1. Must be currently enrolled in a Bachelor's degree program with a graduation date between December 2024 and July 2025
2. Must have a minimum of 1 year relevant work/leadership experience (cumulative) in: Sales, Customer Service (i.e. retail, restaurant), Management/Supervisory Experience in a sales or service industry, Organizational/leadership involvement (i.e. Academic Organizations/Clubs), Military Involvement, Community Social Involvement, Professional/Student Athletics
3. Must be at least 18 years of age
...</t>
  </si>
  <si>
    <t>Executive Office Internship (Remote &amp; Hybrid)</t>
  </si>
  <si>
    <t>1. Bachelor's degree must be in progress or completed for this internship, and applicants need to have completed at least two years of undergraduate study.
2. Eager commitment to IJM's Core Values: Christian, Professional and Bridge-Building
3. Humble and resilient
...</t>
  </si>
  <si>
    <t>Sports Information Graduate Administrative Assistant (GAA)</t>
  </si>
  <si>
    <t>1. Knowledge of the organization and administration of higher education.
2. Knowledge of state, federal, and university rules, regulations and procedures.
3. Ability to work in a diverse and dynamic environment.
...</t>
  </si>
  <si>
    <t>Management Internship</t>
  </si>
  <si>
    <t>1. Actively working toward the obtainment of a 2 or 4-year degree.
2. Possess high aptitude for learning a variety of tasks
3. Knowledgeable with Microsoft Office products
...</t>
  </si>
  <si>
    <t>Advancement - Office Assistant (NEC STUDENT &amp; WORK STUDY ONLY)</t>
  </si>
  <si>
    <t>1. Friendly, courteous, responsible, reliable and detail-oriented
2. Detail-oriented; able to follow direction and multi-task
3. Maintain confidentiality of sensitive information. Willing to sign a Confidentiality Agreement if hired
...</t>
  </si>
  <si>
    <t>Administrative Intern, Bass Connections team</t>
  </si>
  <si>
    <t>1. Work requires communications, analytical and organizational skills generally acquired through completion of a bachelor's degree program.
2. None required beyond education.
3. OR AN EQUIVALENT COMBINATION OF RELEVANT EDUCATION AND/OR EXPERIENCE</t>
  </si>
  <si>
    <t>CLOSER POSITION -REMOTE</t>
  </si>
  <si>
    <t>Staff Assistant</t>
  </si>
  <si>
    <t>$50160-$62700 /yr</t>
  </si>
  <si>
    <t>1. Strong analytical, writing and proofreading skills and proficient use of proper grammar and punctuation.
2. Ability to undertake research, draft documents, and summarize in an easily understandable format.
3. Ability to prioritize workload, must be highly organized, detail-oriented, handle various tasks simultaneously and work independently within limited time constraints with little or no supervision.
...</t>
  </si>
  <si>
    <t>Operations &amp; Finance Leadership Internship Program (Summer 2025 Start)</t>
  </si>
  <si>
    <t>1. Pursuing Bachelors in Business, Economics, Accounting, Mathematics, Engineering, Finance, Statistics, Physics or a related field of study
2. Expected graduation date of Winter 2025 or Spring 2026
3. Excellent analytical and technical skills in Excel, VBA is a plus
...</t>
  </si>
  <si>
    <t>Management Intern</t>
  </si>
  <si>
    <t>Chisago City, MN</t>
  </si>
  <si>
    <t>Operations Intern</t>
  </si>
  <si>
    <t>Monument Advocacy</t>
  </si>
  <si>
    <t>1. Current undergraduate and graduate students are encouraged to apply, as well as recent graduates.
2. Strong spreadsheet enthusiast (we live by them here)
3. Knowledge of Microsoft Office Suite (we do have a Teams channel dedicated solely to reality shows)
...</t>
  </si>
  <si>
    <t>BCG Facade Inc.</t>
  </si>
  <si>
    <t>1. Strong organizational skills and attention to detail
2. Excellent written and verbal communication skills
3. Proficiency in Microsoft Office Suite</t>
  </si>
  <si>
    <t>Youth Apprentice (High School Students) Administrative Assistant- Howard</t>
  </si>
  <si>
    <t>Prevea Health</t>
  </si>
  <si>
    <t>1. High school student in the grade level junior or senior.
2. Participating in the Youth Apprenticeship program in accordance with school criteria.
3. Demonstrates an eagerness to continuously acquire new knowledge and skills, fostering adaptability and growth in dynamic environments.
...</t>
  </si>
  <si>
    <t>Oshkosh, WI</t>
  </si>
  <si>
    <t>DoD SkillBridge Internship - Field Specialist, Project Manager, or Client Service Manager</t>
  </si>
  <si>
    <t>1. U.S. Military experience as an E6 or above (Navy, Air Force, Army, Marines, Coast Guard, Space Force, National Guard, Reserves)
2. High school diploma or state-recognized GED required
3. Excellent organizational and interpersonal skills
...</t>
  </si>
  <si>
    <t>Management Trainee Internship- Winter 2024</t>
  </si>
  <si>
    <t>$19.75-$19.75 /h</t>
  </si>
  <si>
    <t>1. Must be 18 years old.
2. Must be enrolled full-time at a 4 year university pursuing a Bachelor's degree. Any major considered. Graduating no later than June 2025.
3. Must have 6 months experience in one of the following: sales, customer service, marketing or management.
...</t>
  </si>
  <si>
    <t>Fall 2024 Management Trainee Intern - Northern Nassau County</t>
  </si>
  <si>
    <t>Fall 2024 Management Trainee Intern - Southern Nassau County</t>
  </si>
  <si>
    <t>Massapequa, NY</t>
  </si>
  <si>
    <t>Creative Project Manager Intern</t>
  </si>
  <si>
    <t>Pattern</t>
  </si>
  <si>
    <t>E-Commerce, Retail Technology</t>
  </si>
  <si>
    <t>1. Must be a junior or senior in college enrolled in a degree in Marketing, Business, or a related field
2. Superior interpersonal, verbal, and written communication skills
3. Teachable and fast learner
...</t>
  </si>
  <si>
    <t>O'Reilly Auto Parts</t>
  </si>
  <si>
    <t>$36000-$80000 /yr</t>
  </si>
  <si>
    <t>1. Completion of the Sales Specialist Program
2. Assistant Manager Certification
3. Current On Right Track Training
...</t>
  </si>
  <si>
    <t>2025 Technology and Innovation Internship (LDP Intern Conversion)</t>
  </si>
  <si>
    <t>1. Interested in learning more about a career in financial services
2. Working towards the completion of a BA/BS or advanced degree program at an accredited college or university. Business-related degree or coursework preferred. (Technical Majors preferred: Computer Science/Engineering, Cybersecurity, Innovation, Computer Information Systems, Management Information Systems, Graphic Design, Interaction Design, User Experience, Industrial Design, Architecture, Human Factors, Human-Computer Interaction or related field etc.)
3. Must be a 2024 Truist LDP Intern
...</t>
  </si>
  <si>
    <t>NFL Foundation Fellow</t>
  </si>
  <si>
    <t>National Football League</t>
  </si>
  <si>
    <t>American Football, Media and Entertainment</t>
  </si>
  <si>
    <t>1. In process of obtaining undergraduate or postgraduate degree.
2. Excellent writer.
3. Excellent customer service and communication skills.
...</t>
  </si>
  <si>
    <t>Global Data Governance &amp; Analytics Intern (Monetization Strategy and Ops-Global Data Governance &amp; Analytics)- 2025 Summer (BS/MS)</t>
  </si>
  <si>
    <t>1. Strong data and analytics capabilities, comfortable with writing complex SQL queries, and proficient in one or more programming languages such as Python or R is highly preferred
2. Expertise in data visualization tools such as Tableau and Power BI
3. Experience with Python
...</t>
  </si>
  <si>
    <t>2024-25 Upcoming Graduate IT Project Management Opportunities (Current or Prior Gore Interns/Co-Ops)</t>
  </si>
  <si>
    <t>1. Currently enrolled in a B.S. or M.S./MBA program, graduating December 2024 – August 2025 in Information Technology, Computer Science, Cyber/Information Security, Data Science/Analytics, Business/Management Information Systems or majors in related disciplines with transferable knowledge and experience.
2. Prior Gore internship experience required
3. Enthusiasm and energy for IT in a manufacturing and operations environment
...</t>
  </si>
  <si>
    <t>Clinton, MS</t>
  </si>
  <si>
    <t>Temporary Turn Associate - Office (68101)</t>
  </si>
  <si>
    <t>PeakMade Real Estate</t>
  </si>
  <si>
    <t>1. Ability to work in a fast-paced environment with a sense of urgency
2. Attention to detail
3. Ability to work 32 40 hours per week, including weekends as required
...</t>
  </si>
  <si>
    <t>Project Manager Intern</t>
  </si>
  <si>
    <t>Metropolitan Transportation Authority</t>
  </si>
  <si>
    <t>Association, Public Transportation</t>
  </si>
  <si>
    <t>$62498-$65820 /yr</t>
  </si>
  <si>
    <t>1. Must have engineering Degree.
2.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or a master’s degree in architecture that is the first professional degree in architecture from an accredited college or university.
3. Excellent verbal and written communication skills.
...</t>
  </si>
  <si>
    <t>Intern III, Strategic Planning (Hourly)</t>
  </si>
  <si>
    <t>1. This position is open only to students enrolled in an internship, Co-op, or Practicum course.
2. Understanding of standard office applications, ability to use word processing, spreadsheet, and database applications.
3. Ability to communicate in orally and in writing in English.
...</t>
  </si>
  <si>
    <t>Co-op - Crew Resources - Training Planning - Analytics and Strategy (Spring, 2025)</t>
  </si>
  <si>
    <t>Player Development Internship (ATH PROFL 1 BYA )</t>
  </si>
  <si>
    <t>University of California, Davis</t>
  </si>
  <si>
    <t>Davis, CA</t>
  </si>
  <si>
    <t>$2500-$2500 /mon</t>
  </si>
  <si>
    <t>1. High School or Equivalent.
2. Knowledge of the daily tasks of a basketball program and best practices.
3. Knowledge of NCAA and Big West policies and procedures.
...</t>
  </si>
  <si>
    <t>Trail Project Manager Resource Assistant</t>
  </si>
  <si>
    <t>Overgaard, AZ</t>
  </si>
  <si>
    <t>1. Experience in trail maintenance and proper trail construction such as a season or more with a conservation corps or youth trail crew.
2. Must have a valid driver’s license and be insurable by Conservation Legacy (over 21 years old or drivers license for at least three years).</t>
  </si>
  <si>
    <t>Office Assistant Intern</t>
  </si>
  <si>
    <t>Homans Associates</t>
  </si>
  <si>
    <t>Heating  Ventilation  and Air Conditioning (HVAC), Manufacturing</t>
  </si>
  <si>
    <t>1. Excellent communication skills, both verbal and written
2. Proficient computer skills, including Microsoft Office Suite (Word, Excel, Outlook)
3. Strong organizational and time management skills
...</t>
  </si>
  <si>
    <t>Co-op, Crew Resources - Business Processes and Knowledge Management (Spring, 2025)</t>
  </si>
  <si>
    <t>1. Actively enrolled in an undergraduate program and currently pursuing a Bachelor’s degree in one of the following disciplines: Industrial Engineering, Management Information Systems, Instructional Design or Business Management
2. Willing to relocate to Delta’s General Offices in Atlanta, GA and work on site for the duration of the Co-op program
3. Must have a strong knowledge of Microsoft Office products
...</t>
  </si>
  <si>
    <t>Working Student Project &amp; Data Management DE Service Offshore (m/f/x)</t>
  </si>
  <si>
    <t>Siemens Gamesa Renewable Energy</t>
  </si>
  <si>
    <t>Center, MO</t>
  </si>
  <si>
    <t>1. Highly motivated students, preferably within Engineering or IT studies
2. Comprehensive IT user skills (MS Office and Windows 365)
3. High level of communication skills
...</t>
  </si>
  <si>
    <t>Roncelli</t>
  </si>
  <si>
    <t>1. Currently in their junior or senior year pursuing a construction related degree (Construction Management or Civil Engineering preferred).
2. Strong interest in construction project management
3. Excellent organizational and multitasking abilities
...</t>
  </si>
  <si>
    <t>Internship Opportunity: Holacracy H.R</t>
  </si>
  <si>
    <t>LILLUP</t>
  </si>
  <si>
    <t>Blockchain, EdTech</t>
  </si>
  <si>
    <t>1. Bachelor’s or master’s degree in Business Administration, Project Management, or a related field.
2. Proven experience in a project management role within a company practicing holacracy or similar self-management styles.
3. Strong understanding of agile methodologies and experience with project management software tools.
...</t>
  </si>
  <si>
    <t>1. Must be a rising Senior (Fall 2024 or Spring 2025 grad) enrolled full time for the upcoming semester in a college or university.
2. Must have a valid driver's license with no more than 2 moving violations and/or at fault accidents in the past 5 years.
3. No drug or alcohol related conviction on your record in the past 5 years (i.e., DUI, DWI)
...</t>
  </si>
  <si>
    <t>Operating Director Training Program-Recent Graduates</t>
  </si>
  <si>
    <t>Cornerstone Caregiving</t>
  </si>
  <si>
    <t>$1000-$1000 /wk</t>
  </si>
  <si>
    <t>1. Recent graduate
2. Ambitious early professional
3. Willing to relocate during program and upon completion
...</t>
  </si>
  <si>
    <t>Administrative Assistant, Student Programs and Services</t>
  </si>
  <si>
    <t>San Joaquin County Office of Education</t>
  </si>
  <si>
    <t>1. Equivalent of the completion of the twelfth grade, plus one year of secretarial training or business/computer courses obtained through a community college, trade, or correspondence school.
2. Two years of varied and progressively responsible secretarial experience.</t>
  </si>
  <si>
    <t>Cypress, TX</t>
  </si>
  <si>
    <t>Bellaire, TX</t>
  </si>
  <si>
    <t>Management Trainee Intern - Fort Wayne - Fall/Winter 2024</t>
  </si>
  <si>
    <t>1. Must be enrolled full-time at a 4 year university pursuing a Bachelor's degree. Any major considered, graduating in December 2024.
2. Must have a valid US driver's license with no more than 2 moving violations and/or at-fault accidents on driving record in the past 2 years.
3. No drug or alcohol related convictions on driving record (DWI/DUI) in the past 5 years.
...</t>
  </si>
  <si>
    <t>Management Trainee Internship- Fall 2024</t>
  </si>
  <si>
    <t>1. Must be 18 years old.
2. Must be enrolled full-time at a 4 year university pursuing a Bachelor's degree. Any major considered. Graduating no later than December 2024.
3. Must have 6 months experience in one of the following: sales, customer service, marketing or management.
...</t>
  </si>
  <si>
    <t>Management Trainee Intern - Lafayette - Fall/Winter 2024</t>
  </si>
  <si>
    <t>Management Trainee Intern - Kokomo - Fall/Winter 2024</t>
  </si>
  <si>
    <t>Management Trainee Intern - Indianapolis - Fall/Winter 2024</t>
  </si>
  <si>
    <t>Global Operations Development Summer Associate Program - 2025</t>
  </si>
  <si>
    <t>1. Must be pursuing an MBA degree from an accredited college or university
2. Graduation date between November 2025 August 2026
3. Work experience 3-5 years post bachelors degree</t>
  </si>
  <si>
    <t>2025 Summer Key's Technology, Operations &amp; Services (Operations Track) Internship - Cleveland</t>
  </si>
  <si>
    <t>1. Rising Junior or rising Senior enrolled in a Bachelors degree program with focused coursework in Business, Operations, Data Science, System Administration, Industrial Engineering, Statistics/ Mathematics, or related majors
2. Outstanding academic achievement (minimum 3.0 GPA)
3. Demonstrated leadership and teamwork from past work experience and/or extracurricular activities
...</t>
  </si>
  <si>
    <t>Management Trainee Fall Internship - IAH Airport</t>
  </si>
  <si>
    <t>Work Control Planning DT Intern</t>
  </si>
  <si>
    <t>1. Candidate must be enrolled as a full-time student, pursuing a degree in Business, Business Administration or similar degree.
2. Must have a cumulative GPA of 2.5 or above
3. Must pass General Employment Training (GET)
...</t>
  </si>
  <si>
    <t>Shriners Children's</t>
  </si>
  <si>
    <t>1. Currently enrolled and pursuing College degree or higher with an accredited college or university in a directly related field
2. 1 year recent relevant experience
3. Knowledge of current issues affecting the healthcare industry
...</t>
  </si>
  <si>
    <t>Development Paid Intern (20 hrs. a week)</t>
  </si>
  <si>
    <t>American Red Cross</t>
  </si>
  <si>
    <t>1. Candidates must be enrolled in a San Diego college to qualify.
2. 1 year of experience required
3. Good hand-eye coordination, arm, hand and finger dexterity, including ability to grasp, and visual acuity to use a keyboard, operate equipment and read technical information.
...</t>
  </si>
  <si>
    <t>Office Specialist 2</t>
  </si>
  <si>
    <t>$17.24-$25.24 /h</t>
  </si>
  <si>
    <t>1. Two years of general clerical experience. One year of which included typing, word processing, or other experience generating documents; OR An Associate’s degree in Office Occupations or Office Technology; OR Graduation from a private school of business with a Certificate in Office Occupations or Office Technology and one year of general clerical experience. College courses in Office Occupations or Office Technology will substitute for the required experience on a year-for-year basis.
2. Demonstrated ability to communicate successfully and inclusively, both in writing and verbally, with a diverse audience.
3. A demonstrated commitment to timely and effective customer service.
...</t>
  </si>
  <si>
    <t>Branch Manager Trainee</t>
  </si>
  <si>
    <t>Rollins</t>
  </si>
  <si>
    <t>1. Sales experience preferred
2. High School Diploma or equivalent required
3. Valid driver’s license required with a good driving record
...</t>
  </si>
  <si>
    <t>TOMRA</t>
  </si>
  <si>
    <t>1. Prior experience with office hardware and Microsoft Software Suite
2. Detail oriented with strong organizational skills
3. Highly motivated</t>
  </si>
  <si>
    <t>2024-2025 Leadership Development Program - Full Time &amp; Summer Internship</t>
  </si>
  <si>
    <t>$competitive-$competitive /yr</t>
  </si>
  <si>
    <t>1. Bachelor’s Degree or junior status working towards a bachelor’s degree
2. Minimum 3.0 cumulative GPA
3. Passion for the A&amp;F brands and the role
...</t>
  </si>
  <si>
    <t>2025 Summer Key's Technology, Operations &amp; Services (Technology Track) Internship - Cleveland</t>
  </si>
  <si>
    <t>1. Graduating with a four-year degree or graduate level degree by May 2026 with focused coursework in Computer Science, Information Systems, IT Management, Software Engineering, Web Development, Computer Programming, Network Engineering, Game Design and System Administration or related field
2. Outstanding academic achievement (minimum 3.0 GPA)
3. Demonstrated leadership and teamwork from past work experience and/or extracurricular activities
...</t>
  </si>
  <si>
    <t>Administrative Internship/Practicum</t>
  </si>
  <si>
    <t>The Harris Center for Mental Health and IDD</t>
  </si>
  <si>
    <t>1. Master-level student currently enrolled in an MHA, MBA, or MPH program with an emphasis in healthcare management (or an equivalent degree) from a CAHME, AACSB, or CEPH accredited program.
2. Strong organizational and time management skills.
3. Excellent verbal and written communication abilities.
...</t>
  </si>
  <si>
    <t>Property Management Intern</t>
  </si>
  <si>
    <t>RockBridge Property Management</t>
  </si>
  <si>
    <t>1. Currently pursuing a degree in Business Administration, Real Estate, Property Management, or a related field.
2. Strong organizational and multitasking skills.
3. Excellent written and verbal communication abilities.
...</t>
  </si>
  <si>
    <t>Fall 2024 Supply Chain- Finance/Operations INTERN- Livonia, MI</t>
  </si>
  <si>
    <t>1. Open to all majors, must be actively pursuing a degree at an accredited college or university
2. Applicants must have work authorization that does not now or in the future require sponsorship of a visa for employment authorization in the United States and with Kroger Co (i.e., H1-B visa, F-1 visa (OPT), TN visa or any other non-immigrant status)
3. Highly motivated student with the desire to take initiative on their own work
...</t>
  </si>
  <si>
    <t>Intern - Strategic Analysis (Outcomes Organization) (MBA student)</t>
  </si>
  <si>
    <t>Itron</t>
  </si>
  <si>
    <t>$25-$57.69 /h</t>
  </si>
  <si>
    <t>1. Completed at least two years of college course work
2. Enrolled in an accredited university working towards a bachelor or master degree in Management Information Systems, Operations, Data Analytics, Business Analytics, Computer Science, or related discipline</t>
  </si>
  <si>
    <t>Project Management Intern – Bilingual Korean, Paid Internship (Cerritos, CA)</t>
  </si>
  <si>
    <t>1. Bachelor's degree in Project Management, Business Administration, or a related field
2. Must be bilingual in English and Korean
3. Strong organizational and time management skills
...</t>
  </si>
  <si>
    <t>Assistant, International Programs Division</t>
  </si>
  <si>
    <t>Freedom House</t>
  </si>
  <si>
    <t>$48000-$53000 annual</t>
  </si>
  <si>
    <t>1. Bachelor’s degree in political science, social sciences, human rights or related field preferred.
2. Minimum 1 year of administrative support, project management, and written communications experience as an assistant to a department leader or senior executive.
3. Experience or interest in democracy, advocacy, and promotion of human rights, particularly in the NGO sector.
...</t>
  </si>
  <si>
    <t>Office Assistant</t>
  </si>
  <si>
    <t>1. Perform general office duties, such as answering phones, greeting guests, managing email, and other clerical tasks.
2. Act as a resource to new and returning students, parents, faculty, and staff.
3. Maintain all databases for Orientation and Transition; Gather and assemble information for various events and reports.
...</t>
  </si>
  <si>
    <t>Administrative Fellow</t>
  </si>
  <si>
    <t>1. Bachelor’s degree in a related field; a Master’s degree in healthcare administration, business administration, or a related field is required.
2. Strong analytical and critical thinking skills, with the ability to evaluate complex situations and propose effective solutions.
3. Excellent communication skills, both written and verbal.
...</t>
  </si>
  <si>
    <t>Dallas Development Intern</t>
  </si>
  <si>
    <t>1. Currently pursuing a bachelor's or master's degree in business, nonprofit management, international development, or a related field.
2. Excellent written and verbal communication skills.
3. Strong organizational and project management abilities.
...</t>
  </si>
  <si>
    <t>2025 Operations Analyst Program – Summer Analyst (AZ, DE, FL, OH, TX)</t>
  </si>
  <si>
    <t>1. Pursuing a B.A., B.S., B.B.A or 5th year M.A. or M.S., with an expected graduation date of December 2025 through June 2026
2. All majors considered
3. Great team player able to work in a dynamic and changing environment
...</t>
  </si>
  <si>
    <t>CEO Associate Intern</t>
  </si>
  <si>
    <t>SumUp</t>
  </si>
  <si>
    <t>Credit Cards, Financial Services</t>
  </si>
  <si>
    <t>C-Level Executives</t>
  </si>
  <si>
    <t>1. A track record of being a high achiever in different areas, demonstrated by an excellent academic record and practical experience in fast-paced environments.
2. Advanced skills in Microsoft Excel and PowerPoint.
3. Experience with SQL, Python and Tableau is a plus.
...</t>
  </si>
  <si>
    <t>Administrative Assistant (Student)</t>
  </si>
  <si>
    <t>Washington, WI</t>
  </si>
  <si>
    <t>1. Student should have some prior work experience in an office setting.
2. Must have a confirmed FWS award if applying Fall/Spring semesters.
3. This position is available only to enrolled American University students.</t>
  </si>
  <si>
    <t>Supply Chain Administrative Assistant - Intern</t>
  </si>
  <si>
    <t>Boelter Companies</t>
  </si>
  <si>
    <t>Pewaukee, WI</t>
  </si>
  <si>
    <t>1. Basic knowledge of supply chain, procurement, and expediting functional duties
2. Strong written and verbal communication skills
3. Strong organizational skills
...</t>
  </si>
  <si>
    <t>Project Management Co-Op</t>
  </si>
  <si>
    <t>Emcor Group</t>
  </si>
  <si>
    <t>Construction, Hardware</t>
  </si>
  <si>
    <t>1. Degree Student from an accredited college or technical trade school or equivalent combination of training, education, and experience
2. Must possess a valid driver's license
3. Ability to read and interpret documents such as safety rules, operating and maintenance instructions, and procedure manuals. Ability to write specifications, tasking and project schedules and compile fixed and variable budgets. Communication and people skills are required, including the ability to speak effectively before groups of customers or employees of organization. Skills of proofreading, review and checking documents and drawings for accuracy are required
...</t>
  </si>
  <si>
    <t>Executive Support Specialist</t>
  </si>
  <si>
    <t>STV Group</t>
  </si>
  <si>
    <t>$44,767-$59,689 /yr</t>
  </si>
  <si>
    <t>1. Must be enrolled and in good standing at an accredited college or university.
2. Must be enrolled in a four-year program.
3. Must be considered a junior or senior based on credits earned.
...</t>
  </si>
  <si>
    <t>Leadership Development Program - Supply Chain</t>
  </si>
  <si>
    <t>1. Candidates must be highly motivated, results-oriented, and possess a passion for strengthening operational, strategic thinking and leadership skills.
2. Bachelor’s Degree Supply Chain, Logistics, Data Management, or related field from an accredited university. (Masters in the above and/or professional certifications in supply chain management, e.g. APICS: CPIM, CSPC, CLTD, CTSC)
3. Minimum of one internship or CO-OP that provide practical experience in strategic marketing or market development (two or more preferred)
...</t>
  </si>
  <si>
    <t>(Fall) Technical Program Manager Co-Op: June to December 2024</t>
  </si>
  <si>
    <t>1. Undertaking a degree in Product Design, Product Design Engineering, Industrial Design, Mechanical Engineering or similar
2. Is passionate about product design
3. Has had some exposure to a CAD program (ideally SolidWorks or Creo) and or 3D printing/laser cutting
...</t>
  </si>
  <si>
    <t>Koch Engineered Solutions</t>
  </si>
  <si>
    <t>1. Enrolled in a degree or alternative program (e.g., 2-year technical college program, certificate program, upskilling program, etc.)
2. Eligible for full-time employment on or before Summer 2026
3. Legal authorization to work permanently in the United States for any employer without requiring a visa transfer or visa sponsorship
...</t>
  </si>
  <si>
    <t>Administration Internship- long term</t>
  </si>
  <si>
    <t>Wagram, NC</t>
  </si>
  <si>
    <t>$19 /h</t>
  </si>
  <si>
    <t>1. 18+ years of age, and a student in the Fall of 2024
2. Proficiency in Microsoft Office suite
3. Good communication skills, both electronically (email) and in person
...</t>
  </si>
  <si>
    <t>Lease Administrator</t>
  </si>
  <si>
    <t>Englewood, CO</t>
  </si>
  <si>
    <t>$35-$37 /h</t>
  </si>
  <si>
    <t>1. Ability to efficiently operate Windows OS laptop computer
2. Proficient with Microsoft Excel
3. Ability to multitask and effectively problem-solve
...</t>
  </si>
  <si>
    <t>Administrative Intern, PRN - Grants and Contracts Finance and Administration</t>
  </si>
  <si>
    <t>1. Student must be enrolled in an undergraduate or higher level degree program
2. Completed at least one semester of classes
3. Minimum 3.0 GPA
...</t>
  </si>
  <si>
    <t>Program Development Intern</t>
  </si>
  <si>
    <t>Birdhouse Fly Away</t>
  </si>
  <si>
    <t>1. Demonstrated ability to conduct research and contribute to project development.
2. Strong written and verbal communication skills.
3. Ability to interact professionally with stakeholders, colleagues and participants.
...</t>
  </si>
  <si>
    <t>1. Sales experience preferred
2. High School Diploma or equivalent required
3. Valid driver’s license required
...</t>
  </si>
  <si>
    <t>Student Office Associate</t>
  </si>
  <si>
    <t>1. HS Diploma/GED required
2. Must be a student enrolled at EKU</t>
  </si>
  <si>
    <t>$17.20-$18.75 /h</t>
  </si>
  <si>
    <t>1. Open to Current College/University Student
2. Must be a US Citizen or U.S. Permanent Resident
3. Must be in good academic standing as defined by their academic institution
...</t>
  </si>
  <si>
    <t>1. Proficient in Microsoft Office (Excel, Word, PowerPoint, etc.)
2. Must possess the skill, knowledge and ability essential to the successful performance of assigned duties
3. Must have strong follow-through, initiative, and the ability to work independently
...</t>
  </si>
  <si>
    <t>1. Must be graduating by December 2024
2. Must be at least 18 years old
3. Must have a valid driver's license with no more than 2 moving violations and/or at fault accidents in the past 3 years
...</t>
  </si>
  <si>
    <t>DOD SkillBridge Internship – Project Manager - Cape Canaveral</t>
  </si>
  <si>
    <t>Cape Canaveral, FL</t>
  </si>
  <si>
    <t>1. U.S. Military experience as an E6 or above (Navy, Air Force, Army, Marines, Coast Guard, Space Force, National Guard, Reserves)
2. High school diploma or state-recognized GED required; Associate or Bachelor’s degree preferred
3. (Automation specific) Experience in demand-side energy services or Certified Energy Manager preferred
...</t>
  </si>
  <si>
    <t>Leadership Development Program (Fall 2024)</t>
  </si>
  <si>
    <t>2025 Operations Analyst Program – Summer Analyst (Insights Programs)</t>
  </si>
  <si>
    <t>2025 Operations Analyst Program – Summer Analyst (New York Metro/Chicago)</t>
  </si>
  <si>
    <t>College Intern - Strategic Planning</t>
  </si>
  <si>
    <t>1. Currently a full-time college student enrolled in a two-year or four-year college program and following a course of study leading to a Bachelor's or Master's degree, with emphasis in Planning, Public Administration, Business Administration, Urban Studies, or a related field.
2. Must be a full-time student maintaining a 2.5 GPA.
3. Excellent written and verbal communication skills.
...</t>
  </si>
  <si>
    <t>Intern - AI Strategy &amp; Market Research</t>
  </si>
  <si>
    <t>1. Currently pursuing an undergraduate or graduate degree, or a recent graduate, with at least two years of completed coursework at a college or university.
2. Interested in artificial intelligence and strategy, with strong analytical and problem-solving skills.
3. Effective communicator, capable of presenting ideas clearly to various stakeholders.
...</t>
  </si>
  <si>
    <t>Incubation Intern - Innovation and Market Intelligence - Filene Research Institute (Remote)</t>
  </si>
  <si>
    <t>TruStage</t>
  </si>
  <si>
    <t>1. Working towards a relevant degree or equivalent work experience
2. Strong analytical, critical thinking, problem-solving and decision-making skills
3. Demonstrated interpersonal and customer service skills
...</t>
  </si>
  <si>
    <t>Project Manager Intern  (Reno, NV)</t>
  </si>
  <si>
    <t>Bombora</t>
  </si>
  <si>
    <t>B2B, Marketing</t>
  </si>
  <si>
    <t>1. A strong attention to detail
2. Proficient communication and time management skills
3. An interest in a project management career
...</t>
  </si>
  <si>
    <t>Supply Chain Purchasing Intern</t>
  </si>
  <si>
    <t>Akron Brass</t>
  </si>
  <si>
    <t>Manufacturing, Public Safety</t>
  </si>
  <si>
    <t>1. Pursuing Bachelor's Degree in Procurement, Supply Chain, Finance, Business, Operations Management or other related field is required
2. Experience working with Microsoft Office Suite – Word and Excel preferred</t>
  </si>
  <si>
    <t>Technical Project Manager (IT) - Spring 2024</t>
  </si>
  <si>
    <t>Butterball, LLC</t>
  </si>
  <si>
    <t>Garner, NC</t>
  </si>
  <si>
    <t>1. Seeking a Bachelor of Science/Arts degree in Business, Information Technology, Data Analytics, Agribusiness or a similar field.
2. Create and maintain technical/process documentation related to user or system design specifications.
3. Ability to work with the customer in difficult situations by balancing technical knowledge and people skills.
...</t>
  </si>
  <si>
    <t>Operations Research Intern</t>
  </si>
  <si>
    <t>1. Operations Research
2. Machine Learning algorithm knowledge
3. Python
...</t>
  </si>
  <si>
    <t>Workforce Solutions Office Assistant “STUDENTS ONLY” (Federal Work Study)</t>
  </si>
  <si>
    <t>1. Basic Microsoft Suite experience
2. Dependable, able to maintain a work schedule
3. Self-starter who is able to meet deadlines
...</t>
  </si>
  <si>
    <t>Summer Leadership Program (May 2025)</t>
  </si>
  <si>
    <t>1. Bachelor's degree in accounting
2. Proven leadership skills
3. Sophomore or Junior accounting student
...</t>
  </si>
  <si>
    <t>Project Coordinator Internship (Fall 2024)</t>
  </si>
  <si>
    <t>1. Good communication and interpersonal skills
2. Strong organizational and multi-tasking skills
3. Excellent analytical and problem solving abilities
...</t>
  </si>
  <si>
    <t>Young Library Circulation Graduate Intern 3rd Shift</t>
  </si>
  <si>
    <t>1. Must be enrolled in graduate program Fall 2024 at UK
2. Customer Service
3. Time management
...</t>
  </si>
  <si>
    <t>Mercy Health System</t>
  </si>
  <si>
    <t>1. Recent graduate of an accredited (CAHME preferred) master's level program in Health Administration or currently enrolled in an accredited (CAHME preferred) Master's Level Program in Health Administration that requires an Administrative Fellowship to complete graduation. Coursework must be completed prior to the start of the fellowship.
2. Able to respond to needs of the Executive Team in an appropriate and timely manner.
3. Must be able to manage multiple projects across various settings and be self-directed in their work.
...</t>
  </si>
  <si>
    <t>University of South Alabama Health</t>
  </si>
  <si>
    <t>1. Active or accepted degree-seeking undergraduate or graduate student pursuing a career in health administration.
2. In good standing with their academic institution.
3. No prior history of academic probation.
...</t>
  </si>
  <si>
    <t>Project Management Engineer</t>
  </si>
  <si>
    <t>AESC US</t>
  </si>
  <si>
    <t>1. Currently enrolled in a bachelor's degree program in Construction Management, Engineering, or a related field.
2. Strong analytical and problem-solving skills.
3. Excellent communication and interpersonal skills.
...</t>
  </si>
  <si>
    <t>Strategy &amp; Management Summer Associate Program - 2025</t>
  </si>
  <si>
    <t>1. Must be a graduate student enrolled in a full-time MBA or master’s degree from an accredited college or university with a graduation timeframe between Dec 2025 and June 2026
2. Pursuing a field which includes but is not limited to: Management, Economics, Finance, Mathematics, Data Analysis, FinTech, Product Management, Project Management
3. 3-5 years of work experience between bachelor’s and MBA or masters with a demonstrated record of achievement
...</t>
  </si>
  <si>
    <t>NFL VoF Project Assistant (Current/Recent Graduate Students)</t>
  </si>
  <si>
    <t>National Research Group</t>
  </si>
  <si>
    <t>Digital Entertainment, SaaS</t>
  </si>
  <si>
    <t>1. Actively pursuing an advanced degree in Social Science, Marketing, Market Research, Statistics, Economics, or a related field
2. Graduation date in Spring 2025
3. Available to work a minimum of 3 days per week, 8 hours per day from September 2024 to February 2025
...</t>
  </si>
  <si>
    <t>FT Meat Market Manager Trainee (H)</t>
  </si>
  <si>
    <t>Hannaford Bros. Co.</t>
  </si>
  <si>
    <t>$18.95-$27.25 /h</t>
  </si>
  <si>
    <t>1. A high school graduate or equivalent preferred.
2. Strong understanding of store operations and merchandising techniques preferred.
3. Effective communication, customer service, and selling skills.
...</t>
  </si>
  <si>
    <t>Graduate Administrative Assistant - Student Success Center (Fall 2024)</t>
  </si>
  <si>
    <t>Drug Safety Assistant/Administrative Assistant</t>
  </si>
  <si>
    <t>1. At least 2 years’ experience in the use and management of relational databases
2. Basic understanding of Pharmacovigilance
3. Ability to solve routine problems and to surface issues constructively
...</t>
  </si>
  <si>
    <t>Quantitative Strategist Intern, Summer 2025</t>
  </si>
  <si>
    <t>1. Pursuing a BS/MS/PhD degree in a technical field – Engineering, Computer Science, Math, Physics (or related subject)
2. Strong programming skills in Python
3. Desire and ability to learn the intricacies of financial markets
...</t>
  </si>
  <si>
    <t>Administrative Specialist II/DMV/SC Works Internship -166874</t>
  </si>
  <si>
    <t>South Carolina Department of Motor Vehicles</t>
  </si>
  <si>
    <t>1. Must be at least 18 years of age.
2. Not required to be in school.
3. The program is limited to 8-13 weeks depending upon SC Works defined region and available funding.
...</t>
  </si>
  <si>
    <t>Office Operations</t>
  </si>
  <si>
    <t>1. Passion for customer service and driving engagement and culture
2. Strong organization and prioritization skills and the proven ability to move forward multiple projects in concert, both independently and as a member of the team
3. Adept problem-solving skills, including using data to inform decisions and actions
...</t>
  </si>
  <si>
    <t>OFFICE SUPPORT ASSISTANT I</t>
  </si>
  <si>
    <t>Allen Angel Capital Education Program (AACE)</t>
  </si>
  <si>
    <t>1. High school diploma or equivalent
2. At least 6 months of experience from which comparable knowledge and skills can be acquired
3. Must be able to lift up to 50 lbs
...</t>
  </si>
  <si>
    <t>Office Intern</t>
  </si>
  <si>
    <t>1. Have completed an accredited High School or equivalent GED program.
2. Be enrolled in a two or four-year college program, in any major.</t>
  </si>
  <si>
    <t>2023 Korea GMT(Graduate Management Trainee) Summer Intern 채용 (Test)</t>
  </si>
  <si>
    <t>1. Ambitious, bold &amp; resilient talent
2. Desire for fast career growth
3. Interest in cross-functional experiences
...</t>
  </si>
  <si>
    <t>Strategy &amp; Management Summer Analyst Program - 2025</t>
  </si>
  <si>
    <t>1. Pursuing a bachelor’s or bachelor’s direct to master’s degree from an accredited college or university with a graduation timeframe between December 2025 and August 2026
2. Appreciates an environment that supports learning, innovation, intelligent risk-taking, integrity, and flexibility
3. Builds and nurtures strong relationships, while collaborating to get things done
...</t>
  </si>
  <si>
    <t>Spartanburg, SC</t>
  </si>
  <si>
    <t>Temporary Turn Associate - Office (67933)</t>
  </si>
  <si>
    <t>1. Ability to work in a fast-paced environment with a sense of urgency
2. Attention to detail
3. Ability to work 32-40 hours per week, including weekends as required
...</t>
  </si>
  <si>
    <t>2025 Wealth &amp; Investment Management Summer Internship - Early Careers</t>
  </si>
  <si>
    <t>Strategic Initiatives - 2024 MBA graduate internship</t>
  </si>
  <si>
    <t>1. Currently pursuing a Masters or MBA degree
2. Prior work experience in an analytical or strategic role, or equivalent related experience with a focus on software and advanced technology domains
3. Very strong understanding of business strategies and drivers
...</t>
  </si>
  <si>
    <t>1. 6+ months of work experience, or equivalent demonstrated through one or a combination of the following: work experience, training, military experience, education
2. Currently pursuing a bachelor's degree with an expected graduation date between December 2025 - June 2026
3. Excellent verbal, written, and interpersonal communication skills
...</t>
  </si>
  <si>
    <t>Web Project Coordinator Internship</t>
  </si>
  <si>
    <t>Global Operations Development Summer Analyst Program - 2025</t>
  </si>
  <si>
    <t>1. Pursuing a bachelor’s or bachelor’s direct to master’s degree from an accredited college or university
2. Graduation date between November 2025 - August 2026
3. Work experience 0-3 years
...</t>
  </si>
  <si>
    <t>Master of Business Administration (MBA) Intern</t>
  </si>
  <si>
    <t>1. Candidates must be pursuing an MBA from an accredited program with graduation year in 2025 or December 2024
2. Strong analytical and research skills
3. Excellent written and verbal communication skills
...</t>
  </si>
  <si>
    <t>Restaurant Manager Intern</t>
  </si>
  <si>
    <t>Hillstone Restaurant Group</t>
  </si>
  <si>
    <t>1. Rising senior with a serious interest in pursuing a career in restaurant management or culinary management
2. Exposed to daily operations and service
3. Apprenticing staff-level roles
...</t>
  </si>
  <si>
    <t>Siemens Gamesa Summer 2024 Internship- Project Management</t>
  </si>
  <si>
    <t>1. Pursuing Bachelor's or Master’s degree in Engineering (i.e. electrical, mechanical, chemical, industrial, etc.) or Construction Management
2. Qualified Applicants must be legally authorized for employment in the United States. Qualified Applicants will not require employer-sponsored work authorization now or in the future for employment in the United States.
3. Rising senior or grad student
...</t>
  </si>
  <si>
    <t>Global Strategy &amp; Enterprise Platforms Summer 2025 Analyst</t>
  </si>
  <si>
    <t>1. Candidates are required to be pursuing an undergraduate degree from an accredited college or university. Eligible candidates must have a graduation date between November 2025 and August 2026
2. Common areas of study include but are not limited to: supply chain, finance, business, accounting, operations, economics, or other similar degrees preferred.
3. Candidates should possess a high level of intellectual curiosity, a drive for operational excellence and a commitment to achieving sustainable results.
...</t>
  </si>
  <si>
    <t>Global Markets Chief Operating Office Summer Analyst Program - 2025</t>
  </si>
  <si>
    <t>1. Students must be pursuing a Bachelors degree or a Bachelors direct to Masters degree from an accredited college or university with a graduation timeframe between December 2025 and June 2026
2. Must demonstrate a track record of superior performance in extracurricular and professional activities
3. Must have a combination of strong quantitative/analytical skills and attention to detail
...</t>
  </si>
  <si>
    <t>Student Admin Project Asst-9356</t>
  </si>
  <si>
    <t>1. Currently enrolled as a student in Rush University's College of Health Sciences HSM program.
2. General knowledge of organizations, specifically health care organizations; medical terminology, and qualitative and quantitative data analysis.
3. Proficient with computer applications.
...</t>
  </si>
  <si>
    <t>2025 Summer Internship - Middle Office</t>
  </si>
  <si>
    <t>1. Current undergraduates pursuing studies in Finance, Economics, STEM or related field
2. Proficient in Microsoft Office (Excel, PowerPoint, Word, and Outlook)
3. Excellent verbal and written communication skills
...</t>
  </si>
  <si>
    <t>Wisconsin Rapids, WI</t>
  </si>
  <si>
    <t>1. Minimum of 1 year of general office/clerical experience
2. Ability to work daytime hours Monday-Friday with potential availability for Saturday mornings
3. Strong attention to detail and organizational skills
...</t>
  </si>
  <si>
    <t>Management Trainee Fall Intern</t>
  </si>
  <si>
    <t>Alcoa, TN</t>
  </si>
  <si>
    <t>1. Must be a Senior enrolled full time in a bachelor's degree program graduating in December 2024
2. Must have a valid driver's license with no more than two moving violations or at-fault accidents on driving record in the last 3 years
3. No drug or alcohol related conviction on driving record in the past 5 years
...</t>
  </si>
  <si>
    <t>Project Management Intern- Fall 2024</t>
  </si>
  <si>
    <t>Wachter</t>
  </si>
  <si>
    <t>Industrial, Information Services</t>
  </si>
  <si>
    <t>Mt. Laurel, NJ</t>
  </si>
  <si>
    <t>1. High School Graduate, College credits preferred, although not required
2. Proficient with the use of personal computers, including email, spreadsheets, and Microsoft Office programs
3. Excellent communication skills; verbal and written
...</t>
  </si>
  <si>
    <t>Project Manager - C5ISR Business Dev. (SkillBridge Intern) (Multiple Locations) - 12160</t>
  </si>
  <si>
    <t>Syracuse-Auburn Area</t>
  </si>
  <si>
    <t>1. Active-Duty Military ONLY within final 180 days of active-duty service
2. Must have a current/active DoD Secret Security Clearance</t>
  </si>
  <si>
    <t>Golf Operations Intern</t>
  </si>
  <si>
    <t>1. Enrollment in current PGA Golf Management Program or Associate Education
2. Current PGA/LGPA Membership</t>
  </si>
  <si>
    <t>Executive Fellow</t>
  </si>
  <si>
    <t>Urban Strategies</t>
  </si>
  <si>
    <t>Non Profit, Service Industry</t>
  </si>
  <si>
    <t>1. Strong interest in community development, planning, and non-profit management
2. Commitment to equity working to reduce disparities based on race, ethnicity, sovereignty, gender, sexual orientation/ gender identity and socioeconomics
3. Relevant academic, internship, or professional experience; ideally have an interest in pursuing a career in executive leadership and/ or a terminal degree (JD/ PhD)
...</t>
  </si>
  <si>
    <t>Program Manager 1 (SkillBridge Intern) - 8226</t>
  </si>
  <si>
    <t>1. Active-Duty Military ONLY within final 180 days of active-duty service
2. Applications accepted within final 12 months of active-duty service
3. Education and Experience required is dependent on Program of Instruction</t>
  </si>
  <si>
    <t>Aspen, CO</t>
  </si>
  <si>
    <t>Logistics Management Analyst (SkillBridge Intern) - 13736</t>
  </si>
  <si>
    <t>1. Must have TOP-SECRET SCI security clearance
2. 10 years relevant experience with Bachelors in related field; 8 years relevant experience with Masters in related field; or High School Diploma or equivalent and 14 years relevant experience.
3. Active-Duty Military ONLY within final 180 days of active-duty service.</t>
  </si>
  <si>
    <t>Intern - Office/Admin</t>
  </si>
  <si>
    <t>1. Possess strong verbal and written communication skills, and capable of communicating directly with engineers and administrative staff
2. Proven to be a self-motivated thinker when assigned long term tasks
3. Proven STRONG proficiency in Microsoft Office, including Word, especially Excel, and Outlook
...</t>
  </si>
  <si>
    <t>Napa, CA</t>
  </si>
  <si>
    <t>Project Manager - LVC (SkillBridge Intern)</t>
  </si>
  <si>
    <t>1. Transitioning US military service member with program/project experience and technical background
2. Commitment to learning HII standards and skills in Program and Project Management</t>
  </si>
  <si>
    <t>Management Trainee Intern Fall 2024 - San Antonio</t>
  </si>
  <si>
    <t>1. Must be currently enrolled in a Bachelor's degree program.
2. Must be graduating by December 2024.
3. Must have a valid driver's license with no more than 1 moving violation and/or at-fault accident on driving record in the past 3 years.
...</t>
  </si>
  <si>
    <t>Technical Program Manager, Software — Intern (Summer 2024)</t>
  </si>
  <si>
    <t>1. Currently pursuing a B.S. in computer science, aerospace engineering, or equivalent technical degree (e.g. physics or applied math)
2. Strong communication skills, both internal and external facing
3. Strong organizational skills and ability to coordinate across different tracks and groups
...</t>
  </si>
  <si>
    <t>DMATS Project Manager (SkillBridge Intern) - 17549</t>
  </si>
  <si>
    <t>Hurlburt Field, FL</t>
  </si>
  <si>
    <t>1. Active and current Secret security clearance
2. Transitioning US military service member with program/project experience and technical background</t>
  </si>
  <si>
    <t>Management Trainee Intern Fall 2024 - McAllen/Brownsville</t>
  </si>
  <si>
    <t>1. Must be currently enrolled in a Bachelor's program.
2. Must be graduating by December 2024
3. Must have a valid driver's license with no more than 1 moving violation and/or at-fault accident on driving record in the past 3 years.
...</t>
  </si>
  <si>
    <t>2025 Virtual Engagement Summer Analyst Program</t>
  </si>
  <si>
    <t>1. Pursuing an undergraduate degree with an expected graduation date between December 2025 and June 2026 at an accredited college/university; concentration or coursework in business-related field is preferred
2. Exemplary communication, presentation, problem solving, prioritization, and time-management skills
3. Organized, focused, and highly disciplined
...</t>
  </si>
  <si>
    <t>Rochester Regional Health</t>
  </si>
  <si>
    <t>1. Highly motivated, self-starter individual that is interested in contributing to a large health system in the areas of population health, care innovation or healthcare informatics.
2. Current enrollment or degree in MHSA, MPH, MHA or MBA preferred; CAHME accredited college preferred. Bachelor's degree required.
3. Consideration will also be given to students from other comparable graduate degree programs with professional experience in healthcare.</t>
  </si>
  <si>
    <t>Summer Analyst - NY Metro Hub</t>
  </si>
  <si>
    <t>Summer Analyst - Program Management</t>
  </si>
  <si>
    <t>$32-$not specified /h</t>
  </si>
  <si>
    <t>1. Pursuing a degree in Business Administration, Finance or related field.
2. Exposure and interest in computer science or information technology.
3. Strong experience in leading and/or contributing as part of a collaborative group.
...</t>
  </si>
  <si>
    <t>Project Manager Intern - Remote</t>
  </si>
  <si>
    <t>IWG plc</t>
  </si>
  <si>
    <t>Commercial, Virtual Workforce</t>
  </si>
  <si>
    <t>Addison County, VT</t>
  </si>
  <si>
    <t>1. Strong operational experience in a corporation, with project management experience
2. Incredibly organized and a great communicator
3. Happy taking ownership of problems and finding ways to solve them
...</t>
  </si>
  <si>
    <t>Project Management Intern (Part-time)</t>
  </si>
  <si>
    <t>1. Strong verbal and written communication skills.
2. Strong interpersonal skills.
3. Proficiency in Microsoft Office suite, including Excel.
...</t>
  </si>
  <si>
    <t>Move In Assistant - Union Chapel Hill (Student Living)</t>
  </si>
  <si>
    <t>1. Must be available to work a minimum of 10 hours per week.
2. Must be enrolled at a local university and be in good academic standing.
3. Lives onsite unless an exception has been granted by a Director of Operations or Senior Director of Operations.</t>
  </si>
  <si>
    <t>Woodbridge, VA</t>
  </si>
  <si>
    <t>North Augusta, SC</t>
  </si>
  <si>
    <t>Lancaster, SC</t>
  </si>
  <si>
    <t>$56313-$64760 /yr</t>
  </si>
  <si>
    <t>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or
2. A master’s degree in architecture that is the first professional degree in architecture from an accredited college or university.</t>
  </si>
  <si>
    <t>Graduate Administrative Intern | 2025</t>
  </si>
  <si>
    <t>Hartford HealthCare</t>
  </si>
  <si>
    <t>1. Currently enrolled in a graduate program
2. Strong communication skills
3. Ability to collaborate effectively with team members and leadership
...</t>
  </si>
  <si>
    <t>Co-op, Project Management (Posting)</t>
  </si>
  <si>
    <t>1. Currently attending an accredited college or university
2. 3.0 cumulative GPA or higher
3. Detail- and task-oriented
...</t>
  </si>
  <si>
    <t>Administrative Assistant I - Section 3 Trainee</t>
  </si>
  <si>
    <t>State of Alaska</t>
  </si>
  <si>
    <t>$15.66-$15.66 /h</t>
  </si>
  <si>
    <t>1. Graduation from High School or equivalent.</t>
  </si>
  <si>
    <t>Branch Manager - Trainee</t>
  </si>
  <si>
    <t>Marion, IL</t>
  </si>
  <si>
    <t>$80000 /yr</t>
  </si>
  <si>
    <t>Temporary Turn Associate - Office (67895)</t>
  </si>
  <si>
    <t>MT Laurel, NJ</t>
  </si>
  <si>
    <t>1. High School Graduate
2. Proficient with the use of personal computers, including email, spreadsheets, and Microsoft Office programs
3. Excellent communication skills; verbal and written
...</t>
  </si>
  <si>
    <t>Department Secretary - Roanoke City Student Health</t>
  </si>
  <si>
    <t>Carilion Clinic</t>
  </si>
  <si>
    <t>Child Care, Education</t>
  </si>
  <si>
    <t>1. High school diploma or GED
2. Knowledge of office procedures and equipment
3. Excellent organization and time management skills
...</t>
  </si>
  <si>
    <t>Project Management, Software Engineering Student Fall 2024</t>
  </si>
  <si>
    <t>1. Minimum 3.0 GPA required.
2. Enrolled in an engineering program with an accredited school.
3. MS Project, Excel, Macro programming.
...</t>
  </si>
  <si>
    <t>Administrative Intern - Spring 2025 (Raleigh, NC)</t>
  </si>
  <si>
    <t>1. Must be enrolled as a student in an accredited college or university
2. Demonstrated written and oral communication skills
3. Demonstrated ability to work independently and as a team.
...</t>
  </si>
  <si>
    <t>City of Washington County, DC</t>
  </si>
  <si>
    <t>1. Polite, courteous, and cooperative communication with internal and external customers and staff
2. Effective verbal and written communication skills
3. Ability to listen and respond appropriately
...</t>
  </si>
  <si>
    <t>Administrative Fellow- Apply June 7th through Sept. 27th !</t>
  </si>
  <si>
    <t>1. Master's Degree in Business Administration, Health (Services) Administration, or Public Health - required upon hire date.
2. 1-3 years of prior work experience.</t>
  </si>
  <si>
    <t>warehouse operation intern/bilingual Chinese</t>
  </si>
  <si>
    <t>YQN</t>
  </si>
  <si>
    <t>Fleet Management, Freight Service</t>
  </si>
  <si>
    <t>Pooler, GA</t>
  </si>
  <si>
    <t>1. Bachelor’s or Master’s degree preferred
2. Proactive and positive attitude
3. Solid knowledge of import and export
...</t>
  </si>
  <si>
    <t>Administrator in Training - Bachelor's Degree</t>
  </si>
  <si>
    <t>Madison Center, Inc.</t>
  </si>
  <si>
    <t>Cheat Lake, WV</t>
  </si>
  <si>
    <t>1. Bachelor's degree is required.</t>
  </si>
  <si>
    <t>C3 Presents - Culture &amp; Office Ops Intern - Fall 2024</t>
  </si>
  <si>
    <t>Eureka, CA</t>
  </si>
  <si>
    <t>Yuba City, CA</t>
  </si>
  <si>
    <t>Management Trainee Internship</t>
  </si>
  <si>
    <t>Production Development — Associate Program (Fall 2024)</t>
  </si>
  <si>
    <t>1. Currently pursuing a degree in Engineering, Business Analytics, Data Science, Statistics, or a related field
2. Strong analytical skills and the ability to work with large and complex datasets
3. Proficiency in data visualization or business intelligence tools such as Tableau, Power BI, GraphQL or similar platforms
...</t>
  </si>
  <si>
    <t>Internship: Arena Administrative Events (Seasonal 2024-25)</t>
  </si>
  <si>
    <t>1. Current George Mason University undergraduate or graduate student.
2. Proficiency in Microsoft Office applications and social media.
3. Excellent interpersonal, written, and verbal communication skills.
...</t>
  </si>
  <si>
    <t>Office of Development Fall 2024 Intern</t>
  </si>
  <si>
    <t>1. Have a positive attitude focused on delivering excellent customer service
2. Have a professional appearance
3. Excellent verbal and written communication skills
...</t>
  </si>
  <si>
    <t>Event Administrative Coordinator - Fall Internship</t>
  </si>
  <si>
    <t>FIRST</t>
  </si>
  <si>
    <t>Events</t>
  </si>
  <si>
    <t>1. Currently enrolled in an accredited college or university pursuing a bachelor’s or master’s degree
2. Working knowledge of Microsoft Office
3. Excellent project management skills, including attention to detail, multi-tasking, prioritization of tasks, attention to detail, and ability to meet strict deadlines
...</t>
  </si>
  <si>
    <t>Management Trainee Intern Fall 2024</t>
  </si>
  <si>
    <t>1. Must be enrolled full-time at a 4 year university pursuing a Bachelor's degree. Any major considered, in final semester, graduating December 2024.
2. Must be authorized to work in the United States and not require work authorization sponsorship by our company for this position now or in the future.
3. Must have a current and valid driver's license with no more than 2 moving violations and/or at-fault accidents on driving record within the past 3 years, and no drug or alcohol related convictions on driving record within the past 5 years (i.e. DUI, DWI).
...</t>
  </si>
  <si>
    <t>City of Laguna Beach</t>
  </si>
  <si>
    <t>Laguna Beach, CA</t>
  </si>
  <si>
    <t>1. Bachelor's Degree in business or public administration or a related field
2. Prior municipal government experience
3. Valid California Driver's license and an acceptable driving record
...</t>
  </si>
  <si>
    <t>Program Assistant Intern</t>
  </si>
  <si>
    <t>CASES</t>
  </si>
  <si>
    <t>Family, Health Care</t>
  </si>
  <si>
    <t>1. High School Diploma required, associate degree or higher preferred
2. Proficiency in Microsoft Office Suite (especially Excel) and other products
3. Previous administrative experience a plus
...</t>
  </si>
  <si>
    <t>Admin Intern</t>
  </si>
  <si>
    <t>Regional One Health</t>
  </si>
  <si>
    <t>1. Must be enrolled in accredited program leading to a Bachelor or Master's Degree.</t>
  </si>
  <si>
    <t>GOLF OPERATIONS INTERN (MAVRK)</t>
  </si>
  <si>
    <t>Eiger Marketing</t>
  </si>
  <si>
    <t>1. Extensive study in a related field (marketing, business, or event management)
2. Polished communication skills, both written and oral
3. Strong ability to demonstrate initiative, solve problems and work effectively under pressure while working as part of a team as well as independently
...</t>
  </si>
  <si>
    <t>Downtown Development Student Project Manager (The City of Dawsonville) - Federal Work Study</t>
  </si>
  <si>
    <t>1. Must be enrolled at the University of North Georgia in a minimum of six (6) credit hours to qualify as a student worker.</t>
  </si>
  <si>
    <t>Intern, Biotech Strategy and Operations</t>
  </si>
  <si>
    <t>Vial</t>
  </si>
  <si>
    <t>1. Background in business and biotech-related fields; recent graduates or final-year students preferred.
2. Strong interest in the intersection of technology and biotech.
3. Phenomenal problem-solving and analytical skills with the ability to combine business context and science.
...</t>
  </si>
  <si>
    <t>Administrative Fellow - Health System</t>
  </si>
  <si>
    <t>1. Bachelor’s degree in related field and completion of coursework from an accredited Master of Healthcare Administration program or similar degree plan.</t>
  </si>
  <si>
    <t>Program Management Co-Op</t>
  </si>
  <si>
    <t>1. Strong organizational and time management skills
2. Excellent communication and interpersonal abilities
3. Ability to analyze data and generate reports
...</t>
  </si>
  <si>
    <t>Administrative Assistant</t>
  </si>
  <si>
    <t>$14 /h</t>
  </si>
  <si>
    <t>1. Microsoft Word and Excel Experience
2. Organizational Skills
3. Ability to Multi-task
...</t>
  </si>
  <si>
    <t>Production Management Intern</t>
  </si>
  <si>
    <t>1. Pursuing a bachelor's degree in Management, Engineering (Industrial, Manufacturing, Electrical, Mechanical, etc.), Construction Management, Business Administration, Operations Management, Supply Chain Management, Organizational Leadership &amp; Supervision, Organizational Management, Industrial Management, Technical Management, Agricultural Management
2. Open availability to work 40 hours per week during the summer or 20-32 per week during the academic school year
3. Desire to pursue a management career
...</t>
  </si>
  <si>
    <t>Community Assistant</t>
  </si>
  <si>
    <t>Trinitas Ventures</t>
  </si>
  <si>
    <t>Communities, Real Estate</t>
  </si>
  <si>
    <t>1. Currently pursuing a degree with at least 1 year completed (Min. 2.5 GPA required)
2. Stellar communication and customer service skills - You know how to make people feel valued.
3. Proficiency in Microsoft Office and a knack for technology.
...</t>
  </si>
  <si>
    <t>Student Administrative Assistant - ODAS</t>
  </si>
  <si>
    <t>1. LU Undergraduate or Graduate student
2. Eligible for Work-Study
3. Ability to work 18-20 hours per week
...</t>
  </si>
  <si>
    <t>Charles IT</t>
  </si>
  <si>
    <t>1. Must be able to work a minimum of 35 hours per week
2. Cumulative GPA of 3.0 or above
3. Must be 18 years of age or older
...</t>
  </si>
  <si>
    <t>Fall Intern, Project Management</t>
  </si>
  <si>
    <t>1. Currently enrolled in an accredited college or university.
2. General knowledge in agile methodologies, especially Scrum and Kanban.
3. General knowledge in basic project management concepts including planning, executing and monitoring.
...</t>
  </si>
  <si>
    <t>Fall 2024 Management Trainee Intern Boca Raton FL</t>
  </si>
  <si>
    <t>Activation Capital</t>
  </si>
  <si>
    <t>Business Development, Employment</t>
  </si>
  <si>
    <t>1. Bachelor's degree or equivalent experience in project or organizational management; a science related background is a plus, as is a PMP, but not required
2. Experience managing projects and using project management software
3. Understand work breakdown structures, statements of work, and the basics of earned value management
...</t>
  </si>
  <si>
    <t>Project Coordinator Intern</t>
  </si>
  <si>
    <t>Washington - Pullman</t>
  </si>
  <si>
    <t>$16.30-$17.50 /h</t>
  </si>
  <si>
    <t>1. Current student pursuing a degree in Business, Project Management, Communication, Engineering or a relevant discipline
2. Proficient in Microsoft Office programs
3. Able to learn and communicate technical information
...</t>
  </si>
  <si>
    <t>C5ISR Program Manager (BD) (SkillBridge Intern) - 19811</t>
  </si>
  <si>
    <t>1. Transitioning US military service member with program/project experience and technical background
2. Commitment to learning HII standards and skills in Program and Project Management
3. TS/SCI Security Clearance required</t>
  </si>
  <si>
    <t>Fall 2024 Management Trainee Intern Doral</t>
  </si>
  <si>
    <t>Seasonal Administrative Assistant, Sales Support (Hybrid)</t>
  </si>
  <si>
    <t>Lakeshore Learning</t>
  </si>
  <si>
    <t>Consumer Goods, Education</t>
  </si>
  <si>
    <t>1. High school diploma or equivalent
2. Experience using Microsoft Office Suite (Excel, Word, Outlook)
3. Ability to juggle multiple projects in a fast-paced setting (extra points if you can actually juggle!)
...</t>
  </si>
  <si>
    <t>1. Pursuing an undergraduate degree in Business Administration (Information Technology Management) or Industrial Engineering (or similar degree with applicable skills)
2. Team player that fosters trust, open dialogue, and healthy conflict with coworkers
3. Strong interpersonal skills and servant leadership required to promote intentional relationships
...</t>
  </si>
  <si>
    <t>PSECU</t>
  </si>
  <si>
    <t>Greater Harrisburg Area</t>
  </si>
  <si>
    <t>1. College student enrolled in a project management-oriented program.
2. Must be bondable and credit worthy.
3. Carry out basic business analysis (process flows, user experience, business workflows, etc.)
...</t>
  </si>
  <si>
    <t>Expression of Interest - Graduate and Summer Vacation Programs</t>
  </si>
  <si>
    <t>McGrathNicol</t>
  </si>
  <si>
    <t>Spring 2025 Corporate Development Intern - Graduate</t>
  </si>
  <si>
    <t>1. Must be a U.S. citizen or national, U.S. permanent resident (current Green Card holder), or lawfully admitted into the U.S. as a refugee or granted asylum.
2. Currently enrolled in a graduate program and have at least one semester or quarter of school remaining after the internship.
3. Strong quantitative skill set and attention to detail.
...</t>
  </si>
  <si>
    <t>Admin Fellowship</t>
  </si>
  <si>
    <t>Community Medical Centers</t>
  </si>
  <si>
    <t>1. Master's Degree in Health Administration, Business Administration, or Public Health
2. May be currently entering a required third year fellowship necessary to complete Master’s degree; completion within one year of hire or entry into job required</t>
  </si>
  <si>
    <t>Duales Studium: Business Administration (Bachelor of Science, Minor: Shipping)</t>
  </si>
  <si>
    <t>1. Du hast die Allgemeine Hochschulreife (Abitur) bzw. die Fachhochschulreife in der Tasche und hattest dabei durchschnittlich 10 Punkte in Deutsch, Englisch und Mathematik.
2. Globale wirtschaftliche Zusammenhänge interessieren Dich ebenso wie internationale Logistik-Prozesse.
3. Du bist offen, interessiert an anderen Kulturen – und hast Spaß am Umgang mit Menschen auf der ganzen Welt. Dabei verfügst Du über gute bis sehr gute Englischkenntnisse und hast Lust, die Sprache auch in Deinem Arbeitsalltag anzuwenden.
...</t>
  </si>
  <si>
    <t>Strategy Intern - Fall 2024</t>
  </si>
  <si>
    <t>1. Currently enrolled in a relevant degree program; Junior, Senior, or Graduate-level preferred.
2. Working knowledge of Microsoft Office programs: Word, Excel, PowerPoint, and Outlook
3. Outgoing, friendly personality with excellent customer service skills.
...</t>
  </si>
  <si>
    <t>Duales Studium - International Management (Bachelor of Science, Minor: Shipping)</t>
  </si>
  <si>
    <t>Administrative Analyst (Intern)</t>
  </si>
  <si>
    <t>1. Currently enrolled as a 3rd or 4th year student to receive a bachelor’s degree in a relevant field such as Business Administration, Human Resources/Payroll, Finance, etc
2. Excellent communication skills, both written and verbal
3. Proficient in Microsoft Office Suite (Word, Excel, PowerPoint) – (Microsoft 365 &amp; SharePoint familiarity a plus)
...</t>
  </si>
  <si>
    <t>2025 COO Business Services Summer Internship - Early Careers</t>
  </si>
  <si>
    <t>Administrative Support Spec</t>
  </si>
  <si>
    <t>North Carolina Agricultural and Technical State University</t>
  </si>
  <si>
    <t>$37833-$38500 /yr</t>
  </si>
  <si>
    <t>1. High School Diploma or equivalency and one year of related office experience; or equivalent combination of training and experience
2. Graduation from a four-year college or university and 1-2 years of experience in events scheduling and coordination or equivalent experience (1-3 years) in events scheduling and database management
3. Use and management of web-based software and information
...</t>
  </si>
  <si>
    <t>Property Operations Intern/New Grad (Fall 2024)</t>
  </si>
  <si>
    <t>American Communities</t>
  </si>
  <si>
    <t>1. Must be at least of Junior status, pursuing a degree in a four-year university, expected graduation May 2026-or-sooner.
2. Must have strong verbal and written skills; must be able to communicate with various departments.
3. Must be able to problem-solve; must be open to learning and absorbing new information.</t>
  </si>
  <si>
    <t>Co-Op Project Management - Fall 2024 Cincinnati</t>
  </si>
  <si>
    <t>Pepper Construction</t>
  </si>
  <si>
    <t>1. Sophomore, Junior, or Senior studying Construction Management, Civil Engineering, or similar major
2. Good communication skills - both oral and written
3. Follow-up and follow-through skills
...</t>
  </si>
  <si>
    <t>Clinic Administrative Assistant (Student Worker Only) - California Institute of Integral Studies</t>
  </si>
  <si>
    <t>California Institute of Integral Studies</t>
  </si>
  <si>
    <t>$18.67-$18.67 /h</t>
  </si>
  <si>
    <t>1. Attention to detail
2. Good memory
3. Ability to work under deadline pressure
...</t>
  </si>
  <si>
    <t>Sheppard Pratt</t>
  </si>
  <si>
    <t>1. Master’s degree (MHA, MBA, MHSA, MPH, or other related fields). Candidates who are on schedule to receive a master’s degree upon completion of a fellowship are also eligible. Degree conferral is not required for this position.
2. Candidates must receive master’s degree from an accredited graduate program.
3. Candidates must be current students in their master's programs and be available to start working full time in June 2024. Candidates may have graduated less than one year prior to the start date (June 2024).
...</t>
  </si>
  <si>
    <t>Co-Op Project Management - Spring 2025 Cincinnati</t>
  </si>
  <si>
    <t>Student Hourly Office Assistant</t>
  </si>
  <si>
    <t>1. Proficiency with Microsoft Word as evidenced in application material
2. During the semester term of the appointment, the student hourly must be enrolled in no fewer than 6 credit hours
3. For summer periods, the student hourly must meet specific enrollment criteria
...</t>
  </si>
  <si>
    <t>Graduate Assistant - APEX Accelerator</t>
  </si>
  <si>
    <t>1. Must be a graduate-level student enrolled in a graduate program at UNO
2. Must have Proficiency in MS Word and Excel
3. Must have good communication skills</t>
  </si>
  <si>
    <t>Branch Operations Intern (Bilingual Preferred)</t>
  </si>
  <si>
    <t>Leadership Rotation Network (LRN)</t>
  </si>
  <si>
    <t>1. A Bachelor’s or Master’s degree in Business, Finance, Business Analytics, Economics or related field with a graduation date between December 2024 and June 2025
2. An interest in trading and technology and specifically a desire to work in a middle/back-office role
3. A strong sense of urgency, insatiable desire to learn, unwavering commitment to integrity and proven ability to deliver both as an individual and member of a team
...</t>
  </si>
  <si>
    <t>Administrative Clerk</t>
  </si>
  <si>
    <t>Hubbard Construction</t>
  </si>
  <si>
    <t>1. High school diploma or equivalent; additional certification in office administration is a plus.
2. Proven experience in an administrative role, preferably in a similar industry like waste management or environmental services.
3. Proficiency in Microsoft Office applications (Word, Excel, Outlook) and knowledge of basic office equipment.
...</t>
  </si>
  <si>
    <t>Administrative Fellow - Year 1</t>
  </si>
  <si>
    <t>UPMC</t>
  </si>
  <si>
    <t>1. Completion of a MBA, MHA, MPH or masters equivalent from an accredited educational institution or program seeking accreditation
2. Ability to interface with numerous players in various departments and entities
3. Applicants must attach the following in a single PDF: resume, undergraduate transcript, graduate transcript, 2 letters of recommendation (one professional, one from graduate program director or graduate school professor), and personal statement (2-page limit)</t>
  </si>
  <si>
    <t>Program Management Intern</t>
  </si>
  <si>
    <t>1. Actively enrolled in pursuit of an undergraduate Business degree at an accredited college or university
2. Student overall GPA of 2.5 or higher, and in-major GPA of 3.0 or higher is preferred
3. Demonstrated math proficiency is required
...</t>
  </si>
  <si>
    <t>Administrative Assistant for CRES Institute</t>
  </si>
  <si>
    <t>St. John's University School of Law</t>
  </si>
  <si>
    <t>Education, Legal</t>
  </si>
  <si>
    <t>$43500-$43500 /yr</t>
  </si>
  <si>
    <t>1. High School Diploma or equivalent required; Bachelor’s degree preferred.
2. 1-2 years office support experience.
3. Strong (verbal and written) communication skills and organizational skills.
...</t>
  </si>
  <si>
    <t>Buckner Internship - Strategic Planning</t>
  </si>
  <si>
    <t>Buckner</t>
  </si>
  <si>
    <t>Communities, Elder Care</t>
  </si>
  <si>
    <t>1. Must be able to commit to working at least 10-15 hours per week during business hours.
2. Excellent organizational skills
3. Strong verbal and written communication
...</t>
  </si>
  <si>
    <t xml:space="preserve">Strategy Intern </t>
  </si>
  <si>
    <t>1. Are pursuing a bachelor’s or master’s in Business, Finance, Economics, Mathematics or any related science discipline and have an expected graduation date between December 2025 and June 2026
2. Proven ability to work on cross-functional teams and collaborate with stakeholders
3. Ability to effectively leverage data to analyze and quantify new business opportunities
...</t>
  </si>
  <si>
    <t>UEAS Undergraduate Front Desk Administrative Assistant (Student)</t>
  </si>
  <si>
    <t>1. Must be a current undergraduate student at American University.
2. Position requires excellent customer service and communication skills and the ability to interact in a courteous, professional, and diplomatic manner with a diverse student clientele, parents, and prospective students, faculty, and staff. Must have excellent organizational and multi-tasking skills, be comfortable with technology.
3. Must be able to work independently and as part of a team, working closely with other office staff.
...</t>
  </si>
  <si>
    <t>Purpose Team Intern</t>
  </si>
  <si>
    <t>1. Fully matriculated students with anticipated graduation date in 2026 or Spring 2027
2. All majors welcomed
3. Drive to achieve personal and team objectives
...</t>
  </si>
  <si>
    <t>2025 MBA: A2C Executive Strategist, Office of the CEO Intern</t>
  </si>
  <si>
    <t>Raymond James</t>
  </si>
  <si>
    <t>1. Currently enrolled in the first year of a fully accredited full-time MBA program.
2. Minimum of three (3) years of relevant business experience.</t>
  </si>
  <si>
    <t>Chief Administrative Officer Group Summer 2025 Analyst</t>
  </si>
  <si>
    <t>1. Candidates are required to be pursuing an undergraduate degree from an accredited college or university. Eligible candidates must have a graduation date between November 2025 and August 2026
2. Common areas of study include but are not limited to: Business Administration, Communications, Economics, Environmental Studies, Event Management, International Studies, Political Science, Public Policy or other similar degrees
3. Candidates should possess a high level of intellectual curiosity, a drive for operational excellence and a commitment to achieving sustainable results
...</t>
  </si>
  <si>
    <t>Intern Project Management</t>
  </si>
  <si>
    <t>Permasteelisa North America Corp.</t>
  </si>
  <si>
    <t>Bloomfield, CT</t>
  </si>
  <si>
    <t>$20.67-$25.87 /h</t>
  </si>
  <si>
    <t>1. Applicants should be in the process of a degree, or a recent college graduate in Civil, Architectural or Mechanical Engineering field
2. Proficiency in MS Office
3. Knowledge of AUTOCAD, Inventor</t>
  </si>
  <si>
    <t>1. Master's degree in healthcare administration or health services administration.
2. Experience in hospital operations or an administrative internship.
3. Basic knowledge of hospital operations.
...</t>
  </si>
  <si>
    <t>Student Intern - Business, Marketing &amp; Admin Support</t>
  </si>
  <si>
    <t>1. Must be a current student, working towards a Bachelor's degree in Business Administration, Marketing, Finance or equivalent program
2. Requires working 20 hours a week and know how to manage work and school schedule
3. Knowledgeable in Microsoft Office Suite skills
...</t>
  </si>
  <si>
    <t>Business Operations Internship</t>
  </si>
  <si>
    <t>1. Candidates are required to be enrolled in a collegiate program recognizing the Jacksonville Zoo and Gardens internship program for credit towards a formal certification or degree in a field of study related to attractions, hospitality, management, communications, or other fields related to providing customer experiences.</t>
  </si>
  <si>
    <t>Lodi, CA</t>
  </si>
  <si>
    <t>$60000-$138000 /yr</t>
  </si>
  <si>
    <t>1. Must be able to read, write and speak English. Mathematical skills must be sufficient to permit accurate calculation of square feet, cubic feet, flow and coverage rates, mix ratios, room volumes, etc. The ability to compile data and complete Clark Pest Control forms is required.
2. Must have a thorough working knowledge of common household pests, their life cycles, habitats, food preferences, and approved control measures. Know, personally comply with, and enforces current regulations.
3. Must be familiar with the following: SPCB rules and regulations, MSDS, materials, spill abatement procedures, Clark paperwork, company policy, sexual harassment policy, the Corporate Safety Program, respirator policy, chemicals and equipment, writing an incident report; and have the ability to effectively train and guide everyone in the department in these areas.
...</t>
  </si>
  <si>
    <t>Business Continuity Intern - Fall 2024</t>
  </si>
  <si>
    <t>Michigan State University Federal Credit Union</t>
  </si>
  <si>
    <t>Credit, Finance</t>
  </si>
  <si>
    <t>1. High school diploma or equivalent required
2. Actively pursuing degree in emergency management, enterprise risk, communications, or business related field of study
3. Demonstrates empathy and a commitment to providing superior member service
...</t>
  </si>
  <si>
    <t>NeMLA Graduate Assistant (Lab Assistant/Tutoring)</t>
  </si>
  <si>
    <t>1. Gannon University graduate student in good standing with their department with a GPA above 3.2
2. Strong verbal and written communication skills
3. Highly organized and disciplined with strong time-management
...</t>
  </si>
  <si>
    <t>Cleveland, MS</t>
  </si>
  <si>
    <t>2024 Fall/Winter Digital &amp; Technology Services Internship</t>
  </si>
  <si>
    <t>The Children's Hospital of Philadelphia</t>
  </si>
  <si>
    <t>1. Must be currently attending a college, university or graduated within the past year. Pursuing or earned a Computer Science, Engineering, Technology, or related Business degree
2. Minimum GPA of 2.5
3. Ability to work with individuals at all levels within the organization
...</t>
  </si>
  <si>
    <t>Fall 2024 Administration &amp; Operations Intern</t>
  </si>
  <si>
    <t>1. Attention to detail, critical thinking skills, time management skills, and ability to work independently and as part of a team.
2. Able to communicate professionally with internal and external stakeholders.
3. Experience working with Microsoft Office Applications.
...</t>
  </si>
  <si>
    <t>Administrator in Training</t>
  </si>
  <si>
    <t>Diversicare</t>
  </si>
  <si>
    <t>1. Position will be based in a Diversicare center with an active Preceptor’s Certification.
2. Must be willing to relocate within the states Diversicare operates
3. Applicants must meet the state education and experience requirements to participate in Diversicare’s Administrator in Residency Program
...</t>
  </si>
  <si>
    <t>Temporary Turn Associate - Office (67676)</t>
  </si>
  <si>
    <t>Esports Project Management Admin-1</t>
  </si>
  <si>
    <t>UCHealth</t>
  </si>
  <si>
    <t>1. Masters-Level graduates or Masters Candidates in healthcare administration, business administration, and public health
2. Focused tracts such as hospital operations or Quality and Performance Improvement
3. Practical skills and experience in leadership in the healthcare industry
...</t>
  </si>
  <si>
    <t>FWS, Admin Humanities &amp; Sciences</t>
  </si>
  <si>
    <t>1. Eligible for Co-op for your academic program
2. Enrolled as a co-op student at time of employment &amp; will conclude at end of co-op semester</t>
  </si>
  <si>
    <t>Project Manager- Software Intern</t>
  </si>
  <si>
    <t>1. Currently studying in a technical field
2. High school diploma required
3. Proficient in gathering user requirements and documenting them
...</t>
  </si>
  <si>
    <t>1. High school diploma required
2. Currently studying in a technical field
3. Proficient in gathering user requirements and documenting them
...</t>
  </si>
  <si>
    <t>Administrative Fellowship 2025-2026</t>
  </si>
  <si>
    <t>Intermountain Health</t>
  </si>
  <si>
    <t>$43.24-$66.74 /h</t>
  </si>
  <si>
    <t>1. Master's degree which must be obtained through an accredited institution. Education is verified.
2. For Master’s degree programs requiring a Fellowship prior to graduation, all coursework must be completed by the start date of the Fellowship program, estimated to be in the Summer of 2025.
3. Demonstrated quality academic preparation as indicated by letters of quality of their academic preparation, letters of recommendation and prior work or intern experience.
...</t>
  </si>
  <si>
    <t>Werkstudent. Landesgeschäftsführer der Jungen Union Hamburg</t>
  </si>
  <si>
    <t>CDU Hamburg</t>
  </si>
  <si>
    <t>1. laufendes Studium
2. eigenverantwortliches, zuverlässiges und selbstständiges Arbeiten sowie ausgeprägtes Organisationstalent und strukturierte Arbeitsweise
3. gute Kenntnisse gängiger Office-Programme sowie aktueller Anwendungen
...</t>
  </si>
  <si>
    <t>Real Estate Asset Management/ Property Management Intern</t>
  </si>
  <si>
    <t>1. Currently pursuing a degree in Real Estate, Business, Finance, or a related field
2. Strong attention to detail and organizational skills
3. Excellent written and verbal communication skills
...</t>
  </si>
  <si>
    <t>Continuous Improvement Intern</t>
  </si>
  <si>
    <t>Michigan Health Information Network Shared Services</t>
  </si>
  <si>
    <t>1. Currently enrolled in a degree program in Business Administration, Healthcare Administration, Health Informatics, or a related field.
2. Interest in healthcare information technology as a career path.
3. Ability to effectively build rapport in a remote working environment.
...</t>
  </si>
  <si>
    <t>Admin/Clerical (Work-Study)</t>
  </si>
  <si>
    <t>1. This is a Work-Study position. Students must have been awarded a Federal Work-Study Award for the current year and be enrolled in classes at the U during their time of employment.</t>
  </si>
  <si>
    <t>Summer Leadership Program 2025</t>
  </si>
  <si>
    <t>1. Interest in a career in Risk Management
2. Excitement to learn more about the business world and niche areas
3. Desire to jumpstart internship experience and engage with C-suite executives</t>
  </si>
  <si>
    <t>Graduate Assistant Hourly</t>
  </si>
  <si>
    <t>1. KU Graduate Student in good academic standing. During the semester term of the appointment, the student hourly must be enrolled in no fewer than 6 credit hours. For summer periods the student hourly must: 1) have been enrolled in no less than 6 hours in the past spring semester or 2) be pre-enrolled in upcoming fall semester in no less than 6 hours or 3) be enrolled in summer session or 4) be admitted to study in the upcoming fall semester. Student Hourlies may be undergraduate or graduate students. (Exceptions granted for GRA/GTA/GA appointments DO NOT apply to Student Hourly appointments).
2. Demonstrated effective written communications skills, as evidenced in application materials.
3. Eligibility for Federal Work Study.</t>
  </si>
  <si>
    <t>Crowley, TX</t>
  </si>
  <si>
    <t>Haltom City, TX</t>
  </si>
  <si>
    <t>MBA Internship - Investment Management</t>
  </si>
  <si>
    <t>Vanguard</t>
  </si>
  <si>
    <t>1. An undergraduate degree and current enrollment in an MBA program.
2. Minimum of 5 years of post-graduate work experience required reflecting a progression in responsibilities and expertise, and including relevant exposure to investment management.
3. Comfort with ambiguity and a willingness to explore a variety of challenges and pivot as needed.
...</t>
  </si>
  <si>
    <t>MBA Internship - General Management</t>
  </si>
  <si>
    <t>1. You have an undergraduate degree and current enrollment in an MBA program.
2. Minimum of 5 years work experience post undergrad reflecting a progression of increased responsibilities and impact, including exposure to strategy, consulting, or business analytics.
3. You have a comfort with ambiguity and a willingness to explore a variety of challenges and pivot as needed.
...</t>
  </si>
  <si>
    <t>$17.50-$19 /h</t>
  </si>
  <si>
    <t>1. Bachelor’s degree required.
2. Excellent customer service and communication skills.
3. Ability to interact in a courteous, professional, and diplomatic manner with a diverse student clientele, parents, prospective students, faculty, and staff.
...</t>
  </si>
  <si>
    <t>2025 Administrative Fellowship - Master of Healthcare Administration</t>
  </si>
  <si>
    <t>ChildServe</t>
  </si>
  <si>
    <t>1. Recent attainment (2022 - 2024) of a master's degree in Healthcare Administration program or be on schedule to complete the degree before the fellowship start date in June/July 2025.
2. Healthcare industry experience such as an internship or applicable employment.
3. Broad knowledge of current and historical perspectives on healthcare strategy, business management and administration, clinical practice management, clinical research and education, hospital administration and management, finance, human resources and organizational development, information systems, and managed care.
...</t>
  </si>
  <si>
    <t>1. Bachelor’s degree required.
2. Excellent customer service and communication skills.
3. Ability to interact in a courteous, professional, and diplomatic manner with a diverse student clientele, parents, and prospective students, faculty, and staff.
...</t>
  </si>
  <si>
    <t>Administrative Fellowship - Operations</t>
  </si>
  <si>
    <t>Administrative Fellowship Southern Colorado</t>
  </si>
  <si>
    <t>$65000-$65000 /yr</t>
  </si>
  <si>
    <t>1. Master's degree in related field from an accredited program (healthcare management, public health, business administration); or Bachelor's degree and in final capstone/internship of Master's accredited program.
2. Personal statement (1 page limit)
3. Resume
...</t>
  </si>
  <si>
    <t>Administrative Fellowship Northern Colorado</t>
  </si>
  <si>
    <t>Graduate Assistant Hourly - IDRH</t>
  </si>
  <si>
    <t>1. During the semester term of the appointment, the student hourly must be enrolled in no fewer than 6 credit hours. For summer periods the student hourly must: 1) have been enrolled in no less than 6 hours in the past spring semester or 2) be pre-enrolled in upcoming fall semester in no less than 6 hours or 3) be enrolled in summer session or 4) be admitted to study in the upcoming fall semester. Student Hourlies may be undergraduate or graduate students. (Exceptions granted for GRA/GTA/GA appointments DO NOT apply to Student Hourly appointments).
2. Experience organizing complex projects and tasks. Experience keeping multiple tasks going at once.
3. Experience in a project that requires self-motivation. Demonstrated ability to work productively in a remote environment without supervision.
...</t>
  </si>
  <si>
    <t>Co-op Program - Pittsburgh Regional Office - 2024 - 2025</t>
  </si>
  <si>
    <t>The Walsh Group</t>
  </si>
  <si>
    <t>1. Seeking a bachelor’s degree is preferred
2. The ability to work a 12-week work schedule is preferred
3. Enrollment in a cooperative education program at a college or university is preferred
...</t>
  </si>
  <si>
    <t>Hitting Development Analyst Associate</t>
  </si>
  <si>
    <t>Philadelphia Phillies</t>
  </si>
  <si>
    <t>1. Some working experience with a professional, collegiate, or other high-level baseball organization. This may include experience as an intern or graduate assistant.
2. Excellent written, verbal and visual communication and presentation skills
3. Strong foundational knowledge in modern baseball analysis and evaluation
...</t>
  </si>
  <si>
    <t>District Manager - Current College Student - Jefferson Division</t>
  </si>
  <si>
    <t>ALDI</t>
  </si>
  <si>
    <t>Consumer Goods, Grocery</t>
  </si>
  <si>
    <t>Jefferson, GA</t>
  </si>
  <si>
    <t>1. Bachelor’s Degree in Business or related field.
2. Develops rapport, trust, and open communication that enhances the growth and job performance of direct reports.
3. Works cooperatively and collaboratively within a group.
...</t>
  </si>
  <si>
    <t>Project Assistant I</t>
  </si>
  <si>
    <t>University of Rochester Medical Center</t>
  </si>
  <si>
    <t>Medicine, NE</t>
  </si>
  <si>
    <t>$16.50-$21.45 /h</t>
  </si>
  <si>
    <t>1. Enrolled in high school or graduate, at least 16 years of age
2. Employment certificate/work permit for candidate less than 18 years old
3. Excellent customer service and communication skills
...</t>
  </si>
  <si>
    <t>Manager in Training</t>
  </si>
  <si>
    <t>Weidner Apartment Homes</t>
  </si>
  <si>
    <t>Real Estate, Rental Property</t>
  </si>
  <si>
    <t>Wenatchee, WA</t>
  </si>
  <si>
    <t>1. Bachelor’s degree in property management or related field or 7+ years of management experience required
2. Successful completion of the Manager in Training curriculum within 12 months
3. Complete tasks in a safe and efficient manner
...</t>
  </si>
  <si>
    <t>Branch Operations Intern (Bilingual preferred)</t>
  </si>
  <si>
    <t>DoD SkillBridge Internship - Associate Project Manager - Norcross, GA</t>
  </si>
  <si>
    <t>Administrative Coordinator (aHEO) - Finance, Planning and Operations, Division of the VP of Student Affairs (Multiple Positions) -REVISED-</t>
  </si>
  <si>
    <t>CUNY Borough of Manhattan Community College</t>
  </si>
  <si>
    <t>$44411-$51781 commensurate with education and experience</t>
  </si>
  <si>
    <t>1. Bachelor’s degree required.</t>
  </si>
  <si>
    <t>Data and Project Specialist</t>
  </si>
  <si>
    <t>University of North Texas</t>
  </si>
  <si>
    <t>1. Bachelor's Degree in related field and one year of related experience or any equivalent combination of education, training and experience.
2. Excellent customer service skills.
3. Ability to provide leadership for student employees and volunteers.
...</t>
  </si>
  <si>
    <t>Stone Mountain, GA</t>
  </si>
  <si>
    <t>1. Must be a current Troy University graduate student
2. Must have and maintain a minimum 3.00 GPA</t>
  </si>
  <si>
    <t>1. Master's degree in health care administration, business administration, finance, nursing or related field.</t>
  </si>
  <si>
    <t>1. Enrolled in undergraduate degree program in Mechanical or Industrial Engineering
2. Skilled user of Microsoft Office programs with knowledge of Microsoft Projects
3. Show high attention to detail and possess good organizational skills
...</t>
  </si>
  <si>
    <t>Student Employee, Office Assistant - Campus Police</t>
  </si>
  <si>
    <t>Joliet Junior College</t>
  </si>
  <si>
    <t>Campus, IL</t>
  </si>
  <si>
    <t>1. Current JJC student enrolled in 6 credit hours with a minimum cumulative GPA of 2.0.
2. Basic proficiency with Microsoft Office, Excel, PowerPoint, Outlook, etc.
3. Attention to detail. Excellent organizational and problem-solving skills.
...</t>
  </si>
  <si>
    <t>Project Management Intern, Social Media</t>
  </si>
  <si>
    <t>1. Building and adhering to project schedules / timing
2. Clear communication skills
3. Problem Solving
...</t>
  </si>
  <si>
    <t>Residential Roofing Project Manager Apprentice</t>
  </si>
  <si>
    <t>Phillips Home Improvements</t>
  </si>
  <si>
    <t>1. Clean driving record
2. Spanish Speaking
3. Coachable; Trainable
...</t>
  </si>
  <si>
    <t>Yuma Regional Medical Center</t>
  </si>
  <si>
    <t>Yuma, AZ</t>
  </si>
  <si>
    <t>1. Masters Degree from a CAHME-accredited University
2. Alignment of the completion of their Master's program with the start of the fellowship</t>
  </si>
  <si>
    <t>Legal and Compliance Department COO Office Intern</t>
  </si>
  <si>
    <t>1. Excellent technical skills, specifically Excel, Word, PowerPoint, Outlook
2. Attention to detail
3. Strong writing skills</t>
  </si>
  <si>
    <t>Current Interns Only- Assets Protection Operations Manager -Summer 2024 DC Intern Posting</t>
  </si>
  <si>
    <t>1090 73rd Ave NE, Fridley,MN 55432-3407</t>
  </si>
  <si>
    <t>$16.92-$124200 /h</t>
  </si>
  <si>
    <t>1. Ability to communicate clearly and effectively in all situations with great interpersonal skills
2. Strong critical thinking, reasoning, analytical and problem solving skills
3. Proven ability to motivate teams and manage conflict
...</t>
  </si>
  <si>
    <t>Tenant Improvement Internship - Summer 2025</t>
  </si>
  <si>
    <t>Skyline Construction</t>
  </si>
  <si>
    <t>Bay Area, California</t>
  </si>
  <si>
    <t>$24-$29 /h</t>
  </si>
  <si>
    <t>1. Students must be Juniors or Seniors.
2. Major in Construction Management, Architecture, Civil Engineer, Mechanical Engineering.</t>
  </si>
  <si>
    <t>Temporary Turn Associate - Office (67344)</t>
  </si>
  <si>
    <t>Building Leadership Team (BLT) 5 positions (INTERNAL POSTING)</t>
  </si>
  <si>
    <t>Bettendorf Community School District</t>
  </si>
  <si>
    <t>$1652.26-$1652.26 /yr</t>
  </si>
  <si>
    <t>Student Project Analyst, Morris Center for Cleft and Craniofacial Research and Innovation, Department of Surgery</t>
  </si>
  <si>
    <t>1. Student enrolled in a degree program.
2. Analytical, project management, and problem resolution skills.
3. Verbal and written communication skills, skill in the use of personal computers and related software applications, interpersonal skills.
...</t>
  </si>
  <si>
    <t>Advancement Office Student Worker</t>
  </si>
  <si>
    <t>University of St. Francis</t>
  </si>
  <si>
    <t>1. Online research and data entry
2. Updating constituent records
3. Maintaining registrations
...</t>
  </si>
  <si>
    <t>2025-2027 Administrative Fellowship Program</t>
  </si>
  <si>
    <t>Northwestern Memorial Hospital</t>
  </si>
  <si>
    <t>1. Demonstrated leadership skills
2. Superior academic performance
3. Relevant work experience related to healthcare
...</t>
  </si>
  <si>
    <t>Extern</t>
  </si>
  <si>
    <t>1. Strong analytical and research skills, with attention to detail.
2. Excellent communication and presentation skills, both written and verbal.
3. Familiar with financial modeling concepts.
...</t>
  </si>
  <si>
    <t>Administrative Support Coordinator II</t>
  </si>
  <si>
    <t>$1932.50-$3168 /mon</t>
  </si>
  <si>
    <t>1. Fully functional knowledge of and skill in standard office procedures and practices
2. Thorough knowledge of English grammar, spelling, and punctuation
3. Ability to clearly communicate orally and in writing
...</t>
  </si>
  <si>
    <t>DOD SkillBridge Internship – Project Manager - Birmingham, AL</t>
  </si>
  <si>
    <t>1. U.S. Military experience as an E4 or above (Navy, Air Force, Army, Marines, Coast Guard, Space Force, National Guard, Reserves)
2. High school diploma or state-recognized GED required; Associates or Bachelor’s degree preferred
3. Knowledge of Building Automation Controls, Fire/Life Safety or Security systems, business operations, and job financial reports preferred
...</t>
  </si>
  <si>
    <t>DoD SkillBridge Internship – Project Manager ~ Anchorage/Fairbanks</t>
  </si>
  <si>
    <t>ASSISTANT PROJECT MANAGER</t>
  </si>
  <si>
    <t>Pelham, AL</t>
  </si>
  <si>
    <t>Electrical Project Manager Intern- Paid Internship</t>
  </si>
  <si>
    <t>Recore Electrical Contractors, Inc.</t>
  </si>
  <si>
    <t>1. Recently graduated or currently pursuing a degree in Construction Management or an Electrical program</t>
  </si>
  <si>
    <t>Branch Manager in Training</t>
  </si>
  <si>
    <t>1. Currently a Junior or Senior in College</t>
  </si>
  <si>
    <t>Empleado en prácticas</t>
  </si>
  <si>
    <t>Telefonica</t>
  </si>
  <si>
    <t>Public Relations, Telecommunications</t>
  </si>
  <si>
    <t>Bogotá D.C. Metropolitan Area</t>
  </si>
  <si>
    <t>$1900000-$1900000 /mon</t>
  </si>
  <si>
    <t>1. Estudiante de últimos semestres de carreras como: Ing. Industrial, administración y afines
2. Estudiantes avalados por la universidad para hacer prácticas profesionales</t>
  </si>
  <si>
    <t>Part Time - Sport Camps Office Assistant/Sport Camps Support - Athletics Recreation Services and Support</t>
  </si>
  <si>
    <t>1. Assisting in all areas of Sport Camps office administration
2. Answering incoming phone calls
3. Data input
...</t>
  </si>
  <si>
    <t>1. Must be a current Troy University graduate student.
2. Ability to communicate effectively, verbally and written, in English.
3. Ability to work individually researching solutions to problems.
...</t>
  </si>
  <si>
    <t>Administrative Services Intern</t>
  </si>
  <si>
    <t>Nebraska Public Power District</t>
  </si>
  <si>
    <t>Brownville, NE</t>
  </si>
  <si>
    <t>1. High School degree/GED
2. Minimum of 60 hours college credits completed
3. Currently enrolled in a degree program at a college or university
...</t>
  </si>
  <si>
    <t>Intern, Project Manager</t>
  </si>
  <si>
    <t>Dairyland Power Cooperative</t>
  </si>
  <si>
    <t>Energy, Non Profit</t>
  </si>
  <si>
    <t>1. Current student in 2- or 4-year degree program
2. Focus towards project management within a Business degree
3. G.P.A. of 3.0 or above is preferred
...</t>
  </si>
  <si>
    <t>Operations Trainee - Ellsworth</t>
  </si>
  <si>
    <t>Ellsworth, Maine</t>
  </si>
  <si>
    <t>$19.25-$19.25 /h</t>
  </si>
  <si>
    <t>1. High School Diploma or GED
2. Ability to perform physical tasks on a regular basis, including manipulating heavy objects, climbing step ladders, pushing, pulling, and regularly lifting of up to 50 lbs.
3. Ability to maintain accurate records
...</t>
  </si>
  <si>
    <t>Heka Works</t>
  </si>
  <si>
    <t>Aerospace, Embedded Software</t>
  </si>
  <si>
    <t>1. Actively pursuant or recently awarded a Bachelor’s degree in a STEM field or Business Administration, Accounting, Finance, Economics, or a related discipline. Will consider relevant experience as well.
2. Ability and willingness to obtain a Department of Defense Secret security clearance
3. Ability to learn
...</t>
  </si>
  <si>
    <t>Mainsail Lodging and Development Internship</t>
  </si>
  <si>
    <t>Mainsail Lodging &amp; Development</t>
  </si>
  <si>
    <t>Hospitality, Real Estate</t>
  </si>
  <si>
    <t>1. High school degree, or on path to complete and earn high school degree
2. Passion and interest for the Hotel and Hospitality industry
3. Eagerness to learn real world skills while working in our hotels and resorts
...</t>
  </si>
  <si>
    <t>Project Manager Intern-1</t>
  </si>
  <si>
    <t>Stafford</t>
  </si>
  <si>
    <t>1. HNC, Degree or equivalent qualification in Engineering Discipline
2. Previous Project Management experience in the same or similar environment would be advantageous
3. Coordination of multiple projects as defined by the PM
...</t>
  </si>
  <si>
    <t>$7.25-$20 /h</t>
  </si>
  <si>
    <t>1. Bilingual (Spanish/English) with strong written and verbal skills
2. Highly organized, dependable, and timely
3. Reliable transportation for data collection at community sites in North Philadelphia</t>
  </si>
  <si>
    <t>GPSU Military Fellowship - Project Manager (Southwest)</t>
  </si>
  <si>
    <t>1. Applicants MUST be separating from active-duty service within the next 12 months
2. Eligible to conduct an internship/fellowship through DoD Skillbridge, Army Career Skills Program, or Hiring Our Heroes
3. Have experience managing personnel and projects (NCO or Officer)
...</t>
  </si>
  <si>
    <t>International Operations Specialist</t>
  </si>
  <si>
    <t>International SOS</t>
  </si>
  <si>
    <t>Trevose, PA</t>
  </si>
  <si>
    <t>1. Typically, at least 1-2 years of experience in logistics and customer service is required.
2. Experience working in logistics, travel and/or healthcare sector is desirable.
3. Experience in phone-based or call center environment is desirable.
...</t>
  </si>
  <si>
    <t>SUMMER - Temporary - Camps - Multiple Positions</t>
  </si>
  <si>
    <t>Colgate University</t>
  </si>
  <si>
    <t>Hamilton, NY</t>
  </si>
  <si>
    <t>$15.55-$20 /h</t>
  </si>
  <si>
    <t>1. Meet all criteria as set forth by specific camp.
2. Must be capable of working collegially with a diverse group of faculty, staff and students on a daily basis.</t>
  </si>
  <si>
    <t>Culinary Internship - Texas</t>
  </si>
  <si>
    <t>SusieCakes</t>
  </si>
  <si>
    <t>Bakery, Restaurants</t>
  </si>
  <si>
    <t>1. One year of experience in restaurant, pastry or culinary education with a baking focus
2. Basic Kitchen operations experience
3. Willingness to learn and openness to feedback
...</t>
  </si>
  <si>
    <t>Üzleti Tanácsadó Gyakornok</t>
  </si>
  <si>
    <t>1. Érdeklődsz a tanácsadás iránt, és releváns MSc tanulmányokat folytatsz az adott témában (gazdasági tanulmányokat folytatók jelentkezését várjuk, elsősorban menedzsment fókusszal.)
2. Tanulmányaid elvégzése egy éven belül várható, és ezidő alatt rendelkezel nappali tagozatos hallgatói jogviszonnyal
3. Érdekelnek a gazdasági világ kihívásai, és szívesen teszed meg az „extra mérföldet”
...</t>
  </si>
  <si>
    <t>Innovation Management Internship - Milano [DIG]</t>
  </si>
  <si>
    <t>1. Laurea magistrale (o sei in procinto di chiudere il percorso di studi) in Ingegneria Informatica, Ingegneria Gestionale, Informatica, Statistica, Econometria, Matematica, Fisica, Scienze Sociali, Marketing, o Facoltà Umanistiche con specializzazioni legate all’analisi dati.
2. Conoscenza e passione rispetto alle tematiche connesse all’analisi e segmentazione dati, definizione di KPI, reportistica e monitoraggio dati, ricerca sociale, digital analytics, analisi di mercato e innovation management.
3. Padronanza di strumenti di Data Visualization (es. Microsoft PowerBI, Tableau, Google Data Studio), di software come Microsoft Excel, Google Sheets, Google Drive e approccio data-driven nel trovare nuove soluzioni.
...</t>
  </si>
  <si>
    <t>Temp Extra</t>
  </si>
  <si>
    <t>$7.25-$27 /h</t>
  </si>
  <si>
    <t>1. Collecting and analyzing data for management research on leadership, organizational behavior/change, impact investing, and ESG
2. Conducting background research for a popular-press book
3. Contacting and booking guest speakers for upcoming spring classes</t>
  </si>
  <si>
    <t>Program and Data Coordinator, MIT International Science and Technology Initiatives (MISTI)</t>
  </si>
  <si>
    <t>Massachusetts Institute of Technology</t>
  </si>
  <si>
    <t>$56600-$74520 /yr</t>
  </si>
  <si>
    <t>1. B.A./B.S.
2. at least two years’ experience in program administration and support
3. interest in the field of international education and/or cross-cultural communication
...</t>
  </si>
  <si>
    <t>Temp Extra Worker</t>
  </si>
  <si>
    <t>1. COVID-19 vaccination is a requirement for all positions at the University of Pennsylvania
2. New hires are expected to be fully vaccinated before beginning work at the University
3. Background check may be required after a conditional job offer is made</t>
  </si>
  <si>
    <t>Intern -  Strategic Analysis (Outcomes Organization) (MBA student)</t>
  </si>
  <si>
    <t>1. Currently enrolled in an MBA program
2. Strong analytical skills
3. Ability to analyze large datasets and extract insights
...</t>
  </si>
  <si>
    <t>Business Operations &amp; Strategy Internship (Unpaid)</t>
  </si>
  <si>
    <t>Armada</t>
  </si>
  <si>
    <t>1. Currently enrolled in a bachelor's or master's degree program
2. Strong proficiency in Microsoft Office Suite
3. Strong communication skills and sense of ownership</t>
  </si>
  <si>
    <t>Intern - Business</t>
  </si>
  <si>
    <t>Veterans United Network</t>
  </si>
  <si>
    <t>Financial Services, Lending</t>
  </si>
  <si>
    <t>1. Undergraduate degree
2. High attention to detail
3. Dedicated work ethic
...</t>
  </si>
  <si>
    <t>Riedman Campus</t>
  </si>
  <si>
    <t>CIC Impact Division Associate</t>
  </si>
  <si>
    <t>1. Enrolled in a relevant undergraduate or graduate program at an accredited university</t>
  </si>
  <si>
    <t>Administrative Fellow - ChristianaCare</t>
  </si>
  <si>
    <t>Christiana Care Health Systems</t>
  </si>
  <si>
    <t>1. Final year student or recent graduate of an accredited Masters Program in Health Administration (MHA), Business Administration (MBA), Public Health (MPH), or a related field
2. Interest in healthcare administration
3. Career goals and objectives
...</t>
  </si>
  <si>
    <t>2024-2025 Boston Red Sox Florida Ballpark Operations Associate</t>
  </si>
  <si>
    <t>1. Ability to work effectively in a high-paced, team environment
2. Strong work ethic, attention to detail and a desire to deliver an excellent fan experience
3. Excellent written, verbal, and interpersonal skills
...</t>
  </si>
  <si>
    <t>Stagiaire Acheteur Junior Indirect (All Genders)</t>
  </si>
  <si>
    <t>1. En formation à Master 2, Ecole de Commerce ou formation équivalente spécialisée en Achats (MAI, DESMA…)
2. Vous bénéficiez si possible d’une première expérience réussie aux Achats
3. Méthodique et structuré, vous êtes capable de gérer de nombreux projets et appréciez le travail en équipe et en transverse
...</t>
  </si>
  <si>
    <t>Administrative Fellow - 1 Year Fixed Term/Benefit Eligible</t>
  </si>
  <si>
    <t>Stanford Health Care</t>
  </si>
  <si>
    <t>$39.28-$51.07 /h</t>
  </si>
  <si>
    <t>1. Current resume or curriculum vitae
2. Personal statement (1‐2 pages) outlining career objectives and interest in pursuing a fellowship position at Stanford Health Care
3. Three (3) letters of recommendation (faculty recommendation from current Master’s program, professional recommendation)
...</t>
  </si>
  <si>
    <t>Shearer's Foods</t>
  </si>
  <si>
    <t>Bentonville, Arkansas</t>
  </si>
  <si>
    <t>1. Currently enrolled in a 4 year degree program and/or Retail Link Analyst Certification program
2. Reflect Shearer’s core values of Respect, Teamwork &amp; Better Together
3. Driver’s License is required
...</t>
  </si>
  <si>
    <t>Project Assistant Praktikum (m/w/d)</t>
  </si>
  <si>
    <t>€1958-€1958 /mon</t>
  </si>
  <si>
    <t>1. Studierender (m/w/d) der Wirtschaftswissenschaften, Wirtschaftsinformatik oder Wirtschaftsingenieurwesen mit Schwerpunkt Logistik/ Supply Chain Management, Transportmanagement oder Materialwirtschaft
2. Idealerweise erste Erfahrungen im Bereich Spedition, Export- oder Außenwirtschaft
3. Großes Interesse an Change Management und kontinuierlicher Verbesserung (KVP)
...</t>
  </si>
  <si>
    <t>Key Bank Tower</t>
  </si>
  <si>
    <t>Real Estate Office Paid Internships ~ Part Time and Full Time</t>
  </si>
  <si>
    <t>1. Ideal candidate should be at least 17 years old
2. Have reliable transportation
3. Willing to work various working hours</t>
  </si>
  <si>
    <t>NYIC VISTA, Communications &amp; Operations @ I-ARC</t>
  </si>
  <si>
    <t>1. College graduate
2. Skills in Writing/Editing, Computers/Technology, Communications, General Skills, Leadership, Team Work
3. Fluency in English
...</t>
  </si>
  <si>
    <t>Praktikant Business Banking-App – Digital Leadership (w/m/d)</t>
  </si>
  <si>
    <t>MBA Intern - Strategy and Operations</t>
  </si>
  <si>
    <t>Frontera Health</t>
  </si>
  <si>
    <t>1. Candidate enrolled in a reputable MBA program, with a strong academic record.
2. Proven analytical skills with experience in data analysis tools (e.g., Excel, Tableau).
3. Excellent written and verbal communication skills, with the ability to present complex information clearly and concisely.
...</t>
  </si>
  <si>
    <t>College Aide (Project Controls)</t>
  </si>
  <si>
    <t>Safe Observant Seniors (SOS) Administrative Intern [Unpaid]</t>
  </si>
  <si>
    <t>1. Junior or Senior Level Undergraduate student majoring in Social Work/Human Services/Other
2. Intermediate Proficiency in Microsoft Excel</t>
  </si>
  <si>
    <t>Intern - Administrative Support</t>
  </si>
  <si>
    <t>Enlightened</t>
  </si>
  <si>
    <t>1. Seeking Bachelor’s degree in business, Information Technology/related field
2. Strong communication and interpersonal skills
3. Demonstrated analytical background
...</t>
  </si>
  <si>
    <t>Internship: Development</t>
  </si>
  <si>
    <t>Museum of Contemporary Art Chicago</t>
  </si>
  <si>
    <t>Android, Apps</t>
  </si>
  <si>
    <t>1. Current college students and recent graduates ( &lt;1 year ) interested in contemporary art and have a passion for learning more about how museums work
2. Interest in exploring a potential career in the cultural sector
3. Ability to work up to 24 hours per week onsite for the entirety of the internship period
...</t>
  </si>
  <si>
    <t>Admin Asst Inter Healthcare</t>
  </si>
  <si>
    <t>1. Medical terminology through coursework or experience.
2. Associate's degree or an equivalent combination of education and experience is necessary.
3. Minimum of two years of administrative support experience.
...</t>
  </si>
  <si>
    <t>Werkstudent (w/m/d) Strategisches Project Management Office (PMO)</t>
  </si>
  <si>
    <t>1. Studium der Fachrichtung Wirtschaftswissenschaften, BWL, Wirtschaftsingenieurwissenschaften, Wirtschaftsinformatik oder vergleichbar
2. Erfahrung im Projektmanagement von Vorteil
3. Kenntnisse in MS-Office, insbesondere in Excel und PowerPoint
...</t>
  </si>
  <si>
    <t>Département Corporate - Stage janvier/juin 2026</t>
  </si>
  <si>
    <t>1. Étudiant(e) en droit (Master 2, IEJ, Ecole du Barreau…), en Ecole de Commerce
2. Avoir de préférence déjà effectué un stage en cabinet
3. Très bon niveau d’anglais
...</t>
  </si>
  <si>
    <t>Apprentice - Project Coordinator</t>
  </si>
  <si>
    <t>Sunrise Community Health</t>
  </si>
  <si>
    <t>Dental, Health Care</t>
  </si>
  <si>
    <t>Evans, CO</t>
  </si>
  <si>
    <t>1. High School Junior or High School Senior
2. Current immunizations including Influenza (Flu) and Tdap Vaccines
3. Completion of 144 hours of employer-selected training courses
...</t>
  </si>
  <si>
    <t>Praktikant für Digitalisierungsprojekt (w/m/d)</t>
  </si>
  <si>
    <t>1. Immatrikuliert im Bachelor / Master in Immobilienwirtschaft, Wirtschafts-, Kommunikations- / Medienwissenschaften / Wirtschaftsinformatik o. Ä. oder im Gap Year zwischen Bachelor- und Master-Studium
2. Organisationstalent, selbstständige Arbeitsweise und Spaß an Teamwork
3. Fit in MS Office, insbesondere PowerPoint und Excel
...</t>
  </si>
  <si>
    <t>Accelerated Leadership Development Program - Purchasing Path</t>
  </si>
  <si>
    <t>1. Bachelor’s Degree in Engineering-related field
2. 3.0 minimum GPA
3. At least two rotations of co-ops or internships
...</t>
  </si>
  <si>
    <t>PGA Golf Management Intern</t>
  </si>
  <si>
    <t>The Los Angeles Country Club</t>
  </si>
  <si>
    <t>1. Must be able to read, write, and communicate effectively
2. Ability to work harmoniously with patrons and fellow employees
3. Ability learn and enforce course policies, rules and regulations
...</t>
  </si>
  <si>
    <t>Smurfit Kappa</t>
  </si>
  <si>
    <t>1. 3.0 GPA or higher
2. Pursuing a Bachelor's or Master's degree program at a university
3. Juniors and Sophomores Only
...</t>
  </si>
  <si>
    <t>Intern - Golf Operations</t>
  </si>
  <si>
    <t>Reynolds Lake Oconee</t>
  </si>
  <si>
    <t>Greensboro, GA</t>
  </si>
  <si>
    <t>$12-$Variable (commission, lessons, etc.) /h</t>
  </si>
  <si>
    <t>1. Candidates pursuing a PGA Golf Management or Sports Management degree</t>
  </si>
  <si>
    <t>Steel Partners Holdings L.P.</t>
  </si>
  <si>
    <t>Administrative Intern (Temporary) | Administration | Ames | 2024-122</t>
  </si>
  <si>
    <t>McFarland Clinic PC</t>
  </si>
  <si>
    <t>1. Currently enrolled at a College or University
2. Primary major in healthcare management or business management</t>
  </si>
  <si>
    <t>Pearl, MS</t>
  </si>
  <si>
    <t>Part-time Office Admin</t>
  </si>
  <si>
    <t>UPshow</t>
  </si>
  <si>
    <t>Digital Signage, Marketing</t>
  </si>
  <si>
    <t>1. Bachelor's degree in business administration, or a related field
2. Multi-tasking and time-management skills, with the ability to prioritize tasks
3. Must be available to come to our Chicago office every Tuesday between the hours of 9 am - 5 pm
...</t>
  </si>
  <si>
    <t>1. Must be a current Troy University graduate student</t>
  </si>
  <si>
    <t>Operations Administrative Assistant</t>
  </si>
  <si>
    <t>1. Must be a current, enrolled undergraduate student at the University of Utah.
2. Applicants must demonstrate the potential ability to perform the essential functions of the job as outlined in the position description.</t>
  </si>
  <si>
    <t>Paid On-Site Internship (Property Management Industry)</t>
  </si>
  <si>
    <t>American Landmark Apartments</t>
  </si>
  <si>
    <t>1. Must have an interest in the property management business
2. Exceptional communication, organizational and time management skills
3. Strong interpersonal skills with a team focus
...</t>
  </si>
  <si>
    <t>Temporary Turn Associate - Office (66724)</t>
  </si>
  <si>
    <t>1. Must be a current Troy University graduate student.
2. Must have and maintain a GPA of 3.0 or higher.
3. Must have an understanding of strict confidentiality.
...</t>
  </si>
  <si>
    <t>Auszubildende(r) Office Management (m/w/d)</t>
  </si>
  <si>
    <t>Leaseweb</t>
  </si>
  <si>
    <t>IaaS, Information Technology</t>
  </si>
  <si>
    <t>1. Abschluss der Mittleren Reife oder (Fach-)Abitur, QuereinsteigerInnen sind ebenfalls willkommen
2. Freundlichkeit und Serviceorientierung
3. „Hands-on“-Mentalität
...</t>
  </si>
  <si>
    <t>La Crosse, Wisconsin</t>
  </si>
  <si>
    <t>Writing Department Office Operations Assistant</t>
  </si>
  <si>
    <t>Ithaca College</t>
  </si>
  <si>
    <t>1. Student office assistant for the 2024-2025 academic year
2. Assist the Administrative Assistant, the Department Chair, and faculty
3. Work on spreadsheets, mailings, design posters, post advertisements for events, copy, scan, and other duties as directed
...</t>
  </si>
  <si>
    <t>Business/Project Development Intern (Fall 2024)</t>
  </si>
  <si>
    <t>1. High School diploma or GED and currently pursuing an undergraduate or graduate degree at an accredited college or university
2. Must be able to work full time for a minimum of 12 consecutive weeks
3. Must pass background check with results satisfactory to The Boring Company
...</t>
  </si>
  <si>
    <t>FWS: Project Assistants</t>
  </si>
  <si>
    <t>Saybrook University</t>
  </si>
  <si>
    <t>1. Excellent writing skills.
2. Excellent communication skills.
3. Knowledge of the Canvas system.
...</t>
  </si>
  <si>
    <t>Plover, WI</t>
  </si>
  <si>
    <t>Executive Administrative Assistant to the Assistant Superintendent for Student Services</t>
  </si>
  <si>
    <t>Concord School District</t>
  </si>
  <si>
    <t>1. Strong background and knowledge of the Special Education Process
2. Experience in administrative support roles
3. Ability to maintain a professional approach
...</t>
  </si>
  <si>
    <t>Business and Technology Transformation - INTERNSHIP - Milano - [CNS]</t>
  </si>
  <si>
    <t>1. Master's Degree in Management Engineering, Economics or other scientific fields.
2. Solid communication and negotiation skills and problem-solving attitude.
3. Strong entrepreneurship, proactive, can-do mindset.
...</t>
  </si>
  <si>
    <t>Program Assistant - Trenton, NJ (Onsite)</t>
  </si>
  <si>
    <t>Biogensys</t>
  </si>
  <si>
    <t>$25.05-$25.05 /h</t>
  </si>
  <si>
    <t>1. Knowledge of the administration of community development grant programs: Neighbourhood Revitalization Tax Credit (NRTC), Neighbourhood Preservation (NPP), and Community Development Block Grant (CDBG)
2. Report Compilation skills (e.g., Collect, analyze, organize, and compile data and images for program reports)
3. File Management skills (e.g., Organize and update existing SharePoint files, create new files and folders)
...</t>
  </si>
  <si>
    <t>Internship Operations Transformation | Milano [CNS]</t>
  </si>
  <si>
    <t>1. Laurea in Ingegneria Gestionale o Economia e Management
2. Fluent in English
3. Precedente esperienza nel settore (preferenziale)
...</t>
  </si>
  <si>
    <t>Administration internship in a boat rental company in Malaga, Spain</t>
  </si>
  <si>
    <t>1. Education – current students looking to attain a bachelor’s degree or associate degree in business, finance, accounting, or a related field
2. Strong interpersonal skills
3. Organized and dependable
...</t>
  </si>
  <si>
    <t>Internship Office Management - Academic Year 2024 - 2025</t>
  </si>
  <si>
    <t>Brussels</t>
  </si>
  <si>
    <t>1. Preferably pursuing a degree in Office Management (open to master students as well)
2. Enthusiastic, motivated, and a real team player with a passion for people
3. Good organisational skills and a hands-on mentality
...</t>
  </si>
  <si>
    <t>Project Management Fall Co-op</t>
  </si>
  <si>
    <t>CA | ON | Remote</t>
  </si>
  <si>
    <t>1. Currently pursuing a Bachelor’s degree with an expectation that the degree will be obtained by July 2027 or earlier
2. Must be enrolled in a Canadian college/university during the course of the co-op/ internship
3. Pursuing a degree in Business, Finance, Industrial Engineering, Project Management or similar field</t>
  </si>
  <si>
    <t>Werkstudent (m/w/d) Projektmanagement Real Estate</t>
  </si>
  <si>
    <t>Kiel</t>
  </si>
  <si>
    <t>1. Studium der Fachrichtung Wirtschaftswissenschaften, BWL, Immobilienmanagement oder vergleichbar
2. Erfahrung im Projektmanagement von Vorteil
3. Kenntnisse in MS-Office, insbesondere in Excel und PowerPoint
...</t>
  </si>
  <si>
    <t>Administrative Assistant (Student Worker Only) - California Institute of Integral Studies</t>
  </si>
  <si>
    <t>1. Demonstrated ability with public services or customer service (working with people; desire to help yet comfortable with setting boundaries)
2. Precision and attention to detail; ability to follow directions closely
3. Familiarity with computers and comfort with learning computerized systems
...</t>
  </si>
  <si>
    <t>Field Services Intern-Contract Management</t>
  </si>
  <si>
    <t>Pillar Innovations</t>
  </si>
  <si>
    <t>Grantsville, MD</t>
  </si>
  <si>
    <t>1. Must be pursuing a Bachelor’s Degree in Construction Management, Accounting, Business Management, or related disciplines
2. Possess some background in Accounting principles
3. Proficient in Microsoft Office Suite
...</t>
  </si>
  <si>
    <t>Operations Management Intern Program</t>
  </si>
  <si>
    <t>US | OH | Stow | 4550 Darrow Rd</t>
  </si>
  <si>
    <t>1. Currently pursuing a Bachelor's degree
2. Must be enrolled in a local (Stow, Ohio) community college in fall semester
3. Graduation date between December 2024-June 2025
...</t>
  </si>
  <si>
    <t>Internal -Collections Representative I -S1</t>
  </si>
  <si>
    <t>Credit One Bank</t>
  </si>
  <si>
    <t>Analytics, Credit Cards</t>
  </si>
  <si>
    <t>Customer Service</t>
  </si>
  <si>
    <t>1. High School diploma or equivalent required.
2. 6-18 months Collections experience required.
3. Significant focus on team as well as individual achievement.
...</t>
  </si>
  <si>
    <t>Courtesy Clerk (Bagger) - Student</t>
  </si>
  <si>
    <t>KVAT Food Stores Inc.</t>
  </si>
  <si>
    <t>1. Provide efficient and courteous service to customers at all times.
2. Follow the proper procedures of packaging a customer’s order and adhere to the company’s policies outlined in the bagging manual.
3. Fill bag racks.
...</t>
  </si>
  <si>
    <t>Resident Medication Assistant</t>
  </si>
  <si>
    <t>Peregrine Senior Living at Clifton Park</t>
  </si>
  <si>
    <t>Clifton Park Center, NY</t>
  </si>
  <si>
    <t>1. High School Diploma or General Education Degree (GED)
2. Two (2) years of resident care experience and/or training required
3. Successfully Complete All Trainings As Required By State Regulations</t>
  </si>
  <si>
    <t>Harlan, KY</t>
  </si>
  <si>
    <t>Gray, TN</t>
  </si>
  <si>
    <t>Owens Crossroads, AL</t>
  </si>
  <si>
    <t>East Ridge, TN</t>
  </si>
  <si>
    <t>Student Worker</t>
  </si>
  <si>
    <t>Santa Barbara County Education Office</t>
  </si>
  <si>
    <t>1. Possession of a high school diploma or equivalent.
2. Must be able to show evidence of continual college enrollment throughout the school year.
3. Have experience with computer data systems, ie., Google Suite.</t>
  </si>
  <si>
    <t>IT Intern - Albany, NY</t>
  </si>
  <si>
    <t>IT Support</t>
  </si>
  <si>
    <t>1. Enrollment or study in Information Technology, or past experience support IT teams
2. Be familiar with common PC and Mac hardware and software packages
3. Excellent interpersonal skills and professional demeanor
...</t>
  </si>
  <si>
    <t>(USA) Pharmacy Pre-Grad Intern - WM</t>
  </si>
  <si>
    <t>Manchester, IA</t>
  </si>
  <si>
    <t>1. Enrolled in an accredited Pharmacy school</t>
  </si>
  <si>
    <t>Searcy, AR</t>
  </si>
  <si>
    <t>International Intern - BOH</t>
  </si>
  <si>
    <t>White Lodging</t>
  </si>
  <si>
    <t>1. strong communication skills
2. a passion for customer service
3. the ability to be flexible and adapt to any situation
...</t>
  </si>
  <si>
    <t>IT Helpdesk Assistant l</t>
  </si>
  <si>
    <t>Red Rocks Community College, Denver</t>
  </si>
  <si>
    <t>$16.66-$16.91 /h</t>
  </si>
  <si>
    <t>1. Must be an RRCC student and have been granted a work study award for the semester the student is seeking employment and maintain eligibility.
2. Must be enrolled in at least half-time (6 credit hours) and meet Satisfactory Academic Progress for all credit hours.
3. Good written and verbal communication skills.
...</t>
  </si>
  <si>
    <t>Surg Tech Apprentice - CST Students</t>
  </si>
  <si>
    <t>CHS (Community Health Systems)</t>
  </si>
  <si>
    <t>Technical Support</t>
  </si>
  <si>
    <t>1. MUST BE ENROLLED IN A SURGICAL TECHNOLOGIST PROGRAM TO BE ELIGIBLE TO APPLY
2. Minimum of a high school diploma or its equivalent (GED)
3. Currently, first- or second-year student in the Surgical Technology Program
...</t>
  </si>
  <si>
    <t>Co-Op IT</t>
  </si>
  <si>
    <t>1. Currently pursuing a Bachelor’s Degree in Computer Science/Information Technology or equivalent with interest in programming
2. Sophomore or higher class status
3. Ability to effectively communicate with others at all levels of the Company both verbally and in writing. Demonstrates a courteous, tactful and professional approach with employees and others.
...</t>
  </si>
  <si>
    <t>Intern: Uptime Support Client Services (Fall 2024)</t>
  </si>
  <si>
    <t>Mack Trucks</t>
  </si>
  <si>
    <t>Construction, Logistics</t>
  </si>
  <si>
    <t>1. Currently enrolled and pursuing a degree in a business field.
2. Ideally have completed 30 semester hours of undergraduate studies prior to the start of the internship.
3. Minimum cumulative grade point average of 2.75.
...</t>
  </si>
  <si>
    <t>Sales Support Intern</t>
  </si>
  <si>
    <t>JobBridge</t>
  </si>
  <si>
    <t>1. A student attending either a college university or trade school, in pursuit of a relevant degree with interest in business, sales, service, operations, or a related field
2. May be a college/trade school student at any level (you may be a sophomore, junior, or senior level)</t>
  </si>
  <si>
    <t>Office Mail Clerk</t>
  </si>
  <si>
    <t>Primedia Network</t>
  </si>
  <si>
    <t>Advertising, Media and Entertainment</t>
  </si>
  <si>
    <t>1. Ability to handle direct mail campaigns including stuffing, stamping, and labeling of envelopes.
2. Availability to work 10-20 hours a week in the office.
3. Willingness to take a typing test and computer literacy test.
...</t>
  </si>
  <si>
    <t>Front of House Apprentice</t>
  </si>
  <si>
    <t>Blue Hill At Stone Barns</t>
  </si>
  <si>
    <t>Tarrytown, NY</t>
  </si>
  <si>
    <t>1. Flexible schedule, including availability on evenings and weekends
2. Prioritizes a guest-orientated approach
3. Works well in a team
...</t>
  </si>
  <si>
    <t>Retail Pharmacy Intern</t>
  </si>
  <si>
    <t>Hy-Vee</t>
  </si>
  <si>
    <t>Organic Food</t>
  </si>
  <si>
    <t>Marion, IA</t>
  </si>
  <si>
    <t>1. Six months or less of similar or related work experience.
2. Enrolled in accredited college of pharmacy and registered with State Pharmacy Board as an intern.
3. Must have the ability to do logical or scientific thinking to solve problems; several abstract and concrete variables.
...</t>
  </si>
  <si>
    <t>College Intern (Information Technology)</t>
  </si>
  <si>
    <t>Public Utilities Commission of Ohio</t>
  </si>
  <si>
    <t>$17.98-$24 /h</t>
  </si>
  <si>
    <t>1. Must be age 18 years or older
2. Currently enrolled in a college or university program in good academic standing</t>
  </si>
  <si>
    <t>Methuen, MA</t>
  </si>
  <si>
    <t>Technical Support Engineer Intern</t>
  </si>
  <si>
    <t>1. Currently enrolled in a Bachelor’s degree program, majoring in Computer Science, Mathematics, or similar
2. Some SQL Knowledge
3. Knowledge of Microsoft 365 products (Word, Outlook, etc.)</t>
  </si>
  <si>
    <t>Data Entry Intern</t>
  </si>
  <si>
    <t>1. High school diploma or equivalent
2. Ability to work ~15-28 hours per week over the course of 3 to 6 months with the opportunity to continue based on performance
3. Quick learner with high attention to detail
...</t>
  </si>
  <si>
    <t>Surg Tech Weekends - Premium Pay!</t>
  </si>
  <si>
    <t>1. Must be a graduate of an accredited surgical technology program and NBSTA certified.
2. A minimum of a high school diploma or its equivalent (GED).
3. Graduate of an accredited surgical technology program or completed a surgical technology program provided by the United States Army, Navy, Air Force, Marine Corps, or Coast Guard or the commissioned corps of the United States Public Health Service.
...</t>
  </si>
  <si>
    <t>Trainee - Culinary J1-Cobalt Restaurant &amp; Lounge</t>
  </si>
  <si>
    <t>Kimpton Hotel &amp; Restaurant Group</t>
  </si>
  <si>
    <t>1. Participation in the J1 trainee outreach, recruitment, and placement program at IHG Hotels &amp; Resorts
2. Ability to work in various areas of the Culinary team
3. Provide excellent guest experience in an attentive, courteous, and efficient manner
...</t>
  </si>
  <si>
    <t>2025-2026 Cardiothoracic Imaging Fellow</t>
  </si>
  <si>
    <t>Dyersburg, TN</t>
  </si>
  <si>
    <t>$14-$27 /h</t>
  </si>
  <si>
    <t>Technical Support Expert – New Graduates</t>
  </si>
  <si>
    <t>Kaseya</t>
  </si>
  <si>
    <t>Cyber Security, Enterprise</t>
  </si>
  <si>
    <t>1. Graduating December 2023 with your Associates or bachelor’s degree in business administration, Information Technology preferred, or equivalent experience.
2. Previous internship experience or 1 year of technical support work experience
3. Driven by learning new things and the ability to thrive in an environment filled with learning new technologies including virtualization, cloud computing, ZFS file systems, Linux command line and more.
...</t>
  </si>
  <si>
    <t>Radiologic Tech Student</t>
  </si>
  <si>
    <t>Baylor Scott &amp; White Health</t>
  </si>
  <si>
    <t>1. H.S. Diploma/GED Equivalent
2. Less than 1 Year of Experience</t>
  </si>
  <si>
    <t>Culinary J1 Intern-Red Owl Tavern</t>
  </si>
  <si>
    <t>1. 1 year of previous experience in restaurant and/or culinary experience in a high volume, full service restaurant is preferred.
2. Time management and organizational ability required for high quality food production.
3. Ability to work with minimal direction or supervision to complete assigned tasks.
...</t>
  </si>
  <si>
    <t>Aushilfe im Verkauf Minijob (m/w/d)</t>
  </si>
  <si>
    <t>Lidl</t>
  </si>
  <si>
    <t>Commercial, E-Commerce</t>
  </si>
  <si>
    <t>Greater Flensburg Area</t>
  </si>
  <si>
    <t>€14-€14 /h</t>
  </si>
  <si>
    <t>1. Lust auf die dynamische Welt des Handels, gerne auch als Quereinsteiger
2. Schnelle und effiziente Arbeitsweise
3. Teamgeist, Freundlichkeit und Spaß am Umgang mit Menschen
...</t>
  </si>
  <si>
    <t>Student Intern, Help Desk Support *Remote*</t>
  </si>
  <si>
    <t>$15.95-$21.14 /h</t>
  </si>
  <si>
    <t>1. Acceptance to or current enrollment in a minimum 2-year degree program
2. Pursuing a technology related degree or equivalent
3. No actual work experience in an IS environment is required</t>
  </si>
  <si>
    <t>Radiologic Tech Student, PRN</t>
  </si>
  <si>
    <t>Piedmont Healthcare</t>
  </si>
  <si>
    <t>Stockbridge, GA</t>
  </si>
  <si>
    <t>1. Currently enrolled as a 2nd year student in an accredited radiological technology program.
2. BLS certified.</t>
  </si>
  <si>
    <t>Student Intern, Help Desk Support</t>
  </si>
  <si>
    <t>Part-Time Mystery Shopper</t>
  </si>
  <si>
    <t>Ascension Health</t>
  </si>
  <si>
    <t>Charity, Health Care</t>
  </si>
  <si>
    <t>1. BLS Provider obtained within 1 Month (30 days) of hire date or job transfer date required. American Heart Association or American Red Cross accepted.
2. High school diploma equivalency OR Enrolled in accredited program specific to discipline required.</t>
  </si>
  <si>
    <t>Intern-Imaging</t>
  </si>
  <si>
    <t>Confiential</t>
  </si>
  <si>
    <t>Brentwood, TN, USA</t>
  </si>
  <si>
    <t>1. Willingness to grow within the organization and obtain an insurance license
2. Proficiency in Microsoft 365
3. Excellent customer service and interpersonal skills</t>
  </si>
  <si>
    <t>Internal Only- Clinic Admissions Associate ABC Academy</t>
  </si>
  <si>
    <t>Action Behavior Centers</t>
  </si>
  <si>
    <t>$40000-$45000 /yr</t>
  </si>
  <si>
    <t>1. Experience in administrative work, customer service, client relations, or related areas.
2. A passion for work that benefits children with Autism Spectrum Disorder and their families.
3. A positive and contagious attitude that shows your readiness to engage with our families.
...</t>
  </si>
  <si>
    <t>Pharmacy Pre-Grad Intern - WM</t>
  </si>
  <si>
    <t>Student IT Support Assistant</t>
  </si>
  <si>
    <t>1. KU student, meeting six-hour minimum enrollment requirement during the academic year.
2. Good communication skills, as evidenced by application material.
3. Experience with computers and peripheral equipment, as evidenced by application materials.
...</t>
  </si>
  <si>
    <t>Research Support Operations Student Co-Op-Spring 2025-ICL</t>
  </si>
  <si>
    <t>1. Must have strong interpersonal and communications skills.
2. Experience with computer operation and basic client PC troubleshooting in a Microsoft environment.
3. Familiarity with office applications including MS Word, Excel, and Powerpoint.
...</t>
  </si>
  <si>
    <t>Co-Op Information Technology</t>
  </si>
  <si>
    <t>Three Rivers, MI</t>
  </si>
  <si>
    <t>1. Must be pursuing technology related degree at an accredited college/ university.
2. Willing to work and multitask in the IT environment.
3. Minimum GPA 3.0 or above required.
...</t>
  </si>
  <si>
    <t>1. Candidates should currently be enrolled in an IT related program.
2. Experience with hardware setup and repair.
3. Experience with software installation and support.
...</t>
  </si>
  <si>
    <t>Customer Service Representative - Greeter - Philadelphia International Airport</t>
  </si>
  <si>
    <t>National Car Rental</t>
  </si>
  <si>
    <t>Leisure, Rental</t>
  </si>
  <si>
    <t>1. Must be at least 18 years of age.
2. Must have a minimum of 2 years of retail customer service experience.
3. Must have a valid driver's license.
...</t>
  </si>
  <si>
    <t>Technical Support Intern - Virtual Tech Assistant</t>
  </si>
  <si>
    <t>Gao Tek</t>
  </si>
  <si>
    <t>1. Pursuing or possess a university degree in engineering, computer science, or related fields.
2. Strong willingness to learn, work diligently, and commit to the role.
3. Ability to dedicate a minimum of 20-25 hours per week.
...</t>
  </si>
  <si>
    <t>Temple, TX</t>
  </si>
  <si>
    <t>1. Applicants must be in 2nd year of accredited radiologic technologist program.
2. EDUCATION - H.S. Diploma/GED Equivalent
3. EXPERIENCE - Less than 1 Year of Experience
...</t>
  </si>
  <si>
    <t>Praktikant (m/w/d) Client Services KYC</t>
  </si>
  <si>
    <t>Hauck Aufhaeuser Lamp Private Bank</t>
  </si>
  <si>
    <t>Lampe, MO</t>
  </si>
  <si>
    <t>1. Du absolvierst derzeit ein Studium mit einem wirtschaftswissenschaftlichen Schwerpunkt
2. Du verfügst über eine hohe Affinität an Finanzthemen
3. Du arbeitest zielorientiert, sorgfältig und strukturiert, bist lernbereit, belastbar, zuverlässig und verfügst über eine ausgeprägte Kommunikationsfähigkeit
...</t>
  </si>
  <si>
    <t>Help Desk Intern</t>
  </si>
  <si>
    <t>Dayton Freight Lines</t>
  </si>
  <si>
    <t>1. Experience with IT fundamentals such as computer hardware troubleshooting and computer network knowledge
2. Ability to work in both a team environment and independently
3. Time Management
...</t>
  </si>
  <si>
    <t>Internal - Collections Representative 1</t>
  </si>
  <si>
    <t>Manhattan Pain Fellowship</t>
  </si>
  <si>
    <t>Manhattan Restorative Health Sciences</t>
  </si>
  <si>
    <t>1. PMR, Anesthesiology, Neurology, or Psychiatry resident
2. Candidates must be BC/BE in their primary specialty and be prepared to sit for the American Board of Pain Medicine exam
3. Must be willing to travel to some satellite offices, therefore, a car is helpful
...</t>
  </si>
  <si>
    <t>Intern - Technical Writer</t>
  </si>
  <si>
    <t>ProMed Molded Products</t>
  </si>
  <si>
    <t>1. High school diploma or General Education Diploma
2. College level coursework
3. Working knowledge of Microsoft Word, Excel, Outlook, and other similar computer software
...</t>
  </si>
  <si>
    <t>Pharmacy Pre-Grad Intern - WM 1228</t>
  </si>
  <si>
    <t>$15-$27 /h</t>
  </si>
  <si>
    <t>Med Tech Student - 4th Year</t>
  </si>
  <si>
    <t>BJC HealthCare</t>
  </si>
  <si>
    <t>1. High School Diploma or GED
2. 2-5 years of experience</t>
  </si>
  <si>
    <t>Student Worker, Administrative Services</t>
  </si>
  <si>
    <t>ABF Freight</t>
  </si>
  <si>
    <t>1. Currently pursuing a college degree.
2. Proficient in Microsoft Office Suite.</t>
  </si>
  <si>
    <t>Customer Service Intern</t>
  </si>
  <si>
    <t>WorkatHome-JobBoard</t>
  </si>
  <si>
    <t>1. Enrolled in final year of a Bachelor's degree program.
2. Proven customer service experience.
3. Demonstrates the ability to collaborate with team members and clients every day.
...</t>
  </si>
  <si>
    <t>IT Intern (Co-Op)</t>
  </si>
  <si>
    <t>Simon Roofing</t>
  </si>
  <si>
    <t>1. College diploma or university degree in the field of computer science, information systems, or software engineering, and/or 2+ years equivalent work experience.
2. Evaluate, document, trouble shoot, and resolve daily interruptions of service provided by the Information Technology Dept.
3. Establish an effective interpersonal skill set to support daily business systems work flow.
...</t>
  </si>
  <si>
    <t>Nichols Career Center</t>
  </si>
  <si>
    <t>1. Good oral and written communication skills
2. Customer service experience
3. Hardware troubleshooting skills
...</t>
  </si>
  <si>
    <t>Erwin, NC</t>
  </si>
  <si>
    <t>Yacht Ownership Administrator</t>
  </si>
  <si>
    <t>Praxis</t>
  </si>
  <si>
    <t>1. Enthusiastic to learn a number of new skills
2. Willing to listen and continuously improve themselves
3. Provide administrative support on all aspects of day-to-day yacht administration
...</t>
  </si>
  <si>
    <t>Student Assistant- Gift Shop</t>
  </si>
  <si>
    <t>1. Currently enrolled as a student.</t>
  </si>
  <si>
    <t>Self-Help - Pirate Techs - Service Desk Technical Supports</t>
  </si>
  <si>
    <t>1. Assist faculty, staff, students, retirees, alumni, and other ECU clients both over the phone and email.
2. Assist clients with technology related issues such as setting up email on computers and smart phones.
3. Connect devices to Wi-Fi.
...</t>
  </si>
  <si>
    <t>Galax, VA</t>
  </si>
  <si>
    <t>Marion, VA</t>
  </si>
  <si>
    <t>Rossville, GA</t>
  </si>
  <si>
    <t>Blountville, TN</t>
  </si>
  <si>
    <t>Elizabethton, TN</t>
  </si>
  <si>
    <t>Tazewell, TN</t>
  </si>
  <si>
    <t>Clinton, TN</t>
  </si>
  <si>
    <t>Middlesboro, KY</t>
  </si>
  <si>
    <t>Gadsden, AL</t>
  </si>
  <si>
    <t>Kingston, TN</t>
  </si>
  <si>
    <t>Clintwood, VA</t>
  </si>
  <si>
    <t>Intern-PhD</t>
  </si>
  <si>
    <t>MUSC Children's Health</t>
  </si>
  <si>
    <t>1. Must be enrolled in MUSC College of Pharmacy
2. Must hold Student Intern Certificate
3. Must hold a South Carolina Intern Certificate
...</t>
  </si>
  <si>
    <t>1. Provide individual and class room training on the Prevision software application
2. Provide training on the AirWatch Mobile Device Management software application used on all tablets
3. Provide training on the use of Bluetooth and other applications used on mobile devices supporting Android and iPhone
...</t>
  </si>
  <si>
    <t>Summer 2024 Interns Only – Return Internship for Summer 2025</t>
  </si>
  <si>
    <t>$11-$55 /h</t>
  </si>
  <si>
    <t>1. Interned at The Home Depot for any area except Cybersecurity and Software Engineering during the Summer of 2024</t>
  </si>
  <si>
    <t>Summer 2024 Interns Only – Intern to IT Apprenticeship Extension Associate</t>
  </si>
  <si>
    <t>1. Must have interned at The Home Depot during the Summer of 2024
2. Must have been part of the Orange Method Orange Works (OMOW) program
3. Intended for OMOW Interns considering an IT Apprenticeship extension role</t>
  </si>
  <si>
    <t>1. Interned at The Home Depot in Cybersecurity or Software Engineering during Summer 2024</t>
  </si>
  <si>
    <t>IT Intern - Fall Semester</t>
  </si>
  <si>
    <t>PHL17</t>
  </si>
  <si>
    <t>1. Must be able to provide your own transportation.
2. Candidates must be able to work 15-20 hours per work for a total of 180 hours for the program.
3. Must be enrolled in an accredited IT program at a college, university, or technical school.
...</t>
  </si>
  <si>
    <t>Internal Only -Clinic Admissions Associate</t>
  </si>
  <si>
    <t>Saginaw, TX</t>
  </si>
  <si>
    <t>INTERNAL POSTING - Communications Specialist III</t>
  </si>
  <si>
    <t>Lexington County, SC</t>
  </si>
  <si>
    <t>1. A high school diploma
2. Six (6) months of experience in radio or teletype dispatching
3. Must obtain NCIC certification in accordance with NCIC policy</t>
  </si>
  <si>
    <t>Surgical Technology Extern</t>
  </si>
  <si>
    <t>Novant Health</t>
  </si>
  <si>
    <t>1. High School Diploma or equivalent required.
2. Applicant currently enrolled in a Surgical Technology Program.
3. Has successfully completed all clinical training as defined by the Surgical Technology Program.
...</t>
  </si>
  <si>
    <t>IT Workforce Management Intern – Fall 2024</t>
  </si>
  <si>
    <t>1. Self-Motivated
2. High Organizational Skills
3. Effective Communicator and Writer
...</t>
  </si>
  <si>
    <t>(USA) Pharmacy Pre-Grad Intern - WM - Glenmont, NY</t>
  </si>
  <si>
    <t>Glenmont, NY</t>
  </si>
  <si>
    <t>Audio Visual Intern</t>
  </si>
  <si>
    <t>Jackson Healthcare LLC</t>
  </si>
  <si>
    <t>1. High school diploma or equivalent
2. Familiarity with Microsoft Teams and Zoom
3. Understanding of Basic AV functionality (Cameras, Mics, TVs, Projectors, additional hardware and software)
...</t>
  </si>
  <si>
    <t>Global Technology Solutions Internship (Remote &amp; Hybrid)</t>
  </si>
  <si>
    <t>1. Bachelor's degree must be in progress or completed for this internship, and applicants need to have completed at least two years of undergraduate study.
2. College students, recent graduates and graduate students with background in Information Technology or software development are preferred
3. Eager commitment to IJM's Core Values: Christian, Professional and Bridge-Building
...</t>
  </si>
  <si>
    <t>Canal Winchester, OH</t>
  </si>
  <si>
    <t>Part-Time Lions Gate Front Desk Assistant - Federal Work Study - Residence Life Abington</t>
  </si>
  <si>
    <t>Abington, PA</t>
  </si>
  <si>
    <t>1. Current Penn State employee or student, or external applicant as per application instructions.
2. Must model appropriate behavior and maintain good academic and student conduct status with the University.
3. Providing outstanding customer services including answering phones and routing calls and messages.
...</t>
  </si>
  <si>
    <t>IT Internship - Fully On-Site</t>
  </si>
  <si>
    <t>iVenture Solutions</t>
  </si>
  <si>
    <t>1. Knowledge of Microsoft Office suites
2. Able to effectively use computing devices and peripherals including PCs, Laptops, Mobile Devices, and Printers
3. Basic software installation and Microsoft Windows workstation updates
...</t>
  </si>
  <si>
    <t>Harborcreek, PA</t>
  </si>
  <si>
    <t>IT Fall Internship</t>
  </si>
  <si>
    <t>Trinity Health</t>
  </si>
  <si>
    <t>Delivery, Health Care</t>
  </si>
  <si>
    <t>1. Seeking an intern to assist in all aspects of IT business operations.
2. A qualified applicant will be a high performing university student, majoring in Business Management, Finance/Accounting, Computer Science or Health Administration. Other majors will be considered, as well.
3. Must be proficient with Windows and Microsoft Office Suite including Word, Excel, and Powerpoint.
...</t>
  </si>
  <si>
    <t>Eagle Outlet/CPO Student Employee – Fall 2024</t>
  </si>
  <si>
    <t>Asbury University</t>
  </si>
  <si>
    <t>Wilmore, KY</t>
  </si>
  <si>
    <t>1. Operate cash register and provide customer service.
2. Stocking merchandise.
3. Cleaning &amp; straighten shelves and merchandise.
...</t>
  </si>
  <si>
    <t>QMA - Qualified Medication Assistant</t>
  </si>
  <si>
    <t>Lowell, IN</t>
  </si>
  <si>
    <t>1. Certified License for QMA (Qualified Medication Aide) or CMA (Certified Medication Aide)
2. High School Diploma or equivalent</t>
  </si>
  <si>
    <t>QMA- Cert Resident Medication Asst</t>
  </si>
  <si>
    <t>Monticello, IN</t>
  </si>
  <si>
    <t>DOCUMENTATION INTERN</t>
  </si>
  <si>
    <t>Vsolvit</t>
  </si>
  <si>
    <t>CRM, Government</t>
  </si>
  <si>
    <t>1. Minimum high school graduate or equivalent.
2. Excellent written and verbal communication skills.
3. Strong attention to detail and ability to maintain accuracy while working on multiple tasks.
...</t>
  </si>
  <si>
    <t>Hazard, KY</t>
  </si>
  <si>
    <t>Pigeon Forge, TN</t>
  </si>
  <si>
    <t>Harriman, TN</t>
  </si>
  <si>
    <t>Winchester, TN</t>
  </si>
  <si>
    <t>Fort Oglethorpe, GA</t>
  </si>
  <si>
    <t>Jonesborough, TN</t>
  </si>
  <si>
    <t>Loudon, TN</t>
  </si>
  <si>
    <t>St Paul, VA</t>
  </si>
  <si>
    <t>Chatsworth, GA</t>
  </si>
  <si>
    <t>Gatlinburg, TN</t>
  </si>
  <si>
    <t>Vonore, TN</t>
  </si>
  <si>
    <t>Etowah, TN</t>
  </si>
  <si>
    <t>Pennington Gap, VA</t>
  </si>
  <si>
    <t>Church Hill, TN</t>
  </si>
  <si>
    <t>Damascus, VA</t>
  </si>
  <si>
    <t>Cookeville, TN</t>
  </si>
  <si>
    <t>Pikeville, KY</t>
  </si>
  <si>
    <t>Weber City, VA</t>
  </si>
  <si>
    <t>Lenoir City, TN</t>
  </si>
  <si>
    <t>Athens, TN</t>
  </si>
  <si>
    <t>California Franchise Tax Board</t>
  </si>
  <si>
    <t>$3075-$4144 /mon</t>
  </si>
  <si>
    <t>1. Ability to demonstrate effective critical thinking and analytical skills
2. Ability to effectively collaborate with others and work as a team
3. Resourceful with excellent time management skills
...</t>
  </si>
  <si>
    <t>2025 Boston Red Sox Florida Season Ticket &amp; Group Services Associate</t>
  </si>
  <si>
    <t>QMA - Cert Resident Medication Asst.</t>
  </si>
  <si>
    <t>Wabash, IN</t>
  </si>
  <si>
    <t>Mammography Imaging Intern - FT - Days - MHW</t>
  </si>
  <si>
    <t>Memorial Regional Hospital</t>
  </si>
  <si>
    <t>West Memorial, TX</t>
  </si>
  <si>
    <t>1. Accredited Program: Radiology (Required)
2. ARRT_American Registry of Radiology Tech (ARRT) - American Registry of Radiologic Technologists (ARRT)
3. BLS American Heart E-Card (BLS AHA ECARD) - American Heart Association (AMERICAN HEART)
...</t>
  </si>
  <si>
    <t>IT Operations Internship</t>
  </si>
  <si>
    <t>1. Strong collaboration and teamwork skills
2. Problem solving skills
3. Strong communication skills (verbal and written)
...</t>
  </si>
  <si>
    <t>Student Worker, Customer Service</t>
  </si>
  <si>
    <t>1. Currently working towards a degree.
2. Basic knowledge in Microsoft Office Suite.</t>
  </si>
  <si>
    <t>Fashion Event Intern</t>
  </si>
  <si>
    <t>Flustra LLC</t>
  </si>
  <si>
    <t>1. Ability to be on your feet for 4-5 hours.
2. Patience and excellent communication skills.
3. Ability to follow instructions accurately.
...</t>
  </si>
  <si>
    <t>Student Worker - Career and Tech Ed - General Clerical-Customer Service</t>
  </si>
  <si>
    <t>Victoria College, Victoria</t>
  </si>
  <si>
    <t>1. Must be enrolled in at least 6 credit hours in the Fall and Spring semester and 3 credit hours in the summer. To continue employment during the summer session, you must be enrolled in the interim or summer 1 session.
2. Must maintain at least a 2.0 cumulative grade point average (GPA), including developmental courses
3. English proficiency
...</t>
  </si>
  <si>
    <t>Salesforce Internship (6 Month Assignment)</t>
  </si>
  <si>
    <t>1. Current enrollment in a Bachelor’s or Master’s degree, preferably in Information or Computer Science
2. Salesforce Admin Certification (or equivalent experience)
3. Strong technical and organizational skills and attention to detail
...</t>
  </si>
  <si>
    <t>SITE IS / IT APPRENTICE</t>
  </si>
  <si>
    <t>Greer, SC</t>
  </si>
  <si>
    <t>1. Immediate availability.
2. Current enrollment as a Sophomore or Junior in a Bachelor program for Information Technology or related field.
3. Strong communication skills and ability to work well in a team.
...</t>
  </si>
  <si>
    <t>Customer Service and Sales Experience Representative</t>
  </si>
  <si>
    <t>1. Previous experience in the hospitality industry, such as hotels, resorts, restaurants, or luxury service establishments
2. Strong customer service and interpersonal skills, with the ability to create genuine connections and build rapport
3. Exceptional communication skills, both verbal and written, with a keen attention to detail
...</t>
  </si>
  <si>
    <t>INTERNAL ONLY - Clinic Admissions Associate</t>
  </si>
  <si>
    <t>$19-$24 /h</t>
  </si>
  <si>
    <t>IT Support Intern</t>
  </si>
  <si>
    <t>1. Student enrolled in Bachelor or Master degree program majoring in Computer Science, Computer Engineer, Mathematics or related discipline
2. Knowledge of basic software engineering concepts
3. Problem solving
...</t>
  </si>
  <si>
    <t>Student Worker Customer Service</t>
  </si>
  <si>
    <t>Technical Proposal Writer - Intern</t>
  </si>
  <si>
    <t>Hexagon Safety, Infrastructure &amp; Geospatial</t>
  </si>
  <si>
    <t>1. Working toward a degree in English/Technical Writing/Communications or a Business discipline
2. Excellent technical writing skills and experience
3. Excellent verbal communication and public speaking skills
...</t>
  </si>
  <si>
    <t>Customer Service - Student Financial Aid</t>
  </si>
  <si>
    <t>Bryant and Stratton College</t>
  </si>
  <si>
    <t>EdTech, Higher Education</t>
  </si>
  <si>
    <t>$45500-$45500 /yr</t>
  </si>
  <si>
    <t>1. Associate’s degree required
2. 1-2 years fast-paced customer service experience required in a high-volume setting
3. Prior computer experience with a CRM tracking system and Microsoft Office
...</t>
  </si>
  <si>
    <t>(USA) Pharmacy Pre-Grad Intern - WM, Coweta</t>
  </si>
  <si>
    <t>Coweta, OK</t>
  </si>
  <si>
    <t>Medication History Pharmacy Intern Grand Rapids (for Class of 2026 Students)</t>
  </si>
  <si>
    <t>Corewell Health</t>
  </si>
  <si>
    <t>Hospital</t>
  </si>
  <si>
    <t>1. Enrolled in accredited PharmD program required
2. LIC-Pharmacist Intern - STATE_MI State of Michigan required</t>
  </si>
  <si>
    <t>INTERNAL ONLY Information Technology Field Specialist- Information System MS</t>
  </si>
  <si>
    <t>Poudre School District</t>
  </si>
  <si>
    <t>$26.68-$29.88 /h</t>
  </si>
  <si>
    <t>1. Current Poudre School District employee</t>
  </si>
  <si>
    <t>1. Familiar with the Microsoft technology stack (Office, Azure, etc.)
2. Strong verbal and written communication
3. Excellent analytical and problem-solving skills
...</t>
  </si>
  <si>
    <t>(USA) Pharmacy Pre-Grad Intern - WM #5343</t>
  </si>
  <si>
    <t>Customer Service Intern - UniFirst</t>
  </si>
  <si>
    <t>UniFirst</t>
  </si>
  <si>
    <t>B2B, Facilities Support Services</t>
  </si>
  <si>
    <t>1. Must be pursuing a degree in a related field.
2. Proficient computer skills
3. Excellent verbal and written communication skills</t>
  </si>
  <si>
    <t>Customer Service Representative - Aviation</t>
  </si>
  <si>
    <t>$10.50-$12.50 /h</t>
  </si>
  <si>
    <t>1. Currently enrolled as an Auburn University student.</t>
  </si>
  <si>
    <t>Fellow - General Surgery</t>
  </si>
  <si>
    <t>St Clair Shores, MI</t>
  </si>
  <si>
    <t>1. Physician MD/DO credentialed from the Michigan Board of Medicine obtained prior to hire date or job transfer date. State of Michigan Physician Limited Educational license at time of hire/transfer date required or permanent physician license required.
2. Resident credentialed from the Michigan Board of Medicine obtained prior to hire date or job transfer date. State of Michigan Physician Limited Educational license at time of hire/transfer date required or permanent physician license required.
3. Dentist credentialed from the Michigan Board of Dentistry obtained prior to hire date or job transfer date. State of Michigan Physician Limited Educational license at time of hire/transfer date required or permanent physician license required.
...</t>
  </si>
  <si>
    <t>3D Printing Lab, Work Study</t>
  </si>
  <si>
    <t>Clarkson College</t>
  </si>
  <si>
    <t>Health Care, Higher Education</t>
  </si>
  <si>
    <t>1. Experience with Microsoft office and Word required.
2. Qualified for the federal work study program required.
3. Currently enrolled at Clarkson College required.
...</t>
  </si>
  <si>
    <t>IT Co-op</t>
  </si>
  <si>
    <t>MWH Constructors</t>
  </si>
  <si>
    <t>Plaistow, NH</t>
  </si>
  <si>
    <t>1. Currently pursuing a Bachelor's Degree in Information Systems, Networking Information Systems or Information Management Systems
2. Skilled in the use of Windows based personal computers in application of Microsoft Office Professional
3. Proven ability to excel in a fast-paced environment
...</t>
  </si>
  <si>
    <t>Fall Events Services Intern</t>
  </si>
  <si>
    <t>Comcast</t>
  </si>
  <si>
    <t>Internet, Telecommunications</t>
  </si>
  <si>
    <t>PA - Philadelphia, 3601 S Broad St</t>
  </si>
  <si>
    <t>1. Open to college juniors, seniors and graduate students studying in a related major
2. Must have a 3.0 G.P.A. or higher
3. Proficient with Microsoft Office applications – Outlook, Excel, Word and PowerPoint
...</t>
  </si>
  <si>
    <t>Media and Technology Services Assistant (Student)</t>
  </si>
  <si>
    <t>1. High school diploma or its equivalent.
2. Must be a current AU student.
3. High level of honesty and integrity, with excellent customer service, interpersonal, organization, communication, and problem solving skills.
...</t>
  </si>
  <si>
    <t>Internal Only- Clinic Admissions Associate</t>
  </si>
  <si>
    <t>Wylie, TX</t>
  </si>
  <si>
    <t>Windsor Heights, IA</t>
  </si>
  <si>
    <t>Student Hourly - Office Assistant</t>
  </si>
  <si>
    <t>1. During the semester term of the appointment, the student hourly must be enrolled in no fewer than 6 credit hours.
2. For summer periods the student hourly must have been enrolled in no less than 6 hours in the past spring semester or be preenrolled in upcoming fall semester in no less than 6 hours or be enrolled in summer session or be admitted to study in the upcoming fall semester.
3. Student Hourlies may be undergraduate or graduate students.</t>
  </si>
  <si>
    <t>Volontaire Service Civique H/F (85)</t>
  </si>
  <si>
    <t>UDAF - Union départementale des associations familiales</t>
  </si>
  <si>
    <t>€610-€610 /mon</t>
  </si>
  <si>
    <t>1. Accompagner les personnes vulnérables physiquement lors de démarches, exercice du droit de vote ou déplacements de la vie courante.
2. Travailler au siège social à la Roche sur Yon et se déplacer sur les 4 antennes du département avec un véhicule de service.
3. Être âgé(e) de 18 à 25 ans.
...</t>
  </si>
  <si>
    <t>Radiologic Imaging Apprentice / Radiologic Imaging / PRN</t>
  </si>
  <si>
    <t>Catawba Valley Medical Center</t>
  </si>
  <si>
    <t>1. Currently enrolled Student of an accredited Radiologic Technology, Sonography program that has completed a minimum of two complete semesters within the program
2. Remains BCLS certification
3. If the BCLS certification is not from the American Heart Association (AHA), an AHA certification is required within one month of employment date
...</t>
  </si>
  <si>
    <t>Information Technology Intern</t>
  </si>
  <si>
    <t>Windsor</t>
  </si>
  <si>
    <t>Santa Fe Springs, CA</t>
  </si>
  <si>
    <t>1. Ability to work flexible hours, including on-call weekends
2. Proficiency in English, excellent communication skills, customer oriented. Spanish a plus!
3. Ability to grasp new concepts quickly and ability to follow written and verbal instructions
...</t>
  </si>
  <si>
    <t>IT Help Desk- COOP</t>
  </si>
  <si>
    <t>1. 2+ years of expertise in a windows desktop environment
2. Must be able to work independently and have good customer interaction skills
3. Ability to support corporate helpdesk functions
...</t>
  </si>
  <si>
    <t>Intern Trainee</t>
  </si>
  <si>
    <t>Atlas Technica</t>
  </si>
  <si>
    <t>IT Infrastructure, IT Management</t>
  </si>
  <si>
    <t>1. A strong desire to learn and grow in the IT/MSP space
2. Some experience with IT support (6 months to a year), or the A+ certification
3. Ability to deliver great customer service (communicating clearly, managing expectations, following up)
...</t>
  </si>
  <si>
    <t>PT Customer Service Rep I - Work Based Learning (Calhoun, Georgia, United States, 30701)</t>
  </si>
  <si>
    <t>1. Rising High School Junior or Senior, at least 17 years old
2. 1:00 p.m. - 6:30 p.m. Monday through Friday and Saturdays 9:00 a.m.- 12:00 p.m. with one Saturday off a month
3. Basic Computer Skills
...</t>
  </si>
  <si>
    <t>IT Support Staff - Part-Time (Student)</t>
  </si>
  <si>
    <t>1. Possess excellent customer service skills.
2. Be reliable.
3. Flexible in regards to scheduling.</t>
  </si>
  <si>
    <t>Hazel Park, MI</t>
  </si>
  <si>
    <t>1. Working towards a degree from an accredited College or University in Computer Science or related field
2. Ability to install and support Microsoft Office and other desktop software products
3. Computer Hardware troubleshooting including printers, desktops, laptops, and other peripherals
...</t>
  </si>
  <si>
    <t>Thrive Skilled Pediatric Care</t>
  </si>
  <si>
    <t>Production Associate (Premium-Internal Candidates)</t>
  </si>
  <si>
    <t>Perdue Farms</t>
  </si>
  <si>
    <t>Washington, IN</t>
  </si>
  <si>
    <t>1. Works at various stations along the production line processing poultry food products.
2. Adheres to all safety requirements including PPE (Personal Protective Equipment), preventing and reporting unsafe acts and conditions, Lockout-Tagout procedures and Process Safety Management related matters.
3. Maintains clean and safe working environment.
...</t>
  </si>
  <si>
    <t>Individual Needs Support Assistant</t>
  </si>
  <si>
    <t>Dixons Academies Trust</t>
  </si>
  <si>
    <t>1. Committed to the core belief that all children can make exceptional progress
2. Completely committed to the mission to change the world for the better
3. Values driven
...</t>
  </si>
  <si>
    <t>Research Intern Part Time</t>
  </si>
  <si>
    <t>Hughston Clinic</t>
  </si>
  <si>
    <t>1. High School graduate or equivalent
2. Must be currently enrolled or accepted in Secondary Education Program
3. Must have good PC skills and be knowledgeable in Microsoft Office
...</t>
  </si>
  <si>
    <t>Moonlighting Fellow</t>
  </si>
  <si>
    <t>Allina Health</t>
  </si>
  <si>
    <t>1. MD, DO, or foreign equivalency training required.
2. BC with ABMS or AOA required.
3. Active, non-restricted medical license in MN (or ability to obtain).
...</t>
  </si>
  <si>
    <t>Student IT Assistant</t>
  </si>
  <si>
    <t>1. Enrolled undergraduate student at Auburn University</t>
  </si>
  <si>
    <t>1. High school degree or equivalent; must be enrolled in an accredited university/college program to receive credit
2. Proficient computer skills, including Microsoft Office Suite (Word, PowerPoint, and Excel)
3. Excellent written and verbal communication skills
...</t>
  </si>
  <si>
    <t>Coralville #1, 8th Street, Coralville, IA</t>
  </si>
  <si>
    <t>$16.28-$27 /h</t>
  </si>
  <si>
    <t>Beaverton, OR</t>
  </si>
  <si>
    <t>Customer Service and Shipping</t>
  </si>
  <si>
    <t>Goodwill Industries</t>
  </si>
  <si>
    <t>Human Resources, Non Profit</t>
  </si>
  <si>
    <t>1. 2+ years of customer service experience
2. Basic familiarity with antiques and collectibles
3. Computer knowledge including internet and web page utilization
...</t>
  </si>
  <si>
    <t>Littleton, NH</t>
  </si>
  <si>
    <t>Oxford, ME</t>
  </si>
  <si>
    <t>$14.15-$27 /h</t>
  </si>
  <si>
    <t>Lacey, WA</t>
  </si>
  <si>
    <t>Flexible Use Space Non-OHSU Student Worker</t>
  </si>
  <si>
    <t>1. High School Diploma; OR Equivalent
2. Enrolled in or on vacation from or is otherwise registered in Undergraduate Program (minimum 6 credit hours)
3. Time Management skills, include timeliness, dependability, and ability to consistently meet deadlines
...</t>
  </si>
  <si>
    <t>Windham, ME</t>
  </si>
  <si>
    <t>Monroe, WA</t>
  </si>
  <si>
    <t>Customer Service Representative (CSR) – 100% On-site</t>
  </si>
  <si>
    <t>Cosolutions</t>
  </si>
  <si>
    <t>Millington, TN</t>
  </si>
  <si>
    <t>1. Clearance: Ability to obtain Secret or Active Secret (Interim or higher)
2. Education: High School Diploma
3. Experience: Minimum four (4) years work experience OR three (3) years with Associate degree OR two (2) years with Bachelor’s degree.
...</t>
  </si>
  <si>
    <t>Data Entry Clerk</t>
  </si>
  <si>
    <t>1. Proficient typing skills
2. Computer skills
3. Experience with computer software such as Word, Excel, Access, Outlook, PowerPoint, etc.
...</t>
  </si>
  <si>
    <t>IT Services Engineer Intern</t>
  </si>
  <si>
    <t>Office Assistant, Bureau of Customer Support</t>
  </si>
  <si>
    <t>Break into Tech! - No Cost Tech Fundamentals Program</t>
  </si>
  <si>
    <t>Start Your Tech Journey: Cost-Free Tech/IT Fundamentals Program -</t>
  </si>
  <si>
    <t>New Paris, OH</t>
  </si>
  <si>
    <t>Selma, NC</t>
  </si>
  <si>
    <t>Monroe, NC</t>
  </si>
  <si>
    <t>Host &amp; Expos Wanted</t>
  </si>
  <si>
    <t>Hops n Drops</t>
  </si>
  <si>
    <t>1. Must be 18 to apply
2. Greet guests while you open the door to welcome them in
3. Seat our guests at tables within the restaurant
...</t>
  </si>
  <si>
    <t>Pembroke, NC</t>
  </si>
  <si>
    <t>Internal -Collections Representative 1 -S1</t>
  </si>
  <si>
    <t>Opelika, AL</t>
  </si>
  <si>
    <t>Sanford, NC</t>
  </si>
  <si>
    <t>Lumberton, NC</t>
  </si>
  <si>
    <t>West Linn, OR</t>
  </si>
  <si>
    <t>MRI Imaging Extern Contingent</t>
  </si>
  <si>
    <t>1. Completion of the first or second year of an accredited Imaging Services program and currently enrolled in the sequential year and/or program with minimum completion of 40% of Imaging Services program
2. Successful completion of first year of two-year accredited Radiology Technologist program
3. Completion of two-year accredited Radiology Technologist program
...</t>
  </si>
  <si>
    <t>TEMPORARY Chronic Wasting Disease (CWD) Intern/Customer Service Intern – Hot Sulphur Springs, CO.</t>
  </si>
  <si>
    <t>Colorado Judicial Learning Center</t>
  </si>
  <si>
    <t>Education, Museums and Historical Sites</t>
  </si>
  <si>
    <t>Grand County, CO</t>
  </si>
  <si>
    <t>1. Open to current college students or those within two years (can be flexible) post-college graduation
2. Preference may be given to applicants with or working towards a Natural Resources degree or similar education
3. Current and valid driver’s license required
...</t>
  </si>
  <si>
    <t>Herriman, UT</t>
  </si>
  <si>
    <t>1. Enrolled in accredited college of pharmacy
2. Registered with State Pharmacy Board as an intern
3. Six months or less of similar or related work experience
...</t>
  </si>
  <si>
    <t>Salon Coordinator</t>
  </si>
  <si>
    <t>SportClips</t>
  </si>
  <si>
    <t>Beauty, Fashion</t>
  </si>
  <si>
    <t>1. Current Cosmetology or Barber Student
2. Excellent communication and interpersonal skills.
3. Strong organizational and time management abilities.
...</t>
  </si>
  <si>
    <t>Practice Administrative Associate - Internal Med/Pediatrics</t>
  </si>
  <si>
    <t>Yale-New Haven Health System</t>
  </si>
  <si>
    <t>1. High School degree or equivalent required.
2. 1 year of administrative healthcare experience or 2 years of administrative office experience required.
3. Excellent organizational, communication, customer service, and teamwork skills required.
...</t>
  </si>
  <si>
    <t>IT Co-op/Intern</t>
  </si>
  <si>
    <t>1. Actively pursuing BA/BS Computer Science or related field w/ minimum GPA of 3.0/4.0
2. Career interest in Information Technology
3. Must be self-driven and able to accomplish entry-level troubleshooting tasks with decreasing supervision
...</t>
  </si>
  <si>
    <t>Lab Systems Support Co-op (Fall 2024)</t>
  </si>
  <si>
    <t>1. Enrolled in a Computer Science or a related field bachelor’s degree program at an accredited college/university.
2. Strong Windows OS background.
3. Strong written and verbal communication skills.
...</t>
  </si>
  <si>
    <t>College Aide/Summer Intern</t>
  </si>
  <si>
    <t>$18.30-$22.40 /h</t>
  </si>
  <si>
    <t>IT Intern/Co-op (Spring/Summer 2024) 1</t>
  </si>
  <si>
    <t>N/Acompetitive wage-N/Acompetitive wage /h</t>
  </si>
  <si>
    <t>1. A current university student enrolled in a degree seeking program studying Computer Science, Information Systems, or another business-related field with a minimum GPA of 3.0 that will not complete their degree program prior to the semester in which they will co-op or intern with us.
2. Are a self-starter who can work both independently and, in a team
3. Have experience in customer-facing service work through volunteering, employment, and/or extracurricular activities
...</t>
  </si>
  <si>
    <t>Collections Representative - Internal</t>
  </si>
  <si>
    <t>Personalized Internet Assessor - US (Spanish speakers)</t>
  </si>
  <si>
    <t>1. Proficiency in both written and verbal English &amp; Spanish
2. Residency in the United States for the past 5 consecutive years
3. Ownership and regular use of a smartphone (Android V4.2 or higher or iPhone running iOS version 14.0 or higher) and a desktop/laptop with internet connection at your expense
...</t>
  </si>
  <si>
    <t>Defense Technical Writing Intern</t>
  </si>
  <si>
    <t>1. Currently enrolled in a writing-intensive field (e.g., English, Marketing, communication, journalism, or related field) and two (2) years of college or work-related experience
2. Some experience in grammar, writing, copy editing skills, and technical writing experience
3. Willing to learn how to quickly grasp technical concepts and translate them into clear, easy-to-understand content
...</t>
  </si>
  <si>
    <t>1. Sophomore or Junior Standing
2. GPA of 3.0 or above
3. At least 18 years of age
...</t>
  </si>
  <si>
    <t>OVIP Customer Success Intern</t>
  </si>
  <si>
    <t>$18.99-$53 /h</t>
  </si>
  <si>
    <t>1. US Veteran transitioning from active service or Military Spouse new to corporate experience
2. Excellent customer service skills answering phones and emails
3. Works independently within defined policies and procedures
...</t>
  </si>
  <si>
    <t>Movement Experiences Intern - General Customer Service Support</t>
  </si>
  <si>
    <t>Bbyo</t>
  </si>
  <si>
    <t>Charity, Religion</t>
  </si>
  <si>
    <t>1. Available to work remotely with option to work at BBYO's DC Hub (located in Washington, DC).
2. Enrollment in a degree program at an accredited university.
3. A creative and responsible self-starter who is comfortable collaborating with others and taking initiative.
...</t>
  </si>
  <si>
    <t>West Mifflin, PA</t>
  </si>
  <si>
    <t>IT Asset Specialist (Intern)</t>
  </si>
  <si>
    <t>Clean Harbors</t>
  </si>
  <si>
    <t>CleanTech, Energy</t>
  </si>
  <si>
    <t>1. Strong attention to detail and accuracy.
2. Good analytical and problem-solving skills.
3. Effective communication and interpersonal skills.
...</t>
  </si>
  <si>
    <t>Intern (Information Technology)</t>
  </si>
  <si>
    <t>Wearwell</t>
  </si>
  <si>
    <t>3D Printing, Building Material</t>
  </si>
  <si>
    <t>1. Be a Sophomore or a Junior student in good academic standing with a major concentration in Computer Information Systems, Computer Science, or other related field.
2. Possess a basic understanding of concepts related to TCP/IP networks, email, desktop computing, and Windows servers.
3. Good verbal and written communication skills.
...</t>
  </si>
  <si>
    <t>Intern, Airport Customer Service (ACS) Salt Lake City, Fall 2024</t>
  </si>
  <si>
    <t>1. Must be enrolled in an undergraduate degree program with an aviation management discipline.
2. Have a competitive GPA and good academic standing with your university.
3. Should aspire to work in the field of Aviation or Airline Management.
...</t>
  </si>
  <si>
    <t>Shoe Shiner - International Plaza</t>
  </si>
  <si>
    <t>1. The ability to communicate clearly and professionally with coworkers and customers
2. Basic math and written communication skills
3. A high level of ownership, accountability and initiative
...</t>
  </si>
  <si>
    <t>Make $500! Paid Onsite Research Study Across the United States</t>
  </si>
  <si>
    <t>$500-$500 session</t>
  </si>
  <si>
    <t>1. Participants must be 18 years old and above
2. Be a US citizen or be legally allowed to work in the United States
3. Proficient in the English language
...</t>
  </si>
  <si>
    <t>IT Intern | Rupp Arena</t>
  </si>
  <si>
    <t>1. Currently pursuing a degree in computer science, electrical engineering or a related field
2. Junior or Senior preferred, potential to consider sophomore level
3. Willing to commit to the intern position for three to four months, with the possibility of a longer opportunity available
...</t>
  </si>
  <si>
    <t>1. Must be a current UCO student or recent graduate.
2. Clear familiarity with Information Technology processes and/or systems.
3. Working knowledge of Microsoft Office Suite.</t>
  </si>
  <si>
    <t>1. Provides quality service to all of our patients and café guests
2. Position is a general food service job that includes serving in the café, running the cash register, working on the patient tray line, dish processing, and other general food service responsibilities
3. Position requires interactions with a variety of patients, visitors, and staff members
...</t>
  </si>
  <si>
    <t>Reader Services Intern</t>
  </si>
  <si>
    <t>Boston Athenaeum</t>
  </si>
  <si>
    <t>1. Submit to and pass a background check, including criminal history, personal references, employment verifications and Registry of Motor Vehicles (if applicable).
2. Must be currently enrolled in an ALA accredited library science graduate program.
3. Must be comfortable speaking in public, on the phone and communicating via email.
...</t>
  </si>
  <si>
    <t>Ithaca - New York - USA</t>
  </si>
  <si>
    <t>Customer Service Support Intern (Temporary Student Intern) - Birch Creek (Kent)</t>
  </si>
  <si>
    <t>King County Housing Authority</t>
  </si>
  <si>
    <t>Non Profit, Real Estate</t>
  </si>
  <si>
    <t>$20.50-$26.06 /h</t>
  </si>
  <si>
    <t>1. Recent High School graduate OR Current student or recent graduate from a college/university program in Business, Social Work, or related field.
2. Clerical and/or customer service experience.
3. Basic experience with word processing and spreadsheet software.
...</t>
  </si>
  <si>
    <t>Information Technology Internship</t>
  </si>
  <si>
    <t>Kaiser Family Foundation</t>
  </si>
  <si>
    <t>1. High interest and familiarity with computers and technology
2. Setup, diagnose, and repair computer and related issues
3. Proficiency with Microsoft, Apple and Adobe products as well as current modern web browsers
...</t>
  </si>
  <si>
    <t>Papillion, NE</t>
  </si>
  <si>
    <t>RAD Student Tech PRN</t>
  </si>
  <si>
    <t>Pulaski, TN</t>
  </si>
  <si>
    <t>1. Currently enrolled in an accredited Radiology Technology Program with the intent to obtain an Associate Degree in Radiology.
2. Requires critical thinking skills, decisive judgment, and the ability to work with minimal supervision. Must be able to work in a stressful environment and take appropriate action.
3. Certifications: Basic Life Support (BLS may be obtained within 60 days following new hire orientation).</t>
  </si>
  <si>
    <t>IT Support Specialist Intern</t>
  </si>
  <si>
    <t>1. Currently pursuing or recently pursued a degree in Information Technology, Computer Science, or a related field.
2. Basic understanding of computer hardware, software, and networking concepts.
3. Familiarity with operating systems such as Windows, macOS, and Linux.
...</t>
  </si>
  <si>
    <t>Intern - IT</t>
  </si>
  <si>
    <t>State Bank of Southern Utah</t>
  </si>
  <si>
    <t>1. High School graduate
2. Enrolled college junior or senior
3. Must pass a credit &amp; background check
...</t>
  </si>
  <si>
    <t>Fall Cyber Library Desk Worker</t>
  </si>
  <si>
    <t>Iowa Western Community College</t>
  </si>
  <si>
    <t>Council Bluffs, IA</t>
  </si>
  <si>
    <t>1. Must be registered for Fall courses
2. Current Iowa Western student with at least a 2.5 GPA
3. Basic knowledge of Cyber Library resources and policies
...</t>
  </si>
  <si>
    <t>Conductor in Training</t>
  </si>
  <si>
    <t>Keolis Commuter Services</t>
  </si>
  <si>
    <t>Automotive, Hospitality</t>
  </si>
  <si>
    <t>1. College degree or an equivalent combination of relevant work experience and training. Minimum requirements are high school diploma, GED, or equivalent credentials.
2. Preferred experience in a customer service role that involves problem resolution, as well as a work history demonstrating the ability to adapt to various work hours.
3. Proven ability to successfully complete a rigorous training program to uphold necessary qualifications as it relates to FRA regulations as it pertains to railroad safety.
...</t>
  </si>
  <si>
    <t>Aide - Student (7.5) - Flex Elem **2024-2025 School Year**</t>
  </si>
  <si>
    <t>Klein ISD</t>
  </si>
  <si>
    <t>1. Meet the federal Every Student Succeeds Act (Highly Qualified) requirement
2. Verification of 48 college credits
3. Verification of Associate’s Degree
...</t>
  </si>
  <si>
    <t>Kin Insurance</t>
  </si>
  <si>
    <t>1. A student enrolled in a CIS or related program
2. White glove service, ability to work with anyone from interns to executives and treat all with the same level of respect and empathy
3. Ability to identify issues and communicate solutions effectively
...</t>
  </si>
  <si>
    <t>Intern, Computer Support (Temporary)</t>
  </si>
  <si>
    <t>Technical Services Internship (Hackensack)</t>
  </si>
  <si>
    <t>ACT Lighting</t>
  </si>
  <si>
    <t>Electronics, Events</t>
  </si>
  <si>
    <t>1. College Junior or Senior
2. Passion to learn
3. Willpower to work hard
...</t>
  </si>
  <si>
    <t>INFORMATION TECHNOLOGY INTERN/CO-OP</t>
  </si>
  <si>
    <t>CITGO Petroleum Corporation</t>
  </si>
  <si>
    <t>1. Must be at least a junior or senior level student (Computer Science, Management Information Systems or other technical degree)
2. GPA of 3.0 or above (A=4.0)
3. PC hardware and software installation experience
...</t>
  </si>
  <si>
    <t>Student Assistant - Innovation &amp; Research Commons Help Desk</t>
  </si>
  <si>
    <t>1. Currently enrolled as an Auburn University student.
2. Report for the shift on time.
3. Work as a team member while interacting with faculty, staff, and students.
...</t>
  </si>
  <si>
    <t>NOC Caregiver - Temporary</t>
  </si>
  <si>
    <t>Touchmark</t>
  </si>
  <si>
    <t>Assisted Living, Elder Care</t>
  </si>
  <si>
    <t>1. Must be a licensed NAC or HCA
2. Possess a high school diploma or equivalent
3. Have completed a state certified NAC or HCA course
...</t>
  </si>
  <si>
    <t>High School Recruit</t>
  </si>
  <si>
    <t>The Breakers Resort Palm Beach</t>
  </si>
  <si>
    <t>Palm Beach, FL</t>
  </si>
  <si>
    <t>1. Must be at least 16 years of age to apply to Categories I, II, III, V
2. Must be at least 18 years old to apply to Category IV
3. Candidates must be comfortable working outdoors and in all climates</t>
  </si>
  <si>
    <t>1. Provide efficient and courteous service to customers at all times.
2. Follow the proper procedures of packaging a customer’s order and adhere to the company’s policies outlined in the bagging manual.
3. Fill bag racks
...</t>
  </si>
  <si>
    <t>Information Technology, Student (ITS Service Desk) - PTO</t>
  </si>
  <si>
    <t>STRS Ohio</t>
  </si>
  <si>
    <t>Columbus, Ohio</t>
  </si>
  <si>
    <t>1. College student currently pursuing a career in computer science or a business-related field preferred
2. Proven experience with PCs, peripherals and Windows-based operating system required
3. Proven experience with desktop productivity applications such as MS Office and MS Windows required
...</t>
  </si>
  <si>
    <t>IT Support Intern - Part-Time</t>
  </si>
  <si>
    <t>Libertyville, IL</t>
  </si>
  <si>
    <t>1. Working knowledge of Window 10/11 operating system
2. Working knowledge of Microsoft Office productivity suite.
3. Initial education in Computer Studies or other technical field
...</t>
  </si>
  <si>
    <t>Technical Support Engineer - Internship</t>
  </si>
  <si>
    <t>Packsize LLC</t>
  </si>
  <si>
    <t>1. Bachelor’s degree in a related discipline is preferred.
2. Experience with servo drives, pneumatic systems, 480 3 phase power (knowledge of), and set up of machinery and corresponding accessories.
3. Experience with Windows and PLCs. Ability to troubleshoot PC errors and PLC functions remotely and on location.
...</t>
  </si>
  <si>
    <t>Intern: District Commercial Support (Fall 2024)</t>
  </si>
  <si>
    <t>1. Applicant must be currently enrolled and pursuing a business or finance degree at an accredited school and have completed 30 semester hours of undergraduate studies prior to the start of the internship.
2. Fall/Spring Interns may work up to 30 hours per week and must be enrolled as full-time student.
3. Applicants must have a minimum cumulative grade point average of 2.75.
...</t>
  </si>
  <si>
    <t>Student Teller PREMIER Business Scholarship</t>
  </si>
  <si>
    <t>First PREMIER Bank</t>
  </si>
  <si>
    <t>1. Applicants must currently be attending an accredited college.
2. Be in good academic standing (2.0 GPA or higher)
3. Be employed for 90 days and perform job duties at a Meets Expectations rating before receiving scholarship dollars.
...</t>
  </si>
  <si>
    <t>New Caney, TX</t>
  </si>
  <si>
    <t>Entry-Level IT - Information Technology Intern</t>
  </si>
  <si>
    <t>Hoyleton</t>
  </si>
  <si>
    <t>1. At least 21 years of age
2. Pursuing a bachelor's degree in information technology, computer science, or a related field
3. Valid Illinois driver's license
...</t>
  </si>
  <si>
    <t>Respiratory Aide II - Student Limited License</t>
  </si>
  <si>
    <t>Mercy Health</t>
  </si>
  <si>
    <t>1. Current Respiratory Care Limited Permit, as required by the state they are working
2. BLS Basic Life Support - American Heart Association
3. A current student in good standing with an AMA approved Respiratory Care Program or a recent graduate of an AMA approved Respiratory Care Program</t>
  </si>
  <si>
    <t>Classroom Technology Support Assistant - CEPS</t>
  </si>
  <si>
    <t>1. Provide basic technical support for instructors in classroom settings.
2. Provide basic troubleshooting for the extended classroom video conferencing software.
3. Monitor open computer lab on a routine basis and provide technical support to student users.
...</t>
  </si>
  <si>
    <t>1. Must be 18 to apply
2. Greet guests while you open the door to welcome them in.
3. Seat our guests at tables within the restaurant.
...</t>
  </si>
  <si>
    <t>INTERNAL POSTING - UI Exceptions Analyst - Statewide</t>
  </si>
  <si>
    <t>1. A bachelor’s degree and relevant training and experience; OR any equivalent combination of education, relevant training and experience sufficient to perform the essential functions of the position.</t>
  </si>
  <si>
    <t>A&amp;R Admin Intern</t>
  </si>
  <si>
    <t>Create Music Group</t>
  </si>
  <si>
    <t>Digital Media, Media and Entertainment</t>
  </si>
  <si>
    <t>1. Strong attention to detail
2. Excellent verbal and written communication skills
3. Proficiency in Google Sheets
...</t>
  </si>
  <si>
    <t>Technical Support Engineering Intern - Fall 2024</t>
  </si>
  <si>
    <t>$30-$33 /h</t>
  </si>
  <si>
    <t>1. Available for a full-time (40 hours per week) in-person internship from September - December 2024 in San Mateo, CA
2. Third or Fourth year college student enrolled in a Bachelor’s or Master's degree program in a related technical discipline: Networking, Telecommunications, Systems Administration, Information Technology, Computer Science, Computer Engineering, or Cybersecurity from an accredited university
3. Coursework with a focus on computer networking, Linux, or computer systems
...</t>
  </si>
  <si>
    <t>Temporary Support Associate</t>
  </si>
  <si>
    <t>1. Courage
2. Creativity
3. Customer Focus
...</t>
  </si>
  <si>
    <t>Hammond, LA</t>
  </si>
  <si>
    <t>Student Teller</t>
  </si>
  <si>
    <t>Kohler Credit Union</t>
  </si>
  <si>
    <t>Kohler, WI</t>
  </si>
  <si>
    <t>1. Strong work ethic and integrity
2. Basic math and computer skills
3. Passionate and enthusiastic about customer service
...</t>
  </si>
  <si>
    <t>Platform Support Coordinator</t>
  </si>
  <si>
    <t>The Trade Desk</t>
  </si>
  <si>
    <t>$39400-$72300 /yr</t>
  </si>
  <si>
    <t>1. Bachelor’s Degree from a four-year university or relevant substitute experience
2. 0-2 years relevant work experience as a technical support representative in a small or medium-sized business
3. Outstanding troubleshooting, analytical, and problem-solving abilities, along with an ability to collaborate cross-functionally in a fast-paced start-up environment
...</t>
  </si>
  <si>
    <t>Student Teller - PREMIER Business Scholarship</t>
  </si>
  <si>
    <t>Veterinary Scribe - Clifton, NJ</t>
  </si>
  <si>
    <t>Veterinary Emergency Group</t>
  </si>
  <si>
    <t>Customer Service, Emergency Medicine</t>
  </si>
  <si>
    <t>1. Friendly, driven undergraduate or postgraduate student with an interest in a future career in veterinary medicine, specifically emergency
2. Outstanding communication and organizational skills as well as the ability to multitask
3. Team player
...</t>
  </si>
  <si>
    <t>IT Administrator Intern</t>
  </si>
  <si>
    <t>1. Computer Science or Any Engineering Major
2. Experience with Microsoft Tools</t>
  </si>
  <si>
    <t>Bon Secours Mercy Health</t>
  </si>
  <si>
    <t>1. Enrolled in a degree program with a computer science or computer engineering discipline
2. Basic understanding of common IT Infrastructure components (e.g., network devices, databases applications, cloud systems)
3. Ability to apply problem-solving, analytical, and organizational skills
...</t>
  </si>
  <si>
    <t>Workday Intern</t>
  </si>
  <si>
    <t>Management Information Systems Intern</t>
  </si>
  <si>
    <t>1. Classification as a sophomore or higher and actively seeking a Bachelor's or Master's Degree in Management Information Systems, Information Technology, Business Administration, or related field, and have a cumulative GPA of 2.50 or greater
2. Must have experience with PowerPoint, Excel, Word, Microsoft Teams, and Outlook</t>
  </si>
  <si>
    <t>Geek Street Technical Support</t>
  </si>
  <si>
    <t>Trilyon</t>
  </si>
  <si>
    <t>Advertising, Content Creators</t>
  </si>
  <si>
    <t>1. Comfortably navigate a PC to perform basic troubleshooting
2. Interest in technology and works well in a customer-facing role
3. Good communication skills, both verbal and written
...</t>
  </si>
  <si>
    <t>Student Lab Assistant - Methodist College</t>
  </si>
  <si>
    <t>Methodist Health System</t>
  </si>
  <si>
    <t>1. High School Diploma or General Educational Development (G.E.D) required
2. 2 years of college science courses preferred
3. Ability to type 35 wpm
...</t>
  </si>
  <si>
    <t>IT Client Support Intern</t>
  </si>
  <si>
    <t>University of Phoenix</t>
  </si>
  <si>
    <t>1. Currently pursuing a degree at the University of Phoenix in a field related to focus of internship
2. Able to commit to the Intern position for a minimum of 3 months, with the possibility of a longer internship available
3. Able to commit to required hours per week of onsite job performance</t>
  </si>
  <si>
    <t>Rad Tech Student SPRN</t>
  </si>
  <si>
    <t>1. Currently enrolled as a 2nd year student in an accredited radiological technology program.</t>
  </si>
  <si>
    <t>Information Technology Student</t>
  </si>
  <si>
    <t>1. Ability to establish and maintain effective working relationships with employees, supervisors, other departments, officials, and the public.
2. Ability to complete multiple, diverse tasks of differing priorities without close supervision.
3. Excellent written and verbal communication skills.
...</t>
  </si>
  <si>
    <t>Student Assistant - Henderson Library - IT Helpdesk Assistant (Fall 2024)</t>
  </si>
  <si>
    <t>$7.25-$7.25 /h</t>
  </si>
  <si>
    <t>1. Must be enrolled in six or more undergraduate credit hours or three or more graduate credit hours at Georgia Southern University.
2. Valid driver's license upon hire and throughout employment.
3. Legally authorized to work in the United States for the duration of employment without assistance from the University.
...</t>
  </si>
  <si>
    <t>Troon-The Clubs at St. James Host/Hostess</t>
  </si>
  <si>
    <t>Southport, NC</t>
  </si>
  <si>
    <t>1. No experience necessary but will train.
2. Regular and reliable attendance.
3. Demonstrates an outgoing and friendly attitude</t>
  </si>
  <si>
    <t>Carrier Relations Associate- Fall Internship Program</t>
  </si>
  <si>
    <t>1. Minimum 2.5 GPA
2. Part-time or Full-time enrolled and attending College or University student
3. Administrative, clerical, and organizational skill</t>
  </si>
  <si>
    <t>Information Technology (IT) Intern</t>
  </si>
  <si>
    <t>Feathershark</t>
  </si>
  <si>
    <t>1. Actively enrolled in an undergraduate program at an accredited University, majoring in a technical field of study
2. Graduating within the next 12-18 months
3. Possess strong technical and organizational skills
...</t>
  </si>
  <si>
    <t>INTERN - INFORMATION TECHNOLOGY - NBU</t>
  </si>
  <si>
    <t>Core</t>
  </si>
  <si>
    <t>Commercial, Electrical Distribution</t>
  </si>
  <si>
    <t>Sedalia, CO</t>
  </si>
  <si>
    <t>1. High school diploma or equivalent certificate
2. Current enrollment in an accredited undergraduate or graduate program related to Information Technology, Cyber Security, computer science, or equivalent
3. Proficient with Microsoft Office: Excel, Word, Outlook, Access, PowerPoint
...</t>
  </si>
  <si>
    <t>Client Solutions Student Assistant</t>
  </si>
  <si>
    <t>1. Willingness to learn and ability to work well with others.
2. Comfort with working with high profile clients.
3. Collaborative style, combined with the ability and desire to work in a team-based environment
...</t>
  </si>
  <si>
    <t>Service Desk Intern</t>
  </si>
  <si>
    <t>Ntiva</t>
  </si>
  <si>
    <t>1. Must be an enrolled student at West Virginia University at Parkersburg or Mountwest Community &amp; Technical College
2. Must be in first year with at least one semester completed, or in 2nd year
3. Must be enrolled in the below programs: MountWest - Network Systems &amp; Security, WVUP - Computer and Information Technology; Computer Science
...</t>
  </si>
  <si>
    <t>Special Collections Undergraduate Desk Assistant</t>
  </si>
  <si>
    <t>1. Active undergraduate NC State student
2. Punctuality and reliability required
3. Ability to work well with the public
...</t>
  </si>
  <si>
    <t>Client Services Representative I</t>
  </si>
  <si>
    <t>Capital Companies</t>
  </si>
  <si>
    <t>$44350-$70960 /yr</t>
  </si>
  <si>
    <t>1. Customer service experience in any industry and enjoy talking to people over the phone
2. Tech-savvy problem solver able to research and resolve customer questions quickly
3. Ability to work across multiple systems throughout the day
...</t>
  </si>
  <si>
    <t>Tech &amp; Eng Fellow Undergrad</t>
  </si>
  <si>
    <t>1. Major(s) Preferred: Computer Science, Data Analytics, Business Marketing, Business Administration, Public Management, Public Policy, Transportation Planning, Transportation Engineering, Operations Research, Architecture &amp; Engineering Communications and/or in similar area
2. Excellent technical, quantitative, and analytical skills
3. Excellent research skills
...</t>
  </si>
  <si>
    <t>ITCDP Strategic Support Associate</t>
  </si>
  <si>
    <t>1. H.S. Diploma required
2. Juniors or Seniors pursuing a four-year degree with a 3.0 minimum GPA (Exceptional sophomores will be considered)</t>
  </si>
  <si>
    <t>Sporting Kansas City</t>
  </si>
  <si>
    <t>1. Actively pursuing an undergraduate degree or recently achieved a Bachelor’s Degree
2. Providing technical assistance, maintaining computer systems, and configuring hardware and software
3. Resolving technical issues, such as internet and network access issues, and determining causes of computer, software, or network malfunctions
...</t>
  </si>
  <si>
    <t>Napoleon, OH</t>
  </si>
  <si>
    <t>CAPS Customer Service Representative (Student Position)</t>
  </si>
  <si>
    <t>Kendall College of Art and Design of Ferris State University</t>
  </si>
  <si>
    <t>Big Rapids, MI</t>
  </si>
  <si>
    <t>$10.33-$12 /h</t>
  </si>
  <si>
    <t>1. Compassion and interest in working with students, faculty, staff, and employers
2. Some understanding of Ferris structures and resources
3. Excellent customer service skills
...</t>
  </si>
  <si>
    <t>1. High School Diploma
2. Currently enrolled in a Surgical Technology Program
3. Successfully completed all clinical training as defined by the Surgical Technology Program
...</t>
  </si>
  <si>
    <t>STEPS Undergraduate Research Events Assistant</t>
  </si>
  <si>
    <t>1. Must be able to lift, push, pull or carry items up to 25 lbs
2. Dependability and punctuality
3. Good verbal communication skills
...</t>
  </si>
  <si>
    <t>Information Technology Co-op - Client Service &amp; Support</t>
  </si>
  <si>
    <t>1. Pursuing a degree in computer science with an interest in learning cloud, desktop, mobile, networking, and active directory technologies.
2. Relevant technology certifications are a plus.
3. Experience supporting and troubleshooting Microsoft Windows 10/11, Office 365, desktops, laptops mobile devices, and printers in a corporate environment.
...</t>
  </si>
  <si>
    <t>Data Contributor</t>
  </si>
  <si>
    <t>$1-$2.5 per email</t>
  </si>
  <si>
    <t>1. Be 18 years or older
2. Be a resident of the United States
3. Subject line should consist of a minimum of 4 words
...</t>
  </si>
  <si>
    <t>IT Help Desk Intern</t>
  </si>
  <si>
    <t>Android Industries</t>
  </si>
  <si>
    <t>1. Working towards a degree from an accredited College or University in Computer Science or related field
2. Ability to install and support Microsoft Office and other desktop software products
3. Experience with mobile devices running Android or iOS and their administration
...</t>
  </si>
  <si>
    <t>Surg. Tech Externiship</t>
  </si>
  <si>
    <t>WVU Hospitals — Ruby Memorial Hospital</t>
  </si>
  <si>
    <t>1. Currently enrolled in a Surgical Tech program
2. High school diploma or equivalent
3. BLS certification within 30 days of hire</t>
  </si>
  <si>
    <t>Service Technical Internship</t>
  </si>
  <si>
    <t>Alta Equipment Group</t>
  </si>
  <si>
    <t>Construction, Warehousing</t>
  </si>
  <si>
    <t>1. Have the right to work in the U.S.
2. Have daytime 20 hours a week and be in their last 6 months of the student program.
3. Be willing to accept the internship for at least a 12-week period
...</t>
  </si>
  <si>
    <t>RESEARCH ASSISTANT - OPS - 48005157</t>
  </si>
  <si>
    <t>$16.23-$16.23 /h</t>
  </si>
  <si>
    <t>1. Must be a current college student
2. Maintain student status while employed
3. Provide documentation of enrollment in a postsecondary institution
...</t>
  </si>
  <si>
    <t>Lunch/Playground Aide - Anticipated Opening</t>
  </si>
  <si>
    <t>Upper Saddle River Board of Education</t>
  </si>
  <si>
    <t>Saddle River, NJ</t>
  </si>
  <si>
    <t>$15.25-$15.25 /h</t>
  </si>
  <si>
    <t>1. Monday thru Friday 10:45 a.m. – 1:00 p.m.
2. $15.25/hour
3. Criminal History background check required
...</t>
  </si>
  <si>
    <t>Irvine</t>
  </si>
  <si>
    <t>1. Customer service experience in any industry and enjoy talking to people over the phone.
2. Tech-savvy problem solver able to research and resolve customer questions quickly, working across multiple systems.
3. Experience in handling challenging customer interactions with patience, empathy, and composure, knowing when to take ownership and when to escalate client concerns.
...</t>
  </si>
  <si>
    <t>IT Operations Intern</t>
  </si>
  <si>
    <t>Everwise Credit Union</t>
  </si>
  <si>
    <t>1. High School diploma or GED
2. Currently attending a college or university and have taken the intermediate level courses typically in computer science, MIS, Information Technology or equivalent preferred</t>
  </si>
  <si>
    <t>Sims, NC</t>
  </si>
  <si>
    <t>Student Financial Transaction Specialist</t>
  </si>
  <si>
    <t>1. Strong verbal and written skills
2. Ability to navigate ticketing system, email communications, and other communication systems
3. Process UF purchase credit cards (pcards) within UF software
...</t>
  </si>
  <si>
    <t>El Reno, OK</t>
  </si>
  <si>
    <t>Saint Joseph Mercy Health System</t>
  </si>
  <si>
    <t>1. Completion of the first or second year of an accredited Imaging Services program and currently enrolled in the sequential year and/or program with minimum completion of 40% of Imaging Services program.
2. Successful completion of first year of two-year accredited Radiology Technologist program
3. Completion of two-year accredited Radiology Technologist program
...</t>
  </si>
  <si>
    <t>Chesterfield, MI</t>
  </si>
  <si>
    <t>1. Diagnose and troubleshoot incoming employee calls
2. Provide support services to employees with technical problems
3. Resolve less complex problems or escalate to appropriate technical personnel
...</t>
  </si>
  <si>
    <t>Information Technology (IT) Specialist (SkillBridge Intern) - 16988</t>
  </si>
  <si>
    <t>1. Must have TS/SCI security clearance
2. Must have Bachelor’s Degree in a related field, and a minimum of five (5) years’ experience maintaining IT systems or a minimum of ten (10) years’ experience maintaining IT systems.
3. DoD 8570 Information Assurance Management Level II certification, or equivalent, and 4 years of classified information systems experience working on DoD ACAT I, ACAT II, or ACAT.</t>
  </si>
  <si>
    <t>Lebanon, MO</t>
  </si>
  <si>
    <t>Rooms Trainee-Kimpton Sylvan Hotel</t>
  </si>
  <si>
    <t>1. Participation in the J1 trainee outreach, recruitment, and placement program at IHG Hotels &amp; Resorts
2. Ability to work in various areas of Hotel or Resort Rooms Operations team
3. Providing excellent guest experience in an attentive, courteous, and efficient way
...</t>
  </si>
  <si>
    <t>IT Support Internship</t>
  </si>
  <si>
    <t>1. Bachelor’s Degree in Information Science, Information Technology, Management Information Systems or related fields
2. GPA above 3.4
3. Customer service experience in any industry
...</t>
  </si>
  <si>
    <t>Summer Conference Assistant - Woodland Glen I &amp; II (Student Living)</t>
  </si>
  <si>
    <t>1. Outstanding customer service skills
2. Ability to answer phones and take messages
3. Experience greeting visitors and providing assistance
...</t>
  </si>
  <si>
    <t>Technical Services Internship (Burbank)</t>
  </si>
  <si>
    <t>1. College Junior or Senior
2. Looking for a student internship for 2024
3. Passion to learn
...</t>
  </si>
  <si>
    <t>Internship | Technical Scholar Program | Greenville, SC</t>
  </si>
  <si>
    <t>Rooms J1 Intern-Kimpton Journeyman Hotel</t>
  </si>
  <si>
    <t>1. Participation in the J1 trainee outreach, recruitment, and placement program at IHG Hotels &amp; Resorts
2. Ability to work in various areas of Hotel or Resort Rooms Operations team
3. Provide excellent guest experience in an attentive, courteous, and efficient manner
...</t>
  </si>
  <si>
    <t>Port Orchard, WA</t>
  </si>
  <si>
    <t>2025 -2026 Magnetic Resonance Imaging (MRI) Fellow</t>
  </si>
  <si>
    <t>Sequim, WA</t>
  </si>
  <si>
    <t>Trinity Health MI</t>
  </si>
  <si>
    <t>1. Completion of the first or second year of an accredited Imaging Services program and currently enrolled in the sequential year and/or program with minimum completion of 40% of Imaging Services program.
2. Radiology Technologist: Successful completion of first year of two-year accredited program
3. CT Technologist: Completion of two-year accredited Radiology Technologist program, Currently enrolled in CT training program, ARRT required
...</t>
  </si>
  <si>
    <t>Tech Writer / Editor (Drafting) (SkillBridge Intern) - 18763</t>
  </si>
  <si>
    <t>1. Must currently posses SECRET security clearance
2. Must have basic knowledge of latest Autodesk AutoCAD software, Microsoft Visio, Microsoft Office Products &amp; Adobe PDF
3. Active-Duty Military ONLY within final 180 days of active-duty service. Applications accepted during candidates final 12 months of active-duty service.</t>
  </si>
  <si>
    <t>IT Support Technician — Associate</t>
  </si>
  <si>
    <t>1. Excellent customer service
2. Understanding of troubleshooting techniques
3. Exhibits critical thinking skills
...</t>
  </si>
  <si>
    <t>Federal Way, WA</t>
  </si>
  <si>
    <t>Battle Ground, WA</t>
  </si>
  <si>
    <t>Ballwin, MO</t>
  </si>
  <si>
    <t>La Vergne, TN</t>
  </si>
  <si>
    <t>Client Service Coordinator</t>
  </si>
  <si>
    <t>National Veterinary Associates</t>
  </si>
  <si>
    <t>Hospital, Medical</t>
  </si>
  <si>
    <t>Kirkwood, MO</t>
  </si>
  <si>
    <t>1. Excellent communication skills, both verbal and written
2. Strong customer service skills with a friendly and professional approach
3. Knowledge of animal care, including basic pet grooming, dog training, equine care, animal husbandry, and pet care
...</t>
  </si>
  <si>
    <t>DoD SkillBridge Intern – Helpdesk Support 2nd Shift (Active Duty Service Members)</t>
  </si>
  <si>
    <t>1. Secret Clearance required
2. 2+ years of experience using the ITSM or Helix ITSM system to document Tier 2 helpdesk issues
3. CompTIA Security + (Can be obtained during internship)
...</t>
  </si>
  <si>
    <t>(USA) Pharmacy Pre-Grad Intern - WM-2</t>
  </si>
  <si>
    <t>Marrero, LA</t>
  </si>
  <si>
    <t>CT Tech Student</t>
  </si>
  <si>
    <t>Ontario, OR</t>
  </si>
  <si>
    <t>1. Registered as a Radiologic Technologist (RT) by the American Registry of Radiologic Technologists (ARRT).
2. Colleague must have and maintain an active Medical Imaging License issued by the Oregon Board of Medical Imaging (OBMI).
3. Colleague must obtain and maintain an active Oregon license prior to providing any services in Oregon.
...</t>
  </si>
  <si>
    <t>Troutdale, OR</t>
  </si>
  <si>
    <t>Imprivata</t>
  </si>
  <si>
    <t>Information Services, Security</t>
  </si>
  <si>
    <t>1. Enrolled in Computer Science or any IT-related program
2. Strong Customer Service skills are required
3. Must be self-motivated, energetic with good communication skills
...</t>
  </si>
  <si>
    <t>Harvey, LA</t>
  </si>
  <si>
    <t>Customer Service Administrator</t>
  </si>
  <si>
    <t>Watson-Marlow - US</t>
  </si>
  <si>
    <t>1. Ability to work in a dynamic team environment
2. Full induction with training and ongoing support for all systems and products
3. Access to SSE academy for upskilling and development
...</t>
  </si>
  <si>
    <t>Woodland, WA</t>
  </si>
  <si>
    <t>Paris, KY</t>
  </si>
  <si>
    <t>Technical Support Intern</t>
  </si>
  <si>
    <t>Coresite</t>
  </si>
  <si>
    <t>Enterprise Software, Government</t>
  </si>
  <si>
    <t>1. Able to work in-person in our downtown Denver office. This role is not a remote position.
2. Able to work 3-5 days/week in-office during normal business hours for 6-month period.
3. Team and customer service orientation focus while working well as part of a group.
...</t>
  </si>
  <si>
    <t>Smithville, TN</t>
  </si>
  <si>
    <t>Information Technology Operations - Co-op - Fall 2024 - ACL</t>
  </si>
  <si>
    <t>1. Pursuing a Bachelor’s degree in Information Technology or a related field
2. 3.0 or higher cumulative GPA
3. Must be eligible to be approved by your college/university to participate in a co-op program and register for co-op credit with your university during work terms
...</t>
  </si>
  <si>
    <t>Imaging Assistant</t>
  </si>
  <si>
    <t>FirstHealth of the Carolinas</t>
  </si>
  <si>
    <t>1. Must currently be an active student in a Radiologic Technology program or a Nursing school.
2. Must have good computer skills and ability to access entire facility.
3. Ability to communicate with other individuals and have good visual acuity.
...</t>
  </si>
  <si>
    <t>Intern - Computer Support</t>
  </si>
  <si>
    <t>Rea Magnet Wire</t>
  </si>
  <si>
    <t>1. One (1) year experience with computers – both hardware and software
2. Proficiency with Windows and Linux Operating Systems and with Microsoft Office Suite of Applications
3. Hardware Proficiency (PC and Laptop Troubleshooting, Laser Printer Troubleshooting, Touch screens and Bar-Code Scanners)
...</t>
  </si>
  <si>
    <t>Respiratory Care Tech - PRN</t>
  </si>
  <si>
    <t>MercyOne</t>
  </si>
  <si>
    <t>1. Currently enrolled in an accredited Respiratory Care program; one year of program completed.
2. Successful completion of Respiratory Care Department orientation.
3. Basic Life Support (BLS) for the Healthcare Provider certified or obtained within three (3) months of hire. Acceptable credentialing bodies and certifications include American Red Cross CPR/AED for the Professional Rescuer and American Heart Association Basic Life Support for Healthcare Providers.
...</t>
  </si>
  <si>
    <t>Resident/Fellow Matched at UHS for 2024</t>
  </si>
  <si>
    <t>$67000-$90000 /yr</t>
  </si>
  <si>
    <t>1. Resident or Fellow matched with UHS for 2024</t>
  </si>
  <si>
    <t>Desktop Support Internship - Fall 2024</t>
  </si>
  <si>
    <t>1. Must be actively enrolled in a Bachelor's or advanced degree program
2. Experience with Mac and PC hardware: laptops, desktops.</t>
  </si>
  <si>
    <t>Trainee - Rooms J1-Kimpton Vero Beach Hotel + Spa</t>
  </si>
  <si>
    <t>Pulmonary Assistant PRN</t>
  </si>
  <si>
    <t>1. Currently enrolled in an accredited RC education program
2. Experience in a related field
3. Minimum of a High School Diploma/GED from an accredited school
...</t>
  </si>
  <si>
    <t>Associate Support Analyst Intern</t>
  </si>
  <si>
    <t>Berkley Technology Services</t>
  </si>
  <si>
    <t>Information Technology, Project Management</t>
  </si>
  <si>
    <t>1. Knowledge of troubleshooting issues with PC/laptop hardware, Windows OS (Windows 10); MS Office Products
2. Install new images as scheduled and needed.
3. Maintain, install, and upgrade computers as necessary.
...</t>
  </si>
  <si>
    <t>Pharmacy Pre-Grad Intern - Wm</t>
  </si>
  <si>
    <t>Wellness Center Receptionist Work Study</t>
  </si>
  <si>
    <t>1. Good people skills and helpful attitude
2. Good organizational skills and ability to take direction
3. Attention to detail and accuracy completing tasks
...</t>
  </si>
  <si>
    <t>Student Assistant - Information Technology</t>
  </si>
  <si>
    <t>1. Enrolled student at Auburn University</t>
  </si>
  <si>
    <t>Imaging Aide - Student Resource</t>
  </si>
  <si>
    <t>MyMichigan Health</t>
  </si>
  <si>
    <t>Alpena, MI</t>
  </si>
  <si>
    <t>1. HIGH SCHOOL DIPLOMA
2. One to two years of experience in a clinical setting
3. Excellent communication skills
...</t>
  </si>
  <si>
    <t>MRI STUDENT TECH - GOOD SAMARITAN HOSPTAL - PRN/OPTIONAL, SHIFT VARIES</t>
  </si>
  <si>
    <t>TriHealth</t>
  </si>
  <si>
    <t>Health Care, Service Industry</t>
  </si>
  <si>
    <t>1. Currently enrolled in an approved program for specific field of study in Allied Health
2. Currently enrolled in an approved program for specific field of study
3. Basic Life Support for Healthcare Providers (BLS)
...</t>
  </si>
  <si>
    <t>Student - IT Help Desk Assistant</t>
  </si>
  <si>
    <t>1. Must be enrolled as a Full-time student
2. General computing knowledge</t>
  </si>
  <si>
    <t>Associate Analyst, IS Trainee-Service Desk</t>
  </si>
  <si>
    <t>Saddle Creek Logistics Services</t>
  </si>
  <si>
    <t>Supply Chain Management</t>
  </si>
  <si>
    <t>1. High School Diploma/GED Required
2. Must possess at least one (1) year of experience providing technical support to end users
3. Ability to travel outside of Lakeland, FL (up to 5%)
...</t>
  </si>
  <si>
    <t>Troy, NY</t>
  </si>
  <si>
    <t>San Francisco Bay University</t>
  </si>
  <si>
    <t>1. Be a full-time student at SFBU
2. Have a high school diploma</t>
  </si>
  <si>
    <t>IT Operations Intern, Chattanooga</t>
  </si>
  <si>
    <t>Environmental Solutions Group</t>
  </si>
  <si>
    <t>1. Working towards a Bachelor's Degree in IT preferred, or related degree considered as applicable.
2. Strong communication, interpersonal, and analytical skills are essential.
3. Good application skills of Microsoft Office tools, such as Excel, Word, Outlook etc.
...</t>
  </si>
  <si>
    <t>Reg Student Technical - LX Studio</t>
  </si>
  <si>
    <t>1. Must be able to work at least 1 evening shift per week.
2. Must be able to work 1 weekend shift per month.
3. Enrollment Requirements: All student employees must be enrolled at least half-time to be eligible to work any UCO student position.
...</t>
  </si>
  <si>
    <t>Intern-Technical Support</t>
  </si>
  <si>
    <t>UnityPoint Health</t>
  </si>
  <si>
    <t>1. High school diploma or GED AND enrollment in post-secondary education towards a degree in Information Technology or related field
2. Experience with personal computers
3. Valid driver's license when driving any vehicle for work-related reasons</t>
  </si>
  <si>
    <t>IT Student Intern</t>
  </si>
  <si>
    <t>Morgridge Institute for Research</t>
  </si>
  <si>
    <t>1. Working towards an IT Desktop support technician or IT service center/Help Desk technician certificate</t>
  </si>
  <si>
    <t>Digital Access Intern</t>
  </si>
  <si>
    <t>1. Previous experience teaching technology basics and troubleshooting preferred; experience with refugees a plus
2. Committed to at least 12 weeks working a minimum of 35 hours per week
3. Experience using online meeting platforms such as Zoom
...</t>
  </si>
  <si>
    <t>Student Assistant - Circulation</t>
  </si>
  <si>
    <t>1. Currently enrolled student at Auburn University
2. Interest in public service and delivery of quality customer service
3. Be willing to work as a team member while interacting with faculty, staff, and students
...</t>
  </si>
  <si>
    <t>Sign Spinner</t>
  </si>
  <si>
    <t>Great Clips</t>
  </si>
  <si>
    <t>Poway, CA</t>
  </si>
  <si>
    <t>1. Must have a flexible schedule
2. Be able to stand outside for long periods of time
3. Be dependable
...</t>
  </si>
  <si>
    <t>Customer Service Representative (Temporary), HR Service Center - 22129</t>
  </si>
  <si>
    <t>NYC Department of Education</t>
  </si>
  <si>
    <t>$20-$25 Hourly</t>
  </si>
  <si>
    <t>1. A four-year high school diploma or its educational equivalent
2. Experience in call center work</t>
  </si>
  <si>
    <t>University of California, San Francisco</t>
  </si>
  <si>
    <t>1. Maintain the anatomy facilities and equipment
2. Work closely with the Course Director and the UCSF Willed Body Program to procure embalmed specimens, receive delivery, and coordinate cremation
3. Consult with the teaching faculty to prepare the laboratory for student learning by setting up for each laboratory and cleaning up after each laboratory
...</t>
  </si>
  <si>
    <t>2024-2025 - OneStop, Student Technical Support Associate</t>
  </si>
  <si>
    <t>1. Ability to commit 15-20 hours per week (based around class schedule)
2. Excellent Interpersonal skills
3. Excellent time management skills
...</t>
  </si>
  <si>
    <t>Network Support Technician Intern</t>
  </si>
  <si>
    <t>1. Ability to work in the United States without a current or future need for visa sponsorship
2. Current Arkansas state resident
3. Valid driver’s license
...</t>
  </si>
  <si>
    <t>Customer Service Representative (High School)</t>
  </si>
  <si>
    <t>Tide Cleaners</t>
  </si>
  <si>
    <t>Customer Service, Laundry and Dry-cleaning</t>
  </si>
  <si>
    <t>1. Strong communication and interpersonal skills
2. Strong attention to detail and accuracy
3. Ability to multitask and prioritize in a fast-paced environment
...</t>
  </si>
  <si>
    <t>Student Tech-Respiratory-PRN</t>
  </si>
  <si>
    <t>Levine Children’s Hospital</t>
  </si>
  <si>
    <t>1. High School Graduate
2. Senior Student of a JRCRTE approved Respiratory Care Program required
3. No experience required beyond clinical experience obtained at completion of Junior year of a JRCRTE approved Respiratory Care Program
...</t>
  </si>
  <si>
    <t>Student Tech-Respiratory</t>
  </si>
  <si>
    <t>US IT Technical Support Intern</t>
  </si>
  <si>
    <t>WuXi Biologics</t>
  </si>
  <si>
    <t>Cranbury, NJ</t>
  </si>
  <si>
    <t>1. Associate's or Bachelor's degree or equivalent experience
2. 5-8 years technical IT support experience
3. Advanced knowledge of Windows 7/10 operating systems and MS Office 20xx/365
...</t>
  </si>
  <si>
    <t>IT Intern (Year Round)</t>
  </si>
  <si>
    <t>BWX Technologies</t>
  </si>
  <si>
    <t>Clean Energy, Industrial Engineering</t>
  </si>
  <si>
    <t>$20.75-$34.75 /h</t>
  </si>
  <si>
    <t>1. High School Diploma with current enrollment and completed college coursework in Information Technology is required.
2. Ability to identify, research, and resolve desktop system issues in a timely manner.
3. Technical proficiency in areas relating to computer hardware, computer operating systems and desktop applications.
...</t>
  </si>
  <si>
    <t>1. U.S. Person status
2. 6 months or more pursuing an undergraduate degree in technology or software bootcamp
3. Customer service experience
...</t>
  </si>
  <si>
    <t>CIPHER-IT Operations Intern Fall 2024</t>
  </si>
  <si>
    <t>1. Pursuing a Bachelor’s degree in a technology-driven major (Information Systems, Information Technology, Information Security, Computer Science etc.)
2. 2.5 or higher cumulative GPA
3. Full-Time Intern- Must be registered for Full-time Internship Credit
...</t>
  </si>
  <si>
    <t>Edinboro, PA</t>
  </si>
  <si>
    <t>Gretna, NE</t>
  </si>
  <si>
    <t>(USA) Pharmacy Pre-Grad Intern - WM Neighborhood Pharmacy Fort Mill, SC</t>
  </si>
  <si>
    <t>International Language Program (ILP) Service Navigator</t>
  </si>
  <si>
    <t>Multicultural Community Services</t>
  </si>
  <si>
    <t>1. Experience working with individuals with intellectual disabilities required.
2. Must be bilingual in one of the languages mentioned above.
3. Must have valid driver’s license and dependable vehicle.</t>
  </si>
  <si>
    <t>Federal Work Student Co-Op Testing Center</t>
  </si>
  <si>
    <t>1. Must have completed a FAFSA for the current school year and have been awarded Federal Work Study.
2. Must have computer skills in Microsoft Office products, Windows application, and must be comfortable with operating computers.
3. Must meet and continue to meet Satisfactory Academic Progress.
...</t>
  </si>
  <si>
    <t>1. Currently enrolled in a Bachelor’s or Master's degree program with a graduation date of December 2024 or later
2. A cumulative GPA of 2.8 or above
3. Must be legally authorized to work in the United States, not requiring visa sponsorship now or in the future
...</t>
  </si>
  <si>
    <t>Part-Time Teller, Student Position - Red Hook Branch</t>
  </si>
  <si>
    <t>Mid-Hudson Valley Federal Credit Union</t>
  </si>
  <si>
    <t>Red Hook, NY</t>
  </si>
  <si>
    <t>1. Currently enrolled in school
2. One year to three years of similar or related experience
3. A high school education or GED
...</t>
  </si>
  <si>
    <t>Relief Veterinarian</t>
  </si>
  <si>
    <t>VCA</t>
  </si>
  <si>
    <t>1. Doctor of Veterinary Medicine (DVM) degree, or equivalent, from an accredited university
2. License in good standing to practice in the state in which applicant is to be employed
3. Professional demeanor and appearance, with excellent interpersonal skills and a positive, friendly attitude
...</t>
  </si>
  <si>
    <t>Specialty Intern, Radiology</t>
  </si>
  <si>
    <t>1. Experience in Diagnostic Imaging (MRI, CT, Fluoroscopy)
2. Ability to work flexible schedules, weekends, and some holidays
3. Teamwork, Integrity, Compassion, Respect, Accountability, Passion, Teaching, Initiative, Reliability, Empathy, Efficiency, Gratitude, Kindness
...</t>
  </si>
  <si>
    <t>1. A student enrolled in at least six hours.
2. Requires basic technology hardware and software competency.
3. Works with Pediatric IT Support Technician II to prioritize, schedule and complete tasks and/or projects.
...</t>
  </si>
  <si>
    <t>Internship - Customer Service</t>
  </si>
  <si>
    <t>Berkshire Hathaway GUARD Insurance Companies</t>
  </si>
  <si>
    <t>Wilkes-Barre, PA</t>
  </si>
  <si>
    <t>1. Must be a happy person with a positive attitude and a team player
2. Strong communication skills, especially on the telephone, with the ability to communicate clearly and effectively
3. Excellent customer service skills with the ability to resolve customer concerns and issues to their satisfaction
...</t>
  </si>
  <si>
    <t>Sungrow</t>
  </si>
  <si>
    <t>1. Strong problem-solving and analytical skills
2. Excellent communication and interpersonal skills, both written and verbal
3. Ability to work independently and as part of a team
...</t>
  </si>
  <si>
    <t>2024-2025 - Ctr for Testing and Career Certification MMC &amp; BBC, Student Front Desk Assistant</t>
  </si>
  <si>
    <t>North Miami, FL</t>
  </si>
  <si>
    <t>1. Ability to communicate effectively
2. Possess a high sense of responsibility and customer service skills
3. Knowledge of PC operations and software
...</t>
  </si>
  <si>
    <t>Ankeny, IA</t>
  </si>
  <si>
    <t>Technical Writer Intern - HUBZone Residency (REQUIRED)</t>
  </si>
  <si>
    <t>1. HUBZone Residency (REQUIRED) Your primary work location and address must be in an area designated as a Historically Underutilized Business Zone (HUBZone)
2. Currently pursuing or recently completed a degree in Technical Writing, Communications, English, or a related field
3. Strong written communication skills, with the ability to convey complex technical concepts to diverse audiences
...</t>
  </si>
  <si>
    <t>The Lockwood Group</t>
  </si>
  <si>
    <t>1. Current College junior or senior pursuing a bachelor’s degree in IT or related field
2. Familiarity with Microsoft PowerPoint, Word, Excel and Outlook
3. Accuracy and attention to detail
...</t>
  </si>
  <si>
    <t>Real Estate Research Intern (PHX)</t>
  </si>
  <si>
    <t>1. Proficiency with Microsoft Office products, including Word, Excel, PowerPoint, and Outlook preferred
2. Ability to work in a fast-paced, demanding environment with rapidly changing priorities while maintaining strong attention to detail
3. Excellent communication skills – written and verbal
...</t>
  </si>
  <si>
    <t>Intern - Languages (Chinese)</t>
  </si>
  <si>
    <t>1. Enrolled in a graduate school program (second university degree or equivalent, or higher)
2. Enrolled in the final academic year of a first university degree program (minimum Bachelor’s level or equivalent)
3. Graduated with a university degree and must commence the internship within a one-year period of graduation
...</t>
  </si>
  <si>
    <t>West Helena, AR</t>
  </si>
  <si>
    <t>Everett, PA</t>
  </si>
  <si>
    <t>IT Intern (On-site Dublin, VA)</t>
  </si>
  <si>
    <t>Tekni-Plex</t>
  </si>
  <si>
    <t>Dublin, VA</t>
  </si>
  <si>
    <t>1. Currently pursuing an undergraduate degree in Computer Science, Information Technology, or other IT related field.
2. Strong verbal and written communication skills
3. Strong work ethic and attention to detail and organized
...</t>
  </si>
  <si>
    <t>WVU Medicine</t>
  </si>
  <si>
    <t>Music Department - Student Office Worker</t>
  </si>
  <si>
    <t>$16-$16.90 /h</t>
  </si>
  <si>
    <t>1. Ability to handle day-to-day communications in a front office setting
2. Experience in answering emails and phone calls
3. Ability to assist students with finding general information about department activities
...</t>
  </si>
  <si>
    <t>Free Country</t>
  </si>
  <si>
    <t>1. Currently enrolled in an undergraduate or graduate program, or &lt;2 years out of school, ideally in marketing, business administration or a related field.
2. At least 1+ year of cumulative internship experience in a similar role using customer service platforms.
3. Independent but reliable when it comes to hitting deadlines and juggling multiple projects.
...</t>
  </si>
  <si>
    <t>1. Matriculated SUNY Upstate or other approved matriculated college student
2. Students seeking entry into an advanced healthcare program/completing requirements for an advanced healthcare program
3. Not to exceed 29 hours per week
...</t>
  </si>
  <si>
    <t>1. Matriculated SUNY Upstate or other approved matriculated college student
2. Students seeking entry into an advanced healthcare program/completing requirements for an advanced healthcare program
3. Not to exceed 29 hours per week</t>
  </si>
  <si>
    <t>IT Intern - Virginia Tech Athletics</t>
  </si>
  <si>
    <t>1. Pursuing a degree related to IT preferred
2. Use logical thinking to perform a variety of office tasks that require special skills and knowledge
3. Make decisions based on company policy and good judgment
...</t>
  </si>
  <si>
    <t>Student Worker - Functional-ASU Tempe Marketing</t>
  </si>
  <si>
    <t>2024 Technical Writer, Research Intern</t>
  </si>
  <si>
    <t>Snap</t>
  </si>
  <si>
    <t>Apps, Messaging</t>
  </si>
  <si>
    <t>1. Currently enrolled and pursuing an undergraduate degree, from an accredited college or university in the field of Communications, Public Relations, Journalism, or other related field
2. Graduation date between December 2024 - Spring 2025
3. Experience with graphic design programs (such as InDesign, Canva, Photoshop, etc.)</t>
  </si>
  <si>
    <t>Imaging Tech Student (CRMH)- Flex/PRN</t>
  </si>
  <si>
    <t>1. High school graduate or equivalent education required
2. Current student in 3rd or 4th quarter of an approved school of Radiologic Technology
3. Must provide proof of enrollment in Radiology program
...</t>
  </si>
  <si>
    <t>IT Support Assistant</t>
  </si>
  <si>
    <t>Randolph, VT</t>
  </si>
  <si>
    <t>1. Requires High School Diploma or equivalent.
2. 1-2 years of experience supporting desktops/laptops; specifically, with systems running Windows 10 on a Windows network, including printers and other peripherals. (Education may be counted in lieu of experience, one year of college is equivalent to two years of experience).
3. Experience supporting an array of applications on the Windows operating systems including Microsoft Office, SharePoint, Teams, OneDrive, Outlook Email, disk encryption, and antivirus software.
...</t>
  </si>
  <si>
    <t>2024-2025 - Office of Financial Aid, Student Computer Support Assistant - Undergraduate</t>
  </si>
  <si>
    <t>2024-2025 - Office of Financial Aid, Student Computer Support Assistant - Graduate</t>
  </si>
  <si>
    <t>1. Must be enrolled at FIU with a minimum of six credit hours in a course of study leading to a degree or a financial aid eligible certificate.
2. Proficient in MS Word, Excel and Outlook
3. Detail oriented individual with good organizational and analytical skillsAbility to communicate effectively.
...</t>
  </si>
  <si>
    <t>Applied Research Services</t>
  </si>
  <si>
    <t>Consulting, Training</t>
  </si>
  <si>
    <t>Rad Tech Student</t>
  </si>
  <si>
    <t>SSM Health</t>
  </si>
  <si>
    <t>1. Enrolled in an accredited radiology school
2. Basic Life Support HealthCare Provider (BLS HCP) - American Heart Association (AHA)</t>
  </si>
  <si>
    <t>Highway Transport</t>
  </si>
  <si>
    <t>1. High school education or GED required
2. Current enrollment in a college/university/technical school degree program required
3. Excellent interpersonal communication
...</t>
  </si>
  <si>
    <t>Glencoe, IL</t>
  </si>
  <si>
    <t>Internal Traveler - Surgical Tech</t>
  </si>
  <si>
    <t>CHKD</t>
  </si>
  <si>
    <t>1. Certification in operating room technology or surgical technology through the National Association of Operating Room Technicians required.
2. Graduation from an accredited school of surgical technology, operating room technology or a school of practical nursing or equivalent program required.
3. Basic knowledge to perform arithmetic calculations when maintaining record of charges normally acquired through completion of high school.
...</t>
  </si>
  <si>
    <t>Arnold, MO</t>
  </si>
  <si>
    <t>Respiratory Student Tech (RCA)</t>
  </si>
  <si>
    <t>1. High school diploma or equivalent
2. Currently enrolled as a second-year student in a Respiratory Therapy program accredited by the Committee on Accreditation for Respiratory Care (CoARC) with a minimum cumulative GPA of 3.0 required
3. Requires critical thinking skills, decisive judgment, and the ability to work with minimal supervision
...</t>
  </si>
  <si>
    <t>Raeford, NC</t>
  </si>
  <si>
    <t>1. Currently enrolled as a second-year student in a Respiratory Therapy program accredited by the Committee on Accreditation for Respiratory Care (CoARC) with a minimum cumulative GPA of 3.0 required
2. Requires critical thinking skills, decisive judgment, and the ability to work with minimal supervision
3. Must be able to work in a stressful environment and take appropriate action
...</t>
  </si>
  <si>
    <t>Intern - Golf Performance Center (Seasonal)</t>
  </si>
  <si>
    <t>Sea Island Company</t>
  </si>
  <si>
    <t>St Simons Island, GA</t>
  </si>
  <si>
    <t>1. Currently enrolled in a PGM program at an accredited university
2. Familiar with golf industry standards strongly desired
3. Retail knowledge strongly desired
...</t>
  </si>
  <si>
    <t>Testing Center Assistant - STUDENTS ONLY (Federal Work Study)</t>
  </si>
  <si>
    <t>1. Customer service experience preferred
2. Basic Microsoft Suite experience
3. Dependable - able to maintain a work schedule
...</t>
  </si>
  <si>
    <t>Respiratory Aide/Intern</t>
  </si>
  <si>
    <t>1. Current student in good standing with an AMA approved Respiratory Care Program or a recent graduate of an AMA approved Respiratory Care Program
2. Current Respiratory Care Limited Permit, as required by the state they are working
3. BLS Basic Life Support - American Heart Association</t>
  </si>
  <si>
    <t>Bon Secours</t>
  </si>
  <si>
    <t>IT Trainee</t>
  </si>
  <si>
    <t>1. Must be able to work a minimum of 40 hours per week and available for the full 90 days
2. Associate, Bachelor, or Graduate degree in Information Technology or hands-on experience working in a help desk environment or similar
3. Cumulative GPA of 3.0 or above
...</t>
  </si>
  <si>
    <t>Port Huron, MI</t>
  </si>
  <si>
    <t>1. High School Diploma or equivalent
2. One (1) to two (2) years of formal education or training beyond High School Diploma or GED
3. Must have completed one (1) year of two (2) year accredited radiology training program; has not yet graduated
...</t>
  </si>
  <si>
    <t>Co-op, IT</t>
  </si>
  <si>
    <t>PKC Group</t>
  </si>
  <si>
    <t>Automotive, Electrical Distribution</t>
  </si>
  <si>
    <t>1. Computer Science, Information Technology, or Management Information Systems major
2. Minimum Sophomore student status
3. Minimum GPA of 2.5
...</t>
  </si>
  <si>
    <t>Intern - Languages (Spanish)</t>
  </si>
  <si>
    <t>Universal Electronics</t>
  </si>
  <si>
    <t>Consumer Electronics, Smart Home</t>
  </si>
  <si>
    <t>1. Basic understanding of IT concepts, including hardware, software, networking, and system configuration
2. Familiarity with Microsoft 365, Atlassian, Jira applications and services
3. Proficiency in Microsoft Office Suite (Word, Excel, PowerPoint)
...</t>
  </si>
  <si>
    <t>Columbus, NE</t>
  </si>
  <si>
    <t>$24.17-$27.89 /h</t>
  </si>
  <si>
    <t>1. Enrolled in an accredited two-year or four-year college/university with a minimum of 12 semester units or eight quarter units
2. Freshman, sophomore, junior, or senior standing in a related major
3. Maintain enrollment throughout the internship
...</t>
  </si>
  <si>
    <t>Global industry Customer Service Co-Op</t>
  </si>
  <si>
    <t>1. Must be currently enrolled in a degree program at a recognized institution of higher learning
2. Majoring in Engineering, Microbiology, Biology, Chemistry, or similar STEM fields
3. Solid verbal and written communication skills
...</t>
  </si>
  <si>
    <t>Summer Conference Assistant</t>
  </si>
  <si>
    <t>Vermont State University</t>
  </si>
  <si>
    <t>Johnson, VT</t>
  </si>
  <si>
    <t>1. Able to lift a minimum of 50 lbs. consistently, which requires lifting, carrying, reaching, kneeling, climbing, bending, and twisting.
2. Valid driver's license.</t>
  </si>
  <si>
    <t>1. Experience in administrative work, customer service, client relations, or related areas. Maybe you are looking to break into healthcare!
2. A passion for work that benefits children with Autism Spectrum Disorder and their families!
3. An eagerness to be a part of a caring and team-oriented company culture
...</t>
  </si>
  <si>
    <t>Radiology Student Associate I</t>
  </si>
  <si>
    <t>Highlands Ranch, CO</t>
  </si>
  <si>
    <t>$19.10-$24.83 /h</t>
  </si>
  <si>
    <t>1. Must be a student in good standing in the UCHealth School of Radiology Program; or must be a student in good standing in an affiliated program approved by Sr Director of Imaging Services.
2. Basic Life Support (BLS) Healthcare Provider; BLS through the American Heart Association or the American Red Cross CPR for the Professional Rescuer with card in-hand before start date. BLS or CPR card must be good through sixty days of hire.</t>
  </si>
  <si>
    <t>1. One year of formal education or training beyond High School Diploma or GED.
2. Must have completed one year of two year accredited radiology training program; has not yet graduated.
3. BLS Certification</t>
  </si>
  <si>
    <t>IT Service Desk Intern</t>
  </si>
  <si>
    <t>H.I.G. Capital</t>
  </si>
  <si>
    <t>1. Must be currently enrolled in a college degree program (Computer Science, Computer Information Systems, or similar degree highly preferred).
2. Excellent customer service skills.
3. Developed problem solving skills including the ability to explain technical solutions to non-technical users.
...</t>
  </si>
  <si>
    <t>I.T. Support Internship</t>
  </si>
  <si>
    <t>1. High school diploma
2. Prior experience in PC repair, maintenance, software configuration in a Help Desk environment
3. Working knowledge of MS Windows 7/10, MS Office 2013/2016, MS Windows Server administration, LAN/WAN Networking, and wireless/WIFI
...</t>
  </si>
  <si>
    <t>Respiratory Aide II - Student Respiratory Therapist</t>
  </si>
  <si>
    <t>1. Current student in good standing with an AMA approved Respiratory Care Program or a recent graduate of an AMA approved Respiratory Care Program
2. Current Respiratory Care Limited Permit
3. BLS Basic Life Support - American Heart Association</t>
  </si>
  <si>
    <t>Managed Services Internship</t>
  </si>
  <si>
    <t>DataGrail</t>
  </si>
  <si>
    <t>Compliance, Cyber Security</t>
  </si>
  <si>
    <t>Boston - United States</t>
  </si>
  <si>
    <t>1. A strong commitment to getting things right the first time. This includes double-checking your work, identifying and correcting errors, and maintaining a high level of precision
2. The ability to manage competing deadlines and prioritize
3. You're an active listener and communicate clearly with all levels of the organization
...</t>
  </si>
  <si>
    <t>Technical Services Intern</t>
  </si>
  <si>
    <t>Managed Solution</t>
  </si>
  <si>
    <t>Business Intelligence, Cloud Computing</t>
  </si>
  <si>
    <t>1. College-Level Internship: at least 2 years of coursework within or graduation from a technology-related college or degree program is required.
2. Strong proficiency with desktop (hardware, OS, etc.) fundamentals is required and 1+ year of desktop/end-user IT support is ideal.
3. Strong proficiency across IT foundations (network/server infrastructure; operating systems; cybersecurity; cloud technology; etc.) is highly desired.
...</t>
  </si>
  <si>
    <t>Student Worker - Facilities Engineering - 2024/2025</t>
  </si>
  <si>
    <t>1. No prior experience necessary</t>
  </si>
  <si>
    <t>Help Desk Student Worker</t>
  </si>
  <si>
    <t>Stark State College of Technology</t>
  </si>
  <si>
    <t>1. Enrollment in an ET/IT program or previous IT experience
2. Excellent communication and writing skills
3. Ability to work well with people
...</t>
  </si>
  <si>
    <t>Bilingual Customer Service Representative - DIRECT HIRE</t>
  </si>
  <si>
    <t>Techworkers</t>
  </si>
  <si>
    <t>CRM, Information Services</t>
  </si>
  <si>
    <t>1. Currently enrolled in college or holds a BA degree in Business, Communications, or a related field.
2. Excellent communication and interpersonal skills.
3. Ability to multitask and adapt to shifting priorities.
...</t>
  </si>
  <si>
    <t>Document Spec I. Offsite MS - 2nd Shift</t>
  </si>
  <si>
    <t>$15.28-$15.28 /h</t>
  </si>
  <si>
    <t>1. Prepping documents for scanning
2. Attention to detail
3. Ability to work quickly and accurately
...</t>
  </si>
  <si>
    <t>Administrative Reception Volunteer</t>
  </si>
  <si>
    <t>The Salvation Army USA Eastern Territory</t>
  </si>
  <si>
    <t>1. Availability during the specified schedules: 9:00 a.m. to 12:00 p.m. or 1:30 p.m. to 4:00 p.m. Monday through Friday
2. Ability to greet visitors and answer incoming calls
3. Capability to direct calls to the appropriate departments/facilities
...</t>
  </si>
  <si>
    <t>Intern - Languages (Russian)</t>
  </si>
  <si>
    <t>Fall 2024 Reception &amp; Placement Intern</t>
  </si>
  <si>
    <t>1. Excellent communication and writing skills
2. Organized with attention to detail
3. Able to work independently and under pressure
...</t>
  </si>
  <si>
    <t>Java City Student Barista</t>
  </si>
  <si>
    <t>1. Previous customer service experience preferred
2. Previous cash handling experience preferred
3. Previous experience as a barista preferred
...</t>
  </si>
  <si>
    <t>Delta Star</t>
  </si>
  <si>
    <t>Electronics</t>
  </si>
  <si>
    <t>1. Currently pursuing a degree in Information Technology, Computer Science, or a related field.
2. Basic understanding of computer systems, networks, and software applications.
3. Familiarity with Windows operating systems and other Microsoft office productivity software.
...</t>
  </si>
  <si>
    <t>Part-Time Event Data Coordinator (Student)</t>
  </si>
  <si>
    <t>1. MA/MFA candidate or degree holder or Ph.D. candidate
2. The individual filling this position must be creative, results oriented, excel in customer service, and have strong administrative skills.
3. Expertise in Microsoft Excel is required.</t>
  </si>
  <si>
    <t>QMA-Qualified Medication Assistant</t>
  </si>
  <si>
    <t>1. Certified License for QMA (Qualified Medication Aide) or CMA (Certified Medication Aide)
2. Experienced QMA or CMA in a long-term care or home care setting a plus
3. High School Diploma or equivalent</t>
  </si>
  <si>
    <t>IT Support Apprenticeship</t>
  </si>
  <si>
    <t>OpenClassrooms</t>
  </si>
  <si>
    <t>1. Able to work on-site within the employer's Location, remote, or hybrid
2. At least 18 years of age
3. U.S. citizen or have the right to work in the U.S.
...</t>
  </si>
  <si>
    <t>Greater Los Angeles, CA</t>
  </si>
  <si>
    <t>Intern - Languages (Arabic)</t>
  </si>
  <si>
    <t>Intern - Languages (English)</t>
  </si>
  <si>
    <t>1. Fluency in English, which must be the candidate's main language
2. Knowledge of another official language
3. Enrolled in a graduate school program (second university degree or equivalent, or higher)
...</t>
  </si>
  <si>
    <t>Santa Ana, CA - USA</t>
  </si>
  <si>
    <t>1. Basic understanding of IT concepts, including hardware, software, networking, and system configuration.
2. Familiarity with Microsoft 365, Atlassian, Jira applications and services.
3. Proficiency in Microsoft Office Suite (Word, Excel, PowerPoint).
...</t>
  </si>
  <si>
    <t>Spirax Sarco USA</t>
  </si>
  <si>
    <t>1. Experience in customer service or related field
2. Excellent communication skills, both written and verbal
3. Ability to work effectively in a team environment
...</t>
  </si>
  <si>
    <t>Student Data Collector - Part Time</t>
  </si>
  <si>
    <t>The Black Sheep</t>
  </si>
  <si>
    <t>Mobile, News</t>
  </si>
  <si>
    <t>1. Must be a college student living within driving distance of your campus
2. Must be comfortable engaging with properties as a prospective lessee
3. Diligent and organized note-taking skills
...</t>
  </si>
  <si>
    <t>INTERNAL ONLY - Clinic Admissions Associate ABC Academy</t>
  </si>
  <si>
    <t>Cedar Park, TX</t>
  </si>
  <si>
    <t>Maintenance Intern</t>
  </si>
  <si>
    <t>Alkegen</t>
  </si>
  <si>
    <t>1. High School Diploma or GED
2. Summer Work Only: May thru Labor Day
3. Computer skills (Excel)
...</t>
  </si>
  <si>
    <t>Donor Stewardship Caller- Student Position</t>
  </si>
  <si>
    <t>Luther Seminary</t>
  </si>
  <si>
    <t>$15.57-$15.57 /h</t>
  </si>
  <si>
    <t>1. Student at Luther Seminary
2. Able to work 5-10 hours per week, on campus.
3. A high degree of comfort speaking on the phone, with a clear and natural tone.
...</t>
  </si>
  <si>
    <t>Aledo, TX</t>
  </si>
  <si>
    <t>Manitowoc, WI</t>
  </si>
  <si>
    <t>L'Anse, MI</t>
  </si>
  <si>
    <t>Scheduling Support Intern</t>
  </si>
  <si>
    <t>1. Currently enrolled in a Bachelor’s Degree program, with a focus on Science, Engineering, or Business.
2. Candidate must be detail-oriented.
3. Must possess effective communication and interpersonal skills.
...</t>
  </si>
  <si>
    <t>General Utility Worker - Village CFA - Auburn University Dining</t>
  </si>
  <si>
    <t>1. Currently enrolled in a Bachelor’s Degree program, with a focus on Science, Engineering, or Business
2. Candidate must be detail oriented
3. Must possess effective communication and interpersonal skills
...</t>
  </si>
  <si>
    <t>Technical Writing Intern</t>
  </si>
  <si>
    <t>1. Currently pursuing Bachelors or better in Communications, English, or related fields
2. Unrestricted authorization to work in the United States now and in the future
3. Cumulative GPA &gt;=3.0 (out of 4.0)
...</t>
  </si>
  <si>
    <t>Delphi, IN</t>
  </si>
  <si>
    <t>IS/IT Service Desk Intern</t>
  </si>
  <si>
    <t>Samaritan Health Services</t>
  </si>
  <si>
    <t>1. Experience or training in Microsoft Office, Visio, SharePoint, and Wiki
2. Showing attention to detail and document systems
3. Phone and in-person communication skills
...</t>
  </si>
  <si>
    <t>Music Office Assistant</t>
  </si>
  <si>
    <t>Graduate Assistant - Computer Science &amp; Information Technology</t>
  </si>
  <si>
    <t>1. Bachelor's degree
2. Enrolled at EKU</t>
  </si>
  <si>
    <t>Senior Laboratory Assistant *Per Diem*</t>
  </si>
  <si>
    <t>1. Completion of a Phlebotomy course (including completion of a 4 week internship in Phlebotomy in a clinical laboratory setting)
2. Completion of an accredited Medical Assistant Course a combination of education and directly related work experience. Or six months of related laboratory work experience and eligible for DOH Medical Assistant-Phlebotomy license
3. If job assignment requires driving to another facility, complete Defensive Driving course within 6 months of hire and every three years thereafter.
...</t>
  </si>
  <si>
    <t>Senior Laboratory Assistant *Nights*</t>
  </si>
  <si>
    <t>IT Operations Intern (2024)</t>
  </si>
  <si>
    <t>1. Current studies in the field of I.T. with a concentration in networking or infrastructure
2. Experience with currently supported Microsoft operating systems at both the desktop and server level
3. Basic understanding of network concepts
...</t>
  </si>
  <si>
    <t>Theatre &amp; Dance Student Office Assistant</t>
  </si>
  <si>
    <t>1. Strong customer service skills as evidenced in application material or from previous work experience
2. During the semester term of the appointment, the student hourly must be enrolled in no fewer than 6 credit hours. For summer periods the student hourly must: 1) have been enrolled in no less than 6 hours in the past spring semester or 2) be pre-enrolled in upcoming fall semester in no less than 6 hours or 3) be enrolled in summer session or 4) be admitted to study in the upcoming fall semester. Student Hourlies may be undergraduate or graduate students. (Exceptions granted for GTA/GRA/GA appointments DO NOT apply to Student Hourly appointments)</t>
  </si>
  <si>
    <t>Intern – Business Associate</t>
  </si>
  <si>
    <t>University of Massachusetts</t>
  </si>
  <si>
    <t>1. Current UMass student who is enrolled in an undergraduate or graduate program of study within Communications, Marketing or General Business courses.
2. GPA 3.0 or higher.
3. Creative, eager to learn, motivated, and willing to take initiative on assigned projects/tasks.
...</t>
  </si>
  <si>
    <t>Informational Technology Intern</t>
  </si>
  <si>
    <t>1. Bachelor’s or master's degree in information technology, Computer Science, business information systems or a related field preferred
2. Strong object-oriented design skills with experience in software development methodologies
3. Must have a stable computer/laptop, Wi-Fi, and working webcam
...</t>
  </si>
  <si>
    <t>Part-Time Student, Help Desk Student Aide (5) - Raritan Valley Community College</t>
  </si>
  <si>
    <t>Raritan Valley Community College</t>
  </si>
  <si>
    <t>North Branch, NJ</t>
  </si>
  <si>
    <t>1. Plans to be an RVCC credit student taking at least 6 credits for at least the next two Fall and Spring or Spring and Fall semesters.
2. Basic Windows Operating System.
3. Basic Microsoft Office.
...</t>
  </si>
  <si>
    <t>1. Currently enrolled in an accredited Radiology Technology Program with the intent to obtain an Associate Degree in Radiology.
2. Requires critical thinking skills, decisive judgment, and the ability to work with minimal supervision.
3. Must be able to work in a stressful environment and take appropriate action.
...</t>
  </si>
  <si>
    <t>IT Services Co-Op</t>
  </si>
  <si>
    <t>1. Currently performing course work in Computer Sciences or a related field.
2. Possess a service orientation and attitude in working with others.
3. Be detail-oriented and methodical in solving problems and managing multiple projects.
...</t>
  </si>
  <si>
    <t>Scanner</t>
  </si>
  <si>
    <t>Brady, Martz &amp; Associates, P.C.</t>
  </si>
  <si>
    <t>1. Must be a 1st or 2nd year accounting student
2. Proficient in using scanning equipment and software
3. Strong attention to detail and organizational skills
...</t>
  </si>
  <si>
    <t>CT Tech - Internal Traveler</t>
  </si>
  <si>
    <t>Health First</t>
  </si>
  <si>
    <t>1. Certified and registered in radiography or radiation therapy by the ARRT – must maintain certification and registration at all times
2. Certified and registered in nuclear medicine technology by ARRT or the Nuclear Medicine Technology Certification Board (NMTCB) – must maintain certification and registration at all time
3. Possess a current Florida State License as a General Radiographer
...</t>
  </si>
  <si>
    <t>IT Application Support Intern</t>
  </si>
  <si>
    <t>Discovery Senior Living</t>
  </si>
  <si>
    <t>Health Care, Real Estate</t>
  </si>
  <si>
    <t>Bonita Springs, FL</t>
  </si>
  <si>
    <t>1. Currently enrolled in a computer science, information technology, or related program (minimum sophomore year).
2. Strong understanding of computer hardware and software concepts.
3. Excellent analytical and problem-solving skills.
...</t>
  </si>
  <si>
    <t>Pulaski, VA</t>
  </si>
  <si>
    <t>Pharmacy Intern - Quality Assurance</t>
  </si>
  <si>
    <t>1. High school diploma required and must be currently enrolled in an accredited College of Pharmacy program or pre-pharmacy program
2. Current registration or eligibility to be registered as a Pharmacy Intern in the State of Connecticut as outlined by the Dept. of Consumer Protection
3. Must be registered or eligible for registration as a Pharmacy Intern in the State of Connecticut as outlined by the Dept. of Consumer Protection
...</t>
  </si>
  <si>
    <t>DOD Skillbridge - Technical Writer</t>
  </si>
  <si>
    <t>Material Handler - Summer Help</t>
  </si>
  <si>
    <t>Osage, IA</t>
  </si>
  <si>
    <t>1. Basic knowledge of general warehouse layout, item identification codes, basic knowledge of warehouse procedures and familiarity with the storage areas
2. Able to stock, move, arrange, and rotate items in accordance with operating instructions or under guidance of a higher level employee
3. Basic knowledge of shrink-wrap equipment
...</t>
  </si>
  <si>
    <t>CT Student Tech PRN</t>
  </si>
  <si>
    <t>1. High school diploma or equivalent - Required
2. Must be classified as a second-year student in an accredited radiology program. (RT., A.R.R.T.)
3. The employee must have the ability to understand, communicate and react effectively to the unique needs of neonatal, pediatric, adolescent, adult and geriatric patients.
...</t>
  </si>
  <si>
    <t>Rad Tech Extern PRN</t>
  </si>
  <si>
    <t>Fort Mohave, AZ</t>
  </si>
  <si>
    <t>1. Currently enrolled in an accredited or approved program in Radiologic Technology
2. 2nd Year Student
3. Anticipated completion, as verified by program director, from a Radiography program that is accredited by a mechanism acceptable to the ARRT
...</t>
  </si>
  <si>
    <t>Rad Tech- Student</t>
  </si>
  <si>
    <t>Selma, AL</t>
  </si>
  <si>
    <t>1. Graduate of a Program in Discipline
2. Requires critical thinking skills, decisive judgment and the ability to work with minimal supervision
3. Must be able to work in a stressful environment and take appropriate action
...</t>
  </si>
  <si>
    <t>Aeromax</t>
  </si>
  <si>
    <t>1. Minimum of 2 years of experience in an IT environment or education
2. Able to read, write, and communicate effectively in English</t>
  </si>
  <si>
    <t>Front Desk Attendant</t>
  </si>
  <si>
    <t>United Sports</t>
  </si>
  <si>
    <t>Cricket, Hockey</t>
  </si>
  <si>
    <t>1. Candidates must be local or somewhat close to Downingtown, PA area
2. Candidates must be able to work year-round
3. Ideal position for a high school student
...</t>
  </si>
  <si>
    <t>Start Your Tech Journey - FREE Tech/IT Fundamentals Program -</t>
  </si>
  <si>
    <t>Bahama, NC</t>
  </si>
  <si>
    <t>Service Desk Intern - Fall 2024</t>
  </si>
  <si>
    <t>1. High school diploma or equivalent required
2. Actively pursuing Associate or Bachelor degree in related field of study
3. Demonstrates empathy and a commitment to providing superior member service
...</t>
  </si>
  <si>
    <t>firsthand Guide Peer Support Intern</t>
  </si>
  <si>
    <t>Firsthand</t>
  </si>
  <si>
    <t>1. High School Diploma or equivalent.
2. Strong self-care skills.
3. Lived experience with SMI and/or SUD.</t>
  </si>
  <si>
    <t>Sienna, TX</t>
  </si>
  <si>
    <t>1. Experience in administrative work, customer service, client relations, or related areas. Maybe you are looking to break into healthcare!
2. Passion for work that benefits children with Autism Spectrum Disorder and their families!
3. A positive and contagious attitude that shows your readiness to engage with our families!
...</t>
  </si>
  <si>
    <t>DoD SkillBridge Internship - Field Technical Support ~ Sacramento</t>
  </si>
  <si>
    <t>Benson, NC</t>
  </si>
  <si>
    <t>Eaton, OH</t>
  </si>
  <si>
    <t>West Milton, OH</t>
  </si>
  <si>
    <t>Troy, IL</t>
  </si>
  <si>
    <t>DoD SkillBridge Internship - Field Technical Support ~ Cedar Rapids/Eastern Iowa</t>
  </si>
  <si>
    <t>Casual Staff - Research Assistant</t>
  </si>
  <si>
    <t>$16-$16.50 /h</t>
  </si>
  <si>
    <t>1. Law school student or graduate
2. Familiarity with legal research and Excel spreadsheets</t>
  </si>
  <si>
    <t>Systems Intern</t>
  </si>
  <si>
    <t>SPS Companies, Inc</t>
  </si>
  <si>
    <t>1. Experience with troubleshooting PCs, peripheral systems, and software.
2. Detail orientation
3. Customer orientation
...</t>
  </si>
  <si>
    <t>DoD SkillBridge Internship - Field Technical Support ~ Detroit/Grand Rapids</t>
  </si>
  <si>
    <t>FWS Student Campus Card Office Assistant</t>
  </si>
  <si>
    <t>1. Must be a Stevens student currently enrolled
2. Must have at least 6 credits
3. Must have received a Federal Work Study on your Financial Aid Award Letter</t>
  </si>
  <si>
    <t>Summer Seasonal Associate - Sandhill</t>
  </si>
  <si>
    <t>Summer Seasonal Associate - Pineville</t>
  </si>
  <si>
    <t>Registrar Internship - Fall 2024</t>
  </si>
  <si>
    <t>1. Current college or university student or applications submitted within one year after graduation
2. Ability to work 20 – 24 hours per week for 12 weeks
3. Flexible, self-motivated, and a team player
...</t>
  </si>
  <si>
    <t>Ultrasound Tech Student SPRN</t>
  </si>
  <si>
    <t>1. Currently enrolled in an accredited ultrasound program by the Commission on Accreditation for Allied Health Education Programs (CAAHEP) or by the Canadian Medical Association (CMA) in Canada.
2. 1 year as a student in an accredited Commission on Accreditation for Allied Health Education Programs (CAAHEP) or a Canadian Medical Association (CMA) program.
3. Basic Life Support (BLS) certified</t>
  </si>
  <si>
    <t>Break into Tech! - FREE Tech Fundamentals Program (Dayton, OH)</t>
  </si>
  <si>
    <t>Fletcher, OH</t>
  </si>
  <si>
    <t>Join Our Street Team</t>
  </si>
  <si>
    <t>Mosquito Mary's</t>
  </si>
  <si>
    <t>Plainville, MA</t>
  </si>
  <si>
    <t>1. High school or college students encouraged!
2. Reliable transportation as you will be driving to area neighborhoods
3. Motivated, and friendly individuals wanted.
...</t>
  </si>
  <si>
    <t>Tech Fundamentals Program - Break into Tech! (St. Louis, MO)</t>
  </si>
  <si>
    <t>Dupo, IL</t>
  </si>
  <si>
    <t>Lebanon, IL</t>
  </si>
  <si>
    <t>DoD SkillBridge Internship - Field Technical Support ~ Indianapolis</t>
  </si>
  <si>
    <t>Fairbanks, IN</t>
  </si>
  <si>
    <t>FREE Tech Fundamentals Program - Launching Tech Career! (Dayton, OH)</t>
  </si>
  <si>
    <t>Patient Care Associate (Trainee) - Gastrointestinal Center</t>
  </si>
  <si>
    <t>$15.25-$19.96 /h</t>
  </si>
  <si>
    <t>1. High school diploma or equivalent high school certification.
2. REQUIRED LICENSURE/CERTIFICATION/REGISTRATION: Basic Life Support certification within 30 days of hire (Online BLS certifications, those without a skills assessment component, are not sufficient to meet the BLS requirements).</t>
  </si>
  <si>
    <t>Peregrine Senior Living</t>
  </si>
  <si>
    <t>Assisted Living, Communities</t>
  </si>
  <si>
    <t>Clifton Park, NY</t>
  </si>
  <si>
    <t>1. High School Diploma or General Education Degree (GED)
2. Two (2) years of resident care experience and/or training required
3. Successfully complete all trainings as required by state regulations</t>
  </si>
  <si>
    <t>Non-Student Research Assistant</t>
  </si>
  <si>
    <t>Summer Seasonal Associate – Haywood</t>
  </si>
  <si>
    <t>Summer Seasonal Associate</t>
  </si>
  <si>
    <t>Tulsa, OK - Tulsa Hills Belk</t>
  </si>
  <si>
    <t>New Braunfels, TX - Town Ctr @Creekside Belk</t>
  </si>
  <si>
    <t>Jackson, TN - Old Hickory Mall Belk</t>
  </si>
  <si>
    <t>Greensboro, NC - Friendly Center Belk</t>
  </si>
  <si>
    <t>McComb, MS - Edgewood Mall Belk</t>
  </si>
  <si>
    <t>Danville, VA - Piedmont Mall Belk</t>
  </si>
  <si>
    <t>Somerset, KY - Somerset Mall Belk</t>
  </si>
  <si>
    <t>Greenville, SC - Haywood Mall Belk</t>
  </si>
  <si>
    <t>Winston-Salem, NC - Hanes Mall Belk</t>
  </si>
  <si>
    <t>Chattanooga, TN - Northgate Mall Belk</t>
  </si>
  <si>
    <t>Smithfield, NC - Center Pointe Plaza Belk</t>
  </si>
  <si>
    <t>Savannah, GA - Oglethorpe Mall Belk</t>
  </si>
  <si>
    <t>Fredericksburg, VA - Spotsylvania Mall Belk</t>
  </si>
  <si>
    <t>Summer Seasonal Associate - Crabtree</t>
  </si>
  <si>
    <t>Raleigh, NC - Crabtree Valley Mall Belk</t>
  </si>
  <si>
    <t>Durham, NC - Southpoint Belk</t>
  </si>
  <si>
    <t>Lakeland, FL - Lakeside Village Belk</t>
  </si>
  <si>
    <t>Laurel, MS - Sawmill Square Mall Belk</t>
  </si>
  <si>
    <t>Columbia, SC - Village at Sandhill Belk</t>
  </si>
  <si>
    <t>Rocky Mount, NC - G. E. Crossing Mall Belk</t>
  </si>
  <si>
    <t>Pineville, NC - Carolina Place Belk</t>
  </si>
  <si>
    <t>Archiving Intern</t>
  </si>
  <si>
    <t>1. Currently enrolled in a relevant academic program
2. Strong attention to detail and organizational skills
3. Familiarity with archival principles and best practices
...</t>
  </si>
  <si>
    <t>Part-Time Student Services Support- Engineering</t>
  </si>
  <si>
    <t>FREE Tech Fundamentals Program - Launching Tech Career!</t>
  </si>
  <si>
    <t>Trenton, OH</t>
  </si>
  <si>
    <t>1. Up to 20 weeks of instructor-led virtual training
2. Opportunity for a paid internship or a project-based learning experience
3. Opportunity to earn industry-recognized certifications: CompTIA A+ and a Google IT Support Certificate, and an IT Generalist Apprenticeship credential
...</t>
  </si>
  <si>
    <t>Temporary Internal Traveler - CT Tech</t>
  </si>
  <si>
    <t>UNC Health Care</t>
  </si>
  <si>
    <t>Addiction Treatment, Health Care</t>
  </si>
  <si>
    <t>$18-$69 /h</t>
  </si>
  <si>
    <t>1. Completion of an accredited educational program in Radiological Science or completion within 3 months at time of application
2. Must be registered with the American Registry of Radiological Sciences or registry eligible. For registry eligible candidates: must provide a copy of diploma from accredited program
3. Requires advanced certification in CT within one year of employment
...</t>
  </si>
  <si>
    <t>DoD SkillBridge Internship - Field Technical Support ~ Fremont</t>
  </si>
  <si>
    <t>1. Entry Level (0 to 1 Years of relevant work experience) is required.
2. Expected to graduate within 6-18 months of the program.
3. Actively enrolled in school and working towards a technical or bachelor's degree. A technical focus is preferred.
...</t>
  </si>
  <si>
    <t>DoD SkillBridge Internship - Field Technical Support ~ Seattle</t>
  </si>
  <si>
    <t>Brookville, OH</t>
  </si>
  <si>
    <t>Work Ability Intern - Front Desk Receptionist - South Jordan / Taylorsville</t>
  </si>
  <si>
    <t>State of Utah</t>
  </si>
  <si>
    <t>Salt Lake County, UT</t>
  </si>
  <si>
    <t>1. Documented disability (SSDI, SSI, Veterans Administration Certification, Letter from Licensed Vocational Rehabilitation Counselor, or Department of Human Resource Management form letter signed by a physician)
2. Availability to work part-time, 20-32 hours per week
3. Strong customer service skills
...</t>
  </si>
  <si>
    <t>Ultrasound tech trainee</t>
  </si>
  <si>
    <t>1. Must enroll and be accepted into an accredited Diagnostic Medical Sonography program
2. High school diploma or equivalent
3. BLS certification within 30 days of hire</t>
  </si>
  <si>
    <t>1. Provides direct meal and nourishment service to patients
2. Ability to adjust menu selections through direct conversations with patients
3. Ability to verbally present alternative selections to patients within their specific nutrition plan
...</t>
  </si>
  <si>
    <t>Break into Tech! - No Cost Tech Fundamentals Program (Dayton, OH)</t>
  </si>
  <si>
    <t>Technical Writing Internship (Summer 2024)</t>
  </si>
  <si>
    <t>1. Experience researching and writing technical content on niche topics (e.g. topics that would confuse ChatGPT)
2. The ability to communicate with and attract a B2B audience of developers and quants, especially for Linkedin, Twitter, and Medium
3. Knowledge of CRMs like Hubspot, as well as growth metrics and content analytics
...</t>
  </si>
  <si>
    <t>In-Game PA Announcing Student Employee</t>
  </si>
  <si>
    <t>Southeastern University</t>
  </si>
  <si>
    <t>1. Professionalism
2. Reliability
3. Enthusiasm about sports
...</t>
  </si>
  <si>
    <t>Student Teller Joliet Township High School</t>
  </si>
  <si>
    <t>1. Making deposits, withdrawals &amp; transfers for Abri members
2. Balancing your drawer
3. Learning about banking products &amp; more</t>
  </si>
  <si>
    <t>Student Campus Card Office Assistant</t>
  </si>
  <si>
    <t>1. Must be a Stevens student currently enrolled
2. Must have full-time status
3. Bachelors Degree required</t>
  </si>
  <si>
    <t>DoD SkillBridge Internship - Field Technical Support ~ Anchorage/Fairbanks</t>
  </si>
  <si>
    <t>DoD SkillBridge Internship - Field Technical Support ~ Portland</t>
  </si>
  <si>
    <t>Graduate Student Grader</t>
  </si>
  <si>
    <t>Graduate Grader</t>
  </si>
  <si>
    <t>Tiffin, OH</t>
  </si>
  <si>
    <t>Surg Tech Trainee</t>
  </si>
  <si>
    <t>Parkview Health</t>
  </si>
  <si>
    <t>1. Completed High school education or GED
2. Must be enrolled in a Surgical Technician Program
3. Must have current CPR certification
...</t>
  </si>
  <si>
    <t>Pre Grad Intern - Sam's Pharmacy **Part time**</t>
  </si>
  <si>
    <t>Part-Time Testing Proctor</t>
  </si>
  <si>
    <t>Missouri State University</t>
  </si>
  <si>
    <t>West Plains, MO</t>
  </si>
  <si>
    <t>1. Associates degree required; Bachelor’s degree preferred.
2. Able to assimilate a lot of information quickly
3. Able to follow very specific directions
...</t>
  </si>
  <si>
    <t>Tech Support Intern</t>
  </si>
  <si>
    <t>East Syracuse, NY</t>
  </si>
  <si>
    <t>$15.50-$19.67 /h</t>
  </si>
  <si>
    <t>1. An Associate’s or Bachelor’s degree in Information Security or Information Technology. In process of earning stated degree(s) will be considered as well.
2. Strong customer service skills and communication skills.
3. Ability to work effectively in a team environment and to multi-task in a fast-paced environment.
...</t>
  </si>
  <si>
    <t>Student Front Desk Attendant</t>
  </si>
  <si>
    <t>1. Enrolled as a Stevens Graduate Student
2. Passionate about providing an outstanding experience for students and visitors.
3. Excellent communication skills and the ability to speak and connect with our students and visitors.
...</t>
  </si>
  <si>
    <t>1. Valid driver's license required
2. Flexible shift, approx 25 hours/week</t>
  </si>
  <si>
    <t>Respiratory Equipment Intern</t>
  </si>
  <si>
    <t>Bayhealth</t>
  </si>
  <si>
    <t>1. Education: High School Diploma or GED
2. Experience: Required: No experience required</t>
  </si>
  <si>
    <t>General Utility Worker- Student Union at Towson University</t>
  </si>
  <si>
    <t>1. Demonstrates an understanding of basic sanitation procedures
2. Must be able to follow basic safety procedures due to exposure to hazardous chemicals
3. Must be available to work flexible hours including evenings and weekends
...</t>
  </si>
  <si>
    <t>Service Delivery Intern - Spares &amp; Repairs Team</t>
  </si>
  <si>
    <t>1. Working towards a Business or Engineering degree or equivalent
2. Fluent in English both in written and oral communication skills
3. Able to work onsite full time hours (40 hours) with the start date and the agreed work term
...</t>
  </si>
  <si>
    <t>Part-Time Creamery Arts Festival Worker</t>
  </si>
  <si>
    <t>1. no experience is needed
2. ability to follow simple directions and instructions from supervisors
3. good customer service qualities</t>
  </si>
  <si>
    <t>Document Management Assistant</t>
  </si>
  <si>
    <t>$41000-$41000 /yr</t>
  </si>
  <si>
    <t>1. A High School Diploma is required.
2. Excellent interpersonal, oral, and written communication skills.
3. Customer Service Experience.
...</t>
  </si>
  <si>
    <t>Student Assistant, Audiology</t>
  </si>
  <si>
    <t>University Hospital in Newark, New Jersey</t>
  </si>
  <si>
    <t>1. Currently enrolled in or a recent graduate of a doctorate Audiology program</t>
  </si>
  <si>
    <t>Veterinarian - Intern</t>
  </si>
  <si>
    <t>1. Positive, motivated, and possess vision to help develop their department
2. Enjoy learning new things while being able to teach interns, technicians, rDVMs, and the community
3. Be adaptable, goal-driven, and engaged
...</t>
  </si>
  <si>
    <t>Stagiaire Support Projet Data Client - Europe Digital Innovation &amp; Service / Septembre 2024</t>
  </si>
  <si>
    <t>1. Capacité à communiquer efficacement avec les équipes
2. Analyse et compréhension des changements induits par le projet
3. Assistance dans la rédaction des supports de 'change management' et de formation
...</t>
  </si>
  <si>
    <t>Rad Tech Student, PRN</t>
  </si>
  <si>
    <t>1. Must be a radiology student, active and in good standing
2. Demonstrated ability to remain flexible in a rapidly changing environment
3. Demonstrated ability to plan, design, implement and evaluate one’s own work
...</t>
  </si>
  <si>
    <t>Temp Worker for Professor Reibstein</t>
  </si>
  <si>
    <t>Information Desk and Departmental Library Intern</t>
  </si>
  <si>
    <t>1. Current graduate student in ALA accredited library or information science program or another graduate studies program.
2. Ability to work both independently and as part of a team.
3. Strong service orientation and willingness to troubleshoot.
...</t>
  </si>
  <si>
    <t>Intern: Year 3/4 Technical Support Specialist</t>
  </si>
  <si>
    <t>1. MIS/CIS/CS Major with a 3.0 or Higher GPA
2. Ability to work based on goals and ticketing system and deliver on time resolutions
3. Knowledge of Windows (10, 7, XP). Knowledge of Microsoft Office Suite
...</t>
  </si>
  <si>
    <t>Fall 2024 Financial Systems Help Desk Intern</t>
  </si>
  <si>
    <t>1. Currently pursuing a Bachelor's Degree with a major in Accounting, Economics, Finance, Mathematics, Statistics or Real Estate
2. Minimum 3.0 GPA
3. Must be a sophomore or higher
...</t>
  </si>
  <si>
    <t>Pharmacy Intern (Greater Victoria Area)</t>
  </si>
  <si>
    <t>Victoria</t>
  </si>
  <si>
    <t>1. Currently enrolled in a Faculty of Pharmacy at an accredited University
2. Pharmacy Interns in their 2nd, 3rd, or 4th year</t>
  </si>
  <si>
    <t>Werkstudent (m/w/d) Performance &amp; Service Excellence/ Customer Service</t>
  </si>
  <si>
    <t>Hermes Germany</t>
  </si>
  <si>
    <t>Courier Service, Delivery</t>
  </si>
  <si>
    <t>1. Sehr gute Excel-Kenntnisse insbesondere bei Erstellung von Pivots, VBA-Codes und -Makros und anwendungssichere Kenntnisse der übrigen gängigen MS-Office Anwendungen
2. Spaß am Umgang mit Zahlen und daran sie zu analysieren und zu interpretieren
3. Denken gerne auch mal „out of the box“
...</t>
  </si>
  <si>
    <t>Salesforce Intern (6 month remote)</t>
  </si>
  <si>
    <t>1. Current enrollment in a Bachelor’s or Master’s degree, preferably in Information or Computer Science.
2. Salesforce Admin Certification (or equivalent experience).
3. Strong technical and organizational skills and attention to detail.
...</t>
  </si>
  <si>
    <t>(USA) Pharmacy Grad Intern (Hrly)</t>
  </si>
  <si>
    <t>$15-$37 /h</t>
  </si>
  <si>
    <t>1. Enrolled in final year at an accredited Pharmacy school</t>
  </si>
  <si>
    <t>Imaging Trainee Assistant, PRN</t>
  </si>
  <si>
    <t>UT Southwestern Medical Center</t>
  </si>
  <si>
    <t>1. High School or equivalent required.
2. Must be actively enrolled and attending a program for radiography, ultrasound, MRI, or Nuclear Medicine school.
3. Basic Life Support (BLS) certification, course accredited by the American Heart Association (AHA) or American Red Cross (ARC) by first day of employment is required.
...</t>
  </si>
  <si>
    <t>1. Completion of an accredited educational program in Radiological Science or completion within 3 months at time of application.
2. Must be registered with the American Registry of Radiological Sciences or registry eligible. For registry eligible candidates: must provide a copy of diploma from accredited program.
3. Requires advanced certification in CT within one year of employment.
...</t>
  </si>
  <si>
    <t>Student Academic Records Assistant - Records Office</t>
  </si>
  <si>
    <t>1. Dependable and detail-oriented with accurate record-keeping skills
2. Strict attention to detail
3. Availability to work during all breaks, graduation weekend, and especially during the summer
...</t>
  </si>
  <si>
    <t>Werkstudent (m/w/d) IT-Kommunikation</t>
  </si>
  <si>
    <t>1. Studium der Fachrichtung Wirtschaftswissenschaften, BWL, Wirtschaftsinformatik, Kommunikationswissenschaften oder vergleichbar
2. Spaß am eigenständigen Verfassen und Redigieren von Nachrichten, technischen Anleitungen und News von Vorteil
3. Neugier für neue Themen aus dem IT-Bereich
...</t>
  </si>
  <si>
    <t>GTM Enablement Intern</t>
  </si>
  <si>
    <t>Aircall</t>
  </si>
  <si>
    <t>Analytics, Call Center</t>
  </si>
  <si>
    <t>1. Bachelor's degree (recent graduate or near completion) in Business, Marketing, Communications, or a related field.
2. Strong project management attitude and organizational skills.
3. Excellent communication and interpersonal abilities.
...</t>
  </si>
  <si>
    <t>Technical Writer/trainer - Intern(12-16 Months)</t>
  </si>
  <si>
    <t>1. Excellent command of written and spoken English, any second language is a plus
2. Currently pursuing a diploma in Electronics/Technology or equivalent experience
3. Currently pursuing an Engineering degree (B.A.Sc) in Electrical/Electronics/Telecommunication or equivalent experience
...</t>
  </si>
  <si>
    <t>Operations Support Assistant</t>
  </si>
  <si>
    <t>Mendix</t>
  </si>
  <si>
    <t>Business Process Automation (BPA), Enterprise Software</t>
  </si>
  <si>
    <t>1. Currently enrolled as a student pursuing a Bachelor/Masters degree.
2. You impress people with your structured, reliable, and independent work style.
3. You complete administrative tasks precisely and conscientiously.
...</t>
  </si>
  <si>
    <t>Network Support Specialist Intern</t>
  </si>
  <si>
    <t>1. Strong willingness to learn and work with a team
2. Must have strong verbal, written, and interpersonal communication skills
3. CompTIA A+, CompTIA Network+, or CompTIA Security+ certification
...</t>
  </si>
  <si>
    <t>Help Desk Intern - GOBI</t>
  </si>
  <si>
    <t>EBSCO</t>
  </si>
  <si>
    <t>Content Creators, Database</t>
  </si>
  <si>
    <t>Contoocook, NH</t>
  </si>
  <si>
    <t>1. High school Diploma
2. 6 months or more technical experience either through school or work
3. Ability to lift 15-44lbs
...</t>
  </si>
  <si>
    <t>1. Knowledge of troubleshooting issues with PC/laptop hardware, Windows OS (Windows 10); MS Office Products
2. Install new images as scheduled and needed
3. Maintain, install, and upgrade computers as necessary
...</t>
  </si>
  <si>
    <t>2025 AVE Student Tech Program</t>
  </si>
  <si>
    <t>Prairieland Partners</t>
  </si>
  <si>
    <t>AgTech, Industrial</t>
  </si>
  <si>
    <t>1. High School Diploma or General Education Diploma (GED) equivalent is required.
2. Must have reliable transportation.
3. Must have and maintain a valid Driver’s License.
...</t>
  </si>
  <si>
    <t>Logansport, IN</t>
  </si>
  <si>
    <t>Veterinary Internist</t>
  </si>
  <si>
    <t>MedVet</t>
  </si>
  <si>
    <t>1. Doctor of Veterinary Medicine (DVM) degree or equivalent
2. Completion of an internship or equivalent experience
3. Board certification or eligibility for board certification in Internal Medicine
...</t>
  </si>
  <si>
    <t>Technology Systems Analyst Intern</t>
  </si>
  <si>
    <t>1. Currently an undergraduate student at the junior level or higher, or a graduate student, studying in a relevant field.
2. Demonstrated experience in solving business problems with technology through projects or professional work.
3. Strong problem-solving and troubleshooting skills.
...</t>
  </si>
  <si>
    <t>Rad Tech Student, PRN (Florence, SC)</t>
  </si>
  <si>
    <t>1. Must be a radiology student, active and in good standing
2. Possesses highly technical skills to operate sophisticated equipment for Radiology procedures
3. Ability to perform the duties of an ARRT Technologist
...</t>
  </si>
  <si>
    <t>Customer Service &amp; Logistics Admin Apprentice</t>
  </si>
  <si>
    <t>The Growth Company: Education &amp; Skills</t>
  </si>
  <si>
    <t>Trafford, PA</t>
  </si>
  <si>
    <t>1. Minimum of 5 GCSEs A*-C/9-4 including English and Maths
2. Analytical thinking
3. Thoroughness
...</t>
  </si>
  <si>
    <t>Support Intern</t>
  </si>
  <si>
    <t>Sign In Solutions</t>
  </si>
  <si>
    <t>Software, Web Development</t>
  </si>
  <si>
    <t>St. Petersburg, FL</t>
  </si>
  <si>
    <t>1. High School Diploma or GED
2. Currently pursuing an undergraduate or graduate degree
3. Strong analytical skills with the ability to conduct thorough market research
...</t>
  </si>
  <si>
    <t>Automotive Internet Customer Service Representative- Dallas Chrysler Dodge Jeep Ram</t>
  </si>
  <si>
    <t>Group 1 Automotive</t>
  </si>
  <si>
    <t>1. One or more years of previous experience as a customer service representative preferred.
2. Call center experience a plus.
3. Knowledge of automotive parts preferred.
...</t>
  </si>
  <si>
    <t>IT College Graduate Program</t>
  </si>
  <si>
    <t>1. Information or Technical degree preferred - other degrees will be considered
2. Recent graduate within one year of graduation date
3. Bachelors Degree Required
...</t>
  </si>
  <si>
    <t>Student Assistant - Hope's Boutique</t>
  </si>
  <si>
    <t>1. OSU Student with clerical and customer service skills
2. Knowledge with PCs
3. Familiarity with Microsoft Word</t>
  </si>
  <si>
    <t>Student Technical Writer (Work-Study)</t>
  </si>
  <si>
    <t>1. Must be a University of Utah student with a Federal Work-Study Award for the current year.</t>
  </si>
  <si>
    <t>1. Currently enrolled in college (undergraduate or graduate coursework)
2. Skill in MS Office applications including Word, Excel, Access, and PowerPoint
3. Require at least two-hour blocks of time or more
...</t>
  </si>
  <si>
    <t>Summer Hire</t>
  </si>
  <si>
    <t>Lawrenceburg, IN</t>
  </si>
  <si>
    <t>1. Ability to lift weights ranging from 8lbs to 15lbs
2. Ability to stand for extended periods
3. Ability to perform tasks involving reaching, bending, and lifting
...</t>
  </si>
  <si>
    <t>IT Customer Support Specialist Intern</t>
  </si>
  <si>
    <t>1. 2+ years of experience in customer service and/or technical support
2. Experience using NISC Telecom Software
3. Experience using ticketing systems
...</t>
  </si>
  <si>
    <t>Student Radiological Tech (PRN)</t>
  </si>
  <si>
    <t>National Park Medical Center</t>
  </si>
  <si>
    <t>1. Student of an accredited two-year school of Radiologic Technology
2. ARRT eligibility required
3. Effective communication and interpersonal skills required interacting with patients, physicians, visitors, and other staff members
...</t>
  </si>
  <si>
    <t>Ultrasound Tech Extern</t>
  </si>
  <si>
    <t>Wheeling Hospital</t>
  </si>
  <si>
    <t>Restaurant Customer Services Assistant Internship in Benalmadena Pier (Málaga)</t>
  </si>
  <si>
    <t>euros650-euros650 /mon</t>
  </si>
  <si>
    <t>1. Spanish or English proficiency
2. Duration from March/April until October
3. 40 hours per week availability
...</t>
  </si>
  <si>
    <t>Customer Service Representative (Summer Help)</t>
  </si>
  <si>
    <t>U-Haul</t>
  </si>
  <si>
    <t>Logistics, Service Industry</t>
  </si>
  <si>
    <t>1. Valid driver’s license and ability to maintain a good driving record
2. High school diploma or equivalent</t>
  </si>
  <si>
    <t>DVM Intern</t>
  </si>
  <si>
    <t>1. Must be a Current Veterinary Student
2. Assist doctor and other hospital staff by care and cleaning of patients and facilities including completing patient treatments, assisting in surgery, and all other animal care functions as well as other tasks involved in the operations of a veterinary hospital
3. Patient intake and history
...</t>
  </si>
  <si>
    <t>Methuen, Massachusetts</t>
  </si>
  <si>
    <t>Reception internship in a 4* Hotel in Costa del Sol, Spain</t>
  </si>
  <si>
    <t>€300-€300 /mon</t>
  </si>
  <si>
    <t>1. Minimum 6 months
2. English, Spanish and French/German intermediate
3. TRAINING AGREEMENT (provided in the application) signed by your educational institution</t>
  </si>
  <si>
    <t>1. Pursuing a college or university degree in relevant and/or related studies.
2. Strong organizational skills and attention to detail.
3. Above average college level programming and math skills are required.
...</t>
  </si>
  <si>
    <t>Front Desk Receptionist - Work Ability Intern - Salt Lake City</t>
  </si>
  <si>
    <t>1. Documented disability (SSDI, SSI, Veterans Administration Certification, Letter from Licensed Vocational Rehabilitation Counselor, Department of Human Resource Management form letter signed by a physician)
2. Availability to work 20-25 hours per week
3. Strong customer service skills
...</t>
  </si>
  <si>
    <t>Part Time - Student - Front Desk Fitness Attendant (2024-2025)</t>
  </si>
  <si>
    <t>1. The ability to multi-task in a fast-paced, multi-generational environment.
2. An aptitude for excellent interpersonal and computer skills.
3. The ability to lift and stack up to 25lbs of weight with or without accommodation.
...</t>
  </si>
  <si>
    <t>IT Geek</t>
  </si>
  <si>
    <t>Student Respiratory Tech (As Needed/PRN)</t>
  </si>
  <si>
    <t>Russell Medical</t>
  </si>
  <si>
    <t>Alexander City, AL</t>
  </si>
  <si>
    <t>1. High School Diploma or Equivalent
2. Actively enrolled in an accredited school of Respiratory Technology
3. Experience in EKG, and PFT preferred
...</t>
  </si>
  <si>
    <t>Athletics Ticket Office Assistant</t>
  </si>
  <si>
    <t>1. Bachelor’s Degree from an accredited institution.
2. To be able to lift, push, pull objects up to 50 lbs.
3. Shift Days, Evenings &amp; Weekends. Monday – Friday 8:00 am – 4:30 pm (37.5 hours/week), plus required evening and weekend overtime hours.
...</t>
  </si>
  <si>
    <t>IT Support Analyst Intern</t>
  </si>
  <si>
    <t>Colas Digital Solutions</t>
  </si>
  <si>
    <t>1. Good eye for business from the construction or manufacturing fields and/or a relevant IT degree or equivalent experience
2. Windows' desktop support or project management experience
3. Schedule flexibility
...</t>
  </si>
  <si>
    <t>Internist</t>
  </si>
  <si>
    <t>1. Third residency trained or board certified Internist
2. Love for medicine and compassion for pets and people
3. Full-time availability
...</t>
  </si>
  <si>
    <t>1. 2+ years of experience in customer service and/or technical support.
2. Experience using NISC Telecom Software
3. Experience using ticketing systems
...</t>
  </si>
  <si>
    <t>IT Operations apprentice</t>
  </si>
  <si>
    <t>1. Fluent English required (documentation and everyday communication is in English).
2. Rigorous and organised.
3. Ability to troubleshoot and diagnose problems.
...</t>
  </si>
  <si>
    <t>Apprentice, Technical Support</t>
  </si>
  <si>
    <t>Center for Justice Innovation</t>
  </si>
  <si>
    <t>1. A college Junior or rising Junior pursuing a Bachelor’s degree in Computer Science, Information Systems, Information Technology or relevant technical area at an accredited college or university
2. Able to commit at least 20 hours per week
3. Excellent analytical, judgement and problem-solving skills
...</t>
  </si>
  <si>
    <t>Finance &amp; Strategy Intern</t>
  </si>
  <si>
    <t>Mosaic Life Care</t>
  </si>
  <si>
    <t>St Joseph, MO</t>
  </si>
  <si>
    <t>1. High School diploma required
2. Computer knowledge required. Familiar with a variety of software programs, including Word, Excel, Access, Powerpoint is required</t>
  </si>
  <si>
    <t>Student Worker - Front Desk Assistant</t>
  </si>
  <si>
    <t>1. Ability to provide outstanding customer service
2. Excellent communication skills
3. Ability to greet all students and visitors in a friendly manner
...</t>
  </si>
  <si>
    <t>Customer Experience Intern, Diamond Sports</t>
  </si>
  <si>
    <t>Rapsodo</t>
  </si>
  <si>
    <t>Fitness, Recreation</t>
  </si>
  <si>
    <t>1. Passionate about baseball and softball, player and a fan
2. Being happy to work in a dynamic, fast-paced, one team environment
3. Confidence to make your own judgments about what is right for your customer - bias for action
...</t>
  </si>
  <si>
    <t>Tech Intern 1</t>
  </si>
  <si>
    <t>Warren Equipment Company</t>
  </si>
  <si>
    <t>1. Less than high school education; or up to one-month related experience or training.
2. Ability to communicate effectively, including reading or listening to instructions and memos.
3. Ability to effectively present information in one-on-one and small group situations customers, clients, and other employees of the organization.</t>
  </si>
  <si>
    <t>Barrett Industries</t>
  </si>
  <si>
    <t>1. Customer Service Experience
2. Strong written and verbal communication
3. Ability to work autonomously
...</t>
  </si>
  <si>
    <t>Eurofins Agroscience Services</t>
  </si>
  <si>
    <t>1. At least 1 year previous work experience in a technical position (or equivalent education)
2. Experience with databases, networks (LAN, WAN) and patch management
3. Knowledge of system security (e.g. intrusion detection systems) and data backup/recovery
...</t>
  </si>
  <si>
    <t>EBSCO Industries</t>
  </si>
  <si>
    <t>Printing, Publishing</t>
  </si>
  <si>
    <t>FEL 1 Fellow</t>
  </si>
  <si>
    <t>Nuvance Health</t>
  </si>
  <si>
    <t>$000-$1,00000 /h</t>
  </si>
  <si>
    <t>1. Residents who have been formally accepted to our graduate medical education programs for the 2023-2024 academic year
2. Location: Danbury-24 Hospital Ave
3. Full-Time work type
...</t>
  </si>
  <si>
    <t>Coop, Research, BWH Men's Health</t>
  </si>
  <si>
    <t>1. Proficiency in Microsoft Office applications (Outlook, Word, Excel and PowerPoint).
2. Excellent organizational skills and an ability to effectively manage time and prioritize workload.
3. Strong oral and written communication skills.
...</t>
  </si>
  <si>
    <t>Customer Service Representative (SUMMER HELP)</t>
  </si>
  <si>
    <t>Tent Installer - Delivery Personnel</t>
  </si>
  <si>
    <t>Events Unlimited</t>
  </si>
  <si>
    <t>1. Can do attitude
2. Work first career approach
3. Willingness and ability to pitch in- in any capacity to ensure a successful event or the success of the company
...</t>
  </si>
  <si>
    <t>6 month MIT - The Hay-Adams</t>
  </si>
  <si>
    <t>B. F. Saul Company Hospitality Group</t>
  </si>
  <si>
    <t>1. High School diploma, general education degree or international equivalent required
2. Previous customer service and general computer experience required
3. Good knowledge of the English language is mandatory
...</t>
  </si>
  <si>
    <t>Quality Assurance Technical Writing Intern</t>
  </si>
  <si>
    <t>Mounds View, MN</t>
  </si>
  <si>
    <t>1. A current student (preferably a Junior or Senior) studying Chemistry, Microbiology, Biology, and Biotechnology.
2. High School Degree is a must.</t>
  </si>
  <si>
    <t>Undergraduate Information Technology Support</t>
  </si>
  <si>
    <t>1. Excellent communication, customer service, technical writing, and organizational skills
2. Must be a U.S. citizen
3. Employment with the Applied Research Laboratory will require successful completion of a pre-employment drug screen</t>
  </si>
  <si>
    <t>Part-Time Temporary - Lab Monitor (Pool)</t>
  </si>
  <si>
    <t>$12.25-$12.25 /h</t>
  </si>
  <si>
    <t>1. Must be an enrolled student at Columbia State Community College
2. Above average computer knowledge
3. GPA 2.5 or above</t>
  </si>
  <si>
    <t>Dein Sommerjob in Frankreich</t>
  </si>
  <si>
    <t>Roadsurfer</t>
  </si>
  <si>
    <t>Leisure, Recreational Vehicles</t>
  </si>
  <si>
    <t>1. Du bist absolut Hands-on und packst jederzeit mit an
2. Führerschein Klasse B
3. Du bist flexibel und möchtest mindestens zwei Monate in Frankreich verbringen - optimalerweise hast du bereits eine Unterkunft.
...</t>
  </si>
  <si>
    <t>FWSP ST Clerical - Jolene Schwind Office</t>
  </si>
  <si>
    <t>1. Enrolled at least half-time (5 hours for graduates, 6 hours for undergraduates) during fall/spring semesters
2. Enrolled full-time (9 credit hours for graduates, 12 credit hours for undergraduates) during fall/spring semesters for international students
3. Enrolled in at least 3 credit hours during summer semester for regular student positions
...</t>
  </si>
  <si>
    <t>Janitorial Training Program Participant</t>
  </si>
  <si>
    <t>Goodwill Commercial Services</t>
  </si>
  <si>
    <t>1. Communication Skills - Gives full attention to what other people are saying, taking time to recognize the points being made, asking questions as appropriate, and not interrupting at inappropriate times. Reads and comprehends basic written sentences and paragraphs in work-related documents.
2. General Labor Skills - Is able to carry out simple one- or two-step instructions and deal with standardized situations with only occasional or no variables.
3. Safety Awareness - Recognizes the risks in activities, applies the right measures to control and manage those risks, and ensures all safety protocols are followed.
...</t>
  </si>
  <si>
    <t>Intern - IT Department -- Fall 2024</t>
  </si>
  <si>
    <t>Altorfer Cat</t>
  </si>
  <si>
    <t>1. Must be pursuing a Bachelor's degree or higher in Computer Science, Information Systems or a similar program.
2. Strong organization skills and ability to manage a constantly changing workload
3. Excellent verbal and written English language skills, including solid presentation skills
...</t>
  </si>
  <si>
    <t>FWSP Clerical Assistant - Library, Information Desk</t>
  </si>
  <si>
    <t>1. Enrolled at least half-time (5 hours for graduates, 6 hours for undergraduates)
2. Familiarity with library resources
3. Good computer skills
...</t>
  </si>
  <si>
    <t>IT Operations Intern (Year Round)</t>
  </si>
  <si>
    <t>Erwin, TN</t>
  </si>
  <si>
    <t>1. Student must have awareness of the PC hardware components, desktop operating system software, application software and some network troubleshooting.
2. Student must have awareness of the PC Industry’s current and emerging technology trends and direction, as well as a keen interest in computer-based information systems and technology. Interested applicants should possess excellent analytical skills and the ability to troubleshoot and resolve hardware and software problems through additional research as needed.
3. Ability to perform tasks such as providing operating system and application software installations and upgrades.
...</t>
  </si>
  <si>
    <t>MÜNCHEN - Werkstudentenjob in der Tourismusbranche</t>
  </si>
  <si>
    <t>€13-€13 /h</t>
  </si>
  <si>
    <t>1. Du bist in einem Studium eingeschrieben und auf der Suche nach einem Werkstudentenjob
2. Du bist absolut Hands-on und packst jederzeit mit an
3. Führerschein Klasse B
...</t>
  </si>
  <si>
    <t>Studentische Hilfskraft (m/w/x) Konfliktlösung</t>
  </si>
  <si>
    <t>Hannover</t>
  </si>
  <si>
    <t>1. Studierende ab dem ersten Semester sind willkommen, sich zu bewerben
2. Du hast Dein Studium der Rechtswissenschaften gerade begonnen oder bist im fortgeschrittenen Semester. Hierbei stellst Du Deine überdurchschnittlichen Fähigkeiten unter Beweis
3. Du verfügst über eine selbstständige und gewissenhafte Arbeitsweise
...</t>
  </si>
  <si>
    <t>1. Enrolled as a student in a radiologic technology program or health related field of study
2. Has worked six months as a student intern within the department
3. Has knowledge of basic patient care techniques, demonstrated through division competencies within all divisions of the radiology department
...</t>
  </si>
  <si>
    <t>Part time CEM</t>
  </si>
  <si>
    <t>TeachIT Pro</t>
  </si>
  <si>
    <t>North Las Vegas-6990 N 5th St</t>
  </si>
  <si>
    <t>1. Applicants in the U.S. must satisfy federal, state, and local legal requirements of the job.</t>
  </si>
  <si>
    <t>Student Assistant | Information Management Technology (IMT)</t>
  </si>
  <si>
    <t>Florida Memorial University</t>
  </si>
  <si>
    <t>Opa-Locka, FL</t>
  </si>
  <si>
    <t>1. Full-Time FMU student with a 3.0 cumulative GPA or higher
2. High School diploma or GED with prior customer service or administrative experience
3. Must be currently enrolled with a minimum of six (6) credits as an Undergraduate student or three (3) credits as a Graduate student during the Fall and Spring semesters
...</t>
  </si>
  <si>
    <t>IT/Helpdesk Intern</t>
  </si>
  <si>
    <t>1. Manage the configuration and operation of client-based computer operating systems
2. Installs system images and verifies that security software is installed and configured
3. Create, change, and delete user accounts per request
...</t>
  </si>
  <si>
    <t>CT Rad Tech Student</t>
  </si>
  <si>
    <t>1. Enrolled in a Radiology program from an accredited program</t>
  </si>
  <si>
    <t>Student Customer Service Specialist</t>
  </si>
  <si>
    <t>1. Collaborative style, combined with the ability and desire to work in a team-based environment
2. Ability to maintain a high degree of confidentiality and responsibility regarding information related to Enterprise Partners, its subsidiaries and University business and confidential prospect information
3. Strong and collegial interpersonal skills and an ability to communicate effectively in person, in writing, and by phone
...</t>
  </si>
  <si>
    <t>Student Assistant: Table of Contents</t>
  </si>
  <si>
    <t>1. Serves all customers and guests of the university, uses basic commercial kitchen equipment and is responsible for basic assembly and preparation of hot and/or cold food items.
2. Maintains prescribed standards in personal appearance, hygiene, safety and sanitation.
3. Upholds a high level of professionalism and attention to friendly, accurate and prompt service.
...</t>
  </si>
  <si>
    <t>Development Impact and Policy Analysis Internship</t>
  </si>
  <si>
    <t>Policy and Planning</t>
  </si>
  <si>
    <t>1. U.S. citizens enrolled at least part-time in an accredited college or university pursuing an undergraduate or master's program studying economics, finance, international relations, development policy, or other related subjects.
2. Successful completion of a background investigation.
3. Strong written, research and oral communication skills.</t>
  </si>
  <si>
    <t>Israel Program Research Internship FALL 2024</t>
  </si>
  <si>
    <t>Military &amp; Political Power Research Internship FALL 2024</t>
  </si>
  <si>
    <t>Economic &amp; Financial Power Research Internship FALL 2024</t>
  </si>
  <si>
    <t>1. Must have at least a 3.2 GPA (on a 4.0 scale).
2. Should have a relevant course of study and have completed coursework in any of the following fields: International Relations, Security Studies, History, Communications, Journalism, International Economics, Political Science. Computer science, and/or a relevant STEM field of study.
3. Interns should have knowledge of Microsoft Office programs, including Word, as well as basic Excel skills.
...</t>
  </si>
  <si>
    <t>International Organizations Research Internship FALL 2024</t>
  </si>
  <si>
    <t>Public Health Intern/volunteer - Administrator / project coordinator</t>
  </si>
  <si>
    <t>Conversations to Remember</t>
  </si>
  <si>
    <t>Public Administration</t>
  </si>
  <si>
    <t>1. Must be at least 18 years old.
2. Commit to continue in this role for at least 4 months.
3. Minimum of 15 hours per week.</t>
  </si>
  <si>
    <t>Intern - Civil Rights</t>
  </si>
  <si>
    <t>William Randolph Hearst Endowed Fellow</t>
  </si>
  <si>
    <t>Aspen-HP Digital Equity Accelerator</t>
  </si>
  <si>
    <t>1. Candidates for this fellowship are highly motivated graduate or undergraduate students.
2. Candidates must be enrolled at an institution of higher education for the semester for which they will be applying.
3. Summer candidates must show proof of enrollment for the upcoming fall semester.
...</t>
  </si>
  <si>
    <t>New England Board of Higher Education</t>
  </si>
  <si>
    <t>1. Some knowledge of and a high level of interest in higher education policy and governance, policy analysis, and research methods
2. Completed coursework in higher education, public policy, research methods, or a related field
3. Proficiency in Microsoft Office Suite
...</t>
  </si>
  <si>
    <t>Financial Services Fellow</t>
  </si>
  <si>
    <t>U.S. House of Representatives</t>
  </si>
  <si>
    <t>1. Must already be within a commutable distance OR open to relocating without assistance.
2. Excellent writers.
3. Able to work in a fast-paced environment.
...</t>
  </si>
  <si>
    <t>Public Policy Intern, and Economic/Finance Analyst</t>
  </si>
  <si>
    <t>City of Columbia, Missouri</t>
  </si>
  <si>
    <t>1. Governmental Affairs, Government Relations, and Legislative Relations skills
2. Analytical Skills and Communication abilities
3. Experience in policy analysis and economic research
...</t>
  </si>
  <si>
    <t>Government Relations Intern (Hybrid) 15 Hours/week</t>
  </si>
  <si>
    <t>Society of Interventional Radiology</t>
  </si>
  <si>
    <t>Washington, VA</t>
  </si>
  <si>
    <t>1. Current student in an undergraduate or graduate program in Political Science or Public Policy
2. Excellent organizational and time management skills and discipline to work virtually
3. Strong communication, written, research and analytic skills
...</t>
  </si>
  <si>
    <t>Research Assistant (Job ID: 2024-3495)</t>
  </si>
  <si>
    <t>The Brookings Institution</t>
  </si>
  <si>
    <t>1. Minimum bachelor's degree in public policy or other relevant fields including government, political science, other social sciences, or information technology
2. Previous internship experience (preferably in a think tank, government, or other fields related to technology policy)
3. Demonstrated experience with writing and/or editing and data analysis
...</t>
  </si>
  <si>
    <t>Intern - Freeman Chair in China Studies (Fall 2024)</t>
  </si>
  <si>
    <t>1. Current undergraduate seniors, graduate students, and recent graduates.
2. Must have superior research, analysis, and writing skills.
3. Must demonstrate academic/professional background in Chinese domestic politics.
...</t>
  </si>
  <si>
    <t>Public Service Aide - Assistant to Professionals - SFPUC Internship, 2024 (9920)</t>
  </si>
  <si>
    <t>San Francisco Public Utilities Commission</t>
  </si>
  <si>
    <t>Association, Energy</t>
  </si>
  <si>
    <t>$25.4875-$25.4875 /h</t>
  </si>
  <si>
    <t>1. Applicants must be high school graduates who are currently enrolled in an accredited college or university.
2. Applicants must attach current college transcripts or other proof of current college enrollment with their online application.
3. All application materials including verification of education must be submitted with your application.
...</t>
  </si>
  <si>
    <t>Practice Management Intern (Public Law &amp; Policy)</t>
  </si>
  <si>
    <t>1. High School Diploma or equivalent, two years of college preferred
2. Proficiency in Windows operating systems and Microsoft Office including Excel, Outlook Word and PowerPoint
3. Established attention to detail and organizational skills
...</t>
  </si>
  <si>
    <t>Economic Research and Policy Internship</t>
  </si>
  <si>
    <t>Economic Innovation Group</t>
  </si>
  <si>
    <t>Business Intelligence, Enterprise Software</t>
  </si>
  <si>
    <t>1. Background in economic research and/or economic policy
2. Excellent research and writing skills
3. Ability to handle multiple tasks under short deadlines
...</t>
  </si>
  <si>
    <t>NYPD</t>
  </si>
  <si>
    <t>1. Matriculation at an accredited college or graduate school.
2. Employment is conditioned upon continuance as a student in a college or graduate school.</t>
  </si>
  <si>
    <t>Policy Development &amp; Support Intern</t>
  </si>
  <si>
    <t>1. Completed at least three years of accredited college/university level coursework pursuing a bachelor's degree in communication, urban studies, transportation planning, public policy, sustainability, business development, or other related fields
2. Foundational knowledge of environmental and clean energy and transportation policy
3. Self-driven and motivated individual that is passionate about policy, environmental science, decarbonization strategies and interest in clean energy technologies
...</t>
  </si>
  <si>
    <t>Graduate Student/Law Student Internship STUDENT TECHNICAL ASSISTANT-Policy Team</t>
  </si>
  <si>
    <t>State of Maryland</t>
  </si>
  <si>
    <t>1. Applicant must be enrolled in a graduate program (e.g., social work, public policy, human services, law) with a focus on child welfare, family or poverty policy, or related fields.
2. Cover letter - Please outline your interest in family and/or child welfare and relevant experience.
3. Resume
...</t>
  </si>
  <si>
    <t>Public Health Workforce Development Internship Program - Fall '24 Multiple Openings</t>
  </si>
  <si>
    <t>1. At least 60 credit hours from an accredited college or university with current enrollment in an undergraduate or graduate program.
2. Must have at least a 2.5 GPA or equivalent.
3. Recent graduates from an accredited college or university may also apply.
...</t>
  </si>
  <si>
    <t>Fall 2024: Monitoring, Evaluation, Accountability, and Learning (MEAL) Intern</t>
  </si>
  <si>
    <t>1. Currently enrolled graduate student or undergraduate student in a related field of International Relations/Development, Social Work, Global Human resources, Learning and Development; Non-Profit Management, International Business, or related field.
2. Good understanding of qualitative and quantitative data analysis and data management.
3. Strong writing skills.
...</t>
  </si>
  <si>
    <t>SPA/Government Staff Assistant (Student)</t>
  </si>
  <si>
    <t>1. The student must meet all educational requirements and be able to effectively perform the duties associated with the position.
2. Must be able to use a machine that can copy, print, scan, and fax.
3. Have intermediate knowledge of Microsoft Office Suite.
...</t>
  </si>
  <si>
    <t>Intern Administrative (Civic Engagement)</t>
  </si>
  <si>
    <t>BakerRipley</t>
  </si>
  <si>
    <t>Fall Intern - Public Policy &amp; Government Relations</t>
  </si>
  <si>
    <t>1. Organization skills
2. Ability to multitask
3. Excellent writing skills
...</t>
  </si>
  <si>
    <t>Dallas AmeriCorps Data Specialist-URGENTLY HIRING</t>
  </si>
  <si>
    <t>1. Current university student, preferably in Social Sciences, Information Systems, or related field (relevant Experience May Substitute For Required Degree)
2. Experience with social service case management or program management software, client relationship management, relational databases, or other information systems for client management
3. Excellent computer skills are required, especially MS Excel
...</t>
  </si>
  <si>
    <t>Intern, Clerical Union Undergraduate Year Round - Purchased Product Value Stream 3, Onsite</t>
  </si>
  <si>
    <t>1. Currently attending and enrolled full time in an accredited undergraduate program
2. Minimum cumulative GPA of 2.5/4.0
3. Ability to work up to 25 hours per week during the academic year, and up to 40 hours per week during the summer
...</t>
  </si>
  <si>
    <t>Policy Communications Intern</t>
  </si>
  <si>
    <t>1. Currently enrolled in an accredited college/university level coursework pursuing a bachelor's degree in communications, Public Relations, Political Science, Environmental Studies, or a related field.
2. Passion for clean transportation, environmental sustainability, and policy advocacy through the lens of communication and storytelling.
3. Strong written and verbal communication skills with a creative flair.
...</t>
  </si>
  <si>
    <t>Graduate Student/Law Student Externship STUDENT TECHNICAL ASSISTANT-Policy Team- Unpaid</t>
  </si>
  <si>
    <t>2024 Fall Internships</t>
  </si>
  <si>
    <t>American Enterprise Institute</t>
  </si>
  <si>
    <t>1. A minimum 3.0 GPA is required; however, most successful candidates have at least a 3.5 GPA.</t>
  </si>
  <si>
    <t>Peacebuilding Fund Data and M&amp;E intern</t>
  </si>
  <si>
    <t>UN Political and Peacebuilding Affairs (DPPA)</t>
  </si>
  <si>
    <t>INTERN - PUBLIC INFORMATION</t>
  </si>
  <si>
    <t>1. Applicants must meet one of the following requirements: a) be enrolled in a graduate school programme (second university degree or equivalent, or higher); b) be enrolled in the final academic year of a first university degree programme in human rights, international relations, history, Holocaust studies, communications, media studies, or related field (minimum Bachelor's level or equivalent); or c) have graduated with a university degree (as defined above).
2. A field of study that is closely related to the type of internship that you are applying for is required.
3. Fluency in spoken and written English is required for the internship.</t>
  </si>
  <si>
    <t>Data and M&amp;E Intern: Supporting initiatives for Monitoring &amp; Evaluation, generation of global data on PBF results and programmatic overview for the Peacebuilding Fund</t>
  </si>
  <si>
    <t>1. Applicants at the time of application must be enrolled in, or have completed, a graduate school programme (second university degree or equivalent, or higher).
2. The field of study must be closely related to the type of internship you are applying for.
3. Proficient in standard word processing and software applications such as Microsoft Word, Excel and PowerPoint or similar.
...</t>
  </si>
  <si>
    <t>Communications Officer, Tahlequah Campus</t>
  </si>
  <si>
    <t>Northeastern State University</t>
  </si>
  <si>
    <t>Tahlequah, OK</t>
  </si>
  <si>
    <t>$25536-$25536 /yr</t>
  </si>
  <si>
    <t>1. Knowledge of the public safety dispatch principles and practices.
2. Knowledge of university policies and procedures.
3. Knowledge of police radio operation principles.
...</t>
  </si>
  <si>
    <t>Raiz Organizing Fellow</t>
  </si>
  <si>
    <t>Planned Parenthood of Greater Ohio</t>
  </si>
  <si>
    <t>1. High School diploma or GED required
2. Previous experience in grassroots campaigns, Planned Parenthood volunteer experience preferred
3. Bilingual Spanish Required
...</t>
  </si>
  <si>
    <t>Corporate Affairs Intern</t>
  </si>
  <si>
    <t>1. Pursuing or completed a Master’s degree in International Business, International Relations, Political Science or related major.
2. US Citizen or Permanent Resident.</t>
  </si>
  <si>
    <t>Government Relations Intern</t>
  </si>
  <si>
    <t>1. Must be enrolled in a relevant academic program: Government Relations, Public Affairs, Public Policy, International Affairs, Politics, Law. Junior, Senior, or Graduate level is preferred.
2. Proficient in Microsoft Word and Excel.
3. Proficient in writing and editing copy.
...</t>
  </si>
  <si>
    <t>Fall 2024 Economic Empowerment - Matching Grant Intern</t>
  </si>
  <si>
    <t>Research Intern - Cancer Research Center Health Equity - Haile Lab (Paid, On-Site)</t>
  </si>
  <si>
    <t>$16.78-$24.71 /h</t>
  </si>
  <si>
    <t>1. Must be 18 years of age or older and have a HS Diploma or GED.
2. Must reside in the greater Los Angeles area or surrounding cities while conducting all activities related to the intern appointment.</t>
  </si>
  <si>
    <t>Undergraduate Research Intern - Cancer Research Center for Health Equity - Quit Alliance Team (Paid, Per Diem, On-Site)</t>
  </si>
  <si>
    <t>1. Must be 18 years of age or older and be enrolled in undergraduate courses at a Los Angeles County-based academic institution.
2. Must reside in the greater Los Angeles area or surrounding cities while conducting all activities related to the intern appointment.
3. Proficient knowledge of LGBTQ+ culture and affirming language is required.</t>
  </si>
  <si>
    <t>Office of Inclusion and Equity Internship - Fall 2024</t>
  </si>
  <si>
    <t>1. Candidates must be in an Undergrad or Grad program
2. Candidates must have their own computer and access to Wi-Fi
3. Candidates must have work authorization for the United States</t>
  </si>
  <si>
    <t>Public Policy Intern</t>
  </si>
  <si>
    <t>1. College-, post-graduate-, or graduate-level candidates
2. Strong interpersonal skills
3. Ability to work well under pressure
...</t>
  </si>
  <si>
    <t>Economic Research and Data Analytics Intern</t>
  </si>
  <si>
    <t>S.C. Department of Commerce</t>
  </si>
  <si>
    <t>Intern – Public Information: Communications &amp; Journalism</t>
  </si>
  <si>
    <t>1. Be enrolled in, or have completed, a graduate school programme (second university degree or equivalent, or higher)
2. Be enrolled in, or have completed, the final academic year of a first university degree programme (minimum bachelor’s level or equivalent)
3. Be computer literate in standard software applications, especially MS Word and MS Excel
...</t>
  </si>
  <si>
    <t>Intern - Public Information</t>
  </si>
  <si>
    <t>1. Applicants must meet one of the following requirements: (a) be enrolled in, or have completed, a graduate school programme (second university degree or equivalent, or higher); (b) be enrolled in, or have completed, the final academic year of a first university degree programme (minimum bachelor’s degree or equivalent).
2. Applicants to the UN Internship Programme are not required to have professional work experience. However, a field of study that is closely related to the type of internship that you are applying for is required.
3. Applicants must be a student in the final year of the first university degree (bachelor or equivalent), Master’s or Ph.D. Programme or equivalent, or have completed a Bachelor’s, Master’s or PH.D. Programme.
...</t>
  </si>
  <si>
    <t>1. Must already be within a commutable distance OR open to relocating without assistance.
2. A minimum availability of 20-25 hours per week is highly preferred.
3. Passionate about public service.
...</t>
  </si>
  <si>
    <t>Fall 2024 Strategy &amp; Policy Intern</t>
  </si>
  <si>
    <t>1. Current enrollment in an undergraduate or graduate program and eligibility for school internship credit
2. Strong research and writing skills, including excellent analytical, oral, and written communications skills
3. Experience working on gender justice issues with an intersectional lens
...</t>
  </si>
  <si>
    <t>YEF Community Funder</t>
  </si>
  <si>
    <t>YMCA of San Francisco</t>
  </si>
  <si>
    <t>1. Under 18 years of age
2. Currently in high school or high school equivalent program
3. Live and/or go to school in San Francisco, California
...</t>
  </si>
  <si>
    <t>Intern - Project on Prosperity and Development (Fall 2024)</t>
  </si>
  <si>
    <t>1. Bachelor’s degree (or current student) in international studies, economics, international development, political science, or a related field.
2. Full-time availability for 35 hours/week (required) between the start of September 2024 and mid-December 2024.
3. Demonstrate the ability to take detailed notes during meetings in an effective manner.
...</t>
  </si>
  <si>
    <t>Public Affairs and Partnerships Resource Assistant</t>
  </si>
  <si>
    <t>1. Communication Skills: Public Speaking, people skills, and written communications
2. Problem Solving Skills: Ability to locate information, research, find creative solutions, self-driven
3. Physical abilities: Must be able to lift up to 20lbs, hike short distances outdoors in uneven terrain and uncomfortable (but not unsafe) weather conditions.
...</t>
  </si>
  <si>
    <t>Community Energy Fellowship Program</t>
  </si>
  <si>
    <t>$51700-$110000 /yr</t>
  </si>
  <si>
    <t>1. You must be a U.S. Citizen or a Lawful Permanent Resident</t>
  </si>
  <si>
    <t>Intern/Graduate Fellow, Africa</t>
  </si>
  <si>
    <t>McLarty Associates</t>
  </si>
  <si>
    <t>1. Ability to work part-time (approx. 20-30 hours/week) from August through December 2024
2. Conducting extensive research of public policy, international, and business issues
3. Writing memos, compiling biographies, and preparing presentations
...</t>
  </si>
  <si>
    <t>Political and Communications Internship</t>
  </si>
  <si>
    <t>America Votes</t>
  </si>
  <si>
    <t>1. Motivated individuals who can adapt quickly in a fast-paced organization
2. Currently accepting applications for Fall/Winter 2024 interns
3. Ability to work at least 15 hours per week
...</t>
  </si>
  <si>
    <t>Public Policy Research Intern</t>
  </si>
  <si>
    <t>Gravity Research</t>
  </si>
  <si>
    <t>1. A highly analytic, natural problem solver.
2. The ability to highlight key insights within a complex set of data, synthesize large amounts of information, and then clearly explain these insights to clients.
3. A skilled project manager, able to independently manage competing priorities and adhere to timelines.
...</t>
  </si>
  <si>
    <t>Government Relations Apprentice</t>
  </si>
  <si>
    <t>1. Currently enrolled and pursuing a Bachelor’s degree.
2. Able to handle multiple tasks and follow instructions.
3. Experience in customer service/office work.
...</t>
  </si>
  <si>
    <t>Health Care Affairs Research Fellow</t>
  </si>
  <si>
    <t>Association of American Medical Colleges</t>
  </si>
  <si>
    <t>$0-$100 /h</t>
  </si>
  <si>
    <t>1. Currently enrolled in a degree-granting graduate level education program in public health, economics, public policy, other social science field or a medical resident
2. Keen curiosity about improving health care in the United States
3. Experience in analyzing public survey and/or administrative data
...</t>
  </si>
  <si>
    <t>Science Policy Internship (Paid Internship)</t>
  </si>
  <si>
    <t>Research!America</t>
  </si>
  <si>
    <t>1. College seniors, graduate students or recent graduates with a science, health or related degree (or degree goal)
2. Seek science policy experience in the areas of biomedical research, health services research and other health research disciplines, and related Research!America priorities
3. Strong academic background
...</t>
  </si>
  <si>
    <t>Looking for Research Assistant, Inclusive Peace Processes in Washington</t>
  </si>
  <si>
    <t>EducoHire</t>
  </si>
  <si>
    <t>Washington, IA</t>
  </si>
  <si>
    <t>1. Must be a full-time graduate student in the Washington Metro Area, preferably studying international relations, political science, governance, international peace and conflict resolution, or a related field.
2. Excellent research, editing, and writing skills.
3. Ability to review, synthesize, and articulate themes from across multiple disciplines and policy and research literatures.
...</t>
  </si>
  <si>
    <t>Movement Experiences International Convention Intern</t>
  </si>
  <si>
    <t>1. A creative and responsible self-starter who is comfortable with both taking initiative and working in collaboration with a team
2. Detail-oriented with excellent written and verbal communication skills
3. Proficient with Microsoft Office (Excel, Word, PowerPoint, and Outlook) and willing to learn new systems (Salesforce, Airtable, and more)
...</t>
  </si>
  <si>
    <t>Advocacy Intern (Fall/Winter 2024)</t>
  </si>
  <si>
    <t>The HALO Trust</t>
  </si>
  <si>
    <t>Charity, Humanitarian</t>
  </si>
  <si>
    <t>1. Strong attention to detail
2. Excellent written and verbal communications skills
3. Strong analytical and organizational skills
...</t>
  </si>
  <si>
    <t>Government Relations Intern (Sept - Dec)</t>
  </si>
  <si>
    <t>1. Current student of a master’s degree program focused on political science, public policy, international affairs/relations, economics, technology policy, relevant STEM (e.g., engineering, computer science), business, communications, marketing, or a related field.
2. Demonstrated interest in and knowledge of technology policy issues.
3. Must be able to work throughout the fall semester (10-20 hours a week).
...</t>
  </si>
  <si>
    <t>Summer Fellow</t>
  </si>
  <si>
    <t>The Outreach Team LLC</t>
  </si>
  <si>
    <t>Consulting, Non Profit</t>
  </si>
  <si>
    <t>1. Passion for advocating for comprehensive reproductive health care
2. Ability to work in a team and independently
3. Strong communication skills
...</t>
  </si>
  <si>
    <t>Lehigh, PA</t>
  </si>
  <si>
    <t>Capitol Corridor Project Fellow</t>
  </si>
  <si>
    <t>1. Experience with data analysis using software such as Microsoft Excel and Power BI
2. Experience with customer support and/or marketing projects
3. Experience with Geographic Information Systems (GIS) using software such as QGIS and ArcGIS
...</t>
  </si>
  <si>
    <t>Washington DC</t>
  </si>
  <si>
    <t>$25.74-$25.74 /h</t>
  </si>
  <si>
    <t>NEA Counter Disinformation Intern, Center for Communications, Counter Disinformation Strategy Department (Fall 2024)</t>
  </si>
  <si>
    <t>National Education Association</t>
  </si>
  <si>
    <t>1. Students pursuing degrees in Education, Political Science, Government, Human Resources, Public Policy, Social Sciences, Business, Finance, Economics, Management, Communications, Computer Science, Journalism, Mass Media, Graphic Design, Digital Communications and other disciplines are encouraged to apply.
2. Draft and edit disinformation report summaries
3. Research social media for new trends in content creation
...</t>
  </si>
  <si>
    <t>Dallas Economic Empowerment Intern</t>
  </si>
  <si>
    <t>1. Must be able to come into the Dallas office at least 15 hours a week between 8:30 am-4:30 pm M-F.
2. Must be willing to use personal vehicle to drive clients to job interviews if needed- interns do qualify for mileage reimbursement.
3. Check with your school's Internship Coordinator BEFORE accepting the hiring offer to determine if this position satisfies the criteria for receiving academic credit.
...</t>
  </si>
  <si>
    <t>NEA Political Advocacy Intern, Center for Communications, Political Advocacy Department (Fall 2024)</t>
  </si>
  <si>
    <t>1. Students pursuing degrees in Education, Political Science, Government, Human Resources, Public Policy, Social Sciences, Business, Finance, Economics, Management, Communications, Computer Science, Journalism, Mass Media, Graphic Design, Digital Communications and other disciplines are encouraged to apply.
2. Draft materials (ex. memos, talking points, event backgrounder, etc.)
3. Help maintain campaign communications calendar
...</t>
  </si>
  <si>
    <t>Research intern with public policy education</t>
  </si>
  <si>
    <t>Radiant Digital</t>
  </si>
  <si>
    <t>Vienna, VA</t>
  </si>
  <si>
    <t>1. Public policy education background
2. Ability to conduct research and analysis
3. Strong administrative skills
...</t>
  </si>
  <si>
    <t>Research Associate I (Open to Internal Candidates Only)</t>
  </si>
  <si>
    <t>University of New Hampshire</t>
  </si>
  <si>
    <t>Durham, NH</t>
  </si>
  <si>
    <t>1. Bachelor’s degree in non-technical field appropriate to research being performed</t>
  </si>
  <si>
    <t>Advocacy Intern</t>
  </si>
  <si>
    <t>Community Access</t>
  </si>
  <si>
    <t>1. Must be a current Howie the Harp student.
2. Must be in-person (office or field work)
3. Have an understanding, appreciation and commitment to the philosophy and mission of Community Access.
...</t>
  </si>
  <si>
    <t>Political Affairs Intern: Information analysis and data visualization</t>
  </si>
  <si>
    <t>1. be enrolled in, or have completed, a graduate school programme (second university degree or equivalent, or higher)
2. be enrolled in, or have completed, the final academic year of a first university degree programme (minimum bachelor’s degree or equivalent)
3. Applicants must be a student in the final year of the first university degree (bachelor or equivalent), Master’s or Ph.D. Programme or equivalent, or have completed a Bachelor’s, Master’s or PH.D. Programme
...</t>
  </si>
  <si>
    <t>Research Assistant: Foreign and Defense Policy Studies, Asian Studies</t>
  </si>
  <si>
    <t>$50000-$54000 /yr</t>
  </si>
  <si>
    <t>1. A bachelor’s degree is required; a bachelor’s degree in political science, international relations, Asian studies, or economics is preferred.
2. Candidates should have 0–2 years of previous full-time work experience; previous internship experience is strongly preferred.
3. Working proficiency in Mandarin Chinese (particularly reading) is required.
...</t>
  </si>
  <si>
    <t>Research Assistant, Inclusive Peace Processes</t>
  </si>
  <si>
    <t>United States Institute of Peace</t>
  </si>
  <si>
    <t>Circular Economy Fellow: U.S. Department of Energy</t>
  </si>
  <si>
    <t>1. Be currently pursuing, or have completed requirements, for a Bachelor's degree, Master’s, or Doctoral degree.
2. Be a U.S. Citizen or Lawful Permanent Resident of the United States (LPR).
3. Citizenship: LPR or U.S. Citizen
...</t>
  </si>
  <si>
    <t>Intern, Economic Growth and Governance</t>
  </si>
  <si>
    <t>1. Relevant college coursework in international development, political science, area studies, business administration or other relevant fields
2. Strong verbal and written communications skills
3. Strong interpersonal skills, ability to work independently and collaboratively
...</t>
  </si>
  <si>
    <t>Sunwater Institute Rights and Liberties Intern</t>
  </si>
  <si>
    <t>Sunwater Institute Congressional Data Internship</t>
  </si>
  <si>
    <t>Emergency Management Intern</t>
  </si>
  <si>
    <t>National Emergency Management and Response</t>
  </si>
  <si>
    <t>7451 FM 3009, Schertz, TX 78154-3249</t>
  </si>
  <si>
    <t>1. Must pass background check, drug screening and MVR.
2. Must provide own transportation to EOC in Schertz, TX and be able to report Monday through Friday from 0800 to 1700 CST for the duration of the internship program.
3. Must be comfortable working in a fast-paced high-stress environment.
...</t>
  </si>
  <si>
    <t>Research Associate, International Economics</t>
  </si>
  <si>
    <t>$55000-$58000 /yr</t>
  </si>
  <si>
    <t>1. Bachelor's degree in economics or related field with strong academic credentials. Master's degree preferred.
2. Excellent written and verbal communication skills
3. Proven interest in global financial markets, the digital economy, and economic policy required
...</t>
  </si>
  <si>
    <t>USY</t>
  </si>
  <si>
    <t>1. Minimum – 1 year of college
2. Experience working with youth
3. Must be able to pass a background check
...</t>
  </si>
  <si>
    <t>July 2025 Administrative Fellowship</t>
  </si>
  <si>
    <t>Children's Health</t>
  </si>
  <si>
    <t>1. Current enrollment or completion of Master's program in Business, Public Health, Health Care Administration, or a closely related field.</t>
  </si>
  <si>
    <t>2024 Executive Branch Agency Internship Links #CTEXEC-INTERN-001</t>
  </si>
  <si>
    <t>1. Interest in finding an internship with the State of Connecticut
2. Ability to follow instructions on how to submit an application</t>
  </si>
  <si>
    <t>Intern, Research &amp; Conferences, (IFDS) / Fall 2024</t>
  </si>
  <si>
    <t>1. Enrolled undergraduate or graduate school student
2. Strong interest in the study and support of democracy around the world
3. Strong research ability
...</t>
  </si>
  <si>
    <t>Research Assistant, Public Affairs and Communication</t>
  </si>
  <si>
    <t>1. Must be a full-time graduate or undergraduate student. Academic major or specialization in communications, public relations, marketing, journalism, or related field preferred. Academic majors or specializations in international affairs and related fields will also be considered, but strong candidates will have a demonstrated interest in communications.
2. A minimum of 1 year of related experience is desired. Experience related to social media marketing, platforms, and tools is preferred.
3. Excellent time management and organizational skills are required.
...</t>
  </si>
  <si>
    <t>Intern, Communities and Local Government</t>
  </si>
  <si>
    <t>1. Current undergraduate or graduate student at an accredited college.
2. Must be available to work during Fall 2024 semester continuing on for Spring 2025 and Summer 2025.
3. Must be available to work 18.5 hours/ week during semesters and 37.5 hours/ week between semesters.
...</t>
  </si>
  <si>
    <t>Public Affairs Internship Fall 2024 (hybrid)</t>
  </si>
  <si>
    <t>1. College seniors or recent graduates with full-time availability
2. Ability to work at least three days a week in person at our Indianapolis office, with the flexibility to work remotely two days per week
3. Demonstrated interest in communications, public relations, public affairs or related fields
...</t>
  </si>
  <si>
    <t>NEA Strategic Research Intern, Research Department, Education Policy and Implementation Center (Fall 2024)</t>
  </si>
  <si>
    <t>1. Students pursuing degrees in education, with a focus on research or policy, or the social sciences (e.g. Sociology, Political Science, Economics and Psychology) and related disciplines such as Public Policy and Applied Statistics, or other disciplines are encouraged to apply.
2. Interns must have prior knowledge of and experience with strategic research, such as developing financial and/or leadership profiles of corporations, foundations, and/or advocacy organizations.</t>
  </si>
  <si>
    <t>Parole Officer College Intern (20101170)</t>
  </si>
  <si>
    <t>Ohio Department of Rehabilitation and Correction</t>
  </si>
  <si>
    <t>Government, Law Enforcement</t>
  </si>
  <si>
    <t>Hamilton County, OH</t>
  </si>
  <si>
    <t>$16.93-$16.93 /h</t>
  </si>
  <si>
    <t>1. Must be enrolled in their senior year of college (accredited college or university) within a field-related study and in good academic standing.
2. Experience working with Microsoft Office.</t>
  </si>
  <si>
    <t>$32.21-$32.21 /h</t>
  </si>
  <si>
    <t>1. Currently pursuing a bachelor's degree with an expected graduation date between December 2025 - June 2026
2. Strong organizational, multi-tasking, and prioritizing skills
3. Solid problem solving and decision-making skills
...</t>
  </si>
  <si>
    <t>$32.21-$37.02 /h</t>
  </si>
  <si>
    <t>1. Strong organizational, multi-tasking, and prioritizing skills
2. Solid problem solving and decision-making skills
3. Strong analytical skills with high attention to detail and accuracy
...</t>
  </si>
  <si>
    <t>1. 6+ months of work experience, or equivalent demonstrated through one or a combination of the following: work experience, training, military experience, education.
2. Currently pursuing a bachelor's degree with an expected graduation date between December 2025 - June 2026
3. Strong organizational, multi-tasking, and prioritizing skills
...</t>
  </si>
  <si>
    <t>OPS RESEARCH ASSISTANT - 41509090</t>
  </si>
  <si>
    <t>1. A high school degree and current enrollment in an accredited college or university is required.
2. Experience in statistics and data analysis.
3. Strong communication and collaborative skills.</t>
  </si>
  <si>
    <t>Center for Social Concerns Generalist Intern</t>
  </si>
  <si>
    <t>1. Interest in the mission and programs of the CSC, including interest in learning more about community, service, culture, and global issues.
2. Openness to learning and to personal and professional growth, including development of oral and written communication skills.
3. Openness to learning and using technology platforms such as Canva, Microsoft Office Applications (we use Teams, Word, Excel, PowerPoint, Forms, and others regularly) and social media and other web platforms the CSC utilizes.
...</t>
  </si>
  <si>
    <t>Intern, Field Advocacy-Louisville, Lexington, &amp; Northern Kentucky</t>
  </si>
  <si>
    <t>1. Advanced undergraduate course work in Political Science, Public Policy, Sociology, Organizational Development, or interest in this work and related fields.
2. Ability to deal professionally in a corporate, public, or non-profit environment and assume responsibility for guiding projects and programs from inception through completion.
3. Effective oral, written and presentation communication skills.
...</t>
  </si>
  <si>
    <t>2025 Culture &amp; Career Summit</t>
  </si>
  <si>
    <t>Baker Newman Noyes</t>
  </si>
  <si>
    <t>Consulting, Crowdfunding</t>
  </si>
  <si>
    <t>Portsmouth, NH</t>
  </si>
  <si>
    <t>1. Enthusiastic individual ready to take on the world of public accounting
2. Available to participate in a 3-day long program from May 19th - May 21st, 2025
3. Interest in exploring careers in audit, tax, and consulting
...</t>
  </si>
  <si>
    <t>GOVERNMENT SERVICES LEGISLATIVE INTERN (Indianapolis)</t>
  </si>
  <si>
    <t>Barnes &amp; Thornburg</t>
  </si>
  <si>
    <t>1. Possess a bachelor’s degree or higher- level degree.
2. Previous government or political background or government intern experience desired.
3. Possess strong communication and public-speaking skills including the ability to communicate effectively with a diverse internal and external clientele or audience.
...</t>
  </si>
  <si>
    <t>Public Health/Public Safety Research Internship</t>
  </si>
  <si>
    <t>RTI International</t>
  </si>
  <si>
    <t>1. U.S. Citizenship required
2. Fluent in Spanish (speaking, reading, and writing)
3. Actively enrolled as a junior or senior undergraduate student or graduate (master’s or PhD) student pursuing a degree in the social sciences including criminal justice/criminology, sociology, or psychology or other related field
...</t>
  </si>
  <si>
    <t>Fall Research Internship - DC</t>
  </si>
  <si>
    <t>1. Self-starter who can work independently and manage tasks remotely.
2. Interest in and knowledge of qualitative and quantitative research techniques, including survey research, focus groups, and in-depth interviews.
3. Excellent organizational skills and meticulous attention to detail.
...</t>
  </si>
  <si>
    <t>Intern/Graduate Fellow, Middle East and North Africa</t>
  </si>
  <si>
    <t>1. Ability to work full-time (up to 40 hours/week) during the Fall semester
2. Proficiency in Arabic (reading, writing, speaking)
3. Legally authorized to work in the US
...</t>
  </si>
  <si>
    <t>Research Intern, Juvenile Justice System</t>
  </si>
  <si>
    <t>American Institutes for Research</t>
  </si>
  <si>
    <t>1. Must be a current student pursuing a bachelor's degree in such fields as economics, psychology, sociology, statistics, computer science, public policy, public health, or other social science related fields
2. Interest in and/or knowledge of the juvenile justice system
3. Interest in and/or knowledge of data collection activities geared at individuals in communities
...</t>
  </si>
  <si>
    <t>Alternance BAC+5 - Chargé d'Affaires Publiques et Gouvernementales - F/H/D</t>
  </si>
  <si>
    <t>EURN/A-EURN/A /mon</t>
  </si>
  <si>
    <t>1. Vous préparez une formation de sciences politiques / affaires publiques / littéraire / économique et sociale / géopolitique de type BAC+5
2. Connaissances scientifiques ou de santé publiques, ainsi qu'une bonne compréhension de l'environnement des soins de santé, de la dimension santé-économique des produits médicaux, des contraintes d'accès au marché (réglementation et évaluation) constituent un atout (mais pas un critère exclusif)
3. Vous êtes reconnu(e) pour vos capacités de coordination, d'organisation et de mobilisation
...</t>
  </si>
  <si>
    <t>Campus Patrol Temporary Pool</t>
  </si>
  <si>
    <t>Los Rios Community College District</t>
  </si>
  <si>
    <t>$22.02-$22.02 /h</t>
  </si>
  <si>
    <t>1.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t>
  </si>
  <si>
    <t>ESG &amp; Corporate Responsibility Fall 2024 Fellow (hybrid)</t>
  </si>
  <si>
    <t>1. College graduate with at least two prior internships in communications, sustainability/ESG, public affairs or related fields and/or currently enrolled in/completed a graduate program
2. Demonstrated interest in the principles of corporate sustainability and ESG
3. Long-term project experience, either through coursework or prior career experience
...</t>
  </si>
  <si>
    <t>Internship: Global Programmes, 2024 (Washington DC)</t>
  </si>
  <si>
    <t>Search for Common Ground</t>
  </si>
  <si>
    <t>Washington DC, United States</t>
  </si>
  <si>
    <t>1. Currently pursuing or having completed a degree in International Relations, Peace and Conflict Studies, Gender Studies, Political Science, or a related field.
2. Demonstrated ability to conduct thorough research, especially in areas related to Women, Peace, and Security as well as familiarity with conducting contextual analysis in international settings.
3. Demonstrated interest and experience in WPS.
...</t>
  </si>
  <si>
    <t>PhD Intern, Policy Research and Analytics (PRA) - Division of Supervision and Regulation</t>
  </si>
  <si>
    <t>Federal Reserve Board</t>
  </si>
  <si>
    <t>$33.13-$33.13 /h</t>
  </si>
  <si>
    <t>1. Enrolled in an accredited graduate level program pursuing a Ph.D. in Economics, Finance, or a related field of study with a minimum 3.0 GPA
2. U.S Citizenship is required for all Board internships
3. Currently enrolled in a graduate degree program at an accredited university and returning to continue studies after the internship</t>
  </si>
  <si>
    <t>Intern, Federal Research Analyst</t>
  </si>
  <si>
    <t>Hitachi Vantara</t>
  </si>
  <si>
    <t>1. US Citizen
2. Currently pursuing a bachelor’s degree in research, Technology, Business Admin
3. Ability to exercise good judgment in a variety of situations
...</t>
  </si>
  <si>
    <t>Graduate (Year-Round) Intern - International Clean Energy Transitions</t>
  </si>
  <si>
    <t>1. Master’s degree in program management, communications, international relations, public policy, economics, business, or other relevant technical discipline.
2. Relevant coursework or experience in energy, international development, resilience, sustainability, climate change, and/or public policy. Note: Engineering backgrounds can be applicable but are not required.
3. Relevant professional experience in related fields
...</t>
  </si>
  <si>
    <t>Policy Intern, Tax</t>
  </si>
  <si>
    <t>Enterprise Community Investment</t>
  </si>
  <si>
    <t>1. Graduate student or college graduate preferred
2. Previous office experience preferred
3. Interest in public policy, especially affordable housing and community development policy, working with a diverse range of stakeholders, and the Congressional legislative process
...</t>
  </si>
  <si>
    <t>Policy Intern, Appropriations</t>
  </si>
  <si>
    <t>Graduate (Year-Round) Intern - Energy Equity Projects and Initiatives</t>
  </si>
  <si>
    <t>1. Bachelor’s and/or Master’s degree in economics, public policy, environmental policy, urban policy and planning, or equivalent technical discipline
2. Relevant coursework in energy, labor, workforce development, environmental justice, energy justice and/or public policy
3. Relevant professional or volunteer experience in energy justice, community building, environmental justice, workforce development, labor policy and/or public policy
...</t>
  </si>
  <si>
    <t>Conservation Leadership Crew Intern</t>
  </si>
  <si>
    <t>West Alton, MO</t>
  </si>
  <si>
    <t>1. High school student; currently enrolled in the Ferguson-Florissant School District or Hazelwood School District or other school districts within North County
2. Demonstrate willingness to work outdoors in nature
3. Ability to learn in an active and physical environment
...</t>
  </si>
  <si>
    <t>Research Assistant I - Public Health/Health Sciences, IHP/GE</t>
  </si>
  <si>
    <t>1. Strong oral and written communication skills
2. Ability to work independently
3. Research experience
...</t>
  </si>
  <si>
    <t>Student Assistant - Government Documents</t>
  </si>
  <si>
    <t>1. Enrolled undergraduate student at Auburn University
2. Possess strong attention to detail
3. Interest in public service and delivery of quality customer service
...</t>
  </si>
  <si>
    <t>Graduate Assistant for AU Student Government (Student)</t>
  </si>
  <si>
    <t>1. Bachelor’s degree is required.
2. Experience in and/or working with leadership development, policy, or advocacy initiatives.
3. Able to work beginning August 12, 2024.</t>
  </si>
  <si>
    <t>Intern, Field Advocacy-Remote</t>
  </si>
  <si>
    <t>1. Advanced undergraduate course work in Political Science, Public Policy, Sociology, Organizational Development, and related fields. Seniors and graduate students preferred.
2. Ability to deal professionally in a corporate, public, or non-profit environment and assume responsibility for guiding projects and programs from inception through completion.
3. Self-starter with good organizational skills, intellectual curiosity, and attention to detail.
...</t>
  </si>
  <si>
    <t>Graduate Intern</t>
  </si>
  <si>
    <t>Services for the UnderServed</t>
  </si>
  <si>
    <t>Health Care, Homeless Shelter</t>
  </si>
  <si>
    <t>1. Strong writing and interpersonal skills
2. High-level proficiency in the Microsoft Office Suite
3. Previous health care experience
...</t>
  </si>
  <si>
    <t>Free &amp; Just Research Intern</t>
  </si>
  <si>
    <t>1. Demonstrated interest in progressive causes
2. Skilled writer with the ability to incorporate the perspectives of multiple communities, specifically marginalized communities
3. Skilled researcher with the ability to clearly and concisely summarize information
...</t>
  </si>
  <si>
    <t>Economic Education Project Communications Intern</t>
  </si>
  <si>
    <t>1. Interest and background in progressive causes
2. Excellent writing and communication skills
3. Organized, detail-oriented, and analytical
...</t>
  </si>
  <si>
    <t>Intern, Field Advocacy-Des Moines, Iowa</t>
  </si>
  <si>
    <t>1. College seniors and graduate students pursuing a degree in public policy, public health, or related fields are encouraged to apply.
2. Experience in public policy and/or an interest in advocacy and healthcare is strongly preferred.
3. Ability to deal professionally in a corporate or non-profit environment and assume responsibility for developing projects from inception through completion.
...</t>
  </si>
  <si>
    <t>Research Assistant, Education Policy Studies</t>
  </si>
  <si>
    <t>1. A bachelor’s degree at the start date is required.
2. 0–2 years of previous full-time work experience—previous internship experience strongly preferred
3. Excellent organizational skills
...</t>
  </si>
  <si>
    <t>Advocacy Intern (Fall)</t>
  </si>
  <si>
    <t>1. Enrolled in a degree program at an accredited college or university
2. Considered a rising undergraduate junior or senior, graduate student, or postdoctoral student
3. Remain academically enrolled throughout the internship
...</t>
  </si>
  <si>
    <t>Intern, Field Advocacy-Salt Lake City, UT</t>
  </si>
  <si>
    <t>Intern, Policy Research-Remote</t>
  </si>
  <si>
    <t>1. College seniors, and graduate students pursuing a degree in public policy, public health, or related fields are encouraged to apply.
2. Experience in public policy and/or an interest in advocacy and healthcare is strongly preferred.
3. Demonstrated skills in effective one-on-one and group communications and comfort working with professionals, academics, and learners across diverse disciplines and geographies.
...</t>
  </si>
  <si>
    <t>AmeriCorps Immigrant Integration Specialist</t>
  </si>
  <si>
    <t>CASA</t>
  </si>
  <si>
    <t>Advocacy, Communities</t>
  </si>
  <si>
    <t>$240-$960 /wk</t>
  </si>
  <si>
    <t>1. Motivated, responsible, disciplined, loyal, and comfortable working independently and within a team setting
2. Ability to exercise good judgment
3. Fluency in English and Spanish is preferred
...</t>
  </si>
  <si>
    <t>HHS Health Policy and Outcomes Research Fellowship</t>
  </si>
  <si>
    <t>1. Currently pursuing or have received a master's or doctoral degree in one of the relevant fields (including Doctor of Medicine, Doctor of Pharmacy, and Doctor of Dental Surgery). Degree must have been received within five years of the appointment start date unless currently pursuing.</t>
  </si>
  <si>
    <t>COLLEGE AIDE</t>
  </si>
  <si>
    <t>1. Matriculation at an accredited college or graduate school. Employment is conditioned upon continuance as a student in a college or graduate school.
2. Familiar with Microsoft Office suite.
3. Able to understand and apply basic emergency management concepts.
...</t>
  </si>
  <si>
    <t>Intern, Field Advocacy-South Dakota</t>
  </si>
  <si>
    <t>1. Seniors or Graduate Students who have completed advanced undergraduate coursework in Political Science, Public Policy, Sociology, Organizational Development, or related fields.
2. Demonstrated skills in effective one-on-one and group communications and comfort with working with all levels of community leaders, volunteers, and staff.
3. Ability to deal professionally in a corporate or non-profit environment and assume responsibility for guiding projects and programs from inception through completion.
...</t>
  </si>
  <si>
    <t>Federal Work Study-  Student Data Systems</t>
  </si>
  <si>
    <t>Spring 2025 Civil Rights Tech Internship</t>
  </si>
  <si>
    <t>Civil Rights</t>
  </si>
  <si>
    <t>Advocacy, Public Relations</t>
  </si>
  <si>
    <t>1. Availability to work a minimum of 15-20 hours per week.
2. Strong writing and research skills.
3. Desire and ability to work with diverse groups of people.
...</t>
  </si>
  <si>
    <t>Spring 2025 Undergraduate Internship</t>
  </si>
  <si>
    <t>1. Strong research and writing skills
2. Desire and ability to work with diverse groups of people
3. Ability to work collaboratively
...</t>
  </si>
  <si>
    <t>Intern - Simon-Skjodt Center for the Prevention of Genocide (Research)</t>
  </si>
  <si>
    <t>1. Pursuing a degree from an accredited university
2. A strong interest in genocide and mass atrocity prevention, as indicated by dedicated coursework, research experience, and/or professional experience.
3. Experience with research and writing about contemporary mass atrocities and their prevention, as indicated by dedicated coursework, research experience, and/or professional experience
...</t>
  </si>
  <si>
    <t>Audubon Conservation Ranching Intern</t>
  </si>
  <si>
    <t>1. Completion of college-level coursework in communications, agriculture, conservation, ecology, or natural resources management.
2. Confident in leading a group and initiating activities, working independently, and team teaching.
3. Comfortable with public speaking to small or large groups.
...</t>
  </si>
  <si>
    <t>Water Policy Fellow</t>
  </si>
  <si>
    <t>1. Commitment to principles of environmental justice and a just and equitable approach to conservation.
2. Working knowledge of policies related to water management, water quality, fish and wildlife habitat highly desired.
3. Enrollment at an accredited college (including community college) or university required.
...</t>
  </si>
  <si>
    <t>Social Work Designee Student Intern</t>
  </si>
  <si>
    <t>Western Reserve Area Agency on Aging</t>
  </si>
  <si>
    <t>Elder Care, Non Profit</t>
  </si>
  <si>
    <t>1. SW Designee student or student working towards their BA or MSW at an affiliated college/university.
2. WRAAA and Intern will focus on learning objectives requirements of their field practicum.
3. Student intern is a non-paid position and not guaranteed a paid position after the conclusion of internship.
...</t>
  </si>
  <si>
    <t>Science Policy Intern</t>
  </si>
  <si>
    <t>American Institute of Physics</t>
  </si>
  <si>
    <t>Publishing</t>
  </si>
  <si>
    <t>1. Part-time internship open to current undergraduate and graduate students
2. Reside in Maryland, Virginia, or the District of Columbia
3. May be asked to attend 1 day per week in person at AIP's offices in the DMV area
...</t>
  </si>
  <si>
    <t>Federal Work Study- Research Compliance Clerical Support</t>
  </si>
  <si>
    <t>Federal Work Study- Financial Aid Office</t>
  </si>
  <si>
    <t>Federal Work Study- Pediatrics Research Aid</t>
  </si>
  <si>
    <t>Research Aide</t>
  </si>
  <si>
    <t>1. Undergraduate student with a major in public health or related field
2. Be able to start in summer 2024
3. 20 hours per week; flexible schedule to accommodate classes</t>
  </si>
  <si>
    <t>Sustainability and Community Engagement Fellow</t>
  </si>
  <si>
    <t>1. Experience and education in renewable energy, energy efficiency, climate change and climate action, environmental policy
2. Strong communications skill, both verbal and written
3. Experience with social media including engaging content creation. Basic to intermediate graphic design skill are a plus
...</t>
  </si>
  <si>
    <t>Fall 2024: Immigration Intern (Unpaid)</t>
  </si>
  <si>
    <t>1. Currently enrolled in an accredited Law School or Graduate Program; recently earned undergraduate degree. Prior volunteer experience with IRC Immigration preferred.
2. Attention to Detail
3. Ability to take direction (written and oral) and to complete tasks independently. Must be punctual and dependable (regular attendance required); Minimum 15 hours per week.
...</t>
  </si>
  <si>
    <t>Communications Intern - Education Policy Program</t>
  </si>
  <si>
    <t>Volunteers of America-Greater New York</t>
  </si>
  <si>
    <t>Home Services, Non Profit</t>
  </si>
  <si>
    <t>1. Interest or relevant experience in journalism or public relations and marketing experience strongly preferred
2. Strong narrative writing skills and able to synthesize longer texts into social media-length posts and media pitches
3. Experience or interest in managing and monitoring social media accounts for an organization
...</t>
  </si>
  <si>
    <t>New America</t>
  </si>
  <si>
    <t>Intern/Graduate Fellow, South Asia</t>
  </si>
  <si>
    <t>1. Are pursuing an undergraduate or master’s degree in international relations, political science, international business, Asian / Southeast Asian studies, or a related field
2. Possess a strong background, demonstrated interest, and experience living or studying in Southeast Asia
3. Able to operate in a fast-paced work environment while maintaining a high level of professionalism, mature judgment, and confidentiality
...</t>
  </si>
  <si>
    <t>Community Program Coordinator</t>
  </si>
  <si>
    <t>The Johns Hopkins University</t>
  </si>
  <si>
    <t>$22.50-$40 /h</t>
  </si>
  <si>
    <t>1. Bachelor’s Degree required.
2. Two years progressively responsible program or case management experience.
3. Proficiency with the Microsoft Office suite and comfort in technology-rich environments.
...</t>
  </si>
  <si>
    <t>Einride</t>
  </si>
  <si>
    <t>Autonomous Vehicles, Electric Vehicle</t>
  </si>
  <si>
    <t>Austin/Remote</t>
  </si>
  <si>
    <t>1. You are currently enrolled at University, preferably doing your Masters
2. An understanding of key regulations, agencies, and overall policy environment that impact electric vehicles and Einride’s business
3. Demonstrated interest or coursework in EVs, charging infrastructure, freight, solar, energy storage, and/or adjacent environmental/climate issues
...</t>
  </si>
  <si>
    <t>Johns Hopkins Carey Business School</t>
  </si>
  <si>
    <t>Consulting, Continuing Education</t>
  </si>
  <si>
    <t>1. Bachelor's Degree required.
2. Two years progressively responsible program or case management experience.
3. Proficiency with the Microsoft Office suite and comfort in technology-rich environments.
...</t>
  </si>
  <si>
    <t>National Church Residences</t>
  </si>
  <si>
    <t>1. Seeking Graduate Degree or in Last Years of Undergraduate Degree in Business, Real Estate, Finance, City Planning, Public Policy, or Related Field
2. Interest in Affordable Housing Real Estate Development
3. Must have good communication, comprehension, computer and interpersonal skills
...</t>
  </si>
  <si>
    <t>Fall 2024: Survivor Advocacy Services Intern (Unpaid)</t>
  </si>
  <si>
    <t>1. Education: Currently enrolled in an Associate’s, Bachelor’s, or Master’s program in social work, women’s/gender studies, public health, business, communication, economics, finance, public policy, public administration, social sciences, or a related field.
2. Work Experience: Prior experience in case work, client services, or working with diverse immigration statuses is advantageous. Familiarity with refugee and asylee populations is beneficial but not mandatory.
3. Certificates or Licenses: Valid driver’s license and current insurance required.
...</t>
  </si>
  <si>
    <t>Fall 2024: Resettlement Administrative Intern (Unpaid)</t>
  </si>
  <si>
    <t>1. Must be currently enrolled student in an undergraduate or graduate degree program or graduated within one year, preferably studying fields such as Human Rights, International Relations, etc.
2. 1+ years related work or volunteer experience with a non-profit strongly preferred.
3. Must be a self-starter, enthusiastic, and possess a positive attitude.
...</t>
  </si>
  <si>
    <t>1. Applicants to the programme must at the time of application meet one of the following requirements: (a) be enrolled in, or have completed, a graduate school programme (second university degree or equivalent, or higher); (b) be enrolled in, or have completed, the final academic year of a first university degree programme (minimum bachelor’s degree or equivalent).
2. Educational background in communications, graphic design, journalism, development studies or international relations is desirable.
3. Applicants must be computer literate in standard software applications.
...</t>
  </si>
  <si>
    <t>INTERN - ECONOMIC AFFAIRS</t>
  </si>
  <si>
    <t>1. Enrolled in or have completed a graduate school programme (second university degree or equivalent, or higher) OR enrolled in or have completed the final academic year of a first university degree programme (minimum bachelor’s degree or equivalent)</t>
  </si>
  <si>
    <t>Internship for Sustainable Development Goals Outreach and Partnerships</t>
  </si>
  <si>
    <t>1. Enrolled in a graduate school programme (second university degree or equivalent, or higher), or enrolled in the final academic year of a first university degree programme (minimum Bachelor's level or equivalent), or have graduated with a university degree and must commence the internship within a one-year period of graduation
2. Computer literate in standard software applications
3. Fluency in spoken and written English
...</t>
  </si>
  <si>
    <t>Human Services Intern</t>
  </si>
  <si>
    <t>Pressley Ridge</t>
  </si>
  <si>
    <t>Beaver Falls, PA</t>
  </si>
  <si>
    <t>1. Bachelors or Masters level students in an approved university internship program required
2. Good driving record and valid car insurance required
3. Proper clearances (State, FBI and Child Protective Services Clearances – depending on location)
...</t>
  </si>
  <si>
    <t>Government Affairs Intern</t>
  </si>
  <si>
    <t>1. Bachelor’s degree preferred (a focus in political science, public policy, climate change, environmental studies, social sciences, communications and/or social change a bonus).
2. Strong oral and written communication skills; well organized.
3. Strong work ethic with exceptional organizational skills and an eye for details.
...</t>
  </si>
  <si>
    <t>Internship, History and International Economics, Fall 2024</t>
  </si>
  <si>
    <t>1. Undergraduate or graduate student with background in political science, political philosophy, history, economics, or related field
2. Students should have completed the equivalent of four semesters of college coursework (not including AP classes in high school) by the time they begin an internship
3. Excellent research, writing, and editing skills, as well as experience working with qualitative analysis
...</t>
  </si>
  <si>
    <t>Recovery Project Coordinator</t>
  </si>
  <si>
    <t>Ampact</t>
  </si>
  <si>
    <t>1. Must be a community-minded individual
2. Must serve as AmeriCorps members
3. No discrimination based on various factors including race, color, creed, national origin, gender, age, religion, sexual orientation, disability, gender identity or expression, political affiliation, marital or parental status, familial status, military service, or any other category protected by law</t>
  </si>
  <si>
    <t>Baxter, MN</t>
  </si>
  <si>
    <t>Ramsey, MN</t>
  </si>
  <si>
    <t>Hastings, MN</t>
  </si>
  <si>
    <t>Pine City, MN</t>
  </si>
  <si>
    <t>Pelican Rapids, MN</t>
  </si>
  <si>
    <t>Bemidji, MN</t>
  </si>
  <si>
    <t>INTERN - Policy Analysis, Strategic Planning, Innovation &amp; Analytics (Information Management)</t>
  </si>
  <si>
    <t>1. Enrolled in a graduate school programme (second university degree or equivalent, or higher) in information management, document management, digital archiving or a related field of study
2. Enrolled in the final academic year of a first university degree programme (minimum Bachelor’s level or equivalent) in information management, document management, digital archiving or a related field of study
3. Good working knowledge of Microsoft Word and Excel applications
...</t>
  </si>
  <si>
    <t>Intern - Pharr District Public Information Office</t>
  </si>
  <si>
    <t>1. Must be a student in high school or other educational institution or accepted into a college, university or educational institution.
2. Must be at least 16 years of age, a student currently enrolled in high school or any institution of higher education to include a trade/vocational school.</t>
  </si>
  <si>
    <t>Intern - Office of Korea Chair (Fall 2024)</t>
  </si>
  <si>
    <t>1. Excellent attention to detail, good organizational abilities, professional demeanor, general office skills and strong computer skills
2. Have a demonstrated interest in the Korean peninsula and Asia
3. Experience or coursework in compiling and coding qualitative data
...</t>
  </si>
  <si>
    <t>Advocacy Intern - Fall 2024 (remote)</t>
  </si>
  <si>
    <t>1. Currently enrolled graduate or recent graduate
2. Strong interest in and commitment to refugee rights and advocacy
3. Excellent research, analytical, and communication skills
...</t>
  </si>
  <si>
    <t>1. College juniors, seniors or recent graduates with full-time availability (8:30 a.m. - 5:30 p.m., Monday-Friday)
2. Ability to work three days a week in-person in our DC office (Tuesday-Thursday) and two days remotely (Monday and Friday)
3. Demonstrated interest in communications, public relations, public affairs and/or related fields
...</t>
  </si>
  <si>
    <t>Substitute - Secretary I (2024-2025 SY)</t>
  </si>
  <si>
    <t>Norwalk Public Schools</t>
  </si>
  <si>
    <t>1. High school diploma or equivalency
2. Two years (2) of experience above the clerk level in office support or secretarial work
3. College training of 15 semester hours equaling .5 year of experience in the secretarial sciences may be substituted for two years of experience above clerk level
...</t>
  </si>
  <si>
    <t>Fall 2024: DNC Technology Internship</t>
  </si>
  <si>
    <t>1. Currently enrolled in an undergraduate or graduate program at a college, community college, or university (two-to-four year institution). It is highly recommended that applicants complete at least one full term prior to submitting an application
2. Graduated from an undergraduate or graduate program at a college, community college, or university (two-to-four year institution) no more than two years before the first day of the internship
3. A veteran of the United States Armed Forces who possesses a high school diploma or its equivalent and has served on active duty, for any length of time, in the two years preceding the first day of the internship
...</t>
  </si>
  <si>
    <t>Fall Research Intern, Grand Strategy Program</t>
  </si>
  <si>
    <t>Quincy Institute</t>
  </si>
  <si>
    <t>1. Background knowledge and interest on issues related to Europe and the former USSR, as well as the IR theory of restraint, and familiarity with issues related to U.S. foreign and security policy and ongoing policy debates in the United States
2. Enrollment in an undergraduate or graduate program in political science, international relations, or a related field in the social sciences or humanities, or be a recent graduate in the aforementioned areas
3. Strong writing and research skills, including basic familiarity with AP style guide
...</t>
  </si>
  <si>
    <t>Intern, Strategy &amp; Communications</t>
  </si>
  <si>
    <t>High Lantern Group</t>
  </si>
  <si>
    <t>CRM, Information Technology</t>
  </si>
  <si>
    <t>1. Current MA students preferred, but strong BA candidates with demonstrated intern and work experience will be considered
2. Motivated self-starter with experience or interest in strategic communications, business, politics, and public policy
3. Excellent writing, research, and communication skills
...</t>
  </si>
  <si>
    <t>Fall 2024 Associates Program</t>
  </si>
  <si>
    <t>Pittsburgh Riverhounds</t>
  </si>
  <si>
    <t>1. Be available for 75% of Riverhounds home games during the fall term
2. Excellent customer service and time management skills
3. Ability to handle multiple projects and prioritize under a heavy workload
...</t>
  </si>
  <si>
    <t>1. Undergraduate or graduate student majoring in communications, journalism, international relations, or related field
2. All applicants should have completed the equivalent of four semesters of college coursework (not including AP classes in high school) by the time they begin an internship
3. Ability to multitask and work well collectively in a fast-paced environment
...</t>
  </si>
  <si>
    <t>Temporary Game Worker</t>
  </si>
  <si>
    <t>Clear Creek ISD</t>
  </si>
  <si>
    <t>1. Valid Driver's License or State ID#
2. Social security number
3. Phone number for contact
...</t>
  </si>
  <si>
    <t>Internship, Corporate Affairs, Programming, Fall 2024</t>
  </si>
  <si>
    <t>1. Undergraduate student with a concentration in international relations, political science, business administration, finance, or related field
2. Students should have completed the equivalent of four semesters of college coursework (not including AP classes in high school) by the time they begin an internship
3. Excellent research, writing, editing, and communication skills
...</t>
  </si>
  <si>
    <t>Internship, Development, Fall 2024</t>
  </si>
  <si>
    <t>1. Undergraduate student with a concentration in international relations, political science, nonprofit management, business, or related field
2. All applicants should have completed the equivalent of four semesters of college coursework (not including AP classes in high school) by the time they begin an internship)
3. Excellent research, writing, and communication skills
...</t>
  </si>
  <si>
    <t>Internship, International Political Economy, Fall 2024</t>
  </si>
  <si>
    <t>1. Undergraduate or graduate student focusing on international relations, international political economy, international finance and economics, or related field
2. All applicants should have completed the equivalent of four semesters of college coursework (not including AP classes in high school) by the time they begin an internship)
3. Strong research, editing and proofreading skills
...</t>
  </si>
  <si>
    <t>Internship, International Economics and Technology, Fall 2024</t>
  </si>
  <si>
    <t>1. Undergraduate or graduate student with background in economics, computer science, political science, mathematics, or related field
2. All applicants should have completed the equivalent of four semesters of college coursework (not including AP classes in high school) by the time they begin an internship
3. Experience in research, writing, and editing
...</t>
  </si>
  <si>
    <t>Non Legal Intern - Fall 2024 (remote)</t>
  </si>
  <si>
    <t>1. Currently enrolled in an accredited undergraduate or graduate program
2. Strong organizational skills, attention to detail, and creative problem-solving skills with the ability to manage multiple deadlines at once
3. Non-legal research and writing skills, particularly in immigration law, administrative law, federal law, and federal regulations
...</t>
  </si>
  <si>
    <t>Young Adult Advisory Board</t>
  </si>
  <si>
    <t>Making Opportunity Count</t>
  </si>
  <si>
    <t>Fitchburg, MA</t>
  </si>
  <si>
    <t>1. Young adult 18-24 years of age
2. Current or past experience living in or staying in Fitchburg, Gardner and Leominster areas
3. Able to communicate in English
...</t>
  </si>
  <si>
    <t>Global Programs Internship (Remote &amp; Hybrid)</t>
  </si>
  <si>
    <t>DOD SkillBridge Program Management Intern</t>
  </si>
  <si>
    <t>MKS2 Technologies</t>
  </si>
  <si>
    <t>1. Assist Program team with weekly reporting requirements
2. Participate in open discussions to enhance efficiency and productivity of procedures and people
3. Learn the foundation of program financials
...</t>
  </si>
  <si>
    <t>1. Strong organizational skills, attention to detail, and creative problem-solving skills with the ability to manage multiple deadlines at once
2. Non-legal research and writing skills, particularly in immigration law, administrative law, federal law, and federal regulations
3. Dedicated interest and passion for immigration advocacy, direct client representation, and protecting the rights of migrants
...</t>
  </si>
  <si>
    <t>Federal Funded Part-Time Temporary Media Specialist @ Family &amp; Community Engagement</t>
  </si>
  <si>
    <t>Alief Independent School District</t>
  </si>
  <si>
    <t>$13-$25 /h</t>
  </si>
  <si>
    <t>Political Affairs Interns – Coordination and analysis</t>
  </si>
  <si>
    <t>1. Enrolled in, or have completed, a graduate school programme (second university degree or equivalent, or higher) OR enrolled in, or have completed, the final academic year of a first university degree programme (minimum bachelor’s degree or equivalent) in a field of study closely related to the type of internship
2. Good knowledge of standard software applications, especially MS Word, MS PowerPoint, Excel, MS Teams, and SharePoint
3. Fluency in spoken and written English
...</t>
  </si>
  <si>
    <t>Grant Writer</t>
  </si>
  <si>
    <t>Wilberforce University</t>
  </si>
  <si>
    <t>Wilberforce, OH</t>
  </si>
  <si>
    <t>1. Superior written and oral communication skills with the ability to be clear and precise.
2. Positive and collaborative team player with a high degree of initiative and self-discipline.
3. Proficient in Microsoft Office applications including Word, Excel and PowerPoint, Teams and Zoom.
...</t>
  </si>
  <si>
    <t>Fall 2024: DNC General Internship</t>
  </si>
  <si>
    <t>1. Applicants must be 18 years of age on or before the first day of the internship
2. Currently enrolled in an undergraduate or graduate program at a college, community college, or university (two-to-four year institution) or graduated from such a program no more than two years before the first day of the internship
3. A veteran of the United States Armed Forces who possesses a high school diploma or its equivalent and has served on active duty, for any length of time, in the two years preceding the first day of the internship
...</t>
  </si>
  <si>
    <t>1. Currently enrolled in an undergraduate or graduate program at a college, community college, or university (two-to-four year institution). It is highly recommended that applicants complete at least one full term prior to submitting an application.
2. Graduated from an undergraduate or graduate program at a college, community college, or university (two-to-four year institution) no more than two years before the first day of the internship.
3. A veteran of the United States Armed Forces who possesses a high school diploma or its equivalent and has served on active duty, for any length of time, in the two years preceding the first day of the internship.
...</t>
  </si>
  <si>
    <t>Economic Affairs Intern</t>
  </si>
  <si>
    <t>1. Applicants to the internship must at the time of application meet one of the following requirements: (a) be enrolled in a graduate school programme (second university degree or equivalent, or higher); (b) be enrolled in the final academic year of a first university degree programme (minimum Bachelor's level or equivalent); (c) subject to review on a case-by-case basis, applicants within a few years from graduation who could not apply earlier and who are in an early stage of their careers; as a first-time entry into the workforce; are changing careers or due to compelling family circumstances.
2. Applicants who have graduated (as defined in (a) or (b) above), if selected, must commence the internship within a one-year period of graduation.
3. Applicants must be computer literate in standard software applications.
...</t>
  </si>
  <si>
    <t>MOCATE Resource Development Coordinator</t>
  </si>
  <si>
    <t>1. Highly organized individual
2. Interested in systematical change
3. Experience in networking, event planning, communications, and professional writing
...</t>
  </si>
  <si>
    <t>Fall 2024: DNC Civic Engagement &amp; Voter Protection Internship</t>
  </si>
  <si>
    <t>NANA SHAREHOLDER COLLEGE INTERNSHIP - NANA Regional Lands Subsistence Projects Intern Paid Internship</t>
  </si>
  <si>
    <t>NANA Regional Corporation</t>
  </si>
  <si>
    <t>1. Must be a NANA shareholder. NANA shareholders own stock in NANA Regional Corporation, Inc.
2. Must be 18 years or older.
3. Must be currently enrolled in college pursuing a degree in biological sciences, land management, or Rural Development or similar field.
...</t>
  </si>
  <si>
    <t>Program Assistant, Washington External Affairs</t>
  </si>
  <si>
    <t>$51000-$54000 /yr</t>
  </si>
  <si>
    <t>1. BA in international relations, political science, or a related field with high academic achievement
2. Congressional or government relations experience, including internships, required
3. Strong research skills and excellent written and verbal communication skills, including exceptional proofreading and editing ability
...</t>
  </si>
  <si>
    <t>Community Relations and Development (CRD) Intern</t>
  </si>
  <si>
    <t>The Salvation Army</t>
  </si>
  <si>
    <t>1. Coursework at college or university level in Communications, English, or another comparable discipline.
2. Demonstrated track record of strong writing, communications and proof-reading skills.
3. Ability to work independently and to take initiative.
...</t>
  </si>
  <si>
    <t>Gender Equity Intern - Fall 2024</t>
  </si>
  <si>
    <t>1. Self-motivated and able to work independently
2. Excellent communication and writing skills, including cross-cultural communicative skills
3. Works well in a fast-paced environment and adapts quickly to change
...</t>
  </si>
  <si>
    <t>Intern - International Security Program/ Arleigh Burke Chair in Strategy (Summer 2024)</t>
  </si>
  <si>
    <t>1. Strong academic record with a demonstrated interest in security and war studies. Competitive applicants should be in their junior year of undergraduate study or above.
2. Must have at least a 3.5 GPA (on a 4.0 scale) from an accredited U.S. institution or equivalent from a non-U.S. institution
3. Experience attending meetings and taking notes for principals
...</t>
  </si>
  <si>
    <t>Ashoka Latin America Intern</t>
  </si>
  <si>
    <t>1. Graduate students with experience and/or coursework in innovation or entrepreneurship, international development, or in themes relevant for local development (environment, urban policy, health, economic development, citizen participation, inclusion of vulnerable or marginalized groups in local policy design)</t>
  </si>
  <si>
    <t>Investigative College Aide</t>
  </si>
  <si>
    <t>$16.50-$19.90 /h</t>
  </si>
  <si>
    <t>CDC OSSAM Occupational Health Clinic Assignment Research Opportunity</t>
  </si>
  <si>
    <t>1. Bachelor's, Master's, or Doctoral Degree in relevant fields
2. Currently pursuing a relevant degree with completion by May 31, 2026
3. Degree received within the past five years
...</t>
  </si>
  <si>
    <t>Stockton Parks Fellow</t>
  </si>
  <si>
    <t>Trust for Public Land</t>
  </si>
  <si>
    <t>Landscaping, Non Profit</t>
  </si>
  <si>
    <t>1. Excellent oral and written communication skills for a broad audience (residents, government, local community-based organizations)
2. Willingness to adapt and remain flexible as projects and priorities change
3. Basic computer skills and working knowledge of Microsoft Office programs
...</t>
  </si>
  <si>
    <t>1. Passion for advocating for comprehensive reproductive health care
2. Ability to collect pledges and support campaigns
3. Experience in recruiting and training volunteers
...</t>
  </si>
  <si>
    <t>USDA-ARS Strategic Safety Climate Management Initiatives Fellowship</t>
  </si>
  <si>
    <t>1. Currently pursuing or have received a master's or doctoral degree in one of the relevant fields
2. Degree must have been received within the past one year, or anticipated to be received by 5/1/2025
3. U.S. Citizen Only
...</t>
  </si>
  <si>
    <t>2024 Take the Lead Fellowship</t>
  </si>
  <si>
    <t>Boston, MA, United States</t>
  </si>
  <si>
    <t>1. A passionate community builder seeking to gain entry-level experience within the sports industry.
2. Strong commitment and demonstrated experience providing a high-level of customer service.
3. Prior work experience within fast-paced, unstructured and frequently changing environments.
...</t>
  </si>
  <si>
    <t>Part Time Research Assistant - Public Health Sciences</t>
  </si>
  <si>
    <t>1. Enrolled in a graduate program in College of Medicine Pennsylvania State University with a focus on public health Sciences.
2. Strong analytical and problem-solving skills.
3. Proficiency in statistical analysis software and research tools.
...</t>
  </si>
  <si>
    <t>Farm Assistant</t>
  </si>
  <si>
    <t>Property Claim Advisory Services Corp.</t>
  </si>
  <si>
    <t>1. 1-2 years experience in urban farming or vegetable gardening
2. Excited to learn/deepen knowledge of urban farming best practices and techniques
3. Ready to work outside, in all types of weather
...</t>
  </si>
  <si>
    <t>Opportunity at the Office of State and Community Energy Programs</t>
  </si>
  <si>
    <t>$68000-$99000 /yr</t>
  </si>
  <si>
    <t>1. Be a U.S. Citizen or Lawful Permanent Resident.
2. Be 18 years of age at the time of application.
3. Be enrolled as a student currently pursuing their Bachelor’s, Master’s, or Doctoral degree, or have completed their Bachelor’s, Master’s, or Doctoral degree within the last 5 years.
...</t>
  </si>
  <si>
    <t>COMMUNITY DEVELOPMENT FALL INTERN</t>
  </si>
  <si>
    <t>City of Douglasville, GA</t>
  </si>
  <si>
    <t>1. Junior or Senior level Business Administration, Public Administration or related major preferred
2. Attention to detail
3. Ability to multi-task
...</t>
  </si>
  <si>
    <t>NYIC VISTA, Communications &amp; Program Development @ MCN</t>
  </si>
  <si>
    <t>Administrative Student Intern</t>
  </si>
  <si>
    <t>Analog Devices</t>
  </si>
  <si>
    <t>DSP, Electronics</t>
  </si>
  <si>
    <t>Malaysia, Penang</t>
  </si>
  <si>
    <t>1. Outbounds &amp; inbounds travel arrangements
2. SOP &amp; travel restrictions documentation
3. Travel tips, and booklet preparation
...</t>
  </si>
  <si>
    <t>HHS Pediatric Mental Health Care Access Program Research Fellowship</t>
  </si>
  <si>
    <t>1. Earned a master's or doctoral degree in a related field (e.g. public health, health education, behavioral or social science, epidemiology) within the past five years or currently pursuing
2. Citizenship: LPR or U.S. Citizen
3. Degree: Master's Degree or Doctoral Degree received within the last 60 months or currently pursuing
...</t>
  </si>
  <si>
    <t>Birches Global Peacebuilding Fellow</t>
  </si>
  <si>
    <t>American Friends Service Committee</t>
  </si>
  <si>
    <t>Communities, Employment</t>
  </si>
  <si>
    <t>$28000-$28000 stipend</t>
  </si>
  <si>
    <t>1. Recently graduated college or university students (by June 2024), preferably from the U.S., will be prioritized for this fellowship. Other recent graduated B.A. or M.A. students also will be considered.
2. College Degree in Peacebuilding, International Relations or equivalent field. Competitive GPA required.
3. Strong reading, writing, and analytical abilities.
...</t>
  </si>
  <si>
    <t>Intern, Legislative Research (Fall 2024)</t>
  </si>
  <si>
    <t>1. Strong ability to communicate verbally and in writing
2. Copyediting skills and attention to detail
3. Excellent skills in research and organization
...</t>
  </si>
  <si>
    <t>INTERNATIONAL DIPLOMACY INTERN</t>
  </si>
  <si>
    <t>1. International Studies major
2. General knowledge of international relations
3. Communication skills
...</t>
  </si>
  <si>
    <t>Field Organizing Fellow</t>
  </si>
  <si>
    <t>1. High school diploma or GED
2. Previous experience in grassroots campaigns, Planned Parenthood volunteer experience preferred
3. Strong commitment to quality health care
...</t>
  </si>
  <si>
    <t>EU Policy Internship - Application Deadline of June 7th, 2024</t>
  </si>
  <si>
    <t>FiscalNote</t>
  </si>
  <si>
    <t>1. Recent Master's in EU Law or EU Affairs/Politics
2. Clear ability in conceptual thinking and analytical writing
3. Native or equivalent written and spoken English, plus other EU languages
...</t>
  </si>
  <si>
    <t>Healthcare Administration Intern</t>
  </si>
  <si>
    <t>Oak Street Health</t>
  </si>
  <si>
    <t>Indianapolis, Indiana, United States</t>
  </si>
  <si>
    <t>1. Ability to work with multiple technical systems
2. Ability to collaborate across multiple teams and engage in multiple perspectives to work toward a common goal
3. Ability to succeed in a fast-paced, ever-changing environment
...</t>
  </si>
  <si>
    <t>Research Assistant I, per diem Global Health Equity</t>
  </si>
  <si>
    <t>1. BS or BA degree
2. At least one-year experience working in community/public health programming or research activities
3. Must have knowledge of Navajo culture and community setting.
...</t>
  </si>
  <si>
    <t>Internship in Sustainability Assurance  - Academic year 2024 - 2025</t>
  </si>
  <si>
    <t>1. Currently in the final year of a master's degree in (applied) Economics, Business Studies, Sustainability Studies, Commercial Engineering, or a related field
2. Strong interest in and basic knowledge of sustainability trends and key concepts
3. Team player with a sense of initiative and a critical, analytical mind
...</t>
  </si>
  <si>
    <t>Uniontown, PA</t>
  </si>
  <si>
    <t>Federal Work Study - Finance &amp; Administration/Office of Student Accounts (Fall 2024 - Spring 2025)</t>
  </si>
  <si>
    <t>1. Applicants must be enrolled as a JSU student taking at least six (3) hours per fall or spring semester.
2. If not a first-time student, the applicant must have a GPA of 2.00 or higher.
3. Selected applicants must provide evidence of student enrollment and GPA (unofficial transcript or printout of enrollment/GPA from MyJSU.
...</t>
  </si>
  <si>
    <t>Federal Work Study - Gamecock Market Assistant (Fall 2024 - Spring 2025)</t>
  </si>
  <si>
    <t>1. Applicants must be enrolled as a JSU student taking at least six (3) hours per fall or spring semester.
2. If not a first-time student, the applicant must have a GPA of 2.50 or higher.
3. Selected applicants must provide evidence of student enrollment and GPA (unofficial transcript or printout of enrollment/GPA from MyJSU.
...</t>
  </si>
  <si>
    <t>Volunteers- Brandywine</t>
  </si>
  <si>
    <t>YMCA of Delaware</t>
  </si>
  <si>
    <t>Health Diagnostics, Non Profit</t>
  </si>
  <si>
    <t>1. Completion of relevant YMCA trainings required.</t>
  </si>
  <si>
    <t>Special Studies and Risk Management Assessment Research Fellowship - Bachelor's/Master's level</t>
  </si>
  <si>
    <t>1. Earned bachelor's or master's degree in Computer Science, Information, Data Sciences, Databases, Information and Data Sciences, Operations Research, Analysis, Public Policy, International Relations, Library Science, Risk Analysis or related discipline within the past 60 months, or expected to earn a master's degree in one of these disciplines by May 1, 2024
2. Minimum GPA of 3.0
3. Candidate must be at least 21 years of age at the time of application
...</t>
  </si>
  <si>
    <t>Energy Academic Group: Autonomous Systems Law &amp; Policy Research Internship</t>
  </si>
  <si>
    <t>1. U.S Citizens only
2. Individuals 18 years of age or older at time of application
3. Will have a High School Diploma/GED, Associate's Degree, Bachelor's Degree, or Master's degree obtained within 3 months of the desired start date or will have completed by 5/31/2024. U.S. military veterans who have been honorably discharged (or who have been medically discharged because of a service-connected disability) and who received their degree within ten years of the desired start date are also eligible.
...</t>
  </si>
  <si>
    <t>2025 Risk Specialist Intern</t>
  </si>
  <si>
    <t>FALL 2024 Legal Internship with Lawfare Program</t>
  </si>
  <si>
    <t>1. Applicants must be law students or law school graduates with a demonstrated record of excellence, including research experience, strong writing capabilities, and a keen attention to accuracy.
2. Applicants must be eligible to work in the United States.
3. Must have at least a 3.2 GPA (on a 4.0 scale).
...</t>
  </si>
  <si>
    <t>Compliance Intern</t>
  </si>
  <si>
    <t>1. Must be currently enrolled in college seeking a degree.
2. Must be available to commit 15-25 hours per week during the spring/fall semesters and 25-40 hours per week during the summer months.</t>
  </si>
  <si>
    <t>Contracts Intern D (Salt Lake City, UT)</t>
  </si>
  <si>
    <t>1. Pursuing a Bachelor’s degree in Finance, Management, Business, Economics, Supply Chain Management or related field</t>
  </si>
  <si>
    <t>Law Clerk- Fall 2024</t>
  </si>
  <si>
    <t>Bremer Whyte Brown &amp; O'Meara</t>
  </si>
  <si>
    <t>Legal, Legal Tech</t>
  </si>
  <si>
    <t>$25-$32 /h</t>
  </si>
  <si>
    <t>1. Must be enrolled in law school, preferably in their 2L or 3L year.
2. Must be motivated, reliable, and able to work independently.
3. Ability to assist attorneys with discovery, motion work, research projects, meetings, and litigation preparation.
...</t>
  </si>
  <si>
    <t>Legal Research Assistant</t>
  </si>
  <si>
    <t>Campaign for the Fair Sentencing of Youth</t>
  </si>
  <si>
    <t>1. Current JD student at or recent graduate of an ABA accredited law school
2. Organized, detail-oriented and able to multitask
3. Demonstrated organizational and computer literacy (Google Apps, Microsoft Office)
...</t>
  </si>
  <si>
    <t>Law Clerk</t>
  </si>
  <si>
    <t>Eckberg Lammers</t>
  </si>
  <si>
    <t>1. Assist attorneys primarily with research
2. Draft a variety of legal documents
3. Deliver documents to the courthouse and other law offices</t>
  </si>
  <si>
    <t>Law Student Worker</t>
  </si>
  <si>
    <t>Minnesota State Board of Investment</t>
  </si>
  <si>
    <t>$19.56-$23.26 /h</t>
  </si>
  <si>
    <t>1. Students must be currently enrolled in a JD program and completed at least one year of study at an ABA approved law school (2L or 3L).
2. Ability to maintain a high level of confidentiality
3. Ability to celebrate diversity and a strong commitment to a respectful and inclusive work environment.
...</t>
  </si>
  <si>
    <t>2025 Seattle 2L IP Summer Associate</t>
  </si>
  <si>
    <t>K&amp;L Gates LLP</t>
  </si>
  <si>
    <t>Legal, Real Estate</t>
  </si>
  <si>
    <t>$3461.53-$4326.92 /wk</t>
  </si>
  <si>
    <t>1. Possess a Bachelor’s Degree and/or Advanced degree (M.S, Ph.D.) in a physical science (Chemistry, Biochemistry, Biomedical Engineering, etc.) or a technical field (Computer Science, Engineering, Electrical Engineering, etc.)
2. Superior academic credentials and excellent written and oral communication skills
3. The ability to work independently and as part of a team, and a commitment to the highest quality of client service
...</t>
  </si>
  <si>
    <t>Assurance - Intern Spring 2025 (Baton Rouge)</t>
  </si>
  <si>
    <t>Licensing Internship – Fall</t>
  </si>
  <si>
    <t>1. A Bachelor’s degree in process.
2. Be at least 18 years of age.
3. Ability to appropriately handle confidential and sensitive information.
...</t>
  </si>
  <si>
    <t>1. Currently enrolled in an accredited law school
2. Excellent research skills, including the ability to navigate legal databases and other relevant resources effectively.
3. Exceptional communication skills, both written and verbal, for drafting legal documents and collaborating with colleagues and clients.
...</t>
  </si>
  <si>
    <t>Legal Internship (Fall 2024)</t>
  </si>
  <si>
    <t>Indiana Legal Services</t>
  </si>
  <si>
    <t>1. Dedication to the mission of Indiana Legal Services, which is to use the law to fight poverty and racism, empower clients, and improve access to justice.
2. Enrollment in law school or recent graduation from law school.
3. Excellent written and oral communication skills.
...</t>
  </si>
  <si>
    <t>Legal Intern</t>
  </si>
  <si>
    <t>Sharebite</t>
  </si>
  <si>
    <t>B2B, Catering</t>
  </si>
  <si>
    <t>$20-$29 /h</t>
  </si>
  <si>
    <t>1. Current 2nd or 3rd year law student at a fully-accredited law school
2. Resourceful, self-driven, curious, and collaborative
3. Excellent organizational and communication skills
...</t>
  </si>
  <si>
    <t>Student Office Associate - Office of University Counsel</t>
  </si>
  <si>
    <t>1. Must be enrolled at EKU.
2. Strong interpersonal, written, and oral communication skills.
3. Experience in Microsoft Outlook, Word, Excel, and PowerPoint.
...</t>
  </si>
  <si>
    <t>Law Clerk - Subrogation</t>
  </si>
  <si>
    <t>White and Williams LLP</t>
  </si>
  <si>
    <t>1. Strong academic credentials.
2. Full-time day availability while in law school.
3. Ability to multi-task in a fast-paced environment.</t>
  </si>
  <si>
    <t>Intern (Regulatory)</t>
  </si>
  <si>
    <t>1. High school diploma required, prefer college students in their senior year
2. Strong analytical and research skills
3. Thorough knowledge of MS Office applications including Word, Excel, Outlook, and PowerPoint
...</t>
  </si>
  <si>
    <t>Compliance/Nutrition Intern</t>
  </si>
  <si>
    <t>United Supermarkets</t>
  </si>
  <si>
    <t>1. Strong written and verbal communication skills
2. Excellent keyboarding skills
3. Math skills at a specific level (i.e. one step: addition, subtraction, multiplication, division or two step percent calculations or more advanced)
...</t>
  </si>
  <si>
    <t>Vernis &amp; Bowling</t>
  </si>
  <si>
    <t>Advice, Legal</t>
  </si>
  <si>
    <t>1. Applicant must be currently enrolled in an accredited law school.
2. Must submit writing sample.</t>
  </si>
  <si>
    <t>Litigation Law Clerk</t>
  </si>
  <si>
    <t>1. 3L law clerks available part-time during the school year and full-time during the summer
2. flexible work schedule of around 15-20 hours per week
3. performing research
...</t>
  </si>
  <si>
    <t>Special Investigations Intern, Corporate – Fall 2024</t>
  </si>
  <si>
    <t>1. Effective analytical and organizational skills
2. A team player with a professional demeanor
3. Strong interpersonal skills and an aptitude for customer service
...</t>
  </si>
  <si>
    <t>Legal Fellowship Sponsorship ( Hybrid )</t>
  </si>
  <si>
    <t>Legal Aid Justice Center</t>
  </si>
  <si>
    <t>Legal, Public Safety</t>
  </si>
  <si>
    <t>Falls Church, VA</t>
  </si>
  <si>
    <t>1. Rising third-year law student, third-year law student, or recent law graduate.
2. Strong commitment to public interest work.
3. Mission-aligned experience (work, volunteer, or lived) partnering with and advocating in low-wealth communities and communities of color.
...</t>
  </si>
  <si>
    <t>Legal Administrative Specialist - Summer Legal Program (2025)</t>
  </si>
  <si>
    <t>1. Current law school students who have completed one (1) full year of legal studies at an American Bar Association (ABA) accredited law school.
2. Second-year law students who have completed at least one full year of legal study by the application deadline are eligible to apply.
3. Must attend a law school accredited by the American Bar Association.
...</t>
  </si>
  <si>
    <t>Legal Intern - Intellectual Property</t>
  </si>
  <si>
    <t>Identifeye Health</t>
  </si>
  <si>
    <t>$35-$55 /h</t>
  </si>
  <si>
    <t>1. Currently pursuing a law degree from an accredited U.S. law school, with a focus on intellectual property, patent law or a relevant field
2. Bachelor’s degree in life sciences or an engineering discipline
3. Passion for IP at the intersection of technology and medicine
...</t>
  </si>
  <si>
    <t>Summer Associate</t>
  </si>
  <si>
    <t>Jackson Lewis P.C.</t>
  </si>
  <si>
    <t>US - CA - Los Angeles</t>
  </si>
  <si>
    <t>$70-$83 /h</t>
  </si>
  <si>
    <t>1. Strong academic performance
2. Excellent writing skills
3. Strong attention to detail
...</t>
  </si>
  <si>
    <t>Compliance Analyst Intern or Part Time</t>
  </si>
  <si>
    <t>7G Environmental Compliance Management</t>
  </si>
  <si>
    <t>1. High school diploma or general education degree (GED); currently pursuing a degree in environmental science or related
2. Experience using Apple/MAC devices, iOS operating system, and Google suite
3. Valid driver’s license.
...</t>
  </si>
  <si>
    <t>ANKIN LAW</t>
  </si>
  <si>
    <t>1. Law students and undergrads or others interested in law school are welcome to apply.
2. Draft subpoenas, complaints, and motions
3. Answer discovery
...</t>
  </si>
  <si>
    <t>Fairview Investment Services</t>
  </si>
  <si>
    <t>1. Finance, Economics, Communications, Political Science, or related major
2. Candidate must be very detailed oriented
3. Candidate must be a self-starter
...</t>
  </si>
  <si>
    <t>Regulatory Intelligence Intern</t>
  </si>
  <si>
    <t>Enhesa</t>
  </si>
  <si>
    <t>Business Intelligence, Law Enforcement</t>
  </si>
  <si>
    <t>1. Degree in Law, Humanities, or Social Sciences; specialization in environmental law is an asset.
2. Strong analytical research and writing skills with a demonstrated ability to research and analyze law and policy.
3. Fluent English proficiency.</t>
  </si>
  <si>
    <t>2025 Summer Associate</t>
  </si>
  <si>
    <t>Kutak Rock</t>
  </si>
  <si>
    <t>1. Law clerks for the 2025 Summer
2. Participation in a 6-week summer program in Kutak Rock’s Northwest Arkansas offices
3. Ability to work with attorneys across various practices, including corporate and real estate transactions, healthcare transactions and regulatory compliance, general and complex civil litigation, public finance and tax
...</t>
  </si>
  <si>
    <t>Legal Intern (Year-Round)</t>
  </si>
  <si>
    <t>General Atomics</t>
  </si>
  <si>
    <t>$38,230-$56,838 /h</t>
  </si>
  <si>
    <t>1. Hardworking, detail-oriented, flexible, and competitive person
2. Plans to attend a top law school 1-2 years after graduation
3. Participate in supervised practical training by legal assistants and provide support to the legal department
...</t>
  </si>
  <si>
    <t>2024 Fall Legal Intern</t>
  </si>
  <si>
    <t>Lawyers' Committee for Civil Rights Under Law</t>
  </si>
  <si>
    <t>Advocacy, Association</t>
  </si>
  <si>
    <t>$450-$450 /mon</t>
  </si>
  <si>
    <t>1. Currently enrolled in law school.
2. Ability to work independently.
3. Excellent research and writing skills.
...</t>
  </si>
  <si>
    <t>Law Clerk (Intern) - The Toro Company</t>
  </si>
  <si>
    <t>The Toro Company</t>
  </si>
  <si>
    <t>Commercial, Industrial Manufacturing</t>
  </si>
  <si>
    <t>1. Second or Third year law student
2. Skilled in legal research and legal writing
3. Desired GPA: Top 25% of class
...</t>
  </si>
  <si>
    <t>Risk Management Intern</t>
  </si>
  <si>
    <t>YMCA of Greater Boston</t>
  </si>
  <si>
    <t>Health Care, Wellness</t>
  </si>
  <si>
    <t>1. Currently pursuing or recently completed a Bachelor's degree in Risk Management, Finance, Business Administration, or a related field.
2. Strong analytical and problem-solving skills.
3. Excellent written and verbal communication skills.
...</t>
  </si>
  <si>
    <t>Fall 2024 Intern - Legal (Music)</t>
  </si>
  <si>
    <t>1. Must be a current law student, enrolled in a J.D. program at an accredited university
2. Must be eligible to receive academic credit from your university for the duration of the internship
3. COVID-19 vaccination series and booster shot is a mandatory requirement for this position
...</t>
  </si>
  <si>
    <t>Fall Legal Intern</t>
  </si>
  <si>
    <t>Kids in Need of Defense</t>
  </si>
  <si>
    <t>Advocacy, Information Technology</t>
  </si>
  <si>
    <t>1. Must be currently enrolled in an accredited JD or LLM program
2. Must be fluent in Spanish and English (oral and written)
3. Exceptional academic credentials, strong writing skills, and attention to detail
...</t>
  </si>
  <si>
    <t>2025 Alaska Regional Office Clerkship</t>
  </si>
  <si>
    <t>Earthjustice</t>
  </si>
  <si>
    <t>$1319-$1319 /wk</t>
  </si>
  <si>
    <t>1. Candidates must be enrolled in a U.S. law school through fall 2025 (i.e., not graduating before December 2025) and be available to commit ten weeks during summer 2025.
2. Summer law clerks must work from the U.S. during their clerkship.
3. Resume.
...</t>
  </si>
  <si>
    <t>Law Clerk- Criminal Justice</t>
  </si>
  <si>
    <t>Ohio Attorney General</t>
  </si>
  <si>
    <t>1. Enrolled and in good standing as a 2L or 3L in law school (preferred 2L)
2. Passion and skill for strong legal research
3. Attention to Detail
...</t>
  </si>
  <si>
    <t>Legal Administrative Assistant Intern</t>
  </si>
  <si>
    <t>Shook,Hardy &amp; Bacon</t>
  </si>
  <si>
    <t>1. High school diploma or general education degree (GED) required
2. Three months legal experience, OR equivalent combination of education and/or experience
3. Types at a speed of at least 45 WPM</t>
  </si>
  <si>
    <t>Intern - Case clerk</t>
  </si>
  <si>
    <t>C-hit</t>
  </si>
  <si>
    <t>1. currently matriculating in pursuit of a 2-4 year degree
2. Demonstrated strong verbal and written communication
3. Highly organized, with analytical mindset and attention to detail
...</t>
  </si>
  <si>
    <t>Court Advocate Intern</t>
  </si>
  <si>
    <t>1. Possess a Bachelors degree with a concentration in social work, mental health, criminal justice, or related field.
2. Strong interest in working in human services with youth and young adults with mental illness, substance use disorders, co-occurring mental health and substance use disorders and involvement in the criminal justice system.
3. Willingness to learn and adopt evidence-based principles to reduce recidivism risks.
...</t>
  </si>
  <si>
    <t>Expert Institute</t>
  </si>
  <si>
    <t>1. Rising Junior or Senior pursuing a B.A. or B.S. in Pre-Law, History, Business, Communications or related field
2. Ability to work independently in a fast-paced, entrepreneurial environment
3. Positive attitude and desire to learn is a must
...</t>
  </si>
  <si>
    <t>Spring 2025 Legal Externship – Washington, DC Regional Office</t>
  </si>
  <si>
    <t>1. Enrolled in law school as a 2L or 3L during spring 2025.
2. Must be eligible to receive academic credit or fulfill a graduation requirement through this externship.
3. Commitment of at least 12 hours per week, preferably 37.5 hours/week.
...</t>
  </si>
  <si>
    <t>Spring 2025 Legal Externship – Community Partnerships Program</t>
  </si>
  <si>
    <t>1. Enrolled in law school as a 2L or 3L during spring 2025.
2. Must be eligible to receive academic credit or fulfill a graduation requirement through this externship.
3. Interest in environmental protection and environmental justice.
...</t>
  </si>
  <si>
    <t>Spring 2025 Legal Externship – Clean Energy Program</t>
  </si>
  <si>
    <t>1. Enrolled in law school as a 2L or 3L during spring 2025.
2. Must be eligible to receive academic credit or fulfill a graduation requirement through this externship.
3. Excellent research, analytic and writing skills.
...</t>
  </si>
  <si>
    <t>Spring 2025 Legal Externship – Northeast Regional Office</t>
  </si>
  <si>
    <t>1. Enrolled in law school as a 2L or 3L during spring 2025.
2. Must be eligible to receive academic credit or fulfill a graduation requirement through this externship.
3. Commitment of 12-20 hours per week for 10-16 weeks.
...</t>
  </si>
  <si>
    <t>Spring 2025 Legal Externship – California Regional Office</t>
  </si>
  <si>
    <t>Spring 2025 Legal Externship – Biodiversity Defense Program</t>
  </si>
  <si>
    <t>1. Enrolled in law school as a 2L or 3L during spring 2025.
2. Must be eligible to receive academic credit or fulfill a graduation requirement through this externship.
3. Excellent writing, research, analytical and organizational skills.
...</t>
  </si>
  <si>
    <t>Spring 2025 Legal Externship – Northern Rockies Regional Office</t>
  </si>
  <si>
    <t>LAW INTERN</t>
  </si>
  <si>
    <t>Children's Law Center of California</t>
  </si>
  <si>
    <t>Monterey Park, CA</t>
  </si>
  <si>
    <t>1. An enthusiastic attitude and desire to learn more about court-involved youth and their families.
2. Effective and respectful communication skills with children, teens, their families, and caregivers.
3. An ability to maintain professional and effective relationships with court personnel and coworkers.
...</t>
  </si>
  <si>
    <t>Spring 2025 Legal Externship – International Program</t>
  </si>
  <si>
    <t>1. Enrolled in law school as a 2L, 3L, or LLM during spring 2025.
2. Must be eligible to receive academic credit or fulfill a graduation requirement through this externship.
3. Demonstrated commitment to environmental protection and environmental or social justice.
...</t>
  </si>
  <si>
    <t>Spring 2025 Legal Externship – Puerto Rico Team</t>
  </si>
  <si>
    <t>Student Trainee (Legal), CG-0999-7/9 (NTE 1 year)</t>
  </si>
  <si>
    <t>Federal Deposit Insurance Corporation</t>
  </si>
  <si>
    <t>$61586-$75329 /yr</t>
  </si>
  <si>
    <t>1. Enrolled or accepted for enrollment in a Juris Doctorate or LL.M program at a qualifying educational institution on a full or half-time basis
2. Expected graduation date of April 2025 or later
3. Cumulative 2.5 out of 4.0 grade point average
...</t>
  </si>
  <si>
    <t>Arlington County, VA</t>
  </si>
  <si>
    <t>Fall 2024 Legal Extern - 2L or 3L</t>
  </si>
  <si>
    <t>ACLU Pennsylvania</t>
  </si>
  <si>
    <t>1. Applicants must be law students who are either 2L or 3L.
2. Externs are expected to work a minimum of 10 hours per week, either in-person or remote.
3. Applicants must be receiving class credit for their participation as externs or have an outside funding source.
...</t>
  </si>
  <si>
    <t>SWIC Practice Area Apprenticeship (Paralegal)</t>
  </si>
  <si>
    <t>Thompson Coburn LLP</t>
  </si>
  <si>
    <t>1. Must be an active student enrolled in the Paralegal Program at Southwestern Illinois College.
2. Must have successfully completed 1 to 2 semesters of the Paralegal Associate’s Degree Program.
3. Must be able to commute to our (downtown) St. Louis office.
...</t>
  </si>
  <si>
    <t>Business Affairs Intern, SPT – Fall 2024</t>
  </si>
  <si>
    <t>1. Passion and focus on entertainment and being within the business affairs department
2. Relevant education or experience in agreements, legal, and budgeting
3. Excellent communication and presentation skills both verbal and written
...</t>
  </si>
  <si>
    <t>Law Clerk Opportunities Fall 2024</t>
  </si>
  <si>
    <t>Legal Aid Society</t>
  </si>
  <si>
    <t>Charity, Government</t>
  </si>
  <si>
    <t>1. Commitment to providing legal services to the poor.
2. Excellent research and writing skills.
3. Ability to work well under stress and time pressure.
...</t>
  </si>
  <si>
    <t>Law Clerk (Fall 2024 &amp; Spring 2025)</t>
  </si>
  <si>
    <t>Maryland Legal Aid</t>
  </si>
  <si>
    <t>1. A junior or senior college/university student or a law school student; all majors will be considered.
2. Prior experience and/or interest in working with low-income populations.
3. Prior experience and/or interest in law or providing non-profit civil legal services.
...</t>
  </si>
  <si>
    <t>[Fall 2024] Shelter Services Legal Intern, IINE Lowell</t>
  </si>
  <si>
    <t>1. Applicants must be currently enrolled in (or entering) their second or third year of law school.
2. Candidates must be willing to work on-site (our offices are located at the Wells Fargo Center in Philadelphia, PA).
3. Candidates should be able to demonstrate strong legal practice skills, including effective legal research, drafting, and communication.</t>
  </si>
  <si>
    <t>Legal Research Intern</t>
  </si>
  <si>
    <t>HSB Group</t>
  </si>
  <si>
    <t>$40-$44 /h</t>
  </si>
  <si>
    <t>1. Law student (LLM or JD) (minimum 2nd year)
2. Interest in US discrimination laws and procedures; OR
3. Interest in US IP laws and procedures; OR
...</t>
  </si>
  <si>
    <t>Intern, Legal Department Operations</t>
  </si>
  <si>
    <t>1. Currently enrolled in a bachelor or master’s degree program at an accredited college or university
2. Possess a minimum cumulative GPA of 3.0 (not just in major)
3. Must attach a copy of college unofficial transcript
...</t>
  </si>
  <si>
    <t>Law Clerk – Fall 2024 | Spring / Summer 2025</t>
  </si>
  <si>
    <t>Collins Legal, PLC</t>
  </si>
  <si>
    <t>Commercial Real Estate, Legal</t>
  </si>
  <si>
    <t>1. Rising 3L student
2. 3.25 GPA or higher
3. Flexible schedule and commitment to attendance
...</t>
  </si>
  <si>
    <t>Compliance Intern - Spring 2025</t>
  </si>
  <si>
    <t>Cornerstone Government Affairs</t>
  </si>
  <si>
    <t>1. Currently pursuing a law degree, master’s in business administration, or a related field of study
2. Previous internships or experience conducting research and writing</t>
  </si>
  <si>
    <t>Law Student Internships</t>
  </si>
  <si>
    <t>$15.20-$15.20 /h</t>
  </si>
  <si>
    <t>1. Law student status
2. Strong work ethic
3. Interest in higher education law
...</t>
  </si>
  <si>
    <t>Queens District Attorney’s Office Fall 2024 Legal Internship</t>
  </si>
  <si>
    <t>Queens District Attorney's Office</t>
  </si>
  <si>
    <t>1. Current Law Student
2. Availability from September to December 2024
3. Minimum of 12 - 15 hours of in-person work per week
...</t>
  </si>
  <si>
    <t>Queens District Attorney's Office Brave Justice Summer 2025 Legal Internship</t>
  </si>
  <si>
    <t>$900-$900 /wk</t>
  </si>
  <si>
    <t>1. Current law student
2. Demonstrated interest in public service and criminal law
3. Ability to work in person Monday through Friday, from 9:00 AM to 5:00 PM
...</t>
  </si>
  <si>
    <t>Queens District Attorney’s Office Spring 2025 Legal Internship</t>
  </si>
  <si>
    <t>1. Current Law Student
2. Availability from January through April 2025
3. Minimum of 12 - 15 hours per week commitment
...</t>
  </si>
  <si>
    <t>Multi-Line Claim Associate I LevelUP- P&amp;C</t>
  </si>
  <si>
    <t>CCMSI</t>
  </si>
  <si>
    <t>1. Possess a long-term career goal to work in insurance as an adjuster.
2. Excellent oral and written communication skills.
3. Individual must be a self-starter with strong organizational abilities.
...</t>
  </si>
  <si>
    <t>RESICAP</t>
  </si>
  <si>
    <t>Construction, Leasing</t>
  </si>
  <si>
    <t>1. The candidate must be willing to work PT during the school year &amp; FT during breaks (between semesters)
2. Only 1L and 2Ls will be considered, with a preference for the latter (starting 2Ls)
3. Must be located in Atlanta, GA</t>
  </si>
  <si>
    <t>REGULATORY SPECIALIST II - 42005596 (FOR INTERNAL AGENCY EMPLOYEES ONLY)</t>
  </si>
  <si>
    <t>$39846.82-$45380.14 /yr</t>
  </si>
  <si>
    <t>1. A bachelor’s degree from an accredited college or university
2. One (1) year of professional or nonprofessional experience in administrative work, regulatory work, consumer complaint program work, interviewing, business administration, customer or public relations or investigations
3. Professional or nonprofessional experience as described above can substitute on a year-for-year basis for the required college education
...</t>
  </si>
  <si>
    <t>US - TX - Dallas</t>
  </si>
  <si>
    <t>1. Successful completion of one or two years of law school
2. Outstanding academic credentials (top third of class)
3. Interest in labor and employment law
...</t>
  </si>
  <si>
    <t>Summer Associate - 2025</t>
  </si>
  <si>
    <t>Phoenix</t>
  </si>
  <si>
    <t>1. Rising 2L candidates for the 2025 Summer Program
2. Cover letter
3. Resume
...</t>
  </si>
  <si>
    <t>1. Must be currently enrolled in an accredited JD or LLM program
2. Fluency in Spanish and English (oral and written)
3. Exceptional academic credentials, strong writing skills, and attention to detail
...</t>
  </si>
  <si>
    <t>Paralegal Intern</t>
  </si>
  <si>
    <t>Syncfusion</t>
  </si>
  <si>
    <t>Morrisville, NC</t>
  </si>
  <si>
    <t>1. Associate degree or in progress to achieve paralegal degree
2. Strong oral and written communication skills
3. Proficiency in Microsoft Office Suite, BoldDesk, and/or CRM databases
...</t>
  </si>
  <si>
    <t>Internship - Regulatory</t>
  </si>
  <si>
    <t>SES</t>
  </si>
  <si>
    <t>Communications Infrastructure, Hardware</t>
  </si>
  <si>
    <t>1. Currently be a J.D or LL.M student
2. An interest in Law, Public Policy/Administration, International Affairs/Relations, International Business or Economics, Political Science, or another related field
3. Familiarity and/or a demonstrated interest in communications law and/or space law is a plus
...</t>
  </si>
  <si>
    <t>3L Part time Law Clerk – West Conshohocken, PA</t>
  </si>
  <si>
    <t>Burns White</t>
  </si>
  <si>
    <t>1. Must be enrolled in law school as a 3L, and plan to take the PA bar in July 2025
2. Must be available to be in office on scheduled days
3. Strong desire to be a litigator and work in Medical Malpractice defense
...</t>
  </si>
  <si>
    <t>2025 Summer Risk Management Internship Program - Cleveland</t>
  </si>
  <si>
    <t>1. Graduating with a four-year degree or graduate level degree by May 2026 with focused coursework in finance, accounting, actuarial science, economics and/or data science
2. Outstanding academic achievement (minimum 3.0 GPA)
3. Demonstrated leadership and teamwork from past work experience and/or extracurricular activities
...</t>
  </si>
  <si>
    <t>Assurance Intern, Third Party Attestation - Summer 2025 (NYC)</t>
  </si>
  <si>
    <t>1. High School Diploma, GED or Equivalent
2. Enrolled in a Bachelor’s or Master’s degree program
3. Proficient in Microsoft Office Suite, specifically Word, Excel, and PowerPoint
...</t>
  </si>
  <si>
    <t>Russo &amp; Toner LLP</t>
  </si>
  <si>
    <t>Insurance, Law Enforcement</t>
  </si>
  <si>
    <t>1. 1L or 2L student
2. Part-time availability
3. Experience drafting motions and pleadings
...</t>
  </si>
  <si>
    <t>2025 Summer Associate - Intellectual Property</t>
  </si>
  <si>
    <t>Nixon Peabody</t>
  </si>
  <si>
    <t>Law Enforcement, Real Estate</t>
  </si>
  <si>
    <t>$4134-$4134 /wk</t>
  </si>
  <si>
    <t>1. Second-year law students
2. Technical backgrounds in any science/engineering field
3. Demonstrated interest in intellectual property law
...</t>
  </si>
  <si>
    <t>Summer Law Clerk</t>
  </si>
  <si>
    <t>1. Supports attorneys in a law office by researching, drafting legal documents, assembling and organizing legal documents
2. Responsibilities in this career include researching the law, assembling case materials, and writing reports</t>
  </si>
  <si>
    <t>2025 2L Diversity &amp; Inclusion Scholarship, Transactional Rotation (Chicago, IL)</t>
  </si>
  <si>
    <t>$50000-$50000 one-time</t>
  </si>
  <si>
    <t>1. Rising second-year law student
2. Background or experience contributing to diversity of Vedder Price and legal profession
3. Geographic tie to the Chicago office
...</t>
  </si>
  <si>
    <t>Law Fellow Position</t>
  </si>
  <si>
    <t>Office of the Special Narcotics Prosecutor for the City of New York</t>
  </si>
  <si>
    <t>1. Proficient in Microsoft Office (Word, Excel, PowerPoint and Access); editing, redacting and converting documents in Adobe and experience using Lexis/Nexis and Westlaw application
2. Must have strong attention to detail and a high concern for data accuracy
3. Ability to multitask and work in a fast-paced, team-oriented environment
...</t>
  </si>
  <si>
    <t>Legal Clerkship (Part-Time)</t>
  </si>
  <si>
    <t>1. Must currently be enrolled as a law student and have completed Contracts I and II
2. Must demonstrate excellent legal research and writing abilities
3. Must demonstrate an attention to detail, an ability to multitask, and a self-driven initiative
...</t>
  </si>
  <si>
    <t>2025 Summer Associate – Business Restructuring</t>
  </si>
  <si>
    <t>1. 2L summer associates for the 2025 summer program
2. Joining the Business Restructuring practice
3. Available to work in New York and Washington, DC
...</t>
  </si>
  <si>
    <t>Paralegal Intern (Sacramento, CA) - Hybrid</t>
  </si>
  <si>
    <t>CSAA Insurance Group</t>
  </si>
  <si>
    <t>Association, Auto Insurance</t>
  </si>
  <si>
    <t>1. Current student actively enrolled in a Paralegal certification program, within the state of California, or current college/university student with interest in pursuing a legal career
2. Interest in learning more about the insurance industry and the practice of civil litigation. Has fundamental knowledge of the law which includes understanding legal concepts, terminology, principles, and legal procedures.
3. Familiarity with Microsoft Office Suite and legal software applications
...</t>
  </si>
  <si>
    <t>2025 2L Diversity &amp; Inclusion Scholarship, Litigation (Chicago, IL; Dallas, TX)</t>
  </si>
  <si>
    <t>1. Rising second-year law student
2. Background or experience contributing to diversity of Vedder Price and legal profession
3. Geographic tie to Chicago or Dallas office
...</t>
  </si>
  <si>
    <t>1. Experience/background/course work/other indicia of interest in the fields of technology, media, or similar industries
2. Minimum of 3.0 GPA
3. Highly organized and detail-oriented
...</t>
  </si>
  <si>
    <t>Dallas Office - 2025 2L Transactions Summer Associate</t>
  </si>
  <si>
    <t>Unpaid Legal Intern (various divisions)</t>
  </si>
  <si>
    <t>1. Satisfactory completion of one year of law school or current enrollment as a first year law student with substantial legal writing experience
2. Excellent legal research and writing skills
3. Undergraduate students attending an accredited college or university
...</t>
  </si>
  <si>
    <t>2025 IP Law Summer Associate</t>
  </si>
  <si>
    <t>Marshall, Gerstein &amp; Borun LLP</t>
  </si>
  <si>
    <t>$3800-$3800 /wk</t>
  </si>
  <si>
    <t>1. Strong academic credentials, which should minimally include a science (e.g. chemistry, biology) or engineering undergraduate degree.
2. GPAs of at least 3.0 in all levels of education.
3. Excellent communication skills-both written and verbal-and exceptional research and organizational skills.
...</t>
  </si>
  <si>
    <t>Enterprise Risk Management Intern - Fall 2024</t>
  </si>
  <si>
    <t>Rocket Companies</t>
  </si>
  <si>
    <t>Consumer, Financial Services</t>
  </si>
  <si>
    <t>1. Working toward a bachelor’s degree in business, accounting, information systems management, finance, or another related field
2. Attention to detail and accuracy
3. Ability to maintain confidentiality/work with confidential information
...</t>
  </si>
  <si>
    <t>Immigration Intern (Fall 2024)</t>
  </si>
  <si>
    <t>1. Currently pursuing an undergraduate, graduate degree, or recent graduate
2. Preference for candidates to be in-person at the Charlottesville office
3. Excellent oral and written English skills, bilingual is preferred but not required
...</t>
  </si>
  <si>
    <t>Music Digital Rights Intern</t>
  </si>
  <si>
    <t>$17-$17.28 /h</t>
  </si>
  <si>
    <t>1. Excellent attention to detail and strong analytical skills.
2. Ability to work independently and manage time effectively to meet deadlines.
3. Strong verbal and written communication
...</t>
  </si>
  <si>
    <t>$68137-$102207 /yr</t>
  </si>
  <si>
    <t>Summer Law Clerk 2025 (LEGAL)</t>
  </si>
  <si>
    <t>$127500-$127500 /yr</t>
  </si>
  <si>
    <t>1. Applicant must be a current 2L (graduating class of 2026)
2. Must be a U.S. citizen to work at the Federal Reserve Board</t>
  </si>
  <si>
    <t>Legal Intern - Fall 2024</t>
  </si>
  <si>
    <t>Folx Health</t>
  </si>
  <si>
    <t>Health Care, LGBT</t>
  </si>
  <si>
    <t>1. Must be a full-time law student at a nationally-accredited law school or a recent law school graduate
2. Strong academic record
3. Must be passionate about LGBTQIA healthcare with a demonstrated commitment to queer issues
...</t>
  </si>
  <si>
    <t>Teads US</t>
  </si>
  <si>
    <t>1. One to two years of law school completed or have received a JD
2. Demonstrated interest in and commitment to media, privacy, and technology law
3. Excellent attention to detail and strong organizational skills
...</t>
  </si>
  <si>
    <t>Internal Audit Specialist I</t>
  </si>
  <si>
    <t>FreedomCare</t>
  </si>
  <si>
    <t>$19.23-$27.46 /h</t>
  </si>
  <si>
    <t>1. 2+ years of experience performing healthcare audits, investigations, grievances, and complaints.
2. Experience working with multiple state regulations.
3. Ability to work collaboratively with staff, leaders, and other jurisdictions.
...</t>
  </si>
  <si>
    <t>Summer Associate L2</t>
  </si>
  <si>
    <t>US - FL - Orlando</t>
  </si>
  <si>
    <t>Fall 2024 Intern - Legal (Sports)</t>
  </si>
  <si>
    <t>1. Must be a current law student, enrolled in a J.D. program at an accredited university
2. Must be eligible to receive academic credit from your university for the duration of the internship
3. Familiarity with professional and college sports teams and athletes
...</t>
  </si>
  <si>
    <t>2024 Fall Fellowships</t>
  </si>
  <si>
    <t>Legal Services NYC</t>
  </si>
  <si>
    <t>1. Law students or recent law graduates
2. Demonstrated passion for social justice
3. Commitment to working with low-income communities and communities of color to advance equity</t>
  </si>
  <si>
    <t>Hightower, Stratton, Novigrod &amp; Kantor</t>
  </si>
  <si>
    <t>1. 2L or 3L law students preferred
2. Must be a current law student in FL
3. Must have excellent written and verbal communication skills
...</t>
  </si>
  <si>
    <t>District Attorney Legal Intern Fall 2024-Summer 2025</t>
  </si>
  <si>
    <t>Larimer County Economic and Workforce Development</t>
  </si>
  <si>
    <t>1. Must be at least 15 years of age.
2. Currently enrolled in law school.
3. Eligible and not yet eligible to work under the Student Practice Act.
...</t>
  </si>
  <si>
    <t>Launch Your Career: Liability Adjuster Training Program</t>
  </si>
  <si>
    <t>Contractor - SkillBridge - Legal Counsel Intern</t>
  </si>
  <si>
    <t>General Dynamics Ordnance and Tactical Systems</t>
  </si>
  <si>
    <t>Site Contracts Intern- Fall 2024</t>
  </si>
  <si>
    <t>1. High School Diploma and pursuing Bachelors degree in Legal Studies or JD
2. Excellent organizational and prioritization skills
3. Knowledge of Microsoft Office
...</t>
  </si>
  <si>
    <t>Regulatory Research Fall Intern</t>
  </si>
  <si>
    <t>1. High School Diploma, pursuing Bachelors degree in business or life science preferred
2. Excellent organizational and prioritization skills
3. Knowledge of Microsoft Office
...</t>
  </si>
  <si>
    <t>OSM Worldwide</t>
  </si>
  <si>
    <t>Delivery, Delivery Service</t>
  </si>
  <si>
    <t>Glendale Heights, IL</t>
  </si>
  <si>
    <t>1. Currently enrolled in an ABA-accredited law school pursuing a JD or LLM as a law student
2. Interest in pursuing in-house practice
3. Strong grammar, writing, research, and analysis skills; advanced knowledge of Word, Excel, and WestLaw/LexisNexis</t>
  </si>
  <si>
    <t>Summer Analyst - Trust Company Delaware</t>
  </si>
  <si>
    <t>1. High school degree required.
2. Pursuing a degree in Business Administration, Finance, or Economics, with a focus in Trust Administration or a Trust minor.
3. Extracurricular activities involved in Trust Administration or Business-related club involvement.
...</t>
  </si>
  <si>
    <t>Immigration and Citizenship Intern</t>
  </si>
  <si>
    <t>1. This internship is fully in-person – it is required for the intern to be in the office for the majority of the internship hours
2. Strong written and verbal communication skills</t>
  </si>
  <si>
    <t>Stage - Droit privé des affaires - R&amp;D et Affaires Médicales - F/H/D</t>
  </si>
  <si>
    <t>1. De niveau Master 2 en Droit privé des Affaires, spécialisé en droit des contrats et/ou droit de la santé et/ou Propriété Intellectuelle/Nouvelles Technologies
2. Vous avez déjà de l'expérience dans la rédaction de contrat obligatoire, au sein de cabinets d’avocats ou de directions juridiques en entreprise
3. Vous avez de bonnes connaissances en droit de la responsabilité contractuelle et de la propriété intellectuelle/industrielle
...</t>
  </si>
  <si>
    <t>Governance, Risk and Compliance Analyst - INTERN</t>
  </si>
  <si>
    <t>TaxSlayer</t>
  </si>
  <si>
    <t>Software, Tax Preparation</t>
  </si>
  <si>
    <t>1. Must be in good academic standing.
2. Minimum GPA of 2.5.
3. Available to work 20 hours per week.
...</t>
  </si>
  <si>
    <t>Legal Administrative Specialist (Non-Tax) - Summer Legal Program (2025)</t>
  </si>
  <si>
    <t>1. Must be a U.S. Citizen or National
2. Current law school students who have completed one (1) full year of legal studies at an American Bar Association (ABA) accredited law school
3. Second-year law students who have completed at least one full year of legal study by the application deadline are eligible to apply
...</t>
  </si>
  <si>
    <t>Global Risk Summer 2025 Analyst</t>
  </si>
  <si>
    <t>1. Candidates are required to be pursuing an undergraduate degree from an accredited college or university. Eligible candidates must have a graduation timeframe between November 2025 and August 2026.
2. Candidates should possess a high level of intellectual curiosity, a drive for operational excellence, and a commitment to achieving sustainable results.
3. Students should hold strong academic and technical skills in Microsoft Office as well as show proficiencies in leadership, teamwork, problem solving &amp; analytical skills, verbal and written communication, and professionalism.
...</t>
  </si>
  <si>
    <t>1. Currently enrolled as 2L or 3L in law school.
2. All applicants must agree in writing to complete a thorough background investigation by the Oklahoma Department of Veterans Affairs.</t>
  </si>
  <si>
    <t>Biodiversity Law Center Internship (Summer 2025)</t>
  </si>
  <si>
    <t>Defenders of Wildlife</t>
  </si>
  <si>
    <t>Association, Wildlife Conservation</t>
  </si>
  <si>
    <t>$800-$800 /wk</t>
  </si>
  <si>
    <t>1. Currently enrolled as a second-year student in law school
2. Commitment to or demonstrated interest in wildlife conservation, litigation, and public interest environmental work
3. Commitment to or demonstrated interest in broadening the inclusion of multicultural and/or marginalized communities in the conservation movement
...</t>
  </si>
  <si>
    <t>2025 SUMMER LAW CLERK</t>
  </si>
  <si>
    <t>1. Have a California address at the time of onboarding
2. Be able to come into their assigned office for in-person work as needed</t>
  </si>
  <si>
    <t>2025 2L Litigation Summer Associate (Silicon Valley)</t>
  </si>
  <si>
    <t>1. Qualified second year law students
2. Expect to complete the equivalent of four semesters of law school prior to the start of the 2025 summer program
3. Submit a cover letter, current resume, and law school transcript
...</t>
  </si>
  <si>
    <t>2025 2L Corporate Summer Associate (New York)</t>
  </si>
  <si>
    <t>1. Qualified second year law students who expect to complete the equivalent of four semesters of law school prior to the start of the 2025 summer program
2. Submit a cover letter, current resume, and law school transcript
3. Applicants will be evaluated holistically on the merits of their application materials and interviews</t>
  </si>
  <si>
    <t>2025 2L Corporate Summer Associate (Silicon Valley)</t>
  </si>
  <si>
    <t>2025 2L IP Litigation/Patent Prosecution Summer Associate (Class of 2026)</t>
  </si>
  <si>
    <t>Fish &amp; Richardson P.C.</t>
  </si>
  <si>
    <t>Consulting, Intellectual Property</t>
  </si>
  <si>
    <t>$4327-$4327 /wk</t>
  </si>
  <si>
    <t>1. Scientific or technical background (degree and/or experience)
2. Excellent academic credentials
3. Superior writing ability
...</t>
  </si>
  <si>
    <t>Intern - Records Management Clerk</t>
  </si>
  <si>
    <t>Aqua</t>
  </si>
  <si>
    <t>Business Development, Customer Service</t>
  </si>
  <si>
    <t>1. Must be at least 18 years old
2. Must have a valid driver’s license
3. Familiarity with computers and work systems such as Microsoft office suite
...</t>
  </si>
  <si>
    <t>San Francisco Office – 2025 2L Litigation Summer Associate</t>
  </si>
  <si>
    <t>2025 Houston 2L IP Summer Associate</t>
  </si>
  <si>
    <t>1. A strong interest in our IP Litigation practice group
2. Possess a bachelor’s degree and/or advanced degree (M.S, Ph.D.) in a physical science (Chemistry, Biology, Physics, etc.) or a technical field (Biomedical Engineering, Computer Science, Engineering, Pharmacy, etc.)
3. Superior academic credentials and excellent written and oral communication skills
...</t>
  </si>
  <si>
    <t>Assurance - Intern Spring 2025 (Lafayette)</t>
  </si>
  <si>
    <t>Chicago Office - 2025 2L Summer Associate</t>
  </si>
  <si>
    <t>Dallas Office - 2025 2L Litigation Summer Associate</t>
  </si>
  <si>
    <t>Assurance - Intern Summer 2025 (Lafayette)</t>
  </si>
  <si>
    <t>Assurance - Intern Spring 2025 (Metairie)</t>
  </si>
  <si>
    <t>Assurance - Intern (Metairie)</t>
  </si>
  <si>
    <t>Internship - Ethics, Compliance, and Privacy</t>
  </si>
  <si>
    <t>Novo Nordisk</t>
  </si>
  <si>
    <t>Plainsboro, NJ</t>
  </si>
  <si>
    <t>1. Must be a current student enrolled or recently graduated (graduation date no earlier than April 2024) at/from an accredited college or university pursuing at least a bachelor’s degree.
2. Strong academic record with a preferred cumulative GPA of 3.0 or higher.
3. Conscientious self-starter with good organizational skills, project management skills and attention to detail.
...</t>
  </si>
  <si>
    <t>Legal Assistant</t>
  </si>
  <si>
    <t>Law Offices of Jonathan Liang</t>
  </si>
  <si>
    <t>1. Law school students or graduates
2. Wants to intern in the law clerk position</t>
  </si>
  <si>
    <t>Immigration Legal Services Intern (Unpaid)</t>
  </si>
  <si>
    <t>1. Minimum 15 hours per week; preference for those that can work 35+ hours.
2. Must be able to receive school credit
3. Undergraduate level studies in social sciences, international relations or a related field.
...</t>
  </si>
  <si>
    <t>2025 Pittsburgh 2L IP Summer Associate</t>
  </si>
  <si>
    <t>$3461.53-$4326.92 /yr</t>
  </si>
  <si>
    <t>1. A strong interest in our Intellectual Property practice
2. Superior academic credentials and excellent written and oral communication skills
3. The ability to work independently and as part of a team, and a commitment to the highest quality of client service
...</t>
  </si>
  <si>
    <t>2025 2L IP-Technology Transactions Summer Associate</t>
  </si>
  <si>
    <t>2025 Summer Associate – IP Litigation</t>
  </si>
  <si>
    <t>1. 2L summer associate for the 2025 summer program
2. Joining the Intellectual Property Litigation practice
3. Technical backgrounds in science and/or engineering
...</t>
  </si>
  <si>
    <t>2025 2L Corporate Summer Associate (San Francisco)</t>
  </si>
  <si>
    <t>2025 2L Corporate Summer Associate (Santa Monica)</t>
  </si>
  <si>
    <t>Coolidge Wall</t>
  </si>
  <si>
    <t>Legal, Professional Services</t>
  </si>
  <si>
    <t>1. Completion of second year of law school
2. Available from mid-May to mid-August
3. Paid position
...</t>
  </si>
  <si>
    <t>2025 2L Litigation Summer Associate (New York)</t>
  </si>
  <si>
    <t>2025 2L Litigation Summer Associate (Seattle)</t>
  </si>
  <si>
    <t>2025 2L Regulatory Summer Associate (Washington, D.C.)</t>
  </si>
  <si>
    <t>2025 2L Corporate Summer Associate (Seattle)</t>
  </si>
  <si>
    <t>UFC Legal Intern - Fall 2024</t>
  </si>
  <si>
    <t>1. 1st year law student preferred.
2. Excellent written and verbal communication skills.
3. Interest in one or more of the following areas of law: entertainment, intellectual property, international, corporate, transactional.
...</t>
  </si>
  <si>
    <t>2025 2L Litigation Summer Associate (San Francisco)</t>
  </si>
  <si>
    <t>Risk Advisory Intern Fall 2024</t>
  </si>
  <si>
    <t>1. Completion of Intermediate Financial Accounting I by the start of the internship
2. Pursuing a degree in accounting or related business field
3. GPA of 3.0 or higher
...</t>
  </si>
  <si>
    <t>Summer Analyst - Legal &amp; Compliance</t>
  </si>
  <si>
    <t>1. High school degree required.
2. Pursuing a degree with a concentration in Finance, Economics, Criminal Justice, Political Science, Forensics, or Business is desirable, but not required.
3. Aspiring law student is a plus.
...</t>
  </si>
  <si>
    <t>2025 Rocky Mountain Office Clerkship</t>
  </si>
  <si>
    <t>1. Candidates must be enrolled in a U.S. law school through fall 2025 (i.e., not graduating before December 2025) and be available to commit ten weeks during summer 2025.
2. Summer law clerks must work from the U.S. during their clerkship.
3. Relevant aspects of your background that are not apparent or fully explained in your resume.
...</t>
  </si>
  <si>
    <t>2025 California Regional Office Clerkship</t>
  </si>
  <si>
    <t>1. Candidates must be enrolled in a U.S. law school through fall 2025 (i.e., not graduating before December 2025) and be available to commit ten weeks during summer 2025.
2. Summer law clerks must work from the U.S. during their clerkship.</t>
  </si>
  <si>
    <t>2025 Gulf Regional Office Clerkship</t>
  </si>
  <si>
    <t>1. Candidates must be enrolled in a U.S. law school through fall 2025 (i.e., not graduating before December 2025) and be available to commit ten weeks during summer 2025.
2. Summer law clerks must work from the U.S. during their clerkship.
3. Interested candidates should submit their complete application via Jobvite by 5:00 pm PT on September 2, 2024.
...</t>
  </si>
  <si>
    <t>2025 Northern Rockies Regional Office Clerkship</t>
  </si>
  <si>
    <t>2025 Washington D.C. Office Clerkship</t>
  </si>
  <si>
    <t>2025 Mid-Pacific Regional Office Clerkship</t>
  </si>
  <si>
    <t>1. Enrolled in a U.S. law school through fall 2025
2. Available to commit ten weeks during summer 2025
3. Must work from the U.S. during the clerkship
...</t>
  </si>
  <si>
    <t>Summer Analyst - Business Supervision &amp; Controls</t>
  </si>
  <si>
    <t>1. High school degree required
2. Pursuing a degree with a concentration in Finance, Operations, Economics, or Business is desirable
3. Prior internship experience in Financial Services / Wealth Management is a plus
...</t>
  </si>
  <si>
    <t>Assurance Intern, Third Party Attestation - Summer 2025 (Miami)</t>
  </si>
  <si>
    <t>Internship 2025 | Advisory - Forensic, Litigation &amp; Valuation Services Analyst (44636)</t>
  </si>
  <si>
    <t>1. Be a current Junior or Senior applying for a 5-year master’s degree program in finance, accounting, business or applied economics.
2. Must be authorized to work in the US.
3. Be a self-starter, highly collaborative, creative, outgoing, and possesses strong financial analysis, modeling, and valuation skills.
...</t>
  </si>
  <si>
    <t>2025 Corporate Risk Summer Intern Program (Undergraduate) - Early Careers</t>
  </si>
  <si>
    <t>1. 6+ months of work experience, or equivalent demonstrated through one or a combination of the following: work experience, training, military experience, education
2. Bachelor's degree candidate with an expected graduation in December 2025 - May/June 2026 in the fields of one or more of the following: IT, STEM, Statistics, Economics, Finance, Accounting and/or Analytics
3. Excellent written and verbal communication skills
...</t>
  </si>
  <si>
    <t>Contracts Intern</t>
  </si>
  <si>
    <t>$24-$29.50 /h</t>
  </si>
  <si>
    <t>1. Undergraduate junior or senior pursuing a Bachelor’s degree in a technical or business field, or a Graduate student with a technical or business field from Georgetown University
2. Experience with the software included in the Microsoft Office Suite; particularly creation and editing of word documents, spreadsheets and capable of learning procurement software platforms like (ARIBA, COUPA)
3. Ability to communicate effectively, both written and verbally; organize and prioritize work and handle multiple tasks
...</t>
  </si>
  <si>
    <t>Law Clerk/ Research Assistant</t>
  </si>
  <si>
    <t>Downtown L.A. Law Group</t>
  </si>
  <si>
    <t>1. Must be in LAWSCHOOL
2. SUBMIT RESUME
3. COVER LETTER
...</t>
  </si>
  <si>
    <t>Special Education Unit Attorney Interne, CSE - 16010</t>
  </si>
  <si>
    <t>$66340-$70042 /yr</t>
  </si>
  <si>
    <t>1. Graduation from an accredited United States law school as defined in the Rules of the New York Court of Appeals (Sections 520.3 or 520.5) or admission to the New York State Bar</t>
  </si>
  <si>
    <t>$75734-$79959 /yr</t>
  </si>
  <si>
    <t>Intern - Model Risk Management</t>
  </si>
  <si>
    <t>1. Full-time student undergraduate student with anticipated graduation date between December 2024 - June 2025
2. GPA of 2.75 or above
3. Strong interest in business and finance, though no specific major is required
...</t>
  </si>
  <si>
    <t>Diversity Fellow-Office of Diversity and Compliance</t>
  </si>
  <si>
    <t>$54675-$65946 /yr</t>
  </si>
  <si>
    <t>1. Juris Doctor degree from an accredited Law School
2. Commitment of one year for the duration of the Fellowship</t>
  </si>
  <si>
    <t>Mapper Trainee</t>
  </si>
  <si>
    <t>The Fund (Attorneys' Title Fund Services)</t>
  </si>
  <si>
    <t>FL, Orlando (6545 Corporate Ctr Blvd)</t>
  </si>
  <si>
    <t>1. High school diploma or equivalent.
2. Basic math skills including the ability to apply basic geometry and curves to mapping assignments.
3. Ability learn and use protractors and engineering scales during mapping.
...</t>
  </si>
  <si>
    <t>AGENCY ATTORNEY INTERNE</t>
  </si>
  <si>
    <t>New York City Department of Social Services</t>
  </si>
  <si>
    <t>1. Graduation from an accredited United States law school as defined in the Rules of the New York Court of Appeals (Sections 520.3 or 520.5) or admission to the New York State Bar.</t>
  </si>
  <si>
    <t>ATTORNEY INTERNE</t>
  </si>
  <si>
    <t>Risk and Compliance Insurance Co-op - Fall Semester 2024</t>
  </si>
  <si>
    <t>TriVersity Construction</t>
  </si>
  <si>
    <t>Construction, Home Services</t>
  </si>
  <si>
    <t>1. Pursuing a degree in insurance, risk management, or other related industry degree
2. Interest in and basic understanding of insurance, construction, safety, and process development</t>
  </si>
  <si>
    <t>International Trade Analyst</t>
  </si>
  <si>
    <t>$75000-$80000 /yr</t>
  </si>
  <si>
    <t>1. Bachelor's Degree
2. Minimum one (1) year of experience with U.S. antidumping and countervailing duty investigations
3. Minimum one (1) year of experience with other unfair trade litigation</t>
  </si>
  <si>
    <t>1. Bachelor's Degree
2. Minimum one (1) year of experience with U.S. antidumping and countervailing duty investigations and other unfair trade litigation
3. Intermediate knowledge of MS suite to produce quality written communications such as memos, spreadsheets, slides, and standard work documents
...</t>
  </si>
  <si>
    <t>1. Bachelor's Degree
2. Minimum one (1) year of experience with U.S. antidumping and countervailing duty investigations
3. Minimum one (1) year of experience with other unfair trade litigation
...</t>
  </si>
  <si>
    <t>2025 2L Summer Associate | Des Moines</t>
  </si>
  <si>
    <t>$2884-$4134 /wk</t>
  </si>
  <si>
    <t>Legal Operations Student Employee</t>
  </si>
  <si>
    <t>$16-$29 /h</t>
  </si>
  <si>
    <t>1. College/Graduate students with GPA of at least 3.0 (4.0 scale) pursuing a career inclusive of legal operations and data analytics within law school curriculum
2. Interest and experience with the energy sector a plus
3. Must be a US citizen</t>
  </si>
  <si>
    <t>Intern - Card Fraud Strategy</t>
  </si>
  <si>
    <t>1. Full-time undergraduate student with anticipated graduation date between December 2024 and June 2025
2. GPA of 2.75 or above
3. Pursuing a degree in Business Analytics, Data Analytics, Finance, Accounting, Statistics, or a related field
...</t>
  </si>
  <si>
    <t>2025 COO Business Risk Control and Regulatory Oversight Summer Internship - Early Careers</t>
  </si>
  <si>
    <t>US - CA - San Francisco</t>
  </si>
  <si>
    <t>$83-$83 /h</t>
  </si>
  <si>
    <t>1. Successful completion of one or two years of law school
2. Outstanding academic credentials; top third of class
3. Interest in labor and employment law
...</t>
  </si>
  <si>
    <t>Foxit Corporation</t>
  </si>
  <si>
    <t>Computer, Document Management</t>
  </si>
  <si>
    <t>1. A bachelor's degree in law or a related field.
2. Strong academic performance with a keen interest in legal issues.
3. Excellent research, writing, and analytical skills.
...</t>
  </si>
  <si>
    <t>Fellow Research - Center for Connected Care</t>
  </si>
  <si>
    <t>Jefferson Health System</t>
  </si>
  <si>
    <t>Adult, Health Care</t>
  </si>
  <si>
    <t>1. Masters Degree
2. CITI Training – BioMedical and Good Clinical Practice courses
3. Data analysis and visualization. Working knowledge of SAS and Redcap
...</t>
  </si>
  <si>
    <t>Administrative Intern (Legal/Compliance)</t>
  </si>
  <si>
    <t>Spring 2025 Legal Internship</t>
  </si>
  <si>
    <t>2025 2L Summer Associate - Patent Prosecution</t>
  </si>
  <si>
    <t>Perkins Coie</t>
  </si>
  <si>
    <t>$18750-$18750 /mon</t>
  </si>
  <si>
    <t>1. Currently enrolled students in good standing pursuing the degree of Juris Doctor at an ABA-accredited law school
2. Degree or scientific background in computer science
3. Undergraduate and, if applicable, graduate school transcripts</t>
  </si>
  <si>
    <t>LAW CLERK/EXTERNSHIP- Fall Paid Part Time</t>
  </si>
  <si>
    <t>Park City Transit</t>
  </si>
  <si>
    <t>Park City, UT</t>
  </si>
  <si>
    <t>1. Applicants must be enrolled as a second or third-year law student at an accredited law school.
2. Demonstrated ability to organize and analyze facts, evidence, and legal precedents, and effectively present such material orally and in writing.</t>
  </si>
  <si>
    <t>2025 Compliance Associate Program - Summer Associate Opportunity</t>
  </si>
  <si>
    <t>1. Pursuing a JD, MBA, M.A., M.S. or other advanced degree with an expected graduation date of December 2025 through August 2026
2. Experience researching and interpreting laws and regulations
3. Relevant internship experience and leadership in school or community organization
...</t>
  </si>
  <si>
    <t>SHW Compliance Student Worker</t>
  </si>
  <si>
    <t>1. Enrolled in or on vacation from or is otherwise registered in Undergraduate Program (minimum 6 credit hours), OR Graduate Program (minimum 4.5 credit hours)
2. Demonstrated experience with MS Office Suite (Outlook, Word, Excel)
3. Experience with Excel including spreadsheet creation, data analysis and visualization and data maintenance proficiency
...</t>
  </si>
  <si>
    <t>Internship - Fall 2024 - Public Defender Division - Malden</t>
  </si>
  <si>
    <t>Committee for Public Counsel Services</t>
  </si>
  <si>
    <t>Communities, Law Enforcement</t>
  </si>
  <si>
    <t>Malden, MA</t>
  </si>
  <si>
    <t>1. Course work in evidence, criminal law, criminal procedure, constitutional law, critical legal theory, and/or trial advocacy
2. Experience working with low-income clients, people of color, immigrants, LGBTQ people, and other historically oppressed groups
3. Experience working with clients with mental illnesses and substance abuse disorders
...</t>
  </si>
  <si>
    <t>Pro Bono Scholar</t>
  </si>
  <si>
    <t>The Door</t>
  </si>
  <si>
    <t>1. Must be a current law student</t>
  </si>
  <si>
    <t>1. Minimum one to three years of similar or related experience, including preparatory experience.
2. High school diploma or equivalent required.
3. Enrolled in a degree program (e.g. Criminal Justice, Intelligence Studies, law or other related field) preferred.
...</t>
  </si>
  <si>
    <t>Financial Institutions Department Compliance Intern</t>
  </si>
  <si>
    <t>1. Administer and perform FID client/relationship/account KYC related tasks and duties (e.g. CIP, CDD, EDD and Screening, etc.,) to ensure timely completion.
2. Conduct reviews of account customers to ensure required documents are complete, up-to-date and accurate.
3. Maintain and update business data and customer profile in system and paper trail.
...</t>
  </si>
  <si>
    <t>2025 Summer Law Clerk (New York)</t>
  </si>
  <si>
    <t>1. Applicants must be enrolled full-time in an ABA-accredited law school, with an anticipated graduation date of Spring 2026.
2. Spanish and Portuguese language skills are highly valued as is a strong international interest.
3. Complete applications must include a resume and law school transcript (an unofficial copy is acceptable).</t>
  </si>
  <si>
    <t>Fall/Spring Semester Law Clerk (Homelessness Prevention Project) – Eviction Defense Center</t>
  </si>
  <si>
    <t>Legal Aid Foundation of Los Angeles</t>
  </si>
  <si>
    <t>1. Current paralegal/law students, paralegals, law grads studying for the bar exam, or law grads awaiting bar results
2. Understanding of and commitment to housing and social justice
3. Experience in providing assistance to low-income or homeless individuals, including interviewing
...</t>
  </si>
  <si>
    <t>General Claims Associate, Part Time Student Hours</t>
  </si>
  <si>
    <t>NJM Insurance Group</t>
  </si>
  <si>
    <t>Insurance, Manufacturing</t>
  </si>
  <si>
    <t>1. Excellent verbal and written communication skills.
2. Strong organizational skills.
3. Multi-tasking, problem-solving and decision-making skills.
...</t>
  </si>
  <si>
    <t>2025 Summer Law Clerk (Washington, DC)</t>
  </si>
  <si>
    <t>1. Enrolled full-time in an ABA-accredited law school
2. Anticipated graduation date of Spring 2026
3. Complete applications must include a resume and law school transcript
...</t>
  </si>
  <si>
    <t>2025 Summer Law Clerk (Houston)</t>
  </si>
  <si>
    <t>1. Enrolled full-time in an ABA-accredited law school
2. Anticipated graduation date of Spring 2026
3. Law Review and/or International Law Journal membership
...</t>
  </si>
  <si>
    <t>Third Year Law Student - 2025 Bar Takers Application</t>
  </si>
  <si>
    <t>Cook County State’s Attorney’s Office</t>
  </si>
  <si>
    <t>1. Favorable Academic Standing
2. Excellent Writing Ability
3. Law School Activities- i.e. Mock Trial Competition or Moot Court, Trial Team
...</t>
  </si>
  <si>
    <t>IT Compliance Administrator - Internship</t>
  </si>
  <si>
    <t>Sussex, WI</t>
  </si>
  <si>
    <t>1. Must be pursuing or have earned a Bachelor’s Degree in information systems, business, management, or audit or the equivalent combination of education and work experience.</t>
  </si>
  <si>
    <t>Law Clerk - Mankato, MN</t>
  </si>
  <si>
    <t>Fredrikson &amp; Byron</t>
  </si>
  <si>
    <t>1. Interest in a legal career
2. Strong academic credentials</t>
  </si>
  <si>
    <t>Cold Chain Auditor</t>
  </si>
  <si>
    <t>Accomac, VA</t>
  </si>
  <si>
    <t>1. High school or equivalent.
2. 0 -2 years work experience.
3. Good communication (both oral and written) and math skills.</t>
  </si>
  <si>
    <t>Fall 2025 Legal Fellowship Sponsorship, Reproductive Freedom Project</t>
  </si>
  <si>
    <t>American Civil Liberties Union</t>
  </si>
  <si>
    <t>$124,873-$147,324 /yr</t>
  </si>
  <si>
    <t>1. J.D. or expected to receive a J.D by the spring of 2025
2. Demonstrated commitment to public interest law, civil liberties, and reproductive freedom
3. Willingness to work closely with the Reproductive Freedom Project through the funding application process
...</t>
  </si>
  <si>
    <t>Fall 2025 Fellowship Sponsorship, National Prison Project</t>
  </si>
  <si>
    <t>1. J.D. or expected to receive a J.D by the spring of 2025
2. Demonstrated commitment to public interest law and criminal justice issues
3. Willingness to work closely with NPP through the funding application process
...</t>
  </si>
  <si>
    <t>Fall 2025 Fellowship Sponsorship, Abortion Criminal Defense Initiative (ACDI)</t>
  </si>
  <si>
    <t>$89,250-$111,491 /yr</t>
  </si>
  <si>
    <t>1. J.D. or expected to receive a J.D by the spring of 2025
2. Demonstrated commitment to criminal defense, racial justice, public interest law, and civil liberties
3. Willingness to work closely with ACDI through the funding application process
...</t>
  </si>
  <si>
    <t>1. Must be currently enrolled in an accredited JD or LLM program.
2. Fluency in Spanish and English (oral and written).
3. Exceptional academic credentials, strong writing skills, and attention to detail.
...</t>
  </si>
  <si>
    <t>2025 Summer Associate - Minneapolis, MN</t>
  </si>
  <si>
    <t>1. Strong intellectual, problem-solving, analytical, and writing skills
2. Participation in leadership roles in the community and in law school
3. Inclusive behaviors when interfacing with team members and clients
...</t>
  </si>
  <si>
    <t>International Advisor</t>
  </si>
  <si>
    <t>$52000-$52000 /yr</t>
  </si>
  <si>
    <t>1. Master’s Degree or Bachelor’s degree plus 1 year of directly related experience including international student, scholar, or employee immigration advising or immigration paralegal experience
2. Excellent written and spoken communication skills as evidenced by application materials
3. Prior work experience requiring attention to detail
...</t>
  </si>
  <si>
    <t>Research Assistant - International Human Rights Law (Student)</t>
  </si>
  <si>
    <t>1. No previous experience is required, but quality work and commitment are expected from the student who accepts this position.
2. Students should indicate in their application if they have prior training in qualitative or quantitative research methods.
3. Candidates must be a currently enrolled student at American University.</t>
  </si>
  <si>
    <t>Law Student Research Assistant.</t>
  </si>
  <si>
    <t>1. Currently enrolled and seeking a law degree at an accredited educational institution, on a full-time basis
2. Strong legal research, analytical, and writing skills
3. Strong interpersonal and communication skills, including the ability to work collaboratively</t>
  </si>
  <si>
    <t>1. Experience/background/course work/other indicia of interest in the fields of technology, media, or similar industries
2. Minimum of 3.0 GPA
3. Prior law firm/judicial internship or related internship experience is a plus
...</t>
  </si>
  <si>
    <t>Tenley Campus (Washington, DC)</t>
  </si>
  <si>
    <t>2025 Post Bar Fellowship</t>
  </si>
  <si>
    <t>Harris County Attorney's Office</t>
  </si>
  <si>
    <t>1. Must be recent law school graduates prepping for the February Texas State Bar Exam or a 3L Law Student prepping for May graduation and the July Texas State Bar exam
2. Qualified candidates should also have an excellent academic record
3. Must have a J.D. from an accredited law school and Texas Bar certification
...</t>
  </si>
  <si>
    <t>Legal Intern - Fall 2024 (remote)</t>
  </si>
  <si>
    <t>1. Enrollment in an accredited JD or LLM program
2. Strong organizational skills, attention to detail, and creative problem-solving skills with the ability to manage multiple deadlines at once
3. Legal research and writing skills, particularly in immigration law, administrative law, federal law, and federal regulations
...</t>
  </si>
  <si>
    <t>Human Rights Accountability Legal Intern - Fall 2024 (remote)</t>
  </si>
  <si>
    <t>1. Must be located in the United States
2. Strong research and writing skills
3. Significant knowledge of the human rights context in at least one region of the world, and/or significant knowledge of human rights issues facing vulnerable and marginalized groups
...</t>
  </si>
  <si>
    <t>1. Enrollment in an accredited JD or LLM program
2. Strong organizational skills, attention to detail, and creative problem-solving skills with the ability to manage multiple deadlines at once
3. Legal research and writing skills, particularly in immigration law, federal circuit law, agency decisions, and federal regulations
...</t>
  </si>
  <si>
    <t>1. Currently enrolled graduate or undergraduate student
2. Strong interest in commitment to human rights
3. Fluent in Spanish
...</t>
  </si>
  <si>
    <t>2025 Summer Associate - Des Moines, IA</t>
  </si>
  <si>
    <t>1. Strong intellectual, problem-solving, analytical, and writing skills
2. Participation in leadership roles in community and law school
3. Inclusive behaviors when interfacing with team members and clients
...</t>
  </si>
  <si>
    <t>School Year Law Clerk</t>
  </si>
  <si>
    <t>1. Law student currently enrolled in an accredited law school
2. Available to work 10-15 hours per week during the academic year
3. Resides in the vicinity of the Mankato office
...</t>
  </si>
  <si>
    <t>Fall 2024: DNC Legal Internship</t>
  </si>
  <si>
    <t>1. Applicants must be 18 years of age on or before the first day of the internship
2. Currently enrolled in a JD or LLM program at an ABA certified, U.S.-based institution
3. Graduated with a JD or LLM from an ABA certified, U.S.-based institution no more than two years before the first day of the internship
...</t>
  </si>
  <si>
    <t>2025 2L Law Clerk - Madison, WI</t>
  </si>
  <si>
    <t>1. 2L Summer Law Clerk who will graduate from law school in 2026
2. Strong intellectual, problem-solving, analytical, and writing skills
3. Participation in leadership roles in schools or communities
...</t>
  </si>
  <si>
    <t>Seattle City Attorney's Office Criminal Division Rule 9 Program Legal Intern</t>
  </si>
  <si>
    <t>$30.13-$30.13 /h</t>
  </si>
  <si>
    <t>1. Successful candidates must meet the requirements per the Rule 9 licensing requirements of the Washington State Bar Association by their start date.
2. The most competitive candidates will have taken the following prior to any Rule 9 position: Evidence, Professional Responsibility, Trial Advocacy, Criminal Law, and Criminal Procedure.
3. Qualified candidates must submit the following to be considered: Completed NEOGOV online application available on the City of Seattle’s website here: Job Opportunities | Sorted by Job Title ascending | City of Seattle (governmentjobs.com);
...</t>
  </si>
  <si>
    <t>Fall Law Intern</t>
  </si>
  <si>
    <t>Gore &amp; Kuperman</t>
  </si>
  <si>
    <t>1. Current law school students or recent law school graduates
2. Full-time availability from Late July/August 2024 to December 2024 or later
3. Thick-skinned and energetic law students
...</t>
  </si>
  <si>
    <t>Law Clerk - Fall 2024 Semester</t>
  </si>
  <si>
    <t>Kaufman Dolowich &amp; Voluck</t>
  </si>
  <si>
    <t>Business Information Systems, Law Enforcement</t>
  </si>
  <si>
    <t>1. On track to receive JD from an ABA accredited Law School in May 2025 or 2026
2. Sitting for the July 2025 or 2026 NY bar
3. Superior academic credentials and excellent written and oral communication</t>
  </si>
  <si>
    <t>Immigration Legal Services Intern - Fall 2024</t>
  </si>
  <si>
    <t>1. Prior experience and/or interest working with refugees and immigrants.
2. Prior experience and/or interest in law or providing nonprofit legal services.
3. Ability to work independently and as a team member in a fast-paced, cross-cultural environment.
...</t>
  </si>
  <si>
    <t>Summer Associate Attorney - Fargo, ND</t>
  </si>
  <si>
    <t>Vogel Law Firm</t>
  </si>
  <si>
    <t>1. Second year law student
2. Application including cover letter, resume, references, writing sample, and law school transcript</t>
  </si>
  <si>
    <t>Summer Associate Attorney - Bismarck, ND</t>
  </si>
  <si>
    <t>1. Second year law student
2. Application must include cover letter, resume, references, writing sample, and law school transcript</t>
  </si>
  <si>
    <t>MAP Summer Associate (Summer 2025)</t>
  </si>
  <si>
    <t>Morgan &amp; Morgan</t>
  </si>
  <si>
    <t>1. Candidates must have a passion for and strong interest in representing injured clients.
2. Candidates should be self-starters who possess the ability to work independently and as part of a team.
3. Candidates must have strong academic credentials, excellent written and oral communication skills, and a commitment to providing the highest quality client service.</t>
  </si>
  <si>
    <t>Immigration Intern - Fall 2024</t>
  </si>
  <si>
    <t>1. Working towards a college degree related to international relief, humanitarian work or refugee law related subjects. Must be current student or within 12 months of schooling.
2. Passion to work with diverse and limited-English speaking refugees (second language proficiency a plus, Spanish strongly preferred, also seeking French, Dari, and Pashto)
3. Interest and/or work experience on U.S Immigration law and outreach knowledge (Prior experience in immigration is a plus).
...</t>
  </si>
  <si>
    <t>2025 Legal Fellow – Child Welfare Team</t>
  </si>
  <si>
    <t>National Center For Youth Law</t>
  </si>
  <si>
    <t>$76313-$76313 /yr</t>
  </si>
  <si>
    <t>1. Graduating from law school in Spring 2025 or have been clerking since graduating from law school in a prior year.
2. Interest in working in one or more of NCYL’s general areas of focus.
3. Commitment to advancing justice by protecting the rights of children and youth and improving the systems that impact their lives.
...</t>
  </si>
  <si>
    <t>2025 Legal Fellow – Call for Fellowship Proposals</t>
  </si>
  <si>
    <t>$76313-$76313 annually</t>
  </si>
  <si>
    <t>Everstory Partners</t>
  </si>
  <si>
    <t>Consulting, Consumer</t>
  </si>
  <si>
    <t>Altamonte Springs, FL</t>
  </si>
  <si>
    <t>1. Currently pursuing or recently completed a degree in Law, Legal Studies, or a related field.
2. Must have completed at least one year of legal research and writing coursework and achieved a grade of B+ or better.
3. Proactive, self-motivated, and eager to learn.
...</t>
  </si>
  <si>
    <t>Intern - Legal</t>
  </si>
  <si>
    <t>American Senior Communities</t>
  </si>
  <si>
    <t>1. Must be a law student currently enrolled at an ABA accredited law school.
2. Proficiency in the following programs Microsoft Word, Excel, and Power Point.
3. Strong critical thinking and analytical skills.
...</t>
  </si>
  <si>
    <t>Refugee Representation Legal Fellow</t>
  </si>
  <si>
    <t>1. A U.S. law degree (J.D.) by summer 2025
2. Admission to a state bar or pending admission as of fall 2025
3. Previous experience working with asylum-seekers or immigrants, though law school clinics, judicial clerkships, or legal internships
...</t>
  </si>
  <si>
    <t>1. College/Graduate students with GPA of at least 3.0 (4.0 scale) pursuing a career inclusive of legal operations and data analytics within law school curriculum.
2. Must be a US citizen.</t>
  </si>
  <si>
    <t>Juris Doctorate Law Internship Fall 2024 - Municipal Public Defender</t>
  </si>
  <si>
    <t>$0-$0 semester</t>
  </si>
  <si>
    <t>1. Must be currently enrolled in Law School leading to the attainment to a JD
2. Education Requirement: Current enrollment in an accredited law school
3. Education and Experience Equivalency: No substitution of experience for education is permitted</t>
  </si>
  <si>
    <t>Children's Legal Services Intern - Fall 2024</t>
  </si>
  <si>
    <t>1. This internship is for a law student (rising 2L or 3L).
2. Equivalent work experience working with children and or serving low-to-moderate income immigrant populations (including refugees, asylum seekers, etc.) preferred.
3. Motivated, flexible, manages time effectively, and can work independently as well as within a team dynamic.</t>
  </si>
  <si>
    <t>American Oversight</t>
  </si>
  <si>
    <t>1. At least one semester at an ABA-accredited law school completed before the internship commences.
2. Solid writing, research, and oral communications skills
3. High degree of professional ethics and integrity</t>
  </si>
  <si>
    <t>Information Technology and Innovation Foundation</t>
  </si>
  <si>
    <t>1. A law student or recent law graduate.
2. Demonstrated interest in U.S. antitrust law, competition policy, innovation, and digital markets.
3. Strong communication skills, both oral and written.
...</t>
  </si>
  <si>
    <t>2025 2L Summer Associate | Florham Park</t>
  </si>
  <si>
    <t>2025 Summer Associate | New York</t>
  </si>
  <si>
    <t>Legal - Risk Management Intern</t>
  </si>
  <si>
    <t>1. Open to COLLEGE juniors, seniors and grad students seeking an internship to gain experience in the field of HR or seeking to gain college credit.
2. GPA of 2.5 or higher
3. Highly developed verbal and written communications skills.
...</t>
  </si>
  <si>
    <t>CareVet</t>
  </si>
  <si>
    <t>Finance, Health Care</t>
  </si>
  <si>
    <t>1. excellent research and writing skills
2. highly organized
3. proficiency in Microsoft Office
...</t>
  </si>
  <si>
    <t>Razer</t>
  </si>
  <si>
    <t>Consumer Electronics, Gaming</t>
  </si>
  <si>
    <t>1. Ongoing law studies within Germany
2. Fluent in English and German
3. Legal Trainee (mandatory internship/traineeship)</t>
  </si>
  <si>
    <t>Transfer Pricing and Value Chain Transformation - 6 months Internship</t>
  </si>
  <si>
    <t>Genève</t>
  </si>
  <si>
    <t>1. About to finish, or you hold a master's degree in business, Economics, Finance, Law and Economics, or equivalent. An international experience would be a plus.
2. A flair for figures and business contexts, and enjoy working with data and numbers, conducting research and drafting industry analyses.
3. Fluent in English.
...</t>
  </si>
  <si>
    <t>Assistant Attorney General (Attorney II) - Internet Crimes Against Children</t>
  </si>
  <si>
    <t>South Carolina Office of the Attorney General</t>
  </si>
  <si>
    <t>1. Juris Doctorate Degree
2. Must be a member and in good standing with the South Carolina Bar
3. Must satisfy Rule 403 requirements</t>
  </si>
  <si>
    <t>Lewis Law</t>
  </si>
  <si>
    <t>1. Passionate about civil rights and employment justice
2. Dedicated to upholding the rights of individuals and employees
3. Ability to assist attorney with drafting legal documents, including motions, pleadings, and correspondence
...</t>
  </si>
  <si>
    <t>Compliance &amp; Sustainability Intern</t>
  </si>
  <si>
    <t>1. Preferred background in Environmental Studies, Manufacturing, Regulatory and Compliance related Engineering, Electrical Engineering, or transferrable education or experience.
2. Entry Level: 0-3 years of relevant experience preferred.
3. Must have the ability to multi-task and to be detail-oriented, flexible and a team player, as well as desire to learn.
...</t>
  </si>
  <si>
    <t>Estágios Advocacia | Candidatura Espontânea - Lisboa</t>
  </si>
  <si>
    <t>Lisbon</t>
  </si>
  <si>
    <t>1. Talentosos e ambiciosos
2. Comprometidos
3. Orientados para as necessidades do Cliente
...</t>
  </si>
  <si>
    <t>Estágios de Verão – Legal | Candidatura Espontânea Lisboa</t>
  </si>
  <si>
    <t>Stage en droit des affaires F/H</t>
  </si>
  <si>
    <t>1. Vous êtes élève avocat et/ou titulaire d'un Master 2 professionnel en Droit des Affaires.
2. Votre sens de l'équipe ainsi que vos qualités d'analyse et de synthèse vous permettront de réussir votre stage.
3. Vous maîtrisez le pack office.
...</t>
  </si>
  <si>
    <t>Tax &amp; Legal Services - Tax - Client &amp; Market - Intern - Cairo</t>
  </si>
  <si>
    <t>1. Be curious and try new things.
2. Learn about how PwC works as a business and adds value to clients.
3. Think broadly and ask questions about data, facts and other information.
...</t>
  </si>
  <si>
    <t>Law Reform Legal Intern - Fall 2024</t>
  </si>
  <si>
    <t>The Legal Aid Society</t>
  </si>
  <si>
    <t>Consulting, Family</t>
  </si>
  <si>
    <t>1. 2L and 3L students in good standing
2. Interest in working on the issues affecting the rights of Legal Aid’s clients particularly tailored to the unit(s) prioritized by the applicant
3. Excellent research, writing, and communication skills
...</t>
  </si>
  <si>
    <t>Civil Practice Legal Intern - Fall 2024</t>
  </si>
  <si>
    <t>1. Is a current 2L or 3L law school student in good standing
2. Demonstrated commitment to and interest in serving racially and socioeconomically oppressed communities
3. Ability to work collegially and collaboratively with all members of the staff
...</t>
  </si>
  <si>
    <t>Criminal Defense Practice Legal Intern - Fall 2024</t>
  </si>
  <si>
    <t>1. Current 2L law school student in good standing
2. Demonstrated commitment or interest to indigent defense
3. Demonstrated commitment and interest in serving racially and socioeconomically oppressed communities
...</t>
  </si>
  <si>
    <t>Legal Counsel Internship- September 2024</t>
  </si>
  <si>
    <t>1. You are a student lawyer or in Master 2 / DJCE Banking and Financial Law
2. Your personality allows you to work independently
3. Curiosity, rigour, sense of initiative are some of your personal qualities
...</t>
  </si>
  <si>
    <t>Werkstudent Global Regulatory (Life Sciences)</t>
  </si>
  <si>
    <t>1. Enthusiastic and ambitious student in the last phase of your law studies
2. Preferably a background and/or demonstrable affinity with European law, Health law, and/or Administrative law
3. Initiative taker with good communication and social skills
...</t>
  </si>
  <si>
    <t>Werkstudent Employment</t>
  </si>
  <si>
    <t>1. Enthusiastic and ambitious student in the last phase of your law studies
2. Demonstrable affinity and/or work experience with labor law
3. Taking initiative and possessing good communication and social skills
...</t>
  </si>
  <si>
    <t>Werkstudent Litigation</t>
  </si>
  <si>
    <t>1. Je bent een enthousiaste en ambitieuze student in de laatste fase van je rechtenstudie;
2. Je hebt aantoonbare affiniteit en/of werkervaring met Litigation;
3. Je neemt initiatief en beschikt over goede communicatieve en sociale vaardigheden;
...</t>
  </si>
  <si>
    <t>Stage - Droit social (F/H) - Janvier - Juin 2025 ou Juillet - Décembre 2025</t>
  </si>
  <si>
    <t>1. Master 2 in employment law (or in the process of obtaining one) and/or an Institute of Political Studies/Business School diploma with a legal background in employment law
2. Analytical mind and ability to synthesise information
3. Rigour and organisational skills
...</t>
  </si>
  <si>
    <t>Juvenile Rights Practice Legal Intern - Fall 2024</t>
  </si>
  <si>
    <t>1. Current 2L law school student in good standing
2. Commitment to children's issues and juvenile justice
3. Ability to deal effectively with children, adolescents, and family members
...</t>
  </si>
  <si>
    <t>Contracts Management Intern</t>
  </si>
  <si>
    <t>Integrated Finance &amp; Accounting Solutions (IFAS)</t>
  </si>
  <si>
    <t>Financial Services, Management Consulting</t>
  </si>
  <si>
    <t>1. Current enrollment in an accredited college or university, preferably in a business, legal, or related field.
2. Strong attention to detail and commitment to accuracy.
3. Excellent typing and data entry skills.
...</t>
  </si>
  <si>
    <t>Public Interest Attorney, Immigration</t>
  </si>
  <si>
    <t>South Texas College of Law</t>
  </si>
  <si>
    <t>1. Licensed to practice law in any state or territory of the United States
2. Two (2) years legal experience or more
3. Bilingual fluency in English and Spanish
...</t>
  </si>
  <si>
    <t>Regulatory Intern (onsite ending in August 2024)</t>
  </si>
  <si>
    <t>Denali Ingredients</t>
  </si>
  <si>
    <t>1. Associate’s degree in food science, science, or related curriculum preferred. Equivalent experience considered.
2. Minimum of one year of related experience in food science and/or systems.
3. Strong knowledge of Microsoft Office, including Outlook, Excel, and Word.
...</t>
  </si>
  <si>
    <t>Contracts Analyst Intern</t>
  </si>
  <si>
    <t>1. Current 4-year University student, studying Construction Management, Business Engineering.</t>
  </si>
  <si>
    <t>Legal Internship - Public Law department</t>
  </si>
  <si>
    <t>1. Excellent academic credentials from an Italian University (please include list of exams)
2. Interested in Public Law matters
3. Excellent interpersonal and communication skills
...</t>
  </si>
  <si>
    <t>Legal Internship - Employment team</t>
  </si>
  <si>
    <t>1. Law degree (currently enrolled in the fourth/fifth year)
2. Excellent academic credentials from an Italian University (please include the list of exams)
3. Strong interest in Labour law
...</t>
  </si>
  <si>
    <t>Stagiaire Propriété Intellectuelle - De janvier à juin 2026</t>
  </si>
  <si>
    <t>Legal Trainee</t>
  </si>
  <si>
    <t>1. Ongoing university studies in Legal field
2. English and Hungarian knowledge in advanced level
3. Min. 20 hour availability/week
...</t>
  </si>
  <si>
    <t>LCD BSA/AML Compliance Intern</t>
  </si>
  <si>
    <t>1. Education Bachelor or above. Prefer major in Finance or Legal related.
2. Language Bilingual in English and Chinese is mandatory.
3. Skills Experienced user of Excel and Word software.</t>
  </si>
  <si>
    <t>ORD Third Party Risk Management Intern</t>
  </si>
  <si>
    <t>1. Strong verbal and written skills in English
2. Strong analytical skills
3. Computer (Microsoft office including PowerPoint)
...</t>
  </si>
  <si>
    <t>LGO FLU Risk Management Intern</t>
  </si>
  <si>
    <t>1. Legal Background required</t>
  </si>
  <si>
    <t>Département Corporate - Stage juillet/décembre 2025</t>
  </si>
  <si>
    <t>1. Étudiant(e) en droit (Master 2, IEJ, Ecole du Barreau…), en Ecole de Commerce
2. Avoir déjà effectué un stage en cabinet
3. Très bon niveau d’anglais
...</t>
  </si>
  <si>
    <t>OKFB- Legal &amp; Policy Internship</t>
  </si>
  <si>
    <t>Oklahoma Farm Bureau Insurance</t>
  </si>
  <si>
    <t>1. Rising 2L/3L law student
2. Position has a heavy policy focus with research/writing
3. Some interaction with outside counsel, OKFB members, and other interest groups
...</t>
  </si>
  <si>
    <t>Rechtspraktikum Grundbuchamt für angehende Notarinnen und Notare</t>
  </si>
  <si>
    <t>Amt für Informatik und Organisation des Kantons Bern (KAIO)</t>
  </si>
  <si>
    <t>Interlaken, CA</t>
  </si>
  <si>
    <t>1. Abgeschlossenes juristisches Studium (Master oder Lizenziat)
2. Studienziel Bernische Notarin oder Bernischer Notar
3. Neugierde auf das Aufgabengebiet eines Grundbuchamtes
...</t>
  </si>
  <si>
    <t>Law Student</t>
  </si>
  <si>
    <t>Matos Law Firm</t>
  </si>
  <si>
    <t>1. Current law school student or recent graduate
2. Strong commitment to ethics
3. Attention to detail</t>
  </si>
  <si>
    <t>Herbert Smith Freehills</t>
  </si>
  <si>
    <t>1. Exceptional grades
2. Involvement in student organizations and/or journals
3. Commitment to the school’s diversity initiatives
...</t>
  </si>
  <si>
    <t>Tobacco Aide</t>
  </si>
  <si>
    <t>1. Applicants must range from 18 to 20 years old.</t>
  </si>
  <si>
    <t>Fall Law Student Intern</t>
  </si>
  <si>
    <t>1. Current law school students or recent law school graduates
2. Available for a full-time Fall internship in Fairfax, VA from August 2023 to December 2023
3. Thick-skinned and energetic law students
...</t>
  </si>
  <si>
    <t>Legal Law Clerk Summer Intern</t>
  </si>
  <si>
    <t>Universal Property &amp; Casualty Insurance Company</t>
  </si>
  <si>
    <t>Banking, Commercial Insurance</t>
  </si>
  <si>
    <t>1. Understanding of legal terminology and local court/jurisdiction rules.
2. Understanding of legal research and writing.
3. Must be flexible with the ability to handle multiple projects simultaneously in a fast-paced environment.
...</t>
  </si>
  <si>
    <t>Paralegal fellowship</t>
  </si>
  <si>
    <t>Sunrise Systems, Inc.</t>
  </si>
  <si>
    <t>1. Demonstrates consumer curiosity with knowledge of Basketball, Sneaker, Fashion and/or Youth Culture
2. Pushes self and others to collaborate cross-functionally
3. Contributes strong strategic-thinking skills
...</t>
  </si>
  <si>
    <t>Praktikum als Analyst mit Deutschkenntnissen</t>
  </si>
  <si>
    <t>1. Deutschkenntnisse auf sehr gutem Niveau (tägliche Besprechungen und telefonische Kommunikation auf Deutsch, Verfassen von Berichten)
2. Unser Angebot richtet sich überwiegend an Studenten von Bachelor-oder Masterstudiengängen mit dem Schwerpunkt in Wirtschaft, Jura und International Business, aber bewirb dich gerne als Quereinsteiger/in mit anderem Hintergrund
3. Verfügbarkeit für eine Vollzeitbeschäftigung für mindestens 8-9 Monate und maximal 12 Monate
...</t>
  </si>
  <si>
    <t>Afstudeer/Meewerkstage Indirect Tax - Compliance</t>
  </si>
  <si>
    <t>1. Zit je in het derde jaar óf in de eindfase van jouw HBO/WO Bachelor studie
2. Op zoek naar een (afstudeer)stage binnen het werkveld Tax
3. Klaar om nieuwe uitdagingen aan te gaan
...</t>
  </si>
  <si>
    <t>Stagiaire Concurrence - 2nd semestre 2025</t>
  </si>
  <si>
    <t>1. Expérience en cabinet d'avocats en droit de la concurrence
2. Bon niveau d'anglais</t>
  </si>
  <si>
    <t>Freshfields London Experience - 11 &amp; 12 October 2024</t>
  </si>
  <si>
    <t>1. Master 1 or Master 2 law student at a Belgian university
2. Excellent language skills
3. High academic results
...</t>
  </si>
  <si>
    <t>Fall 2024 Legal Intern- Headquarters</t>
  </si>
  <si>
    <t>1. Energetic, motivated law students with a record of commitment to social justice work.
2. Excellent legal, written, research, and communications skills.</t>
  </si>
  <si>
    <t>Afstudeerstage Tax &amp; Compliance (Amsterdam, Rotterdam, Eindhoven en Utrecht)</t>
  </si>
  <si>
    <t>1. Almost done with HBO or WO education in Tax Law, Fiscal Economics, Business Economics
2. Eager to learn and ambitious
3. Speak both Dutch and English</t>
  </si>
  <si>
    <t>Legal Law Clerk  Summer Intern</t>
  </si>
  <si>
    <t>Legal Fellowship</t>
  </si>
  <si>
    <t>Legal Aid Society of Cleveland</t>
  </si>
  <si>
    <t>Law Enforcement</t>
  </si>
  <si>
    <t>1. Applicants must be graduating from law school in 2025 or finishing a judicial clerkship.
2. Individuals must have a commitment to public service.
3. Candidacy for the Ohio Bar Exam in 2025, or already be barred in the state of Ohio.
...</t>
  </si>
  <si>
    <t>Student-stage - Dispute Resolution</t>
  </si>
  <si>
    <t>1. Eindfase Bachelor- of Master</t>
  </si>
  <si>
    <t>Student-stage - Corporate</t>
  </si>
  <si>
    <t>1. Eindfase Bachelor- of Master
2. Civiel effect (of je bent van plan dit te behalen)
3. Aantoonbare juridische interesse
...</t>
  </si>
  <si>
    <t>Internship in Risk, Control &amp; Compliance - Academic year 2024 - 2025</t>
  </si>
  <si>
    <t>1. Enrolled in the last year of a master's degree in (Applied) Economics, Business Studies, Commercial Engineering or a related field
2. Interest in business processes, internal controls, data analytics, and IT
3. Personable and communicative nature
...</t>
  </si>
  <si>
    <t>2025 2L Summer Associate - Portland</t>
  </si>
  <si>
    <t>1. Currently enrolled student pursuing the degree of Juris Doctor at an ABA-accredited law school
2. Good academic standing
3. Demonstrated academic excellence
...</t>
  </si>
  <si>
    <t>2025 2L Summer Associate - San Francisco</t>
  </si>
  <si>
    <t>1. Currently enrolled student pursuing the degree of Juris Doctor at an ABA-accredited law school
2. Technical degree or scientific background for Patent Litigation candidates in the San Francisco office
3. Undergraduate and graduate school transcripts for Patent Litigation candidates in the San Francisco office</t>
  </si>
  <si>
    <t>2025 2L Summer Associate - Madison</t>
  </si>
  <si>
    <t>1. Currently enrolled students in good standing pursuing the degree of Juris Doctor at an ABA-accredited law school
2. Technical degree or scientific background
3. Undergraduate and graduate school transcripts</t>
  </si>
  <si>
    <t>2025 2L Summer Associate - Chicago</t>
  </si>
  <si>
    <t>1. Currently enrolled students in good standing pursuing the degree of Juris Doctor at an ABA-accredited law school
2. Demonstrated academic excellence
3. Leadership in and service to the community
...</t>
  </si>
  <si>
    <t>2025 2L Summer Associate - Palo Alto</t>
  </si>
  <si>
    <t>1. Currently enrolled students in good standing pursuing the degree of Juris Doctor at an ABA-accredited law school
2. Patent Prosecution candidates for the Palo Alto office must be admitted to or be eligible to sit for the Patent Bar
3. Patent Prosecution candidates for the Palo Alto office must have a degree in electrical engineering, computer science, mechanical engineering, aerospace engineering, physics, and/or a related field
...</t>
  </si>
  <si>
    <t>2025 2L Summer Associate - New York</t>
  </si>
  <si>
    <t>1. Currently enrolled student pursuing the degree of Juris Doctor at an ABA-accredited law school
2. Patent Prosecution candidates for the New York office must be admitted to or be eligible to sit for the Patent Bar and must have a degree in engineering and/or a related field
3. Patent Litigation candidates for the New York office are required to have a degree in engineering, computer science, physics, and/or a related field
...</t>
  </si>
  <si>
    <t>2025 2L Summer Associate - Los Angeles</t>
  </si>
  <si>
    <t>1. Currently enrolled student in good standing pursuing the degree of Juris Doctor at an ABA-accredited law school</t>
  </si>
  <si>
    <t>2025 2L Summer Associate - Phoenix</t>
  </si>
  <si>
    <t>1. Currently enrolled student pursuing the degree of Juris Doctor at an ABA-accredited law school
2. Demonstrated academic excellence
3. Leadership in and service to the community
...</t>
  </si>
  <si>
    <t>2025 2L Summer Associate - Seattle</t>
  </si>
  <si>
    <t>1. Currently enrolled students in good standing pursuing the degree of Juris Doctor at an ABA-accredited law school
2. Candidates must have demonstrated academic excellence, leadership in and service to the community, and dedication to excellence in the legal profession
3. Patent Prosecution candidates for the Seattle office must be admitted to or be eligible to sit for the Patent Bar
...</t>
  </si>
  <si>
    <t>2025 2L Summer Associate - Boise</t>
  </si>
  <si>
    <t>FREE TRAVEL and HOUSING Golf Tournament Operations-Fall 2024 Internship -</t>
  </si>
  <si>
    <t>Fall 2024 Internship - Golf Tournament Operations</t>
  </si>
  <si>
    <t>Production Assistant Intern</t>
  </si>
  <si>
    <t>1. Strong organizational skills
2. Excellent verbal and written communication
3. Basic Google Docs experience
...</t>
  </si>
  <si>
    <t>Courtland, MI</t>
  </si>
  <si>
    <t>Blog / Writing Asst Intern</t>
  </si>
  <si>
    <t>Verte Mode</t>
  </si>
  <si>
    <t>1. Degree in journalism, communications, or similar.
2. Good interpersonal skills.
3. Attention to detail.
...</t>
  </si>
  <si>
    <t>Stage Management Apprentice</t>
  </si>
  <si>
    <t>Goodman Theatre</t>
  </si>
  <si>
    <t>1. Bachelor’s degree
2. Experience working at a professional theater company
3. Knowledge of industry practices
...</t>
  </si>
  <si>
    <t>Editorial News Intern</t>
  </si>
  <si>
    <t>Cars.com</t>
  </si>
  <si>
    <t>Automotive, Digital Marketing</t>
  </si>
  <si>
    <t>1. Strong written and verbal communication skills
2. Ability to conduct online and phone-based research and interviews
3. Interest in online publishing and/or automotive journalism
...</t>
  </si>
  <si>
    <t>Copy Editing Intern</t>
  </si>
  <si>
    <t>1. Strong writing and editing skills
2. Ability to conduct online research
3. Interest in online publishing and/or automotive journalism
...</t>
  </si>
  <si>
    <t>Social Media Video Production Internship</t>
  </si>
  <si>
    <t>Nick the Marketer</t>
  </si>
  <si>
    <t>1. Experience with video editing software such as CapCut, iMovie, and other mobile-friendly editing tools.
2. Familiarity with social media platforms primarily Facebook, Instagram, LinkedIn, YouTube, TikTok, and Reels.
3. Excellent communication and interpersonal skills.
...</t>
  </si>
  <si>
    <t>GRAY MEDIA FUTURE FOCUS INTERNSHIP FALL '24 - WAFB</t>
  </si>
  <si>
    <t>$minimum wage-$15 /h</t>
  </si>
  <si>
    <t>1. Be currently enrolled in a college/university (preferred Junior/Senior)
2. Strong work ethic, and organizational skills
3. Earning a degree in Journalism/Communications, Sales, Marketing, Engineering, News, Sports, or related fields, with a desire to get hands-on experience in the local media industry</t>
  </si>
  <si>
    <t>News Intern - Fall 2023</t>
  </si>
  <si>
    <t>1. Must be attending an accredited college or university or is a recent college graduate
2. Willing to work approximately 15 hours a week for 10 weeks, beginning in September 2023
3. There may be a variety in hours due to our news programming schedules
...</t>
  </si>
  <si>
    <t>CNN DC News Associate – Rotational Program</t>
  </si>
  <si>
    <t>1. A bachelor's degree in journalism or related field of study is preferred, or equivalent experience
2. At least one internship in a news environment and previous newsroom experience is preferred
3. Strong general news judgment and editorial skills
...</t>
  </si>
  <si>
    <t>Media Content Intern</t>
  </si>
  <si>
    <t>1. Familiarity with broadcast writing style
2. PC proficiency
3. Strong attention to detail
...</t>
  </si>
  <si>
    <t>Intern, News</t>
  </si>
  <si>
    <t>1. Must be college/university students
2. Receive college credit for the internships
3. Obtain and complete any forms necessary to receive credit for the internship experience
...</t>
  </si>
  <si>
    <t>News Intern</t>
  </si>
  <si>
    <t>1. Ability to learn skills and principles related to journalism
2. Willingness to work alongside employees
3. Ability to learn reporting, producing, editing, writing, and story development
...</t>
  </si>
  <si>
    <t>6-MONTH TRAINING PROGRAM (NY)</t>
  </si>
  <si>
    <t>1. Must be a college graduate
2. Working knowledge of television production and communications</t>
  </si>
  <si>
    <t>Writing Intern</t>
  </si>
  <si>
    <t>DeafandHoH.com, LLC</t>
  </si>
  <si>
    <t>1. Creative and passionate
2. Outstanding writing skills
3. Ability to work unsupervised</t>
  </si>
  <si>
    <t>Content Creator Internship</t>
  </si>
  <si>
    <t>Port Chester, NY</t>
  </si>
  <si>
    <t>1. This person should be ready to pick up digital projects across the board at any given moment
2. An interest or skill in photography or videography is necessary
3. You're open to learning and mastering any tools that will build your skills
...</t>
  </si>
  <si>
    <t>1. Strong interest in research
2. Writing and editing skills
3. Curatorial interests
...</t>
  </si>
  <si>
    <t>Gallery Attendant (Student)</t>
  </si>
  <si>
    <t>1. This position requires a strong customer service ability, and a successful candidate must be able to work with the public in a professional and compassionate manner.
2. Candidates must be available to work at least one weekend day per month, and at least two events per exhibition cycle.</t>
  </si>
  <si>
    <t>Internship: Video Editor (Seasonal 2024-25)</t>
  </si>
  <si>
    <t>1. Current undergraduate or graduate student.
2. At least 1 year of experience in editing, shooting, and/or production.
3. Working experience with Adobe Creative Suite and industry-standard camera equipment.
...</t>
  </si>
  <si>
    <t>GRAY MEDIA FUTURE FOCUS INTERNSHIP FALL '24 - DC BUREAU (Gray Media Group)</t>
  </si>
  <si>
    <t>$minimum wage-$18 /h</t>
  </si>
  <si>
    <t>GRAY MEDIA FUTURE FOCUS INTERNSHIP FALL '24 - KNOE</t>
  </si>
  <si>
    <t>Dance Trainee Interns</t>
  </si>
  <si>
    <t>Fred Astaire Dance Studio</t>
  </si>
  <si>
    <t>1. Must reside in the Central Ohio area.</t>
  </si>
  <si>
    <t>Journalist - Healthcare (Internship)</t>
  </si>
  <si>
    <t>The American Journal of Healthcare Strategy</t>
  </si>
  <si>
    <t>1. Strong writing and communication skills.
2. A keen interest in healthcare and a desire to learn more about the industry.
3. Basic understanding of journalistic principles and ethics.
...</t>
  </si>
  <si>
    <t>GBH News Digital Video Accelerator Project Internship - Fall 2024</t>
  </si>
  <si>
    <t>1. Interest in journalism, digital video and innovative non-fiction storytelling
2. Experience making motion graphics and editing video
3. Creativity and enthusiasm for shaping news stories on video
...</t>
  </si>
  <si>
    <t>Fall - Legal Journalism and Communications Intern</t>
  </si>
  <si>
    <t>Legal Pathway Society</t>
  </si>
  <si>
    <t>1. Currently pursuing a degree in Journalism, Communications, Law, or a related field.
2. Strong writing and editing skills with a keen eye for detail.
3. Demonstrated interest in legal issues and the justice system.
...</t>
  </si>
  <si>
    <t>GRAY TELEVISION FUTURE FOCUS INTERN FALL '24 - KALB</t>
  </si>
  <si>
    <t>Alexandria, LA</t>
  </si>
  <si>
    <t>Production Assistant</t>
  </si>
  <si>
    <t>1. Must be a currently enrolled CCU student.
2. Have knowledge of basic design skills, basic web design and editing, and general technology knowledge.
3. Must be comfortable working closely with supervisor and able to communicate effectively, manage priorities and deadlines independently, and solve problems creatively.</t>
  </si>
  <si>
    <t>Unpaid News Intern</t>
  </si>
  <si>
    <t>1. 18 years of age
2. Enrolled in an accredited school, college or university
3. Able to provide a letter from the student’s school stating that the student will be granted credit for the internship</t>
  </si>
  <si>
    <t>Reach Records Studio Internship - Fall 2024</t>
  </si>
  <si>
    <t>1. Must provide their own computer and smartphone for the duration of the internship
2. Must be located in Atlanta or be able to relocate to Atlanta and have a reliable car for the duration of the internship
3. Must be available at least 24 hours per week during operation business hours (9-5pm)
...</t>
  </si>
  <si>
    <t>Reach Records Label Operations &amp; Publishing Intern - Fall 2024</t>
  </si>
  <si>
    <t>Social Media Videographer Intern</t>
  </si>
  <si>
    <t>Persimmon</t>
  </si>
  <si>
    <t>Beauty, Cosmetic Surgery</t>
  </si>
  <si>
    <t>Larkspur, CA</t>
  </si>
  <si>
    <t>1. Social media expertise (specifically Instagram &amp; TikTok), including in-app editing
2. Strong attention to detail, able to follow instructions
3. Excellent communication skills (verbal and written)
...</t>
  </si>
  <si>
    <t>TikTok &amp; Reels Content Creator</t>
  </si>
  <si>
    <t>$15.75-$18.50 /h</t>
  </si>
  <si>
    <t>1. Must be academically enrolled in a high school, community college, or university and pursuing a program or course of study
2. Must meet Academic Standing Requirements; students on academic suspension are not eligible for employment
3. Must meet the applicable minimal enrollment standard: High School student: Regularly enrolled in a high school or participating in a home-schooling program; Undergraduate and post-baccalaureate student: 6 credit hours per term; Undergraduate international student: 12 credit hours per term; Graduate student officially admitted to Graduate School: 5 credit hours per term; Graduate international student officially admitted to Graduate School: 9 credit hours per term
...</t>
  </si>
  <si>
    <t>Morning News Intern - Fall Semester</t>
  </si>
  <si>
    <t>1. Intern candidates must be enrolled in college during the Fall semester for consideration.
2. Interns will be required to work any time between the hours 3:30AM - 11:30AM.
3. Reliable transportation is a must!</t>
  </si>
  <si>
    <t>Fall 2024 Intern - Social &amp; Editorial</t>
  </si>
  <si>
    <t>Hello Sunshine</t>
  </si>
  <si>
    <t>Digital Media, Internet</t>
  </si>
  <si>
    <t>1. Be enrolled in an accredited college/university taking at least one class in the semester/quarter (spring/fall) prior to participation in the internship program OR must have graduated from a college/university within 6 months at time of application
2. Be at least 18 years of age
3. Possess unrestricted work authorization
...</t>
  </si>
  <si>
    <t>Production Intern</t>
  </si>
  <si>
    <t>MikeTeevee</t>
  </si>
  <si>
    <t>Film Production, Media and Entertainment</t>
  </si>
  <si>
    <t>1. Proficient in Google Suite
2. Current Driver’s License
3. Ability to multitask
...</t>
  </si>
  <si>
    <t>Fashion Internship</t>
  </si>
  <si>
    <t>Brie</t>
  </si>
  <si>
    <t>Charity, Consumer Goods</t>
  </si>
  <si>
    <t>1. Must be able to work onsite at our Brooklyn, NY location.
2. Strong organizational and multitasking skills.
3. Ability to work independently and as part of a team.
...</t>
  </si>
  <si>
    <t>INTERN, CONFERENCE PROGRAMMING</t>
  </si>
  <si>
    <t>American Academy of Neurology</t>
  </si>
  <si>
    <t>Medical, Neuroscience</t>
  </si>
  <si>
    <t>1. High School Diploma or GED is required.
2. Currently enrolled in an educational institution as a student pursuing the fulfillment of a degree in Communications, Hospitality, Tourism or other related field is required.
3. Proficiency in MS office suite including Word, Excel, PowerPoint, etc. is required.
...</t>
  </si>
  <si>
    <t>CISE Feature Writer - IE</t>
  </si>
  <si>
    <t>1. Strong writing skills with the ability to craft engaging and informative content
2. Attention to detail and a commitment to producing accurate and error-free content
3. Excellent research and interviewing skills
...</t>
  </si>
  <si>
    <t>Fall 2024 Intern - Artist Management (Los Angeles)</t>
  </si>
  <si>
    <t>1. Must be current student, enrolled in a Bachelor’s/Master’s program at an accredited college or university
2. Must be eligible to receive academic credit from their college or university
3. Working knowledge of Microsoft Office (Word, Excel) and Keynote
...</t>
  </si>
  <si>
    <t>Fall 2024 Intern - TV &amp; Film</t>
  </si>
  <si>
    <t>1. Organizational skills to manage multiple tasks, attention to detail, and the ability to prioritize in a changing environment and still meet deadlines
2. Strong verbal and written communication skills; interpersonal and follow-up skills
3. Ability to work independently and as part of a team
...</t>
  </si>
  <si>
    <t>Video Editing &amp; Production Internship</t>
  </si>
  <si>
    <t>StoryBrand</t>
  </si>
  <si>
    <t>1. Proficient in Adobe Premiere Pro
2. Experience creating video content for social platforms
3. Experience creating video thumbnails for social platforms
...</t>
  </si>
  <si>
    <t>Kaufmann (m/w/d) im Einzelhandel 2024</t>
  </si>
  <si>
    <t>Chefs Culinar</t>
  </si>
  <si>
    <t>Delivery Service, Food Delivery</t>
  </si>
  <si>
    <t>1. mindestens einen guten Hauptschulabschluss
2. Spaß am Verkaufen
3. Interesse am kaufmännischen Rechnen
...</t>
  </si>
  <si>
    <t>Photo/Video Intern</t>
  </si>
  <si>
    <t>Lee Enterprises</t>
  </si>
  <si>
    <t>1. Enthusiastic, creative and flexible with a sense of curiosity, adventure and humor.
2. Good visual storytelling skills using video, still photography or a combination of both.
3. Capability to produce 1-2 minute news, feature and sports videos to accompany daily stories or as a standalone video.
...</t>
  </si>
  <si>
    <t>Internship – Digital Media, Local History</t>
  </si>
  <si>
    <t>1. Excellent writing and research skills.
2. Careful attention to detail.
3. Interest in local history and community.</t>
  </si>
  <si>
    <t>Culinary Internship - CIA Students ONLY</t>
  </si>
  <si>
    <t>Temporary Associate Producer, On The Media</t>
  </si>
  <si>
    <t>New York Public Radio</t>
  </si>
  <si>
    <t>$38.3868-$38.3868 /h</t>
  </si>
  <si>
    <t>1. 2+ years of experience producing narrative or reported content
2. Demonstrated strong news writing ability
3. Excellent verbal and written communication
...</t>
  </si>
  <si>
    <t>Assistant Producer, Radiolab</t>
  </si>
  <si>
    <t>$61480-$65000 /yr</t>
  </si>
  <si>
    <t>1. Has 1-2 year experience in a media environment (internships and per diem gigs count! Broadcasting/podcasting is a plus).
2. Is super organized and gets stuff done.
3. Is willing to pitch in on all tasks in the production process, no matter how big or small.
...</t>
  </si>
  <si>
    <t>[Fall 2024] Research Resources - Archives Internship</t>
  </si>
  <si>
    <t>1. Coursework in library and information science, archives, public history, or another related field
2. Interest in modern and contemporary American art and museum work
3. Familiarity with function and purpose of archival finding aids
...</t>
  </si>
  <si>
    <t>[Fall 2024] Digital Content Internship</t>
  </si>
  <si>
    <t>1. Interest and previous experience with video and audio production
2. Ability to learn new skills quickly and work effectively in a fast-paced environment
3. Strong, clear communication skills and superb attention to detail
...</t>
  </si>
  <si>
    <t>ASSOCIATE NEWS PRODUCER (P/T) - NAT'L INVESTIGATIVE TEAM</t>
  </si>
  <si>
    <t>1. Current college students majoring in journalism or related programs
2. Reliable internet access
3. Strong desire to hold the powerful accountable
...</t>
  </si>
  <si>
    <t>Entertainment Feature Journalist (Internship)</t>
  </si>
  <si>
    <t>A. N. Publishing</t>
  </si>
  <si>
    <t>Digital Media, Lifestyle</t>
  </si>
  <si>
    <t>1. Write weekly in-depth TV industry-related articles, commentary, and TV series reviews.
2. Post and precap regular business of entertainment video interviews as it relates to people of color.</t>
  </si>
  <si>
    <t>Urban Fellow - Fall 2024</t>
  </si>
  <si>
    <t>City of Memphis</t>
  </si>
  <si>
    <t>$12-$15.5 /h</t>
  </si>
  <si>
    <t>1. Current college/graduate student or graduated within the last two years
2. Ability to earn college credit hours for participation in the program
3. Commitment of minimum 15 hours per week, maximum 28 hours per week
...</t>
  </si>
  <si>
    <t>Editor - 132867</t>
  </si>
  <si>
    <t>Brigham Young University</t>
  </si>
  <si>
    <t>$29.75-$38.50 /h</t>
  </si>
  <si>
    <t>1. A firm commitment to the mission of BYU
2. Bachelor's degree in English, communications, or a related field
3. 1 year of editing and publications experience
...</t>
  </si>
  <si>
    <t>Archives Intern</t>
  </si>
  <si>
    <t>G-III Apparel Group</t>
  </si>
  <si>
    <t>Lyndhurst, NJ</t>
  </si>
  <si>
    <t>1. AT LEAST ONE PRIOR INTERNSHIP, PREFERABLY IN A CORPORATE ENVIRONMENT, ARCHIVE OR LIBRARY SETTING
2. ABILITY TO WORK INDEPENDENTLY AND EFFECTIVELY IN A FAST-PACED ENVIRONMENT
3. STRONG ATTENTION TO DETAIL AND EXCELLENT ORGANIZATIONAL SKILLS
...</t>
  </si>
  <si>
    <t>Post Production Intern, Sony Pictures Television – Fall 2024</t>
  </si>
  <si>
    <t>1. Must be proficient in the Microsoft Suite.
2. Must be able to lift/move boxes of paperwork and hard drives.
3. A desire to concentrate on Post Production, specifically in Television.
...</t>
  </si>
  <si>
    <t>Comedy Development Intern, SPT – Fall 2024</t>
  </si>
  <si>
    <t>1. Enrollment in an accredited college/university for the duration of the internship
2. Excellent written and verbal communication skills
3. Organized and detail-oriented
...</t>
  </si>
  <si>
    <t>Acquisitions Trainee, Sony Pictures Classics – Summer/Fall</t>
  </si>
  <si>
    <t>1. An interest in American independent &amp; International films and the marketplace
2. Ability to multitask in a fast paced environment</t>
  </si>
  <si>
    <t>Editorial Intern</t>
  </si>
  <si>
    <t>Thesocialtalks</t>
  </si>
  <si>
    <t>1. Bachelor's degree in journalism, communication, or a related field
2. Exceptional writing, editing, and proofreading skills with a keen eye for detail
3. Strong understanding of journalistic principles, ethics, and standards
...</t>
  </si>
  <si>
    <t>ESPN Digital Video Social Content Intern, Remote, Fall 2024</t>
  </si>
  <si>
    <t>1. 1-2 years working in a media environment, creating and managing content and publishing to live streams
2. Strong base of current sports knowledge, including teams, players and storylines and appreciation of news and story play
3. Excellent headline writing skills and an understanding of optimal tactics for content distribution
...</t>
  </si>
  <si>
    <t>TNT Sports Talent Relations Intern: ATL - Fall 2024</t>
  </si>
  <si>
    <t>1. Have an interest and/or experience in sports broadcasting and be aware of WBD Sports on-air personalities.
2. Social media knowledge of current influencers
3. Experience working with talent logistics, management, travel, etc.
...</t>
  </si>
  <si>
    <t>Indigenous Affairs Multimedia Reporter</t>
  </si>
  <si>
    <t>PBS Wisconsin</t>
  </si>
  <si>
    <t>Communications Infrastructure, Media and Entertainment</t>
  </si>
  <si>
    <t>$55000-$60000 annual</t>
  </si>
  <si>
    <t>1. Experience in broadcast and/or online video reporting and multimedia content creation.
2. Demonstrated experience reporting on Indigenous community matters (experience gained in school, such as internships or for school productions will be considered).
3. Strong attention to detail with demonstrated excellent writing, grammar and proofreading skills with knowledge of AP style.
...</t>
  </si>
  <si>
    <t>1. Ability to work up to 29 hours a week in a hybrid and flexible workplace.
2. Proofreading to fix grammatical, spelling, punctuation and formatting errors.
3. Verifying numerical information, such as dates and statistics, to ensure accuracy.
...</t>
  </si>
  <si>
    <t>Fall Film Intern</t>
  </si>
  <si>
    <t>1. Ability to communicate effectively both verbally and in writing; proficient in grammar, spelling and editing; and foster communications with business professionals and EDA staff
2. Ability to prioritize workload, must be highly organized, detail-oriented, handle various tasks simultaneously and work independently within limited time constraints with little or no supervision
3. Ability to analyze data, prepare data visualization materials and other relevant documentation for the sector leaders
...</t>
  </si>
  <si>
    <t>Alterations &amp; Tailor Shop - Apprentice - Domain Northside</t>
  </si>
  <si>
    <t>1. Clear, professional communication with coworkers and customers
2. Basic math and measuring skills
3. The ability to stay organized, prioritize multiple tasks and keep calm in a fast-paced environment
...</t>
  </si>
  <si>
    <t>Entertainment Internship</t>
  </si>
  <si>
    <t>Canterbury Park Holdings</t>
  </si>
  <si>
    <t>Gaming, Racing</t>
  </si>
  <si>
    <t>1. Must be enrolled in an accredited university/college program.
2. Pursuing or has acquired an Associate or Bachelor’s degree in advertising, marketing, business, events, communications or journalism or equivalent experience in a similar industry.
3. Candidate must have flexible schedule and will be required to work varying schedules to reflect the business needs of the company, including weekends and evenings.
...</t>
  </si>
  <si>
    <t>Multimedia Intern</t>
  </si>
  <si>
    <t>Foreign Policy</t>
  </si>
  <si>
    <t>National Security, News</t>
  </si>
  <si>
    <t>1. Demonstrated interest in journalism, social media, and/or video
2. Solid understanding of international relations and politics
3. Enrolled in or recently graduated from a bachelor's or master's program</t>
  </si>
  <si>
    <t>GRAY MEDIA FUTURE FOCUS INTERNSHIP FALL '24 - WFIE</t>
  </si>
  <si>
    <t>Fall 2024 Subrights Intern</t>
  </si>
  <si>
    <t>1. Interested in exploring a career in book publishing
2. Self-starter with strong interpersonal, verbal, and written communication skills
3. A good independent worker with strong time management skills and attention to detail
...</t>
  </si>
  <si>
    <t>Fall Internship - Original Video Production Editor / Shooter</t>
  </si>
  <si>
    <t>1. Must have experience crafting compelling video content.
2. Must be versed in NLE software. (Adobe Premiere or Final Cut Pro)
3. Must be able to hit deadlines and anticipate when a deadline won’t be met
...</t>
  </si>
  <si>
    <t>News Production Assistant (Part-time)</t>
  </si>
  <si>
    <t>1. Must be able to work on weekends</t>
  </si>
  <si>
    <t>Hourly City Worker / Public Arts Intern</t>
  </si>
  <si>
    <t>Glendale Water &amp; Power</t>
  </si>
  <si>
    <t>Energy, Water</t>
  </si>
  <si>
    <t>1. Currently enrolled undergraduate college student or recent graduate who completed their undergraduate degree from May 1 - September 30, 2024
2. Interested in a 20-30 hour a week internship from October 2024 through February 2025
3. Submit a current college transcript or proof of enrollment as part of the application process
...</t>
  </si>
  <si>
    <t>CNN Research, Analytics &amp; Strategy Internships: NYC and DC - Fall 2024</t>
  </si>
  <si>
    <t>1. Must be actively enrolled in an accredited college or university degree program for the full duration of the internship (proof of enrollment required)
2. Must be a rising Junior, Senior or Graduate Student (18 years or older)
3. Must be in academic good standing (3.0 cumulative or above GPA) A transcript will be required to verify your GPA if an offer is extended.
...</t>
  </si>
  <si>
    <t>1. Must be attending an accredited college or university and studying mass communications, media, or related major
2. Candidate must be a rising Junior or Senior in college and receive college credit for your internship
3. Graduate students are eligible
...</t>
  </si>
  <si>
    <t>Content Production Intern</t>
  </si>
  <si>
    <t>Gemini</t>
  </si>
  <si>
    <t>Cryptocurrency, Finance</t>
  </si>
  <si>
    <t>1. Strong interest in digital art and the NFT space.
2. Proficiency in content creation tools and video editing.
3. Excellent writing and communication skills.
...</t>
  </si>
  <si>
    <t>CNN International Internships: ATL - Fall 2024</t>
  </si>
  <si>
    <t>CNN</t>
  </si>
  <si>
    <t>1. Keen interest in current events, international affairs, and telling engaging stories to a global audience
2. Journalism major or journalism experience a major plus
3. Understanding of international cultures and trends
...</t>
  </si>
  <si>
    <t>CNN News Show Team Internships: NYC - Fall 2024</t>
  </si>
  <si>
    <t>1. Must be actively enrolled in an accredited college or university degree program for the full duration of the internship (proof of enrollment required)
2. Must be a rising Junior or Senior (18 years or older)
3. Must be in academic good standing (3.0 cumulative or above GPA) A transcript will be required to verify your GPA if an offer is extended.
...</t>
  </si>
  <si>
    <t>CNN News Show Team Internships: DC- Fall 2024</t>
  </si>
  <si>
    <t>1. Passion for the news, politics, business, sports and pop culture
2. Knowledge of U.S. national politics, passion for politics
3. Experience understanding of newsroom operations
...</t>
  </si>
  <si>
    <t>NBC Sports Philadelphia Operations &amp; Engineering Intern - Fall 2024</t>
  </si>
  <si>
    <t>1. In pursuit of an Associate, Bachelor or Graduate degree at an Accredited Institution and be able to provide documentation to confirm your degree progress
2. Current class standing of sophomore or above (30 credits)
3. Must be 18 years of age or older
...</t>
  </si>
  <si>
    <t>NBC Sports Philadelphia Content Production Intern - Fall 2024</t>
  </si>
  <si>
    <t>1. Must be in pursuit of an Associate, Bachelor, or Graduate degree at an accredited institution.
2. Current class standing of sophomore or above
3. Must be 18 years or greater
...</t>
  </si>
  <si>
    <t>Scooter’s Coffee Frisco Bowl Events Intern</t>
  </si>
  <si>
    <t>1. Must be an active college student. Preferably pursuing a degree and/or career in Sports Management or Event Planning.
2. Must receive college credit for internship with our company.
3. Must be able to work at least 20 hours per week.
...</t>
  </si>
  <si>
    <t>Art Dwg/Paint Models</t>
  </si>
  <si>
    <t>California State University-Sacramento</t>
  </si>
  <si>
    <t>$15.50-$140 /h</t>
  </si>
  <si>
    <t>1. Ability to hold poses requested by the Art instructor over specified periods of time (short gestural or action poses, longer poses for more detailed studies of the figure, etc.)
2. Ability to practice patience, and discretion.</t>
  </si>
  <si>
    <t>Publishing Intern</t>
  </si>
  <si>
    <t>$15.70-$25.25 /h</t>
  </si>
  <si>
    <t>1. High School Diploma or graduation equivalent.
2. Six months related experience.</t>
  </si>
  <si>
    <t>Gallery Assistant - Student Hourly</t>
  </si>
  <si>
    <t>1. KU Student must be enrolled in a minimum of six (6) credit hours each semester during the academic year.
2. Enrollment of one (1) hour during the summer session is required if the student was not enrolled in the previous spring or is not pre-enrolled in the upcoming fall term.</t>
  </si>
  <si>
    <t>Audience Producer Intern</t>
  </si>
  <si>
    <t>1. Strong writing, editing and verbal communication skills
2. Some college experience, preferably in an English, communications or related field
3. Organized and detail-oriented with a proven ability to effectively juggle multiple tasks</t>
  </si>
  <si>
    <t>Film + Content Production Intern</t>
  </si>
  <si>
    <t>1. Must be enrolled in their senior year of college or final year of Master's program and local to the NYC area.
2. Major in Film or Media Studies
3. Familiarity with Google Suite: Docs, Sheets, Slides
...</t>
  </si>
  <si>
    <t>Intern – Digital Productions and Social Media</t>
  </si>
  <si>
    <t>1. Working knowledge of Microsoft Word, PowerPoint, Excel, and Outlook
2. Basic knowledge of Adobe Suite including Illustrator, Photoshop, and InDesign
3. Good communication, both verbal and written, and interpersonal skills, with ability to listen to and follow instructions, coordinate with other team members, and present ideas
...</t>
  </si>
  <si>
    <t>Journalist Intern</t>
  </si>
  <si>
    <t>Social Link</t>
  </si>
  <si>
    <t>1. Strong writing, editing, and proofreading skills with an eye for detail.
2. Excellent research skills and ability to gather information from various sources.
3. Creativity and the ability to think outside the box to generate unique content ideas.
...</t>
  </si>
  <si>
    <t>NEA Media Intern, Center for Communications, Media Strategy (Fall 2024)</t>
  </si>
  <si>
    <t>1. Students pursuing degrees in Education, Political Science, Government, Human Resources, Public Policy, Social Sciences, Business, Finance, Economics, Management, Communications, Computer Science, Journalism, Mass Media, Graphic Design, Digital Communications and other disciplines are encouraged to apply.
2. Draft media materials
3. Pitch reporters
...</t>
  </si>
  <si>
    <t>Internship – Science Writer</t>
  </si>
  <si>
    <t>1. Recent graduates (within the past 6 months) and individuals pursuing Graduate degrees in relevant fields such as Science Writing or Science.
2. Demonstrated ability to communicate effectively – written and verbally.</t>
  </si>
  <si>
    <t>Animator (Course Credit/ Community Service Credit Eligible)</t>
  </si>
  <si>
    <t>1. Join Our Dynamic Team: As an Animation Intern for Childhood Cancer Society, you'll be a vital member of our nationwide team, bringing to life the animated adventures of our superhero teddy bear, Adventure Ted.
2. Craft Captivating Stories: Dive into the creation of The Adventure Ted Chronicles, a vibrant Instagram animated series that not only entertains but also raises awareness and supports our mission.
3. Leave a Legacy: The characters and episodes you help craft will inspire merchandise for our Childhood Cancer Society Shopify store. Envision the next iconic product that showcases your animation skills!
...</t>
  </si>
  <si>
    <t>(Fall) Social Media &amp; Video Editor Co-op: June to December 2024</t>
  </si>
  <si>
    <t>1. Experience in short form edits (&lt;1 min) and storytelling
2. Proficiency with the TikTok and Instagram platforms, trends and editing best practices
3. 1-3 years of video editing experience using in-app editing features (TikTok), Vixer, Adobe Creative Suite including Final Cut Pro, After Effects and Premiere Pro
...</t>
  </si>
  <si>
    <t>The Culinary Edge Fall Strategy Internship</t>
  </si>
  <si>
    <t>1. Undergraduate student or recent graduate (within the last 12 months).
2. Strong working knowledge of Mac, Microsoft Office, and Google Workspace.
3. Ability to work in-person 4-5x a week at our San Francisco test kitchen, located in the SOMA neighborhood.
...</t>
  </si>
  <si>
    <t>Registration Permanent Collection Assistant</t>
  </si>
  <si>
    <t>Newfields</t>
  </si>
  <si>
    <t>E-Commerce, Museums and Historical Sites</t>
  </si>
  <si>
    <t>1. Must be able to maintain absolute confidentiality, be adaptable to various competing demands.
2. Must be polished and maintain a professional demeanor according to professional museum standards.
3. Strong organizational skills that reflect ability to perform and prioritize multiple tasks seamlessly with excellent attention to detail.
...</t>
  </si>
  <si>
    <t>Mascot Intern (FALL 2024) - COLLEGE CREDIT ONLY</t>
  </si>
  <si>
    <t>Assistant Managing Editor (PT)</t>
  </si>
  <si>
    <t>Tulsa Community College</t>
  </si>
  <si>
    <t>1. Must be enrolled in at least 6 credit hours during the Fall &amp; Spring semesters, and 3 hours in the Summer semester
2. Must obtain a 3.0 GPA
3. Ability to interact effectively with others</t>
  </si>
  <si>
    <t>BIPOC Editorial Training Program</t>
  </si>
  <si>
    <t>Sourcebooks</t>
  </si>
  <si>
    <t>Books, Publishing</t>
  </si>
  <si>
    <t>$1000-$1000 stipend</t>
  </si>
  <si>
    <t>1. Reside in the United States
2. Be available to participate remotely 15-20 hours per week
3. Demonstrated knowledge of books and the overall book community
...</t>
  </si>
  <si>
    <t>Internship, Digital Cyberspace Policy, Fall 2024</t>
  </si>
  <si>
    <t>1. Undergraduate or graduate student majoring in international affairs, political science, computer science, or a related field
2. Student should have completed the equivalent of four semesters of college coursework (not including AP classes in high school) by the time they begin an internship
3. Strong organizational skills
...</t>
  </si>
  <si>
    <t>D.C. Witness</t>
  </si>
  <si>
    <t>1. Students and recent graduates who are interested in pursuing careers in journalism, sociology, public health, data analysis or legal fields
2. Part of the team that reports on court cases, analyzes data and identifies violent crime trends
3. Learn and hone journalism techniques
...</t>
  </si>
  <si>
    <t>NEA Editorial Intern, Center for Communications (Fall 2024)</t>
  </si>
  <si>
    <t>1. Students pursuing degrees in Education, Political Science, Government, Human Resources, Public Policy, Social Sciences, Business, Finance, Economics, Management, Communications, Computer Science, Journalism, Mass Media, Graphic Design, Digital Communications and other disciplines are encouraged to apply.
2. Journalism skills and experience.
3. Writing and editing skills.
...</t>
  </si>
  <si>
    <t>News Trainee</t>
  </si>
  <si>
    <t>1. Excellent oral and written communication skills
2. Proficient in English grammar, spelling, and punctuation
3. Strong interpersonal skills
...</t>
  </si>
  <si>
    <t>Fall 2024 FOX News Media Internship Program - New York</t>
  </si>
  <si>
    <t>Fox News</t>
  </si>
  <si>
    <t>1. Must be actively enrolled in an accredited college or university and pursuing an undergraduate or graduate degree during the length of the program
2. Current class standing of sophomore, (second-year college student) or above
3. Strong academic record
...</t>
  </si>
  <si>
    <t>GRAY MEDIA FUTURE FOCUS INTERNSHIP FALL '24 - WHNS</t>
  </si>
  <si>
    <t>Fox Carolina News</t>
  </si>
  <si>
    <t>Broadcasting, Internet Radio</t>
  </si>
  <si>
    <t>$Minimum wage-$15 /h</t>
  </si>
  <si>
    <t>Temporary Athletics Video Producer</t>
  </si>
  <si>
    <t>1. Experience filming live sports
2. Experience with digital video editing (Adobe Premiere preferred)
3. Strong sports knowledge/background
...</t>
  </si>
  <si>
    <t>Homes.com Video Editor Internship - Fall 2024</t>
  </si>
  <si>
    <t>Ten-X</t>
  </si>
  <si>
    <t>Commercial Real Estate, E-Commerce</t>
  </si>
  <si>
    <t>US-VA Richmond</t>
  </si>
  <si>
    <t>1. Must be proficient with non-linear editing software (Primarily Premiere Pro, DaVinci Resolve, or Final Cut Pro, but may also include Audition or Logic Pro).
2. Proficiency in working with Apple OSX.
3. Must commit to working 12-30 hours per week in the Richmond, VA office location, with the flexibility to split these hours across the 5 workdays. However, a minimum of 3 hours per day is required if you come into the office on a given day.
...</t>
  </si>
  <si>
    <t>Fall 2024 Intern - Music Publishing</t>
  </si>
  <si>
    <t>1. Must be current student, enrolled in a Bachelor’s/Master’s program at an accredited college or university
2. Must be eligible to receive academic credit from their college or university for the duration of the internship
3. Must have a strong passion for music and stay up to date with the latest trends and top charting music
...</t>
  </si>
  <si>
    <t>Video Editor Internship</t>
  </si>
  <si>
    <t>Betr</t>
  </si>
  <si>
    <t>Gambling, Gamification</t>
  </si>
  <si>
    <t>1. College senior, graduate student, or recent college graduate
2. Must be working towards a bachelor’s or master’s degree in related field and/or training
3. Must have a “team-first” mentality with an eagerness to learn, strong work ethic &amp; positive attitude
...</t>
  </si>
  <si>
    <t>2024 Fall Editorial Intern</t>
  </si>
  <si>
    <t>Resources for the Future</t>
  </si>
  <si>
    <t>$17.50-$26 /h</t>
  </si>
  <si>
    <t>1. Relevant academic, research, and/or professional experience in one or more of the following: journalism, writing, communications, economics, environmental policy, environmental science, political science, or related topics
2. Interest in economics and/or energy and environment issues and policy
3. Independent worker, comfortable with taking initiative and asking for help alike
...</t>
  </si>
  <si>
    <t>Fall 2024 Intern - Artist Management (NYC)</t>
  </si>
  <si>
    <t>News Internship</t>
  </si>
  <si>
    <t>Webb Addition, AL</t>
  </si>
  <si>
    <t>1. Interns must receive course credit
2. Possess strong communication skills
3. Willingness to learn
...</t>
  </si>
  <si>
    <t>Democracy Now</t>
  </si>
  <si>
    <t>Broadcasting, News</t>
  </si>
  <si>
    <t>1. Knowledge of Democracy Now! and commitment to its mission
2. Authorization to work in the US
3. High school diploma or equivalent
...</t>
  </si>
  <si>
    <t>AV Intern</t>
  </si>
  <si>
    <t>1. Currently attending school for Communications, Audio Production, Media, or related field of study.
2. Understanding of basic photography and video systems and components.
3. Awareness of current video trends.
...</t>
  </si>
  <si>
    <t>Editorial Intern, HYPEART</t>
  </si>
  <si>
    <t>HYPEBEAST</t>
  </si>
  <si>
    <t>Advertising, Advertising Platforms</t>
  </si>
  <si>
    <t>1. Strong interest in contemporary art and culture.
2. Excellent writing and editing skills with a keen eye for detail.
3. Familiarity with social media platforms and content strategies.
...</t>
  </si>
  <si>
    <t>(I) Film &amp; TV Submissions Intern</t>
  </si>
  <si>
    <t>1. Enrolled in an accredited university or college and live in Texas
2. Strong organizational skills and attention to detail
3. Exceptional work ethic with the ability to both multitask and work independently
...</t>
  </si>
  <si>
    <t>Culinary/Pastry Externship - The Little Nell - Winter</t>
  </si>
  <si>
    <t>Aspen skiing company</t>
  </si>
  <si>
    <t>1. Student seeking an internship/externship as required by a University for class credit towards their degree
2. At least 6 months of culinary experience
3. Knowledge of safe exercise technique and principles
...</t>
  </si>
  <si>
    <t>1. Pursuing a degree in Business/Sports Management/Marketing or other related fields
2. This is an unpaid internship, and you must receive at least one (1) credit for the onsite experience from an accredited College/University
3. Must be within good standing of your College/University</t>
  </si>
  <si>
    <t>The Little Nell</t>
  </si>
  <si>
    <t>Leisure</t>
  </si>
  <si>
    <t>GRAY MEDIA FUTURE FOCUS INTERN FALL '24 - WECT</t>
  </si>
  <si>
    <t>Livestream Intern</t>
  </si>
  <si>
    <t>Bedshe International Co., Ltd.</t>
  </si>
  <si>
    <t>1. Passionate about the live stream industry
2. Availability for 3 days a week (Tuesday to Thursday)
3. Ability to work 4 hours per day with flexible timing
...</t>
  </si>
  <si>
    <t>Alterations &amp; Tailor Shop - Apprentice - City Creek Center</t>
  </si>
  <si>
    <t>Broadcast Intern (Season-long)</t>
  </si>
  <si>
    <t>Miami HEAT</t>
  </si>
  <si>
    <t>1. High school diploma or general education degree (GED)
2. One to three months related experience and/or training
3. Must be enrolled in college or university
...</t>
  </si>
  <si>
    <t>Editorial Fellow, Defense News and Military Times</t>
  </si>
  <si>
    <t>Sightline Media Group</t>
  </si>
  <si>
    <t>1. Experience writing and reporting
2. Published articles to submit
3. Interest in journalism focusing on business, national security, and military/veteran affairs
...</t>
  </si>
  <si>
    <t>Culinary J1 Intern-Kimpton Epic Hotel</t>
  </si>
  <si>
    <t>1. Participation in the J1 trainee outreach, recruitment, and placement program at IHG Hotels &amp; Resorts
2. Ability to work in various areas of the Culinary team
3. Provide excellent guest experience in an attentive, courteous, and efficient way
...</t>
  </si>
  <si>
    <t>Culinary Trainee-The Betty</t>
  </si>
  <si>
    <t>1. Participation in J1 trainee outreach, recruitment, and placement program at IHG Hotels &amp; Resorts
2. Ability to work in various areas of the Culinary team
3. Provide excellent guest experience in an attentive, courteous, and efficient manner
...</t>
  </si>
  <si>
    <t>Culinary J1 Intern-Kimpton Journeyman Hotel</t>
  </si>
  <si>
    <t>1. Must be senior in their last year of concentrated study
2. Be of advanced skill level due to complexity of projects
3. Expected to work two eight hour shifts per week
...</t>
  </si>
  <si>
    <t>Event Productions Student Assistant</t>
  </si>
  <si>
    <t>1. Be a current University of Florida full-time student in good standing with at least a 2.0+ GPA
2. Respond to and assist with emergency situations and building evacuations per department procedures or as instructed by building management staff
3. Provide exceptional customer service while maintaining a high level of professionalism
...</t>
  </si>
  <si>
    <t>Fred Young Fellowship</t>
  </si>
  <si>
    <t>$769-$769 /wk</t>
  </si>
  <si>
    <t>1. Demonstrated interest in and ability to produce news for television, radio, or online
2. Excellent writing skills
3. Demonstrated ability to produce a newscast
...</t>
  </si>
  <si>
    <t>MULTIMEDIA CONTENT INTERN</t>
  </si>
  <si>
    <t>Editorial Intern, Military Times</t>
  </si>
  <si>
    <t>1. Students and recent graduates with some experience writing and reporting
2. Ability to support daily coverage of the military
3. Assigned stories to report and write with byline
...</t>
  </si>
  <si>
    <t>KCCI News Intern</t>
  </si>
  <si>
    <t>KCCI Des Moines</t>
  </si>
  <si>
    <t>1. Cover letter with application including semester (Summer or Fall), available start and end dates, days, and hours available to intern
2. Only those who intend to pursue a career in broadcast journalism should apply</t>
  </si>
  <si>
    <t>1. Must be senior in their last year of concentrated study
2. Be of advanced skill level due to complexity of projects
3. A collaborative worker with a willingness to learn
...</t>
  </si>
  <si>
    <t>John DiStaso Political Fellowship</t>
  </si>
  <si>
    <t>WMUR 9</t>
  </si>
  <si>
    <t>1. Working toward a bachelor’s degree in Political Science, Journalism, Communications or a related degree
2. Experience in journalism through internships or college media
3. Goal to work in the field of journalism
...</t>
  </si>
  <si>
    <t>1. Should be planning and preparing for a job in news
2. Looking for highly motivated, dedicated students who are looking to get the most out of their internship experience
3. Must be eligible to receive college credit to participate in this internship
...</t>
  </si>
  <si>
    <t>Fit Model (Chico's)</t>
  </si>
  <si>
    <t>Chico's</t>
  </si>
  <si>
    <t>$competitive-$competitive /h</t>
  </si>
  <si>
    <t>1. Chico's Size 1 | US Size 10
2. Model Height 5'6"-5'7"
3. Hip 40"
...</t>
  </si>
  <si>
    <t>Paid News Intern</t>
  </si>
  <si>
    <t>1. Demonstrate professionalism
2. Strive to reach the highest standard of excellence
3. Work a specified schedule
...</t>
  </si>
  <si>
    <t>Talent Usher - Seasonal</t>
  </si>
  <si>
    <t>Univision Communications</t>
  </si>
  <si>
    <t>Broadcasting, Communities</t>
  </si>
  <si>
    <t>$15.75-$15.75 /h</t>
  </si>
  <si>
    <t>1. Must be 18+ years old
2. Must be eligible to work in the United States
3. Reliable Transportation
...</t>
  </si>
  <si>
    <t>1. Qualified candidates should be planning and preparing for a job in news
2. Highly motivated and dedicated students
3. Eligible to receive college credit
...</t>
  </si>
  <si>
    <t>News Intern (Part-time)</t>
  </si>
  <si>
    <t>1. Qualified candidates should be planning and preparing for a job in news
2. We are looking for highly motivated, dedicated students who are looking to get the most out of their internship experience
3. You must be eligible to receive college credit to participate in this internship
...</t>
  </si>
  <si>
    <t>1. Qualified candidates should also be planning and preparing for a job in news
2. Highly motivated, dedicated students
3. Eligible to receive college credit to participate in this internship
...</t>
  </si>
  <si>
    <t>News Intern, Unpaid</t>
  </si>
  <si>
    <t>1. Current college student
2. Writing skills for broadcast and digital platforms
3. Video shooting and editing skills
...</t>
  </si>
  <si>
    <t>News Intern - Fall '24</t>
  </si>
  <si>
    <t>1. Must be attending an accredited college or university
2. Willing to work approximately 15 hours a week for 10 weeks, beginning in Mid-September 2024
3. There may be a variety in hours due to our news programming schedules
...</t>
  </si>
  <si>
    <t>Botanical Intern, Orchid Collections</t>
  </si>
  <si>
    <t>The Huntington Library</t>
  </si>
  <si>
    <t>1. Must be able to operate light-powered equipment and should possess basic pruning and potting skills.
2. Must be in good physical condition to stoop, bend, walk long distances, and lift moderate and, occasionally, heavy loads.
3. Familiarity with the safe and proper use of hand tools and garden equipment.
...</t>
  </si>
  <si>
    <t>Grand River Solutions</t>
  </si>
  <si>
    <t>1. Ongoing associate’s, bachelor's, graduate/professional degree
2. Proven experience in content creation and video editing.
3. Proficiency in video editing software such as Cap Cut, Adobe Premiere Pro, Final Cut Pro, Canva or equivalent.
...</t>
  </si>
  <si>
    <t>QVC Talent Service Fall Internship</t>
  </si>
  <si>
    <t>1. You must be a Junior, Senior or Graduate student enrolled in an accredited college, university or master's program.
2. Completed at least four (4) semesters of college from the following majors: Business, Communications, Production or related field</t>
  </si>
  <si>
    <t>Video Editor Intern</t>
  </si>
  <si>
    <t>Grayson Sky</t>
  </si>
  <si>
    <t>1. Proficiency in video editing software such as Adobe Premiere Pro, DaVinci Resolve, or similar tools.
2. Strong creative and storytelling skills with a keen eye for visual aesthetics and attention to detail.
3. Knowledge of video production techniques, including color grading, audio editing, and motion graphics.
...</t>
  </si>
  <si>
    <t>[Full time Intern] Fashion Production for Activewear Apparel Brand</t>
  </si>
  <si>
    <t>90 Degree by Reflex</t>
  </si>
  <si>
    <t>1. Bachelor’s Degree in related major
2. Must be proficient in Adobe Illustrator, Photoshop and Excel
3. Excellent communication, organizational skill, attention to detail and follow-up skills
...</t>
  </si>
  <si>
    <t>Writing Internship</t>
  </si>
  <si>
    <t>The Greater Scranton Chamber of Commerce</t>
  </si>
  <si>
    <t>Scranton, PA</t>
  </si>
  <si>
    <t>1. Strong verbal and written communication skills
2. Strong grammar and proof-reading skills
3. Strong time management
...</t>
  </si>
  <si>
    <t>1. Senior in their last year of concentrated study preferred
2. Internship should be for school credit
3. Be of advanced skill level due to complexity of projects
...</t>
  </si>
  <si>
    <t>Operation Intern (Data &amp; Payment)</t>
  </si>
  <si>
    <t>1. Currently pursuing or recently completed a Bachelor's or Master's degree.
2. Excellent communication skills, both written and verbal.
3. Proficiency in SQL and Google Sheets.
...</t>
  </si>
  <si>
    <t>Golf and Grounds Intern, 2024 Fall/Winter Season</t>
  </si>
  <si>
    <t>Integrated Measurement Systems</t>
  </si>
  <si>
    <t>1. Currently pursuing a degree in Golf Course Management, Turfgrass Management, Sports Management, or related fields
2. Candidate must possess positive attitude, strong work ethic, attention to detail, eagerness to learn and organizational skills
3. High integrity, strong people skills, and effective communication skills
...</t>
  </si>
  <si>
    <t>GRAY MEDIA FUTURE FOCUS INTERNSHIP FALL '24 - WGGB</t>
  </si>
  <si>
    <t>GRAY MEDIA FUTURE FOCUS INTERN FALL '24 - WBKO</t>
  </si>
  <si>
    <t>QVC Videography Fall Internship</t>
  </si>
  <si>
    <t>1. Must be an undergraduate or graduate student studying Broadcasting, Communications, TV Production, Media Arts, or related fields.
2. Valid driver's license.
3. Lift equipment weighing 20-45 lbs.
...</t>
  </si>
  <si>
    <t>QVC Styling Fall Internship</t>
  </si>
  <si>
    <t>1. Must be a Junior, Senior or Graduate student enrolled in an accredited college, university or master's program.</t>
  </si>
  <si>
    <t>News Producer Intern- Fall, 2024</t>
  </si>
  <si>
    <t>1. College/university student in their senior year
2. Minimum of 20 hours per week for 8 weeks
3. Receive college credit for the internship
...</t>
  </si>
  <si>
    <t>Intern, Game Presentation</t>
  </si>
  <si>
    <t>1. Open to college juniors, seniors and grad students, and post grad
2. A desire to gain experience in a professional sports and entertainment environment.
3. Excellent organizational and multi-tasking skills.
...</t>
  </si>
  <si>
    <t>Studio Intern</t>
  </si>
  <si>
    <t>Hogarth Worldwide</t>
  </si>
  <si>
    <t>1. Must be currently enrolled in an undergraduate, graduate or doctorate program
2. Have a strong desire to learn along with professional drive
3. Possess excellent verbal and written communication skills
...</t>
  </si>
  <si>
    <t>CNN Audio Editorial Intern: NYC - Fall 2024</t>
  </si>
  <si>
    <t>1. Strong interest in podcasting and news required.
2. Strong writing skills, ideally with some previous audio production experience.
3. Audio production experience is a plus.
...</t>
  </si>
  <si>
    <t>Chil &amp; Co.</t>
  </si>
  <si>
    <t>$15-$15 stipend</t>
  </si>
  <si>
    <t>1. Has the ability to take professional high-quality photos and videos
2. Excellent time management skills
3. Excellent attention to detail
...</t>
  </si>
  <si>
    <t>1. Strong interest in podcasting and news required.
2. Strong writing skills, ideally with some previous audio production experience.
3. Must be actively enrolled in an accredited college or university degree program for the full duration of the internship (proof of enrollment required)
...</t>
  </si>
  <si>
    <t>CNN Creative Marketing Intern: NYC - Fall 2024</t>
  </si>
  <si>
    <t>1. Awareness and interest of current events/headlines, major news stories and CNN programming.
2. Interest in marketing and promotion.
3. Strong writing and editing skills.
...</t>
  </si>
  <si>
    <t>NewsNation News Internship Fall 2024 (Chicago or New York)</t>
  </si>
  <si>
    <t>$16.20-$17 /h</t>
  </si>
  <si>
    <t>1. Undergraduate or graduate student majoring in journalism or communications
2. Curious, passionate, energetic, and hardworking
3. Available for Fall 2024 internship from approximately September 3, 2024, to December 6, 2024
...</t>
  </si>
  <si>
    <t>Breaking News Intern</t>
  </si>
  <si>
    <t>MediaNews Group</t>
  </si>
  <si>
    <t>$14.42-$14.42 /h</t>
  </si>
  <si>
    <t>1. Applicants should have completed junior year of college before summer 2024
2. Demonstrated interest in print and online journalism
3. Well-versed in basic news writing and AP style
...</t>
  </si>
  <si>
    <t>Copy Editor</t>
  </si>
  <si>
    <t>CVR Associates</t>
  </si>
  <si>
    <t>1. English major or recent college grad a plus
2. Proven experience in editing, proofreading, and writing
3. Familiarity with various style guides
...</t>
  </si>
  <si>
    <t>CNN Business Editorial Internships: NYC - Fall 2024</t>
  </si>
  <si>
    <t>1. Writing samples are required
2. Curious mind
3. Excellent communicator
...</t>
  </si>
  <si>
    <t>Summer News Intern 2024</t>
  </si>
  <si>
    <t>1. Must be attending an accredited college or university and studying mass communications, journalism, or related major
2. Each intern is required to work 10-20 hours a week; including some weekends
3. Must be 18 years of age
...</t>
  </si>
  <si>
    <t>Museum Archives Digital Projects Fellowship</t>
  </si>
  <si>
    <t>Cleveland Museum of Art</t>
  </si>
  <si>
    <t>Art</t>
  </si>
  <si>
    <t>1. Currently enrolled in an MLIS program with a concentration in archival management, or an advanced undergraduate (rising senior) preparing to enroll in an MLIS program
2. Good academic standing
3. Excellent organizational, research, and interpersonal skills
...</t>
  </si>
  <si>
    <t>Exhibit Development Internship</t>
  </si>
  <si>
    <t>Creative Discovery Museum</t>
  </si>
  <si>
    <t>Child Care, Museums and Historical Sites</t>
  </si>
  <si>
    <t>1. Strong time management and ability to self-start
2. Strong communication skills, including knowing when to ask for clarification
3. Ability to both follow instructions and complete self-guided tasks
...</t>
  </si>
  <si>
    <t>News Intern - Fall 2024 (The National Desk)</t>
  </si>
  <si>
    <t>MEDIA ASSISTANT I (TEMP)</t>
  </si>
  <si>
    <t>1. Must be UM-Dearborn student</t>
  </si>
  <si>
    <t>Intern Program</t>
  </si>
  <si>
    <t>The Fine Art Group</t>
  </si>
  <si>
    <t>Northeastern United States</t>
  </si>
  <si>
    <t>1. Exceptional work ethic
2. Excellent time management skills
3. Detail-oriented and professional demeanor
...</t>
  </si>
  <si>
    <t>Digital Media- Intern</t>
  </si>
  <si>
    <t>Eccalon</t>
  </si>
  <si>
    <t>Biotechnology, CRM</t>
  </si>
  <si>
    <t>1. Excellent communication skills, both written and verbal.
2. Great interpersonal skills.
3. Ability to work in a high-pressure, fast-paced, collaborative environment with quick turnaround times.
...</t>
  </si>
  <si>
    <t>GRAY MEDIA FUTURE FOCUS INTERNSHIP SUMMER '24 (Bilingual/Spanish) - TBO (Gray Media Group)</t>
  </si>
  <si>
    <t>1. Earning a degree in Journalism/Communications, News, or related fields, with a desire to get hands-on experience in the local media industry.
2. Be currently enrolled in a college/university (preferred Junior/Senior)
3. Strong work ethic, and organizational skills</t>
  </si>
  <si>
    <t>NBCU Local Bay Area - Production Assistant Internship – Fall 2024, San Francisco, CA</t>
  </si>
  <si>
    <t>1. Must be actively enrolled in a degree-granting program at an accredited institution during the length of the program.
2. Current class standing of sophomore or above (30 credits).
3. Required On-Site: This position is required to be performed full-time from an NBCUniversal-designated worksite.
...</t>
  </si>
  <si>
    <t>KASA News Internship - Summer 2024</t>
  </si>
  <si>
    <t>1. Must be proficient in the use of Microsoft Office Suite (MS Word, PowerPoint, Excel)
2. Must be bilingual (English/Spanish= both written and verbal with excellent grammar) being Spanish their strong language.
3. In pursuit of an associate, bachelor’s, or graduate degree at an accredited institution. Must be able to provide documentation to confirm your degree progress.
...</t>
  </si>
  <si>
    <t>KVDA News Internship - Summer 2024</t>
  </si>
  <si>
    <t>NBCU Local Bay Area - Video Editor Internship – Fall 2024, San Francisco, CA</t>
  </si>
  <si>
    <t>1. Must be actively enrolled in a degree-granting program at an accredited institution during the length of the program.
2. Current class standing of sophomore or above (30 credits).
3. Intermediate editing skills, preferably with Adobe Creative Suite (After Effects, Photoshop, Illustrator) or similar functionality
...</t>
  </si>
  <si>
    <t>Flexible Freelance Internet Rater</t>
  </si>
  <si>
    <t>$12-$14 /h</t>
  </si>
  <si>
    <t>1. Proficiency in both written and verbal English
2. Residency in the United States for the past 3 consecutive years
3. Ownership and regular use of a smartphone (Android V4.2 or higher or iPhone running iOS version 14.0 or higher) and a desktop/laptop with internet connection at your expense
...</t>
  </si>
  <si>
    <t>GRAY MEDIA FUTURE FOCUS INTERNSHIP FALL '24 - WBNG</t>
  </si>
  <si>
    <t>Johnson City, NY</t>
  </si>
  <si>
    <t>$Minimum wage in your state-$15 /h</t>
  </si>
  <si>
    <t>Music Department, Student Content Creater and Editor</t>
  </si>
  <si>
    <t>1. Assist the Department of Music in creating and editing content (both graphic and video) for social media and marketing efforts
2. Must be able to work well with others
3. Willing to collaborate and communicate with the rest of the creative team</t>
  </si>
  <si>
    <t>Editorial Internship Summer/Fall 2024 (July - November)</t>
  </si>
  <si>
    <t>Concierge Preferred</t>
  </si>
  <si>
    <t>Digital Marketing, Hospitality</t>
  </si>
  <si>
    <t>1. Undergraduate or graduate student who has completed one or more years of college
2. Minimum of 15-20 hours per week availability
3. Ability to adapt writing style to meet Ateema’s editorial style, tone, and brand
...</t>
  </si>
  <si>
    <t>Ateema</t>
  </si>
  <si>
    <t>Creative Agency, Marketing</t>
  </si>
  <si>
    <t>Audacy Rochester Radio/Audio Programming Internship</t>
  </si>
  <si>
    <t>Audacy</t>
  </si>
  <si>
    <t>1. Must be actively enrolled in a U.S. accredited college or university degree
2. Must be a resident of New York State and/or attending school in New York State
3. Must be a college junior or senior
...</t>
  </si>
  <si>
    <t>NEPM News Intern - Fall 2024</t>
  </si>
  <si>
    <t>New England Public Media</t>
  </si>
  <si>
    <t>1. Interested in journalism and public affairs
2. Familiarity with news writing required
3. Ability to work under deadline
...</t>
  </si>
  <si>
    <t>Coconut Content Community Connoisseur</t>
  </si>
  <si>
    <t>Vita Coco</t>
  </si>
  <si>
    <t>1. Has a crazy daily screen time.
2. Has a way with words.
3. Has at least 1 year of previous brand experience managing TikTok and experience copywriting.
...</t>
  </si>
  <si>
    <t>GBH News Digital Team Internship - Fall 2024</t>
  </si>
  <si>
    <t>1. Self starter who contributes and executes on stories independently and collaboratively
2. Demonstrated effective and professional use of social platforms including Instagram, Facebook, Twitter and TikTok.
3. Interest in learning video editing skills. Some experience a plus.
...</t>
  </si>
  <si>
    <t>GBH News Politics Internship - Fall 2024</t>
  </si>
  <si>
    <t>1. Must be in an Undergrad or Grad program
2. Must have work authorization for the United States
3. Must be able to write clear, accurate news copy on deadline
...</t>
  </si>
  <si>
    <t>NOVA Broadcast Research Internship - Fall 2024</t>
  </si>
  <si>
    <t>1. Strong research skills
2. Strong writing and communication skills
3. Attention to detail
...</t>
  </si>
  <si>
    <t>GBH News Boston Public Radio Internship - Fall 2024</t>
  </si>
  <si>
    <t>1. Must be able to perform in-depth research on a variety of topics, national and local.
2. Must be familiar with local issues facing greater Boston
3. Must be familiar with recording devices and technology, specifically audio editing/recording software.
...</t>
  </si>
  <si>
    <t>GBH News "Under the Radar" Internship - Fall 2024</t>
  </si>
  <si>
    <t>1. Experience in audio production (Adobe Audition or similar)
2. Excellent writing and interpersonal communication skills
3. Superbly organized and able to manage multiple projects, tasks, and shifting priorities
...</t>
  </si>
  <si>
    <t>News Intern - Fall 2024</t>
  </si>
  <si>
    <t>ARC News Intern - Summer 2024</t>
  </si>
  <si>
    <t>ARC News Intern - Fall 2024</t>
  </si>
  <si>
    <t>Production Assistant (PT)</t>
  </si>
  <si>
    <t>Yakima, WA</t>
  </si>
  <si>
    <t>1. Operate Deko, Audio or Camera for newscasts
2. Prep for newscasts including preparing all fonts to air, studio and set preparation, maintaining studio, lighting, tape editing
3. Other duties as assigned</t>
  </si>
  <si>
    <t>New Bloomfield, MO</t>
  </si>
  <si>
    <t>1. Must be attending an accredited college or university
2. Must be registered in an internship course at his or her institution during the quarter or semester in which the internship is performed
3. Graduate students are eligible
...</t>
  </si>
  <si>
    <t>Emerging Arts Leader Intern, Development</t>
  </si>
  <si>
    <t>Seattle Art Museum</t>
  </si>
  <si>
    <t>1. Demonstrated interest in nonprofit fundraising, development, or corporate partnerships. Competitive candidates will be able to articulate why this internship supports their professional goals in museums, fundraising, or the wider arts industry
2. Strong writing skills and ability to clearly describe goals, progress, and outcomes to a professional audience
3. Clear understanding of and ability to discuss concepts related to racial equity, intersectionality, and social justice
...</t>
  </si>
  <si>
    <t>Multimedia Journalist Intern</t>
  </si>
  <si>
    <t>1. Journalism, Communications, Multimedia, Marketing student, recent Graduate or adult continued learning or a related field.
2. Demonstrated proficiency in photography, videography, video editing, and social media management
3. In-depth knowledge of photography equipment and accessories.
...</t>
  </si>
  <si>
    <t>Intern I, News</t>
  </si>
  <si>
    <t>1. Hard-working student
2. Experience in a newsroom setting
3. Ability to work with producers, anchors, reporters, web producers, and photographers
...</t>
  </si>
  <si>
    <t>Student Content Creator – Pace University</t>
  </si>
  <si>
    <t>$31200 /yr</t>
  </si>
  <si>
    <t>1. Current international student at Pace University
2. Excellent communication and videoing skills, attention to detail and the ability to work collaboratively in a team environment
3. Strong passion for content creation, storytelling, and digital media
...</t>
  </si>
  <si>
    <t>Videography &amp; Photography Intern (Fall 2024)</t>
  </si>
  <si>
    <t>All-Star Sports Academy</t>
  </si>
  <si>
    <t>Baseball, Sports</t>
  </si>
  <si>
    <t>1. Strong work ethic
2. Excellent communication skills
3. Strong multi-tasker
...</t>
  </si>
  <si>
    <t>GRAY MEDIA FUTURE FOCUS INTERNSHIP FALL '24 - WSFA</t>
  </si>
  <si>
    <t>GRAY MEDIA FUTURE FOCUS INTERN FALL '24 - WALB</t>
  </si>
  <si>
    <t>$Minimum wage-$18 /h</t>
  </si>
  <si>
    <t>GRAY MEDIA FUTURE FOCUS INTERNSHIP FALL '24 - KCBD</t>
  </si>
  <si>
    <t>GRAY MEDIA FUTURE FOCUS INTERNSHIP FALL/WINTER '24 - WRDW/WAGT</t>
  </si>
  <si>
    <t>1. Be currently enrolled in a college/university (preferred Junior/Senior)
2. Strong work ethic, and organizational skills
3. Earning a degree in Journalism/Communications, News, Sales, Marketing, Engineering, or related fields, with a desire to get hands-on experience in the local media industry</t>
  </si>
  <si>
    <t>I.M.P.</t>
  </si>
  <si>
    <t>1. Communication skills
2. Execution and enforcement of policies
3. Real-time logistics management
...</t>
  </si>
  <si>
    <t>Collection Care Intern</t>
  </si>
  <si>
    <t>Vizcaya Museum and Gardens</t>
  </si>
  <si>
    <t>1. Bachelor’s degree in Museum Studies, History, Art History or a related field and Conservation or Historic Preservation Master’s degree track.
2. Interest in conservation, historic preservation and collections care.
3. Demonstrated verbal communication skills to ask questions and seek support from colleagues or supervisor, and to interact with the department and visitors.
...</t>
  </si>
  <si>
    <t>Stylist in Training / Apprentice Stylist</t>
  </si>
  <si>
    <t>Supercuts</t>
  </si>
  <si>
    <t>1. Applicants must be within 90 days of graduating cosmetology school</t>
  </si>
  <si>
    <t>Music Therapy Intern</t>
  </si>
  <si>
    <t>Three Rivers Behavioral Health</t>
  </si>
  <si>
    <t>West Columbia, SC</t>
  </si>
  <si>
    <t>1. Currently enrolled in a baccalaureate music therapy degree programs at AMTA-approved university/college
2. Current BLS Certification and CPI training (or upon hire and maintain certifications throughout internship)</t>
  </si>
  <si>
    <t>Milwaukee Magazine Editorial Internship- Fall 2024</t>
  </si>
  <si>
    <t>1. Experience working in a journalistic environment, be it a professional or a student publication
2. Ability to verify facts and not assume they are correct
3. Knowledge of AP Style
...</t>
  </si>
  <si>
    <t>Drums and Percussion Intern (Yamaha Corporation of America/Buena Park)</t>
  </si>
  <si>
    <t>Buena Park, CA</t>
  </si>
  <si>
    <t>1. Must be a sophomore, junior, or senior from an accredited university or have graduated within a year with a degree in Journalism, Marketing, Music Business, Music Performance, Music Education, Public Relations, or related field.
2. Some experience playing a percussion instrument required
3. Minimum GPA of 2.7</t>
  </si>
  <si>
    <t>Videographer Intern</t>
  </si>
  <si>
    <t>Orange County Soccer Club ·</t>
  </si>
  <si>
    <t>1. Experience delivering high-quality video content while adhering to existing brand guidelines or a willingness to learn.
2. Strong organizational skills and keen attention to detail.
3. Experience in video production, including shooting, editing, and post-production.
...</t>
  </si>
  <si>
    <t>Internship, Digital Content, Editorial, Fall 2024</t>
  </si>
  <si>
    <t>1. Undergraduate or graduate student focusing on Journalism, Communications, International Relations, History, or Political Science
2. All applicants should have completed the equivalent of four semesters of college coursework (not including AP classes in high school) by the time they begin an internship
3. Previous on-campus work and/or internship experiences in writing and/or editing
...</t>
  </si>
  <si>
    <t>Internship, Digital Content, Video, Fall 2024</t>
  </si>
  <si>
    <t>1. Undergraduate or graduate student with a concentration in international relations, political science, history, journalism, video production, or media studies
2. All applicants should have completed the equivalent of four semesters of college coursework (not including AP classes in high school) by the time they begin an internship
3. Previous administrative, journalism, web, and multimedia experience is a plus
...</t>
  </si>
  <si>
    <t>Fall Internship - MileSplit</t>
  </si>
  <si>
    <t>1. Must have a demonstrated subject matter expertise in cross country and track &amp; field
2. Experience in journalism and an understanding of AP style
3. Experience creating engaging content that speaks authentically to a passionate audience
...</t>
  </si>
  <si>
    <t>Student Hourly - Costume Production Assistant</t>
  </si>
  <si>
    <t>1. Must know how to sew (both machine and hand sewing).
2. During the semester term of the appointment, the student hourly must be enrolled in no fewer than 6 credit hours.
3. Student Hourlies may be undergraduate or graduate students.</t>
  </si>
  <si>
    <t>GRAY TELEVISION FUTURE FOCUS INTERN FALL/WINTER '24 - WALA</t>
  </si>
  <si>
    <t>Internship, Digital Content, Podcast, Fall 2024</t>
  </si>
  <si>
    <t>1. Undergraduate or graduate student focusing on journalism, international relations, or related field
2. All applicants should have completed the equivalent of four semesters of college coursework (not including AP classes in high school) by the time they begin an internship
3. Strong research and writing skills
...</t>
  </si>
  <si>
    <t>Video Editing Intern</t>
  </si>
  <si>
    <t>Iteris</t>
  </si>
  <si>
    <t>Cloud Infrastructure, Consulting</t>
  </si>
  <si>
    <t>$18-$23 /h</t>
  </si>
  <si>
    <t>1. High School Diploma Required
2. Working towards a Bachelor's Degree (four-year college or technical school) required
3. Good at computers, be able to use certain video editing apps
...</t>
  </si>
  <si>
    <t>Prism Student Co-Editor</t>
  </si>
  <si>
    <t>Lynchburg Doctor of Medical Science Program (DMSc)</t>
  </si>
  <si>
    <t>1. Co-editors should have taken at least one upper-division, creative writing class.
2. They must be available for an average of two hours every week and for longer amounts of time at key parts of the production schedule for quick editorial turnarounds.</t>
  </si>
  <si>
    <t>Art Assistant in Printmaking</t>
  </si>
  <si>
    <t>Bucknell University</t>
  </si>
  <si>
    <t>Lewisburg, PA</t>
  </si>
  <si>
    <t>$18-$21.45 /h</t>
  </si>
  <si>
    <t>1. Bachelor’s degree in Studio Art
2. Familiarity with a range of printmaking-related equipment and media, and an understanding of equipment and material safety
3. Must be dependable, have a strong work ethic, and good communication skills</t>
  </si>
  <si>
    <t>Student - Athletics Videographer/Content Creator</t>
  </si>
  <si>
    <t>Central College</t>
  </si>
  <si>
    <t>Pella, IA</t>
  </si>
  <si>
    <t>1. Willing to work afternoons, nights, and some weekends is a must
2. Experience with videography/camera work is needed
3. Be knowledgeable of the different sports that Central College offers</t>
  </si>
  <si>
    <t>GRAY TELEVISION FUTURE FOCUS INTERN FALL '24 - WEAU</t>
  </si>
  <si>
    <t>Biasly</t>
  </si>
  <si>
    <t>1. Excellent communication skills, written, phone
2. Highly analytical and detailed-oriented
3. Reliable, keep all commitments
...</t>
  </si>
  <si>
    <t>Student Assistant - Theatre - 71123</t>
  </si>
  <si>
    <t>St Charles Community College</t>
  </si>
  <si>
    <t>Communities, Continuing Education</t>
  </si>
  <si>
    <t>Cottleville, MO</t>
  </si>
  <si>
    <t>1. Must be a current student enrolled in a minimum of 6 credit hours.
2. Ability to demonstrate a welcoming and smiling demeanor
3. Ability to communicate effectively
...</t>
  </si>
  <si>
    <t>ILC Writing Internship</t>
  </si>
  <si>
    <t>1. Currently pursuing or recently completed a degree in English, Journalism, Communications, Creative Writing, or related field.
2. Strong passion for writing, storytelling, and creativity.
3. Proficiency in grammar, punctuation, and AP style.
...</t>
  </si>
  <si>
    <t>Lynchburg Arts Consortium Graduate Assistant</t>
  </si>
  <si>
    <t>1. An interest in supporting the arts (art, music, and theatre)
2. Working knowledge of GoogleSuite, Canva, and other social media platforms
3. A positive and open-minded attitude
...</t>
  </si>
  <si>
    <t>GRAY TELEVISION FUTURE FOCUS INTERN FALL '24 - WTVM</t>
  </si>
  <si>
    <t>Fall Video Content Intern</t>
  </si>
  <si>
    <t>1. Experience producing both short-form and long-form video content
2. Experience with social media platforms including Instagram, YouTube and TikTok
3. Knowledge of basic marketing concepts
...</t>
  </si>
  <si>
    <t>GRAY TELEVISION FUTURE FOCUS INTERN FALL '24 - WBAY</t>
  </si>
  <si>
    <t>Science Communications Individual Placement - National Capital Region Inventory &amp; Monitoring</t>
  </si>
  <si>
    <t>$700-$700 /wk</t>
  </si>
  <si>
    <t>1. Must be between the ages of 21 and 30
2. Must be a US citizen
3. Must have received a high school diploma or GED
...</t>
  </si>
  <si>
    <t>Game Presentation Intern- Buffalo Sabres</t>
  </si>
  <si>
    <t>1. Availability for all Buffalo Sabres &amp; Buffalo Bandits home games and special events
2. Strong communication skills
3. Outgoing and positive attitude
...</t>
  </si>
  <si>
    <t>Fall 2024 Internship</t>
  </si>
  <si>
    <t>The Dispatch</t>
  </si>
  <si>
    <t>Digital Media</t>
  </si>
  <si>
    <t>1. Current enrollment in a related undergraduate or master’s degree. Those graduating in 2024 are eligible.
2. Desire to pursue a career in journalism.
3. Ability to follow strict deadlines, and take direction and correction, and constructive feedback professionally.
...</t>
  </si>
  <si>
    <t>Music Operations Internship (Unpaid)</t>
  </si>
  <si>
    <t>David C Cook</t>
  </si>
  <si>
    <t>Non Profit, Publishing</t>
  </si>
  <si>
    <t>1. Completed the first 2 years of college in Music Business or Business degree program
2. Excellent knowledge of Excel
3. Experience of databases and music metadata
...</t>
  </si>
  <si>
    <t>Music Publishing Internship (Unpaid</t>
  </si>
  <si>
    <t>1. Must be enrolled in an accredited university and possess a GPA equivalent to a 3.0 or higher
2. Basic understanding of music publishing and copyright law concepts
3. Knowledge of Microsoft Office (specifically excel) and research skills
...</t>
  </si>
  <si>
    <t>GRAY TELEVISION FUTURE FOCUS INTERN FALL '24 - KOLO</t>
  </si>
  <si>
    <t>Seasonal International Intern - Cellar</t>
  </si>
  <si>
    <t>1. Individual selected for this position must be reliable, posses a good work ethic, and positive attitude.
2. Must be able to follow verbal and written instruction.
3. Must be able to add, subtract, multiply and divide.
...</t>
  </si>
  <si>
    <t>GRAY TELEVISION FUTURE FOCUS INTERN FALL '24 - KBJR</t>
  </si>
  <si>
    <t>GRAY TELEVISION FUTURE FOCUS INTERN FALL '24 - KXNV/KOLO (Telemundo Reno)</t>
  </si>
  <si>
    <t>Harvest Intern- McMinnville Winery</t>
  </si>
  <si>
    <t>McMinnville, Oregon</t>
  </si>
  <si>
    <t>1. Must be able to work in a fast-paced team environment and have a sense of pride in your work.
2. Some forklift experience is highly desired.
3. Must be able to work varying shifts and overtime, including weekends, as needed, particularly during the peak of the harvest season.
...</t>
  </si>
  <si>
    <t>Eastern Progress Editor</t>
  </si>
  <si>
    <t>1. Must be enrolled full time as an EKU student</t>
  </si>
  <si>
    <t>Audio/Video Editing Intern</t>
  </si>
  <si>
    <t>SportsBiz</t>
  </si>
  <si>
    <t>1. Proficiency in audio and video editing software, such as Pro Tools, Adobe Audition, Adobe Premiere Pro, Final Cut Pro, etc.
2. Strong attention to detail and the ability to maintain high-quality standards.
3. Excellent communication and collaboration skills.
...</t>
  </si>
  <si>
    <t>Child Performer - Tiny Tim (Busch Gardens Williamsburg )</t>
  </si>
  <si>
    <t>SeaWorld Parks &amp; Entertainment</t>
  </si>
  <si>
    <t>Digital Entertainment, Education</t>
  </si>
  <si>
    <t>1. A video showcasing your child’s acting and singing talents
2. Current height of your child
3. Any availability conflicts from early November 2024 - early January 2025
...</t>
  </si>
  <si>
    <t>Part Time - Research Assistant for Journalism - Communications</t>
  </si>
  <si>
    <t>1. Experience with or training in journalism, audio production, legal research and community organizing helpful
2. Preference given to those who have been involved with the study of the jury’s role in mass incarceration
3. Must be reliable and able to work with minimal supervision</t>
  </si>
  <si>
    <t>Graduate Assistant - Creative Services (Video), Nevada Athletics</t>
  </si>
  <si>
    <t>1. Candidate must be enrolled at the University of Nevada, Reno
2. To be eligible for an assistantship, student must be:
3. Admitted to a degree-granting program and be in good academic standing.
...</t>
  </si>
  <si>
    <t>Color Apprentice - Bumble and bumble - 40 Hrs -415 West 13th Street - New York, NY</t>
  </si>
  <si>
    <t>Bumble and bumble.</t>
  </si>
  <si>
    <t>$15-$19.80 /h</t>
  </si>
  <si>
    <t>1. Excellent technical styling and/or color skills
2. Excellent customer service, communication, organizational and time management skills
3. Ability to work in a fast-paced environment including evenings and weekends
...</t>
  </si>
  <si>
    <t>Football Film Assistant</t>
  </si>
  <si>
    <t>1. Currently enrolled student at Mount St. Joseph University
2. Work-study eligibility required
3. Ability to work on own initiative, independently, and to deadlines
...</t>
  </si>
  <si>
    <t>Designer In Training Salon - Governors Sq</t>
  </si>
  <si>
    <t>1. College student studying journalism
2. Strong writing and reporting skills and excellent news judgment
3. The ability to shoot passable photos and videos
...</t>
  </si>
  <si>
    <t>GRAY TELEVISION FUTURE FOCUS INTERN FALL '24 - WWBT</t>
  </si>
  <si>
    <t>1. Be currently enrolled in a college/university (preferred Junior/Senior)
2. Strong work ethic, and organizational skills
3. Earning a degree in Journalism/Communications, Media, Sales, Advertising/PR, Marketing, Engineering, or related fields, with a desire to get hands-on experience in the local media industry</t>
  </si>
  <si>
    <t>Spring 2025 Culinary Arts Internship</t>
  </si>
  <si>
    <t>Biltmore</t>
  </si>
  <si>
    <t>1. Currently enrolled in or a recent graduate of an accredited culinary training program
2. Minimum training commitment of 12 weeks
3. Endure various physical movements throughout the work area
...</t>
  </si>
  <si>
    <t>Collections Intern (Oklahoma City) - Fall 2024</t>
  </si>
  <si>
    <t>Museum of the Bible</t>
  </si>
  <si>
    <t>1. Undergraduate or graduate student majoring in Museum Studies, History, or related field
2. Must currently be enrolled in or a recent graduate from a college or university
3. Must be highly sensitive to the necessity of confidentiality
...</t>
  </si>
  <si>
    <t>Designer In Training Salon - Northtown Mall</t>
  </si>
  <si>
    <t>Designer In Training Salon - Coral Ridge Mall</t>
  </si>
  <si>
    <t>Designer In Training Salon - South County Ctr</t>
  </si>
  <si>
    <t>Designer In Training Salon - Coastland S/C</t>
  </si>
  <si>
    <t>Designer In Training Salon - Victoria Mall</t>
  </si>
  <si>
    <t>Art Therapy Fellow</t>
  </si>
  <si>
    <t>UCSF Health</t>
  </si>
  <si>
    <t>1. Master’s degree in Art Therapy or related field – completed or actively working toward completion
2. Art therapy candidate working towards Art Therapy registration with the American Art Therapy Association
3. Experience working with children in individual and group-based interventions (2 years)
...</t>
  </si>
  <si>
    <t>Internship - Copy Editor (The Chautauquan Daily)/Seasonal Employment</t>
  </si>
  <si>
    <t>$3250-$3250 stipend</t>
  </si>
  <si>
    <t>1. Edit the work of staff writers for accuracy and clarity, grammar, spelling and AP style.
2. Edit and write suggested headlines.
3. Flow formatted copy into InDesign.
...</t>
  </si>
  <si>
    <t>Internship - Reporter (The Chautauquan Daily)/Seasonal Employment</t>
  </si>
  <si>
    <t>1. Ability to provide beat coverage within a daily newsroom
2. Timely submission of well-written newspaper articles
3. Availability to work an average of 35 hours/week, six days a week
...</t>
  </si>
  <si>
    <t>Designer In Training Salon - Tacoma Mall</t>
  </si>
  <si>
    <t>Curator</t>
  </si>
  <si>
    <t>Randolph-Macon College</t>
  </si>
  <si>
    <t>1. MA in art history, curatorial studies, or museum studies with demonstrated experience in collections' handling, preservation, and management</t>
  </si>
  <si>
    <t>GRAY TELEVISION FUTURE FOCUS INTERN FALL '24 - KMOV</t>
  </si>
  <si>
    <t>1. Be currently enrolled in a college/university (preferred Junior/Senior)
2. Strong work ethic, and organizational skills
3. Earning a degree in Journalism/Communications, News, Sales, Marketing, Engineering, or related fields, with a desire to get hands-on experience in the broadcasting &amp; digital field. We give preference to Juniors or Seniors who have taken some related coursework.</t>
  </si>
  <si>
    <t>Color Apprentice - Bumble and bumble - 40 Hrs - 146 E 56th Street - New York, NY</t>
  </si>
  <si>
    <t>1. Experience in beauty industry preferred
2. Must obtain a current cosmetology license issued by the state of NY
3. Interest in social media and digital content creation
...</t>
  </si>
  <si>
    <t>GRAY TELEVISION FUTURE FOCUS INTERN FALL '24 - WVUE</t>
  </si>
  <si>
    <t>1. Be currently enrolled in a college/university (preferred Junior/Senior)
2. Strong work ethic, and organizational skills
3. Earning a degree in Journalism/Communications, Sales, Marketing, Engineering, Sports, News, or related fields, with a desire to get hands-on experience in the local media industry</t>
  </si>
  <si>
    <t>GRAY TELEVISION FUTURE FOCUS INTERN FALL '24 - WIBW</t>
  </si>
  <si>
    <t>1. Be currently enrolled in a college/university (preferred Junior/Senior)
2. Strong work ethic, and organizational skills
3. Earning a degree in Journalism/Communications, News, Sales, Marketing, Engineering or related fields, with a desire to get hands-on experience in the local media industry</t>
  </si>
  <si>
    <t>1. Proficiency in writing and grammar
2. Strong written communication skills
3. Ability to evaluate writing in a variety of formats
...</t>
  </si>
  <si>
    <t>GRAY TELEVISION FUTURE FOCUS INTERN FALL '24 - WKYT</t>
  </si>
  <si>
    <t>Collections Intern (Washington, DC) - Fall 2024 Semester</t>
  </si>
  <si>
    <t>1. Must currently be enrolled in or a recent graduate from a college or university
2. Must be highly sensitive to the necessity of confidentiality
3. Must be extremely detail-oriented
...</t>
  </si>
  <si>
    <t>Stage - Editeur F/H Semaine Juridique Générale</t>
  </si>
  <si>
    <t>1. Bac + 4 / M2 en Droit
2. Curiosité et goût pour l'actualité juridique
3. Excellent niveau d’orthographe requis
...</t>
  </si>
  <si>
    <t>GRAY TELEVISION FUTURE FOCUS INTERN FALL/WINTER '24 - KOLN</t>
  </si>
  <si>
    <t>Fall Writing Intern, The Transmitter</t>
  </si>
  <si>
    <t>915 Broadway, New York, NY</t>
  </si>
  <si>
    <t>1. Bachelor’s degree
2. A background or strong interest in neuroscience, genetics, cognition and behavior</t>
  </si>
  <si>
    <t>Student Employee - Staff Writer for The Lookout</t>
  </si>
  <si>
    <t>Lansing Community College</t>
  </si>
  <si>
    <t>1. Enrolled and actively attending the following total LCC credit hours by semester
2. Fall and/or Spring Semester(s) = 6.0 credits minimum (taken over 16-week period)
3. Summer Semester = 3.0 credits minimum (taken over 8-week period)
...</t>
  </si>
  <si>
    <t>Designer In Training Salon - Francis Scott Key Ml</t>
  </si>
  <si>
    <t>Designer In Training Salon - Village Lakes</t>
  </si>
  <si>
    <t>White Lake, MI</t>
  </si>
  <si>
    <t>Designer In Training Salon - Mall Of Georgia</t>
  </si>
  <si>
    <t>Designer In Training Salon - Logan Valley Mall</t>
  </si>
  <si>
    <t>Designer In Training Salon - Woodfield Mall</t>
  </si>
  <si>
    <t>Designer In Training Salon - Southprk Meadows S/C</t>
  </si>
  <si>
    <t>Designer In Training Salon - Ridgedale Shopg Cntr</t>
  </si>
  <si>
    <t>Designer In Training Salon - Crossroads Ctr</t>
  </si>
  <si>
    <t>Women’s Fit Models – Denim (26 or 27)</t>
  </si>
  <si>
    <t>1. No experience is needed.
2. Regularly required to sit and stand; use hands to finger, handle, or feel and talk or hear.
3. Occasionally required to walk; reach with hands and arms and stoop, kneel, crouch, or crawl.
...</t>
  </si>
  <si>
    <t>Multimedia Internship (Summer 2024)</t>
  </si>
  <si>
    <t>Stone Watson</t>
  </si>
  <si>
    <t>Barrington, IL</t>
  </si>
  <si>
    <t>1. Willingness to work at the location that best suits our project requirements
2. In-Office in Barrington, IL. (5-minute walk from Metra station)
3. Demonstrate a solid understanding of editing principles and apply them effectively
...</t>
  </si>
  <si>
    <t>AI Content Editor (Tier 1)</t>
  </si>
  <si>
    <t>Outlier</t>
  </si>
  <si>
    <t>1. Currently enrolled in or completed an Associates’ degree or higher from an accredited institution
2. A strong sense of writing style paired with exceptional English-language spelling and grammar
3. A critical eye and the ability to clearly explain the strengths and weaknesses of a given piece of text
...</t>
  </si>
  <si>
    <t>Fall Writing Intern, Quanta Magazine</t>
  </si>
  <si>
    <t>1. Bachelor’s degree
2. A background or strong interest in reporting and writing about physics, mathematics, biology or computer science</t>
  </si>
  <si>
    <t>GRAY TELEVISION FUTURE FOCUS INTERN FALL '24/ SPRING '25 - KWTX</t>
  </si>
  <si>
    <t>GRAY TELEVISION FUTURE FOCUS INTERN SUMMER '24 - KOSA</t>
  </si>
  <si>
    <t>Internship: Curatorial</t>
  </si>
  <si>
    <t>1. Interest in contemporary art and a passion for learning about how museums work
2. Interest in exploring a potential career in the cultural sector
3. Availability to work up to 24 hours per week onsite for the entirety of the internship period
...</t>
  </si>
  <si>
    <t>Videographer &amp; Social Media Intern</t>
  </si>
  <si>
    <t>Idea Peddler</t>
  </si>
  <si>
    <t>1. Experience creating content for brands.
2. Someone who understands the social media landscape and stays current on the industry’s leading trends and best practices.
3. Proficient in Adobe Premiere or Final Cut.
...</t>
  </si>
  <si>
    <t>Odor Panelists-Santa Maria CA</t>
  </si>
  <si>
    <t>Essel Environmental</t>
  </si>
  <si>
    <t>$200-$200 /h</t>
  </si>
  <si>
    <t>1. Must able able to understand English and follow directions
2. Ability give verbal feedback
3. A good attitude</t>
  </si>
  <si>
    <t>GRAY TELEVISION FUTURE FOCUS INTERN FALL '24 - KSLA</t>
  </si>
  <si>
    <t>Ice Cream Maker and Customer Service Internship in an Ice Cream Shop in Benalmadena (Málaga)</t>
  </si>
  <si>
    <t>1. Spanish or English
2. Duration from May until September
3. Gastronomy studies or bakery
...</t>
  </si>
  <si>
    <t>Trade Show Booth Representative</t>
  </si>
  <si>
    <t>1. Professional dress and appearance
2. Positive attitude</t>
  </si>
  <si>
    <t>Animation/ Reception/ Bar and Restaurant/ Culinary Internships in a 4* Hotel in Costa del Sol, Spain</t>
  </si>
  <si>
    <t>1. Minimum 6 months
2. English, Spanish and French/German intermediate</t>
  </si>
  <si>
    <t>GRAY TELEVISION FUTURE FOCUS INTERN SUMMER '24 - WBTV</t>
  </si>
  <si>
    <t>Graduate Assistant - Media Services</t>
  </si>
  <si>
    <t>1. Bachelor's degree
2. Enrollment in an SEU Master's Program at time of position
3. Excellent customer service skills</t>
  </si>
  <si>
    <t>GRAY TELEVISION FUTURE FOCUS INTERN SUMMER '24 - KAIT</t>
  </si>
  <si>
    <t>1. Be currently enrolled in a college/university (preferred Junior/Senior)
2. Strong work ethic, and organizational skills
3. Earning a degree in Journalism/Communications, Marketing, Engineering, News, Sports, or related fields, with a desire to get hands-on experience in the local media industry</t>
  </si>
  <si>
    <t>Work-Study Theatrical Production Assistant</t>
  </si>
  <si>
    <t>$9-$15 /h</t>
  </si>
  <si>
    <t>1. Applicants demonstrate the potential ability to perform the essential functions of the job as outlined in the position description.</t>
  </si>
  <si>
    <t>FY25 - Graduate Intern - Sports Information Video</t>
  </si>
  <si>
    <t>Friends University</t>
  </si>
  <si>
    <t>Art, E-Learning</t>
  </si>
  <si>
    <t>$400-$400 /mon</t>
  </si>
  <si>
    <t>1. Bachelor's Degree from an accredited college or university
2. Admissions to and continued enrollment in Friends University Master of Education, Business Administration or Strategic Leadership program
3. Must be willing to work flexible hours, including nights and weekends
...</t>
  </si>
  <si>
    <t>Photography Model</t>
  </si>
  <si>
    <t>Oakton Community College</t>
  </si>
  <si>
    <t>Des Plaines, IL</t>
  </si>
  <si>
    <t>1. Must be at least 18 years of age
2. Comfortable posing in front of a class
3. Able to take direction from the instructor
...</t>
  </si>
  <si>
    <t>Science Editing Intern, Publishing</t>
  </si>
  <si>
    <t>Arcadia Science</t>
  </si>
  <si>
    <t>Berkeley, California</t>
  </si>
  <si>
    <t>1. Enough scientific experience to understand research covering a broad range of topics and scientific fields
2. PhD in the life sciences preferred
3. Keen eye for detail
...</t>
  </si>
  <si>
    <t>NEWS FELLOWSHIP/INTERNSHIP - KSWO</t>
  </si>
  <si>
    <t>1. Applicants must have proven writing skills and experience pitching stories
2. Must be a college student pursuing a career in television, or digital journalism
3. Experience creating video productions
...</t>
  </si>
  <si>
    <t>Photography &amp; Videography Intern</t>
  </si>
  <si>
    <t>Cardinal Home Center</t>
  </si>
  <si>
    <t>Building Material, Hardware</t>
  </si>
  <si>
    <t>1. Currently enrolled in a university or college program
2. Strong writing and communication skills
3. Ability to prioritize and multi-task in a fast-paced environment
...</t>
  </si>
  <si>
    <t>GRAY TELEVISION FUTURE FOCUS INTERN Fall '24 - KFVS</t>
  </si>
  <si>
    <t>GRAY TELEVISION FUTURE FOCUS INTERN FALL '24 - WLBT</t>
  </si>
  <si>
    <t>1. Be currently enrolled in a college/university (preferred Junior/Senior)
2. Strong work ethic, and organizational skills
3. Earning a degree in Journalism/Communications, Sales, Marketing, Engineering, News, Sports or related fields, with a desire to get hands-on experience in the local media industry</t>
  </si>
  <si>
    <t>GRAY TELEVISION FUTURE FOCUS INTERN FALL '24 - KSWO</t>
  </si>
  <si>
    <t>Beauty Intern</t>
  </si>
  <si>
    <t>Bustle Digital Group</t>
  </si>
  <si>
    <t>1. Passion for beauty and the beauty industry
2. Strong organizational skills in a deadline-driven environment
3. An understanding of and enthusiasm for BDG’s mission and individual brands
...</t>
  </si>
  <si>
    <t>Summer News Intern</t>
  </si>
  <si>
    <t>1. Enrolled in college or recent college graduate
2. Completed at least one previous internship in a media market or comparable work for a college news outlet
3. Own transportation and valid driver's license
...</t>
  </si>
  <si>
    <t>Mattoon, IL</t>
  </si>
  <si>
    <t>1. Student journalist
2. Inquisitive self-starters
3. Capable of producing compelling content for digital and print platforms
...</t>
  </si>
  <si>
    <t>GRAY TELEVISION FUTURE FOCUS INTERN FALL '24 - WXIX</t>
  </si>
  <si>
    <t>GRAY TELEVISION FUTURE FOCUS INTERN FALL '24 - WDAM</t>
  </si>
  <si>
    <t>Moselle, MS</t>
  </si>
  <si>
    <t>Print Shop Assistant</t>
  </si>
  <si>
    <t>1. 1+ years experience in printing or related field
2. Attention to Detail
3. High School diploma or GED
...</t>
  </si>
  <si>
    <t>GRAY TELEVISION FUTURE FOCUS INTERN FALL '24 - WCAX</t>
  </si>
  <si>
    <t>GRAY TELEVISION FUTURE FOCUS INTERN FALL '24 - KSNB/KOLN</t>
  </si>
  <si>
    <t>Hastings, NE</t>
  </si>
  <si>
    <t>Shanghai</t>
  </si>
  <si>
    <t>1. A recent graduate or currently enrolled in a college or university.
2. High proficiency in spoken and written English as well as a native speaker in Mandarin.
3. A team player but able to work independently.
...</t>
  </si>
  <si>
    <t>Alternance - Créateur de Contenu / Host</t>
  </si>
  <si>
    <t>Tonsser</t>
  </si>
  <si>
    <t>Apps, Mobile</t>
  </si>
  <si>
    <t>1. Issu(e) d'une formation supérieur, avec assez d'expérience en création de contenu
2. Maitrise parfaite de la langue française à l'oral
3. Être à l'aise devant des camèras et savoir animer la scène
...</t>
  </si>
  <si>
    <t>Student Worker - Copy Editor, The Nevada Sagebrush</t>
  </si>
  <si>
    <t>$11.25-$11.25 /h</t>
  </si>
  <si>
    <t>1. Candidate must be enrolled at the University of Nevada, Reno
2. Candidate must be a student of the University of Nevada, Reno.
3. Candidate must maintain a 2.75 GPA and be enrolled in at least 15 credits
...</t>
  </si>
  <si>
    <t>Student Worker - Multimedia Editor, The Nevada Sagebrush</t>
  </si>
  <si>
    <t>$11.25 /h</t>
  </si>
  <si>
    <t>1. Candidate must be enrolled at the University of Nevada, Reno
2. Candidate must maintain a 2.00 GPA and be enrolled in at least 15 credits
3. Candidate must have experience with the Adobe Creative Cloud, especially Audition and Premiere
...</t>
  </si>
  <si>
    <t>Student Worker - Assistant News Editor, The Nevada Sagebrush</t>
  </si>
  <si>
    <t>1. Candidate must be enrolled at the University of Nevada, Reno
2. Candidate must maintain a 2.00 GPA and be enrolled in at least 15 credits
3. Candidate must have strong leadership and good news-judgment
...</t>
  </si>
  <si>
    <t>Student Worker - News Editor, The Nevada Sagebrush</t>
  </si>
  <si>
    <t>1. Candidate must be a student of the University of Nevada, Reno.
2. Candidate must maintain a 2.00 GPA and be enrolled in at least 15 credits
3. Candidate must have strong leadership and good news-judgment,
...</t>
  </si>
  <si>
    <t>Student Worker - Spanish Language Editor, The Nevada Sagebrush</t>
  </si>
  <si>
    <t>1. Candidate must be enrolled at the University of Nevada, Reno
2. Candidate must maintain a 2.00 GPA and be enrolled in at least 15 credits
3. Candidate must be fluently bilingual and have a strong command of Spanish grammar and language
...</t>
  </si>
  <si>
    <t>Student Worker - Sports Editor, The Nevada Sagebrush</t>
  </si>
  <si>
    <t>1. Candidate must be enrolled at the University of Nevada, Reno
2. Candidate must maintain a 2.75 GPA and be enrolled in at least 15 credits
3. Candidate must have strong leadership and good news-judgment
...</t>
  </si>
  <si>
    <t>Financial Aid Services Student Worker --DHSI Grant-Funded</t>
  </si>
  <si>
    <t>Educational Administration</t>
  </si>
  <si>
    <t>1. Excellent customer service skills
2. Strong communication skills
3. Critical thinking skills
...</t>
  </si>
  <si>
    <t>College of Business &amp; Health Administration (COBHA) Student Worker</t>
  </si>
  <si>
    <t>1. Greet guests as they enter the COBHA suite; (Communication, Professionalism)
2. Retention efforts by contacting stop-outs, returning students, non-registered students to improvement enrollment; (Communication, Critical Thinking, Technology)
3. Create marketing materials to promote COBHA programs (e.g. posters, flyers, campus magazine); (Technology, Critical Thinking, Communication)
...</t>
  </si>
  <si>
    <t>Business Administration Apprentice</t>
  </si>
  <si>
    <t>Brown &amp; Co</t>
  </si>
  <si>
    <t>Norwich, OH</t>
  </si>
  <si>
    <t>1. Maths and English GCSE minimum grade 4 (or predicted grades then later verified)
2. Some basic knowledge in IT
3. Good communication skills
...</t>
  </si>
  <si>
    <t>Graduate Assistant-4</t>
  </si>
  <si>
    <t>Academic Teaching</t>
  </si>
  <si>
    <t>1. Current enrollment as a graduate student in the UAMS Graduate School.</t>
  </si>
  <si>
    <t>Multimedia Content Student Assistant (Student)</t>
  </si>
  <si>
    <t>1. Enrolled AU student.
2. Must be able to work 15-20 hours a week.
3. Exceptional written, verbal, and interpersonal communication skills.
...</t>
  </si>
  <si>
    <t>Office Assistant - Student Organizations</t>
  </si>
  <si>
    <t>The University of Texas at Arlington</t>
  </si>
  <si>
    <t>1. Must be available to work up to 19 hours per week during regular business hours of Monday through Friday from 8:00am to 5:00pm.
2. Evening and Weekend hours may be assigned for events and meetings.
3. Must have knowledge and experience of campus life/involvement.</t>
  </si>
  <si>
    <t>Student Hourly - School of Engineering Undergraduate Teaching Fellow</t>
  </si>
  <si>
    <t>1. Must have taken specified course or an equivalent class and earned at least a ‘B’ in the course.
2. Strong communication and interpersonal skills, as evidenced in application materials.
3. Must be physically present in the class (approximately 3 hours/week for a 3 credit course) and 2.5 hours/week outside of the class.
...</t>
  </si>
  <si>
    <t>Class Assistant (Grader)</t>
  </si>
  <si>
    <t>1. During the semester term of the appointment, the student hourly must be enrolled in no fewer than 6 credit hours. For summer periods the student hourly must: have been enrolled in no less than 6 hours in the past spring semester or be pre-enrolled in the upcoming fall semester in no less than 6 hours or be enrolled in summer session or be admitted to study in the upcoming fall semester. Student Hourlies may be for undergraduate or graduate students. (Exceptions granted for GRA/GTA/GA appointments DO NOT apply to Student Hourly appointments.)
2. Must be a current Mechanical Engineering student at KU.
3. Must have completed the course for which you are applying and received an A or B in the course.</t>
  </si>
  <si>
    <t>2025 Leadership Development Program - Technology and Innovation Track (Full-Time LDP Intern Conversion)</t>
  </si>
  <si>
    <t>Corporate Training and Development</t>
  </si>
  <si>
    <t>1. Bachelor’s Degree or Master’s Degree required, 3.0+ GPA preferred
2. Must be a 2024 Truist Intern
3. Excellent interpersonal and communication skills
...</t>
  </si>
  <si>
    <t>Post-Graduate Athletic Intern, Strength &amp; Conditioning</t>
  </si>
  <si>
    <t>International Center for Food Industry Excellence</t>
  </si>
  <si>
    <t>Food and Beverage, Information Technology</t>
  </si>
  <si>
    <t>$15.80 /h</t>
  </si>
  <si>
    <t>1. Bachelor's degree from an accredited university
2. Previous experience with collegiate or professional athletics</t>
  </si>
  <si>
    <t>Data Science training &amp; Internship</t>
  </si>
  <si>
    <t>Work Study Student - Career &amp; Professional Development - Career Ambassador (Fall 2024)</t>
  </si>
  <si>
    <t>1. Must be enrolled in six or more undergraduate credit hours at Georgia Southern University.
2. Must be Federal Work eligible.
3. Consistently exhibit engaging customer service.
...</t>
  </si>
  <si>
    <t>Graduate Administrative Assistant, M Davies College of Business</t>
  </si>
  <si>
    <t>1. Must be a Marilyn Davies College of Business graduate student
2. Must be admitted to the COB MBA or MPAC program and have completed at least six semester hours with a minimum GPA of 3.00
3. Must have at least 18 hours of coursework remaining before their planned graduation
...</t>
  </si>
  <si>
    <t>Student Support Assistant - ASL Interpreter</t>
  </si>
  <si>
    <t>Lansing School District</t>
  </si>
  <si>
    <t>1. Associate's Degree, 60 completed college credits or Proof of passing the ETS Paraprofessional Exam
2. Successful completed the EIPA (Educational Interpreter Performance Assessment)
3. Valid Michigan interpreter certification card
...</t>
  </si>
  <si>
    <t>Zero-Cost Tech Fundamental Program - Opportunity to earn industry-recognized certifications</t>
  </si>
  <si>
    <t>Florissant, MO</t>
  </si>
  <si>
    <t>1. Participation in a FREE training program with virtual instruction
2. Up to 20 weeks of instructor-led virtual training
3. Opportunity for a paid internship or a project-based learning experience
...</t>
  </si>
  <si>
    <t>No-cost Tech Fundamentals Program - Get exposure to leading technologies (St. Louis, MO) -'-</t>
  </si>
  <si>
    <t>1. 18-26 years of age
2. High school diploma or equivalent
3. Legally authorized to work in the US
...</t>
  </si>
  <si>
    <t>Student Coach Success</t>
  </si>
  <si>
    <t>1. Working on bachelor’s degree in Advertising, Marketing, Sales, Business
2. Have a GED or high school diploma, some college experience, or college degree
3. Agree to and complete a background check</t>
  </si>
  <si>
    <t>1. Excellent customer service skills
2. Strong organizational skills
3. Ability to perform basic and routine administrative duties
...</t>
  </si>
  <si>
    <t>Gersh 2024 Fall Extern - REMOTE (Sophomores/Juniors/Seniors)</t>
  </si>
  <si>
    <t>The Gersh Agency</t>
  </si>
  <si>
    <t>Digital Marketing, Film Production</t>
  </si>
  <si>
    <t>1. Must be a Sophomore, Junior, or Senior in college with a keen interest in pursuing a career in entertainment and becoming an agent.
2. Have a love for the industry: entertainment, film, television, branding and social media.
3. Enjoy interacting, networking, and learning.
...</t>
  </si>
  <si>
    <t>WORKFORCE DEVELOPMENT SUMMER INITIATIVE PROGRAMS</t>
  </si>
  <si>
    <t>1. Ability to anticipate and skilled in multi-tasking at a high level
2. Effective communication skills
3. High attention for detail and great organizational skills
...</t>
  </si>
  <si>
    <t>Interventional Nephrology Fellow</t>
  </si>
  <si>
    <t>1. MD or equivalent
2. 2 years of general nephrology fellowship completed before the start of the Interventional Nephrology fellowship required
3. Must be able to obtain Wisconsin Medical License by start date
...</t>
  </si>
  <si>
    <t>Training Intern</t>
  </si>
  <si>
    <t>Spectrum News Fellowship Program - Columbus</t>
  </si>
  <si>
    <t>Spectrum News</t>
  </si>
  <si>
    <t>1. Be in pursuit of a Bachelor or Graduate degree
2. Current class standing of Senior or Graduate Student Students must be 18 years of age or older
3. Must have a valid driver’s license for authorized driving in the state of residence
...</t>
  </si>
  <si>
    <t>International Program Specialist Recent Graduate</t>
  </si>
  <si>
    <t>U.S.- India CEO Forum</t>
  </si>
  <si>
    <t>1. Students with a transcript with a degree confer date on or before the closing date of this announcement will be considered for the Recent Graduate Program.
2. Graduation / expect graduation date MUST be indicated on your resume.
3. Applicants must possess one year of specialized experience equivalent in difficulty and responsibility to the next lower grade level in the Federal Service.
...</t>
  </si>
  <si>
    <t>Intern Digital Wealth</t>
  </si>
  <si>
    <t>Community Aide (Explorer Apprenticeship) NCS - Baltimore City Fire Department</t>
  </si>
  <si>
    <t>1. 16-18 Years of Age
2. Be a Baltimore City Resident
3. No prior criminal history
...</t>
  </si>
  <si>
    <t>Fall Undergraduate Intern</t>
  </si>
  <si>
    <t>1. Currently enrolled in an accredited undergraduate program
2. Strong writing skills and attention to detail
3. Professional fluency in written and spoken Spanish required
...</t>
  </si>
  <si>
    <t>2025 Credit Summer Internship (LDP Intern Conversion)</t>
  </si>
  <si>
    <t>1. Must be a 2024 Truist LDP Intern
2. Working towards a Bachelor’s Degree or Master’s Degree (business-related concentrations, along with accounting and/or finance coursework are desired). 3.0 + GPA preferred
3. Excellent interpersonal and communication skills
...</t>
  </si>
  <si>
    <t>Unlock your Future - FREE Tech Fundamentals Program</t>
  </si>
  <si>
    <t>Non Duke Student/ Intern, Goodson Law Library</t>
  </si>
  <si>
    <t>1. Current enrollment in a library or information science graduate studies program</t>
  </si>
  <si>
    <t>Summer PEAK Program Assistant</t>
  </si>
  <si>
    <t>Heathwood Hall Episcopal School</t>
  </si>
  <si>
    <t>1. High School Diploma or equivalent
2. Flexible work hours and commitment to work as needed and determined by the PEAK Program Director
3. Ability to provide support to the PEAK program initiatives</t>
  </si>
  <si>
    <t>2024 Petrie 12-Month Internship - Learning &amp; Engagement, Teen Programs</t>
  </si>
  <si>
    <t>1. Recent graduates of bachelor’s or master’s degree programs.
2. Availability to work evenings, if needed.
3. A résumé/curriculum vitae in PDF format.
...</t>
  </si>
  <si>
    <t>Research Associate (Postdoctoral Scholar) in Wealth Inequality - Stone Center on Socio-Economic Inequality</t>
  </si>
  <si>
    <t>1. Doctoral Degree in a related field and demonstrated research ability.</t>
  </si>
  <si>
    <t>Research Associate (Postdoctoral Scholar) in Economic Inequality - Stone Center on Socio-Economic Inequality</t>
  </si>
  <si>
    <t>1. Doctoral Degree in a related field and demonstrated research ability.
2. Applicants must have completed their Ph.D. no more than seven years prior to the application date.
3. Applicants must demonstrate that their Ph.D. degree will be completed by August 2025.</t>
  </si>
  <si>
    <t>Child Care Assistant (Developmental) Int 5833</t>
  </si>
  <si>
    <t>1. High school diploma or GED certificate and must be at least 18 years of age
2. Must be able to read, write and speak in English
3. Ability to promote and foster effective working relationships with children, youth, and coworkers
...</t>
  </si>
  <si>
    <t>Program Coordinator - Internships</t>
  </si>
  <si>
    <t>Partners for Youth with Disabilities</t>
  </si>
  <si>
    <t>$46000-$51000 /yr</t>
  </si>
  <si>
    <t>1. Legally authorized to work in the U.S
2. Able to independently travel across Massachusetts
3. Available for occasional evening and weekend programming
...</t>
  </si>
  <si>
    <t>Graduate Assistant for Global Engagement (Alternative Breaks) (Student)</t>
  </si>
  <si>
    <t>1. Enrolled American University student
2. Effective leadership training and support are vital for the success of Alternative Break programs.
3. Meticulous attention to detail and proficiency in various systems and tools for managing program logistics and finances.
...</t>
  </si>
  <si>
    <t>Undergraduate Student Grader – WebCampus</t>
  </si>
  <si>
    <t>1. Registered and enrolled in a Bachelor's degree.
2. Good academic record with a minimum GPA of 3.0.
3. Sound leadership skills.
...</t>
  </si>
  <si>
    <t>WAU Student - Office Assistant, Department of Religion - Fall 2024</t>
  </si>
  <si>
    <t>Washington Adventist University</t>
  </si>
  <si>
    <t>Takoma Park, MD</t>
  </si>
  <si>
    <t>1. Must be a currently enrolled WAU student
2. Office Experience – General, Scheduling, Telephone Skills, Typing, Documentation Skills, Meeting/ Event Planning, Verbal Communication/ Charisma, Written Communication, Dependability, Attention to Detail/ Organization, Administrative Writing Skills</t>
  </si>
  <si>
    <t>CLASSROOM ASSISTANT, K-12/EXCEPTIONAL STUDENT EDUCATION (ESE)</t>
  </si>
  <si>
    <t>Broward County Public Schools</t>
  </si>
  <si>
    <t>$15-$18.82 /h</t>
  </si>
  <si>
    <t>1. An earned associates degree from an accredited institution OR at least 60 semester hours of earned college credit from an accredited institution.
2. Standard high school diploma or satisfactory completion of an approved General Educational Development (GED) Testing Program.
3. The ability to interact and communicate effectively with children.
...</t>
  </si>
  <si>
    <t>HB8 International Campus Employment-Student Assistant Career &amp; Transfer RLC</t>
  </si>
  <si>
    <t>Dallas College</t>
  </si>
  <si>
    <t>Higher Education, Training</t>
  </si>
  <si>
    <t>1. Must meet the Satisfactory Academic Progress standards set by Dallas College.
2. Must be enrolled and certified in at least a one-credit hour course.
3. Must be a U.S. citizen or eligible noncitizen.
...</t>
  </si>
  <si>
    <t>2024-2025 Campus Internship - Leadership Development Program (MBA)</t>
  </si>
  <si>
    <t>1. Desire to lead a large international business or achieve a senior level finance position in a Fortune 100 firm
2. 5 to 7 Years of relevant work experience prior to business school, preferably at a 'blue chip' operating company
3. Strong critical thinking skills, demonstrating commercial and financial acumen
...</t>
  </si>
  <si>
    <t>Co-op, In-Flight Services, Digital Technology and Strategy (Fall 2024)</t>
  </si>
  <si>
    <t>1. Embraces diverse people, thinking, and styles.
2. Consistently prioritizes safety and security of self, others, and personal data.
3. The candidate must possess Delta's core values of honesty, integrity, respect, perseverance, and servant leadership.
...</t>
  </si>
  <si>
    <t>Intern - CSU Mexico</t>
  </si>
  <si>
    <t>1. Soon to be or recent graduate with a bachelor or masters in Business, Finance, Economics or related specialty.
2. Fully bilingual English &amp; Spanish.</t>
  </si>
  <si>
    <t>Student Worker - Library - General Clerical-Customer Service</t>
  </si>
  <si>
    <t>1. Must be enrolled in at least 6 credit hours in the fall and spring, and 3 credit hours in the summer. To continue employment during the summer session, you must be enrolled in the interim or summer 1 session
2. Must maintain at least a 2.0 cumulative grade point average (GPA), including developmental courses
3. English proficiency
...</t>
  </si>
  <si>
    <t>STUDENT ASSISTANT</t>
  </si>
  <si>
    <t>Employment Development Department</t>
  </si>
  <si>
    <t>Sacramento County, CA</t>
  </si>
  <si>
    <t>1. Must be between the ages of 15-25.
2. Currently enrolled and registered in an accredited college or university.
3. Ability to read and write at a level necessary to document activities.
...</t>
  </si>
  <si>
    <t>Financial Student Aid Counselor</t>
  </si>
  <si>
    <t>1. High School Diploma
2. Two years of relevant experience.</t>
  </si>
  <si>
    <t>1. Must be U.S. citizens
2. Enrolled at least part-time in an accredited institution of higher education pursuing a degree (minimum of 60 credit hours) in Business, Economics and Finance
3. Previous experience in investment banking, private equity, accounting, or finance with exposure in financial modeling, research and communication skills
...</t>
  </si>
  <si>
    <t>IE Graduate Research Assistant - Fall 2024 -IEU</t>
  </si>
  <si>
    <t>1. Pursuing a Master’s degree or PhD at Georgia Tech
2. Must be enrolled full-time (12+ credit hours)
3. Must have a 3.0 or higher cumulative GPA
...</t>
  </si>
  <si>
    <t>Student Employee-Management, Marketing &amp; Information Systems-Assistant</t>
  </si>
  <si>
    <t>1. To provide assistance to the chair, faculty, and staff in the Management, Marketing, and Information Systems Department.</t>
  </si>
  <si>
    <t>Graduate Assistant-2</t>
  </si>
  <si>
    <t>Learning &amp; Development Specialist (Temporary)</t>
  </si>
  <si>
    <t>Charleston County Government</t>
  </si>
  <si>
    <t>$27.17-$28.83 /h</t>
  </si>
  <si>
    <t>1. Bachelor's Degree in Human Resources, Training and Development, Education or experience in a related field preferred.
2. Able to effectively present information and respond to questions from groups of directors, staff, colleagues, elected officials and the general public.
3. All employees of Charleston County must reside in South Carolina.
...</t>
  </si>
  <si>
    <t>Internship: Youth Hockey Development (Seasonal 2024-25)</t>
  </si>
  <si>
    <t>1. Previous ice hockey playing experience and ice hockey skating proficiency required.
2. Ability to learn quickly and motivation to self-teach.
3. Effective written and verbal communication skills.
...</t>
  </si>
  <si>
    <t>Toddler Development Assistant</t>
  </si>
  <si>
    <t>Castle Montessori</t>
  </si>
  <si>
    <t>Flower Mound, TX</t>
  </si>
  <si>
    <t>1. Availability Monday through Friday from 8:30am - 6:00pm with a 1.5-hour lunch break</t>
  </si>
  <si>
    <t>Montessori Classroom Assistant</t>
  </si>
  <si>
    <t>Montessori Primary Classroom Assistant</t>
  </si>
  <si>
    <t>1. Caring for children within the 3-6 age group
2. Assisting the lead teacher with daily curriculum schedules
3. Supervising outdoor play activities
...</t>
  </si>
  <si>
    <t>No Cost Tech Fundamentals Program - Earn industry-recognized certifications</t>
  </si>
  <si>
    <t>HB8 International Campus Employment-Student Assistant Career &amp; Transfer NLC-1</t>
  </si>
  <si>
    <t>Zero-Cost Tech Fundamentals Program - Earn industry-recognized certifications (St. Louis, MO)</t>
  </si>
  <si>
    <t>FREE Tech Fundamentals Program - Get exposure to leading technologies (St. Louis, MO) -'-</t>
  </si>
  <si>
    <t>No-Cost Tech Fundamental Program - Earn industry-recognized certifications (St. Louis, MO) -'-</t>
  </si>
  <si>
    <t>Applied Behavior Analysis Intern</t>
  </si>
  <si>
    <t>Elwyn New Jersey</t>
  </si>
  <si>
    <t>Elwyn, PA</t>
  </si>
  <si>
    <t>1. Have a certification as a BCaBA.
2. Have a certification as an RBT.
3. Have a certification as a BCAT.
...</t>
  </si>
  <si>
    <t>Pediatric Psychologist-Consultation-Liaison Service</t>
  </si>
  <si>
    <t>1. PhD or PsyD in a psychology training program
2. Completed an APA-approved internship specializing in clinical child or pediatric psychology
3. At least one training program must have been APA-approved
...</t>
  </si>
  <si>
    <t>California Department of State Hospitals</t>
  </si>
  <si>
    <t>San Luis Obispo County, CA</t>
  </si>
  <si>
    <t>1. Proof of application for, or enrollment as a student in, an appropriate college or university program.
2. Proof of current enrollment in a Nutrition or Food Service Management Program at a college or university with an accredited Dietetic Program.</t>
  </si>
  <si>
    <t>1. Must be enrolled in a Bachelor's degree program currently
2. Expected graduation date between December 2025-August 2026</t>
  </si>
  <si>
    <t>Spectrum News Fellowship Program - Louisville</t>
  </si>
  <si>
    <t>Student Records Coordinator</t>
  </si>
  <si>
    <t>1. A high school diploma or equivalent required.
2. Two years of administrative support or other relevant experience required.
3. One year of data-entry or other relevant experience required.
...</t>
  </si>
  <si>
    <t>Spectrum News Fellowship Program - Raleigh</t>
  </si>
  <si>
    <t>2025 Leadership Development Program - Credit Track (Full-Time LDP Intern Conversion)</t>
  </si>
  <si>
    <t>1. Must be a 2024 Truist LDP Intern
2. Bachelor’s Degree or Master’s Degree required, 3.0+ GPA preferred
3. Excellent interpersonal and communication skills
...</t>
  </si>
  <si>
    <t>General School Assistant 2024-25 - Stevenson Elementary</t>
  </si>
  <si>
    <t>$26.19-$29.81 /h</t>
  </si>
  <si>
    <t>1. High school graduation or equivalent
2. ETS Paraeducator Assessment, or
3. Have an Associate of Arts degree (original transcripts), or
...</t>
  </si>
  <si>
    <t>Fall 2024 Economic Empowerment Intern</t>
  </si>
  <si>
    <t>1. Working towards undergraduate, graduate degree, or pursuing career transition
2. Knowledge of Microsoft Office Suite (word, excel, etc.)
3. Knowledge of editing and videomaking tools
...</t>
  </si>
  <si>
    <t>Dallas AmeriCorps Economic Empowerment Coach- URGENTLY HIRING</t>
  </si>
  <si>
    <t>1. Current university student, preferably in Social Sciences, Information Systems, or related field (relevant Experience May Substitute For Required Degree)
2. Experience with social service case management or program management software, client relationship management, relational databases, or other information systems for client management
3. A strong understanding or interest in personal finances, particularly in the areas of budgeting, asset building, and credit building
...</t>
  </si>
  <si>
    <t>Zero-cost Tech Fundamentals Program - Get exposure to leading technologies</t>
  </si>
  <si>
    <t>Financial Planning Student Worker</t>
  </si>
  <si>
    <t>Illinois State University</t>
  </si>
  <si>
    <t>Education, Performing Arts</t>
  </si>
  <si>
    <t>1. Current ISU student in good academic standing.</t>
  </si>
  <si>
    <t>EC - 6 Generalist Teacher - TG Elementary</t>
  </si>
  <si>
    <t>Region One Education Service Center</t>
  </si>
  <si>
    <t>La Feria, TX</t>
  </si>
  <si>
    <t>1. Bachelor's degree from accredited university
2. Valid Texas teaching certificate with required endorsements or related training and work experience for certification waivers under the District of Innovation Plan (DOI)
3. Demonstrated competency in the core academic subject area assigned
...</t>
  </si>
  <si>
    <t>School Psychologist Intern</t>
  </si>
  <si>
    <t>Community High School District 94</t>
  </si>
  <si>
    <t>West Chicago, IL</t>
  </si>
  <si>
    <t>$16000-$16000 /yr</t>
  </si>
  <si>
    <t>1. Currently enrolled in an ISBE-approved School Psychologist program, and released by the university for participation in the internship experience
2. Must be able to perform all of the duties and responsibilities of the position
3. Ability to communicate effectively and accurately, both orally and in writing, in English</t>
  </si>
  <si>
    <t>2025 Leadership Development Program - Enterprise Track (Full-Time LDP Intern Conversion)</t>
  </si>
  <si>
    <t>1. Bachelor’s Degree or Master’s Degree required
2. 3.0+ GPA preferred
3. Excellent interpersonal and communication skills
...</t>
  </si>
  <si>
    <t>Intern, Curriculum Development Educational Experience</t>
  </si>
  <si>
    <t>COPE Health Solutions</t>
  </si>
  <si>
    <t>1. Must be able to commit 10 hours per week for eight weeks (note that this is a temporary position)
2. Currently enrolled in or graduated from a college or university
3. Strong customer drive and dedication to quality and success
...</t>
  </si>
  <si>
    <t>Student Aide</t>
  </si>
  <si>
    <t>PSI (Proteam Solutions Inc)</t>
  </si>
  <si>
    <t>1. Candidate must be local to Columbus, Ohio for consideration.
2. Valid Drivers License.
3. Vehicle or Reliable Transportation.
...</t>
  </si>
  <si>
    <t>Interpreter for Deaf or Hard of Hearing Students</t>
  </si>
  <si>
    <t>Hamilton County Department of Education</t>
  </si>
  <si>
    <t>Education, Secondary Education</t>
  </si>
  <si>
    <t>1. Ability to interpret spoken English at a rate appropriate for expected job performance.
2. Ability to interpret or translate for a group of deaf and/or hearing impaired persons.
3. Ability to understand and translate academic language to the cognitive level of the student.
...</t>
  </si>
  <si>
    <t>Dallas Youth Success Coach- Middle School</t>
  </si>
  <si>
    <t>1. Interns must work at least 15 hours each week.
2. Interns work 3-4 evenings a week in students’ homes from 5:00 PM – 7:30 PM in addition to office hours.
3. Interns will work a majority of hours in-person.
...</t>
  </si>
  <si>
    <t>Summer Leadership Program (Phoenix, 2025)</t>
  </si>
  <si>
    <t>1. Actively pursuing a degree in Accounting and have a strong interest in a career in public accounting
2. Graduating May 2025 - December 2028
3. Academic performance
...</t>
  </si>
  <si>
    <t>Academic Behavior Analyst Intern (Unpaid): 2024-2025 School Year</t>
  </si>
  <si>
    <t>1. A minimum of a Bachelor’s Degree and successful completion of two foundational courses in behavior analysis is required.
2. Independent transportation to and from sites is required.
3. The applicant must be willing to obtain clearances as well as participate in crisis prevention training (8 hours) training.
...</t>
  </si>
  <si>
    <t>Behavior Analyst - Flexible, school calendar work schedule</t>
  </si>
  <si>
    <t>Behavorial Analyst - PSERS pension plan</t>
  </si>
  <si>
    <t>Doylestown, PA</t>
  </si>
  <si>
    <t>Spring 2025 Economic Research Internships</t>
  </si>
  <si>
    <t>American Institute for Economic Research - AIER</t>
  </si>
  <si>
    <t>Great Barrington, MA</t>
  </si>
  <si>
    <t>1. Undergraduate student or recent graduate considering careers in economic research, academia, or the private sector.
2. Ability to develop a self-developed research project.
3. Willingness to engage in a robust reading-and-discussion curriculum.
...</t>
  </si>
  <si>
    <t>Utah Tech University Campus Organizer 2024-2025</t>
  </si>
  <si>
    <t>Planned Parenthood Association of Utah</t>
  </si>
  <si>
    <t>$0-$2000 semester</t>
  </si>
  <si>
    <t>1. Must be currently enrolled as a student at Utah Tech University
2. Strong written and verbal communication skills
3. Strong interpersonal skills
...</t>
  </si>
  <si>
    <t>2024 Fall Undergraduate Intern</t>
  </si>
  <si>
    <t>1. Currently enrolled in a college or university.
2. Strong administrative and project management skills.
3. Working knowledge of Microsoft Office programs (e.g., Word, Excel, Outlook, PowerPoint).
...</t>
  </si>
  <si>
    <t>Apprentice Teacher - Talent Together (2023)</t>
  </si>
  <si>
    <t>Rochester Community Schools</t>
  </si>
  <si>
    <t>$32488-$32488 /yr</t>
  </si>
  <si>
    <t>1. Maintain participation in EPP and meet all attendance and professional conduct requirements as established by the EPP and school district
2. Maintain a minimum grade point average as required by the EPP
3. Pass teacher Michigan Test(s) for Teacher Certification
...</t>
  </si>
  <si>
    <t>Behavior Analysis Practicum (Master's Level)</t>
  </si>
  <si>
    <t>Wake Forest, NC</t>
  </si>
  <si>
    <t>$24-$30 /h</t>
  </si>
  <si>
    <t>1. Supervisee has accrued 85% of fieldwork hours (1700/2000hours)
2. Proof of enrollment in an accredited applicable masters program
3. Allocate 8 hours per week off direct care schedule to work on BDS modules
...</t>
  </si>
  <si>
    <t>Lakeway, TX</t>
  </si>
  <si>
    <t>Schertz, TX</t>
  </si>
  <si>
    <t>Pathways Student Trainee - Loan Assistant/Specialist</t>
  </si>
  <si>
    <t>Rural Utilities Service</t>
  </si>
  <si>
    <t>1. You must be a US Citizen or Permanent Lawful Resident
2. Males born after 12/31/1959 must be Selective Service registered or exempt
3. Must be in good academic standing as defined by the educational institution
...</t>
  </si>
  <si>
    <t>Leander, TX</t>
  </si>
  <si>
    <t>Alamo, TX</t>
  </si>
  <si>
    <t>Buda, TX</t>
  </si>
  <si>
    <t>Lake Wylie, SC</t>
  </si>
  <si>
    <t>Indian Trail, NC</t>
  </si>
  <si>
    <t>Watauga, TX</t>
  </si>
  <si>
    <t>Personal Training Intern</t>
  </si>
  <si>
    <t>Life Time</t>
  </si>
  <si>
    <t>Health Care, Property Development</t>
  </si>
  <si>
    <t>1. High School Diploma or GED
2. Must have a working knowledge of health and fitness and the human body, and be able to quickly grasp and apply new concepts.
3. Must be punctual while having a positive, enthusiastic, energetic personality that enjoys working with people
...</t>
  </si>
  <si>
    <t>Dynamic Personal Training Internship</t>
  </si>
  <si>
    <t>$15.58-$17.08 /h</t>
  </si>
  <si>
    <t>Psychology Postdoctoral</t>
  </si>
  <si>
    <t>Martinsburg, WV</t>
  </si>
  <si>
    <t>1. Ph.D. or Psy.D. in clinical or counseling psychology
2. Must obtain gold card from the state of West Virginia prior beginning the position
3. Must have completed an APA-accredited predoctoral psychology internship
...</t>
  </si>
  <si>
    <t>Diploma Student / Intern</t>
  </si>
  <si>
    <t>$15-$62 /yr</t>
  </si>
  <si>
    <t>Undergraduate Hourly Course Assistant</t>
  </si>
  <si>
    <t>1. Must be a Stevens undergraduate student currently enrolled
2. Must have at least 6 credits
3. Must have taken the Chemistry or Biology course previously
...</t>
  </si>
  <si>
    <t>Fall 2024 Economic Empowerment - Employment Intern</t>
  </si>
  <si>
    <t>Digital Inclusion Intern (Unpaid)</t>
  </si>
  <si>
    <t>1. Experience teaching ESOL/EFL to adults in group settings.
2. Experience working with adult students from a variety of backgrounds, including those with limited formal education and/or literacy skills.
3. Excellent classroom management skills and confidence facilitating both large and small groups.
...</t>
  </si>
  <si>
    <t>Assistant Men's Lacrosse Coach - Intern</t>
  </si>
  <si>
    <t>1. Bachelor’s degree
2. previous competitive playing experience at the college or university level
3. Must have a valid driver’s license with satisfactory motor vehicle record by insurance standards</t>
  </si>
  <si>
    <t>Human Gross Anatomy laboratory student worker</t>
  </si>
  <si>
    <t>1. Must have earned at least a grade of B+ in both BIOL 365 and BIOL 366.
2. Must be willing to work on the weekends during the semester and during finals week.</t>
  </si>
  <si>
    <t>Work Study Student - Office of Financial Aid - Reading United Buddies Tutor (Fall 2024)</t>
  </si>
  <si>
    <t>1. Must be enrolled in six or more undergraduate credit hours at Georgia Southern University.
2. Must be Federal Work eligible.
3. Legally authorized to work in the United States for the duration of employment without assistance from the University.
...</t>
  </si>
  <si>
    <t>Dynamic Personal Training Intern</t>
  </si>
  <si>
    <t>Undergraduate Student Assistant</t>
  </si>
  <si>
    <t>1. Valid driver’s license
2. High tolerance for Florida heat and insects
3. Ability to lift a 30Lb backpack
...</t>
  </si>
  <si>
    <t>Student Assistant II</t>
  </si>
  <si>
    <t>1. Working knowledge of Microsoft Office
2. Must be a responsible person
3. Ability to work independently without close supervision.
...</t>
  </si>
  <si>
    <t>Graduate Assistant-3</t>
  </si>
  <si>
    <t>1. Current enrollment as a graduate student in the UAMS Graduate School.
2. Proof of legal authority to work in the United States on the first day of employment.
3. Proof of Veteran Status.
...</t>
  </si>
  <si>
    <t>Activity Assistant</t>
  </si>
  <si>
    <t>1. Strong communication and personal skills
2. Valid driver’s license
3. Able to work evenings and weekends</t>
  </si>
  <si>
    <t>1. Standard high school diploma or satisfactory completion of an approved General Educational Development (GED) Testing Program.
2. The ability to interact and communicate effectively with children.
3. Computer skills required as needed for the position.</t>
  </si>
  <si>
    <t>INTERN COORDINATOR-BAS</t>
  </si>
  <si>
    <t>Brevard Public Schools</t>
  </si>
  <si>
    <t>Education, Primary Education</t>
  </si>
  <si>
    <t>Mims, FL</t>
  </si>
  <si>
    <t>$15.32-$15.32 /h</t>
  </si>
  <si>
    <t>1. High School diploma or equivalent.
2. One (1) year successful experience in childcare or similar program.
3. Department of Children and Families Standards for Quality Afterschool Programs (SQAP-8 hours online and in-service) and Quality Self-Assessment and Improvement of Afterschool Programs (SQAI-4 hours online as in-service); and School Age Certification (72 hours online) completed within 90 days of appointment.
...</t>
  </si>
  <si>
    <t>New York State Thruway Authority</t>
  </si>
  <si>
    <t>1. Candidates must be currently enrolled as part-time or full-time high school, undergraduate, or graduate college students at an education institution accredited by a regional, national, or specialized agency recognized as an accrediting agency by the United States (U.S.) Department of Education/Secretary of Education.</t>
  </si>
  <si>
    <t>Dallas Youth Success Coach- Refugee Youth Mentorship Program</t>
  </si>
  <si>
    <t>1. Interns must work at least 15 hours each week, 3-4 evenings a week in students’ homes from 5:00 PM –7:30 PM in addition to office hours.
2. Interns will work a majority of hours in-person.
3. RYMP requires one Saturday a month spent attending field trips in locations around Texas.
...</t>
  </si>
  <si>
    <t>[Fall 2024] Interpretation &amp; Education Content Internship</t>
  </si>
  <si>
    <t>1. Strong art history background
2. Attention to detail
3. Strong interest in research and learning
...</t>
  </si>
  <si>
    <t>Student Assistant - 07037, 32386</t>
  </si>
  <si>
    <t>New York State Department of Health</t>
  </si>
  <si>
    <t>1. Candidates must be a matriculated undergraduate or graduate college student.
2. Documentation of current matriculation and enrollment in the current semester must be submitted with your resume.</t>
  </si>
  <si>
    <t>Student Assistant, College Work Study-Federal</t>
  </si>
  <si>
    <t>Lone Star College</t>
  </si>
  <si>
    <t>$11.32-$11.32 /h</t>
  </si>
  <si>
    <t>1. High School diploma or GED
2. Must be a currently enrolled Lone Star student pursuing a course of study</t>
  </si>
  <si>
    <t>[Fall 2024] Research Resources - Library Internship</t>
  </si>
  <si>
    <t>1. Current student or recent graduate who has completed at least one semester in a Library and Information Science program, or related graduate program
2. Ability to work independently with attention to detail
3. Experience with conducting research using an ILS
...</t>
  </si>
  <si>
    <t>Graduate Assistantship of Marketing and Communications</t>
  </si>
  <si>
    <t>1. Bachelor’s degree from an accredited four-year institution
2. Acceptance or good standing in a graduate program at the University of Maryland at the time of appointment is required.
3. Experience with Microsoft Office and Google Drive programs.
...</t>
  </si>
  <si>
    <t>WILLIAMS, KARL R</t>
  </si>
  <si>
    <t>Work Study Student - Office of Financial Aid - Read United Buddies Assistant (Fall 2024)</t>
  </si>
  <si>
    <t>Graduate Research And Teaching Assistant</t>
  </si>
  <si>
    <t>1. Passion for natural resources finance and economics.
2. Quantitative skills are strongly desired.
3. Students must be able to work as part of a team and collaborate with others at Duke University.</t>
  </si>
  <si>
    <t>Student Assistant-Engineering &amp; Architectural Sciences (JC-442007) 8/09/24</t>
  </si>
  <si>
    <t>California State Water Resources Control Board</t>
  </si>
  <si>
    <t>$17.74-$27.34 /h</t>
  </si>
  <si>
    <t>1. Candidates must possess essential personal qualifications including integrity, initiative, dependability, good judgment, the ability to work cooperatively with others, and the ability to perform the assigned duties of the class.
2. If the position requires driving, you must possess a current and valid driver’s license.</t>
  </si>
  <si>
    <t>2024 Fall Performance Specialist Internship</t>
  </si>
  <si>
    <t>1. Enrolled in a bachelor’s or master’s program specializing in sport science, kinesiology, exercise physiology, exercise science, etc.
2. Must be in a program accepting course credit in exchange for an internship experience, as this is an unpaid internship
3. Have current CPR/AED and First Aid certifications (Students who are not currently certified may seek certification during the application process)
...</t>
  </si>
  <si>
    <t>FWS Varsity Weight Room Assistant</t>
  </si>
  <si>
    <t>1. Candidate must have received a Federal Work Study on your Financial Aid Award Letter.
2. Must have at least 6 credits.
3. This position is for Stevens students currently enrolled.</t>
  </si>
  <si>
    <t>News Internship (Paid)</t>
  </si>
  <si>
    <t>1. Internships are available for qualified students studying broadcast journalism, video production, and other communication degrees.
2. Be of advanced skill level due to complexity of projects.
3. Expected to work two eight hour shifts per week.
...</t>
  </si>
  <si>
    <t>FREE Tech Fundamental Program - Opportunity to earn industry-recognized certifications -'-</t>
  </si>
  <si>
    <t>Zero-Cost Tech Fundamental Program - Earn industry-recognized certifications (St. Louis, MO) -'-</t>
  </si>
  <si>
    <t>FWSP Student Clerical - Office of Research &amp; Sponsored Programs</t>
  </si>
  <si>
    <t>1. Must be enrolled at least half-time for Fall/Spring Semesters (5 hours for graduates and 6 hours for undergraduates).
2. International students must be enrolled full-time (9 credit hours for graduates and 12 credit hours for undergraduates).
3. For Summer Semester, must be enrolled in at least 3 credit hours to work during the summer.
...</t>
  </si>
  <si>
    <t>Tech Fundamentals Program (Zero-Cost) - Get exposure to leading technologies! (St. Louis, MO) -'-</t>
  </si>
  <si>
    <t>engineering sciences office assistant - IWS</t>
  </si>
  <si>
    <t>Morehead State University</t>
  </si>
  <si>
    <t>Morehead, KY</t>
  </si>
  <si>
    <t>1. full time student</t>
  </si>
  <si>
    <t>Multicultural Student Recruitment and Retention Specialist</t>
  </si>
  <si>
    <t>The College of St. Scholastica</t>
  </si>
  <si>
    <t>1. Bachelor's degree in education, counseling, social work, multicultural studies, or a related field or equivalent combination of experience and education
2. Experience working with multicultural or diverse student populations in a higher education setting
3. Knowledge of retention strategies, student development theories, and multicultural retention techniques
...</t>
  </si>
  <si>
    <t>Beauty Scholar</t>
  </si>
  <si>
    <t>Sephora</t>
  </si>
  <si>
    <t>1. Attend (1) Sephora sponsored virtual session per month on educational topics related to the pursuit of a career in beauty.
2. Complete a 6-month internship in a Sephora store, with a minimum of 4 in-store hours per week.
3. Remain enrolled and in good standing in an eligible school for the duration of the internship.
...</t>
  </si>
  <si>
    <t>FREE Tech Fundamental Program - Get exposure to leading technologies! (Dayton, OH)</t>
  </si>
  <si>
    <t>Lombard, IL</t>
  </si>
  <si>
    <t>[Fall 2024] Skills Training Intern, IINE Boston</t>
  </si>
  <si>
    <t>1. Interest in international, refugee, asylee, and/or immigrant issues
2. Ability to work respectfully in a multicultural environment
3. Patience speaking with non-native English speakers/non-English speakers
...</t>
  </si>
  <si>
    <t>[Fall 2024] Individual Development Account (IDA) Intern, IINE Manchester</t>
  </si>
  <si>
    <t>[Fall 2024] Skills Training Intern, IINE Lowell</t>
  </si>
  <si>
    <t>Transform Your Future with Cost-Free Tech Fundamentals Program -</t>
  </si>
  <si>
    <t>South Vienna, OH</t>
  </si>
  <si>
    <t>Administrative Assistant - Student Services/Related Services</t>
  </si>
  <si>
    <t>Montgomery County Intermediate Unit</t>
  </si>
  <si>
    <t>Norristown, PA</t>
  </si>
  <si>
    <t>$24.86-$29.25 /h</t>
  </si>
  <si>
    <t>1. No post-secondary degree required; Associates/BS Degree in general field preferred.
2. Minimum of 3-5 years of progressive experience in administrative support with preference in a school setting.
3. Proficient in the use of technology including but not limited to email, Microsoft Office including Excel and spreadsheets, file servers with large data bases, Google, One Drive, PDF, Teams, and Zoom in communicating with internal and external stakeholders and maintaining electronic records.
...</t>
  </si>
  <si>
    <t>Work Study, Student Support (Student Development &amp; Education)</t>
  </si>
  <si>
    <t>1. Develop professional skills and communication skills
2. Develop leadership skills
3. Work with diverse populations and provide tips on being a successful student
...</t>
  </si>
  <si>
    <t>Psychologist Post Doctoral Fellow</t>
  </si>
  <si>
    <t>LCMC Health</t>
  </si>
  <si>
    <t>1. Doctoral degree in Psychology or related field
2. Completion of an APA-accredited internship
3. Eligibility for licensure as a psychologist in the state of Louisiana
...</t>
  </si>
  <si>
    <t>Graduate Assistant - Student Life &amp; Wellbeing</t>
  </si>
  <si>
    <t>1. Seeking graduate degree at UNO.
2. Exceptional oral, written, and visual communication skills, with the ability to employ tact and diplomacy in sensitive situations.
3. Demonstrates a commitment to diversity, inclusion, belonging, and cultural and situational awareness and sensitivity through actions, interactions, and communications with others.
...</t>
  </si>
  <si>
    <t>Classroom Aide, Early Childhood Education - Ages 6wks - 3 years</t>
  </si>
  <si>
    <t>Neighborhood House</t>
  </si>
  <si>
    <t>1. Must be or get enrolled in the Oregon Childcare Division Central Background Registry (CBR) and always maintain enrollment during employment.
2. Adult and Pediatric CPR &amp; First Aid Certification (obtained within 30 days of employment).
3. Food Handlers Card (obtained within 30 days of employment).
...</t>
  </si>
  <si>
    <t>Dynamic Training Internship</t>
  </si>
  <si>
    <t>South Jordan, UT</t>
  </si>
  <si>
    <t>Center for Israel Studies Program Assistant (Student)</t>
  </si>
  <si>
    <t>$17.50-$17.75 /h</t>
  </si>
  <si>
    <t>1. High school diploma.
2. Students must be dependable, organized, skilled at working with Microsoft Word and Excel, and be flexible to work on multiple tasks are of high importance.
3. Previous work experience in an office or customer service setting is a plus.</t>
  </si>
  <si>
    <t>Office Assistant (Student)</t>
  </si>
  <si>
    <t>1. SIS Current Graduate Student</t>
  </si>
  <si>
    <t>Student Assistant Plan (SAP) Counselor</t>
  </si>
  <si>
    <t>RIVERSIDE UNIFIED SCHOOL DISTRICT</t>
  </si>
  <si>
    <t>Riverside County, CA</t>
  </si>
  <si>
    <t>Business Learning and Development Internship - Denver International Airport</t>
  </si>
  <si>
    <t>1. Current enrollment in an accredited college program leading to a certificate, licensure, associates, bachelor’s, or higher degree in business administration, construction management, organizational learning and development, education, or another related field, or a recent graduate (completed specified program within 1 year of completion)</t>
  </si>
  <si>
    <t>Co-op - Crew Resources - Training Analytics - Pilot Learner Experience and Strategy (Spring, 2025)</t>
  </si>
  <si>
    <t>1. Experience or a demonstrated interest in data analysis and coding, preferably SQL
2. Strong organizational, project management, and personal management skills
3. Robust verbal and written communication skills at all levels
...</t>
  </si>
  <si>
    <t>Break into Tech! - FREE Tech Fundamentals Program (St. Louis, MO)</t>
  </si>
  <si>
    <t>Transform Your Future with Zero-Cost Tech Fundamentals Program -</t>
  </si>
  <si>
    <t>Houston, OH</t>
  </si>
  <si>
    <t>Job Readiness Training Internship (Unpaid)</t>
  </si>
  <si>
    <t>1. Must be comfortable in an English-learner classroom setting; willing to patiently and clearly communicate with limited English speakers.
2. Must be patient, flexible, and creative.</t>
  </si>
  <si>
    <t>2025 Summer Internship Program</t>
  </si>
  <si>
    <t>No-Cost Tech Fundamental Program - Get exposure to leading technologies! (St. Louis, MO) -'-</t>
  </si>
  <si>
    <t>Zero Cost Tech Fundamentals Program</t>
  </si>
  <si>
    <t>Environmental Education Intern</t>
  </si>
  <si>
    <t>Alachua Conservation Trust</t>
  </si>
  <si>
    <t>Environmental Consulting, Natural Resources</t>
  </si>
  <si>
    <t>$500-$500 stipend</t>
  </si>
  <si>
    <t>1. Ability to drive oneself to and from the program sites
2. Availability on Fridays from 8:00 AM – 1:00 PM
3. Completion of 120 hours of work per semester</t>
  </si>
  <si>
    <t>Administrative Assistant/International Student Advisor</t>
  </si>
  <si>
    <t>Northwestern Oklahoma State University, Alva</t>
  </si>
  <si>
    <t>Alva, OK</t>
  </si>
  <si>
    <t>1. Good attention to detail
2. Ability to communicate effectively
3. Strong work ethic, which includes the ability to work both independently and under direction
...</t>
  </si>
  <si>
    <t>Graduate Student Worker - Financial Aid - 2024/25</t>
  </si>
  <si>
    <t>1. Currently enrolled as a graduate student at SHU
2. Excellent interpersonal and communication skills
3. Strong attention to detail and ability to maintain confidentiality
...</t>
  </si>
  <si>
    <t>Industrial Training Intern</t>
  </si>
  <si>
    <t>American Cast Iron Pipe Company</t>
  </si>
  <si>
    <t>Customer Service, Industrial</t>
  </si>
  <si>
    <t>1. Pursuing or recently graduated with a bachelor's degree in industrial engineering.
2. Experience with Word, Excel, Access, PowerPoint, etc.
3. Valid state-issued driver's license.</t>
  </si>
  <si>
    <t>Student - Instructional Assistant - College of Engineering and Technology</t>
  </si>
  <si>
    <t>1. Must be a current UVU student at the start of Fall 2024.
2. Have successfully completed CS 1400 &amp; CS 1410 with a B or higher.
3. Received Grade of a B or higher in the course(s) assigned to IA for.
...</t>
  </si>
  <si>
    <t>(Student) Sports Information Assistant</t>
  </si>
  <si>
    <t>1. High school diploma or GED equivalent.
2. Must be enrolled in a minimum of 6 credit hours as an undergraduate student or 3 credit hours as a graduate student while meeting the standards of academic progress.
3. Demonstrated ability to work accurately and effectively with computerized data systems (PC and mainframe).
...</t>
  </si>
  <si>
    <t>Free Tech Fundamentals Program</t>
  </si>
  <si>
    <t>Knightdale, NC</t>
  </si>
  <si>
    <t>Break into Tech! - Cero-Cost Tech Fundamentals Program (Dayton, OH)</t>
  </si>
  <si>
    <t>Oakbrook Terrace, IL</t>
  </si>
  <si>
    <t>Fridley, MN</t>
  </si>
  <si>
    <t>Learning and Development Intern</t>
  </si>
  <si>
    <t>Maverik</t>
  </si>
  <si>
    <t>$15-$21 /h</t>
  </si>
  <si>
    <t>1. A full-time college student that has completed their sophomore year by the beginning of the internship
2. Currently enrolled at an accredited university seeking a degree related to the position
3. Must be authorized to work in the U.S.
...</t>
  </si>
  <si>
    <t>FREE Tech Fundamentals Program - Earn industry-recognized certifications</t>
  </si>
  <si>
    <t>No Cost Tech Fundamentals Program - Opportunity to earn industry-recognized certifications -'-</t>
  </si>
  <si>
    <t>Zero-Cost Tech Fundamental Program - Get exposure to leading technologies! (St. Louis, MO) -'-</t>
  </si>
  <si>
    <t>No Cost Tech Fundamentals Program - Earn industry-recognized certifications (Raleigh, NC) -</t>
  </si>
  <si>
    <t>Broadway, NC</t>
  </si>
  <si>
    <t>Launching Tech Career! - FREE Tech Fundamentals Program (Dayton, OH)</t>
  </si>
  <si>
    <t>No-cost Tech Fundamentals Program - Get exposure to leading technologies (Raleigh, NC)</t>
  </si>
  <si>
    <t>Moncure, NC</t>
  </si>
  <si>
    <t>Break into Tech! - Cero-Cost Tech Fundamentals Program (Raleigh, NC)</t>
  </si>
  <si>
    <t>FREE Tech Fundamentals Program - Get exposure to leading technologies (Dayton, OH)</t>
  </si>
  <si>
    <t>FREE Tech Fundamental Program - Earn industry-recognized certifications</t>
  </si>
  <si>
    <t>No Cost Tech Fundamentals Program - Launching Your Tech Career! (St. Louis, MO) -'-</t>
  </si>
  <si>
    <t>Zero-cost Tech Fundamentals Program - Get exposure to leading technologies (Raleigh, NC) -</t>
  </si>
  <si>
    <t>Break into Tech! - Cero-Cost Tech Fundamentals Program</t>
  </si>
  <si>
    <t>Zero-Cost Tech Fundamentals Program - Break into Tech!</t>
  </si>
  <si>
    <t>Launch Your Tech Career: Cost-Free Tech/IT Fundamentals Program -</t>
  </si>
  <si>
    <t>FREE Tech Fundamentals Program - Get exposure to leading technologies (Dayton, OH) -'-</t>
  </si>
  <si>
    <t>No-cost Tech Fundamentals Program - Get exposure to leading technologies</t>
  </si>
  <si>
    <t>Unlock Your Future! - Free Tech Fundamentals Program</t>
  </si>
  <si>
    <t>No Cost Tech Fundamentals Program</t>
  </si>
  <si>
    <t>Zero-Cost Tech Fundamentals Program - Launching Your Tech Career! (Raleigh, NC) -</t>
  </si>
  <si>
    <t>FREE Tech Fundamental Program - Earn industry-recognized certifications (Raleigh, NC) -</t>
  </si>
  <si>
    <t>Launch Your Tech Career: FREE Tech/IT Fundamentals Program -</t>
  </si>
  <si>
    <t>Tech Fundamentals Program (No-Cost) - Get exposure to leading technologies! (Raleigh, NC) -</t>
  </si>
  <si>
    <t>Unlock your Future - FREE Tech/IT Fundamentals Program</t>
  </si>
  <si>
    <t>No Cost Tech Fundamentals Program - Earn industry-recognized certifications (Dayton, OH) -'-</t>
  </si>
  <si>
    <t>Zero-Cost Tech Fundamentals Program - Opportunity to earn industry-recognized certifications</t>
  </si>
  <si>
    <t>FREE Tech Fundamental Program - Earn industry-recognized certifications (Dayton, OH) -'-</t>
  </si>
  <si>
    <t>FREE Tech Fundamentals Program - Unlock Your Future in Tech (Dayton, OH)</t>
  </si>
  <si>
    <t>Break into Tech! - FREE Tech Fundamentals Program (Dayton, OH) -'-</t>
  </si>
  <si>
    <t>No-Cost Tech Fundamental Program - Get exposure to leading technologies! (Dayton, OH)</t>
  </si>
  <si>
    <t>No-Cost Tech Fundamental Program - Get exposure to leading technologies! (Raleigh, NC)</t>
  </si>
  <si>
    <t>No-Cost Tech Fundamental Program - Earn industry-recognized certifications (Dayton, OH) -'-</t>
  </si>
  <si>
    <t>2025 Summer Intern - Finance MBA Leadership Development Program</t>
  </si>
  <si>
    <t>1. Corporate finance concentration is preferred.
2. A minimum of 5 years of full-time professional or military experience is required.
3. Leadership capabilities demonstrated through previous employment, internship experiences and/or extracurricular activities is required.
...</t>
  </si>
  <si>
    <t>Unlock Your Future! - Zero-Cost Tech Fundamentals Program</t>
  </si>
  <si>
    <t>FREE Tech Fundamentals Program - Earn industry-recognized certifications (Raleigh, NC) -</t>
  </si>
  <si>
    <t>Break into Tech! - Cero-Cost Tech Fundamentals Program (Dayton, OH) -'-</t>
  </si>
  <si>
    <t>FREE Tech Fundamentals Program - Earn industry-recognized certifications (Dayton, OH) -'-</t>
  </si>
  <si>
    <t>FREE Tech Fundamentals Program - Unlock Your Future in Tech (St. Louis, MO)</t>
  </si>
  <si>
    <t>No-Cost Tech Fundamental Program - Get exposure to leading technologies! (Raleigh, NC) -</t>
  </si>
  <si>
    <t>Tech Fundamentals Program (Zero-Cost) - Get exposure to leading technologies! (Raleigh, NC)</t>
  </si>
  <si>
    <t>Break into Tech! - No Cost Tech Fundamentals Program (St. Louis, MO) -'-</t>
  </si>
  <si>
    <t>Free Tech Fundamentals Training - Earn Industry-Recognized Certifications (Raleigh, NC) -</t>
  </si>
  <si>
    <t>Tech Fundamentals Program (Free) - Get exposure to leading technologies! (Raleigh, NC) -</t>
  </si>
  <si>
    <t>Zero-Cost Tech Fundamentals Program - Launching Your Tech Career! (St. Louis, MO) -'-</t>
  </si>
  <si>
    <t>Zero-Cost Tech Fundamental Program - Earn industry-recognized certifications (St. Louis, MO)</t>
  </si>
  <si>
    <t>FREE Tech Fundamental Program - Opportunity to earn industry-recognized certifications (Raleigh, NC)</t>
  </si>
  <si>
    <t>No Cost Tech Fundamentals Program - Unlock Your Future in Tech (Raleigh, NC)</t>
  </si>
  <si>
    <t>Zero-Cost Tech Fundamentals Program - Earn industry-recognized certifications (St. Louis, MO) -'-</t>
  </si>
  <si>
    <t>Zero-Cost Tech Fundamental Program - Earn industry-recognized certifications (Raleigh, NC)</t>
  </si>
  <si>
    <t>Zero-Cost Tech Fundamentals Program - Launching Your Tech Career! (St. Louis, MO)</t>
  </si>
  <si>
    <t>Zero-Cost Tech Fundamental Program - Earn industry-recognized certifications (Dayton, OH) -'-</t>
  </si>
  <si>
    <t>FREE Tech Fundamental Program - Get exposure to leading technologies! (Dayton, OH) -'-</t>
  </si>
  <si>
    <t>No Cost Tech Fundamentals Program - Opportunity to earn industry-recognized certifications -</t>
  </si>
  <si>
    <t>Tech Fundamentals Program (Zero-Cost) - Get exposure to leading technologies! (Raleigh, NC) -</t>
  </si>
  <si>
    <t>FREE Tech Fundamentals Program - Get exposure to leading technologies (Raleigh, NC)</t>
  </si>
  <si>
    <t>Zero-cost Tech Fundamentals Program - Get exposure to leading technologies (Raleigh, NC)</t>
  </si>
  <si>
    <t>Tech Fundamentals Program (Free) - Get exposure to leading technologies! (Raleigh, NC)</t>
  </si>
  <si>
    <t>Tech Fundamentals Program - Break into Tech! (Dayton, OH)</t>
  </si>
  <si>
    <t>No-Cost Tech Fundamental Program - Get exposure to leading technologies! (Dayton, OH) -'-</t>
  </si>
  <si>
    <t>Zero-Cost Tech Fundamental Program - Earn industry-recognized certifications (Raleigh, NC) -</t>
  </si>
  <si>
    <t>Launching Tech Career! - FREE Tech Fundamentals Program (Raleigh, NC)</t>
  </si>
  <si>
    <t>FREE Tech Fundamentals Program - Get exposure to leading technologies (Raleigh, NC) -</t>
  </si>
  <si>
    <t>Launching Tech Career! - FREE Tech Fundamentals Program (St. Louis, MO)</t>
  </si>
  <si>
    <t>Zero-cost Tech Fundamentals Program - Get exposure to leading technologies (St. Louis, MO) -'-</t>
  </si>
  <si>
    <t>Zero-Cost Tech Fundamentals Program - Unlock Your Future in Tech (Dayton, OH)</t>
  </si>
  <si>
    <t>Professional Development Intern</t>
  </si>
  <si>
    <t>1. Candidates should be pursuing and enrolled in a BS/BA college program with a major in educational counseling, HR/ DEI related, Learning &amp; Development program, Human Resources, and Social Sciences and/ or in another related discipline.
2. Demonstrates a strong work ethic and is an energetic, motivated, detail-oriented team player who takes initiatives and possesses strong communication skills.
3. Proficiency with Microsoft Word, Excel, PowerPoint, Salesforce/ database management programs and/ or GSuite strongly preferred.
...</t>
  </si>
  <si>
    <t>KidSucces School Based Therapist Intern</t>
  </si>
  <si>
    <t>1. Must be attending an education program.
2. Must be in the second/final year of their graduate program to be considered for the stipend.
3. Must be fully vaccinated for COVID-19 (proof required), subject to legally required exemptions.</t>
  </si>
  <si>
    <t>Catapult Development Program - Work From Home</t>
  </si>
  <si>
    <t>$43680-$43680 /yr</t>
  </si>
  <si>
    <t>1. High School Diploma, GED or Equivalent Certification
2. At least 1 year of customer service experience
3. Basic experience in using a PC
...</t>
  </si>
  <si>
    <t>Performing Arts Aide (Theatre, Music, or Dance))</t>
  </si>
  <si>
    <t>1. Assist with the Theatre, Music, or Dance Programs at Irvine Valley College
2. Successful completion of Live Scan fingerprinting (approx.. $70)
3. I-9 completion
...</t>
  </si>
  <si>
    <t>Job Coach, Project SEARCH</t>
  </si>
  <si>
    <t>PathPoint</t>
  </si>
  <si>
    <t>$16.03-$25.24 /h</t>
  </si>
  <si>
    <t>1. Patience, compassion, and the ability to interact with individuals with disabilities, their family members, community partners, and others in a positive and constructive manner
2. Self-starter with strong written and oral communication skills
3. Tech savvy, including proficiency in spreadsheet and word processing software
...</t>
  </si>
  <si>
    <t>Tech Fundamentals Program (No-Cost) - Get exposure to leading technologies! (St. Louis, MO) -'-</t>
  </si>
  <si>
    <t>Spring House, PA</t>
  </si>
  <si>
    <t>Break into Tech! - No Cost Tech Fundamentals Program (Raleigh, NC) -</t>
  </si>
  <si>
    <t>Break into Tech! - Cero-Cost Tech Fundamentals Program (Raleigh, NC) -</t>
  </si>
  <si>
    <t>RBT Student Analyst</t>
  </si>
  <si>
    <t>Butterfly Effects</t>
  </si>
  <si>
    <t>Family</t>
  </si>
  <si>
    <t>1. Actively enrolled in a graduate program focusing on Applied Behavior Analysis.
2. Candidates must have completed at least 680 unrestricted hours and 280 restricted hours.
3. A genuine love of working with children.
...</t>
  </si>
  <si>
    <t>Zero-Cost Tech Fundamentals Program - Break into Tech! (Raleigh, NC)</t>
  </si>
  <si>
    <t>Zero-cost Tech Fundamentals Program - Get exposure to leading technologies (Dayton, OH)</t>
  </si>
  <si>
    <t>Unlock Your Future! - No-cost Tech Fundamentals Program</t>
  </si>
  <si>
    <t>No Cost Tech Fundamentals Program - Launching Your Tech Career! (Raleigh, NC) -</t>
  </si>
  <si>
    <t>No Cost Tech Fundamentals Program - Break into Tech! (Dayton, OH) -'-</t>
  </si>
  <si>
    <t>Zero-Cost Tech Fundamental Program - Get exposure to leading technologies! (Raleigh, NC)</t>
  </si>
  <si>
    <t>Break into Tech! - Cero-Cost Tech Fundamentals Program (St. Louis, MO) -'-</t>
  </si>
  <si>
    <t>FREE Tech Fundamental Program - Mentoring from senior-level IT professional (Dayton, OH) -'-</t>
  </si>
  <si>
    <t>Break into Tech! - No Cost Tech Fundamentals Program (Dayton, OH) -'-</t>
  </si>
  <si>
    <t>FREE Tech Fundamental Program - Get exposure to leading technologies! (Raleigh, NC) -</t>
  </si>
  <si>
    <t>Launch Your Tech Career: No-Cost Tech/IT Fundamentals Program -</t>
  </si>
  <si>
    <t>FREE Tech Fundamental Program - Earn industry-recognized certifications (Raleigh, NC)</t>
  </si>
  <si>
    <t>No Cost Tech Fundamentals Program - Mentoring from senior-level IT professional (Raleigh, NC)</t>
  </si>
  <si>
    <t>No Cost Tech Fundamentals Program - Break into Tech! (Dayton, OH)</t>
  </si>
  <si>
    <t>Zero-Cost Tech Fundamental Program - Get exposure to leading technologies! (St. Louis, MO)</t>
  </si>
  <si>
    <t>Tech Fundamentals Program (Free) - Get exposure to leading technologies! (Dayton, OH) -'-</t>
  </si>
  <si>
    <t>FREE Tech Fundamentals Program - Opportunity to earn industry-recognized certifications</t>
  </si>
  <si>
    <t>No-cost Tech Fundamentals Program - Get exposure to leading technologies (Raleigh, NC) -</t>
  </si>
  <si>
    <t>Zero-cost Tech Fundamentals Program - Get exposure to leading technologies (Dayton, OH) -'-</t>
  </si>
  <si>
    <t>Tech Fundamentals Program - Break into Tech! (Dayton, OH) -'-</t>
  </si>
  <si>
    <t>Zero-Cost Tech Fundamental Program - Mentoring from senior-level IT professional (Dayton, OH)</t>
  </si>
  <si>
    <t>Break into Tech! - FREE Tech Fundamentals Program</t>
  </si>
  <si>
    <t>No Cost Tech Fundamentals Program - Launching Your Tech Career! (Dayton, OH)</t>
  </si>
  <si>
    <t>No Cost Tech Fundamentals Program - Break into Tech! (St. Louis, MO) -'-</t>
  </si>
  <si>
    <t>FREE Tech Fundamentals Program - Unlock Your Future in Tech</t>
  </si>
  <si>
    <t>Zero-Cost Tech Fundamental Program - Get exposure to leading technologies! (Dayton, OH)</t>
  </si>
  <si>
    <t>No-cost Tech Fundamentals Program - Get exposure to leading technologies (Dayton, OH)</t>
  </si>
  <si>
    <t>No-cost Tech Fundamentals Program - Get exposure to leading technologies (Dayton, OH) -'-</t>
  </si>
  <si>
    <t>Zero-Cost Tech Fundamentals Program - Unlock Your Future in Tech (Raleigh, NC) -</t>
  </si>
  <si>
    <t>Tech Fundamentals Program (No-Cost) - Get exposure to leading technologies! (Raleigh, NC)</t>
  </si>
  <si>
    <t>FREE Tech Fundamental Program - Mentoring from senior-level IT professional (Raleigh, NC) -</t>
  </si>
  <si>
    <t>FREE Tech Fundamentals Program - Get exposure to leading technologies (St. Louis, MO)</t>
  </si>
  <si>
    <t>Break into Tech! - FREE Tech Fundamentals Program (Raleigh, NC) -</t>
  </si>
  <si>
    <t>FREE Tech Fundamental Program - Opportunity to earn industry-recognized certifications</t>
  </si>
  <si>
    <t>Tech Fundamentals Program - Break into Tech! (Raleigh, NC) -</t>
  </si>
  <si>
    <t>Tech Fundamentals Program (No-Cost) - Get exposure to leading technologies! (Dayton, OH) -'-</t>
  </si>
  <si>
    <t>Zero-Cost Tech Fundamentals Program - Earn industry-recognized certifications (Raleigh, NC) -</t>
  </si>
  <si>
    <t>FREE Tech Fundamentals Program - Earn industry-recognized certifications (St. Louis, MO) -'-</t>
  </si>
  <si>
    <t>Tech Fundamentals Program (No-Cost) - Get exposure to leading technologies! (Dayton, OH)</t>
  </si>
  <si>
    <t>2025 Greenwood Project Scholar Internship</t>
  </si>
  <si>
    <t>Greenwood Project</t>
  </si>
  <si>
    <t>1. Enrolled as a sophomore (2027) or junior (2026), in a relevant major (Finance, Accounting, Computer Science, Engineering, Mathematics, Communications, Marketing, HR, Operations, and Sales).
2. Demonstrated curiosity, willingness to learn, and ability to adapt to new challenges.
3. Strong communication, problem-solving, and analytical skills.
...</t>
  </si>
  <si>
    <t>Student Success Hub Assistant</t>
  </si>
  <si>
    <t>$17.30-$22 /h</t>
  </si>
  <si>
    <t>1. Currently enrolled and completed at least one term as a student at SFBU
2. Excellent public speaking, organization, time management, teamwork, and written communication skills
3. Must possess customer service orientation, high level of professionalism, ability to follow procedures, and strong attention to detail
...</t>
  </si>
  <si>
    <t>School of Music | Graduate Student Assistant</t>
  </si>
  <si>
    <t>1. Must be accepted into, or currently enrolled in a master’s or doctorate program by the start date.
2. Experience using Microsoft Office.
3. Ability to attain an understanding of all technical systems that support the role of being a GSA.
...</t>
  </si>
  <si>
    <t>Raritan, NJ</t>
  </si>
  <si>
    <t>Titusville, NJ</t>
  </si>
  <si>
    <t>Program Manager I - Student Recruitment</t>
  </si>
  <si>
    <t>University of Houston</t>
  </si>
  <si>
    <t>1. Bachelors degree
2. Thorough understanding of theoretical and practical aspects of an analytical, technical, or professional discipline
3. Basic knowledge of more than one professional discipline
...</t>
  </si>
  <si>
    <t>Student Assistant – Examination Services Unit (ESU),  JC-441826</t>
  </si>
  <si>
    <t>California Department of Public Health</t>
  </si>
  <si>
    <t>$2985-$4023 /mon</t>
  </si>
  <si>
    <t>1. Must be a California resident in accordance with Government Code 14200.
2. Must have a primary residency in the state of California prior to appointment and continue to maintain California residency as a condition of employment.</t>
  </si>
  <si>
    <t>Therapeutic Services Intern (Unpaid)</t>
  </si>
  <si>
    <t>1. Ability to obtain an AZ Level One Fingerprint Clearance Card
2. Ability to pass an IRC background check
3. A bachelor’s level focus on public health, counseling, social work, public health, or related field is strongly encouraged but is not a limiting factor for candidates
...</t>
  </si>
  <si>
    <t>International Campus Employment-1</t>
  </si>
  <si>
    <t>1. Must be mature, responsible, organized and be able to pay attention to details.
2. Work independently to find resources necessary to complete given tasks.
3. Be able to handle confidential matters and conduct him/herself in a professional manner.
...</t>
  </si>
  <si>
    <t>International Campus Employment Program Student Assistant</t>
  </si>
  <si>
    <t>Instructional Assistant, Cybersecurity</t>
  </si>
  <si>
    <t>$37440 /yr</t>
  </si>
  <si>
    <t>1. Must be a graduate of a Cyber Security Track at Perscholas
2. Must have obtained your CYSA+
3. Recommended by a Per Scholas Technical Instructor
...</t>
  </si>
  <si>
    <t>FT-INTERPRETER FOR DEAF/HARD HEARING_PALM SPRINGS MIDDLE(1668100)</t>
  </si>
  <si>
    <t>Lake Macquarie City Council</t>
  </si>
  <si>
    <t>Government, Recycling</t>
  </si>
  <si>
    <t>$33497-$33497 /yr</t>
  </si>
  <si>
    <t>1. Certificate of competency (Skilled Trades)
2. Valid driver’s license
3. Official SEALED transcripts must be submitted to M-DCPS
...</t>
  </si>
  <si>
    <t>Academy Equipment Intern</t>
  </si>
  <si>
    <t>Kansas City Current</t>
  </si>
  <si>
    <t>1. Proficient in Microsoft Office Suite or related software
2. Excellent verbal and written communication skills
3. Strong organizational skills and attention to detail
...</t>
  </si>
  <si>
    <t>Academy Administrative Intern</t>
  </si>
  <si>
    <t>Riverside, MO</t>
  </si>
  <si>
    <t>Technical and Professional Internships - Spring 2025</t>
  </si>
  <si>
    <t>$750-$950 /wk</t>
  </si>
  <si>
    <t>1. Must be a U.S. citizen or Lawful Permanent Resident (LPR) at the time of application
2. Currently enrolled as a full-time undergraduate or graduate student in a degree-seeking program at an accredited college or university
3. Completed at least one semester (or academic quarter) and at least 12 credit hours toward a current degree at the time of application
...</t>
  </si>
  <si>
    <t>Research Student Internships - Spring 2025</t>
  </si>
  <si>
    <t>1. Applicants must be a U.S. citizen or Lawful Permanent Resident (LPR) at the time of application.
2. Currently enrolled as a full-time undergraduate or graduate student in a degree-seeking program at an accredited college or university at the time of application, or
3. A recent graduate (associate/bachelor/master) from an accredited institution with the time period between receipt of the degree and starting the RSI appointment being two years or less, or
...</t>
  </si>
  <si>
    <t>Graduate Assistant, Asheville Counseling Program</t>
  </si>
  <si>
    <t>1. Must be currently enrolled or accepted/deposited as a graduate student at LR; a first or second-semester MA in counseling student willing to commit for two years is preferred.
2. A willingness to work a flexible schedule depending on daily/weekly needs.
3. Professional phone, email and face-to-face communication skills.
...</t>
  </si>
  <si>
    <t>Graduate Assistant: Sports Information</t>
  </si>
  <si>
    <t>Clarke University</t>
  </si>
  <si>
    <t>Dubuque, IA</t>
  </si>
  <si>
    <t>1. A bachelor's degree is required
2. Applicants must be admitted into a graduate degree program</t>
  </si>
  <si>
    <t>Au Pair o Niñera de Colombia para Cuidar dos niños en Houston, Texas English B1/B2</t>
  </si>
  <si>
    <t>JPG</t>
  </si>
  <si>
    <t>$195.75-$195.75 /wk</t>
  </si>
  <si>
    <t>1. Mujer entre 18 y 26 años.
2. Experiencia comprobada en el cuidado de niños.
3. Nivel básico de inglés.
...</t>
  </si>
  <si>
    <t>Learning and Development Intern – Salt Lake City</t>
  </si>
  <si>
    <t>1. Experience with PowerPoint, video editing, and instructional design software like Adobe Captivate and Articulate 360
2. Ability to conduct training needs assessments
3. Collaborative skills to work with department heads and managers
...</t>
  </si>
  <si>
    <t>Graduate Assistant- Golf</t>
  </si>
  <si>
    <t>Learning Specialist - Winston Prep NJ</t>
  </si>
  <si>
    <t>Winston Preparatory School</t>
  </si>
  <si>
    <t>1. 4 Year Degree
2. Strong writing skills</t>
  </si>
  <si>
    <t>Content Alignment Internship (Fall 2024 - remote)</t>
  </si>
  <si>
    <t>1. At least one year of college with coursework in adult learning, instructional design, communications, or leadership development
2. Working knowledge of Microsoft 365
3. Experience or familiarity with InDesign
...</t>
  </si>
  <si>
    <t>Specialty Fellow</t>
  </si>
  <si>
    <t>$23-$35.77 /h</t>
  </si>
  <si>
    <t>Lash Artist Apprentice / Internship</t>
  </si>
  <si>
    <t>The Lash Lounge</t>
  </si>
  <si>
    <t>1. You must have an Oregon esthetician or cosmetologist license to become an apprentice at The Lash Lounge</t>
  </si>
  <si>
    <t>Pflugerville, TX</t>
  </si>
  <si>
    <t>$17.30-$25 /h</t>
  </si>
  <si>
    <t>1. Managing office supplies
2. Managing active records on internal systems
3. Figure preparation, protocols, and note curation
...</t>
  </si>
  <si>
    <t>1. Good attention to detail, high degree of organization and time management.
2. Ability to work independently as well as a team player.
3. Demonstrated ability to accurately understand instructions and to carry out assigned tasks.
...</t>
  </si>
  <si>
    <t>ISGE - Program Assistant</t>
  </si>
  <si>
    <t>Belmont University</t>
  </si>
  <si>
    <t>1. Strong writing skills
2. Canva
3. Excel
...</t>
  </si>
  <si>
    <t>University Student Assistant - Media Relations (Fall 2024 - Summer 2025)</t>
  </si>
  <si>
    <t>$500-$500 /mon</t>
  </si>
  <si>
    <t>Student Assistant (multiple positions) - 00654</t>
  </si>
  <si>
    <t>State of Indiana Internship - Undergraduate</t>
  </si>
  <si>
    <t>Youth Opportunity Center</t>
  </si>
  <si>
    <t>Muncie, IN</t>
  </si>
  <si>
    <t>$15.10-$15.10 /h</t>
  </si>
  <si>
    <t>1. Enrollment in a Bachelor's degree program in Criminal Justice and Criminology, Family Studies, Education/Teaching, Psychology, Social Work, or Human Services
2. Ability to work part-time
3. Willingness to work under the supervision of a YOC Program Manager
...</t>
  </si>
  <si>
    <t>AU Abroad Graduate Administrative Assistant (Student)</t>
  </si>
  <si>
    <t>1. Enrolled AU graduate student
2. Strong attention to detail and reliability
3. Patient, creative, able to work independently
...</t>
  </si>
  <si>
    <t>Coconut Creek, FL</t>
  </si>
  <si>
    <t>1. An earned associates degree from an accredited institution OR at least 60 semester hours of earned college credit from an accredited institution
2. Standard high school diploma or satisfactory completion of an approved General Educational Development (GED) Testing Program
3. Achieve a passing score on either the Para Pro Assessment Test or other officially sanctioned standard tests, which measure required reading and mathematics skills
...</t>
  </si>
  <si>
    <t>CLASSROOM ASSISTANT, K-12/Exceptional Student Education (ESE)</t>
  </si>
  <si>
    <t>Land O' Lakes, FL</t>
  </si>
  <si>
    <t>1. An earned associates degree from an accredited institution OR at least 60 semester hours of earned college credit from an accredited institution
2. Standard high school diploma or satisfactory completion of an approved General Educational Development (GED) Testing Program
3. The ability to interact and communicate effectively with children
...</t>
  </si>
  <si>
    <t>California Department of Social Services</t>
  </si>
  <si>
    <t>1. Undergraduate student in a relevant field of study
2. Ability to document changes in data systems and participate in small-scale projects
3. Experience in data analysis and generating insights
...</t>
  </si>
  <si>
    <t>Temporary</t>
  </si>
  <si>
    <t>$7.25-$10 /h</t>
  </si>
  <si>
    <t>1. High school students
2. Participation in a 4-week hands-on educational program
3. Interest in careers in Medicine, Administration, and Cancer Research
...</t>
  </si>
  <si>
    <t>Intern, Clerical Undergraduate Year-Round - Community Involvement, Onsite</t>
  </si>
  <si>
    <t>Corporate Service Internship - Fall 2024</t>
  </si>
  <si>
    <t>Jersey Cares</t>
  </si>
  <si>
    <t>1. A flexible schedule, including the ability to work early mornings and late evenings
2. Interest in event-planning, experience is preferred
3. Strong communication skills and professional demeanor
...</t>
  </si>
  <si>
    <t>1. Graduate student with international experience preferred and a demonstrated interest in international education
2. Strong attention to detail and reliability are essential for success
3. Candidates should be patient, creative, able to work independently, have experience with data-entry, have experience organizing events for students, and be familiar with social media
...</t>
  </si>
  <si>
    <t>Vocational Rehabilitation Counseling Intern</t>
  </si>
  <si>
    <t>Minnesota Department of Employment and Economic Development</t>
  </si>
  <si>
    <t>1. Enrolled in a Master's program in Rehabilitation Counseling
2. Must carry at least six (6) semester/nine (9) quarter credits if enrolled at a credit-granting institution
3. Graduate students must be enrolled in at least two (2) courses or making progress on a dissertation</t>
  </si>
  <si>
    <t>1. A Texas Tech University undergraduate or graduate student enrolled in at least 6 hours employed to perform work which does not require academic training at the graduate level.</t>
  </si>
  <si>
    <t>Training Department Intern</t>
  </si>
  <si>
    <t>1. Have an understanding, appreciation and commitment to the philosophy and mission of Community Access.
2. Establish and maintain polite, professional and effective working relationships with all employees and participants alike during the performance of duties.
3. Completion of relevant training program
...</t>
  </si>
  <si>
    <t>Post-Graduate Athletic Intern - Learning Assistance Program (LAP)</t>
  </si>
  <si>
    <t>Alternance BAC+4/5 - Learning &amp; Development Coordinateur France - F/H/D</t>
  </si>
  <si>
    <t>1. Vous allez préparer une dernière année de formation type Master 2 ou Mastère spécialisé en Formation Ressources Humaines
2. Une première expérience professionnelle dans ce domaine (stage, alternance, césure, etc.) serait appréciée
3. Vous maitrisez le Pack-Office notamment PowerPoint et Excel et la connaissance de logiciels RH comme CornerStone serait un plus
...</t>
  </si>
  <si>
    <t>12 Month Attendance Student Data Specialist 1.0 FTE</t>
  </si>
  <si>
    <t>Corona Del Sol High School</t>
  </si>
  <si>
    <t>1. High School Diploma or GED</t>
  </si>
  <si>
    <t>Music History Department Assistant (NEC STUDENT ONLY)</t>
  </si>
  <si>
    <t>1. Organizational Skills
2. Communication/Interpersonal Skills
3. Technical Proficiency
...</t>
  </si>
  <si>
    <t>General School Assistant (Parking) 2024-25 - Sammamish</t>
  </si>
  <si>
    <t>1. High school graduation or equivalent
2. Have at least one of the following: ETS Paraeducator Assessment, Associate of Arts degree, 72 quarter credits or 48 semester credits at an institution of higher education, completed a registered apprenticeship program
3. Foreign degrees accepted if evaluated by a NACES member company</t>
  </si>
  <si>
    <t>Student Assistant - 60186</t>
  </si>
  <si>
    <t>1. Candidates must be a matriculated graduate college student.
2. Documentation of current matriculation and enrollment in the current semester must be submitted with your resume.
3. Creating data visualizations for organizational management.
...</t>
  </si>
  <si>
    <t>Strategic Student Program: Software Development Co-op (Fall 2024, LCS)</t>
  </si>
  <si>
    <t>1. Currently enrolled as an undergraduate student
2. Minimum 3.0 GPA
3. Authorized to work in the United States without the need for current or future sponsorship by the company
...</t>
  </si>
  <si>
    <t>2025 2L Diversity &amp; Inclusion Scholarship, Intellectual Property (Chicago, IL)</t>
  </si>
  <si>
    <t>2025 2L Diversity &amp; Inclusion Scholarship, Finance &amp; Transactions (New York, NY)</t>
  </si>
  <si>
    <t>1. Rising second-year law student
2. Background or experience contributing to diversity of Vedder Price and legal profession
3. Geographic tie to New York office
...</t>
  </si>
  <si>
    <t>Freshman English Assistant (GA)- Fall 2024- Spring 2025</t>
  </si>
  <si>
    <t>Bob Jones University</t>
  </si>
  <si>
    <t>1. Critical thinking and reading skills
2. Ability to meet deadlines
3. Communication skills in one-on-one tutoring situations
...</t>
  </si>
  <si>
    <t>1. Individual currently enrolled in college courses.
2. Ability to use a computer and applicable software is required.
3. Evidence of effective interpersonal communication skills, telephone skills, customer service skills and the ability to deal with multiple priorities is desired.
...</t>
  </si>
  <si>
    <t>Fall Fitness Intern (Moon, PA)</t>
  </si>
  <si>
    <t>HealthFitness</t>
  </si>
  <si>
    <t>1. Junior or Senior level Bachelor's or Master's level student working towards a degree in Physical Education, Exercise Physiology, Kinesiology, Recreation, Health Education, Health Promotion or related field from an accredited college or university.
2. Current CPR, First Aid and AED certification from American Heart Association or American Red Cross required (or will be required by start date of internship).
3. Communication skills to instruct and interact effectively with a diverse group of individuals.
...</t>
  </si>
  <si>
    <t>Commerce Township, MI</t>
  </si>
  <si>
    <t>Psychology Opportunity- Autism Support</t>
  </si>
  <si>
    <t>Nebraska Behavior Supports</t>
  </si>
  <si>
    <t>1. High school diploma or equivalent.
2. Willingness to learn and passionate about making a difference for children with Autism.
3. Patience, compassion, and the ability to maintain a calm demeanor in challenging situations.
...</t>
  </si>
  <si>
    <t>Intermural Graduate Assistant</t>
  </si>
  <si>
    <t>Anna Maria College</t>
  </si>
  <si>
    <t>Paxton, MA</t>
  </si>
  <si>
    <t>1. Bachelor’s degree in a related field
2. Enrollment in a graduate program at the college
3. Experience with intramural sports programs or related activities
...</t>
  </si>
  <si>
    <t>$7.25-$23 /h</t>
  </si>
  <si>
    <t>1. Enrolled student at Auburn University.</t>
  </si>
  <si>
    <t>Americorps Financial Education Specialist</t>
  </si>
  <si>
    <t>$569-$1076 /wk</t>
  </si>
  <si>
    <t>1. Experience performing duties in multicultural environments.
2. English writing and language skills (bilingual in Spanish, French, Korean, Mandarin, Thai, or Hindi preferred).
3. Highly organized and efficient, 'can-do' attitude, flexibility, teamwork, and attention to detail; high degree of initiative.
...</t>
  </si>
  <si>
    <t>Master's Level Paid Intern</t>
  </si>
  <si>
    <t>Pathways</t>
  </si>
  <si>
    <t>Maryville, Tennessee</t>
  </si>
  <si>
    <t>1. Currently enrolled and pursuing Masters’ degree in social work or counseling or other related field from an accredited university.</t>
  </si>
  <si>
    <t>Spring Valley Campus (Washington, DC)</t>
  </si>
  <si>
    <t>Graduate Assistant- Bratzke Student Athlete Academic Success Center</t>
  </si>
  <si>
    <t>1. Must be enrolled in EKU Graduate School</t>
  </si>
  <si>
    <t>EKU Guru</t>
  </si>
  <si>
    <t>1. Completed at least one semester at EKU, be enrolled currently as a student, and in Good Academic Standing.
2. Student must be self-motivated, take initiative and responsibility, and be friendly and approachable.</t>
  </si>
  <si>
    <t>BIO 271 Advanced Anatomy Learning Assistant</t>
  </si>
  <si>
    <t>2025 Graduate - Rotational Program - Discovery Program</t>
  </si>
  <si>
    <t>1. Have a B.S. or M.S. in a STEM field (particularly in the disciplines listed above).
2. Have strong technical experience, as proven through demonstrated impact in at least one internship, research experience, or project outside of the classroom.
3. Have demonstrated initiative that has enabled excellence in technical projects, professional experiences, or extracurricular activities.
...</t>
  </si>
  <si>
    <t>RSO Graduate Assistant 12 Month</t>
  </si>
  <si>
    <t>$17000-$17000 /yr</t>
  </si>
  <si>
    <t>1. Completion of a Bachelor’s degree with a 3.0 GPA or higher from an accredited university
2. Unconditional enrollment in a Graduate degree-seeking program at the University of Arkansas</t>
  </si>
  <si>
    <t>CLASSROOM ASSISTANT, K-12/ EXCEPTIONAL STUDENT EDUCATION (ESE)</t>
  </si>
  <si>
    <t>Library and Research Intern - Grad Student (Fall)</t>
  </si>
  <si>
    <t>1. Prospective intern must be enrolled in a Master’s-level degree program in Library and Information Science or a related field at an accredited college or university
2. Excellent research and legal search strategies in library databases (ProQuest, Westlaw, EBSCOhost, LexisNexis)
3. Excellent written, oral communication, and critical thinking skills and ability to synthesize research findings
...</t>
  </si>
  <si>
    <t>Intern - Programme Support/Communication</t>
  </si>
  <si>
    <t>1. Be enrolled in a graduate school programme (second university degree or equivalent, or higher),
2. Be enrolled in the final academic year of a first university degree program (minimum Bachelor's level or equivalent),
3. Have graduated with Bachelor's degree, Masters, PhD or equivalent.
...</t>
  </si>
  <si>
    <t>Fall/Spring Undergraduate Program Associate- Supply Chain Analyst</t>
  </si>
  <si>
    <t>$40189.78-$60284.66 /yr</t>
  </si>
  <si>
    <t>1. The ability to obtain/maintain a Secret clearance is required.
2. At least one year in an accredited university’s supply chain, logistics, procurement, management, or business.
3. An interest in resource and product development of shipbuilding.
...</t>
  </si>
  <si>
    <t>Dahlkemper School of Business - Graduate Assistant (Administrative)</t>
  </si>
  <si>
    <t>$11.66-$11.66 /h</t>
  </si>
  <si>
    <t>1. Admitted graduate student</t>
  </si>
  <si>
    <t>Language Center Fall Intern</t>
  </si>
  <si>
    <t>Japan Society</t>
  </si>
  <si>
    <t>Communities, Events</t>
  </si>
  <si>
    <t>1. Detail-oriented
2. Assist with scheduling classes
3. Administrative duties for the Language Program
...</t>
  </si>
  <si>
    <t>SkillBridge Program Fellowship - Program Management</t>
  </si>
  <si>
    <t>Modern Technology Solutions</t>
  </si>
  <si>
    <t>1. 1 year leadership in relevant field
2. Demonstrated analytical, communication and personable skills
3. Bachelor of Science (any)
...</t>
  </si>
  <si>
    <t>2025 Paul D. White Scholar (2L Summer Associate) Application</t>
  </si>
  <si>
    <t>BakerHostetler</t>
  </si>
  <si>
    <t>1. Law students who have overcome obstacles in a way that demonstrates that they have the attributes of a pioneer in the profession or have a background or experiences that enable them to bring a unique perspective to client service
2. Completed 1L or 2L year at an ABA-accredited law school
3. Online application
...</t>
  </si>
  <si>
    <t>Science Resource Office Undergraduate Student</t>
  </si>
  <si>
    <t>1. Demonstrated experience providing professional expertise for a busy environment, dealing with multiple customers and tasks. Ability to multitask and prioritize when needed.
2. Excellent communication and customer service skills, both verbal and written, demonstrating the ability to interact effectively with all levels of personnel.
3. Excellent hands-on knowledge and experience with standard business applications, including MS Excel, MS Word, PowerPoint, Outlook Mail and Calendar.
...</t>
  </si>
  <si>
    <t>Undergrad Development Program (JAPAN)</t>
  </si>
  <si>
    <t>1. Undergraduate degree in Finance, Accounting, Economics, Chemical Engineering, or Business Administration
2. Senior status with a graduation date in Spring 2024
3. Must be a Japanese Citizen open to relocating back to Japan</t>
  </si>
  <si>
    <t>Graduate Program</t>
  </si>
  <si>
    <t>EF English First</t>
  </si>
  <si>
    <t>1. A passport &amp; bachelor’s degree
2. ESL certification (EF English First can sponsor. You don’t need any teaching experience, although it’s always welcome! You just need to be willing to learn and grow, and EF English First will help with the rest!)
3. Clear background check</t>
  </si>
  <si>
    <t>Graduate Assistant - Biology</t>
  </si>
  <si>
    <t>Hood College</t>
  </si>
  <si>
    <t>1. Accepted into the Hood College Graduate School and enrolled in the Biomedical Science or Environmental Biology M.S. program
2. Strong undergraduate record
3. Interest in pursuing research in cell biology, molecular biology, biochemistry, bioinformatics, or environmental biology
...</t>
  </si>
  <si>
    <t>1. Student Assistant who provides operational support in the Department of Emergency Medicine
2. Retrieves, sorts and delivers materials and mail to various locations within the Department
3. Copies, faxes and scans requests
...</t>
  </si>
  <si>
    <t>Intern School Psychologist</t>
  </si>
  <si>
    <t>Desert Choice Schools</t>
  </si>
  <si>
    <t>1. Master's Degree in any area of mental health/counseling/Applied Behavior Analysis
2. Master's Degree en route to completion of School Psychology terminal degree
3. Presently eligible to work in the United States</t>
  </si>
  <si>
    <t>Internship - Personal Training</t>
  </si>
  <si>
    <t>Dynamic Personal Training- Intern</t>
  </si>
  <si>
    <t>Intern- Personal Training</t>
  </si>
  <si>
    <t>Paraeducator IB - Developmental Kindergarten</t>
  </si>
  <si>
    <t>Lynden School District</t>
  </si>
  <si>
    <t>$30.57-$34.42 /h</t>
  </si>
  <si>
    <t>1. Be at least eighteen years of age and hold a high school diploma or its equivalent
2. Hold an associate degree or higher from an accredited college or university
3. Have earned 72 quarter credits or 48 semester credits at the 100 level or higher at an accredited college or university
...</t>
  </si>
  <si>
    <t>Graduate Assistant -  School of Business &amp; Technology</t>
  </si>
  <si>
    <t>Paraeducator IB - Developmental Kindergarten - 1:1</t>
  </si>
  <si>
    <t>MBA Graduate Assistant</t>
  </si>
  <si>
    <t>Graduate Asst for MSW Program- PT</t>
  </si>
  <si>
    <t>1. Bachelor's degree
2. Must be a registered student in the EKU MSW program.</t>
  </si>
  <si>
    <t>Digital Literacy Intern (UNPAID) Fall/Spring</t>
  </si>
  <si>
    <t>1. A high-level of confidentiality is required when working with IRC clients. Comfort working with diverse populations and English language learners.
2. Familiar with basic office equipment Experience working in social work/social services preferred, but not required.
3. Current enrolled or recent undergraduate level studies in Education, Social Work, International Relations, Social Sciences, or related field.
...</t>
  </si>
  <si>
    <t>Graduate Assistant - ESports</t>
  </si>
  <si>
    <t>1. BA or BS degree required
2. Unconditional acceptance into a Southeastern University graduate program preferably pursuing a degree in Student Personnel, Education, Theology or a related field
3. Ability to develop and implement strategies, processes, and programs for an esports team
...</t>
  </si>
  <si>
    <t>Graduate Assistant- eSports</t>
  </si>
  <si>
    <t>1. Bachelor's degree
2. Admission into a graduate degree program</t>
  </si>
  <si>
    <t>2024-2025 Student Health &amp; Wellness, Student Administrative Services Assistant</t>
  </si>
  <si>
    <t>1. Students enrolled at FIU, who have been awarded Federal Work Study (FWS) as part of their Financial Aid Award package.
2. Student must be enrolled with a minimum of six (6) credit hours in a course of study leading to a degree or a Financial Aid eligible certificate, during Fall, Spring, and Summer semesters.
3. Advanced Skills with Word, Excel, PowerPoint.</t>
  </si>
  <si>
    <t>GRAY MEDIA FUTURE FOCUS INTERNSHIP FALL '24 - WNDU</t>
  </si>
  <si>
    <t>Fuquay-Varina, NC</t>
  </si>
  <si>
    <t>Worden, IL</t>
  </si>
  <si>
    <t>Supply Chain Professional Development Program (PDP) Internship -Summer 2025</t>
  </si>
  <si>
    <t>1. Undergraduate students majoring in Supply Chain or Logistics Graduation date must fall between May 2026 – July 2027
2. Authorization to work in the U.S. without restrictions or need for future sponsorship
3. Commitment to relocate anywhere in the U.S. during the program
...</t>
  </si>
  <si>
    <t>Student Services Assistant Secretary</t>
  </si>
  <si>
    <t>York Community High School</t>
  </si>
  <si>
    <t>Elmhurst, IL</t>
  </si>
  <si>
    <t>$17.53-$17.53 /h</t>
  </si>
  <si>
    <t>1. Provide reception and clerical support to the YSS personnel and assisting in daily attendance.
2. Provide assistance to the Student Systems Coordinator and Registrar as needed.
3. Provide administrative and secretarial support for the high school administration as needed in order to support the functions of the main office at the high school.
...</t>
  </si>
  <si>
    <t>2024 Summer Leadership Program - Atlanta</t>
  </si>
  <si>
    <t>1. Actively pursuing a degree in accounting
2. Freshmen and sophomores
3. High academic performers</t>
  </si>
  <si>
    <t>School Age Site Intern- Brandywine Location</t>
  </si>
  <si>
    <t>$15-$15.50 /h</t>
  </si>
  <si>
    <t>1. Must be at least 16 years of age
2. Successful completion of three college or university credits in recreation, elementary education, school-age care, or school-age administration OR successful completion of at least 15-clock-hours of quality-assured training in school-age care
3. Must be at least four years older than any child in direct care
...</t>
  </si>
  <si>
    <t>Personal Training - Intern</t>
  </si>
  <si>
    <t>Wheat Ridge, CO</t>
  </si>
  <si>
    <t>Bloomingdale, IL</t>
  </si>
  <si>
    <t>General School Assistant - Ardmore Elementary 2024-25</t>
  </si>
  <si>
    <t>Aide - SPED - In-Class Support (7.5) - Int **2024-2025 School Year**</t>
  </si>
  <si>
    <t>$14.34-$14.34 /h</t>
  </si>
  <si>
    <t>1. Verification of 48 college credits
2. Verification of Associate’s Degree
3. Verification of Bachelor’s Degree
...</t>
  </si>
  <si>
    <t>Athletic Graduate Intern-Wresling</t>
  </si>
  <si>
    <t>$Annual stipend paid monthly-$Annual stipend paid monthly /yr</t>
  </si>
  <si>
    <t>1. Bachelor’s Degree and a college wrestling experience
2. Acceptance into a GWU Graduate Program</t>
  </si>
  <si>
    <t>Denver International Airport</t>
  </si>
  <si>
    <t>Commercial and Sales Professional Development Program (PDP) Internship - Summer 2025</t>
  </si>
  <si>
    <t>1. Undergraduate students majoring in Marketing, Sales, Business Administration, or other related business major.
2. Graduation date must fall between May 2026 – August 2027
3. Authorization to work in the U.S. without restrictions or need for future sponsorship.
...</t>
  </si>
  <si>
    <t>Accounting, Economics, &amp; Finance (AEF) Professional Development Program (PDP) Intern - Summer 2025</t>
  </si>
  <si>
    <t>1. Undergraduate students majoring in Accounting, Economics, or Finance or other related business major.
2. Graduation date must fall between May 2026– July 2027
3. Authorization to work in the U.S. without restrictions or need for future sponsorship.
...</t>
  </si>
  <si>
    <t>Dania, FL</t>
  </si>
  <si>
    <t>Student Assistant, Orientation Leader</t>
  </si>
  <si>
    <t>New College of Florida</t>
  </si>
  <si>
    <t>Bay Shore Acres, FL</t>
  </si>
  <si>
    <t>1. Possess excitement for NCF and the campus culture with a strong desire to aid in the successful transition for NCF students and their families
2. Agree to abide by professional and ethical standards of conduct, including but not limited to College regulations
3. Exhibit strong interpersonal skills, as well as the ability to work effectively with a diverse group of team members and diverse populations of students and families
...</t>
  </si>
  <si>
    <t>Postdoctoral Trainee</t>
  </si>
  <si>
    <t>Catalight Foundation</t>
  </si>
  <si>
    <t>1. Completion of APA accredited Psychology program
2. Ph.D. or Psy.D. in Psychology
3. Successful completion of predoctoral internship
...</t>
  </si>
  <si>
    <t>Ausbildung Verkäufer 09.2024 (m/w/d)</t>
  </si>
  <si>
    <t>€1100-€1200 /mon</t>
  </si>
  <si>
    <t>1. Erfolgreicher Schulabschluss
2. Lust auf die dynamische Welt des Handels
3. Tatendrang und eine engagierte Arbeitsweise
...</t>
  </si>
  <si>
    <t>Graduate Assistant- Softball</t>
  </si>
  <si>
    <t>Part-Time Graduate Student Job: Course Content Developer for SC 306W BS/MBA Seminar</t>
  </si>
  <si>
    <t>1. Graduate student candidates at the PhD or Master’s level
2. Expertise in at least one of the following areas: Supply Chain Management, Project Management, Finance, Marketing
3. Ability to review and improve course materials
...</t>
  </si>
  <si>
    <t>Part-Time 4-H Summer Assistant/Intern</t>
  </si>
  <si>
    <t>Bradford, OH</t>
  </si>
  <si>
    <t>1. Excellent organizational and time management skills
2. Ability to work independently
3. Ability to plan and teach activities and educational programs
...</t>
  </si>
  <si>
    <t>2025 2L Diversity Scholarship Program</t>
  </si>
  <si>
    <t>WilmerHale</t>
  </si>
  <si>
    <t>Intellectual Property, Legal</t>
  </si>
  <si>
    <t>$30000-$30000 stipend</t>
  </si>
  <si>
    <t>1. Full-time, second-year law students in good standing
2. Expect to graduate from an ABA-accredited law school in 2026
3. Minimum law school GPA of 3.0
...</t>
  </si>
  <si>
    <t>Administrative Assistant #24117 (Student Engagement)</t>
  </si>
  <si>
    <t>1. High school diploma
2. Work experience directly related to the area of employment</t>
  </si>
  <si>
    <t>2024-2025 Student Access and Success, Student Program Coordinator</t>
  </si>
  <si>
    <t>1. Ability to communicate effectively and proactively
2. Knowledge or experience in research or research programs
3. Possess a high sense of responsibility and customer service skills
...</t>
  </si>
  <si>
    <t>BCBA Intern</t>
  </si>
  <si>
    <t>MedCare Pediatric Group, LP</t>
  </si>
  <si>
    <t>1. High School Diploma or the equivalent
2. Bachelor’s Degree
3. Master’s Degree from an accredited program or currently enrolled in a Master’s level accredited program for ABA</t>
  </si>
  <si>
    <t>1. Graduate student candidates at the PhD or Master’s level
2. Expertise in at least one of the following areas: Supply Chain Management, Project Management, Finance, Marketing</t>
  </si>
  <si>
    <t>1. Enrolled in Bachelor degree program in an accredited university, preferably in Psychology, Social Work, Public Health, Education, Counseling, Sociology, Criminal Justice, or related field of study
2. Experience working with individuals and families
3. Experience working with at-risk youth
...</t>
  </si>
  <si>
    <t>Four Oaks, NC</t>
  </si>
  <si>
    <t>2025 Summer Internship - Investment - New York City</t>
  </si>
  <si>
    <t>New York Office - 2L Summer Associate Diversity Scholarship</t>
  </si>
  <si>
    <t>Los Angeles Office - 2L Summer Associate Diversity Scholarship</t>
  </si>
  <si>
    <t>1. MD or equivalent
2. 2 years of general nephrology fellowship completed before the start of the Interventional Nephrology fellowship
3. ABIM - American Board of Internal Medicine Certification
...</t>
  </si>
  <si>
    <t>Chicago Office - 2L Summer Associate Diversity Scholarship</t>
  </si>
  <si>
    <t>Houston Office - 2L Summer Associate Diversity Scholarship</t>
  </si>
  <si>
    <t>2025-2026 Magnetic Resonance Imaging (MRI) Fellow, combined MBA</t>
  </si>
  <si>
    <t>Post Doc Fellow I Main Campus</t>
  </si>
  <si>
    <t>Cook Children's</t>
  </si>
  <si>
    <t>Health Care, Hospitality</t>
  </si>
  <si>
    <t>1. Ph.D. or Psy.D in Psychology from an APA-accredited clinical psychology training program
2. Training in child growth and development required
3. Must possess excellent interpersonal and communication skills with a desire to develop outstanding leadership skills
...</t>
  </si>
  <si>
    <t>2025-2026 Thoracic Pathology Fellow</t>
  </si>
  <si>
    <t>California Department of Developmental Services</t>
  </si>
  <si>
    <t>Family, Government</t>
  </si>
  <si>
    <t>Tulare County, CA</t>
  </si>
  <si>
    <t>$2,985-$4,022.72 /h</t>
  </si>
  <si>
    <t>1. Must possess and maintain sufficient strength, agility, endurance and sensory ability to perform the duties contained within the duty statement
2. Must be able to lift 50 pounds without assistance
3. Must be able to participate in client containment, intervention or restraint
...</t>
  </si>
  <si>
    <t>San Francisco Office - 2L Summer Associate Diversity Scholarship</t>
  </si>
  <si>
    <t>1. Second-year law student
2. Interested in joining the 2025 Summer Associate Program
3. Submit application form, resume, law school transcript, and a brief personal statement
...</t>
  </si>
  <si>
    <t>Hotel Culinary Internship-Kimpton Hotel Monaco Philadelphia</t>
  </si>
  <si>
    <t>1. Able to work on rotating shifts (including overnight) and be flexible in terms of schedule.
2. Excellent attention to detail and are a self starter.
3. Excellent communication skills, are eager to learn and grow, have a can-do attitude, and have an affinity for hospitality.</t>
  </si>
  <si>
    <t>1. Provide counseling services to UNH students including individual and group counseling, intake, and assessment services
2. Crisis intervention and emergency coverage for department
3. Supervision of interns' group and individual therapy
...</t>
  </si>
  <si>
    <t>Healing Arts Volunteer</t>
  </si>
  <si>
    <t>Overlake Medical Center &amp; Clinics</t>
  </si>
  <si>
    <t>1. Must be a current member of the Evergreen Association of Fine Arts (EAFA) and/or Northwest Watercolor Society.</t>
  </si>
  <si>
    <t>Dallas Office - 2L Summer Associate Diversity Scholarship</t>
  </si>
  <si>
    <t>1. Second-year law student
2. Interest in joining the 2025 Summer Associate Program
3. Submission of application form, resume, law school transcript, and a brief personal statement
...</t>
  </si>
  <si>
    <t>Postdoctoral Fellowship in Rehabilitation Psychology</t>
  </si>
  <si>
    <t>1. Doctoral degree in Clinical or Counseling Psychology from an APA-accredited program
2. Completion of an APA-accredited internship
3. Eligibility for licensure as a psychologist in the state of Illinois
...</t>
  </si>
  <si>
    <t>Internal Traveler Program - Pediatrics/Med Surg Adult</t>
  </si>
  <si>
    <t>Winchester, MA</t>
  </si>
  <si>
    <t>1. Bachelors Degree in Nursing (BSN) or obtain BSN within 5 years of hire
2. Current license to practice as a Registered Nurse in the Commonwealth of Massachusetts
3. Work experience in unit specific specialty preferred</t>
  </si>
  <si>
    <t>Pediatric Psychologist-Palliative Care Service</t>
  </si>
  <si>
    <t>1. PhD or PsyD in a psychology training program
2. Completed an APA-approved internship specializing in clinical child or pediatric psychology
3. At least one training program must have been APA-approved</t>
  </si>
  <si>
    <t>Cumberland, ME</t>
  </si>
  <si>
    <t>SILVER FORK STUDENT</t>
  </si>
  <si>
    <t>Center on Halsted</t>
  </si>
  <si>
    <t>1. 7-week culinary arts and job readiness program
2. Ideal for adults
3. Intensive culinary training
...</t>
  </si>
  <si>
    <t>Veteran SkillBridge Program Intern</t>
  </si>
  <si>
    <t>AbbVie</t>
  </si>
  <si>
    <t>North Chicago, IL</t>
  </si>
  <si>
    <t>1. Must still be actively in service and not already exited from the military to participate in the SkillBridge Program.
2. SkillBridge Program prefers a minimum of 90 days for internship participation and can have a maximum of 180 days.
3. Must receive Chain of Command approval prior to beginning.
...</t>
  </si>
  <si>
    <t>Pediatric Psychologist Outpatient Services</t>
  </si>
  <si>
    <t>1. PhD or PsyD in a clinical psychology training program
2. Completed an APA-approved internship specializing in clinical child or pediatric psychology
3. At least one training program must have been APA-approved
...</t>
  </si>
  <si>
    <t>Epic Systems Corporation</t>
  </si>
  <si>
    <t>Business Development, Enterprise Software</t>
  </si>
  <si>
    <t>1. A history of strong academic performance
2. Currently a bachelor's student in the Madison area
3. Available approximately 15 hours per week during the school year, full-time during the summer
...</t>
  </si>
  <si>
    <t>Activities Coordinator Internship</t>
  </si>
  <si>
    <t>Westgate Resorts</t>
  </si>
  <si>
    <t>Casino, Hospitality</t>
  </si>
  <si>
    <t>1. High School Diploma or general education degree (GED)
2. One to three months related experience and/or training
3. Equivalent combination of education and experience
...</t>
  </si>
  <si>
    <t>2025 Virtual Client Solutions Summer Professional Intern Program - Sandy, UT</t>
  </si>
  <si>
    <t>1. Expected graduation date between December 2025 and June 2026
2. Minimum 3.2 GPA
3. All majors (disciplines) are encouraged to apply; interest in finance preferred
...</t>
  </si>
  <si>
    <t>2025 Virtual Client Solutions Summer Professional Intern Program - Tampa, FL</t>
  </si>
  <si>
    <t>Student Life Programming Assistant- Semester Based</t>
  </si>
  <si>
    <t>Lackawanna College</t>
  </si>
  <si>
    <t>1. Valid Driver’s License required.
2. High school diploma required, associate’s degree preferred.
3. Prior experience working with students.
...</t>
  </si>
  <si>
    <t>Graduate Student Assistant - DataSpace - Innovation and Research Commons</t>
  </si>
  <si>
    <t>1. Applicants should be students who are currently enrolled in a graduate program of study at Auburn, with a strong academic background and excellent customer service and communication skills
2. Experience in one or more data analysis, mapping, or visualization applications like: R, Python, SAS, SPSS, ArcGIS, NVivo, Tableau, Excel, Adobe Creative Cloud applications, AutoCAD
3. Experience in one or more of the following areas: Programming/scripting, data analysis, data visualization design, statistical methods, data cleaning, data harvesting, geographic information systems (GIS)
...</t>
  </si>
  <si>
    <t>Graduate Fellow / Men’s Basketball</t>
  </si>
  <si>
    <t>$0-$55000 /yr</t>
  </si>
  <si>
    <t>1. Bachelor’s degree in a related field and enrollment at Virginia Tech to pursue an advanced degree during appointment.
2. Demonstrated basketball experience &amp;/or coaching experience at a collegiate or professional level.
3. Knowledge of basketball terminology &amp; strategy.
...</t>
  </si>
  <si>
    <t>Training Developer Meetinghouse Facilities Dept - Paid Intern</t>
  </si>
  <si>
    <t>1. Pursing or recently completed Bachelor's degree or Masters in Instructional Design, Education, Human Resources, or a related field.
2. Strong written and verbal communication skills.
3. Proficiency in e-learning authoring tools (e.g., Articulate Storyline, Captivate).
...</t>
  </si>
  <si>
    <t>Temporary Worker, WEMBA Tutor, Spring 2023</t>
  </si>
  <si>
    <t>1. Tutor WEMBA students.
2. COVID-19 vaccination is a requirement for all positions at the University of Pennsylvania. New hires are expected to be fully vaccinated before beginning work at the University.</t>
  </si>
  <si>
    <t>Academy Performance Intern</t>
  </si>
  <si>
    <t>1. Current enrollment in or recent graduate of a degree program in exercise science, sports science, kinesiology, or related field.
2. Basic understanding of sports performance principles, including strength and conditioning, sports nutrition, and athlete monitoring.
3. Strong organizational skills and attention to detail.
...</t>
  </si>
  <si>
    <t>Graduate Assistant, BEAR Central, Study Hall &amp; Student-Athlete Support</t>
  </si>
  <si>
    <t>1. Work 21 hours a week with a combination of daytime and primarily evening hours in BEAR Central.
2. Oversee study hall program for the fall and spring semester
3. Monitor and train Evening Study Hall Monitors and assist with scheduling, including any scheduling conflicts that may arise.
...</t>
  </si>
  <si>
    <t>2024 Fall Corporate Wellness Internship</t>
  </si>
  <si>
    <t>1. Currently enrolled in a bachelor’s or master’s program studying exercise science, kinesiology, physical education or related field
2. Must be in a program accepting course credit in exchange for an internship experience, as this is an unpaid internship
3. Passionate about working with the active/athletic population
...</t>
  </si>
  <si>
    <t>Assistant Professor- Finance</t>
  </si>
  <si>
    <t>Alfred State College</t>
  </si>
  <si>
    <t>Alfred, NY</t>
  </si>
  <si>
    <t>1. The Certified Financial Planner (CFP) credential or an MS in Financial Planning or a related master's degree is required.
2. The candidate should have excellent written, verbal, and digital communication skills and strong computer and information systems competencies.</t>
  </si>
  <si>
    <t>Program Coordinator (Student Services Professional II), Office of Black Student Success</t>
  </si>
  <si>
    <t>California State University, San Bernardino</t>
  </si>
  <si>
    <t>Higher Education, Professional Services</t>
  </si>
  <si>
    <t>$4841-$4841 /mon</t>
  </si>
  <si>
    <t>1. Possession of two years of professional experience in student services program areas or related field
2. Bachelor's degree in behavioral sciences, public or business administration, or related field
3. Working knowledge of program practices, procedures, and activities
...</t>
  </si>
  <si>
    <t>No-Cost Tech Fundamental Program - Earn industry-recognized certifications (Raleigh, NC) -</t>
  </si>
  <si>
    <t>Student Assistant - Innovation &amp; Research Commons: Adobe Creative Space</t>
  </si>
  <si>
    <t>1. Enrolled undergraduate student at Auburn University.
2. Some experience in using Adobe Creative Cloud.
3. Some knowledge of design principles.
...</t>
  </si>
  <si>
    <t>Zero-Cost Tech Fundamental Program - Mentoring from senior-level IT professional (St. Louis, MO) -'-</t>
  </si>
  <si>
    <t>Athletic Graduate Intern-Women's Soccer</t>
  </si>
  <si>
    <t>Shelby, NC</t>
  </si>
  <si>
    <t>1. Bachelor’s degree required
2. Acceptance into a GWU graduate program required
3. Valid driver’s license required
...</t>
  </si>
  <si>
    <t>Federal Work Study - Student Office Assistant - Office of Entrepreneurship and Commercialization - Part Time</t>
  </si>
  <si>
    <t>1. Must have received a work-study award
2. Highly organized and collaborative self-starter
3. Excellent customer service, communication, and time management skills
...</t>
  </si>
  <si>
    <t>Stem, NC</t>
  </si>
  <si>
    <t>Finance Virtual Externship Program (Undergraduate)</t>
  </si>
  <si>
    <t>CVS Health</t>
  </si>
  <si>
    <t>1. Meet educational requirements (see education section)</t>
  </si>
  <si>
    <t>Ethos ER Immerse Training Program - Sage Campbell</t>
  </si>
  <si>
    <t>Ethos Veterinary Health</t>
  </si>
  <si>
    <t>Campbell, CA</t>
  </si>
  <si>
    <t>1. Passionate about working in emergency medicine
2. Team oriented
3. Driven
...</t>
  </si>
  <si>
    <t>Behavior Analyst Intern</t>
  </si>
  <si>
    <t>Comprehensive Educational Services</t>
  </si>
  <si>
    <t>1. Minimum enrollment in a MA or BCaBA Program; MA Degree and/or BCaBA preferred
2. Exposure to individuals with disabilities or Autism Spectrum Disorder
3. Background check clearance and up-to-date immunizations may be required
...</t>
  </si>
  <si>
    <t>Classroom Aide</t>
  </si>
  <si>
    <t>Creative Learning Center</t>
  </si>
  <si>
    <t>1. High School Diploma or equivalent required
2. Ability to collaborate and receive feedback, mentoring and direction from peers and supervisors
3. Demonstrated experience in maintaining a professional and clinical perspective at all times
...</t>
  </si>
  <si>
    <t>1. Working towards/possess a four-year bachelor's degree
2. Must demonstrate the intention and desire to work as an equipment manager, Operations staff, or in a related role
3. Must be familiar with various software platforms including, but not limited to, Excel, Word, and PowerPoint.
...</t>
  </si>
  <si>
    <t>Academy Administrator Intern</t>
  </si>
  <si>
    <t>1. Working towards/possess a four-year bachelor's degree
2. Must be familiar with various software platforms including, but not limited to, Excel, Word, PowerPoint, Outlook.
3. Must be able to professionally communicate both in-person and in digital formats
...</t>
  </si>
  <si>
    <t>PhD Leadership Development Program (LDP) - Class of 2025</t>
  </si>
  <si>
    <t>$115000-$115000 /yr</t>
  </si>
  <si>
    <t>1. PhD degree in Chemistry, Biochemistry, Chemical Engineering, Biosciences, Material Science, or Polymer Science
2. PhD Graduation dates: May 2024 - August 2025 (MUST successfully defend prior to August 2025) OR completing 1st or 2nd year of first post-doctorate position
3. Authorization to work in the U.S. without restrictions or need for future sponsorship
...</t>
  </si>
  <si>
    <t>Student Assistant - Resource Sharing</t>
  </si>
  <si>
    <t>1. Currently enrolled student at Auburn University</t>
  </si>
  <si>
    <t>School Administrative Assistant</t>
  </si>
  <si>
    <t>Mount Prospect Academy</t>
  </si>
  <si>
    <t>North Hampton, NH</t>
  </si>
  <si>
    <t>$40500-$40500 /yr</t>
  </si>
  <si>
    <t>1. 2-3 years as an administrative support person, ideally in a school or academic environment.
2. Significant proficiency in Outlook365, SharePoint and Windows Productivity Tools (Word, Excel, PowerPoint)
3. Demonstrated passion and experience in a high customer service-oriented role
...</t>
  </si>
  <si>
    <t>MBA Leadership Development Program (LDP) - Class of 2025</t>
  </si>
  <si>
    <t>1. MBA or Master’s graduates pursuing a career in General Management
2. MBA or Master’s graduation date must fall between May 2022 - August 2025
3. Minimum of 3 years’ &amp; maximum of 6 years’ professional work experience
...</t>
  </si>
  <si>
    <t>Professional Development Program (PDP) Internship - Data Science Summer 2025</t>
  </si>
  <si>
    <t>1. Undergraduate or graduate students majoring in Data Analytics/Science, Applied Mathematics, Statistics, Chemical, Mechanical Engineering.
2. Authorization to work in the U.S. now and in the future without restrictions or need for future sponsorship
3. College Sophomores and Juniors (May 2026 - July 2027 grads)
...</t>
  </si>
  <si>
    <t>Postdoctoral Fellow - Epidemiology and Cancer Control</t>
  </si>
  <si>
    <t>1. A doctoral degree (PhD, MD, or equivalent) in a relevant field.
2. Strong interest in developing research-focused careers, preferably in childhood cancer survivorship.
3. Good communication skills (both oral and written in English).
...</t>
  </si>
  <si>
    <t>Graduate Student Assistant - Research and Instruction Services</t>
  </si>
  <si>
    <t>1. Applicants should be students who are currently enrolled in a graduate program of study at Auburn University.</t>
  </si>
  <si>
    <t>Student Assistant, Administrative Support</t>
  </si>
  <si>
    <t>Rutgers University</t>
  </si>
  <si>
    <t>1. Must be a currently active student with Rutgers University or Rutgers Biomedical and Health Sciences.
2. Must have completed an Associate’s Degree or at least two years of college and actively pursuing a college or graduate degree.</t>
  </si>
  <si>
    <t>Research Intensive MS in Biological Sciences Program</t>
  </si>
  <si>
    <t>Buck Institute</t>
  </si>
  <si>
    <t>Biotechnology, Business Development</t>
  </si>
  <si>
    <t>Novato, CA</t>
  </si>
  <si>
    <t>$29000-$29000 /yr</t>
  </si>
  <si>
    <t>1. Research Intensive MS in Biological Sciences
2. Two year program
3. Thesis based program
...</t>
  </si>
  <si>
    <t>$26,350-$26,350 /yr</t>
  </si>
  <si>
    <t>1. High school diploma or GED or agree to obtain one during the service year
2. Bachelor's degree in social sciences is a plus
3. Experience performing duties in multicultural environments
...</t>
  </si>
  <si>
    <t>2025 Virtual Client Solutions Summer Professional Intern Program - Gilbert, AZ</t>
  </si>
  <si>
    <t>Athletic Graduate Intern - Lacrosse</t>
  </si>
  <si>
    <t>1. Bachelor’s degree required
2. Acceptance into a GWU graduate program required
3. Effective communication skills, both written and verbal</t>
  </si>
  <si>
    <t>CTRL Program and Media Coordinator (Student)</t>
  </si>
  <si>
    <t>1. MA/MFA candidate or degree holder or Ph.D. candidate
2. Must be creative, results oriented, excel in customer service and have strong administrative skills
3. Must be able to exercise initiative, work independently, multitask, and project a professional image at all times
...</t>
  </si>
  <si>
    <t>Programming Graduate Assistant (Student)</t>
  </si>
  <si>
    <t>1. Bachelors degree required.
2. Experience with managing events and leadership development
3. Able to work beginning August 12, 2024</t>
  </si>
  <si>
    <t>CTRL Event and Program Coordinator (Student)</t>
  </si>
  <si>
    <t>1. MA/MFA candidate or degree holder or Ph.D. candidate
2. Must be creative, results oriented, excel in customer service, and have strong administrative skills
3. Must be able to exercise initiative, work independently, multitask, and project a professional image at all times
...</t>
  </si>
  <si>
    <t>Chapter Organizing Intern/Fellow</t>
  </si>
  <si>
    <t>Scholars Strategy Network</t>
  </si>
  <si>
    <t>1. An advanced undergraduate or a graduate student
2. Proficient in Microsoft Office and Google Apps
3. Experienced with Zoom event management
...</t>
  </si>
  <si>
    <t>Americorp Workforce Development Specialist</t>
  </si>
  <si>
    <t>$26350 /yr</t>
  </si>
  <si>
    <t>Graduate Assistant, Bear Central, Academic Support Services</t>
  </si>
  <si>
    <t>1. Serve as point of reception for students and visitors to the second floor of the library.
2. Assist with the peer-tutoring program, including the tutor pairing process, tracking data related to these pairings and organizing group tutoring sessions.
3. Assist with the recruitment, staffing and coordination of all academic support programs.
...</t>
  </si>
  <si>
    <t>Graduate Intern for Men's Lacrosse and Athletics Event Operations</t>
  </si>
  <si>
    <t>Regis College</t>
  </si>
  <si>
    <t>$4000-$4000 stipend</t>
  </si>
  <si>
    <t>1. Bachelor’s degree required, admission to one of Regis' College's graduate programs.
2. Prior successful playing or coaching experience at the college level preferred; significant successful high school or club experience considered.
3. Strong organizational skills required.
...</t>
  </si>
  <si>
    <t>2024-2025 College of Business, Student Office Assistant - Chapman Financial Aid Office</t>
  </si>
  <si>
    <t>1. Proficient in MS Word/Excel
2. Possess excellent customer service skills
3. Students enrolled at FIU, who have been awarded Federal Work Study (FWS) as part of their Financial Aid Award package
...</t>
  </si>
  <si>
    <t>2024-2025 - College of Business Marketing &amp; Communication, Student Events Associate</t>
  </si>
  <si>
    <t>1. Customer service knowledge
2. Basic level of Microsoft Office Suite
3. Ability to take direction and work independently as needed
...</t>
  </si>
  <si>
    <t>Internship Coordinator - 2024/2025 School Year</t>
  </si>
  <si>
    <t>Mastery Schools</t>
  </si>
  <si>
    <t>1. Extremely strong organizational skills including detailed database work and event planning
2. Ability to document students’ academic progress
3. Ability to work and communicate effectively with students, teachers, administrators, businesses and organizations
...</t>
  </si>
  <si>
    <t>PhD Leadership Development Program (LDP) Internship - Summer 2025</t>
  </si>
  <si>
    <t>$2947 /mon</t>
  </si>
  <si>
    <t>1. Current PhD students graduating between May 2026 – August 2027 and pursuing a doctorate in Chemistry, Biochemistry, Chemical Engineering, Biosciences, Material Science, or Polymer Science
2. Authorization to work in the U.S. without restrictions or need for future sponsorship
3. Commitment to relocate anywhere in the U.S. during and upon placement from the program. All assignments are in-person/hybrid.
...</t>
  </si>
  <si>
    <t>MBA Leadership Development Program (LDP) Internship - Summer 2025</t>
  </si>
  <si>
    <t>1. 1st year MBA students pursuing a career in General Management with an interest in the Manufacturing/Chemical industry
2. Graduation date must fall between December 2025 – August 2026
3. Minimum of 3 years' work experience &amp; maximum of 6 years' work experience
...</t>
  </si>
  <si>
    <t>Graduate Assistant-Williston Student Activities-Student Employment Opportunity (Workstudy Eligibility Preferred)</t>
  </si>
  <si>
    <t>Williston, VT</t>
  </si>
  <si>
    <t>1. A bachelor's degree is required with acceptance into graduate school at Vermont State University.
2. Candidates must be willing to submit to a criminal background check.</t>
  </si>
  <si>
    <t>HUCA250: Internship Program Manager</t>
  </si>
  <si>
    <t>1. Engage with and support interns during their internship.
2. Manage intern paperwork and volunteering extensions by using Docusign.
3. In partnership with Department leadership, review volunteer activity and offboard departing candidates.
...</t>
  </si>
  <si>
    <t>2024-2025 - External Programs Engineering and Computing, Student Program Assistant</t>
  </si>
  <si>
    <t>1. Strong interpersonal, verbal and written communication skills.
2. Available to work flexible schedule at the Engineering Center and other FIU campuses.
3. Ability to work efficiently as a team or independently and be able to learn in a fast-paced environment.
...</t>
  </si>
  <si>
    <t>Student Administrative Support (Lumpkin County Public Library) - Federal Work Study</t>
  </si>
  <si>
    <t>Graduate Intern for the Center for Internships and Career Development</t>
  </si>
  <si>
    <t>1. BA/BS required; enrollment in a graduate program required.
2. Excellent intrapersonal, organizational, and administrative skills
3. Communication skills, including presentations to groups.
...</t>
  </si>
  <si>
    <t>Campus Recreation Generalist Intern</t>
  </si>
  <si>
    <t>Florida Atlantic University</t>
  </si>
  <si>
    <t>1. Degree-seeking undergraduate student taking a minimum of six credit hours (or twelve if international) and a 2.0 GPA.
2. Authorized to work in the United States is required.
3. Exhibit strong leadership, communication, and organizational skills.
...</t>
  </si>
  <si>
    <t>Graduate Assistant - Generalist (AD1935) Researcher</t>
  </si>
  <si>
    <t>Walden University</t>
  </si>
  <si>
    <t>1. Strong written and verbal communication and interpersonal relationship skills.
2. Excellent problem-solving skills.
3. Excellent attention to detail and proofreading skills.
...</t>
  </si>
  <si>
    <t>$17.22-$23.21 /h</t>
  </si>
  <si>
    <t>1. Proof of application for, or enrollment as a student in, an appropriate college or university program.</t>
  </si>
  <si>
    <t>Mental Performance Coach (Intern)</t>
  </si>
  <si>
    <t>Chicago Fire</t>
  </si>
  <si>
    <t>American Football, Sports</t>
  </si>
  <si>
    <t>1. At least 1 year of football experience
2. Must be pursuing post-graduate degree in sport psychology/counseling from accredited college or university
3. Ability to work independently on projects and work efficiently and effectively in group settings
...</t>
  </si>
  <si>
    <t>Learning &amp; Evaluation Internship</t>
  </si>
  <si>
    <t>Tech Goes Home</t>
  </si>
  <si>
    <t>Education, Technical Support</t>
  </si>
  <si>
    <t>1. Program fluency using Excel or other data management system
2. Exceptional attention to detail
3. Self-motivated
...</t>
  </si>
  <si>
    <t>SCHOOL PSYCHOLOGIST INTERN</t>
  </si>
  <si>
    <t>Phoenix Elementary School District</t>
  </si>
  <si>
    <t>1. Masters, Educational Specialist or Doctorate degree (or pending internship)
2. Meet guidelines established by the Educational Internship Supervisor
3. Certification through Arizona Department of Education as appropriate for internship
...</t>
  </si>
  <si>
    <t>Graduate Assistant - Mens and Womens Rugby</t>
  </si>
  <si>
    <t>Southern Nazarene University</t>
  </si>
  <si>
    <t>Bethany, OK</t>
  </si>
  <si>
    <t>1. An understanding of the importance of diversity, inclusion, and equity.
2. College graduate
3. Possess strong verbal and written communication skills
...</t>
  </si>
  <si>
    <t>Weber State University Campus Organizer 2024-2025</t>
  </si>
  <si>
    <t>Ogden, UT, US</t>
  </si>
  <si>
    <t>1. Must be currently enrolled as a student at Weber State University.
2. Strong written and verbal communication skills
3. Strong interpersonal skills
...</t>
  </si>
  <si>
    <t>Student-Athlete Support Program Assistant (Student)</t>
  </si>
  <si>
    <t>1. Currently enrolled American University degree-seeking graduate student.
2. Excellent writing, speaking, and interpersonal skills.
3. Demonstrated ability to work independently in a fast-paced environment and meet established work deadlines.
...</t>
  </si>
  <si>
    <t>1. Degree-seeking graduate student with a minimum of five credit hours (or nine if international) and a minimum 3.0 GPA
2. Authorized to work in the United States</t>
  </si>
  <si>
    <t>Internship- Older Adult Care, Senior Program</t>
  </si>
  <si>
    <t>Food Bank For New York City</t>
  </si>
  <si>
    <t>1. Compassionate, patient, and sensitive to the needs of older adults
2. Service-minded, and committed to helping vulnerable populations
3. Basic computer skills: internet use, email (Outlook), Microsoft Office Suite (Word, Excel, PowerPoint, etc.), typing, data entry
...</t>
  </si>
  <si>
    <t>Summer Undergraduate Researchers</t>
  </si>
  <si>
    <t>$99253-$111235 /yr</t>
  </si>
  <si>
    <t>1. Earned Doctorate
2. Experience in facilitating undergraduate research opportunities, or other high-impact educational practices in higher education.
3. Knowledge of common financial principles and experience working with budgets.
...</t>
  </si>
  <si>
    <t>Graduate Assistant, Interfaith Institute</t>
  </si>
  <si>
    <t>1. Bachelor’s degree required.
2. Enrolled in one of the following Augsburg University Graduate Programs; Master of Arts in Leadership (MAL), Master of Arts in Business Administration (MBA), Master of Arts in Social Work (MSW). Candidates do not need to be enrolled at the time of application but will need to be enrolled by the start of the fellowship.
3. Ability to work effectively and collaboratively in a diverse work environment.
...</t>
  </si>
  <si>
    <t>Kittrell, NC</t>
  </si>
  <si>
    <t>Millstadt, IL</t>
  </si>
  <si>
    <t>Federal Work Study-DPT Research Assistant</t>
  </si>
  <si>
    <t>Diversity Equity &amp; Inclusion Matter: Monterey Bay Aquarium Veterinary Externship</t>
  </si>
  <si>
    <t>Monterey Bay Aquarium</t>
  </si>
  <si>
    <t>Aquaculture, Architecture</t>
  </si>
  <si>
    <t>1. Currently enrolled in a veterinary program and in their clinical year(s) of veterinary studies at the time of their stay at the Monterey Bay Aquarium
2. In good academic standing
3. In good physical shape (able to lift 25kg) and be comfortable working both indoors and outdoors in central coastal, California weather conditions
...</t>
  </si>
  <si>
    <t>Cedarville, OH</t>
  </si>
  <si>
    <t>Global University Case Competition</t>
  </si>
  <si>
    <t>Zuru Toys</t>
  </si>
  <si>
    <t>Manufacturing, Toys</t>
  </si>
  <si>
    <t>1. University student
2. Looking to gain business experience as part of your degree
3. Applications for ZURU x Delta Institute Global University Case Competition are now open
...</t>
  </si>
  <si>
    <t>UFC Performance Nutrition Intern - Fall 2024</t>
  </si>
  <si>
    <t>1. Must be enrolled in a relevant academic program.
2. Must possess or be working towards an RD or CSSD certification.
3. Outstanding work ethic and attention to detail.
...</t>
  </si>
  <si>
    <t>Part Time - Student - Research Assistant</t>
  </si>
  <si>
    <t>1. Part-time availability during Fall 2024 and Spring 2025 Semester
2. Seeking employment with Penn State
3. Approval of remote and hybrid work not guaranteed
...</t>
  </si>
  <si>
    <t>Moro, IL</t>
  </si>
  <si>
    <t>GRAY MEDIA FUTURE FOCUS INTERNSHIP FALL '24 - WTVG</t>
  </si>
  <si>
    <t>Graduate Assistant Campus Life - Boston</t>
  </si>
  <si>
    <t>Massachusetts College of Pharmacy and Health Sciences</t>
  </si>
  <si>
    <t>1. Bachelor’s degree
2. Current graduate student who is pursuing a master’s degree in higher education and/or student affairs administration, education, counseling, or related field concurrently while in the position.
3. Excellent verbal and written communication skills, including the ability to effectively communicate with internal and external customers.
...</t>
  </si>
  <si>
    <t>Creative Engagement Student Ambassador– STUDENT ONLY (Federal Work Study)</t>
  </si>
  <si>
    <t>Edgewood, KY</t>
  </si>
  <si>
    <t>1. Good organizational skills
2. Dependable and able to stick to a schedule
3. Good communication skills
...</t>
  </si>
  <si>
    <t>DOD Skillbridge Corporate Fellowship Program "Hiring Our Heroes"</t>
  </si>
  <si>
    <t>1. Must be a current active duty service member eligible to participate in the DOD Skillbridge Program through Hiring Our Heroes.
2. An Interest And Skill In Any Of The Following: IT/Cyber, Project Manager, Program Manager, Project Engineer, Data Analyst, Financial Analyst, Business Development, Intelligence, Systems Engineer, Human Resources</t>
  </si>
  <si>
    <t>$570-$570 /wk</t>
  </si>
  <si>
    <t>1. Experience performing duties in multicultural environments.
2. Excellent English writing and language skills (bilingual in Spanish, French, Korean, Mandarin, Thai, or Hindi preferred).
3. Highly organized and efficient, 'can-do' attitude, flexibility, teamwork, and attention to detail; high degree of initiative.
...</t>
  </si>
  <si>
    <t>Fall 2024 - Undergraduate Research Intern - Cancer Research Center for Health Equity - Ramin Lab (Paid, Per Diem, On-Site)</t>
  </si>
  <si>
    <t>Workforce Development Intern (Spring 2025)</t>
  </si>
  <si>
    <t>1. Pursuing a technical or educational degree in a STEM related field.
2. Must have good communication skills and comfortable interacting with others necessary to learn and teach.
3. Competent in Microsoft tools (Word, Excel, PowerPoint), basic picture &amp; video editing.
...</t>
  </si>
  <si>
    <t>Track &amp; Field Graduate Assistant</t>
  </si>
  <si>
    <t>Mount Marty University</t>
  </si>
  <si>
    <t>Yankton, SD</t>
  </si>
  <si>
    <t>$2500-$2500 academic stipend</t>
  </si>
  <si>
    <t>1. Must be accepted into the Mount Marty University Masters of Education Coaching Leadership Program
2. Must have a 2.75 GPA
3. Must provide three letters of reference from a supervisor, coach, professor/colleague
...</t>
  </si>
  <si>
    <t>Graduate Research Assistant, Masters or PhD, Cultural Resources Management Program</t>
  </si>
  <si>
    <t>Desert Research Institute</t>
  </si>
  <si>
    <t>DRI - Las Vegas, NV</t>
  </si>
  <si>
    <t>$1850-$2250 /mon</t>
  </si>
  <si>
    <t>1. Bachelor’s degree in Archaeology, Architectural History, Architecture, History, Historic Preservation or related field from an accredited institution
2. Acceptance into a Master’s or Ph.D. granting program in Archaeology, Architectural History, Architecture, History, Historic Preservation or related field and registered for a minimum of six graduate credits per semester
3. Interest in a career in cultural resource management
...</t>
  </si>
  <si>
    <t>Part-Time Early Childhood Teacher Intern</t>
  </si>
  <si>
    <t>Gallup</t>
  </si>
  <si>
    <t>1. Be currently (or soon to be) enrolled or recently graduated from an early childhood education program, elementary education program, Child Development Associate (CDA) program or related associate or bachelor’s degree program
2. Be able to commit to at least six months; the internship has the potential to extend beyond that time
3. Be able to work with a flexible afternoon schedule between 1 p.m. and 6 p.m., Monday-Friday
...</t>
  </si>
  <si>
    <t>Postdoctoral Fellow Psych</t>
  </si>
  <si>
    <t>1. Doctor of Philosophy (Ph.D.) or PsyD in accredited program, or all doctoral requirements completed (including dissertation successfully defended and predoctoral clinical internship successfully completed) within 90 days of date of hire
2. 3 years of work experience
3. Training in evidenced-based psychological interventions
...</t>
  </si>
  <si>
    <t>AmeriCorp Program &amp; Inclusion Assistant</t>
  </si>
  <si>
    <t>Girl Scouts of the Northwestern Great Lakes</t>
  </si>
  <si>
    <t>Appleton-Oshkosh Area</t>
  </si>
  <si>
    <t>$21,500 /yr</t>
  </si>
  <si>
    <t>1. Plan and implement quality programming for Girl Scouts grades k - 12 through outreach programs, events, and other opportunities.
2. Build and maintain relationships with site partners, including schools, after school programs, and community partner sites.
3. Be the face of Girl Scouts at community events and meetings.
...</t>
  </si>
  <si>
    <t>Student Assistant-Fall 2024-NISP</t>
  </si>
  <si>
    <t>1. Pursuing a Bachelor’s degree
2. Must be registered for at least 6 credit hours with your university
3. Must have a 2.0 or higher GPA
...</t>
  </si>
  <si>
    <t>Youth Development Internship, Edward L Gaylord "Downtown" YMCA</t>
  </si>
  <si>
    <t>YMCA of Greater Oklahoma City</t>
  </si>
  <si>
    <t>1. Coursework in Child Development, Psychology, Social Work, Human Services or related field.
2. Must be 18 years of age, have high school diploma or GED.
3. Job consists of working with early childhood up to school age children and requires participation in activities with all age groups.
...</t>
  </si>
  <si>
    <t>Federal Work Study-  Peer Support Program Coordinator</t>
  </si>
  <si>
    <t>1. Must be a matriculated undergraduate or graduate college student.</t>
  </si>
  <si>
    <t>Student Assistant - Clin Path - Core Lab</t>
  </si>
  <si>
    <t>1. Must be enrolled in a college or university.</t>
  </si>
  <si>
    <t>Federal Work Study- Elective Curriculum Developer</t>
  </si>
  <si>
    <t>1. High school diploma or equivalent preferred
2. Strong communication and personal skills
3. Valid driver’s license
...</t>
  </si>
  <si>
    <t>LEARNING AND DEVELOPMENT INTERN</t>
  </si>
  <si>
    <t>1. Have completed at least two years of a college degree from a recognized accredited college or university in Human Resources, Business, Organizational Development, Industrial Psychology, Communications, or other related degrees</t>
  </si>
  <si>
    <t>University Mascot</t>
  </si>
  <si>
    <t>1. Must be a current student.</t>
  </si>
  <si>
    <t>Lenzburg, IL</t>
  </si>
  <si>
    <t>Franklinton, NC</t>
  </si>
  <si>
    <t>Ludlow Falls, OH</t>
  </si>
  <si>
    <t>Waterloo, IL</t>
  </si>
  <si>
    <t>St Jacob, IL</t>
  </si>
  <si>
    <t>Germantown, IL</t>
  </si>
  <si>
    <t>Maineville, OH</t>
  </si>
  <si>
    <t>Pevely, MO</t>
  </si>
  <si>
    <t>Crystal City, MO</t>
  </si>
  <si>
    <t>East Alton, IL</t>
  </si>
  <si>
    <t>2024-2025 - Office of Financial Aid, Student Emergency Aid Lab (EAL) Project Coordinator - Graduate</t>
  </si>
  <si>
    <t>1. Eligible for Federal Work Study award.
2. Currently enrolled student with an interest in higher education administration, adult education, or related program.
3. Interest in higher education change and innovation.
...</t>
  </si>
  <si>
    <t>2024-2025 Student Access and Success BBC - Student Educational Talent Search Office Assistant</t>
  </si>
  <si>
    <t>Midland (MI, USA)</t>
  </si>
  <si>
    <t>CT - Hartford</t>
  </si>
  <si>
    <t>GBH News Education Desk Internship - Fall 2024</t>
  </si>
  <si>
    <t>1. Must be able to write clear, accurate news copy on deadline.
2. Familiarity with recording equipment, editing software, and transcription services is desired.
3. Ability to write newscast quality copy from AP and other sources using AP Style writing with proper attribution.
...</t>
  </si>
  <si>
    <t>No-cost Tech Fundamentals Program - Get exposure to leading technologies (St. Louis, MO)</t>
  </si>
  <si>
    <t>Highland, IL</t>
  </si>
  <si>
    <t>Yellow Springs, OH</t>
  </si>
  <si>
    <t>Grafton, IL</t>
  </si>
  <si>
    <t>Postdoctoral Fellow Psychology (Neuropsychology)</t>
  </si>
  <si>
    <t>Camden, OH</t>
  </si>
  <si>
    <t>Montessori Summer Classroom Assistant</t>
  </si>
  <si>
    <t>1. Preference for candidates with Montessori experience
2. Training will be provided for the right candidate</t>
  </si>
  <si>
    <t>Break into Tech! - FREE Tech Fundamentals Program (St. Louis, MO) -'-</t>
  </si>
  <si>
    <t>Urbana, OH</t>
  </si>
  <si>
    <t>Laura, OH</t>
  </si>
  <si>
    <t>High School Internship - Finance</t>
  </si>
  <si>
    <t>1. Must be a current High School student enrolled in a Skilled/technical program.
2. Safety Mindset
3. Ability to show up on time and willing to learn.
...</t>
  </si>
  <si>
    <t>Barnhart, MO</t>
  </si>
  <si>
    <t>Hecker, IL</t>
  </si>
  <si>
    <t>SAS Program Assistant - High School Work Study</t>
  </si>
  <si>
    <t>North West Hendricks Schools</t>
  </si>
  <si>
    <t>Pittsboro, IN</t>
  </si>
  <si>
    <t>1. Currently a Tri West High School Student</t>
  </si>
  <si>
    <t>North Salem, IN</t>
  </si>
  <si>
    <t>Roxana, IL</t>
  </si>
  <si>
    <t>No Cost Tech Fundamentals Program - Earn industry-recognized certifications (St. Louis, MO) -'-</t>
  </si>
  <si>
    <t>PCCC Leadership Development VISTA Fellow</t>
  </si>
  <si>
    <t>1. Associates degree (AA)
2. Great communication and leadership skills
3. Values teamwork
...</t>
  </si>
  <si>
    <t>High Ridge, MO</t>
  </si>
  <si>
    <t>Bailey, NC</t>
  </si>
  <si>
    <t>Tech Fundamentals Program - Break into Tech! (Raleigh, NC)</t>
  </si>
  <si>
    <t>Angier, NC</t>
  </si>
  <si>
    <t>Zero-Cost Tech Fundamentals Program - Break into Tech! (Dayton, OH) -'-</t>
  </si>
  <si>
    <t>Studentische Aushilfe / Werkstudent im Verkauf (m/w/d) Flensburg</t>
  </si>
  <si>
    <t>WMF Group</t>
  </si>
  <si>
    <t>Greater Kiel Area</t>
  </si>
  <si>
    <t>1. Erste Verkaufserfahrung
2. Kontaktfreude, Kommunikationsstärke und die Fähigkeit, andere zu begeistern
3. Zeitliche Flexibilität</t>
  </si>
  <si>
    <t>Summer Research Opportunity - Center for Computing Sciences (CCS) SCAMP</t>
  </si>
  <si>
    <t>1. PhD in mathematics, statistics, computer science or a related field
2. U.S. Citizenship
3. Ability to obtain and maintain a top secret security clearance</t>
  </si>
  <si>
    <t>On-site Paid General Intern</t>
  </si>
  <si>
    <t>1. Qualified student studying broadcast journalism, video production, or other communication degrees
2. Internships are on-site and not done remotely
3. Must be a student currently enrolled at a college or university inside the State of New York
...</t>
  </si>
  <si>
    <t>Rolesville, NC</t>
  </si>
  <si>
    <t>Bethalto, IL</t>
  </si>
  <si>
    <t>Zero-Cost Tech Fundamentals Program - Break into Tech! (St. Louis, MO) -'-</t>
  </si>
  <si>
    <t>Medway, OH</t>
  </si>
  <si>
    <t>Piasa, IL</t>
  </si>
  <si>
    <t>Caseyville, IL</t>
  </si>
  <si>
    <t>Break into Tech! - No Cost Tech Fundamentals Program (Raleigh, NC)</t>
  </si>
  <si>
    <t>Butner, NC</t>
  </si>
  <si>
    <t>Clarksville, OH</t>
  </si>
  <si>
    <t>St Ann, MO</t>
  </si>
  <si>
    <t>Entry Level Student Assistant</t>
  </si>
  <si>
    <t>JW Affinity</t>
  </si>
  <si>
    <t>1. Training will be provided
2. Pass a background check for the school district
3. Vaccinated against Covid-19</t>
  </si>
  <si>
    <t>Venice, IL</t>
  </si>
  <si>
    <t>East Carondelet, IL</t>
  </si>
  <si>
    <t>Zero-Cost Tech Fundamental Program - Mentoring from senior-level IT professional (St. Louis, MO)</t>
  </si>
  <si>
    <t>FREE Tech Fundamental Program - Mentoring from senior-level IT professional (St. Louis, MO) -'-</t>
  </si>
  <si>
    <t>Elsah, IL</t>
  </si>
  <si>
    <t>Spectrum News Fellowship Program - Syracuse</t>
  </si>
  <si>
    <t>$00-$00 /yr</t>
  </si>
  <si>
    <t>Graduate Counseling Intern</t>
  </si>
  <si>
    <t>Castleton, VT</t>
  </si>
  <si>
    <t>1. Psychology or counseling master’s level students
2. Willingness to submit to a criminal background check</t>
  </si>
  <si>
    <t>Program Manager in Biology Meets Engineering, College of Arts and Sciences</t>
  </si>
  <si>
    <t>1. Bachelor's Degree
2. Seven (7) years of relevant work experience and/or other specialized training can be used in lieu of education requirement
3. Three (3) years of relevant experience</t>
  </si>
  <si>
    <t>Graduate Assistant - Athletics</t>
  </si>
  <si>
    <t>1. Bachelor's degree
2. Acceptance into graduate school at Vermont State University</t>
  </si>
  <si>
    <t>School Psychologist - Bilingual (Spanish/English) Preferred</t>
  </si>
  <si>
    <t>Redwood City School District</t>
  </si>
  <si>
    <t>1. Completion of a college or university course culminating in the acquisition of a valid credential authorizing service as a psychologist in the public schools of California
2. Advanced training and specialized in-depth knowledge in the areas of pupil personnel services concepts and procedures, dynamics of individual behavior, counseling theory and procedures, measurement theory and procedures, education and career planning, research methodology, remedial and special education, laws relating to children and youth, the organization and function of pupil personnel services in the schools, knowledge of community educational resources and related services available to students
3. Ability to work harmoniously and effectively with students, parents, regular and special education teachers, administrative personnel, classified staff, and outside agencies and professional staff, skill as a psycho-educational diagnostician, ability to communicate effectively in written reports as well as in oral presentations and conferences</t>
  </si>
  <si>
    <t>Graduate Student Body President</t>
  </si>
  <si>
    <t>$22.04-$22.04 /h</t>
  </si>
  <si>
    <t>1. KU graduate student in good academic standing enrolled full-time in a degree-seeking program in accordance with the Full-Time Enrollment for Graduate Students policy.
2. Able to attend in person Student Senate and administrative meetings and therefore needs the ability to commute to the Lawrence campus multiple times per week (see duties listed above).
3. Strong written communication skills, as demonstrated by application materials.
...</t>
  </si>
  <si>
    <t>Graduate Assistant Womens Volleyball</t>
  </si>
  <si>
    <t>North Greenville University</t>
  </si>
  <si>
    <t>Landrum, SC</t>
  </si>
  <si>
    <t>1. Bachelor’s degree required.
2. Supports NGU’s mission statement and core values, commitment to a Christian lifestyle and character in keeping with a biblical model.
3. Affirm an understanding of the Baptist Faith &amp; Message 2000
...</t>
  </si>
  <si>
    <t>Summer Montessori Classroom Assistant at Castle Hills Montessori</t>
  </si>
  <si>
    <t>1. Willingness to learn and be trained in the Montessori methodology</t>
  </si>
  <si>
    <t>Postdoctoral Research Associate – Special Education</t>
  </si>
  <si>
    <t>1. Doctoral degree in a relevant field
2. Training and experience in qualitative and/or mixed methods
3. Interest in special education teacher development
...</t>
  </si>
  <si>
    <t>Behavior Analysis Practicum (Masters Level)</t>
  </si>
  <si>
    <t>1. Supervisee has accrued 85% of fieldwork hours (1700/2000hours)
2. Proof of enrollment in an accredited applicable masters program
3. Providing early intervention therapy in a center-based setting
...</t>
  </si>
  <si>
    <t>Oak, NE</t>
  </si>
  <si>
    <t>Salt Lake City, UT, US</t>
  </si>
  <si>
    <t>1. Strong written and verbal communication skills; ability to flex communication style to multiple cultural environments
2. Strong interpersonal skills
3. Commitment to confidentiality, honesty, and ethics
...</t>
  </si>
  <si>
    <t>Fall 2024: Youth Development Intern (Unpaid)</t>
  </si>
  <si>
    <t>1. Must be currently enrolled student in an undergraduate or graduate degree program or graduated within one year
2. Must be living in San Diego, CA, and comfortable working in person
3. Must have reliable transportation
...</t>
  </si>
  <si>
    <t>Student Assistant-TCHATT/CPAN</t>
  </si>
  <si>
    <t>1. A student enrolled in at least six hours.</t>
  </si>
  <si>
    <t>Columbus City Schools</t>
  </si>
  <si>
    <t>Education, Management Consulting</t>
  </si>
  <si>
    <t>1. School Psychology certificate/license is required
2. Masters of Psychology</t>
  </si>
  <si>
    <t>2024/25 Capital Markets, LGBTQ+ Sophomore Insights Program</t>
  </si>
  <si>
    <t>1. Full-time Sophomore undergraduate student graduating between December 2026 and Spring 2027
2. Interested in pursuing a full-time career in investment banking or sales and trading
3. Able to participate in the 2026 Summer Internship Program</t>
  </si>
  <si>
    <t>Student Assistant - Emergency Management</t>
  </si>
  <si>
    <t>Community Architect Volunteer -Program-based Stipend Volunteer</t>
  </si>
  <si>
    <t>Erie Neighborhood House</t>
  </si>
  <si>
    <t>Adult, Communities</t>
  </si>
  <si>
    <t>Erie, IL</t>
  </si>
  <si>
    <t>1. Positive attitude.
2. Experience working with community.
3. Public speaking communication skills.
...</t>
  </si>
  <si>
    <t>STUDENT COUNCIL SPONSOR</t>
  </si>
  <si>
    <t>GADSDEN SCHOOL DISTRICT</t>
  </si>
  <si>
    <t>Quincy, FL</t>
  </si>
  <si>
    <t>1. High School Diploma or equivalent</t>
  </si>
  <si>
    <t>Assessment Testing Proctor - IE</t>
  </si>
  <si>
    <t>1. Basic computer skills – Microsoft Windows and Office
2. Ability to work both independently and as part of a team
3. Excellent verbal and written communication skills
...</t>
  </si>
  <si>
    <t>Learning Specialist</t>
  </si>
  <si>
    <t>$65000-$68500 /yr</t>
  </si>
  <si>
    <t>1. Master’s degree in special education, Psychology, Counseling, or related fields.
2. Experience working with individuals with disabilities in an educational or support services setting.
3. Knowledge of disability laws and regulations, including the Americans with Disabilities Act (ADA) and Section 504 of the Rehabilitation Act.
...</t>
  </si>
  <si>
    <t>Undergraduate Student Assistant - Grant Year 3 - Retention Specialist</t>
  </si>
  <si>
    <t>Calexico, CA</t>
  </si>
  <si>
    <t>$16.85-$18 /h</t>
  </si>
  <si>
    <t>1. Current enrollment as an undergraduate student at SDSU
2. Ability to check SDSU student email on a daily basis
3. Thorough written and oral communication skills, including English grammar, spelling and punctuation
...</t>
  </si>
  <si>
    <t>Undergraduate Student Assistant - Grant Year 3 - Outreach Specialist</t>
  </si>
  <si>
    <t>Program Assistant, MIT International Science and Technology Initiatives (MISTI) Program</t>
  </si>
  <si>
    <t>$23-$30 /h</t>
  </si>
  <si>
    <t>1. a high school diploma or its equivalent
2. three years of professional administrative or office experience
3. excellent organizational, analytical, problem-solving, customer service, interpersonal, and verbal and written communication skills
...</t>
  </si>
  <si>
    <t>Memory Care Activity Assistant</t>
  </si>
  <si>
    <t>Graduate Assistant Wrestling</t>
  </si>
  <si>
    <t>Shorter University</t>
  </si>
  <si>
    <t>1. Previous collegiate, club or high school coaching experience required, collegiate coaching experience preferred
2. Collegiate playing experience preferred
3. A four-year degree from an accredited college or university is required
...</t>
  </si>
  <si>
    <t>Gulf Breeze, FL</t>
  </si>
  <si>
    <t>Cosmetology Internship - Fall 2024 (Non-Paid)</t>
  </si>
  <si>
    <t>Cypress-Fairbanks ISD</t>
  </si>
  <si>
    <t>1. Have approval from Intern Coordinator; Jennifer Obrian (jennifer.obrian@cfisd.net)
2. Verifiable documentation for internship; (Letter of support from course instructor, Professional Resume)
3. Completed Background Review; (Fingerprinting is not required at this point)</t>
  </si>
  <si>
    <t>2024/25 RBC Capital Markets, U.S. Women’s Advisory Program</t>
  </si>
  <si>
    <t>1. You are genuinely passionate about a career in Capital Markets
2. You are a full-time female undergraduate student graduating between December 2026 and June 2027
3. You are able to join us for a 2026 summer internship</t>
  </si>
  <si>
    <t>Graduate Student Professional Development Programs Intern</t>
  </si>
  <si>
    <t>1. Bachelor's degree
2. Strong organizational, interpersonal, and written and oral communication skills
3. Self-motivation
...</t>
  </si>
  <si>
    <t>Alumni Research Assistant, Career Development (Student)</t>
  </si>
  <si>
    <t>1. Upper-level undergraduate student; graduate student preferred.
2. Proficiency in Microsoft Office applications, especially Word, PowerPoint, and Excel.
3. Experience with data collections projects and qualitative data management.
...</t>
  </si>
  <si>
    <t>1. Communication
2. Professionalism
3. Critical Thinking
...</t>
  </si>
  <si>
    <t>Grounds Student Assistant</t>
  </si>
  <si>
    <t>1. Serves as a student worker
2. Cutting grass
3. Trimming and edging curbs, sidewalks, and flower beds
...</t>
  </si>
  <si>
    <t>Media Arts Education Intern</t>
  </si>
  <si>
    <t>1. Complete intern training in technical skills and WHYY’s curriculum.
2. Attend each session of the class they are assisting with.
3. Guide at least one group of students through the process of producing a complete piece of media.
...</t>
  </si>
  <si>
    <t>BA-Student oder IST-Student, Fitness- Wissenschaft und Ökonomie (m/w/d)</t>
  </si>
  <si>
    <t>Clever fit</t>
  </si>
  <si>
    <t>Altenburg, MO</t>
  </si>
  <si>
    <t>1. Erfolgreicher Schulabschluss
2. Interesse an betriebswirtschaftlichen Zusammenhängen
3. Gelebte Begeisterung für Fitness und Gesundheit
...</t>
  </si>
  <si>
    <t>Graduate Assistant (Tutoring and Lab Assistants)</t>
  </si>
  <si>
    <t>1. Students must be enrolled in a graduate degree.
2. The ideal candidate will be pursuing their Master in Athletic Training degree.</t>
  </si>
  <si>
    <t>Fellow, James E. Rogers College of Law (Extended Temporary)</t>
  </si>
  <si>
    <t>$28.56-$35.70 /h</t>
  </si>
  <si>
    <t>1. Admission and active enrollment in an approved Arizona Law graduate course of study
2. Excellent communication and interpersonal skills, together with the ability to work collaboratively and courteously with colleagues, alumni, other constituents and the public
3. Demonstrably strong writing, planning, and organizational skills
...</t>
  </si>
  <si>
    <t>VOLUNTEER RESEARCH AND PROJECT MANAGEMENT</t>
  </si>
  <si>
    <t>Sun Life Family Health Center</t>
  </si>
  <si>
    <t>Charity, Child Care</t>
  </si>
  <si>
    <t>Casa Grande, AZ</t>
  </si>
  <si>
    <t>1. Enrolled in high school or above
2. Interested in medical field</t>
  </si>
  <si>
    <t>Banking Academy at UC Berkeley - Winter 2025</t>
  </si>
  <si>
    <t>River City Bank</t>
  </si>
  <si>
    <t>1. Undergraduate major in Economics, Finance, Business Administration, or a related field with a minimum cumulative 3.5 GPA
2. Excellent written and verbal communication skills</t>
  </si>
  <si>
    <t>Event Intern (Fall Semester)| Addition Financial Arena</t>
  </si>
  <si>
    <t>1. Open to college juniors, seniors, and graduate students seeking an internship to fulfill class credits and/or paid internship
2. housing/transportation are the responsibility of the student
3. Must have a 3.0 or higher cumulative GPA
...</t>
  </si>
  <si>
    <t>Financial Peer Mentor Internship</t>
  </si>
  <si>
    <t>1. Student at the University of Utah (preferably in the School of Business, Humanities, or Social and Behavioral Sciences)
2. Applicant must possess the ability to communicate clearly and effectively through written and verbal means, be outgoing, self-motivated, detail-oriented, creative, and organized
3. Ability to comfortably work with others and maintain confidentiality
...</t>
  </si>
  <si>
    <t>Extended Day High School Assistant (SY 24-25)</t>
  </si>
  <si>
    <t>Watertown Public Schools</t>
  </si>
  <si>
    <t>1. Active enrollment in high school or an equivalent program is required.</t>
  </si>
  <si>
    <t>AmeriCorps Service Member 2024</t>
  </si>
  <si>
    <t>Horizon Education Centers</t>
  </si>
  <si>
    <t>$3930-$18000 /yr</t>
  </si>
  <si>
    <t>1. High School Diploma or GED
2. U.S. citizen, natural, or lawful permanent resident age 18 or older</t>
  </si>
  <si>
    <t>Graduate Assistant Track and Field</t>
  </si>
  <si>
    <t>Student Research Assistant II</t>
  </si>
  <si>
    <t>1. Ability to comply with all ICCRN and SDSURF policies and procedures; ability to successfully complete and maintain all required CITI research ethics training requirements once onboarded
2. Knowledge of basic computer skills and effective use of Microsoft Office Suite, Zoom, Google Suite, etc., to create reports and documents; maintain project tracking logs; and create memos, communications and shared documents
3. Ability to quickly learn and apply elementary research methods and procedures
...</t>
  </si>
  <si>
    <t>1. High School diploma or GED
2. Ohio radiographer license
3. 1-year relevant experience</t>
  </si>
  <si>
    <t>Internship in Youth Ministry Leadership</t>
  </si>
  <si>
    <t>Young Life of Southwest Orlando</t>
  </si>
  <si>
    <t>Fort Hood, TX</t>
  </si>
  <si>
    <t>$1160-$4000 /h</t>
  </si>
  <si>
    <t>1. Graduated high school at least 2 years prior
2. A deep love for Christ and for lost teens.
3. Competent communicator.
...</t>
  </si>
  <si>
    <t>2025 Summer Leadership Program</t>
  </si>
  <si>
    <t>Spoor Bunch Franz</t>
  </si>
  <si>
    <t>2024 Fall Nutrition Content Internship</t>
  </si>
  <si>
    <t>1. Must be in a Nutrition or Dietetics program that accepts course credit in exchange for an internship experience, as this is an unpaid internship
2. Have a desire to work in corporate wellness or sports performance
3. Have experience with content creation to include but not limited to: Various Social Media Platforms, Canva, Google Slides/Sheets/Docs</t>
  </si>
  <si>
    <t>BA/BSW Level Internship: Family Focused (Therapeutic Classroom)</t>
  </si>
  <si>
    <t>Washburn Center for Children</t>
  </si>
  <si>
    <t>1. Must be enrolled in Master's program of Counseling Psychology, Professional Psychology, or related program that leads to LPCC licensure
2. Must be earning academic credit for an internship placement
3. Must be able to meet the day/hour requirements of the internship
...</t>
  </si>
  <si>
    <t>SAC Academic Aide - Student Editors – Student Hourly</t>
  </si>
  <si>
    <t>1. Currently enrolled in a minimum of 6 hours at KU.
2. Prior experience working independently.
3. Prior experience with technology including using computers, scanning documents, and troubleshooting software applications.
...</t>
  </si>
  <si>
    <t>Student Hourly – Design Class Assistant</t>
  </si>
  <si>
    <t>$10.25-$10.25 /h</t>
  </si>
  <si>
    <t>1. Must have a GPA of 2.5 or higher
2. During the semester term of the appointment, the student hourly must be enrolled in no fewer than 6 credit hours. For summer periods the student hourly must: 1) have been enrolled in no less than 6 hours in the past spring semester or 2) be pre-enrolled in upcoming fall semester in no less than 6 hours or 3) be enrolled in summer session or 4) be admitted to study in the upcoming fall semester. Student Hourlies may be undergraduate or graduate students.</t>
  </si>
  <si>
    <t>POOL: Finance Student Assistant</t>
  </si>
  <si>
    <t>1. During the semester term of the appointment, the KU student hourly must be enrolled in no fewer than 6 credit hours
2. Must have a GPA of 2.5 or higher</t>
  </si>
  <si>
    <t>Graduate Student Testing Assistant, Student Access Center</t>
  </si>
  <si>
    <t>1. Currently enrolled KU Graduate student
2. Experience using common office technologies as demonstrated by previous work experience
3. During the semester term of the appointment, the student hourly must be enrolled in no fewer than 6 credit hours. For summer periods the student hourly must: 1) have been enrolled in no less than 6 hours in the past spring semester or 2) be pre-enrolled in upcoming fall semester in no less than 6 hours or 3) be enrolled in summer session or 4) be admitted to study in the upcoming fall semester. Student Hourlies may be undergraduate or graduate students.</t>
  </si>
  <si>
    <t>Student Hourly Office Assistant KU Band - Pool</t>
  </si>
  <si>
    <t>1. Undergraduate School of Music major at the University of Kansas with a 3.0 GPA or higher
2. Excellent written communication skills
3. Enrolled in no fewer than 6 credit hours during the semester term of the appointment
...</t>
  </si>
  <si>
    <t>NCCS Student Assistant for Research</t>
  </si>
  <si>
    <t>1. During the semester term of the appointment, the student hourly must be enrolled in no fewer than 6 credit hours.
2. For summer periods, the student hourly must: 1) have been enrolled in no less than 6 hours in the past spring semester or 2) be pre-enrolled in upcoming fall semester in no less than 6 hours or 3) be enrolled in summer session or 4) be admitted to study in the upcoming fall semester.
3. Student Hourlies may be undergraduate or graduate students.</t>
  </si>
  <si>
    <t>POOL: Student Assistant for Marketing Behavioral Lab</t>
  </si>
  <si>
    <t>1. During the semester term of the appointment, the KU student hourly must be enrolled in no fewer than 6 credit hours.
2. Must be a current KU Business student.
3. Must be knowledgeable in Microsoft Word and Excel.</t>
  </si>
  <si>
    <t>POOL: Professionalism Program Student Assistant</t>
  </si>
  <si>
    <t>1. During the semester term of the appointment, the KU student hourly must be enrolled in no fewer than 6 credit hours.
2. Must have a GPA of 2.5 or higher.
3. Must be a School of Business student.</t>
  </si>
  <si>
    <t>POOL: Marketing and Business Law Student Assistant</t>
  </si>
  <si>
    <t>1. During the semester term of the appointment, the KU student hourly must be enrolled in no fewer than 6 credit hours.
2. For summer periods, the student hourly must: 1) have been enrolled in no less than 6 hours in the past spring semester or 2) be pre-enrolled in upcoming fall semester in no less than 6 hours or 3) be enrolled in summer session or 4) be admitted to study in the upcoming fall semester.
3. Student Hourlies may be undergraduate or graduate students.</t>
  </si>
  <si>
    <t>POOL: Student Hourly Research Assistant</t>
  </si>
  <si>
    <t>1. Must be enrolled in Electrical Engineering, Mechanical Engineering, Physics, Computer Sciences, Geology, Geography or a related field.
2. Student must be in good academic standing and be making satisfactory progress toward a degree.
3. During the semester term of the appointment, the student hourly must be enrolled in no fewer than 6 credit hours.
...</t>
  </si>
  <si>
    <t>POOL: CEAE Grader-Student Hourly/Work Study</t>
  </si>
  <si>
    <t>1. Current student in the CEAE department or closely related discipline
2. Successful completion with a grade of at least a B in the CEAE course or equivalent you wish to grade
3. During the semester term of the appointment, the student hourly must be enrolled in no fewer than 6 credit hours
...</t>
  </si>
  <si>
    <t>POOL: Student Research Assistant - I2S</t>
  </si>
  <si>
    <t>1. Undergraduate student in Electrical Engineering and Computer Science.
2. Programming experience in C++ / Java as evidenced by application material.
3. During the semester term of the appointment, the student hourly must be enrolled in no fewer than 6 credit hours.</t>
  </si>
  <si>
    <t>EECS Grader</t>
  </si>
  <si>
    <t>1. During the semester term of the appointment, the student hourly must be enrolled in no fewer than 6 credit hours. For summer periods the student hourly must: 1) have been enrolled in no less than 6 hours in the past spring semester or 2) be pre-enrolled in upcoming fall semester in no less than 6 hours or 3) be enrolled in summer session or 4) be admitted to study in the upcoming fall semester. Student Hourlies may be undergraduate or graduate students.
2. Current student in the EECS department or closely related discipline;
3. Successful completion with a grade of at least a B in the EECS course or equivalent you wish to grade;
...</t>
  </si>
  <si>
    <t>Ethos ER Immerse Training Program 2025 - San Diego</t>
  </si>
  <si>
    <t>Intern - GCS Program Assistant</t>
  </si>
  <si>
    <t>Atlanta Regional Commission</t>
  </si>
  <si>
    <t>1. Pursuing an undergraduate or graduate degree in public administration, urban planning, communications, public relations, education, or related field.
2. An equivalent combination of education and experience sufficient to successfully perform the essential duties of the job such as those listed above, unless otherwise subject to any other requirements set forth in law or regulation.
3. Knowledge of TDM and/or transportation and mobility concepts and programs.
...</t>
  </si>
  <si>
    <t>Summer Graduate Assistant Student Conduct and Development</t>
  </si>
  <si>
    <t>Bentley University</t>
  </si>
  <si>
    <t>1. Candidates must be enrolled in a master’s program in higher education/student affairs administration, or related field, during time of employment.
2. Candidates should have a strong interest in supporting students and the ability to reason logically, draw valid conclusions and make appropriate recommendations.
3. Candidates should have a solid understanding and skills in engaging with various forms of documentation and data analysis.</t>
  </si>
  <si>
    <t>1. Actively enrolled in a School Psychology Graduate Program
2. Entering Internship Year of program completion
3. Master's Degree en route to completion of School Psychology terminal degree
...</t>
  </si>
  <si>
    <t>One on One Instructional Assistant To Attend Twinsburg High School Athletic Activity (Band Camp) with a student (July 19, 2024-August 9,2024)</t>
  </si>
  <si>
    <t>Twinsburg City School District</t>
  </si>
  <si>
    <t>1. Twinsburg City School District Instructional Assistant
2. High School diploma or equivalent.
3. Educational Aide Permit issued by the Ohio Department of Education.</t>
  </si>
  <si>
    <t>Working Warhawk I - Student Administrative Assistant</t>
  </si>
  <si>
    <t>1. Communication skills
2. Attention to detail
3. Basic computer skills</t>
  </si>
  <si>
    <t>Fall/Winter 2024 Learning &amp; Growth Training Associate Co-op (US)</t>
  </si>
  <si>
    <t>Athletic Training Intern</t>
  </si>
  <si>
    <t>1. First Aid/CPR certification preferred
2. Individual must demonstrate professionalism, punctuality, and exhibit proper ethical behavior
3. Excellent interpersonal and oral communication skills and the ability to work with a diverse group of individuals
...</t>
  </si>
  <si>
    <t>Student Government MS</t>
  </si>
  <si>
    <t>Cedar Rapids Community School District</t>
  </si>
  <si>
    <t>Learning Content Designer - International</t>
  </si>
  <si>
    <t>Wingstop</t>
  </si>
  <si>
    <t>Food and Beverage, Travel</t>
  </si>
  <si>
    <t>1. Collaborate in the planning, design, and development of learning solutions
2. Conduct needs analyses to support localizing content and programs
3. Manage the content management process and ensure content integrity
...</t>
  </si>
  <si>
    <t>General Advisor and Retention Specialist</t>
  </si>
  <si>
    <t>$4841-$6884 /mon</t>
  </si>
  <si>
    <t>1. Equivalent to graduation from a four-year college or university in one of the behavioral sciences, public or business administration or a job-related field.
2. Possession of the required knowledge and abilities typically demonstrated through the equivalent of two years of professional experience in one of the student services program areas or in a related field.
3. Understanding of Family Educational Rights and Privacy Act with regards to the maintenance of academic and judicial records of individual students.
...</t>
  </si>
  <si>
    <t>Internship Placement Coordinator</t>
  </si>
  <si>
    <t>Couri Orange Hatchery</t>
  </si>
  <si>
    <t>Incubators, Universities</t>
  </si>
  <si>
    <t>1. Master’s in Marriage and Family Therapy
2. Licensed LMFT
3. Approved AAMFT Clinical Supervisor
...</t>
  </si>
  <si>
    <t>Internship, Education, Written Content, Fall 2024</t>
  </si>
  <si>
    <t>1. Undergraduate or graduate student, majoring in education, environmental studies/science, international relations, anthropology, or a related field
2. All applicants should have completed the equivalent of four semesters of college coursework (not including AP classes in high school) by the time they begin an internship
3. Interest in global issues, especially climate change
...</t>
  </si>
  <si>
    <t>Graduate Assistant - MSN (FCN - MSN)</t>
  </si>
  <si>
    <t>Villanova University</t>
  </si>
  <si>
    <t>Driscoll, ND</t>
  </si>
  <si>
    <t>$19830-$19830 /yr</t>
  </si>
  <si>
    <t>1. Matriculation in Villanova graduate program</t>
  </si>
  <si>
    <t>Psychologist, Young Adult CAT</t>
  </si>
  <si>
    <t>1. Ph.D or Psy.D. degree from an APA accredited graduate program in counseling, school or clinical psychology.
2. One year experience in psychotherapy, group or family therapy within a clinical setting.
3. Current RQI Healthcare Provider eCredential through the University of Utah Health RQI system. The eCredential is to be obtained within 30 days of hire.
...</t>
  </si>
  <si>
    <t>Asst. in Research (UROP/FCERP) - SUMMER 2024 (STUDENT/WORKSTUDY)</t>
  </si>
  <si>
    <t>1. Job offers for this application will ONLY be given to UM-Flint undergraduate students who have successfully applied to a project via InfoReady AND have been accepted to the project by the faculty project sponsor.
2. Participate in a virtual UROP/FCERP info session
3. Apply online to this job posting at http://careers.umich.edu/
...</t>
  </si>
  <si>
    <t>Casper Mountain Science Intern</t>
  </si>
  <si>
    <t>Natrona County Schools</t>
  </si>
  <si>
    <t>$1200-$1200 /mon</t>
  </si>
  <si>
    <t>1. Ability to inspire and engage K-12 students in outdoor science education
2. Teaching experience or experience working with youth
3. Knowledge of Wyoming State Science Standards
...</t>
  </si>
  <si>
    <t>Youth Orchestra Administrative Apprentice</t>
  </si>
  <si>
    <t>San Francisco Symphony</t>
  </si>
  <si>
    <t>Art, Communities</t>
  </si>
  <si>
    <t>1. Experience with MS Office (Word and Excel required, Google Drive preferred).
2. Basic familiarity with orchestral music is essential.
3. Demonstrated ability to work as part of a team and with a wide range of people including youth, musicians, parents, and co-workers.
...</t>
  </si>
  <si>
    <t>Fourth Grade Writing</t>
  </si>
  <si>
    <t>Region 7 Education Service Center</t>
  </si>
  <si>
    <t>Education, Professional Services</t>
  </si>
  <si>
    <t>Kilgore, TX</t>
  </si>
  <si>
    <t>1. Bachelor's degree from accredited university
2. Valid Texas Teaching Certificate with required endorsements or required training for subject and level assigned
3. Demonstrated competency in the core academic subject area assigned
...</t>
  </si>
  <si>
    <t>Bilingual Clinician - Community Based Prorram</t>
  </si>
  <si>
    <t>Lincoln Child Center</t>
  </si>
  <si>
    <t>$73000-$78000 /yr</t>
  </si>
  <si>
    <t>1. M.S.W., M.A., or M.S. in a relevant field from an accredited graduate school.
2. Possesses current license, is registered in internship toward licensure, or is license eligible/demonstrates potential to complete appropriate credentialing process.
3. Knowledge and experience in delivery of clinical and case management services with children and families.
...</t>
  </si>
  <si>
    <t>Child Care Assistant (Developmental) (2) INT 5776</t>
  </si>
  <si>
    <t>$15.62-$15.62 /h</t>
  </si>
  <si>
    <t>Temporary Research Assistant - Business School</t>
  </si>
  <si>
    <t>Brandeis University</t>
  </si>
  <si>
    <t>Brandeis - Waltham Campus</t>
  </si>
  <si>
    <t>1. Commitment to Diversity, Equity, and Inclusion
2. Experience in academic research in the areas of business, economics, econometrics, data analytics, and finance
3. Ability to work 20 hours per week for a 10-week part-time position
...</t>
  </si>
  <si>
    <t>College Data Assistant, College of Engineering and Business</t>
  </si>
  <si>
    <t>1. Education: Associate Degree is desirable; knowledge of university setting/academic records/academic advising is preferred.
2. Experience: 2 years of clerical, education, or academic advising experience with a working knowledge of Microsoft Office products, specifically Excel, Outlook and PowerPoint, and office equipment (e.g., Teams calling, Zoom, computer operations, etc.)
3. Skills: Must possess excellent written, proofreading and organizational skills; the ability to transcribe correspondence and enter data into records and logs with accuracy; the ability to perform basic mathematical calculations; the ability to multitask and prioritize responsibilities, seeking direction regarding courses of action; the ability to research and compile data; the ability to adapt and utilize available technologies to fulfill essential functions; the ability to communicate articulately exhibiting patience and making accommodations for cultural variances of a diverse and growing international population. Must exhibit attention to detail.
...</t>
  </si>
  <si>
    <t>Program Assistant (Student/Work Study)</t>
  </si>
  <si>
    <t>1. Be a registered University of Michigan-Flint student and have a desire to create an equitable and inclusive environment.</t>
  </si>
  <si>
    <t>Internship (unpaid): BA/BS Student - 2024</t>
  </si>
  <si>
    <t>Seven Hills Foundation</t>
  </si>
  <si>
    <t>1. Application completed with current resume included
2. Formal interview
3. Background check and fingerprinting (if program requires it)
...</t>
  </si>
  <si>
    <t>Student Research Assistant - Special Collections and Archives</t>
  </si>
  <si>
    <t>Student Financial Services Navigator</t>
  </si>
  <si>
    <t>Cayuga County, NY</t>
  </si>
  <si>
    <t>$48000-$54000 /yr</t>
  </si>
  <si>
    <t>1. Bachelor’s degree preferred or Associates degree with additional work experience.
2. Minimum of 2 years of experience in student services area; knowledge of Financial Aid and/or billing a plus.
3. Strong organization, project management and facilitation skills;
...</t>
  </si>
  <si>
    <t>Fall Scholars 2024 Program</t>
  </si>
  <si>
    <t>Cognosante</t>
  </si>
  <si>
    <t>$20.42-$29.17 /h</t>
  </si>
  <si>
    <t>1. Current Enrollment in undergraduate degree program at Cognosante designated partner school.
2. Completed at least 60 credit hours towards an undergraduate degree by date of job offer.
3. Cumulative grade point average of at least a 3.0 GPA from all courses of study.
...</t>
  </si>
  <si>
    <t>Behavior Analyst Intern - NRM</t>
  </si>
  <si>
    <t>Student Worker - Applied Engineering, Safety &amp; Technology Academic Year 2024-2025</t>
  </si>
  <si>
    <t>Millersville University of Pennsylvania</t>
  </si>
  <si>
    <t>Millersville, PA</t>
  </si>
  <si>
    <t>1. Successful completion of three background checks.
2. Safe handling of specialized equipment and/or chemicals.
3. Willingness to perform varied duties.
...</t>
  </si>
  <si>
    <t>Rosedale, MD</t>
  </si>
  <si>
    <t>1. 18–26 years of age
2. High school diploma or equivalent
3. Legally authorized to work in the US</t>
  </si>
  <si>
    <t>No Cost Tech Fundamentals Program - Unlock Your Future in Tech (San Antonio, TX)</t>
  </si>
  <si>
    <t>Adkins, TX</t>
  </si>
  <si>
    <t>1. 18–26 years of age
2. High school diploma or equivalent
3. Legally authorized to work in the US
...</t>
  </si>
  <si>
    <t>White Marsh Station, MD</t>
  </si>
  <si>
    <t>No Cost Tech Fundamentals Program - Launching Your Tech Career! (Dallas, TX)</t>
  </si>
  <si>
    <t>Lancaster, TX</t>
  </si>
  <si>
    <t>Lutherville, MD</t>
  </si>
  <si>
    <t>FREE Tech Fundamental Program - Earn industry-recognized certifications (Dayton, OH)</t>
  </si>
  <si>
    <t>South Solon, OH</t>
  </si>
  <si>
    <t>OSMRE AmeriCorps Fellow: Instructional Designer</t>
  </si>
  <si>
    <t>1. Bachelor's Degree in Adult Education/Instructional Design</t>
  </si>
  <si>
    <t>Athletics Learning Specialist Assistant</t>
  </si>
  <si>
    <t>1. Bachelor’s degree or currently pursuing master’s degree in education, counseling, psychology, social work or related field
2. Implement academic support plan related to the learning challenges of each student as established by Athletics Learning Specialists
3. Provide direct support to student-athletes with diagnosed neurodivergences through regular meetings
...</t>
  </si>
  <si>
    <t>Student Involvement Graduate Assistant</t>
  </si>
  <si>
    <t>1. Bachelor’s degree.
2. Applicants must be accepted into a graduate program at the University of Lynchburg.
3. All candidates must have strong interpersonal skills and an ability to communicate effectively with all members of the University community.
...</t>
  </si>
  <si>
    <t>Campus Engagement Graduate Assistant</t>
  </si>
  <si>
    <t>1. Bachelor's degree
2. Accepted into a graduate program at the University of Lynchburg
3. Strong interpersonal skills
...</t>
  </si>
  <si>
    <t>Student Worker - Mo's Activities Council Program Coordinator</t>
  </si>
  <si>
    <t>University of Central Missouri</t>
  </si>
  <si>
    <t>Warrensburg, MO</t>
  </si>
  <si>
    <t>1. Students in good standing with a cumulative GPA of at least 2.5
2. High school diploma or equivalent
3. Computer Skills: Word-Processing, Spreadsheet, Presentation
...</t>
  </si>
  <si>
    <t>No Cost Tech Fundamentals Program - Unlock Your Future in Tech (St. Louis, MO)</t>
  </si>
  <si>
    <t>Postdoctoral Fellow - Sealy Center on Aging</t>
  </si>
  <si>
    <t>1. Ph.D., M.D. or Doctoral equivalent in any field
2. Scientific research experience
3. Received a PhD or comparable doctoral degree from an accredited domestic or foreign institution by the beginning of the fellowship</t>
  </si>
  <si>
    <t>Herculaneum, MO</t>
  </si>
  <si>
    <t>Unlock your Future - Zero-Cost Tech/IT Fundamentals Program</t>
  </si>
  <si>
    <t>Spring Valley, OH</t>
  </si>
  <si>
    <t>Pittsboro, NC</t>
  </si>
  <si>
    <t>Leadership Research Associate Intern</t>
  </si>
  <si>
    <t>The Ken Blanchard Companies</t>
  </si>
  <si>
    <t>1. BA/BS degree or equivalent; graduate degree preferred in Psychology/IO Psychology, Data Analytics, or related field
2. Strong/Advanced skills in Qualtrics or other survey platform
3. Strong/Advanced skills in the use of Microsoft Office Suite, specifically Excel, SharePoint, and Power BI
...</t>
  </si>
  <si>
    <t>Enon, OH</t>
  </si>
  <si>
    <t>Ausbildung Kaufmann im Einzelhandel 09.2024 (m/w/d)</t>
  </si>
  <si>
    <t>€1100-€1350 /mon</t>
  </si>
  <si>
    <t>Graduate Assistant, Softball</t>
  </si>
  <si>
    <t>1. Must have a Bachelor’s Degree
2. Must be fully accepted to or enrolled in a graduate program at Cumberland University
3. Available to work weekday office hours, weeknight hours, and weekend events
...</t>
  </si>
  <si>
    <t>Learning Health Systems Student Intern</t>
  </si>
  <si>
    <t>Wake Forest Baptist Medical Center</t>
  </si>
  <si>
    <t>1. High school (grade 11) or college student.
2. Ability to work under stressful situations requiring high concentration and energy.
3. Strong English grammar, punctuation, and spelling skills.
...</t>
  </si>
  <si>
    <t>Teacher - Vocational - Business Management &amp; Finance Pathway SY24-25</t>
  </si>
  <si>
    <t>Baltimore City Public Schools</t>
  </si>
  <si>
    <t>$58895-$102087 /yr</t>
  </si>
  <si>
    <t>1. Bachelor's Degree or higher in Career and Technology Education or in the career area to be taught OR Bachelor's Degree or higher and 2 years of occupational experience in the career area to be taught OR Associate's Degree in the career area to be taught and 2 years of occupational experience in the career area to be taught OR High School Diploma or equivalent and 3 years of occupational experience in the career area to be taught.
2. Candidates will be required to complete eligibility requirements for certification in Professional and Technical Education by the Maryland State Department of Education.
3. Three to five years of industry-related work experience.
...</t>
  </si>
  <si>
    <t>Start Your Tech Journey - FREE Tech/IT Fundamentals Program &amp;#128421;️</t>
  </si>
  <si>
    <t>Von Ormy, TX</t>
  </si>
  <si>
    <t>FREE Tech Fundamentals Program - Get exposure to leading technologies (San Antonio, TX)</t>
  </si>
  <si>
    <t>Zero-Cost Tech Fundamental Program - Opportunity to earn industry-recognized certifications (San Antonio, TX)</t>
  </si>
  <si>
    <t>Unlock your Future - Zero-Cost Tech/IT Fundamentals Program &amp;#128421;️</t>
  </si>
  <si>
    <t>Woodstock, MD</t>
  </si>
  <si>
    <t>Atascosa, TX</t>
  </si>
  <si>
    <t>Catonsville, MD</t>
  </si>
  <si>
    <t>Elkridge, MD</t>
  </si>
  <si>
    <t>Cibolo, TX</t>
  </si>
  <si>
    <t>Parkville, MD</t>
  </si>
  <si>
    <t>Essex, MD</t>
  </si>
  <si>
    <t>Sunnyvale, TX</t>
  </si>
  <si>
    <t>Nottingham, MD</t>
  </si>
  <si>
    <t>Pikesville, MD</t>
  </si>
  <si>
    <t>Elmendorf, TX</t>
  </si>
  <si>
    <t>Halethorpe, MD</t>
  </si>
  <si>
    <t>Sparrows Point, MD</t>
  </si>
  <si>
    <t>Phoenix, MD</t>
  </si>
  <si>
    <t>Kingsville, MD</t>
  </si>
  <si>
    <t>Glen Burnie, MD</t>
  </si>
  <si>
    <t>Converse, TX</t>
  </si>
  <si>
    <t>DeSoto, TX</t>
  </si>
  <si>
    <t>Middle River, MD</t>
  </si>
  <si>
    <t>Severn, MD</t>
  </si>
  <si>
    <t>Glen Arm, MD</t>
  </si>
  <si>
    <t>St Hedwig, TX</t>
  </si>
  <si>
    <t>Windsor Mill, MD</t>
  </si>
  <si>
    <t>Transform Your Future with No-Cost Tech/IT Fundamentals Program -</t>
  </si>
  <si>
    <t>Zero-Cost Tech Fundamentals Program - Opportunity to earn industry-recognized certifications (San Antonio, TX)</t>
  </si>
  <si>
    <t>No-cost Tech Fundamentals Program - Get exposure to leading technologies (San Antonio, TX)</t>
  </si>
  <si>
    <t>FREE Tech Fundamental Program - Opportunity to earn industry-recognized certifications (San Antonio, TX)</t>
  </si>
  <si>
    <t>Break into Tech! - Cero-Cost Tech Fundamentals Program (San Antonio, TX)</t>
  </si>
  <si>
    <t>Tech Fundamentals Program (Free) - Get exposure to leading technologies! (Baltimore, MD)</t>
  </si>
  <si>
    <t>No-Cost Tech Fundamental Program - Get exposure to leading technologies! (San Antonio, TX)</t>
  </si>
  <si>
    <t>No Cost Tech Fundamentals Program - Opportunity to earn industry-recognized certifications (San Antonio, TX)</t>
  </si>
  <si>
    <t>FREE Tech Fundamentals Program - Earn industry-recognized certifications (San Antonio, TX)</t>
  </si>
  <si>
    <t>Zero-Cost Tech Fundamental Program - Get exposure to leading technologies! (San Antonio, TX)</t>
  </si>
  <si>
    <t>Perry Hall, MD</t>
  </si>
  <si>
    <t>FREE Tech Fundamental Program - Get exposure to leading technologies! (San Antonio, TX)</t>
  </si>
  <si>
    <t>Teacher - Vocational - Project Lead The Way - Engineering SY24-25</t>
  </si>
  <si>
    <t>1. Bachelor's Degree or higher in Career and Technology Education or in the career area to be taught OR Bachelor's Degree or higher and 2 years of occupational experience in the career area to be taught OR Associate's Degree in the career area to be taught and 2 years of occupational experience in the career area to be taught OR High School Diploma or equivalent and 3 years of occupational experience in the career area to be taught.
2. Candidates will be required to complete eligibility requirements for certification in Professional and Technical Education by the Maryland State Department of Education.
3. Three to five years of related work experience in the Engineering Field or as a STEM, Mathematics, Robotics, or engineering teacher.
...</t>
  </si>
  <si>
    <t>College Work Experience Program - Non-Technical</t>
  </si>
  <si>
    <t>1. All majors will be considered for non-technical roles, except for the following: Science, Engineering, Technology, and Mathematics should apply for the CWEP technical role.
2. Students must be a U.S. Citizen or U.S. Person.
3. Undergraduate and Graduate students must be in good academic standing as per their college requirements
...</t>
  </si>
  <si>
    <t>Start Your Tech Journey: No-Cost Tech/IT Fundamentals Program -</t>
  </si>
  <si>
    <t>Unlock your Future - Zero-Cost Tech/IT Fundamentals Program -</t>
  </si>
  <si>
    <t>Carrboro, NC</t>
  </si>
  <si>
    <t>Youngsville, NC</t>
  </si>
  <si>
    <t>Spring Hope, NC</t>
  </si>
  <si>
    <t>FREE Tech Fundamentals Program - Earn industry-recognized certifications (St. Louis, MO)</t>
  </si>
  <si>
    <t>Clayton, NC</t>
  </si>
  <si>
    <t>St Paris, OH</t>
  </si>
  <si>
    <t>Start Your Tech Journey: Zero-Cost Tech/IT Fundamentals Program -</t>
  </si>
  <si>
    <t>Bellbrook, OH</t>
  </si>
  <si>
    <t>New Hill, NC</t>
  </si>
  <si>
    <t>Coats, NC</t>
  </si>
  <si>
    <t>Springboro, OH</t>
  </si>
  <si>
    <t>Covington, OH</t>
  </si>
  <si>
    <t>Middletown, OH</t>
  </si>
  <si>
    <t>Lewisburg, OH</t>
  </si>
  <si>
    <t>Eldorado, OH</t>
  </si>
  <si>
    <t>Farmersville, OH</t>
  </si>
  <si>
    <t>Louisburg, NC</t>
  </si>
  <si>
    <t>Jamestown, OH</t>
  </si>
  <si>
    <t>Program Assistant for Summer Engineering Ahead Program</t>
  </si>
  <si>
    <t>1. GPA &gt; 2.50 and in good academic standing
2. desire to work with students, staff and faculty; preference given to upperclassmen who are not taking classes
3. good disciplinary standing
...</t>
  </si>
  <si>
    <t>Zero-Cost Tech Fundamental Program - Earn industry-recognized certifications (Dayton, OH)</t>
  </si>
  <si>
    <t>FREE Tech Fundamentals Program - Launching Tech Career! (St. Louis, MO)</t>
  </si>
  <si>
    <t>2024 Fall Performance Nutrition Specialist Internship</t>
  </si>
  <si>
    <t>1. Must be fulfilling a curriculum or graduation requirement in Nutrition or Dietetics, ideally a 4th year nutrition student
2. Have a desire to work with the active/athletic population</t>
  </si>
  <si>
    <t>Banking Program Coordinator Assistant</t>
  </si>
  <si>
    <t>Externally-funded Fellowship</t>
  </si>
  <si>
    <t>International Refugee Assistance Project</t>
  </si>
  <si>
    <t>Homeless Shelter</t>
  </si>
  <si>
    <t>Utica-Rome Area</t>
  </si>
  <si>
    <t>1. Sensitivity to client/beneficiary empowerment and cultural humility.
2. Fluency in oral and written English; ability to speak other languages such as Haitian Creole, Spanish, Dari, or Arabic is a plus.
3. The candidate must sit for the bar exam prior to beginning the fellowship at IRAP.</t>
  </si>
  <si>
    <t>FREE Tech Fundamentals Program - Launching Tech Career! (Dallas, TX)</t>
  </si>
  <si>
    <t>Zero-cost Tech Fundamentals Program - Get exposure to leading technologies (Dallas, TX)</t>
  </si>
  <si>
    <t>No-Cost Tech Fundamental Program - Get exposure to leading technologies! (Dallas, TX)</t>
  </si>
  <si>
    <t>Zero-Cost Tech Fundamentals Program - Opportunity to earn industry-recognized certifications (Dallas, TX)</t>
  </si>
  <si>
    <t>Break into Tech! - No Cost Tech Fundamentals Program (Dallas, TX)</t>
  </si>
  <si>
    <t>Break into Tech! - Cero-Cost Tech Fundamentals Program (Dallas, TX)</t>
  </si>
  <si>
    <t>No Cost Tech Fundamentals Program - Break into Tech! (Dallas, TX)</t>
  </si>
  <si>
    <t>No Cost Tech Fundamentals Program - Opportunity to earn industry-recognized certifications (Dallas, TX)</t>
  </si>
  <si>
    <t>Launching Tech Career! - FREE Tech Fundamentals Program (Dallas, TX)</t>
  </si>
  <si>
    <t>Zero-Cost Tech Fundamentals Program - Launching Your Tech Career! (Dallas, TX)</t>
  </si>
  <si>
    <t>Tech Fundamentals Program (No-Cost) - Get exposure to leading technologies! (Dallas, TX)</t>
  </si>
  <si>
    <t>FREE Tech Fundamentals Program - Get exposure to leading technologies (Dallas, TX)</t>
  </si>
  <si>
    <t>No Cost Tech Fundamentals Program - Unlock Your Future in Tech</t>
  </si>
  <si>
    <t>FREE Tech Fundamental Program - Mentoring from senior-level IT professional (Dayton, OH)</t>
  </si>
  <si>
    <t>Zero-Cost Tech Fundamentals Program - Launching Your Tech Career! (Dayton, OH)</t>
  </si>
  <si>
    <t>Zero-cost Tech Fundamentals Program - Get exposure to leading technologies (St. Louis, MO)</t>
  </si>
  <si>
    <t>FREE Tech Fundamental Program - Mentoring from senior-level IT professional (St. Louis, MO)</t>
  </si>
  <si>
    <t>Pain Psychologist</t>
  </si>
  <si>
    <t>University of North Carolina at Chapel Hill</t>
  </si>
  <si>
    <t>1. Doctorate in Psychology from an APA accredited program.</t>
  </si>
  <si>
    <t>24-25 Student Athlete Mentor</t>
  </si>
  <si>
    <t>Somerville Public Schools</t>
  </si>
  <si>
    <t>$3000-$Maximum stipend /yr</t>
  </si>
  <si>
    <t>1. Strong project-management and communication skills
2. Interest in and willingness to learn about College &amp; Career Readiness processes at SPS
3. Experience in and willingness to learn about collegiate athletic recruiting processes</t>
  </si>
  <si>
    <t>Work Study - Office of Development, College of Education</t>
  </si>
  <si>
    <t>1. Successful completion of background check(s) in accordance with University policies
2. Applicants must be eligible for Federal Work Study</t>
  </si>
  <si>
    <t>Aspire Public Schools</t>
  </si>
  <si>
    <t>Portola Valley, CA</t>
  </si>
  <si>
    <t>$21.66-$21.66 /h</t>
  </si>
  <si>
    <t>1. Current enrollment in a graduate-level educational or school psychology program is required.
2. Bachelor’s Degree required; Master’s Degree preferred
3. Clear the Department of Justice background screening
...</t>
  </si>
  <si>
    <t>Club Sponsor - French (Internal Posting) .5 FTE</t>
  </si>
  <si>
    <t>$671-$671 /h</t>
  </si>
  <si>
    <t>Club Sponsor - Gay Straight Alliance (Internal Posting)</t>
  </si>
  <si>
    <t>$1368-$1368 /yr</t>
  </si>
  <si>
    <t>The Durham Bulls Internship Program</t>
  </si>
  <si>
    <t>Durham, North Carolina</t>
  </si>
  <si>
    <t>1. Seasonal full-time and part-time positions lasting for 6 months
2. Pre-employment drug screening required</t>
  </si>
  <si>
    <t>Military Student Specialist for Recruitment &amp; Support</t>
  </si>
  <si>
    <t>1. Bachelor’s degree.
2. 1-2 years experience supporting veterans and/or military-affiliated individuals.
3. Experience recruiting and/or creating institutional partnerships.
...</t>
  </si>
  <si>
    <t>Program Manager Intern - Summer/Fall (UNTD Students Only)</t>
  </si>
  <si>
    <t>University of North Texas at Dallas</t>
  </si>
  <si>
    <t>1. University of North Texas at Dallas undergraduate student 18 years of age or older.
2. Familiarity with relevant software and tools (i.e. Microsoft Office, Canva, Adobe Creative Suite, etc.)
3. Basic knowledge of marketing principles
...</t>
  </si>
  <si>
    <t>BCBA Intern/Behavior Analyst Intern</t>
  </si>
  <si>
    <t>Success On The Spectrum</t>
  </si>
  <si>
    <t>1. Minimum of Bachelor’s degree completed
2. Must be enrolled in a Masters program and started your BCBA coursework
3. No criminal background
...</t>
  </si>
  <si>
    <t>Part-Time Student Graders - Undergraduate Courses - Department of Statistics</t>
  </si>
  <si>
    <t>1. Must have taken the course for which they will be grading in the past two years
2. Must have received at least a B+ in the course they will be grading</t>
  </si>
  <si>
    <t>Ultrasound Tech Student</t>
  </si>
  <si>
    <t>Midland Memorial Hospital</t>
  </si>
  <si>
    <t>1. Must be a high school graduate or equivalent
2. Enrolled in a contracted formal educational program
3. Ability to stand, walk, sit, stoop, reach, lift, see, speak, and hear
...</t>
  </si>
  <si>
    <t>2024-25 CE Childcare Intern - Mascot Club - Various Locations</t>
  </si>
  <si>
    <t>Paradise Valley Schools</t>
  </si>
  <si>
    <t>Paradise Valley, AZ</t>
  </si>
  <si>
    <t>$14.35-$14.35 /h</t>
  </si>
  <si>
    <t>1. Must be a currently enrolled PVSchools High School Student
2. Must be 16 years old to begin work
3. Administers first aid under the direction of childcare staff
...</t>
  </si>
  <si>
    <t>Camps Intern</t>
  </si>
  <si>
    <t>Crista Ministries</t>
  </si>
  <si>
    <t>Education, Elder Care</t>
  </si>
  <si>
    <t>1. Belief that Jesus Christ is Lord and Savior
2. Is a committed Christian who is dedicated to continued spiritual growth and development as evidenced through a growing personal walk with God (e.g. daily spiritual rhythms of prayer, fellowship, Bible study, etc)
3. Prayerfully seeks God’s will in their own lives and in their ministry at CRISTA
...</t>
  </si>
  <si>
    <t>Laurel Public School Dist No 7</t>
  </si>
  <si>
    <t>Laurel, MT</t>
  </si>
  <si>
    <t>$42300-$67825 /yr</t>
  </si>
  <si>
    <t>1. Current graduate student enrolled in a psychology program.
2. Valid Montana Class 6 Teaching Certificate with proper endorsement(s). (Must have valid Montana teaching certificate prior to employment or to get one in the immediate future.)
3. Experience working in Multi-Tiered Systems of Support
...</t>
  </si>
  <si>
    <t>Kenly, NC</t>
  </si>
  <si>
    <t>BA/BSW Level Internship: Day Treatment (Therapeutic Classroom)</t>
  </si>
  <si>
    <t>1. Enrolled in a Bachelor's program with a focus on Psychology, Social Work, or related field
2. Understanding of basic family systems and the impact of trauma on individuals and families
3. Strong interpersonal skills
...</t>
  </si>
  <si>
    <t>School Psychologist Intern #22002</t>
  </si>
  <si>
    <t>Hernando County School District</t>
  </si>
  <si>
    <t>1. Certification in Psychology
2. Bachelor's Degree
3. Complete all pre-requisite course work towards a degree in School Psychology or other degree leading to compliance with state regulations for certification in School Psychology
...</t>
  </si>
  <si>
    <t>Part-Time Research/Teaching Assistant Support- Acoustics</t>
  </si>
  <si>
    <t>1. Conduct research and collect data
2. Interpret and analyze research data
3. Report status of research activities
...</t>
  </si>
  <si>
    <t>Part Time - Student - Liberal Arts Peer Adviser</t>
  </si>
  <si>
    <t>1. Current Penn State student
2. Available for up to 10 hours per week
3. Must be available for a weekly team meeting
...</t>
  </si>
  <si>
    <t>Part-Time Teaching Assistant Fall Global Marketing 445-Smeal College of Business, The Marketing Dept.</t>
  </si>
  <si>
    <t>1. Responsible for one section (3 classes) of MKTG 445 – Global Marketing in the Fall Semester
2. Duties include grading assignments, creating quizzes/exams, and other duties as assigned by the supervising instructor
3. Expected to be present for a few in-person classes throughout the semester
...</t>
  </si>
  <si>
    <t>Career Development Intern - Fall 2024</t>
  </si>
  <si>
    <t>1. Minimum commitment of three months and at least 30 hours per week. 35 hours per week preferred.
2. Ability to work in-person preferred.
3. Self-motivated and able to work independently.
...</t>
  </si>
  <si>
    <t>Part-Time Research/Teaching Assistant Support- Engineering</t>
  </si>
  <si>
    <t>E-Presence Facilitator</t>
  </si>
  <si>
    <t>Willow Spring, NC</t>
  </si>
  <si>
    <t>Break into Tech! - No Cost Tech Fundamentals Program (St. Louis, MO)</t>
  </si>
  <si>
    <t>Free Tech Fundamentals Training - Earn Industry-Recognized Certifications (St. Louis, MO)</t>
  </si>
  <si>
    <t>New Carlisle, OH</t>
  </si>
  <si>
    <t>No-Cost Tech Fundamental Program - Earn industry-recognized certifications</t>
  </si>
  <si>
    <t>Zero-Cost Tech Fundamentals Program - Unlock Your Future in Tech</t>
  </si>
  <si>
    <t>Part-Time Undergraduate Laboratory Assistant - UP Courses - Department of Statistics</t>
  </si>
  <si>
    <t>1. Full-time registered Penn State students who have successfully completed the course for which they will be assisting
2. Applications must be submitted electronically and include a resume, a cover letter, and a current transcript</t>
  </si>
  <si>
    <t>No Cost Tech Fundamentals Program - Opportunity to earn industry-recognized certifications</t>
  </si>
  <si>
    <t>Conservation Education Internship - Fall 2024</t>
  </si>
  <si>
    <t>1. Must be able to perform physical challenges involved in the daily duties of the department including talking for long periods, walking throughout the park, lifting/carrying equipment weighing approximately 50 lbs., sitting, kneeling, stooping, crawling, twisting, reaching above the head, pulling, bending, and climbing stairs and ladders.
2. The candidate must be able and willing to perform all duties outdoors and in all weather conditions.
3. Understand and follow oral and written instructions
...</t>
  </si>
  <si>
    <t>Animal Operations Internship - Fall 2024</t>
  </si>
  <si>
    <t>Early Childhood Education Internship - Fall 2024</t>
  </si>
  <si>
    <t>1. Must be available 24 hours per week for up to 12 weeks (dependent on area) including holidays and weekends
2. Flexible, self-motivated and a team player
3. Understand and follow oral and written instructions
...</t>
  </si>
  <si>
    <t>1. Up to 20 weeks of instructor-led virtual training
2. Opportunity for a paid internship or a project-based learning experience
3. Opportunity to earn industry-recognized certifications: CompTIA A+ and , a Google IT Support Certificate, and an IT Generalist Apprenticeship credential
...</t>
  </si>
  <si>
    <t>Free Tech Fundamentals Training - Earn Industry-Recognized Certifications</t>
  </si>
  <si>
    <t>No Cost Tech Fundamentals Program - Break into Tech! (St. Louis, MO)</t>
  </si>
  <si>
    <t>Student Assistant, Student Production Office</t>
  </si>
  <si>
    <t>1. Currently enrolled in classes at Tri-C
2. Completed ENG 1010 College Composition I
3. Have completed 12 credits of college coursework
...</t>
  </si>
  <si>
    <t>School Psychologist</t>
  </si>
  <si>
    <t>Fargo Public Schools</t>
  </si>
  <si>
    <t>$58247-$100079 /yr</t>
  </si>
  <si>
    <t>1. Master's or specialist’s degree (minimum of 60 graduate hours) from a NASP accredited program in School Psychology.
2. Passed the Praxis-school Psychologist (5402) exam with a minimum passing score of 147 or Praxis School Psychologist (5403) exam with a minimum score of 145.
3. Ability to possess a Valid North Dakota Teaching License with North Dakota School Psychologist credential</t>
  </si>
  <si>
    <t>Free Tech Fundamentals Training - Earn Industry-Recognized Certifications (Dayton, OH)</t>
  </si>
  <si>
    <t>Waynesville, OH</t>
  </si>
  <si>
    <t>No Cost Tech Fundamentals Program - Earn industry-recognized certifications (Raleigh, NC)</t>
  </si>
  <si>
    <t>Zebulon, NC</t>
  </si>
  <si>
    <t>Research Student (PRN)</t>
  </si>
  <si>
    <t>Lurie Children’s Hospital</t>
  </si>
  <si>
    <t>Streeterville, IL</t>
  </si>
  <si>
    <t>1. Master’s or PhD candidates in Speech-Language Pathology, Psychology, or related fields. Licensure is not required.
2. Competence in the administration of the Preschool Language Scales to children who speak English or Spanish.
3. Fluency in English or bilingual in English &amp; Spanish.
...</t>
  </si>
  <si>
    <t>No Cost Tech Fundamentals Program - Launching Your Tech Career! (Raleigh, NC)</t>
  </si>
  <si>
    <t>No-Cost Tech Fundamental Program - Earn industry-recognized certifications (Dayton, OH)</t>
  </si>
  <si>
    <t>FREE Tech Fundamentals Program - Unlock Your Future in Tech (Raleigh, NC)</t>
  </si>
  <si>
    <t>FREE Tech Fundamentals Program - Earn industry-recognized certifications (Raleigh, NC)</t>
  </si>
  <si>
    <t>Work Study, Peer Financial Coach (Financial Aid Administration)</t>
  </si>
  <si>
    <t>1. Minimum GPA of 2.0 and maintain semester enrollment of at least 6 credit hours
2. Maintain Satisfactory Academic Progress (SAP)
3. Excellent interpersonal and customer service skills
...</t>
  </si>
  <si>
    <t>OSI Student Assistant</t>
  </si>
  <si>
    <t>1. High school diploma or GED
2. Must be a current La Sierra University student
3. Ability to work well with people of all backgrounds, races, religions, and genders
...</t>
  </si>
  <si>
    <t>No-Cost Tech Fundamental Program - Earn industry-recognized certifications (St. Louis, MO)</t>
  </si>
  <si>
    <t>Tech Fundamentals Program - Break into Tech!</t>
  </si>
  <si>
    <t>Zero-Cost Tech Fundamentals Program - Earn industry-recognized certifications (Dayton, OH)</t>
  </si>
  <si>
    <t>Break into Tech! - FREE Tech Fundamentals Program (Raleigh, NC)</t>
  </si>
  <si>
    <t>FREE Tech Fundamentals Program - Launching Tech Career! (Raleigh, NC)</t>
  </si>
  <si>
    <t>Zero-Cost Tech Fundamentals Program - Break into Tech! (St. Louis, MO)</t>
  </si>
  <si>
    <t>1. Cover letter
2. Curriculum vitae
3. Research statement
...</t>
  </si>
  <si>
    <t>Part-Time Course Assistant - FRNSC 415 - Academic Year 2024/2025</t>
  </si>
  <si>
    <t>1. Must be Forensic Science majors</t>
  </si>
  <si>
    <t>Psychologist, Complex Mental Health, Per Diem - 69997</t>
  </si>
  <si>
    <t>University of California, Santa Cruz</t>
  </si>
  <si>
    <t>Santa Cruz County, CA</t>
  </si>
  <si>
    <t>$69.94-$69.94 /h</t>
  </si>
  <si>
    <t>1. Valid California licensure, in good standing, in Psychology OR Valid out of state licensure, in good standing, in Psychology. (Out of State licensed psychologists are required to acquire California licensure within 180 days from either submitting the application or beginning California residency, whichever occurs first)
2. Demonstrated clinical experience with individuals using both brief and long-term therapy models
3. Demonstrated strong clinical and crisis management skills, including ability to work with high acuity students with complex mental health needs and diagnoses
...</t>
  </si>
  <si>
    <t>Intern – Institutional Research</t>
  </si>
  <si>
    <t>1. Current UMass student enrolled in an undergraduate or graduate program of study.
2. GPA 3.0 or higher.
3. Creative, eager to learn, motivated, and willing to take the initiative on assigned projects/tasks.
...</t>
  </si>
  <si>
    <t>FWS student Assistant</t>
  </si>
  <si>
    <t>Graduate Student Grader Summer Session 11</t>
  </si>
  <si>
    <t>Digital Communications Student Assistant</t>
  </si>
  <si>
    <t>1. Strong verbal and written communication skills
2. Detail oriented and organized
3. Ability to independently manage multiple projects
...</t>
  </si>
  <si>
    <t>FWS Assistant for Undergraduate Research Office</t>
  </si>
  <si>
    <t>Raymond B. Jones College of Engineering - Career &amp; STEM Outreach Assistant Student Worker</t>
  </si>
  <si>
    <t>1. Strong organizational skills
2. Effective oral and written communication
3. Motivated to help other students explore and pursue diverse professional and educational opportunities
...</t>
  </si>
  <si>
    <t>Student Assistant-Undergraduate</t>
  </si>
  <si>
    <t>1. Must be a Stevens student currently enrolled
2. Must have full-time status
3. Part-time hourly position</t>
  </si>
  <si>
    <t>FWS Student Assistant</t>
  </si>
  <si>
    <t>1. Currently enrolled Stevens student with full-time status
2. Federal Work Study (FWS) on Financial Aid Award Letter
3. Skilled in Graphic Design
...</t>
  </si>
  <si>
    <t>Part-Time Learning Assistants - Nutritional Sciences</t>
  </si>
  <si>
    <t>1. Must have earned a B+ or higher in the course for which they would be assisting
2. Nutritional Sciences majors in their 3rd or 4th years</t>
  </si>
  <si>
    <t>Student Assistant for Strategy &amp; Enrollment (Work-study)</t>
  </si>
  <si>
    <t>1. Current UIW student
2. Approved and eligible to participate in the Federal Work-Study program
3. Previous experience working in a professional office environment
...</t>
  </si>
  <si>
    <t>Germantown, OH</t>
  </si>
  <si>
    <t>Zero-Cost Tech Fundamental Program - Earn industry-recognized certifications</t>
  </si>
  <si>
    <t>Program Coordinator (Employment and Training)</t>
  </si>
  <si>
    <t>Goodwill Houston</t>
  </si>
  <si>
    <t>1. Bachelor’s degree required.
2. A minimum of two (2) years of experience in coordinating programs or a similar field.
3. Excellent computer skills (proficient in Microsoft Office).
...</t>
  </si>
  <si>
    <t>Fort Larned National Historic Site - Interpretation and Education Intern</t>
  </si>
  <si>
    <t>Larned, KS</t>
  </si>
  <si>
    <t>$690-$690 /wk</t>
  </si>
  <si>
    <t>1. High School Diploma/GED
2. Applicants must pass a criminal background for both DOI and AmeriCorps eligibility.
3. Must be 18 years or older.
...</t>
  </si>
  <si>
    <t>Staff Specialist - Work-Based Learning</t>
  </si>
  <si>
    <t>$72252-$89405 /yr</t>
  </si>
  <si>
    <t>1. Bachelor's degree in a related field from an accredited university.
2. At least three years of combined experience as a teacher, school counselor, school administrator, district-office worker, or in the workforce development field required.
3. Demonstrated experience in developing and/or implementing work-based learning programming
...</t>
  </si>
  <si>
    <t>Bilingual School Psychologist FT OR Intern (2024-2025)</t>
  </si>
  <si>
    <t>Jordan School District</t>
  </si>
  <si>
    <t>1. Spanish speaking preferred</t>
  </si>
  <si>
    <t>Springfield, OH</t>
  </si>
  <si>
    <t>Student Council Assistant Sponsor</t>
  </si>
  <si>
    <t>Yorkville School District 115</t>
  </si>
  <si>
    <t>Yorkville, IL</t>
  </si>
  <si>
    <t>1. Attend all meetings
2. Input ideas for weekly agenda
3. Help supervise winter and spring blood drives
...</t>
  </si>
  <si>
    <t>Graduate Intern for LGBTQ+ Initiatives</t>
  </si>
  <si>
    <t>$6000-$6000 stipend</t>
  </si>
  <si>
    <t>1. Internship applicants must be accepted, provisionally or fully, into an eligible graduate program.
2. Excellent written and oral communication skills.
3. Strong administrative skills.
...</t>
  </si>
  <si>
    <t>Fall Fitness Internship (Philadelphia, PA)</t>
  </si>
  <si>
    <t>ER Clinician Mentorship Program - 2025</t>
  </si>
  <si>
    <t>1. DVM degree from an AVMA-recognized institution
2. Current license to practice veterinary medicine in the state of your program
3. Employment interview with background check
...</t>
  </si>
  <si>
    <t>Echo Tech Extern</t>
  </si>
  <si>
    <t>Elementary School - Campus Administrative Intern - Generic</t>
  </si>
  <si>
    <t>Garland Independent School District</t>
  </si>
  <si>
    <t>$61000-$71438 /yr</t>
  </si>
  <si>
    <t>1. Bachelor’s degree in education or a related field
2. Valid Teacher Certification
3. Minimum of three (3) years of successful teaching experience
...</t>
  </si>
  <si>
    <t>1. High School Graduate or Equivalency required</t>
  </si>
  <si>
    <t>School Psychologist Intern - San Antonio</t>
  </si>
  <si>
    <t>$73000-$73000 /yr</t>
  </si>
  <si>
    <t>1. Enrollment in a valid university internship program for Licensed Specialist in School Psychology with a letter from the university stating they have been approved for internship</t>
  </si>
  <si>
    <t>Student Research Worker - Hematology &amp; Oncology</t>
  </si>
  <si>
    <t>1. Undergraduate degree or equivalent in education, training and experience
2. Bilingual proficiency in Spanish
3. Ability to work flexible hours</t>
  </si>
  <si>
    <t>Interprofessional Learning Center-Student Worker</t>
  </si>
  <si>
    <t>1. Experience with Microsoft Office and Word required.
2. Currently enrolled at Clarkson College required.
3. Excellent written, verbal, and interpersonal communication skills required.
...</t>
  </si>
  <si>
    <t>Temp</t>
  </si>
  <si>
    <t>1. Reviewing existing online content developed for cell and gene therapy education
2. Viewing lectures and helping to develop knowledge assessments for each lecture
3. Co-developing assessments with Dr. Hexner
...</t>
  </si>
  <si>
    <t>Educational Interpreter/Transliterator for Students who are Deaf or Hard of Hearing</t>
  </si>
  <si>
    <t>LIVINGSTON PARISH SCHOOL DISTRICT</t>
  </si>
  <si>
    <t>Livingston, LA</t>
  </si>
  <si>
    <t>1. EIPA Level III or Above</t>
  </si>
  <si>
    <t>Behavior Analyst Intern (BCBA)</t>
  </si>
  <si>
    <t>Cole Health</t>
  </si>
  <si>
    <t>$50000-$53000 /yr</t>
  </si>
  <si>
    <t>1. Passionate BCBA's
2. Quality patient care
3. Staff development
...</t>
  </si>
  <si>
    <t>1. Bachelor's degree or equivalent in education and experience
2. Current student at Columbia University and its affiliates
3. Strong interest in the mission of the research project and willingness to work flexible hours to reach study participants
...</t>
  </si>
  <si>
    <t>Graduate Assistant - Strategic Communication</t>
  </si>
  <si>
    <t>1. Graduate assistants must be students in the MA in Strategic Communication program.
2. Demonstrate strong communication skills including the ability to work in a classroom, manage social media accounts, and work in a busy office environment.</t>
  </si>
  <si>
    <t>Internal Communications Intern- Learning and Development</t>
  </si>
  <si>
    <t>1. Engaging communication skills
2. Positive attitude, eagerness to learn, and willingness to take on new challenges
3. Willingness to assist and collaborate within a team
...</t>
  </si>
  <si>
    <t>Administrative Fellowship Program</t>
  </si>
  <si>
    <t>Sentara Healthcare</t>
  </si>
  <si>
    <t>1. Candidates must have completed or be on target to complete the didactic portion of a master's degree (preferably with a concentration and/or experience in healthcare management) from an accredited graduate program.
2. Candidates must have completed or be on target to complete a master's degree from an accredited institution.
3. Applicants must have completed Master's degree program or 2 years of coursework as part of Masters degree program.</t>
  </si>
  <si>
    <t>Temporary Worker - Research Assistant ESGi</t>
  </si>
  <si>
    <t>1. Temporary Worker - Research Assistant ESGi
2. Temporary Employee - Non-Exempt
3. Philadelphia, Pennsylvania
...</t>
  </si>
  <si>
    <t>Graduate Assistant - Athletics - Softball</t>
  </si>
  <si>
    <t>1. An earned bachelor’s degree
2. Acceptance into a Southeastern University Graduate Program
3. Ability to plan, organize and teach fundamentals
...</t>
  </si>
  <si>
    <t>2024-2025 (Spring) Supplemental Contract - RUSTIN HS- Intramurals</t>
  </si>
  <si>
    <t>West Chester Area School District</t>
  </si>
  <si>
    <t>Graduate Assistant, PA Program - Ruskin (Administrative)</t>
  </si>
  <si>
    <t>Ruskin, FL</t>
  </si>
  <si>
    <t>1. Highly organized and able to manage several tasks/projects at one time
2. Comfortable representing Gannon University in a professional way with community organizations
3. Strong skills of attention to detail and personal initiative</t>
  </si>
  <si>
    <t>BCBA / Board Certified Behavior Analyst Remote</t>
  </si>
  <si>
    <t>Burnett Therapeutic Services, Inc.</t>
  </si>
  <si>
    <t>1. Availability to work a consistent weekly schedule: typically, mornings and afternoons for clinic.
2. Eligibility to work in the United States.
3. Valid California Driver’s license (if working in-person/hybrid)
...</t>
  </si>
  <si>
    <t>1. Must be a Stevens student currently enrolled
2. Must have at least 6 credits
3. Part-time hourly position
...</t>
  </si>
  <si>
    <t>Diversity &amp; Inclusion Graduate Assistant</t>
  </si>
  <si>
    <t>Trinity University</t>
  </si>
  <si>
    <t>1. A Bachelor’s degree from an accredited institution of higher education before start date
2. Eligible candidates will be first- or second-year master's students
3. Enrolled maintaining good conduct and academic standing
...</t>
  </si>
  <si>
    <t xml:space="preserve">Professional Development Intern </t>
  </si>
  <si>
    <t>Bronx</t>
  </si>
  <si>
    <t>temp extra research assistant</t>
  </si>
  <si>
    <t>1. Temporary Employee - Non-Exempt
2. Philadelphia, Pennsylvania
3. Wharton School
...</t>
  </si>
  <si>
    <t>2023 VPSE Graduate Worker Program Assistant</t>
  </si>
  <si>
    <t>1. Current or incoming Penn students
2. Interest in serving as graduate assistants, course instructors, and program assistants
3. Availability for varying work hours including late afternoon, early evening, Saturday, and virtual assignments
...</t>
  </si>
  <si>
    <t>International Apprentice - Spring 2025</t>
  </si>
  <si>
    <t>1. Maintain a personal, active relationship with Jesus Christ and is a consistent witness for Jesus Christ
2. A Bachelor's or Master's degree required (Degrees in the areas of health, finance/accounting, engineering, business, supply chain management, program management, operations, international relations preferred)
3. Analytical, strategic thinking, and demonstrated leadership skills
...</t>
  </si>
  <si>
    <t>Student Assistant e-learning Content Developer</t>
  </si>
  <si>
    <t>SimCorp</t>
  </si>
  <si>
    <t>1. Pursuing a degree in Education, Instructional Design, Multimedia Development, or a related field.
2. Basic proficiency in e-learning development tools such as Articulate Storyline, Adobe Captivate, or similar software.
3. Ability to contribute ideas for creating engaging and interactive content.
...</t>
  </si>
  <si>
    <t>Graduate Assistant Student Involvement</t>
  </si>
  <si>
    <t>Grand View University</t>
  </si>
  <si>
    <t>$2000-$2000 semester</t>
  </si>
  <si>
    <t>1. Bachelor's degree from a regionally accredited college/university
2. Clear communication skills and desire to work with college-age students
3. Excellent project management skills, including flexibility, problem solving, and leadership development skills
...</t>
  </si>
  <si>
    <t>Postdoctoral Fellow – T90/R90 Training Grant</t>
  </si>
  <si>
    <t>The Forsyth Institute</t>
  </si>
  <si>
    <t>1. DDS, DMD, PhD, or MD in a Forsyth related field.
2. Most trainees must be US citizens or hold a Green Card at the time of appointment. There are limited spaces for international positions that are open for dentists only.
3. Motivated, responsible, and willing to work in a collaborative environment.</t>
  </si>
  <si>
    <t>College Outreach Fellow</t>
  </si>
  <si>
    <t>United Way of Greater Los Angeles</t>
  </si>
  <si>
    <t>Downtown Los Angeles, CA</t>
  </si>
  <si>
    <t>1. Must be actively enrolled in an accredited undergraduate program; A focus in Education, Policy or Social Work is a plus
2. Basic proficiency or aptitude for Microsoft and gmail required, graphic design or Canva is preferred
3. Must be currently enrolled in community college; LA Trade Tech, LA City College, LB City College, enrollment strongly preferred
...</t>
  </si>
  <si>
    <t>CRAFT Research Assistant</t>
  </si>
  <si>
    <t>1. Must be a Stevens student currently enrolled
2. Must have full-time status
3. Cover letter
...</t>
  </si>
  <si>
    <t>Third Year Psychologist Intern</t>
  </si>
  <si>
    <t>Churchill High School</t>
  </si>
  <si>
    <t>$30000-$30000 /yr</t>
  </si>
  <si>
    <t>1. Successful completion of a second year practicum
2. Demonstrated positive interpersonal relationships
3. An understanding of the rationale of testing, measurement, and skills in the administration of tests, including those which measure intelligence, achievement, adaptive skills, and behavior
...</t>
  </si>
  <si>
    <t>GRADUATE ASSISTANT (Exercise Physiology) - School of Health and Kinesiology</t>
  </si>
  <si>
    <t>1. Undergraduate degree in Health, Physical Education, Exercise Science, Biomechanics, Recreation, or related field
2. Undergraduate GPA of 3.0 or higher recommended
3. Completion of the graduate application</t>
  </si>
  <si>
    <t>Student Assistant - Business Coordinator</t>
  </si>
  <si>
    <t>1. Pursuing a degree in Business Administration, Education, Management, or a related field.
2. High ability to complete multiple tasks and prioritize effectively in an educational environment.
3. Familiarity with office software such as Microsoft Office Suite (Word, Excel, PowerPoint).
...</t>
  </si>
  <si>
    <t>Working Student</t>
  </si>
  <si>
    <t>1. University or High School student
2. Ability to integrate into teams easily
3. Reliability and accuracy
...</t>
  </si>
  <si>
    <t>ESG Intern</t>
  </si>
  <si>
    <t>1. Degrees/Field of Study required</t>
  </si>
  <si>
    <t>School Psychologist - Hawaii District-East Special Education/Special Services</t>
  </si>
  <si>
    <t>Hawaii State Department of Education</t>
  </si>
  <si>
    <t>$5713-$6949 /mon</t>
  </si>
  <si>
    <t>1. Master's degree from a regionally accredited college or university in school psychology; and a 1200-hour internship of which 600 hours must have been in an elementary, middle or secondary school setting
2. OR A master's degree from a regionally accredited college or university in educational psychology, counseling psychology or closely related field in a psychology profession that included graduate courses in human learning and development, psycho-educational assessment, individual differences, remedial and special education, principles of legal and ethical issues in the field of education or psychology, statistics, research methodology; and a 1200-hour internship of which 600 hours must have been in an elementary, middle or secondary school setting
3. OR Current school psychologist license or certification issued by another State
...</t>
  </si>
  <si>
    <t>Veterinarian / Rotating Internship 2023-24</t>
  </si>
  <si>
    <t>1. Doctor of Veterinary Medicine (DVM) degree or equivalent
2. Excellent verbal and written communication skills
3. A strong work ethic, positive attitude, and ability to work in a team environment
...</t>
  </si>
  <si>
    <t>1. Bachelor’s degree
2. At least one year of related experience
3. Equivalent education, training, and experience</t>
  </si>
  <si>
    <t>Behavioral Research Internship - Winter 2024</t>
  </si>
  <si>
    <t>1. Possess strong interpersonal communication skills.
2. Possess a sincere desire to work on projects related to both guests and animals.
3. Ability to effectively work independently, and within a team environment.
...</t>
  </si>
  <si>
    <t>Oceania Scholars Program Coordinator (Student Services Professional III) - Equity &amp; Community Inclusion/Asian American &amp; Pacific Islander Student Services</t>
  </si>
  <si>
    <t>San Francisco State University</t>
  </si>
  <si>
    <t>$5276-$5624 /mon</t>
  </si>
  <si>
    <t>1. Thorough knowledge of the principles of individual and group behavior
2. General knowledge of the principles, practices, and trends of the Student Services field
3. General knowledge of individual counseling techniques
...</t>
  </si>
  <si>
    <t>CIEGE Program Associate</t>
  </si>
  <si>
    <t>Graduate Assistant Evening Reference/Interlibrary Loan</t>
  </si>
  <si>
    <t>Edgewood College</t>
  </si>
  <si>
    <t>1. Currently enrolled in an ALA-accredited Library and Information Studies program.
2. Able to work independently and collaboratively in a team-based environment
3. Possess excellent problem solving, multi-tasking, and organizational skills
...</t>
  </si>
  <si>
    <t>2024-2025 Graduate Assistant Criminalistics</t>
  </si>
  <si>
    <t>1. Organizational skills
2. Lab experiment experience helpful
3. Computer and office skills</t>
  </si>
  <si>
    <t>Community High School District 218</t>
  </si>
  <si>
    <t>Oak Lawn, IL</t>
  </si>
  <si>
    <t>1. Illinois Professional Educator License (PEL) or ASEP Required
2. Work well with high school students
3. Excellent organizational skills
...</t>
  </si>
  <si>
    <t>Interpreter Deaf Co-Op Intern</t>
  </si>
  <si>
    <t>Fort Bend ISD</t>
  </si>
  <si>
    <t>1. Associate's degree related to interpreting for the Deaf or in the field of Deafness
2. Minimum of 60 college hours in lieu of the degree requirements
3. Certificate in interpreting for the deaf issued by the Texas Division of Deaf and Hard of Hearing Services (BEI) or the Registry of Interpreters (RID) or will obtain within 3 years of hire
...</t>
  </si>
  <si>
    <t>Bilingual Clinician - Community Based Program</t>
  </si>
  <si>
    <t>$80000-$89000 /yr</t>
  </si>
  <si>
    <t>1. M.S.W or M.A/M.S. in relevant field, from an accredited graduate school.
2. Current license or registered internship toward licensure.
3. A minimum of two years’ experience in providing direct clinical services to adolescents.
...</t>
  </si>
  <si>
    <t>Interapt Immersive Training &amp; Apprenticeship: General Interest</t>
  </si>
  <si>
    <t>Interapt</t>
  </si>
  <si>
    <t>1. You must have great communication skills
2. You must be at least 18 years of age.
3. You must have a High School Diploma or its equivalent.
...</t>
  </si>
  <si>
    <t>Post-Graduate Behavioral Health Fellow</t>
  </si>
  <si>
    <t>Unity Health Care</t>
  </si>
  <si>
    <t>1. Master's degree in social work from an accredited program by CSWE
2. Recent graduate (current year of which you are applying to the fellowship)
3. Must be a Licensed graduate social worker (LGSW) in the District of Columbia
...</t>
  </si>
  <si>
    <t>SWC Intern - Manager in Training (370519017)</t>
  </si>
  <si>
    <t>Volusia County School District</t>
  </si>
  <si>
    <t>SWC Intern - Manager in training (370519015)</t>
  </si>
  <si>
    <t>1. Manager in training
2. SWC Intern</t>
  </si>
  <si>
    <t>SWC Intern - Manager in training (370519018)</t>
  </si>
  <si>
    <t>SWC Intern - Manager in Training (370519041)</t>
  </si>
  <si>
    <t>1. SWC Intern - Manager in Training
2. Position Code 370519041
3. Title Code 51191
...</t>
  </si>
  <si>
    <t>SWC Intern - Manager in training (370519013)</t>
  </si>
  <si>
    <t>SWC Intern - Manager in training (370519014)</t>
  </si>
  <si>
    <t>Emergency Mentorship Program in Columbia, MD</t>
  </si>
  <si>
    <t>1. Finishing fourth-year DVM student, recent graduate, or an experienced veterinarian
2. Looking to make the shift from general practice or urgent care
3. Interest in emergency medicine
...</t>
  </si>
  <si>
    <t>1. Interest in hands-on research and extension/outreach addressing real-world challenges and opportunities faced by vegetable growers
2. Ability to contribute talents, skills, and knowledge to research projects
3. Willingness to work year-round in various environments including outside, high tunnels, greenhouses, laboratories, and offices
...</t>
  </si>
  <si>
    <t>1. Assist in all phases of the OSU wheat breeding program
2. Attention to detail
3. Ability to follow instructions
...</t>
  </si>
  <si>
    <t>1. Assists with mowing, weeding, string trimming, and mulching of tree circles, landscaped areas, and flower beds
2. Operates grounds maintenance equipment including commercial front-deck mowers, string trimmers, &amp; backpack blowers
3. Collects fallen limbs and trash from campus grounds
...</t>
  </si>
  <si>
    <t>Student Researcher II - SOM-Pediatrics</t>
  </si>
  <si>
    <t>1. Current enrollment in college.</t>
  </si>
  <si>
    <t>Social Emotional Learning Coach</t>
  </si>
  <si>
    <t>Wake County Public School System</t>
  </si>
  <si>
    <t>1. Considerable knowledge of Microsoft Office, specifically Microsoft Word, Excel, and Power Point; Google Apps
2. Working knowledge of effective methods of instruction for students
3. Working knowledge of general classroom activities and routines
...</t>
  </si>
  <si>
    <t>USAFSAM Mixed-Methods Research Fellowship in Educational Delivery Models</t>
  </si>
  <si>
    <t>1. Currently enrolled in a Master's or Doctoral degree program or a graduate of such a program within the last 5 years
2. Preferred fields of study include Social and Behavioral Sciences, Leadership, Organizational Development, Education, Business, Statistics, or a related field from an accredited institution of higher education
3. U.S. Citizen Only
...</t>
  </si>
  <si>
    <t>Graduate Intern for Men's Soccer/Athletics Event Operations</t>
  </si>
  <si>
    <t>1. Bachelor’s degree required, admission to one of Regis' College's graduate programs.
2. Strong organizational skills required.
3. Excellent oral and written communication skills, computer literacy and strong interpersonal skills to work with various college constituencies.
...</t>
  </si>
  <si>
    <t>Reg Student Technical - Events Management</t>
  </si>
  <si>
    <t>1. Enrolled at least half-time during fall/spring semesters (5 hours for graduates, 6 hours for undergraduates)
2. Enrolled full-time for international students during fall/spring semesters (9 credit hours for graduates, 12 credit hours for undergraduates)
3. Enrolled in at least 3 credit hours during summer semester
...</t>
  </si>
  <si>
    <t>Psychologist - Adult, Youth or PRN</t>
  </si>
  <si>
    <t>Psychologist</t>
  </si>
  <si>
    <t>1. Ph.D. or Psy.D. degree from an APA accredited graduate program in counseling, school or clinical psychology.
2. Completion of an APA-approved doctoral internship.
3. 400 hours of practicum experience.
...</t>
  </si>
  <si>
    <t>Child Care Assistant (Developmental) PT 5729</t>
  </si>
  <si>
    <t>Child Care Assistant (Developmental) FT 5727</t>
  </si>
  <si>
    <t>Wooster Campus</t>
  </si>
  <si>
    <t>1. Interest in hands-on research and extension/outreach addressing real-world challenges and opportunities faced by vegetable growers
2. Ability to contribute talents, skills, and knowledge to research projects
3. Willingness to work year-round in various environments (outside, high tunnels, greenhouses, laboratories, and offices)
...</t>
  </si>
  <si>
    <t>MA&amp;PHC - Study Management Intern</t>
  </si>
  <si>
    <t>1. Technical expertise and/or programming skills (e.g. R/Python) and elementary statistics knowledge preferred; Good at any data visualization tools, e.g. R or Python.
2. Basic knowledge of NLP is preferred
3. Good written and oral communications skills in both English and Mandarin
...</t>
  </si>
  <si>
    <t>StudentInnen (m/w/d) zur Unterstützung unserer Assistenzen</t>
  </si>
  <si>
    <t>1. Aktuell an einer deutschen Hochschule als Student/in (m/w/d) eingeschrieben sein
2. Dein Daily Business problemlos auf Deutsch und Englisch managen
3. Im Umgang mit Office-Anwendungen versiert sein
...</t>
  </si>
  <si>
    <t>Writing Specialist for International Students, PT</t>
  </si>
  <si>
    <t>Southwestern Baptist Theological Seminary</t>
  </si>
  <si>
    <t>1. Accredited master’s degree in TESOL, English, or related degree.
2. Demonstrates excellent writing and editing skills.
3. Teaching experience or tutoring experience with second-language learners preferred
...</t>
  </si>
  <si>
    <t>Child Care Assistant (Developmental) FT 5688</t>
  </si>
  <si>
    <t>Buzzards Bay, MA</t>
  </si>
  <si>
    <t>Child Care Assistant (Developmental) PT 5689</t>
  </si>
  <si>
    <t>Programs &amp; Events INTERN</t>
  </si>
  <si>
    <t>Licking County</t>
  </si>
  <si>
    <t>1. Be a college senior, or recent graduate in a program of Environmental Education, Natural Resource Management, Recreation or similar field.
2. Must possess a valid OH driver's license. Driving record must be clean.
3. Must be willing to obtain instructor certification through the American Canoe Association or Ohio Department of Natural Resources; training will be provided.
...</t>
  </si>
  <si>
    <t>East Bay STEM Initiative Program Coordinator (Temporary)</t>
  </si>
  <si>
    <t>California State University, East Bay</t>
  </si>
  <si>
    <t>$3694-$4800 /mon</t>
  </si>
  <si>
    <t>1. Bachelor’s degree or a combination of education, training and relevant experience.
2. Administrative work experience related to the position.
3. Cultural sensitivity when interacting with a very diverse population of students and faculty.
...</t>
  </si>
  <si>
    <t>Student Enrollment Assistant</t>
  </si>
  <si>
    <t>Orleans Parish School Board</t>
  </si>
  <si>
    <t>1. High School Diploma or equivalent required
2. 2 years of customer service experience preferred
3. Possesses a valid Louisiana Driver’s license without any restrictions that precludes driving on the job, will be a continuous requirement
...</t>
  </si>
  <si>
    <t>SHI - Education Project Coordinator</t>
  </si>
  <si>
    <t>Sealaska Corporation</t>
  </si>
  <si>
    <t>Environmental Consulting, Government</t>
  </si>
  <si>
    <t>1. Bachelor of Arts or Science Degree in education, language, or project-related field.
2. 2 years of professional work in project management and program coordination.
3. Experience working with Alaska Native youth in formal and informal education settings.
...</t>
  </si>
  <si>
    <t>Gifted and Talented (GT) Teacher</t>
  </si>
  <si>
    <t>SALADO ISD</t>
  </si>
  <si>
    <t>Salado, TX</t>
  </si>
  <si>
    <t>1. Bachelor’s degree from accredited university
2. Valid Texas teaching certificate with required endorsements or training for subject and level assigned
3. Demonstrated competency in the core academic subject area assigned
...</t>
  </si>
  <si>
    <t>*TEST - 826 Boston, Inc: Teen Tutor - TEST*</t>
  </si>
  <si>
    <t>City of Boston</t>
  </si>
  <si>
    <t>1. Interest in education and child development
2. Keen observer
3. Adaptable in approaches with students
...</t>
  </si>
  <si>
    <t>Graduate Assistant Positions</t>
  </si>
  <si>
    <t>Coker College</t>
  </si>
  <si>
    <t>Hartsville, SC</t>
  </si>
  <si>
    <t>1. Cover letter detailing the position you are applying for
2. Current resume
3. 3 professional references
...</t>
  </si>
  <si>
    <t>Kaiser Mental Health Workforce Accelerator Project Coordinator  - ( Staff | CAS-Social Work | req2504 )</t>
  </si>
  <si>
    <t>Albers School of Business and Economics at Seattle University</t>
  </si>
  <si>
    <t>$57000-$57000 /yr</t>
  </si>
  <si>
    <t>1. Master level degree
2. Working experience and knowledge of Office Suite (Word, EXCEL, etc.)
3. Demonstrated ability and/or experience using online data management systems
...</t>
  </si>
  <si>
    <t>Graduate Assistant Administrative &amp; International Operations (20683)</t>
  </si>
  <si>
    <t>Ottawa University</t>
  </si>
  <si>
    <t>1. Completed online admissions application at: https://www.ottawa.edu/
2. REQUIRED application fee
3. Submission of official undergraduate transcripts (3.0 GPA – minimum requirement) earned bachelor’s degree.
...</t>
  </si>
  <si>
    <t>SERC/AIRC Student Research Assistant</t>
  </si>
  <si>
    <t>1. Self-motivation and a high level of responsibility to complete tasks in a timely manner and make significant progress without direct supervision.
2. Ability to learn new software and research techniques as needed.
3. Strong verbal and written communication skills.
...</t>
  </si>
  <si>
    <t>Department Assistant - Orientation &amp; Transition (Summer Graduate Assistant/Intern)</t>
  </si>
  <si>
    <t>1. A Bachelor’s degree from an accredited institution of higher education before start date.
2. Enrolled in a master’s program at an accredited institution.
3. Strong organizational skills and demonstrated ability to manage multiple priorities.
...</t>
  </si>
  <si>
    <t>Middle &amp; High School Administrative Assistant - Internship</t>
  </si>
  <si>
    <t>Capital City Public Charter School</t>
  </si>
  <si>
    <t>Consulting, Primary Education</t>
  </si>
  <si>
    <t>1. Must be personable and able to field questions from Parents, Students and Community Partners and Public
2. Create instructional resources for use in the classroom
3. Plan, prepare and deliver letters
...</t>
  </si>
  <si>
    <t>Graduate Assistant (Counseling Students Only)</t>
  </si>
  <si>
    <t>$800-$800 /mon</t>
  </si>
  <si>
    <t>1. Acceptance/good standing as a degree seeking student in the Stephens College counseling program; minimum of two semesters left in the program.
2. Ability to maintain confidentiality.
3. Strong interpersonal skills.
...</t>
  </si>
  <si>
    <t>Undergraduate Student Farm Assistant</t>
  </si>
  <si>
    <t>1. Enrolled at Auburn University
2. Must have a valid transportation
3. Must be able to work at least 12 hours a week</t>
  </si>
  <si>
    <t>Dance &amp; Theatre Intern</t>
  </si>
  <si>
    <t>Jewish Community Center of Greater Baltimore</t>
  </si>
  <si>
    <t>1. Enthusiastic with an appreciation for the performing arts
2. Prepared to be a role model
3. Loves working with children
...</t>
  </si>
  <si>
    <t>Extended Learning Student Assistant 2024 - 2025</t>
  </si>
  <si>
    <t>1. Current High School Student High school senior currently enrolled in a Fort Bend ISD high school required
2. Basic computing skills, including MS office required
3. Strong verbal and written communication skills required</t>
  </si>
  <si>
    <t>STEM Center Learning Assistant</t>
  </si>
  <si>
    <t>1. Full-time student at EKU
2. Completed at least one General Education II course (Quantitative Reasoning) or General Education IV course (Natural Sciences)
3. Good academic standing with the University</t>
  </si>
  <si>
    <t>Lyman T. Johnson Postdoctoral Fellowship</t>
  </si>
  <si>
    <t>$61008-$61008 /yr</t>
  </si>
  <si>
    <t>1. Completion of doctoral degree within the past two years or will complete the doctoral degree before the date of appointment.
2. Eligible to compete for federally-funded postdoctoral grants.
3. By the time of award, the individual must be a citizen or a non-citizen national of the United States or have been lawfully admitted for permanent residence.
...</t>
  </si>
  <si>
    <t>Loomis, CA</t>
  </si>
  <si>
    <t>Graduate Assistant - Volleyball</t>
  </si>
  <si>
    <t>1. Coaching Experience Preferred
2. Work in conjunction with the head coach who oversees the Volleyball program
3. Assist the head volleyball coach with writing schedules, assist at practice, assist in all volleyball games, and help with recruiting
...</t>
  </si>
  <si>
    <t>2024-2025 Graduate Assistant - Career Center</t>
  </si>
  <si>
    <t>1. Enrollment in a Seton Hall University graduate program is required.
2. Strong interpersonal and communication skills with the ability to build rapport and effectively engage with diverse populations.
3. Excellent organizational and time management skills with the ability to multitask and meet deadlines.
...</t>
  </si>
  <si>
    <t>Enrollment Management Graduate Assistant</t>
  </si>
  <si>
    <t>1. Bachelor's degree
2. Enrolled in graduate school at EKU</t>
  </si>
  <si>
    <t>School Psychologist [2024-2025 SCHOOL YEAR]</t>
  </si>
  <si>
    <t>Chatham County Schools</t>
  </si>
  <si>
    <t>1. 60 hour Master's degree in school psychology from an approved school psychology training program plus a one year internship providing psychological services; or any equivalent combination of training and experience which provides the required knowledge, skills and abilities.
2. Must be certified as a school psychologist by the State of North Carolina.
3. Must possess a valid North Carolina driver's license.
...</t>
  </si>
  <si>
    <t>FY 2024-2025 Graduate Assistant - Undergraduate Affairs - School of Diplomacy</t>
  </si>
  <si>
    <t>1. Exceptionally detail oriented
2. Good writer
3. Knowledge of Slate or other CMS</t>
  </si>
  <si>
    <t>Part-Time Graduate Assistant - MFA</t>
  </si>
  <si>
    <t>THERAPY- GRADUATE INTERN</t>
  </si>
  <si>
    <t>Highland-Clarksburg Hospital</t>
  </si>
  <si>
    <t>Clarksburg, WV</t>
  </si>
  <si>
    <t>1. Must have completed Bachelor’s degree in a behavioral health field (social work, counseling, psychology).
2. General Social Work Licensure preferred.
3. Ability to solve practical problems and deal with a variety of variables as needed.
...</t>
  </si>
  <si>
    <t>Graduate Assistant-Applied Human Sciences</t>
  </si>
  <si>
    <t>1. Must be enrolled at EKU.
2. Obtain a Food Handler’s Card/Certification for Madison County, Kentucky through the Madison County Health Department. - (Essential)
3. Acts in compliance with University policies, procedures and standards - (Essential)</t>
  </si>
  <si>
    <t>Graduate Assistant for Volleyball</t>
  </si>
  <si>
    <t>Briar Cliff University</t>
  </si>
  <si>
    <t>1. Bachelor's degree
2. Admitted to the Briar Cliff University graduate school program
3. Valid Driver's License
...</t>
  </si>
  <si>
    <t>Graduate Assistant - Mathematics and Statistics</t>
  </si>
  <si>
    <t>1. Must have a Bachelor's Degree
2. Must be enrolled in Graduate School at EKU</t>
  </si>
  <si>
    <t>Instructional System Designer Intern</t>
  </si>
  <si>
    <t>Mariner Finance</t>
  </si>
  <si>
    <t>1. Currently pursuing a degree Education, Instructional Design, Information Technology or related field or other related discipline with the desire to develop a career in one of these fields.
2. Proficient with Microsoft Office suite (Word, Excel, and PowerPoint), and Adobe and Articulate suite knowledge.
3. Excellent interpersonal skills necessary to communicate professionally and effectively, verbally and in writing, with vendors, service dealers, customers, and all levels of company staff.
...</t>
  </si>
  <si>
    <t>Graduate Assistant, Music Department</t>
  </si>
  <si>
    <t>1. Must be accepted to or enrolled in a graduate program at Cumberland University
2. Available to work flexible hours including weekday office hours, weekday night hours, and some weekends according to the calendar of student life events
3. Competence in technology; proficiency in Word, Excel, PowerPoint, and Publisher</t>
  </si>
  <si>
    <t>Affinity Group Facilitator</t>
  </si>
  <si>
    <t>1. Previous experience leading affinity groups for Black girls in high school
2. Enrolled in the School Counseling emphasis of the Counselor Education program at Penn State University</t>
  </si>
  <si>
    <t>Student Assistant | Social Justice Institute</t>
  </si>
  <si>
    <t>1. High School Diploma
2. Minimum GPA of 2.0
3. Enrolled in FMU for a minimum of 6 credit hours
...</t>
  </si>
  <si>
    <t>American Canyon, CA</t>
  </si>
  <si>
    <t>Lash Extension Training Model</t>
  </si>
  <si>
    <t>Amazing Lash Studio</t>
  </si>
  <si>
    <t>1. Be a Training Lash Model with our newest Lash Stylists in Training
2. Receive a partial full set of eyelash extensions starting at just $25</t>
  </si>
  <si>
    <t>Learning &amp; Development Assistant - Internship</t>
  </si>
  <si>
    <t>1. Fluent French and Dutch are a must
2. Marketing &amp; Brand activation skills
3. Community management skills
...</t>
  </si>
  <si>
    <t>1. Currently enrolled at SDSU
2. Strong computer skills (e.g., MS Word, MS Excel, Google Suite)
3. Ability to manage competing priorities, be flexible, and demonstrate strong detail orientation
...</t>
  </si>
  <si>
    <t>Student Assistant | Black Male College Explorer Program (BMCEP)</t>
  </si>
  <si>
    <t>1. FMU student with a 2.7 cumulative GPA or higher. High School diploma or GED with prior customer service or administrative experience. Must be currently enrolled with a minimum of six (6) credits as an Undergraduate student or three (3) credits as a Graduate student during the Fall and Spring semesters.
2. Ability to make entry-level decisions and a willingness to ask questions.
3. Demonstrate responsibility, initiative, timeliness, and the ability to work independently.
...</t>
  </si>
  <si>
    <t>Student Assistant | Esports Student Ambassador</t>
  </si>
  <si>
    <t>1. Part-Time FMU student with a 2.5 cumulative GPA or higher.
2. High School diploma or GED with prior customer service or administrative experience.
3. Must be currently enrolled with a minimum of six (6) credits as an Undergraduate student or three (3) credits as a Graduate student during the Fall and Spring semesters.
...</t>
  </si>
  <si>
    <t>Activities Coordinator</t>
  </si>
  <si>
    <t>Pine Street Inn</t>
  </si>
  <si>
    <t>Homeless Shelter, Non Profit</t>
  </si>
  <si>
    <t>Rockwell, NC</t>
  </si>
  <si>
    <t>1. High School Diploma or GED
2. Valid Massachusetts driver's license
3. Minimum of two years prior work experience in community residence or an inpatient setting
...</t>
  </si>
  <si>
    <t>Student Assistant | iROAR Program</t>
  </si>
  <si>
    <t>1. High School Diploma
2. Minimum GPA of 2.0
3. Enrolled in FMU’s Summer 2020 Semester for a minimum of 6 credit hours
...</t>
  </si>
  <si>
    <t>Student Assistant | Student Activity Center</t>
  </si>
  <si>
    <t>1. Must be an enrolled FMU student with a 2.5 cumulative GPA or higher
2. Must currently be enrolled as a student with a minimum of nine (9) credit hours as an undergraduate or six (6) credits as a graduate student during the Fall and Spring semester.
3. Excellent verbal communication skills
...</t>
  </si>
  <si>
    <t>Student Assistant | Peer Advisor I</t>
  </si>
  <si>
    <t>1. Must be enrolled as an FMU student (current and approaching Fall and Spring term) and clear the business office by the posted deadline each term.
2. Must possess and maintain a 2.75 cumulative GPA or higher and be in satisfactory academic standing. (3.0 preferred)
3. Must be in good standing with the Office of Residence Life and have no disciplinary actions with the Student Conduct Division.
...</t>
  </si>
  <si>
    <t>Student Assistant | Peer Tutor in Center for Academic Resources and Support (C.A.R.S)</t>
  </si>
  <si>
    <t>1. Must have a 3.0 cumulative GPA or higher.
2. Must be recommended by a professor of the subject matter.
3. Must pass the PERT Test for Tutors (Math only).
...</t>
  </si>
  <si>
    <t>Student Assistant| University Advancement</t>
  </si>
  <si>
    <t>1. Part-Time FMU student with a 2.7 cumulative GPA or higher
2. High School diploma or GED with prior customer service or administrative experience
3. Must be currently enrolled with a minimum of six (6) credits as an Undergraduate student or three (3) credits as a Graduate student during the Fall and Spring semesters
...</t>
  </si>
  <si>
    <t>Student Assistant | Aviation Simulator Lab Specialist</t>
  </si>
  <si>
    <t>1. Must possess a private Pilot's License
2. Knowledge of the functioning of aviation simulators
3. Ability to diagnose issues with aviation simulators
...</t>
  </si>
  <si>
    <t>Graduate Assistant Office of Diversity, Equity, and Inclusion</t>
  </si>
  <si>
    <t>West Virginia Wesleyan College</t>
  </si>
  <si>
    <t>Buckhannon, WV</t>
  </si>
  <si>
    <t>1. Willingness to learn and contribute to institutional DEI goals and outcomes.
2. Strong organizational/project management skills and detail-oriented.
3. Collegial and collaborative approach to engaging with others.
...</t>
  </si>
  <si>
    <t>Student Assistant |FMU Global African Project</t>
  </si>
  <si>
    <t>1. FMU student with a 2.75 cumulative GPA or higher.
2. High School diploma or GED with prior customer service or administrative experience.
3. Must be currently enrolled with a minimum of six (6) credits as an undergraduate student or three (3) credits as a graduate student during the Fall and Spring semesters.
...</t>
  </si>
  <si>
    <t>Temporary – Student Life Associate</t>
  </si>
  <si>
    <t>1. High school diploma or educational equivalent
2. Ability to work a minimum of 12 hours per week
3. Ability to work some evenings and weekends, particularly at the beginning of academic terms and at other times to support student enrollment and department events</t>
  </si>
  <si>
    <t>Anatomy Lab Student Worker</t>
  </si>
  <si>
    <t>1. Current Lipscomb student
2. Completed A&amp;P I &amp; II
3. Completed BY 460v</t>
  </si>
  <si>
    <t>BaltimoreCityIT</t>
  </si>
  <si>
    <t>401 E Fayette St</t>
  </si>
  <si>
    <t>Graduate Administrative Assistant-M Davies College of Business</t>
  </si>
  <si>
    <t>1. Must be admitted to the COB MBA or MPAC program and have completed at least 6 semester hours with a minimum GPA of 3.00
2. Must be a Marilyn Davies College of Business graduate student
3. Must have at least 18 hours of coursework remaining before their planned graduation
...</t>
  </si>
  <si>
    <t>Graduate Assistant (E)</t>
  </si>
  <si>
    <t>1. Current University of Utah graduate student who is supported on the Tuition Benefit Program.
2. Applicants must demonstrate the potential ability to perform the essential functions of the job as outlined in the position description.</t>
  </si>
  <si>
    <t>1. Must be an enrolled student at the University of Utah</t>
  </si>
  <si>
    <t>Psychologist - Youth Residential Treatment</t>
  </si>
  <si>
    <t>1. Ph.D or Psy.D. degree from an APA accredited graduate program in counseling, school or clinical psychology.
2. Completion of an APA-approved doctoral internship.
3. Current licensure as a Psychologist in the State of Utah.
...</t>
  </si>
  <si>
    <t>$78000 /yr</t>
  </si>
  <si>
    <t>1. PhD or PsyD degree from APA accredited graduate program in counseling or clinical psychology.
2. Completion of an APA-accredited doctoral internship in counseling or clinical psychology.
3. At a minimum, must obtain licensure as a Certified Psychology Resident, with a strong preference for candidates with licensure as a Psychologist.
...</t>
  </si>
  <si>
    <t>SHI - Education Language Coordinator</t>
  </si>
  <si>
    <t>1. Demonstrated high level of verbal, written, and interpersonal communication skills.
2. Exhibited ability to manage multiple projects and activities with attention to detail.
3. Strong organizational and planning skills in program coordination.
...</t>
  </si>
  <si>
    <t>Banking Youth Apprenticeship</t>
  </si>
  <si>
    <t>Lake Ridge Bank</t>
  </si>
  <si>
    <t>Monona, WI</t>
  </si>
  <si>
    <t>1. Working towards a high school diploma.
2. Ability to work with minimal supervision
3. Ability to keep information confidential
...</t>
  </si>
  <si>
    <t>FELLOWSHIP PEDIATRIC PULMONOLOGY</t>
  </si>
  <si>
    <t>Montefiore Health System</t>
  </si>
  <si>
    <t>$180000-$240000 /yr</t>
  </si>
  <si>
    <t>1. MD or DO degree
2. Successful completion of an ACGME-accredited pediatric residency program
3. Eligibility for medical licensure in the state of New York
...</t>
  </si>
  <si>
    <t>Covington Public Schools Literacy Assistant– STUDENT ONLY (Federal Work Study)</t>
  </si>
  <si>
    <t>School Psychologist - Kauai District</t>
  </si>
  <si>
    <t>1. A master's degree from a regionally accredited college or university in school psychology; and a 1200-hour internship of which 600 hours must have been in an elementary, middle or secondary school setting, provided that when the internship is of less than 1200 hours and/or 600 hours in a school setting, one additional year of supervised professional work as a school psychologist in a school setting shall meet the required internship experience
2. Knowledge of: Role and function of school psychologists, child and adolescent development; individual differences and exceptionalities; theories of learning, intelligence, and personality; counseling and interventions; the use of interpretation of psycho-educational tests; principles and practices of education; physiological psychology; statistics and research methodology; principles of legal and ethical issues in professional practices; applicable State and federal rules and regulations
3. Ability to: Implement school psychological services and school-based mental-health related services; apply theoretical knowledge to practical situations; participate as a team member and group facilitator; demonstrate effective organizational, time management, and decision-making skills; develop and maintain collaborative working relationships with personnel in various disciplines; prepare clear and concise reports and communicate effectively, both orally and in writing; develop and maintain professional integrity and excellence by actively engaging in activities such as workshops, seminars, and related training that are designed to maintain, expand and extend professional knowledge and skills</t>
  </si>
  <si>
    <t>Temporary Positions</t>
  </si>
  <si>
    <t>1. Minimum Qualifications Will be based on position requirements.</t>
  </si>
  <si>
    <t>Studentische Mitarbeiter (m/w/x) für den Bereich Konfliktlösung</t>
  </si>
  <si>
    <t>1. Du studierst Rechtswissenschaften oder Wirtschaftsrecht (Bachelor/Master) und stellst hierbei Ihre überdurchschnittlichen Fähigkeiten unter Beweis
2. Du verfügst über eine selbstständige und gewissenhafte Arbeitsweise
3. Du bringst sehr gute Deutschkenntnisse mit; Darüber hinaus sind Englischkenntnisse von Vorteil
...</t>
  </si>
  <si>
    <t>Graduate Assistant, Men's &amp; Women's Track &amp; Field and XC</t>
  </si>
  <si>
    <t>Lake Erie College</t>
  </si>
  <si>
    <t>Painesville, OH</t>
  </si>
  <si>
    <t>1. Bachelor’s degree in physical education, sports management, or related field preferred
2. Acceptance into a Lake Erie College graduate program required
3. Knowledge of intercollegiate athletics, rules and regulations of athletic associations and conferences
...</t>
  </si>
  <si>
    <t>Federal Work Study - On Campus Financial Aid</t>
  </si>
  <si>
    <t>1. 2.5 GPA on a 4.0 scale
2. Attended Bryant &amp; Stratton College for at least one semester
3. Computer literacy and excellent customer service skills
...</t>
  </si>
  <si>
    <t>Geog Summer Research Assistant Wage Position</t>
  </si>
  <si>
    <t>1. Assist with undergraduate course development
2. Assist with updating departmental websites
3. Conduct research and analysis in support of public-facing scholarly products
...</t>
  </si>
  <si>
    <t>Diversity, Equity, and Inclusion Graduate Assistant</t>
  </si>
  <si>
    <t>Adirondack Watershed Institute</t>
  </si>
  <si>
    <t>Paul Smiths, NY</t>
  </si>
  <si>
    <t>1. Bachelor’s degree from a four-year institution and enrollment in Paul Smith’s College Master’s degree programs.
2. Ability to work with a broad range of diverse individuals and groups to form a safe and inclusive campus community.
3. Passion for social justice, diversity, equity &amp; inclusion.
...</t>
  </si>
  <si>
    <t>Psychology Opportunity- Autism Support - Yankton SD</t>
  </si>
  <si>
    <t>Psychology Opportunity- Autism Support - Rapid City SD</t>
  </si>
  <si>
    <t>FY25 - Graduate Assistant Intern - Student Athlete Academic Success</t>
  </si>
  <si>
    <t>1. Bachelor's Degree from an accredited college or university
2. Admissions to and continued enrollment in Friends University MEd, MSSL, MMIS or MBA program
3. Must be willing to work flexible hours, including nights and weekends
...</t>
  </si>
  <si>
    <t>Psychology Opportunity- Autism Support - Sioux Falls SD</t>
  </si>
  <si>
    <t>Psychology Opportunity- Autism Support - Mt. Pleasant</t>
  </si>
  <si>
    <t>Mount Pleasant, IA</t>
  </si>
  <si>
    <t>Summer Learning Admin Intern - Summer 2024</t>
  </si>
  <si>
    <t>Albemarle County Public Schools</t>
  </si>
  <si>
    <t>1. Must hold a valid Virginia Teaching License
2. Teaching experience is required</t>
  </si>
  <si>
    <t>Student Employee - Technical Careers Program Improvement</t>
  </si>
  <si>
    <t>Student Hourly: Center for Undergraduate Research Emerging Scholars</t>
  </si>
  <si>
    <t>1. Prior acceptance into the Emerging Scholars program.
2. Must be available to work with your professor at least 4 hours per week (but not exceeding 7 hours per week on average) and attend monthly group and individual professional development meetings.
3. An undergraduate student in good standing at the University of Kansas enrolled in at least 12 credit hours for Fall 2024.
...</t>
  </si>
  <si>
    <t>FY25: Student Government Association Sponsor, Seneca Valley HS</t>
  </si>
  <si>
    <t>Montgomery County Public Schools</t>
  </si>
  <si>
    <t>Germantown, MD</t>
  </si>
  <si>
    <t>1. Be an MCPS teacher or professional certified educator employed by MCPS
2. Have completed or be enrolled in the two credit MCPS course 'Care and Prevention of Athletic Injuries, Coaching Fundamentals and CPR/AED'
3. Complete/submit the on-line MCPS Application</t>
  </si>
  <si>
    <t>2025 Summer Associate - 2L (Class of 2026)</t>
  </si>
  <si>
    <t>Minneapolis</t>
  </si>
  <si>
    <t>Part Time - Student - Computer Science and Engineering Graders/LAs - Fall 2024</t>
  </si>
  <si>
    <t>1. Enrolled in Computer Science and Engineering academic programs: Computer Science, Computer Engineering, Data Science, graduate Computer Science and Engineering program, or a closely related field</t>
  </si>
  <si>
    <t>Science Intern</t>
  </si>
  <si>
    <t>UWorld</t>
  </si>
  <si>
    <t>1. Ability to start in May or at the latest, early June, with the internship extending throughout the summer. Onsite work at our office in Coppell, Texas is required.
2. Current college or medical school student. College students must have completed at least junior year of undergraduate studies.
3. Self-driven individual with meticulous attention to detail.
...</t>
  </si>
  <si>
    <t>Graduate Assistantship Pool</t>
  </si>
  <si>
    <t>Fayetteville State University</t>
  </si>
  <si>
    <t>1. Enrolled in a minimum of six (6) credit hours during fall/spring or three (3) credit hours during summer.
2. Enrolled at Fayetteville State University in a master’s or doctoral program, in good academic standing, and working toward a degree.
3. Attend new employee orientation prior to starting assistantship and complete all required employment paperwork with the Human Resources department no later than your first day of employment.
...</t>
  </si>
  <si>
    <t>Training Development - Intern</t>
  </si>
  <si>
    <t>NOV</t>
  </si>
  <si>
    <t>1. Currently enrolled in a bachelor's degree program in a related field, such as Petroleum Engineering, Mechanical Engineering, or Education &amp; Training.
2. Strong research and analytical skills.
3. Excellent written and verbal communication skills.
...</t>
  </si>
  <si>
    <t>Training Department Intern - Wernersville, PA</t>
  </si>
  <si>
    <t>Student Research Assistant (CYSLE)</t>
  </si>
  <si>
    <t>Shaw University</t>
  </si>
  <si>
    <t>1. Classroom experience in conducting academic research.
2. Ability to work at own pace with limited supervision.
3. Qualitative writing skills
...</t>
  </si>
  <si>
    <t>Collegiate Science Technology Entry Program - Program Coordinator</t>
  </si>
  <si>
    <t>D'Youville University</t>
  </si>
  <si>
    <t>$31000-$41000 /yr</t>
  </si>
  <si>
    <t>1. Master’s degree with a minimum of three years’ experience in Higher Education Administration, Counseling, or related field
2. Experience in staff supervision, counseling, and the development of academic initiatives in a University setting
3. Excellent written, verbal, and interpersonal communication skills
...</t>
  </si>
  <si>
    <t>Musculoskeletal Injury Research Fellowship with Focus on Post-Operative Recovery Post MS/Doctoral</t>
  </si>
  <si>
    <t>1. Received either a doctorate degree in Physical Therapy or master's degree in Athletic Training
2. U.S. Citizenship
3. Currently (or eligible to be) licensed to practice Physical Therapy or Athletic Training in Georgia
...</t>
  </si>
  <si>
    <t>Graduate Assistant - Men's Wrestling</t>
  </si>
  <si>
    <t>William Woods University</t>
  </si>
  <si>
    <t>Fulton, MO</t>
  </si>
  <si>
    <t>1. Assisting in all aspects of the coaching and management of the men’s wrestling program
2. Recruiting and scouting in accordance with the NAIA, AMC and William Woods University policies and procedures
3. Train and coach members of the men’s wrestling program
...</t>
  </si>
  <si>
    <t>Psychology Opportunity- Autism Support- Passaic</t>
  </si>
  <si>
    <t>ABA360</t>
  </si>
  <si>
    <t>Graduate Administrative Assistant - Graphic Design (Fall 2024 - Summer 2025)</t>
  </si>
  <si>
    <t>Part-Time Federal Work Study - Student Life and Development Assistant (Current Students Only)</t>
  </si>
  <si>
    <t>Ivy Tech Community College</t>
  </si>
  <si>
    <t>Adult, Higher Education</t>
  </si>
  <si>
    <t>Hamilton County</t>
  </si>
  <si>
    <t>1. Must have a high school diploma or GED.
2. Completed FAFSA on file demonstrating financial need.
3. Maintain a minimum of 6 credit hours of enrollment in eligible courses.
...</t>
  </si>
  <si>
    <t>Veterinary Internist - Friendship Hospital For Animals</t>
  </si>
  <si>
    <t>Encore Vet Group</t>
  </si>
  <si>
    <t>1. Excellent communication skills
2. Ability to multi-task
3. Ability to handle stressful situations
...</t>
  </si>
  <si>
    <t>School Psychologist - Central District Administration</t>
  </si>
  <si>
    <t>Wahiawa, HI</t>
  </si>
  <si>
    <t>Pro Bono Scholars 2024-25</t>
  </si>
  <si>
    <t>1. Must be accepted into the Pro Bono Scholars Program by your law school
2. Seeking volunteers who can commit 12 weeks of volunteer service
3. Cannot accommodate volunteers who are only available at night or on the weekends</t>
  </si>
  <si>
    <t>2L Summer Associate Scholarship, 2025 Summer Program</t>
  </si>
  <si>
    <t>Silicon Valley</t>
  </si>
  <si>
    <t>1. 2L student
2. Belong to historically underrepresented groups in the legal profession or have demonstrated outstanding commitment to advancing diversity, equity, and inclusion
3. Minimum of 8 weeks availability for the summer program
...</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</si>
</sst>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m d"/>
    <numFmt numFmtId="165" formatCode="mmm dd"/>
    <numFmt numFmtId="166" formatCode="m-d"/>
    <numFmt numFmtId="167" formatCode="mmmm d"/>
    <numFmt numFmtId="168" formatCode="mmmm dd"/>
    <numFmt numFmtId="169" formatCode="yyyy-mm-dd"/>
    <numFmt numFmtId="170" formatCode="yyyy-mm-dd h:mm:ss"/>
  </numFmts>
  <fonts count="19">
    <font>
      <sz val="10.0"/>
      <color rgb="FF000000"/>
      <name val="Arial"/>
      <scheme val="minor"/>
    </font>
    <font>
      <b/>
      <sz val="21.0"/>
      <color theme="1"/>
      <name val="Arial"/>
      <scheme val="minor"/>
    </font>
    <font>
      <color theme="1"/>
      <name val="Arial"/>
      <scheme val="minor"/>
    </font>
    <font>
      <u/>
      <color rgb="FF0000FF"/>
    </font>
    <font/>
    <font>
      <u/>
      <color rgb="FF0000FF"/>
    </font>
    <font>
      <b/>
      <sz val="10.0"/>
      <color theme="1"/>
      <name val="Arial"/>
      <scheme val="minor"/>
    </font>
    <font>
      <b/>
      <color theme="1"/>
      <name val="Arial"/>
      <scheme val="minor"/>
    </font>
    <font>
      <u/>
      <color rgb="FF0000FF"/>
    </font>
    <font>
      <b/>
      <sz val="10.0"/>
      <color rgb="FF222222"/>
      <name val="Arial"/>
    </font>
    <font>
      <sz val="10.0"/>
      <color theme="1"/>
      <name val="Arial"/>
      <scheme val="minor"/>
    </font>
    <font>
      <u/>
      <color rgb="FF0000FF"/>
    </font>
    <font>
      <color theme="1"/>
      <name val="Arial"/>
    </font>
    <font>
      <b/>
      <sz val="10.0"/>
      <color rgb="FF1F2328"/>
      <name val="Arial"/>
    </font>
    <font>
      <u/>
      <color rgb="FF0000FF"/>
    </font>
    <font>
      <u/>
      <color rgb="FF0000FF"/>
    </font>
    <font>
      <u/>
      <color rgb="FF0000FF"/>
    </font>
    <font>
      <u/>
      <color rgb="FF0000FF"/>
    </font>
    <font>
      <color rgb="FF000000"/>
      <name val="Arial"/>
      <scheme val="minor"/>
    </font>
  </fonts>
  <fills count="4">
    <fill>
      <patternFill patternType="none"/>
    </fill>
    <fill>
      <patternFill patternType="lightGray"/>
    </fill>
    <fill>
      <patternFill patternType="solid">
        <fgColor rgb="FFFFFFFF"/>
        <bgColor rgb="FFFFFFFF"/>
      </patternFill>
    </fill>
    <fill>
      <patternFill patternType="solid">
        <fgColor rgb="FFC8DBF8"/>
        <bgColor rgb="FFC8DBF8"/>
      </patternFill>
    </fill>
  </fills>
  <borders count="24">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n">
        <color rgb="FF000000"/>
      </left>
      <right style="thick">
        <color rgb="FF000000"/>
      </right>
      <top style="thin">
        <color rgb="FF000000"/>
      </top>
      <bottom style="thin">
        <color rgb="FF000000"/>
      </bottom>
    </border>
    <border>
      <top style="thin">
        <color rgb="FF000000"/>
      </top>
      <bottom style="thin">
        <color rgb="FF000000"/>
      </bottom>
    </border>
    <border>
      <left style="thin">
        <color rgb="FF000000"/>
      </left>
      <right style="thick">
        <color rgb="FF000000"/>
      </right>
      <top style="thin">
        <color rgb="FF000000"/>
      </top>
    </border>
    <border>
      <top style="thin">
        <color rgb="FF000000"/>
      </top>
    </border>
    <border>
      <right style="thin">
        <color rgb="FF000000"/>
      </right>
      <top style="thin">
        <color rgb="FF000000"/>
      </top>
    </border>
    <border>
      <left style="thin">
        <color rgb="FF000000"/>
      </left>
      <right style="thick">
        <color rgb="FF000000"/>
      </right>
    </border>
    <border>
      <right style="thin">
        <color rgb="FF000000"/>
      </right>
    </border>
    <border>
      <left style="thin">
        <color rgb="FF000000"/>
      </left>
      <right style="thick">
        <color rgb="FF000000"/>
      </righ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73">
    <xf borderId="0" fillId="0" fontId="0" numFmtId="0" xfId="0" applyAlignment="1" applyFont="1">
      <alignment readingOrder="0" shrinkToFit="0" vertical="bottom" wrapText="0"/>
    </xf>
    <xf borderId="0" fillId="0" fontId="1" numFmtId="0" xfId="0" applyAlignment="1" applyFont="1">
      <alignment readingOrder="0"/>
    </xf>
    <xf borderId="1" fillId="0" fontId="2" numFmtId="0" xfId="0" applyAlignment="1" applyBorder="1" applyFont="1">
      <alignment readingOrder="0"/>
    </xf>
    <xf borderId="2" fillId="0" fontId="2" numFmtId="0" xfId="0" applyBorder="1" applyFont="1"/>
    <xf borderId="3" fillId="0" fontId="2" numFmtId="0" xfId="0" applyBorder="1" applyFont="1"/>
    <xf borderId="4" fillId="0" fontId="3" numFmtId="0" xfId="0" applyAlignment="1" applyBorder="1" applyFont="1">
      <alignment readingOrder="0"/>
    </xf>
    <xf borderId="5" fillId="0" fontId="4" numFmtId="0" xfId="0" applyBorder="1" applyFont="1"/>
    <xf borderId="6" fillId="0" fontId="5" numFmtId="0" xfId="0" applyAlignment="1" applyBorder="1" applyFont="1">
      <alignment readingOrder="0"/>
    </xf>
    <xf borderId="7" fillId="0" fontId="4" numFmtId="0" xfId="0" applyBorder="1" applyFont="1"/>
    <xf borderId="8" fillId="0" fontId="4" numFmtId="0" xfId="0" applyBorder="1" applyFont="1"/>
    <xf borderId="0" fillId="0" fontId="2" numFmtId="0" xfId="0" applyAlignment="1" applyFont="1">
      <alignment readingOrder="0"/>
    </xf>
    <xf borderId="0" fillId="0" fontId="6" numFmtId="0" xfId="0" applyAlignment="1" applyFont="1">
      <alignment readingOrder="0"/>
    </xf>
    <xf borderId="9" fillId="0" fontId="7" numFmtId="0" xfId="0" applyAlignment="1" applyBorder="1" applyFont="1">
      <alignment readingOrder="0"/>
    </xf>
    <xf borderId="10" fillId="0" fontId="8" numFmtId="0" xfId="0" applyAlignment="1" applyBorder="1" applyFont="1">
      <alignment readingOrder="0"/>
    </xf>
    <xf borderId="0" fillId="0" fontId="9" numFmtId="0" xfId="0" applyAlignment="1" applyFont="1">
      <alignment readingOrder="0"/>
    </xf>
    <xf borderId="0" fillId="0" fontId="10" numFmtId="0" xfId="0" applyAlignment="1" applyFont="1">
      <alignment readingOrder="0"/>
    </xf>
    <xf borderId="0" fillId="0" fontId="2" numFmtId="0" xfId="0" applyAlignment="1" applyFont="1">
      <alignment readingOrder="0"/>
    </xf>
    <xf borderId="0" fillId="0" fontId="7" numFmtId="0" xfId="0" applyAlignment="1" applyFont="1">
      <alignment readingOrder="0"/>
    </xf>
    <xf borderId="9" fillId="0" fontId="9" numFmtId="0" xfId="0" applyAlignment="1" applyBorder="1" applyFont="1">
      <alignment readingOrder="0"/>
    </xf>
    <xf borderId="9" fillId="0" fontId="11" numFmtId="0" xfId="0" applyAlignment="1" applyBorder="1" applyFont="1">
      <alignment readingOrder="0"/>
    </xf>
    <xf borderId="0" fillId="0" fontId="12" numFmtId="0" xfId="0" applyAlignment="1" applyFont="1">
      <alignment vertical="bottom"/>
    </xf>
    <xf borderId="0" fillId="2" fontId="12" numFmtId="0" xfId="0" applyAlignment="1" applyFill="1" applyFont="1">
      <alignment vertical="bottom"/>
    </xf>
    <xf borderId="0" fillId="2" fontId="13" numFmtId="0" xfId="0" applyAlignment="1" applyFont="1">
      <alignment readingOrder="0"/>
    </xf>
    <xf borderId="1" fillId="0" fontId="14" numFmtId="0" xfId="0" applyAlignment="1" applyBorder="1" applyFont="1">
      <alignment readingOrder="0"/>
    </xf>
    <xf borderId="2" fillId="0" fontId="4" numFmtId="0" xfId="0" applyBorder="1" applyFont="1"/>
    <xf borderId="3" fillId="0" fontId="4" numFmtId="0" xfId="0" applyBorder="1" applyFont="1"/>
    <xf borderId="4" fillId="0" fontId="2" numFmtId="0" xfId="0" applyBorder="1" applyFont="1"/>
    <xf borderId="6" fillId="0" fontId="2" numFmtId="0" xfId="0" applyAlignment="1" applyBorder="1" applyFont="1">
      <alignment readingOrder="0"/>
    </xf>
    <xf borderId="7" fillId="0" fontId="2" numFmtId="0" xfId="0" applyBorder="1" applyFont="1"/>
    <xf borderId="8" fillId="0" fontId="2" numFmtId="0" xfId="0" applyBorder="1" applyFont="1"/>
    <xf borderId="0" fillId="0" fontId="12" numFmtId="0" xfId="0" applyAlignment="1" applyFont="1">
      <alignment shrinkToFit="0" vertical="bottom" wrapText="0"/>
    </xf>
    <xf borderId="11" fillId="0" fontId="10" numFmtId="0" xfId="0" applyAlignment="1" applyBorder="1" applyFont="1">
      <alignment readingOrder="0"/>
    </xf>
    <xf borderId="12" fillId="0" fontId="2" numFmtId="0" xfId="0" applyBorder="1" applyFont="1"/>
    <xf borderId="12" fillId="0" fontId="2" numFmtId="0" xfId="0" applyAlignment="1" applyBorder="1" applyFont="1">
      <alignment readingOrder="0"/>
    </xf>
    <xf borderId="13" fillId="0" fontId="2" numFmtId="0" xfId="0" applyBorder="1" applyFont="1"/>
    <xf borderId="14" fillId="0" fontId="10" numFmtId="0" xfId="0" applyAlignment="1" applyBorder="1" applyFont="1">
      <alignment readingOrder="0"/>
    </xf>
    <xf borderId="15" fillId="0" fontId="2" numFmtId="0" xfId="0" applyBorder="1" applyFont="1"/>
    <xf borderId="15" fillId="0" fontId="2" numFmtId="0" xfId="0" applyAlignment="1" applyBorder="1" applyFont="1">
      <alignment readingOrder="0"/>
    </xf>
    <xf borderId="10" fillId="0" fontId="2" numFmtId="0" xfId="0" applyBorder="1" applyFont="1"/>
    <xf borderId="16" fillId="0" fontId="12" numFmtId="0" xfId="0" applyAlignment="1" applyBorder="1" applyFont="1">
      <alignment vertical="bottom"/>
    </xf>
    <xf borderId="17" fillId="0" fontId="2" numFmtId="0" xfId="0" applyBorder="1" applyFont="1"/>
    <xf borderId="17" fillId="0" fontId="2" numFmtId="0" xfId="0" applyAlignment="1" applyBorder="1" applyFont="1">
      <alignment readingOrder="0"/>
    </xf>
    <xf borderId="18" fillId="0" fontId="2" numFmtId="0" xfId="0" applyBorder="1" applyFont="1"/>
    <xf borderId="19" fillId="2" fontId="12" numFmtId="0" xfId="0" applyAlignment="1" applyBorder="1" applyFont="1">
      <alignment vertical="bottom"/>
    </xf>
    <xf borderId="20" fillId="0" fontId="2" numFmtId="0" xfId="0" applyBorder="1" applyFont="1"/>
    <xf borderId="21" fillId="2" fontId="12" numFmtId="0" xfId="0" applyAlignment="1" applyBorder="1" applyFont="1">
      <alignment vertical="bottom"/>
    </xf>
    <xf borderId="22" fillId="0" fontId="7" numFmtId="0" xfId="0" applyAlignment="1" applyBorder="1" applyFont="1">
      <alignment readingOrder="0"/>
    </xf>
    <xf borderId="22" fillId="0" fontId="2" numFmtId="0" xfId="0" applyBorder="1" applyFont="1"/>
    <xf borderId="22" fillId="0" fontId="2" numFmtId="0" xfId="0" applyAlignment="1" applyBorder="1" applyFont="1">
      <alignment readingOrder="0"/>
    </xf>
    <xf borderId="23" fillId="0" fontId="2" numFmtId="0" xfId="0" applyBorder="1" applyFont="1"/>
    <xf borderId="0" fillId="3" fontId="7" numFmtId="0" xfId="0" applyAlignment="1" applyFill="1" applyFont="1">
      <alignment horizontal="left" readingOrder="0"/>
    </xf>
    <xf borderId="0" fillId="3" fontId="7" numFmtId="0" xfId="0" applyAlignment="1" applyFont="1">
      <alignment readingOrder="0"/>
    </xf>
    <xf borderId="0" fillId="2" fontId="7" numFmtId="0" xfId="0" applyAlignment="1" applyFont="1">
      <alignment readingOrder="0"/>
    </xf>
    <xf borderId="0" fillId="2" fontId="2" numFmtId="0" xfId="0" applyFont="1"/>
    <xf borderId="0" fillId="0" fontId="2" numFmtId="164" xfId="0" applyAlignment="1" applyFont="1" applyNumberFormat="1">
      <alignment horizontal="left" readingOrder="0"/>
    </xf>
    <xf borderId="0" fillId="0" fontId="15" numFmtId="0" xfId="0" applyFont="1"/>
    <xf borderId="0" fillId="0" fontId="2" numFmtId="0" xfId="0" applyAlignment="1" applyFont="1">
      <alignment horizontal="left" readingOrder="0"/>
    </xf>
    <xf borderId="0" fillId="0" fontId="2" numFmtId="165" xfId="0" applyAlignment="1" applyFont="1" applyNumberFormat="1">
      <alignment horizontal="left" readingOrder="0"/>
    </xf>
    <xf borderId="0" fillId="0" fontId="16" numFmtId="0" xfId="0" applyAlignment="1" applyFont="1">
      <alignment horizontal="left" readingOrder="0"/>
    </xf>
    <xf borderId="0" fillId="0" fontId="2" numFmtId="166" xfId="0" applyAlignment="1" applyFont="1" applyNumberFormat="1">
      <alignment readingOrder="0"/>
    </xf>
    <xf borderId="0" fillId="0" fontId="2" numFmtId="167" xfId="0" applyAlignment="1" applyFont="1" applyNumberFormat="1">
      <alignment horizontal="left" readingOrder="0"/>
    </xf>
    <xf borderId="0" fillId="0" fontId="2" numFmtId="168" xfId="0" applyAlignment="1" applyFont="1" applyNumberFormat="1">
      <alignment horizontal="left" readingOrder="0"/>
    </xf>
    <xf borderId="0" fillId="0" fontId="2" numFmtId="166" xfId="0" applyAlignment="1" applyFont="1" applyNumberFormat="1">
      <alignment horizontal="left" readingOrder="0"/>
    </xf>
    <xf borderId="0" fillId="0" fontId="2" numFmtId="0" xfId="0" applyAlignment="1" applyFont="1">
      <alignment horizontal="left"/>
    </xf>
    <xf borderId="0" fillId="0" fontId="2" numFmtId="164" xfId="0" applyAlignment="1" applyFont="1" applyNumberFormat="1">
      <alignment readingOrder="0"/>
    </xf>
    <xf borderId="0" fillId="0" fontId="17" numFmtId="0" xfId="0" applyAlignment="1" applyFont="1">
      <alignment readingOrder="0"/>
    </xf>
    <xf borderId="0" fillId="0" fontId="2" numFmtId="165" xfId="0" applyAlignment="1" applyFont="1" applyNumberFormat="1">
      <alignment readingOrder="0"/>
    </xf>
    <xf borderId="0" fillId="0" fontId="2" numFmtId="167" xfId="0" applyAlignment="1" applyFont="1" applyNumberFormat="1">
      <alignment readingOrder="0"/>
    </xf>
    <xf borderId="0" fillId="0" fontId="2" numFmtId="168" xfId="0" applyAlignment="1" applyFont="1" applyNumberFormat="1">
      <alignment readingOrder="0"/>
    </xf>
    <xf borderId="0" fillId="2" fontId="2" numFmtId="0" xfId="0" applyAlignment="1" applyFont="1">
      <alignment readingOrder="0"/>
    </xf>
    <xf borderId="0" fillId="0" fontId="2" numFmtId="169" xfId="0" applyAlignment="1" applyFont="1" applyNumberFormat="1">
      <alignment readingOrder="0"/>
    </xf>
    <xf borderId="0" fillId="0" fontId="2" numFmtId="170" xfId="0" applyAlignment="1" applyFont="1" applyNumberFormat="1">
      <alignment readingOrder="0"/>
    </xf>
    <xf borderId="0" fillId="0" fontId="1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38100</xdr:colOff>
      <xdr:row>26</xdr:row>
      <xdr:rowOff>1457325</xdr:rowOff>
    </xdr:from>
    <xdr:ext cx="1847850" cy="6858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5</xdr:row>
      <xdr:rowOff>28575</xdr:rowOff>
    </xdr:from>
    <xdr:ext cx="2362200" cy="11239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xdr:colOff>
      <xdr:row>14</xdr:row>
      <xdr:rowOff>47625</xdr:rowOff>
    </xdr:from>
    <xdr:ext cx="1466850" cy="24384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jobright.ai/" TargetMode="External"/><Relationship Id="rId2" Type="http://schemas.openxmlformats.org/officeDocument/2006/relationships/hyperlink" Target="https://www.instagram.com/internshipquest/" TargetMode="External"/><Relationship Id="rId3" Type="http://schemas.openxmlformats.org/officeDocument/2006/relationships/hyperlink" Target="https://gh7s0jl5okc.typeform.com/to/Nty31xmJ" TargetMode="External"/><Relationship Id="rId4" Type="http://schemas.openxmlformats.org/officeDocument/2006/relationships/hyperlink" Target="https://jobright.ai/" TargetMode="External"/><Relationship Id="rId5" Type="http://schemas.openxmlformats.org/officeDocument/2006/relationships/hyperlink" Target="https://discord.gg/tJeyxxsef9"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quareshift.co" TargetMode="External"/><Relationship Id="rId2" Type="http://schemas.openxmlformats.org/officeDocument/2006/relationships/hyperlink" Target="http://kumo.ai" TargetMode="External"/><Relationship Id="rId3" Type="http://schemas.openxmlformats.org/officeDocument/2006/relationships/hyperlink" Target="http://kumo.ai"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lds.org" TargetMode="External"/><Relationship Id="rId2" Type="http://schemas.openxmlformats.org/officeDocument/2006/relationships/hyperlink" Target="http://connectmeta.ai" TargetMode="External"/><Relationship Id="rId3" Type="http://schemas.openxmlformats.org/officeDocument/2006/relationships/hyperlink" Target="http://connectmeta.ai"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connectmeta.ai" TargetMode="External"/><Relationship Id="rId2" Type="http://schemas.openxmlformats.org/officeDocument/2006/relationships/hyperlink" Target="http://horizon3.ai"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lds.org" TargetMode="External"/><Relationship Id="rId2" Type="http://schemas.openxmlformats.org/officeDocument/2006/relationships/hyperlink" Target="http://lds.org" TargetMode="External"/><Relationship Id="rId3" Type="http://schemas.openxmlformats.org/officeDocument/2006/relationships/hyperlink" Target="http://lds.org"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uper.com" TargetMode="External"/><Relationship Id="rId2" Type="http://schemas.openxmlformats.org/officeDocument/2006/relationships/hyperlink" Target="http://super.com" TargetMode="External"/><Relationship Id="rId3" Type="http://schemas.openxmlformats.org/officeDocument/2006/relationships/hyperlink" Target="http://super.com" TargetMode="External"/><Relationship Id="rId4" Type="http://schemas.openxmlformats.org/officeDocument/2006/relationships/hyperlink" Target="http://super.com"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lds.org" TargetMode="External"/><Relationship Id="rId2" Type="http://schemas.openxmlformats.org/officeDocument/2006/relationships/hyperlink" Target="http://lds.org" TargetMode="External"/><Relationship Id="rId3" Type="http://schemas.openxmlformats.org/officeDocument/2006/relationships/hyperlink" Target="http://lds.org" TargetMode="External"/><Relationship Id="rId4" Type="http://schemas.openxmlformats.org/officeDocument/2006/relationships/hyperlink" Target="http://connectmeta.ai" TargetMode="External"/><Relationship Id="rId10" Type="http://schemas.openxmlformats.org/officeDocument/2006/relationships/drawing" Target="../drawings/drawing9.xml"/><Relationship Id="rId9" Type="http://schemas.openxmlformats.org/officeDocument/2006/relationships/hyperlink" Target="http://retrain.ai" TargetMode="External"/><Relationship Id="rId5" Type="http://schemas.openxmlformats.org/officeDocument/2006/relationships/hyperlink" Target="http://connectmeta.ai" TargetMode="External"/><Relationship Id="rId6" Type="http://schemas.openxmlformats.org/officeDocument/2006/relationships/hyperlink" Target="http://lds.org" TargetMode="External"/><Relationship Id="rId7" Type="http://schemas.openxmlformats.org/officeDocument/2006/relationships/hyperlink" Target="http://21.co" TargetMode="External"/><Relationship Id="rId8" Type="http://schemas.openxmlformats.org/officeDocument/2006/relationships/hyperlink" Target="http://21.co"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orldreader.org"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alchemy.us" TargetMode="External"/><Relationship Id="rId2" Type="http://schemas.openxmlformats.org/officeDocument/2006/relationships/hyperlink" Target="http://alchemy.u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lds.org" TargetMode="External"/><Relationship Id="rId2" Type="http://schemas.openxmlformats.org/officeDocument/2006/relationships/hyperlink" Target="http://lds.org" TargetMode="External"/><Relationship Id="rId3" Type="http://schemas.openxmlformats.org/officeDocument/2006/relationships/hyperlink" Target="http://worldreader.org"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cars.com" TargetMode="External"/><Relationship Id="rId2" Type="http://schemas.openxmlformats.org/officeDocument/2006/relationships/hyperlink" Target="http://cars.com" TargetMode="External"/><Relationship Id="rId3"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connectmeta.ai" TargetMode="External"/><Relationship Id="rId2" Type="http://schemas.openxmlformats.org/officeDocument/2006/relationships/hyperlink" Target="http://lds.org" TargetMode="External"/><Relationship Id="rId3"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9.75"/>
    <col customWidth="1" min="4" max="4" width="19.88"/>
    <col customWidth="1" min="5" max="5" width="12.63"/>
  </cols>
  <sheetData>
    <row r="1">
      <c r="B1" s="1" t="s">
        <v>0</v>
      </c>
    </row>
    <row r="2">
      <c r="B2" s="2" t="s">
        <v>1</v>
      </c>
      <c r="C2" s="3"/>
      <c r="D2" s="3"/>
      <c r="E2" s="3"/>
      <c r="F2" s="3"/>
      <c r="G2" s="3"/>
      <c r="H2" s="3"/>
      <c r="I2" s="3"/>
      <c r="J2" s="4"/>
    </row>
    <row r="3">
      <c r="B3" s="5" t="s">
        <v>2</v>
      </c>
      <c r="J3" s="6"/>
    </row>
    <row r="4">
      <c r="B4" s="5" t="s">
        <v>3</v>
      </c>
      <c r="J4" s="6"/>
    </row>
    <row r="5">
      <c r="B5" s="7" t="s">
        <v>4</v>
      </c>
      <c r="C5" s="8"/>
      <c r="D5" s="8"/>
      <c r="E5" s="8"/>
      <c r="F5" s="8"/>
      <c r="G5" s="8"/>
      <c r="H5" s="8"/>
      <c r="I5" s="8"/>
      <c r="J5" s="9"/>
    </row>
    <row r="6">
      <c r="B6" s="10"/>
    </row>
    <row r="7">
      <c r="B7" s="10" t="s">
        <v>5</v>
      </c>
      <c r="E7" s="11"/>
    </row>
    <row r="8">
      <c r="B8" s="12" t="s">
        <v>6</v>
      </c>
      <c r="C8" s="13" t="s">
        <v>7</v>
      </c>
      <c r="D8" s="14"/>
      <c r="E8" s="15"/>
      <c r="H8" s="16"/>
    </row>
    <row r="9" ht="18.75" customHeight="1">
      <c r="B9" s="12" t="s">
        <v>8</v>
      </c>
      <c r="C9" s="13" t="s">
        <v>7</v>
      </c>
      <c r="D9" s="17"/>
      <c r="E9" s="16"/>
      <c r="H9" s="16"/>
    </row>
    <row r="10" ht="15.75" customHeight="1">
      <c r="B10" s="18" t="s">
        <v>9</v>
      </c>
      <c r="C10" s="19" t="s">
        <v>7</v>
      </c>
      <c r="E10" s="15"/>
      <c r="H10" s="16"/>
    </row>
    <row r="11">
      <c r="B11" s="12" t="s">
        <v>10</v>
      </c>
      <c r="C11" s="13" t="s">
        <v>7</v>
      </c>
      <c r="H11" s="16"/>
    </row>
    <row r="12">
      <c r="B12" s="12" t="s">
        <v>11</v>
      </c>
      <c r="C12" s="13" t="s">
        <v>7</v>
      </c>
      <c r="H12" s="16"/>
    </row>
    <row r="13">
      <c r="B13" s="12" t="s">
        <v>12</v>
      </c>
      <c r="C13" s="13" t="s">
        <v>7</v>
      </c>
      <c r="H13" s="16"/>
    </row>
    <row r="14">
      <c r="B14" s="12" t="s">
        <v>13</v>
      </c>
      <c r="C14" s="19" t="s">
        <v>7</v>
      </c>
      <c r="F14" s="17"/>
      <c r="H14" s="16"/>
    </row>
    <row r="15">
      <c r="B15" s="12" t="s">
        <v>14</v>
      </c>
      <c r="C15" s="13" t="s">
        <v>7</v>
      </c>
      <c r="F15" s="17"/>
      <c r="H15" s="16"/>
    </row>
    <row r="16">
      <c r="B16" s="12" t="s">
        <v>15</v>
      </c>
      <c r="C16" s="13" t="s">
        <v>7</v>
      </c>
      <c r="H16" s="16"/>
    </row>
    <row r="17">
      <c r="B17" s="12" t="s">
        <v>16</v>
      </c>
      <c r="C17" s="13" t="s">
        <v>7</v>
      </c>
      <c r="E17" s="20"/>
      <c r="H17" s="16"/>
    </row>
    <row r="18">
      <c r="B18" s="12" t="s">
        <v>17</v>
      </c>
      <c r="C18" s="13" t="s">
        <v>7</v>
      </c>
      <c r="E18" s="21"/>
      <c r="H18" s="16"/>
    </row>
    <row r="19" ht="17.25" customHeight="1">
      <c r="B19" s="12" t="s">
        <v>18</v>
      </c>
      <c r="C19" s="13" t="s">
        <v>7</v>
      </c>
      <c r="E19" s="21"/>
      <c r="F19" s="17"/>
      <c r="H19" s="16"/>
    </row>
    <row r="20">
      <c r="B20" s="12" t="s">
        <v>19</v>
      </c>
      <c r="C20" s="13" t="s">
        <v>7</v>
      </c>
      <c r="H20" s="16"/>
    </row>
    <row r="21">
      <c r="B21" s="12" t="s">
        <v>20</v>
      </c>
      <c r="C21" s="13" t="s">
        <v>7</v>
      </c>
      <c r="H21" s="16"/>
    </row>
    <row r="22">
      <c r="B22" s="12" t="s">
        <v>21</v>
      </c>
      <c r="C22" s="13" t="s">
        <v>7</v>
      </c>
      <c r="H22" s="16"/>
    </row>
    <row r="23">
      <c r="B23" s="12" t="s">
        <v>22</v>
      </c>
      <c r="C23" s="13" t="s">
        <v>7</v>
      </c>
      <c r="H23" s="16"/>
    </row>
    <row r="24">
      <c r="B24" s="12" t="s">
        <v>23</v>
      </c>
      <c r="C24" s="13" t="s">
        <v>7</v>
      </c>
    </row>
    <row r="25">
      <c r="B25" s="22"/>
    </row>
    <row r="26" ht="15.75" customHeight="1"/>
    <row r="27">
      <c r="B27" s="23" t="s">
        <v>24</v>
      </c>
      <c r="C27" s="24"/>
      <c r="D27" s="24"/>
      <c r="E27" s="24"/>
      <c r="F27" s="24"/>
      <c r="G27" s="24"/>
      <c r="H27" s="24"/>
      <c r="I27" s="24"/>
      <c r="J27" s="24"/>
      <c r="K27" s="25"/>
    </row>
    <row r="28">
      <c r="B28" s="26"/>
      <c r="K28" s="6"/>
    </row>
    <row r="29">
      <c r="B29" s="5" t="s">
        <v>25</v>
      </c>
      <c r="K29" s="6"/>
    </row>
    <row r="30">
      <c r="B30" s="27"/>
      <c r="C30" s="28"/>
      <c r="D30" s="28"/>
      <c r="E30" s="28"/>
      <c r="F30" s="28"/>
      <c r="G30" s="28"/>
      <c r="H30" s="28"/>
      <c r="I30" s="28"/>
      <c r="J30" s="28"/>
      <c r="K30" s="29"/>
    </row>
    <row r="33">
      <c r="B33" s="30"/>
    </row>
    <row r="35">
      <c r="B35" s="30"/>
    </row>
    <row r="37">
      <c r="B37" s="30"/>
    </row>
  </sheetData>
  <mergeCells count="6">
    <mergeCell ref="B3:J3"/>
    <mergeCell ref="B4:J4"/>
    <mergeCell ref="B5:J5"/>
    <mergeCell ref="B27:K27"/>
    <mergeCell ref="B28:K28"/>
    <mergeCell ref="B29:K29"/>
  </mergeCells>
  <hyperlinks>
    <hyperlink r:id="rId1" ref="B3"/>
    <hyperlink r:id="rId2" ref="B4"/>
    <hyperlink r:id="rId3" ref="B5"/>
    <hyperlink display="Explore Field" location="'Accounting and Finance'!A1" ref="C8"/>
    <hyperlink display="Explore Field" location="'Arts and Entertainment'!A1" ref="C9"/>
    <hyperlink display="Explore Field" location="'Business Analyst'!A1" ref="C10"/>
    <hyperlink display="Explore Field" location="Consultant!A1" ref="C11"/>
    <hyperlink display="Explore Field" location="'Creatives and Design'!A1" ref="C12"/>
    <hyperlink display="Explore Field" location="'Customer Service and Support'!A1" ref="C13"/>
    <hyperlink display="Explore Field" location="'Data Analysis'!A1" ref="C14"/>
    <hyperlink display="Explore Field" location="'Education and Training'!A1" ref="C15"/>
    <hyperlink display="Explore Field" location="'Engineering and Development'!A1" ref="C16"/>
    <hyperlink display="Explore Field" location="'Human Resources'!A1" ref="C17"/>
    <hyperlink display="Explore Field" location="'Legal and Compliance'!A1" ref="C18"/>
    <hyperlink display="Explore Field" location="'Management and Executive'!A1" ref="C19"/>
    <hyperlink display="Explore Field" location="Marketing!A1" ref="C20"/>
    <hyperlink display="Explore Field" location="'Product Management'!A1" ref="C21"/>
    <hyperlink display="Explore Field" location="'Public Sector and Government'!A1" ref="C22"/>
    <hyperlink display="Explore Field" location="Sales!A1" ref="C23"/>
    <hyperlink display="Explore Field" location="'Software Engineering'!A1" ref="C24"/>
    <hyperlink r:id="rId4" ref="B27"/>
    <hyperlink r:id="rId5" ref="B29"/>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2">
      <c r="A2" s="11"/>
      <c r="B2" s="11" t="s">
        <v>26</v>
      </c>
    </row>
    <row r="3">
      <c r="A3" s="15"/>
      <c r="B3" s="31" t="s">
        <v>27</v>
      </c>
      <c r="C3" s="32"/>
      <c r="D3" s="32"/>
      <c r="E3" s="33"/>
      <c r="F3" s="32"/>
      <c r="G3" s="34"/>
    </row>
    <row r="4">
      <c r="A4" s="16"/>
      <c r="B4" s="16"/>
      <c r="E4" s="16"/>
    </row>
    <row r="5">
      <c r="A5" s="15"/>
      <c r="B5" s="35" t="s">
        <v>28</v>
      </c>
      <c r="C5" s="36"/>
      <c r="D5" s="36"/>
      <c r="E5" s="37"/>
      <c r="F5" s="36"/>
      <c r="G5" s="38"/>
    </row>
    <row r="6">
      <c r="E6" s="16"/>
    </row>
    <row r="7">
      <c r="E7" s="16"/>
    </row>
    <row r="8">
      <c r="E8" s="16"/>
    </row>
    <row r="9">
      <c r="C9" s="17"/>
      <c r="E9" s="16"/>
    </row>
    <row r="10">
      <c r="C10" s="17"/>
      <c r="E10" s="16"/>
    </row>
    <row r="11">
      <c r="E11" s="16"/>
    </row>
    <row r="12">
      <c r="A12" s="20"/>
      <c r="B12" s="39" t="s">
        <v>29</v>
      </c>
      <c r="C12" s="40"/>
      <c r="D12" s="40"/>
      <c r="E12" s="41"/>
      <c r="F12" s="40"/>
      <c r="G12" s="42"/>
    </row>
    <row r="13">
      <c r="A13" s="21"/>
      <c r="B13" s="43" t="s">
        <v>30</v>
      </c>
      <c r="E13" s="16"/>
      <c r="G13" s="44"/>
    </row>
    <row r="14" ht="18.0" customHeight="1">
      <c r="A14" s="21"/>
      <c r="B14" s="45" t="s">
        <v>31</v>
      </c>
      <c r="C14" s="46"/>
      <c r="D14" s="47"/>
      <c r="E14" s="48"/>
      <c r="F14" s="47"/>
      <c r="G14" s="49"/>
    </row>
    <row r="15">
      <c r="E15" s="16"/>
    </row>
    <row r="16">
      <c r="E16" s="16"/>
    </row>
    <row r="17">
      <c r="E17" s="16"/>
    </row>
    <row r="18">
      <c r="E18"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0" t="s">
        <v>32</v>
      </c>
      <c r="B1" s="51" t="s">
        <v>33</v>
      </c>
      <c r="C1" s="51" t="s">
        <v>34</v>
      </c>
      <c r="D1" s="50" t="s">
        <v>35</v>
      </c>
      <c r="E1" s="51" t="s">
        <v>36</v>
      </c>
      <c r="F1" s="51" t="s">
        <v>37</v>
      </c>
      <c r="G1" s="51" t="s">
        <v>38</v>
      </c>
      <c r="H1" s="51" t="s">
        <v>39</v>
      </c>
      <c r="I1" s="51" t="s">
        <v>40</v>
      </c>
      <c r="J1" s="51" t="s">
        <v>41</v>
      </c>
      <c r="K1" s="52" t="s">
        <v>42</v>
      </c>
      <c r="L1" s="53"/>
      <c r="M1" s="53"/>
      <c r="N1" s="53"/>
      <c r="O1" s="53"/>
      <c r="P1" s="53"/>
      <c r="Q1" s="53"/>
      <c r="R1" s="53"/>
      <c r="S1" s="53"/>
      <c r="T1" s="53"/>
      <c r="U1" s="53"/>
      <c r="V1" s="53"/>
      <c r="W1" s="53"/>
      <c r="X1" s="53"/>
    </row>
    <row r="2" ht="15.75" customHeight="1">
      <c r="A2" s="54">
        <v>45499.0</v>
      </c>
      <c r="B2" s="55" t="str">
        <f>HYPERLINK("https://jobright.ai/jobs/info/66a433d72f3c83e89a968695?utm_campaign=1061&amp;utm_source=sheet", "Apply")</f>
        <v>Apply</v>
      </c>
      <c r="C2" s="10" t="s">
        <v>43</v>
      </c>
      <c r="D2" s="56" t="s">
        <v>44</v>
      </c>
      <c r="E2" s="10" t="s">
        <v>45</v>
      </c>
      <c r="F2" s="10" t="s">
        <v>46</v>
      </c>
      <c r="G2" s="10" t="s">
        <v>47</v>
      </c>
      <c r="H2" s="10" t="s">
        <v>48</v>
      </c>
      <c r="I2" s="10" t="s">
        <v>49</v>
      </c>
      <c r="J2" s="10" t="s">
        <v>50</v>
      </c>
      <c r="K2" s="10" t="s">
        <v>42</v>
      </c>
    </row>
    <row r="3" ht="15.75" customHeight="1">
      <c r="A3" s="57">
        <v>45499.0</v>
      </c>
      <c r="B3" s="55" t="str">
        <f>HYPERLINK("https://jobright.ai/jobs/info/66a42507130103111111df3f?utm_campaign=1061&amp;utm_source=sheet", "Apply")</f>
        <v>Apply</v>
      </c>
      <c r="C3" s="10" t="s">
        <v>51</v>
      </c>
      <c r="D3" s="56" t="s">
        <v>52</v>
      </c>
      <c r="E3" s="10" t="s">
        <v>45</v>
      </c>
      <c r="F3" s="10" t="s">
        <v>53</v>
      </c>
      <c r="G3" s="10" t="s">
        <v>54</v>
      </c>
      <c r="H3" s="10" t="s">
        <v>55</v>
      </c>
      <c r="I3" s="10" t="s">
        <v>56</v>
      </c>
      <c r="J3" s="10" t="s">
        <v>57</v>
      </c>
      <c r="K3" s="10" t="s">
        <v>42</v>
      </c>
    </row>
    <row r="4" ht="15.75" customHeight="1">
      <c r="A4" s="57">
        <v>45499.0</v>
      </c>
      <c r="B4" s="55" t="str">
        <f>HYPERLINK("https://jobright.ai/jobs/info/66a41ea5e3f7d74095f4885c?utm_campaign=1061&amp;utm_source=sheet", "Apply")</f>
        <v>Apply</v>
      </c>
      <c r="C4" s="10" t="s">
        <v>58</v>
      </c>
      <c r="D4" s="56" t="s">
        <v>59</v>
      </c>
      <c r="E4" s="10" t="s">
        <v>45</v>
      </c>
      <c r="F4" s="10" t="s">
        <v>60</v>
      </c>
      <c r="G4" s="10" t="s">
        <v>61</v>
      </c>
      <c r="H4" s="10" t="s">
        <v>55</v>
      </c>
      <c r="J4" s="10" t="s">
        <v>62</v>
      </c>
      <c r="K4" s="10" t="s">
        <v>42</v>
      </c>
    </row>
    <row r="5" ht="15.75" customHeight="1">
      <c r="A5" s="57">
        <v>45499.0</v>
      </c>
      <c r="B5" s="55" t="str">
        <f>HYPERLINK("https://jobright.ai/jobs/info/66a420f2308a78f9cc22e831?utm_campaign=1061&amp;utm_source=sheet", "Apply")</f>
        <v>Apply</v>
      </c>
      <c r="C5" s="10" t="s">
        <v>63</v>
      </c>
      <c r="D5" s="56" t="s">
        <v>64</v>
      </c>
      <c r="E5" s="10" t="s">
        <v>65</v>
      </c>
      <c r="F5" s="10" t="s">
        <v>66</v>
      </c>
      <c r="G5" s="10" t="s">
        <v>67</v>
      </c>
      <c r="H5" s="10" t="s">
        <v>48</v>
      </c>
      <c r="J5" s="10" t="s">
        <v>68</v>
      </c>
      <c r="K5" s="10" t="s">
        <v>42</v>
      </c>
    </row>
    <row r="6" ht="15.75" customHeight="1">
      <c r="A6" s="57">
        <v>45499.0</v>
      </c>
      <c r="B6" s="55" t="str">
        <f>HYPERLINK("https://jobright.ai/jobs/info/66a4221284d006430c764f43?utm_campaign=1061&amp;utm_source=sheet", "Apply")</f>
        <v>Apply</v>
      </c>
      <c r="C6" s="10" t="s">
        <v>69</v>
      </c>
      <c r="D6" s="56" t="s">
        <v>70</v>
      </c>
      <c r="E6" s="10" t="s">
        <v>71</v>
      </c>
      <c r="F6" s="10" t="s">
        <v>72</v>
      </c>
      <c r="G6" s="10" t="s">
        <v>73</v>
      </c>
      <c r="H6" s="10" t="s">
        <v>55</v>
      </c>
      <c r="J6" s="10" t="s">
        <v>74</v>
      </c>
      <c r="K6" s="10" t="s">
        <v>42</v>
      </c>
    </row>
    <row r="7" ht="15.75" customHeight="1">
      <c r="A7" s="57">
        <v>45499.0</v>
      </c>
      <c r="B7" s="55" t="str">
        <f>HYPERLINK("https://jobright.ai/jobs/info/66a420685660965e6b3123cf?utm_campaign=1061&amp;utm_source=sheet", "Apply")</f>
        <v>Apply</v>
      </c>
      <c r="C7" s="10" t="s">
        <v>75</v>
      </c>
      <c r="D7" s="56" t="s">
        <v>70</v>
      </c>
      <c r="E7" s="10" t="s">
        <v>71</v>
      </c>
      <c r="F7" s="10" t="s">
        <v>72</v>
      </c>
      <c r="G7" s="10" t="s">
        <v>73</v>
      </c>
      <c r="H7" s="10" t="s">
        <v>48</v>
      </c>
      <c r="J7" s="10" t="s">
        <v>74</v>
      </c>
      <c r="K7" s="10" t="s">
        <v>42</v>
      </c>
    </row>
    <row r="8" ht="15.75" customHeight="1">
      <c r="A8" s="57">
        <v>45499.0</v>
      </c>
      <c r="B8" s="55" t="str">
        <f>HYPERLINK("https://jobright.ai/jobs/info/66a41ca84fc11d3a90570c00?utm_campaign=1061&amp;utm_source=sheet", "Apply")</f>
        <v>Apply</v>
      </c>
      <c r="C8" s="10" t="s">
        <v>63</v>
      </c>
      <c r="D8" s="56" t="s">
        <v>64</v>
      </c>
      <c r="E8" s="10" t="s">
        <v>65</v>
      </c>
      <c r="F8" s="10" t="s">
        <v>66</v>
      </c>
      <c r="G8" s="10" t="s">
        <v>76</v>
      </c>
      <c r="H8" s="10" t="s">
        <v>55</v>
      </c>
      <c r="J8" s="10" t="s">
        <v>68</v>
      </c>
      <c r="K8" s="10" t="s">
        <v>42</v>
      </c>
    </row>
    <row r="9" ht="15.75" customHeight="1">
      <c r="A9" s="57">
        <v>45499.0</v>
      </c>
      <c r="B9" s="55" t="str">
        <f>HYPERLINK("https://jobright.ai/jobs/info/66a40b5ba8e7d109e1e41df0?utm_campaign=1061&amp;utm_source=sheet", "Apply")</f>
        <v>Apply</v>
      </c>
      <c r="C9" s="10" t="s">
        <v>77</v>
      </c>
      <c r="D9" s="56" t="s">
        <v>78</v>
      </c>
      <c r="E9" s="10" t="s">
        <v>79</v>
      </c>
      <c r="F9" s="10" t="s">
        <v>46</v>
      </c>
      <c r="G9" s="10" t="s">
        <v>80</v>
      </c>
      <c r="H9" s="10" t="s">
        <v>55</v>
      </c>
      <c r="I9" s="10" t="s">
        <v>81</v>
      </c>
      <c r="J9" s="10" t="s">
        <v>82</v>
      </c>
      <c r="K9" s="10" t="s">
        <v>42</v>
      </c>
    </row>
    <row r="10" ht="15.75" customHeight="1">
      <c r="A10" s="57">
        <v>45499.0</v>
      </c>
      <c r="B10" s="55" t="str">
        <f>HYPERLINK("https://jobright.ai/jobs/info/66a41716e30efe1dc24e6830?utm_campaign=1061&amp;utm_source=sheet", "Apply")</f>
        <v>Apply</v>
      </c>
      <c r="C10" s="10" t="s">
        <v>83</v>
      </c>
      <c r="D10" s="56" t="s">
        <v>84</v>
      </c>
      <c r="E10" s="10" t="s">
        <v>65</v>
      </c>
      <c r="F10" s="10" t="s">
        <v>85</v>
      </c>
      <c r="G10" s="10" t="s">
        <v>86</v>
      </c>
      <c r="H10" s="10" t="s">
        <v>55</v>
      </c>
      <c r="I10" s="10" t="s">
        <v>87</v>
      </c>
      <c r="J10" s="10" t="s">
        <v>88</v>
      </c>
      <c r="K10" s="10" t="s">
        <v>42</v>
      </c>
    </row>
    <row r="11" ht="15.75" customHeight="1">
      <c r="A11" s="57">
        <v>45499.0</v>
      </c>
      <c r="B11" s="55" t="str">
        <f>HYPERLINK("https://jobright.ai/jobs/info/66a409b9f228ed543e43305b?utm_campaign=1061&amp;utm_source=sheet", "Apply")</f>
        <v>Apply</v>
      </c>
      <c r="C11" s="10" t="s">
        <v>89</v>
      </c>
      <c r="D11" s="58" t="s">
        <v>90</v>
      </c>
      <c r="E11" s="59">
        <v>45301.0</v>
      </c>
      <c r="F11" s="10" t="s">
        <v>91</v>
      </c>
      <c r="G11" s="10" t="s">
        <v>92</v>
      </c>
      <c r="H11" s="10" t="s">
        <v>48</v>
      </c>
      <c r="J11" s="10" t="s">
        <v>93</v>
      </c>
      <c r="K11" s="10" t="s">
        <v>42</v>
      </c>
    </row>
    <row r="12" ht="15.75" customHeight="1">
      <c r="A12" s="57">
        <v>45499.0</v>
      </c>
      <c r="B12" s="55" t="str">
        <f>HYPERLINK("https://jobright.ai/jobs/info/66a4107241780e3482820ea3?utm_campaign=1061&amp;utm_source=sheet", "Apply")</f>
        <v>Apply</v>
      </c>
      <c r="C12" s="10" t="s">
        <v>94</v>
      </c>
      <c r="D12" s="56" t="s">
        <v>95</v>
      </c>
      <c r="E12" s="10">
        <v>52.0</v>
      </c>
      <c r="G12" s="10" t="s">
        <v>96</v>
      </c>
      <c r="H12" s="10" t="s">
        <v>55</v>
      </c>
      <c r="J12" s="10" t="s">
        <v>97</v>
      </c>
      <c r="K12" s="10" t="s">
        <v>42</v>
      </c>
    </row>
    <row r="13" ht="15.75" customHeight="1">
      <c r="A13" s="57">
        <v>45499.0</v>
      </c>
      <c r="B13" s="55" t="str">
        <f>HYPERLINK("https://jobright.ai/jobs/info/66a3f4c85fcbfa8457ce11b3?utm_campaign=1061&amp;utm_source=sheet", "Apply")</f>
        <v>Apply</v>
      </c>
      <c r="C13" s="10" t="s">
        <v>98</v>
      </c>
      <c r="D13" s="56" t="s">
        <v>99</v>
      </c>
      <c r="E13" s="10" t="s">
        <v>45</v>
      </c>
      <c r="F13" s="10" t="s">
        <v>100</v>
      </c>
      <c r="G13" s="10" t="s">
        <v>101</v>
      </c>
      <c r="H13" s="10" t="s">
        <v>55</v>
      </c>
      <c r="J13" s="10" t="s">
        <v>102</v>
      </c>
      <c r="K13" s="10" t="s">
        <v>42</v>
      </c>
    </row>
    <row r="14" ht="15.75" customHeight="1">
      <c r="A14" s="57">
        <v>45499.0</v>
      </c>
      <c r="B14" s="55" t="str">
        <f>HYPERLINK("https://jobright.ai/jobs/info/66a3f4c85fcbfa8457ce11a9?utm_campaign=1061&amp;utm_source=sheet", "Apply")</f>
        <v>Apply</v>
      </c>
      <c r="C14" s="10" t="s">
        <v>103</v>
      </c>
      <c r="D14" s="56" t="s">
        <v>99</v>
      </c>
      <c r="E14" s="10" t="s">
        <v>45</v>
      </c>
      <c r="F14" s="10" t="s">
        <v>100</v>
      </c>
      <c r="G14" s="10" t="s">
        <v>104</v>
      </c>
      <c r="H14" s="10" t="s">
        <v>55</v>
      </c>
      <c r="J14" s="10" t="s">
        <v>102</v>
      </c>
      <c r="K14" s="10" t="s">
        <v>42</v>
      </c>
    </row>
    <row r="15" ht="15.75" customHeight="1">
      <c r="A15" s="57">
        <v>45499.0</v>
      </c>
      <c r="B15" s="55" t="str">
        <f>HYPERLINK("https://jobright.ai/jobs/info/66a3f4c85fcbfa8457ce11af?utm_campaign=1061&amp;utm_source=sheet", "Apply")</f>
        <v>Apply</v>
      </c>
      <c r="C15" s="10" t="s">
        <v>105</v>
      </c>
      <c r="D15" s="56" t="s">
        <v>99</v>
      </c>
      <c r="E15" s="10" t="s">
        <v>45</v>
      </c>
      <c r="F15" s="10" t="s">
        <v>100</v>
      </c>
      <c r="G15" s="10" t="s">
        <v>106</v>
      </c>
      <c r="H15" s="10" t="s">
        <v>55</v>
      </c>
      <c r="J15" s="10" t="s">
        <v>102</v>
      </c>
      <c r="K15" s="10" t="s">
        <v>42</v>
      </c>
    </row>
    <row r="16" ht="15.75" customHeight="1">
      <c r="A16" s="57">
        <v>45499.0</v>
      </c>
      <c r="B16" s="55" t="str">
        <f>HYPERLINK("https://jobright.ai/jobs/info/66a3f4c85fcbfa8457ce11b8?utm_campaign=1061&amp;utm_source=sheet", "Apply")</f>
        <v>Apply</v>
      </c>
      <c r="C16" s="10" t="s">
        <v>107</v>
      </c>
      <c r="D16" s="56" t="s">
        <v>99</v>
      </c>
      <c r="E16" s="10" t="s">
        <v>45</v>
      </c>
      <c r="F16" s="10" t="s">
        <v>100</v>
      </c>
      <c r="G16" s="10" t="s">
        <v>108</v>
      </c>
      <c r="H16" s="10" t="s">
        <v>55</v>
      </c>
      <c r="J16" s="10" t="s">
        <v>102</v>
      </c>
      <c r="K16" s="10" t="s">
        <v>42</v>
      </c>
    </row>
    <row r="17" ht="15.75" customHeight="1">
      <c r="A17" s="57">
        <v>45499.0</v>
      </c>
      <c r="B17" s="55" t="str">
        <f>HYPERLINK("https://jobright.ai/jobs/info/66a3f4c85fcbfa8457ce11bb?utm_campaign=1061&amp;utm_source=sheet", "Apply")</f>
        <v>Apply</v>
      </c>
      <c r="C17" s="10" t="s">
        <v>109</v>
      </c>
      <c r="D17" s="56" t="s">
        <v>99</v>
      </c>
      <c r="E17" s="10" t="s">
        <v>45</v>
      </c>
      <c r="F17" s="10" t="s">
        <v>100</v>
      </c>
      <c r="G17" s="10" t="s">
        <v>110</v>
      </c>
      <c r="H17" s="10" t="s">
        <v>55</v>
      </c>
      <c r="J17" s="10" t="s">
        <v>111</v>
      </c>
      <c r="K17" s="10" t="s">
        <v>42</v>
      </c>
    </row>
    <row r="18" ht="15.75" customHeight="1">
      <c r="A18" s="57">
        <v>45499.0</v>
      </c>
      <c r="B18" s="55" t="str">
        <f>HYPERLINK("https://jobright.ai/jobs/info/66a3e83cb020465e7d35c95a?utm_campaign=1061&amp;utm_source=sheet", "Apply")</f>
        <v>Apply</v>
      </c>
      <c r="C18" s="10" t="s">
        <v>58</v>
      </c>
      <c r="D18" s="56" t="s">
        <v>112</v>
      </c>
      <c r="G18" s="10" t="s">
        <v>113</v>
      </c>
      <c r="H18" s="10" t="s">
        <v>55</v>
      </c>
      <c r="J18" s="10" t="s">
        <v>114</v>
      </c>
      <c r="K18" s="10" t="s">
        <v>42</v>
      </c>
    </row>
    <row r="19" ht="15.75" customHeight="1">
      <c r="A19" s="57">
        <v>45499.0</v>
      </c>
      <c r="B19" s="55" t="str">
        <f>HYPERLINK("https://jobright.ai/jobs/info/66a3f900c344e12ad5440cb9?utm_campaign=1061&amp;utm_source=sheet", "Apply")</f>
        <v>Apply</v>
      </c>
      <c r="C19" s="10" t="s">
        <v>115</v>
      </c>
      <c r="D19" s="56" t="s">
        <v>99</v>
      </c>
      <c r="E19" s="10" t="s">
        <v>45</v>
      </c>
      <c r="F19" s="10" t="s">
        <v>100</v>
      </c>
      <c r="G19" s="10" t="s">
        <v>104</v>
      </c>
      <c r="H19" s="10" t="s">
        <v>55</v>
      </c>
      <c r="J19" s="10" t="s">
        <v>111</v>
      </c>
      <c r="K19" s="10" t="s">
        <v>42</v>
      </c>
    </row>
    <row r="20" ht="15.75" customHeight="1">
      <c r="A20" s="57">
        <v>45499.0</v>
      </c>
      <c r="B20" s="55" t="str">
        <f>HYPERLINK("https://jobright.ai/jobs/info/66a3f900c344e12ad5440cc5?utm_campaign=1061&amp;utm_source=sheet", "Apply")</f>
        <v>Apply</v>
      </c>
      <c r="C20" s="10" t="s">
        <v>116</v>
      </c>
      <c r="D20" s="56" t="s">
        <v>99</v>
      </c>
      <c r="E20" s="10" t="s">
        <v>45</v>
      </c>
      <c r="F20" s="10" t="s">
        <v>100</v>
      </c>
      <c r="G20" s="10" t="s">
        <v>117</v>
      </c>
      <c r="H20" s="10" t="s">
        <v>55</v>
      </c>
      <c r="J20" s="10" t="s">
        <v>118</v>
      </c>
      <c r="K20" s="10" t="s">
        <v>42</v>
      </c>
    </row>
    <row r="21" ht="15.75" customHeight="1">
      <c r="A21" s="57">
        <v>45499.0</v>
      </c>
      <c r="B21" s="55" t="str">
        <f>HYPERLINK("https://jobright.ai/jobs/info/66a3f909c344e12ad5440d39?utm_campaign=1061&amp;utm_source=sheet", "Apply")</f>
        <v>Apply</v>
      </c>
      <c r="C21" s="10" t="s">
        <v>119</v>
      </c>
      <c r="D21" s="56" t="s">
        <v>120</v>
      </c>
      <c r="E21" s="59">
        <v>45301.0</v>
      </c>
      <c r="F21" s="10" t="s">
        <v>121</v>
      </c>
      <c r="G21" s="10" t="s">
        <v>96</v>
      </c>
      <c r="H21" s="10" t="s">
        <v>55</v>
      </c>
      <c r="J21" s="10" t="s">
        <v>122</v>
      </c>
      <c r="K21" s="10" t="s">
        <v>42</v>
      </c>
    </row>
    <row r="22" ht="15.75" customHeight="1">
      <c r="A22" s="57">
        <v>45499.0</v>
      </c>
      <c r="B22" s="55" t="str">
        <f>HYPERLINK("https://jobright.ai/jobs/info/66a3d2f1d7fee676c840476e?utm_campaign=1061&amp;utm_source=sheet", "Apply")</f>
        <v>Apply</v>
      </c>
      <c r="C22" s="10" t="s">
        <v>123</v>
      </c>
      <c r="D22" s="56" t="s">
        <v>124</v>
      </c>
      <c r="E22" s="10" t="s">
        <v>45</v>
      </c>
      <c r="F22" s="10" t="s">
        <v>125</v>
      </c>
      <c r="G22" s="10" t="s">
        <v>126</v>
      </c>
      <c r="H22" s="10" t="s">
        <v>55</v>
      </c>
      <c r="J22" s="10" t="s">
        <v>127</v>
      </c>
      <c r="K22" s="10" t="s">
        <v>42</v>
      </c>
    </row>
    <row r="23" ht="15.75" customHeight="1">
      <c r="A23" s="57">
        <v>45499.0</v>
      </c>
      <c r="B23" s="55" t="str">
        <f>HYPERLINK("https://jobright.ai/jobs/info/66a3bb6a32bf53044bce65f6?utm_campaign=1061&amp;utm_source=sheet", "Apply")</f>
        <v>Apply</v>
      </c>
      <c r="C23" s="10" t="s">
        <v>128</v>
      </c>
      <c r="D23" s="56" t="s">
        <v>129</v>
      </c>
      <c r="E23" s="10" t="s">
        <v>65</v>
      </c>
      <c r="F23" s="10" t="s">
        <v>130</v>
      </c>
      <c r="G23" s="10" t="s">
        <v>131</v>
      </c>
      <c r="H23" s="10" t="s">
        <v>55</v>
      </c>
      <c r="J23" s="10" t="s">
        <v>132</v>
      </c>
      <c r="K23" s="10" t="s">
        <v>42</v>
      </c>
    </row>
    <row r="24" ht="15.75" customHeight="1">
      <c r="A24" s="57">
        <v>45499.0</v>
      </c>
      <c r="B24" s="55" t="str">
        <f>HYPERLINK("https://jobright.ai/jobs/info/66a3c9bf55a005da42ef4fb7?utm_campaign=1061&amp;utm_source=sheet", "Apply")</f>
        <v>Apply</v>
      </c>
      <c r="C24" s="10" t="s">
        <v>133</v>
      </c>
      <c r="D24" s="56" t="s">
        <v>120</v>
      </c>
      <c r="E24" s="59">
        <v>45301.0</v>
      </c>
      <c r="F24" s="10" t="s">
        <v>121</v>
      </c>
      <c r="G24" s="10" t="s">
        <v>96</v>
      </c>
      <c r="H24" s="10" t="s">
        <v>55</v>
      </c>
      <c r="J24" s="10" t="s">
        <v>134</v>
      </c>
      <c r="K24" s="10" t="s">
        <v>42</v>
      </c>
    </row>
    <row r="25" ht="15.75" customHeight="1">
      <c r="A25" s="57">
        <v>45499.0</v>
      </c>
      <c r="B25" s="55" t="str">
        <f>HYPERLINK("https://jobright.ai/jobs/info/66a3e199fa1e56eccb8f5741?utm_campaign=1061&amp;utm_source=sheet", "Apply")</f>
        <v>Apply</v>
      </c>
      <c r="C25" s="10" t="s">
        <v>135</v>
      </c>
      <c r="D25" s="56" t="s">
        <v>136</v>
      </c>
      <c r="E25" s="10" t="s">
        <v>137</v>
      </c>
      <c r="F25" s="10" t="s">
        <v>138</v>
      </c>
      <c r="G25" s="10" t="s">
        <v>139</v>
      </c>
      <c r="H25" s="10" t="s">
        <v>55</v>
      </c>
      <c r="J25" s="10" t="s">
        <v>140</v>
      </c>
      <c r="K25" s="10" t="s">
        <v>42</v>
      </c>
    </row>
    <row r="26" ht="15.75" customHeight="1">
      <c r="A26" s="57">
        <v>45499.0</v>
      </c>
      <c r="B26" s="55" t="str">
        <f>HYPERLINK("https://jobright.ai/jobs/info/66a3e199fa1e56eccb8f5744?utm_campaign=1061&amp;utm_source=sheet", "Apply")</f>
        <v>Apply</v>
      </c>
      <c r="C26" s="10" t="s">
        <v>141</v>
      </c>
      <c r="D26" s="56" t="s">
        <v>142</v>
      </c>
      <c r="E26" s="59">
        <v>45301.0</v>
      </c>
      <c r="F26" s="10" t="s">
        <v>143</v>
      </c>
      <c r="G26" s="10" t="s">
        <v>144</v>
      </c>
      <c r="H26" s="10" t="s">
        <v>55</v>
      </c>
      <c r="J26" s="10" t="s">
        <v>145</v>
      </c>
      <c r="K26" s="10" t="s">
        <v>42</v>
      </c>
    </row>
    <row r="27" ht="15.75" customHeight="1">
      <c r="A27" s="57">
        <v>45499.0</v>
      </c>
      <c r="B27" s="55" t="str">
        <f>HYPERLINK("https://jobright.ai/jobs/info/66a3beb67158ac239b6ddfb2?utm_campaign=1061&amp;utm_source=sheet", "Apply")</f>
        <v>Apply</v>
      </c>
      <c r="C27" s="10" t="s">
        <v>141</v>
      </c>
      <c r="D27" s="56" t="s">
        <v>142</v>
      </c>
      <c r="E27" s="59">
        <v>45301.0</v>
      </c>
      <c r="F27" s="10" t="s">
        <v>143</v>
      </c>
      <c r="G27" s="10" t="s">
        <v>146</v>
      </c>
      <c r="H27" s="10" t="s">
        <v>55</v>
      </c>
      <c r="J27" s="10" t="s">
        <v>145</v>
      </c>
      <c r="K27" s="10" t="s">
        <v>42</v>
      </c>
    </row>
    <row r="28" ht="15.75" customHeight="1">
      <c r="A28" s="57">
        <v>45499.0</v>
      </c>
      <c r="B28" s="55" t="str">
        <f>HYPERLINK("https://jobright.ai/jobs/info/66a3b1fbcc8f335cd486c82f?utm_campaign=1061&amp;utm_source=sheet", "Apply")</f>
        <v>Apply</v>
      </c>
      <c r="C28" s="10" t="s">
        <v>147</v>
      </c>
      <c r="D28" s="56" t="s">
        <v>148</v>
      </c>
      <c r="E28" s="59">
        <v>45301.0</v>
      </c>
      <c r="F28" s="10" t="s">
        <v>149</v>
      </c>
      <c r="G28" s="10" t="s">
        <v>150</v>
      </c>
      <c r="H28" s="10" t="s">
        <v>48</v>
      </c>
      <c r="J28" s="10" t="s">
        <v>151</v>
      </c>
      <c r="K28" s="10" t="s">
        <v>42</v>
      </c>
    </row>
    <row r="29" ht="15.75" customHeight="1">
      <c r="A29" s="57">
        <v>45499.0</v>
      </c>
      <c r="B29" s="55" t="str">
        <f>HYPERLINK("https://jobright.ai/jobs/info/66a3b1fbcc8f335cd486c839?utm_campaign=1061&amp;utm_source=sheet", "Apply")</f>
        <v>Apply</v>
      </c>
      <c r="C29" s="10" t="s">
        <v>141</v>
      </c>
      <c r="D29" s="56" t="s">
        <v>142</v>
      </c>
      <c r="E29" s="59">
        <v>45301.0</v>
      </c>
      <c r="F29" s="10" t="s">
        <v>143</v>
      </c>
      <c r="G29" s="10" t="s">
        <v>152</v>
      </c>
      <c r="H29" s="10" t="s">
        <v>55</v>
      </c>
      <c r="J29" s="10" t="s">
        <v>145</v>
      </c>
      <c r="K29" s="10" t="s">
        <v>42</v>
      </c>
    </row>
    <row r="30" ht="15.75" customHeight="1">
      <c r="A30" s="57">
        <v>45499.0</v>
      </c>
      <c r="B30" s="55" t="str">
        <f>HYPERLINK("https://jobright.ai/jobs/info/66a3b203cc8f335cd486c88a?utm_campaign=1061&amp;utm_source=sheet", "Apply")</f>
        <v>Apply</v>
      </c>
      <c r="C30" s="10" t="s">
        <v>141</v>
      </c>
      <c r="D30" s="56" t="s">
        <v>142</v>
      </c>
      <c r="E30" s="59">
        <v>45301.0</v>
      </c>
      <c r="F30" s="10" t="s">
        <v>143</v>
      </c>
      <c r="G30" s="10" t="s">
        <v>153</v>
      </c>
      <c r="H30" s="10" t="s">
        <v>55</v>
      </c>
      <c r="J30" s="10" t="s">
        <v>145</v>
      </c>
      <c r="K30" s="10" t="s">
        <v>42</v>
      </c>
    </row>
    <row r="31" ht="15.75" customHeight="1">
      <c r="A31" s="57">
        <v>45499.0</v>
      </c>
      <c r="B31" s="55" t="str">
        <f>HYPERLINK("https://jobright.ai/jobs/info/66a3beb67158ac239b6ddfc7?utm_campaign=1061&amp;utm_source=sheet", "Apply")</f>
        <v>Apply</v>
      </c>
      <c r="C31" s="10" t="s">
        <v>141</v>
      </c>
      <c r="D31" s="56" t="s">
        <v>142</v>
      </c>
      <c r="E31" s="59">
        <v>45301.0</v>
      </c>
      <c r="F31" s="10" t="s">
        <v>143</v>
      </c>
      <c r="G31" s="10" t="s">
        <v>154</v>
      </c>
      <c r="H31" s="10" t="s">
        <v>55</v>
      </c>
      <c r="J31" s="10" t="s">
        <v>145</v>
      </c>
      <c r="K31" s="10" t="s">
        <v>42</v>
      </c>
    </row>
    <row r="32" ht="15.75" customHeight="1">
      <c r="A32" s="57">
        <v>45499.0</v>
      </c>
      <c r="B32" s="55" t="str">
        <f>HYPERLINK("https://jobright.ai/jobs/info/66a3beb67158ac239b6ddfc6?utm_campaign=1061&amp;utm_source=sheet", "Apply")</f>
        <v>Apply</v>
      </c>
      <c r="C32" s="10" t="s">
        <v>155</v>
      </c>
      <c r="D32" s="56" t="s">
        <v>156</v>
      </c>
      <c r="E32" s="59">
        <v>45301.0</v>
      </c>
      <c r="F32" s="10" t="s">
        <v>157</v>
      </c>
      <c r="G32" s="10" t="s">
        <v>113</v>
      </c>
      <c r="H32" s="10" t="s">
        <v>48</v>
      </c>
      <c r="J32" s="10" t="s">
        <v>158</v>
      </c>
      <c r="K32" s="10" t="s">
        <v>42</v>
      </c>
    </row>
    <row r="33" ht="15.75" customHeight="1">
      <c r="A33" s="57">
        <v>45499.0</v>
      </c>
      <c r="B33" s="55" t="str">
        <f>HYPERLINK("https://jobright.ai/jobs/info/66a3beb67158ac239b6ddfcc?utm_campaign=1061&amp;utm_source=sheet", "Apply")</f>
        <v>Apply</v>
      </c>
      <c r="C33" s="10" t="s">
        <v>141</v>
      </c>
      <c r="D33" s="56" t="s">
        <v>142</v>
      </c>
      <c r="E33" s="59">
        <v>45301.0</v>
      </c>
      <c r="F33" s="10" t="s">
        <v>143</v>
      </c>
      <c r="G33" s="10" t="s">
        <v>159</v>
      </c>
      <c r="H33" s="10" t="s">
        <v>55</v>
      </c>
      <c r="J33" s="10" t="s">
        <v>145</v>
      </c>
      <c r="K33" s="10" t="s">
        <v>42</v>
      </c>
    </row>
    <row r="34" ht="15.75" customHeight="1">
      <c r="A34" s="57">
        <v>45499.0</v>
      </c>
      <c r="B34" s="55" t="str">
        <f>HYPERLINK("https://jobright.ai/jobs/info/66a3b203cc8f335cd486c8ee?utm_campaign=1061&amp;utm_source=sheet", "Apply")</f>
        <v>Apply</v>
      </c>
      <c r="C34" s="10" t="s">
        <v>160</v>
      </c>
      <c r="D34" s="56" t="s">
        <v>136</v>
      </c>
      <c r="E34" s="10" t="s">
        <v>137</v>
      </c>
      <c r="F34" s="10" t="s">
        <v>138</v>
      </c>
      <c r="G34" s="10" t="s">
        <v>139</v>
      </c>
      <c r="H34" s="10" t="s">
        <v>55</v>
      </c>
      <c r="J34" s="10" t="s">
        <v>161</v>
      </c>
      <c r="K34" s="10" t="s">
        <v>42</v>
      </c>
    </row>
    <row r="35" ht="15.75" customHeight="1">
      <c r="A35" s="57">
        <v>45499.0</v>
      </c>
      <c r="B35" s="55" t="str">
        <f>HYPERLINK("https://jobright.ai/jobs/info/66a3c9fe55a005da42ef5528?utm_campaign=1061&amp;utm_source=sheet", "Apply")</f>
        <v>Apply</v>
      </c>
      <c r="C35" s="10" t="s">
        <v>162</v>
      </c>
      <c r="D35" s="56" t="s">
        <v>163</v>
      </c>
      <c r="E35" s="10" t="s">
        <v>137</v>
      </c>
      <c r="F35" s="10" t="s">
        <v>164</v>
      </c>
      <c r="G35" s="10" t="s">
        <v>165</v>
      </c>
      <c r="H35" s="10" t="s">
        <v>55</v>
      </c>
      <c r="J35" s="10" t="s">
        <v>166</v>
      </c>
      <c r="K35" s="10" t="s">
        <v>42</v>
      </c>
    </row>
    <row r="36" ht="15.75" customHeight="1">
      <c r="A36" s="57">
        <v>45499.0</v>
      </c>
      <c r="B36" s="55" t="str">
        <f>HYPERLINK("https://jobright.ai/jobs/info/66a3c9fe55a005da42ef552e?utm_campaign=1061&amp;utm_source=sheet", "Apply")</f>
        <v>Apply</v>
      </c>
      <c r="C36" s="10" t="s">
        <v>141</v>
      </c>
      <c r="D36" s="56" t="s">
        <v>142</v>
      </c>
      <c r="E36" s="59">
        <v>45301.0</v>
      </c>
      <c r="F36" s="10" t="s">
        <v>143</v>
      </c>
      <c r="G36" s="10" t="s">
        <v>165</v>
      </c>
      <c r="H36" s="10" t="s">
        <v>55</v>
      </c>
      <c r="J36" s="10" t="s">
        <v>145</v>
      </c>
      <c r="K36" s="10" t="s">
        <v>42</v>
      </c>
    </row>
    <row r="37" ht="15.75" customHeight="1">
      <c r="A37" s="57">
        <v>45499.0</v>
      </c>
      <c r="B37" s="55" t="str">
        <f>HYPERLINK("https://jobright.ai/jobs/info/66a3a5e9c3f6a01b72d3be61?utm_campaign=1061&amp;utm_source=sheet", "Apply")</f>
        <v>Apply</v>
      </c>
      <c r="C37" s="10" t="s">
        <v>141</v>
      </c>
      <c r="D37" s="56" t="s">
        <v>142</v>
      </c>
      <c r="E37" s="59">
        <v>45301.0</v>
      </c>
      <c r="F37" s="10" t="s">
        <v>143</v>
      </c>
      <c r="G37" s="10" t="s">
        <v>167</v>
      </c>
      <c r="H37" s="10" t="s">
        <v>55</v>
      </c>
      <c r="J37" s="10" t="s">
        <v>145</v>
      </c>
      <c r="K37" s="10" t="s">
        <v>42</v>
      </c>
    </row>
    <row r="38" ht="15.75" customHeight="1">
      <c r="A38" s="57">
        <v>45499.0</v>
      </c>
      <c r="B38" s="55" t="str">
        <f>HYPERLINK("https://jobright.ai/jobs/info/66a3b203cc8f335cd486c93c?utm_campaign=1061&amp;utm_source=sheet", "Apply")</f>
        <v>Apply</v>
      </c>
      <c r="C38" s="10" t="s">
        <v>141</v>
      </c>
      <c r="D38" s="56" t="s">
        <v>142</v>
      </c>
      <c r="E38" s="59">
        <v>45301.0</v>
      </c>
      <c r="F38" s="10" t="s">
        <v>143</v>
      </c>
      <c r="G38" s="10" t="s">
        <v>168</v>
      </c>
      <c r="H38" s="10" t="s">
        <v>55</v>
      </c>
      <c r="J38" s="10" t="s">
        <v>145</v>
      </c>
      <c r="K38" s="10" t="s">
        <v>42</v>
      </c>
    </row>
    <row r="39" ht="15.75" customHeight="1">
      <c r="A39" s="57">
        <v>45499.0</v>
      </c>
      <c r="B39" s="55" t="str">
        <f>HYPERLINK("https://jobright.ai/jobs/info/66a3a5e9c3f6a01b72d3bec6?utm_campaign=1061&amp;utm_source=sheet", "Apply")</f>
        <v>Apply</v>
      </c>
      <c r="C39" s="10" t="s">
        <v>147</v>
      </c>
      <c r="D39" s="56" t="s">
        <v>148</v>
      </c>
      <c r="E39" s="59">
        <v>45301.0</v>
      </c>
      <c r="F39" s="10" t="s">
        <v>149</v>
      </c>
      <c r="G39" s="10" t="s">
        <v>150</v>
      </c>
      <c r="H39" s="10" t="s">
        <v>55</v>
      </c>
      <c r="J39" s="10" t="s">
        <v>151</v>
      </c>
      <c r="K39" s="10" t="s">
        <v>42</v>
      </c>
    </row>
    <row r="40" ht="15.75" customHeight="1">
      <c r="A40" s="57">
        <v>45499.0</v>
      </c>
      <c r="B40" s="55" t="str">
        <f>HYPERLINK("https://jobright.ai/jobs/info/66a3a5f0c3f6a01b72d3bee8?utm_campaign=1061&amp;utm_source=sheet", "Apply")</f>
        <v>Apply</v>
      </c>
      <c r="C40" s="10" t="s">
        <v>141</v>
      </c>
      <c r="D40" s="56" t="s">
        <v>142</v>
      </c>
      <c r="E40" s="59">
        <v>45301.0</v>
      </c>
      <c r="F40" s="10" t="s">
        <v>143</v>
      </c>
      <c r="G40" s="10" t="s">
        <v>169</v>
      </c>
      <c r="H40" s="10" t="s">
        <v>55</v>
      </c>
      <c r="J40" s="10" t="s">
        <v>145</v>
      </c>
      <c r="K40" s="10" t="s">
        <v>42</v>
      </c>
    </row>
    <row r="41" ht="15.75" customHeight="1">
      <c r="A41" s="57">
        <v>45499.0</v>
      </c>
      <c r="B41" s="55" t="str">
        <f>HYPERLINK("https://jobright.ai/jobs/info/66a3a5f0c3f6a01b72d3beed?utm_campaign=1061&amp;utm_source=sheet", "Apply")</f>
        <v>Apply</v>
      </c>
      <c r="C41" s="10" t="s">
        <v>141</v>
      </c>
      <c r="D41" s="56" t="s">
        <v>142</v>
      </c>
      <c r="E41" s="59">
        <v>45301.0</v>
      </c>
      <c r="F41" s="10" t="s">
        <v>143</v>
      </c>
      <c r="G41" s="10" t="s">
        <v>170</v>
      </c>
      <c r="H41" s="10" t="s">
        <v>55</v>
      </c>
      <c r="J41" s="10" t="s">
        <v>145</v>
      </c>
      <c r="K41" s="10" t="s">
        <v>42</v>
      </c>
    </row>
    <row r="42" ht="15.75" customHeight="1">
      <c r="A42" s="57">
        <v>45499.0</v>
      </c>
      <c r="B42" s="55" t="str">
        <f>HYPERLINK("https://jobright.ai/jobs/info/66a3a5f0c3f6a01b72d3befe?utm_campaign=1061&amp;utm_source=sheet", "Apply")</f>
        <v>Apply</v>
      </c>
      <c r="C42" s="10" t="s">
        <v>162</v>
      </c>
      <c r="D42" s="56" t="s">
        <v>163</v>
      </c>
      <c r="E42" s="10" t="s">
        <v>137</v>
      </c>
      <c r="F42" s="10" t="s">
        <v>164</v>
      </c>
      <c r="G42" s="10" t="s">
        <v>165</v>
      </c>
      <c r="H42" s="10" t="s">
        <v>48</v>
      </c>
      <c r="J42" s="10" t="s">
        <v>166</v>
      </c>
      <c r="K42" s="10" t="s">
        <v>42</v>
      </c>
    </row>
    <row r="43" ht="15.75" customHeight="1">
      <c r="A43" s="57">
        <v>45499.0</v>
      </c>
      <c r="B43" s="55" t="str">
        <f>HYPERLINK("https://jobright.ai/jobs/info/66a3787878896010fd81aaab?utm_campaign=1061&amp;utm_source=sheet", "Apply")</f>
        <v>Apply</v>
      </c>
      <c r="C43" s="10" t="s">
        <v>171</v>
      </c>
      <c r="D43" s="56" t="s">
        <v>172</v>
      </c>
      <c r="E43" s="10" t="s">
        <v>65</v>
      </c>
      <c r="F43" s="10" t="s">
        <v>173</v>
      </c>
      <c r="G43" s="10" t="s">
        <v>174</v>
      </c>
      <c r="H43" s="10" t="s">
        <v>55</v>
      </c>
      <c r="J43" s="10" t="s">
        <v>175</v>
      </c>
      <c r="K43" s="10" t="s">
        <v>42</v>
      </c>
    </row>
    <row r="44" ht="15.75" customHeight="1">
      <c r="A44" s="57">
        <v>45499.0</v>
      </c>
      <c r="B44" s="55" t="str">
        <f>HYPERLINK("https://jobright.ai/jobs/info/6630dbfddf7d2179cfa40aed?utm_campaign=1061&amp;utm_source=sheet", "Apply")</f>
        <v>Apply</v>
      </c>
      <c r="C44" s="10" t="s">
        <v>176</v>
      </c>
      <c r="D44" s="56" t="s">
        <v>52</v>
      </c>
      <c r="E44" s="10" t="s">
        <v>45</v>
      </c>
      <c r="F44" s="10" t="s">
        <v>53</v>
      </c>
      <c r="G44" s="10" t="s">
        <v>177</v>
      </c>
      <c r="H44" s="10" t="s">
        <v>55</v>
      </c>
      <c r="J44" s="10" t="s">
        <v>178</v>
      </c>
      <c r="K44" s="10" t="s">
        <v>42</v>
      </c>
    </row>
    <row r="45" ht="15.75" customHeight="1">
      <c r="A45" s="57">
        <v>45499.0</v>
      </c>
      <c r="B45" s="55" t="str">
        <f>HYPERLINK("https://jobright.ai/jobs/info/669d0a8204c007d24af47f22?utm_campaign=1061&amp;utm_source=sheet", "Apply")</f>
        <v>Apply</v>
      </c>
      <c r="C45" s="10" t="s">
        <v>179</v>
      </c>
      <c r="D45" s="56" t="s">
        <v>180</v>
      </c>
      <c r="E45" s="10">
        <v>3092.0</v>
      </c>
      <c r="G45" s="10" t="s">
        <v>181</v>
      </c>
      <c r="H45" s="10" t="s">
        <v>55</v>
      </c>
      <c r="J45" s="10" t="s">
        <v>182</v>
      </c>
      <c r="K45" s="10" t="s">
        <v>42</v>
      </c>
    </row>
    <row r="46" ht="15.75" customHeight="1">
      <c r="A46" s="57">
        <v>45499.0</v>
      </c>
      <c r="B46" s="55" t="str">
        <f>HYPERLINK("https://jobright.ai/jobs/info/6659cadcc778f235e89fd11d?utm_campaign=1061&amp;utm_source=sheet", "Apply")</f>
        <v>Apply</v>
      </c>
      <c r="C46" s="10" t="s">
        <v>183</v>
      </c>
      <c r="D46" s="56" t="s">
        <v>52</v>
      </c>
      <c r="E46" s="10" t="s">
        <v>45</v>
      </c>
      <c r="F46" s="10" t="s">
        <v>53</v>
      </c>
      <c r="G46" s="10" t="s">
        <v>152</v>
      </c>
      <c r="H46" s="10" t="s">
        <v>55</v>
      </c>
      <c r="J46" s="10" t="s">
        <v>184</v>
      </c>
      <c r="K46" s="10" t="s">
        <v>42</v>
      </c>
    </row>
    <row r="47" ht="15.75" customHeight="1">
      <c r="A47" s="57">
        <v>45499.0</v>
      </c>
      <c r="B47" s="55" t="str">
        <f>HYPERLINK("https://jobright.ai/jobs/info/66a329621bfa53822468238e?utm_campaign=1061&amp;utm_source=sheet", "Apply")</f>
        <v>Apply</v>
      </c>
      <c r="C47" s="10" t="s">
        <v>185</v>
      </c>
      <c r="D47" s="56" t="s">
        <v>186</v>
      </c>
      <c r="E47" s="10" t="s">
        <v>65</v>
      </c>
      <c r="F47" s="10" t="s">
        <v>187</v>
      </c>
      <c r="G47" s="10" t="s">
        <v>188</v>
      </c>
      <c r="H47" s="10" t="s">
        <v>55</v>
      </c>
      <c r="J47" s="10" t="s">
        <v>189</v>
      </c>
      <c r="K47" s="10" t="s">
        <v>42</v>
      </c>
    </row>
    <row r="48" ht="15.75" customHeight="1">
      <c r="A48" s="57">
        <v>45499.0</v>
      </c>
      <c r="B48" s="55" t="str">
        <f>HYPERLINK("https://jobright.ai/jobs/info/66a2fc017d87c2086e260ac5?utm_campaign=1061&amp;utm_source=sheet", "Apply")</f>
        <v>Apply</v>
      </c>
      <c r="C48" s="10" t="s">
        <v>190</v>
      </c>
      <c r="D48" s="56" t="s">
        <v>191</v>
      </c>
      <c r="E48" s="10" t="s">
        <v>65</v>
      </c>
      <c r="F48" s="10" t="s">
        <v>192</v>
      </c>
      <c r="G48" s="10" t="s">
        <v>193</v>
      </c>
      <c r="H48" s="10" t="s">
        <v>55</v>
      </c>
      <c r="J48" s="10" t="s">
        <v>194</v>
      </c>
      <c r="K48" s="10" t="s">
        <v>42</v>
      </c>
    </row>
    <row r="49" ht="15.75" customHeight="1">
      <c r="A49" s="57">
        <v>45499.0</v>
      </c>
      <c r="B49" s="55" t="str">
        <f>HYPERLINK("https://jobright.ai/jobs/info/66a3fd76198db617d3583ff6?utm_campaign=1061&amp;utm_source=sheet", "Apply")</f>
        <v>Apply</v>
      </c>
      <c r="C49" s="10" t="s">
        <v>58</v>
      </c>
      <c r="D49" s="56" t="s">
        <v>59</v>
      </c>
      <c r="E49" s="10" t="s">
        <v>45</v>
      </c>
      <c r="F49" s="10" t="s">
        <v>60</v>
      </c>
      <c r="G49" s="10" t="s">
        <v>195</v>
      </c>
      <c r="H49" s="10" t="s">
        <v>55</v>
      </c>
      <c r="J49" s="10" t="s">
        <v>62</v>
      </c>
      <c r="K49" s="10" t="s">
        <v>42</v>
      </c>
    </row>
    <row r="50" ht="15.75" customHeight="1">
      <c r="A50" s="57">
        <v>45498.0</v>
      </c>
      <c r="B50" s="55" t="str">
        <f>HYPERLINK("https://jobright.ai/jobs/info/66a3045c5819e4bbe872d726?utm_campaign=1061&amp;utm_source=sheet", "Apply")</f>
        <v>Apply</v>
      </c>
      <c r="C50" s="10" t="s">
        <v>190</v>
      </c>
      <c r="D50" s="56" t="s">
        <v>196</v>
      </c>
      <c r="E50" s="10" t="s">
        <v>71</v>
      </c>
      <c r="F50" s="10" t="s">
        <v>197</v>
      </c>
      <c r="G50" s="10" t="s">
        <v>193</v>
      </c>
      <c r="H50" s="10" t="s">
        <v>55</v>
      </c>
      <c r="J50" s="10" t="s">
        <v>194</v>
      </c>
      <c r="K50" s="10" t="s">
        <v>42</v>
      </c>
    </row>
    <row r="51" ht="15.75" customHeight="1">
      <c r="A51" s="57">
        <v>45498.0</v>
      </c>
      <c r="B51" s="55" t="str">
        <f>HYPERLINK("https://jobright.ai/jobs/info/66a2f74101442d09ab3b05f0?utm_campaign=1061&amp;utm_source=sheet", "Apply")</f>
        <v>Apply</v>
      </c>
      <c r="C51" s="10" t="s">
        <v>198</v>
      </c>
      <c r="D51" s="56" t="s">
        <v>199</v>
      </c>
      <c r="E51" s="10" t="s">
        <v>45</v>
      </c>
      <c r="F51" s="10" t="s">
        <v>200</v>
      </c>
      <c r="G51" s="10" t="s">
        <v>201</v>
      </c>
      <c r="H51" s="10" t="s">
        <v>55</v>
      </c>
      <c r="J51" s="10" t="s">
        <v>202</v>
      </c>
      <c r="K51" s="10" t="s">
        <v>42</v>
      </c>
    </row>
    <row r="52" ht="15.75" customHeight="1">
      <c r="A52" s="57">
        <v>45498.0</v>
      </c>
      <c r="B52" s="55" t="str">
        <f>HYPERLINK("https://jobright.ai/jobs/info/66a2bb87f2f4972269576585?utm_campaign=1061&amp;utm_source=sheet", "Apply")</f>
        <v>Apply</v>
      </c>
      <c r="C52" s="10" t="s">
        <v>203</v>
      </c>
      <c r="D52" s="56" t="s">
        <v>204</v>
      </c>
      <c r="E52" s="10" t="s">
        <v>45</v>
      </c>
      <c r="F52" s="10" t="s">
        <v>205</v>
      </c>
      <c r="G52" s="10" t="s">
        <v>153</v>
      </c>
      <c r="H52" s="10" t="s">
        <v>55</v>
      </c>
      <c r="J52" s="10" t="s">
        <v>206</v>
      </c>
      <c r="K52" s="10" t="s">
        <v>42</v>
      </c>
    </row>
    <row r="53" ht="15.75" customHeight="1">
      <c r="A53" s="57">
        <v>45498.0</v>
      </c>
      <c r="B53" s="55" t="str">
        <f>HYPERLINK("https://jobright.ai/jobs/info/66a2bf4b915788496ad37abe?utm_campaign=1061&amp;utm_source=sheet", "Apply")</f>
        <v>Apply</v>
      </c>
      <c r="C53" s="10" t="s">
        <v>207</v>
      </c>
      <c r="D53" s="56" t="s">
        <v>208</v>
      </c>
      <c r="E53" s="10" t="s">
        <v>209</v>
      </c>
      <c r="F53" s="10" t="s">
        <v>210</v>
      </c>
      <c r="G53" s="10" t="s">
        <v>211</v>
      </c>
      <c r="H53" s="10" t="s">
        <v>55</v>
      </c>
      <c r="J53" s="10" t="s">
        <v>212</v>
      </c>
      <c r="K53" s="10" t="s">
        <v>42</v>
      </c>
    </row>
    <row r="54" ht="15.75" customHeight="1">
      <c r="A54" s="57">
        <v>45498.0</v>
      </c>
      <c r="B54" s="55" t="str">
        <f>HYPERLINK("https://jobright.ai/jobs/info/66a2b8874607965717440a1c?utm_campaign=1061&amp;utm_source=sheet", "Apply")</f>
        <v>Apply</v>
      </c>
      <c r="C54" s="10" t="s">
        <v>213</v>
      </c>
      <c r="D54" s="56" t="s">
        <v>214</v>
      </c>
      <c r="E54" s="10" t="s">
        <v>209</v>
      </c>
      <c r="F54" s="10" t="s">
        <v>215</v>
      </c>
      <c r="G54" s="10" t="s">
        <v>216</v>
      </c>
      <c r="H54" s="10" t="s">
        <v>55</v>
      </c>
      <c r="J54" s="10" t="s">
        <v>217</v>
      </c>
      <c r="K54" s="10" t="s">
        <v>42</v>
      </c>
    </row>
    <row r="55" ht="15.75" customHeight="1">
      <c r="A55" s="57">
        <v>45498.0</v>
      </c>
      <c r="B55" s="55" t="str">
        <f>HYPERLINK("https://jobright.ai/jobs/info/66a2b8874607965717440a5c?utm_campaign=1061&amp;utm_source=sheet", "Apply")</f>
        <v>Apply</v>
      </c>
      <c r="C55" s="10" t="s">
        <v>213</v>
      </c>
      <c r="D55" s="56" t="s">
        <v>214</v>
      </c>
      <c r="E55" s="10" t="s">
        <v>209</v>
      </c>
      <c r="F55" s="10" t="s">
        <v>215</v>
      </c>
      <c r="G55" s="10" t="s">
        <v>218</v>
      </c>
      <c r="H55" s="10" t="s">
        <v>55</v>
      </c>
      <c r="J55" s="10" t="s">
        <v>217</v>
      </c>
      <c r="K55" s="10" t="s">
        <v>42</v>
      </c>
    </row>
    <row r="56" ht="15.75" customHeight="1">
      <c r="A56" s="57">
        <v>45498.0</v>
      </c>
      <c r="B56" s="55" t="str">
        <f>HYPERLINK("https://jobright.ai/jobs/info/66a2bf53915788496ad37b70?utm_campaign=1061&amp;utm_source=sheet", "Apply")</f>
        <v>Apply</v>
      </c>
      <c r="C56" s="10" t="s">
        <v>219</v>
      </c>
      <c r="D56" s="56" t="s">
        <v>220</v>
      </c>
      <c r="E56" s="10" t="s">
        <v>65</v>
      </c>
      <c r="F56" s="10" t="s">
        <v>221</v>
      </c>
      <c r="G56" s="10" t="s">
        <v>222</v>
      </c>
      <c r="H56" s="10" t="s">
        <v>55</v>
      </c>
      <c r="J56" s="10" t="s">
        <v>223</v>
      </c>
      <c r="K56" s="10" t="s">
        <v>42</v>
      </c>
    </row>
    <row r="57" ht="15.75" customHeight="1">
      <c r="A57" s="57">
        <v>45498.0</v>
      </c>
      <c r="B57" s="55" t="str">
        <f>HYPERLINK("https://jobright.ai/jobs/info/66a2b0dc9af9a2a108449534?utm_campaign=1061&amp;utm_source=sheet", "Apply")</f>
        <v>Apply</v>
      </c>
      <c r="C57" s="10" t="s">
        <v>224</v>
      </c>
      <c r="D57" s="56" t="s">
        <v>220</v>
      </c>
      <c r="E57" s="10" t="s">
        <v>65</v>
      </c>
      <c r="F57" s="10" t="s">
        <v>221</v>
      </c>
      <c r="G57" s="10" t="s">
        <v>222</v>
      </c>
      <c r="H57" s="10" t="s">
        <v>55</v>
      </c>
      <c r="J57" s="10" t="s">
        <v>225</v>
      </c>
      <c r="K57" s="10" t="s">
        <v>42</v>
      </c>
    </row>
    <row r="58" ht="15.75" customHeight="1">
      <c r="A58" s="57">
        <v>45498.0</v>
      </c>
      <c r="B58" s="55" t="str">
        <f>HYPERLINK("https://jobright.ai/jobs/info/66a2a7c517f20d5fe766207f?utm_campaign=1061&amp;utm_source=sheet", "Apply")</f>
        <v>Apply</v>
      </c>
      <c r="C58" s="10" t="s">
        <v>226</v>
      </c>
      <c r="D58" s="56" t="s">
        <v>227</v>
      </c>
      <c r="E58" s="10" t="s">
        <v>137</v>
      </c>
      <c r="F58" s="10" t="s">
        <v>228</v>
      </c>
      <c r="G58" s="10" t="s">
        <v>229</v>
      </c>
      <c r="H58" s="10" t="s">
        <v>55</v>
      </c>
      <c r="J58" s="10" t="s">
        <v>230</v>
      </c>
      <c r="K58" s="10" t="s">
        <v>42</v>
      </c>
    </row>
    <row r="59" ht="15.75" customHeight="1">
      <c r="A59" s="57">
        <v>45498.0</v>
      </c>
      <c r="B59" s="55" t="str">
        <f>HYPERLINK("https://jobright.ai/jobs/info/66a2a5a39bbfb77b02eb41b7?utm_campaign=1061&amp;utm_source=sheet", "Apply")</f>
        <v>Apply</v>
      </c>
      <c r="C59" s="10" t="s">
        <v>231</v>
      </c>
      <c r="D59" s="56" t="s">
        <v>99</v>
      </c>
      <c r="E59" s="10" t="s">
        <v>45</v>
      </c>
      <c r="F59" s="10" t="s">
        <v>100</v>
      </c>
      <c r="G59" s="10" t="s">
        <v>232</v>
      </c>
      <c r="H59" s="10" t="s">
        <v>55</v>
      </c>
      <c r="J59" s="10" t="s">
        <v>118</v>
      </c>
      <c r="K59" s="10" t="s">
        <v>42</v>
      </c>
    </row>
    <row r="60" ht="15.75" customHeight="1">
      <c r="A60" s="57">
        <v>45498.0</v>
      </c>
      <c r="B60" s="55" t="str">
        <f>HYPERLINK("https://jobright.ai/jobs/info/66a2a5a39bbfb77b02eb41b6?utm_campaign=1061&amp;utm_source=sheet", "Apply")</f>
        <v>Apply</v>
      </c>
      <c r="C60" s="10" t="s">
        <v>233</v>
      </c>
      <c r="D60" s="56" t="s">
        <v>99</v>
      </c>
      <c r="E60" s="10" t="s">
        <v>45</v>
      </c>
      <c r="F60" s="10" t="s">
        <v>100</v>
      </c>
      <c r="G60" s="10" t="s">
        <v>232</v>
      </c>
      <c r="H60" s="10" t="s">
        <v>55</v>
      </c>
      <c r="J60" s="10" t="s">
        <v>118</v>
      </c>
      <c r="K60" s="10" t="s">
        <v>42</v>
      </c>
    </row>
    <row r="61" ht="15.75" customHeight="1">
      <c r="A61" s="57">
        <v>45498.0</v>
      </c>
      <c r="B61" s="55" t="str">
        <f>HYPERLINK("https://jobright.ai/jobs/info/66a2a5a39bbfb77b02eb41c2?utm_campaign=1061&amp;utm_source=sheet", "Apply")</f>
        <v>Apply</v>
      </c>
      <c r="C61" s="10" t="s">
        <v>234</v>
      </c>
      <c r="D61" s="56" t="s">
        <v>99</v>
      </c>
      <c r="E61" s="10" t="s">
        <v>45</v>
      </c>
      <c r="F61" s="10" t="s">
        <v>100</v>
      </c>
      <c r="G61" s="10" t="s">
        <v>235</v>
      </c>
      <c r="H61" s="10" t="s">
        <v>55</v>
      </c>
      <c r="J61" s="10" t="s">
        <v>118</v>
      </c>
      <c r="K61" s="10" t="s">
        <v>42</v>
      </c>
    </row>
    <row r="62" ht="15.75" customHeight="1">
      <c r="A62" s="57">
        <v>45498.0</v>
      </c>
      <c r="B62" s="55" t="str">
        <f>HYPERLINK("https://jobright.ai/jobs/info/66a29929d090d41dcbafd500?utm_campaign=1061&amp;utm_source=sheet", "Apply")</f>
        <v>Apply</v>
      </c>
      <c r="C62" s="10" t="s">
        <v>236</v>
      </c>
      <c r="D62" s="56" t="s">
        <v>99</v>
      </c>
      <c r="E62" s="10" t="s">
        <v>45</v>
      </c>
      <c r="F62" s="10" t="s">
        <v>100</v>
      </c>
      <c r="G62" s="10" t="s">
        <v>232</v>
      </c>
      <c r="H62" s="10" t="s">
        <v>55</v>
      </c>
      <c r="J62" s="10" t="s">
        <v>118</v>
      </c>
      <c r="K62" s="10" t="s">
        <v>42</v>
      </c>
    </row>
    <row r="63" ht="15.75" customHeight="1">
      <c r="A63" s="57">
        <v>45498.0</v>
      </c>
      <c r="B63" s="55" t="str">
        <f>HYPERLINK("https://jobright.ai/jobs/info/66a2814b324379dc6068c08a?utm_campaign=1061&amp;utm_source=sheet", "Apply")</f>
        <v>Apply</v>
      </c>
      <c r="C63" s="10" t="s">
        <v>237</v>
      </c>
      <c r="D63" s="56" t="s">
        <v>238</v>
      </c>
      <c r="E63" s="10" t="s">
        <v>137</v>
      </c>
      <c r="F63" s="10" t="s">
        <v>239</v>
      </c>
      <c r="G63" s="10" t="s">
        <v>240</v>
      </c>
      <c r="H63" s="10" t="s">
        <v>55</v>
      </c>
      <c r="J63" s="10" t="s">
        <v>241</v>
      </c>
      <c r="K63" s="10" t="s">
        <v>42</v>
      </c>
    </row>
    <row r="64" ht="15.75" customHeight="1">
      <c r="A64" s="57">
        <v>45498.0</v>
      </c>
      <c r="B64" s="55" t="str">
        <f>HYPERLINK("https://jobright.ai/jobs/info/6670ca8230f6216c998d7e73?utm_campaign=1061&amp;utm_source=sheet", "Apply")</f>
        <v>Apply</v>
      </c>
      <c r="C64" s="10" t="s">
        <v>242</v>
      </c>
      <c r="D64" s="56" t="s">
        <v>243</v>
      </c>
      <c r="E64" s="10" t="s">
        <v>45</v>
      </c>
      <c r="F64" s="10" t="s">
        <v>244</v>
      </c>
      <c r="G64" s="10" t="s">
        <v>245</v>
      </c>
      <c r="H64" s="10" t="s">
        <v>48</v>
      </c>
      <c r="J64" s="10" t="s">
        <v>246</v>
      </c>
      <c r="K64" s="10" t="s">
        <v>42</v>
      </c>
    </row>
    <row r="65" ht="15.75" customHeight="1">
      <c r="A65" s="57">
        <v>45498.0</v>
      </c>
      <c r="B65" s="55" t="str">
        <f>HYPERLINK("https://jobright.ai/jobs/info/66741aa758f25362ea0daad8?utm_campaign=1061&amp;utm_source=sheet", "Apply")</f>
        <v>Apply</v>
      </c>
      <c r="C65" s="10" t="s">
        <v>247</v>
      </c>
      <c r="D65" s="56" t="s">
        <v>248</v>
      </c>
      <c r="E65" s="10" t="s">
        <v>249</v>
      </c>
      <c r="F65" s="10" t="s">
        <v>250</v>
      </c>
      <c r="G65" s="10" t="s">
        <v>251</v>
      </c>
      <c r="H65" s="10" t="s">
        <v>252</v>
      </c>
      <c r="J65" s="10" t="s">
        <v>253</v>
      </c>
      <c r="K65" s="10" t="s">
        <v>42</v>
      </c>
    </row>
    <row r="66" ht="15.75" customHeight="1">
      <c r="A66" s="57">
        <v>45498.0</v>
      </c>
      <c r="B66" s="55" t="str">
        <f>HYPERLINK("https://jobright.ai/jobs/info/668591e5e861c76931c969f3?utm_campaign=1061&amp;utm_source=sheet", "Apply")</f>
        <v>Apply</v>
      </c>
      <c r="C66" s="10" t="s">
        <v>254</v>
      </c>
      <c r="D66" s="56" t="s">
        <v>99</v>
      </c>
      <c r="E66" s="10" t="s">
        <v>45</v>
      </c>
      <c r="F66" s="10" t="s">
        <v>100</v>
      </c>
      <c r="G66" s="10" t="s">
        <v>255</v>
      </c>
      <c r="H66" s="10" t="s">
        <v>55</v>
      </c>
      <c r="J66" s="10" t="s">
        <v>256</v>
      </c>
      <c r="K66" s="10" t="s">
        <v>42</v>
      </c>
    </row>
    <row r="67" ht="15.75" customHeight="1">
      <c r="A67" s="57">
        <v>45498.0</v>
      </c>
      <c r="B67" s="55" t="str">
        <f>HYPERLINK("https://jobright.ai/jobs/info/66a1db7b4a1c47d6614d8a19?utm_campaign=1061&amp;utm_source=sheet", "Apply")</f>
        <v>Apply</v>
      </c>
      <c r="C67" s="10" t="s">
        <v>257</v>
      </c>
      <c r="D67" s="56" t="s">
        <v>258</v>
      </c>
      <c r="E67" s="10" t="s">
        <v>45</v>
      </c>
      <c r="F67" s="10" t="s">
        <v>259</v>
      </c>
      <c r="G67" s="10" t="s">
        <v>96</v>
      </c>
      <c r="H67" s="10" t="s">
        <v>48</v>
      </c>
      <c r="I67" s="10" t="s">
        <v>260</v>
      </c>
      <c r="J67" s="10" t="s">
        <v>261</v>
      </c>
      <c r="K67" s="10" t="s">
        <v>42</v>
      </c>
    </row>
    <row r="68" ht="15.75" customHeight="1">
      <c r="A68" s="57">
        <v>45498.0</v>
      </c>
      <c r="B68" s="55" t="str">
        <f>HYPERLINK("https://jobright.ai/jobs/info/66a1e112a074dd67a27b41eb?utm_campaign=1061&amp;utm_source=sheet", "Apply")</f>
        <v>Apply</v>
      </c>
      <c r="C68" s="10" t="s">
        <v>262</v>
      </c>
      <c r="D68" s="56" t="s">
        <v>263</v>
      </c>
      <c r="E68" s="10" t="s">
        <v>45</v>
      </c>
      <c r="F68" s="10" t="s">
        <v>264</v>
      </c>
      <c r="G68" s="10" t="s">
        <v>265</v>
      </c>
      <c r="H68" s="10" t="s">
        <v>55</v>
      </c>
      <c r="I68" s="10" t="s">
        <v>266</v>
      </c>
      <c r="J68" s="10" t="s">
        <v>267</v>
      </c>
      <c r="K68" s="10" t="s">
        <v>42</v>
      </c>
    </row>
    <row r="69" ht="15.75" customHeight="1">
      <c r="A69" s="57">
        <v>45498.0</v>
      </c>
      <c r="B69" s="55" t="str">
        <f>HYPERLINK("https://jobright.ai/jobs/info/66a1d2aca0502083a79deb6e?utm_campaign=1061&amp;utm_source=sheet", "Apply")</f>
        <v>Apply</v>
      </c>
      <c r="C69" s="10" t="s">
        <v>268</v>
      </c>
      <c r="D69" s="56" t="s">
        <v>269</v>
      </c>
      <c r="E69" s="10" t="s">
        <v>209</v>
      </c>
      <c r="F69" s="10" t="s">
        <v>270</v>
      </c>
      <c r="G69" s="10" t="s">
        <v>271</v>
      </c>
      <c r="H69" s="10" t="s">
        <v>55</v>
      </c>
      <c r="J69" s="10" t="s">
        <v>272</v>
      </c>
      <c r="K69" s="10" t="s">
        <v>42</v>
      </c>
    </row>
    <row r="70" ht="15.75" customHeight="1">
      <c r="A70" s="57">
        <v>45498.0</v>
      </c>
      <c r="B70" s="55" t="str">
        <f>HYPERLINK("https://jobright.ai/jobs/info/66a1d2aca0502083a79deb88?utm_campaign=1061&amp;utm_source=sheet", "Apply")</f>
        <v>Apply</v>
      </c>
      <c r="C70" s="10" t="s">
        <v>273</v>
      </c>
      <c r="D70" s="56" t="s">
        <v>263</v>
      </c>
      <c r="E70" s="10" t="s">
        <v>45</v>
      </c>
      <c r="F70" s="10" t="s">
        <v>264</v>
      </c>
      <c r="G70" s="10" t="s">
        <v>265</v>
      </c>
      <c r="H70" s="10" t="s">
        <v>55</v>
      </c>
      <c r="I70" s="10" t="s">
        <v>266</v>
      </c>
      <c r="J70" s="10" t="s">
        <v>267</v>
      </c>
      <c r="K70" s="10" t="s">
        <v>42</v>
      </c>
    </row>
    <row r="71" ht="15.75" customHeight="1">
      <c r="A71" s="57">
        <v>45498.0</v>
      </c>
      <c r="B71" s="55" t="str">
        <f>HYPERLINK("https://jobright.ai/jobs/info/66a1b4d4349d237c2fa6bc2c?utm_campaign=1061&amp;utm_source=sheet", "Apply")</f>
        <v>Apply</v>
      </c>
      <c r="C71" s="10" t="s">
        <v>274</v>
      </c>
      <c r="D71" s="56" t="s">
        <v>275</v>
      </c>
      <c r="E71" s="10" t="s">
        <v>276</v>
      </c>
      <c r="F71" s="10" t="s">
        <v>277</v>
      </c>
      <c r="G71" s="10" t="s">
        <v>278</v>
      </c>
      <c r="H71" s="10" t="s">
        <v>48</v>
      </c>
      <c r="J71" s="10" t="s">
        <v>279</v>
      </c>
      <c r="K71" s="10" t="s">
        <v>42</v>
      </c>
    </row>
    <row r="72" ht="15.75" customHeight="1">
      <c r="A72" s="57">
        <v>45497.0</v>
      </c>
      <c r="B72" s="55" t="str">
        <f>HYPERLINK("https://jobright.ai/jobs/info/667973cb8f20c6df6b89a55f?utm_campaign=1061&amp;utm_source=sheet", "Apply")</f>
        <v>Apply</v>
      </c>
      <c r="C72" s="10" t="s">
        <v>280</v>
      </c>
      <c r="D72" s="56" t="s">
        <v>243</v>
      </c>
      <c r="E72" s="10" t="s">
        <v>45</v>
      </c>
      <c r="F72" s="10" t="s">
        <v>244</v>
      </c>
      <c r="G72" s="10" t="s">
        <v>245</v>
      </c>
      <c r="H72" s="10" t="s">
        <v>48</v>
      </c>
      <c r="J72" s="10" t="s">
        <v>281</v>
      </c>
      <c r="K72" s="10" t="s">
        <v>42</v>
      </c>
    </row>
    <row r="73" ht="15.75" customHeight="1">
      <c r="A73" s="57">
        <v>45497.0</v>
      </c>
      <c r="B73" s="55" t="str">
        <f>HYPERLINK("https://jobright.ai/jobs/info/6670d07aeb70e5a7b47f977f?utm_campaign=1061&amp;utm_source=sheet", "Apply")</f>
        <v>Apply</v>
      </c>
      <c r="C73" s="10" t="s">
        <v>282</v>
      </c>
      <c r="D73" s="56" t="s">
        <v>243</v>
      </c>
      <c r="E73" s="10" t="s">
        <v>45</v>
      </c>
      <c r="F73" s="10" t="s">
        <v>244</v>
      </c>
      <c r="G73" s="10" t="s">
        <v>245</v>
      </c>
      <c r="H73" s="10" t="s">
        <v>48</v>
      </c>
      <c r="J73" s="10" t="s">
        <v>246</v>
      </c>
      <c r="K73" s="10" t="s">
        <v>42</v>
      </c>
    </row>
    <row r="74" ht="15.75" customHeight="1">
      <c r="A74" s="57">
        <v>45497.0</v>
      </c>
      <c r="B74" s="55" t="str">
        <f>HYPERLINK("https://jobright.ai/jobs/info/66a1a0a4f9d25010fae4c28d?utm_campaign=1061&amp;utm_source=sheet", "Apply")</f>
        <v>Apply</v>
      </c>
      <c r="C74" s="10" t="s">
        <v>283</v>
      </c>
      <c r="D74" s="56" t="s">
        <v>284</v>
      </c>
      <c r="E74" s="10" t="s">
        <v>45</v>
      </c>
      <c r="F74" s="10" t="s">
        <v>285</v>
      </c>
      <c r="G74" s="10" t="s">
        <v>229</v>
      </c>
      <c r="H74" s="10" t="s">
        <v>55</v>
      </c>
      <c r="J74" s="10" t="s">
        <v>286</v>
      </c>
      <c r="K74" s="10" t="s">
        <v>42</v>
      </c>
    </row>
    <row r="75" ht="15.75" customHeight="1">
      <c r="A75" s="57">
        <v>45497.0</v>
      </c>
      <c r="B75" s="55" t="str">
        <f>HYPERLINK("https://jobright.ai/jobs/info/663c340bbd2c8909619702a7?utm_campaign=1061&amp;utm_source=sheet", "Apply")</f>
        <v>Apply</v>
      </c>
      <c r="C75" s="10" t="s">
        <v>282</v>
      </c>
      <c r="D75" s="56" t="s">
        <v>243</v>
      </c>
      <c r="E75" s="10" t="s">
        <v>45</v>
      </c>
      <c r="F75" s="10" t="s">
        <v>244</v>
      </c>
      <c r="G75" s="10" t="s">
        <v>245</v>
      </c>
      <c r="H75" s="10" t="s">
        <v>55</v>
      </c>
      <c r="J75" s="10" t="s">
        <v>246</v>
      </c>
      <c r="K75" s="10" t="s">
        <v>42</v>
      </c>
    </row>
    <row r="76" ht="15.75" customHeight="1">
      <c r="A76" s="57">
        <v>45497.0</v>
      </c>
      <c r="B76" s="55" t="str">
        <f>HYPERLINK("https://jobright.ai/jobs/info/66a194067c2a83b26eb6209c?utm_campaign=1061&amp;utm_source=sheet", "Apply")</f>
        <v>Apply</v>
      </c>
      <c r="C76" s="10" t="s">
        <v>287</v>
      </c>
      <c r="D76" s="56" t="s">
        <v>288</v>
      </c>
      <c r="E76" s="10" t="s">
        <v>137</v>
      </c>
      <c r="F76" s="10" t="s">
        <v>289</v>
      </c>
      <c r="G76" s="10" t="s">
        <v>152</v>
      </c>
      <c r="H76" s="10" t="s">
        <v>48</v>
      </c>
      <c r="J76" s="10" t="s">
        <v>290</v>
      </c>
      <c r="K76" s="10" t="s">
        <v>42</v>
      </c>
    </row>
    <row r="77" ht="15.75" customHeight="1">
      <c r="A77" s="57">
        <v>45497.0</v>
      </c>
      <c r="B77" s="55" t="str">
        <f>HYPERLINK("https://jobright.ai/jobs/info/663d67e34108fa5b5609fe59?utm_campaign=1061&amp;utm_source=sheet", "Apply")</f>
        <v>Apply</v>
      </c>
      <c r="C77" s="10" t="s">
        <v>242</v>
      </c>
      <c r="D77" s="56" t="s">
        <v>243</v>
      </c>
      <c r="E77" s="10" t="s">
        <v>45</v>
      </c>
      <c r="F77" s="10" t="s">
        <v>244</v>
      </c>
      <c r="G77" s="10" t="s">
        <v>245</v>
      </c>
      <c r="H77" s="10" t="s">
        <v>55</v>
      </c>
      <c r="J77" s="10" t="s">
        <v>246</v>
      </c>
      <c r="K77" s="10" t="s">
        <v>42</v>
      </c>
    </row>
    <row r="78" ht="15.75" customHeight="1">
      <c r="A78" s="57">
        <v>45497.0</v>
      </c>
      <c r="B78" s="55" t="str">
        <f>HYPERLINK("https://jobright.ai/jobs/info/66a19742907c808499ce0078?utm_campaign=1061&amp;utm_source=sheet", "Apply")</f>
        <v>Apply</v>
      </c>
      <c r="C78" s="10" t="s">
        <v>291</v>
      </c>
      <c r="D78" s="56" t="s">
        <v>292</v>
      </c>
      <c r="E78" s="10" t="s">
        <v>71</v>
      </c>
      <c r="F78" s="10" t="s">
        <v>293</v>
      </c>
      <c r="G78" s="10" t="s">
        <v>294</v>
      </c>
      <c r="H78" s="10" t="s">
        <v>55</v>
      </c>
      <c r="J78" s="10" t="s">
        <v>295</v>
      </c>
      <c r="K78" s="10" t="s">
        <v>42</v>
      </c>
    </row>
    <row r="79" ht="15.75" customHeight="1">
      <c r="A79" s="57">
        <v>45497.0</v>
      </c>
      <c r="B79" s="55" t="str">
        <f>HYPERLINK("https://jobright.ai/jobs/info/66a17a4d55f7339a6097395c?utm_campaign=1061&amp;utm_source=sheet", "Apply")</f>
        <v>Apply</v>
      </c>
      <c r="C79" s="10" t="s">
        <v>296</v>
      </c>
      <c r="D79" s="56" t="s">
        <v>297</v>
      </c>
      <c r="E79" s="10" t="s">
        <v>65</v>
      </c>
      <c r="F79" s="10" t="s">
        <v>298</v>
      </c>
      <c r="G79" s="10" t="s">
        <v>299</v>
      </c>
      <c r="H79" s="10" t="s">
        <v>48</v>
      </c>
      <c r="J79" s="10" t="s">
        <v>300</v>
      </c>
      <c r="K79" s="10" t="s">
        <v>42</v>
      </c>
    </row>
    <row r="80" ht="15.75" customHeight="1">
      <c r="A80" s="57">
        <v>45497.0</v>
      </c>
      <c r="B80" s="55" t="str">
        <f>HYPERLINK("https://jobright.ai/jobs/info/66a1436f59051cfbf53a7d96?utm_campaign=1061&amp;utm_source=sheet", "Apply")</f>
        <v>Apply</v>
      </c>
      <c r="C80" s="10" t="s">
        <v>236</v>
      </c>
      <c r="D80" s="56" t="s">
        <v>99</v>
      </c>
      <c r="E80" s="10" t="s">
        <v>45</v>
      </c>
      <c r="F80" s="10" t="s">
        <v>100</v>
      </c>
      <c r="G80" s="10" t="s">
        <v>232</v>
      </c>
      <c r="H80" s="10" t="s">
        <v>55</v>
      </c>
      <c r="J80" s="10" t="s">
        <v>118</v>
      </c>
      <c r="K80" s="10" t="s">
        <v>42</v>
      </c>
    </row>
    <row r="81" ht="15.75" customHeight="1">
      <c r="A81" s="57">
        <v>45497.0</v>
      </c>
      <c r="B81" s="55" t="str">
        <f>HYPERLINK("https://jobright.ai/jobs/info/66a16b525533323038bf986c?utm_campaign=1061&amp;utm_source=sheet", "Apply")</f>
        <v>Apply</v>
      </c>
      <c r="C81" s="10" t="s">
        <v>301</v>
      </c>
      <c r="D81" s="56" t="s">
        <v>302</v>
      </c>
      <c r="E81" s="10" t="s">
        <v>79</v>
      </c>
      <c r="F81" s="10" t="s">
        <v>303</v>
      </c>
      <c r="G81" s="10" t="s">
        <v>167</v>
      </c>
      <c r="H81" s="10" t="s">
        <v>55</v>
      </c>
      <c r="J81" s="10" t="s">
        <v>304</v>
      </c>
      <c r="K81" s="10" t="s">
        <v>42</v>
      </c>
    </row>
    <row r="82" ht="15.75" customHeight="1">
      <c r="A82" s="57">
        <v>45497.0</v>
      </c>
      <c r="B82" s="55" t="str">
        <f>HYPERLINK("https://jobright.ai/jobs/info/66a158172df1304dfae5db52?utm_campaign=1061&amp;utm_source=sheet", "Apply")</f>
        <v>Apply</v>
      </c>
      <c r="C82" s="10" t="s">
        <v>305</v>
      </c>
      <c r="D82" s="56" t="s">
        <v>99</v>
      </c>
      <c r="E82" s="10" t="s">
        <v>45</v>
      </c>
      <c r="F82" s="10" t="s">
        <v>100</v>
      </c>
      <c r="G82" s="10" t="s">
        <v>306</v>
      </c>
      <c r="H82" s="10" t="s">
        <v>55</v>
      </c>
      <c r="J82" s="10" t="s">
        <v>118</v>
      </c>
      <c r="K82" s="10" t="s">
        <v>42</v>
      </c>
    </row>
    <row r="83" ht="15.75" customHeight="1">
      <c r="A83" s="57">
        <v>45497.0</v>
      </c>
      <c r="B83" s="55" t="str">
        <f>HYPERLINK("https://jobright.ai/jobs/info/66a15e53433a543c0d4968b5?utm_campaign=1061&amp;utm_source=sheet", "Apply")</f>
        <v>Apply</v>
      </c>
      <c r="C83" s="10" t="s">
        <v>262</v>
      </c>
      <c r="D83" s="56" t="s">
        <v>263</v>
      </c>
      <c r="E83" s="10" t="s">
        <v>45</v>
      </c>
      <c r="F83" s="10" t="s">
        <v>264</v>
      </c>
      <c r="G83" s="10" t="s">
        <v>265</v>
      </c>
      <c r="H83" s="10" t="s">
        <v>55</v>
      </c>
      <c r="I83" s="10" t="s">
        <v>266</v>
      </c>
      <c r="J83" s="10" t="s">
        <v>267</v>
      </c>
      <c r="K83" s="10" t="s">
        <v>42</v>
      </c>
    </row>
    <row r="84" ht="15.75" customHeight="1">
      <c r="A84" s="57">
        <v>45497.0</v>
      </c>
      <c r="B84" s="55" t="str">
        <f>HYPERLINK("https://jobright.ai/jobs/info/66a3bb6a32bf53044bce663a?utm_campaign=1061&amp;utm_source=sheet", "Apply")</f>
        <v>Apply</v>
      </c>
      <c r="C84" s="10" t="s">
        <v>307</v>
      </c>
      <c r="D84" s="56" t="s">
        <v>308</v>
      </c>
      <c r="E84" s="10" t="s">
        <v>45</v>
      </c>
      <c r="F84" s="10" t="s">
        <v>239</v>
      </c>
      <c r="G84" s="10" t="s">
        <v>278</v>
      </c>
      <c r="H84" s="10" t="s">
        <v>55</v>
      </c>
      <c r="J84" s="10" t="s">
        <v>309</v>
      </c>
      <c r="K84" s="10" t="s">
        <v>42</v>
      </c>
    </row>
    <row r="85" ht="15.75" customHeight="1">
      <c r="A85" s="57">
        <v>45497.0</v>
      </c>
      <c r="B85" s="55" t="str">
        <f>HYPERLINK("https://jobright.ai/jobs/info/6675c8e93b408d33d5602fbf?utm_campaign=1061&amp;utm_source=sheet", "Apply")</f>
        <v>Apply</v>
      </c>
      <c r="C85" s="10" t="s">
        <v>310</v>
      </c>
      <c r="D85" s="56" t="s">
        <v>311</v>
      </c>
      <c r="E85" s="10" t="s">
        <v>45</v>
      </c>
      <c r="F85" s="10" t="s">
        <v>312</v>
      </c>
      <c r="G85" s="10" t="s">
        <v>313</v>
      </c>
      <c r="H85" s="10" t="s">
        <v>55</v>
      </c>
      <c r="I85" s="10" t="s">
        <v>314</v>
      </c>
      <c r="J85" s="10" t="s">
        <v>315</v>
      </c>
      <c r="K85" s="10" t="s">
        <v>42</v>
      </c>
    </row>
    <row r="86" ht="15.75" customHeight="1">
      <c r="A86" s="57">
        <v>45497.0</v>
      </c>
      <c r="B86" s="55" t="str">
        <f>HYPERLINK("https://jobright.ai/jobs/info/6663956d14a8f172c1ad1680?utm_campaign=1061&amp;utm_source=sheet", "Apply")</f>
        <v>Apply</v>
      </c>
      <c r="C86" s="10" t="s">
        <v>316</v>
      </c>
      <c r="D86" s="56" t="s">
        <v>317</v>
      </c>
      <c r="E86" s="10" t="s">
        <v>45</v>
      </c>
      <c r="F86" s="10" t="s">
        <v>318</v>
      </c>
      <c r="G86" s="10" t="s">
        <v>319</v>
      </c>
      <c r="H86" s="10" t="s">
        <v>55</v>
      </c>
      <c r="I86" s="10" t="s">
        <v>320</v>
      </c>
      <c r="J86" s="10" t="s">
        <v>321</v>
      </c>
      <c r="K86" s="10" t="s">
        <v>42</v>
      </c>
    </row>
    <row r="87" ht="15.75" customHeight="1">
      <c r="A87" s="57">
        <v>45497.0</v>
      </c>
      <c r="B87" s="55" t="str">
        <f>HYPERLINK("https://jobright.ai/jobs/info/66a0cfd1d7e669bd35191271?utm_campaign=1061&amp;utm_source=sheet", "Apply")</f>
        <v>Apply</v>
      </c>
      <c r="C87" s="10" t="s">
        <v>322</v>
      </c>
      <c r="D87" s="56" t="s">
        <v>172</v>
      </c>
      <c r="E87" s="10" t="s">
        <v>65</v>
      </c>
      <c r="F87" s="10" t="s">
        <v>173</v>
      </c>
      <c r="G87" s="10" t="s">
        <v>174</v>
      </c>
      <c r="H87" s="10" t="s">
        <v>55</v>
      </c>
      <c r="J87" s="10" t="s">
        <v>323</v>
      </c>
      <c r="K87" s="10" t="s">
        <v>42</v>
      </c>
    </row>
    <row r="88" ht="15.75" customHeight="1">
      <c r="A88" s="57">
        <v>45497.0</v>
      </c>
      <c r="B88" s="55" t="str">
        <f>HYPERLINK("https://jobright.ai/jobs/info/66a0cce29f5d6d5234aa353d?utm_campaign=1061&amp;utm_source=sheet", "Apply")</f>
        <v>Apply</v>
      </c>
      <c r="C88" s="10" t="s">
        <v>324</v>
      </c>
      <c r="D88" s="56" t="s">
        <v>325</v>
      </c>
      <c r="E88" s="10">
        <v>17752.0</v>
      </c>
      <c r="G88" s="10" t="s">
        <v>326</v>
      </c>
      <c r="H88" s="10" t="s">
        <v>55</v>
      </c>
      <c r="I88" s="10" t="s">
        <v>327</v>
      </c>
      <c r="J88" s="10" t="s">
        <v>328</v>
      </c>
      <c r="K88" s="10" t="s">
        <v>42</v>
      </c>
    </row>
    <row r="89" ht="15.75" customHeight="1">
      <c r="A89" s="57">
        <v>45497.0</v>
      </c>
      <c r="B89" s="55" t="str">
        <f>HYPERLINK("https://jobright.ai/jobs/info/66a191131ce58e679c9412cb?utm_campaign=1061&amp;utm_source=sheet", "Apply")</f>
        <v>Apply</v>
      </c>
      <c r="C89" s="10" t="s">
        <v>329</v>
      </c>
      <c r="D89" s="56" t="s">
        <v>330</v>
      </c>
      <c r="E89" s="10" t="s">
        <v>79</v>
      </c>
      <c r="F89" s="10" t="s">
        <v>331</v>
      </c>
      <c r="G89" s="10" t="s">
        <v>332</v>
      </c>
      <c r="H89" s="10" t="s">
        <v>48</v>
      </c>
      <c r="J89" s="10" t="s">
        <v>333</v>
      </c>
      <c r="K89" s="10" t="s">
        <v>42</v>
      </c>
    </row>
    <row r="90" ht="15.75" customHeight="1">
      <c r="A90" s="57">
        <v>45497.0</v>
      </c>
      <c r="B90" s="55" t="str">
        <f>HYPERLINK("https://jobright.ai/jobs/info/66a1666ef0a8c0435deb1a6a?utm_campaign=1061&amp;utm_source=sheet", "Apply")</f>
        <v>Apply</v>
      </c>
      <c r="C90" s="10" t="s">
        <v>268</v>
      </c>
      <c r="D90" s="56" t="s">
        <v>334</v>
      </c>
      <c r="E90" s="10" t="s">
        <v>137</v>
      </c>
      <c r="F90" s="10" t="s">
        <v>335</v>
      </c>
      <c r="G90" s="10" t="s">
        <v>336</v>
      </c>
      <c r="H90" s="10" t="s">
        <v>55</v>
      </c>
      <c r="J90" s="10" t="s">
        <v>272</v>
      </c>
      <c r="K90" s="10" t="s">
        <v>42</v>
      </c>
    </row>
    <row r="91" ht="15.75" customHeight="1">
      <c r="A91" s="57">
        <v>45496.0</v>
      </c>
      <c r="B91" s="55" t="str">
        <f>HYPERLINK("https://jobright.ai/jobs/info/66a030d29b0a284f5ea4b1e4?utm_campaign=1061&amp;utm_source=sheet", "Apply")</f>
        <v>Apply</v>
      </c>
      <c r="C91" s="10" t="s">
        <v>337</v>
      </c>
      <c r="D91" s="56" t="s">
        <v>338</v>
      </c>
      <c r="E91" s="10" t="s">
        <v>45</v>
      </c>
      <c r="F91" s="10" t="s">
        <v>339</v>
      </c>
      <c r="G91" s="10" t="s">
        <v>340</v>
      </c>
      <c r="H91" s="10" t="s">
        <v>55</v>
      </c>
      <c r="I91" s="10" t="s">
        <v>341</v>
      </c>
      <c r="J91" s="10" t="s">
        <v>342</v>
      </c>
      <c r="K91" s="10" t="s">
        <v>42</v>
      </c>
    </row>
    <row r="92" ht="15.75" customHeight="1">
      <c r="A92" s="57">
        <v>45496.0</v>
      </c>
      <c r="B92" s="55" t="str">
        <f>HYPERLINK("https://jobright.ai/jobs/info/66a0262647fb4c7f51a5c767?utm_campaign=1061&amp;utm_source=sheet", "Apply")</f>
        <v>Apply</v>
      </c>
      <c r="C92" s="10" t="s">
        <v>343</v>
      </c>
      <c r="D92" s="56" t="s">
        <v>344</v>
      </c>
      <c r="E92" s="10" t="s">
        <v>71</v>
      </c>
      <c r="F92" s="10" t="s">
        <v>345</v>
      </c>
      <c r="G92" s="10" t="s">
        <v>346</v>
      </c>
      <c r="H92" s="10" t="s">
        <v>55</v>
      </c>
      <c r="J92" s="10" t="s">
        <v>347</v>
      </c>
      <c r="K92" s="10" t="s">
        <v>42</v>
      </c>
    </row>
    <row r="93" ht="15.75" customHeight="1">
      <c r="A93" s="57">
        <v>45496.0</v>
      </c>
      <c r="B93" s="55" t="str">
        <f>HYPERLINK("https://jobright.ai/jobs/info/66a022ee46b8641105c98bc6?utm_campaign=1061&amp;utm_source=sheet", "Apply")</f>
        <v>Apply</v>
      </c>
      <c r="C93" s="10" t="s">
        <v>348</v>
      </c>
      <c r="D93" s="56" t="s">
        <v>349</v>
      </c>
      <c r="E93" s="10" t="s">
        <v>137</v>
      </c>
      <c r="F93" s="10" t="s">
        <v>350</v>
      </c>
      <c r="G93" s="10" t="s">
        <v>80</v>
      </c>
      <c r="H93" s="10" t="s">
        <v>55</v>
      </c>
      <c r="J93" s="10" t="s">
        <v>351</v>
      </c>
      <c r="K93" s="10" t="s">
        <v>42</v>
      </c>
    </row>
    <row r="94" ht="15.75" customHeight="1">
      <c r="A94" s="57">
        <v>45496.0</v>
      </c>
      <c r="B94" s="55" t="str">
        <f>HYPERLINK("https://jobright.ai/jobs/info/669ffc06412b679d59f3ebed?utm_campaign=1061&amp;utm_source=sheet", "Apply")</f>
        <v>Apply</v>
      </c>
      <c r="C94" s="10" t="s">
        <v>155</v>
      </c>
      <c r="D94" s="56" t="s">
        <v>352</v>
      </c>
      <c r="E94" s="10" t="s">
        <v>276</v>
      </c>
      <c r="F94" s="10" t="s">
        <v>353</v>
      </c>
      <c r="G94" s="10" t="s">
        <v>354</v>
      </c>
      <c r="H94" s="10" t="s">
        <v>48</v>
      </c>
      <c r="J94" s="10" t="s">
        <v>355</v>
      </c>
      <c r="K94" s="10" t="s">
        <v>42</v>
      </c>
    </row>
    <row r="95" ht="15.75" customHeight="1">
      <c r="A95" s="57">
        <v>45496.0</v>
      </c>
      <c r="B95" s="55" t="str">
        <f>HYPERLINK("https://jobright.ai/jobs/info/669ff383084bc2fa31e1a427?utm_campaign=1061&amp;utm_source=sheet", "Apply")</f>
        <v>Apply</v>
      </c>
      <c r="C95" s="10" t="s">
        <v>356</v>
      </c>
      <c r="D95" s="56" t="s">
        <v>357</v>
      </c>
      <c r="E95" s="10" t="s">
        <v>45</v>
      </c>
      <c r="F95" s="10" t="s">
        <v>358</v>
      </c>
      <c r="G95" s="10" t="s">
        <v>359</v>
      </c>
      <c r="H95" s="10" t="s">
        <v>55</v>
      </c>
      <c r="J95" s="10" t="s">
        <v>360</v>
      </c>
      <c r="K95" s="10" t="s">
        <v>42</v>
      </c>
    </row>
    <row r="96" ht="15.75" customHeight="1">
      <c r="A96" s="57">
        <v>45496.0</v>
      </c>
      <c r="B96" s="55" t="str">
        <f>HYPERLINK("https://jobright.ai/jobs/info/669fd44aa9a3841552b5a0f7?utm_campaign=1061&amp;utm_source=sheet", "Apply")</f>
        <v>Apply</v>
      </c>
      <c r="C96" s="10" t="s">
        <v>324</v>
      </c>
      <c r="D96" s="56" t="s">
        <v>325</v>
      </c>
      <c r="E96" s="10">
        <v>17752.0</v>
      </c>
      <c r="G96" s="10" t="s">
        <v>361</v>
      </c>
      <c r="H96" s="10" t="s">
        <v>55</v>
      </c>
      <c r="I96" s="10" t="s">
        <v>327</v>
      </c>
      <c r="J96" s="10" t="s">
        <v>328</v>
      </c>
      <c r="K96" s="10" t="s">
        <v>42</v>
      </c>
    </row>
    <row r="97" ht="15.75" customHeight="1">
      <c r="A97" s="57">
        <v>45496.0</v>
      </c>
      <c r="B97" s="55" t="str">
        <f>HYPERLINK("https://jobright.ai/jobs/info/669fde151c33ed13e0471a08?utm_campaign=1061&amp;utm_source=sheet", "Apply")</f>
        <v>Apply</v>
      </c>
      <c r="C97" s="10" t="s">
        <v>362</v>
      </c>
      <c r="D97" s="56" t="s">
        <v>363</v>
      </c>
      <c r="E97" s="10" t="s">
        <v>209</v>
      </c>
      <c r="F97" s="10" t="s">
        <v>364</v>
      </c>
      <c r="G97" s="10" t="s">
        <v>365</v>
      </c>
      <c r="H97" s="10" t="s">
        <v>48</v>
      </c>
      <c r="I97" s="10" t="s">
        <v>366</v>
      </c>
      <c r="J97" s="10" t="s">
        <v>367</v>
      </c>
      <c r="K97" s="10" t="s">
        <v>42</v>
      </c>
    </row>
    <row r="98" ht="15.75" customHeight="1">
      <c r="A98" s="57">
        <v>45496.0</v>
      </c>
      <c r="B98" s="55" t="str">
        <f>HYPERLINK("https://jobright.ai/jobs/info/669faf50777af561fd131064?utm_campaign=1061&amp;utm_source=sheet", "Apply")</f>
        <v>Apply</v>
      </c>
      <c r="C98" s="10" t="s">
        <v>368</v>
      </c>
      <c r="D98" s="56" t="s">
        <v>369</v>
      </c>
      <c r="E98" s="10" t="s">
        <v>249</v>
      </c>
      <c r="F98" s="10" t="s">
        <v>370</v>
      </c>
      <c r="G98" s="10" t="s">
        <v>371</v>
      </c>
      <c r="H98" s="10" t="s">
        <v>55</v>
      </c>
      <c r="J98" s="10" t="s">
        <v>372</v>
      </c>
      <c r="K98" s="10" t="s">
        <v>42</v>
      </c>
    </row>
    <row r="99" ht="15.75" customHeight="1">
      <c r="A99" s="57">
        <v>45496.0</v>
      </c>
      <c r="B99" s="55" t="str">
        <f>HYPERLINK("https://jobright.ai/jobs/info/669f8e2842004503e84ca870?utm_campaign=1061&amp;utm_source=sheet", "Apply")</f>
        <v>Apply</v>
      </c>
      <c r="C99" s="10" t="s">
        <v>373</v>
      </c>
      <c r="D99" s="56" t="s">
        <v>44</v>
      </c>
      <c r="E99" s="10" t="s">
        <v>45</v>
      </c>
      <c r="F99" s="10" t="s">
        <v>46</v>
      </c>
      <c r="G99" s="10" t="s">
        <v>374</v>
      </c>
      <c r="H99" s="10" t="s">
        <v>48</v>
      </c>
      <c r="I99" s="10" t="s">
        <v>375</v>
      </c>
      <c r="J99" s="10" t="s">
        <v>376</v>
      </c>
      <c r="K99" s="10" t="s">
        <v>42</v>
      </c>
    </row>
    <row r="100" ht="15.75" customHeight="1">
      <c r="A100" s="57">
        <v>45496.0</v>
      </c>
      <c r="B100" s="55" t="str">
        <f>HYPERLINK("https://jobright.ai/jobs/info/6663a6891fcd0b606a5b4f00?utm_campaign=1061&amp;utm_source=sheet", "Apply")</f>
        <v>Apply</v>
      </c>
      <c r="C100" s="10" t="s">
        <v>377</v>
      </c>
      <c r="D100" s="56" t="s">
        <v>317</v>
      </c>
      <c r="E100" s="10" t="s">
        <v>45</v>
      </c>
      <c r="F100" s="10" t="s">
        <v>318</v>
      </c>
      <c r="G100" s="10" t="s">
        <v>319</v>
      </c>
      <c r="H100" s="10" t="s">
        <v>55</v>
      </c>
      <c r="I100" s="10" t="s">
        <v>320</v>
      </c>
      <c r="J100" s="10" t="s">
        <v>378</v>
      </c>
      <c r="K100" s="10" t="s">
        <v>42</v>
      </c>
    </row>
    <row r="101" ht="15.75" customHeight="1">
      <c r="A101" s="57">
        <v>45496.0</v>
      </c>
      <c r="B101" s="55" t="str">
        <f>HYPERLINK("https://jobright.ai/jobs/info/6683ce13905cddad72d57145?utm_campaign=1061&amp;utm_source=sheet", "Apply")</f>
        <v>Apply</v>
      </c>
      <c r="C101" s="10" t="s">
        <v>379</v>
      </c>
      <c r="D101" s="56" t="s">
        <v>380</v>
      </c>
      <c r="E101" s="10" t="s">
        <v>45</v>
      </c>
      <c r="F101" s="10" t="s">
        <v>381</v>
      </c>
      <c r="G101" s="10" t="s">
        <v>382</v>
      </c>
      <c r="H101" s="10" t="s">
        <v>55</v>
      </c>
      <c r="J101" s="10" t="s">
        <v>383</v>
      </c>
      <c r="K101" s="10" t="s">
        <v>42</v>
      </c>
    </row>
    <row r="102" ht="15.75" customHeight="1">
      <c r="A102" s="57">
        <v>45496.0</v>
      </c>
      <c r="B102" s="55" t="str">
        <f>HYPERLINK("https://jobright.ai/jobs/info/668337deb5752eff96c799fd?utm_campaign=1061&amp;utm_source=sheet", "Apply")</f>
        <v>Apply</v>
      </c>
      <c r="C102" s="10" t="s">
        <v>384</v>
      </c>
      <c r="D102" s="56" t="s">
        <v>385</v>
      </c>
      <c r="E102" s="10" t="s">
        <v>45</v>
      </c>
      <c r="F102" s="10" t="s">
        <v>386</v>
      </c>
      <c r="G102" s="10" t="s">
        <v>387</v>
      </c>
      <c r="H102" s="10" t="s">
        <v>55</v>
      </c>
      <c r="I102" s="10" t="s">
        <v>388</v>
      </c>
      <c r="J102" s="10" t="s">
        <v>389</v>
      </c>
      <c r="K102" s="10" t="s">
        <v>42</v>
      </c>
    </row>
    <row r="103" ht="15.75" customHeight="1">
      <c r="A103" s="57">
        <v>45496.0</v>
      </c>
      <c r="B103" s="55" t="str">
        <f>HYPERLINK("https://jobright.ai/jobs/info/6683441e8264d4aa18e991aa?utm_campaign=1061&amp;utm_source=sheet", "Apply")</f>
        <v>Apply</v>
      </c>
      <c r="C103" s="10" t="s">
        <v>390</v>
      </c>
      <c r="D103" s="56" t="s">
        <v>385</v>
      </c>
      <c r="E103" s="10" t="s">
        <v>45</v>
      </c>
      <c r="F103" s="10" t="s">
        <v>386</v>
      </c>
      <c r="G103" s="10" t="s">
        <v>391</v>
      </c>
      <c r="H103" s="10" t="s">
        <v>55</v>
      </c>
      <c r="I103" s="10" t="s">
        <v>388</v>
      </c>
      <c r="J103" s="10" t="s">
        <v>392</v>
      </c>
      <c r="K103" s="10" t="s">
        <v>42</v>
      </c>
    </row>
    <row r="104" ht="15.75" customHeight="1">
      <c r="A104" s="57">
        <v>45496.0</v>
      </c>
      <c r="B104" s="55" t="str">
        <f>HYPERLINK("https://jobright.ai/jobs/info/6683820b329ab23a81165626?utm_campaign=1061&amp;utm_source=sheet", "Apply")</f>
        <v>Apply</v>
      </c>
      <c r="C104" s="10" t="s">
        <v>393</v>
      </c>
      <c r="D104" s="56" t="s">
        <v>394</v>
      </c>
      <c r="E104" s="10" t="s">
        <v>249</v>
      </c>
      <c r="F104" s="10" t="s">
        <v>395</v>
      </c>
      <c r="G104" s="10" t="s">
        <v>113</v>
      </c>
      <c r="H104" s="10" t="s">
        <v>55</v>
      </c>
      <c r="J104" s="10" t="s">
        <v>396</v>
      </c>
      <c r="K104" s="10" t="s">
        <v>42</v>
      </c>
    </row>
    <row r="105" ht="15.75" customHeight="1">
      <c r="A105" s="57">
        <v>45496.0</v>
      </c>
      <c r="B105" s="55" t="str">
        <f>HYPERLINK("https://jobright.ai/jobs/info/668394743852d4df8b5e8407?utm_campaign=1061&amp;utm_source=sheet", "Apply")</f>
        <v>Apply</v>
      </c>
      <c r="C105" s="10" t="s">
        <v>397</v>
      </c>
      <c r="D105" s="56" t="s">
        <v>394</v>
      </c>
      <c r="E105" s="10" t="s">
        <v>249</v>
      </c>
      <c r="F105" s="10" t="s">
        <v>395</v>
      </c>
      <c r="G105" s="10" t="s">
        <v>152</v>
      </c>
      <c r="H105" s="10" t="s">
        <v>55</v>
      </c>
      <c r="J105" s="10" t="s">
        <v>396</v>
      </c>
      <c r="K105" s="10" t="s">
        <v>42</v>
      </c>
    </row>
    <row r="106" ht="15.75" customHeight="1">
      <c r="A106" s="57">
        <v>45495.0</v>
      </c>
      <c r="B106" s="55" t="str">
        <f>HYPERLINK("https://jobright.ai/jobs/info/669ed7d4d1d9c7ae91aff9ed?utm_campaign=1061&amp;utm_source=sheet", "Apply")</f>
        <v>Apply</v>
      </c>
      <c r="C106" s="10" t="s">
        <v>398</v>
      </c>
      <c r="D106" s="56" t="s">
        <v>399</v>
      </c>
      <c r="E106" s="10" t="s">
        <v>137</v>
      </c>
      <c r="F106" s="10" t="s">
        <v>400</v>
      </c>
      <c r="G106" s="10" t="s">
        <v>313</v>
      </c>
      <c r="H106" s="10" t="s">
        <v>55</v>
      </c>
      <c r="J106" s="10" t="s">
        <v>401</v>
      </c>
      <c r="K106" s="10" t="s">
        <v>42</v>
      </c>
    </row>
    <row r="107" ht="15.75" customHeight="1">
      <c r="A107" s="57">
        <v>45495.0</v>
      </c>
      <c r="B107" s="55" t="str">
        <f>HYPERLINK("https://jobright.ai/jobs/info/669ee0576d37918f3bac84dd?utm_campaign=1061&amp;utm_source=sheet", "Apply")</f>
        <v>Apply</v>
      </c>
      <c r="C107" s="10" t="s">
        <v>402</v>
      </c>
      <c r="D107" s="56" t="s">
        <v>403</v>
      </c>
      <c r="E107" s="10" t="s">
        <v>249</v>
      </c>
      <c r="F107" s="10" t="s">
        <v>404</v>
      </c>
      <c r="G107" s="10" t="s">
        <v>405</v>
      </c>
      <c r="H107" s="10" t="s">
        <v>55</v>
      </c>
      <c r="I107" s="10" t="s">
        <v>406</v>
      </c>
      <c r="J107" s="10" t="s">
        <v>407</v>
      </c>
      <c r="K107" s="10" t="s">
        <v>42</v>
      </c>
    </row>
    <row r="108" ht="15.75" customHeight="1">
      <c r="A108" s="57">
        <v>45495.0</v>
      </c>
      <c r="B108" s="55" t="str">
        <f>HYPERLINK("https://jobright.ai/jobs/info/669eda75445b4140a485db4c?utm_campaign=1061&amp;utm_source=sheet", "Apply")</f>
        <v>Apply</v>
      </c>
      <c r="C108" s="10" t="s">
        <v>408</v>
      </c>
      <c r="D108" s="56" t="s">
        <v>409</v>
      </c>
      <c r="E108" s="10" t="s">
        <v>65</v>
      </c>
      <c r="F108" s="10" t="s">
        <v>410</v>
      </c>
      <c r="G108" s="10" t="s">
        <v>411</v>
      </c>
      <c r="H108" s="10" t="s">
        <v>55</v>
      </c>
      <c r="J108" s="10" t="s">
        <v>412</v>
      </c>
      <c r="K108" s="10" t="s">
        <v>42</v>
      </c>
    </row>
    <row r="109" ht="15.75" customHeight="1">
      <c r="A109" s="57">
        <v>45495.0</v>
      </c>
      <c r="B109" s="55" t="str">
        <f>HYPERLINK("https://jobright.ai/jobs/info/669e3b02b6e7272cb51848aa?utm_campaign=1061&amp;utm_source=sheet", "Apply")</f>
        <v>Apply</v>
      </c>
      <c r="C109" s="10" t="s">
        <v>413</v>
      </c>
      <c r="D109" s="56" t="s">
        <v>311</v>
      </c>
      <c r="E109" s="10" t="s">
        <v>45</v>
      </c>
      <c r="F109" s="10" t="s">
        <v>312</v>
      </c>
      <c r="G109" s="10" t="s">
        <v>313</v>
      </c>
      <c r="H109" s="10" t="s">
        <v>55</v>
      </c>
      <c r="I109" s="10" t="s">
        <v>414</v>
      </c>
      <c r="J109" s="10" t="s">
        <v>415</v>
      </c>
      <c r="K109" s="10" t="s">
        <v>42</v>
      </c>
    </row>
    <row r="110" ht="15.75" customHeight="1">
      <c r="A110" s="57">
        <v>45495.0</v>
      </c>
      <c r="B110" s="55" t="str">
        <f>HYPERLINK("https://jobright.ai/jobs/info/664851cfa0139c96ad0f1eef?utm_campaign=1061&amp;utm_source=sheet", "Apply")</f>
        <v>Apply</v>
      </c>
      <c r="C110" s="10" t="s">
        <v>416</v>
      </c>
      <c r="D110" s="56" t="s">
        <v>417</v>
      </c>
      <c r="E110" s="10" t="s">
        <v>65</v>
      </c>
      <c r="F110" s="10" t="s">
        <v>418</v>
      </c>
      <c r="G110" s="10" t="s">
        <v>419</v>
      </c>
      <c r="H110" s="10" t="s">
        <v>55</v>
      </c>
      <c r="I110" s="10" t="s">
        <v>420</v>
      </c>
      <c r="J110" s="10" t="s">
        <v>421</v>
      </c>
      <c r="K110" s="10" t="s">
        <v>42</v>
      </c>
    </row>
    <row r="111" ht="15.75" customHeight="1">
      <c r="A111" s="57">
        <v>45494.0</v>
      </c>
      <c r="B111" s="55" t="str">
        <f>HYPERLINK("https://jobright.ai/jobs/info/668fca9b144e48d2af2c534f?utm_campaign=1061&amp;utm_source=sheet", "Apply")</f>
        <v>Apply</v>
      </c>
      <c r="C111" s="10" t="s">
        <v>422</v>
      </c>
      <c r="D111" s="56" t="s">
        <v>311</v>
      </c>
      <c r="E111" s="10" t="s">
        <v>45</v>
      </c>
      <c r="F111" s="10" t="s">
        <v>312</v>
      </c>
      <c r="G111" s="10" t="s">
        <v>423</v>
      </c>
      <c r="H111" s="10" t="s">
        <v>55</v>
      </c>
      <c r="I111" s="10" t="s">
        <v>424</v>
      </c>
      <c r="J111" s="10" t="s">
        <v>425</v>
      </c>
      <c r="K111" s="10" t="s">
        <v>42</v>
      </c>
    </row>
    <row r="112" ht="15.75" customHeight="1">
      <c r="A112" s="57">
        <v>45494.0</v>
      </c>
      <c r="B112" s="55" t="str">
        <f>HYPERLINK("https://jobright.ai/jobs/info/6675a379a05c85bb25afa912?utm_campaign=1061&amp;utm_source=sheet", "Apply")</f>
        <v>Apply</v>
      </c>
      <c r="C112" s="10" t="s">
        <v>426</v>
      </c>
      <c r="D112" s="56" t="s">
        <v>427</v>
      </c>
      <c r="E112" s="10" t="s">
        <v>45</v>
      </c>
      <c r="F112" s="10" t="s">
        <v>428</v>
      </c>
      <c r="G112" s="10" t="s">
        <v>429</v>
      </c>
      <c r="H112" s="10" t="s">
        <v>55</v>
      </c>
      <c r="J112" s="10" t="s">
        <v>430</v>
      </c>
      <c r="K112" s="10" t="s">
        <v>42</v>
      </c>
    </row>
    <row r="113" ht="15.75" customHeight="1">
      <c r="A113" s="57">
        <v>45494.0</v>
      </c>
      <c r="B113" s="55" t="str">
        <f>HYPERLINK("https://jobright.ai/jobs/info/66801556000beb33b40a4548?utm_campaign=1061&amp;utm_source=sheet", "Apply")</f>
        <v>Apply</v>
      </c>
      <c r="C113" s="10" t="s">
        <v>431</v>
      </c>
      <c r="D113" s="56" t="s">
        <v>427</v>
      </c>
      <c r="E113" s="10" t="s">
        <v>45</v>
      </c>
      <c r="F113" s="10" t="s">
        <v>428</v>
      </c>
      <c r="G113" s="10" t="s">
        <v>429</v>
      </c>
      <c r="H113" s="10" t="s">
        <v>55</v>
      </c>
      <c r="J113" s="10" t="s">
        <v>432</v>
      </c>
      <c r="K113" s="10" t="s">
        <v>42</v>
      </c>
    </row>
    <row r="114" ht="15.75" customHeight="1">
      <c r="A114" s="57">
        <v>45494.0</v>
      </c>
      <c r="B114" s="55" t="str">
        <f>HYPERLINK("https://jobright.ai/jobs/info/667ff4d0a01eb282dbd00119?utm_campaign=1061&amp;utm_source=sheet", "Apply")</f>
        <v>Apply</v>
      </c>
      <c r="C114" s="10" t="s">
        <v>433</v>
      </c>
      <c r="D114" s="56" t="s">
        <v>52</v>
      </c>
      <c r="E114" s="10" t="s">
        <v>45</v>
      </c>
      <c r="F114" s="10" t="s">
        <v>53</v>
      </c>
      <c r="G114" s="10" t="s">
        <v>434</v>
      </c>
      <c r="H114" s="10" t="s">
        <v>55</v>
      </c>
      <c r="I114" s="10" t="s">
        <v>435</v>
      </c>
      <c r="J114" s="10" t="s">
        <v>436</v>
      </c>
      <c r="K114" s="10" t="s">
        <v>42</v>
      </c>
    </row>
    <row r="115" ht="15.75" customHeight="1">
      <c r="A115" s="57">
        <v>45494.0</v>
      </c>
      <c r="B115" s="55" t="str">
        <f>HYPERLINK("https://jobright.ai/jobs/info/66759f9686a9490f868bb21c?utm_campaign=1061&amp;utm_source=sheet", "Apply")</f>
        <v>Apply</v>
      </c>
      <c r="C115" s="10" t="s">
        <v>437</v>
      </c>
      <c r="D115" s="56" t="s">
        <v>427</v>
      </c>
      <c r="E115" s="10" t="s">
        <v>45</v>
      </c>
      <c r="F115" s="10" t="s">
        <v>428</v>
      </c>
      <c r="G115" s="10" t="s">
        <v>438</v>
      </c>
      <c r="H115" s="10" t="s">
        <v>55</v>
      </c>
      <c r="J115" s="10" t="s">
        <v>439</v>
      </c>
      <c r="K115" s="10" t="s">
        <v>42</v>
      </c>
    </row>
    <row r="116" ht="15.75" customHeight="1">
      <c r="A116" s="57">
        <v>45494.0</v>
      </c>
      <c r="B116" s="55" t="str">
        <f>HYPERLINK("https://jobright.ai/jobs/info/6680022a81383b3906b31a20?utm_campaign=1061&amp;utm_source=sheet", "Apply")</f>
        <v>Apply</v>
      </c>
      <c r="C116" s="10" t="s">
        <v>433</v>
      </c>
      <c r="D116" s="56" t="s">
        <v>52</v>
      </c>
      <c r="E116" s="10" t="s">
        <v>45</v>
      </c>
      <c r="F116" s="10" t="s">
        <v>53</v>
      </c>
      <c r="G116" s="10" t="s">
        <v>423</v>
      </c>
      <c r="H116" s="10" t="s">
        <v>55</v>
      </c>
      <c r="I116" s="10" t="s">
        <v>435</v>
      </c>
      <c r="J116" s="10" t="s">
        <v>436</v>
      </c>
      <c r="K116" s="10" t="s">
        <v>42</v>
      </c>
    </row>
    <row r="117" ht="15.75" customHeight="1">
      <c r="A117" s="57">
        <v>45494.0</v>
      </c>
      <c r="B117" s="55" t="str">
        <f>HYPERLINK("https://jobright.ai/jobs/info/6675dcecd40a616e23782c05?utm_campaign=1061&amp;utm_source=sheet", "Apply")</f>
        <v>Apply</v>
      </c>
      <c r="C117" s="10" t="s">
        <v>440</v>
      </c>
      <c r="D117" s="56" t="s">
        <v>427</v>
      </c>
      <c r="E117" s="10" t="s">
        <v>45</v>
      </c>
      <c r="F117" s="10" t="s">
        <v>428</v>
      </c>
      <c r="G117" s="10" t="s">
        <v>429</v>
      </c>
      <c r="H117" s="10" t="s">
        <v>55</v>
      </c>
      <c r="J117" s="10" t="s">
        <v>441</v>
      </c>
      <c r="K117" s="10" t="s">
        <v>42</v>
      </c>
    </row>
    <row r="118" ht="15.75" customHeight="1">
      <c r="A118" s="57">
        <v>45494.0</v>
      </c>
      <c r="B118" s="55" t="str">
        <f>HYPERLINK("https://jobright.ai/jobs/info/6680078dc14942d114014838?utm_campaign=1061&amp;utm_source=sheet", "Apply")</f>
        <v>Apply</v>
      </c>
      <c r="C118" s="10" t="s">
        <v>433</v>
      </c>
      <c r="D118" s="56" t="s">
        <v>52</v>
      </c>
      <c r="E118" s="10" t="s">
        <v>45</v>
      </c>
      <c r="F118" s="10" t="s">
        <v>53</v>
      </c>
      <c r="G118" s="10" t="s">
        <v>442</v>
      </c>
      <c r="H118" s="10" t="s">
        <v>55</v>
      </c>
      <c r="I118" s="10" t="s">
        <v>435</v>
      </c>
      <c r="J118" s="10" t="s">
        <v>436</v>
      </c>
      <c r="K118" s="10" t="s">
        <v>42</v>
      </c>
    </row>
    <row r="119" ht="15.75" customHeight="1">
      <c r="A119" s="57">
        <v>45494.0</v>
      </c>
      <c r="B119" s="55" t="str">
        <f>HYPERLINK("https://jobright.ai/jobs/info/667ffc12a319fbf7beedcde9?utm_campaign=1061&amp;utm_source=sheet", "Apply")</f>
        <v>Apply</v>
      </c>
      <c r="C119" s="10" t="s">
        <v>433</v>
      </c>
      <c r="D119" s="56" t="s">
        <v>52</v>
      </c>
      <c r="E119" s="10" t="s">
        <v>45</v>
      </c>
      <c r="F119" s="10" t="s">
        <v>53</v>
      </c>
      <c r="G119" s="10" t="s">
        <v>47</v>
      </c>
      <c r="H119" s="10" t="s">
        <v>55</v>
      </c>
      <c r="I119" s="10" t="s">
        <v>435</v>
      </c>
      <c r="J119" s="10" t="s">
        <v>436</v>
      </c>
      <c r="K119" s="10" t="s">
        <v>42</v>
      </c>
    </row>
    <row r="120" ht="15.75" customHeight="1">
      <c r="A120" s="57">
        <v>45493.0</v>
      </c>
      <c r="B120" s="55" t="str">
        <f>HYPERLINK("https://jobright.ai/jobs/info/669c446d7b9259a67122f15f?utm_campaign=1061&amp;utm_source=sheet", "Apply")</f>
        <v>Apply</v>
      </c>
      <c r="C120" s="10" t="s">
        <v>443</v>
      </c>
      <c r="D120" s="56" t="s">
        <v>444</v>
      </c>
      <c r="E120" s="10" t="s">
        <v>137</v>
      </c>
      <c r="F120" s="10" t="s">
        <v>445</v>
      </c>
      <c r="G120" s="10" t="s">
        <v>446</v>
      </c>
      <c r="H120" s="10" t="s">
        <v>55</v>
      </c>
      <c r="J120" s="10" t="s">
        <v>447</v>
      </c>
      <c r="K120" s="10" t="s">
        <v>42</v>
      </c>
    </row>
    <row r="121" ht="15.75" customHeight="1">
      <c r="A121" s="57">
        <v>45493.0</v>
      </c>
      <c r="B121" s="55" t="str">
        <f>HYPERLINK("https://jobright.ai/jobs/info/669baa96d2272de10a557170?utm_campaign=1061&amp;utm_source=sheet", "Apply")</f>
        <v>Apply</v>
      </c>
      <c r="C121" s="10" t="s">
        <v>448</v>
      </c>
      <c r="D121" s="56" t="s">
        <v>449</v>
      </c>
      <c r="E121" s="10" t="s">
        <v>65</v>
      </c>
      <c r="F121" s="10" t="s">
        <v>450</v>
      </c>
      <c r="G121" s="10" t="s">
        <v>153</v>
      </c>
      <c r="H121" s="10" t="s">
        <v>55</v>
      </c>
      <c r="J121" s="10" t="s">
        <v>451</v>
      </c>
      <c r="K121" s="10" t="s">
        <v>42</v>
      </c>
    </row>
    <row r="122" ht="15.75" customHeight="1">
      <c r="A122" s="57">
        <v>45493.0</v>
      </c>
      <c r="B122" s="55" t="str">
        <f>HYPERLINK("https://jobright.ai/jobs/info/669a4987d0f33072afe0ea77?utm_campaign=1061&amp;utm_source=sheet", "Apply")</f>
        <v>Apply</v>
      </c>
      <c r="C122" s="10" t="s">
        <v>452</v>
      </c>
      <c r="D122" s="56" t="s">
        <v>311</v>
      </c>
      <c r="E122" s="10" t="s">
        <v>45</v>
      </c>
      <c r="F122" s="10" t="s">
        <v>312</v>
      </c>
      <c r="G122" s="10" t="s">
        <v>313</v>
      </c>
      <c r="H122" s="10" t="s">
        <v>55</v>
      </c>
      <c r="I122" s="10" t="s">
        <v>414</v>
      </c>
      <c r="J122" s="10" t="s">
        <v>453</v>
      </c>
      <c r="K122" s="10" t="s">
        <v>42</v>
      </c>
    </row>
    <row r="123" ht="15.75" customHeight="1">
      <c r="A123" s="57">
        <v>45492.0</v>
      </c>
      <c r="B123" s="55" t="str">
        <f>HYPERLINK("https://jobright.ai/jobs/info/669b175337bc299532c0fdf5?utm_campaign=1061&amp;utm_source=sheet", "Apply")</f>
        <v>Apply</v>
      </c>
      <c r="C123" s="10" t="s">
        <v>454</v>
      </c>
      <c r="D123" s="56" t="s">
        <v>284</v>
      </c>
      <c r="E123" s="10" t="s">
        <v>45</v>
      </c>
      <c r="F123" s="10" t="s">
        <v>285</v>
      </c>
      <c r="G123" s="10" t="s">
        <v>229</v>
      </c>
      <c r="H123" s="10" t="s">
        <v>55</v>
      </c>
      <c r="J123" s="10" t="s">
        <v>455</v>
      </c>
      <c r="K123" s="10" t="s">
        <v>42</v>
      </c>
    </row>
    <row r="124" ht="15.75" customHeight="1">
      <c r="A124" s="57">
        <v>45492.0</v>
      </c>
      <c r="B124" s="55" t="str">
        <f>HYPERLINK("https://jobright.ai/jobs/info/669b10f74c79b65882eec962?utm_campaign=1061&amp;utm_source=sheet", "Apply")</f>
        <v>Apply</v>
      </c>
      <c r="C124" s="10" t="s">
        <v>456</v>
      </c>
      <c r="D124" s="56" t="s">
        <v>311</v>
      </c>
      <c r="E124" s="10" t="s">
        <v>45</v>
      </c>
      <c r="F124" s="10" t="s">
        <v>312</v>
      </c>
      <c r="G124" s="10" t="s">
        <v>313</v>
      </c>
      <c r="H124" s="10" t="s">
        <v>55</v>
      </c>
      <c r="I124" s="10" t="s">
        <v>414</v>
      </c>
      <c r="J124" s="10" t="s">
        <v>457</v>
      </c>
      <c r="K124" s="10" t="s">
        <v>42</v>
      </c>
    </row>
    <row r="125" ht="15.75" customHeight="1">
      <c r="A125" s="57">
        <v>45492.0</v>
      </c>
      <c r="B125" s="55" t="str">
        <f>HYPERLINK("https://jobright.ai/jobs/info/669b007db0063fac6b3a4147?utm_campaign=1061&amp;utm_source=sheet", "Apply")</f>
        <v>Apply</v>
      </c>
      <c r="C125" s="10" t="s">
        <v>458</v>
      </c>
      <c r="D125" s="56" t="s">
        <v>311</v>
      </c>
      <c r="E125" s="10" t="s">
        <v>45</v>
      </c>
      <c r="F125" s="10" t="s">
        <v>312</v>
      </c>
      <c r="G125" s="10" t="s">
        <v>313</v>
      </c>
      <c r="H125" s="10" t="s">
        <v>55</v>
      </c>
      <c r="I125" s="10" t="s">
        <v>414</v>
      </c>
      <c r="J125" s="10" t="s">
        <v>459</v>
      </c>
      <c r="K125" s="10" t="s">
        <v>42</v>
      </c>
    </row>
    <row r="126" ht="15.75" customHeight="1">
      <c r="A126" s="57">
        <v>45492.0</v>
      </c>
      <c r="B126" s="55" t="str">
        <f>HYPERLINK("https://jobright.ai/jobs/info/669af9d444eb65333f442167?utm_campaign=1061&amp;utm_source=sheet", "Apply")</f>
        <v>Apply</v>
      </c>
      <c r="C126" s="10" t="s">
        <v>460</v>
      </c>
      <c r="D126" s="56" t="s">
        <v>311</v>
      </c>
      <c r="E126" s="10" t="s">
        <v>45</v>
      </c>
      <c r="F126" s="10" t="s">
        <v>312</v>
      </c>
      <c r="G126" s="10" t="s">
        <v>165</v>
      </c>
      <c r="H126" s="10" t="s">
        <v>55</v>
      </c>
      <c r="I126" s="10" t="s">
        <v>414</v>
      </c>
      <c r="J126" s="10" t="s">
        <v>461</v>
      </c>
      <c r="K126" s="10" t="s">
        <v>42</v>
      </c>
    </row>
    <row r="127" ht="15.75" customHeight="1">
      <c r="A127" s="57">
        <v>45492.0</v>
      </c>
      <c r="B127" s="55" t="str">
        <f>HYPERLINK("https://jobright.ai/jobs/info/669af485459d064d98ae2b16?utm_campaign=1061&amp;utm_source=sheet", "Apply")</f>
        <v>Apply</v>
      </c>
      <c r="C127" s="10" t="s">
        <v>462</v>
      </c>
      <c r="D127" s="56" t="s">
        <v>311</v>
      </c>
      <c r="E127" s="10" t="s">
        <v>45</v>
      </c>
      <c r="F127" s="10" t="s">
        <v>312</v>
      </c>
      <c r="G127" s="10" t="s">
        <v>313</v>
      </c>
      <c r="H127" s="10" t="s">
        <v>55</v>
      </c>
      <c r="I127" s="10" t="s">
        <v>414</v>
      </c>
      <c r="J127" s="10" t="s">
        <v>463</v>
      </c>
      <c r="K127" s="10" t="s">
        <v>42</v>
      </c>
    </row>
    <row r="128" ht="15.75" customHeight="1">
      <c r="A128" s="57">
        <v>45492.0</v>
      </c>
      <c r="B128" s="55" t="str">
        <f>HYPERLINK("https://jobright.ai/jobs/info/669af48e459d064d98ae2c17?utm_campaign=1061&amp;utm_source=sheet", "Apply")</f>
        <v>Apply</v>
      </c>
      <c r="C128" s="10" t="s">
        <v>464</v>
      </c>
      <c r="D128" s="56" t="s">
        <v>465</v>
      </c>
      <c r="E128" s="10" t="s">
        <v>137</v>
      </c>
      <c r="F128" s="10" t="s">
        <v>466</v>
      </c>
      <c r="G128" s="10" t="s">
        <v>201</v>
      </c>
      <c r="H128" s="10" t="s">
        <v>55</v>
      </c>
      <c r="I128" s="10" t="s">
        <v>467</v>
      </c>
      <c r="J128" s="10" t="s">
        <v>468</v>
      </c>
      <c r="K128" s="10" t="s">
        <v>42</v>
      </c>
    </row>
    <row r="129" ht="15.75" customHeight="1">
      <c r="A129" s="57">
        <v>45492.0</v>
      </c>
      <c r="B129" s="55" t="str">
        <f>HYPERLINK("https://jobright.ai/jobs/info/669af9e044eb65333f442224?utm_campaign=1061&amp;utm_source=sheet", "Apply")</f>
        <v>Apply</v>
      </c>
      <c r="C129" s="10" t="s">
        <v>469</v>
      </c>
      <c r="D129" s="56" t="s">
        <v>470</v>
      </c>
      <c r="E129" s="10" t="s">
        <v>45</v>
      </c>
      <c r="F129" s="10" t="s">
        <v>471</v>
      </c>
      <c r="G129" s="10" t="s">
        <v>472</v>
      </c>
      <c r="H129" s="10" t="s">
        <v>55</v>
      </c>
      <c r="I129" s="10" t="s">
        <v>473</v>
      </c>
      <c r="J129" s="10" t="s">
        <v>474</v>
      </c>
      <c r="K129" s="10" t="s">
        <v>42</v>
      </c>
    </row>
    <row r="130" ht="15.75" customHeight="1">
      <c r="A130" s="57">
        <v>45492.0</v>
      </c>
      <c r="B130" s="55" t="str">
        <f>HYPERLINK("https://jobright.ai/jobs/info/66a2547dc0e679b90829bf1b?utm_campaign=1061&amp;utm_source=sheet", "Apply")</f>
        <v>Apply</v>
      </c>
      <c r="C130" s="10" t="s">
        <v>475</v>
      </c>
      <c r="D130" s="56" t="s">
        <v>311</v>
      </c>
      <c r="E130" s="10" t="s">
        <v>45</v>
      </c>
      <c r="F130" s="10" t="s">
        <v>312</v>
      </c>
      <c r="G130" s="10" t="s">
        <v>313</v>
      </c>
      <c r="H130" s="10" t="s">
        <v>55</v>
      </c>
      <c r="I130" s="10" t="s">
        <v>414</v>
      </c>
      <c r="J130" s="10" t="s">
        <v>476</v>
      </c>
      <c r="K130" s="10" t="s">
        <v>42</v>
      </c>
    </row>
    <row r="131" ht="15.75" customHeight="1">
      <c r="A131" s="57">
        <v>45492.0</v>
      </c>
      <c r="B131" s="55" t="str">
        <f>HYPERLINK("https://jobright.ai/jobs/info/669bae8e9633f7360050565d?utm_campaign=1061&amp;utm_source=sheet", "Apply")</f>
        <v>Apply</v>
      </c>
      <c r="C131" s="10" t="s">
        <v>477</v>
      </c>
      <c r="D131" s="56" t="s">
        <v>478</v>
      </c>
      <c r="E131" s="10" t="s">
        <v>45</v>
      </c>
      <c r="F131" s="10" t="s">
        <v>479</v>
      </c>
      <c r="G131" s="10" t="s">
        <v>255</v>
      </c>
      <c r="H131" s="10" t="s">
        <v>55</v>
      </c>
      <c r="J131" s="10" t="s">
        <v>480</v>
      </c>
      <c r="K131" s="10" t="s">
        <v>42</v>
      </c>
    </row>
    <row r="132" ht="15.75" customHeight="1">
      <c r="A132" s="57">
        <v>45492.0</v>
      </c>
      <c r="B132" s="55" t="str">
        <f>HYPERLINK("https://jobright.ai/jobs/info/669bae8e9633f7360050565e?utm_campaign=1061&amp;utm_source=sheet", "Apply")</f>
        <v>Apply</v>
      </c>
      <c r="C132" s="10" t="s">
        <v>481</v>
      </c>
      <c r="D132" s="56" t="s">
        <v>478</v>
      </c>
      <c r="E132" s="10" t="s">
        <v>45</v>
      </c>
      <c r="F132" s="10" t="s">
        <v>479</v>
      </c>
      <c r="G132" s="10" t="s">
        <v>255</v>
      </c>
      <c r="H132" s="10" t="s">
        <v>55</v>
      </c>
      <c r="J132" s="10" t="s">
        <v>480</v>
      </c>
      <c r="K132" s="10" t="s">
        <v>42</v>
      </c>
    </row>
    <row r="133" ht="15.75" customHeight="1">
      <c r="A133" s="57">
        <v>45492.0</v>
      </c>
      <c r="B133" s="55" t="str">
        <f>HYPERLINK("https://jobright.ai/jobs/info/669a5a2035fab870f631eede?utm_campaign=1061&amp;utm_source=sheet", "Apply")</f>
        <v>Apply</v>
      </c>
      <c r="C133" s="10" t="s">
        <v>482</v>
      </c>
      <c r="D133" s="56" t="s">
        <v>311</v>
      </c>
      <c r="E133" s="10" t="s">
        <v>45</v>
      </c>
      <c r="F133" s="10" t="s">
        <v>312</v>
      </c>
      <c r="G133" s="10" t="s">
        <v>313</v>
      </c>
      <c r="H133" s="10" t="s">
        <v>55</v>
      </c>
      <c r="I133" s="10" t="s">
        <v>414</v>
      </c>
      <c r="J133" s="10" t="s">
        <v>483</v>
      </c>
      <c r="K133" s="10" t="s">
        <v>42</v>
      </c>
    </row>
    <row r="134" ht="15.75" customHeight="1">
      <c r="A134" s="57">
        <v>45492.0</v>
      </c>
      <c r="B134" s="55" t="str">
        <f>HYPERLINK("https://jobright.ai/jobs/info/669a5e1e6b08a5b9f5cc3bc4?utm_campaign=1061&amp;utm_source=sheet", "Apply")</f>
        <v>Apply</v>
      </c>
      <c r="C134" s="10" t="s">
        <v>484</v>
      </c>
      <c r="D134" s="56" t="s">
        <v>485</v>
      </c>
      <c r="E134" s="10" t="s">
        <v>137</v>
      </c>
      <c r="F134" s="10" t="s">
        <v>486</v>
      </c>
      <c r="G134" s="10" t="s">
        <v>487</v>
      </c>
      <c r="H134" s="10" t="s">
        <v>55</v>
      </c>
      <c r="J134" s="10" t="s">
        <v>488</v>
      </c>
      <c r="K134" s="10" t="s">
        <v>42</v>
      </c>
    </row>
    <row r="135" ht="15.75" customHeight="1">
      <c r="A135" s="57">
        <v>45492.0</v>
      </c>
      <c r="B135" s="55" t="str">
        <f>HYPERLINK("https://jobright.ai/jobs/info/669a5a2035fab870f631eecb?utm_campaign=1061&amp;utm_source=sheet", "Apply")</f>
        <v>Apply</v>
      </c>
      <c r="C135" s="10" t="s">
        <v>489</v>
      </c>
      <c r="D135" s="56" t="s">
        <v>311</v>
      </c>
      <c r="E135" s="10" t="s">
        <v>45</v>
      </c>
      <c r="F135" s="10" t="s">
        <v>312</v>
      </c>
      <c r="G135" s="10" t="s">
        <v>313</v>
      </c>
      <c r="H135" s="10" t="s">
        <v>55</v>
      </c>
      <c r="I135" s="10" t="s">
        <v>414</v>
      </c>
      <c r="J135" s="10" t="s">
        <v>490</v>
      </c>
      <c r="K135" s="10" t="s">
        <v>42</v>
      </c>
    </row>
    <row r="136" ht="15.75" customHeight="1">
      <c r="A136" s="57">
        <v>45492.0</v>
      </c>
      <c r="B136" s="55" t="str">
        <f>HYPERLINK("https://jobright.ai/jobs/info/669a5a2035fab870f631eea5?utm_campaign=1061&amp;utm_source=sheet", "Apply")</f>
        <v>Apply</v>
      </c>
      <c r="C136" s="10" t="s">
        <v>491</v>
      </c>
      <c r="D136" s="56" t="s">
        <v>311</v>
      </c>
      <c r="E136" s="10" t="s">
        <v>45</v>
      </c>
      <c r="F136" s="10" t="s">
        <v>312</v>
      </c>
      <c r="G136" s="10" t="s">
        <v>313</v>
      </c>
      <c r="H136" s="10" t="s">
        <v>55</v>
      </c>
      <c r="I136" s="10" t="s">
        <v>414</v>
      </c>
      <c r="J136" s="10" t="s">
        <v>492</v>
      </c>
      <c r="K136" s="10" t="s">
        <v>42</v>
      </c>
    </row>
    <row r="137" ht="15.75" customHeight="1">
      <c r="A137" s="57">
        <v>45492.0</v>
      </c>
      <c r="B137" s="55" t="str">
        <f>HYPERLINK("https://jobright.ai/jobs/info/669a723445221f8f51f7981b?utm_campaign=1061&amp;utm_source=sheet", "Apply")</f>
        <v>Apply</v>
      </c>
      <c r="C137" s="10" t="s">
        <v>493</v>
      </c>
      <c r="D137" s="56" t="s">
        <v>311</v>
      </c>
      <c r="E137" s="10" t="s">
        <v>45</v>
      </c>
      <c r="F137" s="10" t="s">
        <v>312</v>
      </c>
      <c r="G137" s="10" t="s">
        <v>313</v>
      </c>
      <c r="H137" s="10" t="s">
        <v>55</v>
      </c>
      <c r="I137" s="10" t="s">
        <v>414</v>
      </c>
      <c r="J137" s="10" t="s">
        <v>494</v>
      </c>
      <c r="K137" s="10" t="s">
        <v>42</v>
      </c>
    </row>
    <row r="138" ht="15.75" customHeight="1">
      <c r="A138" s="57">
        <v>45492.0</v>
      </c>
      <c r="B138" s="55" t="str">
        <f>HYPERLINK("https://jobright.ai/jobs/info/669a642ed4601ff3f5f0c21a?utm_campaign=1061&amp;utm_source=sheet", "Apply")</f>
        <v>Apply</v>
      </c>
      <c r="C138" s="10" t="s">
        <v>495</v>
      </c>
      <c r="D138" s="56" t="s">
        <v>311</v>
      </c>
      <c r="E138" s="10" t="s">
        <v>45</v>
      </c>
      <c r="F138" s="10" t="s">
        <v>312</v>
      </c>
      <c r="G138" s="10" t="s">
        <v>313</v>
      </c>
      <c r="H138" s="10" t="s">
        <v>55</v>
      </c>
      <c r="I138" s="10" t="s">
        <v>414</v>
      </c>
      <c r="J138" s="10" t="s">
        <v>496</v>
      </c>
      <c r="K138" s="10" t="s">
        <v>42</v>
      </c>
    </row>
    <row r="139" ht="15.75" customHeight="1">
      <c r="A139" s="57">
        <v>45492.0</v>
      </c>
      <c r="B139" s="55" t="str">
        <f>HYPERLINK("https://jobright.ai/jobs/info/669a53b48397db306a1a28cb?utm_campaign=1061&amp;utm_source=sheet", "Apply")</f>
        <v>Apply</v>
      </c>
      <c r="C139" s="10" t="s">
        <v>497</v>
      </c>
      <c r="D139" s="56" t="s">
        <v>311</v>
      </c>
      <c r="E139" s="10" t="s">
        <v>45</v>
      </c>
      <c r="F139" s="10" t="s">
        <v>312</v>
      </c>
      <c r="G139" s="10" t="s">
        <v>165</v>
      </c>
      <c r="H139" s="10" t="s">
        <v>55</v>
      </c>
      <c r="I139" s="10" t="s">
        <v>414</v>
      </c>
      <c r="J139" s="10" t="s">
        <v>498</v>
      </c>
      <c r="K139" s="10" t="s">
        <v>42</v>
      </c>
    </row>
    <row r="140" ht="15.75" customHeight="1">
      <c r="A140" s="57">
        <v>45492.0</v>
      </c>
      <c r="B140" s="55" t="str">
        <f>HYPERLINK("https://jobright.ai/jobs/info/669a4f872885e142e98de917?utm_campaign=1061&amp;utm_source=sheet", "Apply")</f>
        <v>Apply</v>
      </c>
      <c r="C140" s="10" t="s">
        <v>499</v>
      </c>
      <c r="D140" s="56" t="s">
        <v>311</v>
      </c>
      <c r="E140" s="10" t="s">
        <v>45</v>
      </c>
      <c r="F140" s="10" t="s">
        <v>312</v>
      </c>
      <c r="G140" s="10" t="s">
        <v>313</v>
      </c>
      <c r="H140" s="10" t="s">
        <v>55</v>
      </c>
      <c r="I140" s="10" t="s">
        <v>500</v>
      </c>
      <c r="J140" s="10" t="s">
        <v>501</v>
      </c>
      <c r="K140" s="10" t="s">
        <v>42</v>
      </c>
    </row>
    <row r="141" ht="15.75" customHeight="1">
      <c r="A141" s="54">
        <v>45492.0</v>
      </c>
      <c r="B141" s="55" t="str">
        <f>HYPERLINK("https://jobright.ai/jobs/info/669a4987d0f33072afe0eaa6?utm_campaign=1061&amp;utm_source=sheet", "Apply")</f>
        <v>Apply</v>
      </c>
      <c r="C141" s="10" t="s">
        <v>502</v>
      </c>
      <c r="D141" s="56" t="s">
        <v>311</v>
      </c>
      <c r="E141" s="10" t="s">
        <v>45</v>
      </c>
      <c r="F141" s="10" t="s">
        <v>312</v>
      </c>
      <c r="G141" s="10" t="s">
        <v>165</v>
      </c>
      <c r="H141" s="10" t="s">
        <v>55</v>
      </c>
      <c r="I141" s="10" t="s">
        <v>414</v>
      </c>
      <c r="J141" s="10" t="s">
        <v>503</v>
      </c>
      <c r="K141" s="10" t="s">
        <v>42</v>
      </c>
    </row>
    <row r="142" ht="15.75" customHeight="1">
      <c r="A142" s="54">
        <v>45492.0</v>
      </c>
      <c r="B142" s="55" t="str">
        <f>HYPERLINK("https://jobright.ai/jobs/info/667d59eca148ea3de3173688?utm_campaign=1061&amp;utm_source=sheet", "Apply")</f>
        <v>Apply</v>
      </c>
      <c r="C142" s="10" t="s">
        <v>504</v>
      </c>
      <c r="D142" s="56" t="s">
        <v>385</v>
      </c>
      <c r="E142" s="10" t="s">
        <v>45</v>
      </c>
      <c r="F142" s="10" t="s">
        <v>386</v>
      </c>
      <c r="G142" s="10" t="s">
        <v>505</v>
      </c>
      <c r="H142" s="10" t="s">
        <v>55</v>
      </c>
      <c r="J142" s="10" t="s">
        <v>506</v>
      </c>
      <c r="K142" s="10" t="s">
        <v>42</v>
      </c>
    </row>
    <row r="143" ht="15.75" customHeight="1">
      <c r="A143" s="54">
        <v>45492.0</v>
      </c>
      <c r="B143" s="55" t="str">
        <f>HYPERLINK("https://jobright.ai/jobs/info/6677d2db97271e26801e354d?utm_campaign=1061&amp;utm_source=sheet", "Apply")</f>
        <v>Apply</v>
      </c>
      <c r="C143" s="10" t="s">
        <v>507</v>
      </c>
      <c r="D143" s="56" t="s">
        <v>508</v>
      </c>
      <c r="E143" s="10" t="s">
        <v>45</v>
      </c>
      <c r="F143" s="10" t="s">
        <v>46</v>
      </c>
      <c r="G143" s="10" t="s">
        <v>96</v>
      </c>
      <c r="H143" s="10" t="s">
        <v>55</v>
      </c>
      <c r="I143" s="10" t="s">
        <v>509</v>
      </c>
      <c r="J143" s="10" t="s">
        <v>510</v>
      </c>
      <c r="K143" s="10" t="s">
        <v>42</v>
      </c>
    </row>
    <row r="144" ht="15.75" customHeight="1">
      <c r="A144" s="54">
        <v>45492.0</v>
      </c>
      <c r="B144" s="55" t="str">
        <f>HYPERLINK("https://jobright.ai/jobs/info/669b058f67c71833656b74cd?utm_campaign=1061&amp;utm_source=sheet", "Apply")</f>
        <v>Apply</v>
      </c>
      <c r="C144" s="10" t="s">
        <v>362</v>
      </c>
      <c r="D144" s="56" t="s">
        <v>363</v>
      </c>
      <c r="E144" s="10" t="s">
        <v>209</v>
      </c>
      <c r="F144" s="10" t="s">
        <v>364</v>
      </c>
      <c r="G144" s="10" t="s">
        <v>511</v>
      </c>
      <c r="H144" s="10" t="s">
        <v>48</v>
      </c>
      <c r="I144" s="10" t="s">
        <v>366</v>
      </c>
      <c r="J144" s="10" t="s">
        <v>512</v>
      </c>
      <c r="K144" s="10" t="s">
        <v>42</v>
      </c>
    </row>
    <row r="145" ht="15.75" customHeight="1">
      <c r="A145" s="54">
        <v>45491.0</v>
      </c>
      <c r="B145" s="55" t="str">
        <f>HYPERLINK("https://jobright.ai/jobs/info/6699c9f7d447e7f36d24efb4?utm_campaign=1061&amp;utm_source=sheet", "Apply")</f>
        <v>Apply</v>
      </c>
      <c r="C145" s="10" t="s">
        <v>513</v>
      </c>
      <c r="D145" s="56" t="s">
        <v>514</v>
      </c>
      <c r="E145" s="10" t="s">
        <v>276</v>
      </c>
      <c r="F145" s="10" t="s">
        <v>515</v>
      </c>
      <c r="G145" s="10" t="s">
        <v>251</v>
      </c>
      <c r="H145" s="10" t="s">
        <v>252</v>
      </c>
      <c r="J145" s="10" t="s">
        <v>516</v>
      </c>
      <c r="K145" s="10" t="s">
        <v>42</v>
      </c>
    </row>
    <row r="146" ht="15.75" customHeight="1">
      <c r="A146" s="54">
        <v>45491.0</v>
      </c>
      <c r="B146" s="55" t="str">
        <f>HYPERLINK("https://jobright.ai/jobs/info/667d57f7aa63cf1b275d3059?utm_campaign=1061&amp;utm_source=sheet", "Apply")</f>
        <v>Apply</v>
      </c>
      <c r="C146" s="10" t="s">
        <v>517</v>
      </c>
      <c r="D146" s="56" t="s">
        <v>518</v>
      </c>
      <c r="E146" s="10" t="s">
        <v>249</v>
      </c>
      <c r="F146" s="10" t="s">
        <v>519</v>
      </c>
      <c r="G146" s="10" t="s">
        <v>520</v>
      </c>
      <c r="H146" s="10" t="s">
        <v>55</v>
      </c>
      <c r="I146" s="10" t="s">
        <v>521</v>
      </c>
      <c r="J146" s="10" t="s">
        <v>522</v>
      </c>
      <c r="K146" s="10" t="s">
        <v>42</v>
      </c>
    </row>
    <row r="147" ht="15.75" customHeight="1">
      <c r="A147" s="54">
        <v>45491.0</v>
      </c>
      <c r="B147" s="55" t="str">
        <f>HYPERLINK("https://jobright.ai/jobs/info/6699223210e3fec36b685aae?utm_campaign=1061&amp;utm_source=sheet", "Apply")</f>
        <v>Apply</v>
      </c>
      <c r="C147" s="10" t="s">
        <v>523</v>
      </c>
      <c r="D147" s="56" t="s">
        <v>524</v>
      </c>
      <c r="E147" s="10">
        <v>3.0</v>
      </c>
      <c r="G147" s="10" t="s">
        <v>525</v>
      </c>
      <c r="H147" s="10" t="s">
        <v>48</v>
      </c>
      <c r="J147" s="10" t="s">
        <v>526</v>
      </c>
      <c r="K147" s="10" t="s">
        <v>42</v>
      </c>
    </row>
    <row r="148" ht="15.75" customHeight="1">
      <c r="A148" s="54">
        <v>45491.0</v>
      </c>
      <c r="B148" s="55" t="str">
        <f>HYPERLINK("https://jobright.ai/jobs/info/66a24afb9a00a2533986ddbe?utm_campaign=1061&amp;utm_source=sheet", "Apply")</f>
        <v>Apply</v>
      </c>
      <c r="C148" s="10" t="s">
        <v>527</v>
      </c>
      <c r="D148" s="56" t="s">
        <v>528</v>
      </c>
      <c r="E148" s="10" t="s">
        <v>65</v>
      </c>
      <c r="F148" s="10" t="s">
        <v>529</v>
      </c>
      <c r="G148" s="10" t="s">
        <v>530</v>
      </c>
      <c r="H148" s="10" t="s">
        <v>55</v>
      </c>
      <c r="J148" s="10" t="s">
        <v>531</v>
      </c>
      <c r="K148" s="10" t="s">
        <v>42</v>
      </c>
    </row>
    <row r="149" ht="15.75" customHeight="1">
      <c r="A149" s="54">
        <v>45491.0</v>
      </c>
      <c r="B149" s="55" t="str">
        <f>HYPERLINK("https://jobright.ai/jobs/info/66a24289e1424323d8453247?utm_campaign=1061&amp;utm_source=sheet", "Apply")</f>
        <v>Apply</v>
      </c>
      <c r="C149" s="10" t="s">
        <v>532</v>
      </c>
      <c r="D149" s="56" t="s">
        <v>533</v>
      </c>
      <c r="E149" s="10" t="s">
        <v>209</v>
      </c>
      <c r="F149" s="10" t="s">
        <v>534</v>
      </c>
      <c r="G149" s="10" t="s">
        <v>313</v>
      </c>
      <c r="H149" s="10" t="s">
        <v>55</v>
      </c>
      <c r="I149" s="10" t="s">
        <v>535</v>
      </c>
      <c r="J149" s="10" t="s">
        <v>536</v>
      </c>
      <c r="K149" s="10" t="s">
        <v>42</v>
      </c>
    </row>
    <row r="150" ht="15.75" customHeight="1">
      <c r="A150" s="54">
        <v>45491.0</v>
      </c>
      <c r="B150" s="55" t="str">
        <f>HYPERLINK("https://jobright.ai/jobs/info/6625567b05135b90cc7ed2df?utm_campaign=1061&amp;utm_source=sheet", "Apply")</f>
        <v>Apply</v>
      </c>
      <c r="C150" s="10" t="s">
        <v>537</v>
      </c>
      <c r="D150" s="56" t="s">
        <v>538</v>
      </c>
      <c r="E150" s="10" t="s">
        <v>65</v>
      </c>
      <c r="F150" s="10" t="s">
        <v>539</v>
      </c>
      <c r="G150" s="10" t="s">
        <v>54</v>
      </c>
      <c r="H150" s="10" t="s">
        <v>55</v>
      </c>
      <c r="I150" s="10" t="s">
        <v>540</v>
      </c>
      <c r="J150" s="10" t="s">
        <v>541</v>
      </c>
      <c r="K150" s="10" t="s">
        <v>42</v>
      </c>
    </row>
    <row r="151" ht="15.75" customHeight="1">
      <c r="A151" s="54">
        <v>45491.0</v>
      </c>
      <c r="B151" s="55" t="str">
        <f>HYPERLINK("https://jobright.ai/jobs/info/6675e9dea266c24fd0a14d7d?utm_campaign=1061&amp;utm_source=sheet", "Apply")</f>
        <v>Apply</v>
      </c>
      <c r="C151" s="10" t="s">
        <v>542</v>
      </c>
      <c r="D151" s="56" t="s">
        <v>543</v>
      </c>
      <c r="E151" s="10" t="s">
        <v>65</v>
      </c>
      <c r="F151" s="10" t="s">
        <v>544</v>
      </c>
      <c r="G151" s="10" t="s">
        <v>218</v>
      </c>
      <c r="H151" s="10" t="s">
        <v>55</v>
      </c>
      <c r="I151" s="10" t="s">
        <v>545</v>
      </c>
      <c r="J151" s="10" t="s">
        <v>546</v>
      </c>
      <c r="K151" s="10" t="s">
        <v>42</v>
      </c>
    </row>
    <row r="152" ht="15.75" customHeight="1">
      <c r="A152" s="54">
        <v>45491.0</v>
      </c>
      <c r="B152" s="55" t="str">
        <f>HYPERLINK("https://jobright.ai/jobs/info/6698b727129c9fea5046803d?utm_campaign=1061&amp;utm_source=sheet", "Apply")</f>
        <v>Apply</v>
      </c>
      <c r="C152" s="10" t="s">
        <v>547</v>
      </c>
      <c r="D152" s="56" t="s">
        <v>311</v>
      </c>
      <c r="E152" s="10" t="s">
        <v>45</v>
      </c>
      <c r="F152" s="10" t="s">
        <v>312</v>
      </c>
      <c r="G152" s="10" t="s">
        <v>313</v>
      </c>
      <c r="H152" s="10" t="s">
        <v>55</v>
      </c>
      <c r="I152" s="10" t="s">
        <v>414</v>
      </c>
      <c r="J152" s="10" t="s">
        <v>548</v>
      </c>
      <c r="K152" s="10" t="s">
        <v>42</v>
      </c>
    </row>
    <row r="153" ht="15.75" customHeight="1">
      <c r="A153" s="54">
        <v>45491.0</v>
      </c>
      <c r="B153" s="55" t="str">
        <f>HYPERLINK("https://jobright.ai/jobs/info/668296482c48423eb58317bb?utm_campaign=1061&amp;utm_source=sheet", "Apply")</f>
        <v>Apply</v>
      </c>
      <c r="C153" s="10" t="s">
        <v>549</v>
      </c>
      <c r="D153" s="56" t="s">
        <v>550</v>
      </c>
      <c r="E153" s="10" t="s">
        <v>65</v>
      </c>
      <c r="F153" s="10" t="s">
        <v>250</v>
      </c>
      <c r="G153" s="10" t="s">
        <v>170</v>
      </c>
      <c r="H153" s="10" t="s">
        <v>48</v>
      </c>
      <c r="I153" s="10" t="s">
        <v>551</v>
      </c>
      <c r="J153" s="10" t="s">
        <v>552</v>
      </c>
      <c r="K153" s="10" t="s">
        <v>42</v>
      </c>
    </row>
    <row r="154" ht="15.75" customHeight="1">
      <c r="A154" s="54">
        <v>45491.0</v>
      </c>
      <c r="B154" s="55" t="str">
        <f>HYPERLINK("https://jobright.ai/jobs/info/6698ac76bf5b94e9fa2e54db?utm_campaign=1061&amp;utm_source=sheet", "Apply")</f>
        <v>Apply</v>
      </c>
      <c r="C154" s="10" t="s">
        <v>553</v>
      </c>
      <c r="D154" s="56" t="s">
        <v>311</v>
      </c>
      <c r="E154" s="10" t="s">
        <v>45</v>
      </c>
      <c r="F154" s="10" t="s">
        <v>312</v>
      </c>
      <c r="G154" s="10" t="s">
        <v>313</v>
      </c>
      <c r="H154" s="10" t="s">
        <v>55</v>
      </c>
      <c r="I154" s="10" t="s">
        <v>414</v>
      </c>
      <c r="J154" s="10" t="s">
        <v>548</v>
      </c>
      <c r="K154" s="10" t="s">
        <v>42</v>
      </c>
    </row>
    <row r="155" ht="15.75" customHeight="1">
      <c r="A155" s="54">
        <v>45491.0</v>
      </c>
      <c r="B155" s="55" t="str">
        <f>HYPERLINK("https://jobright.ai/jobs/info/6698a1bc55add7f45fc70d2d?utm_campaign=1061&amp;utm_source=sheet", "Apply")</f>
        <v>Apply</v>
      </c>
      <c r="C155" s="10" t="s">
        <v>554</v>
      </c>
      <c r="D155" s="56" t="s">
        <v>311</v>
      </c>
      <c r="E155" s="10" t="s">
        <v>45</v>
      </c>
      <c r="F155" s="10" t="s">
        <v>312</v>
      </c>
      <c r="G155" s="10" t="s">
        <v>313</v>
      </c>
      <c r="H155" s="10" t="s">
        <v>55</v>
      </c>
      <c r="I155" s="10" t="s">
        <v>414</v>
      </c>
      <c r="J155" s="10" t="s">
        <v>555</v>
      </c>
      <c r="K155" s="10" t="s">
        <v>42</v>
      </c>
    </row>
    <row r="156" ht="15.75" customHeight="1">
      <c r="A156" s="54">
        <v>45491.0</v>
      </c>
      <c r="B156" s="55" t="str">
        <f>HYPERLINK("https://jobright.ai/jobs/info/669653439ffce2bd7106e458?utm_campaign=1061&amp;utm_source=sheet", "Apply")</f>
        <v>Apply</v>
      </c>
      <c r="C156" s="10" t="s">
        <v>556</v>
      </c>
      <c r="D156" s="56" t="s">
        <v>311</v>
      </c>
      <c r="E156" s="10" t="s">
        <v>45</v>
      </c>
      <c r="F156" s="10" t="s">
        <v>312</v>
      </c>
      <c r="G156" s="10" t="s">
        <v>313</v>
      </c>
      <c r="H156" s="10" t="s">
        <v>55</v>
      </c>
      <c r="I156" s="10" t="s">
        <v>414</v>
      </c>
      <c r="J156" s="10" t="s">
        <v>557</v>
      </c>
      <c r="K156" s="10" t="s">
        <v>42</v>
      </c>
    </row>
    <row r="157" ht="15.75" customHeight="1">
      <c r="A157" s="54">
        <v>45491.0</v>
      </c>
      <c r="B157" s="55" t="str">
        <f>HYPERLINK("https://jobright.ai/jobs/info/66965b96c8ec64ebc8ed3dc0?utm_campaign=1061&amp;utm_source=sheet", "Apply")</f>
        <v>Apply</v>
      </c>
      <c r="C157" s="10" t="s">
        <v>558</v>
      </c>
      <c r="D157" s="56" t="s">
        <v>311</v>
      </c>
      <c r="E157" s="10" t="s">
        <v>45</v>
      </c>
      <c r="F157" s="10" t="s">
        <v>312</v>
      </c>
      <c r="G157" s="10" t="s">
        <v>313</v>
      </c>
      <c r="H157" s="10" t="s">
        <v>55</v>
      </c>
      <c r="I157" s="10" t="s">
        <v>414</v>
      </c>
      <c r="J157" s="10" t="s">
        <v>559</v>
      </c>
      <c r="K157" s="10" t="s">
        <v>42</v>
      </c>
    </row>
    <row r="158" ht="15.75" customHeight="1">
      <c r="A158" s="54">
        <v>45491.0</v>
      </c>
      <c r="B158" s="55" t="str">
        <f>HYPERLINK("https://jobright.ai/jobs/info/669662b554be5f07e0d861e4?utm_campaign=1061&amp;utm_source=sheet", "Apply")</f>
        <v>Apply</v>
      </c>
      <c r="C158" s="10" t="s">
        <v>560</v>
      </c>
      <c r="D158" s="56" t="s">
        <v>311</v>
      </c>
      <c r="E158" s="10" t="s">
        <v>45</v>
      </c>
      <c r="F158" s="10" t="s">
        <v>312</v>
      </c>
      <c r="G158" s="10" t="s">
        <v>313</v>
      </c>
      <c r="H158" s="10" t="s">
        <v>55</v>
      </c>
      <c r="I158" s="10" t="s">
        <v>414</v>
      </c>
      <c r="J158" s="10" t="s">
        <v>561</v>
      </c>
      <c r="K158" s="10" t="s">
        <v>42</v>
      </c>
    </row>
    <row r="159" ht="15.75" customHeight="1">
      <c r="A159" s="54">
        <v>45491.0</v>
      </c>
      <c r="B159" s="55" t="str">
        <f>HYPERLINK("https://jobright.ai/jobs/info/6699990b4663dabd47c849a8?utm_campaign=1061&amp;utm_source=sheet", "Apply")</f>
        <v>Apply</v>
      </c>
      <c r="C159" s="10" t="s">
        <v>562</v>
      </c>
      <c r="D159" s="56" t="s">
        <v>563</v>
      </c>
      <c r="E159" s="10" t="s">
        <v>249</v>
      </c>
      <c r="F159" s="10" t="s">
        <v>564</v>
      </c>
      <c r="G159" s="10" t="s">
        <v>387</v>
      </c>
      <c r="H159" s="10" t="s">
        <v>55</v>
      </c>
      <c r="J159" s="10" t="s">
        <v>565</v>
      </c>
      <c r="K159" s="10" t="s">
        <v>42</v>
      </c>
    </row>
    <row r="160" ht="15.75" customHeight="1">
      <c r="A160" s="54">
        <v>45490.0</v>
      </c>
      <c r="B160" s="55" t="str">
        <f>HYPERLINK("https://jobright.ai/jobs/info/66986617c5aa19a883627a87?utm_campaign=1061&amp;utm_source=sheet", "Apply")</f>
        <v>Apply</v>
      </c>
      <c r="C160" s="10" t="s">
        <v>566</v>
      </c>
      <c r="D160" s="56" t="s">
        <v>567</v>
      </c>
      <c r="E160" s="10" t="s">
        <v>65</v>
      </c>
      <c r="F160" s="10" t="s">
        <v>568</v>
      </c>
      <c r="G160" s="10" t="s">
        <v>153</v>
      </c>
      <c r="H160" s="10" t="s">
        <v>55</v>
      </c>
      <c r="J160" s="10" t="s">
        <v>569</v>
      </c>
      <c r="K160" s="10" t="s">
        <v>42</v>
      </c>
    </row>
    <row r="161" ht="15.75" customHeight="1">
      <c r="A161" s="54">
        <v>45490.0</v>
      </c>
      <c r="B161" s="55" t="str">
        <f>HYPERLINK("https://jobright.ai/jobs/info/669860f6cc1bbc4f0771572e?utm_campaign=1061&amp;utm_source=sheet", "Apply")</f>
        <v>Apply</v>
      </c>
      <c r="C161" s="10" t="s">
        <v>566</v>
      </c>
      <c r="D161" s="56" t="s">
        <v>567</v>
      </c>
      <c r="E161" s="10" t="s">
        <v>65</v>
      </c>
      <c r="F161" s="10" t="s">
        <v>568</v>
      </c>
      <c r="G161" s="10" t="s">
        <v>570</v>
      </c>
      <c r="H161" s="10" t="s">
        <v>55</v>
      </c>
      <c r="J161" s="10" t="s">
        <v>569</v>
      </c>
      <c r="K161" s="10" t="s">
        <v>42</v>
      </c>
    </row>
    <row r="162" ht="15.75" customHeight="1">
      <c r="A162" s="54">
        <v>45490.0</v>
      </c>
      <c r="B162" s="55" t="str">
        <f>HYPERLINK("https://jobright.ai/jobs/info/669860f6cc1bbc4f0771573f?utm_campaign=1061&amp;utm_source=sheet", "Apply")</f>
        <v>Apply</v>
      </c>
      <c r="C162" s="10" t="s">
        <v>566</v>
      </c>
      <c r="D162" s="56" t="s">
        <v>567</v>
      </c>
      <c r="E162" s="10" t="s">
        <v>65</v>
      </c>
      <c r="F162" s="10" t="s">
        <v>568</v>
      </c>
      <c r="G162" s="10" t="s">
        <v>571</v>
      </c>
      <c r="H162" s="10" t="s">
        <v>55</v>
      </c>
      <c r="J162" s="10" t="s">
        <v>569</v>
      </c>
      <c r="K162" s="10" t="s">
        <v>42</v>
      </c>
    </row>
    <row r="163" ht="15.75" customHeight="1">
      <c r="A163" s="54">
        <v>45490.0</v>
      </c>
      <c r="B163" s="55" t="str">
        <f>HYPERLINK("https://jobright.ai/jobs/info/669860f6cc1bbc4f0771573a?utm_campaign=1061&amp;utm_source=sheet", "Apply")</f>
        <v>Apply</v>
      </c>
      <c r="C163" s="10" t="s">
        <v>566</v>
      </c>
      <c r="D163" s="56" t="s">
        <v>567</v>
      </c>
      <c r="E163" s="10" t="s">
        <v>65</v>
      </c>
      <c r="F163" s="10" t="s">
        <v>568</v>
      </c>
      <c r="G163" s="10" t="s">
        <v>572</v>
      </c>
      <c r="H163" s="10" t="s">
        <v>55</v>
      </c>
      <c r="J163" s="10" t="s">
        <v>569</v>
      </c>
      <c r="K163" s="10" t="s">
        <v>42</v>
      </c>
    </row>
    <row r="164" ht="15.75" customHeight="1">
      <c r="A164" s="54">
        <v>45490.0</v>
      </c>
      <c r="B164" s="55" t="str">
        <f>HYPERLINK("https://jobright.ai/jobs/info/66985e5f48d5b075115a14b6?utm_campaign=1061&amp;utm_source=sheet", "Apply")</f>
        <v>Apply</v>
      </c>
      <c r="C164" s="10" t="s">
        <v>566</v>
      </c>
      <c r="D164" s="56" t="s">
        <v>567</v>
      </c>
      <c r="E164" s="10" t="s">
        <v>65</v>
      </c>
      <c r="F164" s="10" t="s">
        <v>568</v>
      </c>
      <c r="G164" s="10" t="s">
        <v>411</v>
      </c>
      <c r="H164" s="10" t="s">
        <v>55</v>
      </c>
      <c r="J164" s="10" t="s">
        <v>569</v>
      </c>
      <c r="K164" s="10" t="s">
        <v>42</v>
      </c>
    </row>
    <row r="165" ht="15.75" customHeight="1">
      <c r="A165" s="54">
        <v>45490.0</v>
      </c>
      <c r="B165" s="55" t="str">
        <f>HYPERLINK("https://jobright.ai/jobs/info/66984608c4b3f7d9c54b0fd0?utm_campaign=1061&amp;utm_source=sheet", "Apply")</f>
        <v>Apply</v>
      </c>
      <c r="C165" s="10" t="s">
        <v>566</v>
      </c>
      <c r="D165" s="56" t="s">
        <v>567</v>
      </c>
      <c r="E165" s="10" t="s">
        <v>65</v>
      </c>
      <c r="F165" s="10" t="s">
        <v>568</v>
      </c>
      <c r="G165" s="10" t="s">
        <v>573</v>
      </c>
      <c r="H165" s="10" t="s">
        <v>55</v>
      </c>
      <c r="J165" s="10" t="s">
        <v>569</v>
      </c>
      <c r="K165" s="10" t="s">
        <v>42</v>
      </c>
    </row>
    <row r="166" ht="15.75" customHeight="1">
      <c r="A166" s="54">
        <v>45490.0</v>
      </c>
      <c r="B166" s="55" t="str">
        <f>HYPERLINK("https://jobright.ai/jobs/info/66984623c4b3f7d9c54b1244?utm_campaign=1061&amp;utm_source=sheet", "Apply")</f>
        <v>Apply</v>
      </c>
      <c r="C166" s="10" t="s">
        <v>566</v>
      </c>
      <c r="D166" s="56" t="s">
        <v>567</v>
      </c>
      <c r="E166" s="10" t="s">
        <v>65</v>
      </c>
      <c r="F166" s="10" t="s">
        <v>568</v>
      </c>
      <c r="G166" s="10" t="s">
        <v>574</v>
      </c>
      <c r="H166" s="10" t="s">
        <v>55</v>
      </c>
      <c r="J166" s="10" t="s">
        <v>569</v>
      </c>
      <c r="K166" s="10" t="s">
        <v>42</v>
      </c>
    </row>
    <row r="167" ht="15.75" customHeight="1">
      <c r="A167" s="54">
        <v>45490.0</v>
      </c>
      <c r="B167" s="55" t="str">
        <f>HYPERLINK("https://jobright.ai/jobs/info/66984623c4b3f7d9c54b1246?utm_campaign=1061&amp;utm_source=sheet", "Apply")</f>
        <v>Apply</v>
      </c>
      <c r="C167" s="10" t="s">
        <v>566</v>
      </c>
      <c r="D167" s="56" t="s">
        <v>567</v>
      </c>
      <c r="E167" s="10" t="s">
        <v>65</v>
      </c>
      <c r="F167" s="10" t="s">
        <v>568</v>
      </c>
      <c r="G167" s="10" t="s">
        <v>575</v>
      </c>
      <c r="H167" s="10" t="s">
        <v>55</v>
      </c>
      <c r="J167" s="10" t="s">
        <v>569</v>
      </c>
      <c r="K167" s="10" t="s">
        <v>42</v>
      </c>
    </row>
    <row r="168" ht="15.75" customHeight="1">
      <c r="A168" s="54">
        <v>45490.0</v>
      </c>
      <c r="B168" s="55" t="str">
        <f>HYPERLINK("https://jobright.ai/jobs/info/66984623c4b3f7d9c54b1245?utm_campaign=1061&amp;utm_source=sheet", "Apply")</f>
        <v>Apply</v>
      </c>
      <c r="C168" s="10" t="s">
        <v>566</v>
      </c>
      <c r="D168" s="56" t="s">
        <v>567</v>
      </c>
      <c r="E168" s="10" t="s">
        <v>65</v>
      </c>
      <c r="F168" s="10" t="s">
        <v>568</v>
      </c>
      <c r="G168" s="10" t="s">
        <v>576</v>
      </c>
      <c r="H168" s="10" t="s">
        <v>55</v>
      </c>
      <c r="J168" s="10" t="s">
        <v>569</v>
      </c>
      <c r="K168" s="10" t="s">
        <v>42</v>
      </c>
    </row>
    <row r="169" ht="15.75" customHeight="1">
      <c r="A169" s="54">
        <v>45490.0</v>
      </c>
      <c r="B169" s="55" t="str">
        <f>HYPERLINK("https://jobright.ai/jobs/info/66a12f4776182c3da37c41bf?utm_campaign=1061&amp;utm_source=sheet", "Apply")</f>
        <v>Apply</v>
      </c>
      <c r="C169" s="10" t="s">
        <v>577</v>
      </c>
      <c r="D169" s="56" t="s">
        <v>533</v>
      </c>
      <c r="E169" s="10" t="s">
        <v>209</v>
      </c>
      <c r="F169" s="10" t="s">
        <v>534</v>
      </c>
      <c r="G169" s="10" t="s">
        <v>578</v>
      </c>
      <c r="H169" s="10" t="s">
        <v>55</v>
      </c>
      <c r="I169" s="10" t="s">
        <v>579</v>
      </c>
      <c r="J169" s="10" t="s">
        <v>536</v>
      </c>
      <c r="K169" s="10" t="s">
        <v>42</v>
      </c>
    </row>
    <row r="170" ht="15.75" customHeight="1">
      <c r="A170" s="54">
        <v>45490.0</v>
      </c>
      <c r="B170" s="55" t="str">
        <f>HYPERLINK("https://jobright.ai/jobs/info/6697e92bd3970db1b36daf58?utm_campaign=1061&amp;utm_source=sheet", "Apply")</f>
        <v>Apply</v>
      </c>
      <c r="C170" s="10" t="s">
        <v>155</v>
      </c>
      <c r="D170" s="56" t="s">
        <v>297</v>
      </c>
      <c r="E170" s="10" t="s">
        <v>65</v>
      </c>
      <c r="F170" s="10" t="s">
        <v>298</v>
      </c>
      <c r="G170" s="10" t="s">
        <v>580</v>
      </c>
      <c r="H170" s="10" t="s">
        <v>48</v>
      </c>
      <c r="I170" s="10" t="s">
        <v>581</v>
      </c>
      <c r="J170" s="10" t="s">
        <v>582</v>
      </c>
      <c r="K170" s="10" t="s">
        <v>42</v>
      </c>
    </row>
    <row r="171" ht="15.75" customHeight="1">
      <c r="A171" s="54">
        <v>45490.0</v>
      </c>
      <c r="B171" s="55" t="str">
        <f>HYPERLINK("https://jobright.ai/jobs/info/66a1244e952485abf9abece8?utm_campaign=1061&amp;utm_source=sheet", "Apply")</f>
        <v>Apply</v>
      </c>
      <c r="C171" s="10" t="s">
        <v>583</v>
      </c>
      <c r="D171" s="56" t="s">
        <v>533</v>
      </c>
      <c r="E171" s="10" t="s">
        <v>209</v>
      </c>
      <c r="F171" s="10" t="s">
        <v>534</v>
      </c>
      <c r="G171" s="10" t="s">
        <v>144</v>
      </c>
      <c r="H171" s="10" t="s">
        <v>55</v>
      </c>
      <c r="I171" s="10" t="s">
        <v>535</v>
      </c>
      <c r="J171" s="10" t="s">
        <v>536</v>
      </c>
      <c r="K171" s="10" t="s">
        <v>42</v>
      </c>
    </row>
    <row r="172" ht="15.75" customHeight="1">
      <c r="A172" s="54">
        <v>45490.0</v>
      </c>
      <c r="B172" s="55" t="str">
        <f>HYPERLINK("https://jobright.ai/jobs/info/669915be052c08ba6a91e0a8?utm_campaign=1061&amp;utm_source=sheet", "Apply")</f>
        <v>Apply</v>
      </c>
      <c r="C172" s="10" t="s">
        <v>584</v>
      </c>
      <c r="D172" s="56" t="s">
        <v>585</v>
      </c>
      <c r="E172" s="10" t="s">
        <v>45</v>
      </c>
      <c r="F172" s="10" t="s">
        <v>586</v>
      </c>
      <c r="G172" s="10" t="s">
        <v>587</v>
      </c>
      <c r="H172" s="10" t="s">
        <v>55</v>
      </c>
      <c r="J172" s="10" t="s">
        <v>588</v>
      </c>
      <c r="K172" s="10" t="s">
        <v>42</v>
      </c>
    </row>
    <row r="173" ht="15.75" customHeight="1">
      <c r="A173" s="54">
        <v>45490.0</v>
      </c>
      <c r="B173" s="55" t="str">
        <f>HYPERLINK("https://jobright.ai/jobs/info/669f9b016b4d6a584080fe49?utm_campaign=1061&amp;utm_source=sheet", "Apply")</f>
        <v>Apply</v>
      </c>
      <c r="C173" s="10" t="s">
        <v>589</v>
      </c>
      <c r="D173" s="56" t="s">
        <v>590</v>
      </c>
      <c r="E173" s="10" t="s">
        <v>45</v>
      </c>
      <c r="F173" s="10" t="s">
        <v>591</v>
      </c>
      <c r="G173" s="10" t="s">
        <v>592</v>
      </c>
      <c r="H173" s="10" t="s">
        <v>55</v>
      </c>
      <c r="J173" s="10" t="s">
        <v>593</v>
      </c>
      <c r="K173" s="10" t="s">
        <v>42</v>
      </c>
    </row>
    <row r="174" ht="15.75" customHeight="1">
      <c r="A174" s="54">
        <v>45490.0</v>
      </c>
      <c r="B174" s="55" t="str">
        <f>HYPERLINK("https://jobright.ai/jobs/info/6677dde2fbac42152a1473f6?utm_campaign=1061&amp;utm_source=sheet", "Apply")</f>
        <v>Apply</v>
      </c>
      <c r="C174" s="10" t="s">
        <v>594</v>
      </c>
      <c r="D174" s="56" t="s">
        <v>595</v>
      </c>
      <c r="E174" s="10" t="s">
        <v>209</v>
      </c>
      <c r="F174" s="10" t="s">
        <v>596</v>
      </c>
      <c r="G174" s="10" t="s">
        <v>255</v>
      </c>
      <c r="H174" s="10" t="s">
        <v>55</v>
      </c>
      <c r="J174" s="10" t="s">
        <v>597</v>
      </c>
      <c r="K174" s="10" t="s">
        <v>42</v>
      </c>
    </row>
    <row r="175" ht="15.75" customHeight="1">
      <c r="A175" s="54">
        <v>45490.0</v>
      </c>
      <c r="B175" s="55" t="str">
        <f>HYPERLINK("https://jobright.ai/jobs/info/665619043ac56718f6e8c3b5?utm_campaign=1061&amp;utm_source=sheet", "Apply")</f>
        <v>Apply</v>
      </c>
      <c r="C175" s="10" t="s">
        <v>594</v>
      </c>
      <c r="D175" s="56" t="s">
        <v>595</v>
      </c>
      <c r="E175" s="10" t="s">
        <v>209</v>
      </c>
      <c r="F175" s="10" t="s">
        <v>596</v>
      </c>
      <c r="G175" s="10" t="s">
        <v>598</v>
      </c>
      <c r="H175" s="10" t="s">
        <v>55</v>
      </c>
      <c r="J175" s="10" t="s">
        <v>597</v>
      </c>
      <c r="K175" s="10" t="s">
        <v>42</v>
      </c>
    </row>
    <row r="176" ht="15.75" customHeight="1">
      <c r="A176" s="54">
        <v>45490.0</v>
      </c>
      <c r="B176" s="55" t="str">
        <f>HYPERLINK("https://jobright.ai/jobs/info/667b41046c645d774025fba3?utm_campaign=1061&amp;utm_source=sheet", "Apply")</f>
        <v>Apply</v>
      </c>
      <c r="C176" s="10" t="s">
        <v>599</v>
      </c>
      <c r="D176" s="56" t="s">
        <v>204</v>
      </c>
      <c r="E176" s="10" t="s">
        <v>45</v>
      </c>
      <c r="F176" s="10" t="s">
        <v>205</v>
      </c>
      <c r="G176" s="10" t="s">
        <v>229</v>
      </c>
      <c r="H176" s="10" t="s">
        <v>48</v>
      </c>
      <c r="J176" s="10" t="s">
        <v>600</v>
      </c>
      <c r="K176" s="10" t="s">
        <v>42</v>
      </c>
    </row>
    <row r="177" ht="15.75" customHeight="1">
      <c r="A177" s="54">
        <v>45490.0</v>
      </c>
      <c r="B177" s="55" t="str">
        <f>HYPERLINK("https://jobright.ai/jobs/info/6696fe8dfa5297ff7b4b1160?utm_campaign=1061&amp;utm_source=sheet", "Apply")</f>
        <v>Apply</v>
      </c>
      <c r="C177" s="10" t="s">
        <v>601</v>
      </c>
      <c r="D177" s="56" t="s">
        <v>311</v>
      </c>
      <c r="E177" s="10" t="s">
        <v>45</v>
      </c>
      <c r="F177" s="10" t="s">
        <v>312</v>
      </c>
      <c r="G177" s="10" t="s">
        <v>313</v>
      </c>
      <c r="H177" s="10" t="s">
        <v>55</v>
      </c>
      <c r="I177" s="10" t="s">
        <v>414</v>
      </c>
      <c r="J177" s="10" t="s">
        <v>453</v>
      </c>
      <c r="K177" s="10" t="s">
        <v>42</v>
      </c>
    </row>
    <row r="178" ht="15.75" customHeight="1">
      <c r="A178" s="54">
        <v>45490.0</v>
      </c>
      <c r="B178" s="55" t="str">
        <f>HYPERLINK("https://jobright.ai/jobs/info/66984eee6ace611cbf3c79b5?utm_campaign=1061&amp;utm_source=sheet", "Apply")</f>
        <v>Apply</v>
      </c>
      <c r="C178" s="10" t="s">
        <v>566</v>
      </c>
      <c r="D178" s="56" t="s">
        <v>567</v>
      </c>
      <c r="E178" s="10" t="s">
        <v>65</v>
      </c>
      <c r="F178" s="10" t="s">
        <v>568</v>
      </c>
      <c r="G178" s="10" t="s">
        <v>602</v>
      </c>
      <c r="H178" s="10" t="s">
        <v>55</v>
      </c>
      <c r="J178" s="10" t="s">
        <v>569</v>
      </c>
      <c r="K178" s="10" t="s">
        <v>42</v>
      </c>
    </row>
    <row r="179" ht="15.75" customHeight="1">
      <c r="A179" s="54">
        <v>45490.0</v>
      </c>
      <c r="B179" s="55" t="str">
        <f>HYPERLINK("https://jobright.ai/jobs/info/66984eee6ace611cbf3c79b6?utm_campaign=1061&amp;utm_source=sheet", "Apply")</f>
        <v>Apply</v>
      </c>
      <c r="C179" s="10" t="s">
        <v>566</v>
      </c>
      <c r="D179" s="56" t="s">
        <v>567</v>
      </c>
      <c r="E179" s="10" t="s">
        <v>65</v>
      </c>
      <c r="F179" s="10" t="s">
        <v>568</v>
      </c>
      <c r="G179" s="10" t="s">
        <v>603</v>
      </c>
      <c r="H179" s="10" t="s">
        <v>55</v>
      </c>
      <c r="J179" s="10" t="s">
        <v>569</v>
      </c>
      <c r="K179" s="10" t="s">
        <v>42</v>
      </c>
    </row>
    <row r="180" ht="15.75" customHeight="1">
      <c r="A180" s="54">
        <v>45490.0</v>
      </c>
      <c r="B180" s="55" t="str">
        <f>HYPERLINK("https://jobright.ai/jobs/info/66984eee6ace611cbf3c79b9?utm_campaign=1061&amp;utm_source=sheet", "Apply")</f>
        <v>Apply</v>
      </c>
      <c r="C180" s="10" t="s">
        <v>566</v>
      </c>
      <c r="D180" s="56" t="s">
        <v>567</v>
      </c>
      <c r="E180" s="10" t="s">
        <v>65</v>
      </c>
      <c r="F180" s="10" t="s">
        <v>568</v>
      </c>
      <c r="G180" s="10" t="s">
        <v>604</v>
      </c>
      <c r="H180" s="10" t="s">
        <v>55</v>
      </c>
      <c r="J180" s="10" t="s">
        <v>569</v>
      </c>
      <c r="K180" s="10" t="s">
        <v>42</v>
      </c>
    </row>
    <row r="181" ht="15.75" customHeight="1">
      <c r="A181" s="54">
        <v>45490.0</v>
      </c>
      <c r="B181" s="55" t="str">
        <f>HYPERLINK("https://jobright.ai/jobs/info/66984eee6ace611cbf3c79b8?utm_campaign=1061&amp;utm_source=sheet", "Apply")</f>
        <v>Apply</v>
      </c>
      <c r="C181" s="10" t="s">
        <v>566</v>
      </c>
      <c r="D181" s="56" t="s">
        <v>567</v>
      </c>
      <c r="E181" s="10" t="s">
        <v>65</v>
      </c>
      <c r="F181" s="10" t="s">
        <v>568</v>
      </c>
      <c r="G181" s="10" t="s">
        <v>605</v>
      </c>
      <c r="H181" s="10" t="s">
        <v>55</v>
      </c>
      <c r="J181" s="10" t="s">
        <v>569</v>
      </c>
      <c r="K181" s="10" t="s">
        <v>42</v>
      </c>
    </row>
    <row r="182" ht="15.75" customHeight="1">
      <c r="A182" s="54">
        <v>45490.0</v>
      </c>
      <c r="B182" s="55" t="str">
        <f>HYPERLINK("https://jobright.ai/jobs/info/66985e5f48d5b075115a14fe?utm_campaign=1061&amp;utm_source=sheet", "Apply")</f>
        <v>Apply</v>
      </c>
      <c r="C182" s="10" t="s">
        <v>566</v>
      </c>
      <c r="D182" s="56" t="s">
        <v>567</v>
      </c>
      <c r="E182" s="10" t="s">
        <v>65</v>
      </c>
      <c r="F182" s="10" t="s">
        <v>568</v>
      </c>
      <c r="G182" s="10" t="s">
        <v>139</v>
      </c>
      <c r="H182" s="10" t="s">
        <v>55</v>
      </c>
      <c r="J182" s="10" t="s">
        <v>569</v>
      </c>
      <c r="K182" s="10" t="s">
        <v>42</v>
      </c>
    </row>
    <row r="183" ht="15.75" customHeight="1">
      <c r="A183" s="54">
        <v>45490.0</v>
      </c>
      <c r="B183" s="55" t="str">
        <f>HYPERLINK("https://jobright.ai/jobs/info/66985e5f48d5b075115a1500?utm_campaign=1061&amp;utm_source=sheet", "Apply")</f>
        <v>Apply</v>
      </c>
      <c r="C183" s="10" t="s">
        <v>566</v>
      </c>
      <c r="D183" s="56" t="s">
        <v>567</v>
      </c>
      <c r="E183" s="10" t="s">
        <v>65</v>
      </c>
      <c r="F183" s="10" t="s">
        <v>568</v>
      </c>
      <c r="G183" s="10" t="s">
        <v>606</v>
      </c>
      <c r="H183" s="10" t="s">
        <v>55</v>
      </c>
      <c r="J183" s="10" t="s">
        <v>569</v>
      </c>
      <c r="K183" s="10" t="s">
        <v>42</v>
      </c>
    </row>
    <row r="184" ht="15.75" customHeight="1">
      <c r="A184" s="54">
        <v>45490.0</v>
      </c>
      <c r="B184" s="55" t="str">
        <f>HYPERLINK("https://jobright.ai/jobs/info/66985e5f48d5b075115a14ff?utm_campaign=1061&amp;utm_source=sheet", "Apply")</f>
        <v>Apply</v>
      </c>
      <c r="C184" s="10" t="s">
        <v>566</v>
      </c>
      <c r="D184" s="56" t="s">
        <v>567</v>
      </c>
      <c r="E184" s="10" t="s">
        <v>65</v>
      </c>
      <c r="F184" s="10" t="s">
        <v>568</v>
      </c>
      <c r="G184" s="10" t="s">
        <v>607</v>
      </c>
      <c r="H184" s="10" t="s">
        <v>55</v>
      </c>
      <c r="J184" s="10" t="s">
        <v>569</v>
      </c>
      <c r="K184" s="10" t="s">
        <v>42</v>
      </c>
    </row>
    <row r="185" ht="15.75" customHeight="1">
      <c r="A185" s="54">
        <v>45490.0</v>
      </c>
      <c r="B185" s="55" t="str">
        <f>HYPERLINK("https://jobright.ai/jobs/info/66985e5f48d5b075115a1501?utm_campaign=1061&amp;utm_source=sheet", "Apply")</f>
        <v>Apply</v>
      </c>
      <c r="C185" s="10" t="s">
        <v>566</v>
      </c>
      <c r="D185" s="56" t="s">
        <v>567</v>
      </c>
      <c r="E185" s="10" t="s">
        <v>65</v>
      </c>
      <c r="F185" s="10" t="s">
        <v>568</v>
      </c>
      <c r="G185" s="10" t="s">
        <v>608</v>
      </c>
      <c r="H185" s="10" t="s">
        <v>55</v>
      </c>
      <c r="J185" s="10" t="s">
        <v>569</v>
      </c>
      <c r="K185" s="10" t="s">
        <v>42</v>
      </c>
    </row>
    <row r="186" ht="15.75" customHeight="1">
      <c r="A186" s="54">
        <v>45490.0</v>
      </c>
      <c r="B186" s="55" t="str">
        <f>HYPERLINK("https://jobright.ai/jobs/info/66984623c4b3f7d9c54b1259?utm_campaign=1061&amp;utm_source=sheet", "Apply")</f>
        <v>Apply</v>
      </c>
      <c r="C186" s="10" t="s">
        <v>566</v>
      </c>
      <c r="D186" s="56" t="s">
        <v>567</v>
      </c>
      <c r="E186" s="10" t="s">
        <v>65</v>
      </c>
      <c r="F186" s="10" t="s">
        <v>568</v>
      </c>
      <c r="G186" s="10" t="s">
        <v>609</v>
      </c>
      <c r="H186" s="10" t="s">
        <v>55</v>
      </c>
      <c r="J186" s="10" t="s">
        <v>569</v>
      </c>
      <c r="K186" s="10" t="s">
        <v>42</v>
      </c>
    </row>
    <row r="187" ht="15.75" customHeight="1">
      <c r="A187" s="54">
        <v>45490.0</v>
      </c>
      <c r="B187" s="55" t="str">
        <f>HYPERLINK("https://jobright.ai/jobs/info/66984623c4b3f7d9c54b125a?utm_campaign=1061&amp;utm_source=sheet", "Apply")</f>
        <v>Apply</v>
      </c>
      <c r="C187" s="10" t="s">
        <v>566</v>
      </c>
      <c r="D187" s="56" t="s">
        <v>567</v>
      </c>
      <c r="E187" s="10" t="s">
        <v>65</v>
      </c>
      <c r="F187" s="10" t="s">
        <v>568</v>
      </c>
      <c r="G187" s="10" t="s">
        <v>610</v>
      </c>
      <c r="H187" s="10" t="s">
        <v>55</v>
      </c>
      <c r="J187" s="10" t="s">
        <v>569</v>
      </c>
      <c r="K187" s="10" t="s">
        <v>42</v>
      </c>
    </row>
    <row r="188" ht="15.75" customHeight="1">
      <c r="A188" s="54">
        <v>45489.0</v>
      </c>
      <c r="B188" s="55" t="str">
        <f>HYPERLINK("https://jobright.ai/jobs/info/66970986f69735390cd95486?utm_campaign=1061&amp;utm_source=sheet", "Apply")</f>
        <v>Apply</v>
      </c>
      <c r="C188" s="10" t="s">
        <v>611</v>
      </c>
      <c r="D188" s="56" t="s">
        <v>311</v>
      </c>
      <c r="E188" s="10" t="s">
        <v>45</v>
      </c>
      <c r="F188" s="10" t="s">
        <v>312</v>
      </c>
      <c r="G188" s="10" t="s">
        <v>313</v>
      </c>
      <c r="H188" s="10" t="s">
        <v>55</v>
      </c>
      <c r="I188" s="10" t="s">
        <v>314</v>
      </c>
      <c r="J188" s="10" t="s">
        <v>612</v>
      </c>
      <c r="K188" s="10" t="s">
        <v>42</v>
      </c>
    </row>
    <row r="189" ht="15.75" customHeight="1">
      <c r="A189" s="54">
        <v>45489.0</v>
      </c>
      <c r="B189" s="55" t="str">
        <f>HYPERLINK("https://jobright.ai/jobs/info/66970986f69735390cd954b1?utm_campaign=1061&amp;utm_source=sheet", "Apply")</f>
        <v>Apply</v>
      </c>
      <c r="C189" s="10" t="s">
        <v>613</v>
      </c>
      <c r="D189" s="56" t="s">
        <v>311</v>
      </c>
      <c r="E189" s="10" t="s">
        <v>45</v>
      </c>
      <c r="F189" s="10" t="s">
        <v>312</v>
      </c>
      <c r="G189" s="10" t="s">
        <v>313</v>
      </c>
      <c r="H189" s="10" t="s">
        <v>55</v>
      </c>
      <c r="I189" s="10" t="s">
        <v>414</v>
      </c>
      <c r="J189" s="10" t="s">
        <v>453</v>
      </c>
      <c r="K189" s="10" t="s">
        <v>42</v>
      </c>
    </row>
    <row r="190" ht="15.75" customHeight="1">
      <c r="A190" s="54">
        <v>45489.0</v>
      </c>
      <c r="B190" s="55" t="str">
        <f>HYPERLINK("https://jobright.ai/jobs/info/6696fe8dfa5297ff7b4b11a7?utm_campaign=1061&amp;utm_source=sheet", "Apply")</f>
        <v>Apply</v>
      </c>
      <c r="C190" s="10" t="s">
        <v>226</v>
      </c>
      <c r="D190" s="56" t="s">
        <v>614</v>
      </c>
      <c r="E190" s="10" t="s">
        <v>65</v>
      </c>
      <c r="F190" s="10" t="s">
        <v>615</v>
      </c>
      <c r="G190" s="10" t="s">
        <v>616</v>
      </c>
      <c r="H190" s="10" t="s">
        <v>55</v>
      </c>
      <c r="J190" s="10" t="s">
        <v>617</v>
      </c>
      <c r="K190" s="10" t="s">
        <v>42</v>
      </c>
    </row>
    <row r="191" ht="15.75" customHeight="1">
      <c r="A191" s="54">
        <v>45489.0</v>
      </c>
      <c r="B191" s="55" t="str">
        <f>HYPERLINK("https://jobright.ai/jobs/info/6696e315310ba44856b5c4de?utm_campaign=1061&amp;utm_source=sheet", "Apply")</f>
        <v>Apply</v>
      </c>
      <c r="C191" s="10" t="s">
        <v>618</v>
      </c>
      <c r="D191" s="56" t="s">
        <v>619</v>
      </c>
      <c r="E191" s="10" t="s">
        <v>65</v>
      </c>
      <c r="F191" s="10" t="s">
        <v>620</v>
      </c>
      <c r="G191" s="10" t="s">
        <v>621</v>
      </c>
      <c r="H191" s="10" t="s">
        <v>55</v>
      </c>
      <c r="I191" s="10" t="s">
        <v>622</v>
      </c>
      <c r="J191" s="10" t="s">
        <v>623</v>
      </c>
      <c r="K191" s="10" t="s">
        <v>42</v>
      </c>
    </row>
    <row r="192" ht="15.75" customHeight="1">
      <c r="A192" s="54">
        <v>45489.0</v>
      </c>
      <c r="B192" s="55" t="str">
        <f>HYPERLINK("https://jobright.ai/jobs/info/66965f714d48854a89941bb9?utm_campaign=1061&amp;utm_source=sheet", "Apply")</f>
        <v>Apply</v>
      </c>
      <c r="C192" s="10" t="s">
        <v>624</v>
      </c>
      <c r="D192" s="56" t="s">
        <v>311</v>
      </c>
      <c r="E192" s="10" t="s">
        <v>45</v>
      </c>
      <c r="F192" s="10" t="s">
        <v>312</v>
      </c>
      <c r="G192" s="10" t="s">
        <v>313</v>
      </c>
      <c r="H192" s="10" t="s">
        <v>55</v>
      </c>
      <c r="I192" s="10" t="s">
        <v>314</v>
      </c>
      <c r="J192" s="10" t="s">
        <v>625</v>
      </c>
      <c r="K192" s="10" t="s">
        <v>42</v>
      </c>
    </row>
    <row r="193" ht="15.75" customHeight="1">
      <c r="A193" s="54">
        <v>45489.0</v>
      </c>
      <c r="B193" s="55" t="str">
        <f>HYPERLINK("https://jobright.ai/jobs/info/669688f1eb7ca7d1c4210b14?utm_campaign=1061&amp;utm_source=sheet", "Apply")</f>
        <v>Apply</v>
      </c>
      <c r="C193" s="10" t="s">
        <v>274</v>
      </c>
      <c r="D193" s="56" t="s">
        <v>626</v>
      </c>
      <c r="E193" s="59">
        <v>45301.0</v>
      </c>
      <c r="F193" s="10" t="s">
        <v>627</v>
      </c>
      <c r="G193" s="10" t="s">
        <v>628</v>
      </c>
      <c r="H193" s="10" t="s">
        <v>55</v>
      </c>
      <c r="J193" s="10" t="s">
        <v>629</v>
      </c>
      <c r="K193" s="10" t="s">
        <v>42</v>
      </c>
    </row>
    <row r="194" ht="15.75" customHeight="1">
      <c r="A194" s="54">
        <v>45489.0</v>
      </c>
      <c r="B194" s="55" t="str">
        <f>HYPERLINK("https://jobright.ai/jobs/info/6696a3ac1816fd44c1797f96?utm_campaign=1061&amp;utm_source=sheet", "Apply")</f>
        <v>Apply</v>
      </c>
      <c r="C194" s="10" t="s">
        <v>630</v>
      </c>
      <c r="D194" s="56" t="s">
        <v>311</v>
      </c>
      <c r="E194" s="10" t="s">
        <v>45</v>
      </c>
      <c r="F194" s="10" t="s">
        <v>312</v>
      </c>
      <c r="G194" s="10" t="s">
        <v>165</v>
      </c>
      <c r="H194" s="10" t="s">
        <v>55</v>
      </c>
      <c r="I194" s="10" t="s">
        <v>314</v>
      </c>
      <c r="J194" s="10" t="s">
        <v>625</v>
      </c>
      <c r="K194" s="10" t="s">
        <v>42</v>
      </c>
    </row>
    <row r="195" ht="15.75" customHeight="1">
      <c r="A195" s="54">
        <v>45489.0</v>
      </c>
      <c r="B195" s="55" t="str">
        <f>HYPERLINK("https://jobright.ai/jobs/info/669686598edf02ca2d6cccc6?utm_campaign=1061&amp;utm_source=sheet", "Apply")</f>
        <v>Apply</v>
      </c>
      <c r="C195" s="10" t="s">
        <v>631</v>
      </c>
      <c r="D195" s="56" t="s">
        <v>311</v>
      </c>
      <c r="E195" s="10" t="s">
        <v>45</v>
      </c>
      <c r="F195" s="10" t="s">
        <v>312</v>
      </c>
      <c r="G195" s="10" t="s">
        <v>313</v>
      </c>
      <c r="H195" s="10" t="s">
        <v>55</v>
      </c>
      <c r="I195" s="10" t="s">
        <v>414</v>
      </c>
      <c r="J195" s="10" t="s">
        <v>632</v>
      </c>
      <c r="K195" s="10" t="s">
        <v>42</v>
      </c>
    </row>
    <row r="196" ht="15.75" customHeight="1">
      <c r="A196" s="54">
        <v>45489.0</v>
      </c>
      <c r="B196" s="55" t="str">
        <f>HYPERLINK("https://jobright.ai/jobs/info/669682eb7fd7bfb44651aa7f?utm_campaign=1061&amp;utm_source=sheet", "Apply")</f>
        <v>Apply</v>
      </c>
      <c r="C196" s="10" t="s">
        <v>633</v>
      </c>
      <c r="D196" s="56" t="s">
        <v>634</v>
      </c>
      <c r="E196" s="10" t="s">
        <v>65</v>
      </c>
      <c r="F196" s="10" t="s">
        <v>635</v>
      </c>
      <c r="G196" s="10" t="s">
        <v>636</v>
      </c>
      <c r="H196" s="10" t="s">
        <v>48</v>
      </c>
      <c r="J196" s="10" t="s">
        <v>637</v>
      </c>
      <c r="K196" s="10" t="s">
        <v>42</v>
      </c>
    </row>
    <row r="197" ht="15.75" customHeight="1">
      <c r="A197" s="54">
        <v>45489.0</v>
      </c>
      <c r="B197" s="55" t="str">
        <f>HYPERLINK("https://jobright.ai/jobs/info/66963cd37e1560ca41b59a19?utm_campaign=1061&amp;utm_source=sheet", "Apply")</f>
        <v>Apply</v>
      </c>
      <c r="C197" s="10" t="s">
        <v>638</v>
      </c>
      <c r="D197" s="56" t="s">
        <v>634</v>
      </c>
      <c r="E197" s="10" t="s">
        <v>65</v>
      </c>
      <c r="F197" s="10" t="s">
        <v>635</v>
      </c>
      <c r="G197" s="10" t="s">
        <v>636</v>
      </c>
      <c r="H197" s="10" t="s">
        <v>55</v>
      </c>
      <c r="J197" s="10" t="s">
        <v>639</v>
      </c>
      <c r="K197" s="10" t="s">
        <v>42</v>
      </c>
    </row>
    <row r="198" ht="15.75" customHeight="1">
      <c r="A198" s="54">
        <v>45489.0</v>
      </c>
      <c r="B198" s="55" t="str">
        <f>HYPERLINK("https://jobright.ai/jobs/info/668c14149156a36052677103?utm_campaign=1061&amp;utm_source=sheet", "Apply")</f>
        <v>Apply</v>
      </c>
      <c r="C198" s="10" t="s">
        <v>640</v>
      </c>
      <c r="D198" s="56" t="s">
        <v>634</v>
      </c>
      <c r="E198" s="10" t="s">
        <v>65</v>
      </c>
      <c r="F198" s="10" t="s">
        <v>635</v>
      </c>
      <c r="G198" s="10" t="s">
        <v>636</v>
      </c>
      <c r="H198" s="10" t="s">
        <v>48</v>
      </c>
      <c r="J198" s="10" t="s">
        <v>641</v>
      </c>
      <c r="K198" s="10" t="s">
        <v>42</v>
      </c>
    </row>
    <row r="199" ht="15.75" customHeight="1">
      <c r="A199" s="54">
        <v>45489.0</v>
      </c>
      <c r="B199" s="55" t="str">
        <f>HYPERLINK("https://jobright.ai/jobs/info/6696f1c9fd603ea845274b48?utm_campaign=1061&amp;utm_source=sheet", "Apply")</f>
        <v>Apply</v>
      </c>
      <c r="C199" s="10" t="s">
        <v>642</v>
      </c>
      <c r="D199" s="56" t="s">
        <v>643</v>
      </c>
      <c r="E199" s="10" t="s">
        <v>79</v>
      </c>
      <c r="F199" s="10" t="s">
        <v>644</v>
      </c>
      <c r="G199" s="10" t="s">
        <v>113</v>
      </c>
      <c r="H199" s="10" t="s">
        <v>48</v>
      </c>
      <c r="J199" s="10" t="s">
        <v>645</v>
      </c>
      <c r="K199" s="10" t="s">
        <v>42</v>
      </c>
    </row>
    <row r="200" ht="15.75" customHeight="1">
      <c r="A200" s="54">
        <v>45488.0</v>
      </c>
      <c r="B200" s="55" t="str">
        <f>HYPERLINK("https://jobright.ai/jobs/info/6695d0d944c53245755de374?utm_campaign=1061&amp;utm_source=sheet", "Apply")</f>
        <v>Apply</v>
      </c>
      <c r="C200" s="10" t="s">
        <v>646</v>
      </c>
      <c r="D200" s="56" t="s">
        <v>647</v>
      </c>
      <c r="E200" s="10" t="s">
        <v>249</v>
      </c>
      <c r="F200" s="10" t="s">
        <v>418</v>
      </c>
      <c r="G200" s="10" t="s">
        <v>131</v>
      </c>
      <c r="H200" s="10" t="s">
        <v>55</v>
      </c>
      <c r="J200" s="10" t="s">
        <v>648</v>
      </c>
      <c r="K200" s="10" t="s">
        <v>42</v>
      </c>
    </row>
    <row r="201" ht="15.75" customHeight="1">
      <c r="A201" s="54">
        <v>45488.0</v>
      </c>
      <c r="B201" s="55" t="str">
        <f>HYPERLINK("https://jobright.ai/jobs/info/6695b14221dec4e19a1a3230?utm_campaign=1061&amp;utm_source=sheet", "Apply")</f>
        <v>Apply</v>
      </c>
      <c r="C201" s="10" t="s">
        <v>649</v>
      </c>
      <c r="D201" s="56" t="s">
        <v>650</v>
      </c>
      <c r="E201" s="10" t="s">
        <v>65</v>
      </c>
      <c r="F201" s="10" t="s">
        <v>651</v>
      </c>
      <c r="G201" s="10" t="s">
        <v>168</v>
      </c>
      <c r="H201" s="10" t="s">
        <v>55</v>
      </c>
      <c r="J201" s="10" t="s">
        <v>652</v>
      </c>
      <c r="K201" s="10" t="s">
        <v>42</v>
      </c>
    </row>
    <row r="202" ht="15.75" customHeight="1">
      <c r="A202" s="54">
        <v>45488.0</v>
      </c>
      <c r="B202" s="55" t="str">
        <f>HYPERLINK("https://jobright.ai/jobs/info/6695b2898ab1c2f1e1d3abf1?utm_campaign=1061&amp;utm_source=sheet", "Apply")</f>
        <v>Apply</v>
      </c>
      <c r="C202" s="10" t="s">
        <v>653</v>
      </c>
      <c r="D202" s="56" t="s">
        <v>643</v>
      </c>
      <c r="E202" s="10" t="s">
        <v>79</v>
      </c>
      <c r="F202" s="10" t="s">
        <v>644</v>
      </c>
      <c r="G202" s="10" t="s">
        <v>113</v>
      </c>
      <c r="H202" s="10" t="s">
        <v>48</v>
      </c>
      <c r="J202" s="10" t="s">
        <v>654</v>
      </c>
      <c r="K202" s="10" t="s">
        <v>42</v>
      </c>
    </row>
    <row r="203" ht="15.75" customHeight="1">
      <c r="A203" s="54">
        <v>45488.0</v>
      </c>
      <c r="B203" s="55" t="str">
        <f>HYPERLINK("https://jobright.ai/jobs/info/6695b2898ab1c2f1e1d3abfa?utm_campaign=1061&amp;utm_source=sheet", "Apply")</f>
        <v>Apply</v>
      </c>
      <c r="C203" s="10" t="s">
        <v>655</v>
      </c>
      <c r="D203" s="56" t="s">
        <v>643</v>
      </c>
      <c r="E203" s="10" t="s">
        <v>79</v>
      </c>
      <c r="F203" s="10" t="s">
        <v>644</v>
      </c>
      <c r="G203" s="10" t="s">
        <v>113</v>
      </c>
      <c r="H203" s="10" t="s">
        <v>48</v>
      </c>
      <c r="J203" s="10" t="s">
        <v>656</v>
      </c>
      <c r="K203" s="10" t="s">
        <v>42</v>
      </c>
    </row>
    <row r="204" ht="15.75" customHeight="1">
      <c r="A204" s="54">
        <v>45488.0</v>
      </c>
      <c r="B204" s="55" t="str">
        <f>HYPERLINK("https://jobright.ai/jobs/info/6695a895b94864b5c6b18b4f?utm_campaign=1061&amp;utm_source=sheet", "Apply")</f>
        <v>Apply</v>
      </c>
      <c r="C204" s="10" t="s">
        <v>649</v>
      </c>
      <c r="D204" s="56" t="s">
        <v>650</v>
      </c>
      <c r="E204" s="10" t="s">
        <v>65</v>
      </c>
      <c r="F204" s="10" t="s">
        <v>651</v>
      </c>
      <c r="G204" s="10" t="s">
        <v>218</v>
      </c>
      <c r="H204" s="10" t="s">
        <v>55</v>
      </c>
      <c r="I204" s="10" t="s">
        <v>657</v>
      </c>
      <c r="J204" s="10" t="s">
        <v>652</v>
      </c>
      <c r="K204" s="10" t="s">
        <v>42</v>
      </c>
    </row>
    <row r="205" ht="15.75" customHeight="1">
      <c r="A205" s="54">
        <v>45488.0</v>
      </c>
      <c r="B205" s="55" t="str">
        <f>HYPERLINK("https://jobright.ai/jobs/info/6695952399f444f1f8ded4c8?utm_campaign=1061&amp;utm_source=sheet", "Apply")</f>
        <v>Apply</v>
      </c>
      <c r="C205" s="10" t="s">
        <v>658</v>
      </c>
      <c r="D205" s="56" t="s">
        <v>659</v>
      </c>
      <c r="E205" s="10" t="s">
        <v>249</v>
      </c>
      <c r="F205" s="10" t="s">
        <v>660</v>
      </c>
      <c r="G205" s="10" t="s">
        <v>661</v>
      </c>
      <c r="H205" s="10" t="s">
        <v>55</v>
      </c>
      <c r="J205" s="10" t="s">
        <v>662</v>
      </c>
      <c r="K205" s="10" t="s">
        <v>42</v>
      </c>
    </row>
    <row r="206" ht="15.75" customHeight="1">
      <c r="A206" s="54">
        <v>45488.0</v>
      </c>
      <c r="B206" s="55" t="str">
        <f>HYPERLINK("https://jobright.ai/jobs/info/66955e802b30e9ec4792fe65?utm_campaign=1061&amp;utm_source=sheet", "Apply")</f>
        <v>Apply</v>
      </c>
      <c r="C206" s="10" t="s">
        <v>663</v>
      </c>
      <c r="D206" s="56" t="s">
        <v>664</v>
      </c>
      <c r="E206" s="10" t="s">
        <v>45</v>
      </c>
      <c r="F206" s="10" t="s">
        <v>665</v>
      </c>
      <c r="G206" s="10" t="s">
        <v>666</v>
      </c>
      <c r="H206" s="10" t="s">
        <v>48</v>
      </c>
      <c r="J206" s="10" t="s">
        <v>667</v>
      </c>
      <c r="K206" s="10" t="s">
        <v>42</v>
      </c>
    </row>
    <row r="207" ht="15.75" customHeight="1">
      <c r="A207" s="54">
        <v>45488.0</v>
      </c>
      <c r="B207" s="55" t="str">
        <f>HYPERLINK("https://jobright.ai/jobs/info/66956079f60ae0856be2fbb2?utm_campaign=1061&amp;utm_source=sheet", "Apply")</f>
        <v>Apply</v>
      </c>
      <c r="C207" s="10" t="s">
        <v>663</v>
      </c>
      <c r="D207" s="56" t="s">
        <v>664</v>
      </c>
      <c r="E207" s="10" t="s">
        <v>45</v>
      </c>
      <c r="F207" s="10" t="s">
        <v>665</v>
      </c>
      <c r="G207" s="10" t="s">
        <v>668</v>
      </c>
      <c r="H207" s="10" t="s">
        <v>55</v>
      </c>
      <c r="J207" s="10" t="s">
        <v>667</v>
      </c>
      <c r="K207" s="10" t="s">
        <v>42</v>
      </c>
    </row>
    <row r="208" ht="15.75" customHeight="1">
      <c r="A208" s="54">
        <v>45488.0</v>
      </c>
      <c r="B208" s="55" t="str">
        <f>HYPERLINK("https://jobright.ai/jobs/info/66955a19fbfbadbf06b646fe?utm_campaign=1061&amp;utm_source=sheet", "Apply")</f>
        <v>Apply</v>
      </c>
      <c r="C208" s="10" t="s">
        <v>669</v>
      </c>
      <c r="D208" s="56" t="s">
        <v>650</v>
      </c>
      <c r="E208" s="10" t="s">
        <v>65</v>
      </c>
      <c r="F208" s="10" t="s">
        <v>651</v>
      </c>
      <c r="G208" s="10" t="s">
        <v>168</v>
      </c>
      <c r="H208" s="10" t="s">
        <v>55</v>
      </c>
      <c r="J208" s="10" t="s">
        <v>670</v>
      </c>
      <c r="K208" s="10" t="s">
        <v>42</v>
      </c>
    </row>
    <row r="209" ht="15.75" customHeight="1">
      <c r="A209" s="54">
        <v>45488.0</v>
      </c>
      <c r="B209" s="55" t="str">
        <f>HYPERLINK("https://jobright.ai/jobs/info/66955a19fbfbadbf06b64711?utm_campaign=1061&amp;utm_source=sheet", "Apply")</f>
        <v>Apply</v>
      </c>
      <c r="C209" s="10" t="s">
        <v>669</v>
      </c>
      <c r="D209" s="56" t="s">
        <v>650</v>
      </c>
      <c r="E209" s="10" t="s">
        <v>65</v>
      </c>
      <c r="F209" s="10" t="s">
        <v>651</v>
      </c>
      <c r="G209" s="10" t="s">
        <v>218</v>
      </c>
      <c r="H209" s="10" t="s">
        <v>55</v>
      </c>
      <c r="I209" s="10" t="s">
        <v>671</v>
      </c>
      <c r="J209" s="10" t="s">
        <v>670</v>
      </c>
      <c r="K209" s="10" t="s">
        <v>42</v>
      </c>
    </row>
    <row r="210" ht="15.75" customHeight="1">
      <c r="A210" s="54">
        <v>45488.0</v>
      </c>
      <c r="B210" s="55" t="str">
        <f>HYPERLINK("https://jobright.ai/jobs/info/66954331f64a8383a0485de2?utm_campaign=1061&amp;utm_source=sheet", "Apply")</f>
        <v>Apply</v>
      </c>
      <c r="C210" s="10" t="s">
        <v>672</v>
      </c>
      <c r="D210" s="56" t="s">
        <v>673</v>
      </c>
      <c r="E210" s="10" t="s">
        <v>65</v>
      </c>
      <c r="F210" s="10" t="s">
        <v>100</v>
      </c>
      <c r="G210" s="10" t="s">
        <v>674</v>
      </c>
      <c r="H210" s="10" t="s">
        <v>55</v>
      </c>
      <c r="I210" s="10" t="s">
        <v>521</v>
      </c>
      <c r="J210" s="10" t="s">
        <v>675</v>
      </c>
      <c r="K210" s="10" t="s">
        <v>42</v>
      </c>
    </row>
    <row r="211" ht="15.75" customHeight="1">
      <c r="A211" s="54">
        <v>45488.0</v>
      </c>
      <c r="B211" s="55" t="str">
        <f>HYPERLINK("https://jobright.ai/jobs/info/669549065c4dbaebf8f7c12c?utm_campaign=1061&amp;utm_source=sheet", "Apply")</f>
        <v>Apply</v>
      </c>
      <c r="C211" s="10" t="s">
        <v>676</v>
      </c>
      <c r="D211" s="56" t="s">
        <v>673</v>
      </c>
      <c r="E211" s="10" t="s">
        <v>65</v>
      </c>
      <c r="F211" s="10" t="s">
        <v>100</v>
      </c>
      <c r="G211" s="10" t="s">
        <v>674</v>
      </c>
      <c r="H211" s="10" t="s">
        <v>55</v>
      </c>
      <c r="I211" s="10" t="s">
        <v>521</v>
      </c>
      <c r="J211" s="10" t="s">
        <v>677</v>
      </c>
      <c r="K211" s="10" t="s">
        <v>42</v>
      </c>
    </row>
    <row r="212" ht="15.75" customHeight="1">
      <c r="A212" s="54">
        <v>45488.0</v>
      </c>
      <c r="B212" s="55" t="str">
        <f>HYPERLINK("https://jobright.ai/jobs/info/669e5e3c76c6144940234b8f?utm_campaign=1061&amp;utm_source=sheet", "Apply")</f>
        <v>Apply</v>
      </c>
      <c r="C212" s="10" t="s">
        <v>678</v>
      </c>
      <c r="D212" s="56" t="s">
        <v>679</v>
      </c>
      <c r="E212" s="10" t="s">
        <v>65</v>
      </c>
      <c r="F212" s="10" t="s">
        <v>680</v>
      </c>
      <c r="G212" s="10" t="s">
        <v>154</v>
      </c>
      <c r="H212" s="10" t="s">
        <v>55</v>
      </c>
      <c r="I212" s="10" t="s">
        <v>681</v>
      </c>
      <c r="J212" s="10" t="s">
        <v>682</v>
      </c>
      <c r="K212" s="10" t="s">
        <v>42</v>
      </c>
    </row>
    <row r="213" ht="15.75" customHeight="1">
      <c r="A213" s="54">
        <v>45488.0</v>
      </c>
      <c r="B213" s="55" t="str">
        <f>HYPERLINK("https://jobright.ai/jobs/info/669e54d0eb8914bc6317937a?utm_campaign=1061&amp;utm_source=sheet", "Apply")</f>
        <v>Apply</v>
      </c>
      <c r="C213" s="10" t="s">
        <v>94</v>
      </c>
      <c r="D213" s="56" t="s">
        <v>95</v>
      </c>
      <c r="E213" s="10">
        <v>52.0</v>
      </c>
      <c r="G213" s="10" t="s">
        <v>313</v>
      </c>
      <c r="H213" s="10" t="s">
        <v>55</v>
      </c>
      <c r="J213" s="10" t="s">
        <v>97</v>
      </c>
      <c r="K213" s="10" t="s">
        <v>42</v>
      </c>
    </row>
    <row r="214" ht="15.75" customHeight="1">
      <c r="A214" s="54">
        <v>45488.0</v>
      </c>
      <c r="B214" s="55" t="str">
        <f>HYPERLINK("https://jobright.ai/jobs/info/66951f035b1f0738d03177d4?utm_campaign=1061&amp;utm_source=sheet", "Apply")</f>
        <v>Apply</v>
      </c>
      <c r="C214" s="10" t="s">
        <v>683</v>
      </c>
      <c r="D214" s="56" t="s">
        <v>684</v>
      </c>
      <c r="E214" s="10" t="s">
        <v>45</v>
      </c>
      <c r="F214" s="10" t="s">
        <v>685</v>
      </c>
      <c r="G214" s="10" t="s">
        <v>686</v>
      </c>
      <c r="H214" s="10" t="s">
        <v>48</v>
      </c>
      <c r="J214" s="10" t="s">
        <v>687</v>
      </c>
      <c r="K214" s="10" t="s">
        <v>42</v>
      </c>
    </row>
    <row r="215" ht="15.75" customHeight="1">
      <c r="A215" s="54">
        <v>45488.0</v>
      </c>
      <c r="B215" s="55" t="str">
        <f>HYPERLINK("https://jobright.ai/jobs/info/66951efe5b1f0738d03176f6?utm_campaign=1061&amp;utm_source=sheet", "Apply")</f>
        <v>Apply</v>
      </c>
      <c r="C215" s="10" t="s">
        <v>683</v>
      </c>
      <c r="D215" s="56" t="s">
        <v>684</v>
      </c>
      <c r="E215" s="10" t="s">
        <v>45</v>
      </c>
      <c r="F215" s="10" t="s">
        <v>685</v>
      </c>
      <c r="G215" s="10" t="s">
        <v>688</v>
      </c>
      <c r="H215" s="10" t="s">
        <v>48</v>
      </c>
      <c r="J215" s="10" t="s">
        <v>687</v>
      </c>
      <c r="K215" s="10" t="s">
        <v>42</v>
      </c>
    </row>
    <row r="216" ht="15.75" customHeight="1">
      <c r="A216" s="54">
        <v>45488.0</v>
      </c>
      <c r="B216" s="55" t="str">
        <f>HYPERLINK("https://jobright.ai/jobs/info/669e4c3d892b00836a41a5aa?utm_campaign=1061&amp;utm_source=sheet", "Apply")</f>
        <v>Apply</v>
      </c>
      <c r="C216" s="10" t="s">
        <v>689</v>
      </c>
      <c r="D216" s="56" t="s">
        <v>208</v>
      </c>
      <c r="E216" s="10" t="s">
        <v>209</v>
      </c>
      <c r="F216" s="10" t="s">
        <v>210</v>
      </c>
      <c r="G216" s="10" t="s">
        <v>211</v>
      </c>
      <c r="H216" s="10" t="s">
        <v>55</v>
      </c>
      <c r="J216" s="10" t="s">
        <v>690</v>
      </c>
      <c r="K216" s="10" t="s">
        <v>42</v>
      </c>
    </row>
    <row r="217" ht="15.75" customHeight="1">
      <c r="A217" s="54">
        <v>45488.0</v>
      </c>
      <c r="B217" s="55" t="str">
        <f>HYPERLINK("https://jobright.ai/jobs/info/6682970d2c48423eb5832729?utm_campaign=1061&amp;utm_source=sheet", "Apply")</f>
        <v>Apply</v>
      </c>
      <c r="C217" s="10" t="s">
        <v>549</v>
      </c>
      <c r="D217" s="56" t="s">
        <v>550</v>
      </c>
      <c r="E217" s="10" t="s">
        <v>65</v>
      </c>
      <c r="F217" s="10" t="s">
        <v>250</v>
      </c>
      <c r="G217" s="10" t="s">
        <v>96</v>
      </c>
      <c r="H217" s="10" t="s">
        <v>48</v>
      </c>
      <c r="I217" s="10" t="s">
        <v>551</v>
      </c>
      <c r="J217" s="10" t="s">
        <v>552</v>
      </c>
      <c r="K217" s="10" t="s">
        <v>42</v>
      </c>
    </row>
    <row r="218" ht="15.75" customHeight="1">
      <c r="A218" s="54">
        <v>45487.0</v>
      </c>
      <c r="B218" s="55" t="str">
        <f>HYPERLINK("https://jobright.ai/jobs/info/669d0f06882781b0ee6b9695?utm_campaign=1061&amp;utm_source=sheet", "Apply")</f>
        <v>Apply</v>
      </c>
      <c r="C218" s="10" t="s">
        <v>691</v>
      </c>
      <c r="D218" s="56" t="s">
        <v>692</v>
      </c>
      <c r="E218" s="10" t="s">
        <v>249</v>
      </c>
      <c r="F218" s="10" t="s">
        <v>693</v>
      </c>
      <c r="G218" s="10" t="s">
        <v>159</v>
      </c>
      <c r="H218" s="10" t="s">
        <v>55</v>
      </c>
      <c r="J218" s="10" t="s">
        <v>694</v>
      </c>
      <c r="K218" s="10" t="s">
        <v>42</v>
      </c>
    </row>
    <row r="219" ht="15.75" customHeight="1">
      <c r="A219" s="54">
        <v>45487.0</v>
      </c>
      <c r="B219" s="55" t="str">
        <f>HYPERLINK("https://jobright.ai/jobs/info/669d0a7c04c007d24af47e07?utm_campaign=1061&amp;utm_source=sheet", "Apply")</f>
        <v>Apply</v>
      </c>
      <c r="C219" s="10" t="s">
        <v>695</v>
      </c>
      <c r="D219" s="56" t="s">
        <v>696</v>
      </c>
      <c r="E219" s="10" t="s">
        <v>209</v>
      </c>
      <c r="F219" s="10" t="s">
        <v>697</v>
      </c>
      <c r="G219" s="10" t="s">
        <v>698</v>
      </c>
      <c r="H219" s="10" t="s">
        <v>55</v>
      </c>
      <c r="I219" s="10" t="s">
        <v>699</v>
      </c>
      <c r="J219" s="10" t="s">
        <v>700</v>
      </c>
      <c r="K219" s="10" t="s">
        <v>42</v>
      </c>
    </row>
    <row r="220" ht="15.75" customHeight="1">
      <c r="A220" s="54">
        <v>45487.0</v>
      </c>
      <c r="B220" s="55" t="str">
        <f>HYPERLINK("https://jobright.ai/jobs/info/669cf75ae69f01075f023977?utm_campaign=1061&amp;utm_source=sheet", "Apply")</f>
        <v>Apply</v>
      </c>
      <c r="C220" s="10" t="s">
        <v>701</v>
      </c>
      <c r="D220" s="56" t="s">
        <v>702</v>
      </c>
      <c r="E220" s="10" t="s">
        <v>65</v>
      </c>
      <c r="F220" s="10" t="s">
        <v>703</v>
      </c>
      <c r="G220" s="10" t="s">
        <v>251</v>
      </c>
      <c r="H220" s="10" t="s">
        <v>48</v>
      </c>
      <c r="I220" s="10" t="s">
        <v>704</v>
      </c>
      <c r="J220" s="10" t="s">
        <v>705</v>
      </c>
      <c r="K220" s="10" t="s">
        <v>42</v>
      </c>
    </row>
    <row r="221" ht="15.75" customHeight="1">
      <c r="A221" s="54">
        <v>45487.0</v>
      </c>
      <c r="B221" s="55" t="str">
        <f>HYPERLINK("https://jobright.ai/jobs/info/6696575252c3c9d4b390a707?utm_campaign=1061&amp;utm_source=sheet", "Apply")</f>
        <v>Apply</v>
      </c>
      <c r="C221" s="10" t="s">
        <v>706</v>
      </c>
      <c r="D221" s="56" t="s">
        <v>707</v>
      </c>
      <c r="E221" s="10" t="s">
        <v>65</v>
      </c>
      <c r="F221" s="10" t="s">
        <v>529</v>
      </c>
      <c r="G221" s="10" t="s">
        <v>708</v>
      </c>
      <c r="H221" s="10" t="s">
        <v>55</v>
      </c>
      <c r="J221" s="10" t="s">
        <v>709</v>
      </c>
      <c r="K221" s="10" t="s">
        <v>42</v>
      </c>
    </row>
    <row r="222" ht="15.75" customHeight="1">
      <c r="A222" s="54">
        <v>45487.0</v>
      </c>
      <c r="B222" s="55" t="str">
        <f>HYPERLINK("https://jobright.ai/jobs/info/667601adf1b86992c3646619?utm_campaign=1061&amp;utm_source=sheet", "Apply")</f>
        <v>Apply</v>
      </c>
      <c r="C222" s="10" t="s">
        <v>710</v>
      </c>
      <c r="D222" s="56" t="s">
        <v>385</v>
      </c>
      <c r="E222" s="10" t="s">
        <v>45</v>
      </c>
      <c r="F222" s="10" t="s">
        <v>386</v>
      </c>
      <c r="G222" s="10" t="s">
        <v>711</v>
      </c>
      <c r="H222" s="10" t="s">
        <v>55</v>
      </c>
      <c r="J222" s="10" t="s">
        <v>712</v>
      </c>
      <c r="K222" s="10" t="s">
        <v>42</v>
      </c>
    </row>
    <row r="223" ht="15.75" customHeight="1">
      <c r="A223" s="54">
        <v>45487.0</v>
      </c>
      <c r="B223" s="55" t="str">
        <f>HYPERLINK("https://jobright.ai/jobs/info/66327afcf20ca69f5996025d?utm_campaign=1061&amp;utm_source=sheet", "Apply")</f>
        <v>Apply</v>
      </c>
      <c r="C223" s="10" t="s">
        <v>713</v>
      </c>
      <c r="D223" s="56" t="s">
        <v>180</v>
      </c>
      <c r="E223" s="10">
        <v>3092.0</v>
      </c>
      <c r="G223" s="10" t="s">
        <v>181</v>
      </c>
      <c r="H223" s="10" t="s">
        <v>55</v>
      </c>
      <c r="J223" s="10" t="s">
        <v>714</v>
      </c>
      <c r="K223" s="10" t="s">
        <v>42</v>
      </c>
    </row>
    <row r="224" ht="15.75" customHeight="1">
      <c r="A224" s="54">
        <v>45487.0</v>
      </c>
      <c r="B224" s="55" t="str">
        <f>HYPERLINK("https://jobright.ai/jobs/info/6603c18ba6e5cea2e3a1038b?utm_campaign=1061&amp;utm_source=sheet", "Apply")</f>
        <v>Apply</v>
      </c>
      <c r="C224" s="10" t="s">
        <v>715</v>
      </c>
      <c r="D224" s="56" t="s">
        <v>716</v>
      </c>
      <c r="E224" s="10" t="s">
        <v>79</v>
      </c>
      <c r="F224" s="10" t="s">
        <v>717</v>
      </c>
      <c r="G224" s="10" t="s">
        <v>144</v>
      </c>
      <c r="H224" s="10" t="s">
        <v>55</v>
      </c>
      <c r="I224" s="10" t="s">
        <v>718</v>
      </c>
      <c r="J224" s="10" t="s">
        <v>719</v>
      </c>
      <c r="K224" s="10" t="s">
        <v>42</v>
      </c>
    </row>
    <row r="225" ht="15.75" customHeight="1">
      <c r="A225" s="54">
        <v>45487.0</v>
      </c>
      <c r="B225" s="55" t="str">
        <f>HYPERLINK("https://jobright.ai/jobs/info/663961e048f979581a0e33fd?utm_campaign=1061&amp;utm_source=sheet", "Apply")</f>
        <v>Apply</v>
      </c>
      <c r="C225" s="10" t="s">
        <v>720</v>
      </c>
      <c r="D225" s="56" t="s">
        <v>721</v>
      </c>
      <c r="E225" s="10" t="s">
        <v>79</v>
      </c>
      <c r="F225" s="10" t="s">
        <v>722</v>
      </c>
      <c r="G225" s="10" t="s">
        <v>723</v>
      </c>
      <c r="H225" s="10" t="s">
        <v>48</v>
      </c>
      <c r="I225" s="10" t="s">
        <v>724</v>
      </c>
      <c r="J225" s="10" t="s">
        <v>725</v>
      </c>
      <c r="K225" s="10" t="s">
        <v>42</v>
      </c>
    </row>
    <row r="226" ht="15.75" customHeight="1">
      <c r="A226" s="54">
        <v>45487.0</v>
      </c>
      <c r="B226" s="55" t="str">
        <f>HYPERLINK("https://jobright.ai/jobs/info/667614c7e5fc016086b1beff?utm_campaign=1061&amp;utm_source=sheet", "Apply")</f>
        <v>Apply</v>
      </c>
      <c r="C226" s="10" t="s">
        <v>726</v>
      </c>
      <c r="D226" s="56" t="s">
        <v>52</v>
      </c>
      <c r="E226" s="10" t="s">
        <v>45</v>
      </c>
      <c r="F226" s="10" t="s">
        <v>53</v>
      </c>
      <c r="G226" s="10" t="s">
        <v>727</v>
      </c>
      <c r="H226" s="10" t="s">
        <v>55</v>
      </c>
      <c r="I226" s="10" t="s">
        <v>435</v>
      </c>
      <c r="J226" s="10" t="s">
        <v>728</v>
      </c>
      <c r="K226" s="10" t="s">
        <v>42</v>
      </c>
    </row>
    <row r="227" ht="15.75" customHeight="1">
      <c r="A227" s="54">
        <v>45487.0</v>
      </c>
      <c r="B227" s="55" t="str">
        <f>HYPERLINK("https://jobright.ai/jobs/info/665b20399ff4d1b04c4c8297?utm_campaign=1061&amp;utm_source=sheet", "Apply")</f>
        <v>Apply</v>
      </c>
      <c r="C227" s="10" t="s">
        <v>729</v>
      </c>
      <c r="D227" s="56" t="s">
        <v>730</v>
      </c>
      <c r="E227" s="10" t="s">
        <v>45</v>
      </c>
      <c r="F227" s="10" t="s">
        <v>731</v>
      </c>
      <c r="G227" s="10" t="s">
        <v>113</v>
      </c>
      <c r="H227" s="10" t="s">
        <v>55</v>
      </c>
      <c r="J227" s="10" t="s">
        <v>732</v>
      </c>
      <c r="K227" s="10" t="s">
        <v>42</v>
      </c>
    </row>
    <row r="228" ht="15.75" customHeight="1">
      <c r="A228" s="54">
        <v>45487.0</v>
      </c>
      <c r="B228" s="55" t="str">
        <f>HYPERLINK("https://jobright.ai/jobs/info/6659bb0b559821b0fd5e584a?utm_campaign=1061&amp;utm_source=sheet", "Apply")</f>
        <v>Apply</v>
      </c>
      <c r="C228" s="10" t="s">
        <v>733</v>
      </c>
      <c r="D228" s="56" t="s">
        <v>208</v>
      </c>
      <c r="E228" s="10" t="s">
        <v>209</v>
      </c>
      <c r="F228" s="10" t="s">
        <v>210</v>
      </c>
      <c r="G228" s="10" t="s">
        <v>211</v>
      </c>
      <c r="H228" s="10" t="s">
        <v>55</v>
      </c>
      <c r="J228" s="10" t="s">
        <v>734</v>
      </c>
      <c r="K228" s="10" t="s">
        <v>42</v>
      </c>
    </row>
    <row r="229" ht="15.75" customHeight="1">
      <c r="A229" s="54">
        <v>45487.0</v>
      </c>
      <c r="B229" s="55" t="str">
        <f>HYPERLINK("https://jobright.ai/jobs/info/66795ad6dcb1db3fc098de0b?utm_campaign=1061&amp;utm_source=sheet", "Apply")</f>
        <v>Apply</v>
      </c>
      <c r="C229" s="10" t="s">
        <v>729</v>
      </c>
      <c r="D229" s="56" t="s">
        <v>730</v>
      </c>
      <c r="E229" s="10" t="s">
        <v>45</v>
      </c>
      <c r="F229" s="10" t="s">
        <v>731</v>
      </c>
      <c r="G229" s="10" t="s">
        <v>154</v>
      </c>
      <c r="H229" s="10" t="s">
        <v>55</v>
      </c>
      <c r="J229" s="10" t="s">
        <v>732</v>
      </c>
      <c r="K229" s="10" t="s">
        <v>42</v>
      </c>
    </row>
    <row r="230" ht="15.75" customHeight="1">
      <c r="A230" s="54">
        <v>45487.0</v>
      </c>
      <c r="B230" s="55" t="str">
        <f>HYPERLINK("https://jobright.ai/jobs/info/65020381b51c379df760372f?utm_campaign=1061&amp;utm_source=sheet", "Apply")</f>
        <v>Apply</v>
      </c>
      <c r="C230" s="10" t="s">
        <v>735</v>
      </c>
      <c r="D230" s="56" t="s">
        <v>736</v>
      </c>
      <c r="E230" s="10" t="s">
        <v>276</v>
      </c>
      <c r="F230" s="10" t="s">
        <v>737</v>
      </c>
      <c r="G230" s="10" t="s">
        <v>738</v>
      </c>
      <c r="H230" s="10" t="s">
        <v>55</v>
      </c>
      <c r="I230" s="10" t="s">
        <v>581</v>
      </c>
      <c r="J230" s="10" t="s">
        <v>739</v>
      </c>
      <c r="K230" s="10" t="s">
        <v>42</v>
      </c>
    </row>
    <row r="231" ht="15.75" customHeight="1">
      <c r="A231" s="54">
        <v>45487.0</v>
      </c>
      <c r="B231" s="55" t="str">
        <f>HYPERLINK("https://jobright.ai/jobs/info/66796365f6b36b4aa01a37ff?utm_campaign=1061&amp;utm_source=sheet", "Apply")</f>
        <v>Apply</v>
      </c>
      <c r="C231" s="10" t="s">
        <v>729</v>
      </c>
      <c r="D231" s="56" t="s">
        <v>730</v>
      </c>
      <c r="E231" s="10" t="s">
        <v>45</v>
      </c>
      <c r="F231" s="10" t="s">
        <v>731</v>
      </c>
      <c r="G231" s="10" t="s">
        <v>170</v>
      </c>
      <c r="H231" s="10" t="s">
        <v>55</v>
      </c>
      <c r="J231" s="10" t="s">
        <v>732</v>
      </c>
      <c r="K231" s="10" t="s">
        <v>42</v>
      </c>
    </row>
    <row r="232" ht="15.75" customHeight="1">
      <c r="A232" s="54">
        <v>45487.0</v>
      </c>
      <c r="B232" s="55" t="str">
        <f>HYPERLINK("https://jobright.ai/jobs/info/665b02bdec9ffa87e37f8539?utm_campaign=1061&amp;utm_source=sheet", "Apply")</f>
        <v>Apply</v>
      </c>
      <c r="C232" s="10" t="s">
        <v>729</v>
      </c>
      <c r="D232" s="56" t="s">
        <v>730</v>
      </c>
      <c r="E232" s="10" t="s">
        <v>45</v>
      </c>
      <c r="F232" s="10" t="s">
        <v>731</v>
      </c>
      <c r="G232" s="10" t="s">
        <v>740</v>
      </c>
      <c r="H232" s="10" t="s">
        <v>55</v>
      </c>
      <c r="J232" s="10" t="s">
        <v>732</v>
      </c>
      <c r="K232" s="10" t="s">
        <v>42</v>
      </c>
    </row>
    <row r="233" ht="15.75" customHeight="1">
      <c r="A233" s="54">
        <v>45487.0</v>
      </c>
      <c r="B233" s="55" t="str">
        <f>HYPERLINK("https://jobright.ai/jobs/info/665b005252bf3657b8d2344b?utm_campaign=1061&amp;utm_source=sheet", "Apply")</f>
        <v>Apply</v>
      </c>
      <c r="C233" s="10" t="s">
        <v>729</v>
      </c>
      <c r="D233" s="56" t="s">
        <v>730</v>
      </c>
      <c r="E233" s="10" t="s">
        <v>45</v>
      </c>
      <c r="F233" s="10" t="s">
        <v>731</v>
      </c>
      <c r="G233" s="10" t="s">
        <v>741</v>
      </c>
      <c r="H233" s="10" t="s">
        <v>55</v>
      </c>
      <c r="J233" s="10" t="s">
        <v>732</v>
      </c>
      <c r="K233" s="10" t="s">
        <v>42</v>
      </c>
    </row>
    <row r="234" ht="15.75" customHeight="1">
      <c r="A234" s="54">
        <v>45487.0</v>
      </c>
      <c r="B234" s="55" t="str">
        <f>HYPERLINK("https://jobright.ai/jobs/info/65735c408dab2d6157e3c920?utm_campaign=1061&amp;utm_source=sheet", "Apply")</f>
        <v>Apply</v>
      </c>
      <c r="C234" s="10" t="s">
        <v>742</v>
      </c>
      <c r="D234" s="56" t="s">
        <v>743</v>
      </c>
      <c r="E234" s="10" t="s">
        <v>249</v>
      </c>
      <c r="F234" s="10" t="s">
        <v>85</v>
      </c>
      <c r="G234" s="10" t="s">
        <v>165</v>
      </c>
      <c r="H234" s="10" t="s">
        <v>55</v>
      </c>
      <c r="I234" s="10" t="s">
        <v>744</v>
      </c>
      <c r="J234" s="10" t="s">
        <v>745</v>
      </c>
      <c r="K234" s="10" t="s">
        <v>42</v>
      </c>
    </row>
    <row r="235" ht="15.75" customHeight="1">
      <c r="A235" s="54">
        <v>45487.0</v>
      </c>
      <c r="B235" s="55" t="str">
        <f>HYPERLINK("https://jobright.ai/jobs/info/6693a0db8428f8163b1f5cfb?utm_campaign=1061&amp;utm_source=sheet", "Apply")</f>
        <v>Apply</v>
      </c>
      <c r="C235" s="10" t="s">
        <v>746</v>
      </c>
      <c r="D235" s="56" t="s">
        <v>449</v>
      </c>
      <c r="E235" s="10" t="s">
        <v>65</v>
      </c>
      <c r="F235" s="10" t="s">
        <v>450</v>
      </c>
      <c r="G235" s="10" t="s">
        <v>747</v>
      </c>
      <c r="H235" s="10" t="s">
        <v>48</v>
      </c>
      <c r="J235" s="10" t="s">
        <v>748</v>
      </c>
      <c r="K235" s="10" t="s">
        <v>42</v>
      </c>
    </row>
    <row r="236" ht="15.75" customHeight="1">
      <c r="A236" s="54">
        <v>45487.0</v>
      </c>
      <c r="B236" s="55" t="str">
        <f>HYPERLINK("https://jobright.ai/jobs/info/66741e528f8ed70066b4bdfb?utm_campaign=1061&amp;utm_source=sheet", "Apply")</f>
        <v>Apply</v>
      </c>
      <c r="C236" s="10" t="s">
        <v>749</v>
      </c>
      <c r="D236" s="56" t="s">
        <v>449</v>
      </c>
      <c r="E236" s="10" t="s">
        <v>65</v>
      </c>
      <c r="F236" s="10" t="s">
        <v>450</v>
      </c>
      <c r="G236" s="10" t="s">
        <v>747</v>
      </c>
      <c r="H236" s="10" t="s">
        <v>55</v>
      </c>
      <c r="J236" s="10" t="s">
        <v>750</v>
      </c>
      <c r="K236" s="10" t="s">
        <v>42</v>
      </c>
    </row>
    <row r="237" ht="15.75" customHeight="1">
      <c r="A237" s="54">
        <v>45487.0</v>
      </c>
      <c r="B237" s="55" t="str">
        <f>HYPERLINK("https://jobright.ai/jobs/info/66744785fa2e16b323fa4d9d?utm_campaign=1061&amp;utm_source=sheet", "Apply")</f>
        <v>Apply</v>
      </c>
      <c r="C237" s="10" t="s">
        <v>751</v>
      </c>
      <c r="D237" s="56" t="s">
        <v>449</v>
      </c>
      <c r="E237" s="10" t="s">
        <v>65</v>
      </c>
      <c r="F237" s="10" t="s">
        <v>450</v>
      </c>
      <c r="G237" s="10" t="s">
        <v>747</v>
      </c>
      <c r="H237" s="10" t="s">
        <v>55</v>
      </c>
      <c r="J237" s="10" t="s">
        <v>752</v>
      </c>
      <c r="K237" s="10" t="s">
        <v>42</v>
      </c>
    </row>
    <row r="238" ht="15.75" customHeight="1">
      <c r="A238" s="54">
        <v>45487.0</v>
      </c>
      <c r="B238" s="55" t="str">
        <f>HYPERLINK("https://jobright.ai/jobs/info/6693a0db8428f8163b1f5cd9?utm_campaign=1061&amp;utm_source=sheet", "Apply")</f>
        <v>Apply</v>
      </c>
      <c r="C238" s="10" t="s">
        <v>753</v>
      </c>
      <c r="D238" s="56" t="s">
        <v>449</v>
      </c>
      <c r="E238" s="10" t="s">
        <v>65</v>
      </c>
      <c r="F238" s="10" t="s">
        <v>450</v>
      </c>
      <c r="G238" s="10" t="s">
        <v>747</v>
      </c>
      <c r="H238" s="10" t="s">
        <v>48</v>
      </c>
      <c r="J238" s="10" t="s">
        <v>754</v>
      </c>
      <c r="K238" s="10" t="s">
        <v>42</v>
      </c>
    </row>
    <row r="239" ht="15.75" customHeight="1">
      <c r="A239" s="54">
        <v>45487.0</v>
      </c>
      <c r="B239" s="55" t="str">
        <f>HYPERLINK("https://jobright.ai/jobs/info/66290234b99347fd601b4ba9?utm_campaign=1061&amp;utm_source=sheet", "Apply")</f>
        <v>Apply</v>
      </c>
      <c r="C239" s="10" t="s">
        <v>755</v>
      </c>
      <c r="D239" s="56" t="s">
        <v>508</v>
      </c>
      <c r="E239" s="10" t="s">
        <v>45</v>
      </c>
      <c r="F239" s="10" t="s">
        <v>46</v>
      </c>
      <c r="G239" s="10" t="s">
        <v>96</v>
      </c>
      <c r="H239" s="10" t="s">
        <v>55</v>
      </c>
      <c r="I239" s="10" t="s">
        <v>509</v>
      </c>
      <c r="J239" s="10" t="s">
        <v>756</v>
      </c>
      <c r="K239" s="10" t="s">
        <v>42</v>
      </c>
    </row>
    <row r="240" ht="15.75" customHeight="1">
      <c r="A240" s="54">
        <v>45486.0</v>
      </c>
      <c r="B240" s="55" t="str">
        <f>HYPERLINK("https://jobright.ai/jobs/info/6692e8602d4832adc6d2ec24?utm_campaign=1061&amp;utm_source=sheet", "Apply")</f>
        <v>Apply</v>
      </c>
      <c r="C240" s="10" t="s">
        <v>94</v>
      </c>
      <c r="D240" s="56" t="s">
        <v>95</v>
      </c>
      <c r="E240" s="10">
        <v>52.0</v>
      </c>
      <c r="G240" s="10" t="s">
        <v>757</v>
      </c>
      <c r="H240" s="10" t="s">
        <v>55</v>
      </c>
      <c r="J240" s="10" t="s">
        <v>758</v>
      </c>
      <c r="K240" s="10" t="s">
        <v>42</v>
      </c>
    </row>
    <row r="241" ht="15.75" customHeight="1">
      <c r="A241" s="54">
        <v>45486.0</v>
      </c>
      <c r="B241" s="55" t="str">
        <f>HYPERLINK("https://jobright.ai/jobs/info/6692e8602d4832adc6d2ec25?utm_campaign=1061&amp;utm_source=sheet", "Apply")</f>
        <v>Apply</v>
      </c>
      <c r="C241" s="10" t="s">
        <v>94</v>
      </c>
      <c r="D241" s="56" t="s">
        <v>95</v>
      </c>
      <c r="E241" s="10">
        <v>52.0</v>
      </c>
      <c r="G241" s="10" t="s">
        <v>423</v>
      </c>
      <c r="H241" s="10" t="s">
        <v>55</v>
      </c>
      <c r="J241" s="10" t="s">
        <v>758</v>
      </c>
      <c r="K241" s="10" t="s">
        <v>42</v>
      </c>
    </row>
    <row r="242" ht="15.75" customHeight="1">
      <c r="A242" s="54">
        <v>45486.0</v>
      </c>
      <c r="B242" s="55" t="str">
        <f>HYPERLINK("https://jobright.ai/jobs/info/6692e8602d4832adc6d2ec23?utm_campaign=1061&amp;utm_source=sheet", "Apply")</f>
        <v>Apply</v>
      </c>
      <c r="C242" s="10" t="s">
        <v>94</v>
      </c>
      <c r="D242" s="56" t="s">
        <v>95</v>
      </c>
      <c r="E242" s="10">
        <v>52.0</v>
      </c>
      <c r="G242" s="10" t="s">
        <v>759</v>
      </c>
      <c r="H242" s="10" t="s">
        <v>55</v>
      </c>
      <c r="J242" s="10" t="s">
        <v>758</v>
      </c>
      <c r="K242" s="10" t="s">
        <v>42</v>
      </c>
    </row>
    <row r="243" ht="15.75" customHeight="1">
      <c r="A243" s="54">
        <v>45486.0</v>
      </c>
      <c r="B243" s="55" t="str">
        <f>HYPERLINK("https://jobright.ai/jobs/info/6692e8602d4832adc6d2ec26?utm_campaign=1061&amp;utm_source=sheet", "Apply")</f>
        <v>Apply</v>
      </c>
      <c r="C243" s="10" t="s">
        <v>94</v>
      </c>
      <c r="D243" s="56" t="s">
        <v>95</v>
      </c>
      <c r="E243" s="10">
        <v>52.0</v>
      </c>
      <c r="G243" s="10" t="s">
        <v>73</v>
      </c>
      <c r="H243" s="10" t="s">
        <v>55</v>
      </c>
      <c r="J243" s="10" t="s">
        <v>758</v>
      </c>
      <c r="K243" s="10" t="s">
        <v>42</v>
      </c>
    </row>
    <row r="244" ht="15.75" customHeight="1">
      <c r="A244" s="54">
        <v>45486.0</v>
      </c>
      <c r="B244" s="55" t="str">
        <f>HYPERLINK("https://jobright.ai/jobs/info/6692e8602d4832adc6d2ec2b?utm_campaign=1061&amp;utm_source=sheet", "Apply")</f>
        <v>Apply</v>
      </c>
      <c r="C244" s="10" t="s">
        <v>94</v>
      </c>
      <c r="D244" s="56" t="s">
        <v>95</v>
      </c>
      <c r="E244" s="10">
        <v>52.0</v>
      </c>
      <c r="G244" s="10" t="s">
        <v>760</v>
      </c>
      <c r="H244" s="10" t="s">
        <v>55</v>
      </c>
      <c r="J244" s="10" t="s">
        <v>758</v>
      </c>
      <c r="K244" s="10" t="s">
        <v>42</v>
      </c>
    </row>
    <row r="245" ht="15.75" customHeight="1">
      <c r="A245" s="54">
        <v>45486.0</v>
      </c>
      <c r="B245" s="55" t="str">
        <f>HYPERLINK("https://jobright.ai/jobs/info/6692e8602d4832adc6d2ec2e?utm_campaign=1061&amp;utm_source=sheet", "Apply")</f>
        <v>Apply</v>
      </c>
      <c r="C245" s="10" t="s">
        <v>94</v>
      </c>
      <c r="D245" s="56" t="s">
        <v>95</v>
      </c>
      <c r="E245" s="10">
        <v>52.0</v>
      </c>
      <c r="G245" s="10" t="s">
        <v>761</v>
      </c>
      <c r="H245" s="10" t="s">
        <v>55</v>
      </c>
      <c r="J245" s="10" t="s">
        <v>758</v>
      </c>
      <c r="K245" s="10" t="s">
        <v>42</v>
      </c>
    </row>
    <row r="246" ht="15.75" customHeight="1">
      <c r="A246" s="54">
        <v>45486.0</v>
      </c>
      <c r="B246" s="55" t="str">
        <f>HYPERLINK("https://jobright.ai/jobs/info/6692e8602d4832adc6d2ec30?utm_campaign=1061&amp;utm_source=sheet", "Apply")</f>
        <v>Apply</v>
      </c>
      <c r="C246" s="10" t="s">
        <v>94</v>
      </c>
      <c r="D246" s="56" t="s">
        <v>95</v>
      </c>
      <c r="E246" s="10">
        <v>52.0</v>
      </c>
      <c r="G246" s="10" t="s">
        <v>762</v>
      </c>
      <c r="H246" s="10" t="s">
        <v>55</v>
      </c>
      <c r="J246" s="10" t="s">
        <v>758</v>
      </c>
      <c r="K246" s="10" t="s">
        <v>42</v>
      </c>
    </row>
    <row r="247" ht="15.75" customHeight="1">
      <c r="A247" s="54">
        <v>45486.0</v>
      </c>
      <c r="B247" s="55" t="str">
        <f>HYPERLINK("https://jobright.ai/jobs/info/6692e8602d4832adc6d2ec31?utm_campaign=1061&amp;utm_source=sheet", "Apply")</f>
        <v>Apply</v>
      </c>
      <c r="C247" s="10" t="s">
        <v>94</v>
      </c>
      <c r="D247" s="56" t="s">
        <v>95</v>
      </c>
      <c r="E247" s="10">
        <v>52.0</v>
      </c>
      <c r="G247" s="10" t="s">
        <v>763</v>
      </c>
      <c r="H247" s="10" t="s">
        <v>55</v>
      </c>
      <c r="J247" s="10" t="s">
        <v>758</v>
      </c>
      <c r="K247" s="10" t="s">
        <v>42</v>
      </c>
    </row>
    <row r="248" ht="15.75" customHeight="1">
      <c r="A248" s="54">
        <v>45486.0</v>
      </c>
      <c r="B248" s="55" t="str">
        <f>HYPERLINK("https://jobright.ai/jobs/info/6692e8602d4832adc6d2ec2d?utm_campaign=1061&amp;utm_source=sheet", "Apply")</f>
        <v>Apply</v>
      </c>
      <c r="C248" s="10" t="s">
        <v>94</v>
      </c>
      <c r="D248" s="56" t="s">
        <v>95</v>
      </c>
      <c r="E248" s="10">
        <v>52.0</v>
      </c>
      <c r="G248" s="10" t="s">
        <v>764</v>
      </c>
      <c r="H248" s="10" t="s">
        <v>55</v>
      </c>
      <c r="J248" s="10" t="s">
        <v>758</v>
      </c>
      <c r="K248" s="10" t="s">
        <v>42</v>
      </c>
    </row>
    <row r="249" ht="15.75" customHeight="1">
      <c r="A249" s="54">
        <v>45486.0</v>
      </c>
      <c r="B249" s="55" t="str">
        <f>HYPERLINK("https://jobright.ai/jobs/info/6692e8602d4832adc6d2ec28?utm_campaign=1061&amp;utm_source=sheet", "Apply")</f>
        <v>Apply</v>
      </c>
      <c r="C249" s="10" t="s">
        <v>94</v>
      </c>
      <c r="D249" s="56" t="s">
        <v>95</v>
      </c>
      <c r="E249" s="10">
        <v>52.0</v>
      </c>
      <c r="G249" s="10" t="s">
        <v>572</v>
      </c>
      <c r="H249" s="10" t="s">
        <v>55</v>
      </c>
      <c r="J249" s="10" t="s">
        <v>758</v>
      </c>
      <c r="K249" s="10" t="s">
        <v>42</v>
      </c>
    </row>
    <row r="250" ht="15.75" customHeight="1">
      <c r="A250" s="54">
        <v>45486.0</v>
      </c>
      <c r="B250" s="55" t="str">
        <f>HYPERLINK("https://jobright.ai/jobs/info/6692e8602d4832adc6d2ec29?utm_campaign=1061&amp;utm_source=sheet", "Apply")</f>
        <v>Apply</v>
      </c>
      <c r="C250" s="10" t="s">
        <v>94</v>
      </c>
      <c r="D250" s="56" t="s">
        <v>95</v>
      </c>
      <c r="E250" s="10">
        <v>52.0</v>
      </c>
      <c r="G250" s="10" t="s">
        <v>765</v>
      </c>
      <c r="H250" s="10" t="s">
        <v>55</v>
      </c>
      <c r="J250" s="10" t="s">
        <v>758</v>
      </c>
      <c r="K250" s="10" t="s">
        <v>42</v>
      </c>
    </row>
    <row r="251" ht="15.75" customHeight="1">
      <c r="A251" s="54">
        <v>45486.0</v>
      </c>
      <c r="B251" s="55" t="str">
        <f>HYPERLINK("https://jobright.ai/jobs/info/6692e8602d4832adc6d2ec27?utm_campaign=1061&amp;utm_source=sheet", "Apply")</f>
        <v>Apply</v>
      </c>
      <c r="C251" s="10" t="s">
        <v>94</v>
      </c>
      <c r="D251" s="56" t="s">
        <v>95</v>
      </c>
      <c r="E251" s="10">
        <v>52.0</v>
      </c>
      <c r="G251" s="10" t="s">
        <v>766</v>
      </c>
      <c r="H251" s="10" t="s">
        <v>55</v>
      </c>
      <c r="J251" s="10" t="s">
        <v>758</v>
      </c>
      <c r="K251" s="10" t="s">
        <v>42</v>
      </c>
    </row>
    <row r="252" ht="15.75" customHeight="1">
      <c r="A252" s="54">
        <v>45486.0</v>
      </c>
      <c r="B252" s="55" t="str">
        <f>HYPERLINK("https://jobright.ai/jobs/info/6692e8602d4832adc6d2ec2c?utm_campaign=1061&amp;utm_source=sheet", "Apply")</f>
        <v>Apply</v>
      </c>
      <c r="C252" s="10" t="s">
        <v>94</v>
      </c>
      <c r="D252" s="56" t="s">
        <v>95</v>
      </c>
      <c r="E252" s="10">
        <v>52.0</v>
      </c>
      <c r="G252" s="10" t="s">
        <v>767</v>
      </c>
      <c r="H252" s="10" t="s">
        <v>55</v>
      </c>
      <c r="J252" s="10" t="s">
        <v>758</v>
      </c>
      <c r="K252" s="10" t="s">
        <v>42</v>
      </c>
    </row>
    <row r="253" ht="15.75" customHeight="1">
      <c r="A253" s="54">
        <v>45486.0</v>
      </c>
      <c r="B253" s="55" t="str">
        <f>HYPERLINK("https://jobright.ai/jobs/info/6692e8602d4832adc6d2ec33?utm_campaign=1061&amp;utm_source=sheet", "Apply")</f>
        <v>Apply</v>
      </c>
      <c r="C253" s="10" t="s">
        <v>94</v>
      </c>
      <c r="D253" s="56" t="s">
        <v>95</v>
      </c>
      <c r="E253" s="10">
        <v>52.0</v>
      </c>
      <c r="G253" s="10" t="s">
        <v>768</v>
      </c>
      <c r="H253" s="10" t="s">
        <v>55</v>
      </c>
      <c r="J253" s="10" t="s">
        <v>758</v>
      </c>
      <c r="K253" s="10" t="s">
        <v>42</v>
      </c>
    </row>
    <row r="254" ht="15.75" customHeight="1">
      <c r="A254" s="54">
        <v>45486.0</v>
      </c>
      <c r="B254" s="55" t="str">
        <f>HYPERLINK("https://jobright.ai/jobs/info/6692e8602d4832adc6d2ec38?utm_campaign=1061&amp;utm_source=sheet", "Apply")</f>
        <v>Apply</v>
      </c>
      <c r="C254" s="10" t="s">
        <v>94</v>
      </c>
      <c r="D254" s="56" t="s">
        <v>95</v>
      </c>
      <c r="E254" s="10">
        <v>52.0</v>
      </c>
      <c r="G254" s="10" t="s">
        <v>769</v>
      </c>
      <c r="H254" s="10" t="s">
        <v>55</v>
      </c>
      <c r="J254" s="10" t="s">
        <v>758</v>
      </c>
      <c r="K254" s="10" t="s">
        <v>42</v>
      </c>
    </row>
    <row r="255" ht="15.75" customHeight="1">
      <c r="A255" s="54">
        <v>45486.0</v>
      </c>
      <c r="B255" s="55" t="str">
        <f>HYPERLINK("https://jobright.ai/jobs/info/6692e8602d4832adc6d2ec36?utm_campaign=1061&amp;utm_source=sheet", "Apply")</f>
        <v>Apply</v>
      </c>
      <c r="C255" s="10" t="s">
        <v>94</v>
      </c>
      <c r="D255" s="56" t="s">
        <v>95</v>
      </c>
      <c r="E255" s="10">
        <v>52.0</v>
      </c>
      <c r="G255" s="10" t="s">
        <v>770</v>
      </c>
      <c r="H255" s="10" t="s">
        <v>55</v>
      </c>
      <c r="J255" s="10" t="s">
        <v>758</v>
      </c>
      <c r="K255" s="10" t="s">
        <v>42</v>
      </c>
    </row>
    <row r="256" ht="15.75" customHeight="1">
      <c r="A256" s="54">
        <v>45486.0</v>
      </c>
      <c r="B256" s="55" t="str">
        <f>HYPERLINK("https://jobright.ai/jobs/info/6692e8602d4832adc6d2ec32?utm_campaign=1061&amp;utm_source=sheet", "Apply")</f>
        <v>Apply</v>
      </c>
      <c r="C256" s="10" t="s">
        <v>94</v>
      </c>
      <c r="D256" s="56" t="s">
        <v>95</v>
      </c>
      <c r="E256" s="10">
        <v>52.0</v>
      </c>
      <c r="G256" s="10" t="s">
        <v>771</v>
      </c>
      <c r="H256" s="10" t="s">
        <v>55</v>
      </c>
      <c r="J256" s="10" t="s">
        <v>758</v>
      </c>
      <c r="K256" s="10" t="s">
        <v>42</v>
      </c>
    </row>
    <row r="257" ht="15.75" customHeight="1">
      <c r="A257" s="54">
        <v>45486.0</v>
      </c>
      <c r="B257" s="55" t="str">
        <f>HYPERLINK("https://jobright.ai/jobs/info/6692e8602d4832adc6d2ec34?utm_campaign=1061&amp;utm_source=sheet", "Apply")</f>
        <v>Apply</v>
      </c>
      <c r="C257" s="10" t="s">
        <v>94</v>
      </c>
      <c r="D257" s="56" t="s">
        <v>95</v>
      </c>
      <c r="E257" s="10">
        <v>52.0</v>
      </c>
      <c r="G257" s="10" t="s">
        <v>772</v>
      </c>
      <c r="H257" s="10" t="s">
        <v>55</v>
      </c>
      <c r="J257" s="10" t="s">
        <v>758</v>
      </c>
      <c r="K257" s="10" t="s">
        <v>42</v>
      </c>
    </row>
    <row r="258" ht="15.75" customHeight="1">
      <c r="A258" s="54">
        <v>45486.0</v>
      </c>
      <c r="B258" s="55" t="str">
        <f>HYPERLINK("https://jobright.ai/jobs/info/6692e8602d4832adc6d2ec35?utm_campaign=1061&amp;utm_source=sheet", "Apply")</f>
        <v>Apply</v>
      </c>
      <c r="C258" s="10" t="s">
        <v>94</v>
      </c>
      <c r="D258" s="56" t="s">
        <v>95</v>
      </c>
      <c r="E258" s="10">
        <v>52.0</v>
      </c>
      <c r="G258" s="10" t="s">
        <v>773</v>
      </c>
      <c r="H258" s="10" t="s">
        <v>55</v>
      </c>
      <c r="J258" s="10" t="s">
        <v>758</v>
      </c>
      <c r="K258" s="10" t="s">
        <v>42</v>
      </c>
    </row>
    <row r="259" ht="15.75" customHeight="1">
      <c r="A259" s="54">
        <v>45486.0</v>
      </c>
      <c r="B259" s="55" t="str">
        <f>HYPERLINK("https://jobright.ai/jobs/info/6692e8602d4832adc6d2ec37?utm_campaign=1061&amp;utm_source=sheet", "Apply")</f>
        <v>Apply</v>
      </c>
      <c r="C259" s="10" t="s">
        <v>94</v>
      </c>
      <c r="D259" s="56" t="s">
        <v>95</v>
      </c>
      <c r="E259" s="10">
        <v>52.0</v>
      </c>
      <c r="G259" s="10" t="s">
        <v>113</v>
      </c>
      <c r="H259" s="10" t="s">
        <v>55</v>
      </c>
      <c r="J259" s="10" t="s">
        <v>758</v>
      </c>
      <c r="K259" s="10" t="s">
        <v>42</v>
      </c>
    </row>
    <row r="260" ht="15.75" customHeight="1">
      <c r="A260" s="54">
        <v>45486.0</v>
      </c>
      <c r="B260" s="55" t="str">
        <f>HYPERLINK("https://jobright.ai/jobs/info/6692e8602d4832adc6d2ec39?utm_campaign=1061&amp;utm_source=sheet", "Apply")</f>
        <v>Apply</v>
      </c>
      <c r="C260" s="10" t="s">
        <v>94</v>
      </c>
      <c r="D260" s="56" t="s">
        <v>95</v>
      </c>
      <c r="E260" s="10">
        <v>52.0</v>
      </c>
      <c r="G260" s="10" t="s">
        <v>774</v>
      </c>
      <c r="H260" s="10" t="s">
        <v>55</v>
      </c>
      <c r="J260" s="10" t="s">
        <v>758</v>
      </c>
      <c r="K260" s="10" t="s">
        <v>42</v>
      </c>
    </row>
    <row r="261" ht="15.75" customHeight="1">
      <c r="A261" s="54">
        <v>45486.0</v>
      </c>
      <c r="B261" s="55" t="str">
        <f>HYPERLINK("https://jobright.ai/jobs/info/6692f72f19f66f5ab2a5c1cf?utm_campaign=1061&amp;utm_source=sheet", "Apply")</f>
        <v>Apply</v>
      </c>
      <c r="C261" s="10" t="s">
        <v>94</v>
      </c>
      <c r="D261" s="56" t="s">
        <v>95</v>
      </c>
      <c r="E261" s="10">
        <v>52.0</v>
      </c>
      <c r="G261" s="10" t="s">
        <v>775</v>
      </c>
      <c r="H261" s="10" t="s">
        <v>55</v>
      </c>
      <c r="J261" s="10" t="s">
        <v>758</v>
      </c>
      <c r="K261" s="10" t="s">
        <v>42</v>
      </c>
    </row>
    <row r="262" ht="15.75" customHeight="1">
      <c r="A262" s="54">
        <v>45486.0</v>
      </c>
      <c r="B262" s="55" t="str">
        <f>HYPERLINK("https://jobright.ai/jobs/info/6692f72f19f66f5ab2a5c1d0?utm_campaign=1061&amp;utm_source=sheet", "Apply")</f>
        <v>Apply</v>
      </c>
      <c r="C262" s="10" t="s">
        <v>94</v>
      </c>
      <c r="D262" s="56" t="s">
        <v>95</v>
      </c>
      <c r="E262" s="10">
        <v>52.0</v>
      </c>
      <c r="G262" s="10" t="s">
        <v>776</v>
      </c>
      <c r="H262" s="10" t="s">
        <v>55</v>
      </c>
      <c r="J262" s="10" t="s">
        <v>758</v>
      </c>
      <c r="K262" s="10" t="s">
        <v>42</v>
      </c>
    </row>
    <row r="263" ht="15.75" customHeight="1">
      <c r="A263" s="54">
        <v>45486.0</v>
      </c>
      <c r="B263" s="55" t="str">
        <f>HYPERLINK("https://jobright.ai/jobs/info/6692f72f19f66f5ab2a5c1d1?utm_campaign=1061&amp;utm_source=sheet", "Apply")</f>
        <v>Apply</v>
      </c>
      <c r="C263" s="10" t="s">
        <v>94</v>
      </c>
      <c r="D263" s="56" t="s">
        <v>95</v>
      </c>
      <c r="E263" s="10">
        <v>52.0</v>
      </c>
      <c r="G263" s="10" t="s">
        <v>777</v>
      </c>
      <c r="H263" s="10" t="s">
        <v>55</v>
      </c>
      <c r="J263" s="10" t="s">
        <v>758</v>
      </c>
      <c r="K263" s="10" t="s">
        <v>42</v>
      </c>
    </row>
    <row r="264" ht="15.75" customHeight="1">
      <c r="A264" s="54">
        <v>45486.0</v>
      </c>
      <c r="B264" s="55" t="str">
        <f>HYPERLINK("https://jobright.ai/jobs/info/6692f72f19f66f5ab2a5c1d3?utm_campaign=1061&amp;utm_source=sheet", "Apply")</f>
        <v>Apply</v>
      </c>
      <c r="C264" s="10" t="s">
        <v>94</v>
      </c>
      <c r="D264" s="56" t="s">
        <v>95</v>
      </c>
      <c r="E264" s="10">
        <v>52.0</v>
      </c>
      <c r="G264" s="10" t="s">
        <v>778</v>
      </c>
      <c r="H264" s="10" t="s">
        <v>55</v>
      </c>
      <c r="J264" s="10" t="s">
        <v>758</v>
      </c>
      <c r="K264" s="10" t="s">
        <v>42</v>
      </c>
    </row>
    <row r="265" ht="15.75" customHeight="1">
      <c r="A265" s="54">
        <v>45486.0</v>
      </c>
      <c r="B265" s="55" t="str">
        <f>HYPERLINK("https://jobright.ai/jobs/info/6692f72f19f66f5ab2a5c1d2?utm_campaign=1061&amp;utm_source=sheet", "Apply")</f>
        <v>Apply</v>
      </c>
      <c r="C265" s="10" t="s">
        <v>94</v>
      </c>
      <c r="D265" s="56" t="s">
        <v>95</v>
      </c>
      <c r="E265" s="10">
        <v>52.0</v>
      </c>
      <c r="G265" s="10" t="s">
        <v>411</v>
      </c>
      <c r="H265" s="10" t="s">
        <v>55</v>
      </c>
      <c r="J265" s="10" t="s">
        <v>758</v>
      </c>
      <c r="K265" s="10" t="s">
        <v>42</v>
      </c>
    </row>
    <row r="266" ht="15.75" customHeight="1">
      <c r="A266" s="54">
        <v>45486.0</v>
      </c>
      <c r="B266" s="55" t="str">
        <f>HYPERLINK("https://jobright.ai/jobs/info/6692f72f19f66f5ab2a5c1d7?utm_campaign=1061&amp;utm_source=sheet", "Apply")</f>
        <v>Apply</v>
      </c>
      <c r="C266" s="10" t="s">
        <v>94</v>
      </c>
      <c r="D266" s="56" t="s">
        <v>95</v>
      </c>
      <c r="E266" s="10">
        <v>52.0</v>
      </c>
      <c r="G266" s="10" t="s">
        <v>779</v>
      </c>
      <c r="H266" s="10" t="s">
        <v>55</v>
      </c>
      <c r="J266" s="10" t="s">
        <v>758</v>
      </c>
      <c r="K266" s="10" t="s">
        <v>42</v>
      </c>
    </row>
    <row r="267" ht="15.75" customHeight="1">
      <c r="A267" s="54">
        <v>45486.0</v>
      </c>
      <c r="B267" s="55" t="str">
        <f>HYPERLINK("https://jobright.ai/jobs/info/6692f72f19f66f5ab2a5c1d6?utm_campaign=1061&amp;utm_source=sheet", "Apply")</f>
        <v>Apply</v>
      </c>
      <c r="C267" s="10" t="s">
        <v>94</v>
      </c>
      <c r="D267" s="56" t="s">
        <v>95</v>
      </c>
      <c r="E267" s="10">
        <v>52.0</v>
      </c>
      <c r="G267" s="10" t="s">
        <v>780</v>
      </c>
      <c r="H267" s="10" t="s">
        <v>55</v>
      </c>
      <c r="J267" s="10" t="s">
        <v>758</v>
      </c>
      <c r="K267" s="10" t="s">
        <v>42</v>
      </c>
    </row>
    <row r="268" ht="15.75" customHeight="1">
      <c r="A268" s="54">
        <v>45486.0</v>
      </c>
      <c r="B268" s="55" t="str">
        <f>HYPERLINK("https://jobright.ai/jobs/info/6692f72f19f66f5ab2a5c1d8?utm_campaign=1061&amp;utm_source=sheet", "Apply")</f>
        <v>Apply</v>
      </c>
      <c r="C268" s="10" t="s">
        <v>94</v>
      </c>
      <c r="D268" s="56" t="s">
        <v>95</v>
      </c>
      <c r="E268" s="10">
        <v>52.0</v>
      </c>
      <c r="G268" s="10" t="s">
        <v>781</v>
      </c>
      <c r="H268" s="10" t="s">
        <v>55</v>
      </c>
      <c r="J268" s="10" t="s">
        <v>758</v>
      </c>
      <c r="K268" s="10" t="s">
        <v>42</v>
      </c>
    </row>
    <row r="269" ht="15.75" customHeight="1">
      <c r="A269" s="54">
        <v>45486.0</v>
      </c>
      <c r="B269" s="55" t="str">
        <f>HYPERLINK("https://jobright.ai/jobs/info/6692f72f19f66f5ab2a5c1d9?utm_campaign=1061&amp;utm_source=sheet", "Apply")</f>
        <v>Apply</v>
      </c>
      <c r="C269" s="10" t="s">
        <v>94</v>
      </c>
      <c r="D269" s="56" t="s">
        <v>95</v>
      </c>
      <c r="E269" s="10">
        <v>52.0</v>
      </c>
      <c r="G269" s="10" t="s">
        <v>782</v>
      </c>
      <c r="H269" s="10" t="s">
        <v>55</v>
      </c>
      <c r="J269" s="10" t="s">
        <v>758</v>
      </c>
      <c r="K269" s="10" t="s">
        <v>42</v>
      </c>
    </row>
    <row r="270" ht="15.75" customHeight="1">
      <c r="A270" s="54">
        <v>45486.0</v>
      </c>
      <c r="B270" s="55" t="str">
        <f>HYPERLINK("https://jobright.ai/jobs/info/6692f72f19f66f5ab2a5c1d5?utm_campaign=1061&amp;utm_source=sheet", "Apply")</f>
        <v>Apply</v>
      </c>
      <c r="C270" s="10" t="s">
        <v>94</v>
      </c>
      <c r="D270" s="56" t="s">
        <v>95</v>
      </c>
      <c r="E270" s="10">
        <v>52.0</v>
      </c>
      <c r="G270" s="10" t="s">
        <v>783</v>
      </c>
      <c r="H270" s="10" t="s">
        <v>55</v>
      </c>
      <c r="J270" s="10" t="s">
        <v>758</v>
      </c>
      <c r="K270" s="10" t="s">
        <v>42</v>
      </c>
    </row>
    <row r="271" ht="15.75" customHeight="1">
      <c r="A271" s="54">
        <v>45486.0</v>
      </c>
      <c r="B271" s="55" t="str">
        <f>HYPERLINK("https://jobright.ai/jobs/info/6692f72f19f66f5ab2a5c1d4?utm_campaign=1061&amp;utm_source=sheet", "Apply")</f>
        <v>Apply</v>
      </c>
      <c r="C271" s="10" t="s">
        <v>94</v>
      </c>
      <c r="D271" s="56" t="s">
        <v>95</v>
      </c>
      <c r="E271" s="10">
        <v>52.0</v>
      </c>
      <c r="G271" s="10" t="s">
        <v>784</v>
      </c>
      <c r="H271" s="10" t="s">
        <v>55</v>
      </c>
      <c r="J271" s="10" t="s">
        <v>758</v>
      </c>
      <c r="K271" s="10" t="s">
        <v>42</v>
      </c>
    </row>
    <row r="272" ht="15.75" customHeight="1">
      <c r="A272" s="54">
        <v>45486.0</v>
      </c>
      <c r="B272" s="55" t="str">
        <f>HYPERLINK("https://jobright.ai/jobs/info/66934a6c061df10730f34f73?utm_campaign=1061&amp;utm_source=sheet", "Apply")</f>
        <v>Apply</v>
      </c>
      <c r="C272" s="10" t="s">
        <v>94</v>
      </c>
      <c r="D272" s="56" t="s">
        <v>95</v>
      </c>
      <c r="E272" s="10">
        <v>52.0</v>
      </c>
      <c r="G272" s="10" t="s">
        <v>785</v>
      </c>
      <c r="H272" s="10" t="s">
        <v>55</v>
      </c>
      <c r="J272" s="10" t="s">
        <v>758</v>
      </c>
      <c r="K272" s="10" t="s">
        <v>42</v>
      </c>
    </row>
    <row r="273" ht="15.75" customHeight="1">
      <c r="A273" s="54">
        <v>45486.0</v>
      </c>
      <c r="B273" s="55" t="str">
        <f>HYPERLINK("https://jobright.ai/jobs/info/66934a6c061df10730f34fae?utm_campaign=1061&amp;utm_source=sheet", "Apply")</f>
        <v>Apply</v>
      </c>
      <c r="C273" s="10" t="s">
        <v>94</v>
      </c>
      <c r="D273" s="56" t="s">
        <v>95</v>
      </c>
      <c r="E273" s="10">
        <v>52.0</v>
      </c>
      <c r="G273" s="10" t="s">
        <v>786</v>
      </c>
      <c r="H273" s="10" t="s">
        <v>55</v>
      </c>
      <c r="J273" s="10" t="s">
        <v>758</v>
      </c>
      <c r="K273" s="10" t="s">
        <v>42</v>
      </c>
    </row>
    <row r="274" ht="15.75" customHeight="1">
      <c r="A274" s="54">
        <v>45486.0</v>
      </c>
      <c r="B274" s="55" t="str">
        <f>HYPERLINK("https://jobright.ai/jobs/info/66934a72061df10730f34ff1?utm_campaign=1061&amp;utm_source=sheet", "Apply")</f>
        <v>Apply</v>
      </c>
      <c r="C274" s="10" t="s">
        <v>94</v>
      </c>
      <c r="D274" s="56" t="s">
        <v>95</v>
      </c>
      <c r="E274" s="10">
        <v>52.0</v>
      </c>
      <c r="G274" s="10" t="s">
        <v>787</v>
      </c>
      <c r="H274" s="10" t="s">
        <v>55</v>
      </c>
      <c r="J274" s="10" t="s">
        <v>758</v>
      </c>
      <c r="K274" s="10" t="s">
        <v>42</v>
      </c>
    </row>
    <row r="275" ht="15.75" customHeight="1">
      <c r="A275" s="54">
        <v>45486.0</v>
      </c>
      <c r="B275" s="55" t="str">
        <f>HYPERLINK("https://jobright.ai/jobs/info/66934a7f061df10730f35173?utm_campaign=1061&amp;utm_source=sheet", "Apply")</f>
        <v>Apply</v>
      </c>
      <c r="C275" s="10" t="s">
        <v>94</v>
      </c>
      <c r="D275" s="56" t="s">
        <v>95</v>
      </c>
      <c r="E275" s="10">
        <v>52.0</v>
      </c>
      <c r="G275" s="10" t="s">
        <v>788</v>
      </c>
      <c r="H275" s="10" t="s">
        <v>55</v>
      </c>
      <c r="J275" s="10" t="s">
        <v>758</v>
      </c>
      <c r="K275" s="10" t="s">
        <v>42</v>
      </c>
    </row>
    <row r="276" ht="15.75" customHeight="1">
      <c r="A276" s="54">
        <v>45486.0</v>
      </c>
      <c r="B276" s="55" t="str">
        <f>HYPERLINK("https://jobright.ai/jobs/info/66934a7f061df10730f351b3?utm_campaign=1061&amp;utm_source=sheet", "Apply")</f>
        <v>Apply</v>
      </c>
      <c r="C276" s="10" t="s">
        <v>94</v>
      </c>
      <c r="D276" s="56" t="s">
        <v>95</v>
      </c>
      <c r="E276" s="10">
        <v>52.0</v>
      </c>
      <c r="G276" s="10" t="s">
        <v>789</v>
      </c>
      <c r="H276" s="10" t="s">
        <v>55</v>
      </c>
      <c r="J276" s="10" t="s">
        <v>758</v>
      </c>
      <c r="K276" s="10" t="s">
        <v>42</v>
      </c>
    </row>
    <row r="277" ht="15.75" customHeight="1">
      <c r="A277" s="54">
        <v>45486.0</v>
      </c>
      <c r="B277" s="55" t="str">
        <f>HYPERLINK("https://jobright.ai/jobs/info/66934a7f061df10730f351ae?utm_campaign=1061&amp;utm_source=sheet", "Apply")</f>
        <v>Apply</v>
      </c>
      <c r="C277" s="10" t="s">
        <v>94</v>
      </c>
      <c r="D277" s="56" t="s">
        <v>95</v>
      </c>
      <c r="E277" s="10">
        <v>52.0</v>
      </c>
      <c r="G277" s="10" t="s">
        <v>790</v>
      </c>
      <c r="H277" s="10" t="s">
        <v>55</v>
      </c>
      <c r="J277" s="10" t="s">
        <v>758</v>
      </c>
      <c r="K277" s="10" t="s">
        <v>42</v>
      </c>
    </row>
    <row r="278" ht="15.75" customHeight="1">
      <c r="A278" s="54">
        <v>45486.0</v>
      </c>
      <c r="B278" s="55" t="str">
        <f>HYPERLINK("https://jobright.ai/jobs/info/66934a7f061df10730f351b2?utm_campaign=1061&amp;utm_source=sheet", "Apply")</f>
        <v>Apply</v>
      </c>
      <c r="C278" s="10" t="s">
        <v>94</v>
      </c>
      <c r="D278" s="56" t="s">
        <v>95</v>
      </c>
      <c r="E278" s="10">
        <v>52.0</v>
      </c>
      <c r="G278" s="10" t="s">
        <v>791</v>
      </c>
      <c r="H278" s="10" t="s">
        <v>55</v>
      </c>
      <c r="J278" s="10" t="s">
        <v>758</v>
      </c>
      <c r="K278" s="10" t="s">
        <v>42</v>
      </c>
    </row>
    <row r="279" ht="15.75" customHeight="1">
      <c r="A279" s="54">
        <v>45486.0</v>
      </c>
      <c r="B279" s="55" t="str">
        <f>HYPERLINK("https://jobright.ai/jobs/info/66934a9b061df10730f35527?utm_campaign=1061&amp;utm_source=sheet", "Apply")</f>
        <v>Apply</v>
      </c>
      <c r="C279" s="10" t="s">
        <v>94</v>
      </c>
      <c r="D279" s="56" t="s">
        <v>95</v>
      </c>
      <c r="E279" s="10">
        <v>52.0</v>
      </c>
      <c r="G279" s="10" t="s">
        <v>792</v>
      </c>
      <c r="H279" s="10" t="s">
        <v>55</v>
      </c>
      <c r="J279" s="10" t="s">
        <v>758</v>
      </c>
      <c r="K279" s="10" t="s">
        <v>42</v>
      </c>
    </row>
    <row r="280" ht="15.75" customHeight="1">
      <c r="A280" s="54">
        <v>45486.0</v>
      </c>
      <c r="B280" s="55" t="str">
        <f>HYPERLINK("https://jobright.ai/jobs/info/66934a9b061df10730f3553a?utm_campaign=1061&amp;utm_source=sheet", "Apply")</f>
        <v>Apply</v>
      </c>
      <c r="C280" s="10" t="s">
        <v>94</v>
      </c>
      <c r="D280" s="56" t="s">
        <v>95</v>
      </c>
      <c r="E280" s="10">
        <v>52.0</v>
      </c>
      <c r="G280" s="10" t="s">
        <v>793</v>
      </c>
      <c r="H280" s="10" t="s">
        <v>55</v>
      </c>
      <c r="J280" s="10" t="s">
        <v>758</v>
      </c>
      <c r="K280" s="10" t="s">
        <v>42</v>
      </c>
    </row>
    <row r="281" ht="15.75" customHeight="1">
      <c r="A281" s="54">
        <v>45486.0</v>
      </c>
      <c r="B281" s="55" t="str">
        <f>HYPERLINK("https://jobright.ai/jobs/info/66934a9b061df10730f3553c?utm_campaign=1061&amp;utm_source=sheet", "Apply")</f>
        <v>Apply</v>
      </c>
      <c r="C281" s="10" t="s">
        <v>94</v>
      </c>
      <c r="D281" s="56" t="s">
        <v>95</v>
      </c>
      <c r="E281" s="10">
        <v>52.0</v>
      </c>
      <c r="G281" s="10" t="s">
        <v>794</v>
      </c>
      <c r="H281" s="10" t="s">
        <v>55</v>
      </c>
      <c r="J281" s="10" t="s">
        <v>758</v>
      </c>
      <c r="K281" s="10" t="s">
        <v>42</v>
      </c>
    </row>
    <row r="282" ht="15.75" customHeight="1">
      <c r="A282" s="54">
        <v>45486.0</v>
      </c>
      <c r="B282" s="55" t="str">
        <f>HYPERLINK("https://jobright.ai/jobs/info/66934a9b061df10730f35542?utm_campaign=1061&amp;utm_source=sheet", "Apply")</f>
        <v>Apply</v>
      </c>
      <c r="C282" s="10" t="s">
        <v>94</v>
      </c>
      <c r="D282" s="56" t="s">
        <v>95</v>
      </c>
      <c r="E282" s="10">
        <v>52.0</v>
      </c>
      <c r="G282" s="10" t="s">
        <v>795</v>
      </c>
      <c r="H282" s="10" t="s">
        <v>55</v>
      </c>
      <c r="J282" s="10" t="s">
        <v>758</v>
      </c>
      <c r="K282" s="10" t="s">
        <v>42</v>
      </c>
    </row>
    <row r="283" ht="15.75" customHeight="1">
      <c r="A283" s="54">
        <v>45486.0</v>
      </c>
      <c r="B283" s="55" t="str">
        <f>HYPERLINK("https://jobright.ai/jobs/info/669346c63d50f518dc694bb3?utm_campaign=1061&amp;utm_source=sheet", "Apply")</f>
        <v>Apply</v>
      </c>
      <c r="C283" s="10" t="s">
        <v>94</v>
      </c>
      <c r="D283" s="56" t="s">
        <v>95</v>
      </c>
      <c r="E283" s="10">
        <v>52.0</v>
      </c>
      <c r="G283" s="10" t="s">
        <v>796</v>
      </c>
      <c r="H283" s="10" t="s">
        <v>55</v>
      </c>
      <c r="J283" s="10" t="s">
        <v>758</v>
      </c>
      <c r="K283" s="10" t="s">
        <v>42</v>
      </c>
    </row>
    <row r="284" ht="15.75" customHeight="1">
      <c r="A284" s="54">
        <v>45486.0</v>
      </c>
      <c r="B284" s="55" t="str">
        <f>HYPERLINK("https://jobright.ai/jobs/info/669346c63d50f518dc694bf4?utm_campaign=1061&amp;utm_source=sheet", "Apply")</f>
        <v>Apply</v>
      </c>
      <c r="C284" s="10" t="s">
        <v>94</v>
      </c>
      <c r="D284" s="56" t="s">
        <v>95</v>
      </c>
      <c r="E284" s="10">
        <v>52.0</v>
      </c>
      <c r="G284" s="10" t="s">
        <v>797</v>
      </c>
      <c r="H284" s="10" t="s">
        <v>55</v>
      </c>
      <c r="J284" s="10" t="s">
        <v>758</v>
      </c>
      <c r="K284" s="10" t="s">
        <v>42</v>
      </c>
    </row>
    <row r="285" ht="15.75" customHeight="1">
      <c r="A285" s="54">
        <v>45486.0</v>
      </c>
      <c r="B285" s="55" t="str">
        <f>HYPERLINK("https://jobright.ai/jobs/info/669346d63d50f518dc694cd7?utm_campaign=1061&amp;utm_source=sheet", "Apply")</f>
        <v>Apply</v>
      </c>
      <c r="C285" s="10" t="s">
        <v>94</v>
      </c>
      <c r="D285" s="56" t="s">
        <v>95</v>
      </c>
      <c r="E285" s="10">
        <v>52.0</v>
      </c>
      <c r="G285" s="10" t="s">
        <v>798</v>
      </c>
      <c r="H285" s="10" t="s">
        <v>55</v>
      </c>
      <c r="J285" s="10" t="s">
        <v>758</v>
      </c>
      <c r="K285" s="10" t="s">
        <v>42</v>
      </c>
    </row>
    <row r="286" ht="15.75" customHeight="1">
      <c r="A286" s="54">
        <v>45486.0</v>
      </c>
      <c r="B286" s="55" t="str">
        <f>HYPERLINK("https://jobright.ai/jobs/info/669346d63d50f518dc694d5c?utm_campaign=1061&amp;utm_source=sheet", "Apply")</f>
        <v>Apply</v>
      </c>
      <c r="C286" s="10" t="s">
        <v>94</v>
      </c>
      <c r="D286" s="56" t="s">
        <v>95</v>
      </c>
      <c r="E286" s="10">
        <v>52.0</v>
      </c>
      <c r="G286" s="10" t="s">
        <v>391</v>
      </c>
      <c r="H286" s="10" t="s">
        <v>55</v>
      </c>
      <c r="J286" s="10" t="s">
        <v>758</v>
      </c>
      <c r="K286" s="10" t="s">
        <v>42</v>
      </c>
    </row>
    <row r="287" ht="15.75" customHeight="1">
      <c r="A287" s="54">
        <v>45486.0</v>
      </c>
      <c r="B287" s="55" t="str">
        <f>HYPERLINK("https://jobright.ai/jobs/info/669346d63d50f518dc694d54?utm_campaign=1061&amp;utm_source=sheet", "Apply")</f>
        <v>Apply</v>
      </c>
      <c r="C287" s="10" t="s">
        <v>94</v>
      </c>
      <c r="D287" s="56" t="s">
        <v>95</v>
      </c>
      <c r="E287" s="10">
        <v>52.0</v>
      </c>
      <c r="G287" s="10" t="s">
        <v>799</v>
      </c>
      <c r="H287" s="10" t="s">
        <v>55</v>
      </c>
      <c r="J287" s="10" t="s">
        <v>758</v>
      </c>
      <c r="K287" s="10" t="s">
        <v>42</v>
      </c>
    </row>
    <row r="288" ht="15.75" customHeight="1">
      <c r="A288" s="54">
        <v>45486.0</v>
      </c>
      <c r="B288" s="55" t="str">
        <f>HYPERLINK("https://jobright.ai/jobs/info/669346d63d50f518dc694d7a?utm_campaign=1061&amp;utm_source=sheet", "Apply")</f>
        <v>Apply</v>
      </c>
      <c r="C288" s="10" t="s">
        <v>94</v>
      </c>
      <c r="D288" s="56" t="s">
        <v>95</v>
      </c>
      <c r="E288" s="10">
        <v>52.0</v>
      </c>
      <c r="G288" s="10" t="s">
        <v>800</v>
      </c>
      <c r="H288" s="10" t="s">
        <v>55</v>
      </c>
      <c r="J288" s="10" t="s">
        <v>758</v>
      </c>
      <c r="K288" s="10" t="s">
        <v>42</v>
      </c>
    </row>
    <row r="289" ht="15.75" customHeight="1">
      <c r="A289" s="54">
        <v>45486.0</v>
      </c>
      <c r="B289" s="55" t="str">
        <f>HYPERLINK("https://jobright.ai/jobs/info/669346e53d50f518dc694ea8?utm_campaign=1061&amp;utm_source=sheet", "Apply")</f>
        <v>Apply</v>
      </c>
      <c r="C289" s="10" t="s">
        <v>94</v>
      </c>
      <c r="D289" s="56" t="s">
        <v>95</v>
      </c>
      <c r="E289" s="10">
        <v>52.0</v>
      </c>
      <c r="G289" s="10" t="s">
        <v>232</v>
      </c>
      <c r="H289" s="10" t="s">
        <v>55</v>
      </c>
      <c r="J289" s="10" t="s">
        <v>758</v>
      </c>
      <c r="K289" s="10" t="s">
        <v>42</v>
      </c>
    </row>
    <row r="290" ht="15.75" customHeight="1">
      <c r="A290" s="54">
        <v>45486.0</v>
      </c>
      <c r="B290" s="55" t="str">
        <f>HYPERLINK("https://jobright.ai/jobs/info/669346e53d50f518dc694ed3?utm_campaign=1061&amp;utm_source=sheet", "Apply")</f>
        <v>Apply</v>
      </c>
      <c r="C290" s="10" t="s">
        <v>94</v>
      </c>
      <c r="D290" s="56" t="s">
        <v>95</v>
      </c>
      <c r="E290" s="10">
        <v>52.0</v>
      </c>
      <c r="G290" s="10" t="s">
        <v>801</v>
      </c>
      <c r="H290" s="10" t="s">
        <v>55</v>
      </c>
      <c r="J290" s="10" t="s">
        <v>758</v>
      </c>
      <c r="K290" s="10" t="s">
        <v>42</v>
      </c>
    </row>
    <row r="291" ht="15.75" customHeight="1">
      <c r="A291" s="54">
        <v>45486.0</v>
      </c>
      <c r="B291" s="55" t="str">
        <f>HYPERLINK("https://jobright.ai/jobs/info/6692f21a2b51f9106d932fe9?utm_campaign=1061&amp;utm_source=sheet", "Apply")</f>
        <v>Apply</v>
      </c>
      <c r="C291" s="10" t="s">
        <v>94</v>
      </c>
      <c r="D291" s="56" t="s">
        <v>95</v>
      </c>
      <c r="E291" s="10">
        <v>52.0</v>
      </c>
      <c r="G291" s="10" t="s">
        <v>802</v>
      </c>
      <c r="H291" s="10" t="s">
        <v>55</v>
      </c>
      <c r="J291" s="10" t="s">
        <v>758</v>
      </c>
      <c r="K291" s="10" t="s">
        <v>42</v>
      </c>
    </row>
    <row r="292" ht="15.75" customHeight="1">
      <c r="A292" s="54">
        <v>45486.0</v>
      </c>
      <c r="B292" s="55" t="str">
        <f>HYPERLINK("https://jobright.ai/jobs/info/6692f21a2b51f9106d932fea?utm_campaign=1061&amp;utm_source=sheet", "Apply")</f>
        <v>Apply</v>
      </c>
      <c r="C292" s="10" t="s">
        <v>94</v>
      </c>
      <c r="D292" s="56" t="s">
        <v>95</v>
      </c>
      <c r="E292" s="10">
        <v>52.0</v>
      </c>
      <c r="G292" s="10" t="s">
        <v>803</v>
      </c>
      <c r="H292" s="10" t="s">
        <v>55</v>
      </c>
      <c r="J292" s="10" t="s">
        <v>758</v>
      </c>
      <c r="K292" s="10" t="s">
        <v>42</v>
      </c>
    </row>
    <row r="293" ht="15.75" customHeight="1">
      <c r="A293" s="54">
        <v>45486.0</v>
      </c>
      <c r="B293" s="55" t="str">
        <f>HYPERLINK("https://jobright.ai/jobs/info/6692f21a2b51f9106d932feb?utm_campaign=1061&amp;utm_source=sheet", "Apply")</f>
        <v>Apply</v>
      </c>
      <c r="C293" s="10" t="s">
        <v>94</v>
      </c>
      <c r="D293" s="56" t="s">
        <v>95</v>
      </c>
      <c r="E293" s="10">
        <v>52.0</v>
      </c>
      <c r="G293" s="10" t="s">
        <v>167</v>
      </c>
      <c r="H293" s="10" t="s">
        <v>55</v>
      </c>
      <c r="J293" s="10" t="s">
        <v>758</v>
      </c>
      <c r="K293" s="10" t="s">
        <v>42</v>
      </c>
    </row>
    <row r="294" ht="15.75" customHeight="1">
      <c r="A294" s="54">
        <v>45486.0</v>
      </c>
      <c r="B294" s="55" t="str">
        <f>HYPERLINK("https://jobright.ai/jobs/info/6692f21a2b51f9106d932fec?utm_campaign=1061&amp;utm_source=sheet", "Apply")</f>
        <v>Apply</v>
      </c>
      <c r="C294" s="10" t="s">
        <v>94</v>
      </c>
      <c r="D294" s="56" t="s">
        <v>95</v>
      </c>
      <c r="E294" s="10">
        <v>52.0</v>
      </c>
      <c r="G294" s="10" t="s">
        <v>804</v>
      </c>
      <c r="H294" s="10" t="s">
        <v>55</v>
      </c>
      <c r="J294" s="10" t="s">
        <v>758</v>
      </c>
      <c r="K294" s="10" t="s">
        <v>42</v>
      </c>
    </row>
    <row r="295" ht="15.75" customHeight="1">
      <c r="A295" s="54">
        <v>45486.0</v>
      </c>
      <c r="B295" s="55" t="str">
        <f>HYPERLINK("https://jobright.ai/jobs/info/6692f21a2b51f9106d932fee?utm_campaign=1061&amp;utm_source=sheet", "Apply")</f>
        <v>Apply</v>
      </c>
      <c r="C295" s="10" t="s">
        <v>94</v>
      </c>
      <c r="D295" s="56" t="s">
        <v>95</v>
      </c>
      <c r="E295" s="10">
        <v>52.0</v>
      </c>
      <c r="G295" s="10" t="s">
        <v>805</v>
      </c>
      <c r="H295" s="10" t="s">
        <v>55</v>
      </c>
      <c r="J295" s="10" t="s">
        <v>758</v>
      </c>
      <c r="K295" s="10" t="s">
        <v>42</v>
      </c>
    </row>
    <row r="296" ht="15.75" customHeight="1">
      <c r="A296" s="54">
        <v>45486.0</v>
      </c>
      <c r="B296" s="55" t="str">
        <f>HYPERLINK("https://jobright.ai/jobs/info/6692f21a2b51f9106d932fef?utm_campaign=1061&amp;utm_source=sheet", "Apply")</f>
        <v>Apply</v>
      </c>
      <c r="C296" s="10" t="s">
        <v>94</v>
      </c>
      <c r="D296" s="56" t="s">
        <v>95</v>
      </c>
      <c r="E296" s="10">
        <v>52.0</v>
      </c>
      <c r="G296" s="10" t="s">
        <v>806</v>
      </c>
      <c r="H296" s="10" t="s">
        <v>55</v>
      </c>
      <c r="J296" s="10" t="s">
        <v>758</v>
      </c>
      <c r="K296" s="10" t="s">
        <v>42</v>
      </c>
    </row>
    <row r="297" ht="15.75" customHeight="1">
      <c r="A297" s="54">
        <v>45486.0</v>
      </c>
      <c r="B297" s="55" t="str">
        <f>HYPERLINK("https://jobright.ai/jobs/info/6692f21a2b51f9106d932fed?utm_campaign=1061&amp;utm_source=sheet", "Apply")</f>
        <v>Apply</v>
      </c>
      <c r="C297" s="10" t="s">
        <v>94</v>
      </c>
      <c r="D297" s="56" t="s">
        <v>95</v>
      </c>
      <c r="E297" s="10">
        <v>52.0</v>
      </c>
      <c r="G297" s="10" t="s">
        <v>807</v>
      </c>
      <c r="H297" s="10" t="s">
        <v>55</v>
      </c>
      <c r="J297" s="10" t="s">
        <v>758</v>
      </c>
      <c r="K297" s="10" t="s">
        <v>42</v>
      </c>
    </row>
    <row r="298" ht="15.75" customHeight="1">
      <c r="A298" s="54">
        <v>45486.0</v>
      </c>
      <c r="B298" s="55" t="str">
        <f>HYPERLINK("https://jobright.ai/jobs/info/6692f21a2b51f9106d932ff0?utm_campaign=1061&amp;utm_source=sheet", "Apply")</f>
        <v>Apply</v>
      </c>
      <c r="C298" s="10" t="s">
        <v>94</v>
      </c>
      <c r="D298" s="56" t="s">
        <v>95</v>
      </c>
      <c r="E298" s="10">
        <v>52.0</v>
      </c>
      <c r="G298" s="10" t="s">
        <v>808</v>
      </c>
      <c r="H298" s="10" t="s">
        <v>55</v>
      </c>
      <c r="J298" s="10" t="s">
        <v>758</v>
      </c>
      <c r="K298" s="10" t="s">
        <v>42</v>
      </c>
    </row>
    <row r="299" ht="15.75" customHeight="1">
      <c r="A299" s="54">
        <v>45486.0</v>
      </c>
      <c r="B299" s="55" t="str">
        <f>HYPERLINK("https://jobright.ai/jobs/info/6692f21a2b51f9106d932ff1?utm_campaign=1061&amp;utm_source=sheet", "Apply")</f>
        <v>Apply</v>
      </c>
      <c r="C299" s="10" t="s">
        <v>94</v>
      </c>
      <c r="D299" s="56" t="s">
        <v>95</v>
      </c>
      <c r="E299" s="10">
        <v>52.0</v>
      </c>
      <c r="G299" s="10" t="s">
        <v>809</v>
      </c>
      <c r="H299" s="10" t="s">
        <v>55</v>
      </c>
      <c r="J299" s="10" t="s">
        <v>758</v>
      </c>
      <c r="K299" s="10" t="s">
        <v>42</v>
      </c>
    </row>
    <row r="300" ht="15.75" customHeight="1">
      <c r="A300" s="54">
        <v>45486.0</v>
      </c>
      <c r="B300" s="55" t="str">
        <f>HYPERLINK("https://jobright.ai/jobs/info/6692f21a2b51f9106d932ff3?utm_campaign=1061&amp;utm_source=sheet", "Apply")</f>
        <v>Apply</v>
      </c>
      <c r="C300" s="10" t="s">
        <v>94</v>
      </c>
      <c r="D300" s="56" t="s">
        <v>95</v>
      </c>
      <c r="E300" s="10">
        <v>52.0</v>
      </c>
      <c r="G300" s="10" t="s">
        <v>810</v>
      </c>
      <c r="H300" s="10" t="s">
        <v>55</v>
      </c>
      <c r="J300" s="10" t="s">
        <v>758</v>
      </c>
      <c r="K300" s="10" t="s">
        <v>42</v>
      </c>
    </row>
    <row r="301" ht="15.75" customHeight="1">
      <c r="A301" s="54">
        <v>45486.0</v>
      </c>
      <c r="B301" s="55" t="str">
        <f>HYPERLINK("https://jobright.ai/jobs/info/6692f21a2b51f9106d932ff2?utm_campaign=1061&amp;utm_source=sheet", "Apply")</f>
        <v>Apply</v>
      </c>
      <c r="C301" s="10" t="s">
        <v>94</v>
      </c>
      <c r="D301" s="56" t="s">
        <v>95</v>
      </c>
      <c r="E301" s="10">
        <v>52.0</v>
      </c>
      <c r="G301" s="10" t="s">
        <v>811</v>
      </c>
      <c r="H301" s="10" t="s">
        <v>55</v>
      </c>
      <c r="J301" s="10" t="s">
        <v>758</v>
      </c>
      <c r="K301" s="10" t="s">
        <v>42</v>
      </c>
    </row>
    <row r="302" ht="15.75" customHeight="1">
      <c r="A302" s="54">
        <v>45486.0</v>
      </c>
      <c r="B302" s="55" t="str">
        <f>HYPERLINK("https://jobright.ai/jobs/info/6692f21c2b51f9106d933003?utm_campaign=1061&amp;utm_source=sheet", "Apply")</f>
        <v>Apply</v>
      </c>
      <c r="C302" s="10" t="s">
        <v>94</v>
      </c>
      <c r="D302" s="56" t="s">
        <v>95</v>
      </c>
      <c r="E302" s="10">
        <v>52.0</v>
      </c>
      <c r="G302" s="10" t="s">
        <v>812</v>
      </c>
      <c r="H302" s="10" t="s">
        <v>55</v>
      </c>
      <c r="J302" s="10" t="s">
        <v>758</v>
      </c>
      <c r="K302" s="10" t="s">
        <v>42</v>
      </c>
    </row>
    <row r="303" ht="15.75" customHeight="1">
      <c r="A303" s="54">
        <v>45486.0</v>
      </c>
      <c r="B303" s="55" t="str">
        <f>HYPERLINK("https://jobright.ai/jobs/info/6692f21c2b51f9106d932fff?utm_campaign=1061&amp;utm_source=sheet", "Apply")</f>
        <v>Apply</v>
      </c>
      <c r="C303" s="10" t="s">
        <v>94</v>
      </c>
      <c r="D303" s="56" t="s">
        <v>95</v>
      </c>
      <c r="E303" s="10">
        <v>52.0</v>
      </c>
      <c r="G303" s="10" t="s">
        <v>813</v>
      </c>
      <c r="H303" s="10" t="s">
        <v>55</v>
      </c>
      <c r="J303" s="10" t="s">
        <v>758</v>
      </c>
      <c r="K303" s="10" t="s">
        <v>42</v>
      </c>
    </row>
    <row r="304" ht="15.75" customHeight="1">
      <c r="A304" s="54">
        <v>45486.0</v>
      </c>
      <c r="B304" s="55" t="str">
        <f>HYPERLINK("https://jobright.ai/jobs/info/6692f21c2b51f9106d933004?utm_campaign=1061&amp;utm_source=sheet", "Apply")</f>
        <v>Apply</v>
      </c>
      <c r="C304" s="10" t="s">
        <v>94</v>
      </c>
      <c r="D304" s="56" t="s">
        <v>95</v>
      </c>
      <c r="E304" s="10">
        <v>52.0</v>
      </c>
      <c r="G304" s="10" t="s">
        <v>814</v>
      </c>
      <c r="H304" s="10" t="s">
        <v>55</v>
      </c>
      <c r="J304" s="10" t="s">
        <v>758</v>
      </c>
      <c r="K304" s="10" t="s">
        <v>42</v>
      </c>
    </row>
    <row r="305" ht="15.75" customHeight="1">
      <c r="A305" s="54">
        <v>45486.0</v>
      </c>
      <c r="B305" s="55" t="str">
        <f>HYPERLINK("https://jobright.ai/jobs/info/6692f21c2b51f9106d932ffc?utm_campaign=1061&amp;utm_source=sheet", "Apply")</f>
        <v>Apply</v>
      </c>
      <c r="C305" s="10" t="s">
        <v>94</v>
      </c>
      <c r="D305" s="56" t="s">
        <v>95</v>
      </c>
      <c r="E305" s="10">
        <v>52.0</v>
      </c>
      <c r="G305" s="10" t="s">
        <v>815</v>
      </c>
      <c r="H305" s="10" t="s">
        <v>55</v>
      </c>
      <c r="J305" s="10" t="s">
        <v>758</v>
      </c>
      <c r="K305" s="10" t="s">
        <v>42</v>
      </c>
    </row>
    <row r="306" ht="15.75" customHeight="1">
      <c r="A306" s="54">
        <v>45486.0</v>
      </c>
      <c r="B306" s="55" t="str">
        <f>HYPERLINK("https://jobright.ai/jobs/info/6692f21c2b51f9106d932ff8?utm_campaign=1061&amp;utm_source=sheet", "Apply")</f>
        <v>Apply</v>
      </c>
      <c r="C306" s="10" t="s">
        <v>94</v>
      </c>
      <c r="D306" s="56" t="s">
        <v>95</v>
      </c>
      <c r="E306" s="10">
        <v>52.0</v>
      </c>
      <c r="G306" s="10" t="s">
        <v>816</v>
      </c>
      <c r="H306" s="10" t="s">
        <v>55</v>
      </c>
      <c r="J306" s="10" t="s">
        <v>758</v>
      </c>
      <c r="K306" s="10" t="s">
        <v>42</v>
      </c>
    </row>
    <row r="307" ht="15.75" customHeight="1">
      <c r="A307" s="54">
        <v>45486.0</v>
      </c>
      <c r="B307" s="55" t="str">
        <f>HYPERLINK("https://jobright.ai/jobs/info/6692f21c2b51f9106d933002?utm_campaign=1061&amp;utm_source=sheet", "Apply")</f>
        <v>Apply</v>
      </c>
      <c r="C307" s="10" t="s">
        <v>94</v>
      </c>
      <c r="D307" s="56" t="s">
        <v>95</v>
      </c>
      <c r="E307" s="10">
        <v>52.0</v>
      </c>
      <c r="G307" s="10" t="s">
        <v>817</v>
      </c>
      <c r="H307" s="10" t="s">
        <v>55</v>
      </c>
      <c r="J307" s="10" t="s">
        <v>758</v>
      </c>
      <c r="K307" s="10" t="s">
        <v>42</v>
      </c>
    </row>
    <row r="308" ht="15.75" customHeight="1">
      <c r="A308" s="54">
        <v>45486.0</v>
      </c>
      <c r="B308" s="55" t="str">
        <f>HYPERLINK("https://jobright.ai/jobs/info/6692f21c2b51f9106d933008?utm_campaign=1061&amp;utm_source=sheet", "Apply")</f>
        <v>Apply</v>
      </c>
      <c r="C308" s="10" t="s">
        <v>94</v>
      </c>
      <c r="D308" s="56" t="s">
        <v>95</v>
      </c>
      <c r="E308" s="10">
        <v>52.0</v>
      </c>
      <c r="G308" s="10" t="s">
        <v>818</v>
      </c>
      <c r="H308" s="10" t="s">
        <v>55</v>
      </c>
      <c r="J308" s="10" t="s">
        <v>758</v>
      </c>
      <c r="K308" s="10" t="s">
        <v>42</v>
      </c>
    </row>
    <row r="309" ht="15.75" customHeight="1">
      <c r="A309" s="54">
        <v>45486.0</v>
      </c>
      <c r="B309" s="55" t="str">
        <f>HYPERLINK("https://jobright.ai/jobs/info/6692f21a2b51f9106d932ff6?utm_campaign=1061&amp;utm_source=sheet", "Apply")</f>
        <v>Apply</v>
      </c>
      <c r="C309" s="10" t="s">
        <v>94</v>
      </c>
      <c r="D309" s="56" t="s">
        <v>95</v>
      </c>
      <c r="E309" s="10">
        <v>52.0</v>
      </c>
      <c r="G309" s="10" t="s">
        <v>819</v>
      </c>
      <c r="H309" s="10" t="s">
        <v>55</v>
      </c>
      <c r="J309" s="10" t="s">
        <v>758</v>
      </c>
      <c r="K309" s="10" t="s">
        <v>42</v>
      </c>
    </row>
    <row r="310" ht="15.75" customHeight="1">
      <c r="A310" s="54">
        <v>45486.0</v>
      </c>
      <c r="B310" s="55" t="str">
        <f>HYPERLINK("https://jobright.ai/jobs/info/6692f21c2b51f9106d932ffe?utm_campaign=1061&amp;utm_source=sheet", "Apply")</f>
        <v>Apply</v>
      </c>
      <c r="C310" s="10" t="s">
        <v>94</v>
      </c>
      <c r="D310" s="56" t="s">
        <v>95</v>
      </c>
      <c r="E310" s="10">
        <v>52.0</v>
      </c>
      <c r="G310" s="10" t="s">
        <v>820</v>
      </c>
      <c r="H310" s="10" t="s">
        <v>55</v>
      </c>
      <c r="J310" s="10" t="s">
        <v>758</v>
      </c>
      <c r="K310" s="10" t="s">
        <v>42</v>
      </c>
    </row>
    <row r="311" ht="15.75" customHeight="1">
      <c r="A311" s="54">
        <v>45486.0</v>
      </c>
      <c r="B311" s="55" t="str">
        <f>HYPERLINK("https://jobright.ai/jobs/info/6692f21c2b51f9106d933007?utm_campaign=1061&amp;utm_source=sheet", "Apply")</f>
        <v>Apply</v>
      </c>
      <c r="C311" s="10" t="s">
        <v>94</v>
      </c>
      <c r="D311" s="56" t="s">
        <v>95</v>
      </c>
      <c r="E311" s="10">
        <v>52.0</v>
      </c>
      <c r="G311" s="10" t="s">
        <v>821</v>
      </c>
      <c r="H311" s="10" t="s">
        <v>55</v>
      </c>
      <c r="J311" s="10" t="s">
        <v>758</v>
      </c>
      <c r="K311" s="10" t="s">
        <v>42</v>
      </c>
    </row>
    <row r="312" ht="15.75" customHeight="1">
      <c r="A312" s="54">
        <v>45486.0</v>
      </c>
      <c r="B312" s="55" t="str">
        <f>HYPERLINK("https://jobright.ai/jobs/info/6692f21c2b51f9106d932ffa?utm_campaign=1061&amp;utm_source=sheet", "Apply")</f>
        <v>Apply</v>
      </c>
      <c r="C312" s="10" t="s">
        <v>94</v>
      </c>
      <c r="D312" s="56" t="s">
        <v>95</v>
      </c>
      <c r="E312" s="10">
        <v>52.0</v>
      </c>
      <c r="G312" s="10" t="s">
        <v>822</v>
      </c>
      <c r="H312" s="10" t="s">
        <v>55</v>
      </c>
      <c r="J312" s="10" t="s">
        <v>758</v>
      </c>
      <c r="K312" s="10" t="s">
        <v>42</v>
      </c>
    </row>
    <row r="313" ht="15.75" customHeight="1">
      <c r="A313" s="54">
        <v>45486.0</v>
      </c>
      <c r="B313" s="55" t="str">
        <f>HYPERLINK("https://jobright.ai/jobs/info/6692f21c2b51f9106d932ff9?utm_campaign=1061&amp;utm_source=sheet", "Apply")</f>
        <v>Apply</v>
      </c>
      <c r="C313" s="10" t="s">
        <v>94</v>
      </c>
      <c r="D313" s="56" t="s">
        <v>95</v>
      </c>
      <c r="E313" s="10">
        <v>52.0</v>
      </c>
      <c r="G313" s="10" t="s">
        <v>823</v>
      </c>
      <c r="H313" s="10" t="s">
        <v>55</v>
      </c>
      <c r="J313" s="10" t="s">
        <v>758</v>
      </c>
      <c r="K313" s="10" t="s">
        <v>42</v>
      </c>
    </row>
    <row r="314" ht="15.75" customHeight="1">
      <c r="A314" s="54">
        <v>45486.0</v>
      </c>
      <c r="B314" s="55" t="str">
        <f>HYPERLINK("https://jobright.ai/jobs/info/6692f21a2b51f9106d932ff5?utm_campaign=1061&amp;utm_source=sheet", "Apply")</f>
        <v>Apply</v>
      </c>
      <c r="C314" s="10" t="s">
        <v>94</v>
      </c>
      <c r="D314" s="56" t="s">
        <v>95</v>
      </c>
      <c r="E314" s="10">
        <v>52.0</v>
      </c>
      <c r="G314" s="10" t="s">
        <v>824</v>
      </c>
      <c r="H314" s="10" t="s">
        <v>55</v>
      </c>
      <c r="J314" s="10" t="s">
        <v>758</v>
      </c>
      <c r="K314" s="10" t="s">
        <v>42</v>
      </c>
    </row>
    <row r="315" ht="15.75" customHeight="1">
      <c r="A315" s="54">
        <v>45486.0</v>
      </c>
      <c r="B315" s="55" t="str">
        <f>HYPERLINK("https://jobright.ai/jobs/info/6692f21c2b51f9106d933001?utm_campaign=1061&amp;utm_source=sheet", "Apply")</f>
        <v>Apply</v>
      </c>
      <c r="C315" s="10" t="s">
        <v>94</v>
      </c>
      <c r="D315" s="56" t="s">
        <v>95</v>
      </c>
      <c r="E315" s="10">
        <v>52.0</v>
      </c>
      <c r="G315" s="10" t="s">
        <v>825</v>
      </c>
      <c r="H315" s="10" t="s">
        <v>55</v>
      </c>
      <c r="J315" s="10" t="s">
        <v>758</v>
      </c>
      <c r="K315" s="10" t="s">
        <v>42</v>
      </c>
    </row>
    <row r="316" ht="15.75" customHeight="1">
      <c r="A316" s="54">
        <v>45486.0</v>
      </c>
      <c r="B316" s="55" t="str">
        <f>HYPERLINK("https://jobright.ai/jobs/info/6692f21c2b51f9106d932ffd?utm_campaign=1061&amp;utm_source=sheet", "Apply")</f>
        <v>Apply</v>
      </c>
      <c r="C316" s="10" t="s">
        <v>94</v>
      </c>
      <c r="D316" s="56" t="s">
        <v>95</v>
      </c>
      <c r="E316" s="10">
        <v>52.0</v>
      </c>
      <c r="G316" s="10" t="s">
        <v>826</v>
      </c>
      <c r="H316" s="10" t="s">
        <v>55</v>
      </c>
      <c r="J316" s="10" t="s">
        <v>758</v>
      </c>
      <c r="K316" s="10" t="s">
        <v>42</v>
      </c>
    </row>
    <row r="317" ht="15.75" customHeight="1">
      <c r="A317" s="54">
        <v>45486.0</v>
      </c>
      <c r="B317" s="55" t="str">
        <f>HYPERLINK("https://jobright.ai/jobs/info/6692f21a2b51f9106d932ff4?utm_campaign=1061&amp;utm_source=sheet", "Apply")</f>
        <v>Apply</v>
      </c>
      <c r="C317" s="10" t="s">
        <v>94</v>
      </c>
      <c r="D317" s="56" t="s">
        <v>95</v>
      </c>
      <c r="E317" s="10">
        <v>52.0</v>
      </c>
      <c r="G317" s="10" t="s">
        <v>827</v>
      </c>
      <c r="H317" s="10" t="s">
        <v>55</v>
      </c>
      <c r="J317" s="10" t="s">
        <v>758</v>
      </c>
      <c r="K317" s="10" t="s">
        <v>42</v>
      </c>
    </row>
    <row r="318" ht="15.75" customHeight="1">
      <c r="A318" s="54">
        <v>45486.0</v>
      </c>
      <c r="B318" s="55" t="str">
        <f>HYPERLINK("https://jobright.ai/jobs/info/6692f21c2b51f9106d933005?utm_campaign=1061&amp;utm_source=sheet", "Apply")</f>
        <v>Apply</v>
      </c>
      <c r="C318" s="10" t="s">
        <v>94</v>
      </c>
      <c r="D318" s="56" t="s">
        <v>95</v>
      </c>
      <c r="E318" s="10">
        <v>52.0</v>
      </c>
      <c r="G318" s="10" t="s">
        <v>828</v>
      </c>
      <c r="H318" s="10" t="s">
        <v>55</v>
      </c>
      <c r="J318" s="10" t="s">
        <v>758</v>
      </c>
      <c r="K318" s="10" t="s">
        <v>42</v>
      </c>
    </row>
    <row r="319" ht="15.75" customHeight="1">
      <c r="A319" s="54">
        <v>45486.0</v>
      </c>
      <c r="B319" s="55" t="str">
        <f>HYPERLINK("https://jobright.ai/jobs/info/6692f21c2b51f9106d932ffb?utm_campaign=1061&amp;utm_source=sheet", "Apply")</f>
        <v>Apply</v>
      </c>
      <c r="C319" s="10" t="s">
        <v>94</v>
      </c>
      <c r="D319" s="56" t="s">
        <v>95</v>
      </c>
      <c r="E319" s="10">
        <v>52.0</v>
      </c>
      <c r="G319" s="10" t="s">
        <v>829</v>
      </c>
      <c r="H319" s="10" t="s">
        <v>55</v>
      </c>
      <c r="J319" s="10" t="s">
        <v>758</v>
      </c>
      <c r="K319" s="10" t="s">
        <v>42</v>
      </c>
    </row>
    <row r="320" ht="15.75" customHeight="1">
      <c r="A320" s="54">
        <v>45486.0</v>
      </c>
      <c r="B320" s="55" t="str">
        <f>HYPERLINK("https://jobright.ai/jobs/info/6692f21c2b51f9106d933006?utm_campaign=1061&amp;utm_source=sheet", "Apply")</f>
        <v>Apply</v>
      </c>
      <c r="C320" s="10" t="s">
        <v>94</v>
      </c>
      <c r="D320" s="56" t="s">
        <v>95</v>
      </c>
      <c r="E320" s="10">
        <v>52.0</v>
      </c>
      <c r="G320" s="10" t="s">
        <v>830</v>
      </c>
      <c r="H320" s="10" t="s">
        <v>55</v>
      </c>
      <c r="J320" s="10" t="s">
        <v>758</v>
      </c>
      <c r="K320" s="10" t="s">
        <v>42</v>
      </c>
    </row>
    <row r="321" ht="15.75" customHeight="1">
      <c r="A321" s="54">
        <v>45486.0</v>
      </c>
      <c r="B321" s="55" t="str">
        <f>HYPERLINK("https://jobright.ai/jobs/info/6692f21c2b51f9106d933000?utm_campaign=1061&amp;utm_source=sheet", "Apply")</f>
        <v>Apply</v>
      </c>
      <c r="C321" s="10" t="s">
        <v>94</v>
      </c>
      <c r="D321" s="56" t="s">
        <v>95</v>
      </c>
      <c r="E321" s="10">
        <v>52.0</v>
      </c>
      <c r="G321" s="10" t="s">
        <v>831</v>
      </c>
      <c r="H321" s="10" t="s">
        <v>55</v>
      </c>
      <c r="J321" s="10" t="s">
        <v>758</v>
      </c>
      <c r="K321" s="10" t="s">
        <v>42</v>
      </c>
    </row>
    <row r="322" ht="15.75" customHeight="1">
      <c r="A322" s="54">
        <v>45486.0</v>
      </c>
      <c r="B322" s="55" t="str">
        <f>HYPERLINK("https://jobright.ai/jobs/info/6692f21c2b51f9106d932ff7?utm_campaign=1061&amp;utm_source=sheet", "Apply")</f>
        <v>Apply</v>
      </c>
      <c r="C322" s="10" t="s">
        <v>94</v>
      </c>
      <c r="D322" s="56" t="s">
        <v>95</v>
      </c>
      <c r="E322" s="10">
        <v>52.0</v>
      </c>
      <c r="G322" s="10" t="s">
        <v>832</v>
      </c>
      <c r="H322" s="10" t="s">
        <v>55</v>
      </c>
      <c r="J322" s="10" t="s">
        <v>758</v>
      </c>
      <c r="K322" s="10" t="s">
        <v>42</v>
      </c>
    </row>
    <row r="323" ht="15.75" customHeight="1">
      <c r="A323" s="54">
        <v>45486.0</v>
      </c>
      <c r="B323" s="55" t="str">
        <f>HYPERLINK("https://jobright.ai/jobs/info/6692f21c2b51f9106d933009?utm_campaign=1061&amp;utm_source=sheet", "Apply")</f>
        <v>Apply</v>
      </c>
      <c r="C323" s="10" t="s">
        <v>94</v>
      </c>
      <c r="D323" s="56" t="s">
        <v>95</v>
      </c>
      <c r="E323" s="10">
        <v>52.0</v>
      </c>
      <c r="G323" s="10" t="s">
        <v>833</v>
      </c>
      <c r="H323" s="10" t="s">
        <v>55</v>
      </c>
      <c r="J323" s="10" t="s">
        <v>758</v>
      </c>
      <c r="K323" s="10" t="s">
        <v>42</v>
      </c>
    </row>
    <row r="324" ht="15.75" customHeight="1">
      <c r="A324" s="54">
        <v>45486.0</v>
      </c>
      <c r="B324" s="55" t="str">
        <f>HYPERLINK("https://jobright.ai/jobs/info/6692f21c2b51f9106d93300b?utm_campaign=1061&amp;utm_source=sheet", "Apply")</f>
        <v>Apply</v>
      </c>
      <c r="C324" s="10" t="s">
        <v>94</v>
      </c>
      <c r="D324" s="56" t="s">
        <v>95</v>
      </c>
      <c r="E324" s="10">
        <v>52.0</v>
      </c>
      <c r="G324" s="10" t="s">
        <v>834</v>
      </c>
      <c r="H324" s="10" t="s">
        <v>55</v>
      </c>
      <c r="J324" s="10" t="s">
        <v>758</v>
      </c>
      <c r="K324" s="10" t="s">
        <v>42</v>
      </c>
    </row>
    <row r="325" ht="15.75" customHeight="1">
      <c r="A325" s="54">
        <v>45486.0</v>
      </c>
      <c r="B325" s="55" t="str">
        <f>HYPERLINK("https://jobright.ai/jobs/info/6692f21c2b51f9106d93300a?utm_campaign=1061&amp;utm_source=sheet", "Apply")</f>
        <v>Apply</v>
      </c>
      <c r="C325" s="10" t="s">
        <v>94</v>
      </c>
      <c r="D325" s="56" t="s">
        <v>95</v>
      </c>
      <c r="E325" s="10">
        <v>52.0</v>
      </c>
      <c r="G325" s="10" t="s">
        <v>835</v>
      </c>
      <c r="H325" s="10" t="s">
        <v>55</v>
      </c>
      <c r="J325" s="10" t="s">
        <v>758</v>
      </c>
      <c r="K325" s="10" t="s">
        <v>42</v>
      </c>
    </row>
    <row r="326" ht="15.75" customHeight="1">
      <c r="A326" s="54">
        <v>45486.0</v>
      </c>
      <c r="B326" s="55" t="str">
        <f>HYPERLINK("https://jobright.ai/jobs/info/6692f21c2b51f9106d93300c?utm_campaign=1061&amp;utm_source=sheet", "Apply")</f>
        <v>Apply</v>
      </c>
      <c r="C326" s="10" t="s">
        <v>94</v>
      </c>
      <c r="D326" s="56" t="s">
        <v>95</v>
      </c>
      <c r="E326" s="10">
        <v>52.0</v>
      </c>
      <c r="G326" s="10" t="s">
        <v>836</v>
      </c>
      <c r="H326" s="10" t="s">
        <v>55</v>
      </c>
      <c r="J326" s="10" t="s">
        <v>758</v>
      </c>
      <c r="K326" s="10" t="s">
        <v>42</v>
      </c>
    </row>
    <row r="327" ht="15.75" customHeight="1">
      <c r="A327" s="54">
        <v>45486.0</v>
      </c>
      <c r="B327" s="55" t="str">
        <f>HYPERLINK("https://jobright.ai/jobs/info/6692f21c2b51f9106d93300d?utm_campaign=1061&amp;utm_source=sheet", "Apply")</f>
        <v>Apply</v>
      </c>
      <c r="C327" s="10" t="s">
        <v>94</v>
      </c>
      <c r="D327" s="56" t="s">
        <v>95</v>
      </c>
      <c r="E327" s="10">
        <v>52.0</v>
      </c>
      <c r="G327" s="10" t="s">
        <v>86</v>
      </c>
      <c r="H327" s="10" t="s">
        <v>55</v>
      </c>
      <c r="J327" s="10" t="s">
        <v>758</v>
      </c>
      <c r="K327" s="10" t="s">
        <v>42</v>
      </c>
    </row>
    <row r="328" ht="15.75" customHeight="1">
      <c r="A328" s="54">
        <v>45486.0</v>
      </c>
      <c r="B328" s="55" t="str">
        <f>HYPERLINK("https://jobright.ai/jobs/info/6692ff1678b0546ed0053fb6?utm_campaign=1061&amp;utm_source=sheet", "Apply")</f>
        <v>Apply</v>
      </c>
      <c r="C328" s="10" t="s">
        <v>94</v>
      </c>
      <c r="D328" s="56" t="s">
        <v>95</v>
      </c>
      <c r="E328" s="10">
        <v>52.0</v>
      </c>
      <c r="G328" s="10" t="s">
        <v>837</v>
      </c>
      <c r="H328" s="10" t="s">
        <v>55</v>
      </c>
      <c r="J328" s="10" t="s">
        <v>758</v>
      </c>
      <c r="K328" s="10" t="s">
        <v>42</v>
      </c>
    </row>
    <row r="329" ht="15.75" customHeight="1">
      <c r="A329" s="54">
        <v>45486.0</v>
      </c>
      <c r="B329" s="55" t="str">
        <f>HYPERLINK("https://jobright.ai/jobs/info/6692ff1678b0546ed0053fb8?utm_campaign=1061&amp;utm_source=sheet", "Apply")</f>
        <v>Apply</v>
      </c>
      <c r="C329" s="10" t="s">
        <v>94</v>
      </c>
      <c r="D329" s="56" t="s">
        <v>95</v>
      </c>
      <c r="E329" s="10">
        <v>52.0</v>
      </c>
      <c r="G329" s="10" t="s">
        <v>609</v>
      </c>
      <c r="H329" s="10" t="s">
        <v>55</v>
      </c>
      <c r="J329" s="10" t="s">
        <v>758</v>
      </c>
      <c r="K329" s="10" t="s">
        <v>42</v>
      </c>
    </row>
    <row r="330" ht="15.75" customHeight="1">
      <c r="A330" s="54">
        <v>45486.0</v>
      </c>
      <c r="B330" s="55" t="str">
        <f>HYPERLINK("https://jobright.ai/jobs/info/6692ff1678b0546ed0053fb5?utm_campaign=1061&amp;utm_source=sheet", "Apply")</f>
        <v>Apply</v>
      </c>
      <c r="C330" s="10" t="s">
        <v>94</v>
      </c>
      <c r="D330" s="56" t="s">
        <v>95</v>
      </c>
      <c r="E330" s="10">
        <v>52.0</v>
      </c>
      <c r="G330" s="10" t="s">
        <v>838</v>
      </c>
      <c r="H330" s="10" t="s">
        <v>55</v>
      </c>
      <c r="J330" s="10" t="s">
        <v>758</v>
      </c>
      <c r="K330" s="10" t="s">
        <v>42</v>
      </c>
    </row>
    <row r="331" ht="15.75" customHeight="1">
      <c r="A331" s="54">
        <v>45486.0</v>
      </c>
      <c r="B331" s="55" t="str">
        <f>HYPERLINK("https://jobright.ai/jobs/info/6692ff1678b0546ed0053fb7?utm_campaign=1061&amp;utm_source=sheet", "Apply")</f>
        <v>Apply</v>
      </c>
      <c r="C331" s="10" t="s">
        <v>94</v>
      </c>
      <c r="D331" s="56" t="s">
        <v>95</v>
      </c>
      <c r="E331" s="10">
        <v>52.0</v>
      </c>
      <c r="G331" s="10" t="s">
        <v>839</v>
      </c>
      <c r="H331" s="10" t="s">
        <v>55</v>
      </c>
      <c r="J331" s="10" t="s">
        <v>758</v>
      </c>
      <c r="K331" s="10" t="s">
        <v>42</v>
      </c>
    </row>
    <row r="332" ht="15.75" customHeight="1">
      <c r="A332" s="54">
        <v>45486.0</v>
      </c>
      <c r="B332" s="55" t="str">
        <f>HYPERLINK("https://jobright.ai/jobs/info/6692ff1678b0546ed0053fc1?utm_campaign=1061&amp;utm_source=sheet", "Apply")</f>
        <v>Apply</v>
      </c>
      <c r="C332" s="10" t="s">
        <v>94</v>
      </c>
      <c r="D332" s="56" t="s">
        <v>95</v>
      </c>
      <c r="E332" s="10">
        <v>52.0</v>
      </c>
      <c r="G332" s="10" t="s">
        <v>840</v>
      </c>
      <c r="H332" s="10" t="s">
        <v>55</v>
      </c>
      <c r="J332" s="10" t="s">
        <v>758</v>
      </c>
      <c r="K332" s="10" t="s">
        <v>42</v>
      </c>
    </row>
    <row r="333" ht="15.75" customHeight="1">
      <c r="A333" s="54">
        <v>45486.0</v>
      </c>
      <c r="B333" s="55" t="str">
        <f>HYPERLINK("https://jobright.ai/jobs/info/6692ff1678b0546ed0053fbc?utm_campaign=1061&amp;utm_source=sheet", "Apply")</f>
        <v>Apply</v>
      </c>
      <c r="C333" s="10" t="s">
        <v>94</v>
      </c>
      <c r="D333" s="56" t="s">
        <v>95</v>
      </c>
      <c r="E333" s="10">
        <v>52.0</v>
      </c>
      <c r="G333" s="10" t="s">
        <v>841</v>
      </c>
      <c r="H333" s="10" t="s">
        <v>55</v>
      </c>
      <c r="J333" s="10" t="s">
        <v>758</v>
      </c>
      <c r="K333" s="10" t="s">
        <v>42</v>
      </c>
    </row>
    <row r="334" ht="15.75" customHeight="1">
      <c r="A334" s="54">
        <v>45486.0</v>
      </c>
      <c r="B334" s="55" t="str">
        <f>HYPERLINK("https://jobright.ai/jobs/info/6692ff1678b0546ed0053fb9?utm_campaign=1061&amp;utm_source=sheet", "Apply")</f>
        <v>Apply</v>
      </c>
      <c r="C334" s="10" t="s">
        <v>94</v>
      </c>
      <c r="D334" s="56" t="s">
        <v>95</v>
      </c>
      <c r="E334" s="10">
        <v>52.0</v>
      </c>
      <c r="G334" s="10" t="s">
        <v>842</v>
      </c>
      <c r="H334" s="10" t="s">
        <v>55</v>
      </c>
      <c r="J334" s="10" t="s">
        <v>758</v>
      </c>
      <c r="K334" s="10" t="s">
        <v>42</v>
      </c>
    </row>
    <row r="335" ht="15.75" customHeight="1">
      <c r="A335" s="54">
        <v>45486.0</v>
      </c>
      <c r="B335" s="55" t="str">
        <f>HYPERLINK("https://jobright.ai/jobs/info/6692ff1678b0546ed0053fbf?utm_campaign=1061&amp;utm_source=sheet", "Apply")</f>
        <v>Apply</v>
      </c>
      <c r="C335" s="10" t="s">
        <v>94</v>
      </c>
      <c r="D335" s="56" t="s">
        <v>95</v>
      </c>
      <c r="E335" s="10">
        <v>52.0</v>
      </c>
      <c r="G335" s="10" t="s">
        <v>405</v>
      </c>
      <c r="H335" s="10" t="s">
        <v>55</v>
      </c>
      <c r="J335" s="10" t="s">
        <v>758</v>
      </c>
      <c r="K335" s="10" t="s">
        <v>42</v>
      </c>
    </row>
    <row r="336" ht="15.75" customHeight="1">
      <c r="A336" s="54">
        <v>45486.0</v>
      </c>
      <c r="B336" s="55" t="str">
        <f>HYPERLINK("https://jobright.ai/jobs/info/6692ff1678b0546ed0053fc3?utm_campaign=1061&amp;utm_source=sheet", "Apply")</f>
        <v>Apply</v>
      </c>
      <c r="C336" s="10" t="s">
        <v>94</v>
      </c>
      <c r="D336" s="56" t="s">
        <v>95</v>
      </c>
      <c r="E336" s="10">
        <v>52.0</v>
      </c>
      <c r="G336" s="10" t="s">
        <v>843</v>
      </c>
      <c r="H336" s="10" t="s">
        <v>55</v>
      </c>
      <c r="J336" s="10" t="s">
        <v>758</v>
      </c>
      <c r="K336" s="10" t="s">
        <v>42</v>
      </c>
    </row>
    <row r="337" ht="15.75" customHeight="1">
      <c r="A337" s="54">
        <v>45486.0</v>
      </c>
      <c r="B337" s="55" t="str">
        <f>HYPERLINK("https://jobright.ai/jobs/info/6692ff1678b0546ed0053fbd?utm_campaign=1061&amp;utm_source=sheet", "Apply")</f>
        <v>Apply</v>
      </c>
      <c r="C337" s="10" t="s">
        <v>94</v>
      </c>
      <c r="D337" s="56" t="s">
        <v>95</v>
      </c>
      <c r="E337" s="10">
        <v>52.0</v>
      </c>
      <c r="G337" s="10" t="s">
        <v>844</v>
      </c>
      <c r="H337" s="10" t="s">
        <v>55</v>
      </c>
      <c r="J337" s="10" t="s">
        <v>758</v>
      </c>
      <c r="K337" s="10" t="s">
        <v>42</v>
      </c>
    </row>
    <row r="338" ht="15.75" customHeight="1">
      <c r="A338" s="54">
        <v>45486.0</v>
      </c>
      <c r="B338" s="55" t="str">
        <f>HYPERLINK("https://jobright.ai/jobs/info/6692ff1678b0546ed0053fbb?utm_campaign=1061&amp;utm_source=sheet", "Apply")</f>
        <v>Apply</v>
      </c>
      <c r="C338" s="10" t="s">
        <v>94</v>
      </c>
      <c r="D338" s="56" t="s">
        <v>95</v>
      </c>
      <c r="E338" s="10">
        <v>52.0</v>
      </c>
      <c r="G338" s="10" t="s">
        <v>845</v>
      </c>
      <c r="H338" s="10" t="s">
        <v>55</v>
      </c>
      <c r="J338" s="10" t="s">
        <v>758</v>
      </c>
      <c r="K338" s="10" t="s">
        <v>42</v>
      </c>
    </row>
    <row r="339" ht="15.75" customHeight="1">
      <c r="A339" s="54">
        <v>45486.0</v>
      </c>
      <c r="B339" s="55" t="str">
        <f>HYPERLINK("https://jobright.ai/jobs/info/6692ff1678b0546ed0053fc0?utm_campaign=1061&amp;utm_source=sheet", "Apply")</f>
        <v>Apply</v>
      </c>
      <c r="C339" s="10" t="s">
        <v>94</v>
      </c>
      <c r="D339" s="56" t="s">
        <v>95</v>
      </c>
      <c r="E339" s="10">
        <v>52.0</v>
      </c>
      <c r="G339" s="10" t="s">
        <v>846</v>
      </c>
      <c r="H339" s="10" t="s">
        <v>55</v>
      </c>
      <c r="J339" s="10" t="s">
        <v>758</v>
      </c>
      <c r="K339" s="10" t="s">
        <v>42</v>
      </c>
    </row>
    <row r="340" ht="15.75" customHeight="1">
      <c r="A340" s="54">
        <v>45486.0</v>
      </c>
      <c r="B340" s="55" t="str">
        <f>HYPERLINK("https://jobright.ai/jobs/info/6692ff1678b0546ed0053fc4?utm_campaign=1061&amp;utm_source=sheet", "Apply")</f>
        <v>Apply</v>
      </c>
      <c r="C340" s="10" t="s">
        <v>94</v>
      </c>
      <c r="D340" s="56" t="s">
        <v>95</v>
      </c>
      <c r="E340" s="10">
        <v>52.0</v>
      </c>
      <c r="G340" s="10" t="s">
        <v>847</v>
      </c>
      <c r="H340" s="10" t="s">
        <v>55</v>
      </c>
      <c r="J340" s="10" t="s">
        <v>758</v>
      </c>
      <c r="K340" s="10" t="s">
        <v>42</v>
      </c>
    </row>
    <row r="341" ht="15.75" customHeight="1">
      <c r="A341" s="54">
        <v>45486.0</v>
      </c>
      <c r="B341" s="55" t="str">
        <f>HYPERLINK("https://jobright.ai/jobs/info/6692ff1678b0546ed0053fbe?utm_campaign=1061&amp;utm_source=sheet", "Apply")</f>
        <v>Apply</v>
      </c>
      <c r="C341" s="10" t="s">
        <v>94</v>
      </c>
      <c r="D341" s="56" t="s">
        <v>95</v>
      </c>
      <c r="E341" s="10">
        <v>52.0</v>
      </c>
      <c r="G341" s="10" t="s">
        <v>848</v>
      </c>
      <c r="H341" s="10" t="s">
        <v>55</v>
      </c>
      <c r="J341" s="10" t="s">
        <v>758</v>
      </c>
      <c r="K341" s="10" t="s">
        <v>42</v>
      </c>
    </row>
    <row r="342" ht="15.75" customHeight="1">
      <c r="A342" s="54">
        <v>45486.0</v>
      </c>
      <c r="B342" s="55" t="str">
        <f>HYPERLINK("https://jobright.ai/jobs/info/6692ff1678b0546ed0053fba?utm_campaign=1061&amp;utm_source=sheet", "Apply")</f>
        <v>Apply</v>
      </c>
      <c r="C342" s="10" t="s">
        <v>94</v>
      </c>
      <c r="D342" s="56" t="s">
        <v>95</v>
      </c>
      <c r="E342" s="10">
        <v>52.0</v>
      </c>
      <c r="G342" s="10" t="s">
        <v>849</v>
      </c>
      <c r="H342" s="10" t="s">
        <v>55</v>
      </c>
      <c r="J342" s="10" t="s">
        <v>758</v>
      </c>
      <c r="K342" s="10" t="s">
        <v>42</v>
      </c>
    </row>
    <row r="343" ht="15.75" customHeight="1">
      <c r="A343" s="54">
        <v>45486.0</v>
      </c>
      <c r="B343" s="55" t="str">
        <f>HYPERLINK("https://jobright.ai/jobs/info/6692ff1678b0546ed0053fc2?utm_campaign=1061&amp;utm_source=sheet", "Apply")</f>
        <v>Apply</v>
      </c>
      <c r="C343" s="10" t="s">
        <v>94</v>
      </c>
      <c r="D343" s="56" t="s">
        <v>95</v>
      </c>
      <c r="E343" s="10">
        <v>52.0</v>
      </c>
      <c r="G343" s="10" t="s">
        <v>174</v>
      </c>
      <c r="H343" s="10" t="s">
        <v>55</v>
      </c>
      <c r="J343" s="10" t="s">
        <v>758</v>
      </c>
      <c r="K343" s="10" t="s">
        <v>42</v>
      </c>
    </row>
    <row r="344" ht="15.75" customHeight="1">
      <c r="A344" s="54">
        <v>45486.0</v>
      </c>
      <c r="B344" s="55" t="str">
        <f>HYPERLINK("https://jobright.ai/jobs/info/669329657952a0c54e81419f?utm_campaign=1061&amp;utm_source=sheet", "Apply")</f>
        <v>Apply</v>
      </c>
      <c r="C344" s="10" t="s">
        <v>94</v>
      </c>
      <c r="D344" s="56" t="s">
        <v>95</v>
      </c>
      <c r="E344" s="10">
        <v>52.0</v>
      </c>
      <c r="G344" s="10" t="s">
        <v>850</v>
      </c>
      <c r="H344" s="10" t="s">
        <v>55</v>
      </c>
      <c r="J344" s="10" t="s">
        <v>758</v>
      </c>
      <c r="K344" s="10" t="s">
        <v>42</v>
      </c>
    </row>
    <row r="345" ht="15.75" customHeight="1">
      <c r="A345" s="54">
        <v>45486.0</v>
      </c>
      <c r="B345" s="55" t="str">
        <f>HYPERLINK("https://jobright.ai/jobs/info/66931c1bd91e5f7022d559ed?utm_campaign=1061&amp;utm_source=sheet", "Apply")</f>
        <v>Apply</v>
      </c>
      <c r="C345" s="10" t="s">
        <v>94</v>
      </c>
      <c r="D345" s="56" t="s">
        <v>95</v>
      </c>
      <c r="E345" s="10">
        <v>52.0</v>
      </c>
      <c r="G345" s="10" t="s">
        <v>851</v>
      </c>
      <c r="H345" s="10" t="s">
        <v>55</v>
      </c>
      <c r="J345" s="10" t="s">
        <v>758</v>
      </c>
      <c r="K345" s="10" t="s">
        <v>42</v>
      </c>
    </row>
    <row r="346" ht="15.75" customHeight="1">
      <c r="A346" s="54">
        <v>45486.0</v>
      </c>
      <c r="B346" s="55" t="str">
        <f>HYPERLINK("https://jobright.ai/jobs/info/6692e07ea1ef50f2a94aecf4?utm_campaign=1061&amp;utm_source=sheet", "Apply")</f>
        <v>Apply</v>
      </c>
      <c r="C346" s="10" t="s">
        <v>94</v>
      </c>
      <c r="D346" s="56" t="s">
        <v>95</v>
      </c>
      <c r="E346" s="10">
        <v>52.0</v>
      </c>
      <c r="G346" s="10" t="s">
        <v>852</v>
      </c>
      <c r="H346" s="10" t="s">
        <v>55</v>
      </c>
      <c r="J346" s="10" t="s">
        <v>758</v>
      </c>
      <c r="K346" s="10" t="s">
        <v>42</v>
      </c>
    </row>
    <row r="347" ht="15.75" customHeight="1">
      <c r="A347" s="54">
        <v>45486.0</v>
      </c>
      <c r="B347" s="55" t="str">
        <f>HYPERLINK("https://jobright.ai/jobs/info/6692e07ea1ef50f2a94aecf6?utm_campaign=1061&amp;utm_source=sheet", "Apply")</f>
        <v>Apply</v>
      </c>
      <c r="C347" s="10" t="s">
        <v>94</v>
      </c>
      <c r="D347" s="56" t="s">
        <v>95</v>
      </c>
      <c r="E347" s="10">
        <v>52.0</v>
      </c>
      <c r="G347" s="10" t="s">
        <v>853</v>
      </c>
      <c r="H347" s="10" t="s">
        <v>55</v>
      </c>
      <c r="J347" s="10" t="s">
        <v>758</v>
      </c>
      <c r="K347" s="10" t="s">
        <v>42</v>
      </c>
    </row>
    <row r="348" ht="15.75" customHeight="1">
      <c r="A348" s="54">
        <v>45486.0</v>
      </c>
      <c r="B348" s="55" t="str">
        <f>HYPERLINK("https://jobright.ai/jobs/info/6692e07ea1ef50f2a94aecf7?utm_campaign=1061&amp;utm_source=sheet", "Apply")</f>
        <v>Apply</v>
      </c>
      <c r="C348" s="10" t="s">
        <v>94</v>
      </c>
      <c r="D348" s="56" t="s">
        <v>95</v>
      </c>
      <c r="E348" s="10">
        <v>52.0</v>
      </c>
      <c r="G348" s="10" t="s">
        <v>854</v>
      </c>
      <c r="H348" s="10" t="s">
        <v>55</v>
      </c>
      <c r="J348" s="10" t="s">
        <v>758</v>
      </c>
      <c r="K348" s="10" t="s">
        <v>42</v>
      </c>
    </row>
    <row r="349" ht="15.75" customHeight="1">
      <c r="A349" s="54">
        <v>45486.0</v>
      </c>
      <c r="B349" s="55" t="str">
        <f>HYPERLINK("https://jobright.ai/jobs/info/6692e07ea1ef50f2a94aecf9?utm_campaign=1061&amp;utm_source=sheet", "Apply")</f>
        <v>Apply</v>
      </c>
      <c r="C349" s="10" t="s">
        <v>94</v>
      </c>
      <c r="D349" s="56" t="s">
        <v>95</v>
      </c>
      <c r="E349" s="10">
        <v>52.0</v>
      </c>
      <c r="G349" s="10" t="s">
        <v>855</v>
      </c>
      <c r="H349" s="10" t="s">
        <v>55</v>
      </c>
      <c r="J349" s="10" t="s">
        <v>758</v>
      </c>
      <c r="K349" s="10" t="s">
        <v>42</v>
      </c>
    </row>
    <row r="350" ht="15.75" customHeight="1">
      <c r="A350" s="54">
        <v>45486.0</v>
      </c>
      <c r="B350" s="55" t="str">
        <f>HYPERLINK("https://jobright.ai/jobs/info/6692e07ea1ef50f2a94aecf8?utm_campaign=1061&amp;utm_source=sheet", "Apply")</f>
        <v>Apply</v>
      </c>
      <c r="C350" s="10" t="s">
        <v>94</v>
      </c>
      <c r="D350" s="56" t="s">
        <v>95</v>
      </c>
      <c r="E350" s="10">
        <v>52.0</v>
      </c>
      <c r="G350" s="10" t="s">
        <v>856</v>
      </c>
      <c r="H350" s="10" t="s">
        <v>55</v>
      </c>
      <c r="J350" s="10" t="s">
        <v>758</v>
      </c>
      <c r="K350" s="10" t="s">
        <v>42</v>
      </c>
    </row>
    <row r="351" ht="15.75" customHeight="1">
      <c r="A351" s="54">
        <v>45486.0</v>
      </c>
      <c r="B351" s="55" t="str">
        <f>HYPERLINK("https://jobright.ai/jobs/info/6692e07ea1ef50f2a94aecfb?utm_campaign=1061&amp;utm_source=sheet", "Apply")</f>
        <v>Apply</v>
      </c>
      <c r="C351" s="10" t="s">
        <v>94</v>
      </c>
      <c r="D351" s="56" t="s">
        <v>95</v>
      </c>
      <c r="E351" s="10">
        <v>52.0</v>
      </c>
      <c r="G351" s="10" t="s">
        <v>857</v>
      </c>
      <c r="H351" s="10" t="s">
        <v>55</v>
      </c>
      <c r="J351" s="10" t="s">
        <v>758</v>
      </c>
      <c r="K351" s="10" t="s">
        <v>42</v>
      </c>
    </row>
    <row r="352" ht="15.75" customHeight="1">
      <c r="A352" s="54">
        <v>45486.0</v>
      </c>
      <c r="B352" s="55" t="str">
        <f>HYPERLINK("https://jobright.ai/jobs/info/6692e07ea1ef50f2a94aecfa?utm_campaign=1061&amp;utm_source=sheet", "Apply")</f>
        <v>Apply</v>
      </c>
      <c r="C352" s="10" t="s">
        <v>94</v>
      </c>
      <c r="D352" s="56" t="s">
        <v>95</v>
      </c>
      <c r="E352" s="10">
        <v>52.0</v>
      </c>
      <c r="G352" s="10" t="s">
        <v>858</v>
      </c>
      <c r="H352" s="10" t="s">
        <v>55</v>
      </c>
      <c r="J352" s="10" t="s">
        <v>758</v>
      </c>
      <c r="K352" s="10" t="s">
        <v>42</v>
      </c>
    </row>
    <row r="353" ht="15.75" customHeight="1">
      <c r="A353" s="54">
        <v>45486.0</v>
      </c>
      <c r="B353" s="55" t="str">
        <f>HYPERLINK("https://jobright.ai/jobs/info/6692e07ea1ef50f2a94aecfc?utm_campaign=1061&amp;utm_source=sheet", "Apply")</f>
        <v>Apply</v>
      </c>
      <c r="C353" s="10" t="s">
        <v>94</v>
      </c>
      <c r="D353" s="56" t="s">
        <v>95</v>
      </c>
      <c r="E353" s="10">
        <v>52.0</v>
      </c>
      <c r="G353" s="10" t="s">
        <v>859</v>
      </c>
      <c r="H353" s="10" t="s">
        <v>55</v>
      </c>
      <c r="J353" s="10" t="s">
        <v>758</v>
      </c>
      <c r="K353" s="10" t="s">
        <v>42</v>
      </c>
    </row>
    <row r="354" ht="15.75" customHeight="1">
      <c r="A354" s="54">
        <v>45486.0</v>
      </c>
      <c r="B354" s="55" t="str">
        <f>HYPERLINK("https://jobright.ai/jobs/info/6692e07ea1ef50f2a94aecfd?utm_campaign=1061&amp;utm_source=sheet", "Apply")</f>
        <v>Apply</v>
      </c>
      <c r="C354" s="10" t="s">
        <v>94</v>
      </c>
      <c r="D354" s="56" t="s">
        <v>95</v>
      </c>
      <c r="E354" s="10">
        <v>52.0</v>
      </c>
      <c r="G354" s="10" t="s">
        <v>860</v>
      </c>
      <c r="H354" s="10" t="s">
        <v>55</v>
      </c>
      <c r="J354" s="10" t="s">
        <v>758</v>
      </c>
      <c r="K354" s="10" t="s">
        <v>42</v>
      </c>
    </row>
    <row r="355" ht="15.75" customHeight="1">
      <c r="A355" s="54">
        <v>45486.0</v>
      </c>
      <c r="B355" s="55" t="str">
        <f>HYPERLINK("https://jobright.ai/jobs/info/6692e07ea1ef50f2a94aecfe?utm_campaign=1061&amp;utm_source=sheet", "Apply")</f>
        <v>Apply</v>
      </c>
      <c r="C355" s="10" t="s">
        <v>94</v>
      </c>
      <c r="D355" s="56" t="s">
        <v>95</v>
      </c>
      <c r="E355" s="10">
        <v>52.0</v>
      </c>
      <c r="G355" s="10" t="s">
        <v>861</v>
      </c>
      <c r="H355" s="10" t="s">
        <v>55</v>
      </c>
      <c r="J355" s="10" t="s">
        <v>758</v>
      </c>
      <c r="K355" s="10" t="s">
        <v>42</v>
      </c>
    </row>
    <row r="356" ht="15.75" customHeight="1">
      <c r="A356" s="54">
        <v>45486.0</v>
      </c>
      <c r="B356" s="55" t="str">
        <f>HYPERLINK("https://jobright.ai/jobs/info/6692e07ea1ef50f2a94aecff?utm_campaign=1061&amp;utm_source=sheet", "Apply")</f>
        <v>Apply</v>
      </c>
      <c r="C356" s="10" t="s">
        <v>94</v>
      </c>
      <c r="D356" s="56" t="s">
        <v>95</v>
      </c>
      <c r="E356" s="10">
        <v>52.0</v>
      </c>
      <c r="G356" s="10" t="s">
        <v>862</v>
      </c>
      <c r="H356" s="10" t="s">
        <v>55</v>
      </c>
      <c r="J356" s="10" t="s">
        <v>758</v>
      </c>
      <c r="K356" s="10" t="s">
        <v>42</v>
      </c>
    </row>
    <row r="357" ht="15.75" customHeight="1">
      <c r="A357" s="54">
        <v>45486.0</v>
      </c>
      <c r="B357" s="55" t="str">
        <f>HYPERLINK("https://jobright.ai/jobs/info/6692e07ea1ef50f2a94aed00?utm_campaign=1061&amp;utm_source=sheet", "Apply")</f>
        <v>Apply</v>
      </c>
      <c r="C357" s="10" t="s">
        <v>94</v>
      </c>
      <c r="D357" s="56" t="s">
        <v>95</v>
      </c>
      <c r="E357" s="10">
        <v>52.0</v>
      </c>
      <c r="G357" s="10" t="s">
        <v>863</v>
      </c>
      <c r="H357" s="10" t="s">
        <v>55</v>
      </c>
      <c r="J357" s="10" t="s">
        <v>758</v>
      </c>
      <c r="K357" s="10" t="s">
        <v>42</v>
      </c>
    </row>
    <row r="358" ht="15.75" customHeight="1">
      <c r="A358" s="54">
        <v>45486.0</v>
      </c>
      <c r="B358" s="55" t="str">
        <f>HYPERLINK("https://jobright.ai/jobs/info/6692e07ea1ef50f2a94aed01?utm_campaign=1061&amp;utm_source=sheet", "Apply")</f>
        <v>Apply</v>
      </c>
      <c r="C358" s="10" t="s">
        <v>94</v>
      </c>
      <c r="D358" s="56" t="s">
        <v>95</v>
      </c>
      <c r="E358" s="10">
        <v>52.0</v>
      </c>
      <c r="G358" s="10" t="s">
        <v>864</v>
      </c>
      <c r="H358" s="10" t="s">
        <v>55</v>
      </c>
      <c r="J358" s="10" t="s">
        <v>758</v>
      </c>
      <c r="K358" s="10" t="s">
        <v>42</v>
      </c>
    </row>
    <row r="359" ht="15.75" customHeight="1">
      <c r="A359" s="54">
        <v>45486.0</v>
      </c>
      <c r="B359" s="55" t="str">
        <f>HYPERLINK("https://jobright.ai/jobs/info/6692e07ea1ef50f2a94aed03?utm_campaign=1061&amp;utm_source=sheet", "Apply")</f>
        <v>Apply</v>
      </c>
      <c r="C359" s="10" t="s">
        <v>94</v>
      </c>
      <c r="D359" s="56" t="s">
        <v>95</v>
      </c>
      <c r="E359" s="10">
        <v>52.0</v>
      </c>
      <c r="G359" s="10" t="s">
        <v>865</v>
      </c>
      <c r="H359" s="10" t="s">
        <v>55</v>
      </c>
      <c r="J359" s="10" t="s">
        <v>758</v>
      </c>
      <c r="K359" s="10" t="s">
        <v>42</v>
      </c>
    </row>
    <row r="360" ht="15.75" customHeight="1">
      <c r="A360" s="54">
        <v>45486.0</v>
      </c>
      <c r="B360" s="55" t="str">
        <f>HYPERLINK("https://jobright.ai/jobs/info/6692e07ea1ef50f2a94aed04?utm_campaign=1061&amp;utm_source=sheet", "Apply")</f>
        <v>Apply</v>
      </c>
      <c r="C360" s="10" t="s">
        <v>94</v>
      </c>
      <c r="D360" s="56" t="s">
        <v>95</v>
      </c>
      <c r="E360" s="10">
        <v>52.0</v>
      </c>
      <c r="G360" s="10" t="s">
        <v>866</v>
      </c>
      <c r="H360" s="10" t="s">
        <v>55</v>
      </c>
      <c r="J360" s="10" t="s">
        <v>758</v>
      </c>
      <c r="K360" s="10" t="s">
        <v>42</v>
      </c>
    </row>
    <row r="361" ht="15.75" customHeight="1">
      <c r="A361" s="54">
        <v>45486.0</v>
      </c>
      <c r="B361" s="55" t="str">
        <f>HYPERLINK("https://jobright.ai/jobs/info/6692e07ea1ef50f2a94aed05?utm_campaign=1061&amp;utm_source=sheet", "Apply")</f>
        <v>Apply</v>
      </c>
      <c r="C361" s="10" t="s">
        <v>94</v>
      </c>
      <c r="D361" s="56" t="s">
        <v>95</v>
      </c>
      <c r="E361" s="10">
        <v>52.0</v>
      </c>
      <c r="G361" s="10" t="s">
        <v>867</v>
      </c>
      <c r="H361" s="10" t="s">
        <v>55</v>
      </c>
      <c r="J361" s="10" t="s">
        <v>758</v>
      </c>
      <c r="K361" s="10" t="s">
        <v>42</v>
      </c>
    </row>
    <row r="362" ht="15.75" customHeight="1">
      <c r="A362" s="54">
        <v>45486.0</v>
      </c>
      <c r="B362" s="55" t="str">
        <f>HYPERLINK("https://jobright.ai/jobs/info/6692e07ea1ef50f2a94aed06?utm_campaign=1061&amp;utm_source=sheet", "Apply")</f>
        <v>Apply</v>
      </c>
      <c r="C362" s="10" t="s">
        <v>94</v>
      </c>
      <c r="D362" s="56" t="s">
        <v>95</v>
      </c>
      <c r="E362" s="10">
        <v>52.0</v>
      </c>
      <c r="G362" s="10" t="s">
        <v>868</v>
      </c>
      <c r="H362" s="10" t="s">
        <v>55</v>
      </c>
      <c r="J362" s="10" t="s">
        <v>758</v>
      </c>
      <c r="K362" s="10" t="s">
        <v>42</v>
      </c>
    </row>
    <row r="363" ht="15.75" customHeight="1">
      <c r="A363" s="54">
        <v>45486.0</v>
      </c>
      <c r="B363" s="55" t="str">
        <f>HYPERLINK("https://jobright.ai/jobs/info/6692e07ea1ef50f2a94aed0a?utm_campaign=1061&amp;utm_source=sheet", "Apply")</f>
        <v>Apply</v>
      </c>
      <c r="C363" s="10" t="s">
        <v>94</v>
      </c>
      <c r="D363" s="56" t="s">
        <v>95</v>
      </c>
      <c r="E363" s="10">
        <v>52.0</v>
      </c>
      <c r="G363" s="10" t="s">
        <v>869</v>
      </c>
      <c r="H363" s="10" t="s">
        <v>55</v>
      </c>
      <c r="J363" s="10" t="s">
        <v>758</v>
      </c>
      <c r="K363" s="10" t="s">
        <v>42</v>
      </c>
    </row>
    <row r="364" ht="15.75" customHeight="1">
      <c r="A364" s="54">
        <v>45486.0</v>
      </c>
      <c r="B364" s="55" t="str">
        <f>HYPERLINK("https://jobright.ai/jobs/info/6692e07ea1ef50f2a94aed08?utm_campaign=1061&amp;utm_source=sheet", "Apply")</f>
        <v>Apply</v>
      </c>
      <c r="C364" s="10" t="s">
        <v>94</v>
      </c>
      <c r="D364" s="56" t="s">
        <v>95</v>
      </c>
      <c r="E364" s="10">
        <v>52.0</v>
      </c>
      <c r="G364" s="10" t="s">
        <v>870</v>
      </c>
      <c r="H364" s="10" t="s">
        <v>55</v>
      </c>
      <c r="J364" s="10" t="s">
        <v>758</v>
      </c>
      <c r="K364" s="10" t="s">
        <v>42</v>
      </c>
    </row>
    <row r="365" ht="15.75" customHeight="1">
      <c r="A365" s="54">
        <v>45486.0</v>
      </c>
      <c r="B365" s="55" t="str">
        <f>HYPERLINK("https://jobright.ai/jobs/info/6692e07ea1ef50f2a94aed0b?utm_campaign=1061&amp;utm_source=sheet", "Apply")</f>
        <v>Apply</v>
      </c>
      <c r="C365" s="10" t="s">
        <v>94</v>
      </c>
      <c r="D365" s="56" t="s">
        <v>95</v>
      </c>
      <c r="E365" s="10">
        <v>52.0</v>
      </c>
      <c r="G365" s="10" t="s">
        <v>117</v>
      </c>
      <c r="H365" s="10" t="s">
        <v>55</v>
      </c>
      <c r="J365" s="10" t="s">
        <v>758</v>
      </c>
      <c r="K365" s="10" t="s">
        <v>42</v>
      </c>
    </row>
    <row r="366" ht="15.75" customHeight="1">
      <c r="A366" s="54">
        <v>45486.0</v>
      </c>
      <c r="B366" s="55" t="str">
        <f>HYPERLINK("https://jobright.ai/jobs/info/6692e07ea1ef50f2a94aed07?utm_campaign=1061&amp;utm_source=sheet", "Apply")</f>
        <v>Apply</v>
      </c>
      <c r="C366" s="10" t="s">
        <v>94</v>
      </c>
      <c r="D366" s="56" t="s">
        <v>95</v>
      </c>
      <c r="E366" s="10">
        <v>52.0</v>
      </c>
      <c r="G366" s="10" t="s">
        <v>871</v>
      </c>
      <c r="H366" s="10" t="s">
        <v>55</v>
      </c>
      <c r="J366" s="10" t="s">
        <v>758</v>
      </c>
      <c r="K366" s="10" t="s">
        <v>42</v>
      </c>
    </row>
    <row r="367" ht="15.75" customHeight="1">
      <c r="A367" s="54">
        <v>45486.0</v>
      </c>
      <c r="B367" s="55" t="str">
        <f>HYPERLINK("https://jobright.ai/jobs/info/6692e07ea1ef50f2a94aed09?utm_campaign=1061&amp;utm_source=sheet", "Apply")</f>
        <v>Apply</v>
      </c>
      <c r="C367" s="10" t="s">
        <v>94</v>
      </c>
      <c r="D367" s="56" t="s">
        <v>95</v>
      </c>
      <c r="E367" s="10">
        <v>52.0</v>
      </c>
      <c r="G367" s="10" t="s">
        <v>872</v>
      </c>
      <c r="H367" s="10" t="s">
        <v>55</v>
      </c>
      <c r="J367" s="10" t="s">
        <v>758</v>
      </c>
      <c r="K367" s="10" t="s">
        <v>42</v>
      </c>
    </row>
    <row r="368" ht="15.75" customHeight="1">
      <c r="A368" s="54">
        <v>45486.0</v>
      </c>
      <c r="B368" s="55" t="str">
        <f>HYPERLINK("https://jobright.ai/jobs/info/6692e086a1ef50f2a94aed12?utm_campaign=1061&amp;utm_source=sheet", "Apply")</f>
        <v>Apply</v>
      </c>
      <c r="C368" s="10" t="s">
        <v>94</v>
      </c>
      <c r="D368" s="56" t="s">
        <v>95</v>
      </c>
      <c r="E368" s="10">
        <v>52.0</v>
      </c>
      <c r="G368" s="10" t="s">
        <v>873</v>
      </c>
      <c r="H368" s="10" t="s">
        <v>55</v>
      </c>
      <c r="J368" s="10" t="s">
        <v>758</v>
      </c>
      <c r="K368" s="10" t="s">
        <v>42</v>
      </c>
    </row>
    <row r="369" ht="15.75" customHeight="1">
      <c r="A369" s="54">
        <v>45486.0</v>
      </c>
      <c r="B369" s="55" t="str">
        <f>HYPERLINK("https://jobright.ai/jobs/info/6692e086a1ef50f2a94aed19?utm_campaign=1061&amp;utm_source=sheet", "Apply")</f>
        <v>Apply</v>
      </c>
      <c r="C369" s="10" t="s">
        <v>94</v>
      </c>
      <c r="D369" s="56" t="s">
        <v>95</v>
      </c>
      <c r="E369" s="10">
        <v>52.0</v>
      </c>
      <c r="G369" s="10" t="s">
        <v>874</v>
      </c>
      <c r="H369" s="10" t="s">
        <v>55</v>
      </c>
      <c r="J369" s="10" t="s">
        <v>758</v>
      </c>
      <c r="K369" s="10" t="s">
        <v>42</v>
      </c>
    </row>
    <row r="370" ht="15.75" customHeight="1">
      <c r="A370" s="54">
        <v>45486.0</v>
      </c>
      <c r="B370" s="55" t="str">
        <f>HYPERLINK("https://jobright.ai/jobs/info/6692e086a1ef50f2a94aed1f?utm_campaign=1061&amp;utm_source=sheet", "Apply")</f>
        <v>Apply</v>
      </c>
      <c r="C370" s="10" t="s">
        <v>94</v>
      </c>
      <c r="D370" s="56" t="s">
        <v>95</v>
      </c>
      <c r="E370" s="10">
        <v>52.0</v>
      </c>
      <c r="G370" s="10" t="s">
        <v>875</v>
      </c>
      <c r="H370" s="10" t="s">
        <v>55</v>
      </c>
      <c r="J370" s="10" t="s">
        <v>758</v>
      </c>
      <c r="K370" s="10" t="s">
        <v>42</v>
      </c>
    </row>
    <row r="371" ht="15.75" customHeight="1">
      <c r="A371" s="54">
        <v>45486.0</v>
      </c>
      <c r="B371" s="55" t="str">
        <f>HYPERLINK("https://jobright.ai/jobs/info/6692e07ea1ef50f2a94aed0e?utm_campaign=1061&amp;utm_source=sheet", "Apply")</f>
        <v>Apply</v>
      </c>
      <c r="C371" s="10" t="s">
        <v>94</v>
      </c>
      <c r="D371" s="56" t="s">
        <v>95</v>
      </c>
      <c r="E371" s="10">
        <v>52.0</v>
      </c>
      <c r="G371" s="10" t="s">
        <v>876</v>
      </c>
      <c r="H371" s="10" t="s">
        <v>55</v>
      </c>
      <c r="J371" s="10" t="s">
        <v>758</v>
      </c>
      <c r="K371" s="10" t="s">
        <v>42</v>
      </c>
    </row>
    <row r="372" ht="15.75" customHeight="1">
      <c r="A372" s="54">
        <v>45486.0</v>
      </c>
      <c r="B372" s="55" t="str">
        <f>HYPERLINK("https://jobright.ai/jobs/info/6692e086a1ef50f2a94aed14?utm_campaign=1061&amp;utm_source=sheet", "Apply")</f>
        <v>Apply</v>
      </c>
      <c r="C372" s="10" t="s">
        <v>94</v>
      </c>
      <c r="D372" s="56" t="s">
        <v>95</v>
      </c>
      <c r="E372" s="10">
        <v>52.0</v>
      </c>
      <c r="G372" s="10" t="s">
        <v>877</v>
      </c>
      <c r="H372" s="10" t="s">
        <v>55</v>
      </c>
      <c r="J372" s="10" t="s">
        <v>758</v>
      </c>
      <c r="K372" s="10" t="s">
        <v>42</v>
      </c>
    </row>
    <row r="373" ht="15.75" customHeight="1">
      <c r="A373" s="54">
        <v>45486.0</v>
      </c>
      <c r="B373" s="55" t="str">
        <f>HYPERLINK("https://jobright.ai/jobs/info/6692e086a1ef50f2a94aed1c?utm_campaign=1061&amp;utm_source=sheet", "Apply")</f>
        <v>Apply</v>
      </c>
      <c r="C373" s="10" t="s">
        <v>94</v>
      </c>
      <c r="D373" s="56" t="s">
        <v>95</v>
      </c>
      <c r="E373" s="10">
        <v>52.0</v>
      </c>
      <c r="G373" s="10" t="s">
        <v>878</v>
      </c>
      <c r="H373" s="10" t="s">
        <v>55</v>
      </c>
      <c r="J373" s="10" t="s">
        <v>758</v>
      </c>
      <c r="K373" s="10" t="s">
        <v>42</v>
      </c>
    </row>
    <row r="374" ht="15.75" customHeight="1">
      <c r="A374" s="54">
        <v>45486.0</v>
      </c>
      <c r="B374" s="55" t="str">
        <f>HYPERLINK("https://jobright.ai/jobs/info/6692e086a1ef50f2a94aed11?utm_campaign=1061&amp;utm_source=sheet", "Apply")</f>
        <v>Apply</v>
      </c>
      <c r="C374" s="10" t="s">
        <v>94</v>
      </c>
      <c r="D374" s="56" t="s">
        <v>95</v>
      </c>
      <c r="E374" s="10">
        <v>52.0</v>
      </c>
      <c r="G374" s="10" t="s">
        <v>879</v>
      </c>
      <c r="H374" s="10" t="s">
        <v>55</v>
      </c>
      <c r="J374" s="10" t="s">
        <v>758</v>
      </c>
      <c r="K374" s="10" t="s">
        <v>42</v>
      </c>
    </row>
    <row r="375" ht="15.75" customHeight="1">
      <c r="A375" s="54">
        <v>45486.0</v>
      </c>
      <c r="B375" s="55" t="str">
        <f>HYPERLINK("https://jobright.ai/jobs/info/6692e086a1ef50f2a94aed15?utm_campaign=1061&amp;utm_source=sheet", "Apply")</f>
        <v>Apply</v>
      </c>
      <c r="C375" s="10" t="s">
        <v>94</v>
      </c>
      <c r="D375" s="56" t="s">
        <v>95</v>
      </c>
      <c r="E375" s="10">
        <v>52.0</v>
      </c>
      <c r="G375" s="10" t="s">
        <v>880</v>
      </c>
      <c r="H375" s="10" t="s">
        <v>55</v>
      </c>
      <c r="J375" s="10" t="s">
        <v>758</v>
      </c>
      <c r="K375" s="10" t="s">
        <v>42</v>
      </c>
    </row>
    <row r="376" ht="15.75" customHeight="1">
      <c r="A376" s="54">
        <v>45486.0</v>
      </c>
      <c r="B376" s="55" t="str">
        <f>HYPERLINK("https://jobright.ai/jobs/info/6692e086a1ef50f2a94aed1d?utm_campaign=1061&amp;utm_source=sheet", "Apply")</f>
        <v>Apply</v>
      </c>
      <c r="C376" s="10" t="s">
        <v>94</v>
      </c>
      <c r="D376" s="56" t="s">
        <v>95</v>
      </c>
      <c r="E376" s="10">
        <v>52.0</v>
      </c>
      <c r="G376" s="10" t="s">
        <v>881</v>
      </c>
      <c r="H376" s="10" t="s">
        <v>55</v>
      </c>
      <c r="J376" s="10" t="s">
        <v>758</v>
      </c>
      <c r="K376" s="10" t="s">
        <v>42</v>
      </c>
    </row>
    <row r="377" ht="15.75" customHeight="1">
      <c r="A377" s="54">
        <v>45486.0</v>
      </c>
      <c r="B377" s="55" t="str">
        <f>HYPERLINK("https://jobright.ai/jobs/info/6692e086a1ef50f2a94aed13?utm_campaign=1061&amp;utm_source=sheet", "Apply")</f>
        <v>Apply</v>
      </c>
      <c r="C377" s="10" t="s">
        <v>94</v>
      </c>
      <c r="D377" s="56" t="s">
        <v>95</v>
      </c>
      <c r="E377" s="10">
        <v>52.0</v>
      </c>
      <c r="G377" s="10" t="s">
        <v>278</v>
      </c>
      <c r="H377" s="10" t="s">
        <v>55</v>
      </c>
      <c r="J377" s="10" t="s">
        <v>758</v>
      </c>
      <c r="K377" s="10" t="s">
        <v>42</v>
      </c>
    </row>
    <row r="378" ht="15.75" customHeight="1">
      <c r="A378" s="54">
        <v>45486.0</v>
      </c>
      <c r="B378" s="55" t="str">
        <f>HYPERLINK("https://jobright.ai/jobs/info/6692e086a1ef50f2a94aed1a?utm_campaign=1061&amp;utm_source=sheet", "Apply")</f>
        <v>Apply</v>
      </c>
      <c r="C378" s="10" t="s">
        <v>94</v>
      </c>
      <c r="D378" s="56" t="s">
        <v>95</v>
      </c>
      <c r="E378" s="10">
        <v>52.0</v>
      </c>
      <c r="G378" s="10" t="s">
        <v>738</v>
      </c>
      <c r="H378" s="10" t="s">
        <v>55</v>
      </c>
      <c r="J378" s="10" t="s">
        <v>758</v>
      </c>
      <c r="K378" s="10" t="s">
        <v>42</v>
      </c>
    </row>
    <row r="379" ht="15.75" customHeight="1">
      <c r="A379" s="54">
        <v>45486.0</v>
      </c>
      <c r="B379" s="55" t="str">
        <f>HYPERLINK("https://jobright.ai/jobs/info/6692e07ea1ef50f2a94aed0c?utm_campaign=1061&amp;utm_source=sheet", "Apply")</f>
        <v>Apply</v>
      </c>
      <c r="C379" s="10" t="s">
        <v>94</v>
      </c>
      <c r="D379" s="56" t="s">
        <v>95</v>
      </c>
      <c r="E379" s="10">
        <v>52.0</v>
      </c>
      <c r="G379" s="10" t="s">
        <v>882</v>
      </c>
      <c r="H379" s="10" t="s">
        <v>55</v>
      </c>
      <c r="J379" s="10" t="s">
        <v>758</v>
      </c>
      <c r="K379" s="10" t="s">
        <v>42</v>
      </c>
    </row>
    <row r="380" ht="15.75" customHeight="1">
      <c r="A380" s="54">
        <v>45486.0</v>
      </c>
      <c r="B380" s="55" t="str">
        <f>HYPERLINK("https://jobright.ai/jobs/info/6692e086a1ef50f2a94aed1b?utm_campaign=1061&amp;utm_source=sheet", "Apply")</f>
        <v>Apply</v>
      </c>
      <c r="C380" s="10" t="s">
        <v>94</v>
      </c>
      <c r="D380" s="56" t="s">
        <v>95</v>
      </c>
      <c r="E380" s="10">
        <v>52.0</v>
      </c>
      <c r="G380" s="10" t="s">
        <v>883</v>
      </c>
      <c r="H380" s="10" t="s">
        <v>55</v>
      </c>
      <c r="J380" s="10" t="s">
        <v>758</v>
      </c>
      <c r="K380" s="10" t="s">
        <v>42</v>
      </c>
    </row>
    <row r="381" ht="15.75" customHeight="1">
      <c r="A381" s="54">
        <v>45486.0</v>
      </c>
      <c r="B381" s="55" t="str">
        <f>HYPERLINK("https://jobright.ai/jobs/info/6692e086a1ef50f2a94aed10?utm_campaign=1061&amp;utm_source=sheet", "Apply")</f>
        <v>Apply</v>
      </c>
      <c r="C381" s="10" t="s">
        <v>94</v>
      </c>
      <c r="D381" s="56" t="s">
        <v>95</v>
      </c>
      <c r="E381" s="10">
        <v>52.0</v>
      </c>
      <c r="G381" s="10" t="s">
        <v>884</v>
      </c>
      <c r="H381" s="10" t="s">
        <v>55</v>
      </c>
      <c r="J381" s="10" t="s">
        <v>758</v>
      </c>
      <c r="K381" s="10" t="s">
        <v>42</v>
      </c>
    </row>
    <row r="382" ht="15.75" customHeight="1">
      <c r="A382" s="54">
        <v>45486.0</v>
      </c>
      <c r="B382" s="55" t="str">
        <f>HYPERLINK("https://jobright.ai/jobs/info/6692e086a1ef50f2a94aed16?utm_campaign=1061&amp;utm_source=sheet", "Apply")</f>
        <v>Apply</v>
      </c>
      <c r="C382" s="10" t="s">
        <v>94</v>
      </c>
      <c r="D382" s="56" t="s">
        <v>95</v>
      </c>
      <c r="E382" s="10">
        <v>52.0</v>
      </c>
      <c r="G382" s="10" t="s">
        <v>885</v>
      </c>
      <c r="H382" s="10" t="s">
        <v>55</v>
      </c>
      <c r="J382" s="10" t="s">
        <v>758</v>
      </c>
      <c r="K382" s="10" t="s">
        <v>42</v>
      </c>
    </row>
    <row r="383" ht="15.75" customHeight="1">
      <c r="A383" s="54">
        <v>45486.0</v>
      </c>
      <c r="B383" s="55" t="str">
        <f>HYPERLINK("https://jobright.ai/jobs/info/6692e086a1ef50f2a94aed1e?utm_campaign=1061&amp;utm_source=sheet", "Apply")</f>
        <v>Apply</v>
      </c>
      <c r="C383" s="10" t="s">
        <v>94</v>
      </c>
      <c r="D383" s="56" t="s">
        <v>95</v>
      </c>
      <c r="E383" s="10">
        <v>52.0</v>
      </c>
      <c r="G383" s="10" t="s">
        <v>886</v>
      </c>
      <c r="H383" s="10" t="s">
        <v>55</v>
      </c>
      <c r="J383" s="10" t="s">
        <v>758</v>
      </c>
      <c r="K383" s="10" t="s">
        <v>42</v>
      </c>
    </row>
    <row r="384" ht="15.75" customHeight="1">
      <c r="A384" s="54">
        <v>45486.0</v>
      </c>
      <c r="B384" s="55" t="str">
        <f>HYPERLINK("https://jobright.ai/jobs/info/6692e086a1ef50f2a94aed18?utm_campaign=1061&amp;utm_source=sheet", "Apply")</f>
        <v>Apply</v>
      </c>
      <c r="C384" s="10" t="s">
        <v>94</v>
      </c>
      <c r="D384" s="56" t="s">
        <v>95</v>
      </c>
      <c r="E384" s="10">
        <v>52.0</v>
      </c>
      <c r="G384" s="10" t="s">
        <v>887</v>
      </c>
      <c r="H384" s="10" t="s">
        <v>55</v>
      </c>
      <c r="J384" s="10" t="s">
        <v>758</v>
      </c>
      <c r="K384" s="10" t="s">
        <v>42</v>
      </c>
    </row>
    <row r="385" ht="15.75" customHeight="1">
      <c r="A385" s="54">
        <v>45486.0</v>
      </c>
      <c r="B385" s="55" t="str">
        <f>HYPERLINK("https://jobright.ai/jobs/info/6692e086a1ef50f2a94aed17?utm_campaign=1061&amp;utm_source=sheet", "Apply")</f>
        <v>Apply</v>
      </c>
      <c r="C385" s="10" t="s">
        <v>94</v>
      </c>
      <c r="D385" s="56" t="s">
        <v>95</v>
      </c>
      <c r="E385" s="10">
        <v>52.0</v>
      </c>
      <c r="G385" s="10" t="s">
        <v>888</v>
      </c>
      <c r="H385" s="10" t="s">
        <v>55</v>
      </c>
      <c r="J385" s="10" t="s">
        <v>758</v>
      </c>
      <c r="K385" s="10" t="s">
        <v>42</v>
      </c>
    </row>
    <row r="386" ht="15.75" customHeight="1">
      <c r="A386" s="54">
        <v>45486.0</v>
      </c>
      <c r="B386" s="55" t="str">
        <f>HYPERLINK("https://jobright.ai/jobs/info/6692e086a1ef50f2a94aed20?utm_campaign=1061&amp;utm_source=sheet", "Apply")</f>
        <v>Apply</v>
      </c>
      <c r="C386" s="10" t="s">
        <v>94</v>
      </c>
      <c r="D386" s="56" t="s">
        <v>95</v>
      </c>
      <c r="E386" s="10">
        <v>52.0</v>
      </c>
      <c r="G386" s="10" t="s">
        <v>889</v>
      </c>
      <c r="H386" s="10" t="s">
        <v>55</v>
      </c>
      <c r="J386" s="10" t="s">
        <v>758</v>
      </c>
      <c r="K386" s="10" t="s">
        <v>42</v>
      </c>
    </row>
    <row r="387" ht="15.75" customHeight="1">
      <c r="A387" s="54">
        <v>45486.0</v>
      </c>
      <c r="B387" s="55" t="str">
        <f>HYPERLINK("https://jobright.ai/jobs/info/6692e07ea1ef50f2a94aed0d?utm_campaign=1061&amp;utm_source=sheet", "Apply")</f>
        <v>Apply</v>
      </c>
      <c r="C387" s="10" t="s">
        <v>94</v>
      </c>
      <c r="D387" s="56" t="s">
        <v>95</v>
      </c>
      <c r="E387" s="10">
        <v>52.0</v>
      </c>
      <c r="G387" s="10" t="s">
        <v>890</v>
      </c>
      <c r="H387" s="10" t="s">
        <v>55</v>
      </c>
      <c r="J387" s="10" t="s">
        <v>758</v>
      </c>
      <c r="K387" s="10" t="s">
        <v>42</v>
      </c>
    </row>
    <row r="388" ht="15.75" customHeight="1">
      <c r="A388" s="54">
        <v>45486.0</v>
      </c>
      <c r="B388" s="55" t="str">
        <f>HYPERLINK("https://jobright.ai/jobs/info/6692e086a1ef50f2a94aed27?utm_campaign=1061&amp;utm_source=sheet", "Apply")</f>
        <v>Apply</v>
      </c>
      <c r="C388" s="10" t="s">
        <v>94</v>
      </c>
      <c r="D388" s="56" t="s">
        <v>95</v>
      </c>
      <c r="E388" s="10">
        <v>52.0</v>
      </c>
      <c r="G388" s="10" t="s">
        <v>152</v>
      </c>
      <c r="H388" s="10" t="s">
        <v>55</v>
      </c>
      <c r="J388" s="10" t="s">
        <v>758</v>
      </c>
      <c r="K388" s="10" t="s">
        <v>42</v>
      </c>
    </row>
    <row r="389" ht="15.75" customHeight="1">
      <c r="A389" s="54">
        <v>45486.0</v>
      </c>
      <c r="B389" s="55" t="str">
        <f>HYPERLINK("https://jobright.ai/jobs/info/6692e086a1ef50f2a94aed2e?utm_campaign=1061&amp;utm_source=sheet", "Apply")</f>
        <v>Apply</v>
      </c>
      <c r="C389" s="10" t="s">
        <v>94</v>
      </c>
      <c r="D389" s="56" t="s">
        <v>95</v>
      </c>
      <c r="E389" s="10">
        <v>52.0</v>
      </c>
      <c r="G389" s="10" t="s">
        <v>891</v>
      </c>
      <c r="H389" s="10" t="s">
        <v>55</v>
      </c>
      <c r="J389" s="10" t="s">
        <v>758</v>
      </c>
      <c r="K389" s="10" t="s">
        <v>42</v>
      </c>
    </row>
    <row r="390" ht="15.75" customHeight="1">
      <c r="A390" s="54">
        <v>45486.0</v>
      </c>
      <c r="B390" s="55" t="str">
        <f>HYPERLINK("https://jobright.ai/jobs/info/6692e086a1ef50f2a94aed38?utm_campaign=1061&amp;utm_source=sheet", "Apply")</f>
        <v>Apply</v>
      </c>
      <c r="C390" s="10" t="s">
        <v>94</v>
      </c>
      <c r="D390" s="56" t="s">
        <v>95</v>
      </c>
      <c r="E390" s="10">
        <v>52.0</v>
      </c>
      <c r="G390" s="10" t="s">
        <v>892</v>
      </c>
      <c r="H390" s="10" t="s">
        <v>55</v>
      </c>
      <c r="J390" s="10" t="s">
        <v>758</v>
      </c>
      <c r="K390" s="10" t="s">
        <v>42</v>
      </c>
    </row>
    <row r="391" ht="15.75" customHeight="1">
      <c r="A391" s="54">
        <v>45486.0</v>
      </c>
      <c r="B391" s="55" t="str">
        <f>HYPERLINK("https://jobright.ai/jobs/info/6692e086a1ef50f2a94aed35?utm_campaign=1061&amp;utm_source=sheet", "Apply")</f>
        <v>Apply</v>
      </c>
      <c r="C391" s="10" t="s">
        <v>94</v>
      </c>
      <c r="D391" s="56" t="s">
        <v>95</v>
      </c>
      <c r="E391" s="10">
        <v>52.0</v>
      </c>
      <c r="G391" s="10" t="s">
        <v>893</v>
      </c>
      <c r="H391" s="10" t="s">
        <v>55</v>
      </c>
      <c r="J391" s="10" t="s">
        <v>758</v>
      </c>
      <c r="K391" s="10" t="s">
        <v>42</v>
      </c>
    </row>
    <row r="392" ht="15.75" customHeight="1">
      <c r="A392" s="54">
        <v>45486.0</v>
      </c>
      <c r="B392" s="55" t="str">
        <f>HYPERLINK("https://jobright.ai/jobs/info/6692e086a1ef50f2a94aed32?utm_campaign=1061&amp;utm_source=sheet", "Apply")</f>
        <v>Apply</v>
      </c>
      <c r="C392" s="10" t="s">
        <v>94</v>
      </c>
      <c r="D392" s="56" t="s">
        <v>95</v>
      </c>
      <c r="E392" s="10">
        <v>52.0</v>
      </c>
      <c r="G392" s="10" t="s">
        <v>894</v>
      </c>
      <c r="H392" s="10" t="s">
        <v>55</v>
      </c>
      <c r="J392" s="10" t="s">
        <v>758</v>
      </c>
      <c r="K392" s="10" t="s">
        <v>42</v>
      </c>
    </row>
    <row r="393" ht="15.75" customHeight="1">
      <c r="A393" s="54">
        <v>45486.0</v>
      </c>
      <c r="B393" s="55" t="str">
        <f>HYPERLINK("https://jobright.ai/jobs/info/6692e086a1ef50f2a94aed30?utm_campaign=1061&amp;utm_source=sheet", "Apply")</f>
        <v>Apply</v>
      </c>
      <c r="C393" s="10" t="s">
        <v>94</v>
      </c>
      <c r="D393" s="56" t="s">
        <v>95</v>
      </c>
      <c r="E393" s="10">
        <v>52.0</v>
      </c>
      <c r="G393" s="10" t="s">
        <v>895</v>
      </c>
      <c r="H393" s="10" t="s">
        <v>55</v>
      </c>
      <c r="J393" s="10" t="s">
        <v>758</v>
      </c>
      <c r="K393" s="10" t="s">
        <v>42</v>
      </c>
    </row>
    <row r="394" ht="15.75" customHeight="1">
      <c r="A394" s="54">
        <v>45486.0</v>
      </c>
      <c r="B394" s="55" t="str">
        <f>HYPERLINK("https://jobright.ai/jobs/info/6692e086a1ef50f2a94aed3a?utm_campaign=1061&amp;utm_source=sheet", "Apply")</f>
        <v>Apply</v>
      </c>
      <c r="C394" s="10" t="s">
        <v>94</v>
      </c>
      <c r="D394" s="56" t="s">
        <v>95</v>
      </c>
      <c r="E394" s="10">
        <v>52.0</v>
      </c>
      <c r="G394" s="10" t="s">
        <v>896</v>
      </c>
      <c r="H394" s="10" t="s">
        <v>55</v>
      </c>
      <c r="J394" s="10" t="s">
        <v>758</v>
      </c>
      <c r="K394" s="10" t="s">
        <v>42</v>
      </c>
    </row>
    <row r="395" ht="15.75" customHeight="1">
      <c r="A395" s="54">
        <v>45486.0</v>
      </c>
      <c r="B395" s="55" t="str">
        <f>HYPERLINK("https://jobright.ai/jobs/info/6692e086a1ef50f2a94aed29?utm_campaign=1061&amp;utm_source=sheet", "Apply")</f>
        <v>Apply</v>
      </c>
      <c r="C395" s="10" t="s">
        <v>94</v>
      </c>
      <c r="D395" s="56" t="s">
        <v>95</v>
      </c>
      <c r="E395" s="10">
        <v>52.0</v>
      </c>
      <c r="G395" s="10" t="s">
        <v>897</v>
      </c>
      <c r="H395" s="10" t="s">
        <v>55</v>
      </c>
      <c r="J395" s="10" t="s">
        <v>758</v>
      </c>
      <c r="K395" s="10" t="s">
        <v>42</v>
      </c>
    </row>
    <row r="396" ht="15.75" customHeight="1">
      <c r="A396" s="54">
        <v>45486.0</v>
      </c>
      <c r="B396" s="55" t="str">
        <f>HYPERLINK("https://jobright.ai/jobs/info/6692e086a1ef50f2a94aed25?utm_campaign=1061&amp;utm_source=sheet", "Apply")</f>
        <v>Apply</v>
      </c>
      <c r="C396" s="10" t="s">
        <v>94</v>
      </c>
      <c r="D396" s="56" t="s">
        <v>95</v>
      </c>
      <c r="E396" s="10">
        <v>52.0</v>
      </c>
      <c r="G396" s="10" t="s">
        <v>898</v>
      </c>
      <c r="H396" s="10" t="s">
        <v>55</v>
      </c>
      <c r="J396" s="10" t="s">
        <v>758</v>
      </c>
      <c r="K396" s="10" t="s">
        <v>42</v>
      </c>
    </row>
    <row r="397" ht="15.75" customHeight="1">
      <c r="A397" s="54">
        <v>45486.0</v>
      </c>
      <c r="B397" s="55" t="str">
        <f>HYPERLINK("https://jobright.ai/jobs/info/6692e086a1ef50f2a94aed37?utm_campaign=1061&amp;utm_source=sheet", "Apply")</f>
        <v>Apply</v>
      </c>
      <c r="C397" s="10" t="s">
        <v>94</v>
      </c>
      <c r="D397" s="56" t="s">
        <v>95</v>
      </c>
      <c r="E397" s="10">
        <v>52.0</v>
      </c>
      <c r="G397" s="10" t="s">
        <v>434</v>
      </c>
      <c r="H397" s="10" t="s">
        <v>55</v>
      </c>
      <c r="J397" s="10" t="s">
        <v>758</v>
      </c>
      <c r="K397" s="10" t="s">
        <v>42</v>
      </c>
    </row>
    <row r="398" ht="15.75" customHeight="1">
      <c r="A398" s="54">
        <v>45486.0</v>
      </c>
      <c r="B398" s="55" t="str">
        <f>HYPERLINK("https://jobright.ai/jobs/info/6692e086a1ef50f2a94aed28?utm_campaign=1061&amp;utm_source=sheet", "Apply")</f>
        <v>Apply</v>
      </c>
      <c r="C398" s="10" t="s">
        <v>94</v>
      </c>
      <c r="D398" s="56" t="s">
        <v>95</v>
      </c>
      <c r="E398" s="10">
        <v>52.0</v>
      </c>
      <c r="G398" s="10" t="s">
        <v>899</v>
      </c>
      <c r="H398" s="10" t="s">
        <v>55</v>
      </c>
      <c r="J398" s="10" t="s">
        <v>758</v>
      </c>
      <c r="K398" s="10" t="s">
        <v>42</v>
      </c>
    </row>
    <row r="399" ht="15.75" customHeight="1">
      <c r="A399" s="54">
        <v>45486.0</v>
      </c>
      <c r="B399" s="55" t="str">
        <f>HYPERLINK("https://jobright.ai/jobs/info/6692e086a1ef50f2a94aed2a?utm_campaign=1061&amp;utm_source=sheet", "Apply")</f>
        <v>Apply</v>
      </c>
      <c r="C399" s="10" t="s">
        <v>94</v>
      </c>
      <c r="D399" s="56" t="s">
        <v>95</v>
      </c>
      <c r="E399" s="10">
        <v>52.0</v>
      </c>
      <c r="G399" s="10" t="s">
        <v>900</v>
      </c>
      <c r="H399" s="10" t="s">
        <v>55</v>
      </c>
      <c r="J399" s="10" t="s">
        <v>758</v>
      </c>
      <c r="K399" s="10" t="s">
        <v>42</v>
      </c>
    </row>
    <row r="400" ht="15.75" customHeight="1">
      <c r="A400" s="54">
        <v>45486.0</v>
      </c>
      <c r="B400" s="55" t="str">
        <f>HYPERLINK("https://jobright.ai/jobs/info/6692e086a1ef50f2a94aed33?utm_campaign=1061&amp;utm_source=sheet", "Apply")</f>
        <v>Apply</v>
      </c>
      <c r="C400" s="10" t="s">
        <v>94</v>
      </c>
      <c r="D400" s="56" t="s">
        <v>95</v>
      </c>
      <c r="E400" s="10">
        <v>52.0</v>
      </c>
      <c r="G400" s="10" t="s">
        <v>901</v>
      </c>
      <c r="H400" s="10" t="s">
        <v>55</v>
      </c>
      <c r="J400" s="10" t="s">
        <v>758</v>
      </c>
      <c r="K400" s="10" t="s">
        <v>42</v>
      </c>
    </row>
    <row r="401" ht="15.75" customHeight="1">
      <c r="A401" s="54">
        <v>45486.0</v>
      </c>
      <c r="B401" s="55" t="str">
        <f>HYPERLINK("https://jobright.ai/jobs/info/6692e086a1ef50f2a94aed2f?utm_campaign=1061&amp;utm_source=sheet", "Apply")</f>
        <v>Apply</v>
      </c>
      <c r="C401" s="10" t="s">
        <v>94</v>
      </c>
      <c r="D401" s="56" t="s">
        <v>95</v>
      </c>
      <c r="E401" s="10">
        <v>52.0</v>
      </c>
      <c r="G401" s="10" t="s">
        <v>902</v>
      </c>
      <c r="H401" s="10" t="s">
        <v>55</v>
      </c>
      <c r="J401" s="10" t="s">
        <v>758</v>
      </c>
      <c r="K401" s="10" t="s">
        <v>42</v>
      </c>
    </row>
    <row r="402" ht="15.75" customHeight="1">
      <c r="A402" s="54">
        <v>45486.0</v>
      </c>
      <c r="B402" s="55" t="str">
        <f>HYPERLINK("https://jobright.ai/jobs/info/6692e086a1ef50f2a94aed34?utm_campaign=1061&amp;utm_source=sheet", "Apply")</f>
        <v>Apply</v>
      </c>
      <c r="C402" s="10" t="s">
        <v>94</v>
      </c>
      <c r="D402" s="56" t="s">
        <v>95</v>
      </c>
      <c r="E402" s="10">
        <v>52.0</v>
      </c>
      <c r="G402" s="10" t="s">
        <v>903</v>
      </c>
      <c r="H402" s="10" t="s">
        <v>55</v>
      </c>
      <c r="J402" s="10" t="s">
        <v>758</v>
      </c>
      <c r="K402" s="10" t="s">
        <v>42</v>
      </c>
    </row>
    <row r="403" ht="15.75" customHeight="1">
      <c r="A403" s="54">
        <v>45486.0</v>
      </c>
      <c r="B403" s="55" t="str">
        <f>HYPERLINK("https://jobright.ai/jobs/info/6692e086a1ef50f2a94aed2b?utm_campaign=1061&amp;utm_source=sheet", "Apply")</f>
        <v>Apply</v>
      </c>
      <c r="C403" s="10" t="s">
        <v>94</v>
      </c>
      <c r="D403" s="56" t="s">
        <v>95</v>
      </c>
      <c r="E403" s="10">
        <v>52.0</v>
      </c>
      <c r="G403" s="10" t="s">
        <v>131</v>
      </c>
      <c r="H403" s="10" t="s">
        <v>55</v>
      </c>
      <c r="J403" s="10" t="s">
        <v>758</v>
      </c>
      <c r="K403" s="10" t="s">
        <v>42</v>
      </c>
    </row>
    <row r="404" ht="15.75" customHeight="1">
      <c r="A404" s="54">
        <v>45486.0</v>
      </c>
      <c r="B404" s="55" t="str">
        <f>HYPERLINK("https://jobright.ai/jobs/info/6692e086a1ef50f2a94aed24?utm_campaign=1061&amp;utm_source=sheet", "Apply")</f>
        <v>Apply</v>
      </c>
      <c r="C404" s="10" t="s">
        <v>94</v>
      </c>
      <c r="D404" s="56" t="s">
        <v>95</v>
      </c>
      <c r="E404" s="10">
        <v>52.0</v>
      </c>
      <c r="G404" s="10" t="s">
        <v>904</v>
      </c>
      <c r="H404" s="10" t="s">
        <v>55</v>
      </c>
      <c r="J404" s="10" t="s">
        <v>758</v>
      </c>
      <c r="K404" s="10" t="s">
        <v>42</v>
      </c>
    </row>
    <row r="405" ht="15.75" customHeight="1">
      <c r="A405" s="54">
        <v>45486.0</v>
      </c>
      <c r="B405" s="55" t="str">
        <f>HYPERLINK("https://jobright.ai/jobs/info/6692e086a1ef50f2a94aed26?utm_campaign=1061&amp;utm_source=sheet", "Apply")</f>
        <v>Apply</v>
      </c>
      <c r="C405" s="10" t="s">
        <v>94</v>
      </c>
      <c r="D405" s="56" t="s">
        <v>95</v>
      </c>
      <c r="E405" s="10">
        <v>52.0</v>
      </c>
      <c r="G405" s="10" t="s">
        <v>905</v>
      </c>
      <c r="H405" s="10" t="s">
        <v>55</v>
      </c>
      <c r="J405" s="10" t="s">
        <v>758</v>
      </c>
      <c r="K405" s="10" t="s">
        <v>42</v>
      </c>
    </row>
    <row r="406" ht="15.75" customHeight="1">
      <c r="A406" s="54">
        <v>45486.0</v>
      </c>
      <c r="B406" s="55" t="str">
        <f>HYPERLINK("https://jobright.ai/jobs/info/6692e086a1ef50f2a94aed21?utm_campaign=1061&amp;utm_source=sheet", "Apply")</f>
        <v>Apply</v>
      </c>
      <c r="C406" s="10" t="s">
        <v>94</v>
      </c>
      <c r="D406" s="56" t="s">
        <v>95</v>
      </c>
      <c r="E406" s="10">
        <v>52.0</v>
      </c>
      <c r="G406" s="10" t="s">
        <v>906</v>
      </c>
      <c r="H406" s="10" t="s">
        <v>55</v>
      </c>
      <c r="J406" s="10" t="s">
        <v>758</v>
      </c>
      <c r="K406" s="10" t="s">
        <v>42</v>
      </c>
    </row>
    <row r="407" ht="15.75" customHeight="1">
      <c r="A407" s="54">
        <v>45486.0</v>
      </c>
      <c r="B407" s="55" t="str">
        <f>HYPERLINK("https://jobright.ai/jobs/info/6692e086a1ef50f2a94aed2d?utm_campaign=1061&amp;utm_source=sheet", "Apply")</f>
        <v>Apply</v>
      </c>
      <c r="C407" s="10" t="s">
        <v>94</v>
      </c>
      <c r="D407" s="56" t="s">
        <v>95</v>
      </c>
      <c r="E407" s="10">
        <v>52.0</v>
      </c>
      <c r="G407" s="10" t="s">
        <v>907</v>
      </c>
      <c r="H407" s="10" t="s">
        <v>55</v>
      </c>
      <c r="J407" s="10" t="s">
        <v>758</v>
      </c>
      <c r="K407" s="10" t="s">
        <v>42</v>
      </c>
    </row>
    <row r="408" ht="15.75" customHeight="1">
      <c r="A408" s="54">
        <v>45486.0</v>
      </c>
      <c r="B408" s="55" t="str">
        <f>HYPERLINK("https://jobright.ai/jobs/info/6692e086a1ef50f2a94aed23?utm_campaign=1061&amp;utm_source=sheet", "Apply")</f>
        <v>Apply</v>
      </c>
      <c r="C408" s="10" t="s">
        <v>94</v>
      </c>
      <c r="D408" s="56" t="s">
        <v>95</v>
      </c>
      <c r="E408" s="10">
        <v>52.0</v>
      </c>
      <c r="G408" s="10" t="s">
        <v>908</v>
      </c>
      <c r="H408" s="10" t="s">
        <v>55</v>
      </c>
      <c r="J408" s="10" t="s">
        <v>758</v>
      </c>
      <c r="K408" s="10" t="s">
        <v>42</v>
      </c>
    </row>
    <row r="409" ht="15.75" customHeight="1">
      <c r="A409" s="54">
        <v>45486.0</v>
      </c>
      <c r="B409" s="55" t="str">
        <f>HYPERLINK("https://jobright.ai/jobs/info/6692e086a1ef50f2a94aed3b?utm_campaign=1061&amp;utm_source=sheet", "Apply")</f>
        <v>Apply</v>
      </c>
      <c r="C409" s="10" t="s">
        <v>94</v>
      </c>
      <c r="D409" s="56" t="s">
        <v>95</v>
      </c>
      <c r="E409" s="10">
        <v>52.0</v>
      </c>
      <c r="G409" s="10" t="s">
        <v>909</v>
      </c>
      <c r="H409" s="10" t="s">
        <v>55</v>
      </c>
      <c r="J409" s="10" t="s">
        <v>758</v>
      </c>
      <c r="K409" s="10" t="s">
        <v>42</v>
      </c>
    </row>
    <row r="410" ht="15.75" customHeight="1">
      <c r="A410" s="54">
        <v>45486.0</v>
      </c>
      <c r="B410" s="55" t="str">
        <f>HYPERLINK("https://jobright.ai/jobs/info/6692e086a1ef50f2a94aed39?utm_campaign=1061&amp;utm_source=sheet", "Apply")</f>
        <v>Apply</v>
      </c>
      <c r="C410" s="10" t="s">
        <v>94</v>
      </c>
      <c r="D410" s="56" t="s">
        <v>95</v>
      </c>
      <c r="E410" s="10">
        <v>52.0</v>
      </c>
      <c r="G410" s="10" t="s">
        <v>910</v>
      </c>
      <c r="H410" s="10" t="s">
        <v>55</v>
      </c>
      <c r="J410" s="10" t="s">
        <v>758</v>
      </c>
      <c r="K410" s="10" t="s">
        <v>42</v>
      </c>
    </row>
    <row r="411" ht="15.75" customHeight="1">
      <c r="A411" s="54">
        <v>45486.0</v>
      </c>
      <c r="B411" s="55" t="str">
        <f>HYPERLINK("https://jobright.ai/jobs/info/6692e086a1ef50f2a94aed36?utm_campaign=1061&amp;utm_source=sheet", "Apply")</f>
        <v>Apply</v>
      </c>
      <c r="C411" s="10" t="s">
        <v>94</v>
      </c>
      <c r="D411" s="56" t="s">
        <v>95</v>
      </c>
      <c r="E411" s="10">
        <v>52.0</v>
      </c>
      <c r="G411" s="10" t="s">
        <v>911</v>
      </c>
      <c r="H411" s="10" t="s">
        <v>55</v>
      </c>
      <c r="J411" s="10" t="s">
        <v>758</v>
      </c>
      <c r="K411" s="10" t="s">
        <v>42</v>
      </c>
    </row>
    <row r="412" ht="15.75" customHeight="1">
      <c r="A412" s="54">
        <v>45486.0</v>
      </c>
      <c r="B412" s="55" t="str">
        <f>HYPERLINK("https://jobright.ai/jobs/info/6692e086a1ef50f2a94aed22?utm_campaign=1061&amp;utm_source=sheet", "Apply")</f>
        <v>Apply</v>
      </c>
      <c r="C412" s="10" t="s">
        <v>94</v>
      </c>
      <c r="D412" s="56" t="s">
        <v>95</v>
      </c>
      <c r="E412" s="10">
        <v>52.0</v>
      </c>
      <c r="G412" s="10" t="s">
        <v>912</v>
      </c>
      <c r="H412" s="10" t="s">
        <v>55</v>
      </c>
      <c r="J412" s="10" t="s">
        <v>758</v>
      </c>
      <c r="K412" s="10" t="s">
        <v>42</v>
      </c>
    </row>
    <row r="413" ht="15.75" customHeight="1">
      <c r="A413" s="54">
        <v>45486.0</v>
      </c>
      <c r="B413" s="55" t="str">
        <f>HYPERLINK("https://jobright.ai/jobs/info/6692e086a1ef50f2a94aed2c?utm_campaign=1061&amp;utm_source=sheet", "Apply")</f>
        <v>Apply</v>
      </c>
      <c r="C413" s="10" t="s">
        <v>94</v>
      </c>
      <c r="D413" s="56" t="s">
        <v>95</v>
      </c>
      <c r="E413" s="10">
        <v>52.0</v>
      </c>
      <c r="G413" s="10" t="s">
        <v>913</v>
      </c>
      <c r="H413" s="10" t="s">
        <v>55</v>
      </c>
      <c r="J413" s="10" t="s">
        <v>758</v>
      </c>
      <c r="K413" s="10" t="s">
        <v>42</v>
      </c>
    </row>
    <row r="414" ht="15.75" customHeight="1">
      <c r="A414" s="54">
        <v>45486.0</v>
      </c>
      <c r="B414" s="55" t="str">
        <f>HYPERLINK("https://jobright.ai/jobs/info/6692ee6e0269dc5b9b5addd2?utm_campaign=1061&amp;utm_source=sheet", "Apply")</f>
        <v>Apply</v>
      </c>
      <c r="C414" s="10" t="s">
        <v>94</v>
      </c>
      <c r="D414" s="56" t="s">
        <v>95</v>
      </c>
      <c r="E414" s="10">
        <v>52.0</v>
      </c>
      <c r="G414" s="10" t="s">
        <v>914</v>
      </c>
      <c r="H414" s="10" t="s">
        <v>55</v>
      </c>
      <c r="J414" s="10" t="s">
        <v>758</v>
      </c>
      <c r="K414" s="10" t="s">
        <v>42</v>
      </c>
    </row>
    <row r="415" ht="15.75" customHeight="1">
      <c r="A415" s="54">
        <v>45486.0</v>
      </c>
      <c r="B415" s="55" t="str">
        <f>HYPERLINK("https://jobright.ai/jobs/info/6692ee6e0269dc5b9b5addd5?utm_campaign=1061&amp;utm_source=sheet", "Apply")</f>
        <v>Apply</v>
      </c>
      <c r="C415" s="10" t="s">
        <v>94</v>
      </c>
      <c r="D415" s="56" t="s">
        <v>95</v>
      </c>
      <c r="E415" s="10">
        <v>52.0</v>
      </c>
      <c r="G415" s="10" t="s">
        <v>915</v>
      </c>
      <c r="H415" s="10" t="s">
        <v>55</v>
      </c>
      <c r="J415" s="10" t="s">
        <v>758</v>
      </c>
      <c r="K415" s="10" t="s">
        <v>42</v>
      </c>
    </row>
    <row r="416" ht="15.75" customHeight="1">
      <c r="A416" s="54">
        <v>45486.0</v>
      </c>
      <c r="B416" s="55" t="str">
        <f>HYPERLINK("https://jobright.ai/jobs/info/6692ee730269dc5b9b5addde?utm_campaign=1061&amp;utm_source=sheet", "Apply")</f>
        <v>Apply</v>
      </c>
      <c r="C416" s="10" t="s">
        <v>94</v>
      </c>
      <c r="D416" s="56" t="s">
        <v>95</v>
      </c>
      <c r="E416" s="10">
        <v>52.0</v>
      </c>
      <c r="G416" s="10" t="s">
        <v>916</v>
      </c>
      <c r="H416" s="10" t="s">
        <v>55</v>
      </c>
      <c r="J416" s="10" t="s">
        <v>758</v>
      </c>
      <c r="K416" s="10" t="s">
        <v>42</v>
      </c>
    </row>
    <row r="417" ht="15.75" customHeight="1">
      <c r="A417" s="54">
        <v>45486.0</v>
      </c>
      <c r="B417" s="55" t="str">
        <f>HYPERLINK("https://jobright.ai/jobs/info/6692ee730269dc5b9b5addd7?utm_campaign=1061&amp;utm_source=sheet", "Apply")</f>
        <v>Apply</v>
      </c>
      <c r="C417" s="10" t="s">
        <v>94</v>
      </c>
      <c r="D417" s="56" t="s">
        <v>95</v>
      </c>
      <c r="E417" s="10">
        <v>52.0</v>
      </c>
      <c r="G417" s="10" t="s">
        <v>917</v>
      </c>
      <c r="H417" s="10" t="s">
        <v>55</v>
      </c>
      <c r="J417" s="10" t="s">
        <v>758</v>
      </c>
      <c r="K417" s="10" t="s">
        <v>42</v>
      </c>
    </row>
    <row r="418" ht="15.75" customHeight="1">
      <c r="A418" s="54">
        <v>45486.0</v>
      </c>
      <c r="B418" s="55" t="str">
        <f>HYPERLINK("https://jobright.ai/jobs/info/6692ee730269dc5b9b5addd6?utm_campaign=1061&amp;utm_source=sheet", "Apply")</f>
        <v>Apply</v>
      </c>
      <c r="C418" s="10" t="s">
        <v>94</v>
      </c>
      <c r="D418" s="56" t="s">
        <v>95</v>
      </c>
      <c r="E418" s="10">
        <v>52.0</v>
      </c>
      <c r="G418" s="10" t="s">
        <v>918</v>
      </c>
      <c r="H418" s="10" t="s">
        <v>55</v>
      </c>
      <c r="J418" s="10" t="s">
        <v>758</v>
      </c>
      <c r="K418" s="10" t="s">
        <v>42</v>
      </c>
    </row>
    <row r="419" ht="15.75" customHeight="1">
      <c r="A419" s="54">
        <v>45486.0</v>
      </c>
      <c r="B419" s="55" t="str">
        <f>HYPERLINK("https://jobright.ai/jobs/info/6692ee730269dc5b9b5adddb?utm_campaign=1061&amp;utm_source=sheet", "Apply")</f>
        <v>Apply</v>
      </c>
      <c r="C419" s="10" t="s">
        <v>94</v>
      </c>
      <c r="D419" s="56" t="s">
        <v>95</v>
      </c>
      <c r="E419" s="10">
        <v>52.0</v>
      </c>
      <c r="G419" s="10" t="s">
        <v>919</v>
      </c>
      <c r="H419" s="10" t="s">
        <v>55</v>
      </c>
      <c r="J419" s="10" t="s">
        <v>758</v>
      </c>
      <c r="K419" s="10" t="s">
        <v>42</v>
      </c>
    </row>
    <row r="420" ht="15.75" customHeight="1">
      <c r="A420" s="54">
        <v>45486.0</v>
      </c>
      <c r="B420" s="55" t="str">
        <f>HYPERLINK("https://jobright.ai/jobs/info/6692ee6e0269dc5b9b5addd4?utm_campaign=1061&amp;utm_source=sheet", "Apply")</f>
        <v>Apply</v>
      </c>
      <c r="C420" s="10" t="s">
        <v>94</v>
      </c>
      <c r="D420" s="56" t="s">
        <v>95</v>
      </c>
      <c r="E420" s="10">
        <v>52.0</v>
      </c>
      <c r="G420" s="10" t="s">
        <v>920</v>
      </c>
      <c r="H420" s="10" t="s">
        <v>55</v>
      </c>
      <c r="J420" s="10" t="s">
        <v>758</v>
      </c>
      <c r="K420" s="10" t="s">
        <v>42</v>
      </c>
    </row>
    <row r="421" ht="15.75" customHeight="1">
      <c r="A421" s="54">
        <v>45486.0</v>
      </c>
      <c r="B421" s="55" t="str">
        <f>HYPERLINK("https://jobright.ai/jobs/info/6692ee730269dc5b9b5addd8?utm_campaign=1061&amp;utm_source=sheet", "Apply")</f>
        <v>Apply</v>
      </c>
      <c r="C421" s="10" t="s">
        <v>94</v>
      </c>
      <c r="D421" s="56" t="s">
        <v>95</v>
      </c>
      <c r="E421" s="10">
        <v>52.0</v>
      </c>
      <c r="G421" s="10" t="s">
        <v>921</v>
      </c>
      <c r="H421" s="10" t="s">
        <v>55</v>
      </c>
      <c r="J421" s="10" t="s">
        <v>758</v>
      </c>
      <c r="K421" s="10" t="s">
        <v>42</v>
      </c>
    </row>
    <row r="422" ht="15.75" customHeight="1">
      <c r="A422" s="54">
        <v>45486.0</v>
      </c>
      <c r="B422" s="55" t="str">
        <f>HYPERLINK("https://jobright.ai/jobs/info/6692ee730269dc5b9b5adde1?utm_campaign=1061&amp;utm_source=sheet", "Apply")</f>
        <v>Apply</v>
      </c>
      <c r="C422" s="10" t="s">
        <v>94</v>
      </c>
      <c r="D422" s="56" t="s">
        <v>95</v>
      </c>
      <c r="E422" s="10">
        <v>52.0</v>
      </c>
      <c r="G422" s="10" t="s">
        <v>922</v>
      </c>
      <c r="H422" s="10" t="s">
        <v>55</v>
      </c>
      <c r="J422" s="10" t="s">
        <v>758</v>
      </c>
      <c r="K422" s="10" t="s">
        <v>42</v>
      </c>
    </row>
    <row r="423" ht="15.75" customHeight="1">
      <c r="A423" s="54">
        <v>45486.0</v>
      </c>
      <c r="B423" s="55" t="str">
        <f>HYPERLINK("https://jobright.ai/jobs/info/6692ee730269dc5b9b5adde2?utm_campaign=1061&amp;utm_source=sheet", "Apply")</f>
        <v>Apply</v>
      </c>
      <c r="C423" s="10" t="s">
        <v>94</v>
      </c>
      <c r="D423" s="56" t="s">
        <v>95</v>
      </c>
      <c r="E423" s="10">
        <v>52.0</v>
      </c>
      <c r="G423" s="10" t="s">
        <v>923</v>
      </c>
      <c r="H423" s="10" t="s">
        <v>55</v>
      </c>
      <c r="J423" s="10" t="s">
        <v>758</v>
      </c>
      <c r="K423" s="10" t="s">
        <v>42</v>
      </c>
    </row>
    <row r="424" ht="15.75" customHeight="1">
      <c r="A424" s="54">
        <v>45486.0</v>
      </c>
      <c r="B424" s="55" t="str">
        <f>HYPERLINK("https://jobright.ai/jobs/info/6692ee730269dc5b9b5adde0?utm_campaign=1061&amp;utm_source=sheet", "Apply")</f>
        <v>Apply</v>
      </c>
      <c r="C424" s="10" t="s">
        <v>94</v>
      </c>
      <c r="D424" s="56" t="s">
        <v>95</v>
      </c>
      <c r="E424" s="10">
        <v>52.0</v>
      </c>
      <c r="G424" s="10" t="s">
        <v>924</v>
      </c>
      <c r="H424" s="10" t="s">
        <v>55</v>
      </c>
      <c r="J424" s="10" t="s">
        <v>758</v>
      </c>
      <c r="K424" s="10" t="s">
        <v>42</v>
      </c>
    </row>
    <row r="425" ht="15.75" customHeight="1">
      <c r="A425" s="54">
        <v>45486.0</v>
      </c>
      <c r="B425" s="55" t="str">
        <f>HYPERLINK("https://jobright.ai/jobs/info/6692ee730269dc5b9b5adde3?utm_campaign=1061&amp;utm_source=sheet", "Apply")</f>
        <v>Apply</v>
      </c>
      <c r="C425" s="10" t="s">
        <v>94</v>
      </c>
      <c r="D425" s="56" t="s">
        <v>95</v>
      </c>
      <c r="E425" s="10">
        <v>52.0</v>
      </c>
      <c r="G425" s="10" t="s">
        <v>925</v>
      </c>
      <c r="H425" s="10" t="s">
        <v>55</v>
      </c>
      <c r="J425" s="10" t="s">
        <v>758</v>
      </c>
      <c r="K425" s="10" t="s">
        <v>42</v>
      </c>
    </row>
    <row r="426" ht="15.75" customHeight="1">
      <c r="A426" s="54">
        <v>45486.0</v>
      </c>
      <c r="B426" s="55" t="str">
        <f>HYPERLINK("https://jobright.ai/jobs/info/6692ee730269dc5b9b5adde4?utm_campaign=1061&amp;utm_source=sheet", "Apply")</f>
        <v>Apply</v>
      </c>
      <c r="C426" s="10" t="s">
        <v>94</v>
      </c>
      <c r="D426" s="56" t="s">
        <v>95</v>
      </c>
      <c r="E426" s="10">
        <v>52.0</v>
      </c>
      <c r="G426" s="10" t="s">
        <v>926</v>
      </c>
      <c r="H426" s="10" t="s">
        <v>55</v>
      </c>
      <c r="J426" s="10" t="s">
        <v>758</v>
      </c>
      <c r="K426" s="10" t="s">
        <v>42</v>
      </c>
    </row>
    <row r="427" ht="15.75" customHeight="1">
      <c r="A427" s="54">
        <v>45486.0</v>
      </c>
      <c r="B427" s="55" t="str">
        <f>HYPERLINK("https://jobright.ai/jobs/info/6692ee6e0269dc5b9b5addd3?utm_campaign=1061&amp;utm_source=sheet", "Apply")</f>
        <v>Apply</v>
      </c>
      <c r="C427" s="10" t="s">
        <v>94</v>
      </c>
      <c r="D427" s="56" t="s">
        <v>95</v>
      </c>
      <c r="E427" s="10">
        <v>52.0</v>
      </c>
      <c r="G427" s="10" t="s">
        <v>927</v>
      </c>
      <c r="H427" s="10" t="s">
        <v>55</v>
      </c>
      <c r="J427" s="10" t="s">
        <v>758</v>
      </c>
      <c r="K427" s="10" t="s">
        <v>42</v>
      </c>
    </row>
    <row r="428" ht="15.75" customHeight="1">
      <c r="A428" s="54">
        <v>45486.0</v>
      </c>
      <c r="B428" s="55" t="str">
        <f>HYPERLINK("https://jobright.ai/jobs/info/6692ee730269dc5b9b5adde5?utm_campaign=1061&amp;utm_source=sheet", "Apply")</f>
        <v>Apply</v>
      </c>
      <c r="C428" s="10" t="s">
        <v>94</v>
      </c>
      <c r="D428" s="56" t="s">
        <v>95</v>
      </c>
      <c r="E428" s="10">
        <v>52.0</v>
      </c>
      <c r="G428" s="10" t="s">
        <v>146</v>
      </c>
      <c r="H428" s="10" t="s">
        <v>55</v>
      </c>
      <c r="J428" s="10" t="s">
        <v>758</v>
      </c>
      <c r="K428" s="10" t="s">
        <v>42</v>
      </c>
    </row>
    <row r="429" ht="15.75" customHeight="1">
      <c r="A429" s="54">
        <v>45486.0</v>
      </c>
      <c r="B429" s="55" t="str">
        <f>HYPERLINK("https://jobright.ai/jobs/info/6692ee730269dc5b9b5adddc?utm_campaign=1061&amp;utm_source=sheet", "Apply")</f>
        <v>Apply</v>
      </c>
      <c r="C429" s="10" t="s">
        <v>94</v>
      </c>
      <c r="D429" s="56" t="s">
        <v>95</v>
      </c>
      <c r="E429" s="10">
        <v>52.0</v>
      </c>
      <c r="G429" s="10" t="s">
        <v>928</v>
      </c>
      <c r="H429" s="10" t="s">
        <v>55</v>
      </c>
      <c r="J429" s="10" t="s">
        <v>758</v>
      </c>
      <c r="K429" s="10" t="s">
        <v>42</v>
      </c>
    </row>
    <row r="430" ht="15.75" customHeight="1">
      <c r="A430" s="54">
        <v>45486.0</v>
      </c>
      <c r="B430" s="55" t="str">
        <f>HYPERLINK("https://jobright.ai/jobs/info/6692ee730269dc5b9b5addd9?utm_campaign=1061&amp;utm_source=sheet", "Apply")</f>
        <v>Apply</v>
      </c>
      <c r="C430" s="10" t="s">
        <v>94</v>
      </c>
      <c r="D430" s="56" t="s">
        <v>95</v>
      </c>
      <c r="E430" s="10">
        <v>52.0</v>
      </c>
      <c r="G430" s="10" t="s">
        <v>929</v>
      </c>
      <c r="H430" s="10" t="s">
        <v>55</v>
      </c>
      <c r="J430" s="10" t="s">
        <v>758</v>
      </c>
      <c r="K430" s="10" t="s">
        <v>42</v>
      </c>
    </row>
    <row r="431" ht="15.75" customHeight="1">
      <c r="A431" s="54">
        <v>45486.0</v>
      </c>
      <c r="B431" s="55" t="str">
        <f>HYPERLINK("https://jobright.ai/jobs/info/6692ee730269dc5b9b5adddd?utm_campaign=1061&amp;utm_source=sheet", "Apply")</f>
        <v>Apply</v>
      </c>
      <c r="C431" s="10" t="s">
        <v>94</v>
      </c>
      <c r="D431" s="56" t="s">
        <v>95</v>
      </c>
      <c r="E431" s="10">
        <v>52.0</v>
      </c>
      <c r="G431" s="10" t="s">
        <v>930</v>
      </c>
      <c r="H431" s="10" t="s">
        <v>55</v>
      </c>
      <c r="J431" s="10" t="s">
        <v>758</v>
      </c>
      <c r="K431" s="10" t="s">
        <v>42</v>
      </c>
    </row>
    <row r="432" ht="15.75" customHeight="1">
      <c r="A432" s="54">
        <v>45486.0</v>
      </c>
      <c r="B432" s="55" t="str">
        <f>HYPERLINK("https://jobright.ai/jobs/info/6692ee730269dc5b9b5adde6?utm_campaign=1061&amp;utm_source=sheet", "Apply")</f>
        <v>Apply</v>
      </c>
      <c r="C432" s="10" t="s">
        <v>94</v>
      </c>
      <c r="D432" s="56" t="s">
        <v>95</v>
      </c>
      <c r="E432" s="10">
        <v>52.0</v>
      </c>
      <c r="G432" s="10" t="s">
        <v>931</v>
      </c>
      <c r="H432" s="10" t="s">
        <v>55</v>
      </c>
      <c r="J432" s="10" t="s">
        <v>758</v>
      </c>
      <c r="K432" s="10" t="s">
        <v>42</v>
      </c>
    </row>
    <row r="433" ht="15.75" customHeight="1">
      <c r="A433" s="54">
        <v>45486.0</v>
      </c>
      <c r="B433" s="55" t="str">
        <f>HYPERLINK("https://jobright.ai/jobs/info/6692ee730269dc5b9b5adddf?utm_campaign=1061&amp;utm_source=sheet", "Apply")</f>
        <v>Apply</v>
      </c>
      <c r="C433" s="10" t="s">
        <v>94</v>
      </c>
      <c r="D433" s="56" t="s">
        <v>95</v>
      </c>
      <c r="E433" s="10">
        <v>52.0</v>
      </c>
      <c r="G433" s="10" t="s">
        <v>153</v>
      </c>
      <c r="H433" s="10" t="s">
        <v>55</v>
      </c>
      <c r="J433" s="10" t="s">
        <v>758</v>
      </c>
      <c r="K433" s="10" t="s">
        <v>42</v>
      </c>
    </row>
    <row r="434" ht="15.75" customHeight="1">
      <c r="A434" s="54">
        <v>45486.0</v>
      </c>
      <c r="B434" s="55" t="str">
        <f>HYPERLINK("https://jobright.ai/jobs/info/6692ee730269dc5b9b5addda?utm_campaign=1061&amp;utm_source=sheet", "Apply")</f>
        <v>Apply</v>
      </c>
      <c r="C434" s="10" t="s">
        <v>94</v>
      </c>
      <c r="D434" s="56" t="s">
        <v>95</v>
      </c>
      <c r="E434" s="10">
        <v>52.0</v>
      </c>
      <c r="G434" s="10" t="s">
        <v>245</v>
      </c>
      <c r="H434" s="10" t="s">
        <v>55</v>
      </c>
      <c r="J434" s="10" t="s">
        <v>758</v>
      </c>
      <c r="K434" s="10" t="s">
        <v>42</v>
      </c>
    </row>
    <row r="435" ht="15.75" customHeight="1">
      <c r="A435" s="54">
        <v>45486.0</v>
      </c>
      <c r="B435" s="55" t="str">
        <f>HYPERLINK("https://jobright.ai/jobs/info/6692ee730269dc5b9b5addeb?utm_campaign=1061&amp;utm_source=sheet", "Apply")</f>
        <v>Apply</v>
      </c>
      <c r="C435" s="10" t="s">
        <v>94</v>
      </c>
      <c r="D435" s="56" t="s">
        <v>95</v>
      </c>
      <c r="E435" s="10">
        <v>52.0</v>
      </c>
      <c r="G435" s="10" t="s">
        <v>932</v>
      </c>
      <c r="H435" s="10" t="s">
        <v>55</v>
      </c>
      <c r="J435" s="10" t="s">
        <v>758</v>
      </c>
      <c r="K435" s="10" t="s">
        <v>42</v>
      </c>
    </row>
    <row r="436" ht="15.75" customHeight="1">
      <c r="A436" s="54">
        <v>45486.0</v>
      </c>
      <c r="B436" s="55" t="str">
        <f>HYPERLINK("https://jobright.ai/jobs/info/6692ee730269dc5b9b5addea?utm_campaign=1061&amp;utm_source=sheet", "Apply")</f>
        <v>Apply</v>
      </c>
      <c r="C436" s="10" t="s">
        <v>94</v>
      </c>
      <c r="D436" s="56" t="s">
        <v>95</v>
      </c>
      <c r="E436" s="10">
        <v>52.0</v>
      </c>
      <c r="G436" s="10" t="s">
        <v>621</v>
      </c>
      <c r="H436" s="10" t="s">
        <v>55</v>
      </c>
      <c r="J436" s="10" t="s">
        <v>758</v>
      </c>
      <c r="K436" s="10" t="s">
        <v>42</v>
      </c>
    </row>
    <row r="437" ht="15.75" customHeight="1">
      <c r="A437" s="54">
        <v>45486.0</v>
      </c>
      <c r="B437" s="55" t="str">
        <f>HYPERLINK("https://jobright.ai/jobs/info/6692ee730269dc5b9b5adde8?utm_campaign=1061&amp;utm_source=sheet", "Apply")</f>
        <v>Apply</v>
      </c>
      <c r="C437" s="10" t="s">
        <v>94</v>
      </c>
      <c r="D437" s="56" t="s">
        <v>95</v>
      </c>
      <c r="E437" s="10">
        <v>52.0</v>
      </c>
      <c r="G437" s="10" t="s">
        <v>933</v>
      </c>
      <c r="H437" s="10" t="s">
        <v>55</v>
      </c>
      <c r="J437" s="10" t="s">
        <v>758</v>
      </c>
      <c r="K437" s="10" t="s">
        <v>42</v>
      </c>
    </row>
    <row r="438" ht="15.75" customHeight="1">
      <c r="A438" s="54">
        <v>45486.0</v>
      </c>
      <c r="B438" s="55" t="str">
        <f>HYPERLINK("https://jobright.ai/jobs/info/6692ee730269dc5b9b5addec?utm_campaign=1061&amp;utm_source=sheet", "Apply")</f>
        <v>Apply</v>
      </c>
      <c r="C438" s="10" t="s">
        <v>94</v>
      </c>
      <c r="D438" s="56" t="s">
        <v>95</v>
      </c>
      <c r="E438" s="10">
        <v>52.0</v>
      </c>
      <c r="G438" s="10" t="s">
        <v>934</v>
      </c>
      <c r="H438" s="10" t="s">
        <v>55</v>
      </c>
      <c r="J438" s="10" t="s">
        <v>758</v>
      </c>
      <c r="K438" s="10" t="s">
        <v>42</v>
      </c>
    </row>
    <row r="439" ht="15.75" customHeight="1">
      <c r="A439" s="54">
        <v>45486.0</v>
      </c>
      <c r="B439" s="55" t="str">
        <f>HYPERLINK("https://jobright.ai/jobs/info/6692ee730269dc5b9b5addef?utm_campaign=1061&amp;utm_source=sheet", "Apply")</f>
        <v>Apply</v>
      </c>
      <c r="C439" s="10" t="s">
        <v>94</v>
      </c>
      <c r="D439" s="56" t="s">
        <v>95</v>
      </c>
      <c r="E439" s="10">
        <v>52.0</v>
      </c>
      <c r="G439" s="10" t="s">
        <v>935</v>
      </c>
      <c r="H439" s="10" t="s">
        <v>55</v>
      </c>
      <c r="J439" s="10" t="s">
        <v>758</v>
      </c>
      <c r="K439" s="10" t="s">
        <v>42</v>
      </c>
    </row>
    <row r="440" ht="15.75" customHeight="1">
      <c r="A440" s="54">
        <v>45486.0</v>
      </c>
      <c r="B440" s="55" t="str">
        <f>HYPERLINK("https://jobright.ai/jobs/info/6692ee730269dc5b9b5addf0?utm_campaign=1061&amp;utm_source=sheet", "Apply")</f>
        <v>Apply</v>
      </c>
      <c r="C440" s="10" t="s">
        <v>94</v>
      </c>
      <c r="D440" s="56" t="s">
        <v>95</v>
      </c>
      <c r="E440" s="10">
        <v>52.0</v>
      </c>
      <c r="G440" s="10" t="s">
        <v>936</v>
      </c>
      <c r="H440" s="10" t="s">
        <v>55</v>
      </c>
      <c r="J440" s="10" t="s">
        <v>758</v>
      </c>
      <c r="K440" s="10" t="s">
        <v>42</v>
      </c>
    </row>
    <row r="441" ht="15.75" customHeight="1">
      <c r="A441" s="54">
        <v>45486.0</v>
      </c>
      <c r="B441" s="55" t="str">
        <f>HYPERLINK("https://jobright.ai/jobs/info/6692ee730269dc5b9b5adde9?utm_campaign=1061&amp;utm_source=sheet", "Apply")</f>
        <v>Apply</v>
      </c>
      <c r="C441" s="10" t="s">
        <v>94</v>
      </c>
      <c r="D441" s="56" t="s">
        <v>95</v>
      </c>
      <c r="E441" s="10">
        <v>52.0</v>
      </c>
      <c r="G441" s="10" t="s">
        <v>937</v>
      </c>
      <c r="H441" s="10" t="s">
        <v>55</v>
      </c>
      <c r="J441" s="10" t="s">
        <v>758</v>
      </c>
      <c r="K441" s="10" t="s">
        <v>42</v>
      </c>
    </row>
    <row r="442" ht="15.75" customHeight="1">
      <c r="A442" s="54">
        <v>45486.0</v>
      </c>
      <c r="B442" s="55" t="str">
        <f>HYPERLINK("https://jobright.ai/jobs/info/6692ee730269dc5b9b5adde7?utm_campaign=1061&amp;utm_source=sheet", "Apply")</f>
        <v>Apply</v>
      </c>
      <c r="C442" s="10" t="s">
        <v>94</v>
      </c>
      <c r="D442" s="56" t="s">
        <v>95</v>
      </c>
      <c r="E442" s="10">
        <v>52.0</v>
      </c>
      <c r="G442" s="10" t="s">
        <v>605</v>
      </c>
      <c r="H442" s="10" t="s">
        <v>55</v>
      </c>
      <c r="J442" s="10" t="s">
        <v>758</v>
      </c>
      <c r="K442" s="10" t="s">
        <v>42</v>
      </c>
    </row>
    <row r="443" ht="15.75" customHeight="1">
      <c r="A443" s="54">
        <v>45486.0</v>
      </c>
      <c r="B443" s="55" t="str">
        <f>HYPERLINK("https://jobright.ai/jobs/info/6692ee730269dc5b9b5added?utm_campaign=1061&amp;utm_source=sheet", "Apply")</f>
        <v>Apply</v>
      </c>
      <c r="C443" s="10" t="s">
        <v>94</v>
      </c>
      <c r="D443" s="56" t="s">
        <v>95</v>
      </c>
      <c r="E443" s="10">
        <v>52.0</v>
      </c>
      <c r="G443" s="10" t="s">
        <v>938</v>
      </c>
      <c r="H443" s="10" t="s">
        <v>55</v>
      </c>
      <c r="J443" s="10" t="s">
        <v>758</v>
      </c>
      <c r="K443" s="10" t="s">
        <v>42</v>
      </c>
    </row>
    <row r="444" ht="15.75" customHeight="1">
      <c r="A444" s="54">
        <v>45486.0</v>
      </c>
      <c r="B444" s="55" t="str">
        <f>HYPERLINK("https://jobright.ai/jobs/info/6692ee730269dc5b9b5addee?utm_campaign=1061&amp;utm_source=sheet", "Apply")</f>
        <v>Apply</v>
      </c>
      <c r="C444" s="10" t="s">
        <v>94</v>
      </c>
      <c r="D444" s="56" t="s">
        <v>95</v>
      </c>
      <c r="E444" s="10">
        <v>52.0</v>
      </c>
      <c r="G444" s="10" t="s">
        <v>939</v>
      </c>
      <c r="H444" s="10" t="s">
        <v>55</v>
      </c>
      <c r="J444" s="10" t="s">
        <v>758</v>
      </c>
      <c r="K444" s="10" t="s">
        <v>42</v>
      </c>
    </row>
    <row r="445" ht="15.75" customHeight="1">
      <c r="A445" s="54">
        <v>45486.0</v>
      </c>
      <c r="B445" s="55" t="str">
        <f>HYPERLINK("https://jobright.ai/jobs/info/66930ae771f18c170e72e3c5?utm_campaign=1061&amp;utm_source=sheet", "Apply")</f>
        <v>Apply</v>
      </c>
      <c r="C445" s="10" t="s">
        <v>94</v>
      </c>
      <c r="D445" s="56" t="s">
        <v>95</v>
      </c>
      <c r="E445" s="10">
        <v>52.0</v>
      </c>
      <c r="G445" s="10" t="s">
        <v>940</v>
      </c>
      <c r="H445" s="10" t="s">
        <v>55</v>
      </c>
      <c r="J445" s="10" t="s">
        <v>758</v>
      </c>
      <c r="K445" s="10" t="s">
        <v>42</v>
      </c>
    </row>
    <row r="446" ht="15.75" customHeight="1">
      <c r="A446" s="54">
        <v>45486.0</v>
      </c>
      <c r="B446" s="55" t="str">
        <f>HYPERLINK("https://jobright.ai/jobs/info/66930ae771f18c170e72e3c7?utm_campaign=1061&amp;utm_source=sheet", "Apply")</f>
        <v>Apply</v>
      </c>
      <c r="C446" s="10" t="s">
        <v>94</v>
      </c>
      <c r="D446" s="56" t="s">
        <v>95</v>
      </c>
      <c r="E446" s="10">
        <v>52.0</v>
      </c>
      <c r="G446" s="10" t="s">
        <v>941</v>
      </c>
      <c r="H446" s="10" t="s">
        <v>55</v>
      </c>
      <c r="J446" s="10" t="s">
        <v>758</v>
      </c>
      <c r="K446" s="10" t="s">
        <v>42</v>
      </c>
    </row>
    <row r="447" ht="15.75" customHeight="1">
      <c r="A447" s="54">
        <v>45486.0</v>
      </c>
      <c r="B447" s="55" t="str">
        <f>HYPERLINK("https://jobright.ai/jobs/info/66930ae771f18c170e72e3c6?utm_campaign=1061&amp;utm_source=sheet", "Apply")</f>
        <v>Apply</v>
      </c>
      <c r="C447" s="10" t="s">
        <v>94</v>
      </c>
      <c r="D447" s="56" t="s">
        <v>95</v>
      </c>
      <c r="E447" s="10">
        <v>52.0</v>
      </c>
      <c r="G447" s="10" t="s">
        <v>942</v>
      </c>
      <c r="H447" s="10" t="s">
        <v>55</v>
      </c>
      <c r="J447" s="10" t="s">
        <v>758</v>
      </c>
      <c r="K447" s="10" t="s">
        <v>42</v>
      </c>
    </row>
    <row r="448" ht="15.75" customHeight="1">
      <c r="A448" s="54">
        <v>45486.0</v>
      </c>
      <c r="B448" s="55" t="str">
        <f>HYPERLINK("https://jobright.ai/jobs/info/66930ae771f18c170e72e3c8?utm_campaign=1061&amp;utm_source=sheet", "Apply")</f>
        <v>Apply</v>
      </c>
      <c r="C448" s="10" t="s">
        <v>94</v>
      </c>
      <c r="D448" s="56" t="s">
        <v>95</v>
      </c>
      <c r="E448" s="10">
        <v>52.0</v>
      </c>
      <c r="G448" s="10" t="s">
        <v>943</v>
      </c>
      <c r="H448" s="10" t="s">
        <v>55</v>
      </c>
      <c r="J448" s="10" t="s">
        <v>758</v>
      </c>
      <c r="K448" s="10" t="s">
        <v>42</v>
      </c>
    </row>
    <row r="449" ht="15.75" customHeight="1">
      <c r="A449" s="54">
        <v>45486.0</v>
      </c>
      <c r="B449" s="55" t="str">
        <f>HYPERLINK("https://jobright.ai/jobs/info/6692fc7e1df3a0692ba71514?utm_campaign=1061&amp;utm_source=sheet", "Apply")</f>
        <v>Apply</v>
      </c>
      <c r="C449" s="10" t="s">
        <v>94</v>
      </c>
      <c r="D449" s="56" t="s">
        <v>95</v>
      </c>
      <c r="E449" s="10">
        <v>52.0</v>
      </c>
      <c r="G449" s="10" t="s">
        <v>944</v>
      </c>
      <c r="H449" s="10" t="s">
        <v>55</v>
      </c>
      <c r="J449" s="10" t="s">
        <v>758</v>
      </c>
      <c r="K449" s="10" t="s">
        <v>42</v>
      </c>
    </row>
    <row r="450" ht="15.75" customHeight="1">
      <c r="A450" s="54">
        <v>45486.0</v>
      </c>
      <c r="B450" s="55" t="str">
        <f>HYPERLINK("https://jobright.ai/jobs/info/6692fc7e1df3a0692ba7151c?utm_campaign=1061&amp;utm_source=sheet", "Apply")</f>
        <v>Apply</v>
      </c>
      <c r="C450" s="10" t="s">
        <v>94</v>
      </c>
      <c r="D450" s="56" t="s">
        <v>95</v>
      </c>
      <c r="E450" s="10">
        <v>52.0</v>
      </c>
      <c r="G450" s="10" t="s">
        <v>945</v>
      </c>
      <c r="H450" s="10" t="s">
        <v>55</v>
      </c>
      <c r="J450" s="10" t="s">
        <v>758</v>
      </c>
      <c r="K450" s="10" t="s">
        <v>42</v>
      </c>
    </row>
    <row r="451" ht="15.75" customHeight="1">
      <c r="A451" s="54">
        <v>45486.0</v>
      </c>
      <c r="B451" s="55" t="str">
        <f>HYPERLINK("https://jobright.ai/jobs/info/6692fc7e1df3a0692ba71516?utm_campaign=1061&amp;utm_source=sheet", "Apply")</f>
        <v>Apply</v>
      </c>
      <c r="C451" s="10" t="s">
        <v>94</v>
      </c>
      <c r="D451" s="56" t="s">
        <v>95</v>
      </c>
      <c r="E451" s="10">
        <v>52.0</v>
      </c>
      <c r="G451" s="10" t="s">
        <v>505</v>
      </c>
      <c r="H451" s="10" t="s">
        <v>55</v>
      </c>
      <c r="J451" s="10" t="s">
        <v>758</v>
      </c>
      <c r="K451" s="10" t="s">
        <v>42</v>
      </c>
    </row>
    <row r="452" ht="15.75" customHeight="1">
      <c r="A452" s="54">
        <v>45486.0</v>
      </c>
      <c r="B452" s="55" t="str">
        <f>HYPERLINK("https://jobright.ai/jobs/info/6692fc7e1df3a0692ba71515?utm_campaign=1061&amp;utm_source=sheet", "Apply")</f>
        <v>Apply</v>
      </c>
      <c r="C452" s="10" t="s">
        <v>94</v>
      </c>
      <c r="D452" s="56" t="s">
        <v>95</v>
      </c>
      <c r="E452" s="10">
        <v>52.0</v>
      </c>
      <c r="G452" s="10" t="s">
        <v>946</v>
      </c>
      <c r="H452" s="10" t="s">
        <v>55</v>
      </c>
      <c r="J452" s="10" t="s">
        <v>758</v>
      </c>
      <c r="K452" s="10" t="s">
        <v>42</v>
      </c>
    </row>
    <row r="453" ht="15.75" customHeight="1">
      <c r="A453" s="54">
        <v>45486.0</v>
      </c>
      <c r="B453" s="55" t="str">
        <f>HYPERLINK("https://jobright.ai/jobs/info/6692fc7e1df3a0692ba71517?utm_campaign=1061&amp;utm_source=sheet", "Apply")</f>
        <v>Apply</v>
      </c>
      <c r="C453" s="10" t="s">
        <v>94</v>
      </c>
      <c r="D453" s="56" t="s">
        <v>95</v>
      </c>
      <c r="E453" s="10">
        <v>52.0</v>
      </c>
      <c r="G453" s="10" t="s">
        <v>947</v>
      </c>
      <c r="H453" s="10" t="s">
        <v>55</v>
      </c>
      <c r="J453" s="10" t="s">
        <v>758</v>
      </c>
      <c r="K453" s="10" t="s">
        <v>42</v>
      </c>
    </row>
    <row r="454" ht="15.75" customHeight="1">
      <c r="A454" s="54">
        <v>45486.0</v>
      </c>
      <c r="B454" s="55" t="str">
        <f>HYPERLINK("https://jobright.ai/jobs/info/6692fc7e1df3a0692ba7151b?utm_campaign=1061&amp;utm_source=sheet", "Apply")</f>
        <v>Apply</v>
      </c>
      <c r="C454" s="10" t="s">
        <v>94</v>
      </c>
      <c r="D454" s="56" t="s">
        <v>95</v>
      </c>
      <c r="E454" s="10">
        <v>52.0</v>
      </c>
      <c r="G454" s="10" t="s">
        <v>948</v>
      </c>
      <c r="H454" s="10" t="s">
        <v>55</v>
      </c>
      <c r="J454" s="10" t="s">
        <v>758</v>
      </c>
      <c r="K454" s="10" t="s">
        <v>42</v>
      </c>
    </row>
    <row r="455" ht="15.75" customHeight="1">
      <c r="A455" s="54">
        <v>45486.0</v>
      </c>
      <c r="B455" s="55" t="str">
        <f>HYPERLINK("https://jobright.ai/jobs/info/6692fc7e1df3a0692ba71518?utm_campaign=1061&amp;utm_source=sheet", "Apply")</f>
        <v>Apply</v>
      </c>
      <c r="C455" s="10" t="s">
        <v>94</v>
      </c>
      <c r="D455" s="56" t="s">
        <v>95</v>
      </c>
      <c r="E455" s="10">
        <v>52.0</v>
      </c>
      <c r="G455" s="10" t="s">
        <v>949</v>
      </c>
      <c r="H455" s="10" t="s">
        <v>55</v>
      </c>
      <c r="J455" s="10" t="s">
        <v>758</v>
      </c>
      <c r="K455" s="10" t="s">
        <v>42</v>
      </c>
    </row>
    <row r="456" ht="15.75" customHeight="1">
      <c r="A456" s="54">
        <v>45486.0</v>
      </c>
      <c r="B456" s="55" t="str">
        <f>HYPERLINK("https://jobright.ai/jobs/info/6692fc7e1df3a0692ba7151a?utm_campaign=1061&amp;utm_source=sheet", "Apply")</f>
        <v>Apply</v>
      </c>
      <c r="C456" s="10" t="s">
        <v>94</v>
      </c>
      <c r="D456" s="56" t="s">
        <v>95</v>
      </c>
      <c r="E456" s="10">
        <v>52.0</v>
      </c>
      <c r="G456" s="10" t="s">
        <v>950</v>
      </c>
      <c r="H456" s="10" t="s">
        <v>55</v>
      </c>
      <c r="J456" s="10" t="s">
        <v>758</v>
      </c>
      <c r="K456" s="10" t="s">
        <v>42</v>
      </c>
    </row>
    <row r="457" ht="15.75" customHeight="1">
      <c r="A457" s="54">
        <v>45486.0</v>
      </c>
      <c r="B457" s="55" t="str">
        <f>HYPERLINK("https://jobright.ai/jobs/info/6692fc7e1df3a0692ba71519?utm_campaign=1061&amp;utm_source=sheet", "Apply")</f>
        <v>Apply</v>
      </c>
      <c r="C457" s="10" t="s">
        <v>94</v>
      </c>
      <c r="D457" s="56" t="s">
        <v>95</v>
      </c>
      <c r="E457" s="10">
        <v>52.0</v>
      </c>
      <c r="G457" s="10" t="s">
        <v>951</v>
      </c>
      <c r="H457" s="10" t="s">
        <v>55</v>
      </c>
      <c r="J457" s="10" t="s">
        <v>758</v>
      </c>
      <c r="K457" s="10" t="s">
        <v>42</v>
      </c>
    </row>
    <row r="458" ht="15.75" customHeight="1">
      <c r="A458" s="54">
        <v>45486.0</v>
      </c>
      <c r="B458" s="55" t="str">
        <f>HYPERLINK("https://jobright.ai/jobs/info/6692de6ee4ff287df1540982?utm_campaign=1061&amp;utm_source=sheet", "Apply")</f>
        <v>Apply</v>
      </c>
      <c r="C458" s="10" t="s">
        <v>94</v>
      </c>
      <c r="D458" s="56" t="s">
        <v>95</v>
      </c>
      <c r="E458" s="10">
        <v>52.0</v>
      </c>
      <c r="G458" s="10" t="s">
        <v>952</v>
      </c>
      <c r="H458" s="10" t="s">
        <v>55</v>
      </c>
      <c r="J458" s="10" t="s">
        <v>758</v>
      </c>
      <c r="K458" s="10" t="s">
        <v>42</v>
      </c>
    </row>
    <row r="459" ht="15.75" customHeight="1">
      <c r="A459" s="54">
        <v>45486.0</v>
      </c>
      <c r="B459" s="55" t="str">
        <f>HYPERLINK("https://jobright.ai/jobs/info/6692de6ee4ff287df1540984?utm_campaign=1061&amp;utm_source=sheet", "Apply")</f>
        <v>Apply</v>
      </c>
      <c r="C459" s="10" t="s">
        <v>94</v>
      </c>
      <c r="D459" s="56" t="s">
        <v>95</v>
      </c>
      <c r="E459" s="10">
        <v>52.0</v>
      </c>
      <c r="G459" s="10" t="s">
        <v>953</v>
      </c>
      <c r="H459" s="10" t="s">
        <v>55</v>
      </c>
      <c r="J459" s="10" t="s">
        <v>758</v>
      </c>
      <c r="K459" s="10" t="s">
        <v>42</v>
      </c>
    </row>
    <row r="460" ht="15.75" customHeight="1">
      <c r="A460" s="54">
        <v>45486.0</v>
      </c>
      <c r="B460" s="55" t="str">
        <f>HYPERLINK("https://jobright.ai/jobs/info/6692de6ee4ff287df1540986?utm_campaign=1061&amp;utm_source=sheet", "Apply")</f>
        <v>Apply</v>
      </c>
      <c r="C460" s="10" t="s">
        <v>94</v>
      </c>
      <c r="D460" s="56" t="s">
        <v>95</v>
      </c>
      <c r="E460" s="10">
        <v>52.0</v>
      </c>
      <c r="G460" s="10" t="s">
        <v>954</v>
      </c>
      <c r="H460" s="10" t="s">
        <v>55</v>
      </c>
      <c r="J460" s="10" t="s">
        <v>758</v>
      </c>
      <c r="K460" s="10" t="s">
        <v>42</v>
      </c>
    </row>
    <row r="461" ht="15.75" customHeight="1">
      <c r="A461" s="54">
        <v>45486.0</v>
      </c>
      <c r="B461" s="55" t="str">
        <f>HYPERLINK("https://jobright.ai/jobs/info/6692de6ee4ff287df1540987?utm_campaign=1061&amp;utm_source=sheet", "Apply")</f>
        <v>Apply</v>
      </c>
      <c r="C461" s="10" t="s">
        <v>94</v>
      </c>
      <c r="D461" s="56" t="s">
        <v>95</v>
      </c>
      <c r="E461" s="10">
        <v>52.0</v>
      </c>
      <c r="G461" s="10" t="s">
        <v>955</v>
      </c>
      <c r="H461" s="10" t="s">
        <v>55</v>
      </c>
      <c r="J461" s="10" t="s">
        <v>758</v>
      </c>
      <c r="K461" s="10" t="s">
        <v>42</v>
      </c>
    </row>
    <row r="462" ht="15.75" customHeight="1">
      <c r="A462" s="54">
        <v>45486.0</v>
      </c>
      <c r="B462" s="55" t="str">
        <f>HYPERLINK("https://jobright.ai/jobs/info/6692de6ee4ff287df1540985?utm_campaign=1061&amp;utm_source=sheet", "Apply")</f>
        <v>Apply</v>
      </c>
      <c r="C462" s="10" t="s">
        <v>94</v>
      </c>
      <c r="D462" s="56" t="s">
        <v>95</v>
      </c>
      <c r="E462" s="10">
        <v>52.0</v>
      </c>
      <c r="G462" s="10" t="s">
        <v>956</v>
      </c>
      <c r="H462" s="10" t="s">
        <v>55</v>
      </c>
      <c r="J462" s="10" t="s">
        <v>758</v>
      </c>
      <c r="K462" s="10" t="s">
        <v>42</v>
      </c>
    </row>
    <row r="463" ht="15.75" customHeight="1">
      <c r="A463" s="54">
        <v>45486.0</v>
      </c>
      <c r="B463" s="55" t="str">
        <f>HYPERLINK("https://jobright.ai/jobs/info/6692de6ee4ff287df154098a?utm_campaign=1061&amp;utm_source=sheet", "Apply")</f>
        <v>Apply</v>
      </c>
      <c r="C463" s="10" t="s">
        <v>94</v>
      </c>
      <c r="D463" s="56" t="s">
        <v>95</v>
      </c>
      <c r="E463" s="10">
        <v>52.0</v>
      </c>
      <c r="G463" s="10" t="s">
        <v>957</v>
      </c>
      <c r="H463" s="10" t="s">
        <v>55</v>
      </c>
      <c r="J463" s="10" t="s">
        <v>758</v>
      </c>
      <c r="K463" s="10" t="s">
        <v>42</v>
      </c>
    </row>
    <row r="464" ht="15.75" customHeight="1">
      <c r="A464" s="54">
        <v>45486.0</v>
      </c>
      <c r="B464" s="55" t="str">
        <f>HYPERLINK("https://jobright.ai/jobs/info/6692de6ee4ff287df1540989?utm_campaign=1061&amp;utm_source=sheet", "Apply")</f>
        <v>Apply</v>
      </c>
      <c r="C464" s="10" t="s">
        <v>94</v>
      </c>
      <c r="D464" s="56" t="s">
        <v>95</v>
      </c>
      <c r="E464" s="10">
        <v>52.0</v>
      </c>
      <c r="G464" s="10" t="s">
        <v>958</v>
      </c>
      <c r="H464" s="10" t="s">
        <v>55</v>
      </c>
      <c r="J464" s="10" t="s">
        <v>758</v>
      </c>
      <c r="K464" s="10" t="s">
        <v>42</v>
      </c>
    </row>
    <row r="465" ht="15.75" customHeight="1">
      <c r="A465" s="54">
        <v>45486.0</v>
      </c>
      <c r="B465" s="55" t="str">
        <f>HYPERLINK("https://jobright.ai/jobs/info/6692de6ee4ff287df154098f?utm_campaign=1061&amp;utm_source=sheet", "Apply")</f>
        <v>Apply</v>
      </c>
      <c r="C465" s="10" t="s">
        <v>94</v>
      </c>
      <c r="D465" s="56" t="s">
        <v>95</v>
      </c>
      <c r="E465" s="10">
        <v>52.0</v>
      </c>
      <c r="G465" s="10" t="s">
        <v>959</v>
      </c>
      <c r="H465" s="10" t="s">
        <v>55</v>
      </c>
      <c r="J465" s="10" t="s">
        <v>758</v>
      </c>
      <c r="K465" s="10" t="s">
        <v>42</v>
      </c>
    </row>
    <row r="466" ht="15.75" customHeight="1">
      <c r="A466" s="54">
        <v>45486.0</v>
      </c>
      <c r="B466" s="55" t="str">
        <f>HYPERLINK("https://jobright.ai/jobs/info/6692de6ee4ff287df154099b?utm_campaign=1061&amp;utm_source=sheet", "Apply")</f>
        <v>Apply</v>
      </c>
      <c r="C466" s="10" t="s">
        <v>94</v>
      </c>
      <c r="D466" s="56" t="s">
        <v>95</v>
      </c>
      <c r="E466" s="10">
        <v>52.0</v>
      </c>
      <c r="G466" s="10" t="s">
        <v>960</v>
      </c>
      <c r="H466" s="10" t="s">
        <v>55</v>
      </c>
      <c r="J466" s="10" t="s">
        <v>758</v>
      </c>
      <c r="K466" s="10" t="s">
        <v>42</v>
      </c>
    </row>
    <row r="467" ht="15.75" customHeight="1">
      <c r="A467" s="54">
        <v>45486.0</v>
      </c>
      <c r="B467" s="55" t="str">
        <f>HYPERLINK("https://jobright.ai/jobs/info/6692de6ee4ff287df154099f?utm_campaign=1061&amp;utm_source=sheet", "Apply")</f>
        <v>Apply</v>
      </c>
      <c r="C467" s="10" t="s">
        <v>94</v>
      </c>
      <c r="D467" s="56" t="s">
        <v>95</v>
      </c>
      <c r="E467" s="10">
        <v>52.0</v>
      </c>
      <c r="G467" s="10" t="s">
        <v>168</v>
      </c>
      <c r="H467" s="10" t="s">
        <v>55</v>
      </c>
      <c r="J467" s="10" t="s">
        <v>758</v>
      </c>
      <c r="K467" s="10" t="s">
        <v>42</v>
      </c>
    </row>
    <row r="468" ht="15.75" customHeight="1">
      <c r="A468" s="54">
        <v>45486.0</v>
      </c>
      <c r="B468" s="55" t="str">
        <f>HYPERLINK("https://jobright.ai/jobs/info/6692de6ee4ff287df154098b?utm_campaign=1061&amp;utm_source=sheet", "Apply")</f>
        <v>Apply</v>
      </c>
      <c r="C468" s="10" t="s">
        <v>94</v>
      </c>
      <c r="D468" s="56" t="s">
        <v>95</v>
      </c>
      <c r="E468" s="10">
        <v>52.0</v>
      </c>
      <c r="G468" s="10" t="s">
        <v>961</v>
      </c>
      <c r="H468" s="10" t="s">
        <v>55</v>
      </c>
      <c r="J468" s="10" t="s">
        <v>758</v>
      </c>
      <c r="K468" s="10" t="s">
        <v>42</v>
      </c>
    </row>
    <row r="469" ht="15.75" customHeight="1">
      <c r="A469" s="54">
        <v>45486.0</v>
      </c>
      <c r="B469" s="55" t="str">
        <f>HYPERLINK("https://jobright.ai/jobs/info/6692de6ee4ff287df154099e?utm_campaign=1061&amp;utm_source=sheet", "Apply")</f>
        <v>Apply</v>
      </c>
      <c r="C469" s="10" t="s">
        <v>94</v>
      </c>
      <c r="D469" s="56" t="s">
        <v>95</v>
      </c>
      <c r="E469" s="10">
        <v>52.0</v>
      </c>
      <c r="G469" s="10" t="s">
        <v>962</v>
      </c>
      <c r="H469" s="10" t="s">
        <v>55</v>
      </c>
      <c r="J469" s="10" t="s">
        <v>758</v>
      </c>
      <c r="K469" s="10" t="s">
        <v>42</v>
      </c>
    </row>
    <row r="470" ht="15.75" customHeight="1">
      <c r="A470" s="54">
        <v>45486.0</v>
      </c>
      <c r="B470" s="55" t="str">
        <f>HYPERLINK("https://jobright.ai/jobs/info/6692de6ee4ff287df1540998?utm_campaign=1061&amp;utm_source=sheet", "Apply")</f>
        <v>Apply</v>
      </c>
      <c r="C470" s="10" t="s">
        <v>94</v>
      </c>
      <c r="D470" s="56" t="s">
        <v>95</v>
      </c>
      <c r="E470" s="10">
        <v>52.0</v>
      </c>
      <c r="G470" s="10" t="s">
        <v>607</v>
      </c>
      <c r="H470" s="10" t="s">
        <v>55</v>
      </c>
      <c r="J470" s="10" t="s">
        <v>758</v>
      </c>
      <c r="K470" s="10" t="s">
        <v>42</v>
      </c>
    </row>
    <row r="471" ht="15.75" customHeight="1">
      <c r="A471" s="54">
        <v>45486.0</v>
      </c>
      <c r="B471" s="55" t="str">
        <f>HYPERLINK("https://jobright.ai/jobs/info/6692de6ee4ff287df15409a5?utm_campaign=1061&amp;utm_source=sheet", "Apply")</f>
        <v>Apply</v>
      </c>
      <c r="C471" s="10" t="s">
        <v>94</v>
      </c>
      <c r="D471" s="56" t="s">
        <v>95</v>
      </c>
      <c r="E471" s="10">
        <v>52.0</v>
      </c>
      <c r="G471" s="10" t="s">
        <v>963</v>
      </c>
      <c r="H471" s="10" t="s">
        <v>55</v>
      </c>
      <c r="J471" s="10" t="s">
        <v>758</v>
      </c>
      <c r="K471" s="10" t="s">
        <v>42</v>
      </c>
    </row>
    <row r="472" ht="15.75" customHeight="1">
      <c r="A472" s="54">
        <v>45486.0</v>
      </c>
      <c r="B472" s="55" t="str">
        <f>HYPERLINK("https://jobright.ai/jobs/info/6692de6ee4ff287df1540990?utm_campaign=1061&amp;utm_source=sheet", "Apply")</f>
        <v>Apply</v>
      </c>
      <c r="C472" s="10" t="s">
        <v>94</v>
      </c>
      <c r="D472" s="56" t="s">
        <v>95</v>
      </c>
      <c r="E472" s="10">
        <v>52.0</v>
      </c>
      <c r="G472" s="10" t="s">
        <v>964</v>
      </c>
      <c r="H472" s="10" t="s">
        <v>55</v>
      </c>
      <c r="J472" s="10" t="s">
        <v>758</v>
      </c>
      <c r="K472" s="10" t="s">
        <v>42</v>
      </c>
    </row>
    <row r="473" ht="15.75" customHeight="1">
      <c r="A473" s="54">
        <v>45486.0</v>
      </c>
      <c r="B473" s="55" t="str">
        <f>HYPERLINK("https://jobright.ai/jobs/info/6692de6ee4ff287df15409a2?utm_campaign=1061&amp;utm_source=sheet", "Apply")</f>
        <v>Apply</v>
      </c>
      <c r="C473" s="10" t="s">
        <v>94</v>
      </c>
      <c r="D473" s="56" t="s">
        <v>95</v>
      </c>
      <c r="E473" s="10">
        <v>52.0</v>
      </c>
      <c r="G473" s="10" t="s">
        <v>578</v>
      </c>
      <c r="H473" s="10" t="s">
        <v>55</v>
      </c>
      <c r="J473" s="10" t="s">
        <v>758</v>
      </c>
      <c r="K473" s="10" t="s">
        <v>42</v>
      </c>
    </row>
    <row r="474" ht="15.75" customHeight="1">
      <c r="A474" s="54">
        <v>45486.0</v>
      </c>
      <c r="B474" s="55" t="str">
        <f>HYPERLINK("https://jobright.ai/jobs/info/6692de6ee4ff287df1540993?utm_campaign=1061&amp;utm_source=sheet", "Apply")</f>
        <v>Apply</v>
      </c>
      <c r="C474" s="10" t="s">
        <v>94</v>
      </c>
      <c r="D474" s="56" t="s">
        <v>95</v>
      </c>
      <c r="E474" s="10">
        <v>52.0</v>
      </c>
      <c r="G474" s="10" t="s">
        <v>965</v>
      </c>
      <c r="H474" s="10" t="s">
        <v>55</v>
      </c>
      <c r="J474" s="10" t="s">
        <v>758</v>
      </c>
      <c r="K474" s="10" t="s">
        <v>42</v>
      </c>
    </row>
    <row r="475" ht="15.75" customHeight="1">
      <c r="A475" s="54">
        <v>45486.0</v>
      </c>
      <c r="B475" s="55" t="str">
        <f>HYPERLINK("https://jobright.ai/jobs/info/6692de6ee4ff287df1540996?utm_campaign=1061&amp;utm_source=sheet", "Apply")</f>
        <v>Apply</v>
      </c>
      <c r="C475" s="10" t="s">
        <v>94</v>
      </c>
      <c r="D475" s="56" t="s">
        <v>95</v>
      </c>
      <c r="E475" s="10">
        <v>52.0</v>
      </c>
      <c r="G475" s="10" t="s">
        <v>966</v>
      </c>
      <c r="H475" s="10" t="s">
        <v>55</v>
      </c>
      <c r="J475" s="10" t="s">
        <v>758</v>
      </c>
      <c r="K475" s="10" t="s">
        <v>42</v>
      </c>
    </row>
    <row r="476" ht="15.75" customHeight="1">
      <c r="A476" s="54">
        <v>45486.0</v>
      </c>
      <c r="B476" s="55" t="str">
        <f>HYPERLINK("https://jobright.ai/jobs/info/6692de6ee4ff287df1540997?utm_campaign=1061&amp;utm_source=sheet", "Apply")</f>
        <v>Apply</v>
      </c>
      <c r="C476" s="10" t="s">
        <v>94</v>
      </c>
      <c r="D476" s="56" t="s">
        <v>95</v>
      </c>
      <c r="E476" s="10">
        <v>52.0</v>
      </c>
      <c r="G476" s="10" t="s">
        <v>967</v>
      </c>
      <c r="H476" s="10" t="s">
        <v>55</v>
      </c>
      <c r="J476" s="10" t="s">
        <v>758</v>
      </c>
      <c r="K476" s="10" t="s">
        <v>42</v>
      </c>
    </row>
    <row r="477" ht="15.75" customHeight="1">
      <c r="A477" s="54">
        <v>45486.0</v>
      </c>
      <c r="B477" s="55" t="str">
        <f>HYPERLINK("https://jobright.ai/jobs/info/6692de6ee4ff287df1540999?utm_campaign=1061&amp;utm_source=sheet", "Apply")</f>
        <v>Apply</v>
      </c>
      <c r="C477" s="10" t="s">
        <v>94</v>
      </c>
      <c r="D477" s="56" t="s">
        <v>95</v>
      </c>
      <c r="E477" s="10">
        <v>52.0</v>
      </c>
      <c r="G477" s="10" t="s">
        <v>968</v>
      </c>
      <c r="H477" s="10" t="s">
        <v>55</v>
      </c>
      <c r="J477" s="10" t="s">
        <v>758</v>
      </c>
      <c r="K477" s="10" t="s">
        <v>42</v>
      </c>
    </row>
    <row r="478" ht="15.75" customHeight="1">
      <c r="A478" s="54">
        <v>45486.0</v>
      </c>
      <c r="B478" s="55" t="str">
        <f>HYPERLINK("https://jobright.ai/jobs/info/6692de6ee4ff287df1540992?utm_campaign=1061&amp;utm_source=sheet", "Apply")</f>
        <v>Apply</v>
      </c>
      <c r="C478" s="10" t="s">
        <v>94</v>
      </c>
      <c r="D478" s="56" t="s">
        <v>95</v>
      </c>
      <c r="E478" s="10">
        <v>52.0</v>
      </c>
      <c r="G478" s="10" t="s">
        <v>969</v>
      </c>
      <c r="H478" s="10" t="s">
        <v>55</v>
      </c>
      <c r="J478" s="10" t="s">
        <v>758</v>
      </c>
      <c r="K478" s="10" t="s">
        <v>42</v>
      </c>
    </row>
    <row r="479" ht="15.75" customHeight="1">
      <c r="A479" s="54">
        <v>45486.0</v>
      </c>
      <c r="B479" s="55" t="str">
        <f>HYPERLINK("https://jobright.ai/jobs/info/6692de6ee4ff287df15409a3?utm_campaign=1061&amp;utm_source=sheet", "Apply")</f>
        <v>Apply</v>
      </c>
      <c r="C479" s="10" t="s">
        <v>94</v>
      </c>
      <c r="D479" s="56" t="s">
        <v>95</v>
      </c>
      <c r="E479" s="10">
        <v>52.0</v>
      </c>
      <c r="G479" s="10" t="s">
        <v>970</v>
      </c>
      <c r="H479" s="10" t="s">
        <v>55</v>
      </c>
      <c r="J479" s="10" t="s">
        <v>758</v>
      </c>
      <c r="K479" s="10" t="s">
        <v>42</v>
      </c>
    </row>
    <row r="480" ht="15.75" customHeight="1">
      <c r="A480" s="54">
        <v>45486.0</v>
      </c>
      <c r="B480" s="55" t="str">
        <f>HYPERLINK("https://jobright.ai/jobs/info/6692de6ee4ff287df154098d?utm_campaign=1061&amp;utm_source=sheet", "Apply")</f>
        <v>Apply</v>
      </c>
      <c r="C480" s="10" t="s">
        <v>94</v>
      </c>
      <c r="D480" s="56" t="s">
        <v>95</v>
      </c>
      <c r="E480" s="10">
        <v>52.0</v>
      </c>
      <c r="G480" s="10" t="s">
        <v>971</v>
      </c>
      <c r="H480" s="10" t="s">
        <v>55</v>
      </c>
      <c r="J480" s="10" t="s">
        <v>758</v>
      </c>
      <c r="K480" s="10" t="s">
        <v>42</v>
      </c>
    </row>
    <row r="481" ht="15.75" customHeight="1">
      <c r="A481" s="54">
        <v>45486.0</v>
      </c>
      <c r="B481" s="55" t="str">
        <f>HYPERLINK("https://jobright.ai/jobs/info/6692de6ee4ff287df154098c?utm_campaign=1061&amp;utm_source=sheet", "Apply")</f>
        <v>Apply</v>
      </c>
      <c r="C481" s="10" t="s">
        <v>94</v>
      </c>
      <c r="D481" s="56" t="s">
        <v>95</v>
      </c>
      <c r="E481" s="10">
        <v>52.0</v>
      </c>
      <c r="G481" s="10" t="s">
        <v>972</v>
      </c>
      <c r="H481" s="10" t="s">
        <v>55</v>
      </c>
      <c r="J481" s="10" t="s">
        <v>758</v>
      </c>
      <c r="K481" s="10" t="s">
        <v>42</v>
      </c>
    </row>
    <row r="482" ht="15.75" customHeight="1">
      <c r="A482" s="54">
        <v>45486.0</v>
      </c>
      <c r="B482" s="55" t="str">
        <f>HYPERLINK("https://jobright.ai/jobs/info/6692de6ee4ff287df1540994?utm_campaign=1061&amp;utm_source=sheet", "Apply")</f>
        <v>Apply</v>
      </c>
      <c r="C482" s="10" t="s">
        <v>94</v>
      </c>
      <c r="D482" s="56" t="s">
        <v>95</v>
      </c>
      <c r="E482" s="10">
        <v>52.0</v>
      </c>
      <c r="G482" s="10" t="s">
        <v>708</v>
      </c>
      <c r="H482" s="10" t="s">
        <v>55</v>
      </c>
      <c r="J482" s="10" t="s">
        <v>758</v>
      </c>
      <c r="K482" s="10" t="s">
        <v>42</v>
      </c>
    </row>
    <row r="483" ht="15.75" customHeight="1">
      <c r="A483" s="54">
        <v>45486.0</v>
      </c>
      <c r="B483" s="55" t="str">
        <f>HYPERLINK("https://jobright.ai/jobs/info/6692de6ee4ff287df15409a0?utm_campaign=1061&amp;utm_source=sheet", "Apply")</f>
        <v>Apply</v>
      </c>
      <c r="C483" s="10" t="s">
        <v>94</v>
      </c>
      <c r="D483" s="56" t="s">
        <v>95</v>
      </c>
      <c r="E483" s="10">
        <v>52.0</v>
      </c>
      <c r="G483" s="10" t="s">
        <v>973</v>
      </c>
      <c r="H483" s="10" t="s">
        <v>55</v>
      </c>
      <c r="J483" s="10" t="s">
        <v>758</v>
      </c>
      <c r="K483" s="10" t="s">
        <v>42</v>
      </c>
    </row>
    <row r="484" ht="15.75" customHeight="1">
      <c r="A484" s="54">
        <v>45486.0</v>
      </c>
      <c r="B484" s="55" t="str">
        <f>HYPERLINK("https://jobright.ai/jobs/info/6692de6ee4ff287df15409a1?utm_campaign=1061&amp;utm_source=sheet", "Apply")</f>
        <v>Apply</v>
      </c>
      <c r="C484" s="10" t="s">
        <v>94</v>
      </c>
      <c r="D484" s="56" t="s">
        <v>95</v>
      </c>
      <c r="E484" s="10">
        <v>52.0</v>
      </c>
      <c r="G484" s="10" t="s">
        <v>974</v>
      </c>
      <c r="H484" s="10" t="s">
        <v>55</v>
      </c>
      <c r="J484" s="10" t="s">
        <v>758</v>
      </c>
      <c r="K484" s="10" t="s">
        <v>42</v>
      </c>
    </row>
    <row r="485" ht="15.75" customHeight="1">
      <c r="A485" s="54">
        <v>45486.0</v>
      </c>
      <c r="B485" s="55" t="str">
        <f>HYPERLINK("https://jobright.ai/jobs/info/6692de6ee4ff287df1540991?utm_campaign=1061&amp;utm_source=sheet", "Apply")</f>
        <v>Apply</v>
      </c>
      <c r="C485" s="10" t="s">
        <v>94</v>
      </c>
      <c r="D485" s="56" t="s">
        <v>95</v>
      </c>
      <c r="E485" s="10">
        <v>52.0</v>
      </c>
      <c r="G485" s="10" t="s">
        <v>975</v>
      </c>
      <c r="H485" s="10" t="s">
        <v>55</v>
      </c>
      <c r="J485" s="10" t="s">
        <v>758</v>
      </c>
      <c r="K485" s="10" t="s">
        <v>42</v>
      </c>
    </row>
    <row r="486" ht="15.75" customHeight="1">
      <c r="A486" s="54">
        <v>45486.0</v>
      </c>
      <c r="B486" s="55" t="str">
        <f>HYPERLINK("https://jobright.ai/jobs/info/6692de6ee4ff287df15409a8?utm_campaign=1061&amp;utm_source=sheet", "Apply")</f>
        <v>Apply</v>
      </c>
      <c r="C486" s="10" t="s">
        <v>94</v>
      </c>
      <c r="D486" s="56" t="s">
        <v>95</v>
      </c>
      <c r="E486" s="10">
        <v>52.0</v>
      </c>
      <c r="G486" s="10" t="s">
        <v>976</v>
      </c>
      <c r="H486" s="10" t="s">
        <v>55</v>
      </c>
      <c r="J486" s="10" t="s">
        <v>758</v>
      </c>
      <c r="K486" s="10" t="s">
        <v>42</v>
      </c>
    </row>
    <row r="487" ht="15.75" customHeight="1">
      <c r="A487" s="54">
        <v>45486.0</v>
      </c>
      <c r="B487" s="55" t="str">
        <f>HYPERLINK("https://jobright.ai/jobs/info/6692de6ee4ff287df15409af?utm_campaign=1061&amp;utm_source=sheet", "Apply")</f>
        <v>Apply</v>
      </c>
      <c r="C487" s="10" t="s">
        <v>94</v>
      </c>
      <c r="D487" s="56" t="s">
        <v>95</v>
      </c>
      <c r="E487" s="10">
        <v>52.0</v>
      </c>
      <c r="G487" s="10" t="s">
        <v>106</v>
      </c>
      <c r="H487" s="10" t="s">
        <v>55</v>
      </c>
      <c r="J487" s="10" t="s">
        <v>758</v>
      </c>
      <c r="K487" s="10" t="s">
        <v>42</v>
      </c>
    </row>
    <row r="488" ht="15.75" customHeight="1">
      <c r="A488" s="54">
        <v>45486.0</v>
      </c>
      <c r="B488" s="55" t="str">
        <f>HYPERLINK("https://jobright.ai/jobs/info/6692de6ee4ff287df15409ae?utm_campaign=1061&amp;utm_source=sheet", "Apply")</f>
        <v>Apply</v>
      </c>
      <c r="C488" s="10" t="s">
        <v>94</v>
      </c>
      <c r="D488" s="56" t="s">
        <v>95</v>
      </c>
      <c r="E488" s="10">
        <v>52.0</v>
      </c>
      <c r="G488" s="10" t="s">
        <v>977</v>
      </c>
      <c r="H488" s="10" t="s">
        <v>55</v>
      </c>
      <c r="J488" s="10" t="s">
        <v>758</v>
      </c>
      <c r="K488" s="10" t="s">
        <v>42</v>
      </c>
    </row>
    <row r="489" ht="15.75" customHeight="1">
      <c r="A489" s="54">
        <v>45486.0</v>
      </c>
      <c r="B489" s="55" t="str">
        <f>HYPERLINK("https://jobright.ai/jobs/info/6692de6ee4ff287df15409a6?utm_campaign=1061&amp;utm_source=sheet", "Apply")</f>
        <v>Apply</v>
      </c>
      <c r="C489" s="10" t="s">
        <v>94</v>
      </c>
      <c r="D489" s="56" t="s">
        <v>95</v>
      </c>
      <c r="E489" s="10">
        <v>52.0</v>
      </c>
      <c r="G489" s="10" t="s">
        <v>978</v>
      </c>
      <c r="H489" s="10" t="s">
        <v>55</v>
      </c>
      <c r="J489" s="10" t="s">
        <v>758</v>
      </c>
      <c r="K489" s="10" t="s">
        <v>42</v>
      </c>
    </row>
    <row r="490" ht="15.75" customHeight="1">
      <c r="A490" s="54">
        <v>45486.0</v>
      </c>
      <c r="B490" s="55" t="str">
        <f>HYPERLINK("https://jobright.ai/jobs/info/6692de6ee4ff287df15409a7?utm_campaign=1061&amp;utm_source=sheet", "Apply")</f>
        <v>Apply</v>
      </c>
      <c r="C490" s="10" t="s">
        <v>94</v>
      </c>
      <c r="D490" s="56" t="s">
        <v>95</v>
      </c>
      <c r="E490" s="10">
        <v>52.0</v>
      </c>
      <c r="G490" s="10" t="s">
        <v>979</v>
      </c>
      <c r="H490" s="10" t="s">
        <v>55</v>
      </c>
      <c r="J490" s="10" t="s">
        <v>758</v>
      </c>
      <c r="K490" s="10" t="s">
        <v>42</v>
      </c>
    </row>
    <row r="491" ht="15.75" customHeight="1">
      <c r="A491" s="54">
        <v>45486.0</v>
      </c>
      <c r="B491" s="55" t="str">
        <f>HYPERLINK("https://jobright.ai/jobs/info/6692de6ee4ff287df15409ad?utm_campaign=1061&amp;utm_source=sheet", "Apply")</f>
        <v>Apply</v>
      </c>
      <c r="C491" s="10" t="s">
        <v>94</v>
      </c>
      <c r="D491" s="56" t="s">
        <v>95</v>
      </c>
      <c r="E491" s="10">
        <v>52.0</v>
      </c>
      <c r="G491" s="10" t="s">
        <v>980</v>
      </c>
      <c r="H491" s="10" t="s">
        <v>55</v>
      </c>
      <c r="J491" s="10" t="s">
        <v>758</v>
      </c>
      <c r="K491" s="10" t="s">
        <v>42</v>
      </c>
    </row>
    <row r="492" ht="15.75" customHeight="1">
      <c r="A492" s="54">
        <v>45486.0</v>
      </c>
      <c r="B492" s="55" t="str">
        <f>HYPERLINK("https://jobright.ai/jobs/info/6692de6ee4ff287df15409aa?utm_campaign=1061&amp;utm_source=sheet", "Apply")</f>
        <v>Apply</v>
      </c>
      <c r="C492" s="10" t="s">
        <v>94</v>
      </c>
      <c r="D492" s="56" t="s">
        <v>95</v>
      </c>
      <c r="E492" s="10">
        <v>52.0</v>
      </c>
      <c r="G492" s="10" t="s">
        <v>981</v>
      </c>
      <c r="H492" s="10" t="s">
        <v>55</v>
      </c>
      <c r="J492" s="10" t="s">
        <v>758</v>
      </c>
      <c r="K492" s="10" t="s">
        <v>42</v>
      </c>
    </row>
    <row r="493" ht="15.75" customHeight="1">
      <c r="A493" s="54">
        <v>45486.0</v>
      </c>
      <c r="B493" s="55" t="str">
        <f>HYPERLINK("https://jobright.ai/jobs/info/6692de6ee4ff287df15409ab?utm_campaign=1061&amp;utm_source=sheet", "Apply")</f>
        <v>Apply</v>
      </c>
      <c r="C493" s="10" t="s">
        <v>94</v>
      </c>
      <c r="D493" s="56" t="s">
        <v>95</v>
      </c>
      <c r="E493" s="10">
        <v>52.0</v>
      </c>
      <c r="G493" s="10" t="s">
        <v>982</v>
      </c>
      <c r="H493" s="10" t="s">
        <v>55</v>
      </c>
      <c r="J493" s="10" t="s">
        <v>758</v>
      </c>
      <c r="K493" s="10" t="s">
        <v>42</v>
      </c>
    </row>
    <row r="494" ht="15.75" customHeight="1">
      <c r="A494" s="54">
        <v>45486.0</v>
      </c>
      <c r="B494" s="55" t="str">
        <f>HYPERLINK("https://jobright.ai/jobs/info/6692de6ee4ff287df15409a9?utm_campaign=1061&amp;utm_source=sheet", "Apply")</f>
        <v>Apply</v>
      </c>
      <c r="C494" s="10" t="s">
        <v>94</v>
      </c>
      <c r="D494" s="56" t="s">
        <v>95</v>
      </c>
      <c r="E494" s="10">
        <v>52.0</v>
      </c>
      <c r="G494" s="10" t="s">
        <v>983</v>
      </c>
      <c r="H494" s="10" t="s">
        <v>55</v>
      </c>
      <c r="J494" s="10" t="s">
        <v>758</v>
      </c>
      <c r="K494" s="10" t="s">
        <v>42</v>
      </c>
    </row>
    <row r="495" ht="15.75" customHeight="1">
      <c r="A495" s="54">
        <v>45486.0</v>
      </c>
      <c r="B495" s="55" t="str">
        <f>HYPERLINK("https://jobright.ai/jobs/info/6692de6ee4ff287df15409c0?utm_campaign=1061&amp;utm_source=sheet", "Apply")</f>
        <v>Apply</v>
      </c>
      <c r="C495" s="10" t="s">
        <v>94</v>
      </c>
      <c r="D495" s="56" t="s">
        <v>95</v>
      </c>
      <c r="E495" s="10">
        <v>52.0</v>
      </c>
      <c r="G495" s="10" t="s">
        <v>984</v>
      </c>
      <c r="H495" s="10" t="s">
        <v>55</v>
      </c>
      <c r="J495" s="10" t="s">
        <v>758</v>
      </c>
      <c r="K495" s="10" t="s">
        <v>42</v>
      </c>
    </row>
    <row r="496" ht="15.75" customHeight="1">
      <c r="A496" s="54">
        <v>45486.0</v>
      </c>
      <c r="B496" s="55" t="str">
        <f>HYPERLINK("https://jobright.ai/jobs/info/6693063d5f1cc4bc736cf580?utm_campaign=1061&amp;utm_source=sheet", "Apply")</f>
        <v>Apply</v>
      </c>
      <c r="C496" s="10" t="s">
        <v>94</v>
      </c>
      <c r="D496" s="56" t="s">
        <v>95</v>
      </c>
      <c r="E496" s="10">
        <v>52.0</v>
      </c>
      <c r="G496" s="10" t="s">
        <v>985</v>
      </c>
      <c r="H496" s="10" t="s">
        <v>55</v>
      </c>
      <c r="J496" s="10" t="s">
        <v>758</v>
      </c>
      <c r="K496" s="10" t="s">
        <v>42</v>
      </c>
    </row>
    <row r="497" ht="15.75" customHeight="1">
      <c r="A497" s="54">
        <v>45486.0</v>
      </c>
      <c r="B497" s="55" t="str">
        <f>HYPERLINK("https://jobright.ai/jobs/info/6693063d5f1cc4bc736cf582?utm_campaign=1061&amp;utm_source=sheet", "Apply")</f>
        <v>Apply</v>
      </c>
      <c r="C497" s="10" t="s">
        <v>94</v>
      </c>
      <c r="D497" s="56" t="s">
        <v>95</v>
      </c>
      <c r="E497" s="10">
        <v>52.0</v>
      </c>
      <c r="G497" s="10" t="s">
        <v>271</v>
      </c>
      <c r="H497" s="10" t="s">
        <v>55</v>
      </c>
      <c r="J497" s="10" t="s">
        <v>758</v>
      </c>
      <c r="K497" s="10" t="s">
        <v>42</v>
      </c>
    </row>
    <row r="498" ht="15.75" customHeight="1">
      <c r="A498" s="54">
        <v>45486.0</v>
      </c>
      <c r="B498" s="55" t="str">
        <f>HYPERLINK("https://jobright.ai/jobs/info/6693063d5f1cc4bc736cf581?utm_campaign=1061&amp;utm_source=sheet", "Apply")</f>
        <v>Apply</v>
      </c>
      <c r="C498" s="10" t="s">
        <v>94</v>
      </c>
      <c r="D498" s="56" t="s">
        <v>95</v>
      </c>
      <c r="E498" s="10">
        <v>52.0</v>
      </c>
      <c r="G498" s="10" t="s">
        <v>986</v>
      </c>
      <c r="H498" s="10" t="s">
        <v>55</v>
      </c>
      <c r="J498" s="10" t="s">
        <v>758</v>
      </c>
      <c r="K498" s="10" t="s">
        <v>42</v>
      </c>
    </row>
    <row r="499" ht="15.75" customHeight="1">
      <c r="A499" s="54">
        <v>45486.0</v>
      </c>
      <c r="B499" s="55" t="str">
        <f>HYPERLINK("https://jobright.ai/jobs/info/6693063d5f1cc4bc736cf588?utm_campaign=1061&amp;utm_source=sheet", "Apply")</f>
        <v>Apply</v>
      </c>
      <c r="C499" s="10" t="s">
        <v>94</v>
      </c>
      <c r="D499" s="56" t="s">
        <v>95</v>
      </c>
      <c r="E499" s="10">
        <v>52.0</v>
      </c>
      <c r="G499" s="10" t="s">
        <v>987</v>
      </c>
      <c r="H499" s="10" t="s">
        <v>55</v>
      </c>
      <c r="J499" s="10" t="s">
        <v>758</v>
      </c>
      <c r="K499" s="10" t="s">
        <v>42</v>
      </c>
    </row>
    <row r="500" ht="15.75" customHeight="1">
      <c r="A500" s="54">
        <v>45486.0</v>
      </c>
      <c r="B500" s="55" t="str">
        <f>HYPERLINK("https://jobright.ai/jobs/info/6693063d5f1cc4bc736cf586?utm_campaign=1061&amp;utm_source=sheet", "Apply")</f>
        <v>Apply</v>
      </c>
      <c r="C500" s="10" t="s">
        <v>94</v>
      </c>
      <c r="D500" s="56" t="s">
        <v>95</v>
      </c>
      <c r="E500" s="10">
        <v>52.0</v>
      </c>
      <c r="G500" s="10" t="s">
        <v>361</v>
      </c>
      <c r="H500" s="10" t="s">
        <v>55</v>
      </c>
      <c r="J500" s="10" t="s">
        <v>758</v>
      </c>
      <c r="K500" s="10" t="s">
        <v>42</v>
      </c>
    </row>
    <row r="501" ht="15.75" customHeight="1">
      <c r="A501" s="54">
        <v>45486.0</v>
      </c>
      <c r="B501" s="55" t="str">
        <f>HYPERLINK("https://jobright.ai/jobs/info/6693063d5f1cc4bc736cf585?utm_campaign=1061&amp;utm_source=sheet", "Apply")</f>
        <v>Apply</v>
      </c>
      <c r="C501" s="10" t="s">
        <v>94</v>
      </c>
      <c r="D501" s="56" t="s">
        <v>95</v>
      </c>
      <c r="E501" s="10">
        <v>52.0</v>
      </c>
      <c r="G501" s="10" t="s">
        <v>988</v>
      </c>
      <c r="H501" s="10" t="s">
        <v>55</v>
      </c>
      <c r="J501" s="10" t="s">
        <v>758</v>
      </c>
      <c r="K501" s="10" t="s">
        <v>42</v>
      </c>
    </row>
    <row r="502" ht="15.75" customHeight="1">
      <c r="A502" s="54">
        <v>45486.0</v>
      </c>
      <c r="B502" s="55" t="str">
        <f>HYPERLINK("https://jobright.ai/jobs/info/6693063d5f1cc4bc736cf583?utm_campaign=1061&amp;utm_source=sheet", "Apply")</f>
        <v>Apply</v>
      </c>
      <c r="C502" s="10" t="s">
        <v>94</v>
      </c>
      <c r="D502" s="56" t="s">
        <v>95</v>
      </c>
      <c r="E502" s="10">
        <v>52.0</v>
      </c>
      <c r="G502" s="10" t="s">
        <v>989</v>
      </c>
      <c r="H502" s="10" t="s">
        <v>55</v>
      </c>
      <c r="J502" s="10" t="s">
        <v>758</v>
      </c>
      <c r="K502" s="10" t="s">
        <v>42</v>
      </c>
    </row>
    <row r="503" ht="15.75" customHeight="1">
      <c r="A503" s="54">
        <v>45486.0</v>
      </c>
      <c r="B503" s="55" t="str">
        <f>HYPERLINK("https://jobright.ai/jobs/info/6693063d5f1cc4bc736cf587?utm_campaign=1061&amp;utm_source=sheet", "Apply")</f>
        <v>Apply</v>
      </c>
      <c r="C503" s="10" t="s">
        <v>94</v>
      </c>
      <c r="D503" s="56" t="s">
        <v>95</v>
      </c>
      <c r="E503" s="10">
        <v>52.0</v>
      </c>
      <c r="G503" s="10" t="s">
        <v>990</v>
      </c>
      <c r="H503" s="10" t="s">
        <v>55</v>
      </c>
      <c r="J503" s="10" t="s">
        <v>758</v>
      </c>
      <c r="K503" s="10" t="s">
        <v>42</v>
      </c>
    </row>
    <row r="504" ht="15.75" customHeight="1">
      <c r="A504" s="54">
        <v>45486.0</v>
      </c>
      <c r="B504" s="55" t="str">
        <f>HYPERLINK("https://jobright.ai/jobs/info/6693063d5f1cc4bc736cf584?utm_campaign=1061&amp;utm_source=sheet", "Apply")</f>
        <v>Apply</v>
      </c>
      <c r="C504" s="10" t="s">
        <v>94</v>
      </c>
      <c r="D504" s="56" t="s">
        <v>95</v>
      </c>
      <c r="E504" s="10">
        <v>52.0</v>
      </c>
      <c r="G504" s="10" t="s">
        <v>991</v>
      </c>
      <c r="H504" s="10" t="s">
        <v>55</v>
      </c>
      <c r="J504" s="10" t="s">
        <v>758</v>
      </c>
      <c r="K504" s="10" t="s">
        <v>42</v>
      </c>
    </row>
    <row r="505" ht="15.75" customHeight="1">
      <c r="A505" s="54">
        <v>45486.0</v>
      </c>
      <c r="B505" s="55" t="str">
        <f>HYPERLINK("https://jobright.ai/jobs/info/6693063d5f1cc4bc736cf589?utm_campaign=1061&amp;utm_source=sheet", "Apply")</f>
        <v>Apply</v>
      </c>
      <c r="C505" s="10" t="s">
        <v>94</v>
      </c>
      <c r="D505" s="56" t="s">
        <v>95</v>
      </c>
      <c r="E505" s="10">
        <v>52.0</v>
      </c>
      <c r="G505" s="10" t="s">
        <v>992</v>
      </c>
      <c r="H505" s="10" t="s">
        <v>55</v>
      </c>
      <c r="J505" s="10" t="s">
        <v>758</v>
      </c>
      <c r="K505" s="10" t="s">
        <v>42</v>
      </c>
    </row>
    <row r="506" ht="15.75" customHeight="1">
      <c r="A506" s="54">
        <v>45486.0</v>
      </c>
      <c r="B506" s="55" t="str">
        <f>HYPERLINK("https://jobright.ai/jobs/info/6692d8d11553db54d57e63f3?utm_campaign=1061&amp;utm_source=sheet", "Apply")</f>
        <v>Apply</v>
      </c>
      <c r="C506" s="10" t="s">
        <v>94</v>
      </c>
      <c r="D506" s="56" t="s">
        <v>95</v>
      </c>
      <c r="E506" s="10">
        <v>52.0</v>
      </c>
      <c r="G506" s="10" t="s">
        <v>993</v>
      </c>
      <c r="H506" s="10" t="s">
        <v>55</v>
      </c>
      <c r="J506" s="10" t="s">
        <v>758</v>
      </c>
      <c r="K506" s="10" t="s">
        <v>42</v>
      </c>
    </row>
    <row r="507" ht="15.75" customHeight="1">
      <c r="A507" s="54">
        <v>45486.0</v>
      </c>
      <c r="B507" s="55" t="str">
        <f>HYPERLINK("https://jobright.ai/jobs/info/6692d8d61553db54d57e64ce?utm_campaign=1061&amp;utm_source=sheet", "Apply")</f>
        <v>Apply</v>
      </c>
      <c r="C507" s="10" t="s">
        <v>94</v>
      </c>
      <c r="D507" s="56" t="s">
        <v>95</v>
      </c>
      <c r="E507" s="10">
        <v>52.0</v>
      </c>
      <c r="G507" s="10" t="s">
        <v>165</v>
      </c>
      <c r="H507" s="10" t="s">
        <v>55</v>
      </c>
      <c r="J507" s="10" t="s">
        <v>758</v>
      </c>
      <c r="K507" s="10" t="s">
        <v>42</v>
      </c>
    </row>
    <row r="508" ht="15.75" customHeight="1">
      <c r="A508" s="54">
        <v>45486.0</v>
      </c>
      <c r="B508" s="55" t="str">
        <f>HYPERLINK("https://jobright.ai/jobs/info/6692d8d61553db54d57e64d7?utm_campaign=1061&amp;utm_source=sheet", "Apply")</f>
        <v>Apply</v>
      </c>
      <c r="C508" s="10" t="s">
        <v>94</v>
      </c>
      <c r="D508" s="56" t="s">
        <v>95</v>
      </c>
      <c r="E508" s="10">
        <v>52.0</v>
      </c>
      <c r="G508" s="10" t="s">
        <v>994</v>
      </c>
      <c r="H508" s="10" t="s">
        <v>55</v>
      </c>
      <c r="J508" s="10" t="s">
        <v>758</v>
      </c>
      <c r="K508" s="10" t="s">
        <v>42</v>
      </c>
    </row>
    <row r="509" ht="15.75" customHeight="1">
      <c r="A509" s="54">
        <v>45486.0</v>
      </c>
      <c r="B509" s="55" t="str">
        <f>HYPERLINK("https://jobright.ai/jobs/info/6692d8d61553db54d57e64d6?utm_campaign=1061&amp;utm_source=sheet", "Apply")</f>
        <v>Apply</v>
      </c>
      <c r="C509" s="10" t="s">
        <v>94</v>
      </c>
      <c r="D509" s="56" t="s">
        <v>95</v>
      </c>
      <c r="E509" s="10">
        <v>52.0</v>
      </c>
      <c r="G509" s="10" t="s">
        <v>995</v>
      </c>
      <c r="H509" s="10" t="s">
        <v>55</v>
      </c>
      <c r="J509" s="10" t="s">
        <v>758</v>
      </c>
      <c r="K509" s="10" t="s">
        <v>42</v>
      </c>
    </row>
    <row r="510" ht="15.75" customHeight="1">
      <c r="A510" s="54">
        <v>45486.0</v>
      </c>
      <c r="B510" s="55" t="str">
        <f>HYPERLINK("https://jobright.ai/jobs/info/6692d8d61553db54d57e64d2?utm_campaign=1061&amp;utm_source=sheet", "Apply")</f>
        <v>Apply</v>
      </c>
      <c r="C510" s="10" t="s">
        <v>94</v>
      </c>
      <c r="D510" s="56" t="s">
        <v>95</v>
      </c>
      <c r="E510" s="10">
        <v>52.0</v>
      </c>
      <c r="G510" s="10" t="s">
        <v>996</v>
      </c>
      <c r="H510" s="10" t="s">
        <v>55</v>
      </c>
      <c r="J510" s="10" t="s">
        <v>758</v>
      </c>
      <c r="K510" s="10" t="s">
        <v>42</v>
      </c>
    </row>
    <row r="511" ht="15.75" customHeight="1">
      <c r="A511" s="54">
        <v>45486.0</v>
      </c>
      <c r="B511" s="55" t="str">
        <f>HYPERLINK("https://jobright.ai/jobs/info/6692d8d61553db54d57e64d0?utm_campaign=1061&amp;utm_source=sheet", "Apply")</f>
        <v>Apply</v>
      </c>
      <c r="C511" s="10" t="s">
        <v>94</v>
      </c>
      <c r="D511" s="56" t="s">
        <v>95</v>
      </c>
      <c r="E511" s="10">
        <v>52.0</v>
      </c>
      <c r="G511" s="10" t="s">
        <v>997</v>
      </c>
      <c r="H511" s="10" t="s">
        <v>55</v>
      </c>
      <c r="J511" s="10" t="s">
        <v>758</v>
      </c>
      <c r="K511" s="10" t="s">
        <v>42</v>
      </c>
    </row>
    <row r="512" ht="15.75" customHeight="1">
      <c r="A512" s="54">
        <v>45486.0</v>
      </c>
      <c r="B512" s="55" t="str">
        <f>HYPERLINK("https://jobright.ai/jobs/info/6692d8d61553db54d57e64cf?utm_campaign=1061&amp;utm_source=sheet", "Apply")</f>
        <v>Apply</v>
      </c>
      <c r="C512" s="10" t="s">
        <v>94</v>
      </c>
      <c r="D512" s="56" t="s">
        <v>95</v>
      </c>
      <c r="E512" s="10">
        <v>52.0</v>
      </c>
      <c r="G512" s="10" t="s">
        <v>216</v>
      </c>
      <c r="H512" s="10" t="s">
        <v>55</v>
      </c>
      <c r="J512" s="10" t="s">
        <v>758</v>
      </c>
      <c r="K512" s="10" t="s">
        <v>42</v>
      </c>
    </row>
    <row r="513" ht="15.75" customHeight="1">
      <c r="A513" s="54">
        <v>45486.0</v>
      </c>
      <c r="B513" s="55" t="str">
        <f>HYPERLINK("https://jobright.ai/jobs/info/6692d8d61553db54d57e64d3?utm_campaign=1061&amp;utm_source=sheet", "Apply")</f>
        <v>Apply</v>
      </c>
      <c r="C513" s="10" t="s">
        <v>94</v>
      </c>
      <c r="D513" s="56" t="s">
        <v>95</v>
      </c>
      <c r="E513" s="10">
        <v>52.0</v>
      </c>
      <c r="G513" s="10" t="s">
        <v>998</v>
      </c>
      <c r="H513" s="10" t="s">
        <v>55</v>
      </c>
      <c r="J513" s="10" t="s">
        <v>758</v>
      </c>
      <c r="K513" s="10" t="s">
        <v>42</v>
      </c>
    </row>
    <row r="514" ht="15.75" customHeight="1">
      <c r="A514" s="54">
        <v>45486.0</v>
      </c>
      <c r="B514" s="55" t="str">
        <f>HYPERLINK("https://jobright.ai/jobs/info/6692d8d61553db54d57e64d8?utm_campaign=1061&amp;utm_source=sheet", "Apply")</f>
        <v>Apply</v>
      </c>
      <c r="C514" s="10" t="s">
        <v>94</v>
      </c>
      <c r="D514" s="56" t="s">
        <v>95</v>
      </c>
      <c r="E514" s="10">
        <v>52.0</v>
      </c>
      <c r="G514" s="10" t="s">
        <v>188</v>
      </c>
      <c r="H514" s="10" t="s">
        <v>55</v>
      </c>
      <c r="J514" s="10" t="s">
        <v>758</v>
      </c>
      <c r="K514" s="10" t="s">
        <v>42</v>
      </c>
    </row>
    <row r="515" ht="15.75" customHeight="1">
      <c r="A515" s="54">
        <v>45486.0</v>
      </c>
      <c r="B515" s="55" t="str">
        <f>HYPERLINK("https://jobright.ai/jobs/info/6692d8d61553db54d57e64d1?utm_campaign=1061&amp;utm_source=sheet", "Apply")</f>
        <v>Apply</v>
      </c>
      <c r="C515" s="10" t="s">
        <v>94</v>
      </c>
      <c r="D515" s="56" t="s">
        <v>95</v>
      </c>
      <c r="E515" s="10">
        <v>52.0</v>
      </c>
      <c r="G515" s="10" t="s">
        <v>139</v>
      </c>
      <c r="H515" s="10" t="s">
        <v>55</v>
      </c>
      <c r="J515" s="10" t="s">
        <v>758</v>
      </c>
      <c r="K515" s="10" t="s">
        <v>42</v>
      </c>
    </row>
    <row r="516" ht="15.75" customHeight="1">
      <c r="A516" s="54">
        <v>45486.0</v>
      </c>
      <c r="B516" s="55" t="str">
        <f>HYPERLINK("https://jobright.ai/jobs/info/6692d8d61553db54d57e64d4?utm_campaign=1061&amp;utm_source=sheet", "Apply")</f>
        <v>Apply</v>
      </c>
      <c r="C516" s="10" t="s">
        <v>94</v>
      </c>
      <c r="D516" s="56" t="s">
        <v>95</v>
      </c>
      <c r="E516" s="10">
        <v>52.0</v>
      </c>
      <c r="G516" s="10" t="s">
        <v>999</v>
      </c>
      <c r="H516" s="10" t="s">
        <v>55</v>
      </c>
      <c r="J516" s="10" t="s">
        <v>758</v>
      </c>
      <c r="K516" s="10" t="s">
        <v>42</v>
      </c>
    </row>
    <row r="517" ht="15.75" customHeight="1">
      <c r="A517" s="54">
        <v>45486.0</v>
      </c>
      <c r="B517" s="55" t="str">
        <f>HYPERLINK("https://jobright.ai/jobs/info/6692d8d61553db54d57e64db?utm_campaign=1061&amp;utm_source=sheet", "Apply")</f>
        <v>Apply</v>
      </c>
      <c r="C517" s="10" t="s">
        <v>94</v>
      </c>
      <c r="D517" s="56" t="s">
        <v>95</v>
      </c>
      <c r="E517" s="10">
        <v>52.0</v>
      </c>
      <c r="G517" s="10" t="s">
        <v>1000</v>
      </c>
      <c r="H517" s="10" t="s">
        <v>55</v>
      </c>
      <c r="J517" s="10" t="s">
        <v>758</v>
      </c>
      <c r="K517" s="10" t="s">
        <v>42</v>
      </c>
    </row>
    <row r="518" ht="15.75" customHeight="1">
      <c r="A518" s="54">
        <v>45486.0</v>
      </c>
      <c r="B518" s="55" t="str">
        <f>HYPERLINK("https://jobright.ai/jobs/info/6692d8d61553db54d57e64da?utm_campaign=1061&amp;utm_source=sheet", "Apply")</f>
        <v>Apply</v>
      </c>
      <c r="C518" s="10" t="s">
        <v>94</v>
      </c>
      <c r="D518" s="56" t="s">
        <v>95</v>
      </c>
      <c r="E518" s="10">
        <v>52.0</v>
      </c>
      <c r="G518" s="10" t="s">
        <v>1001</v>
      </c>
      <c r="H518" s="10" t="s">
        <v>55</v>
      </c>
      <c r="J518" s="10" t="s">
        <v>758</v>
      </c>
      <c r="K518" s="10" t="s">
        <v>42</v>
      </c>
    </row>
    <row r="519" ht="15.75" customHeight="1">
      <c r="A519" s="54">
        <v>45486.0</v>
      </c>
      <c r="B519" s="55" t="str">
        <f>HYPERLINK("https://jobright.ai/jobs/info/6692d8d61553db54d57e64dc?utm_campaign=1061&amp;utm_source=sheet", "Apply")</f>
        <v>Apply</v>
      </c>
      <c r="C519" s="10" t="s">
        <v>94</v>
      </c>
      <c r="D519" s="56" t="s">
        <v>95</v>
      </c>
      <c r="E519" s="10">
        <v>52.0</v>
      </c>
      <c r="G519" s="10" t="s">
        <v>1002</v>
      </c>
      <c r="H519" s="10" t="s">
        <v>55</v>
      </c>
      <c r="J519" s="10" t="s">
        <v>758</v>
      </c>
      <c r="K519" s="10" t="s">
        <v>42</v>
      </c>
    </row>
    <row r="520" ht="15.75" customHeight="1">
      <c r="A520" s="54">
        <v>45486.0</v>
      </c>
      <c r="B520" s="55" t="str">
        <f>HYPERLINK("https://jobright.ai/jobs/info/6692d8d61553db54d57e64d9?utm_campaign=1061&amp;utm_source=sheet", "Apply")</f>
        <v>Apply</v>
      </c>
      <c r="C520" s="10" t="s">
        <v>94</v>
      </c>
      <c r="D520" s="56" t="s">
        <v>95</v>
      </c>
      <c r="E520" s="10">
        <v>52.0</v>
      </c>
      <c r="G520" s="10" t="s">
        <v>1003</v>
      </c>
      <c r="H520" s="10" t="s">
        <v>55</v>
      </c>
      <c r="J520" s="10" t="s">
        <v>758</v>
      </c>
      <c r="K520" s="10" t="s">
        <v>42</v>
      </c>
    </row>
    <row r="521" ht="15.75" customHeight="1">
      <c r="A521" s="54">
        <v>45486.0</v>
      </c>
      <c r="B521" s="55" t="str">
        <f>HYPERLINK("https://jobright.ai/jobs/info/66932435638e0b88d5566235?utm_campaign=1061&amp;utm_source=sheet", "Apply")</f>
        <v>Apply</v>
      </c>
      <c r="C521" s="10" t="s">
        <v>94</v>
      </c>
      <c r="D521" s="56" t="s">
        <v>95</v>
      </c>
      <c r="E521" s="10">
        <v>52.0</v>
      </c>
      <c r="G521" s="10" t="s">
        <v>1004</v>
      </c>
      <c r="H521" s="10" t="s">
        <v>55</v>
      </c>
      <c r="J521" s="10" t="s">
        <v>758</v>
      </c>
      <c r="K521" s="10" t="s">
        <v>42</v>
      </c>
    </row>
    <row r="522" ht="15.75" customHeight="1">
      <c r="A522" s="54">
        <v>45486.0</v>
      </c>
      <c r="B522" s="55" t="str">
        <f>HYPERLINK("https://jobright.ai/jobs/info/66932435638e0b88d5566236?utm_campaign=1061&amp;utm_source=sheet", "Apply")</f>
        <v>Apply</v>
      </c>
      <c r="C522" s="10" t="s">
        <v>94</v>
      </c>
      <c r="D522" s="56" t="s">
        <v>95</v>
      </c>
      <c r="E522" s="10">
        <v>52.0</v>
      </c>
      <c r="G522" s="10" t="s">
        <v>1005</v>
      </c>
      <c r="H522" s="10" t="s">
        <v>55</v>
      </c>
      <c r="J522" s="10" t="s">
        <v>758</v>
      </c>
      <c r="K522" s="10" t="s">
        <v>42</v>
      </c>
    </row>
    <row r="523" ht="15.75" customHeight="1">
      <c r="A523" s="54">
        <v>45486.0</v>
      </c>
      <c r="B523" s="55" t="str">
        <f>HYPERLINK("https://jobright.ai/jobs/info/6692d8d61553db54d57e64dd?utm_campaign=1061&amp;utm_source=sheet", "Apply")</f>
        <v>Apply</v>
      </c>
      <c r="C523" s="10" t="s">
        <v>94</v>
      </c>
      <c r="D523" s="56" t="s">
        <v>95</v>
      </c>
      <c r="E523" s="10">
        <v>52.0</v>
      </c>
      <c r="G523" s="10" t="s">
        <v>1006</v>
      </c>
      <c r="H523" s="10" t="s">
        <v>55</v>
      </c>
      <c r="J523" s="10" t="s">
        <v>758</v>
      </c>
      <c r="K523" s="10" t="s">
        <v>42</v>
      </c>
    </row>
    <row r="524" ht="15.75" customHeight="1">
      <c r="A524" s="54">
        <v>45486.0</v>
      </c>
      <c r="B524" s="55" t="str">
        <f>HYPERLINK("https://jobright.ai/jobs/info/6692e8672d4832adc6d2ecb0?utm_campaign=1061&amp;utm_source=sheet", "Apply")</f>
        <v>Apply</v>
      </c>
      <c r="C524" s="10" t="s">
        <v>94</v>
      </c>
      <c r="D524" s="56" t="s">
        <v>95</v>
      </c>
      <c r="E524" s="10">
        <v>52.0</v>
      </c>
      <c r="G524" s="10" t="s">
        <v>1007</v>
      </c>
      <c r="H524" s="10" t="s">
        <v>55</v>
      </c>
      <c r="J524" s="10" t="s">
        <v>758</v>
      </c>
      <c r="K524" s="10" t="s">
        <v>42</v>
      </c>
    </row>
    <row r="525" ht="15.75" customHeight="1">
      <c r="A525" s="54">
        <v>45486.0</v>
      </c>
      <c r="B525" s="55" t="str">
        <f>HYPERLINK("https://jobright.ai/jobs/info/6692d8d61553db54d57e64de?utm_campaign=1061&amp;utm_source=sheet", "Apply")</f>
        <v>Apply</v>
      </c>
      <c r="C525" s="10" t="s">
        <v>94</v>
      </c>
      <c r="D525" s="56" t="s">
        <v>95</v>
      </c>
      <c r="E525" s="10">
        <v>52.0</v>
      </c>
      <c r="G525" s="10" t="s">
        <v>628</v>
      </c>
      <c r="H525" s="10" t="s">
        <v>55</v>
      </c>
      <c r="J525" s="10" t="s">
        <v>758</v>
      </c>
      <c r="K525" s="10" t="s">
        <v>42</v>
      </c>
    </row>
    <row r="526" ht="15.75" customHeight="1">
      <c r="A526" s="54">
        <v>45486.0</v>
      </c>
      <c r="B526" s="55" t="str">
        <f>HYPERLINK("https://jobright.ai/jobs/info/6692d8d61553db54d57e64df?utm_campaign=1061&amp;utm_source=sheet", "Apply")</f>
        <v>Apply</v>
      </c>
      <c r="C526" s="10" t="s">
        <v>94</v>
      </c>
      <c r="D526" s="56" t="s">
        <v>95</v>
      </c>
      <c r="E526" s="10">
        <v>52.0</v>
      </c>
      <c r="G526" s="10" t="s">
        <v>1008</v>
      </c>
      <c r="H526" s="10" t="s">
        <v>55</v>
      </c>
      <c r="J526" s="10" t="s">
        <v>758</v>
      </c>
      <c r="K526" s="10" t="s">
        <v>42</v>
      </c>
    </row>
    <row r="527" ht="15.75" customHeight="1">
      <c r="A527" s="54">
        <v>45486.0</v>
      </c>
      <c r="B527" s="55" t="str">
        <f>HYPERLINK("https://jobright.ai/jobs/info/6692d8d61553db54d57e64e0?utm_campaign=1061&amp;utm_source=sheet", "Apply")</f>
        <v>Apply</v>
      </c>
      <c r="C527" s="10" t="s">
        <v>94</v>
      </c>
      <c r="D527" s="56" t="s">
        <v>95</v>
      </c>
      <c r="E527" s="10">
        <v>52.0</v>
      </c>
      <c r="G527" s="10" t="s">
        <v>1009</v>
      </c>
      <c r="H527" s="10" t="s">
        <v>55</v>
      </c>
      <c r="J527" s="10" t="s">
        <v>758</v>
      </c>
      <c r="K527" s="10" t="s">
        <v>42</v>
      </c>
    </row>
    <row r="528" ht="15.75" customHeight="1">
      <c r="A528" s="54">
        <v>45486.0</v>
      </c>
      <c r="B528" s="55" t="str">
        <f>HYPERLINK("https://jobright.ai/jobs/info/6692e8672d4832adc6d2ecb1?utm_campaign=1061&amp;utm_source=sheet", "Apply")</f>
        <v>Apply</v>
      </c>
      <c r="C528" s="10" t="s">
        <v>94</v>
      </c>
      <c r="D528" s="56" t="s">
        <v>95</v>
      </c>
      <c r="E528" s="10">
        <v>52.0</v>
      </c>
      <c r="G528" s="10" t="s">
        <v>1010</v>
      </c>
      <c r="H528" s="10" t="s">
        <v>55</v>
      </c>
      <c r="J528" s="10" t="s">
        <v>758</v>
      </c>
      <c r="K528" s="10" t="s">
        <v>42</v>
      </c>
    </row>
    <row r="529" ht="15.75" customHeight="1">
      <c r="A529" s="54">
        <v>45486.0</v>
      </c>
      <c r="B529" s="55" t="str">
        <f>HYPERLINK("https://jobright.ai/jobs/info/6692d8d61553db54d57e64e1?utm_campaign=1061&amp;utm_source=sheet", "Apply")</f>
        <v>Apply</v>
      </c>
      <c r="C529" s="10" t="s">
        <v>94</v>
      </c>
      <c r="D529" s="56" t="s">
        <v>95</v>
      </c>
      <c r="E529" s="10">
        <v>52.0</v>
      </c>
      <c r="G529" s="10" t="s">
        <v>1011</v>
      </c>
      <c r="H529" s="10" t="s">
        <v>55</v>
      </c>
      <c r="J529" s="10" t="s">
        <v>758</v>
      </c>
      <c r="K529" s="10" t="s">
        <v>42</v>
      </c>
    </row>
    <row r="530" ht="15.75" customHeight="1">
      <c r="A530" s="54">
        <v>45486.0</v>
      </c>
      <c r="B530" s="55" t="str">
        <f>HYPERLINK("https://jobright.ai/jobs/info/6692e8672d4832adc6d2ecb2?utm_campaign=1061&amp;utm_source=sheet", "Apply")</f>
        <v>Apply</v>
      </c>
      <c r="C530" s="10" t="s">
        <v>94</v>
      </c>
      <c r="D530" s="56" t="s">
        <v>95</v>
      </c>
      <c r="E530" s="10">
        <v>52.0</v>
      </c>
      <c r="G530" s="10" t="s">
        <v>1012</v>
      </c>
      <c r="H530" s="10" t="s">
        <v>55</v>
      </c>
      <c r="J530" s="10" t="s">
        <v>758</v>
      </c>
      <c r="K530" s="10" t="s">
        <v>42</v>
      </c>
    </row>
    <row r="531" ht="15.75" customHeight="1">
      <c r="A531" s="54">
        <v>45486.0</v>
      </c>
      <c r="B531" s="55" t="str">
        <f>HYPERLINK("https://jobright.ai/jobs/info/6692e8672d4832adc6d2ecb3?utm_campaign=1061&amp;utm_source=sheet", "Apply")</f>
        <v>Apply</v>
      </c>
      <c r="C531" s="10" t="s">
        <v>94</v>
      </c>
      <c r="D531" s="56" t="s">
        <v>95</v>
      </c>
      <c r="E531" s="10">
        <v>52.0</v>
      </c>
      <c r="G531" s="10" t="s">
        <v>1013</v>
      </c>
      <c r="H531" s="10" t="s">
        <v>55</v>
      </c>
      <c r="J531" s="10" t="s">
        <v>758</v>
      </c>
      <c r="K531" s="10" t="s">
        <v>42</v>
      </c>
    </row>
    <row r="532" ht="15.75" customHeight="1">
      <c r="A532" s="54">
        <v>45486.0</v>
      </c>
      <c r="B532" s="55" t="str">
        <f>HYPERLINK("https://jobright.ai/jobs/info/6692d8d61553db54d57e64e5?utm_campaign=1061&amp;utm_source=sheet", "Apply")</f>
        <v>Apply</v>
      </c>
      <c r="C532" s="10" t="s">
        <v>94</v>
      </c>
      <c r="D532" s="56" t="s">
        <v>95</v>
      </c>
      <c r="E532" s="10">
        <v>52.0</v>
      </c>
      <c r="G532" s="10" t="s">
        <v>1014</v>
      </c>
      <c r="H532" s="10" t="s">
        <v>55</v>
      </c>
      <c r="J532" s="10" t="s">
        <v>758</v>
      </c>
      <c r="K532" s="10" t="s">
        <v>42</v>
      </c>
    </row>
    <row r="533" ht="15.75" customHeight="1">
      <c r="A533" s="54">
        <v>45486.0</v>
      </c>
      <c r="B533" s="55" t="str">
        <f>HYPERLINK("https://jobright.ai/jobs/info/6692d8d61553db54d57e64f0?utm_campaign=1061&amp;utm_source=sheet", "Apply")</f>
        <v>Apply</v>
      </c>
      <c r="C533" s="10" t="s">
        <v>94</v>
      </c>
      <c r="D533" s="56" t="s">
        <v>95</v>
      </c>
      <c r="E533" s="10">
        <v>52.0</v>
      </c>
      <c r="G533" s="10" t="s">
        <v>1015</v>
      </c>
      <c r="H533" s="10" t="s">
        <v>55</v>
      </c>
      <c r="J533" s="10" t="s">
        <v>758</v>
      </c>
      <c r="K533" s="10" t="s">
        <v>42</v>
      </c>
    </row>
    <row r="534" ht="15.75" customHeight="1">
      <c r="A534" s="54">
        <v>45486.0</v>
      </c>
      <c r="B534" s="55" t="str">
        <f>HYPERLINK("https://jobright.ai/jobs/info/6692d8d61553db54d57e64ec?utm_campaign=1061&amp;utm_source=sheet", "Apply")</f>
        <v>Apply</v>
      </c>
      <c r="C534" s="10" t="s">
        <v>94</v>
      </c>
      <c r="D534" s="56" t="s">
        <v>95</v>
      </c>
      <c r="E534" s="10">
        <v>52.0</v>
      </c>
      <c r="G534" s="10" t="s">
        <v>1016</v>
      </c>
      <c r="H534" s="10" t="s">
        <v>55</v>
      </c>
      <c r="J534" s="10" t="s">
        <v>758</v>
      </c>
      <c r="K534" s="10" t="s">
        <v>42</v>
      </c>
    </row>
    <row r="535" ht="15.75" customHeight="1">
      <c r="A535" s="54">
        <v>45486.0</v>
      </c>
      <c r="B535" s="55" t="str">
        <f>HYPERLINK("https://jobright.ai/jobs/info/6692d8d61553db54d57e64eb?utm_campaign=1061&amp;utm_source=sheet", "Apply")</f>
        <v>Apply</v>
      </c>
      <c r="C535" s="10" t="s">
        <v>94</v>
      </c>
      <c r="D535" s="56" t="s">
        <v>95</v>
      </c>
      <c r="E535" s="10">
        <v>52.0</v>
      </c>
      <c r="G535" s="10" t="s">
        <v>1017</v>
      </c>
      <c r="H535" s="10" t="s">
        <v>55</v>
      </c>
      <c r="J535" s="10" t="s">
        <v>758</v>
      </c>
      <c r="K535" s="10" t="s">
        <v>42</v>
      </c>
    </row>
    <row r="536" ht="15.75" customHeight="1">
      <c r="A536" s="54">
        <v>45486.0</v>
      </c>
      <c r="B536" s="55" t="str">
        <f>HYPERLINK("https://jobright.ai/jobs/info/6692d8d61553db54d57e64e7?utm_campaign=1061&amp;utm_source=sheet", "Apply")</f>
        <v>Apply</v>
      </c>
      <c r="C536" s="10" t="s">
        <v>94</v>
      </c>
      <c r="D536" s="56" t="s">
        <v>95</v>
      </c>
      <c r="E536" s="10">
        <v>52.0</v>
      </c>
      <c r="G536" s="10" t="s">
        <v>1018</v>
      </c>
      <c r="H536" s="10" t="s">
        <v>55</v>
      </c>
      <c r="J536" s="10" t="s">
        <v>758</v>
      </c>
      <c r="K536" s="10" t="s">
        <v>42</v>
      </c>
    </row>
    <row r="537" ht="15.75" customHeight="1">
      <c r="A537" s="54">
        <v>45486.0</v>
      </c>
      <c r="B537" s="55" t="str">
        <f>HYPERLINK("https://jobright.ai/jobs/info/6692d8d61553db54d57e64e4?utm_campaign=1061&amp;utm_source=sheet", "Apply")</f>
        <v>Apply</v>
      </c>
      <c r="C537" s="10" t="s">
        <v>94</v>
      </c>
      <c r="D537" s="56" t="s">
        <v>95</v>
      </c>
      <c r="E537" s="10">
        <v>52.0</v>
      </c>
      <c r="G537" s="10" t="s">
        <v>354</v>
      </c>
      <c r="H537" s="10" t="s">
        <v>55</v>
      </c>
      <c r="J537" s="10" t="s">
        <v>758</v>
      </c>
      <c r="K537" s="10" t="s">
        <v>42</v>
      </c>
    </row>
    <row r="538" ht="15.75" customHeight="1">
      <c r="A538" s="54">
        <v>45486.0</v>
      </c>
      <c r="B538" s="55" t="str">
        <f>HYPERLINK("https://jobright.ai/jobs/info/6692d8d61553db54d57e64ed?utm_campaign=1061&amp;utm_source=sheet", "Apply")</f>
        <v>Apply</v>
      </c>
      <c r="C538" s="10" t="s">
        <v>94</v>
      </c>
      <c r="D538" s="56" t="s">
        <v>95</v>
      </c>
      <c r="E538" s="10">
        <v>52.0</v>
      </c>
      <c r="G538" s="10" t="s">
        <v>1019</v>
      </c>
      <c r="H538" s="10" t="s">
        <v>55</v>
      </c>
      <c r="J538" s="10" t="s">
        <v>758</v>
      </c>
      <c r="K538" s="10" t="s">
        <v>42</v>
      </c>
    </row>
    <row r="539" ht="15.75" customHeight="1">
      <c r="A539" s="54">
        <v>45486.0</v>
      </c>
      <c r="B539" s="55" t="str">
        <f>HYPERLINK("https://jobright.ai/jobs/info/6692d8d61553db54d57e64ee?utm_campaign=1061&amp;utm_source=sheet", "Apply")</f>
        <v>Apply</v>
      </c>
      <c r="C539" s="10" t="s">
        <v>94</v>
      </c>
      <c r="D539" s="56" t="s">
        <v>95</v>
      </c>
      <c r="E539" s="10">
        <v>52.0</v>
      </c>
      <c r="G539" s="10" t="s">
        <v>661</v>
      </c>
      <c r="H539" s="10" t="s">
        <v>55</v>
      </c>
      <c r="J539" s="10" t="s">
        <v>758</v>
      </c>
      <c r="K539" s="10" t="s">
        <v>42</v>
      </c>
    </row>
    <row r="540" ht="15.75" customHeight="1">
      <c r="A540" s="54">
        <v>45486.0</v>
      </c>
      <c r="B540" s="55" t="str">
        <f>HYPERLINK("https://jobright.ai/jobs/info/6692d8d61553db54d57e64e3?utm_campaign=1061&amp;utm_source=sheet", "Apply")</f>
        <v>Apply</v>
      </c>
      <c r="C540" s="10" t="s">
        <v>94</v>
      </c>
      <c r="D540" s="56" t="s">
        <v>95</v>
      </c>
      <c r="E540" s="10">
        <v>52.0</v>
      </c>
      <c r="G540" s="10" t="s">
        <v>1020</v>
      </c>
      <c r="H540" s="10" t="s">
        <v>55</v>
      </c>
      <c r="J540" s="10" t="s">
        <v>758</v>
      </c>
      <c r="K540" s="10" t="s">
        <v>42</v>
      </c>
    </row>
    <row r="541" ht="15.75" customHeight="1">
      <c r="A541" s="54">
        <v>45486.0</v>
      </c>
      <c r="B541" s="55" t="str">
        <f>HYPERLINK("https://jobright.ai/jobs/info/6692d8d61553db54d57e64e6?utm_campaign=1061&amp;utm_source=sheet", "Apply")</f>
        <v>Apply</v>
      </c>
      <c r="C541" s="10" t="s">
        <v>94</v>
      </c>
      <c r="D541" s="56" t="s">
        <v>95</v>
      </c>
      <c r="E541" s="10">
        <v>52.0</v>
      </c>
      <c r="G541" s="10" t="s">
        <v>1021</v>
      </c>
      <c r="H541" s="10" t="s">
        <v>55</v>
      </c>
      <c r="J541" s="10" t="s">
        <v>758</v>
      </c>
      <c r="K541" s="10" t="s">
        <v>42</v>
      </c>
    </row>
    <row r="542" ht="15.75" customHeight="1">
      <c r="A542" s="54">
        <v>45486.0</v>
      </c>
      <c r="B542" s="55" t="str">
        <f>HYPERLINK("https://jobright.ai/jobs/info/6692d8d61553db54d57e64ea?utm_campaign=1061&amp;utm_source=sheet", "Apply")</f>
        <v>Apply</v>
      </c>
      <c r="C542" s="10" t="s">
        <v>94</v>
      </c>
      <c r="D542" s="56" t="s">
        <v>95</v>
      </c>
      <c r="E542" s="10">
        <v>52.0</v>
      </c>
      <c r="G542" s="10" t="s">
        <v>1022</v>
      </c>
      <c r="H542" s="10" t="s">
        <v>55</v>
      </c>
      <c r="J542" s="10" t="s">
        <v>758</v>
      </c>
      <c r="K542" s="10" t="s">
        <v>42</v>
      </c>
    </row>
    <row r="543" ht="15.75" customHeight="1">
      <c r="A543" s="54">
        <v>45486.0</v>
      </c>
      <c r="B543" s="55" t="str">
        <f>HYPERLINK("https://jobright.ai/jobs/info/6692d8d61553db54d57e64e9?utm_campaign=1061&amp;utm_source=sheet", "Apply")</f>
        <v>Apply</v>
      </c>
      <c r="C543" s="10" t="s">
        <v>94</v>
      </c>
      <c r="D543" s="56" t="s">
        <v>95</v>
      </c>
      <c r="E543" s="10">
        <v>52.0</v>
      </c>
      <c r="G543" s="10" t="s">
        <v>1023</v>
      </c>
      <c r="H543" s="10" t="s">
        <v>55</v>
      </c>
      <c r="J543" s="10" t="s">
        <v>758</v>
      </c>
      <c r="K543" s="10" t="s">
        <v>42</v>
      </c>
    </row>
    <row r="544" ht="15.75" customHeight="1">
      <c r="A544" s="54">
        <v>45486.0</v>
      </c>
      <c r="B544" s="55" t="str">
        <f>HYPERLINK("https://jobright.ai/jobs/info/6692d8d61553db54d57e64e2?utm_campaign=1061&amp;utm_source=sheet", "Apply")</f>
        <v>Apply</v>
      </c>
      <c r="C544" s="10" t="s">
        <v>94</v>
      </c>
      <c r="D544" s="56" t="s">
        <v>95</v>
      </c>
      <c r="E544" s="10">
        <v>52.0</v>
      </c>
      <c r="G544" s="10" t="s">
        <v>1024</v>
      </c>
      <c r="H544" s="10" t="s">
        <v>55</v>
      </c>
      <c r="J544" s="10" t="s">
        <v>758</v>
      </c>
      <c r="K544" s="10" t="s">
        <v>42</v>
      </c>
    </row>
    <row r="545" ht="15.75" customHeight="1">
      <c r="A545" s="54">
        <v>45486.0</v>
      </c>
      <c r="B545" s="55" t="str">
        <f>HYPERLINK("https://jobright.ai/jobs/info/6692d8d61553db54d57e64e8?utm_campaign=1061&amp;utm_source=sheet", "Apply")</f>
        <v>Apply</v>
      </c>
      <c r="C545" s="10" t="s">
        <v>94</v>
      </c>
      <c r="D545" s="56" t="s">
        <v>95</v>
      </c>
      <c r="E545" s="10">
        <v>52.0</v>
      </c>
      <c r="G545" s="10" t="s">
        <v>1025</v>
      </c>
      <c r="H545" s="10" t="s">
        <v>55</v>
      </c>
      <c r="J545" s="10" t="s">
        <v>758</v>
      </c>
      <c r="K545" s="10" t="s">
        <v>42</v>
      </c>
    </row>
    <row r="546" ht="15.75" customHeight="1">
      <c r="A546" s="54">
        <v>45486.0</v>
      </c>
      <c r="B546" s="55" t="str">
        <f>HYPERLINK("https://jobright.ai/jobs/info/6692d8d61553db54d57e64ef?utm_campaign=1061&amp;utm_source=sheet", "Apply")</f>
        <v>Apply</v>
      </c>
      <c r="C546" s="10" t="s">
        <v>94</v>
      </c>
      <c r="D546" s="56" t="s">
        <v>95</v>
      </c>
      <c r="E546" s="10">
        <v>52.0</v>
      </c>
      <c r="G546" s="10" t="s">
        <v>108</v>
      </c>
      <c r="H546" s="10" t="s">
        <v>55</v>
      </c>
      <c r="J546" s="10" t="s">
        <v>758</v>
      </c>
      <c r="K546" s="10" t="s">
        <v>42</v>
      </c>
    </row>
    <row r="547" ht="15.75" customHeight="1">
      <c r="A547" s="54">
        <v>45486.0</v>
      </c>
      <c r="B547" s="55" t="str">
        <f>HYPERLINK("https://jobright.ai/jobs/info/6692d8d61553db54d57e64f7?utm_campaign=1061&amp;utm_source=sheet", "Apply")</f>
        <v>Apply</v>
      </c>
      <c r="C547" s="10" t="s">
        <v>94</v>
      </c>
      <c r="D547" s="56" t="s">
        <v>95</v>
      </c>
      <c r="E547" s="10">
        <v>52.0</v>
      </c>
      <c r="G547" s="10" t="s">
        <v>1026</v>
      </c>
      <c r="H547" s="10" t="s">
        <v>55</v>
      </c>
      <c r="J547" s="10" t="s">
        <v>758</v>
      </c>
      <c r="K547" s="10" t="s">
        <v>42</v>
      </c>
    </row>
    <row r="548" ht="15.75" customHeight="1">
      <c r="A548" s="54">
        <v>45486.0</v>
      </c>
      <c r="B548" s="55" t="str">
        <f>HYPERLINK("https://jobright.ai/jobs/info/6692d8d61553db54d57e64f8?utm_campaign=1061&amp;utm_source=sheet", "Apply")</f>
        <v>Apply</v>
      </c>
      <c r="C548" s="10" t="s">
        <v>94</v>
      </c>
      <c r="D548" s="56" t="s">
        <v>95</v>
      </c>
      <c r="E548" s="10">
        <v>52.0</v>
      </c>
      <c r="G548" s="10" t="s">
        <v>1027</v>
      </c>
      <c r="H548" s="10" t="s">
        <v>55</v>
      </c>
      <c r="J548" s="10" t="s">
        <v>758</v>
      </c>
      <c r="K548" s="10" t="s">
        <v>42</v>
      </c>
    </row>
    <row r="549" ht="15.75" customHeight="1">
      <c r="A549" s="54">
        <v>45486.0</v>
      </c>
      <c r="B549" s="55" t="str">
        <f>HYPERLINK("https://jobright.ai/jobs/info/6692d8d61553db54d57e64f1?utm_campaign=1061&amp;utm_source=sheet", "Apply")</f>
        <v>Apply</v>
      </c>
      <c r="C549" s="10" t="s">
        <v>94</v>
      </c>
      <c r="D549" s="56" t="s">
        <v>95</v>
      </c>
      <c r="E549" s="10">
        <v>52.0</v>
      </c>
      <c r="G549" s="10" t="s">
        <v>1028</v>
      </c>
      <c r="H549" s="10" t="s">
        <v>55</v>
      </c>
      <c r="J549" s="10" t="s">
        <v>758</v>
      </c>
      <c r="K549" s="10" t="s">
        <v>42</v>
      </c>
    </row>
    <row r="550" ht="15.75" customHeight="1">
      <c r="A550" s="54">
        <v>45486.0</v>
      </c>
      <c r="B550" s="55" t="str">
        <f>HYPERLINK("https://jobright.ai/jobs/info/6692d8d61553db54d57e64f6?utm_campaign=1061&amp;utm_source=sheet", "Apply")</f>
        <v>Apply</v>
      </c>
      <c r="C550" s="10" t="s">
        <v>94</v>
      </c>
      <c r="D550" s="56" t="s">
        <v>95</v>
      </c>
      <c r="E550" s="10">
        <v>52.0</v>
      </c>
      <c r="G550" s="10" t="s">
        <v>1029</v>
      </c>
      <c r="H550" s="10" t="s">
        <v>55</v>
      </c>
      <c r="J550" s="10" t="s">
        <v>758</v>
      </c>
      <c r="K550" s="10" t="s">
        <v>42</v>
      </c>
    </row>
    <row r="551" ht="15.75" customHeight="1">
      <c r="A551" s="54">
        <v>45486.0</v>
      </c>
      <c r="B551" s="55" t="str">
        <f>HYPERLINK("https://jobright.ai/jobs/info/6692d8d61553db54d57e64f3?utm_campaign=1061&amp;utm_source=sheet", "Apply")</f>
        <v>Apply</v>
      </c>
      <c r="C551" s="10" t="s">
        <v>94</v>
      </c>
      <c r="D551" s="56" t="s">
        <v>95</v>
      </c>
      <c r="E551" s="10">
        <v>52.0</v>
      </c>
      <c r="G551" s="10" t="s">
        <v>1030</v>
      </c>
      <c r="H551" s="10" t="s">
        <v>55</v>
      </c>
      <c r="J551" s="10" t="s">
        <v>758</v>
      </c>
      <c r="K551" s="10" t="s">
        <v>42</v>
      </c>
    </row>
    <row r="552" ht="15.75" customHeight="1">
      <c r="A552" s="54">
        <v>45486.0</v>
      </c>
      <c r="B552" s="55" t="str">
        <f>HYPERLINK("https://jobright.ai/jobs/info/6692d8d61553db54d57e64f9?utm_campaign=1061&amp;utm_source=sheet", "Apply")</f>
        <v>Apply</v>
      </c>
      <c r="C552" s="10" t="s">
        <v>94</v>
      </c>
      <c r="D552" s="56" t="s">
        <v>95</v>
      </c>
      <c r="E552" s="10">
        <v>52.0</v>
      </c>
      <c r="G552" s="10" t="s">
        <v>1031</v>
      </c>
      <c r="H552" s="10" t="s">
        <v>55</v>
      </c>
      <c r="J552" s="10" t="s">
        <v>758</v>
      </c>
      <c r="K552" s="10" t="s">
        <v>42</v>
      </c>
    </row>
    <row r="553" ht="15.75" customHeight="1">
      <c r="A553" s="54">
        <v>45486.0</v>
      </c>
      <c r="B553" s="55" t="str">
        <f>HYPERLINK("https://jobright.ai/jobs/info/6692d8d61553db54d57e64f4?utm_campaign=1061&amp;utm_source=sheet", "Apply")</f>
        <v>Apply</v>
      </c>
      <c r="C553" s="10" t="s">
        <v>94</v>
      </c>
      <c r="D553" s="56" t="s">
        <v>95</v>
      </c>
      <c r="E553" s="10">
        <v>52.0</v>
      </c>
      <c r="G553" s="10" t="s">
        <v>1032</v>
      </c>
      <c r="H553" s="10" t="s">
        <v>55</v>
      </c>
      <c r="J553" s="10" t="s">
        <v>758</v>
      </c>
      <c r="K553" s="10" t="s">
        <v>42</v>
      </c>
    </row>
    <row r="554" ht="15.75" customHeight="1">
      <c r="A554" s="54">
        <v>45486.0</v>
      </c>
      <c r="B554" s="55" t="str">
        <f>HYPERLINK("https://jobright.ai/jobs/info/6692d8d61553db54d57e64f5?utm_campaign=1061&amp;utm_source=sheet", "Apply")</f>
        <v>Apply</v>
      </c>
      <c r="C554" s="10" t="s">
        <v>94</v>
      </c>
      <c r="D554" s="56" t="s">
        <v>95</v>
      </c>
      <c r="E554" s="10">
        <v>52.0</v>
      </c>
      <c r="G554" s="10" t="s">
        <v>1033</v>
      </c>
      <c r="H554" s="10" t="s">
        <v>55</v>
      </c>
      <c r="J554" s="10" t="s">
        <v>758</v>
      </c>
      <c r="K554" s="10" t="s">
        <v>42</v>
      </c>
    </row>
    <row r="555" ht="15.75" customHeight="1">
      <c r="A555" s="54">
        <v>45486.0</v>
      </c>
      <c r="B555" s="55" t="str">
        <f>HYPERLINK("https://jobright.ai/jobs/info/6692d8d61553db54d57e64f2?utm_campaign=1061&amp;utm_source=sheet", "Apply")</f>
        <v>Apply</v>
      </c>
      <c r="C555" s="10" t="s">
        <v>94</v>
      </c>
      <c r="D555" s="56" t="s">
        <v>95</v>
      </c>
      <c r="E555" s="10">
        <v>52.0</v>
      </c>
      <c r="G555" s="10" t="s">
        <v>1034</v>
      </c>
      <c r="H555" s="10" t="s">
        <v>55</v>
      </c>
      <c r="J555" s="10" t="s">
        <v>758</v>
      </c>
      <c r="K555" s="10" t="s">
        <v>42</v>
      </c>
    </row>
    <row r="556" ht="15.75" customHeight="1">
      <c r="A556" s="54">
        <v>45486.0</v>
      </c>
      <c r="B556" s="55" t="str">
        <f>HYPERLINK("https://jobright.ai/jobs/info/6692e8672d4832adc6d2ecb4?utm_campaign=1061&amp;utm_source=sheet", "Apply")</f>
        <v>Apply</v>
      </c>
      <c r="C556" s="10" t="s">
        <v>94</v>
      </c>
      <c r="D556" s="56" t="s">
        <v>95</v>
      </c>
      <c r="E556" s="10">
        <v>52.0</v>
      </c>
      <c r="G556" s="10" t="s">
        <v>1035</v>
      </c>
      <c r="H556" s="10" t="s">
        <v>55</v>
      </c>
      <c r="J556" s="10" t="s">
        <v>758</v>
      </c>
      <c r="K556" s="10" t="s">
        <v>42</v>
      </c>
    </row>
    <row r="557" ht="15.75" customHeight="1">
      <c r="A557" s="54">
        <v>45486.0</v>
      </c>
      <c r="B557" s="55" t="str">
        <f>HYPERLINK("https://jobright.ai/jobs/info/6692e8672d4832adc6d2ecb6?utm_campaign=1061&amp;utm_source=sheet", "Apply")</f>
        <v>Apply</v>
      </c>
      <c r="C557" s="10" t="s">
        <v>94</v>
      </c>
      <c r="D557" s="56" t="s">
        <v>95</v>
      </c>
      <c r="E557" s="10">
        <v>52.0</v>
      </c>
      <c r="G557" s="10" t="s">
        <v>668</v>
      </c>
      <c r="H557" s="10" t="s">
        <v>55</v>
      </c>
      <c r="J557" s="10" t="s">
        <v>758</v>
      </c>
      <c r="K557" s="10" t="s">
        <v>42</v>
      </c>
    </row>
    <row r="558" ht="15.75" customHeight="1">
      <c r="A558" s="54">
        <v>45486.0</v>
      </c>
      <c r="B558" s="55" t="str">
        <f>HYPERLINK("https://jobright.ai/jobs/info/6692e8672d4832adc6d2ecb5?utm_campaign=1061&amp;utm_source=sheet", "Apply")</f>
        <v>Apply</v>
      </c>
      <c r="C558" s="10" t="s">
        <v>94</v>
      </c>
      <c r="D558" s="56" t="s">
        <v>95</v>
      </c>
      <c r="E558" s="10">
        <v>52.0</v>
      </c>
      <c r="G558" s="10" t="s">
        <v>1036</v>
      </c>
      <c r="H558" s="10" t="s">
        <v>55</v>
      </c>
      <c r="J558" s="10" t="s">
        <v>758</v>
      </c>
      <c r="K558" s="10" t="s">
        <v>42</v>
      </c>
    </row>
    <row r="559" ht="15.75" customHeight="1">
      <c r="A559" s="54">
        <v>45486.0</v>
      </c>
      <c r="B559" s="55" t="str">
        <f>HYPERLINK("https://jobright.ai/jobs/info/6692e8672d4832adc6d2ecbd?utm_campaign=1061&amp;utm_source=sheet", "Apply")</f>
        <v>Apply</v>
      </c>
      <c r="C559" s="10" t="s">
        <v>94</v>
      </c>
      <c r="D559" s="56" t="s">
        <v>95</v>
      </c>
      <c r="E559" s="10">
        <v>52.0</v>
      </c>
      <c r="G559" s="10" t="s">
        <v>1037</v>
      </c>
      <c r="H559" s="10" t="s">
        <v>55</v>
      </c>
      <c r="J559" s="10" t="s">
        <v>758</v>
      </c>
      <c r="K559" s="10" t="s">
        <v>42</v>
      </c>
    </row>
    <row r="560" ht="15.75" customHeight="1">
      <c r="A560" s="54">
        <v>45486.0</v>
      </c>
      <c r="B560" s="55" t="str">
        <f>HYPERLINK("https://jobright.ai/jobs/info/6692e8672d4832adc6d2ecbb?utm_campaign=1061&amp;utm_source=sheet", "Apply")</f>
        <v>Apply</v>
      </c>
      <c r="C560" s="10" t="s">
        <v>94</v>
      </c>
      <c r="D560" s="56" t="s">
        <v>95</v>
      </c>
      <c r="E560" s="10">
        <v>52.0</v>
      </c>
      <c r="G560" s="10" t="s">
        <v>1038</v>
      </c>
      <c r="H560" s="10" t="s">
        <v>55</v>
      </c>
      <c r="J560" s="10" t="s">
        <v>758</v>
      </c>
      <c r="K560" s="10" t="s">
        <v>42</v>
      </c>
    </row>
    <row r="561" ht="15.75" customHeight="1">
      <c r="A561" s="54">
        <v>45486.0</v>
      </c>
      <c r="B561" s="55" t="str">
        <f>HYPERLINK("https://jobright.ai/jobs/info/6692e8672d4832adc6d2ecb8?utm_campaign=1061&amp;utm_source=sheet", "Apply")</f>
        <v>Apply</v>
      </c>
      <c r="C561" s="10" t="s">
        <v>94</v>
      </c>
      <c r="D561" s="56" t="s">
        <v>95</v>
      </c>
      <c r="E561" s="10">
        <v>52.0</v>
      </c>
      <c r="G561" s="10" t="s">
        <v>1039</v>
      </c>
      <c r="H561" s="10" t="s">
        <v>55</v>
      </c>
      <c r="J561" s="10" t="s">
        <v>758</v>
      </c>
      <c r="K561" s="10" t="s">
        <v>42</v>
      </c>
    </row>
    <row r="562" ht="15.75" customHeight="1">
      <c r="A562" s="54">
        <v>45486.0</v>
      </c>
      <c r="B562" s="55" t="str">
        <f>HYPERLINK("https://jobright.ai/jobs/info/6692e8672d4832adc6d2ecb7?utm_campaign=1061&amp;utm_source=sheet", "Apply")</f>
        <v>Apply</v>
      </c>
      <c r="C562" s="10" t="s">
        <v>94</v>
      </c>
      <c r="D562" s="56" t="s">
        <v>95</v>
      </c>
      <c r="E562" s="10">
        <v>52.0</v>
      </c>
      <c r="G562" s="10" t="s">
        <v>1040</v>
      </c>
      <c r="H562" s="10" t="s">
        <v>55</v>
      </c>
      <c r="J562" s="10" t="s">
        <v>758</v>
      </c>
      <c r="K562" s="10" t="s">
        <v>42</v>
      </c>
    </row>
    <row r="563" ht="15.75" customHeight="1">
      <c r="A563" s="54">
        <v>45486.0</v>
      </c>
      <c r="B563" s="55" t="str">
        <f>HYPERLINK("https://jobright.ai/jobs/info/6692e8672d4832adc6d2ecb9?utm_campaign=1061&amp;utm_source=sheet", "Apply")</f>
        <v>Apply</v>
      </c>
      <c r="C563" s="10" t="s">
        <v>94</v>
      </c>
      <c r="D563" s="56" t="s">
        <v>95</v>
      </c>
      <c r="E563" s="10">
        <v>52.0</v>
      </c>
      <c r="G563" s="10" t="s">
        <v>1041</v>
      </c>
      <c r="H563" s="10" t="s">
        <v>55</v>
      </c>
      <c r="J563" s="10" t="s">
        <v>758</v>
      </c>
      <c r="K563" s="10" t="s">
        <v>42</v>
      </c>
    </row>
    <row r="564" ht="15.75" customHeight="1">
      <c r="A564" s="54">
        <v>45486.0</v>
      </c>
      <c r="B564" s="55" t="str">
        <f>HYPERLINK("https://jobright.ai/jobs/info/6692e8672d4832adc6d2ecbe?utm_campaign=1061&amp;utm_source=sheet", "Apply")</f>
        <v>Apply</v>
      </c>
      <c r="C564" s="10" t="s">
        <v>94</v>
      </c>
      <c r="D564" s="56" t="s">
        <v>95</v>
      </c>
      <c r="E564" s="10">
        <v>52.0</v>
      </c>
      <c r="G564" s="10" t="s">
        <v>1042</v>
      </c>
      <c r="H564" s="10" t="s">
        <v>55</v>
      </c>
      <c r="J564" s="10" t="s">
        <v>758</v>
      </c>
      <c r="K564" s="10" t="s">
        <v>42</v>
      </c>
    </row>
    <row r="565" ht="15.75" customHeight="1">
      <c r="A565" s="54">
        <v>45486.0</v>
      </c>
      <c r="B565" s="55" t="str">
        <f>HYPERLINK("https://jobright.ai/jobs/info/6692e8672d4832adc6d2ecbc?utm_campaign=1061&amp;utm_source=sheet", "Apply")</f>
        <v>Apply</v>
      </c>
      <c r="C565" s="10" t="s">
        <v>94</v>
      </c>
      <c r="D565" s="56" t="s">
        <v>95</v>
      </c>
      <c r="E565" s="10">
        <v>52.0</v>
      </c>
      <c r="G565" s="10" t="s">
        <v>229</v>
      </c>
      <c r="H565" s="10" t="s">
        <v>55</v>
      </c>
      <c r="J565" s="10" t="s">
        <v>758</v>
      </c>
      <c r="K565" s="10" t="s">
        <v>42</v>
      </c>
    </row>
    <row r="566" ht="15.75" customHeight="1">
      <c r="A566" s="54">
        <v>45486.0</v>
      </c>
      <c r="B566" s="55" t="str">
        <f>HYPERLINK("https://jobright.ai/jobs/info/6692e8672d4832adc6d2ecc0?utm_campaign=1061&amp;utm_source=sheet", "Apply")</f>
        <v>Apply</v>
      </c>
      <c r="C566" s="10" t="s">
        <v>94</v>
      </c>
      <c r="D566" s="56" t="s">
        <v>95</v>
      </c>
      <c r="E566" s="10">
        <v>52.0</v>
      </c>
      <c r="G566" s="10" t="s">
        <v>1043</v>
      </c>
      <c r="H566" s="10" t="s">
        <v>55</v>
      </c>
      <c r="J566" s="10" t="s">
        <v>758</v>
      </c>
      <c r="K566" s="10" t="s">
        <v>42</v>
      </c>
    </row>
    <row r="567" ht="15.75" customHeight="1">
      <c r="A567" s="54">
        <v>45486.0</v>
      </c>
      <c r="B567" s="55" t="str">
        <f>HYPERLINK("https://jobright.ai/jobs/info/6692e8672d4832adc6d2ecc3?utm_campaign=1061&amp;utm_source=sheet", "Apply")</f>
        <v>Apply</v>
      </c>
      <c r="C567" s="10" t="s">
        <v>94</v>
      </c>
      <c r="D567" s="56" t="s">
        <v>95</v>
      </c>
      <c r="E567" s="10">
        <v>52.0</v>
      </c>
      <c r="G567" s="10" t="s">
        <v>1044</v>
      </c>
      <c r="H567" s="10" t="s">
        <v>55</v>
      </c>
      <c r="J567" s="10" t="s">
        <v>758</v>
      </c>
      <c r="K567" s="10" t="s">
        <v>42</v>
      </c>
    </row>
    <row r="568" ht="15.75" customHeight="1">
      <c r="A568" s="54">
        <v>45486.0</v>
      </c>
      <c r="B568" s="55" t="str">
        <f>HYPERLINK("https://jobright.ai/jobs/info/6692e8672d4832adc6d2ecc5?utm_campaign=1061&amp;utm_source=sheet", "Apply")</f>
        <v>Apply</v>
      </c>
      <c r="C568" s="10" t="s">
        <v>94</v>
      </c>
      <c r="D568" s="56" t="s">
        <v>95</v>
      </c>
      <c r="E568" s="10">
        <v>52.0</v>
      </c>
      <c r="G568" s="10" t="s">
        <v>1045</v>
      </c>
      <c r="H568" s="10" t="s">
        <v>55</v>
      </c>
      <c r="J568" s="10" t="s">
        <v>758</v>
      </c>
      <c r="K568" s="10" t="s">
        <v>42</v>
      </c>
    </row>
    <row r="569" ht="15.75" customHeight="1">
      <c r="A569" s="54">
        <v>45486.0</v>
      </c>
      <c r="B569" s="55" t="str">
        <f>HYPERLINK("https://jobright.ai/jobs/info/6692e8672d4832adc6d2ecc1?utm_campaign=1061&amp;utm_source=sheet", "Apply")</f>
        <v>Apply</v>
      </c>
      <c r="C569" s="10" t="s">
        <v>94</v>
      </c>
      <c r="D569" s="56" t="s">
        <v>95</v>
      </c>
      <c r="E569" s="10">
        <v>52.0</v>
      </c>
      <c r="G569" s="10" t="s">
        <v>154</v>
      </c>
      <c r="H569" s="10" t="s">
        <v>55</v>
      </c>
      <c r="J569" s="10" t="s">
        <v>758</v>
      </c>
      <c r="K569" s="10" t="s">
        <v>42</v>
      </c>
    </row>
    <row r="570" ht="15.75" customHeight="1">
      <c r="A570" s="54">
        <v>45486.0</v>
      </c>
      <c r="B570" s="55" t="str">
        <f>HYPERLINK("https://jobright.ai/jobs/info/6692e8672d4832adc6d2ecc2?utm_campaign=1061&amp;utm_source=sheet", "Apply")</f>
        <v>Apply</v>
      </c>
      <c r="C570" s="10" t="s">
        <v>94</v>
      </c>
      <c r="D570" s="56" t="s">
        <v>95</v>
      </c>
      <c r="E570" s="10">
        <v>52.0</v>
      </c>
      <c r="G570" s="10" t="s">
        <v>1046</v>
      </c>
      <c r="H570" s="10" t="s">
        <v>55</v>
      </c>
      <c r="J570" s="10" t="s">
        <v>758</v>
      </c>
      <c r="K570" s="10" t="s">
        <v>42</v>
      </c>
    </row>
    <row r="571" ht="15.75" customHeight="1">
      <c r="A571" s="54">
        <v>45486.0</v>
      </c>
      <c r="B571" s="55" t="str">
        <f>HYPERLINK("https://jobright.ai/jobs/info/6692e8672d4832adc6d2ecc6?utm_campaign=1061&amp;utm_source=sheet", "Apply")</f>
        <v>Apply</v>
      </c>
      <c r="C571" s="10" t="s">
        <v>94</v>
      </c>
      <c r="D571" s="56" t="s">
        <v>95</v>
      </c>
      <c r="E571" s="10">
        <v>52.0</v>
      </c>
      <c r="G571" s="10" t="s">
        <v>1047</v>
      </c>
      <c r="H571" s="10" t="s">
        <v>55</v>
      </c>
      <c r="J571" s="10" t="s">
        <v>758</v>
      </c>
      <c r="K571" s="10" t="s">
        <v>42</v>
      </c>
    </row>
    <row r="572" ht="15.75" customHeight="1">
      <c r="A572" s="54">
        <v>45486.0</v>
      </c>
      <c r="B572" s="55" t="str">
        <f>HYPERLINK("https://jobright.ai/jobs/info/6692e8672d4832adc6d2ecbf?utm_campaign=1061&amp;utm_source=sheet", "Apply")</f>
        <v>Apply</v>
      </c>
      <c r="C572" s="10" t="s">
        <v>94</v>
      </c>
      <c r="D572" s="56" t="s">
        <v>95</v>
      </c>
      <c r="E572" s="10">
        <v>52.0</v>
      </c>
      <c r="G572" s="10" t="s">
        <v>1048</v>
      </c>
      <c r="H572" s="10" t="s">
        <v>55</v>
      </c>
      <c r="J572" s="10" t="s">
        <v>758</v>
      </c>
      <c r="K572" s="10" t="s">
        <v>42</v>
      </c>
    </row>
    <row r="573" ht="15.75" customHeight="1">
      <c r="A573" s="54">
        <v>45486.0</v>
      </c>
      <c r="B573" s="55" t="str">
        <f>HYPERLINK("https://jobright.ai/jobs/info/6692e8672d4832adc6d2ecc4?utm_campaign=1061&amp;utm_source=sheet", "Apply")</f>
        <v>Apply</v>
      </c>
      <c r="C573" s="10" t="s">
        <v>94</v>
      </c>
      <c r="D573" s="56" t="s">
        <v>95</v>
      </c>
      <c r="E573" s="10">
        <v>52.0</v>
      </c>
      <c r="G573" s="10" t="s">
        <v>1049</v>
      </c>
      <c r="H573" s="10" t="s">
        <v>55</v>
      </c>
      <c r="J573" s="10" t="s">
        <v>758</v>
      </c>
      <c r="K573" s="10" t="s">
        <v>42</v>
      </c>
    </row>
    <row r="574" ht="15.75" customHeight="1">
      <c r="A574" s="54">
        <v>45486.0</v>
      </c>
      <c r="B574" s="55" t="str">
        <f>HYPERLINK("https://jobright.ai/jobs/info/6692e8672d4832adc6d2ecc9?utm_campaign=1061&amp;utm_source=sheet", "Apply")</f>
        <v>Apply</v>
      </c>
      <c r="C574" s="10" t="s">
        <v>94</v>
      </c>
      <c r="D574" s="56" t="s">
        <v>95</v>
      </c>
      <c r="E574" s="10">
        <v>52.0</v>
      </c>
      <c r="G574" s="10" t="s">
        <v>1050</v>
      </c>
      <c r="H574" s="10" t="s">
        <v>55</v>
      </c>
      <c r="J574" s="10" t="s">
        <v>758</v>
      </c>
      <c r="K574" s="10" t="s">
        <v>42</v>
      </c>
    </row>
    <row r="575" ht="15.75" customHeight="1">
      <c r="A575" s="54">
        <v>45486.0</v>
      </c>
      <c r="B575" s="55" t="str">
        <f>HYPERLINK("https://jobright.ai/jobs/info/6692e8672d4832adc6d2ecc7?utm_campaign=1061&amp;utm_source=sheet", "Apply")</f>
        <v>Apply</v>
      </c>
      <c r="C575" s="10" t="s">
        <v>94</v>
      </c>
      <c r="D575" s="56" t="s">
        <v>95</v>
      </c>
      <c r="E575" s="10">
        <v>52.0</v>
      </c>
      <c r="G575" s="10" t="s">
        <v>1051</v>
      </c>
      <c r="H575" s="10" t="s">
        <v>55</v>
      </c>
      <c r="J575" s="10" t="s">
        <v>758</v>
      </c>
      <c r="K575" s="10" t="s">
        <v>42</v>
      </c>
    </row>
    <row r="576" ht="15.75" customHeight="1">
      <c r="A576" s="54">
        <v>45486.0</v>
      </c>
      <c r="B576" s="55" t="str">
        <f>HYPERLINK("https://jobright.ai/jobs/info/6692e8672d4832adc6d2ecc8?utm_campaign=1061&amp;utm_source=sheet", "Apply")</f>
        <v>Apply</v>
      </c>
      <c r="C576" s="10" t="s">
        <v>94</v>
      </c>
      <c r="D576" s="56" t="s">
        <v>95</v>
      </c>
      <c r="E576" s="10">
        <v>52.0</v>
      </c>
      <c r="G576" s="10" t="s">
        <v>1052</v>
      </c>
      <c r="H576" s="10" t="s">
        <v>55</v>
      </c>
      <c r="J576" s="10" t="s">
        <v>758</v>
      </c>
      <c r="K576" s="10" t="s">
        <v>42</v>
      </c>
    </row>
    <row r="577" ht="15.75" customHeight="1">
      <c r="A577" s="54">
        <v>45486.0</v>
      </c>
      <c r="B577" s="55" t="str">
        <f>HYPERLINK("https://jobright.ai/jobs/info/667614b3e5fc016086b1be25?utm_campaign=1061&amp;utm_source=sheet", "Apply")</f>
        <v>Apply</v>
      </c>
      <c r="C577" s="10" t="s">
        <v>1053</v>
      </c>
      <c r="D577" s="56" t="s">
        <v>204</v>
      </c>
      <c r="E577" s="10" t="s">
        <v>45</v>
      </c>
      <c r="F577" s="10" t="s">
        <v>205</v>
      </c>
      <c r="G577" s="10" t="s">
        <v>153</v>
      </c>
      <c r="H577" s="10" t="s">
        <v>55</v>
      </c>
      <c r="J577" s="10" t="s">
        <v>1054</v>
      </c>
      <c r="K577" s="10" t="s">
        <v>42</v>
      </c>
    </row>
    <row r="578" ht="15.75" customHeight="1">
      <c r="A578" s="54">
        <v>45486.0</v>
      </c>
      <c r="B578" s="55" t="str">
        <f>HYPERLINK("https://jobright.ai/jobs/info/6675fcc89592a403f1071392?utm_campaign=1061&amp;utm_source=sheet", "Apply")</f>
        <v>Apply</v>
      </c>
      <c r="C578" s="10" t="s">
        <v>1055</v>
      </c>
      <c r="D578" s="56" t="s">
        <v>311</v>
      </c>
      <c r="E578" s="10" t="s">
        <v>45</v>
      </c>
      <c r="F578" s="10" t="s">
        <v>312</v>
      </c>
      <c r="G578" s="10" t="s">
        <v>313</v>
      </c>
      <c r="H578" s="10" t="s">
        <v>55</v>
      </c>
      <c r="I578" s="10" t="s">
        <v>314</v>
      </c>
      <c r="J578" s="10" t="s">
        <v>1056</v>
      </c>
      <c r="K578" s="10" t="s">
        <v>42</v>
      </c>
    </row>
    <row r="579" ht="15.75" customHeight="1">
      <c r="A579" s="54">
        <v>45486.0</v>
      </c>
      <c r="B579" s="55" t="str">
        <f>HYPERLINK("https://jobright.ai/jobs/info/66761b31127b183117fe8a92?utm_campaign=1061&amp;utm_source=sheet", "Apply")</f>
        <v>Apply</v>
      </c>
      <c r="C579" s="10" t="s">
        <v>710</v>
      </c>
      <c r="D579" s="56" t="s">
        <v>385</v>
      </c>
      <c r="E579" s="10" t="s">
        <v>45</v>
      </c>
      <c r="F579" s="10" t="s">
        <v>386</v>
      </c>
      <c r="G579" s="10" t="s">
        <v>1057</v>
      </c>
      <c r="H579" s="10" t="s">
        <v>55</v>
      </c>
      <c r="J579" s="10" t="s">
        <v>712</v>
      </c>
      <c r="K579" s="10" t="s">
        <v>42</v>
      </c>
    </row>
    <row r="580" ht="15.75" customHeight="1">
      <c r="A580" s="54">
        <v>45486.0</v>
      </c>
      <c r="B580" s="55" t="str">
        <f>HYPERLINK("https://jobright.ai/jobs/info/6675c89d3b408d33d560290e?utm_campaign=1061&amp;utm_source=sheet", "Apply")</f>
        <v>Apply</v>
      </c>
      <c r="C580" s="10" t="s">
        <v>701</v>
      </c>
      <c r="D580" s="56" t="s">
        <v>702</v>
      </c>
      <c r="E580" s="10" t="s">
        <v>65</v>
      </c>
      <c r="F580" s="10" t="s">
        <v>703</v>
      </c>
      <c r="G580" s="10" t="s">
        <v>251</v>
      </c>
      <c r="H580" s="10" t="s">
        <v>48</v>
      </c>
      <c r="I580" s="10" t="s">
        <v>704</v>
      </c>
      <c r="J580" s="10" t="s">
        <v>705</v>
      </c>
      <c r="K580" s="10" t="s">
        <v>42</v>
      </c>
    </row>
    <row r="581" ht="15.75" customHeight="1">
      <c r="A581" s="54">
        <v>45486.0</v>
      </c>
      <c r="B581" s="55" t="str">
        <f>HYPERLINK("https://jobright.ai/jobs/info/65ef57562dcd2244bc9c6542?utm_campaign=1061&amp;utm_source=sheet", "Apply")</f>
        <v>Apply</v>
      </c>
      <c r="C581" s="10" t="s">
        <v>701</v>
      </c>
      <c r="D581" s="56" t="s">
        <v>702</v>
      </c>
      <c r="E581" s="10" t="s">
        <v>65</v>
      </c>
      <c r="F581" s="10" t="s">
        <v>703</v>
      </c>
      <c r="G581" s="10" t="s">
        <v>1058</v>
      </c>
      <c r="H581" s="10" t="s">
        <v>55</v>
      </c>
      <c r="J581" s="10" t="s">
        <v>1059</v>
      </c>
      <c r="K581" s="10" t="s">
        <v>42</v>
      </c>
    </row>
    <row r="582" ht="15.75" customHeight="1">
      <c r="A582" s="54">
        <v>45486.0</v>
      </c>
      <c r="B582" s="55" t="str">
        <f>HYPERLINK("https://jobright.ai/jobs/info/65ba4585417b19f748dcb6a2?utm_campaign=1061&amp;utm_source=sheet", "Apply")</f>
        <v>Apply</v>
      </c>
      <c r="C582" s="10" t="s">
        <v>1060</v>
      </c>
      <c r="D582" s="56" t="s">
        <v>1061</v>
      </c>
      <c r="E582" s="10" t="s">
        <v>209</v>
      </c>
      <c r="G582" s="10" t="s">
        <v>1062</v>
      </c>
      <c r="H582" s="10" t="s">
        <v>55</v>
      </c>
      <c r="J582" s="10" t="s">
        <v>1063</v>
      </c>
      <c r="K582" s="10" t="s">
        <v>42</v>
      </c>
    </row>
    <row r="583" ht="15.75" customHeight="1">
      <c r="A583" s="54">
        <v>45486.0</v>
      </c>
      <c r="B583" s="55" t="str">
        <f>HYPERLINK("https://jobright.ai/jobs/info/660062fbf3cc74cd124650db?utm_campaign=1061&amp;utm_source=sheet", "Apply")</f>
        <v>Apply</v>
      </c>
      <c r="C583" s="10" t="s">
        <v>226</v>
      </c>
      <c r="D583" s="56" t="s">
        <v>1064</v>
      </c>
      <c r="E583" s="10" t="s">
        <v>65</v>
      </c>
      <c r="F583" s="10" t="s">
        <v>1065</v>
      </c>
      <c r="G583" s="10" t="s">
        <v>1004</v>
      </c>
      <c r="H583" s="10" t="s">
        <v>55</v>
      </c>
      <c r="J583" s="10" t="s">
        <v>1066</v>
      </c>
      <c r="K583" s="10" t="s">
        <v>42</v>
      </c>
    </row>
    <row r="584" ht="15.75" customHeight="1">
      <c r="A584" s="54">
        <v>45486.0</v>
      </c>
      <c r="B584" s="55" t="str">
        <f>HYPERLINK("https://jobright.ai/jobs/info/66759b3a59c208aac14d160f?utm_campaign=1061&amp;utm_source=sheet", "Apply")</f>
        <v>Apply</v>
      </c>
      <c r="C584" s="10" t="s">
        <v>1067</v>
      </c>
      <c r="D584" s="56" t="s">
        <v>1068</v>
      </c>
      <c r="E584" s="10" t="s">
        <v>209</v>
      </c>
      <c r="F584" s="10" t="s">
        <v>1069</v>
      </c>
      <c r="G584" s="10" t="s">
        <v>1070</v>
      </c>
      <c r="H584" s="10" t="s">
        <v>48</v>
      </c>
      <c r="J584" s="10" t="s">
        <v>1071</v>
      </c>
      <c r="K584" s="10" t="s">
        <v>42</v>
      </c>
    </row>
    <row r="585" ht="15.75" customHeight="1">
      <c r="A585" s="54">
        <v>45486.0</v>
      </c>
      <c r="B585" s="55" t="str">
        <f>HYPERLINK("https://jobright.ai/jobs/info/664f7507fafabb2eaaf47b5c?utm_campaign=1061&amp;utm_source=sheet", "Apply")</f>
        <v>Apply</v>
      </c>
      <c r="C585" s="10" t="s">
        <v>1072</v>
      </c>
      <c r="D585" s="56" t="s">
        <v>1073</v>
      </c>
      <c r="E585" s="10" t="s">
        <v>45</v>
      </c>
      <c r="F585" s="10" t="s">
        <v>1074</v>
      </c>
      <c r="G585" s="10" t="s">
        <v>1075</v>
      </c>
      <c r="H585" s="10" t="s">
        <v>55</v>
      </c>
      <c r="J585" s="10" t="s">
        <v>1076</v>
      </c>
      <c r="K585" s="10" t="s">
        <v>42</v>
      </c>
    </row>
    <row r="586" ht="15.75" customHeight="1">
      <c r="A586" s="54">
        <v>45486.0</v>
      </c>
      <c r="B586" s="55" t="str">
        <f>HYPERLINK("https://jobright.ai/jobs/info/6675c32d2c5358baace98cf0?utm_campaign=1061&amp;utm_source=sheet", "Apply")</f>
        <v>Apply</v>
      </c>
      <c r="C586" s="10" t="s">
        <v>701</v>
      </c>
      <c r="D586" s="56" t="s">
        <v>702</v>
      </c>
      <c r="E586" s="10" t="s">
        <v>65</v>
      </c>
      <c r="F586" s="10" t="s">
        <v>703</v>
      </c>
      <c r="G586" s="10" t="s">
        <v>1058</v>
      </c>
      <c r="H586" s="10" t="s">
        <v>48</v>
      </c>
      <c r="I586" s="10" t="s">
        <v>704</v>
      </c>
      <c r="J586" s="10" t="s">
        <v>705</v>
      </c>
      <c r="K586" s="10" t="s">
        <v>42</v>
      </c>
    </row>
    <row r="587" ht="15.75" customHeight="1">
      <c r="A587" s="54">
        <v>45486.0</v>
      </c>
      <c r="B587" s="55" t="str">
        <f>HYPERLINK("https://jobright.ai/jobs/info/6672ceda4b9042a3b20646f3?utm_campaign=1061&amp;utm_source=sheet", "Apply")</f>
        <v>Apply</v>
      </c>
      <c r="C587" s="10" t="s">
        <v>1077</v>
      </c>
      <c r="D587" s="56" t="s">
        <v>1078</v>
      </c>
      <c r="E587" s="10" t="s">
        <v>65</v>
      </c>
      <c r="F587" s="10" t="s">
        <v>1079</v>
      </c>
      <c r="G587" s="10" t="s">
        <v>92</v>
      </c>
      <c r="H587" s="10" t="s">
        <v>55</v>
      </c>
      <c r="I587" s="10" t="s">
        <v>1080</v>
      </c>
      <c r="J587" s="10" t="s">
        <v>1081</v>
      </c>
      <c r="K587" s="10" t="s">
        <v>42</v>
      </c>
    </row>
    <row r="588" ht="15.75" customHeight="1">
      <c r="A588" s="54">
        <v>45486.0</v>
      </c>
      <c r="B588" s="55" t="str">
        <f>HYPERLINK("https://jobright.ai/jobs/info/667710f0f278834492d88884?utm_campaign=1061&amp;utm_source=sheet", "Apply")</f>
        <v>Apply</v>
      </c>
      <c r="C588" s="10" t="s">
        <v>1082</v>
      </c>
      <c r="D588" s="56" t="s">
        <v>1083</v>
      </c>
      <c r="E588" s="10" t="s">
        <v>209</v>
      </c>
      <c r="F588" s="10" t="s">
        <v>1084</v>
      </c>
      <c r="G588" s="10" t="s">
        <v>848</v>
      </c>
      <c r="H588" s="10" t="s">
        <v>55</v>
      </c>
      <c r="J588" s="10" t="s">
        <v>1085</v>
      </c>
      <c r="K588" s="10" t="s">
        <v>42</v>
      </c>
    </row>
    <row r="589" ht="15.75" customHeight="1">
      <c r="A589" s="54">
        <v>45486.0</v>
      </c>
      <c r="B589" s="55" t="str">
        <f>HYPERLINK("https://jobright.ai/jobs/info/6672fdf3e88d6ae63634c254?utm_campaign=1061&amp;utm_source=sheet", "Apply")</f>
        <v>Apply</v>
      </c>
      <c r="C589" s="10" t="s">
        <v>1077</v>
      </c>
      <c r="D589" s="56" t="s">
        <v>1078</v>
      </c>
      <c r="E589" s="10" t="s">
        <v>65</v>
      </c>
      <c r="F589" s="10" t="s">
        <v>1079</v>
      </c>
      <c r="G589" s="10" t="s">
        <v>1086</v>
      </c>
      <c r="H589" s="10" t="s">
        <v>55</v>
      </c>
      <c r="I589" s="10" t="s">
        <v>1087</v>
      </c>
      <c r="J589" s="10" t="s">
        <v>1088</v>
      </c>
      <c r="K589" s="10" t="s">
        <v>42</v>
      </c>
    </row>
    <row r="590" ht="15.75" customHeight="1">
      <c r="A590" s="54">
        <v>45485.0</v>
      </c>
      <c r="B590" s="55" t="str">
        <f>HYPERLINK("https://jobright.ai/jobs/info/6691b7eb13527b97fdb1b71d?utm_campaign=1061&amp;utm_source=sheet", "Apply")</f>
        <v>Apply</v>
      </c>
      <c r="C590" s="10" t="s">
        <v>1089</v>
      </c>
      <c r="D590" s="56" t="s">
        <v>44</v>
      </c>
      <c r="E590" s="10" t="s">
        <v>45</v>
      </c>
      <c r="F590" s="10" t="s">
        <v>46</v>
      </c>
      <c r="G590" s="10" t="s">
        <v>96</v>
      </c>
      <c r="H590" s="10" t="s">
        <v>48</v>
      </c>
      <c r="I590" s="10" t="s">
        <v>375</v>
      </c>
      <c r="J590" s="10" t="s">
        <v>1090</v>
      </c>
      <c r="K590" s="10" t="s">
        <v>42</v>
      </c>
    </row>
    <row r="591" ht="15.75" customHeight="1">
      <c r="A591" s="54">
        <v>45485.0</v>
      </c>
      <c r="B591" s="55" t="str">
        <f>HYPERLINK("https://jobright.ai/jobs/info/66916bbd0bfd99748e33e492?utm_campaign=1061&amp;utm_source=sheet", "Apply")</f>
        <v>Apply</v>
      </c>
      <c r="C591" s="10" t="s">
        <v>1091</v>
      </c>
      <c r="D591" s="56" t="s">
        <v>99</v>
      </c>
      <c r="E591" s="10" t="s">
        <v>45</v>
      </c>
      <c r="F591" s="10" t="s">
        <v>100</v>
      </c>
      <c r="G591" s="10" t="s">
        <v>165</v>
      </c>
      <c r="H591" s="10" t="s">
        <v>55</v>
      </c>
      <c r="J591" s="10" t="s">
        <v>1092</v>
      </c>
      <c r="K591" s="10" t="s">
        <v>42</v>
      </c>
    </row>
    <row r="592" ht="15.75" customHeight="1">
      <c r="A592" s="54">
        <v>45485.0</v>
      </c>
      <c r="B592" s="55" t="str">
        <f>HYPERLINK("https://jobright.ai/jobs/info/66a403940d09d8a9054b421d?utm_campaign=1061&amp;utm_source=sheet", "Apply")</f>
        <v>Apply</v>
      </c>
      <c r="C592" s="10" t="s">
        <v>1093</v>
      </c>
      <c r="D592" s="56" t="s">
        <v>1094</v>
      </c>
      <c r="E592" s="10" t="s">
        <v>45</v>
      </c>
      <c r="F592" s="10" t="s">
        <v>731</v>
      </c>
      <c r="G592" s="10" t="s">
        <v>153</v>
      </c>
      <c r="H592" s="10" t="s">
        <v>55</v>
      </c>
      <c r="J592" s="10" t="s">
        <v>1095</v>
      </c>
      <c r="K592" s="10" t="s">
        <v>42</v>
      </c>
    </row>
    <row r="593" ht="15.75" customHeight="1">
      <c r="A593" s="54">
        <v>45485.0</v>
      </c>
      <c r="B593" s="55" t="str">
        <f>HYPERLINK("https://jobright.ai/jobs/info/66916bc50bfd99748e33e4f9?utm_campaign=1061&amp;utm_source=sheet", "Apply")</f>
        <v>Apply</v>
      </c>
      <c r="C593" s="10" t="s">
        <v>1096</v>
      </c>
      <c r="D593" s="56" t="s">
        <v>1061</v>
      </c>
      <c r="E593" s="10" t="s">
        <v>209</v>
      </c>
      <c r="G593" s="10" t="s">
        <v>1097</v>
      </c>
      <c r="H593" s="10" t="s">
        <v>55</v>
      </c>
      <c r="I593" s="10" t="s">
        <v>1098</v>
      </c>
      <c r="J593" s="10" t="s">
        <v>1099</v>
      </c>
      <c r="K593" s="10" t="s">
        <v>42</v>
      </c>
    </row>
    <row r="594" ht="15.75" customHeight="1">
      <c r="A594" s="54">
        <v>45485.0</v>
      </c>
      <c r="B594" s="55" t="str">
        <f>HYPERLINK("https://jobright.ai/jobs/info/66928ae1b578d06e71906a60?utm_campaign=1061&amp;utm_source=sheet", "Apply")</f>
        <v>Apply</v>
      </c>
      <c r="C594" s="10" t="s">
        <v>1100</v>
      </c>
      <c r="D594" s="56" t="s">
        <v>1101</v>
      </c>
      <c r="E594" s="10" t="s">
        <v>137</v>
      </c>
      <c r="F594" s="10" t="s">
        <v>1102</v>
      </c>
      <c r="G594" s="10" t="s">
        <v>1103</v>
      </c>
      <c r="H594" s="10" t="s">
        <v>55</v>
      </c>
      <c r="J594" s="10" t="s">
        <v>1104</v>
      </c>
      <c r="K594" s="10" t="s">
        <v>42</v>
      </c>
    </row>
    <row r="595" ht="15.75" customHeight="1">
      <c r="A595" s="54">
        <v>45485.0</v>
      </c>
      <c r="B595" s="55" t="str">
        <f>HYPERLINK("https://jobright.ai/jobs/info/66910277ba72e68785335f3f?utm_campaign=1061&amp;utm_source=sheet", "Apply")</f>
        <v>Apply</v>
      </c>
      <c r="C595" s="10" t="s">
        <v>1105</v>
      </c>
      <c r="D595" s="56" t="s">
        <v>1106</v>
      </c>
      <c r="E595" s="10">
        <v>97892.0</v>
      </c>
      <c r="G595" s="10" t="s">
        <v>245</v>
      </c>
      <c r="H595" s="10" t="s">
        <v>55</v>
      </c>
      <c r="I595" s="10" t="s">
        <v>1107</v>
      </c>
      <c r="J595" s="10" t="s">
        <v>1108</v>
      </c>
      <c r="K595" s="10" t="s">
        <v>42</v>
      </c>
    </row>
    <row r="596" ht="15.75" customHeight="1">
      <c r="A596" s="54">
        <v>45485.0</v>
      </c>
      <c r="B596" s="55" t="str">
        <f>HYPERLINK("https://jobright.ai/jobs/info/6691ad16f75851e2436d57ac?utm_campaign=1061&amp;utm_source=sheet", "Apply")</f>
        <v>Apply</v>
      </c>
      <c r="C596" s="10" t="s">
        <v>1109</v>
      </c>
      <c r="D596" s="56" t="s">
        <v>1110</v>
      </c>
      <c r="E596" s="10" t="s">
        <v>71</v>
      </c>
      <c r="F596" s="10" t="s">
        <v>1111</v>
      </c>
      <c r="G596" s="10" t="s">
        <v>898</v>
      </c>
      <c r="H596" s="10" t="s">
        <v>55</v>
      </c>
      <c r="I596" s="10" t="s">
        <v>1112</v>
      </c>
      <c r="J596" s="10" t="s">
        <v>1113</v>
      </c>
      <c r="K596" s="10" t="s">
        <v>42</v>
      </c>
    </row>
    <row r="597" ht="15.75" customHeight="1">
      <c r="A597" s="54">
        <v>45484.0</v>
      </c>
      <c r="B597" s="55" t="str">
        <f>HYPERLINK("https://jobright.ai/jobs/info/66908a4160a291b68c8feb97?utm_campaign=1061&amp;utm_source=sheet", "Apply")</f>
        <v>Apply</v>
      </c>
      <c r="C597" s="10" t="s">
        <v>1114</v>
      </c>
      <c r="D597" s="56" t="s">
        <v>1115</v>
      </c>
      <c r="E597" s="10" t="s">
        <v>65</v>
      </c>
      <c r="F597" s="10" t="s">
        <v>1116</v>
      </c>
      <c r="G597" s="10" t="s">
        <v>607</v>
      </c>
      <c r="H597" s="10" t="s">
        <v>48</v>
      </c>
      <c r="J597" s="10" t="s">
        <v>1117</v>
      </c>
      <c r="K597" s="10" t="s">
        <v>42</v>
      </c>
    </row>
    <row r="598" ht="15.75" customHeight="1">
      <c r="A598" s="54">
        <v>45484.0</v>
      </c>
      <c r="B598" s="55" t="str">
        <f>HYPERLINK("https://jobright.ai/jobs/info/6690a494bde41292f4f54992?utm_campaign=1061&amp;utm_source=sheet", "Apply")</f>
        <v>Apply</v>
      </c>
      <c r="C598" s="10" t="s">
        <v>1118</v>
      </c>
      <c r="D598" s="56" t="s">
        <v>1119</v>
      </c>
      <c r="E598" s="10">
        <v>8.0</v>
      </c>
      <c r="G598" s="10" t="s">
        <v>1120</v>
      </c>
      <c r="H598" s="10" t="s">
        <v>55</v>
      </c>
      <c r="J598" s="10" t="s">
        <v>1121</v>
      </c>
      <c r="K598" s="10" t="s">
        <v>42</v>
      </c>
    </row>
    <row r="599" ht="15.75" customHeight="1">
      <c r="A599" s="54">
        <v>45484.0</v>
      </c>
      <c r="B599" s="55" t="str">
        <f>HYPERLINK("https://jobright.ai/jobs/info/6690d6d5ff50681e8b56949a?utm_campaign=1061&amp;utm_source=sheet", "Apply")</f>
        <v>Apply</v>
      </c>
      <c r="C599" s="10" t="s">
        <v>1122</v>
      </c>
      <c r="D599" s="56" t="s">
        <v>1123</v>
      </c>
      <c r="E599" s="10" t="s">
        <v>209</v>
      </c>
      <c r="F599" s="10" t="s">
        <v>1124</v>
      </c>
      <c r="G599" s="10" t="s">
        <v>101</v>
      </c>
      <c r="H599" s="10" t="s">
        <v>55</v>
      </c>
      <c r="I599" s="10" t="s">
        <v>581</v>
      </c>
      <c r="J599" s="10" t="s">
        <v>1125</v>
      </c>
      <c r="K599" s="10" t="s">
        <v>42</v>
      </c>
    </row>
    <row r="600" ht="15.75" customHeight="1">
      <c r="A600" s="54">
        <v>45484.0</v>
      </c>
      <c r="B600" s="55" t="str">
        <f>HYPERLINK("https://jobright.ai/jobs/info/66910e8d5b378671cbeb1d54?utm_campaign=1061&amp;utm_source=sheet", "Apply")</f>
        <v>Apply</v>
      </c>
      <c r="C600" s="10" t="s">
        <v>1126</v>
      </c>
      <c r="D600" s="56" t="s">
        <v>1127</v>
      </c>
      <c r="E600" s="10" t="s">
        <v>209</v>
      </c>
      <c r="F600" s="10" t="s">
        <v>239</v>
      </c>
      <c r="G600" s="10" t="s">
        <v>1128</v>
      </c>
      <c r="H600" s="10" t="s">
        <v>55</v>
      </c>
      <c r="J600" s="10" t="s">
        <v>1129</v>
      </c>
      <c r="K600" s="10" t="s">
        <v>42</v>
      </c>
    </row>
    <row r="601" ht="15.75" customHeight="1">
      <c r="A601" s="54">
        <v>45484.0</v>
      </c>
      <c r="B601" s="55" t="str">
        <f>HYPERLINK("https://jobright.ai/jobs/info/66907bda03d902ca694036be?utm_campaign=1061&amp;utm_source=sheet", "Apply")</f>
        <v>Apply</v>
      </c>
      <c r="C601" s="10" t="s">
        <v>343</v>
      </c>
      <c r="D601" s="56" t="s">
        <v>344</v>
      </c>
      <c r="E601" s="10" t="s">
        <v>71</v>
      </c>
      <c r="F601" s="10" t="s">
        <v>345</v>
      </c>
      <c r="G601" s="10" t="s">
        <v>1130</v>
      </c>
      <c r="H601" s="10" t="s">
        <v>55</v>
      </c>
      <c r="J601" s="10" t="s">
        <v>1131</v>
      </c>
      <c r="K601" s="10" t="s">
        <v>42</v>
      </c>
    </row>
    <row r="602" ht="15.75" customHeight="1">
      <c r="A602" s="54">
        <v>45483.0</v>
      </c>
      <c r="B602" s="55" t="str">
        <f>HYPERLINK("https://jobright.ai/jobs/info/66900fda4a77721ba220eea6?utm_campaign=1061&amp;utm_source=sheet", "Apply")</f>
        <v>Apply</v>
      </c>
      <c r="C602" s="10" t="s">
        <v>1132</v>
      </c>
      <c r="D602" s="56" t="s">
        <v>1133</v>
      </c>
      <c r="E602" s="10">
        <v>8727.0</v>
      </c>
      <c r="G602" s="10" t="s">
        <v>996</v>
      </c>
      <c r="H602" s="10" t="s">
        <v>55</v>
      </c>
      <c r="J602" s="10" t="s">
        <v>1134</v>
      </c>
      <c r="K602" s="10" t="s">
        <v>42</v>
      </c>
    </row>
    <row r="603" ht="15.75" customHeight="1">
      <c r="A603" s="54">
        <v>45483.0</v>
      </c>
      <c r="B603" s="55" t="str">
        <f>HYPERLINK("https://jobright.ai/jobs/info/6690100d4a77721ba220f3f6?utm_campaign=1061&amp;utm_source=sheet", "Apply")</f>
        <v>Apply</v>
      </c>
      <c r="C603" s="10" t="s">
        <v>1132</v>
      </c>
      <c r="D603" s="56" t="s">
        <v>1133</v>
      </c>
      <c r="E603" s="10">
        <v>8727.0</v>
      </c>
      <c r="G603" s="10" t="s">
        <v>113</v>
      </c>
      <c r="H603" s="10" t="s">
        <v>55</v>
      </c>
      <c r="J603" s="10" t="s">
        <v>1134</v>
      </c>
      <c r="K603" s="10" t="s">
        <v>42</v>
      </c>
    </row>
    <row r="604" ht="15.75" customHeight="1">
      <c r="A604" s="54">
        <v>45483.0</v>
      </c>
      <c r="B604" s="55" t="str">
        <f>HYPERLINK("https://jobright.ai/jobs/info/6690100f4a77721ba220f3ff?utm_campaign=1061&amp;utm_source=sheet", "Apply")</f>
        <v>Apply</v>
      </c>
      <c r="C604" s="10" t="s">
        <v>1132</v>
      </c>
      <c r="D604" s="56" t="s">
        <v>1133</v>
      </c>
      <c r="E604" s="10">
        <v>8727.0</v>
      </c>
      <c r="G604" s="10" t="s">
        <v>73</v>
      </c>
      <c r="H604" s="10" t="s">
        <v>55</v>
      </c>
      <c r="J604" s="10" t="s">
        <v>1134</v>
      </c>
      <c r="K604" s="10" t="s">
        <v>42</v>
      </c>
    </row>
    <row r="605" ht="15.75" customHeight="1">
      <c r="A605" s="54">
        <v>45483.0</v>
      </c>
      <c r="B605" s="55" t="str">
        <f>HYPERLINK("https://jobright.ai/jobs/info/6697c4de8ba4150d34e5cfd7?utm_campaign=1061&amp;utm_source=sheet", "Apply")</f>
        <v>Apply</v>
      </c>
      <c r="C605" s="10" t="s">
        <v>1135</v>
      </c>
      <c r="D605" s="56" t="s">
        <v>1136</v>
      </c>
      <c r="E605" s="10" t="s">
        <v>45</v>
      </c>
      <c r="F605" s="10" t="s">
        <v>1137</v>
      </c>
      <c r="G605" s="10" t="s">
        <v>1138</v>
      </c>
      <c r="H605" s="10" t="s">
        <v>55</v>
      </c>
      <c r="J605" s="10" t="s">
        <v>1139</v>
      </c>
      <c r="K605" s="10" t="s">
        <v>42</v>
      </c>
    </row>
    <row r="606" ht="15.75" customHeight="1">
      <c r="A606" s="54">
        <v>45483.0</v>
      </c>
      <c r="B606" s="55" t="str">
        <f>HYPERLINK("https://jobright.ai/jobs/info/668fd7dfd38b7377a4fa9037?utm_campaign=1061&amp;utm_source=sheet", "Apply")</f>
        <v>Apply</v>
      </c>
      <c r="C606" s="10" t="s">
        <v>1140</v>
      </c>
      <c r="D606" s="56" t="s">
        <v>1115</v>
      </c>
      <c r="E606" s="10" t="s">
        <v>65</v>
      </c>
      <c r="F606" s="10" t="s">
        <v>1116</v>
      </c>
      <c r="G606" s="10" t="s">
        <v>607</v>
      </c>
      <c r="H606" s="10" t="s">
        <v>48</v>
      </c>
      <c r="J606" s="10" t="s">
        <v>1141</v>
      </c>
      <c r="K606" s="10" t="s">
        <v>42</v>
      </c>
    </row>
    <row r="607" ht="15.75" customHeight="1">
      <c r="A607" s="54">
        <v>45483.0</v>
      </c>
      <c r="B607" s="55" t="str">
        <f>HYPERLINK("https://jobright.ai/jobs/info/668e00e9b5170b1fe58e2ba3?utm_campaign=1061&amp;utm_source=sheet", "Apply")</f>
        <v>Apply</v>
      </c>
      <c r="C607" s="10" t="s">
        <v>1142</v>
      </c>
      <c r="D607" s="56" t="s">
        <v>1143</v>
      </c>
      <c r="E607" s="10" t="s">
        <v>209</v>
      </c>
      <c r="G607" s="10" t="s">
        <v>1144</v>
      </c>
      <c r="H607" s="10" t="s">
        <v>55</v>
      </c>
      <c r="J607" s="10" t="s">
        <v>1145</v>
      </c>
      <c r="K607" s="10" t="s">
        <v>42</v>
      </c>
    </row>
    <row r="608" ht="15.75" customHeight="1">
      <c r="A608" s="54">
        <v>45483.0</v>
      </c>
      <c r="B608" s="55" t="str">
        <f>HYPERLINK("https://jobright.ai/jobs/info/668e7caa74703cd13a275599?utm_campaign=1061&amp;utm_source=sheet", "Apply")</f>
        <v>Apply</v>
      </c>
      <c r="C608" s="10" t="s">
        <v>1146</v>
      </c>
      <c r="D608" s="56" t="s">
        <v>1147</v>
      </c>
      <c r="E608" s="10" t="s">
        <v>137</v>
      </c>
      <c r="F608" s="10" t="s">
        <v>1148</v>
      </c>
      <c r="G608" s="10" t="s">
        <v>1149</v>
      </c>
      <c r="H608" s="10" t="s">
        <v>55</v>
      </c>
      <c r="J608" s="10" t="s">
        <v>1150</v>
      </c>
      <c r="K608" s="10" t="s">
        <v>42</v>
      </c>
    </row>
    <row r="609" ht="15.75" customHeight="1">
      <c r="A609" s="54">
        <v>45483.0</v>
      </c>
      <c r="B609" s="55" t="str">
        <f>HYPERLINK("https://jobright.ai/jobs/info/668e6263394cc2e566364b76?utm_campaign=1061&amp;utm_source=sheet", "Apply")</f>
        <v>Apply</v>
      </c>
      <c r="C609" s="10" t="s">
        <v>1151</v>
      </c>
      <c r="D609" s="56" t="s">
        <v>1152</v>
      </c>
      <c r="E609" s="10" t="s">
        <v>249</v>
      </c>
      <c r="F609" s="10" t="s">
        <v>85</v>
      </c>
      <c r="G609" s="10" t="s">
        <v>419</v>
      </c>
      <c r="H609" s="10" t="s">
        <v>55</v>
      </c>
      <c r="J609" s="10" t="s">
        <v>1153</v>
      </c>
      <c r="K609" s="10" t="s">
        <v>42</v>
      </c>
    </row>
    <row r="610" ht="15.75" customHeight="1">
      <c r="A610" s="54">
        <v>45483.0</v>
      </c>
      <c r="B610" s="55" t="str">
        <f>HYPERLINK("https://jobright.ai/jobs/info/66959f3e4ffe9d7a67e36074?utm_campaign=1061&amp;utm_source=sheet", "Apply")</f>
        <v>Apply</v>
      </c>
      <c r="C610" s="10" t="s">
        <v>1077</v>
      </c>
      <c r="D610" s="56" t="s">
        <v>1154</v>
      </c>
      <c r="E610" s="10" t="s">
        <v>65</v>
      </c>
      <c r="G610" s="10" t="s">
        <v>1155</v>
      </c>
      <c r="H610" s="10" t="s">
        <v>55</v>
      </c>
      <c r="J610" s="10" t="s">
        <v>1156</v>
      </c>
      <c r="K610" s="10" t="s">
        <v>42</v>
      </c>
    </row>
    <row r="611" ht="15.75" customHeight="1">
      <c r="A611" s="54">
        <v>45482.0</v>
      </c>
      <c r="B611" s="55" t="str">
        <f>HYPERLINK("https://jobright.ai/jobs/info/6650f29f15cbfbac94128e70?utm_campaign=1061&amp;utm_source=sheet", "Apply")</f>
        <v>Apply</v>
      </c>
      <c r="C611" s="10" t="s">
        <v>1157</v>
      </c>
      <c r="D611" s="56" t="s">
        <v>1158</v>
      </c>
      <c r="E611" s="10" t="s">
        <v>276</v>
      </c>
      <c r="F611" s="10" t="s">
        <v>1159</v>
      </c>
      <c r="G611" s="10" t="s">
        <v>1160</v>
      </c>
      <c r="H611" s="10" t="s">
        <v>55</v>
      </c>
      <c r="J611" s="10" t="s">
        <v>1161</v>
      </c>
      <c r="K611" s="10" t="s">
        <v>42</v>
      </c>
    </row>
    <row r="612" ht="15.75" customHeight="1">
      <c r="A612" s="54">
        <v>45482.0</v>
      </c>
      <c r="B612" s="55" t="str">
        <f>HYPERLINK("https://jobright.ai/jobs/info/668d7d332949d64d8e447ce8?utm_campaign=1061&amp;utm_source=sheet", "Apply")</f>
        <v>Apply</v>
      </c>
      <c r="C612" s="10" t="s">
        <v>1162</v>
      </c>
      <c r="D612" s="56" t="s">
        <v>1163</v>
      </c>
      <c r="E612" s="10" t="s">
        <v>137</v>
      </c>
      <c r="F612" s="10" t="s">
        <v>1164</v>
      </c>
      <c r="G612" s="10" t="s">
        <v>1097</v>
      </c>
      <c r="H612" s="10" t="s">
        <v>48</v>
      </c>
      <c r="I612" s="10" t="s">
        <v>1165</v>
      </c>
      <c r="J612" s="10" t="s">
        <v>1166</v>
      </c>
      <c r="K612" s="10" t="s">
        <v>42</v>
      </c>
    </row>
    <row r="613" ht="15.75" customHeight="1">
      <c r="A613" s="54">
        <v>45482.0</v>
      </c>
      <c r="B613" s="55" t="str">
        <f>HYPERLINK("https://jobright.ai/jobs/info/668d7852d5c4383256bc1495?utm_campaign=1061&amp;utm_source=sheet", "Apply")</f>
        <v>Apply</v>
      </c>
      <c r="C613" s="10" t="s">
        <v>1167</v>
      </c>
      <c r="D613" s="56" t="s">
        <v>325</v>
      </c>
      <c r="E613" s="10">
        <v>17752.0</v>
      </c>
      <c r="G613" s="10" t="s">
        <v>1168</v>
      </c>
      <c r="H613" s="10" t="s">
        <v>55</v>
      </c>
      <c r="I613" s="10" t="s">
        <v>327</v>
      </c>
      <c r="J613" s="10" t="s">
        <v>1169</v>
      </c>
      <c r="K613" s="10" t="s">
        <v>42</v>
      </c>
    </row>
    <row r="614" ht="15.75" customHeight="1">
      <c r="A614" s="54">
        <v>45482.0</v>
      </c>
      <c r="B614" s="55" t="str">
        <f>HYPERLINK("https://jobright.ai/jobs/info/668d6e8522aefc489b077de4?utm_campaign=1061&amp;utm_source=sheet", "Apply")</f>
        <v>Apply</v>
      </c>
      <c r="C614" s="10" t="s">
        <v>1170</v>
      </c>
      <c r="D614" s="56" t="s">
        <v>1163</v>
      </c>
      <c r="E614" s="10" t="s">
        <v>137</v>
      </c>
      <c r="F614" s="10" t="s">
        <v>1164</v>
      </c>
      <c r="G614" s="10" t="s">
        <v>1097</v>
      </c>
      <c r="H614" s="10" t="s">
        <v>48</v>
      </c>
      <c r="I614" s="10" t="s">
        <v>1165</v>
      </c>
      <c r="J614" s="10" t="s">
        <v>1171</v>
      </c>
      <c r="K614" s="10" t="s">
        <v>42</v>
      </c>
    </row>
    <row r="615" ht="15.75" customHeight="1">
      <c r="A615" s="54">
        <v>45482.0</v>
      </c>
      <c r="B615" s="55" t="str">
        <f>HYPERLINK("https://jobright.ai/jobs/info/6675c8df3b408d33d5602e72?utm_campaign=1061&amp;utm_source=sheet", "Apply")</f>
        <v>Apply</v>
      </c>
      <c r="C615" s="10" t="s">
        <v>426</v>
      </c>
      <c r="D615" s="56" t="s">
        <v>427</v>
      </c>
      <c r="E615" s="10" t="s">
        <v>45</v>
      </c>
      <c r="F615" s="10" t="s">
        <v>428</v>
      </c>
      <c r="G615" s="10" t="s">
        <v>1172</v>
      </c>
      <c r="H615" s="10" t="s">
        <v>55</v>
      </c>
      <c r="J615" s="10" t="s">
        <v>1173</v>
      </c>
      <c r="K615" s="10" t="s">
        <v>42</v>
      </c>
    </row>
    <row r="616" ht="15.75" customHeight="1">
      <c r="A616" s="54">
        <v>45482.0</v>
      </c>
      <c r="B616" s="55" t="str">
        <f>HYPERLINK("https://jobright.ai/jobs/info/668d342c3e503b227e5d4c85?utm_campaign=1061&amp;utm_source=sheet", "Apply")</f>
        <v>Apply</v>
      </c>
      <c r="C616" s="10" t="s">
        <v>1174</v>
      </c>
      <c r="D616" s="56" t="s">
        <v>684</v>
      </c>
      <c r="E616" s="10" t="s">
        <v>45</v>
      </c>
      <c r="F616" s="10" t="s">
        <v>685</v>
      </c>
      <c r="G616" s="10" t="s">
        <v>688</v>
      </c>
      <c r="H616" s="10" t="s">
        <v>48</v>
      </c>
      <c r="J616" s="10" t="s">
        <v>687</v>
      </c>
      <c r="K616" s="10" t="s">
        <v>42</v>
      </c>
    </row>
    <row r="617" ht="15.75" customHeight="1">
      <c r="A617" s="54">
        <v>45482.0</v>
      </c>
      <c r="B617" s="55" t="str">
        <f>HYPERLINK("https://jobright.ai/jobs/info/668d062af2e76e37668f464d?utm_campaign=1061&amp;utm_source=sheet", "Apply")</f>
        <v>Apply</v>
      </c>
      <c r="C617" s="10" t="s">
        <v>1175</v>
      </c>
      <c r="D617" s="56" t="s">
        <v>399</v>
      </c>
      <c r="E617" s="10" t="s">
        <v>137</v>
      </c>
      <c r="F617" s="10" t="s">
        <v>400</v>
      </c>
      <c r="G617" s="10" t="s">
        <v>313</v>
      </c>
      <c r="H617" s="10" t="s">
        <v>55</v>
      </c>
      <c r="J617" s="10" t="s">
        <v>1176</v>
      </c>
      <c r="K617" s="10" t="s">
        <v>42</v>
      </c>
    </row>
    <row r="618" ht="15.75" customHeight="1">
      <c r="A618" s="54">
        <v>45482.0</v>
      </c>
      <c r="B618" s="55" t="str">
        <f>HYPERLINK("https://jobright.ai/jobs/info/668d34373e503b227e5d4cfe?utm_campaign=1061&amp;utm_source=sheet", "Apply")</f>
        <v>Apply</v>
      </c>
      <c r="C618" s="10" t="s">
        <v>1177</v>
      </c>
      <c r="D618" s="56" t="s">
        <v>1178</v>
      </c>
      <c r="E618" s="10" t="s">
        <v>137</v>
      </c>
      <c r="F618" s="10" t="s">
        <v>1179</v>
      </c>
      <c r="G618" s="10" t="s">
        <v>423</v>
      </c>
      <c r="H618" s="10" t="s">
        <v>55</v>
      </c>
      <c r="I618" s="10" t="s">
        <v>1180</v>
      </c>
      <c r="J618" s="10" t="s">
        <v>1181</v>
      </c>
      <c r="K618" s="10" t="s">
        <v>42</v>
      </c>
    </row>
    <row r="619" ht="15.75" customHeight="1">
      <c r="A619" s="54">
        <v>45482.0</v>
      </c>
      <c r="B619" s="55" t="str">
        <f>HYPERLINK("https://jobright.ai/jobs/info/668cbbc80ee1d53001213132?utm_campaign=1061&amp;utm_source=sheet", "Apply")</f>
        <v>Apply</v>
      </c>
      <c r="C619" s="10" t="s">
        <v>1182</v>
      </c>
      <c r="D619" s="56" t="s">
        <v>1183</v>
      </c>
      <c r="E619" s="10" t="s">
        <v>45</v>
      </c>
      <c r="F619" s="10" t="s">
        <v>1184</v>
      </c>
      <c r="G619" s="10" t="s">
        <v>1045</v>
      </c>
      <c r="H619" s="10" t="s">
        <v>55</v>
      </c>
      <c r="J619" s="10" t="s">
        <v>1185</v>
      </c>
      <c r="K619" s="10" t="s">
        <v>42</v>
      </c>
    </row>
    <row r="620" ht="15.75" customHeight="1">
      <c r="A620" s="54">
        <v>45482.0</v>
      </c>
      <c r="B620" s="55" t="str">
        <f>HYPERLINK("https://jobright.ai/jobs/info/668d65ca8243c792faeb04fd?utm_campaign=1061&amp;utm_source=sheet", "Apply")</f>
        <v>Apply</v>
      </c>
      <c r="C620" s="10" t="s">
        <v>155</v>
      </c>
      <c r="D620" s="56" t="s">
        <v>1186</v>
      </c>
      <c r="E620" s="10" t="s">
        <v>65</v>
      </c>
      <c r="F620" s="10" t="s">
        <v>1187</v>
      </c>
      <c r="G620" s="10" t="s">
        <v>1188</v>
      </c>
      <c r="H620" s="10" t="s">
        <v>48</v>
      </c>
      <c r="I620" s="10" t="s">
        <v>1189</v>
      </c>
      <c r="J620" s="10" t="s">
        <v>1190</v>
      </c>
      <c r="K620" s="10" t="s">
        <v>42</v>
      </c>
    </row>
    <row r="621" ht="15.75" customHeight="1">
      <c r="A621" s="54">
        <v>45481.0</v>
      </c>
      <c r="B621" s="55" t="str">
        <f>HYPERLINK("https://jobright.ai/jobs/info/668c6513931376fe72d744c9?utm_campaign=1061&amp;utm_source=sheet", "Apply")</f>
        <v>Apply</v>
      </c>
      <c r="C621" s="10" t="s">
        <v>1191</v>
      </c>
      <c r="D621" s="56" t="s">
        <v>1192</v>
      </c>
      <c r="E621" s="10" t="s">
        <v>276</v>
      </c>
      <c r="F621" s="10" t="s">
        <v>1193</v>
      </c>
      <c r="G621" s="10" t="s">
        <v>251</v>
      </c>
      <c r="H621" s="10" t="s">
        <v>252</v>
      </c>
      <c r="J621" s="10" t="s">
        <v>1194</v>
      </c>
      <c r="K621" s="10" t="s">
        <v>42</v>
      </c>
    </row>
    <row r="622" ht="15.75" customHeight="1">
      <c r="A622" s="54">
        <v>45481.0</v>
      </c>
      <c r="B622" s="55" t="str">
        <f>HYPERLINK("https://jobright.ai/jobs/info/66701a89a2a6c0758f805f9e?utm_campaign=1061&amp;utm_source=sheet", "Apply")</f>
        <v>Apply</v>
      </c>
      <c r="C622" s="10" t="s">
        <v>1195</v>
      </c>
      <c r="D622" s="56" t="s">
        <v>1196</v>
      </c>
      <c r="E622" s="10" t="s">
        <v>65</v>
      </c>
      <c r="F622" s="10" t="s">
        <v>1197</v>
      </c>
      <c r="G622" s="10" t="s">
        <v>1198</v>
      </c>
      <c r="H622" s="10" t="s">
        <v>55</v>
      </c>
      <c r="J622" s="10" t="s">
        <v>1199</v>
      </c>
      <c r="K622" s="10" t="s">
        <v>42</v>
      </c>
    </row>
    <row r="623" ht="15.75" customHeight="1">
      <c r="A623" s="54">
        <v>45481.0</v>
      </c>
      <c r="B623" s="55" t="str">
        <f>HYPERLINK("https://jobright.ai/jobs/info/6693b650a955ace455aa3dad?utm_campaign=1061&amp;utm_source=sheet", "Apply")</f>
        <v>Apply</v>
      </c>
      <c r="C623" s="10" t="s">
        <v>1200</v>
      </c>
      <c r="D623" s="56" t="s">
        <v>1201</v>
      </c>
      <c r="E623" s="10" t="s">
        <v>79</v>
      </c>
      <c r="F623" s="10" t="s">
        <v>1202</v>
      </c>
      <c r="G623" s="10" t="s">
        <v>1203</v>
      </c>
      <c r="H623" s="10" t="s">
        <v>55</v>
      </c>
      <c r="J623" s="10" t="s">
        <v>1204</v>
      </c>
      <c r="K623" s="10" t="s">
        <v>42</v>
      </c>
    </row>
    <row r="624" ht="15.75" customHeight="1">
      <c r="A624" s="54">
        <v>45481.0</v>
      </c>
      <c r="B624" s="55" t="str">
        <f>HYPERLINK("https://jobright.ai/jobs/info/664eca4402f97476d5589dc9?utm_campaign=1061&amp;utm_source=sheet", "Apply")</f>
        <v>Apply</v>
      </c>
      <c r="C624" s="10" t="s">
        <v>1205</v>
      </c>
      <c r="D624" s="56" t="s">
        <v>1206</v>
      </c>
      <c r="E624" s="10" t="s">
        <v>209</v>
      </c>
      <c r="F624" s="10" t="s">
        <v>1207</v>
      </c>
      <c r="G624" s="10" t="s">
        <v>952</v>
      </c>
      <c r="H624" s="10" t="s">
        <v>55</v>
      </c>
      <c r="J624" s="10" t="s">
        <v>1208</v>
      </c>
      <c r="K624" s="10" t="s">
        <v>42</v>
      </c>
    </row>
    <row r="625" ht="15.75" customHeight="1">
      <c r="A625" s="54">
        <v>45481.0</v>
      </c>
      <c r="B625" s="55" t="str">
        <f>HYPERLINK("https://jobright.ai/jobs/info/668b81c7a381d592551d3985?utm_campaign=1061&amp;utm_source=sheet", "Apply")</f>
        <v>Apply</v>
      </c>
      <c r="C625" s="10" t="s">
        <v>1209</v>
      </c>
      <c r="D625" s="56" t="s">
        <v>1210</v>
      </c>
      <c r="E625" s="10" t="s">
        <v>45</v>
      </c>
      <c r="F625" s="10" t="s">
        <v>1211</v>
      </c>
      <c r="G625" s="10" t="s">
        <v>1212</v>
      </c>
      <c r="H625" s="10" t="s">
        <v>48</v>
      </c>
      <c r="I625" s="10" t="s">
        <v>1213</v>
      </c>
      <c r="J625" s="10" t="s">
        <v>1214</v>
      </c>
      <c r="K625" s="10" t="s">
        <v>42</v>
      </c>
    </row>
    <row r="626" ht="15.75" customHeight="1">
      <c r="A626" s="54">
        <v>45480.0</v>
      </c>
      <c r="B626" s="55" t="str">
        <f>HYPERLINK("https://jobright.ai/jobs/info/668acdd9b05f2f324c272ed1?utm_campaign=1061&amp;utm_source=sheet", "Apply")</f>
        <v>Apply</v>
      </c>
      <c r="C626" s="10" t="s">
        <v>1215</v>
      </c>
      <c r="D626" s="56" t="s">
        <v>52</v>
      </c>
      <c r="E626" s="10" t="s">
        <v>45</v>
      </c>
      <c r="F626" s="10" t="s">
        <v>53</v>
      </c>
      <c r="G626" s="10" t="s">
        <v>54</v>
      </c>
      <c r="H626" s="10" t="s">
        <v>55</v>
      </c>
      <c r="I626" s="10" t="s">
        <v>435</v>
      </c>
      <c r="J626" s="10" t="s">
        <v>1216</v>
      </c>
      <c r="K626" s="10" t="s">
        <v>42</v>
      </c>
    </row>
    <row r="627" ht="15.75" customHeight="1">
      <c r="A627" s="54">
        <v>45480.0</v>
      </c>
      <c r="B627" s="55" t="str">
        <f>HYPERLINK("https://jobright.ai/jobs/info/667434e13e9ad103ffe27991?utm_campaign=1061&amp;utm_source=sheet", "Apply")</f>
        <v>Apply</v>
      </c>
      <c r="C627" s="10" t="s">
        <v>1215</v>
      </c>
      <c r="D627" s="56" t="s">
        <v>52</v>
      </c>
      <c r="E627" s="10" t="s">
        <v>45</v>
      </c>
      <c r="F627" s="10" t="s">
        <v>53</v>
      </c>
      <c r="G627" s="10" t="s">
        <v>423</v>
      </c>
      <c r="H627" s="10" t="s">
        <v>55</v>
      </c>
      <c r="I627" s="10" t="s">
        <v>435</v>
      </c>
      <c r="J627" s="10" t="s">
        <v>1216</v>
      </c>
      <c r="K627" s="10" t="s">
        <v>42</v>
      </c>
    </row>
    <row r="628" ht="15.75" customHeight="1">
      <c r="A628" s="54">
        <v>45479.0</v>
      </c>
      <c r="B628" s="55" t="str">
        <f>HYPERLINK("https://jobright.ai/jobs/info/6692819c8d14b582cc80dc87?utm_campaign=1061&amp;utm_source=sheet", "Apply")</f>
        <v>Apply</v>
      </c>
      <c r="C628" s="10" t="s">
        <v>1217</v>
      </c>
      <c r="D628" s="56" t="s">
        <v>1218</v>
      </c>
      <c r="E628" s="10" t="s">
        <v>45</v>
      </c>
      <c r="F628" s="10" t="s">
        <v>1219</v>
      </c>
      <c r="G628" s="10" t="s">
        <v>918</v>
      </c>
      <c r="H628" s="10" t="s">
        <v>55</v>
      </c>
      <c r="I628" s="10" t="s">
        <v>1220</v>
      </c>
      <c r="J628" s="10" t="s">
        <v>1221</v>
      </c>
      <c r="K628" s="10" t="s">
        <v>42</v>
      </c>
    </row>
    <row r="629" ht="15.75" customHeight="1">
      <c r="A629" s="54">
        <v>45478.0</v>
      </c>
      <c r="B629" s="55" t="str">
        <f>HYPERLINK("https://jobright.ai/jobs/info/668fef8e4a16829a49be6fc9?utm_campaign=1061&amp;utm_source=sheet", "Apply")</f>
        <v>Apply</v>
      </c>
      <c r="C629" s="10" t="s">
        <v>422</v>
      </c>
      <c r="D629" s="56" t="s">
        <v>311</v>
      </c>
      <c r="E629" s="10" t="s">
        <v>45</v>
      </c>
      <c r="F629" s="10" t="s">
        <v>312</v>
      </c>
      <c r="G629" s="10" t="s">
        <v>423</v>
      </c>
      <c r="H629" s="10" t="s">
        <v>55</v>
      </c>
      <c r="I629" s="10" t="s">
        <v>1222</v>
      </c>
      <c r="J629" s="10" t="s">
        <v>425</v>
      </c>
      <c r="K629" s="10" t="s">
        <v>42</v>
      </c>
    </row>
    <row r="630" ht="15.75" customHeight="1">
      <c r="A630" s="54">
        <v>45478.0</v>
      </c>
      <c r="B630" s="55" t="str">
        <f>HYPERLINK("https://jobright.ai/jobs/info/666bcad21638e3c00ea5b61f?utm_campaign=1061&amp;utm_source=sheet", "Apply")</f>
        <v>Apply</v>
      </c>
      <c r="C630" s="10" t="s">
        <v>89</v>
      </c>
      <c r="D630" s="56" t="s">
        <v>1223</v>
      </c>
      <c r="E630" s="10" t="s">
        <v>209</v>
      </c>
      <c r="F630" s="10" t="s">
        <v>1224</v>
      </c>
      <c r="G630" s="10" t="s">
        <v>966</v>
      </c>
      <c r="H630" s="10" t="s">
        <v>55</v>
      </c>
      <c r="J630" s="10" t="s">
        <v>1225</v>
      </c>
      <c r="K630" s="10" t="s">
        <v>42</v>
      </c>
    </row>
    <row r="631" ht="15.75" customHeight="1">
      <c r="A631" s="54">
        <v>45478.0</v>
      </c>
      <c r="B631" s="55" t="str">
        <f>HYPERLINK("https://jobright.ai/jobs/info/668850440abd1339a5250390?utm_campaign=1061&amp;utm_source=sheet", "Apply")</f>
        <v>Apply</v>
      </c>
      <c r="C631" s="10" t="s">
        <v>1226</v>
      </c>
      <c r="D631" s="56" t="s">
        <v>1227</v>
      </c>
      <c r="E631" s="10" t="s">
        <v>45</v>
      </c>
      <c r="F631" s="10" t="s">
        <v>259</v>
      </c>
      <c r="G631" s="10" t="s">
        <v>1228</v>
      </c>
      <c r="H631" s="10" t="s">
        <v>55</v>
      </c>
      <c r="J631" s="10" t="s">
        <v>1229</v>
      </c>
      <c r="K631" s="10" t="s">
        <v>42</v>
      </c>
    </row>
    <row r="632" ht="15.75" customHeight="1">
      <c r="A632" s="54">
        <v>45477.0</v>
      </c>
      <c r="B632" s="55" t="str">
        <f>HYPERLINK("https://jobright.ai/jobs/info/6675748031f584ec486261f3?utm_campaign=1061&amp;utm_source=sheet", "Apply")</f>
        <v>Apply</v>
      </c>
      <c r="C632" s="10" t="s">
        <v>1230</v>
      </c>
      <c r="D632" s="56" t="s">
        <v>385</v>
      </c>
      <c r="E632" s="10" t="s">
        <v>45</v>
      </c>
      <c r="F632" s="10" t="s">
        <v>386</v>
      </c>
      <c r="G632" s="10" t="s">
        <v>423</v>
      </c>
      <c r="H632" s="10" t="s">
        <v>55</v>
      </c>
      <c r="I632" s="10" t="s">
        <v>1231</v>
      </c>
      <c r="J632" s="10" t="s">
        <v>506</v>
      </c>
      <c r="K632" s="10" t="s">
        <v>42</v>
      </c>
    </row>
    <row r="633" ht="15.75" customHeight="1">
      <c r="A633" s="54">
        <v>45477.0</v>
      </c>
      <c r="B633" s="55" t="str">
        <f>HYPERLINK("https://jobright.ai/jobs/info/6686631bf5ea752669984182?utm_campaign=1061&amp;utm_source=sheet", "Apply")</f>
        <v>Apply</v>
      </c>
      <c r="C633" s="10" t="s">
        <v>1232</v>
      </c>
      <c r="D633" s="56" t="s">
        <v>1233</v>
      </c>
      <c r="E633" s="10" t="s">
        <v>45</v>
      </c>
      <c r="F633" s="10" t="s">
        <v>1234</v>
      </c>
      <c r="G633" s="10" t="s">
        <v>251</v>
      </c>
      <c r="H633" s="10" t="s">
        <v>252</v>
      </c>
      <c r="J633" s="10" t="s">
        <v>1235</v>
      </c>
      <c r="K633" s="10" t="s">
        <v>42</v>
      </c>
    </row>
    <row r="634" ht="15.75" customHeight="1">
      <c r="A634" s="54">
        <v>45477.0</v>
      </c>
      <c r="B634" s="55" t="str">
        <f>HYPERLINK("https://jobright.ai/jobs/info/6686783c62fee5182d24b2c6?utm_campaign=1061&amp;utm_source=sheet", "Apply")</f>
        <v>Apply</v>
      </c>
      <c r="C634" s="10" t="s">
        <v>1236</v>
      </c>
      <c r="D634" s="56" t="s">
        <v>1237</v>
      </c>
      <c r="E634" s="10" t="s">
        <v>65</v>
      </c>
      <c r="G634" s="10" t="s">
        <v>872</v>
      </c>
      <c r="H634" s="10" t="s">
        <v>55</v>
      </c>
      <c r="J634" s="10" t="s">
        <v>1238</v>
      </c>
      <c r="K634" s="10" t="s">
        <v>42</v>
      </c>
    </row>
    <row r="635" ht="15.75" customHeight="1">
      <c r="A635" s="54">
        <v>45476.0</v>
      </c>
      <c r="B635" s="55" t="str">
        <f>HYPERLINK("https://jobright.ai/jobs/info/668296482c48423eb58317c7?utm_campaign=1061&amp;utm_source=sheet", "Apply")</f>
        <v>Apply</v>
      </c>
      <c r="C635" s="10" t="s">
        <v>1239</v>
      </c>
      <c r="D635" s="56" t="s">
        <v>550</v>
      </c>
      <c r="E635" s="10" t="s">
        <v>65</v>
      </c>
      <c r="F635" s="10" t="s">
        <v>250</v>
      </c>
      <c r="G635" s="10" t="s">
        <v>423</v>
      </c>
      <c r="H635" s="10" t="s">
        <v>55</v>
      </c>
      <c r="I635" s="10" t="s">
        <v>551</v>
      </c>
      <c r="J635" s="10" t="s">
        <v>1240</v>
      </c>
      <c r="K635" s="10" t="s">
        <v>42</v>
      </c>
    </row>
    <row r="636" ht="15.75" customHeight="1">
      <c r="A636" s="54">
        <v>45475.0</v>
      </c>
      <c r="B636" s="55" t="str">
        <f>HYPERLINK("https://jobright.ai/jobs/info/6672f9281e5579f2c836a178?utm_campaign=1061&amp;utm_source=sheet", "Apply")</f>
        <v>Apply</v>
      </c>
      <c r="C636" s="10" t="s">
        <v>1241</v>
      </c>
      <c r="D636" s="56" t="s">
        <v>1242</v>
      </c>
      <c r="E636" s="10" t="s">
        <v>276</v>
      </c>
      <c r="F636" s="10" t="s">
        <v>1243</v>
      </c>
      <c r="G636" s="10" t="s">
        <v>153</v>
      </c>
      <c r="H636" s="10" t="s">
        <v>55</v>
      </c>
      <c r="I636" s="10" t="s">
        <v>1244</v>
      </c>
      <c r="J636" s="10" t="s">
        <v>1245</v>
      </c>
      <c r="K636" s="10" t="s">
        <v>42</v>
      </c>
    </row>
    <row r="637" ht="15.75" customHeight="1">
      <c r="A637" s="54">
        <v>45475.0</v>
      </c>
      <c r="B637" s="55" t="str">
        <f>HYPERLINK("https://jobright.ai/jobs/info/668489bf2ca14dafe69a1b1e?utm_campaign=1061&amp;utm_source=sheet", "Apply")</f>
        <v>Apply</v>
      </c>
      <c r="C637" s="10" t="s">
        <v>1246</v>
      </c>
      <c r="D637" s="56" t="s">
        <v>1247</v>
      </c>
      <c r="E637" s="10" t="s">
        <v>79</v>
      </c>
      <c r="F637" s="10" t="s">
        <v>1248</v>
      </c>
      <c r="G637" s="10" t="s">
        <v>165</v>
      </c>
      <c r="H637" s="10" t="s">
        <v>55</v>
      </c>
      <c r="I637" s="10" t="s">
        <v>260</v>
      </c>
      <c r="J637" s="10" t="s">
        <v>1249</v>
      </c>
      <c r="K637" s="10" t="s">
        <v>42</v>
      </c>
    </row>
    <row r="638" ht="15.75" customHeight="1">
      <c r="A638" s="54">
        <v>45475.0</v>
      </c>
      <c r="B638" s="55" t="str">
        <f>HYPERLINK("https://jobright.ai/jobs/info/66845aee4975b41d2fe604a0?utm_campaign=1061&amp;utm_source=sheet", "Apply")</f>
        <v>Apply</v>
      </c>
      <c r="C638" s="10" t="s">
        <v>1250</v>
      </c>
      <c r="D638" s="56" t="s">
        <v>1251</v>
      </c>
      <c r="E638" s="10" t="s">
        <v>209</v>
      </c>
      <c r="F638" s="10" t="s">
        <v>1252</v>
      </c>
      <c r="G638" s="10" t="s">
        <v>67</v>
      </c>
      <c r="H638" s="10" t="s">
        <v>55</v>
      </c>
      <c r="J638" s="10" t="s">
        <v>1253</v>
      </c>
      <c r="K638" s="10" t="s">
        <v>42</v>
      </c>
    </row>
    <row r="639" ht="15.75" customHeight="1">
      <c r="A639" s="54">
        <v>45475.0</v>
      </c>
      <c r="B639" s="55" t="str">
        <f>HYPERLINK("https://jobright.ai/jobs/info/668d414aea09f404323657d5?utm_campaign=1061&amp;utm_source=sheet", "Apply")</f>
        <v>Apply</v>
      </c>
      <c r="C639" s="10" t="s">
        <v>755</v>
      </c>
      <c r="D639" s="56" t="s">
        <v>1178</v>
      </c>
      <c r="E639" s="10" t="s">
        <v>137</v>
      </c>
      <c r="F639" s="10" t="s">
        <v>1179</v>
      </c>
      <c r="G639" s="10" t="s">
        <v>1254</v>
      </c>
      <c r="H639" s="10" t="s">
        <v>55</v>
      </c>
      <c r="I639" s="10" t="s">
        <v>509</v>
      </c>
      <c r="J639" s="10" t="s">
        <v>756</v>
      </c>
      <c r="K639" s="10" t="s">
        <v>42</v>
      </c>
    </row>
    <row r="640" ht="15.75" customHeight="1">
      <c r="A640" s="54">
        <v>45475.0</v>
      </c>
      <c r="B640" s="55" t="str">
        <f>HYPERLINK("https://jobright.ai/jobs/info/668d36dd38255351a9d0ce3b?utm_campaign=1061&amp;utm_source=sheet", "Apply")</f>
        <v>Apply</v>
      </c>
      <c r="C640" s="10" t="s">
        <v>1255</v>
      </c>
      <c r="D640" s="56" t="s">
        <v>1178</v>
      </c>
      <c r="E640" s="10" t="s">
        <v>137</v>
      </c>
      <c r="F640" s="10" t="s">
        <v>1179</v>
      </c>
      <c r="G640" s="10" t="s">
        <v>1254</v>
      </c>
      <c r="H640" s="10" t="s">
        <v>55</v>
      </c>
      <c r="J640" s="10" t="s">
        <v>1256</v>
      </c>
      <c r="K640" s="10" t="s">
        <v>42</v>
      </c>
    </row>
    <row r="641" ht="15.75" customHeight="1">
      <c r="A641" s="54">
        <v>45475.0</v>
      </c>
      <c r="B641" s="55" t="str">
        <f>HYPERLINK("https://jobright.ai/jobs/info/6689375f6599156dd09e7eaa?utm_campaign=1061&amp;utm_source=sheet", "Apply")</f>
        <v>Apply</v>
      </c>
      <c r="C641" s="10" t="s">
        <v>1257</v>
      </c>
      <c r="D641" s="56" t="s">
        <v>1258</v>
      </c>
      <c r="E641" s="10" t="s">
        <v>45</v>
      </c>
      <c r="F641" s="10" t="s">
        <v>1259</v>
      </c>
      <c r="G641" s="10" t="s">
        <v>1260</v>
      </c>
      <c r="H641" s="10" t="s">
        <v>55</v>
      </c>
      <c r="J641" s="10" t="s">
        <v>1261</v>
      </c>
      <c r="K641" s="10" t="s">
        <v>42</v>
      </c>
    </row>
    <row r="642" ht="15.75" customHeight="1">
      <c r="A642" s="54">
        <v>45475.0</v>
      </c>
      <c r="B642" s="55" t="str">
        <f>HYPERLINK("https://jobright.ai/jobs/info/6689375f6599156dd09e7eae?utm_campaign=1061&amp;utm_source=sheet", "Apply")</f>
        <v>Apply</v>
      </c>
      <c r="C642" s="10" t="s">
        <v>1257</v>
      </c>
      <c r="D642" s="56" t="s">
        <v>1258</v>
      </c>
      <c r="E642" s="10" t="s">
        <v>45</v>
      </c>
      <c r="F642" s="10" t="s">
        <v>1259</v>
      </c>
      <c r="G642" s="10" t="s">
        <v>165</v>
      </c>
      <c r="H642" s="10" t="s">
        <v>55</v>
      </c>
      <c r="J642" s="10" t="s">
        <v>1261</v>
      </c>
      <c r="K642" s="10" t="s">
        <v>42</v>
      </c>
    </row>
    <row r="643" ht="15.75" customHeight="1">
      <c r="A643" s="54">
        <v>45475.0</v>
      </c>
      <c r="B643" s="55" t="str">
        <f>HYPERLINK("https://jobright.ai/jobs/info/6683e144bae33281754f3c33?utm_campaign=1061&amp;utm_source=sheet", "Apply")</f>
        <v>Apply</v>
      </c>
      <c r="C643" s="10" t="s">
        <v>1262</v>
      </c>
      <c r="D643" s="56" t="s">
        <v>1258</v>
      </c>
      <c r="E643" s="10" t="s">
        <v>45</v>
      </c>
      <c r="F643" s="10" t="s">
        <v>1259</v>
      </c>
      <c r="G643" s="10" t="s">
        <v>1263</v>
      </c>
      <c r="H643" s="10" t="s">
        <v>55</v>
      </c>
      <c r="J643" s="10" t="s">
        <v>1261</v>
      </c>
      <c r="K643" s="10" t="s">
        <v>42</v>
      </c>
    </row>
    <row r="644" ht="15.75" customHeight="1">
      <c r="A644" s="54">
        <v>45475.0</v>
      </c>
      <c r="B644" s="55" t="str">
        <f>HYPERLINK("https://jobright.ai/jobs/info/6683e144bae33281754f3c31?utm_campaign=1061&amp;utm_source=sheet", "Apply")</f>
        <v>Apply</v>
      </c>
      <c r="C644" s="10" t="s">
        <v>1257</v>
      </c>
      <c r="D644" s="56" t="s">
        <v>1258</v>
      </c>
      <c r="E644" s="10" t="s">
        <v>45</v>
      </c>
      <c r="F644" s="10" t="s">
        <v>1259</v>
      </c>
      <c r="G644" s="10" t="s">
        <v>216</v>
      </c>
      <c r="H644" s="10" t="s">
        <v>55</v>
      </c>
      <c r="J644" s="10" t="s">
        <v>1261</v>
      </c>
      <c r="K644" s="10" t="s">
        <v>42</v>
      </c>
    </row>
    <row r="645" ht="15.75" customHeight="1">
      <c r="A645" s="54">
        <v>45475.0</v>
      </c>
      <c r="B645" s="55" t="str">
        <f>HYPERLINK("https://jobright.ai/jobs/info/6683db81625fa30e1ace5526?utm_campaign=1061&amp;utm_source=sheet", "Apply")</f>
        <v>Apply</v>
      </c>
      <c r="C645" s="10" t="s">
        <v>1262</v>
      </c>
      <c r="D645" s="56" t="s">
        <v>1258</v>
      </c>
      <c r="E645" s="10" t="s">
        <v>45</v>
      </c>
      <c r="F645" s="10" t="s">
        <v>1259</v>
      </c>
      <c r="G645" s="10" t="s">
        <v>216</v>
      </c>
      <c r="H645" s="10" t="s">
        <v>55</v>
      </c>
      <c r="J645" s="10" t="s">
        <v>1261</v>
      </c>
      <c r="K645" s="10" t="s">
        <v>42</v>
      </c>
    </row>
    <row r="646" ht="15.75" customHeight="1">
      <c r="A646" s="54">
        <v>45475.0</v>
      </c>
      <c r="B646" s="55" t="str">
        <f>HYPERLINK("https://jobright.ai/jobs/info/6683ce1d905cddad72d571b4?utm_campaign=1061&amp;utm_source=sheet", "Apply")</f>
        <v>Apply</v>
      </c>
      <c r="C646" s="10" t="s">
        <v>1262</v>
      </c>
      <c r="D646" s="56" t="s">
        <v>1258</v>
      </c>
      <c r="E646" s="10" t="s">
        <v>45</v>
      </c>
      <c r="F646" s="10" t="s">
        <v>1259</v>
      </c>
      <c r="G646" s="10" t="s">
        <v>1260</v>
      </c>
      <c r="H646" s="10" t="s">
        <v>55</v>
      </c>
      <c r="J646" s="10" t="s">
        <v>1261</v>
      </c>
      <c r="K646" s="10" t="s">
        <v>42</v>
      </c>
    </row>
    <row r="647" ht="15.75" customHeight="1">
      <c r="A647" s="54">
        <v>45475.0</v>
      </c>
      <c r="B647" s="55" t="str">
        <f>HYPERLINK("https://jobright.ai/jobs/info/6684b1fd08081ff3293a1900?utm_campaign=1061&amp;utm_source=sheet", "Apply")</f>
        <v>Apply</v>
      </c>
      <c r="C647" s="10" t="s">
        <v>1264</v>
      </c>
      <c r="D647" s="56" t="s">
        <v>1265</v>
      </c>
      <c r="E647" s="10" t="s">
        <v>276</v>
      </c>
      <c r="F647" s="10" t="s">
        <v>1266</v>
      </c>
      <c r="G647" s="10" t="s">
        <v>92</v>
      </c>
      <c r="H647" s="10" t="s">
        <v>55</v>
      </c>
      <c r="I647" s="10" t="s">
        <v>1267</v>
      </c>
      <c r="J647" s="10" t="s">
        <v>1268</v>
      </c>
      <c r="K647" s="10" t="s">
        <v>42</v>
      </c>
    </row>
    <row r="648" ht="15.75" customHeight="1">
      <c r="A648" s="57">
        <v>45474.0</v>
      </c>
      <c r="B648" s="55" t="str">
        <f>HYPERLINK("https://jobright.ai/jobs/info/6683e6efbff8e7c8fbc4af58?utm_campaign=1061&amp;utm_source=sheet", "Apply")</f>
        <v>Apply</v>
      </c>
      <c r="C648" s="10" t="s">
        <v>755</v>
      </c>
      <c r="D648" s="56" t="s">
        <v>1178</v>
      </c>
      <c r="E648" s="10" t="s">
        <v>137</v>
      </c>
      <c r="F648" s="10" t="s">
        <v>1179</v>
      </c>
      <c r="G648" s="10" t="s">
        <v>1254</v>
      </c>
      <c r="H648" s="10" t="s">
        <v>55</v>
      </c>
      <c r="I648" s="10" t="s">
        <v>509</v>
      </c>
      <c r="J648" s="10" t="s">
        <v>756</v>
      </c>
      <c r="K648" s="10" t="s">
        <v>42</v>
      </c>
    </row>
    <row r="649" ht="15.75" customHeight="1">
      <c r="A649" s="57">
        <v>45474.0</v>
      </c>
      <c r="B649" s="55" t="str">
        <f>HYPERLINK("https://jobright.ai/jobs/info/66843c3428541b6ce54b6231?utm_campaign=1061&amp;utm_source=sheet", "Apply")</f>
        <v>Apply</v>
      </c>
      <c r="C649" s="10" t="s">
        <v>1255</v>
      </c>
      <c r="D649" s="56" t="s">
        <v>1178</v>
      </c>
      <c r="E649" s="10" t="s">
        <v>137</v>
      </c>
      <c r="F649" s="10" t="s">
        <v>1179</v>
      </c>
      <c r="G649" s="10" t="s">
        <v>1254</v>
      </c>
      <c r="H649" s="10" t="s">
        <v>48</v>
      </c>
      <c r="J649" s="10" t="s">
        <v>1256</v>
      </c>
      <c r="K649" s="10" t="s">
        <v>42</v>
      </c>
    </row>
    <row r="650" ht="15.75" customHeight="1">
      <c r="A650" s="57">
        <v>45474.0</v>
      </c>
      <c r="B650" s="55" t="str">
        <f>HYPERLINK("https://jobright.ai/jobs/info/66795b40dcb1db3fc098e546?utm_campaign=1061&amp;utm_source=sheet", "Apply")</f>
        <v>Apply</v>
      </c>
      <c r="C650" s="10" t="s">
        <v>1255</v>
      </c>
      <c r="D650" s="56" t="s">
        <v>1178</v>
      </c>
      <c r="E650" s="10" t="s">
        <v>137</v>
      </c>
      <c r="F650" s="10" t="s">
        <v>1179</v>
      </c>
      <c r="G650" s="10" t="s">
        <v>1254</v>
      </c>
      <c r="H650" s="10" t="s">
        <v>55</v>
      </c>
      <c r="J650" s="10" t="s">
        <v>1256</v>
      </c>
      <c r="K650" s="10" t="s">
        <v>42</v>
      </c>
    </row>
    <row r="651" ht="15.75" customHeight="1">
      <c r="A651" s="57">
        <v>45474.0</v>
      </c>
      <c r="B651" s="55" t="str">
        <f>HYPERLINK("https://jobright.ai/jobs/info/6682f13856317a36d1ad8991?utm_campaign=1061&amp;utm_source=sheet", "Apply")</f>
        <v>Apply</v>
      </c>
      <c r="C651" s="10" t="s">
        <v>226</v>
      </c>
      <c r="D651" s="56" t="s">
        <v>1269</v>
      </c>
      <c r="E651" s="10" t="s">
        <v>65</v>
      </c>
      <c r="F651" s="10" t="s">
        <v>627</v>
      </c>
      <c r="G651" s="10" t="s">
        <v>1270</v>
      </c>
      <c r="H651" s="10" t="s">
        <v>48</v>
      </c>
      <c r="J651" s="10" t="s">
        <v>1271</v>
      </c>
      <c r="K651" s="10" t="s">
        <v>42</v>
      </c>
    </row>
    <row r="652" ht="15.75" customHeight="1">
      <c r="A652" s="57">
        <v>45474.0</v>
      </c>
      <c r="B652" s="55" t="str">
        <f>HYPERLINK("https://jobright.ai/jobs/info/66794800f67c3c57c98aff9f?utm_campaign=1061&amp;utm_source=sheet", "Apply")</f>
        <v>Apply</v>
      </c>
      <c r="C652" s="10" t="s">
        <v>1272</v>
      </c>
      <c r="D652" s="56" t="s">
        <v>1273</v>
      </c>
      <c r="E652" s="10" t="s">
        <v>45</v>
      </c>
      <c r="F652" s="10" t="s">
        <v>1274</v>
      </c>
      <c r="G652" s="10" t="s">
        <v>952</v>
      </c>
      <c r="H652" s="10" t="s">
        <v>48</v>
      </c>
      <c r="J652" s="10" t="s">
        <v>1275</v>
      </c>
      <c r="K652" s="10" t="s">
        <v>42</v>
      </c>
    </row>
    <row r="653" ht="15.75" customHeight="1">
      <c r="A653" s="57">
        <v>45474.0</v>
      </c>
      <c r="B653" s="55" t="str">
        <f>HYPERLINK("https://jobright.ai/jobs/info/667abf6403ae0be6f1cb093b?utm_campaign=1061&amp;utm_source=sheet", "Apply")</f>
        <v>Apply</v>
      </c>
      <c r="C653" s="10" t="s">
        <v>155</v>
      </c>
      <c r="D653" s="56" t="s">
        <v>1178</v>
      </c>
      <c r="E653" s="10" t="s">
        <v>137</v>
      </c>
      <c r="F653" s="10" t="s">
        <v>1179</v>
      </c>
      <c r="G653" s="10" t="s">
        <v>168</v>
      </c>
      <c r="H653" s="10" t="s">
        <v>55</v>
      </c>
      <c r="K653" s="10" t="s">
        <v>42</v>
      </c>
    </row>
    <row r="654" ht="15.75" customHeight="1">
      <c r="A654" s="57">
        <v>45474.0</v>
      </c>
      <c r="B654" s="55" t="str">
        <f>HYPERLINK("https://jobright.ai/jobs/info/668296482c48423eb583183d?utm_campaign=1061&amp;utm_source=sheet", "Apply")</f>
        <v>Apply</v>
      </c>
      <c r="C654" s="10" t="s">
        <v>1276</v>
      </c>
      <c r="D654" s="56" t="s">
        <v>550</v>
      </c>
      <c r="E654" s="10" t="s">
        <v>65</v>
      </c>
      <c r="F654" s="10" t="s">
        <v>250</v>
      </c>
      <c r="G654" s="10" t="s">
        <v>170</v>
      </c>
      <c r="H654" s="10" t="s">
        <v>55</v>
      </c>
      <c r="I654" s="10" t="s">
        <v>1277</v>
      </c>
      <c r="J654" s="10" t="s">
        <v>1278</v>
      </c>
      <c r="K654" s="10" t="s">
        <v>42</v>
      </c>
    </row>
    <row r="655" ht="15.75" customHeight="1">
      <c r="A655" s="57">
        <v>45474.0</v>
      </c>
      <c r="B655" s="55" t="str">
        <f>HYPERLINK("https://jobright.ai/jobs/info/6682970d2c48423eb5832727?utm_campaign=1061&amp;utm_source=sheet", "Apply")</f>
        <v>Apply</v>
      </c>
      <c r="C655" s="10" t="s">
        <v>1239</v>
      </c>
      <c r="D655" s="56" t="s">
        <v>550</v>
      </c>
      <c r="E655" s="10" t="s">
        <v>65</v>
      </c>
      <c r="F655" s="10" t="s">
        <v>250</v>
      </c>
      <c r="G655" s="10" t="s">
        <v>96</v>
      </c>
      <c r="H655" s="10" t="s">
        <v>55</v>
      </c>
      <c r="I655" s="10" t="s">
        <v>551</v>
      </c>
      <c r="J655" s="10" t="s">
        <v>1240</v>
      </c>
      <c r="K655" s="10" t="s">
        <v>42</v>
      </c>
    </row>
    <row r="656" ht="15.75" customHeight="1">
      <c r="A656" s="57">
        <v>45474.0</v>
      </c>
      <c r="B656" s="55" t="str">
        <f>HYPERLINK("https://jobright.ai/jobs/info/6682970d2c48423eb5832728?utm_campaign=1061&amp;utm_source=sheet", "Apply")</f>
        <v>Apply</v>
      </c>
      <c r="C656" s="10" t="s">
        <v>1276</v>
      </c>
      <c r="D656" s="56" t="s">
        <v>550</v>
      </c>
      <c r="E656" s="10" t="s">
        <v>65</v>
      </c>
      <c r="F656" s="10" t="s">
        <v>250</v>
      </c>
      <c r="G656" s="10" t="s">
        <v>1260</v>
      </c>
      <c r="H656" s="10" t="s">
        <v>55</v>
      </c>
      <c r="I656" s="10" t="s">
        <v>1277</v>
      </c>
      <c r="J656" s="10" t="s">
        <v>1278</v>
      </c>
      <c r="K656" s="10" t="s">
        <v>42</v>
      </c>
    </row>
    <row r="657" ht="15.75" customHeight="1">
      <c r="A657" s="57">
        <v>45474.0</v>
      </c>
      <c r="B657" s="55" t="str">
        <f>HYPERLINK("https://jobright.ai/jobs/info/668296482c48423eb58317b4?utm_campaign=1061&amp;utm_source=sheet", "Apply")</f>
        <v>Apply</v>
      </c>
      <c r="C657" s="10" t="s">
        <v>1239</v>
      </c>
      <c r="D657" s="56" t="s">
        <v>550</v>
      </c>
      <c r="E657" s="10" t="s">
        <v>65</v>
      </c>
      <c r="F657" s="10" t="s">
        <v>250</v>
      </c>
      <c r="G657" s="10" t="s">
        <v>1260</v>
      </c>
      <c r="H657" s="10" t="s">
        <v>55</v>
      </c>
      <c r="I657" s="10" t="s">
        <v>551</v>
      </c>
      <c r="J657" s="10" t="s">
        <v>1240</v>
      </c>
      <c r="K657" s="10" t="s">
        <v>42</v>
      </c>
    </row>
    <row r="658" ht="15.75" customHeight="1">
      <c r="A658" s="57">
        <v>45474.0</v>
      </c>
      <c r="B658" s="55" t="str">
        <f>HYPERLINK("https://jobright.ai/jobs/info/6682970d2c48423eb583272b?utm_campaign=1061&amp;utm_source=sheet", "Apply")</f>
        <v>Apply</v>
      </c>
      <c r="C658" s="10" t="s">
        <v>1276</v>
      </c>
      <c r="D658" s="56" t="s">
        <v>550</v>
      </c>
      <c r="E658" s="10" t="s">
        <v>65</v>
      </c>
      <c r="F658" s="10" t="s">
        <v>250</v>
      </c>
      <c r="G658" s="10" t="s">
        <v>96</v>
      </c>
      <c r="H658" s="10" t="s">
        <v>48</v>
      </c>
      <c r="I658" s="10" t="s">
        <v>1277</v>
      </c>
      <c r="J658" s="10" t="s">
        <v>1278</v>
      </c>
      <c r="K658" s="10" t="s">
        <v>42</v>
      </c>
    </row>
    <row r="659" ht="15.75" customHeight="1">
      <c r="A659" s="57">
        <v>45474.0</v>
      </c>
      <c r="B659" s="55" t="str">
        <f>HYPERLINK("https://jobright.ai/jobs/info/668247dfa7c8b714c52b6eca?utm_campaign=1061&amp;utm_source=sheet", "Apply")</f>
        <v>Apply</v>
      </c>
      <c r="C659" s="10" t="s">
        <v>1279</v>
      </c>
      <c r="D659" s="56" t="s">
        <v>1280</v>
      </c>
      <c r="E659" s="10" t="s">
        <v>79</v>
      </c>
      <c r="F659" s="10" t="s">
        <v>1281</v>
      </c>
      <c r="G659" s="10" t="s">
        <v>636</v>
      </c>
      <c r="H659" s="10" t="s">
        <v>55</v>
      </c>
      <c r="J659" s="10" t="s">
        <v>1282</v>
      </c>
      <c r="K659" s="10" t="s">
        <v>42</v>
      </c>
    </row>
    <row r="660" ht="15.75" customHeight="1">
      <c r="A660" s="57">
        <v>45471.0</v>
      </c>
      <c r="B660" s="55" t="str">
        <f>HYPERLINK("https://jobright.ai/jobs/info/667f15841074e518685ce2dc?utm_campaign=1061&amp;utm_source=sheet", "Apply")</f>
        <v>Apply</v>
      </c>
      <c r="C660" s="10" t="s">
        <v>1105</v>
      </c>
      <c r="D660" s="56" t="s">
        <v>1283</v>
      </c>
      <c r="E660" s="10" t="s">
        <v>137</v>
      </c>
      <c r="F660" s="10" t="s">
        <v>1284</v>
      </c>
      <c r="G660" s="10" t="s">
        <v>1285</v>
      </c>
      <c r="H660" s="10" t="s">
        <v>55</v>
      </c>
      <c r="J660" s="10" t="s">
        <v>1286</v>
      </c>
      <c r="K660" s="10" t="s">
        <v>42</v>
      </c>
    </row>
    <row r="661" ht="15.75" customHeight="1">
      <c r="A661" s="57">
        <v>45471.0</v>
      </c>
      <c r="B661" s="55" t="str">
        <f>HYPERLINK("https://jobright.ai/jobs/info/667eed8f902640ea6bdff5ae?utm_campaign=1061&amp;utm_source=sheet", "Apply")</f>
        <v>Apply</v>
      </c>
      <c r="C661" s="10" t="s">
        <v>1287</v>
      </c>
      <c r="D661" s="56" t="s">
        <v>1288</v>
      </c>
      <c r="E661" s="10" t="s">
        <v>79</v>
      </c>
      <c r="F661" s="10" t="s">
        <v>1289</v>
      </c>
      <c r="G661" s="10" t="s">
        <v>1290</v>
      </c>
      <c r="H661" s="10" t="s">
        <v>55</v>
      </c>
      <c r="J661" s="10" t="s">
        <v>1291</v>
      </c>
      <c r="K661" s="10" t="s">
        <v>42</v>
      </c>
    </row>
    <row r="662" ht="15.75" customHeight="1">
      <c r="A662" s="57">
        <v>45470.0</v>
      </c>
      <c r="B662" s="55" t="str">
        <f>HYPERLINK("https://jobright.ai/jobs/info/667d921c3d9d12ed42df5a9d?utm_campaign=1061&amp;utm_source=sheet", "Apply")</f>
        <v>Apply</v>
      </c>
      <c r="C662" s="10" t="s">
        <v>443</v>
      </c>
      <c r="D662" s="56" t="s">
        <v>1123</v>
      </c>
      <c r="E662" s="10" t="s">
        <v>209</v>
      </c>
      <c r="F662" s="10" t="s">
        <v>1124</v>
      </c>
      <c r="G662" s="10" t="s">
        <v>1292</v>
      </c>
      <c r="H662" s="10" t="s">
        <v>55</v>
      </c>
      <c r="I662" s="10" t="s">
        <v>581</v>
      </c>
      <c r="J662" s="10" t="s">
        <v>1293</v>
      </c>
      <c r="K662" s="10" t="s">
        <v>42</v>
      </c>
    </row>
    <row r="663" ht="15.75" customHeight="1">
      <c r="A663" s="57">
        <v>45470.0</v>
      </c>
      <c r="B663" s="55" t="str">
        <f>HYPERLINK("https://jobright.ai/jobs/info/667d02f4002830f740955864?utm_campaign=1061&amp;utm_source=sheet", "Apply")</f>
        <v>Apply</v>
      </c>
      <c r="C663" s="10" t="s">
        <v>1294</v>
      </c>
      <c r="D663" s="56" t="s">
        <v>349</v>
      </c>
      <c r="E663" s="10" t="s">
        <v>137</v>
      </c>
      <c r="F663" s="10" t="s">
        <v>350</v>
      </c>
      <c r="G663" s="10" t="s">
        <v>144</v>
      </c>
      <c r="H663" s="10" t="s">
        <v>55</v>
      </c>
      <c r="J663" s="10" t="s">
        <v>351</v>
      </c>
      <c r="K663" s="10" t="s">
        <v>42</v>
      </c>
    </row>
    <row r="664" ht="15.75" customHeight="1">
      <c r="A664" s="57">
        <v>45469.0</v>
      </c>
      <c r="B664" s="55" t="str">
        <f>HYPERLINK("https://jobright.ai/jobs/info/667caa93bddde2bdd60cd456?utm_campaign=1061&amp;utm_source=sheet", "Apply")</f>
        <v>Apply</v>
      </c>
      <c r="C664" s="10" t="s">
        <v>89</v>
      </c>
      <c r="D664" s="56" t="s">
        <v>1295</v>
      </c>
      <c r="E664" s="10" t="s">
        <v>71</v>
      </c>
      <c r="F664" s="10" t="s">
        <v>1296</v>
      </c>
      <c r="G664" s="10" t="s">
        <v>188</v>
      </c>
      <c r="H664" s="10" t="s">
        <v>55</v>
      </c>
      <c r="J664" s="10" t="s">
        <v>1297</v>
      </c>
      <c r="K664" s="10" t="s">
        <v>42</v>
      </c>
    </row>
    <row r="665" ht="15.75" customHeight="1">
      <c r="A665" s="57">
        <v>45469.0</v>
      </c>
      <c r="B665" s="55" t="str">
        <f>HYPERLINK("https://jobright.ai/jobs/info/667caa93bddde2bdd60cd447?utm_campaign=1061&amp;utm_source=sheet", "Apply")</f>
        <v>Apply</v>
      </c>
      <c r="C665" s="10" t="s">
        <v>1126</v>
      </c>
      <c r="D665" s="56" t="s">
        <v>1295</v>
      </c>
      <c r="E665" s="10" t="s">
        <v>71</v>
      </c>
      <c r="F665" s="10" t="s">
        <v>1296</v>
      </c>
      <c r="G665" s="10" t="s">
        <v>1298</v>
      </c>
      <c r="H665" s="10" t="s">
        <v>55</v>
      </c>
      <c r="J665" s="10" t="s">
        <v>1299</v>
      </c>
      <c r="K665" s="10" t="s">
        <v>42</v>
      </c>
    </row>
    <row r="666" ht="15.75" customHeight="1">
      <c r="A666" s="57">
        <v>45469.0</v>
      </c>
      <c r="B666" s="55" t="str">
        <f>HYPERLINK("https://jobright.ai/jobs/info/6675be6c6f7095ca90c07905?utm_campaign=1061&amp;utm_source=sheet", "Apply")</f>
        <v>Apply</v>
      </c>
      <c r="C666" s="10" t="s">
        <v>1300</v>
      </c>
      <c r="D666" s="56" t="s">
        <v>1301</v>
      </c>
      <c r="E666" s="10" t="s">
        <v>45</v>
      </c>
      <c r="F666" s="10" t="s">
        <v>1302</v>
      </c>
      <c r="G666" s="10" t="s">
        <v>1303</v>
      </c>
      <c r="H666" s="10" t="s">
        <v>48</v>
      </c>
      <c r="I666" s="10" t="s">
        <v>1304</v>
      </c>
      <c r="J666" s="10" t="s">
        <v>1305</v>
      </c>
      <c r="K666" s="10" t="s">
        <v>42</v>
      </c>
    </row>
    <row r="667" ht="15.75" customHeight="1">
      <c r="A667" s="57">
        <v>45469.0</v>
      </c>
      <c r="B667" s="55" t="str">
        <f>HYPERLINK("https://jobright.ai/jobs/info/667be06c2a1ad1807669949f?utm_campaign=1061&amp;utm_source=sheet", "Apply")</f>
        <v>Apply</v>
      </c>
      <c r="C667" s="10" t="s">
        <v>1306</v>
      </c>
      <c r="D667" s="56" t="s">
        <v>1307</v>
      </c>
      <c r="E667" s="10" t="s">
        <v>137</v>
      </c>
      <c r="F667" s="10" t="s">
        <v>1308</v>
      </c>
      <c r="G667" s="10" t="s">
        <v>1309</v>
      </c>
      <c r="H667" s="10" t="s">
        <v>55</v>
      </c>
      <c r="J667" s="10" t="s">
        <v>1310</v>
      </c>
      <c r="K667" s="10" t="s">
        <v>42</v>
      </c>
    </row>
    <row r="668" ht="15.75" customHeight="1">
      <c r="A668" s="57">
        <v>45469.0</v>
      </c>
      <c r="B668" s="55" t="str">
        <f>HYPERLINK("https://jobright.ai/jobs/info/668bfc02256f0fd3689d1607?utm_campaign=1061&amp;utm_source=sheet", "Apply")</f>
        <v>Apply</v>
      </c>
      <c r="C668" s="10" t="s">
        <v>443</v>
      </c>
      <c r="D668" s="56" t="s">
        <v>1311</v>
      </c>
      <c r="E668" s="10" t="s">
        <v>65</v>
      </c>
      <c r="F668" s="10" t="s">
        <v>1312</v>
      </c>
      <c r="G668" s="10" t="s">
        <v>1313</v>
      </c>
      <c r="H668" s="10" t="s">
        <v>55</v>
      </c>
      <c r="J668" s="10" t="s">
        <v>1314</v>
      </c>
      <c r="K668" s="10" t="s">
        <v>42</v>
      </c>
    </row>
    <row r="669" ht="15.75" customHeight="1">
      <c r="A669" s="57">
        <v>45469.0</v>
      </c>
      <c r="B669" s="55" t="str">
        <f>HYPERLINK("https://jobright.ai/jobs/info/668bfc02256f0fd3689d1641?utm_campaign=1061&amp;utm_source=sheet", "Apply")</f>
        <v>Apply</v>
      </c>
      <c r="C669" s="10" t="s">
        <v>1315</v>
      </c>
      <c r="D669" s="56" t="s">
        <v>1311</v>
      </c>
      <c r="E669" s="10" t="s">
        <v>65</v>
      </c>
      <c r="F669" s="10" t="s">
        <v>1312</v>
      </c>
      <c r="G669" s="10" t="s">
        <v>1316</v>
      </c>
      <c r="H669" s="10" t="s">
        <v>55</v>
      </c>
      <c r="J669" s="10" t="s">
        <v>1317</v>
      </c>
      <c r="K669" s="10" t="s">
        <v>42</v>
      </c>
    </row>
    <row r="670" ht="15.75" customHeight="1">
      <c r="A670" s="57">
        <v>45468.0</v>
      </c>
      <c r="B670" s="55" t="str">
        <f>HYPERLINK("https://jobright.ai/jobs/info/667b2b2e1b02ac33e0d7579c?utm_campaign=1061&amp;utm_source=sheet", "Apply")</f>
        <v>Apply</v>
      </c>
      <c r="C670" s="10" t="s">
        <v>1318</v>
      </c>
      <c r="D670" s="56" t="s">
        <v>563</v>
      </c>
      <c r="E670" s="10" t="s">
        <v>249</v>
      </c>
      <c r="F670" s="10" t="s">
        <v>564</v>
      </c>
      <c r="G670" s="10" t="s">
        <v>1319</v>
      </c>
      <c r="H670" s="10" t="s">
        <v>55</v>
      </c>
      <c r="J670" s="10" t="s">
        <v>1320</v>
      </c>
      <c r="K670" s="10" t="s">
        <v>42</v>
      </c>
    </row>
    <row r="671" ht="15.75" customHeight="1">
      <c r="A671" s="57">
        <v>45467.0</v>
      </c>
      <c r="B671" s="55" t="str">
        <f>HYPERLINK("https://jobright.ai/jobs/info/66798a302f4e507e1719fe1e?utm_campaign=1061&amp;utm_source=sheet", "Apply")</f>
        <v>Apply</v>
      </c>
      <c r="C671" s="10" t="s">
        <v>1321</v>
      </c>
      <c r="D671" s="56" t="s">
        <v>1322</v>
      </c>
      <c r="E671" s="10" t="s">
        <v>137</v>
      </c>
      <c r="F671" s="10" t="s">
        <v>1323</v>
      </c>
      <c r="G671" s="10" t="s">
        <v>251</v>
      </c>
      <c r="H671" s="10" t="s">
        <v>252</v>
      </c>
      <c r="J671" s="10" t="s">
        <v>1324</v>
      </c>
      <c r="K671" s="10" t="s">
        <v>42</v>
      </c>
    </row>
    <row r="672" ht="15.75" customHeight="1">
      <c r="A672" s="57">
        <v>45467.0</v>
      </c>
      <c r="B672" s="55" t="str">
        <f>HYPERLINK("https://jobright.ai/jobs/info/66795ac0dcb1db3fc098dcb9?utm_campaign=1061&amp;utm_source=sheet", "Apply")</f>
        <v>Apply</v>
      </c>
      <c r="C672" s="10" t="s">
        <v>1325</v>
      </c>
      <c r="D672" s="56" t="s">
        <v>1326</v>
      </c>
      <c r="E672" s="59">
        <v>45301.0</v>
      </c>
      <c r="F672" s="10" t="s">
        <v>1327</v>
      </c>
      <c r="G672" s="10" t="s">
        <v>1328</v>
      </c>
      <c r="H672" s="10" t="s">
        <v>55</v>
      </c>
      <c r="J672" s="10" t="s">
        <v>1329</v>
      </c>
      <c r="K672" s="10" t="s">
        <v>42</v>
      </c>
    </row>
    <row r="673" ht="15.75" customHeight="1">
      <c r="A673" s="57">
        <v>45465.0</v>
      </c>
      <c r="B673" s="55" t="str">
        <f>HYPERLINK("https://jobright.ai/jobs/info/667499f3e2555414447e6a01?utm_campaign=1061&amp;utm_source=sheet", "Apply")</f>
        <v>Apply</v>
      </c>
      <c r="C673" s="10" t="s">
        <v>1330</v>
      </c>
      <c r="D673" s="56" t="s">
        <v>1331</v>
      </c>
      <c r="E673" s="10" t="s">
        <v>45</v>
      </c>
      <c r="F673" s="10" t="s">
        <v>1332</v>
      </c>
      <c r="G673" s="10" t="s">
        <v>152</v>
      </c>
      <c r="H673" s="10" t="s">
        <v>55</v>
      </c>
      <c r="I673" s="10" t="s">
        <v>1333</v>
      </c>
      <c r="J673" s="10" t="s">
        <v>1334</v>
      </c>
      <c r="K673" s="10" t="s">
        <v>42</v>
      </c>
    </row>
    <row r="674" ht="15.75" customHeight="1">
      <c r="A674" s="57">
        <v>45465.0</v>
      </c>
      <c r="B674" s="55" t="str">
        <f>HYPERLINK("https://jobright.ai/jobs/info/66761530e5fc016086b1c4fd?utm_campaign=1061&amp;utm_source=sheet", "Apply")</f>
        <v>Apply</v>
      </c>
      <c r="C674" s="10" t="s">
        <v>1335</v>
      </c>
      <c r="D674" s="56" t="s">
        <v>1331</v>
      </c>
      <c r="E674" s="10" t="s">
        <v>45</v>
      </c>
      <c r="F674" s="10" t="s">
        <v>1332</v>
      </c>
      <c r="G674" s="10" t="s">
        <v>419</v>
      </c>
      <c r="H674" s="10" t="s">
        <v>55</v>
      </c>
      <c r="I674" s="10" t="s">
        <v>1336</v>
      </c>
      <c r="J674" s="10" t="s">
        <v>1337</v>
      </c>
      <c r="K674" s="10" t="s">
        <v>42</v>
      </c>
    </row>
    <row r="675" ht="15.75" customHeight="1">
      <c r="A675" s="60">
        <v>45465.0</v>
      </c>
      <c r="B675" s="55" t="str">
        <f>HYPERLINK("https://jobright.ai/jobs/info/6676742980545507a3747cb6?utm_campaign=1061&amp;utm_source=sheet", "Apply")</f>
        <v>Apply</v>
      </c>
      <c r="C675" s="10" t="s">
        <v>141</v>
      </c>
      <c r="D675" s="56" t="s">
        <v>142</v>
      </c>
      <c r="E675" s="59">
        <v>45301.0</v>
      </c>
      <c r="F675" s="10" t="s">
        <v>143</v>
      </c>
      <c r="G675" s="10" t="s">
        <v>165</v>
      </c>
      <c r="H675" s="10" t="s">
        <v>55</v>
      </c>
      <c r="J675" s="10" t="s">
        <v>145</v>
      </c>
      <c r="K675" s="10" t="s">
        <v>42</v>
      </c>
    </row>
    <row r="676" ht="15.75" customHeight="1">
      <c r="A676" s="60">
        <v>45465.0</v>
      </c>
      <c r="B676" s="55" t="str">
        <f>HYPERLINK("https://jobright.ai/jobs/info/6676742980545507a3747cb8?utm_campaign=1061&amp;utm_source=sheet", "Apply")</f>
        <v>Apply</v>
      </c>
      <c r="C676" s="10" t="s">
        <v>141</v>
      </c>
      <c r="D676" s="56" t="s">
        <v>142</v>
      </c>
      <c r="E676" s="59">
        <v>45301.0</v>
      </c>
      <c r="F676" s="10" t="s">
        <v>143</v>
      </c>
      <c r="G676" s="10" t="s">
        <v>159</v>
      </c>
      <c r="H676" s="10" t="s">
        <v>55</v>
      </c>
      <c r="J676" s="10" t="s">
        <v>145</v>
      </c>
      <c r="K676" s="10" t="s">
        <v>42</v>
      </c>
    </row>
    <row r="677" ht="15.75" customHeight="1">
      <c r="A677" s="60">
        <v>45465.0</v>
      </c>
      <c r="B677" s="55" t="str">
        <f>HYPERLINK("https://jobright.ai/jobs/info/6676e081c909276a3772db99?utm_campaign=1061&amp;utm_source=sheet", "Apply")</f>
        <v>Apply</v>
      </c>
      <c r="C677" s="10" t="s">
        <v>141</v>
      </c>
      <c r="D677" s="56" t="s">
        <v>142</v>
      </c>
      <c r="E677" s="59">
        <v>45301.0</v>
      </c>
      <c r="F677" s="10" t="s">
        <v>143</v>
      </c>
      <c r="G677" s="10" t="s">
        <v>168</v>
      </c>
      <c r="H677" s="10" t="s">
        <v>55</v>
      </c>
      <c r="J677" s="10" t="s">
        <v>145</v>
      </c>
      <c r="K677" s="10" t="s">
        <v>42</v>
      </c>
    </row>
    <row r="678" ht="15.75" customHeight="1">
      <c r="A678" s="60">
        <v>45465.0</v>
      </c>
      <c r="B678" s="55" t="str">
        <f>HYPERLINK("https://jobright.ai/jobs/info/666d82237e11897ce3607a4f?utm_campaign=1061&amp;utm_source=sheet", "Apply")</f>
        <v>Apply</v>
      </c>
      <c r="C678" s="10" t="s">
        <v>1338</v>
      </c>
      <c r="D678" s="56" t="s">
        <v>1339</v>
      </c>
      <c r="E678" s="10" t="s">
        <v>209</v>
      </c>
      <c r="F678" s="10" t="s">
        <v>1340</v>
      </c>
      <c r="G678" s="10" t="s">
        <v>1341</v>
      </c>
      <c r="H678" s="10" t="s">
        <v>55</v>
      </c>
      <c r="J678" s="10" t="s">
        <v>1342</v>
      </c>
      <c r="K678" s="10" t="s">
        <v>42</v>
      </c>
    </row>
    <row r="679" ht="15.75" customHeight="1">
      <c r="A679" s="60">
        <v>45464.0</v>
      </c>
      <c r="B679" s="55" t="str">
        <f>HYPERLINK("https://jobright.ai/jobs/info/666b52e2fb7205891b4dd40d?utm_campaign=1061&amp;utm_source=sheet", "Apply")</f>
        <v>Apply</v>
      </c>
      <c r="C679" s="10" t="s">
        <v>1343</v>
      </c>
      <c r="D679" s="56" t="s">
        <v>1344</v>
      </c>
      <c r="E679" s="10" t="s">
        <v>65</v>
      </c>
      <c r="F679" s="10" t="s">
        <v>1345</v>
      </c>
      <c r="G679" s="10" t="s">
        <v>1346</v>
      </c>
      <c r="H679" s="10" t="s">
        <v>55</v>
      </c>
      <c r="I679" s="10" t="s">
        <v>1347</v>
      </c>
      <c r="J679" s="10" t="s">
        <v>1348</v>
      </c>
      <c r="K679" s="10" t="s">
        <v>42</v>
      </c>
    </row>
    <row r="680" ht="15.75" customHeight="1">
      <c r="A680" s="60">
        <v>45464.0</v>
      </c>
      <c r="B680" s="55" t="str">
        <f>HYPERLINK("https://jobright.ai/jobs/info/6677a1e582327573f52c0682?utm_campaign=1061&amp;utm_source=sheet", "Apply")</f>
        <v>Apply</v>
      </c>
      <c r="C680" s="10" t="s">
        <v>1349</v>
      </c>
      <c r="D680" s="56" t="s">
        <v>1350</v>
      </c>
      <c r="E680" s="10" t="s">
        <v>45</v>
      </c>
      <c r="F680" s="10" t="s">
        <v>1351</v>
      </c>
      <c r="G680" s="10" t="s">
        <v>1352</v>
      </c>
      <c r="H680" s="10" t="s">
        <v>55</v>
      </c>
      <c r="J680" s="10" t="s">
        <v>1353</v>
      </c>
      <c r="K680" s="10" t="s">
        <v>42</v>
      </c>
    </row>
    <row r="681" ht="15.75" customHeight="1">
      <c r="A681" s="60">
        <v>45464.0</v>
      </c>
      <c r="B681" s="55" t="str">
        <f>HYPERLINK("https://jobright.ai/jobs/info/6677a25382327573f52c0de0?utm_campaign=1061&amp;utm_source=sheet", "Apply")</f>
        <v>Apply</v>
      </c>
      <c r="C681" s="10" t="s">
        <v>1354</v>
      </c>
      <c r="D681" s="56" t="s">
        <v>330</v>
      </c>
      <c r="E681" s="10" t="s">
        <v>79</v>
      </c>
      <c r="F681" s="10" t="s">
        <v>331</v>
      </c>
      <c r="G681" s="10" t="s">
        <v>332</v>
      </c>
      <c r="H681" s="10" t="s">
        <v>48</v>
      </c>
      <c r="J681" s="10" t="s">
        <v>1355</v>
      </c>
      <c r="K681" s="10" t="s">
        <v>42</v>
      </c>
    </row>
    <row r="682" ht="15.75" customHeight="1">
      <c r="A682" s="60">
        <v>45464.0</v>
      </c>
      <c r="B682" s="55" t="str">
        <f>HYPERLINK("https://jobright.ai/jobs/info/6677a28982327573f52c1198?utm_campaign=1061&amp;utm_source=sheet", "Apply")</f>
        <v>Apply</v>
      </c>
      <c r="C682" s="10" t="s">
        <v>89</v>
      </c>
      <c r="D682" s="56" t="s">
        <v>1356</v>
      </c>
      <c r="E682" s="10" t="s">
        <v>209</v>
      </c>
      <c r="F682" s="10" t="s">
        <v>1357</v>
      </c>
      <c r="G682" s="10" t="s">
        <v>994</v>
      </c>
      <c r="H682" s="10" t="s">
        <v>55</v>
      </c>
      <c r="J682" s="10" t="s">
        <v>1358</v>
      </c>
      <c r="K682" s="10" t="s">
        <v>42</v>
      </c>
    </row>
    <row r="683" ht="15.75" customHeight="1">
      <c r="A683" s="60">
        <v>45464.0</v>
      </c>
      <c r="B683" s="55" t="str">
        <f>HYPERLINK("https://jobright.ai/jobs/info/667963caf6b36b4aa01a3e2d?utm_campaign=1061&amp;utm_source=sheet", "Apply")</f>
        <v>Apply</v>
      </c>
      <c r="C683" s="10" t="s">
        <v>1359</v>
      </c>
      <c r="D683" s="56" t="s">
        <v>1360</v>
      </c>
      <c r="E683" s="10" t="s">
        <v>79</v>
      </c>
      <c r="F683" s="10" t="s">
        <v>1361</v>
      </c>
      <c r="G683" s="10" t="s">
        <v>96</v>
      </c>
      <c r="H683" s="10" t="s">
        <v>55</v>
      </c>
      <c r="J683" s="10" t="s">
        <v>1362</v>
      </c>
      <c r="K683" s="10" t="s">
        <v>42</v>
      </c>
    </row>
    <row r="684" ht="15.75" customHeight="1">
      <c r="A684" s="60">
        <v>45463.0</v>
      </c>
      <c r="B684" s="55" t="str">
        <f>HYPERLINK("https://jobright.ai/jobs/info/66795b69dcb1db3fc098e812?utm_campaign=1061&amp;utm_source=sheet", "Apply")</f>
        <v>Apply</v>
      </c>
      <c r="C684" s="10" t="s">
        <v>1363</v>
      </c>
      <c r="D684" s="56" t="s">
        <v>1364</v>
      </c>
      <c r="E684" s="10" t="s">
        <v>137</v>
      </c>
      <c r="F684" s="10" t="s">
        <v>1365</v>
      </c>
      <c r="G684" s="10" t="s">
        <v>113</v>
      </c>
      <c r="H684" s="10" t="s">
        <v>55</v>
      </c>
      <c r="J684" s="10" t="s">
        <v>1366</v>
      </c>
      <c r="K684" s="10" t="s">
        <v>42</v>
      </c>
    </row>
    <row r="685" ht="15.75" customHeight="1">
      <c r="A685" s="60">
        <v>45462.0</v>
      </c>
      <c r="B685" s="55" t="str">
        <f>HYPERLINK("https://jobright.ai/jobs/info/667323c022b6ef8d0928a830?utm_campaign=1061&amp;utm_source=sheet", "Apply")</f>
        <v>Apply</v>
      </c>
      <c r="C685" s="10" t="s">
        <v>1367</v>
      </c>
      <c r="D685" s="56" t="s">
        <v>1368</v>
      </c>
      <c r="E685" s="10" t="s">
        <v>65</v>
      </c>
      <c r="F685" s="10" t="s">
        <v>1369</v>
      </c>
      <c r="G685" s="10" t="s">
        <v>1370</v>
      </c>
      <c r="H685" s="10" t="s">
        <v>48</v>
      </c>
      <c r="J685" s="10" t="s">
        <v>1371</v>
      </c>
      <c r="K685" s="10" t="s">
        <v>42</v>
      </c>
    </row>
    <row r="686" ht="15.75" customHeight="1">
      <c r="A686" s="60">
        <v>45462.0</v>
      </c>
      <c r="B686" s="55" t="str">
        <f>HYPERLINK("https://jobright.ai/jobs/info/6676cb270367cb83573cd349?utm_campaign=1061&amp;utm_source=sheet", "Apply")</f>
        <v>Apply</v>
      </c>
      <c r="C686" s="10" t="s">
        <v>1372</v>
      </c>
      <c r="D686" s="56" t="s">
        <v>1373</v>
      </c>
      <c r="E686" s="59">
        <v>45301.0</v>
      </c>
      <c r="F686" s="10" t="s">
        <v>1184</v>
      </c>
      <c r="G686" s="10" t="s">
        <v>144</v>
      </c>
      <c r="H686" s="10" t="s">
        <v>55</v>
      </c>
      <c r="J686" s="10" t="s">
        <v>1374</v>
      </c>
      <c r="K686" s="10" t="s">
        <v>42</v>
      </c>
    </row>
    <row r="687" ht="15.75" customHeight="1">
      <c r="A687" s="60">
        <v>45462.0</v>
      </c>
      <c r="B687" s="55" t="str">
        <f>HYPERLINK("https://jobright.ai/jobs/info/66736e3621f478e9a4d0fb5f?utm_campaign=1061&amp;utm_source=sheet", "Apply")</f>
        <v>Apply</v>
      </c>
      <c r="C687" s="10" t="s">
        <v>155</v>
      </c>
      <c r="D687" s="56" t="s">
        <v>1375</v>
      </c>
      <c r="E687" s="10" t="s">
        <v>65</v>
      </c>
      <c r="F687" s="10" t="s">
        <v>1376</v>
      </c>
      <c r="G687" s="10" t="s">
        <v>165</v>
      </c>
      <c r="H687" s="10" t="s">
        <v>55</v>
      </c>
      <c r="I687" s="10" t="s">
        <v>521</v>
      </c>
      <c r="J687" s="10" t="s">
        <v>1377</v>
      </c>
      <c r="K687" s="10" t="s">
        <v>42</v>
      </c>
    </row>
    <row r="688" ht="15.75" customHeight="1">
      <c r="A688" s="60">
        <v>45461.0</v>
      </c>
      <c r="B688" s="55" t="str">
        <f>HYPERLINK("https://jobright.ai/jobs/info/6671ca89503a6d9448ccaba2?utm_campaign=1061&amp;utm_source=sheet", "Apply")</f>
        <v>Apply</v>
      </c>
      <c r="C688" s="10" t="s">
        <v>1378</v>
      </c>
      <c r="D688" s="56" t="s">
        <v>1379</v>
      </c>
      <c r="E688" s="10" t="s">
        <v>249</v>
      </c>
      <c r="F688" s="10" t="s">
        <v>1380</v>
      </c>
      <c r="G688" s="10" t="s">
        <v>666</v>
      </c>
      <c r="H688" s="10" t="s">
        <v>55</v>
      </c>
      <c r="J688" s="10" t="s">
        <v>1381</v>
      </c>
      <c r="K688" s="10" t="s">
        <v>42</v>
      </c>
    </row>
    <row r="689" ht="15.75" customHeight="1">
      <c r="A689" s="60">
        <v>45461.0</v>
      </c>
      <c r="B689" s="55" t="str">
        <f>HYPERLINK("https://jobright.ai/jobs/info/6676b467a2f49d4e236dd591?utm_campaign=1061&amp;utm_source=sheet", "Apply")</f>
        <v>Apply</v>
      </c>
      <c r="C689" s="10" t="s">
        <v>1382</v>
      </c>
      <c r="D689" s="56" t="s">
        <v>1379</v>
      </c>
      <c r="E689" s="10" t="s">
        <v>249</v>
      </c>
      <c r="F689" s="10" t="s">
        <v>1380</v>
      </c>
      <c r="G689" s="10" t="s">
        <v>666</v>
      </c>
      <c r="H689" s="10" t="s">
        <v>55</v>
      </c>
      <c r="J689" s="10" t="s">
        <v>1381</v>
      </c>
      <c r="K689" s="10" t="s">
        <v>42</v>
      </c>
    </row>
    <row r="690" ht="15.75" customHeight="1">
      <c r="A690" s="60">
        <v>45458.0</v>
      </c>
      <c r="B690" s="55" t="str">
        <f>HYPERLINK("https://jobright.ai/jobs/info/6677b8299c2d9fa5bf088883?utm_campaign=1061&amp;utm_source=sheet", "Apply")</f>
        <v>Apply</v>
      </c>
      <c r="C690" s="10" t="s">
        <v>1383</v>
      </c>
      <c r="D690" s="56" t="s">
        <v>1258</v>
      </c>
      <c r="E690" s="10" t="s">
        <v>45</v>
      </c>
      <c r="F690" s="10" t="s">
        <v>1259</v>
      </c>
      <c r="G690" s="10" t="s">
        <v>165</v>
      </c>
      <c r="H690" s="10" t="s">
        <v>55</v>
      </c>
      <c r="I690" s="10" t="s">
        <v>1384</v>
      </c>
      <c r="J690" s="10" t="s">
        <v>1261</v>
      </c>
      <c r="K690" s="10" t="s">
        <v>42</v>
      </c>
    </row>
    <row r="691" ht="15.75" customHeight="1">
      <c r="A691" s="60">
        <v>45458.0</v>
      </c>
      <c r="B691" s="55" t="str">
        <f>HYPERLINK("https://jobright.ai/jobs/info/6680054ac0e1fee486ee8f62?utm_campaign=1061&amp;utm_source=sheet", "Apply")</f>
        <v>Apply</v>
      </c>
      <c r="C691" s="10" t="s">
        <v>1385</v>
      </c>
      <c r="D691" s="56" t="s">
        <v>1258</v>
      </c>
      <c r="E691" s="10" t="s">
        <v>45</v>
      </c>
      <c r="F691" s="10" t="s">
        <v>1259</v>
      </c>
      <c r="G691" s="10" t="s">
        <v>165</v>
      </c>
      <c r="H691" s="10" t="s">
        <v>55</v>
      </c>
      <c r="I691" s="10" t="s">
        <v>1386</v>
      </c>
      <c r="J691" s="10" t="s">
        <v>1387</v>
      </c>
      <c r="K691" s="10" t="s">
        <v>42</v>
      </c>
    </row>
    <row r="692" ht="15.75" customHeight="1">
      <c r="A692" s="60">
        <v>45457.0</v>
      </c>
      <c r="B692" s="55" t="str">
        <f>HYPERLINK("https://jobright.ai/jobs/info/6675a36ea05c85bb25afa851?utm_campaign=1061&amp;utm_source=sheet", "Apply")</f>
        <v>Apply</v>
      </c>
      <c r="C692" s="10" t="s">
        <v>1105</v>
      </c>
      <c r="D692" s="56" t="s">
        <v>1388</v>
      </c>
      <c r="E692" s="10" t="s">
        <v>71</v>
      </c>
      <c r="F692" s="10" t="s">
        <v>1389</v>
      </c>
      <c r="G692" s="10" t="s">
        <v>958</v>
      </c>
      <c r="H692" s="10" t="s">
        <v>55</v>
      </c>
      <c r="J692" s="10" t="s">
        <v>1390</v>
      </c>
      <c r="K692" s="10" t="s">
        <v>42</v>
      </c>
    </row>
    <row r="693" ht="15.75" customHeight="1">
      <c r="A693" s="60">
        <v>45456.0</v>
      </c>
      <c r="B693" s="55" t="str">
        <f>HYPERLINK("https://jobright.ai/jobs/info/666b943f94837c0167c40ea2?utm_campaign=1061&amp;utm_source=sheet", "Apply")</f>
        <v>Apply</v>
      </c>
      <c r="C693" s="10" t="s">
        <v>1257</v>
      </c>
      <c r="D693" s="56" t="s">
        <v>1258</v>
      </c>
      <c r="E693" s="10" t="s">
        <v>45</v>
      </c>
      <c r="F693" s="10" t="s">
        <v>1259</v>
      </c>
      <c r="G693" s="10" t="s">
        <v>1260</v>
      </c>
      <c r="H693" s="10" t="s">
        <v>55</v>
      </c>
      <c r="J693" s="10" t="s">
        <v>1261</v>
      </c>
      <c r="K693" s="10" t="s">
        <v>42</v>
      </c>
    </row>
    <row r="694" ht="15.75" customHeight="1">
      <c r="A694" s="60">
        <v>45456.0</v>
      </c>
      <c r="B694" s="55" t="str">
        <f>HYPERLINK("https://jobright.ai/jobs/info/65fa9b35b02cb58d43351c2e?utm_campaign=1061&amp;utm_source=sheet", "Apply")</f>
        <v>Apply</v>
      </c>
      <c r="C694" s="10" t="s">
        <v>1385</v>
      </c>
      <c r="D694" s="56" t="s">
        <v>1258</v>
      </c>
      <c r="E694" s="10" t="s">
        <v>45</v>
      </c>
      <c r="F694" s="10" t="s">
        <v>1259</v>
      </c>
      <c r="G694" s="10" t="s">
        <v>165</v>
      </c>
      <c r="H694" s="10" t="s">
        <v>55</v>
      </c>
      <c r="I694" s="10" t="s">
        <v>1386</v>
      </c>
      <c r="J694" s="10" t="s">
        <v>1387</v>
      </c>
      <c r="K694" s="10" t="s">
        <v>42</v>
      </c>
    </row>
    <row r="695" ht="15.75" customHeight="1">
      <c r="A695" s="60">
        <v>45456.0</v>
      </c>
      <c r="B695" s="55" t="str">
        <f>HYPERLINK("https://jobright.ai/jobs/info/666aa7afbcf384533761f199?utm_campaign=1061&amp;utm_source=sheet", "Apply")</f>
        <v>Apply</v>
      </c>
      <c r="C695" s="10" t="s">
        <v>1391</v>
      </c>
      <c r="D695" s="56" t="s">
        <v>1392</v>
      </c>
      <c r="E695" s="10" t="s">
        <v>249</v>
      </c>
      <c r="F695" s="10" t="s">
        <v>1393</v>
      </c>
      <c r="G695" s="10" t="s">
        <v>1394</v>
      </c>
      <c r="H695" s="10" t="s">
        <v>55</v>
      </c>
      <c r="J695" s="10" t="s">
        <v>1395</v>
      </c>
      <c r="K695" s="10" t="s">
        <v>42</v>
      </c>
    </row>
    <row r="696" ht="15.75" customHeight="1">
      <c r="A696" s="60">
        <v>45456.0</v>
      </c>
      <c r="B696" s="55" t="str">
        <f>HYPERLINK("https://jobright.ai/jobs/info/666ac958a1b1bc3de591ae45?utm_campaign=1061&amp;utm_source=sheet", "Apply")</f>
        <v>Apply</v>
      </c>
      <c r="C696" s="10" t="s">
        <v>1396</v>
      </c>
      <c r="D696" s="56" t="s">
        <v>1397</v>
      </c>
      <c r="E696" s="10" t="s">
        <v>276</v>
      </c>
      <c r="F696" s="10" t="s">
        <v>1398</v>
      </c>
      <c r="G696" s="10" t="s">
        <v>245</v>
      </c>
      <c r="H696" s="10" t="s">
        <v>55</v>
      </c>
      <c r="J696" s="10" t="s">
        <v>1399</v>
      </c>
      <c r="K696" s="10" t="s">
        <v>42</v>
      </c>
    </row>
    <row r="697" ht="15.75" customHeight="1">
      <c r="A697" s="60">
        <v>45456.0</v>
      </c>
      <c r="B697" s="55" t="str">
        <f>HYPERLINK("https://jobright.ai/jobs/info/666b9b4c789b8d581ad69160?utm_campaign=1061&amp;utm_source=sheet", "Apply")</f>
        <v>Apply</v>
      </c>
      <c r="C697" s="10" t="s">
        <v>89</v>
      </c>
      <c r="D697" s="56" t="s">
        <v>1223</v>
      </c>
      <c r="E697" s="10" t="s">
        <v>209</v>
      </c>
      <c r="F697" s="10" t="s">
        <v>1224</v>
      </c>
      <c r="G697" s="10" t="s">
        <v>1400</v>
      </c>
      <c r="H697" s="10" t="s">
        <v>55</v>
      </c>
      <c r="J697" s="10" t="s">
        <v>1225</v>
      </c>
      <c r="K697" s="10" t="s">
        <v>42</v>
      </c>
    </row>
    <row r="698" ht="15.75" customHeight="1">
      <c r="A698" s="60">
        <v>45455.0</v>
      </c>
      <c r="B698" s="55" t="str">
        <f>HYPERLINK("https://jobright.ai/jobs/info/666a16c16456bde9177e3fd8?utm_campaign=1061&amp;utm_source=sheet", "Apply")</f>
        <v>Apply</v>
      </c>
      <c r="C698" s="10" t="s">
        <v>1401</v>
      </c>
      <c r="D698" s="56" t="s">
        <v>1402</v>
      </c>
      <c r="E698" s="10" t="s">
        <v>79</v>
      </c>
      <c r="F698" s="10" t="s">
        <v>1403</v>
      </c>
      <c r="G698" s="10" t="s">
        <v>1404</v>
      </c>
      <c r="H698" s="10" t="s">
        <v>55</v>
      </c>
      <c r="J698" s="10" t="s">
        <v>1405</v>
      </c>
      <c r="K698" s="10" t="s">
        <v>42</v>
      </c>
    </row>
    <row r="699" ht="15.75" customHeight="1">
      <c r="A699" s="60">
        <v>45454.0</v>
      </c>
      <c r="B699" s="55" t="str">
        <f>HYPERLINK("https://jobright.ai/jobs/info/6667b9446464cd3831ebaf5f?utm_campaign=1061&amp;utm_source=sheet", "Apply")</f>
        <v>Apply</v>
      </c>
      <c r="C699" s="10" t="s">
        <v>1406</v>
      </c>
      <c r="D699" s="56" t="s">
        <v>1407</v>
      </c>
      <c r="E699" s="10" t="s">
        <v>137</v>
      </c>
      <c r="F699" s="10" t="s">
        <v>1408</v>
      </c>
      <c r="G699" s="10" t="s">
        <v>879</v>
      </c>
      <c r="H699" s="10" t="s">
        <v>55</v>
      </c>
      <c r="I699" s="10" t="s">
        <v>1409</v>
      </c>
      <c r="J699" s="10" t="s">
        <v>1410</v>
      </c>
      <c r="K699" s="10" t="s">
        <v>42</v>
      </c>
    </row>
    <row r="700" ht="15.75" customHeight="1">
      <c r="A700" s="60">
        <v>45454.0</v>
      </c>
      <c r="B700" s="55" t="str">
        <f>HYPERLINK("https://jobright.ai/jobs/info/66677b628af55f9dd82cca3d?utm_campaign=1061&amp;utm_source=sheet", "Apply")</f>
        <v>Apply</v>
      </c>
      <c r="C700" s="10" t="s">
        <v>1411</v>
      </c>
      <c r="D700" s="56" t="s">
        <v>1407</v>
      </c>
      <c r="E700" s="10" t="s">
        <v>137</v>
      </c>
      <c r="F700" s="10" t="s">
        <v>1408</v>
      </c>
      <c r="G700" s="10" t="s">
        <v>879</v>
      </c>
      <c r="H700" s="10" t="s">
        <v>55</v>
      </c>
      <c r="I700" s="10" t="s">
        <v>1409</v>
      </c>
      <c r="J700" s="10" t="s">
        <v>1412</v>
      </c>
      <c r="K700" s="10" t="s">
        <v>42</v>
      </c>
    </row>
    <row r="701" ht="15.75" customHeight="1">
      <c r="A701" s="60">
        <v>45453.0</v>
      </c>
      <c r="B701" s="55" t="str">
        <f>HYPERLINK("https://jobright.ai/jobs/info/6667cf250e75e6484ca3f378?utm_campaign=1061&amp;utm_source=sheet", "Apply")</f>
        <v>Apply</v>
      </c>
      <c r="C701" s="10" t="s">
        <v>1413</v>
      </c>
      <c r="D701" s="56" t="s">
        <v>1414</v>
      </c>
      <c r="E701" s="10" t="s">
        <v>45</v>
      </c>
      <c r="F701" s="10" t="s">
        <v>1415</v>
      </c>
      <c r="G701" s="10" t="s">
        <v>1416</v>
      </c>
      <c r="H701" s="10" t="s">
        <v>55</v>
      </c>
      <c r="J701" s="10" t="s">
        <v>1417</v>
      </c>
      <c r="K701" s="10" t="s">
        <v>42</v>
      </c>
    </row>
    <row r="702" ht="15.75" customHeight="1">
      <c r="A702" s="60">
        <v>45452.0</v>
      </c>
      <c r="B702" s="55" t="str">
        <f>HYPERLINK("https://jobright.ai/jobs/info/6665c083b8194613fb80880e?utm_campaign=1061&amp;utm_source=sheet", "Apply")</f>
        <v>Apply</v>
      </c>
      <c r="C702" s="10" t="s">
        <v>1418</v>
      </c>
      <c r="D702" s="56" t="s">
        <v>1419</v>
      </c>
      <c r="E702" s="10" t="s">
        <v>137</v>
      </c>
      <c r="F702" s="10" t="s">
        <v>1420</v>
      </c>
      <c r="G702" s="10" t="s">
        <v>144</v>
      </c>
      <c r="H702" s="10" t="s">
        <v>48</v>
      </c>
      <c r="I702" s="10" t="s">
        <v>1421</v>
      </c>
      <c r="J702" s="10" t="s">
        <v>1422</v>
      </c>
      <c r="K702" s="10" t="s">
        <v>42</v>
      </c>
    </row>
    <row r="703" ht="15.75" customHeight="1">
      <c r="A703" s="60">
        <v>45450.0</v>
      </c>
      <c r="B703" s="55" t="str">
        <f>HYPERLINK("https://jobright.ai/jobs/info/66634ef9c127d17bdd96942d?utm_campaign=1061&amp;utm_source=sheet", "Apply")</f>
        <v>Apply</v>
      </c>
      <c r="C703" s="10" t="s">
        <v>1423</v>
      </c>
      <c r="D703" s="56" t="s">
        <v>1424</v>
      </c>
      <c r="E703" s="10">
        <v>73.0</v>
      </c>
      <c r="G703" s="10" t="s">
        <v>113</v>
      </c>
      <c r="H703" s="10" t="s">
        <v>48</v>
      </c>
      <c r="J703" s="10" t="s">
        <v>1425</v>
      </c>
      <c r="K703" s="10" t="s">
        <v>42</v>
      </c>
    </row>
    <row r="704" ht="15.75" customHeight="1">
      <c r="A704" s="60">
        <v>45450.0</v>
      </c>
      <c r="B704" s="55" t="str">
        <f>HYPERLINK("https://jobright.ai/jobs/info/66634058ac30d584ee12111d?utm_campaign=1061&amp;utm_source=sheet", "Apply")</f>
        <v>Apply</v>
      </c>
      <c r="C704" s="10" t="s">
        <v>1423</v>
      </c>
      <c r="D704" s="56" t="s">
        <v>1426</v>
      </c>
      <c r="E704" s="10" t="s">
        <v>65</v>
      </c>
      <c r="F704" s="10" t="s">
        <v>1427</v>
      </c>
      <c r="G704" s="10" t="s">
        <v>113</v>
      </c>
      <c r="H704" s="10" t="s">
        <v>55</v>
      </c>
      <c r="J704" s="10" t="s">
        <v>1425</v>
      </c>
      <c r="K704" s="10" t="s">
        <v>42</v>
      </c>
    </row>
    <row r="705" ht="15.75" customHeight="1">
      <c r="A705" s="60">
        <v>45450.0</v>
      </c>
      <c r="B705" s="55" t="str">
        <f>HYPERLINK("https://jobright.ai/jobs/info/66728ebe59024765d363c3fe?utm_campaign=1061&amp;utm_source=sheet", "Apply")</f>
        <v>Apply</v>
      </c>
      <c r="C705" s="10" t="s">
        <v>1428</v>
      </c>
      <c r="D705" s="56" t="s">
        <v>1429</v>
      </c>
      <c r="E705" s="10" t="s">
        <v>71</v>
      </c>
      <c r="F705" s="10" t="s">
        <v>1430</v>
      </c>
      <c r="G705" s="10" t="s">
        <v>1431</v>
      </c>
      <c r="H705" s="10" t="s">
        <v>55</v>
      </c>
      <c r="J705" s="10" t="s">
        <v>1432</v>
      </c>
      <c r="K705" s="10" t="s">
        <v>42</v>
      </c>
    </row>
    <row r="706" ht="15.75" customHeight="1">
      <c r="A706" s="60">
        <v>45450.0</v>
      </c>
      <c r="B706" s="55" t="str">
        <f>HYPERLINK("https://jobright.ai/jobs/info/6667d1150e75e6484ca3f90a?utm_campaign=1061&amp;utm_source=sheet", "Apply")</f>
        <v>Apply</v>
      </c>
      <c r="C706" s="10" t="s">
        <v>1433</v>
      </c>
      <c r="D706" s="56" t="s">
        <v>1434</v>
      </c>
      <c r="E706" s="10" t="s">
        <v>65</v>
      </c>
      <c r="F706" s="10" t="s">
        <v>1435</v>
      </c>
      <c r="G706" s="10" t="s">
        <v>1436</v>
      </c>
      <c r="H706" s="10" t="s">
        <v>55</v>
      </c>
      <c r="J706" s="10" t="s">
        <v>1437</v>
      </c>
      <c r="K706" s="10" t="s">
        <v>42</v>
      </c>
    </row>
    <row r="707" ht="15.75" customHeight="1">
      <c r="A707" s="61">
        <v>45449.0</v>
      </c>
      <c r="B707" s="55" t="str">
        <f>HYPERLINK("https://jobright.ai/jobs/info/66680793d19f25c2c7cd0b3a?utm_campaign=1061&amp;utm_source=sheet", "Apply")</f>
        <v>Apply</v>
      </c>
      <c r="C707" s="10" t="s">
        <v>1438</v>
      </c>
      <c r="D707" s="56" t="s">
        <v>1439</v>
      </c>
      <c r="E707" s="10" t="s">
        <v>209</v>
      </c>
      <c r="F707" s="10" t="s">
        <v>1440</v>
      </c>
      <c r="G707" s="10" t="s">
        <v>1441</v>
      </c>
      <c r="H707" s="10" t="s">
        <v>55</v>
      </c>
      <c r="J707" s="10" t="s">
        <v>1442</v>
      </c>
      <c r="K707" s="10" t="s">
        <v>42</v>
      </c>
    </row>
    <row r="708" ht="15.75" customHeight="1">
      <c r="A708" s="61">
        <v>45448.0</v>
      </c>
      <c r="B708" s="55" t="str">
        <f>HYPERLINK("https://jobright.ai/jobs/info/66680de2d19f25c2c7cd1702?utm_campaign=1061&amp;utm_source=sheet", "Apply")</f>
        <v>Apply</v>
      </c>
      <c r="C708" s="10" t="s">
        <v>1443</v>
      </c>
      <c r="D708" s="56" t="s">
        <v>1444</v>
      </c>
      <c r="E708" s="10" t="s">
        <v>45</v>
      </c>
      <c r="F708" s="10" t="s">
        <v>1445</v>
      </c>
      <c r="G708" s="10" t="s">
        <v>1446</v>
      </c>
      <c r="H708" s="10" t="s">
        <v>48</v>
      </c>
      <c r="I708" s="10" t="s">
        <v>1447</v>
      </c>
      <c r="J708" s="10" t="s">
        <v>1448</v>
      </c>
      <c r="K708" s="10" t="s">
        <v>42</v>
      </c>
    </row>
    <row r="709" ht="15.75" customHeight="1">
      <c r="A709" s="61">
        <v>45447.0</v>
      </c>
      <c r="B709" s="55" t="str">
        <f>HYPERLINK("https://jobright.ai/jobs/info/66643adcd16d4450461dd56f?utm_campaign=1061&amp;utm_source=sheet", "Apply")</f>
        <v>Apply</v>
      </c>
      <c r="C709" s="10" t="s">
        <v>1449</v>
      </c>
      <c r="D709" s="58" t="s">
        <v>1450</v>
      </c>
      <c r="E709" s="10" t="s">
        <v>71</v>
      </c>
      <c r="F709" s="10" t="s">
        <v>404</v>
      </c>
      <c r="G709" s="10" t="s">
        <v>698</v>
      </c>
      <c r="H709" s="10" t="s">
        <v>55</v>
      </c>
      <c r="J709" s="10" t="s">
        <v>1451</v>
      </c>
      <c r="K709" s="10" t="s">
        <v>42</v>
      </c>
    </row>
    <row r="710" ht="15.75" customHeight="1">
      <c r="A710" s="61">
        <v>45447.0</v>
      </c>
      <c r="B710" s="55" t="str">
        <f>HYPERLINK("https://jobright.ai/jobs/info/6668102cd19f25c2c7cd1a1b?utm_campaign=1061&amp;utm_source=sheet", "Apply")</f>
        <v>Apply</v>
      </c>
      <c r="C710" s="10" t="s">
        <v>1452</v>
      </c>
      <c r="D710" s="56" t="s">
        <v>1453</v>
      </c>
      <c r="E710" s="10" t="s">
        <v>45</v>
      </c>
      <c r="F710" s="10" t="s">
        <v>1454</v>
      </c>
      <c r="G710" s="10" t="s">
        <v>1455</v>
      </c>
      <c r="H710" s="10" t="s">
        <v>55</v>
      </c>
      <c r="J710" s="10" t="s">
        <v>1456</v>
      </c>
      <c r="K710" s="10" t="s">
        <v>42</v>
      </c>
    </row>
    <row r="711" ht="15.75" customHeight="1">
      <c r="A711" s="61">
        <v>45447.0</v>
      </c>
      <c r="B711" s="55" t="str">
        <f>HYPERLINK("https://jobright.ai/jobs/info/66681100d19f25c2c7cd1c5c?utm_campaign=1061&amp;utm_source=sheet", "Apply")</f>
        <v>Apply</v>
      </c>
      <c r="C711" s="10" t="s">
        <v>1457</v>
      </c>
      <c r="D711" s="56" t="s">
        <v>1458</v>
      </c>
      <c r="E711" s="10" t="s">
        <v>45</v>
      </c>
      <c r="F711" s="10" t="s">
        <v>1459</v>
      </c>
      <c r="G711" s="10" t="s">
        <v>1460</v>
      </c>
      <c r="H711" s="10" t="s">
        <v>55</v>
      </c>
      <c r="I711" s="10" t="s">
        <v>1461</v>
      </c>
      <c r="J711" s="10" t="s">
        <v>1462</v>
      </c>
      <c r="K711" s="10" t="s">
        <v>42</v>
      </c>
    </row>
    <row r="712" ht="15.75" customHeight="1">
      <c r="A712" s="61">
        <v>45446.0</v>
      </c>
      <c r="B712" s="55" t="str">
        <f>HYPERLINK("https://jobright.ai/jobs/info/66681f681c2d3f9f50324161?utm_campaign=1061&amp;utm_source=sheet", "Apply")</f>
        <v>Apply</v>
      </c>
      <c r="C712" s="10" t="s">
        <v>1463</v>
      </c>
      <c r="D712" s="56" t="s">
        <v>1464</v>
      </c>
      <c r="E712" s="10" t="s">
        <v>209</v>
      </c>
      <c r="F712" s="10" t="s">
        <v>1465</v>
      </c>
      <c r="G712" s="10" t="s">
        <v>1466</v>
      </c>
      <c r="H712" s="10" t="s">
        <v>55</v>
      </c>
      <c r="I712" s="10" t="s">
        <v>1467</v>
      </c>
      <c r="J712" s="10" t="s">
        <v>1468</v>
      </c>
      <c r="K712" s="10" t="s">
        <v>42</v>
      </c>
    </row>
    <row r="713" ht="15.75" customHeight="1">
      <c r="A713" s="61">
        <v>45446.0</v>
      </c>
      <c r="B713" s="55" t="str">
        <f>HYPERLINK("https://jobright.ai/jobs/info/66682c299d7e47024a77fc3f?utm_campaign=1061&amp;utm_source=sheet", "Apply")</f>
        <v>Apply</v>
      </c>
      <c r="C713" s="10" t="s">
        <v>1469</v>
      </c>
      <c r="D713" s="56" t="s">
        <v>1470</v>
      </c>
      <c r="E713" s="10">
        <v>9416.0</v>
      </c>
      <c r="G713" s="10" t="s">
        <v>1471</v>
      </c>
      <c r="H713" s="10" t="s">
        <v>55</v>
      </c>
      <c r="J713" s="10" t="s">
        <v>1472</v>
      </c>
      <c r="K713" s="10" t="s">
        <v>42</v>
      </c>
    </row>
    <row r="714" ht="15.75" customHeight="1">
      <c r="A714" s="61">
        <v>45444.0</v>
      </c>
      <c r="B714" s="55" t="str">
        <f>HYPERLINK("https://jobright.ai/jobs/info/66592305dc30f127d7d72adc?utm_campaign=1061&amp;utm_source=sheet", "Apply")</f>
        <v>Apply</v>
      </c>
      <c r="C714" s="10" t="s">
        <v>1473</v>
      </c>
      <c r="D714" s="56" t="s">
        <v>1474</v>
      </c>
      <c r="E714" s="10" t="s">
        <v>276</v>
      </c>
      <c r="F714" s="10" t="s">
        <v>1475</v>
      </c>
      <c r="G714" s="10" t="s">
        <v>1476</v>
      </c>
      <c r="H714" s="10" t="s">
        <v>55</v>
      </c>
      <c r="J714" s="10" t="s">
        <v>1477</v>
      </c>
      <c r="K714" s="10" t="s">
        <v>42</v>
      </c>
    </row>
    <row r="715" ht="15.75" customHeight="1">
      <c r="A715" s="61">
        <v>45444.0</v>
      </c>
      <c r="B715" s="55" t="str">
        <f>HYPERLINK("https://jobright.ai/jobs/info/6677ddcffbac42152a147288?utm_campaign=1061&amp;utm_source=sheet", "Apply")</f>
        <v>Apply</v>
      </c>
      <c r="C715" s="10" t="s">
        <v>1478</v>
      </c>
      <c r="D715" s="56" t="s">
        <v>1258</v>
      </c>
      <c r="E715" s="10" t="s">
        <v>45</v>
      </c>
      <c r="F715" s="10" t="s">
        <v>1259</v>
      </c>
      <c r="G715" s="10" t="s">
        <v>1260</v>
      </c>
      <c r="H715" s="10" t="s">
        <v>55</v>
      </c>
      <c r="I715" s="10" t="s">
        <v>1479</v>
      </c>
      <c r="J715" s="10" t="s">
        <v>1480</v>
      </c>
      <c r="K715" s="10" t="s">
        <v>42</v>
      </c>
    </row>
    <row r="716" ht="15.75" customHeight="1">
      <c r="A716" s="61">
        <v>45444.0</v>
      </c>
      <c r="B716" s="55" t="str">
        <f>HYPERLINK("https://jobright.ai/jobs/info/665d812d2492096ac068fccc?utm_campaign=1061&amp;utm_source=sheet", "Apply")</f>
        <v>Apply</v>
      </c>
      <c r="C716" s="10" t="s">
        <v>1481</v>
      </c>
      <c r="D716" s="58" t="s">
        <v>1450</v>
      </c>
      <c r="E716" s="10" t="s">
        <v>71</v>
      </c>
      <c r="F716" s="10" t="s">
        <v>404</v>
      </c>
      <c r="G716" s="10" t="s">
        <v>698</v>
      </c>
      <c r="H716" s="10" t="s">
        <v>48</v>
      </c>
      <c r="J716" s="10" t="s">
        <v>1482</v>
      </c>
      <c r="K716" s="10" t="s">
        <v>42</v>
      </c>
    </row>
    <row r="717" ht="15.75" customHeight="1">
      <c r="A717" s="61">
        <v>45443.0</v>
      </c>
      <c r="B717" s="55" t="str">
        <f>HYPERLINK("https://jobright.ai/jobs/info/665a62cf146efb6d65795961?utm_campaign=1061&amp;utm_source=sheet", "Apply")</f>
        <v>Apply</v>
      </c>
      <c r="C717" s="10" t="s">
        <v>1483</v>
      </c>
      <c r="D717" s="56" t="s">
        <v>1484</v>
      </c>
      <c r="E717" s="10" t="s">
        <v>71</v>
      </c>
      <c r="F717" s="10" t="s">
        <v>1485</v>
      </c>
      <c r="G717" s="10" t="s">
        <v>113</v>
      </c>
      <c r="H717" s="10" t="s">
        <v>55</v>
      </c>
      <c r="J717" s="10" t="s">
        <v>1486</v>
      </c>
      <c r="K717" s="10" t="s">
        <v>42</v>
      </c>
    </row>
    <row r="718" ht="15.75" customHeight="1">
      <c r="A718" s="54">
        <v>45443.0</v>
      </c>
      <c r="B718" s="55" t="str">
        <f>HYPERLINK("https://jobright.ai/jobs/info/66685dd2b3577e6d5da7a8f6?utm_campaign=1061&amp;utm_source=sheet", "Apply")</f>
        <v>Apply</v>
      </c>
      <c r="C718" s="10" t="s">
        <v>1487</v>
      </c>
      <c r="D718" s="56" t="s">
        <v>1488</v>
      </c>
      <c r="E718" s="10" t="s">
        <v>45</v>
      </c>
      <c r="F718" s="10" t="s">
        <v>1489</v>
      </c>
      <c r="G718" s="10" t="s">
        <v>1455</v>
      </c>
      <c r="H718" s="10" t="s">
        <v>55</v>
      </c>
      <c r="J718" s="10" t="s">
        <v>1490</v>
      </c>
      <c r="K718" s="10" t="s">
        <v>42</v>
      </c>
    </row>
    <row r="719" ht="15.75" customHeight="1">
      <c r="A719" s="54">
        <v>45441.0</v>
      </c>
      <c r="B719" s="55" t="str">
        <f>HYPERLINK("https://jobright.ai/jobs/info/666904692dac6f47f46716a7?utm_campaign=1061&amp;utm_source=sheet", "Apply")</f>
        <v>Apply</v>
      </c>
      <c r="C719" s="10" t="s">
        <v>226</v>
      </c>
      <c r="D719" s="56" t="s">
        <v>1491</v>
      </c>
      <c r="E719" s="10" t="s">
        <v>71</v>
      </c>
      <c r="F719" s="10" t="s">
        <v>1492</v>
      </c>
      <c r="G719" s="10" t="s">
        <v>1493</v>
      </c>
      <c r="H719" s="10" t="s">
        <v>48</v>
      </c>
      <c r="J719" s="10" t="s">
        <v>1494</v>
      </c>
      <c r="K719" s="10" t="s">
        <v>42</v>
      </c>
    </row>
    <row r="720" ht="15.75" customHeight="1">
      <c r="A720" s="54">
        <v>45439.0</v>
      </c>
      <c r="B720" s="55" t="str">
        <f>HYPERLINK("https://jobright.ai/jobs/info/666883e3f8309f8de12c570d?utm_campaign=1061&amp;utm_source=sheet", "Apply")</f>
        <v>Apply</v>
      </c>
      <c r="C720" s="10" t="s">
        <v>1495</v>
      </c>
      <c r="D720" s="56" t="s">
        <v>1496</v>
      </c>
      <c r="E720" s="10" t="s">
        <v>45</v>
      </c>
      <c r="F720" s="10" t="s">
        <v>1497</v>
      </c>
      <c r="G720" s="10" t="s">
        <v>1460</v>
      </c>
      <c r="H720" s="10" t="s">
        <v>55</v>
      </c>
      <c r="J720" s="10" t="s">
        <v>1498</v>
      </c>
      <c r="K720" s="10" t="s">
        <v>42</v>
      </c>
    </row>
    <row r="721" ht="15.75" customHeight="1">
      <c r="A721" s="54">
        <v>45437.0</v>
      </c>
      <c r="B721" s="55" t="str">
        <f>HYPERLINK("https://jobright.ai/jobs/info/66795fefdd14b36e4d97bb5c?utm_campaign=1061&amp;utm_source=sheet", "Apply")</f>
        <v>Apply</v>
      </c>
      <c r="C721" s="10" t="s">
        <v>1499</v>
      </c>
      <c r="D721" s="56" t="s">
        <v>1500</v>
      </c>
      <c r="E721" s="10" t="s">
        <v>71</v>
      </c>
      <c r="F721" s="10" t="s">
        <v>697</v>
      </c>
      <c r="G721" s="10" t="s">
        <v>144</v>
      </c>
      <c r="H721" s="10" t="s">
        <v>55</v>
      </c>
      <c r="J721" s="10" t="s">
        <v>1501</v>
      </c>
      <c r="K721" s="10" t="s">
        <v>42</v>
      </c>
    </row>
    <row r="722" ht="15.75" customHeight="1">
      <c r="A722" s="54">
        <v>45436.0</v>
      </c>
      <c r="B722" s="55" t="str">
        <f>HYPERLINK("https://jobright.ai/jobs/info/6662ea134af664f4cdb8c643?utm_campaign=1061&amp;utm_source=sheet", "Apply")</f>
        <v>Apply</v>
      </c>
      <c r="C722" s="10" t="s">
        <v>155</v>
      </c>
      <c r="D722" s="56" t="s">
        <v>1502</v>
      </c>
      <c r="E722" s="10">
        <v>10345.0</v>
      </c>
      <c r="G722" s="10" t="s">
        <v>106</v>
      </c>
      <c r="H722" s="10" t="s">
        <v>48</v>
      </c>
      <c r="I722" s="10" t="s">
        <v>1409</v>
      </c>
      <c r="J722" s="10" t="s">
        <v>1503</v>
      </c>
      <c r="K722" s="10" t="s">
        <v>42</v>
      </c>
    </row>
    <row r="723" ht="15.75" customHeight="1">
      <c r="A723" s="54">
        <v>45435.0</v>
      </c>
      <c r="B723" s="55" t="str">
        <f>HYPERLINK("https://jobright.ai/jobs/info/6677e26b783a239da84183d7?utm_campaign=1061&amp;utm_source=sheet", "Apply")</f>
        <v>Apply</v>
      </c>
      <c r="C723" s="10" t="s">
        <v>1504</v>
      </c>
      <c r="D723" s="56" t="s">
        <v>1505</v>
      </c>
      <c r="E723" s="10" t="s">
        <v>137</v>
      </c>
      <c r="F723" s="10" t="s">
        <v>1506</v>
      </c>
      <c r="G723" s="10" t="s">
        <v>382</v>
      </c>
      <c r="H723" s="10" t="s">
        <v>55</v>
      </c>
      <c r="I723" s="10" t="s">
        <v>1507</v>
      </c>
      <c r="J723" s="10" t="s">
        <v>1508</v>
      </c>
      <c r="K723" s="10" t="s">
        <v>42</v>
      </c>
    </row>
    <row r="724" ht="15.75" customHeight="1">
      <c r="A724" s="54">
        <v>45435.0</v>
      </c>
      <c r="B724" s="55" t="str">
        <f>HYPERLINK("https://jobright.ai/jobs/info/6677e226783a239da8417e2e?utm_campaign=1061&amp;utm_source=sheet", "Apply")</f>
        <v>Apply</v>
      </c>
      <c r="C724" s="10" t="s">
        <v>1509</v>
      </c>
      <c r="D724" s="56" t="s">
        <v>1505</v>
      </c>
      <c r="E724" s="10" t="s">
        <v>137</v>
      </c>
      <c r="F724" s="10" t="s">
        <v>1506</v>
      </c>
      <c r="G724" s="10" t="s">
        <v>382</v>
      </c>
      <c r="H724" s="10" t="s">
        <v>55</v>
      </c>
      <c r="I724" s="10" t="s">
        <v>1507</v>
      </c>
      <c r="J724" s="10" t="s">
        <v>1508</v>
      </c>
      <c r="K724" s="10" t="s">
        <v>42</v>
      </c>
    </row>
    <row r="725" ht="15.75" customHeight="1">
      <c r="A725" s="54">
        <v>45435.0</v>
      </c>
      <c r="B725" s="55" t="str">
        <f>HYPERLINK("https://jobright.ai/jobs/info/6677e7988edbb3fe78f320f0?utm_campaign=1061&amp;utm_source=sheet", "Apply")</f>
        <v>Apply</v>
      </c>
      <c r="C725" s="10" t="s">
        <v>1510</v>
      </c>
      <c r="D725" s="56" t="s">
        <v>1511</v>
      </c>
      <c r="E725" s="10" t="s">
        <v>45</v>
      </c>
      <c r="F725" s="10" t="s">
        <v>1512</v>
      </c>
      <c r="G725" s="10" t="s">
        <v>1513</v>
      </c>
      <c r="H725" s="10" t="s">
        <v>55</v>
      </c>
      <c r="J725" s="10" t="s">
        <v>1514</v>
      </c>
      <c r="K725" s="10" t="s">
        <v>42</v>
      </c>
    </row>
    <row r="726" ht="15.75" customHeight="1">
      <c r="A726" s="54">
        <v>45435.0</v>
      </c>
      <c r="B726" s="55" t="str">
        <f>HYPERLINK("https://jobright.ai/jobs/info/6677ee212ffca2bcf66930de?utm_campaign=1061&amp;utm_source=sheet", "Apply")</f>
        <v>Apply</v>
      </c>
      <c r="C726" s="10" t="s">
        <v>1515</v>
      </c>
      <c r="D726" s="56" t="s">
        <v>1516</v>
      </c>
      <c r="E726" s="59">
        <v>45301.0</v>
      </c>
      <c r="F726" s="10" t="s">
        <v>1517</v>
      </c>
      <c r="G726" s="10" t="s">
        <v>144</v>
      </c>
      <c r="H726" s="10" t="s">
        <v>55</v>
      </c>
      <c r="J726" s="10" t="s">
        <v>1518</v>
      </c>
      <c r="K726" s="10" t="s">
        <v>42</v>
      </c>
    </row>
    <row r="727" ht="15.75" customHeight="1">
      <c r="A727" s="54">
        <v>45434.0</v>
      </c>
      <c r="B727" s="55" t="str">
        <f>HYPERLINK("https://jobright.ai/jobs/info/666904f32dac6f47f46717f5?utm_campaign=1061&amp;utm_source=sheet", "Apply")</f>
        <v>Apply</v>
      </c>
      <c r="C727" s="10" t="s">
        <v>1205</v>
      </c>
      <c r="D727" s="56" t="s">
        <v>1519</v>
      </c>
      <c r="E727" s="10">
        <v>3284.0</v>
      </c>
      <c r="G727" s="10" t="s">
        <v>1520</v>
      </c>
      <c r="H727" s="10" t="s">
        <v>55</v>
      </c>
      <c r="J727" s="10" t="s">
        <v>1208</v>
      </c>
      <c r="K727" s="10" t="s">
        <v>42</v>
      </c>
    </row>
    <row r="728" ht="15.75" customHeight="1">
      <c r="A728" s="54">
        <v>45433.0</v>
      </c>
      <c r="B728" s="55" t="str">
        <f>HYPERLINK("https://jobright.ai/jobs/info/665d81a82492096ac069064c?utm_campaign=1061&amp;utm_source=sheet", "Apply")</f>
        <v>Apply</v>
      </c>
      <c r="C728" s="10" t="s">
        <v>1521</v>
      </c>
      <c r="D728" s="56" t="s">
        <v>563</v>
      </c>
      <c r="E728" s="10" t="s">
        <v>249</v>
      </c>
      <c r="F728" s="10" t="s">
        <v>564</v>
      </c>
      <c r="G728" s="10" t="s">
        <v>387</v>
      </c>
      <c r="H728" s="10" t="s">
        <v>55</v>
      </c>
      <c r="I728" s="10" t="s">
        <v>1522</v>
      </c>
      <c r="J728" s="10" t="s">
        <v>1523</v>
      </c>
      <c r="K728" s="10" t="s">
        <v>42</v>
      </c>
    </row>
    <row r="729" ht="15.75" customHeight="1">
      <c r="A729" s="54">
        <v>45432.0</v>
      </c>
      <c r="B729" s="55" t="str">
        <f>HYPERLINK("https://jobright.ai/jobs/info/667301e2c32d0d359a61ec30?utm_campaign=1061&amp;utm_source=sheet", "Apply")</f>
        <v>Apply</v>
      </c>
      <c r="C729" s="10" t="s">
        <v>1524</v>
      </c>
      <c r="D729" s="56" t="s">
        <v>1525</v>
      </c>
      <c r="E729" s="10" t="s">
        <v>71</v>
      </c>
      <c r="G729" s="10" t="s">
        <v>807</v>
      </c>
      <c r="H729" s="10" t="s">
        <v>55</v>
      </c>
      <c r="J729" s="10" t="s">
        <v>1526</v>
      </c>
      <c r="K729" s="10" t="s">
        <v>42</v>
      </c>
    </row>
    <row r="730" ht="15.75" customHeight="1">
      <c r="A730" s="54">
        <v>45432.0</v>
      </c>
      <c r="B730" s="55" t="str">
        <f>HYPERLINK("https://jobright.ai/jobs/info/664b5e03a360dd67cfafc5d4?utm_campaign=1061&amp;utm_source=sheet", "Apply")</f>
        <v>Apply</v>
      </c>
      <c r="C730" s="10" t="s">
        <v>1527</v>
      </c>
      <c r="D730" s="56" t="s">
        <v>1502</v>
      </c>
      <c r="E730" s="10">
        <v>10345.0</v>
      </c>
      <c r="G730" s="10" t="s">
        <v>106</v>
      </c>
      <c r="H730" s="10" t="s">
        <v>55</v>
      </c>
      <c r="I730" s="10" t="s">
        <v>1409</v>
      </c>
      <c r="J730" s="10" t="s">
        <v>1528</v>
      </c>
      <c r="K730" s="10" t="s">
        <v>42</v>
      </c>
    </row>
    <row r="731" ht="15.75" customHeight="1">
      <c r="A731" s="54">
        <v>45432.0</v>
      </c>
      <c r="B731" s="55" t="str">
        <f>HYPERLINK("https://jobright.ai/jobs/info/6673021dc32d0d359a61ee8b?utm_campaign=1061&amp;utm_source=sheet", "Apply")</f>
        <v>Apply</v>
      </c>
      <c r="C731" s="10" t="s">
        <v>1529</v>
      </c>
      <c r="D731" s="56" t="s">
        <v>1505</v>
      </c>
      <c r="E731" s="10" t="s">
        <v>137</v>
      </c>
      <c r="F731" s="10" t="s">
        <v>1506</v>
      </c>
      <c r="G731" s="10" t="s">
        <v>382</v>
      </c>
      <c r="H731" s="10" t="s">
        <v>55</v>
      </c>
      <c r="I731" s="10" t="s">
        <v>1507</v>
      </c>
      <c r="J731" s="10" t="s">
        <v>1530</v>
      </c>
      <c r="K731" s="10" t="s">
        <v>42</v>
      </c>
    </row>
    <row r="732" ht="15.75" customHeight="1">
      <c r="A732" s="54">
        <v>45429.0</v>
      </c>
      <c r="B732" s="55" t="str">
        <f>HYPERLINK("https://jobright.ai/jobs/info/6647f05de483852539d906ec?utm_campaign=1061&amp;utm_source=sheet", "Apply")</f>
        <v>Apply</v>
      </c>
      <c r="C732" s="10" t="s">
        <v>431</v>
      </c>
      <c r="D732" s="56" t="s">
        <v>427</v>
      </c>
      <c r="E732" s="10" t="s">
        <v>45</v>
      </c>
      <c r="F732" s="10" t="s">
        <v>428</v>
      </c>
      <c r="G732" s="10" t="s">
        <v>429</v>
      </c>
      <c r="H732" s="10" t="s">
        <v>55</v>
      </c>
      <c r="J732" s="10" t="s">
        <v>1531</v>
      </c>
      <c r="K732" s="10" t="s">
        <v>42</v>
      </c>
    </row>
    <row r="733" ht="15.75" customHeight="1">
      <c r="A733" s="54">
        <v>45429.0</v>
      </c>
      <c r="B733" s="55" t="str">
        <f>HYPERLINK("https://jobright.ai/jobs/info/6669184fef71c96a7fcbcea3?utm_campaign=1061&amp;utm_source=sheet", "Apply")</f>
        <v>Apply</v>
      </c>
      <c r="C733" s="10" t="s">
        <v>1532</v>
      </c>
      <c r="D733" s="56" t="s">
        <v>1496</v>
      </c>
      <c r="E733" s="10" t="s">
        <v>45</v>
      </c>
      <c r="F733" s="10" t="s">
        <v>1497</v>
      </c>
      <c r="G733" s="10" t="s">
        <v>1533</v>
      </c>
      <c r="H733" s="10" t="s">
        <v>55</v>
      </c>
      <c r="J733" s="10" t="s">
        <v>1534</v>
      </c>
      <c r="K733" s="10" t="s">
        <v>42</v>
      </c>
    </row>
    <row r="734" ht="15.75" customHeight="1">
      <c r="A734" s="54">
        <v>45422.0</v>
      </c>
      <c r="B734" s="55" t="str">
        <f>HYPERLINK("https://jobright.ai/jobs/info/66658d27e0b22e24b60174cb?utm_campaign=1061&amp;utm_source=sheet", "Apply")</f>
        <v>Apply</v>
      </c>
      <c r="C734" s="10" t="s">
        <v>1535</v>
      </c>
      <c r="D734" s="56" t="s">
        <v>1505</v>
      </c>
      <c r="E734" s="10" t="s">
        <v>137</v>
      </c>
      <c r="F734" s="10" t="s">
        <v>1506</v>
      </c>
      <c r="G734" s="10" t="s">
        <v>382</v>
      </c>
      <c r="H734" s="10" t="s">
        <v>55</v>
      </c>
      <c r="I734" s="10" t="s">
        <v>1507</v>
      </c>
      <c r="J734" s="10" t="s">
        <v>1508</v>
      </c>
      <c r="K734" s="10" t="s">
        <v>42</v>
      </c>
    </row>
    <row r="735" ht="15.75" customHeight="1">
      <c r="A735" s="57">
        <v>45420.0</v>
      </c>
      <c r="B735" s="55" t="str">
        <f>HYPERLINK("https://jobright.ai/jobs/info/6642f872457134082c2111a3?utm_campaign=1061&amp;utm_source=sheet", "Apply")</f>
        <v>Apply</v>
      </c>
      <c r="C735" s="10" t="s">
        <v>1236</v>
      </c>
      <c r="D735" s="56" t="s">
        <v>1237</v>
      </c>
      <c r="E735" s="10" t="s">
        <v>65</v>
      </c>
      <c r="G735" s="10" t="s">
        <v>872</v>
      </c>
      <c r="H735" s="10" t="s">
        <v>55</v>
      </c>
      <c r="J735" s="10" t="s">
        <v>1536</v>
      </c>
      <c r="K735" s="10" t="s">
        <v>42</v>
      </c>
    </row>
    <row r="736" ht="15.75" customHeight="1">
      <c r="A736" s="57">
        <v>45420.0</v>
      </c>
      <c r="B736" s="55" t="str">
        <f>HYPERLINK("https://jobright.ai/jobs/info/663afde27cf94c51b0242634?utm_campaign=1061&amp;utm_source=sheet", "Apply")</f>
        <v>Apply</v>
      </c>
      <c r="C736" s="10" t="s">
        <v>1537</v>
      </c>
      <c r="D736" s="56" t="s">
        <v>1538</v>
      </c>
      <c r="E736" s="10" t="s">
        <v>45</v>
      </c>
      <c r="F736" s="10" t="s">
        <v>1274</v>
      </c>
      <c r="G736" s="10" t="s">
        <v>1539</v>
      </c>
      <c r="H736" s="10" t="s">
        <v>55</v>
      </c>
      <c r="J736" s="10" t="s">
        <v>1540</v>
      </c>
      <c r="K736" s="10" t="s">
        <v>42</v>
      </c>
    </row>
    <row r="737" ht="15.75" customHeight="1">
      <c r="A737" s="57">
        <v>45418.0</v>
      </c>
      <c r="B737" s="55" t="str">
        <f>HYPERLINK("https://jobright.ai/jobs/info/66693fd88f0265d34931b04e?utm_campaign=1061&amp;utm_source=sheet", "Apply")</f>
        <v>Apply</v>
      </c>
      <c r="C737" s="10" t="s">
        <v>1541</v>
      </c>
      <c r="D737" s="56" t="s">
        <v>1453</v>
      </c>
      <c r="E737" s="10" t="s">
        <v>45</v>
      </c>
      <c r="F737" s="10" t="s">
        <v>1454</v>
      </c>
      <c r="G737" s="10" t="s">
        <v>1542</v>
      </c>
      <c r="H737" s="10" t="s">
        <v>55</v>
      </c>
      <c r="J737" s="10" t="s">
        <v>1543</v>
      </c>
      <c r="K737" s="10" t="s">
        <v>42</v>
      </c>
    </row>
    <row r="738" ht="15.75" customHeight="1">
      <c r="A738" s="57">
        <v>45418.0</v>
      </c>
      <c r="B738" s="55" t="str">
        <f>HYPERLINK("https://jobright.ai/jobs/info/66693fc18f0265d34931af34?utm_campaign=1061&amp;utm_source=sheet", "Apply")</f>
        <v>Apply</v>
      </c>
      <c r="C738" s="10" t="s">
        <v>1544</v>
      </c>
      <c r="D738" s="56" t="s">
        <v>1496</v>
      </c>
      <c r="E738" s="10" t="s">
        <v>45</v>
      </c>
      <c r="F738" s="10" t="s">
        <v>1497</v>
      </c>
      <c r="G738" s="10" t="s">
        <v>1533</v>
      </c>
      <c r="H738" s="10" t="s">
        <v>55</v>
      </c>
      <c r="J738" s="10" t="s">
        <v>1545</v>
      </c>
      <c r="K738" s="10" t="s">
        <v>42</v>
      </c>
    </row>
    <row r="739" ht="15.75" customHeight="1">
      <c r="A739" s="57">
        <v>45416.0</v>
      </c>
      <c r="B739" s="55" t="str">
        <f>HYPERLINK("https://jobright.ai/jobs/info/6637072c880e409e53de7ed8?utm_campaign=1061&amp;utm_source=sheet", "Apply")</f>
        <v>Apply</v>
      </c>
      <c r="C739" s="10" t="s">
        <v>1546</v>
      </c>
      <c r="D739" s="56" t="s">
        <v>1547</v>
      </c>
      <c r="E739" s="10">
        <v>408.0</v>
      </c>
      <c r="G739" s="10" t="s">
        <v>1548</v>
      </c>
      <c r="H739" s="10" t="s">
        <v>55</v>
      </c>
      <c r="J739" s="10" t="s">
        <v>1549</v>
      </c>
      <c r="K739" s="10" t="s">
        <v>42</v>
      </c>
    </row>
    <row r="740" ht="15.75" customHeight="1">
      <c r="A740" s="57">
        <v>45416.0</v>
      </c>
      <c r="B740" s="55" t="str">
        <f>HYPERLINK("https://jobright.ai/jobs/info/6637072c880e409e53de7e93?utm_campaign=1061&amp;utm_source=sheet", "Apply")</f>
        <v>Apply</v>
      </c>
      <c r="C740" s="10" t="s">
        <v>1550</v>
      </c>
      <c r="D740" s="56" t="s">
        <v>1547</v>
      </c>
      <c r="E740" s="10">
        <v>408.0</v>
      </c>
      <c r="G740" s="10" t="s">
        <v>1097</v>
      </c>
      <c r="H740" s="10" t="s">
        <v>55</v>
      </c>
      <c r="J740" s="10" t="s">
        <v>1551</v>
      </c>
      <c r="K740" s="10" t="s">
        <v>42</v>
      </c>
    </row>
    <row r="741" ht="15.75" customHeight="1">
      <c r="A741" s="57">
        <v>45416.0</v>
      </c>
      <c r="B741" s="55" t="str">
        <f>HYPERLINK("https://jobright.ai/jobs/info/6637072c880e409e53de7ec1?utm_campaign=1061&amp;utm_source=sheet", "Apply")</f>
        <v>Apply</v>
      </c>
      <c r="C741" s="10" t="s">
        <v>1552</v>
      </c>
      <c r="D741" s="56" t="s">
        <v>1547</v>
      </c>
      <c r="E741" s="10">
        <v>408.0</v>
      </c>
      <c r="G741" s="10" t="s">
        <v>807</v>
      </c>
      <c r="H741" s="10" t="s">
        <v>55</v>
      </c>
      <c r="I741" s="10" t="s">
        <v>1553</v>
      </c>
      <c r="J741" s="10" t="s">
        <v>1554</v>
      </c>
      <c r="K741" s="10" t="s">
        <v>42</v>
      </c>
    </row>
    <row r="742" ht="15.75" customHeight="1">
      <c r="A742" s="57">
        <v>45416.0</v>
      </c>
      <c r="B742" s="55" t="str">
        <f>HYPERLINK("https://jobright.ai/jobs/info/66370733880e409e53de7f7d?utm_campaign=1061&amp;utm_source=sheet", "Apply")</f>
        <v>Apply</v>
      </c>
      <c r="C742" s="10" t="s">
        <v>1555</v>
      </c>
      <c r="D742" s="56" t="s">
        <v>1547</v>
      </c>
      <c r="E742" s="10">
        <v>408.0</v>
      </c>
      <c r="G742" s="10" t="s">
        <v>1556</v>
      </c>
      <c r="H742" s="10" t="s">
        <v>55</v>
      </c>
      <c r="J742" s="10" t="s">
        <v>1557</v>
      </c>
      <c r="K742" s="10" t="s">
        <v>42</v>
      </c>
    </row>
    <row r="743" ht="15.75" customHeight="1">
      <c r="A743" s="57">
        <v>45414.0</v>
      </c>
      <c r="B743" s="55" t="str">
        <f>HYPERLINK("https://jobright.ai/jobs/info/66342152d86a02498d5a0ac5?utm_campaign=1061&amp;utm_source=sheet", "Apply")</f>
        <v>Apply</v>
      </c>
      <c r="C743" s="10" t="s">
        <v>1053</v>
      </c>
      <c r="D743" s="56" t="s">
        <v>204</v>
      </c>
      <c r="E743" s="10" t="s">
        <v>45</v>
      </c>
      <c r="F743" s="10" t="s">
        <v>205</v>
      </c>
      <c r="G743" s="10" t="s">
        <v>153</v>
      </c>
      <c r="H743" s="10" t="s">
        <v>55</v>
      </c>
      <c r="J743" s="10" t="s">
        <v>1054</v>
      </c>
      <c r="K743" s="10" t="s">
        <v>42</v>
      </c>
    </row>
    <row r="744" ht="15.75" customHeight="1">
      <c r="A744" s="54">
        <v>45414.0</v>
      </c>
      <c r="B744" s="55" t="str">
        <f>HYPERLINK("https://jobright.ai/jobs/info/666940238f0265d34931b4ba?utm_campaign=1061&amp;utm_source=sheet", "Apply")</f>
        <v>Apply</v>
      </c>
      <c r="C744" s="10" t="s">
        <v>1558</v>
      </c>
      <c r="D744" s="56" t="s">
        <v>1559</v>
      </c>
      <c r="E744" s="10" t="s">
        <v>45</v>
      </c>
      <c r="F744" s="10" t="s">
        <v>1485</v>
      </c>
      <c r="G744" s="10" t="s">
        <v>1560</v>
      </c>
      <c r="H744" s="10" t="s">
        <v>55</v>
      </c>
      <c r="J744" s="10" t="s">
        <v>1561</v>
      </c>
      <c r="K744" s="10" t="s">
        <v>42</v>
      </c>
    </row>
    <row r="745" ht="15.75" customHeight="1">
      <c r="A745" s="54">
        <v>45413.0</v>
      </c>
      <c r="B745" s="55" t="str">
        <f>HYPERLINK("https://jobright.ai/jobs/info/6632c7378fe3a6589743ec6c?utm_campaign=1061&amp;utm_source=sheet", "Apply")</f>
        <v>Apply</v>
      </c>
      <c r="C745" s="10" t="s">
        <v>1562</v>
      </c>
      <c r="D745" s="56" t="s">
        <v>1563</v>
      </c>
      <c r="E745" s="59">
        <v>45301.0</v>
      </c>
      <c r="F745" s="10" t="s">
        <v>1564</v>
      </c>
      <c r="G745" s="10" t="s">
        <v>1565</v>
      </c>
      <c r="H745" s="10" t="s">
        <v>48</v>
      </c>
      <c r="I745" s="10" t="s">
        <v>1566</v>
      </c>
      <c r="J745" s="10" t="s">
        <v>1567</v>
      </c>
      <c r="K745" s="10" t="s">
        <v>42</v>
      </c>
    </row>
    <row r="746" ht="15.75" customHeight="1">
      <c r="A746" s="54">
        <v>45413.0</v>
      </c>
      <c r="B746" s="55" t="str">
        <f>HYPERLINK("https://jobright.ai/jobs/info/6632c7378fe3a6589743ec7d?utm_campaign=1061&amp;utm_source=sheet", "Apply")</f>
        <v>Apply</v>
      </c>
      <c r="C746" s="10" t="s">
        <v>1562</v>
      </c>
      <c r="D746" s="56" t="s">
        <v>1563</v>
      </c>
      <c r="E746" s="59">
        <v>45301.0</v>
      </c>
      <c r="F746" s="10" t="s">
        <v>1564</v>
      </c>
      <c r="G746" s="10" t="s">
        <v>152</v>
      </c>
      <c r="H746" s="10" t="s">
        <v>55</v>
      </c>
      <c r="J746" s="10" t="s">
        <v>1567</v>
      </c>
      <c r="K746" s="10" t="s">
        <v>42</v>
      </c>
    </row>
    <row r="747" ht="15.75" customHeight="1">
      <c r="A747" s="54">
        <v>45413.0</v>
      </c>
      <c r="B747" s="55" t="str">
        <f>HYPERLINK("https://jobright.ai/jobs/info/66321827113e85f2cac739be?utm_campaign=1061&amp;utm_source=sheet", "Apply")</f>
        <v>Apply</v>
      </c>
      <c r="C747" s="10" t="s">
        <v>1568</v>
      </c>
      <c r="D747" s="56" t="s">
        <v>124</v>
      </c>
      <c r="E747" s="10" t="s">
        <v>45</v>
      </c>
      <c r="F747" s="10" t="s">
        <v>125</v>
      </c>
      <c r="G747" s="10" t="s">
        <v>1569</v>
      </c>
      <c r="H747" s="10" t="s">
        <v>55</v>
      </c>
      <c r="J747" s="10" t="s">
        <v>1570</v>
      </c>
      <c r="K747" s="10" t="s">
        <v>42</v>
      </c>
    </row>
    <row r="748" ht="15.75" customHeight="1">
      <c r="A748" s="54"/>
      <c r="D748" s="56"/>
    </row>
    <row r="749" ht="15.75" customHeight="1">
      <c r="A749" s="54"/>
      <c r="D749" s="56"/>
      <c r="E749" s="59"/>
    </row>
    <row r="750" ht="15.75" customHeight="1">
      <c r="A750" s="54"/>
      <c r="D750" s="56"/>
      <c r="E750" s="59"/>
    </row>
    <row r="751" ht="15.75" customHeight="1">
      <c r="A751" s="57"/>
      <c r="D751" s="56"/>
    </row>
    <row r="752">
      <c r="A752" s="54"/>
      <c r="D752" s="62"/>
    </row>
    <row r="753">
      <c r="A753" s="54"/>
      <c r="D753" s="56"/>
    </row>
    <row r="754">
      <c r="A754" s="54"/>
      <c r="D754" s="56"/>
    </row>
    <row r="755">
      <c r="A755" s="54"/>
      <c r="D755" s="56"/>
    </row>
    <row r="756">
      <c r="A756" s="54"/>
      <c r="D756" s="56"/>
    </row>
    <row r="757">
      <c r="A757" s="54"/>
      <c r="D757" s="56"/>
    </row>
    <row r="758">
      <c r="A758" s="57"/>
      <c r="D758" s="62"/>
    </row>
    <row r="759">
      <c r="A759" s="57"/>
      <c r="D759" s="62"/>
    </row>
    <row r="760">
      <c r="A760" s="54"/>
      <c r="D760" s="56"/>
    </row>
    <row r="761">
      <c r="A761" s="54"/>
      <c r="D761" s="56"/>
    </row>
    <row r="762">
      <c r="A762" s="54"/>
      <c r="D762" s="63"/>
    </row>
    <row r="763">
      <c r="A763" s="54"/>
      <c r="D763" s="63"/>
    </row>
    <row r="764">
      <c r="A764" s="54"/>
      <c r="D764" s="63"/>
    </row>
    <row r="765">
      <c r="A765" s="54"/>
      <c r="D765" s="63"/>
    </row>
    <row r="766">
      <c r="A766" s="57"/>
      <c r="D766" s="63"/>
    </row>
    <row r="767">
      <c r="A767" s="57"/>
      <c r="D767" s="63"/>
    </row>
    <row r="768">
      <c r="A768" s="54"/>
      <c r="D768" s="63"/>
    </row>
    <row r="769">
      <c r="A769" s="54"/>
      <c r="D769" s="63"/>
    </row>
    <row r="770">
      <c r="A770" s="54"/>
      <c r="D770" s="63"/>
    </row>
    <row r="771">
      <c r="A771" s="54"/>
      <c r="D771" s="63"/>
    </row>
    <row r="772">
      <c r="A772" s="61"/>
      <c r="D772" s="63"/>
    </row>
    <row r="773">
      <c r="A773" s="61"/>
      <c r="D773" s="63"/>
    </row>
    <row r="774">
      <c r="A774" s="61"/>
      <c r="D774" s="63"/>
    </row>
    <row r="775">
      <c r="A775" s="61"/>
      <c r="D775" s="63"/>
    </row>
    <row r="776">
      <c r="A776" s="61"/>
      <c r="D776" s="63"/>
    </row>
    <row r="777">
      <c r="A777" s="54"/>
      <c r="D777" s="63"/>
    </row>
    <row r="778">
      <c r="A778" s="54"/>
      <c r="D778" s="63"/>
    </row>
    <row r="779">
      <c r="A779" s="54"/>
      <c r="D779" s="63"/>
    </row>
    <row r="780">
      <c r="A780" s="54"/>
      <c r="D780" s="63"/>
    </row>
    <row r="781">
      <c r="A781" s="54"/>
      <c r="D781" s="63"/>
    </row>
    <row r="782">
      <c r="A782" s="54"/>
      <c r="D782" s="63"/>
    </row>
    <row r="783">
      <c r="A783" s="54"/>
      <c r="D783" s="63"/>
    </row>
    <row r="784">
      <c r="A784" s="54"/>
      <c r="D784" s="63"/>
    </row>
    <row r="785">
      <c r="A785" s="54"/>
      <c r="D785" s="63"/>
    </row>
    <row r="786">
      <c r="A786" s="54"/>
      <c r="D786" s="63"/>
    </row>
    <row r="787">
      <c r="A787" s="54"/>
      <c r="D787" s="62"/>
    </row>
    <row r="788">
      <c r="A788" s="54"/>
      <c r="D788" s="62"/>
    </row>
    <row r="789">
      <c r="A789" s="54"/>
      <c r="D789" s="63"/>
    </row>
    <row r="790">
      <c r="A790" s="54"/>
      <c r="D790" s="62"/>
    </row>
    <row r="791">
      <c r="A791" s="54"/>
      <c r="D791" s="63"/>
    </row>
    <row r="792">
      <c r="A792" s="54"/>
      <c r="D792" s="63"/>
    </row>
    <row r="793">
      <c r="A793" s="57"/>
      <c r="D793" s="63"/>
    </row>
    <row r="794">
      <c r="A794" s="57"/>
      <c r="D794" s="63"/>
    </row>
    <row r="795">
      <c r="A795" s="57"/>
      <c r="D795" s="63"/>
    </row>
    <row r="796">
      <c r="A796" s="57"/>
      <c r="D796" s="63"/>
    </row>
    <row r="797">
      <c r="A797" s="57"/>
      <c r="D797" s="63"/>
    </row>
    <row r="798">
      <c r="A798" s="57"/>
      <c r="D798" s="63"/>
    </row>
    <row r="799">
      <c r="A799" s="57"/>
      <c r="D799" s="62"/>
    </row>
    <row r="800">
      <c r="A800" s="57"/>
      <c r="D800" s="63"/>
    </row>
    <row r="801">
      <c r="A801" s="57"/>
      <c r="D801" s="63"/>
    </row>
    <row r="802">
      <c r="A802" s="57"/>
      <c r="D802" s="63"/>
    </row>
    <row r="803">
      <c r="A803" s="57"/>
      <c r="D803" s="63"/>
    </row>
    <row r="804">
      <c r="A804" s="54"/>
      <c r="D804" s="63"/>
    </row>
    <row r="805">
      <c r="A805" s="54"/>
      <c r="D805" s="63"/>
    </row>
    <row r="806">
      <c r="A806" s="54"/>
      <c r="D806" s="63"/>
    </row>
    <row r="807">
      <c r="A807" s="54"/>
      <c r="D807" s="63"/>
    </row>
    <row r="808">
      <c r="A808" s="54"/>
      <c r="D808" s="63"/>
    </row>
    <row r="809">
      <c r="A809" s="54"/>
      <c r="D809" s="63"/>
    </row>
    <row r="810">
      <c r="A810" s="54"/>
      <c r="D810" s="63"/>
    </row>
    <row r="811">
      <c r="A811" s="57"/>
      <c r="D811" s="63"/>
    </row>
    <row r="812">
      <c r="A812" s="54"/>
      <c r="D812" s="63"/>
    </row>
    <row r="813">
      <c r="A813" s="54"/>
      <c r="D813" s="63"/>
    </row>
    <row r="814">
      <c r="A814" s="54"/>
      <c r="D814" s="63"/>
    </row>
    <row r="815">
      <c r="A815" s="54"/>
      <c r="D815" s="63"/>
    </row>
    <row r="816">
      <c r="A816" s="54"/>
      <c r="D816" s="63"/>
    </row>
    <row r="817">
      <c r="A817" s="54"/>
      <c r="D817" s="63"/>
    </row>
    <row r="818">
      <c r="A818" s="54"/>
      <c r="D818" s="63"/>
    </row>
    <row r="819">
      <c r="A819" s="57"/>
      <c r="D819" s="63"/>
    </row>
    <row r="820">
      <c r="A820" s="57"/>
      <c r="D820" s="63"/>
    </row>
    <row r="821">
      <c r="A821" s="57"/>
      <c r="D821" s="63"/>
    </row>
    <row r="822">
      <c r="A822" s="54"/>
      <c r="D822" s="63"/>
    </row>
    <row r="823">
      <c r="A823" s="54"/>
      <c r="D823" s="63"/>
    </row>
    <row r="824">
      <c r="A824" s="54"/>
      <c r="D824" s="63"/>
    </row>
    <row r="825">
      <c r="A825" s="54"/>
      <c r="D825" s="63"/>
    </row>
    <row r="826">
      <c r="A826" s="54"/>
      <c r="D826" s="63"/>
    </row>
    <row r="827">
      <c r="A827" s="54"/>
      <c r="D827" s="63"/>
    </row>
    <row r="828">
      <c r="A828" s="54"/>
      <c r="D828" s="63"/>
    </row>
    <row r="829">
      <c r="A829" s="57"/>
      <c r="D829" s="63"/>
    </row>
    <row r="830">
      <c r="A830" s="57"/>
      <c r="D830" s="63"/>
    </row>
    <row r="831">
      <c r="A831" s="54"/>
      <c r="D831" s="63"/>
    </row>
    <row r="832">
      <c r="A832" s="54"/>
      <c r="D832" s="62"/>
    </row>
    <row r="833">
      <c r="A833" s="54"/>
      <c r="D833" s="63"/>
    </row>
    <row r="834">
      <c r="A834" s="54"/>
      <c r="D834" s="63"/>
    </row>
    <row r="835">
      <c r="A835" s="54"/>
      <c r="D835" s="63"/>
    </row>
    <row r="836">
      <c r="A836" s="54"/>
      <c r="D836" s="63"/>
    </row>
    <row r="837">
      <c r="A837" s="54"/>
      <c r="D837" s="63"/>
    </row>
    <row r="838">
      <c r="A838" s="54"/>
      <c r="D838" s="63"/>
    </row>
    <row r="839">
      <c r="A839" s="54"/>
      <c r="D839" s="63"/>
    </row>
    <row r="840">
      <c r="A840" s="54"/>
      <c r="D840" s="63"/>
    </row>
    <row r="841">
      <c r="A841" s="54"/>
      <c r="D841" s="63"/>
    </row>
    <row r="842">
      <c r="A842" s="54"/>
      <c r="D842" s="63"/>
    </row>
    <row r="843">
      <c r="A843" s="54"/>
      <c r="D843" s="63"/>
    </row>
    <row r="844">
      <c r="A844" s="54"/>
      <c r="D844" s="63"/>
    </row>
    <row r="845">
      <c r="A845" s="54"/>
      <c r="D845" s="63"/>
    </row>
    <row r="846">
      <c r="A846" s="57"/>
      <c r="D846" s="63"/>
    </row>
    <row r="847">
      <c r="A847" s="57"/>
      <c r="D847" s="63"/>
    </row>
    <row r="848">
      <c r="A848" s="54"/>
      <c r="D848" s="63"/>
    </row>
    <row r="849">
      <c r="A849" s="54"/>
      <c r="D849" s="63"/>
    </row>
    <row r="850">
      <c r="A850" s="54"/>
      <c r="D850" s="63"/>
    </row>
    <row r="851">
      <c r="A851" s="54"/>
      <c r="D851" s="63"/>
    </row>
    <row r="852">
      <c r="A852" s="63"/>
      <c r="D852" s="63"/>
    </row>
    <row r="853">
      <c r="A853" s="63"/>
      <c r="D853" s="63"/>
    </row>
    <row r="854">
      <c r="A854" s="63"/>
      <c r="D854" s="63"/>
    </row>
    <row r="855">
      <c r="A855" s="63"/>
      <c r="D855" s="63"/>
    </row>
    <row r="856">
      <c r="A856" s="63"/>
      <c r="D856" s="63"/>
    </row>
    <row r="857">
      <c r="A857" s="63"/>
      <c r="D857" s="63"/>
    </row>
    <row r="858">
      <c r="A858" s="63"/>
      <c r="D858" s="63"/>
    </row>
    <row r="859">
      <c r="A859" s="63"/>
      <c r="D859" s="63"/>
    </row>
    <row r="860">
      <c r="A860" s="63"/>
      <c r="D860" s="63"/>
    </row>
    <row r="861">
      <c r="A861" s="63"/>
      <c r="D861" s="63"/>
    </row>
    <row r="862">
      <c r="A862" s="63"/>
      <c r="D862" s="63"/>
    </row>
    <row r="863">
      <c r="A863" s="63"/>
      <c r="D863" s="63"/>
    </row>
    <row r="864">
      <c r="A864" s="63"/>
      <c r="D864" s="63"/>
    </row>
    <row r="865">
      <c r="A865" s="63"/>
      <c r="D865" s="63"/>
    </row>
    <row r="866">
      <c r="A866" s="63"/>
      <c r="D866" s="63"/>
    </row>
    <row r="867">
      <c r="A867" s="63"/>
      <c r="D867" s="63"/>
    </row>
    <row r="868">
      <c r="A868" s="63"/>
      <c r="D868" s="63"/>
    </row>
    <row r="869">
      <c r="A869" s="63"/>
      <c r="D869" s="63"/>
    </row>
    <row r="870">
      <c r="A870" s="63"/>
      <c r="D870" s="63"/>
    </row>
    <row r="871">
      <c r="A871" s="63"/>
      <c r="D871" s="63"/>
    </row>
    <row r="872">
      <c r="A872" s="63"/>
      <c r="D872" s="63"/>
    </row>
    <row r="873">
      <c r="A873" s="63"/>
      <c r="D873" s="63"/>
    </row>
    <row r="874">
      <c r="A874" s="63"/>
      <c r="D874" s="63"/>
    </row>
    <row r="875">
      <c r="A875" s="63"/>
      <c r="D875" s="63"/>
    </row>
    <row r="876">
      <c r="A876" s="63"/>
      <c r="D876" s="63"/>
    </row>
    <row r="877">
      <c r="A877" s="63"/>
      <c r="D877" s="63"/>
    </row>
    <row r="878">
      <c r="A878" s="63"/>
      <c r="D878" s="63"/>
    </row>
    <row r="879">
      <c r="A879" s="63"/>
      <c r="D879" s="63"/>
    </row>
    <row r="880">
      <c r="A880" s="63"/>
      <c r="D880" s="63"/>
    </row>
    <row r="881">
      <c r="A881" s="63"/>
      <c r="D881" s="63"/>
    </row>
    <row r="882">
      <c r="A882" s="63"/>
      <c r="D882" s="63"/>
    </row>
    <row r="883">
      <c r="A883" s="63"/>
      <c r="D883" s="63"/>
    </row>
    <row r="884">
      <c r="A884" s="63"/>
      <c r="D884" s="63"/>
    </row>
    <row r="885">
      <c r="A885" s="63"/>
      <c r="D885" s="63"/>
    </row>
    <row r="886">
      <c r="A886" s="63"/>
      <c r="D886" s="63"/>
    </row>
    <row r="887">
      <c r="A887" s="63"/>
      <c r="D887" s="63"/>
    </row>
    <row r="888">
      <c r="A888" s="63"/>
      <c r="D888" s="63"/>
    </row>
    <row r="889">
      <c r="A889" s="63"/>
      <c r="D889" s="63"/>
    </row>
    <row r="890">
      <c r="A890" s="63"/>
      <c r="D890" s="63"/>
    </row>
    <row r="891">
      <c r="A891" s="63"/>
      <c r="D891" s="63"/>
    </row>
    <row r="892">
      <c r="A892" s="63"/>
      <c r="D892" s="63"/>
    </row>
    <row r="893">
      <c r="A893" s="63"/>
      <c r="D893" s="63"/>
    </row>
    <row r="894">
      <c r="A894" s="63"/>
      <c r="D894" s="63"/>
    </row>
    <row r="895">
      <c r="A895" s="63"/>
      <c r="D895" s="63"/>
    </row>
    <row r="896">
      <c r="A896" s="63"/>
      <c r="D896" s="63"/>
    </row>
    <row r="897">
      <c r="A897" s="63"/>
      <c r="D897" s="63"/>
    </row>
    <row r="898">
      <c r="A898" s="63"/>
      <c r="D898" s="63"/>
    </row>
    <row r="899">
      <c r="A899" s="63"/>
      <c r="D899" s="63"/>
    </row>
    <row r="900">
      <c r="A900" s="63"/>
      <c r="D900" s="63"/>
    </row>
    <row r="901">
      <c r="A901" s="63"/>
      <c r="D901" s="63"/>
    </row>
    <row r="902">
      <c r="A902" s="63"/>
      <c r="D902" s="63"/>
    </row>
    <row r="903">
      <c r="A903" s="63"/>
      <c r="D903" s="63"/>
    </row>
    <row r="904">
      <c r="A904" s="63"/>
      <c r="D904" s="63"/>
    </row>
    <row r="905">
      <c r="A905" s="63"/>
      <c r="D905" s="63"/>
    </row>
    <row r="906">
      <c r="A906" s="63"/>
      <c r="D906" s="63"/>
    </row>
    <row r="907">
      <c r="A907" s="63"/>
      <c r="D907" s="63"/>
    </row>
    <row r="908">
      <c r="A908" s="63"/>
      <c r="D908" s="63"/>
    </row>
    <row r="909">
      <c r="A909" s="63"/>
      <c r="D909" s="63"/>
    </row>
    <row r="910">
      <c r="A910" s="63"/>
      <c r="D910" s="63"/>
    </row>
    <row r="911">
      <c r="A911" s="63"/>
      <c r="D911" s="63"/>
    </row>
    <row r="912">
      <c r="A912" s="63"/>
      <c r="D912" s="63"/>
    </row>
    <row r="913">
      <c r="A913" s="63"/>
      <c r="D913" s="63"/>
    </row>
    <row r="914">
      <c r="A914" s="63"/>
      <c r="D914" s="63"/>
    </row>
    <row r="915">
      <c r="A915" s="63"/>
      <c r="D915" s="63"/>
    </row>
    <row r="916">
      <c r="A916" s="63"/>
      <c r="D916" s="63"/>
    </row>
    <row r="917">
      <c r="A917" s="63"/>
      <c r="D917" s="63"/>
    </row>
    <row r="918">
      <c r="A918" s="63"/>
      <c r="D918" s="63"/>
    </row>
    <row r="919">
      <c r="A919" s="63"/>
      <c r="D919" s="63"/>
    </row>
    <row r="920">
      <c r="A920" s="63"/>
      <c r="D920" s="63"/>
    </row>
    <row r="921">
      <c r="A921" s="63"/>
      <c r="D921" s="63"/>
    </row>
    <row r="922">
      <c r="A922" s="63"/>
      <c r="D922" s="63"/>
    </row>
    <row r="923">
      <c r="A923" s="63"/>
      <c r="D923" s="63"/>
    </row>
    <row r="924">
      <c r="A924" s="63"/>
      <c r="D924" s="63"/>
    </row>
    <row r="925">
      <c r="A925" s="63"/>
      <c r="D925" s="63"/>
    </row>
    <row r="926">
      <c r="A926" s="63"/>
      <c r="D926" s="63"/>
    </row>
    <row r="927">
      <c r="A927" s="63"/>
      <c r="D927" s="63"/>
    </row>
    <row r="928">
      <c r="A928" s="63"/>
      <c r="D928" s="63"/>
    </row>
    <row r="929">
      <c r="A929" s="63"/>
      <c r="D929" s="63"/>
    </row>
    <row r="930">
      <c r="A930" s="63"/>
      <c r="D930" s="63"/>
    </row>
    <row r="931">
      <c r="A931" s="63"/>
      <c r="D931" s="63"/>
    </row>
    <row r="932">
      <c r="A932" s="63"/>
      <c r="D932" s="63"/>
    </row>
    <row r="933">
      <c r="A933" s="63"/>
      <c r="D933" s="63"/>
    </row>
    <row r="934">
      <c r="A934" s="63"/>
      <c r="D934" s="63"/>
    </row>
    <row r="935">
      <c r="A935" s="63"/>
      <c r="D935" s="63"/>
    </row>
    <row r="936">
      <c r="A936" s="63"/>
      <c r="D936" s="63"/>
    </row>
    <row r="937">
      <c r="A937" s="63"/>
      <c r="D937" s="63"/>
    </row>
    <row r="938">
      <c r="A938" s="63"/>
      <c r="D938" s="63"/>
    </row>
    <row r="939">
      <c r="A939" s="63"/>
      <c r="D939" s="63"/>
    </row>
    <row r="940">
      <c r="A940" s="63"/>
      <c r="D940" s="63"/>
    </row>
    <row r="941">
      <c r="A941" s="63"/>
      <c r="D941" s="63"/>
    </row>
    <row r="942">
      <c r="A942" s="63"/>
      <c r="D942" s="63"/>
    </row>
    <row r="943">
      <c r="A943" s="63"/>
      <c r="D943" s="63"/>
    </row>
    <row r="944">
      <c r="A944" s="63"/>
      <c r="D944" s="63"/>
    </row>
    <row r="945">
      <c r="A945" s="63"/>
      <c r="D945" s="63"/>
    </row>
    <row r="946">
      <c r="A946" s="63"/>
      <c r="D946" s="63"/>
    </row>
    <row r="947">
      <c r="A947" s="63"/>
      <c r="D947" s="63"/>
    </row>
    <row r="948">
      <c r="A948" s="63"/>
      <c r="D948" s="63"/>
    </row>
    <row r="949">
      <c r="A949" s="63"/>
      <c r="D949" s="63"/>
    </row>
    <row r="950">
      <c r="A950" s="63"/>
      <c r="D950" s="63"/>
    </row>
    <row r="951">
      <c r="A951" s="63"/>
      <c r="D951" s="63"/>
    </row>
    <row r="952">
      <c r="A952" s="63"/>
      <c r="D952" s="63"/>
    </row>
    <row r="953">
      <c r="A953" s="63"/>
      <c r="D953" s="63"/>
    </row>
    <row r="954">
      <c r="A954" s="63"/>
      <c r="D954" s="63"/>
    </row>
    <row r="955">
      <c r="A955" s="63"/>
      <c r="D955" s="63"/>
    </row>
    <row r="956">
      <c r="A956" s="63"/>
      <c r="D956" s="63"/>
    </row>
    <row r="957">
      <c r="A957" s="63"/>
      <c r="D957" s="63"/>
    </row>
    <row r="958">
      <c r="A958" s="63"/>
      <c r="D958" s="63"/>
    </row>
    <row r="959">
      <c r="A959" s="63"/>
      <c r="D959" s="63"/>
    </row>
    <row r="960">
      <c r="A960" s="63"/>
      <c r="D960" s="63"/>
    </row>
    <row r="961">
      <c r="A961" s="63"/>
      <c r="D961" s="63"/>
    </row>
    <row r="962">
      <c r="A962" s="63"/>
      <c r="D962" s="63"/>
    </row>
    <row r="963">
      <c r="A963" s="63"/>
      <c r="D963" s="63"/>
    </row>
    <row r="964">
      <c r="A964" s="63"/>
      <c r="D964" s="63"/>
    </row>
    <row r="965">
      <c r="A965" s="63"/>
      <c r="D965" s="63"/>
    </row>
    <row r="966">
      <c r="A966" s="63"/>
      <c r="D966" s="63"/>
    </row>
    <row r="967">
      <c r="A967" s="63"/>
      <c r="D967" s="63"/>
    </row>
    <row r="968">
      <c r="A968" s="63"/>
      <c r="D968" s="63"/>
    </row>
    <row r="969">
      <c r="A969" s="63"/>
      <c r="D969" s="63"/>
    </row>
    <row r="970">
      <c r="A970" s="63"/>
      <c r="D970" s="63"/>
    </row>
    <row r="971">
      <c r="A971" s="63"/>
      <c r="D971" s="63"/>
    </row>
    <row r="972">
      <c r="A972" s="63"/>
      <c r="D972" s="63"/>
    </row>
    <row r="973">
      <c r="A973" s="63"/>
      <c r="D973" s="63"/>
    </row>
    <row r="974">
      <c r="A974" s="63"/>
      <c r="D974" s="63"/>
    </row>
    <row r="975">
      <c r="A975" s="63"/>
      <c r="D975" s="63"/>
    </row>
    <row r="976">
      <c r="A976" s="63"/>
      <c r="D976" s="63"/>
    </row>
    <row r="977">
      <c r="A977" s="63"/>
      <c r="D977" s="63"/>
    </row>
    <row r="978">
      <c r="A978" s="63"/>
      <c r="D978" s="63"/>
    </row>
    <row r="979">
      <c r="A979" s="63"/>
      <c r="D979" s="63"/>
    </row>
    <row r="980">
      <c r="A980" s="63"/>
      <c r="D980" s="63"/>
    </row>
    <row r="981">
      <c r="A981" s="63"/>
      <c r="D981" s="63"/>
    </row>
    <row r="982">
      <c r="A982" s="63"/>
      <c r="D982" s="63"/>
    </row>
    <row r="983">
      <c r="A983" s="63"/>
      <c r="D983" s="63"/>
    </row>
    <row r="984">
      <c r="A984" s="63"/>
      <c r="D984" s="63"/>
    </row>
    <row r="985">
      <c r="A985" s="63"/>
      <c r="D985" s="63"/>
    </row>
    <row r="986">
      <c r="A986" s="63"/>
      <c r="D986" s="63"/>
    </row>
    <row r="987">
      <c r="A987" s="63"/>
      <c r="D987" s="63"/>
    </row>
    <row r="988">
      <c r="A988" s="63"/>
      <c r="D988" s="63"/>
    </row>
    <row r="989">
      <c r="A989" s="63"/>
      <c r="D989" s="63"/>
    </row>
    <row r="990">
      <c r="A990" s="63"/>
      <c r="D990" s="63"/>
    </row>
    <row r="991">
      <c r="A991" s="63"/>
      <c r="D991" s="63"/>
    </row>
    <row r="992">
      <c r="A992" s="63"/>
      <c r="D992" s="63"/>
    </row>
    <row r="993">
      <c r="A993" s="63"/>
      <c r="D993" s="63"/>
    </row>
    <row r="994">
      <c r="A994" s="63"/>
      <c r="D994" s="63"/>
    </row>
    <row r="995">
      <c r="A995" s="63"/>
      <c r="D995" s="63"/>
    </row>
    <row r="996">
      <c r="A996" s="63"/>
      <c r="D996" s="63"/>
    </row>
    <row r="997">
      <c r="A997" s="63"/>
      <c r="D997" s="63"/>
    </row>
    <row r="998">
      <c r="A998" s="63"/>
      <c r="D998" s="63"/>
    </row>
    <row r="999">
      <c r="A999" s="63"/>
      <c r="D999" s="63"/>
    </row>
    <row r="1000">
      <c r="A1000" s="63"/>
      <c r="D1000" s="63"/>
    </row>
  </sheetData>
  <autoFilter ref="$A$1:$I$720"/>
  <hyperlinks>
    <hyperlink r:id="rId1" ref="D11"/>
    <hyperlink r:id="rId2" ref="D709"/>
    <hyperlink r:id="rId3" ref="D716"/>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38</v>
      </c>
      <c r="H1" s="51" t="s">
        <v>39</v>
      </c>
      <c r="I1" s="51" t="s">
        <v>40</v>
      </c>
      <c r="J1" s="51" t="s">
        <v>41</v>
      </c>
      <c r="K1" s="52" t="s">
        <v>42</v>
      </c>
      <c r="L1" s="53"/>
      <c r="M1" s="53"/>
      <c r="N1" s="53"/>
      <c r="O1" s="53"/>
      <c r="P1" s="53"/>
      <c r="Q1" s="53"/>
      <c r="R1" s="53"/>
      <c r="S1" s="53"/>
      <c r="T1" s="53"/>
      <c r="U1" s="53"/>
      <c r="V1" s="53"/>
      <c r="W1" s="53"/>
      <c r="X1" s="53"/>
      <c r="Y1" s="53"/>
    </row>
    <row r="2" ht="15.75" customHeight="1">
      <c r="A2" s="64">
        <v>45499.0</v>
      </c>
      <c r="B2" s="55" t="str">
        <f>HYPERLINK("https://jobright.ai/jobs/info/66a4401219b7c310f7f7644f?utm_campaign=1066&amp;utm_source=sheet", "Apply")</f>
        <v>Apply</v>
      </c>
      <c r="C2" s="10" t="s">
        <v>1571</v>
      </c>
      <c r="D2" s="65" t="s">
        <v>1572</v>
      </c>
      <c r="E2" s="10" t="s">
        <v>249</v>
      </c>
      <c r="F2" s="10" t="s">
        <v>1573</v>
      </c>
      <c r="G2" s="10" t="s">
        <v>106</v>
      </c>
      <c r="H2" s="10" t="s">
        <v>48</v>
      </c>
      <c r="J2" s="10" t="s">
        <v>1574</v>
      </c>
      <c r="K2" s="10" t="s">
        <v>42</v>
      </c>
    </row>
    <row r="3" ht="15.75" customHeight="1">
      <c r="A3" s="64">
        <v>45499.0</v>
      </c>
      <c r="B3" s="55" t="str">
        <f>HYPERLINK("https://jobright.ai/jobs/info/66959b86a70b2fb207aed7a7?utm_campaign=1066&amp;utm_source=sheet", "Apply")</f>
        <v>Apply</v>
      </c>
      <c r="C3" s="10" t="s">
        <v>1575</v>
      </c>
      <c r="D3" s="10" t="s">
        <v>1576</v>
      </c>
      <c r="E3" s="10" t="s">
        <v>45</v>
      </c>
      <c r="F3" s="10" t="s">
        <v>1577</v>
      </c>
      <c r="G3" s="10" t="s">
        <v>1578</v>
      </c>
      <c r="H3" s="10" t="s">
        <v>55</v>
      </c>
      <c r="I3" s="10" t="s">
        <v>1579</v>
      </c>
      <c r="J3" s="10" t="s">
        <v>1580</v>
      </c>
      <c r="K3" s="10" t="s">
        <v>42</v>
      </c>
    </row>
    <row r="4" ht="15.75" customHeight="1">
      <c r="A4" s="64">
        <v>45499.0</v>
      </c>
      <c r="B4" s="55" t="str">
        <f>HYPERLINK("https://jobright.ai/jobs/info/66a420605660965e6b3123a1?utm_campaign=1066&amp;utm_source=sheet", "Apply")</f>
        <v>Apply</v>
      </c>
      <c r="C4" s="10" t="s">
        <v>1581</v>
      </c>
      <c r="D4" s="10" t="s">
        <v>1582</v>
      </c>
      <c r="E4" s="10" t="s">
        <v>45</v>
      </c>
      <c r="F4" s="10" t="s">
        <v>665</v>
      </c>
      <c r="G4" s="10" t="s">
        <v>852</v>
      </c>
      <c r="H4" s="10" t="s">
        <v>55</v>
      </c>
      <c r="I4" s="10" t="s">
        <v>1583</v>
      </c>
      <c r="J4" s="10" t="s">
        <v>1584</v>
      </c>
      <c r="K4" s="10" t="s">
        <v>42</v>
      </c>
    </row>
    <row r="5" ht="15.75" customHeight="1">
      <c r="A5" s="64">
        <v>45499.0</v>
      </c>
      <c r="B5" s="55" t="str">
        <f>HYPERLINK("https://jobright.ai/jobs/info/66a40db8dfc0dce261462097?utm_campaign=1066&amp;utm_source=sheet", "Apply")</f>
        <v>Apply</v>
      </c>
      <c r="C5" s="10" t="s">
        <v>1585</v>
      </c>
      <c r="D5" s="10" t="s">
        <v>1586</v>
      </c>
      <c r="E5" s="10" t="s">
        <v>137</v>
      </c>
      <c r="F5" s="10" t="s">
        <v>1587</v>
      </c>
      <c r="G5" s="10" t="s">
        <v>170</v>
      </c>
      <c r="H5" s="10" t="s">
        <v>55</v>
      </c>
      <c r="J5" s="10" t="s">
        <v>1588</v>
      </c>
      <c r="K5" s="10" t="s">
        <v>42</v>
      </c>
    </row>
    <row r="6" ht="15.75" customHeight="1">
      <c r="A6" s="64">
        <v>45499.0</v>
      </c>
      <c r="B6" s="55" t="str">
        <f>HYPERLINK("https://jobright.ai/jobs/info/66a3f929c344e12ad5440fe0?utm_campaign=1066&amp;utm_source=sheet", "Apply")</f>
        <v>Apply</v>
      </c>
      <c r="C6" s="10" t="s">
        <v>1589</v>
      </c>
      <c r="D6" s="65" t="s">
        <v>1590</v>
      </c>
      <c r="G6" s="10" t="s">
        <v>251</v>
      </c>
      <c r="H6" s="10" t="s">
        <v>48</v>
      </c>
      <c r="J6" s="10" t="s">
        <v>1591</v>
      </c>
      <c r="K6" s="10" t="s">
        <v>42</v>
      </c>
    </row>
    <row r="7" ht="15.75" customHeight="1">
      <c r="A7" s="64">
        <v>45499.0</v>
      </c>
      <c r="B7" s="55" t="str">
        <f>HYPERLINK("https://jobright.ai/jobs/info/66a3f8f4c344e12ad5440c07?utm_campaign=1066&amp;utm_source=sheet", "Apply")</f>
        <v>Apply</v>
      </c>
      <c r="C7" s="10" t="s">
        <v>1592</v>
      </c>
      <c r="D7" s="10" t="s">
        <v>112</v>
      </c>
      <c r="G7" s="10" t="s">
        <v>113</v>
      </c>
      <c r="H7" s="10" t="s">
        <v>55</v>
      </c>
      <c r="J7" s="10" t="s">
        <v>1593</v>
      </c>
      <c r="K7" s="10" t="s">
        <v>42</v>
      </c>
    </row>
    <row r="8" ht="15.75" customHeight="1">
      <c r="A8" s="64">
        <v>45499.0</v>
      </c>
      <c r="B8" s="55" t="str">
        <f>HYPERLINK("https://jobright.ai/jobs/info/66a3e896b020465e7d35d056?utm_campaign=1066&amp;utm_source=sheet", "Apply")</f>
        <v>Apply</v>
      </c>
      <c r="C8" s="10" t="s">
        <v>1594</v>
      </c>
      <c r="D8" s="10" t="s">
        <v>1595</v>
      </c>
      <c r="E8" s="10" t="s">
        <v>249</v>
      </c>
      <c r="F8" s="10" t="s">
        <v>1596</v>
      </c>
      <c r="G8" s="10" t="s">
        <v>1254</v>
      </c>
      <c r="H8" s="10" t="s">
        <v>48</v>
      </c>
      <c r="I8" s="10" t="s">
        <v>1597</v>
      </c>
      <c r="J8" s="10" t="s">
        <v>1598</v>
      </c>
      <c r="K8" s="10" t="s">
        <v>42</v>
      </c>
    </row>
    <row r="9" ht="15.75" customHeight="1">
      <c r="A9" s="64">
        <v>45499.0</v>
      </c>
      <c r="B9" s="55" t="str">
        <f>HYPERLINK("https://jobright.ai/jobs/info/66a3e098e9ac0bc14c3a0219?utm_campaign=1066&amp;utm_source=sheet", "Apply")</f>
        <v>Apply</v>
      </c>
      <c r="C9" s="10" t="s">
        <v>1599</v>
      </c>
      <c r="D9" s="10" t="s">
        <v>1600</v>
      </c>
      <c r="E9" s="10" t="s">
        <v>45</v>
      </c>
      <c r="F9" s="10" t="s">
        <v>1601</v>
      </c>
      <c r="G9" s="10" t="s">
        <v>251</v>
      </c>
      <c r="H9" s="10" t="s">
        <v>252</v>
      </c>
      <c r="I9" s="10" t="s">
        <v>1602</v>
      </c>
      <c r="J9" s="10" t="s">
        <v>1603</v>
      </c>
      <c r="K9" s="10" t="s">
        <v>42</v>
      </c>
    </row>
    <row r="10" ht="15.75" customHeight="1">
      <c r="A10" s="64">
        <v>45499.0</v>
      </c>
      <c r="B10" s="55" t="str">
        <f>HYPERLINK("https://jobright.ai/jobs/info/66a3e145fa1e56eccb8f5063?utm_campaign=1066&amp;utm_source=sheet", "Apply")</f>
        <v>Apply</v>
      </c>
      <c r="C10" s="10" t="s">
        <v>1604</v>
      </c>
      <c r="D10" s="65" t="s">
        <v>1590</v>
      </c>
      <c r="G10" s="10" t="s">
        <v>251</v>
      </c>
      <c r="H10" s="10" t="s">
        <v>48</v>
      </c>
      <c r="J10" s="10" t="s">
        <v>1591</v>
      </c>
      <c r="K10" s="10" t="s">
        <v>42</v>
      </c>
    </row>
    <row r="11" ht="15.75" customHeight="1">
      <c r="A11" s="64">
        <v>45499.0</v>
      </c>
      <c r="B11" s="55" t="str">
        <f>HYPERLINK("https://jobright.ai/jobs/info/66a3e866b020465e7d35cce8?utm_campaign=1066&amp;utm_source=sheet", "Apply")</f>
        <v>Apply</v>
      </c>
      <c r="C11" s="10" t="s">
        <v>1605</v>
      </c>
      <c r="D11" s="10" t="s">
        <v>1606</v>
      </c>
      <c r="E11" s="10" t="s">
        <v>137</v>
      </c>
      <c r="F11" s="10" t="s">
        <v>1607</v>
      </c>
      <c r="G11" s="10" t="s">
        <v>170</v>
      </c>
      <c r="H11" s="10" t="s">
        <v>55</v>
      </c>
      <c r="I11" s="10" t="s">
        <v>1608</v>
      </c>
      <c r="J11" s="10" t="s">
        <v>1609</v>
      </c>
      <c r="K11" s="10" t="s">
        <v>42</v>
      </c>
    </row>
    <row r="12" ht="15.75" customHeight="1">
      <c r="A12" s="64">
        <v>45499.0</v>
      </c>
      <c r="B12" s="55" t="str">
        <f>HYPERLINK("https://jobright.ai/jobs/info/66a3ef8387fb29a0df3194eb?utm_campaign=1066&amp;utm_source=sheet", "Apply")</f>
        <v>Apply</v>
      </c>
      <c r="C12" s="10" t="s">
        <v>1610</v>
      </c>
      <c r="D12" s="10" t="s">
        <v>1611</v>
      </c>
      <c r="E12" s="10" t="s">
        <v>65</v>
      </c>
      <c r="F12" s="10" t="s">
        <v>1612</v>
      </c>
      <c r="G12" s="10" t="s">
        <v>1613</v>
      </c>
      <c r="H12" s="10" t="s">
        <v>55</v>
      </c>
      <c r="J12" s="10" t="s">
        <v>1614</v>
      </c>
      <c r="K12" s="10" t="s">
        <v>42</v>
      </c>
    </row>
    <row r="13" ht="15.75" customHeight="1">
      <c r="A13" s="64">
        <v>45499.0</v>
      </c>
      <c r="B13" s="55" t="str">
        <f>HYPERLINK("https://jobright.ai/jobs/info/66a3d2d9d7fee676c8404565?utm_campaign=1066&amp;utm_source=sheet", "Apply")</f>
        <v>Apply</v>
      </c>
      <c r="C13" s="10" t="s">
        <v>1615</v>
      </c>
      <c r="D13" s="10" t="s">
        <v>363</v>
      </c>
      <c r="E13" s="10" t="s">
        <v>209</v>
      </c>
      <c r="F13" s="10" t="s">
        <v>364</v>
      </c>
      <c r="G13" s="10" t="s">
        <v>365</v>
      </c>
      <c r="H13" s="10" t="s">
        <v>48</v>
      </c>
      <c r="I13" s="10" t="s">
        <v>1616</v>
      </c>
      <c r="J13" s="10" t="s">
        <v>1617</v>
      </c>
      <c r="K13" s="10" t="s">
        <v>42</v>
      </c>
    </row>
    <row r="14" ht="15.75" customHeight="1">
      <c r="A14" s="64">
        <v>45499.0</v>
      </c>
      <c r="B14" s="55" t="str">
        <f>HYPERLINK("https://jobright.ai/jobs/info/66a3d2d9d7fee676c840456d?utm_campaign=1066&amp;utm_source=sheet", "Apply")</f>
        <v>Apply</v>
      </c>
      <c r="C14" s="10" t="s">
        <v>1618</v>
      </c>
      <c r="D14" s="10" t="s">
        <v>363</v>
      </c>
      <c r="E14" s="10" t="s">
        <v>209</v>
      </c>
      <c r="F14" s="10" t="s">
        <v>364</v>
      </c>
      <c r="G14" s="10" t="s">
        <v>365</v>
      </c>
      <c r="H14" s="10" t="s">
        <v>48</v>
      </c>
      <c r="I14" s="10" t="s">
        <v>718</v>
      </c>
      <c r="J14" s="10" t="s">
        <v>1617</v>
      </c>
      <c r="K14" s="10" t="s">
        <v>42</v>
      </c>
    </row>
    <row r="15" ht="15.75" customHeight="1">
      <c r="A15" s="64">
        <v>45499.0</v>
      </c>
      <c r="B15" s="55" t="str">
        <f>HYPERLINK("https://jobright.ai/jobs/info/667d7e3d140fa53c5cee687b?utm_campaign=1066&amp;utm_source=sheet", "Apply")</f>
        <v>Apply</v>
      </c>
      <c r="C15" s="10" t="s">
        <v>1619</v>
      </c>
      <c r="D15" s="10" t="s">
        <v>1620</v>
      </c>
      <c r="E15" s="10" t="s">
        <v>137</v>
      </c>
      <c r="F15" s="10" t="s">
        <v>1621</v>
      </c>
      <c r="G15" s="10" t="s">
        <v>1004</v>
      </c>
      <c r="H15" s="10" t="s">
        <v>55</v>
      </c>
      <c r="J15" s="10" t="s">
        <v>1622</v>
      </c>
      <c r="K15" s="10" t="s">
        <v>42</v>
      </c>
    </row>
    <row r="16" ht="15.75" customHeight="1">
      <c r="A16" s="64">
        <v>45499.0</v>
      </c>
      <c r="B16" s="55" t="str">
        <f>HYPERLINK("https://jobright.ai/jobs/info/66a300a97dca4d6b69dbb7b4?utm_campaign=1066&amp;utm_source=sheet", "Apply")</f>
        <v>Apply</v>
      </c>
      <c r="C16" s="10" t="s">
        <v>1623</v>
      </c>
      <c r="D16" s="10" t="s">
        <v>1624</v>
      </c>
      <c r="E16" s="10" t="s">
        <v>137</v>
      </c>
      <c r="F16" s="10" t="s">
        <v>1625</v>
      </c>
      <c r="G16" s="10" t="s">
        <v>165</v>
      </c>
      <c r="H16" s="10" t="s">
        <v>55</v>
      </c>
      <c r="I16" s="10" t="s">
        <v>521</v>
      </c>
      <c r="J16" s="10" t="s">
        <v>1626</v>
      </c>
      <c r="K16" s="10" t="s">
        <v>42</v>
      </c>
    </row>
    <row r="17" ht="15.75" customHeight="1">
      <c r="A17" s="64">
        <v>45499.0</v>
      </c>
      <c r="B17" s="55" t="str">
        <f>HYPERLINK("https://jobright.ai/jobs/info/66a440e1873a8e6a47a702c5?utm_campaign=1066&amp;utm_source=sheet", "Apply")</f>
        <v>Apply</v>
      </c>
      <c r="C17" s="10" t="s">
        <v>1627</v>
      </c>
      <c r="D17" s="10" t="s">
        <v>363</v>
      </c>
      <c r="E17" s="10" t="s">
        <v>209</v>
      </c>
      <c r="F17" s="10" t="s">
        <v>364</v>
      </c>
      <c r="G17" s="10" t="s">
        <v>511</v>
      </c>
      <c r="H17" s="10" t="s">
        <v>55</v>
      </c>
      <c r="I17" s="10" t="s">
        <v>1628</v>
      </c>
      <c r="J17" s="10" t="s">
        <v>1629</v>
      </c>
      <c r="K17" s="10" t="s">
        <v>42</v>
      </c>
    </row>
    <row r="18" ht="15.75" customHeight="1">
      <c r="A18" s="64">
        <v>45499.0</v>
      </c>
      <c r="B18" s="55" t="str">
        <f>HYPERLINK("https://jobright.ai/jobs/info/66a3ebea2593efae15efd2c3?utm_campaign=1066&amp;utm_source=sheet", "Apply")</f>
        <v>Apply</v>
      </c>
      <c r="C18" s="10" t="s">
        <v>1630</v>
      </c>
      <c r="D18" s="10" t="s">
        <v>1631</v>
      </c>
      <c r="E18" s="10" t="s">
        <v>45</v>
      </c>
      <c r="F18" s="10" t="s">
        <v>1632</v>
      </c>
      <c r="G18" s="10" t="s">
        <v>1633</v>
      </c>
      <c r="H18" s="10" t="s">
        <v>55</v>
      </c>
      <c r="J18" s="10" t="s">
        <v>1634</v>
      </c>
      <c r="K18" s="10" t="s">
        <v>42</v>
      </c>
    </row>
    <row r="19" ht="15.75" customHeight="1">
      <c r="A19" s="64">
        <v>45498.0</v>
      </c>
      <c r="B19" s="55" t="str">
        <f>HYPERLINK("https://jobright.ai/jobs/info/66a2fc1d7d87c2086e260c92?utm_campaign=1066&amp;utm_source=sheet", "Apply")</f>
        <v>Apply</v>
      </c>
      <c r="C19" s="10" t="s">
        <v>1635</v>
      </c>
      <c r="D19" s="10" t="s">
        <v>1636</v>
      </c>
      <c r="E19" s="10">
        <v>6029.0</v>
      </c>
      <c r="G19" s="10" t="s">
        <v>170</v>
      </c>
      <c r="H19" s="10" t="s">
        <v>55</v>
      </c>
      <c r="I19" s="10" t="s">
        <v>1637</v>
      </c>
      <c r="J19" s="10" t="s">
        <v>1638</v>
      </c>
      <c r="K19" s="10" t="s">
        <v>42</v>
      </c>
    </row>
    <row r="20" ht="15.75" customHeight="1">
      <c r="A20" s="64">
        <v>45498.0</v>
      </c>
      <c r="B20" s="55" t="str">
        <f>HYPERLINK("https://jobright.ai/jobs/info/66a2ec79367ed95d6cc2848e?utm_campaign=1066&amp;utm_source=sheet", "Apply")</f>
        <v>Apply</v>
      </c>
      <c r="C20" s="10" t="s">
        <v>1639</v>
      </c>
      <c r="D20" s="10" t="s">
        <v>1640</v>
      </c>
      <c r="E20" s="10" t="s">
        <v>276</v>
      </c>
      <c r="F20" s="10" t="s">
        <v>1641</v>
      </c>
      <c r="G20" s="10" t="s">
        <v>1642</v>
      </c>
      <c r="H20" s="10" t="s">
        <v>48</v>
      </c>
      <c r="I20" s="10" t="s">
        <v>581</v>
      </c>
      <c r="J20" s="10" t="s">
        <v>1643</v>
      </c>
      <c r="K20" s="10" t="s">
        <v>42</v>
      </c>
    </row>
    <row r="21" ht="15.75" customHeight="1">
      <c r="A21" s="64">
        <v>45498.0</v>
      </c>
      <c r="B21" s="55" t="str">
        <f>HYPERLINK("https://jobright.ai/jobs/info/66a2fc267d87c2086e260d8b?utm_campaign=1066&amp;utm_source=sheet", "Apply")</f>
        <v>Apply</v>
      </c>
      <c r="C21" s="10" t="s">
        <v>1644</v>
      </c>
      <c r="D21" s="10" t="s">
        <v>1645</v>
      </c>
      <c r="E21" s="10" t="s">
        <v>65</v>
      </c>
      <c r="F21" s="10" t="s">
        <v>1646</v>
      </c>
      <c r="G21" s="10" t="s">
        <v>1647</v>
      </c>
      <c r="H21" s="10" t="s">
        <v>55</v>
      </c>
      <c r="J21" s="10" t="s">
        <v>1648</v>
      </c>
      <c r="K21" s="10" t="s">
        <v>42</v>
      </c>
    </row>
    <row r="22" ht="15.75" customHeight="1">
      <c r="A22" s="64">
        <v>45498.0</v>
      </c>
      <c r="B22" s="55" t="str">
        <f>HYPERLINK("https://jobright.ai/jobs/info/66a2c83bb4785fcea1faf8a6?utm_campaign=1066&amp;utm_source=sheet", "Apply")</f>
        <v>Apply</v>
      </c>
      <c r="C22" s="10" t="s">
        <v>1649</v>
      </c>
      <c r="D22" s="10" t="s">
        <v>1650</v>
      </c>
      <c r="E22" s="10" t="s">
        <v>209</v>
      </c>
      <c r="F22" s="10" t="s">
        <v>1243</v>
      </c>
      <c r="G22" s="10" t="s">
        <v>96</v>
      </c>
      <c r="H22" s="10" t="s">
        <v>252</v>
      </c>
      <c r="J22" s="10" t="s">
        <v>1651</v>
      </c>
      <c r="K22" s="10" t="s">
        <v>42</v>
      </c>
    </row>
    <row r="23" ht="15.75" customHeight="1">
      <c r="A23" s="64">
        <v>45498.0</v>
      </c>
      <c r="B23" s="55" t="str">
        <f>HYPERLINK("https://jobright.ai/jobs/info/66a2c4c33b534eca8d58b4be?utm_campaign=1066&amp;utm_source=sheet", "Apply")</f>
        <v>Apply</v>
      </c>
      <c r="C23" s="10" t="s">
        <v>1594</v>
      </c>
      <c r="D23" s="10" t="s">
        <v>1595</v>
      </c>
      <c r="E23" s="10" t="s">
        <v>249</v>
      </c>
      <c r="F23" s="10" t="s">
        <v>1596</v>
      </c>
      <c r="G23" s="10" t="s">
        <v>1254</v>
      </c>
      <c r="H23" s="10" t="s">
        <v>48</v>
      </c>
      <c r="I23" s="10" t="s">
        <v>1597</v>
      </c>
      <c r="J23" s="10" t="s">
        <v>1598</v>
      </c>
      <c r="K23" s="10" t="s">
        <v>42</v>
      </c>
    </row>
    <row r="24" ht="15.75" customHeight="1">
      <c r="A24" s="64">
        <v>45498.0</v>
      </c>
      <c r="B24" s="55" t="str">
        <f>HYPERLINK("https://jobright.ai/jobs/info/66a2865dd66426836b5aa1dd?utm_campaign=1066&amp;utm_source=sheet", "Apply")</f>
        <v>Apply</v>
      </c>
      <c r="C24" s="10" t="s">
        <v>1652</v>
      </c>
      <c r="D24" s="10" t="s">
        <v>1653</v>
      </c>
      <c r="E24" s="10" t="s">
        <v>45</v>
      </c>
      <c r="F24" s="10" t="s">
        <v>1654</v>
      </c>
      <c r="G24" s="10" t="s">
        <v>96</v>
      </c>
      <c r="H24" s="10" t="s">
        <v>48</v>
      </c>
      <c r="J24" s="10" t="s">
        <v>1655</v>
      </c>
      <c r="K24" s="10" t="s">
        <v>42</v>
      </c>
    </row>
    <row r="25" ht="15.75" customHeight="1">
      <c r="A25" s="64">
        <v>45498.0</v>
      </c>
      <c r="B25" s="55" t="str">
        <f>HYPERLINK("https://jobright.ai/jobs/info/66a2ae26374aae0bd085fc20?utm_campaign=1066&amp;utm_source=sheet", "Apply")</f>
        <v>Apply</v>
      </c>
      <c r="C25" s="10" t="s">
        <v>1656</v>
      </c>
      <c r="D25" s="10" t="s">
        <v>1657</v>
      </c>
      <c r="E25" s="10" t="s">
        <v>79</v>
      </c>
      <c r="F25" s="10" t="s">
        <v>10</v>
      </c>
      <c r="G25" s="10" t="s">
        <v>251</v>
      </c>
      <c r="H25" s="10" t="s">
        <v>48</v>
      </c>
      <c r="J25" s="10" t="s">
        <v>1658</v>
      </c>
      <c r="K25" s="10" t="s">
        <v>42</v>
      </c>
    </row>
    <row r="26" ht="15.75" customHeight="1">
      <c r="A26" s="64">
        <v>45498.0</v>
      </c>
      <c r="B26" s="55" t="str">
        <f>HYPERLINK("https://jobright.ai/jobs/info/66a26f0e4a58115fdebd6582?utm_campaign=1066&amp;utm_source=sheet", "Apply")</f>
        <v>Apply</v>
      </c>
      <c r="C26" s="10" t="s">
        <v>1659</v>
      </c>
      <c r="D26" s="10" t="s">
        <v>659</v>
      </c>
      <c r="E26" s="10" t="s">
        <v>249</v>
      </c>
      <c r="F26" s="10" t="s">
        <v>660</v>
      </c>
      <c r="G26" s="10" t="s">
        <v>661</v>
      </c>
      <c r="H26" s="10" t="s">
        <v>55</v>
      </c>
      <c r="J26" s="10" t="s">
        <v>1660</v>
      </c>
      <c r="K26" s="10" t="s">
        <v>42</v>
      </c>
    </row>
    <row r="27" ht="15.75" customHeight="1">
      <c r="A27" s="64">
        <v>45498.0</v>
      </c>
      <c r="B27" s="55" t="str">
        <f>HYPERLINK("https://jobright.ai/jobs/info/66a2560381ad172a3785486d?utm_campaign=1066&amp;utm_source=sheet", "Apply")</f>
        <v>Apply</v>
      </c>
      <c r="C27" s="10" t="s">
        <v>1661</v>
      </c>
      <c r="D27" s="10" t="s">
        <v>1662</v>
      </c>
      <c r="E27" s="10" t="s">
        <v>209</v>
      </c>
      <c r="F27" s="10" t="s">
        <v>1663</v>
      </c>
      <c r="G27" s="10" t="s">
        <v>1664</v>
      </c>
      <c r="H27" s="10" t="s">
        <v>55</v>
      </c>
      <c r="J27" s="10" t="s">
        <v>1665</v>
      </c>
      <c r="K27" s="10" t="s">
        <v>42</v>
      </c>
    </row>
    <row r="28" ht="15.75" customHeight="1">
      <c r="A28" s="64">
        <v>45498.0</v>
      </c>
      <c r="B28" s="55" t="str">
        <f>HYPERLINK("https://jobright.ai/jobs/info/668bd0551ee13446bb245d17?utm_campaign=1066&amp;utm_source=sheet", "Apply")</f>
        <v>Apply</v>
      </c>
      <c r="C28" s="10" t="s">
        <v>1666</v>
      </c>
      <c r="D28" s="10" t="s">
        <v>1667</v>
      </c>
      <c r="E28" s="10">
        <v>37644.0</v>
      </c>
      <c r="G28" s="10" t="s">
        <v>170</v>
      </c>
      <c r="H28" s="10" t="s">
        <v>55</v>
      </c>
      <c r="I28" s="10" t="s">
        <v>1668</v>
      </c>
      <c r="J28" s="10" t="s">
        <v>1669</v>
      </c>
      <c r="K28" s="10" t="s">
        <v>42</v>
      </c>
    </row>
    <row r="29" ht="15.75" customHeight="1">
      <c r="A29" s="64">
        <v>45498.0</v>
      </c>
      <c r="B29" s="55" t="str">
        <f>HYPERLINK("https://jobright.ai/jobs/info/66a266dd5297dc7b7d57f6d6?utm_campaign=1066&amp;utm_source=sheet", "Apply")</f>
        <v>Apply</v>
      </c>
      <c r="C29" s="10" t="s">
        <v>1670</v>
      </c>
      <c r="D29" s="10" t="s">
        <v>1671</v>
      </c>
      <c r="E29" s="10" t="s">
        <v>65</v>
      </c>
      <c r="F29" s="10" t="s">
        <v>1234</v>
      </c>
      <c r="G29" s="10" t="s">
        <v>1672</v>
      </c>
      <c r="H29" s="10" t="s">
        <v>55</v>
      </c>
      <c r="J29" s="10" t="s">
        <v>1673</v>
      </c>
      <c r="K29" s="10" t="s">
        <v>42</v>
      </c>
    </row>
    <row r="30" ht="15.75" customHeight="1">
      <c r="A30" s="64">
        <v>45498.0</v>
      </c>
      <c r="B30" s="55" t="str">
        <f>HYPERLINK("https://jobright.ai/jobs/info/66a35752b1561ee63493e799?utm_campaign=1066&amp;utm_source=sheet", "Apply")</f>
        <v>Apply</v>
      </c>
      <c r="C30" s="10" t="s">
        <v>1674</v>
      </c>
      <c r="D30" s="10" t="s">
        <v>1675</v>
      </c>
      <c r="E30" s="10" t="s">
        <v>45</v>
      </c>
      <c r="F30" s="10" t="s">
        <v>1676</v>
      </c>
      <c r="G30" s="10" t="s">
        <v>1677</v>
      </c>
      <c r="H30" s="10" t="s">
        <v>55</v>
      </c>
      <c r="I30" s="10" t="s">
        <v>1678</v>
      </c>
      <c r="J30" s="10" t="s">
        <v>1679</v>
      </c>
      <c r="K30" s="10" t="s">
        <v>42</v>
      </c>
    </row>
    <row r="31" ht="15.75" customHeight="1">
      <c r="A31" s="64">
        <v>45498.0</v>
      </c>
      <c r="B31" s="55" t="str">
        <f>HYPERLINK("https://jobright.ai/jobs/info/66a35752b1561ee63493e796?utm_campaign=1066&amp;utm_source=sheet", "Apply")</f>
        <v>Apply</v>
      </c>
      <c r="C31" s="10" t="s">
        <v>1680</v>
      </c>
      <c r="D31" s="10" t="s">
        <v>1675</v>
      </c>
      <c r="E31" s="10" t="s">
        <v>45</v>
      </c>
      <c r="F31" s="10" t="s">
        <v>1676</v>
      </c>
      <c r="G31" s="10" t="s">
        <v>1677</v>
      </c>
      <c r="H31" s="10" t="s">
        <v>55</v>
      </c>
      <c r="I31" s="10" t="s">
        <v>1681</v>
      </c>
      <c r="J31" s="10" t="s">
        <v>1682</v>
      </c>
      <c r="K31" s="10" t="s">
        <v>42</v>
      </c>
    </row>
    <row r="32" ht="15.75" customHeight="1">
      <c r="A32" s="64">
        <v>45498.0</v>
      </c>
      <c r="B32" s="55" t="str">
        <f>HYPERLINK("https://jobright.ai/jobs/info/66a29d10aac12ae5af2e1c46?utm_campaign=1066&amp;utm_source=sheet", "Apply")</f>
        <v>Apply</v>
      </c>
      <c r="C32" s="10" t="s">
        <v>1615</v>
      </c>
      <c r="D32" s="10" t="s">
        <v>363</v>
      </c>
      <c r="E32" s="10" t="s">
        <v>209</v>
      </c>
      <c r="F32" s="10" t="s">
        <v>364</v>
      </c>
      <c r="G32" s="10" t="s">
        <v>511</v>
      </c>
      <c r="H32" s="10" t="s">
        <v>55</v>
      </c>
      <c r="I32" s="10" t="s">
        <v>1616</v>
      </c>
      <c r="J32" s="10" t="s">
        <v>1617</v>
      </c>
      <c r="K32" s="10" t="s">
        <v>42</v>
      </c>
    </row>
    <row r="33" ht="15.75" customHeight="1">
      <c r="A33" s="64">
        <v>45498.0</v>
      </c>
      <c r="B33" s="55" t="str">
        <f>HYPERLINK("https://jobright.ai/jobs/info/66a29d10aac12ae5af2e1c38?utm_campaign=1066&amp;utm_source=sheet", "Apply")</f>
        <v>Apply</v>
      </c>
      <c r="C33" s="10" t="s">
        <v>1618</v>
      </c>
      <c r="D33" s="10" t="s">
        <v>363</v>
      </c>
      <c r="E33" s="10" t="s">
        <v>209</v>
      </c>
      <c r="F33" s="10" t="s">
        <v>364</v>
      </c>
      <c r="G33" s="10" t="s">
        <v>511</v>
      </c>
      <c r="H33" s="10" t="s">
        <v>55</v>
      </c>
      <c r="I33" s="10" t="s">
        <v>718</v>
      </c>
      <c r="J33" s="10" t="s">
        <v>1617</v>
      </c>
      <c r="K33" s="10" t="s">
        <v>42</v>
      </c>
    </row>
    <row r="34" ht="15.75" customHeight="1">
      <c r="A34" s="64">
        <v>45497.0</v>
      </c>
      <c r="B34" s="55" t="str">
        <f>HYPERLINK("https://jobright.ai/jobs/info/66a13b2a64d0e1054c2d35b8?utm_campaign=1066&amp;utm_source=sheet", "Apply")</f>
        <v>Apply</v>
      </c>
      <c r="C34" s="10" t="s">
        <v>1683</v>
      </c>
      <c r="D34" s="10" t="s">
        <v>1684</v>
      </c>
      <c r="E34" s="10" t="s">
        <v>209</v>
      </c>
      <c r="F34" s="10" t="s">
        <v>1685</v>
      </c>
      <c r="G34" s="10" t="s">
        <v>1168</v>
      </c>
      <c r="H34" s="10" t="s">
        <v>55</v>
      </c>
      <c r="I34" s="10" t="s">
        <v>1686</v>
      </c>
      <c r="J34" s="10" t="s">
        <v>1687</v>
      </c>
      <c r="K34" s="10" t="s">
        <v>42</v>
      </c>
    </row>
    <row r="35" ht="15.75" customHeight="1">
      <c r="A35" s="64">
        <v>45497.0</v>
      </c>
      <c r="B35" s="55" t="str">
        <f>HYPERLINK("https://jobright.ai/jobs/info/66a13b2a64d0e1054c2d35bd?utm_campaign=1066&amp;utm_source=sheet", "Apply")</f>
        <v>Apply</v>
      </c>
      <c r="C35" s="10" t="s">
        <v>1683</v>
      </c>
      <c r="D35" s="10" t="s">
        <v>1684</v>
      </c>
      <c r="E35" s="10" t="s">
        <v>209</v>
      </c>
      <c r="F35" s="10" t="s">
        <v>1685</v>
      </c>
      <c r="G35" s="10" t="s">
        <v>1688</v>
      </c>
      <c r="H35" s="10" t="s">
        <v>55</v>
      </c>
      <c r="I35" s="10" t="s">
        <v>1686</v>
      </c>
      <c r="J35" s="10" t="s">
        <v>1687</v>
      </c>
      <c r="K35" s="10" t="s">
        <v>42</v>
      </c>
    </row>
    <row r="36" ht="15.75" customHeight="1">
      <c r="A36" s="64">
        <v>45497.0</v>
      </c>
      <c r="B36" s="55" t="str">
        <f>HYPERLINK("https://jobright.ai/jobs/info/66756b59e2a826d24a0dfe52?utm_campaign=1066&amp;utm_source=sheet", "Apply")</f>
        <v>Apply</v>
      </c>
      <c r="C36" s="10" t="s">
        <v>1689</v>
      </c>
      <c r="D36" s="10" t="s">
        <v>1690</v>
      </c>
      <c r="E36" s="10" t="s">
        <v>45</v>
      </c>
      <c r="F36" s="10" t="s">
        <v>564</v>
      </c>
      <c r="G36" s="10" t="s">
        <v>1691</v>
      </c>
      <c r="H36" s="10" t="s">
        <v>48</v>
      </c>
      <c r="J36" s="10" t="s">
        <v>1692</v>
      </c>
      <c r="K36" s="10" t="s">
        <v>42</v>
      </c>
    </row>
    <row r="37" ht="15.75" customHeight="1">
      <c r="A37" s="64">
        <v>45497.0</v>
      </c>
      <c r="B37" s="55" t="str">
        <f>HYPERLINK("https://jobright.ai/jobs/info/6695950a99f444f1f8ded245?utm_campaign=1066&amp;utm_source=sheet", "Apply")</f>
        <v>Apply</v>
      </c>
      <c r="C37" s="10" t="s">
        <v>1693</v>
      </c>
      <c r="D37" s="10" t="s">
        <v>1694</v>
      </c>
      <c r="E37" s="10" t="s">
        <v>276</v>
      </c>
      <c r="F37" s="10" t="s">
        <v>1695</v>
      </c>
      <c r="G37" s="10" t="s">
        <v>1696</v>
      </c>
      <c r="H37" s="10" t="s">
        <v>48</v>
      </c>
      <c r="J37" s="10" t="s">
        <v>1697</v>
      </c>
      <c r="K37" s="10" t="s">
        <v>42</v>
      </c>
    </row>
    <row r="38" ht="15.75" customHeight="1">
      <c r="A38" s="64">
        <v>45497.0</v>
      </c>
      <c r="B38" s="55" t="str">
        <f>HYPERLINK("https://jobright.ai/jobs/info/66a1243c85ae6ab080d79e6e?utm_campaign=1066&amp;utm_source=sheet", "Apply")</f>
        <v>Apply</v>
      </c>
      <c r="C38" s="10" t="s">
        <v>1698</v>
      </c>
      <c r="D38" s="10" t="s">
        <v>1699</v>
      </c>
      <c r="E38" s="10" t="s">
        <v>45</v>
      </c>
      <c r="F38" s="10" t="s">
        <v>1700</v>
      </c>
      <c r="G38" s="10" t="s">
        <v>131</v>
      </c>
      <c r="H38" s="10" t="s">
        <v>55</v>
      </c>
      <c r="J38" s="10" t="s">
        <v>1701</v>
      </c>
      <c r="K38" s="10" t="s">
        <v>42</v>
      </c>
    </row>
    <row r="39" ht="15.75" customHeight="1">
      <c r="A39" s="64">
        <v>45497.0</v>
      </c>
      <c r="B39" s="55" t="str">
        <f>HYPERLINK("https://jobright.ai/jobs/info/66a1208b6e4fe12a323cecca?utm_campaign=1066&amp;utm_source=sheet", "Apply")</f>
        <v>Apply</v>
      </c>
      <c r="C39" s="10" t="s">
        <v>1702</v>
      </c>
      <c r="D39" s="10" t="s">
        <v>1703</v>
      </c>
      <c r="E39" s="10" t="s">
        <v>249</v>
      </c>
      <c r="F39" s="10" t="s">
        <v>1704</v>
      </c>
      <c r="G39" s="10" t="s">
        <v>251</v>
      </c>
      <c r="H39" s="10" t="s">
        <v>252</v>
      </c>
      <c r="J39" s="10" t="s">
        <v>1705</v>
      </c>
      <c r="K39" s="10" t="s">
        <v>42</v>
      </c>
    </row>
    <row r="40" ht="15.75" customHeight="1">
      <c r="A40" s="64">
        <v>45497.0</v>
      </c>
      <c r="B40" s="55" t="str">
        <f>HYPERLINK("https://jobright.ai/jobs/info/66a3e8bbb020465e7d35d391?utm_campaign=1066&amp;utm_source=sheet", "Apply")</f>
        <v>Apply</v>
      </c>
      <c r="C40" s="10" t="s">
        <v>1706</v>
      </c>
      <c r="D40" s="10" t="s">
        <v>1707</v>
      </c>
      <c r="E40" s="10" t="s">
        <v>45</v>
      </c>
      <c r="F40" s="10" t="s">
        <v>1708</v>
      </c>
      <c r="G40" s="10" t="s">
        <v>1709</v>
      </c>
      <c r="H40" s="10" t="s">
        <v>55</v>
      </c>
      <c r="J40" s="10" t="s">
        <v>1710</v>
      </c>
      <c r="K40" s="10" t="s">
        <v>42</v>
      </c>
    </row>
    <row r="41" ht="15.75" customHeight="1">
      <c r="A41" s="64">
        <v>45497.0</v>
      </c>
      <c r="B41" s="55" t="str">
        <f>HYPERLINK("https://jobright.ai/jobs/info/66a23288e578354a2d2156b6?utm_campaign=1066&amp;utm_source=sheet", "Apply")</f>
        <v>Apply</v>
      </c>
      <c r="C41" s="10" t="s">
        <v>1711</v>
      </c>
      <c r="D41" s="10" t="s">
        <v>1662</v>
      </c>
      <c r="E41" s="10" t="s">
        <v>209</v>
      </c>
      <c r="F41" s="10" t="s">
        <v>1663</v>
      </c>
      <c r="G41" s="10" t="s">
        <v>167</v>
      </c>
      <c r="H41" s="10" t="s">
        <v>55</v>
      </c>
      <c r="I41" s="10" t="s">
        <v>1712</v>
      </c>
      <c r="J41" s="10" t="s">
        <v>1713</v>
      </c>
      <c r="K41" s="10" t="s">
        <v>42</v>
      </c>
    </row>
    <row r="42" ht="15.75" customHeight="1">
      <c r="A42" s="64">
        <v>45497.0</v>
      </c>
      <c r="B42" s="55" t="str">
        <f>HYPERLINK("https://jobright.ai/jobs/info/66677f1f66a7c6e425166c5e?utm_campaign=1066&amp;utm_source=sheet", "Apply")</f>
        <v>Apply</v>
      </c>
      <c r="C42" s="10" t="s">
        <v>1714</v>
      </c>
      <c r="D42" s="10" t="s">
        <v>180</v>
      </c>
      <c r="E42" s="10">
        <v>3092.0</v>
      </c>
      <c r="G42" s="10" t="s">
        <v>181</v>
      </c>
      <c r="H42" s="10" t="s">
        <v>55</v>
      </c>
      <c r="J42" s="10" t="s">
        <v>1715</v>
      </c>
      <c r="K42" s="10" t="s">
        <v>42</v>
      </c>
    </row>
    <row r="43" ht="15.75" customHeight="1">
      <c r="A43" s="64">
        <v>45497.0</v>
      </c>
      <c r="B43" s="55" t="str">
        <f>HYPERLINK("https://jobright.ai/jobs/info/6676d55c1d12b08259383741?utm_campaign=1066&amp;utm_source=sheet", "Apply")</f>
        <v>Apply</v>
      </c>
      <c r="C43" s="10" t="s">
        <v>1716</v>
      </c>
      <c r="D43" s="10" t="s">
        <v>1717</v>
      </c>
      <c r="E43" s="10" t="s">
        <v>209</v>
      </c>
      <c r="F43" s="10" t="s">
        <v>1234</v>
      </c>
      <c r="G43" s="10" t="s">
        <v>354</v>
      </c>
      <c r="H43" s="10" t="s">
        <v>55</v>
      </c>
      <c r="J43" s="10" t="s">
        <v>1718</v>
      </c>
      <c r="K43" s="10" t="s">
        <v>42</v>
      </c>
    </row>
    <row r="44" ht="15.75" customHeight="1">
      <c r="A44" s="64">
        <v>45497.0</v>
      </c>
      <c r="B44" s="55" t="str">
        <f>HYPERLINK("https://jobright.ai/jobs/info/66a119efc7fbcc554782a573?utm_campaign=1066&amp;utm_source=sheet", "Apply")</f>
        <v>Apply</v>
      </c>
      <c r="C44" s="10" t="s">
        <v>1698</v>
      </c>
      <c r="D44" s="10" t="s">
        <v>1699</v>
      </c>
      <c r="E44" s="10" t="s">
        <v>45</v>
      </c>
      <c r="F44" s="10" t="s">
        <v>1700</v>
      </c>
      <c r="G44" s="10" t="s">
        <v>1719</v>
      </c>
      <c r="H44" s="10" t="s">
        <v>55</v>
      </c>
      <c r="J44" s="10" t="s">
        <v>1720</v>
      </c>
      <c r="K44" s="10" t="s">
        <v>42</v>
      </c>
    </row>
    <row r="45" ht="15.75" customHeight="1">
      <c r="A45" s="64">
        <v>45496.0</v>
      </c>
      <c r="B45" s="55" t="str">
        <f>HYPERLINK("https://jobright.ai/jobs/info/6698fc7f4a6cb2aa5490ab0e?utm_campaign=1066&amp;utm_source=sheet", "Apply")</f>
        <v>Apply</v>
      </c>
      <c r="C45" s="10" t="s">
        <v>1711</v>
      </c>
      <c r="D45" s="10" t="s">
        <v>1662</v>
      </c>
      <c r="E45" s="10" t="s">
        <v>209</v>
      </c>
      <c r="F45" s="10" t="s">
        <v>1663</v>
      </c>
      <c r="G45" s="10" t="s">
        <v>167</v>
      </c>
      <c r="H45" s="10" t="s">
        <v>55</v>
      </c>
      <c r="I45" s="10" t="s">
        <v>1712</v>
      </c>
      <c r="J45" s="10" t="s">
        <v>1713</v>
      </c>
      <c r="K45" s="10" t="s">
        <v>42</v>
      </c>
    </row>
    <row r="46" ht="15.75" customHeight="1">
      <c r="A46" s="64">
        <v>45496.0</v>
      </c>
      <c r="B46" s="55" t="str">
        <f>HYPERLINK("https://jobright.ai/jobs/info/669fe4d65d74e6023f80bf57?utm_campaign=1066&amp;utm_source=sheet", "Apply")</f>
        <v>Apply</v>
      </c>
      <c r="C46" s="10" t="s">
        <v>1721</v>
      </c>
      <c r="D46" s="10" t="s">
        <v>1722</v>
      </c>
      <c r="E46" s="10" t="s">
        <v>65</v>
      </c>
      <c r="F46" s="10" t="s">
        <v>1723</v>
      </c>
      <c r="G46" s="10" t="s">
        <v>1254</v>
      </c>
      <c r="H46" s="10" t="s">
        <v>55</v>
      </c>
      <c r="I46" s="10" t="s">
        <v>1724</v>
      </c>
      <c r="J46" s="10" t="s">
        <v>1725</v>
      </c>
      <c r="K46" s="10" t="s">
        <v>42</v>
      </c>
    </row>
    <row r="47" ht="15.75" customHeight="1">
      <c r="A47" s="64">
        <v>45496.0</v>
      </c>
      <c r="B47" s="55" t="str">
        <f>HYPERLINK("https://jobright.ai/jobs/info/66a12423952485abf9abe927?utm_campaign=1066&amp;utm_source=sheet", "Apply")</f>
        <v>Apply</v>
      </c>
      <c r="C47" s="10" t="s">
        <v>1726</v>
      </c>
      <c r="D47" s="10" t="s">
        <v>1727</v>
      </c>
      <c r="E47" s="10" t="s">
        <v>71</v>
      </c>
      <c r="F47" s="10" t="s">
        <v>1728</v>
      </c>
      <c r="G47" s="10" t="s">
        <v>188</v>
      </c>
      <c r="H47" s="10" t="s">
        <v>55</v>
      </c>
      <c r="I47" s="10" t="s">
        <v>1729</v>
      </c>
      <c r="J47" s="10" t="s">
        <v>1730</v>
      </c>
      <c r="K47" s="10" t="s">
        <v>42</v>
      </c>
    </row>
    <row r="48" ht="15.75" customHeight="1">
      <c r="A48" s="64">
        <v>45496.0</v>
      </c>
      <c r="B48" s="55" t="str">
        <f>HYPERLINK("https://jobright.ai/jobs/info/66a45ac0d7afe57e1001e39b?utm_campaign=1066&amp;utm_source=sheet", "Apply")</f>
        <v>Apply</v>
      </c>
      <c r="C48" s="10" t="s">
        <v>1731</v>
      </c>
      <c r="D48" s="10" t="s">
        <v>1732</v>
      </c>
      <c r="E48" s="10" t="s">
        <v>71</v>
      </c>
      <c r="F48" s="10" t="s">
        <v>1733</v>
      </c>
      <c r="G48" s="10" t="s">
        <v>1734</v>
      </c>
      <c r="H48" s="10" t="s">
        <v>55</v>
      </c>
      <c r="I48" s="10" t="s">
        <v>1735</v>
      </c>
      <c r="J48" s="10" t="s">
        <v>1736</v>
      </c>
      <c r="K48" s="10" t="s">
        <v>42</v>
      </c>
    </row>
    <row r="49" ht="15.75" customHeight="1">
      <c r="A49" s="64">
        <v>45496.0</v>
      </c>
      <c r="B49" s="55" t="str">
        <f>HYPERLINK("https://jobright.ai/jobs/info/66a0123a63639fea60ca8e19?utm_campaign=1066&amp;utm_source=sheet", "Apply")</f>
        <v>Apply</v>
      </c>
      <c r="C49" s="10" t="s">
        <v>1737</v>
      </c>
      <c r="D49" s="10" t="s">
        <v>1738</v>
      </c>
      <c r="E49" s="10" t="s">
        <v>249</v>
      </c>
      <c r="F49" s="10" t="s">
        <v>1465</v>
      </c>
      <c r="G49" s="10" t="s">
        <v>131</v>
      </c>
      <c r="H49" s="10" t="s">
        <v>55</v>
      </c>
      <c r="J49" s="10" t="s">
        <v>1739</v>
      </c>
      <c r="K49" s="10" t="s">
        <v>42</v>
      </c>
    </row>
    <row r="50" ht="15.75" customHeight="1">
      <c r="A50" s="64">
        <v>45495.0</v>
      </c>
      <c r="B50" s="55" t="str">
        <f>HYPERLINK("https://jobright.ai/jobs/info/669eead92ce73e6a5bc8825d?utm_campaign=1066&amp;utm_source=sheet", "Apply")</f>
        <v>Apply</v>
      </c>
      <c r="C50" s="10" t="s">
        <v>1740</v>
      </c>
      <c r="D50" s="10" t="s">
        <v>1741</v>
      </c>
      <c r="E50" s="10" t="s">
        <v>45</v>
      </c>
      <c r="F50" s="10" t="s">
        <v>1742</v>
      </c>
      <c r="G50" s="10" t="s">
        <v>1743</v>
      </c>
      <c r="H50" s="10" t="s">
        <v>55</v>
      </c>
      <c r="J50" s="10" t="s">
        <v>1744</v>
      </c>
      <c r="K50" s="10" t="s">
        <v>42</v>
      </c>
    </row>
    <row r="51" ht="15.75" customHeight="1">
      <c r="A51" s="64">
        <v>45495.0</v>
      </c>
      <c r="B51" s="55" t="str">
        <f>HYPERLINK("https://jobright.ai/jobs/info/669ec4ee0cb450dc82aaf42b?utm_campaign=1066&amp;utm_source=sheet", "Apply")</f>
        <v>Apply</v>
      </c>
      <c r="C51" s="10" t="s">
        <v>1745</v>
      </c>
      <c r="D51" s="10" t="s">
        <v>1746</v>
      </c>
      <c r="E51" s="10" t="s">
        <v>65</v>
      </c>
      <c r="G51" s="10" t="s">
        <v>144</v>
      </c>
      <c r="H51" s="10" t="s">
        <v>55</v>
      </c>
      <c r="I51" s="10" t="s">
        <v>1747</v>
      </c>
      <c r="J51" s="10" t="s">
        <v>1748</v>
      </c>
      <c r="K51" s="10" t="s">
        <v>42</v>
      </c>
    </row>
    <row r="52" ht="15.75" customHeight="1">
      <c r="A52" s="64">
        <v>45495.0</v>
      </c>
      <c r="B52" s="55" t="str">
        <f>HYPERLINK("https://jobright.ai/jobs/info/669ec4f70cb450dc82aaf4d7?utm_campaign=1066&amp;utm_source=sheet", "Apply")</f>
        <v>Apply</v>
      </c>
      <c r="C52" s="10" t="s">
        <v>1749</v>
      </c>
      <c r="D52" s="10" t="s">
        <v>1750</v>
      </c>
      <c r="E52" s="10">
        <v>8.0</v>
      </c>
      <c r="G52" s="10" t="s">
        <v>434</v>
      </c>
      <c r="H52" s="10" t="s">
        <v>55</v>
      </c>
      <c r="I52" s="10" t="s">
        <v>1751</v>
      </c>
      <c r="J52" s="10" t="s">
        <v>1752</v>
      </c>
      <c r="K52" s="10" t="s">
        <v>42</v>
      </c>
    </row>
    <row r="53" ht="15.75" customHeight="1">
      <c r="A53" s="64">
        <v>45495.0</v>
      </c>
      <c r="B53" s="55" t="str">
        <f>HYPERLINK("https://jobright.ai/jobs/info/669ebb7a20640de33b233c92?utm_campaign=1066&amp;utm_source=sheet", "Apply")</f>
        <v>Apply</v>
      </c>
      <c r="C53" s="10" t="s">
        <v>1659</v>
      </c>
      <c r="D53" s="10" t="s">
        <v>1753</v>
      </c>
      <c r="E53" s="10" t="s">
        <v>71</v>
      </c>
      <c r="F53" s="10" t="s">
        <v>1754</v>
      </c>
      <c r="G53" s="10" t="s">
        <v>251</v>
      </c>
      <c r="H53" s="10" t="s">
        <v>252</v>
      </c>
      <c r="J53" s="10" t="s">
        <v>1755</v>
      </c>
      <c r="K53" s="10" t="s">
        <v>42</v>
      </c>
    </row>
    <row r="54" ht="15.75" customHeight="1">
      <c r="A54" s="64">
        <v>45495.0</v>
      </c>
      <c r="B54" s="55" t="str">
        <f>HYPERLINK("https://jobright.ai/jobs/info/66a05fe18d97a33e6d822966?utm_campaign=1066&amp;utm_source=sheet", "Apply")</f>
        <v>Apply</v>
      </c>
      <c r="C54" s="10" t="s">
        <v>1756</v>
      </c>
      <c r="D54" s="10" t="s">
        <v>1757</v>
      </c>
      <c r="E54" s="10">
        <v>15243.0</v>
      </c>
      <c r="G54" s="10" t="s">
        <v>165</v>
      </c>
      <c r="H54" s="10" t="s">
        <v>55</v>
      </c>
      <c r="J54" s="10" t="s">
        <v>1758</v>
      </c>
      <c r="K54" s="10" t="s">
        <v>42</v>
      </c>
    </row>
    <row r="55" ht="15.75" customHeight="1">
      <c r="A55" s="64">
        <v>45495.0</v>
      </c>
      <c r="B55" s="55" t="str">
        <f>HYPERLINK("https://jobright.ai/jobs/info/669efd64f7a71fbcbfb4ed44?utm_campaign=1066&amp;utm_source=sheet", "Apply")</f>
        <v>Apply</v>
      </c>
      <c r="C55" s="10" t="s">
        <v>1759</v>
      </c>
      <c r="D55" s="10" t="s">
        <v>1760</v>
      </c>
      <c r="E55" s="10" t="s">
        <v>71</v>
      </c>
      <c r="G55" s="10" t="s">
        <v>152</v>
      </c>
      <c r="H55" s="10" t="s">
        <v>55</v>
      </c>
      <c r="I55" s="10" t="s">
        <v>1761</v>
      </c>
      <c r="J55" s="10" t="s">
        <v>1762</v>
      </c>
      <c r="K55" s="10" t="s">
        <v>42</v>
      </c>
    </row>
    <row r="56" ht="15.75" customHeight="1">
      <c r="A56" s="64">
        <v>45494.0</v>
      </c>
      <c r="B56" s="55" t="str">
        <f>HYPERLINK("https://jobright.ai/jobs/info/66801556000beb33b40a45c9?utm_campaign=1066&amp;utm_source=sheet", "Apply")</f>
        <v>Apply</v>
      </c>
      <c r="C56" s="10" t="s">
        <v>1763</v>
      </c>
      <c r="D56" s="10" t="s">
        <v>1764</v>
      </c>
      <c r="E56" s="10" t="s">
        <v>45</v>
      </c>
      <c r="F56" s="10" t="s">
        <v>665</v>
      </c>
      <c r="G56" s="10" t="s">
        <v>845</v>
      </c>
      <c r="H56" s="10" t="s">
        <v>55</v>
      </c>
      <c r="I56" s="10" t="s">
        <v>1765</v>
      </c>
      <c r="J56" s="10" t="s">
        <v>1766</v>
      </c>
      <c r="K56" s="10" t="s">
        <v>42</v>
      </c>
    </row>
    <row r="57" ht="15.75" customHeight="1">
      <c r="A57" s="64">
        <v>45493.0</v>
      </c>
      <c r="B57" s="55" t="str">
        <f>HYPERLINK("https://jobright.ai/jobs/info/669cb6a719c355bcbfbad93b?utm_campaign=1066&amp;utm_source=sheet", "Apply")</f>
        <v>Apply</v>
      </c>
      <c r="C57" s="10" t="s">
        <v>1767</v>
      </c>
      <c r="D57" s="10" t="s">
        <v>1768</v>
      </c>
      <c r="E57" s="10" t="s">
        <v>79</v>
      </c>
      <c r="F57" s="10" t="s">
        <v>1769</v>
      </c>
      <c r="G57" s="10" t="s">
        <v>96</v>
      </c>
      <c r="H57" s="10" t="s">
        <v>55</v>
      </c>
      <c r="I57" s="10" t="s">
        <v>521</v>
      </c>
      <c r="J57" s="10" t="s">
        <v>1770</v>
      </c>
      <c r="K57" s="10" t="s">
        <v>42</v>
      </c>
    </row>
    <row r="58" ht="15.75" customHeight="1">
      <c r="A58" s="64">
        <v>45493.0</v>
      </c>
      <c r="B58" s="55" t="str">
        <f>HYPERLINK("https://jobright.ai/jobs/info/669c5c183822d06887ea0e02?utm_campaign=1066&amp;utm_source=sheet", "Apply")</f>
        <v>Apply</v>
      </c>
      <c r="C58" s="10" t="s">
        <v>1771</v>
      </c>
      <c r="D58" s="10" t="s">
        <v>1768</v>
      </c>
      <c r="E58" s="10" t="s">
        <v>79</v>
      </c>
      <c r="F58" s="10" t="s">
        <v>1769</v>
      </c>
      <c r="G58" s="10" t="s">
        <v>96</v>
      </c>
      <c r="H58" s="10" t="s">
        <v>55</v>
      </c>
      <c r="I58" s="10" t="s">
        <v>521</v>
      </c>
      <c r="J58" s="10" t="s">
        <v>1772</v>
      </c>
      <c r="K58" s="10" t="s">
        <v>42</v>
      </c>
    </row>
    <row r="59" ht="15.75" customHeight="1">
      <c r="A59" s="64">
        <v>45493.0</v>
      </c>
      <c r="B59" s="55" t="str">
        <f>HYPERLINK("https://jobright.ai/jobs/info/669e4416a6c9e437302fbab7?utm_campaign=1066&amp;utm_source=sheet", "Apply")</f>
        <v>Apply</v>
      </c>
      <c r="C59" s="10" t="s">
        <v>1623</v>
      </c>
      <c r="D59" s="10" t="s">
        <v>1773</v>
      </c>
      <c r="E59" s="10" t="s">
        <v>45</v>
      </c>
      <c r="F59" s="10" t="s">
        <v>665</v>
      </c>
      <c r="G59" s="10" t="s">
        <v>723</v>
      </c>
      <c r="H59" s="10" t="s">
        <v>55</v>
      </c>
      <c r="J59" s="10" t="s">
        <v>1774</v>
      </c>
      <c r="K59" s="10" t="s">
        <v>42</v>
      </c>
    </row>
    <row r="60" ht="15.75" customHeight="1">
      <c r="A60" s="64">
        <v>45493.0</v>
      </c>
      <c r="B60" s="55" t="str">
        <f>HYPERLINK("https://jobright.ai/jobs/info/66a3f91ec344e12ad5440f23?utm_campaign=1066&amp;utm_source=sheet", "Apply")</f>
        <v>Apply</v>
      </c>
      <c r="C60" s="10" t="s">
        <v>1775</v>
      </c>
      <c r="D60" s="10" t="s">
        <v>1776</v>
      </c>
      <c r="E60" s="10">
        <v>17178.0</v>
      </c>
      <c r="G60" s="10" t="s">
        <v>1013</v>
      </c>
      <c r="H60" s="10" t="s">
        <v>55</v>
      </c>
      <c r="I60" s="10" t="s">
        <v>1777</v>
      </c>
      <c r="J60" s="10" t="s">
        <v>1778</v>
      </c>
      <c r="K60" s="10" t="s">
        <v>42</v>
      </c>
    </row>
    <row r="61" ht="15.75" customHeight="1">
      <c r="A61" s="64">
        <v>45493.0</v>
      </c>
      <c r="B61" s="55" t="str">
        <f>HYPERLINK("https://jobright.ai/jobs/info/668004a4c0e1fee486ee8263?utm_campaign=1066&amp;utm_source=sheet", "Apply")</f>
        <v>Apply</v>
      </c>
      <c r="C61" s="10" t="s">
        <v>1763</v>
      </c>
      <c r="D61" s="10" t="s">
        <v>1764</v>
      </c>
      <c r="E61" s="10" t="s">
        <v>45</v>
      </c>
      <c r="F61" s="10" t="s">
        <v>665</v>
      </c>
      <c r="G61" s="10" t="s">
        <v>845</v>
      </c>
      <c r="H61" s="10" t="s">
        <v>55</v>
      </c>
      <c r="I61" s="10" t="s">
        <v>1765</v>
      </c>
      <c r="J61" s="10" t="s">
        <v>1766</v>
      </c>
      <c r="K61" s="10" t="s">
        <v>42</v>
      </c>
    </row>
    <row r="62" ht="15.75" customHeight="1">
      <c r="A62" s="64">
        <v>45493.0</v>
      </c>
      <c r="B62" s="55" t="str">
        <f>HYPERLINK("https://jobright.ai/jobs/info/667f43fde13a4c45f01de9ed?utm_campaign=1066&amp;utm_source=sheet", "Apply")</f>
        <v>Apply</v>
      </c>
      <c r="C62" s="10" t="s">
        <v>1779</v>
      </c>
      <c r="D62" s="10" t="s">
        <v>1780</v>
      </c>
      <c r="E62" s="10" t="s">
        <v>45</v>
      </c>
      <c r="F62" s="10" t="s">
        <v>1781</v>
      </c>
      <c r="G62" s="10" t="s">
        <v>153</v>
      </c>
      <c r="H62" s="10" t="s">
        <v>55</v>
      </c>
      <c r="J62" s="10" t="s">
        <v>1782</v>
      </c>
      <c r="K62" s="10" t="s">
        <v>42</v>
      </c>
    </row>
    <row r="63" ht="15.75" customHeight="1">
      <c r="A63" s="64">
        <v>45493.0</v>
      </c>
      <c r="B63" s="55" t="str">
        <f>HYPERLINK("https://jobright.ai/jobs/info/667fc9527227e62f3e7be2cc?utm_campaign=1066&amp;utm_source=sheet", "Apply")</f>
        <v>Apply</v>
      </c>
      <c r="C63" s="10" t="s">
        <v>1763</v>
      </c>
      <c r="D63" s="10" t="s">
        <v>1764</v>
      </c>
      <c r="E63" s="10" t="s">
        <v>45</v>
      </c>
      <c r="F63" s="10" t="s">
        <v>665</v>
      </c>
      <c r="G63" s="10" t="s">
        <v>845</v>
      </c>
      <c r="H63" s="10" t="s">
        <v>55</v>
      </c>
      <c r="I63" s="10" t="s">
        <v>1783</v>
      </c>
      <c r="J63" s="10" t="s">
        <v>1766</v>
      </c>
      <c r="K63" s="10" t="s">
        <v>42</v>
      </c>
    </row>
    <row r="64" ht="15.75" customHeight="1">
      <c r="A64" s="64">
        <v>45493.0</v>
      </c>
      <c r="B64" s="55" t="str">
        <f>HYPERLINK("https://jobright.ai/jobs/info/669b2a0327015bf74c303c09?utm_campaign=1066&amp;utm_source=sheet", "Apply")</f>
        <v>Apply</v>
      </c>
      <c r="C64" s="10" t="s">
        <v>1784</v>
      </c>
      <c r="D64" s="10" t="s">
        <v>1785</v>
      </c>
      <c r="G64" s="10" t="s">
        <v>1786</v>
      </c>
      <c r="H64" s="10" t="s">
        <v>48</v>
      </c>
      <c r="I64" s="10" t="s">
        <v>1787</v>
      </c>
      <c r="J64" s="10" t="s">
        <v>1788</v>
      </c>
      <c r="K64" s="10" t="s">
        <v>42</v>
      </c>
    </row>
    <row r="65" ht="15.75" customHeight="1">
      <c r="A65" s="64">
        <v>45493.0</v>
      </c>
      <c r="B65" s="55" t="str">
        <f>HYPERLINK("https://jobright.ai/jobs/info/669ab630bceed1fe7aad3593?utm_campaign=1066&amp;utm_source=sheet", "Apply")</f>
        <v>Apply</v>
      </c>
      <c r="C65" s="10" t="s">
        <v>1726</v>
      </c>
      <c r="D65" s="10" t="s">
        <v>1789</v>
      </c>
      <c r="E65" s="10" t="s">
        <v>45</v>
      </c>
      <c r="F65" s="10" t="s">
        <v>1790</v>
      </c>
      <c r="G65" s="10" t="s">
        <v>1791</v>
      </c>
      <c r="H65" s="10" t="s">
        <v>55</v>
      </c>
      <c r="J65" s="10" t="s">
        <v>1792</v>
      </c>
      <c r="K65" s="10" t="s">
        <v>42</v>
      </c>
    </row>
    <row r="66" ht="15.75" customHeight="1">
      <c r="A66" s="64">
        <v>45492.0</v>
      </c>
      <c r="B66" s="55" t="str">
        <f>HYPERLINK("https://jobright.ai/jobs/info/669aeec869a1ff428c94f18c?utm_campaign=1066&amp;utm_source=sheet", "Apply")</f>
        <v>Apply</v>
      </c>
      <c r="C66" s="10" t="s">
        <v>1793</v>
      </c>
      <c r="D66" s="10" t="s">
        <v>1794</v>
      </c>
      <c r="E66" s="10" t="s">
        <v>65</v>
      </c>
      <c r="F66" s="10" t="s">
        <v>1795</v>
      </c>
      <c r="G66" s="10" t="s">
        <v>1796</v>
      </c>
      <c r="H66" s="10" t="s">
        <v>55</v>
      </c>
      <c r="I66" s="10" t="s">
        <v>1797</v>
      </c>
      <c r="J66" s="10" t="s">
        <v>1798</v>
      </c>
      <c r="K66" s="10" t="s">
        <v>42</v>
      </c>
    </row>
    <row r="67" ht="15.75" customHeight="1">
      <c r="A67" s="64">
        <v>45492.0</v>
      </c>
      <c r="B67" s="55" t="str">
        <f>HYPERLINK("https://jobright.ai/jobs/info/669aed15bb55c2faf5163fb7?utm_campaign=1066&amp;utm_source=sheet", "Apply")</f>
        <v>Apply</v>
      </c>
      <c r="C67" s="10" t="s">
        <v>1799</v>
      </c>
      <c r="D67" s="10" t="s">
        <v>1800</v>
      </c>
      <c r="E67" s="10" t="s">
        <v>65</v>
      </c>
      <c r="F67" s="10" t="s">
        <v>1801</v>
      </c>
      <c r="G67" s="10" t="s">
        <v>152</v>
      </c>
      <c r="H67" s="10" t="s">
        <v>55</v>
      </c>
      <c r="J67" s="10" t="s">
        <v>1802</v>
      </c>
      <c r="K67" s="10" t="s">
        <v>42</v>
      </c>
    </row>
    <row r="68" ht="15.75" customHeight="1">
      <c r="A68" s="64">
        <v>45492.0</v>
      </c>
      <c r="B68" s="55" t="str">
        <f>HYPERLINK("https://jobright.ai/jobs/info/669ae01056dc7650439ff1f4?utm_campaign=1066&amp;utm_source=sheet", "Apply")</f>
        <v>Apply</v>
      </c>
      <c r="C68" s="10" t="s">
        <v>1799</v>
      </c>
      <c r="D68" s="10" t="s">
        <v>1800</v>
      </c>
      <c r="E68" s="10" t="s">
        <v>65</v>
      </c>
      <c r="F68" s="10" t="s">
        <v>1801</v>
      </c>
      <c r="G68" s="10" t="s">
        <v>346</v>
      </c>
      <c r="H68" s="10" t="s">
        <v>55</v>
      </c>
      <c r="J68" s="10" t="s">
        <v>1802</v>
      </c>
      <c r="K68" s="10" t="s">
        <v>42</v>
      </c>
    </row>
    <row r="69" ht="15.75" customHeight="1">
      <c r="A69" s="64">
        <v>45492.0</v>
      </c>
      <c r="B69" s="55" t="str">
        <f>HYPERLINK("https://jobright.ai/jobs/info/669d09a1fc1b9f558ef00fde?utm_campaign=1066&amp;utm_source=sheet", "Apply")</f>
        <v>Apply</v>
      </c>
      <c r="C69" s="10" t="s">
        <v>1803</v>
      </c>
      <c r="D69" s="10" t="s">
        <v>1600</v>
      </c>
      <c r="E69" s="10" t="s">
        <v>45</v>
      </c>
      <c r="F69" s="10" t="s">
        <v>1601</v>
      </c>
      <c r="G69" s="10" t="s">
        <v>723</v>
      </c>
      <c r="H69" s="10" t="s">
        <v>55</v>
      </c>
      <c r="I69" s="10" t="s">
        <v>1804</v>
      </c>
      <c r="J69" s="10" t="s">
        <v>1805</v>
      </c>
      <c r="K69" s="10" t="s">
        <v>42</v>
      </c>
    </row>
    <row r="70" ht="15.75" customHeight="1">
      <c r="A70" s="64">
        <v>45492.0</v>
      </c>
      <c r="B70" s="55" t="str">
        <f>HYPERLINK("https://jobright.ai/jobs/info/66a4033c0d09d8a9054b3c63?utm_campaign=1066&amp;utm_source=sheet", "Apply")</f>
        <v>Apply</v>
      </c>
      <c r="C70" s="10" t="s">
        <v>1806</v>
      </c>
      <c r="D70" s="10" t="s">
        <v>1094</v>
      </c>
      <c r="E70" s="10" t="s">
        <v>45</v>
      </c>
      <c r="F70" s="10" t="s">
        <v>731</v>
      </c>
      <c r="G70" s="10" t="s">
        <v>113</v>
      </c>
      <c r="H70" s="10" t="s">
        <v>55</v>
      </c>
      <c r="J70" s="10" t="s">
        <v>1807</v>
      </c>
      <c r="K70" s="10" t="s">
        <v>42</v>
      </c>
    </row>
    <row r="71" ht="15.75" customHeight="1">
      <c r="A71" s="64">
        <v>45492.0</v>
      </c>
      <c r="B71" s="55" t="str">
        <f>HYPERLINK("https://jobright.ai/jobs/info/669aca1c578612e3a1a1b5d5?utm_campaign=1066&amp;utm_source=sheet", "Apply")</f>
        <v>Apply</v>
      </c>
      <c r="C71" s="10" t="s">
        <v>1775</v>
      </c>
      <c r="D71" s="10" t="s">
        <v>1776</v>
      </c>
      <c r="E71" s="10">
        <v>17178.0</v>
      </c>
      <c r="G71" s="10" t="s">
        <v>1013</v>
      </c>
      <c r="H71" s="10" t="s">
        <v>55</v>
      </c>
      <c r="I71" s="10" t="s">
        <v>1777</v>
      </c>
      <c r="J71" s="10" t="s">
        <v>1778</v>
      </c>
      <c r="K71" s="10" t="s">
        <v>42</v>
      </c>
    </row>
    <row r="72" ht="15.75" customHeight="1">
      <c r="A72" s="64">
        <v>45491.0</v>
      </c>
      <c r="B72" s="55" t="str">
        <f>HYPERLINK("https://jobright.ai/jobs/info/6699bc04e8a08dd85247ade9?utm_campaign=1066&amp;utm_source=sheet", "Apply")</f>
        <v>Apply</v>
      </c>
      <c r="C72" s="10" t="s">
        <v>1808</v>
      </c>
      <c r="D72" s="10" t="s">
        <v>311</v>
      </c>
      <c r="E72" s="10" t="s">
        <v>45</v>
      </c>
      <c r="F72" s="10" t="s">
        <v>312</v>
      </c>
      <c r="G72" s="10" t="s">
        <v>313</v>
      </c>
      <c r="H72" s="10" t="s">
        <v>55</v>
      </c>
      <c r="I72" s="10" t="s">
        <v>1809</v>
      </c>
      <c r="J72" s="10" t="s">
        <v>1810</v>
      </c>
      <c r="K72" s="10" t="s">
        <v>42</v>
      </c>
    </row>
    <row r="73" ht="15.75" customHeight="1">
      <c r="A73" s="64">
        <v>45491.0</v>
      </c>
      <c r="B73" s="55" t="str">
        <f>HYPERLINK("https://jobright.ai/jobs/info/66959b86a70b2fb207aed740?utm_campaign=1066&amp;utm_source=sheet", "Apply")</f>
        <v>Apply</v>
      </c>
      <c r="C73" s="10" t="s">
        <v>1811</v>
      </c>
      <c r="D73" s="10" t="s">
        <v>1650</v>
      </c>
      <c r="E73" s="10" t="s">
        <v>209</v>
      </c>
      <c r="F73" s="10" t="s">
        <v>1243</v>
      </c>
      <c r="G73" s="10" t="s">
        <v>994</v>
      </c>
      <c r="H73" s="10" t="s">
        <v>55</v>
      </c>
      <c r="J73" s="10" t="s">
        <v>1812</v>
      </c>
      <c r="K73" s="10" t="s">
        <v>42</v>
      </c>
    </row>
    <row r="74" ht="15.75" customHeight="1">
      <c r="A74" s="64">
        <v>45491.0</v>
      </c>
      <c r="B74" s="55" t="str">
        <f>HYPERLINK("https://jobright.ai/jobs/info/6699907b82139a81540d832e?utm_campaign=1066&amp;utm_source=sheet", "Apply")</f>
        <v>Apply</v>
      </c>
      <c r="C74" s="10" t="s">
        <v>1813</v>
      </c>
      <c r="D74" s="10" t="s">
        <v>1814</v>
      </c>
      <c r="E74" s="10" t="s">
        <v>79</v>
      </c>
      <c r="F74" s="10" t="s">
        <v>1815</v>
      </c>
      <c r="G74" s="10" t="s">
        <v>170</v>
      </c>
      <c r="H74" s="10" t="s">
        <v>55</v>
      </c>
      <c r="J74" s="10" t="s">
        <v>1816</v>
      </c>
      <c r="K74" s="10" t="s">
        <v>42</v>
      </c>
    </row>
    <row r="75" ht="15.75" customHeight="1">
      <c r="A75" s="64">
        <v>45491.0</v>
      </c>
      <c r="B75" s="55" t="str">
        <f>HYPERLINK("https://jobright.ai/jobs/info/66995b8243dc88f91a6d7474?utm_campaign=1066&amp;utm_source=sheet", "Apply")</f>
        <v>Apply</v>
      </c>
      <c r="C75" s="10" t="s">
        <v>1817</v>
      </c>
      <c r="D75" s="10" t="s">
        <v>1818</v>
      </c>
      <c r="E75" s="10" t="s">
        <v>45</v>
      </c>
      <c r="F75" s="10" t="s">
        <v>665</v>
      </c>
      <c r="G75" s="10" t="s">
        <v>1819</v>
      </c>
      <c r="H75" s="10" t="s">
        <v>55</v>
      </c>
      <c r="J75" s="10" t="s">
        <v>1820</v>
      </c>
      <c r="K75" s="10" t="s">
        <v>42</v>
      </c>
    </row>
    <row r="76" ht="15.75" customHeight="1">
      <c r="A76" s="64">
        <v>45491.0</v>
      </c>
      <c r="B76" s="55" t="str">
        <f>HYPERLINK("https://jobright.ai/jobs/info/669940fd927fa60394d7e72e?utm_campaign=1066&amp;utm_source=sheet", "Apply")</f>
        <v>Apply</v>
      </c>
      <c r="C76" s="10" t="s">
        <v>1821</v>
      </c>
      <c r="D76" s="10" t="s">
        <v>124</v>
      </c>
      <c r="E76" s="10" t="s">
        <v>45</v>
      </c>
      <c r="F76" s="10" t="s">
        <v>125</v>
      </c>
      <c r="G76" s="10" t="s">
        <v>126</v>
      </c>
      <c r="H76" s="10" t="s">
        <v>55</v>
      </c>
      <c r="J76" s="10" t="s">
        <v>1822</v>
      </c>
      <c r="K76" s="10" t="s">
        <v>42</v>
      </c>
    </row>
    <row r="77" ht="15.75" customHeight="1">
      <c r="A77" s="64">
        <v>45491.0</v>
      </c>
      <c r="B77" s="55" t="str">
        <f>HYPERLINK("https://jobright.ai/jobs/info/6699359fb282fd21c6feef83?utm_campaign=1066&amp;utm_source=sheet", "Apply")</f>
        <v>Apply</v>
      </c>
      <c r="C77" s="10" t="s">
        <v>1823</v>
      </c>
      <c r="D77" s="10" t="s">
        <v>1824</v>
      </c>
      <c r="E77" s="10" t="s">
        <v>45</v>
      </c>
      <c r="F77" s="10" t="s">
        <v>1825</v>
      </c>
      <c r="G77" s="10" t="s">
        <v>423</v>
      </c>
      <c r="H77" s="10" t="s">
        <v>55</v>
      </c>
      <c r="J77" s="10" t="s">
        <v>1826</v>
      </c>
      <c r="K77" s="10" t="s">
        <v>42</v>
      </c>
    </row>
    <row r="78" ht="15.75" customHeight="1">
      <c r="A78" s="64">
        <v>45491.0</v>
      </c>
      <c r="B78" s="55" t="str">
        <f>HYPERLINK("https://jobright.ai/jobs/info/669e60ca97d87febbccc6488?utm_campaign=1066&amp;utm_source=sheet", "Apply")</f>
        <v>Apply</v>
      </c>
      <c r="C78" s="10" t="s">
        <v>1827</v>
      </c>
      <c r="D78" s="10" t="s">
        <v>1094</v>
      </c>
      <c r="E78" s="10" t="s">
        <v>45</v>
      </c>
      <c r="F78" s="10" t="s">
        <v>731</v>
      </c>
      <c r="G78" s="10" t="s">
        <v>96</v>
      </c>
      <c r="H78" s="10" t="s">
        <v>55</v>
      </c>
      <c r="J78" s="10" t="s">
        <v>1828</v>
      </c>
      <c r="K78" s="10" t="s">
        <v>42</v>
      </c>
    </row>
    <row r="79" ht="15.75" customHeight="1">
      <c r="A79" s="64">
        <v>45491.0</v>
      </c>
      <c r="B79" s="55" t="str">
        <f>HYPERLINK("https://jobright.ai/jobs/info/66960d819bbc6d9df88daa35?utm_campaign=1066&amp;utm_source=sheet", "Apply")</f>
        <v>Apply</v>
      </c>
      <c r="C79" s="10" t="s">
        <v>1829</v>
      </c>
      <c r="D79" s="10" t="s">
        <v>1650</v>
      </c>
      <c r="E79" s="10" t="s">
        <v>209</v>
      </c>
      <c r="F79" s="10" t="s">
        <v>1243</v>
      </c>
      <c r="G79" s="10" t="s">
        <v>994</v>
      </c>
      <c r="H79" s="10" t="s">
        <v>48</v>
      </c>
      <c r="J79" s="10" t="s">
        <v>1830</v>
      </c>
      <c r="K79" s="10" t="s">
        <v>42</v>
      </c>
    </row>
    <row r="80" ht="15.75" customHeight="1">
      <c r="A80" s="64">
        <v>45491.0</v>
      </c>
      <c r="B80" s="55" t="str">
        <f>HYPERLINK("https://jobright.ai/jobs/info/6695bdd857849631a44ceff8?utm_campaign=1066&amp;utm_source=sheet", "Apply")</f>
        <v>Apply</v>
      </c>
      <c r="C80" s="10" t="s">
        <v>1831</v>
      </c>
      <c r="D80" s="10" t="s">
        <v>1832</v>
      </c>
      <c r="E80" s="10" t="s">
        <v>45</v>
      </c>
      <c r="F80" s="10" t="s">
        <v>1833</v>
      </c>
      <c r="G80" s="10" t="s">
        <v>1254</v>
      </c>
      <c r="H80" s="10" t="s">
        <v>55</v>
      </c>
      <c r="J80" s="10" t="s">
        <v>1834</v>
      </c>
      <c r="K80" s="10" t="s">
        <v>42</v>
      </c>
    </row>
    <row r="81" ht="15.75" customHeight="1">
      <c r="A81" s="64">
        <v>45491.0</v>
      </c>
      <c r="B81" s="55" t="str">
        <f>HYPERLINK("https://jobright.ai/jobs/info/669985b08f1349dee94a5d33?utm_campaign=1066&amp;utm_source=sheet", "Apply")</f>
        <v>Apply</v>
      </c>
      <c r="C81" s="10" t="s">
        <v>1835</v>
      </c>
      <c r="D81" s="10" t="s">
        <v>1836</v>
      </c>
      <c r="E81" s="10" t="s">
        <v>45</v>
      </c>
      <c r="F81" s="10" t="s">
        <v>1266</v>
      </c>
      <c r="G81" s="10" t="s">
        <v>131</v>
      </c>
      <c r="H81" s="10" t="s">
        <v>55</v>
      </c>
      <c r="I81" s="10" t="s">
        <v>1837</v>
      </c>
      <c r="J81" s="10" t="s">
        <v>1838</v>
      </c>
      <c r="K81" s="10" t="s">
        <v>42</v>
      </c>
    </row>
    <row r="82" ht="15.75" customHeight="1">
      <c r="A82" s="64">
        <v>45491.0</v>
      </c>
      <c r="B82" s="55" t="str">
        <f>HYPERLINK("https://jobright.ai/jobs/info/66992456d279e8279eaaf0ba?utm_campaign=1066&amp;utm_source=sheet", "Apply")</f>
        <v>Apply</v>
      </c>
      <c r="C82" s="10" t="s">
        <v>1839</v>
      </c>
      <c r="D82" s="10" t="s">
        <v>1840</v>
      </c>
      <c r="E82" s="10" t="s">
        <v>137</v>
      </c>
      <c r="G82" s="10" t="s">
        <v>1841</v>
      </c>
      <c r="H82" s="10" t="s">
        <v>48</v>
      </c>
      <c r="J82" s="10" t="s">
        <v>1842</v>
      </c>
      <c r="K82" s="10" t="s">
        <v>42</v>
      </c>
    </row>
    <row r="83" ht="15.75" customHeight="1">
      <c r="A83" s="64">
        <v>45490.0</v>
      </c>
      <c r="B83" s="55" t="str">
        <f>HYPERLINK("https://jobright.ai/jobs/info/66987a626e29d64e8d08d30e?utm_campaign=1066&amp;utm_source=sheet", "Apply")</f>
        <v>Apply</v>
      </c>
      <c r="C83" s="10" t="s">
        <v>1843</v>
      </c>
      <c r="D83" s="10" t="s">
        <v>1794</v>
      </c>
      <c r="E83" s="10" t="s">
        <v>65</v>
      </c>
      <c r="F83" s="10" t="s">
        <v>1795</v>
      </c>
      <c r="G83" s="10" t="s">
        <v>1796</v>
      </c>
      <c r="H83" s="10" t="s">
        <v>55</v>
      </c>
      <c r="I83" s="10" t="s">
        <v>1409</v>
      </c>
      <c r="J83" s="10" t="s">
        <v>1844</v>
      </c>
      <c r="K83" s="10" t="s">
        <v>42</v>
      </c>
    </row>
    <row r="84" ht="15.75" customHeight="1">
      <c r="A84" s="64">
        <v>45490.0</v>
      </c>
      <c r="B84" s="55" t="str">
        <f>HYPERLINK("https://jobright.ai/jobs/info/66983d4387d9123df1a27307?utm_campaign=1066&amp;utm_source=sheet", "Apply")</f>
        <v>Apply</v>
      </c>
      <c r="C84" s="10" t="s">
        <v>1845</v>
      </c>
      <c r="D84" s="10" t="s">
        <v>1846</v>
      </c>
      <c r="E84" s="10" t="s">
        <v>45</v>
      </c>
      <c r="F84" s="10" t="s">
        <v>1485</v>
      </c>
      <c r="G84" s="10" t="s">
        <v>154</v>
      </c>
      <c r="H84" s="10" t="s">
        <v>55</v>
      </c>
      <c r="J84" s="10" t="s">
        <v>1847</v>
      </c>
      <c r="K84" s="10" t="s">
        <v>42</v>
      </c>
    </row>
    <row r="85" ht="15.75" customHeight="1">
      <c r="A85" s="64">
        <v>45490.0</v>
      </c>
      <c r="B85" s="55" t="str">
        <f>HYPERLINK("https://jobright.ai/jobs/info/66983d4387d9123df1a27315?utm_campaign=1066&amp;utm_source=sheet", "Apply")</f>
        <v>Apply</v>
      </c>
      <c r="C85" s="10" t="s">
        <v>1848</v>
      </c>
      <c r="D85" s="10" t="s">
        <v>1846</v>
      </c>
      <c r="E85" s="10" t="s">
        <v>45</v>
      </c>
      <c r="F85" s="10" t="s">
        <v>1485</v>
      </c>
      <c r="G85" s="10" t="s">
        <v>154</v>
      </c>
      <c r="H85" s="10" t="s">
        <v>55</v>
      </c>
      <c r="J85" s="10" t="s">
        <v>1849</v>
      </c>
      <c r="K85" s="10" t="s">
        <v>42</v>
      </c>
    </row>
    <row r="86" ht="15.75" customHeight="1">
      <c r="A86" s="64">
        <v>45490.0</v>
      </c>
      <c r="B86" s="55" t="str">
        <f>HYPERLINK("https://jobright.ai/jobs/info/6697ef86441518f1cb84d75c?utm_campaign=1066&amp;utm_source=sheet", "Apply")</f>
        <v>Apply</v>
      </c>
      <c r="C86" s="10" t="s">
        <v>1850</v>
      </c>
      <c r="D86" s="10" t="s">
        <v>1851</v>
      </c>
      <c r="E86" s="10" t="s">
        <v>79</v>
      </c>
      <c r="F86" s="10" t="s">
        <v>1852</v>
      </c>
      <c r="G86" s="10" t="s">
        <v>1853</v>
      </c>
      <c r="H86" s="10" t="s">
        <v>55</v>
      </c>
      <c r="J86" s="10" t="s">
        <v>1854</v>
      </c>
      <c r="K86" s="10" t="s">
        <v>42</v>
      </c>
    </row>
    <row r="87" ht="15.75" customHeight="1">
      <c r="A87" s="64">
        <v>45490.0</v>
      </c>
      <c r="B87" s="55" t="str">
        <f>HYPERLINK("https://jobright.ai/jobs/info/669a843e9923480de0ec9288?utm_campaign=1066&amp;utm_source=sheet", "Apply")</f>
        <v>Apply</v>
      </c>
      <c r="C87" s="10" t="s">
        <v>1855</v>
      </c>
      <c r="D87" s="10" t="s">
        <v>1094</v>
      </c>
      <c r="E87" s="10" t="s">
        <v>45</v>
      </c>
      <c r="F87" s="10" t="s">
        <v>731</v>
      </c>
      <c r="G87" s="10" t="s">
        <v>113</v>
      </c>
      <c r="H87" s="10" t="s">
        <v>55</v>
      </c>
      <c r="J87" s="10" t="s">
        <v>1856</v>
      </c>
      <c r="K87" s="10" t="s">
        <v>42</v>
      </c>
    </row>
    <row r="88" ht="15.75" customHeight="1">
      <c r="A88" s="64">
        <v>45490.0</v>
      </c>
      <c r="B88" s="55" t="str">
        <f>HYPERLINK("https://jobright.ai/jobs/info/669faf42409ac17305d78324?utm_campaign=1066&amp;utm_source=sheet", "Apply")</f>
        <v>Apply</v>
      </c>
      <c r="C88" s="10" t="s">
        <v>1726</v>
      </c>
      <c r="D88" s="10" t="s">
        <v>1857</v>
      </c>
      <c r="E88" s="10" t="s">
        <v>65</v>
      </c>
      <c r="F88" s="10" t="s">
        <v>660</v>
      </c>
      <c r="G88" s="10" t="s">
        <v>167</v>
      </c>
      <c r="H88" s="10" t="s">
        <v>55</v>
      </c>
      <c r="J88" s="10" t="s">
        <v>1858</v>
      </c>
      <c r="K88" s="10" t="s">
        <v>42</v>
      </c>
    </row>
    <row r="89" ht="15.75" customHeight="1">
      <c r="A89" s="64">
        <v>45490.0</v>
      </c>
      <c r="B89" s="55" t="str">
        <f>HYPERLINK("https://jobright.ai/jobs/info/669e4c3d892b00836a41a595?utm_campaign=1066&amp;utm_source=sheet", "Apply")</f>
        <v>Apply</v>
      </c>
      <c r="C89" s="10" t="s">
        <v>1859</v>
      </c>
      <c r="D89" s="10" t="s">
        <v>1094</v>
      </c>
      <c r="E89" s="10" t="s">
        <v>45</v>
      </c>
      <c r="F89" s="10" t="s">
        <v>731</v>
      </c>
      <c r="G89" s="10" t="s">
        <v>96</v>
      </c>
      <c r="H89" s="10" t="s">
        <v>55</v>
      </c>
      <c r="J89" s="10" t="s">
        <v>1807</v>
      </c>
      <c r="K89" s="10" t="s">
        <v>42</v>
      </c>
    </row>
    <row r="90" ht="15.75" customHeight="1">
      <c r="A90" s="64">
        <v>45490.0</v>
      </c>
      <c r="B90" s="55" t="str">
        <f>HYPERLINK("https://jobright.ai/jobs/info/6699418dc3a9c86809cbfff3?utm_campaign=1066&amp;utm_source=sheet", "Apply")</f>
        <v>Apply</v>
      </c>
      <c r="C90" s="10" t="s">
        <v>1860</v>
      </c>
      <c r="D90" s="10" t="s">
        <v>1154</v>
      </c>
      <c r="E90" s="10" t="s">
        <v>65</v>
      </c>
      <c r="G90" s="10" t="s">
        <v>1155</v>
      </c>
      <c r="H90" s="10" t="s">
        <v>55</v>
      </c>
      <c r="J90" s="10" t="s">
        <v>1861</v>
      </c>
      <c r="K90" s="10" t="s">
        <v>42</v>
      </c>
    </row>
    <row r="91" ht="15.75" customHeight="1">
      <c r="A91" s="64">
        <v>45489.0</v>
      </c>
      <c r="B91" s="55" t="str">
        <f>HYPERLINK("https://jobright.ai/jobs/info/6697197018798443c42ae8e7?utm_campaign=1066&amp;utm_source=sheet", "Apply")</f>
        <v>Apply</v>
      </c>
      <c r="C91" s="10" t="s">
        <v>1862</v>
      </c>
      <c r="D91" s="10" t="s">
        <v>1863</v>
      </c>
      <c r="E91" s="10" t="s">
        <v>249</v>
      </c>
      <c r="F91" s="10" t="s">
        <v>1864</v>
      </c>
      <c r="G91" s="10" t="s">
        <v>1865</v>
      </c>
      <c r="H91" s="10" t="s">
        <v>55</v>
      </c>
      <c r="J91" s="10" t="s">
        <v>1866</v>
      </c>
      <c r="K91" s="10" t="s">
        <v>42</v>
      </c>
    </row>
    <row r="92" ht="15.75" customHeight="1">
      <c r="A92" s="64">
        <v>45489.0</v>
      </c>
      <c r="B92" s="55" t="str">
        <f>HYPERLINK("https://jobright.ai/jobs/info/6696eb458d504cef49ac3831?utm_campaign=1066&amp;utm_source=sheet", "Apply")</f>
        <v>Apply</v>
      </c>
      <c r="C92" s="10" t="s">
        <v>1867</v>
      </c>
      <c r="D92" s="10" t="s">
        <v>394</v>
      </c>
      <c r="E92" s="10" t="s">
        <v>249</v>
      </c>
      <c r="F92" s="10" t="s">
        <v>395</v>
      </c>
      <c r="G92" s="10" t="s">
        <v>1254</v>
      </c>
      <c r="H92" s="10" t="s">
        <v>55</v>
      </c>
      <c r="I92" s="10" t="s">
        <v>1868</v>
      </c>
      <c r="J92" s="10" t="s">
        <v>1869</v>
      </c>
      <c r="K92" s="10" t="s">
        <v>42</v>
      </c>
    </row>
    <row r="93" ht="15.75" customHeight="1">
      <c r="A93" s="64">
        <v>45489.0</v>
      </c>
      <c r="B93" s="55" t="str">
        <f>HYPERLINK("https://jobright.ai/jobs/info/6696e8e9a1ae585fe37b3f3b?utm_campaign=1066&amp;utm_source=sheet", "Apply")</f>
        <v>Apply</v>
      </c>
      <c r="C93" s="10" t="s">
        <v>1870</v>
      </c>
      <c r="D93" s="10" t="s">
        <v>394</v>
      </c>
      <c r="E93" s="10" t="s">
        <v>249</v>
      </c>
      <c r="F93" s="10" t="s">
        <v>395</v>
      </c>
      <c r="G93" s="10" t="s">
        <v>152</v>
      </c>
      <c r="H93" s="10" t="s">
        <v>55</v>
      </c>
      <c r="J93" s="10" t="s">
        <v>1871</v>
      </c>
      <c r="K93" s="10" t="s">
        <v>42</v>
      </c>
    </row>
    <row r="94" ht="15.75" customHeight="1">
      <c r="A94" s="64">
        <v>45489.0</v>
      </c>
      <c r="B94" s="55" t="str">
        <f>HYPERLINK("https://jobright.ai/jobs/info/6697228ff11ecbc261d9111a?utm_campaign=1066&amp;utm_source=sheet", "Apply")</f>
        <v>Apply</v>
      </c>
      <c r="C94" s="10" t="s">
        <v>1872</v>
      </c>
      <c r="D94" s="10" t="s">
        <v>1178</v>
      </c>
      <c r="E94" s="10" t="s">
        <v>137</v>
      </c>
      <c r="F94" s="10" t="s">
        <v>1179</v>
      </c>
      <c r="G94" s="10" t="s">
        <v>1007</v>
      </c>
      <c r="H94" s="10" t="s">
        <v>48</v>
      </c>
      <c r="I94" s="10" t="s">
        <v>1873</v>
      </c>
      <c r="J94" s="10" t="s">
        <v>1874</v>
      </c>
      <c r="K94" s="10" t="s">
        <v>42</v>
      </c>
    </row>
    <row r="95" ht="15.75" customHeight="1">
      <c r="A95" s="64">
        <v>45489.0</v>
      </c>
      <c r="B95" s="55" t="str">
        <f>HYPERLINK("https://jobright.ai/jobs/info/6679b27567c58f13394f6c23?utm_campaign=1066&amp;utm_source=sheet", "Apply")</f>
        <v>Apply</v>
      </c>
      <c r="C95" s="10" t="s">
        <v>1875</v>
      </c>
      <c r="D95" s="10" t="s">
        <v>1876</v>
      </c>
      <c r="E95" s="10" t="s">
        <v>249</v>
      </c>
      <c r="F95" s="10" t="s">
        <v>1877</v>
      </c>
      <c r="G95" s="10" t="s">
        <v>251</v>
      </c>
      <c r="H95" s="10" t="s">
        <v>252</v>
      </c>
      <c r="J95" s="10" t="s">
        <v>1878</v>
      </c>
      <c r="K95" s="10" t="s">
        <v>42</v>
      </c>
    </row>
    <row r="96" ht="15.75" customHeight="1">
      <c r="A96" s="64">
        <v>45489.0</v>
      </c>
      <c r="B96" s="55" t="str">
        <f>HYPERLINK("https://jobright.ai/jobs/info/669647906eb71b21fb140c13?utm_campaign=1066&amp;utm_source=sheet", "Apply")</f>
        <v>Apply</v>
      </c>
      <c r="C96" s="10" t="s">
        <v>1879</v>
      </c>
      <c r="D96" s="10" t="s">
        <v>634</v>
      </c>
      <c r="E96" s="10" t="s">
        <v>65</v>
      </c>
      <c r="F96" s="10" t="s">
        <v>635</v>
      </c>
      <c r="G96" s="10" t="s">
        <v>636</v>
      </c>
      <c r="H96" s="10" t="s">
        <v>48</v>
      </c>
      <c r="J96" s="10" t="s">
        <v>1880</v>
      </c>
      <c r="K96" s="10" t="s">
        <v>42</v>
      </c>
    </row>
    <row r="97" ht="15.75" customHeight="1">
      <c r="A97" s="64">
        <v>45489.0</v>
      </c>
      <c r="B97" s="55" t="str">
        <f>HYPERLINK("https://jobright.ai/jobs/info/669650e36a7fbc28bbb34763?utm_campaign=1066&amp;utm_source=sheet", "Apply")</f>
        <v>Apply</v>
      </c>
      <c r="C97" s="10" t="s">
        <v>1881</v>
      </c>
      <c r="D97" s="10" t="s">
        <v>634</v>
      </c>
      <c r="E97" s="10" t="s">
        <v>65</v>
      </c>
      <c r="F97" s="10" t="s">
        <v>635</v>
      </c>
      <c r="G97" s="10" t="s">
        <v>636</v>
      </c>
      <c r="H97" s="10" t="s">
        <v>55</v>
      </c>
      <c r="J97" s="10" t="s">
        <v>1882</v>
      </c>
      <c r="K97" s="10" t="s">
        <v>42</v>
      </c>
    </row>
    <row r="98" ht="15.75" customHeight="1">
      <c r="A98" s="64">
        <v>45489.0</v>
      </c>
      <c r="B98" s="55" t="str">
        <f>HYPERLINK("https://jobright.ai/jobs/info/66960d819bbc6d9df88daa46?utm_campaign=1066&amp;utm_source=sheet", "Apply")</f>
        <v>Apply</v>
      </c>
      <c r="C98" s="10" t="s">
        <v>1872</v>
      </c>
      <c r="D98" s="10" t="s">
        <v>1883</v>
      </c>
      <c r="E98" s="10" t="s">
        <v>209</v>
      </c>
      <c r="F98" s="10" t="s">
        <v>1884</v>
      </c>
      <c r="G98" s="10" t="s">
        <v>1007</v>
      </c>
      <c r="H98" s="10" t="s">
        <v>48</v>
      </c>
      <c r="I98" s="10" t="s">
        <v>1873</v>
      </c>
      <c r="J98" s="10" t="s">
        <v>1885</v>
      </c>
      <c r="K98" s="10" t="s">
        <v>42</v>
      </c>
    </row>
    <row r="99" ht="15.75" customHeight="1">
      <c r="A99" s="64">
        <v>45489.0</v>
      </c>
      <c r="B99" s="55" t="str">
        <f>HYPERLINK("https://jobright.ai/jobs/info/6695ed9ccaae57904cca1f95?utm_campaign=1066&amp;utm_source=sheet", "Apply")</f>
        <v>Apply</v>
      </c>
      <c r="C99" s="10" t="s">
        <v>1870</v>
      </c>
      <c r="D99" s="10" t="s">
        <v>394</v>
      </c>
      <c r="E99" s="10" t="s">
        <v>249</v>
      </c>
      <c r="F99" s="10" t="s">
        <v>395</v>
      </c>
      <c r="G99" s="10" t="s">
        <v>113</v>
      </c>
      <c r="H99" s="10" t="s">
        <v>55</v>
      </c>
      <c r="J99" s="10" t="s">
        <v>1871</v>
      </c>
      <c r="K99" s="10" t="s">
        <v>42</v>
      </c>
    </row>
    <row r="100" ht="15.75" customHeight="1">
      <c r="A100" s="64">
        <v>45488.0</v>
      </c>
      <c r="B100" s="55" t="str">
        <f>HYPERLINK("https://jobright.ai/jobs/info/6695c0d027b8d0ea6ca6f092?utm_campaign=1066&amp;utm_source=sheet", "Apply")</f>
        <v>Apply</v>
      </c>
      <c r="C100" s="10" t="s">
        <v>1886</v>
      </c>
      <c r="D100" s="10" t="s">
        <v>196</v>
      </c>
      <c r="E100" s="10" t="s">
        <v>71</v>
      </c>
      <c r="F100" s="10" t="s">
        <v>197</v>
      </c>
      <c r="G100" s="10" t="s">
        <v>193</v>
      </c>
      <c r="H100" s="10" t="s">
        <v>55</v>
      </c>
      <c r="I100" s="10" t="s">
        <v>1409</v>
      </c>
      <c r="J100" s="10" t="s">
        <v>1887</v>
      </c>
      <c r="K100" s="10" t="s">
        <v>42</v>
      </c>
    </row>
    <row r="101" ht="15.75" customHeight="1">
      <c r="A101" s="64">
        <v>45488.0</v>
      </c>
      <c r="B101" s="55" t="str">
        <f>HYPERLINK("https://jobright.ai/jobs/info/6695cbbdc33a502f7719aa17?utm_campaign=1066&amp;utm_source=sheet", "Apply")</f>
        <v>Apply</v>
      </c>
      <c r="C101" s="10" t="s">
        <v>1888</v>
      </c>
      <c r="D101" s="10" t="s">
        <v>1883</v>
      </c>
      <c r="E101" s="10" t="s">
        <v>209</v>
      </c>
      <c r="F101" s="10" t="s">
        <v>1884</v>
      </c>
      <c r="G101" s="10" t="s">
        <v>1007</v>
      </c>
      <c r="H101" s="10" t="s">
        <v>48</v>
      </c>
      <c r="I101" s="10" t="s">
        <v>1873</v>
      </c>
      <c r="J101" s="10" t="s">
        <v>1885</v>
      </c>
      <c r="K101" s="10" t="s">
        <v>42</v>
      </c>
    </row>
    <row r="102" ht="15.75" customHeight="1">
      <c r="A102" s="64">
        <v>45488.0</v>
      </c>
      <c r="B102" s="55" t="str">
        <f>HYPERLINK("https://jobright.ai/jobs/info/6695a03cec311e38ae18a6e7?utm_campaign=1066&amp;utm_source=sheet", "Apply")</f>
        <v>Apply</v>
      </c>
      <c r="C102" s="10" t="s">
        <v>1889</v>
      </c>
      <c r="D102" s="10" t="s">
        <v>730</v>
      </c>
      <c r="E102" s="10" t="s">
        <v>45</v>
      </c>
      <c r="F102" s="10" t="s">
        <v>731</v>
      </c>
      <c r="G102" s="10" t="s">
        <v>96</v>
      </c>
      <c r="H102" s="10" t="s">
        <v>55</v>
      </c>
      <c r="J102" s="10" t="s">
        <v>1890</v>
      </c>
      <c r="K102" s="10" t="s">
        <v>42</v>
      </c>
    </row>
    <row r="103" ht="15.75" customHeight="1">
      <c r="A103" s="64">
        <v>45488.0</v>
      </c>
      <c r="B103" s="55" t="str">
        <f>HYPERLINK("https://jobright.ai/jobs/info/6691ad04f75851e2436d5630?utm_campaign=1066&amp;utm_source=sheet", "Apply")</f>
        <v>Apply</v>
      </c>
      <c r="C103" s="10" t="s">
        <v>1891</v>
      </c>
      <c r="D103" s="10" t="s">
        <v>1892</v>
      </c>
      <c r="E103" s="10" t="s">
        <v>45</v>
      </c>
      <c r="F103" s="10" t="s">
        <v>1893</v>
      </c>
      <c r="G103" s="10" t="s">
        <v>96</v>
      </c>
      <c r="H103" s="10" t="s">
        <v>48</v>
      </c>
      <c r="I103" s="10" t="s">
        <v>581</v>
      </c>
      <c r="J103" s="10" t="s">
        <v>1894</v>
      </c>
      <c r="K103" s="10" t="s">
        <v>42</v>
      </c>
    </row>
    <row r="104" ht="15.75" customHeight="1">
      <c r="A104" s="64">
        <v>45488.0</v>
      </c>
      <c r="B104" s="55" t="str">
        <f>HYPERLINK("https://jobright.ai/jobs/info/6695ad68558c6522864836b2?utm_campaign=1066&amp;utm_source=sheet", "Apply")</f>
        <v>Apply</v>
      </c>
      <c r="C104" s="10" t="s">
        <v>1888</v>
      </c>
      <c r="D104" s="10" t="s">
        <v>1178</v>
      </c>
      <c r="E104" s="10" t="s">
        <v>137</v>
      </c>
      <c r="F104" s="10" t="s">
        <v>1179</v>
      </c>
      <c r="G104" s="10" t="s">
        <v>1007</v>
      </c>
      <c r="H104" s="10" t="s">
        <v>48</v>
      </c>
      <c r="I104" s="10" t="s">
        <v>1873</v>
      </c>
      <c r="J104" s="10" t="s">
        <v>1874</v>
      </c>
      <c r="K104" s="10" t="s">
        <v>42</v>
      </c>
    </row>
    <row r="105" ht="15.75" customHeight="1">
      <c r="A105" s="64">
        <v>45488.0</v>
      </c>
      <c r="B105" s="55" t="str">
        <f>HYPERLINK("https://jobright.ai/jobs/info/6695a8e02579c28f575c6740?utm_campaign=1066&amp;utm_source=sheet", "Apply")</f>
        <v>Apply</v>
      </c>
      <c r="C105" s="10" t="s">
        <v>1895</v>
      </c>
      <c r="D105" s="10" t="s">
        <v>643</v>
      </c>
      <c r="E105" s="10" t="s">
        <v>79</v>
      </c>
      <c r="F105" s="10" t="s">
        <v>644</v>
      </c>
      <c r="G105" s="10" t="s">
        <v>113</v>
      </c>
      <c r="H105" s="10" t="s">
        <v>48</v>
      </c>
      <c r="J105" s="10" t="s">
        <v>1896</v>
      </c>
      <c r="K105" s="10" t="s">
        <v>42</v>
      </c>
    </row>
    <row r="106" ht="15.75" customHeight="1">
      <c r="A106" s="64">
        <v>45488.0</v>
      </c>
      <c r="B106" s="55" t="str">
        <f>HYPERLINK("https://jobright.ai/jobs/info/669a7529608a5562480ae199?utm_campaign=1066&amp;utm_source=sheet", "Apply")</f>
        <v>Apply</v>
      </c>
      <c r="C106" s="10" t="s">
        <v>1897</v>
      </c>
      <c r="D106" s="10" t="s">
        <v>1898</v>
      </c>
      <c r="E106" s="10">
        <v>24.0</v>
      </c>
      <c r="G106" s="10" t="s">
        <v>1017</v>
      </c>
      <c r="H106" s="10" t="s">
        <v>55</v>
      </c>
      <c r="J106" s="10" t="s">
        <v>1899</v>
      </c>
      <c r="K106" s="10" t="s">
        <v>42</v>
      </c>
    </row>
    <row r="107" ht="15.75" customHeight="1">
      <c r="A107" s="64">
        <v>45488.0</v>
      </c>
      <c r="B107" s="55" t="str">
        <f>HYPERLINK("https://jobright.ai/jobs/info/669e40b84ef9507440b4861a?utm_campaign=1066&amp;utm_source=sheet", "Apply")</f>
        <v>Apply</v>
      </c>
      <c r="C107" s="10" t="s">
        <v>1900</v>
      </c>
      <c r="D107" s="10" t="s">
        <v>180</v>
      </c>
      <c r="E107" s="10">
        <v>3092.0</v>
      </c>
      <c r="G107" s="10" t="s">
        <v>181</v>
      </c>
      <c r="H107" s="10" t="s">
        <v>55</v>
      </c>
      <c r="J107" s="10" t="s">
        <v>1901</v>
      </c>
      <c r="K107" s="10" t="s">
        <v>42</v>
      </c>
    </row>
    <row r="108" ht="15.75" customHeight="1">
      <c r="A108" s="64">
        <v>45488.0</v>
      </c>
      <c r="B108" s="55" t="str">
        <f>HYPERLINK("https://jobright.ai/jobs/info/669588dee856931ec150555d?utm_campaign=1066&amp;utm_source=sheet", "Apply")</f>
        <v>Apply</v>
      </c>
      <c r="C108" s="10" t="s">
        <v>1888</v>
      </c>
      <c r="D108" s="10" t="s">
        <v>1883</v>
      </c>
      <c r="E108" s="10" t="s">
        <v>209</v>
      </c>
      <c r="F108" s="10" t="s">
        <v>1884</v>
      </c>
      <c r="G108" s="10" t="s">
        <v>1902</v>
      </c>
      <c r="H108" s="10" t="s">
        <v>48</v>
      </c>
      <c r="I108" s="10" t="s">
        <v>1873</v>
      </c>
      <c r="J108" s="10" t="s">
        <v>1885</v>
      </c>
      <c r="K108" s="10" t="s">
        <v>42</v>
      </c>
    </row>
    <row r="109" ht="15.75" customHeight="1">
      <c r="A109" s="66">
        <v>45487.0</v>
      </c>
      <c r="B109" s="55" t="str">
        <f>HYPERLINK("https://jobright.ai/jobs/info/6688d26b10f0f5efef8fcc3d?utm_campaign=1066&amp;utm_source=sheet", "Apply")</f>
        <v>Apply</v>
      </c>
      <c r="C109" s="10" t="s">
        <v>1903</v>
      </c>
      <c r="D109" s="10" t="s">
        <v>1904</v>
      </c>
      <c r="E109" s="10" t="s">
        <v>65</v>
      </c>
      <c r="F109" s="10" t="s">
        <v>1905</v>
      </c>
      <c r="G109" s="10" t="s">
        <v>113</v>
      </c>
      <c r="H109" s="10" t="s">
        <v>48</v>
      </c>
      <c r="I109" s="10" t="s">
        <v>1906</v>
      </c>
      <c r="J109" s="10" t="s">
        <v>1907</v>
      </c>
      <c r="K109" s="10" t="s">
        <v>42</v>
      </c>
    </row>
    <row r="110" ht="15.75" customHeight="1">
      <c r="A110" s="66">
        <v>45487.0</v>
      </c>
      <c r="B110" s="55" t="str">
        <f>HYPERLINK("https://jobright.ai/jobs/info/669ceab27b0d8fbd0ccf237f?utm_campaign=1066&amp;utm_source=sheet", "Apply")</f>
        <v>Apply</v>
      </c>
      <c r="C110" s="10" t="s">
        <v>1771</v>
      </c>
      <c r="D110" s="10" t="s">
        <v>1908</v>
      </c>
      <c r="E110" s="10" t="s">
        <v>45</v>
      </c>
      <c r="F110" s="10" t="s">
        <v>1909</v>
      </c>
      <c r="G110" s="10" t="s">
        <v>153</v>
      </c>
      <c r="H110" s="10" t="s">
        <v>55</v>
      </c>
      <c r="J110" s="10" t="s">
        <v>1910</v>
      </c>
      <c r="K110" s="10" t="s">
        <v>42</v>
      </c>
    </row>
    <row r="111" ht="15.75" customHeight="1">
      <c r="A111" s="66">
        <v>45487.0</v>
      </c>
      <c r="B111" s="55" t="str">
        <f>HYPERLINK("https://jobright.ai/jobs/info/663426200931379a3b362766?utm_campaign=1066&amp;utm_source=sheet", "Apply")</f>
        <v>Apply</v>
      </c>
      <c r="C111" s="10" t="s">
        <v>1911</v>
      </c>
      <c r="D111" s="10" t="s">
        <v>1912</v>
      </c>
      <c r="E111" s="10" t="s">
        <v>249</v>
      </c>
      <c r="F111" s="10" t="s">
        <v>1913</v>
      </c>
      <c r="G111" s="10" t="s">
        <v>698</v>
      </c>
      <c r="H111" s="10" t="s">
        <v>48</v>
      </c>
      <c r="J111" s="10" t="s">
        <v>1914</v>
      </c>
      <c r="K111" s="10" t="s">
        <v>42</v>
      </c>
    </row>
    <row r="112" ht="15.75" customHeight="1">
      <c r="A112" s="66">
        <v>45487.0</v>
      </c>
      <c r="B112" s="55" t="str">
        <f>HYPERLINK("https://jobright.ai/jobs/info/6675f33f2617111d53a44359?utm_campaign=1066&amp;utm_source=sheet", "Apply")</f>
        <v>Apply</v>
      </c>
      <c r="C112" s="10" t="s">
        <v>1915</v>
      </c>
      <c r="D112" s="10" t="s">
        <v>1916</v>
      </c>
      <c r="E112" s="10" t="s">
        <v>209</v>
      </c>
      <c r="F112" s="10" t="s">
        <v>1917</v>
      </c>
      <c r="G112" s="10" t="s">
        <v>251</v>
      </c>
      <c r="H112" s="10" t="s">
        <v>252</v>
      </c>
      <c r="I112" s="10" t="s">
        <v>1918</v>
      </c>
      <c r="J112" s="10" t="s">
        <v>1919</v>
      </c>
      <c r="K112" s="10" t="s">
        <v>42</v>
      </c>
    </row>
    <row r="113" ht="15.75" customHeight="1">
      <c r="A113" s="66">
        <v>45486.0</v>
      </c>
      <c r="B113" s="55" t="str">
        <f>HYPERLINK("https://jobright.ai/jobs/info/669bdc21b7461be43d21f3eb?utm_campaign=1066&amp;utm_source=sheet", "Apply")</f>
        <v>Apply</v>
      </c>
      <c r="C113" s="10" t="s">
        <v>1920</v>
      </c>
      <c r="D113" s="10" t="s">
        <v>1921</v>
      </c>
      <c r="E113" s="10" t="s">
        <v>249</v>
      </c>
      <c r="F113" s="10" t="s">
        <v>1922</v>
      </c>
      <c r="G113" s="10" t="s">
        <v>1013</v>
      </c>
      <c r="H113" s="10" t="s">
        <v>55</v>
      </c>
      <c r="J113" s="10" t="s">
        <v>1923</v>
      </c>
      <c r="K113" s="10" t="s">
        <v>42</v>
      </c>
    </row>
    <row r="114" ht="15.75" customHeight="1">
      <c r="A114" s="66">
        <v>45486.0</v>
      </c>
      <c r="B114" s="55" t="str">
        <f>HYPERLINK("https://jobright.ai/jobs/info/65d8ef49448e60f9d80ba5ca?utm_campaign=1066&amp;utm_source=sheet", "Apply")</f>
        <v>Apply</v>
      </c>
      <c r="C114" s="10" t="s">
        <v>1924</v>
      </c>
      <c r="D114" s="10" t="s">
        <v>180</v>
      </c>
      <c r="E114" s="10">
        <v>3092.0</v>
      </c>
      <c r="G114" s="10" t="s">
        <v>181</v>
      </c>
      <c r="H114" s="10" t="s">
        <v>48</v>
      </c>
      <c r="J114" s="10" t="s">
        <v>1925</v>
      </c>
      <c r="K114" s="10" t="s">
        <v>42</v>
      </c>
    </row>
    <row r="115" ht="15.75" customHeight="1">
      <c r="A115" s="66">
        <v>45486.0</v>
      </c>
      <c r="B115" s="55" t="str">
        <f>HYPERLINK("https://jobright.ai/jobs/info/6676280374a49bf8010a1ec9?utm_campaign=1066&amp;utm_source=sheet", "Apply")</f>
        <v>Apply</v>
      </c>
      <c r="C115" s="10" t="s">
        <v>1926</v>
      </c>
      <c r="D115" s="10" t="s">
        <v>385</v>
      </c>
      <c r="E115" s="10" t="s">
        <v>45</v>
      </c>
      <c r="F115" s="10" t="s">
        <v>386</v>
      </c>
      <c r="G115" s="10" t="s">
        <v>423</v>
      </c>
      <c r="H115" s="10" t="s">
        <v>55</v>
      </c>
      <c r="I115" s="10" t="s">
        <v>1927</v>
      </c>
      <c r="J115" s="10" t="s">
        <v>1928</v>
      </c>
      <c r="K115" s="10" t="s">
        <v>42</v>
      </c>
    </row>
    <row r="116" ht="15.75" customHeight="1">
      <c r="A116" s="66">
        <v>45486.0</v>
      </c>
      <c r="B116" s="55" t="str">
        <f>HYPERLINK("https://jobright.ai/jobs/info/667633f0e272243dcd4f67e8?utm_campaign=1066&amp;utm_source=sheet", "Apply")</f>
        <v>Apply</v>
      </c>
      <c r="C116" s="10" t="s">
        <v>1929</v>
      </c>
      <c r="D116" s="10" t="s">
        <v>385</v>
      </c>
      <c r="E116" s="10" t="s">
        <v>45</v>
      </c>
      <c r="F116" s="10" t="s">
        <v>386</v>
      </c>
      <c r="G116" s="10" t="s">
        <v>423</v>
      </c>
      <c r="H116" s="10" t="s">
        <v>55</v>
      </c>
      <c r="I116" s="10" t="s">
        <v>1927</v>
      </c>
      <c r="J116" s="10" t="s">
        <v>1928</v>
      </c>
      <c r="K116" s="10" t="s">
        <v>42</v>
      </c>
    </row>
    <row r="117" ht="15.75" customHeight="1">
      <c r="A117" s="66">
        <v>45486.0</v>
      </c>
      <c r="B117" s="55" t="str">
        <f>HYPERLINK("https://jobright.ai/jobs/info/667499f3e2555414447e6a4b?utm_campaign=1066&amp;utm_source=sheet", "Apply")</f>
        <v>Apply</v>
      </c>
      <c r="C117" s="10" t="s">
        <v>1930</v>
      </c>
      <c r="D117" s="10" t="s">
        <v>385</v>
      </c>
      <c r="E117" s="10" t="s">
        <v>45</v>
      </c>
      <c r="F117" s="10" t="s">
        <v>386</v>
      </c>
      <c r="G117" s="10" t="s">
        <v>423</v>
      </c>
      <c r="H117" s="10" t="s">
        <v>55</v>
      </c>
      <c r="I117" s="10" t="s">
        <v>1231</v>
      </c>
      <c r="J117" s="10" t="s">
        <v>1931</v>
      </c>
      <c r="K117" s="10" t="s">
        <v>42</v>
      </c>
    </row>
    <row r="118" ht="15.75" customHeight="1">
      <c r="A118" s="66">
        <v>45486.0</v>
      </c>
      <c r="B118" s="55" t="str">
        <f>HYPERLINK("https://jobright.ai/jobs/info/668e8e4b8ba8f92011d5581d?utm_campaign=1066&amp;utm_source=sheet", "Apply")</f>
        <v>Apply</v>
      </c>
      <c r="C118" s="10" t="s">
        <v>1932</v>
      </c>
      <c r="D118" s="10" t="s">
        <v>1933</v>
      </c>
      <c r="E118" s="10" t="s">
        <v>65</v>
      </c>
      <c r="F118" s="10" t="s">
        <v>1934</v>
      </c>
      <c r="G118" s="10" t="s">
        <v>96</v>
      </c>
      <c r="H118" s="10" t="s">
        <v>55</v>
      </c>
      <c r="I118" s="10" t="s">
        <v>1935</v>
      </c>
      <c r="J118" s="10" t="s">
        <v>1936</v>
      </c>
      <c r="K118" s="10" t="s">
        <v>42</v>
      </c>
    </row>
    <row r="119" ht="15.75" customHeight="1">
      <c r="A119" s="66">
        <v>45486.0</v>
      </c>
      <c r="B119" s="55" t="str">
        <f>HYPERLINK("https://jobright.ai/jobs/info/664e4035403c20224e70eb03?utm_campaign=1066&amp;utm_source=sheet", "Apply")</f>
        <v>Apply</v>
      </c>
      <c r="C119" s="10" t="s">
        <v>1937</v>
      </c>
      <c r="D119" s="10" t="s">
        <v>1061</v>
      </c>
      <c r="E119" s="10" t="s">
        <v>209</v>
      </c>
      <c r="G119" s="10" t="s">
        <v>1938</v>
      </c>
      <c r="H119" s="10" t="s">
        <v>55</v>
      </c>
      <c r="J119" s="10" t="s">
        <v>1939</v>
      </c>
      <c r="K119" s="10" t="s">
        <v>42</v>
      </c>
    </row>
    <row r="120" ht="15.75" customHeight="1">
      <c r="A120" s="66">
        <v>45486.0</v>
      </c>
      <c r="B120" s="55" t="str">
        <f>HYPERLINK("https://jobright.ai/jobs/info/66166265d091a0a25b8bc85f?utm_campaign=1066&amp;utm_source=sheet", "Apply")</f>
        <v>Apply</v>
      </c>
      <c r="C120" s="10" t="s">
        <v>1940</v>
      </c>
      <c r="D120" s="10" t="s">
        <v>1941</v>
      </c>
      <c r="E120" s="10" t="s">
        <v>65</v>
      </c>
      <c r="F120" s="10" t="s">
        <v>1942</v>
      </c>
      <c r="G120" s="10" t="s">
        <v>1036</v>
      </c>
      <c r="H120" s="10" t="s">
        <v>55</v>
      </c>
      <c r="J120" s="10" t="s">
        <v>1943</v>
      </c>
      <c r="K120" s="10" t="s">
        <v>42</v>
      </c>
    </row>
    <row r="121" ht="15.75" customHeight="1">
      <c r="A121" s="66">
        <v>45486.0</v>
      </c>
      <c r="B121" s="55" t="str">
        <f>HYPERLINK("https://jobright.ai/jobs/info/65ba513a1dda307087bd2e65?utm_campaign=1066&amp;utm_source=sheet", "Apply")</f>
        <v>Apply</v>
      </c>
      <c r="C121" s="10" t="s">
        <v>1944</v>
      </c>
      <c r="D121" s="10" t="s">
        <v>1061</v>
      </c>
      <c r="E121" s="10" t="s">
        <v>209</v>
      </c>
      <c r="G121" s="10" t="s">
        <v>1945</v>
      </c>
      <c r="H121" s="10" t="s">
        <v>55</v>
      </c>
      <c r="J121" s="10" t="s">
        <v>1946</v>
      </c>
      <c r="K121" s="10" t="s">
        <v>42</v>
      </c>
    </row>
    <row r="122" ht="15.75" customHeight="1">
      <c r="A122" s="66">
        <v>45486.0</v>
      </c>
      <c r="B122" s="55" t="str">
        <f>HYPERLINK("https://jobright.ai/jobs/info/665600803c644f9212a6e27b?utm_campaign=1066&amp;utm_source=sheet", "Apply")</f>
        <v>Apply</v>
      </c>
      <c r="C122" s="10" t="s">
        <v>1947</v>
      </c>
      <c r="D122" s="10" t="s">
        <v>1948</v>
      </c>
      <c r="E122" s="10" t="s">
        <v>65</v>
      </c>
      <c r="F122" s="10" t="s">
        <v>1949</v>
      </c>
      <c r="G122" s="10" t="s">
        <v>153</v>
      </c>
      <c r="H122" s="10" t="s">
        <v>55</v>
      </c>
      <c r="J122" s="10" t="s">
        <v>1950</v>
      </c>
      <c r="K122" s="10" t="s">
        <v>42</v>
      </c>
    </row>
    <row r="123" ht="15.75" customHeight="1">
      <c r="A123" s="66">
        <v>45486.0</v>
      </c>
      <c r="B123" s="55" t="str">
        <f>HYPERLINK("https://jobright.ai/jobs/info/667609060f75793ae234e14d?utm_campaign=1066&amp;utm_source=sheet", "Apply")</f>
        <v>Apply</v>
      </c>
      <c r="C123" s="10" t="s">
        <v>1951</v>
      </c>
      <c r="D123" s="10" t="s">
        <v>702</v>
      </c>
      <c r="E123" s="10" t="s">
        <v>65</v>
      </c>
      <c r="F123" s="10" t="s">
        <v>703</v>
      </c>
      <c r="G123" s="10" t="s">
        <v>1058</v>
      </c>
      <c r="H123" s="10" t="s">
        <v>48</v>
      </c>
      <c r="I123" s="10" t="s">
        <v>1952</v>
      </c>
      <c r="J123" s="10" t="s">
        <v>1953</v>
      </c>
      <c r="K123" s="10" t="s">
        <v>42</v>
      </c>
    </row>
    <row r="124" ht="15.75" customHeight="1">
      <c r="A124" s="66">
        <v>45486.0</v>
      </c>
      <c r="B124" s="55" t="str">
        <f>HYPERLINK("https://jobright.ai/jobs/info/6646a45b7cbe2d9c05df73f1?utm_campaign=1066&amp;utm_source=sheet", "Apply")</f>
        <v>Apply</v>
      </c>
      <c r="C124" s="10" t="s">
        <v>1951</v>
      </c>
      <c r="D124" s="10" t="s">
        <v>702</v>
      </c>
      <c r="E124" s="10" t="s">
        <v>65</v>
      </c>
      <c r="F124" s="10" t="s">
        <v>703</v>
      </c>
      <c r="G124" s="10" t="s">
        <v>1058</v>
      </c>
      <c r="H124" s="10" t="s">
        <v>55</v>
      </c>
      <c r="I124" s="10" t="s">
        <v>1952</v>
      </c>
      <c r="J124" s="10" t="s">
        <v>1953</v>
      </c>
      <c r="K124" s="10" t="s">
        <v>42</v>
      </c>
    </row>
    <row r="125" ht="15.75" customHeight="1">
      <c r="A125" s="66">
        <v>45486.0</v>
      </c>
      <c r="B125" s="55" t="str">
        <f>HYPERLINK("https://jobright.ai/jobs/info/66923efb79d55573cc5ef3ae?utm_campaign=1066&amp;utm_source=sheet", "Apply")</f>
        <v>Apply</v>
      </c>
      <c r="C125" s="10" t="s">
        <v>1954</v>
      </c>
      <c r="D125" s="10" t="s">
        <v>1955</v>
      </c>
      <c r="E125" s="10" t="s">
        <v>45</v>
      </c>
      <c r="F125" s="10" t="s">
        <v>1234</v>
      </c>
      <c r="G125" s="10" t="s">
        <v>139</v>
      </c>
      <c r="H125" s="10" t="s">
        <v>55</v>
      </c>
      <c r="I125" s="10" t="s">
        <v>1956</v>
      </c>
      <c r="J125" s="10" t="s">
        <v>1957</v>
      </c>
      <c r="K125" s="10" t="s">
        <v>42</v>
      </c>
    </row>
    <row r="126" ht="15.75" customHeight="1">
      <c r="A126" s="66">
        <v>45486.0</v>
      </c>
      <c r="B126" s="55" t="str">
        <f>HYPERLINK("https://jobright.ai/jobs/info/6691efb876c6f9053bab461d?utm_campaign=1066&amp;utm_source=sheet", "Apply")</f>
        <v>Apply</v>
      </c>
      <c r="C126" s="10" t="s">
        <v>1958</v>
      </c>
      <c r="D126" s="10" t="s">
        <v>1959</v>
      </c>
      <c r="E126" s="10">
        <v>9898.0</v>
      </c>
      <c r="G126" s="10" t="s">
        <v>251</v>
      </c>
      <c r="H126" s="10" t="s">
        <v>252</v>
      </c>
      <c r="I126" s="10" t="s">
        <v>1960</v>
      </c>
      <c r="J126" s="10" t="s">
        <v>1961</v>
      </c>
      <c r="K126" s="10" t="s">
        <v>42</v>
      </c>
    </row>
    <row r="127" ht="15.75" customHeight="1">
      <c r="A127" s="66">
        <v>45486.0</v>
      </c>
      <c r="B127" s="55" t="str">
        <f>HYPERLINK("https://jobright.ai/jobs/info/6691e1517ab0371a6692f7fe?utm_campaign=1066&amp;utm_source=sheet", "Apply")</f>
        <v>Apply</v>
      </c>
      <c r="C127" s="10" t="s">
        <v>1962</v>
      </c>
      <c r="D127" s="10" t="s">
        <v>196</v>
      </c>
      <c r="E127" s="10" t="s">
        <v>71</v>
      </c>
      <c r="F127" s="10" t="s">
        <v>197</v>
      </c>
      <c r="G127" s="10" t="s">
        <v>1963</v>
      </c>
      <c r="H127" s="10" t="s">
        <v>55</v>
      </c>
      <c r="J127" s="10" t="s">
        <v>1964</v>
      </c>
      <c r="K127" s="10" t="s">
        <v>42</v>
      </c>
    </row>
    <row r="128" ht="15.75" customHeight="1">
      <c r="A128" s="66">
        <v>45485.0</v>
      </c>
      <c r="B128" s="55" t="str">
        <f>HYPERLINK("https://jobright.ai/jobs/info/6691c9b9cf3c8abe59ab6659?utm_campaign=1066&amp;utm_source=sheet", "Apply")</f>
        <v>Apply</v>
      </c>
      <c r="C128" s="10" t="s">
        <v>1965</v>
      </c>
      <c r="D128" s="10" t="s">
        <v>1966</v>
      </c>
      <c r="E128" s="10">
        <v>1209.0</v>
      </c>
      <c r="G128" s="10" t="s">
        <v>959</v>
      </c>
      <c r="H128" s="10" t="s">
        <v>55</v>
      </c>
      <c r="I128" s="10" t="s">
        <v>1967</v>
      </c>
      <c r="J128" s="10" t="s">
        <v>1968</v>
      </c>
      <c r="K128" s="10" t="s">
        <v>42</v>
      </c>
    </row>
    <row r="129" ht="15.75" customHeight="1">
      <c r="A129" s="66">
        <v>45485.0</v>
      </c>
      <c r="B129" s="55" t="str">
        <f>HYPERLINK("https://jobright.ai/jobs/info/6691ad0df75851e2436d56ab?utm_campaign=1066&amp;utm_source=sheet", "Apply")</f>
        <v>Apply</v>
      </c>
      <c r="C129" s="10" t="s">
        <v>1969</v>
      </c>
      <c r="D129" s="10" t="s">
        <v>180</v>
      </c>
      <c r="E129" s="10">
        <v>3092.0</v>
      </c>
      <c r="G129" s="10" t="s">
        <v>923</v>
      </c>
      <c r="H129" s="10" t="s">
        <v>55</v>
      </c>
      <c r="J129" s="10" t="s">
        <v>1970</v>
      </c>
      <c r="K129" s="10" t="s">
        <v>42</v>
      </c>
    </row>
    <row r="130" ht="15.75" customHeight="1">
      <c r="A130" s="66">
        <v>45485.0</v>
      </c>
      <c r="B130" s="55" t="str">
        <f>HYPERLINK("https://jobright.ai/jobs/info/66a4038a0d09d8a9054b421c?utm_campaign=1066&amp;utm_source=sheet", "Apply")</f>
        <v>Apply</v>
      </c>
      <c r="C130" s="10" t="s">
        <v>1971</v>
      </c>
      <c r="D130" s="10" t="s">
        <v>1972</v>
      </c>
      <c r="E130" s="10" t="s">
        <v>65</v>
      </c>
      <c r="G130" s="10" t="s">
        <v>854</v>
      </c>
      <c r="H130" s="10" t="s">
        <v>55</v>
      </c>
      <c r="I130" s="10" t="s">
        <v>1973</v>
      </c>
      <c r="J130" s="10" t="s">
        <v>1974</v>
      </c>
      <c r="K130" s="10" t="s">
        <v>42</v>
      </c>
    </row>
    <row r="131" ht="15.75" customHeight="1">
      <c r="A131" s="66">
        <v>45485.0</v>
      </c>
      <c r="B131" s="55" t="str">
        <f>HYPERLINK("https://jobright.ai/jobs/info/66916be40bfd99748e33e869?utm_campaign=1066&amp;utm_source=sheet", "Apply")</f>
        <v>Apply</v>
      </c>
      <c r="C131" s="10" t="s">
        <v>1975</v>
      </c>
      <c r="D131" s="10" t="s">
        <v>1976</v>
      </c>
      <c r="E131" s="10" t="s">
        <v>249</v>
      </c>
      <c r="F131" s="10" t="s">
        <v>277</v>
      </c>
      <c r="G131" s="10" t="s">
        <v>153</v>
      </c>
      <c r="H131" s="10" t="s">
        <v>48</v>
      </c>
      <c r="J131" s="10" t="s">
        <v>1977</v>
      </c>
      <c r="K131" s="10" t="s">
        <v>42</v>
      </c>
    </row>
    <row r="132" ht="15.75" customHeight="1">
      <c r="A132" s="66">
        <v>45485.0</v>
      </c>
      <c r="B132" s="55" t="str">
        <f>HYPERLINK("https://jobright.ai/jobs/info/669161e2f6454eb751a7bdd9?utm_campaign=1066&amp;utm_source=sheet", "Apply")</f>
        <v>Apply</v>
      </c>
      <c r="C132" s="10" t="s">
        <v>1975</v>
      </c>
      <c r="D132" s="10" t="s">
        <v>1976</v>
      </c>
      <c r="E132" s="10" t="s">
        <v>249</v>
      </c>
      <c r="F132" s="10" t="s">
        <v>277</v>
      </c>
      <c r="G132" s="10" t="s">
        <v>152</v>
      </c>
      <c r="H132" s="10" t="s">
        <v>48</v>
      </c>
      <c r="J132" s="10" t="s">
        <v>1977</v>
      </c>
      <c r="K132" s="10" t="s">
        <v>42</v>
      </c>
    </row>
    <row r="133" ht="15.75" customHeight="1">
      <c r="A133" s="66">
        <v>45485.0</v>
      </c>
      <c r="B133" s="55" t="str">
        <f>HYPERLINK("https://jobright.ai/jobs/info/669157863adb4fe5a948ec0c?utm_campaign=1066&amp;utm_source=sheet", "Apply")</f>
        <v>Apply</v>
      </c>
      <c r="C133" s="10" t="s">
        <v>1975</v>
      </c>
      <c r="D133" s="10" t="s">
        <v>1976</v>
      </c>
      <c r="E133" s="10" t="s">
        <v>249</v>
      </c>
      <c r="F133" s="10" t="s">
        <v>277</v>
      </c>
      <c r="G133" s="10" t="s">
        <v>1978</v>
      </c>
      <c r="H133" s="10" t="s">
        <v>48</v>
      </c>
      <c r="J133" s="10" t="s">
        <v>1977</v>
      </c>
      <c r="K133" s="10" t="s">
        <v>42</v>
      </c>
    </row>
    <row r="134" ht="15.75" customHeight="1">
      <c r="A134" s="66">
        <v>45485.0</v>
      </c>
      <c r="B134" s="55" t="str">
        <f>HYPERLINK("https://jobright.ai/jobs/info/6691545b24a577296e53534c?utm_campaign=1066&amp;utm_source=sheet", "Apply")</f>
        <v>Apply</v>
      </c>
      <c r="C134" s="10" t="s">
        <v>1975</v>
      </c>
      <c r="D134" s="10" t="s">
        <v>1976</v>
      </c>
      <c r="E134" s="10" t="s">
        <v>249</v>
      </c>
      <c r="F134" s="10" t="s">
        <v>277</v>
      </c>
      <c r="G134" s="10" t="s">
        <v>1013</v>
      </c>
      <c r="H134" s="10" t="s">
        <v>48</v>
      </c>
      <c r="J134" s="10" t="s">
        <v>1977</v>
      </c>
      <c r="K134" s="10" t="s">
        <v>42</v>
      </c>
    </row>
    <row r="135" ht="15.75" customHeight="1">
      <c r="A135" s="66">
        <v>45485.0</v>
      </c>
      <c r="B135" s="55" t="str">
        <f>HYPERLINK("https://jobright.ai/jobs/info/669157863adb4fe5a948ec0e?utm_campaign=1066&amp;utm_source=sheet", "Apply")</f>
        <v>Apply</v>
      </c>
      <c r="C135" s="10" t="s">
        <v>1975</v>
      </c>
      <c r="D135" s="10" t="s">
        <v>1976</v>
      </c>
      <c r="E135" s="10" t="s">
        <v>249</v>
      </c>
      <c r="F135" s="10" t="s">
        <v>277</v>
      </c>
      <c r="G135" s="10" t="s">
        <v>994</v>
      </c>
      <c r="H135" s="10" t="s">
        <v>48</v>
      </c>
      <c r="J135" s="10" t="s">
        <v>1977</v>
      </c>
      <c r="K135" s="10" t="s">
        <v>42</v>
      </c>
    </row>
    <row r="136" ht="15.75" customHeight="1">
      <c r="A136" s="66">
        <v>45485.0</v>
      </c>
      <c r="B136" s="55" t="str">
        <f>HYPERLINK("https://jobright.ai/jobs/info/66900feb4a77721ba220f09f?utm_campaign=1066&amp;utm_source=sheet", "Apply")</f>
        <v>Apply</v>
      </c>
      <c r="C136" s="10" t="s">
        <v>1979</v>
      </c>
      <c r="D136" s="10" t="s">
        <v>1980</v>
      </c>
      <c r="E136" s="10" t="s">
        <v>65</v>
      </c>
      <c r="F136" s="10" t="s">
        <v>722</v>
      </c>
      <c r="G136" s="10" t="s">
        <v>96</v>
      </c>
      <c r="H136" s="10" t="s">
        <v>55</v>
      </c>
      <c r="K136" s="10" t="s">
        <v>42</v>
      </c>
    </row>
    <row r="137" ht="15.75" customHeight="1">
      <c r="A137" s="66">
        <v>45484.0</v>
      </c>
      <c r="B137" s="55" t="str">
        <f>HYPERLINK("https://jobright.ai/jobs/info/6690a97a0020afd5a76da15e?utm_campaign=1066&amp;utm_source=sheet", "Apply")</f>
        <v>Apply</v>
      </c>
      <c r="C137" s="10" t="s">
        <v>1981</v>
      </c>
      <c r="D137" s="10" t="s">
        <v>1982</v>
      </c>
      <c r="E137" s="10" t="s">
        <v>276</v>
      </c>
      <c r="F137" s="10" t="s">
        <v>1983</v>
      </c>
      <c r="G137" s="10" t="s">
        <v>170</v>
      </c>
      <c r="H137" s="10" t="s">
        <v>55</v>
      </c>
      <c r="I137" s="10" t="s">
        <v>1984</v>
      </c>
      <c r="J137" s="10" t="s">
        <v>1985</v>
      </c>
      <c r="K137" s="10" t="s">
        <v>42</v>
      </c>
    </row>
    <row r="138" ht="15.75" customHeight="1">
      <c r="A138" s="66">
        <v>45484.0</v>
      </c>
      <c r="B138" s="55" t="str">
        <f>HYPERLINK("https://jobright.ai/jobs/info/66905cf3759f226286d90a65?utm_campaign=1066&amp;utm_source=sheet", "Apply")</f>
        <v>Apply</v>
      </c>
      <c r="C138" s="10" t="s">
        <v>1986</v>
      </c>
      <c r="D138" s="10" t="s">
        <v>180</v>
      </c>
      <c r="E138" s="10">
        <v>3092.0</v>
      </c>
      <c r="G138" s="10" t="s">
        <v>181</v>
      </c>
      <c r="H138" s="10" t="s">
        <v>55</v>
      </c>
      <c r="J138" s="10" t="s">
        <v>1987</v>
      </c>
      <c r="K138" s="10" t="s">
        <v>42</v>
      </c>
    </row>
    <row r="139" ht="15.75" customHeight="1">
      <c r="A139" s="66">
        <v>45484.0</v>
      </c>
      <c r="B139" s="55" t="str">
        <f>HYPERLINK("https://jobright.ai/jobs/info/66a26a5a8d694daaf8c0cd97?utm_campaign=1066&amp;utm_source=sheet", "Apply")</f>
        <v>Apply</v>
      </c>
      <c r="C139" s="10" t="s">
        <v>1971</v>
      </c>
      <c r="D139" s="10" t="s">
        <v>1972</v>
      </c>
      <c r="E139" s="10" t="s">
        <v>65</v>
      </c>
      <c r="G139" s="10" t="s">
        <v>854</v>
      </c>
      <c r="H139" s="10" t="s">
        <v>55</v>
      </c>
      <c r="I139" s="10" t="s">
        <v>1973</v>
      </c>
      <c r="J139" s="10" t="s">
        <v>1974</v>
      </c>
      <c r="K139" s="10" t="s">
        <v>42</v>
      </c>
    </row>
    <row r="140" ht="15.75" customHeight="1">
      <c r="A140" s="66">
        <v>45484.0</v>
      </c>
      <c r="B140" s="55" t="str">
        <f>HYPERLINK("https://jobright.ai/jobs/info/6690bfbb555345cb31084422?utm_campaign=1066&amp;utm_source=sheet", "Apply")</f>
        <v>Apply</v>
      </c>
      <c r="C140" s="10" t="s">
        <v>1988</v>
      </c>
      <c r="D140" s="10" t="s">
        <v>1989</v>
      </c>
      <c r="E140" s="10">
        <v>11491.0</v>
      </c>
      <c r="G140" s="10" t="s">
        <v>1990</v>
      </c>
      <c r="H140" s="10" t="s">
        <v>55</v>
      </c>
      <c r="J140" s="10" t="s">
        <v>1991</v>
      </c>
      <c r="K140" s="10" t="s">
        <v>42</v>
      </c>
    </row>
    <row r="141" ht="15.75" customHeight="1">
      <c r="A141" s="66">
        <v>45484.0</v>
      </c>
      <c r="B141" s="55" t="str">
        <f>HYPERLINK("https://jobright.ai/jobs/info/6673431d8b6a006c823cf6d4?utm_campaign=1066&amp;utm_source=sheet", "Apply")</f>
        <v>Apply</v>
      </c>
      <c r="C141" s="10" t="s">
        <v>1992</v>
      </c>
      <c r="D141" s="10" t="s">
        <v>1993</v>
      </c>
      <c r="E141" s="10" t="s">
        <v>45</v>
      </c>
      <c r="F141" s="10" t="s">
        <v>1179</v>
      </c>
      <c r="G141" s="10" t="s">
        <v>1994</v>
      </c>
      <c r="H141" s="10" t="s">
        <v>55</v>
      </c>
      <c r="I141" s="10" t="s">
        <v>1995</v>
      </c>
      <c r="J141" s="10" t="s">
        <v>1996</v>
      </c>
      <c r="K141" s="10" t="s">
        <v>42</v>
      </c>
    </row>
    <row r="142" ht="15.75" customHeight="1">
      <c r="A142" s="66">
        <v>45484.0</v>
      </c>
      <c r="B142" s="55" t="str">
        <f>HYPERLINK("https://jobright.ai/jobs/info/669112d050888b752cb3de6b?utm_campaign=1066&amp;utm_source=sheet", "Apply")</f>
        <v>Apply</v>
      </c>
      <c r="C142" s="10" t="s">
        <v>1997</v>
      </c>
      <c r="D142" s="10" t="s">
        <v>1998</v>
      </c>
      <c r="E142" s="10" t="s">
        <v>137</v>
      </c>
      <c r="F142" s="10" t="s">
        <v>1999</v>
      </c>
      <c r="G142" s="10" t="s">
        <v>1017</v>
      </c>
      <c r="H142" s="10" t="s">
        <v>55</v>
      </c>
      <c r="I142" s="10" t="s">
        <v>521</v>
      </c>
      <c r="J142" s="10" t="s">
        <v>2000</v>
      </c>
      <c r="K142" s="10" t="s">
        <v>42</v>
      </c>
    </row>
    <row r="143" ht="15.75" customHeight="1">
      <c r="A143" s="66">
        <v>45484.0</v>
      </c>
      <c r="B143" s="55" t="str">
        <f>HYPERLINK("https://jobright.ai/jobs/info/6691132f50888b752cb3e745?utm_campaign=1066&amp;utm_source=sheet", "Apply")</f>
        <v>Apply</v>
      </c>
      <c r="C143" s="10" t="s">
        <v>1997</v>
      </c>
      <c r="D143" s="10" t="s">
        <v>1998</v>
      </c>
      <c r="E143" s="10" t="s">
        <v>137</v>
      </c>
      <c r="F143" s="10" t="s">
        <v>1999</v>
      </c>
      <c r="G143" s="10" t="s">
        <v>167</v>
      </c>
      <c r="H143" s="10" t="s">
        <v>55</v>
      </c>
      <c r="I143" s="10" t="s">
        <v>521</v>
      </c>
      <c r="J143" s="10" t="s">
        <v>2000</v>
      </c>
      <c r="K143" s="10" t="s">
        <v>42</v>
      </c>
    </row>
    <row r="144" ht="15.75" customHeight="1">
      <c r="A144" s="66">
        <v>45483.0</v>
      </c>
      <c r="B144" s="55" t="str">
        <f>HYPERLINK("https://jobright.ai/jobs/info/668fe9252fc5ba37662c53a8?utm_campaign=1066&amp;utm_source=sheet", "Apply")</f>
        <v>Apply</v>
      </c>
      <c r="C144" s="10" t="s">
        <v>2001</v>
      </c>
      <c r="D144" s="10" t="s">
        <v>2002</v>
      </c>
      <c r="E144" s="10">
        <v>2340.0</v>
      </c>
      <c r="G144" s="10" t="s">
        <v>2003</v>
      </c>
      <c r="H144" s="10" t="s">
        <v>55</v>
      </c>
      <c r="J144" s="10" t="s">
        <v>2004</v>
      </c>
      <c r="K144" s="10" t="s">
        <v>42</v>
      </c>
    </row>
    <row r="145" ht="15.75" customHeight="1">
      <c r="A145" s="66">
        <v>45483.0</v>
      </c>
      <c r="B145" s="55" t="str">
        <f>HYPERLINK("https://jobright.ai/jobs/info/668fe91d2fc5ba37662c52f8?utm_campaign=1066&amp;utm_source=sheet", "Apply")</f>
        <v>Apply</v>
      </c>
      <c r="C145" s="10" t="s">
        <v>2001</v>
      </c>
      <c r="D145" s="10" t="s">
        <v>2002</v>
      </c>
      <c r="E145" s="10">
        <v>2340.0</v>
      </c>
      <c r="G145" s="10" t="s">
        <v>932</v>
      </c>
      <c r="H145" s="10" t="s">
        <v>55</v>
      </c>
      <c r="J145" s="10" t="s">
        <v>2004</v>
      </c>
      <c r="K145" s="10" t="s">
        <v>42</v>
      </c>
    </row>
    <row r="146" ht="15.75" customHeight="1">
      <c r="A146" s="66">
        <v>45483.0</v>
      </c>
      <c r="B146" s="55" t="str">
        <f>HYPERLINK("https://jobright.ai/jobs/info/668fe9252fc5ba37662c53cf?utm_campaign=1066&amp;utm_source=sheet", "Apply")</f>
        <v>Apply</v>
      </c>
      <c r="C146" s="10" t="s">
        <v>2001</v>
      </c>
      <c r="D146" s="10" t="s">
        <v>2002</v>
      </c>
      <c r="E146" s="10">
        <v>2340.0</v>
      </c>
      <c r="G146" s="10" t="s">
        <v>2005</v>
      </c>
      <c r="H146" s="10" t="s">
        <v>55</v>
      </c>
      <c r="J146" s="10" t="s">
        <v>2004</v>
      </c>
      <c r="K146" s="10" t="s">
        <v>42</v>
      </c>
    </row>
    <row r="147" ht="15.75" customHeight="1">
      <c r="A147" s="66">
        <v>45483.0</v>
      </c>
      <c r="B147" s="55" t="str">
        <f>HYPERLINK("https://jobright.ai/jobs/info/668fe9252fc5ba37662c53d6?utm_campaign=1066&amp;utm_source=sheet", "Apply")</f>
        <v>Apply</v>
      </c>
      <c r="C147" s="10" t="s">
        <v>2001</v>
      </c>
      <c r="D147" s="10" t="s">
        <v>2002</v>
      </c>
      <c r="E147" s="10">
        <v>2340.0</v>
      </c>
      <c r="G147" s="10" t="s">
        <v>2006</v>
      </c>
      <c r="H147" s="10" t="s">
        <v>55</v>
      </c>
      <c r="J147" s="10" t="s">
        <v>2004</v>
      </c>
      <c r="K147" s="10" t="s">
        <v>42</v>
      </c>
    </row>
    <row r="148" ht="15.75" customHeight="1">
      <c r="A148" s="66">
        <v>45483.0</v>
      </c>
      <c r="B148" s="55" t="str">
        <f>HYPERLINK("https://jobright.ai/jobs/info/6685e4b407f6cebc7f8265bd?utm_campaign=1066&amp;utm_source=sheet", "Apply")</f>
        <v>Apply</v>
      </c>
      <c r="C148" s="10" t="s">
        <v>2007</v>
      </c>
      <c r="D148" s="10" t="s">
        <v>1662</v>
      </c>
      <c r="E148" s="10" t="s">
        <v>209</v>
      </c>
      <c r="F148" s="10" t="s">
        <v>1663</v>
      </c>
      <c r="G148" s="10" t="s">
        <v>167</v>
      </c>
      <c r="H148" s="10" t="s">
        <v>48</v>
      </c>
      <c r="I148" s="10" t="s">
        <v>2008</v>
      </c>
      <c r="J148" s="10" t="s">
        <v>2009</v>
      </c>
      <c r="K148" s="10" t="s">
        <v>42</v>
      </c>
    </row>
    <row r="149" ht="15.75" customHeight="1">
      <c r="A149" s="66">
        <v>45483.0</v>
      </c>
      <c r="B149" s="55" t="str">
        <f>HYPERLINK("https://jobright.ai/jobs/info/668fba33dfbcb403a465b1a9?utm_campaign=1066&amp;utm_source=sheet", "Apply")</f>
        <v>Apply</v>
      </c>
      <c r="C149" s="10" t="s">
        <v>1721</v>
      </c>
      <c r="D149" s="10" t="s">
        <v>2010</v>
      </c>
      <c r="E149" s="10" t="s">
        <v>137</v>
      </c>
      <c r="F149" s="10" t="s">
        <v>1723</v>
      </c>
      <c r="G149" s="10" t="s">
        <v>994</v>
      </c>
      <c r="H149" s="10" t="s">
        <v>55</v>
      </c>
      <c r="J149" s="10" t="s">
        <v>2011</v>
      </c>
      <c r="K149" s="10" t="s">
        <v>42</v>
      </c>
    </row>
    <row r="150" ht="15.75" customHeight="1">
      <c r="A150" s="66">
        <v>45483.0</v>
      </c>
      <c r="B150" s="55" t="str">
        <f>HYPERLINK("https://jobright.ai/jobs/info/668fd7dfd38b7377a4fa904b?utm_campaign=1066&amp;utm_source=sheet", "Apply")</f>
        <v>Apply</v>
      </c>
      <c r="C150" s="10" t="s">
        <v>2012</v>
      </c>
      <c r="D150" s="10" t="s">
        <v>1115</v>
      </c>
      <c r="E150" s="10" t="s">
        <v>65</v>
      </c>
      <c r="F150" s="10" t="s">
        <v>1116</v>
      </c>
      <c r="G150" s="10" t="s">
        <v>607</v>
      </c>
      <c r="H150" s="10" t="s">
        <v>48</v>
      </c>
      <c r="J150" s="10" t="s">
        <v>2013</v>
      </c>
      <c r="K150" s="10" t="s">
        <v>42</v>
      </c>
    </row>
    <row r="151" ht="15.75" customHeight="1">
      <c r="A151" s="66">
        <v>45483.0</v>
      </c>
      <c r="B151" s="55" t="str">
        <f>HYPERLINK("https://jobright.ai/jobs/info/668e509dcee056e4199aa2cd?utm_campaign=1066&amp;utm_source=sheet", "Apply")</f>
        <v>Apply</v>
      </c>
      <c r="C151" s="10" t="s">
        <v>2014</v>
      </c>
      <c r="D151" s="10" t="s">
        <v>1764</v>
      </c>
      <c r="E151" s="10" t="s">
        <v>45</v>
      </c>
      <c r="F151" s="10" t="s">
        <v>665</v>
      </c>
      <c r="G151" s="10" t="s">
        <v>845</v>
      </c>
      <c r="H151" s="10" t="s">
        <v>55</v>
      </c>
      <c r="I151" s="10" t="s">
        <v>1783</v>
      </c>
      <c r="J151" s="10" t="s">
        <v>2015</v>
      </c>
      <c r="K151" s="10" t="s">
        <v>42</v>
      </c>
    </row>
    <row r="152" ht="15.75" customHeight="1">
      <c r="A152" s="66">
        <v>45482.0</v>
      </c>
      <c r="B152" s="55" t="str">
        <f>HYPERLINK("https://jobright.ai/jobs/info/668e8a1506f3000f3f211e03?utm_campaign=1066&amp;utm_source=sheet", "Apply")</f>
        <v>Apply</v>
      </c>
      <c r="C152" s="10" t="s">
        <v>2016</v>
      </c>
      <c r="D152" s="10" t="s">
        <v>2017</v>
      </c>
      <c r="E152" s="10" t="s">
        <v>276</v>
      </c>
      <c r="F152" s="10" t="s">
        <v>2018</v>
      </c>
      <c r="G152" s="10" t="s">
        <v>1120</v>
      </c>
      <c r="H152" s="10" t="s">
        <v>55</v>
      </c>
      <c r="J152" s="10" t="s">
        <v>2019</v>
      </c>
      <c r="K152" s="10" t="s">
        <v>42</v>
      </c>
    </row>
    <row r="153" ht="15.75" customHeight="1">
      <c r="A153" s="66">
        <v>45482.0</v>
      </c>
      <c r="B153" s="55" t="str">
        <f>HYPERLINK("https://jobright.ai/jobs/info/6650e198a19708e4f1efb4c2?utm_campaign=1066&amp;utm_source=sheet", "Apply")</f>
        <v>Apply</v>
      </c>
      <c r="C153" s="10" t="s">
        <v>2020</v>
      </c>
      <c r="D153" s="10" t="s">
        <v>1158</v>
      </c>
      <c r="E153" s="10" t="s">
        <v>276</v>
      </c>
      <c r="F153" s="10" t="s">
        <v>1159</v>
      </c>
      <c r="G153" s="10" t="s">
        <v>1160</v>
      </c>
      <c r="H153" s="10" t="s">
        <v>55</v>
      </c>
      <c r="J153" s="10" t="s">
        <v>1161</v>
      </c>
      <c r="K153" s="10" t="s">
        <v>42</v>
      </c>
    </row>
    <row r="154" ht="15.75" customHeight="1">
      <c r="A154" s="66">
        <v>45482.0</v>
      </c>
      <c r="B154" s="55" t="str">
        <f>HYPERLINK("https://jobright.ai/jobs/info/668d8373e45593dfb218d335?utm_campaign=1066&amp;utm_source=sheet", "Apply")</f>
        <v>Apply</v>
      </c>
      <c r="C154" s="10" t="s">
        <v>2021</v>
      </c>
      <c r="D154" s="10" t="s">
        <v>2022</v>
      </c>
      <c r="E154" s="10" t="s">
        <v>45</v>
      </c>
      <c r="F154" s="10" t="s">
        <v>1893</v>
      </c>
      <c r="G154" s="10" t="s">
        <v>159</v>
      </c>
      <c r="H154" s="10" t="s">
        <v>55</v>
      </c>
      <c r="J154" s="10" t="s">
        <v>2023</v>
      </c>
      <c r="K154" s="10" t="s">
        <v>42</v>
      </c>
    </row>
    <row r="155" ht="15.75" customHeight="1">
      <c r="A155" s="66">
        <v>45482.0</v>
      </c>
      <c r="B155" s="55" t="str">
        <f>HYPERLINK("https://jobright.ai/jobs/info/668d7d3d2949d64d8e447d98?utm_campaign=1066&amp;utm_source=sheet", "Apply")</f>
        <v>Apply</v>
      </c>
      <c r="C155" s="10" t="s">
        <v>2024</v>
      </c>
      <c r="D155" s="10" t="s">
        <v>2025</v>
      </c>
      <c r="E155" s="10" t="s">
        <v>45</v>
      </c>
      <c r="F155" s="10" t="s">
        <v>270</v>
      </c>
      <c r="G155" s="10" t="s">
        <v>937</v>
      </c>
      <c r="H155" s="10" t="s">
        <v>55</v>
      </c>
      <c r="J155" s="10" t="s">
        <v>2026</v>
      </c>
      <c r="K155" s="10" t="s">
        <v>42</v>
      </c>
    </row>
    <row r="156" ht="15.75" customHeight="1">
      <c r="A156" s="66">
        <v>45482.0</v>
      </c>
      <c r="B156" s="55" t="str">
        <f>HYPERLINK("https://jobright.ai/jobs/info/66967e44c8d85931bd75d125?utm_campaign=1066&amp;utm_source=sheet", "Apply")</f>
        <v>Apply</v>
      </c>
      <c r="C156" s="10" t="s">
        <v>2027</v>
      </c>
      <c r="D156" s="10" t="s">
        <v>2028</v>
      </c>
      <c r="E156" s="10" t="s">
        <v>79</v>
      </c>
      <c r="F156" s="10" t="s">
        <v>2029</v>
      </c>
      <c r="G156" s="10" t="s">
        <v>2030</v>
      </c>
      <c r="H156" s="10" t="s">
        <v>55</v>
      </c>
      <c r="J156" s="10" t="s">
        <v>2031</v>
      </c>
      <c r="K156" s="10" t="s">
        <v>42</v>
      </c>
    </row>
    <row r="157" ht="15.75" customHeight="1">
      <c r="A157" s="66">
        <v>45482.0</v>
      </c>
      <c r="B157" s="55" t="str">
        <f>HYPERLINK("https://jobright.ai/jobs/info/668fe9762fc5ba37662c5ac7?utm_campaign=1066&amp;utm_source=sheet", "Apply")</f>
        <v>Apply</v>
      </c>
      <c r="C157" s="10" t="s">
        <v>2032</v>
      </c>
      <c r="D157" s="10" t="s">
        <v>2033</v>
      </c>
      <c r="E157" s="10" t="s">
        <v>209</v>
      </c>
      <c r="F157" s="10" t="s">
        <v>2034</v>
      </c>
      <c r="G157" s="10" t="s">
        <v>86</v>
      </c>
      <c r="H157" s="10" t="s">
        <v>55</v>
      </c>
      <c r="I157" s="10" t="s">
        <v>1608</v>
      </c>
      <c r="J157" s="10" t="s">
        <v>2035</v>
      </c>
      <c r="K157" s="10" t="s">
        <v>42</v>
      </c>
    </row>
    <row r="158" ht="15.75" customHeight="1">
      <c r="A158" s="66">
        <v>45482.0</v>
      </c>
      <c r="B158" s="55" t="str">
        <f>HYPERLINK("https://jobright.ai/jobs/info/668d4c952d9ad9f043243cd5?utm_campaign=1066&amp;utm_source=sheet", "Apply")</f>
        <v>Apply</v>
      </c>
      <c r="C158" s="10" t="s">
        <v>2024</v>
      </c>
      <c r="D158" s="10" t="s">
        <v>2025</v>
      </c>
      <c r="E158" s="10" t="s">
        <v>45</v>
      </c>
      <c r="F158" s="10" t="s">
        <v>270</v>
      </c>
      <c r="G158" s="10" t="s">
        <v>2036</v>
      </c>
      <c r="H158" s="10" t="s">
        <v>55</v>
      </c>
      <c r="J158" s="10" t="s">
        <v>2026</v>
      </c>
      <c r="K158" s="10" t="s">
        <v>42</v>
      </c>
    </row>
    <row r="159" ht="15.75" customHeight="1">
      <c r="A159" s="66">
        <v>45481.0</v>
      </c>
      <c r="B159" s="55" t="str">
        <f>HYPERLINK("https://jobright.ai/jobs/info/668c8c068ed7931878918181?utm_campaign=1066&amp;utm_source=sheet", "Apply")</f>
        <v>Apply</v>
      </c>
      <c r="C159" s="10" t="s">
        <v>2016</v>
      </c>
      <c r="D159" s="10" t="s">
        <v>2037</v>
      </c>
      <c r="E159" s="10">
        <v>13693.0</v>
      </c>
      <c r="G159" s="10" t="s">
        <v>139</v>
      </c>
      <c r="H159" s="10" t="s">
        <v>55</v>
      </c>
      <c r="J159" s="10" t="s">
        <v>2038</v>
      </c>
      <c r="K159" s="10" t="s">
        <v>42</v>
      </c>
    </row>
    <row r="160" ht="15.75" customHeight="1">
      <c r="A160" s="64">
        <v>45481.0</v>
      </c>
      <c r="B160" s="55" t="str">
        <f>HYPERLINK("https://jobright.ai/jobs/info/668c8c158ed7931878918267?utm_campaign=1066&amp;utm_source=sheet", "Apply")</f>
        <v>Apply</v>
      </c>
      <c r="C160" s="10" t="s">
        <v>2039</v>
      </c>
      <c r="D160" s="10" t="s">
        <v>2040</v>
      </c>
      <c r="E160" s="10" t="s">
        <v>249</v>
      </c>
      <c r="G160" s="10" t="s">
        <v>1254</v>
      </c>
      <c r="H160" s="10" t="s">
        <v>55</v>
      </c>
      <c r="I160" s="10" t="s">
        <v>2041</v>
      </c>
      <c r="J160" s="10" t="s">
        <v>2042</v>
      </c>
      <c r="K160" s="10" t="s">
        <v>42</v>
      </c>
    </row>
    <row r="161" ht="15.75" customHeight="1">
      <c r="A161" s="64">
        <v>45481.0</v>
      </c>
      <c r="B161" s="55" t="str">
        <f>HYPERLINK("https://jobright.ai/jobs/info/668c868dbe2c6384db57e17f?utm_campaign=1066&amp;utm_source=sheet", "Apply")</f>
        <v>Apply</v>
      </c>
      <c r="C161" s="10" t="s">
        <v>2043</v>
      </c>
      <c r="D161" s="10" t="s">
        <v>2040</v>
      </c>
      <c r="E161" s="10" t="s">
        <v>249</v>
      </c>
      <c r="G161" s="10" t="s">
        <v>1254</v>
      </c>
      <c r="H161" s="10" t="s">
        <v>55</v>
      </c>
      <c r="I161" s="10" t="s">
        <v>2041</v>
      </c>
      <c r="J161" s="10" t="s">
        <v>2044</v>
      </c>
      <c r="K161" s="10" t="s">
        <v>42</v>
      </c>
    </row>
    <row r="162" ht="15.75" customHeight="1">
      <c r="A162" s="64">
        <v>45481.0</v>
      </c>
      <c r="B162" s="55" t="str">
        <f>HYPERLINK("https://jobright.ai/jobs/info/668c8696be2c6384db57e29c?utm_campaign=1066&amp;utm_source=sheet", "Apply")</f>
        <v>Apply</v>
      </c>
      <c r="C162" s="10" t="s">
        <v>2045</v>
      </c>
      <c r="D162" s="10" t="s">
        <v>2046</v>
      </c>
      <c r="E162" s="10" t="s">
        <v>137</v>
      </c>
      <c r="F162" s="10" t="s">
        <v>2047</v>
      </c>
      <c r="G162" s="10" t="s">
        <v>96</v>
      </c>
      <c r="H162" s="10" t="s">
        <v>48</v>
      </c>
      <c r="J162" s="10" t="s">
        <v>2048</v>
      </c>
      <c r="K162" s="10" t="s">
        <v>42</v>
      </c>
    </row>
    <row r="163" ht="15.75" customHeight="1">
      <c r="A163" s="64">
        <v>45481.0</v>
      </c>
      <c r="B163" s="55" t="str">
        <f>HYPERLINK("https://jobright.ai/jobs/info/668c56216d9edb82d509e3d6?utm_campaign=1066&amp;utm_source=sheet", "Apply")</f>
        <v>Apply</v>
      </c>
      <c r="C163" s="10" t="s">
        <v>2049</v>
      </c>
      <c r="D163" s="10" t="s">
        <v>1547</v>
      </c>
      <c r="E163" s="10">
        <v>408.0</v>
      </c>
      <c r="G163" s="10" t="s">
        <v>153</v>
      </c>
      <c r="H163" s="10" t="s">
        <v>55</v>
      </c>
      <c r="J163" s="10" t="s">
        <v>2050</v>
      </c>
      <c r="K163" s="10" t="s">
        <v>42</v>
      </c>
    </row>
    <row r="164" ht="15.75" customHeight="1">
      <c r="A164" s="64">
        <v>45481.0</v>
      </c>
      <c r="B164" s="55" t="str">
        <f>HYPERLINK("https://jobright.ai/jobs/info/668d0eb75c1b1ddc8b1936b8?utm_campaign=1066&amp;utm_source=sheet", "Apply")</f>
        <v>Apply</v>
      </c>
      <c r="C164" s="10" t="s">
        <v>2051</v>
      </c>
      <c r="D164" s="10" t="s">
        <v>2033</v>
      </c>
      <c r="E164" s="10" t="s">
        <v>209</v>
      </c>
      <c r="F164" s="10" t="s">
        <v>2034</v>
      </c>
      <c r="G164" s="10" t="s">
        <v>86</v>
      </c>
      <c r="H164" s="10" t="s">
        <v>55</v>
      </c>
      <c r="I164" s="10" t="s">
        <v>1608</v>
      </c>
      <c r="J164" s="10" t="s">
        <v>2052</v>
      </c>
      <c r="K164" s="10" t="s">
        <v>42</v>
      </c>
    </row>
    <row r="165" ht="15.75" customHeight="1">
      <c r="A165" s="64">
        <v>45481.0</v>
      </c>
      <c r="B165" s="55" t="str">
        <f>HYPERLINK("https://jobright.ai/jobs/info/668d0ebf5c1b1ddc8b193702?utm_campaign=1066&amp;utm_source=sheet", "Apply")</f>
        <v>Apply</v>
      </c>
      <c r="C165" s="10" t="s">
        <v>2053</v>
      </c>
      <c r="D165" s="10" t="s">
        <v>2033</v>
      </c>
      <c r="E165" s="10" t="s">
        <v>209</v>
      </c>
      <c r="F165" s="10" t="s">
        <v>2034</v>
      </c>
      <c r="G165" s="10" t="s">
        <v>86</v>
      </c>
      <c r="H165" s="10" t="s">
        <v>55</v>
      </c>
      <c r="I165" s="10" t="s">
        <v>1608</v>
      </c>
      <c r="J165" s="10" t="s">
        <v>2035</v>
      </c>
      <c r="K165" s="10" t="s">
        <v>42</v>
      </c>
    </row>
    <row r="166" ht="15.75" customHeight="1">
      <c r="A166" s="64">
        <v>45481.0</v>
      </c>
      <c r="B166" s="55" t="str">
        <f>HYPERLINK("https://jobright.ai/jobs/info/668bfc02256f0fd3689d1612?utm_campaign=1066&amp;utm_source=sheet", "Apply")</f>
        <v>Apply</v>
      </c>
      <c r="C166" s="10" t="s">
        <v>2054</v>
      </c>
      <c r="D166" s="10" t="s">
        <v>1311</v>
      </c>
      <c r="E166" s="10" t="s">
        <v>65</v>
      </c>
      <c r="F166" s="10" t="s">
        <v>1312</v>
      </c>
      <c r="G166" s="10" t="s">
        <v>1316</v>
      </c>
      <c r="H166" s="10" t="s">
        <v>55</v>
      </c>
      <c r="J166" s="10" t="s">
        <v>2055</v>
      </c>
      <c r="K166" s="10" t="s">
        <v>42</v>
      </c>
    </row>
    <row r="167" ht="15.75" customHeight="1">
      <c r="A167" s="64">
        <v>45480.0</v>
      </c>
      <c r="B167" s="55" t="str">
        <f>HYPERLINK("https://jobright.ai/jobs/info/66886cc7dc41ac17c470f08d?utm_campaign=1066&amp;utm_source=sheet", "Apply")</f>
        <v>Apply</v>
      </c>
      <c r="C167" s="10" t="s">
        <v>2056</v>
      </c>
      <c r="D167" s="10" t="s">
        <v>394</v>
      </c>
      <c r="E167" s="10" t="s">
        <v>249</v>
      </c>
      <c r="F167" s="10" t="s">
        <v>395</v>
      </c>
      <c r="G167" s="10" t="s">
        <v>152</v>
      </c>
      <c r="H167" s="10" t="s">
        <v>55</v>
      </c>
      <c r="J167" s="10" t="s">
        <v>2057</v>
      </c>
      <c r="K167" s="10" t="s">
        <v>42</v>
      </c>
    </row>
    <row r="168" ht="15.75" customHeight="1">
      <c r="A168" s="64">
        <v>45479.0</v>
      </c>
      <c r="B168" s="55" t="str">
        <f>HYPERLINK("https://jobright.ai/jobs/info/6688b5ac2860fbdd073a65d4?utm_campaign=1066&amp;utm_source=sheet", "Apply")</f>
        <v>Apply</v>
      </c>
      <c r="C168" s="10" t="s">
        <v>1767</v>
      </c>
      <c r="D168" s="10" t="s">
        <v>1904</v>
      </c>
      <c r="E168" s="10" t="s">
        <v>65</v>
      </c>
      <c r="F168" s="10" t="s">
        <v>1905</v>
      </c>
      <c r="G168" s="10" t="s">
        <v>113</v>
      </c>
      <c r="H168" s="10" t="s">
        <v>55</v>
      </c>
      <c r="I168" s="10" t="s">
        <v>1906</v>
      </c>
      <c r="J168" s="10" t="s">
        <v>1907</v>
      </c>
      <c r="K168" s="10" t="s">
        <v>42</v>
      </c>
    </row>
    <row r="169" ht="15.75" customHeight="1">
      <c r="A169" s="64">
        <v>45478.0</v>
      </c>
      <c r="B169" s="55" t="str">
        <f>HYPERLINK("https://jobright.ai/jobs/info/66784fbbc0ab98b49acc4fec?utm_campaign=1066&amp;utm_source=sheet", "Apply")</f>
        <v>Apply</v>
      </c>
      <c r="C169" s="10" t="s">
        <v>2058</v>
      </c>
      <c r="D169" s="10" t="s">
        <v>2059</v>
      </c>
      <c r="E169" s="10" t="s">
        <v>65</v>
      </c>
      <c r="F169" s="10" t="s">
        <v>2060</v>
      </c>
      <c r="G169" s="10" t="s">
        <v>144</v>
      </c>
      <c r="H169" s="10" t="s">
        <v>55</v>
      </c>
      <c r="I169" s="10" t="s">
        <v>2061</v>
      </c>
      <c r="J169" s="10" t="s">
        <v>2062</v>
      </c>
      <c r="K169" s="10" t="s">
        <v>42</v>
      </c>
    </row>
    <row r="170" ht="15.75" customHeight="1">
      <c r="A170" s="64">
        <v>45477.0</v>
      </c>
      <c r="B170" s="55" t="str">
        <f>HYPERLINK("https://jobright.ai/jobs/info/668728e55c302c9622dc4559?utm_campaign=1066&amp;utm_source=sheet", "Apply")</f>
        <v>Apply</v>
      </c>
      <c r="C170" s="10" t="s">
        <v>2063</v>
      </c>
      <c r="D170" s="10" t="s">
        <v>1684</v>
      </c>
      <c r="E170" s="10" t="s">
        <v>209</v>
      </c>
      <c r="F170" s="10" t="s">
        <v>1685</v>
      </c>
      <c r="G170" s="10" t="s">
        <v>188</v>
      </c>
      <c r="H170" s="10" t="s">
        <v>55</v>
      </c>
      <c r="J170" s="10" t="s">
        <v>2064</v>
      </c>
      <c r="K170" s="10" t="s">
        <v>42</v>
      </c>
    </row>
    <row r="171" ht="15.75" customHeight="1">
      <c r="A171" s="64">
        <v>45477.0</v>
      </c>
      <c r="B171" s="55" t="str">
        <f>HYPERLINK("https://jobright.ai/jobs/info/668701aa848b4c1f39aa0c82?utm_campaign=1066&amp;utm_source=sheet", "Apply")</f>
        <v>Apply</v>
      </c>
      <c r="C171" s="10" t="s">
        <v>2063</v>
      </c>
      <c r="D171" s="10" t="s">
        <v>1684</v>
      </c>
      <c r="E171" s="10" t="s">
        <v>209</v>
      </c>
      <c r="F171" s="10" t="s">
        <v>1685</v>
      </c>
      <c r="G171" s="10" t="s">
        <v>2065</v>
      </c>
      <c r="H171" s="10" t="s">
        <v>55</v>
      </c>
      <c r="J171" s="10" t="s">
        <v>2064</v>
      </c>
      <c r="K171" s="10" t="s">
        <v>42</v>
      </c>
    </row>
    <row r="172" ht="15.75" customHeight="1">
      <c r="A172" s="64">
        <v>45477.0</v>
      </c>
      <c r="B172" s="55" t="str">
        <f>HYPERLINK("https://jobright.ai/jobs/info/66990eb473d5af3493603b35?utm_campaign=1066&amp;utm_source=sheet", "Apply")</f>
        <v>Apply</v>
      </c>
      <c r="C172" s="10" t="s">
        <v>2066</v>
      </c>
      <c r="D172" s="10" t="s">
        <v>2067</v>
      </c>
      <c r="E172" s="10" t="s">
        <v>45</v>
      </c>
      <c r="F172" s="10" t="s">
        <v>1695</v>
      </c>
      <c r="G172" s="10" t="s">
        <v>788</v>
      </c>
      <c r="H172" s="10" t="s">
        <v>55</v>
      </c>
      <c r="J172" s="10" t="s">
        <v>2068</v>
      </c>
      <c r="K172" s="10" t="s">
        <v>42</v>
      </c>
    </row>
    <row r="173" ht="15.75" customHeight="1">
      <c r="A173" s="64">
        <v>45476.0</v>
      </c>
      <c r="B173" s="55" t="str">
        <f>HYPERLINK("https://jobright.ai/jobs/info/6685eaa2f97d28402a22d58e?utm_campaign=1066&amp;utm_source=sheet", "Apply")</f>
        <v>Apply</v>
      </c>
      <c r="C173" s="10" t="s">
        <v>2066</v>
      </c>
      <c r="D173" s="10" t="s">
        <v>2069</v>
      </c>
      <c r="E173" s="10" t="s">
        <v>65</v>
      </c>
      <c r="F173" s="10" t="s">
        <v>1663</v>
      </c>
      <c r="G173" s="10" t="s">
        <v>2070</v>
      </c>
      <c r="H173" s="10" t="s">
        <v>55</v>
      </c>
      <c r="J173" s="10" t="s">
        <v>2071</v>
      </c>
      <c r="K173" s="10" t="s">
        <v>42</v>
      </c>
    </row>
    <row r="174" ht="15.75" customHeight="1">
      <c r="A174" s="64">
        <v>45476.0</v>
      </c>
      <c r="B174" s="55" t="str">
        <f>HYPERLINK("https://jobright.ai/jobs/info/6685f061188ab17c33cd7e4c?utm_campaign=1066&amp;utm_source=sheet", "Apply")</f>
        <v>Apply</v>
      </c>
      <c r="C174" s="10" t="s">
        <v>2072</v>
      </c>
      <c r="D174" s="10" t="s">
        <v>2073</v>
      </c>
      <c r="G174" s="10" t="s">
        <v>1263</v>
      </c>
      <c r="H174" s="10" t="s">
        <v>55</v>
      </c>
      <c r="I174" s="10" t="s">
        <v>2074</v>
      </c>
      <c r="J174" s="10" t="s">
        <v>2075</v>
      </c>
      <c r="K174" s="10" t="s">
        <v>42</v>
      </c>
    </row>
    <row r="175" ht="15.75" customHeight="1">
      <c r="A175" s="64">
        <v>45476.0</v>
      </c>
      <c r="B175" s="55" t="str">
        <f>HYPERLINK("https://jobright.ai/jobs/info/6685e4b407f6cebc7f8265e2?utm_campaign=1066&amp;utm_source=sheet", "Apply")</f>
        <v>Apply</v>
      </c>
      <c r="C175" s="10" t="s">
        <v>2076</v>
      </c>
      <c r="D175" s="10" t="s">
        <v>2077</v>
      </c>
      <c r="E175" s="10" t="s">
        <v>45</v>
      </c>
      <c r="F175" s="10" t="s">
        <v>1234</v>
      </c>
      <c r="G175" s="10" t="s">
        <v>2078</v>
      </c>
      <c r="H175" s="10" t="s">
        <v>55</v>
      </c>
      <c r="I175" s="10" t="s">
        <v>1761</v>
      </c>
      <c r="J175" s="10" t="s">
        <v>2079</v>
      </c>
      <c r="K175" s="10" t="s">
        <v>42</v>
      </c>
    </row>
    <row r="176" ht="15.75" customHeight="1">
      <c r="A176" s="64">
        <v>45476.0</v>
      </c>
      <c r="B176" s="55" t="str">
        <f>HYPERLINK("https://jobright.ai/jobs/info/668497d7c724a14cd4277d08?utm_campaign=1066&amp;utm_source=sheet", "Apply")</f>
        <v>Apply</v>
      </c>
      <c r="C176" s="10" t="s">
        <v>2080</v>
      </c>
      <c r="D176" s="10" t="s">
        <v>2081</v>
      </c>
      <c r="E176" s="10" t="s">
        <v>209</v>
      </c>
      <c r="F176" s="10" t="s">
        <v>1435</v>
      </c>
      <c r="G176" s="10" t="s">
        <v>2082</v>
      </c>
      <c r="H176" s="10" t="s">
        <v>55</v>
      </c>
      <c r="J176" s="10" t="s">
        <v>2083</v>
      </c>
      <c r="K176" s="10" t="s">
        <v>42</v>
      </c>
    </row>
    <row r="177" ht="15.75" customHeight="1">
      <c r="A177" s="64">
        <v>45475.0</v>
      </c>
      <c r="B177" s="55" t="str">
        <f>HYPERLINK("https://jobright.ai/jobs/info/668d36b538255351a9d0cb52?utm_campaign=1066&amp;utm_source=sheet", "Apply")</f>
        <v>Apply</v>
      </c>
      <c r="C177" s="10" t="s">
        <v>2084</v>
      </c>
      <c r="D177" s="10" t="s">
        <v>1178</v>
      </c>
      <c r="E177" s="10" t="s">
        <v>137</v>
      </c>
      <c r="F177" s="10" t="s">
        <v>1179</v>
      </c>
      <c r="G177" s="10" t="s">
        <v>251</v>
      </c>
      <c r="H177" s="10" t="s">
        <v>48</v>
      </c>
      <c r="I177" s="10" t="s">
        <v>1984</v>
      </c>
      <c r="J177" s="10" t="s">
        <v>2085</v>
      </c>
      <c r="K177" s="10" t="s">
        <v>42</v>
      </c>
    </row>
    <row r="178" ht="15.75" customHeight="1">
      <c r="A178" s="64">
        <v>45475.0</v>
      </c>
      <c r="B178" s="55" t="str">
        <f>HYPERLINK("https://jobright.ai/jobs/info/6684d8a266382d98cc916db9?utm_campaign=1066&amp;utm_source=sheet", "Apply")</f>
        <v>Apply</v>
      </c>
      <c r="C178" s="10" t="s">
        <v>2086</v>
      </c>
      <c r="D178" s="10" t="s">
        <v>2087</v>
      </c>
      <c r="E178" s="10" t="s">
        <v>137</v>
      </c>
      <c r="F178" s="10" t="s">
        <v>2088</v>
      </c>
      <c r="G178" s="10" t="s">
        <v>251</v>
      </c>
      <c r="H178" s="10" t="s">
        <v>252</v>
      </c>
      <c r="J178" s="10" t="s">
        <v>2089</v>
      </c>
      <c r="K178" s="10" t="s">
        <v>42</v>
      </c>
    </row>
    <row r="179" ht="15.75" customHeight="1">
      <c r="A179" s="64">
        <v>45475.0</v>
      </c>
      <c r="B179" s="55" t="str">
        <f>HYPERLINK("https://jobright.ai/jobs/info/668394743852d4df8b5e8408?utm_campaign=1066&amp;utm_source=sheet", "Apply")</f>
        <v>Apply</v>
      </c>
      <c r="C179" s="10" t="s">
        <v>2090</v>
      </c>
      <c r="D179" s="10" t="s">
        <v>2091</v>
      </c>
      <c r="E179" s="10" t="s">
        <v>249</v>
      </c>
      <c r="F179" s="10" t="s">
        <v>192</v>
      </c>
      <c r="G179" s="10" t="s">
        <v>2092</v>
      </c>
      <c r="H179" s="10" t="s">
        <v>55</v>
      </c>
      <c r="J179" s="10" t="s">
        <v>2093</v>
      </c>
      <c r="K179" s="10" t="s">
        <v>42</v>
      </c>
    </row>
    <row r="180" ht="15.75" customHeight="1">
      <c r="A180" s="64">
        <v>45475.0</v>
      </c>
      <c r="B180" s="55" t="str">
        <f>HYPERLINK("https://jobright.ai/jobs/info/6683927512c00be519a72a5f?utm_campaign=1066&amp;utm_source=sheet", "Apply")</f>
        <v>Apply</v>
      </c>
      <c r="C180" s="10" t="s">
        <v>2094</v>
      </c>
      <c r="D180" s="10" t="s">
        <v>2091</v>
      </c>
      <c r="E180" s="10" t="s">
        <v>249</v>
      </c>
      <c r="F180" s="10" t="s">
        <v>192</v>
      </c>
      <c r="G180" s="10" t="s">
        <v>992</v>
      </c>
      <c r="H180" s="10" t="s">
        <v>55</v>
      </c>
      <c r="J180" s="10" t="s">
        <v>2095</v>
      </c>
      <c r="K180" s="10" t="s">
        <v>42</v>
      </c>
    </row>
    <row r="181" ht="15.75" customHeight="1">
      <c r="A181" s="64">
        <v>45475.0</v>
      </c>
      <c r="B181" s="55" t="str">
        <f>HYPERLINK("https://jobright.ai/jobs/info/668411cacff3c91fa858733b?utm_campaign=1066&amp;utm_source=sheet", "Apply")</f>
        <v>Apply</v>
      </c>
      <c r="C181" s="10" t="s">
        <v>2096</v>
      </c>
      <c r="D181" s="10" t="s">
        <v>2097</v>
      </c>
      <c r="E181" s="10" t="s">
        <v>71</v>
      </c>
      <c r="F181" s="10" t="s">
        <v>2098</v>
      </c>
      <c r="G181" s="10" t="s">
        <v>2099</v>
      </c>
      <c r="H181" s="10" t="s">
        <v>48</v>
      </c>
      <c r="I181" s="10" t="s">
        <v>2100</v>
      </c>
      <c r="J181" s="10" t="s">
        <v>2101</v>
      </c>
      <c r="K181" s="10" t="s">
        <v>42</v>
      </c>
    </row>
    <row r="182" ht="15.75" customHeight="1">
      <c r="A182" s="64">
        <v>45475.0</v>
      </c>
      <c r="B182" s="55" t="str">
        <f>HYPERLINK("https://jobright.ai/jobs/info/668411cacff3c91fa8587329?utm_campaign=1066&amp;utm_source=sheet", "Apply")</f>
        <v>Apply</v>
      </c>
      <c r="C182" s="10" t="s">
        <v>2102</v>
      </c>
      <c r="D182" s="10" t="s">
        <v>2097</v>
      </c>
      <c r="E182" s="10" t="s">
        <v>71</v>
      </c>
      <c r="F182" s="10" t="s">
        <v>2098</v>
      </c>
      <c r="G182" s="10" t="s">
        <v>2099</v>
      </c>
      <c r="H182" s="10" t="s">
        <v>48</v>
      </c>
      <c r="I182" s="10" t="s">
        <v>2100</v>
      </c>
      <c r="J182" s="10" t="s">
        <v>2101</v>
      </c>
      <c r="K182" s="10" t="s">
        <v>42</v>
      </c>
    </row>
    <row r="183" ht="15.75" customHeight="1">
      <c r="A183" s="64">
        <v>45474.0</v>
      </c>
      <c r="B183" s="55" t="str">
        <f>HYPERLINK("https://jobright.ai/jobs/info/6676a0c4573f97cc9db09039?utm_campaign=1066&amp;utm_source=sheet", "Apply")</f>
        <v>Apply</v>
      </c>
      <c r="C183" s="10" t="s">
        <v>2084</v>
      </c>
      <c r="D183" s="10" t="s">
        <v>1178</v>
      </c>
      <c r="E183" s="10" t="s">
        <v>137</v>
      </c>
      <c r="F183" s="10" t="s">
        <v>1179</v>
      </c>
      <c r="G183" s="10" t="s">
        <v>251</v>
      </c>
      <c r="H183" s="10" t="s">
        <v>48</v>
      </c>
      <c r="I183" s="10" t="s">
        <v>1984</v>
      </c>
      <c r="J183" s="10" t="s">
        <v>2085</v>
      </c>
      <c r="K183" s="10" t="s">
        <v>42</v>
      </c>
    </row>
    <row r="184" ht="15.75" customHeight="1">
      <c r="A184" s="64">
        <v>45474.0</v>
      </c>
      <c r="B184" s="55" t="str">
        <f>HYPERLINK("https://jobright.ai/jobs/info/667c9225672790c3c6bdb462?utm_campaign=1066&amp;utm_source=sheet", "Apply")</f>
        <v>Apply</v>
      </c>
      <c r="C184" s="10" t="s">
        <v>1767</v>
      </c>
      <c r="D184" s="10" t="s">
        <v>2103</v>
      </c>
      <c r="E184" s="10" t="s">
        <v>209</v>
      </c>
      <c r="F184" s="10" t="s">
        <v>2104</v>
      </c>
      <c r="G184" s="10" t="s">
        <v>170</v>
      </c>
      <c r="H184" s="10" t="s">
        <v>55</v>
      </c>
      <c r="J184" s="10" t="s">
        <v>2105</v>
      </c>
      <c r="K184" s="10" t="s">
        <v>42</v>
      </c>
    </row>
    <row r="185" ht="15.75" customHeight="1">
      <c r="A185" s="64">
        <v>45474.0</v>
      </c>
      <c r="B185" s="55" t="str">
        <f>HYPERLINK("https://jobright.ai/jobs/info/668503040de69be020e4a550?utm_campaign=1066&amp;utm_source=sheet", "Apply")</f>
        <v>Apply</v>
      </c>
      <c r="C185" s="10" t="s">
        <v>2106</v>
      </c>
      <c r="D185" s="10" t="s">
        <v>1836</v>
      </c>
      <c r="E185" s="10" t="s">
        <v>45</v>
      </c>
      <c r="F185" s="10" t="s">
        <v>1266</v>
      </c>
      <c r="G185" s="10" t="s">
        <v>2107</v>
      </c>
      <c r="H185" s="10" t="s">
        <v>55</v>
      </c>
      <c r="I185" s="10" t="s">
        <v>1837</v>
      </c>
      <c r="J185" s="10" t="s">
        <v>2108</v>
      </c>
      <c r="K185" s="10" t="s">
        <v>42</v>
      </c>
    </row>
    <row r="186" ht="15.75" customHeight="1">
      <c r="A186" s="64">
        <v>45474.0</v>
      </c>
      <c r="B186" s="55" t="str">
        <f>HYPERLINK("https://jobright.ai/jobs/info/66820949511f59cc1e8380cc?utm_campaign=1066&amp;utm_source=sheet", "Apply")</f>
        <v>Apply</v>
      </c>
      <c r="C186" s="10" t="s">
        <v>2109</v>
      </c>
      <c r="D186" s="10" t="s">
        <v>2110</v>
      </c>
      <c r="E186" s="10" t="s">
        <v>45</v>
      </c>
      <c r="F186" s="10" t="s">
        <v>1224</v>
      </c>
      <c r="G186" s="10" t="s">
        <v>2111</v>
      </c>
      <c r="H186" s="10" t="s">
        <v>48</v>
      </c>
      <c r="J186" s="10" t="s">
        <v>2112</v>
      </c>
      <c r="K186" s="10" t="s">
        <v>42</v>
      </c>
    </row>
    <row r="187" ht="15.75" customHeight="1">
      <c r="A187" s="64">
        <v>45471.0</v>
      </c>
      <c r="B187" s="55" t="str">
        <f>HYPERLINK("https://jobright.ai/jobs/info/667c5791e22ba27459966afa?utm_campaign=1066&amp;utm_source=sheet", "Apply")</f>
        <v>Apply</v>
      </c>
      <c r="C187" s="10" t="s">
        <v>2113</v>
      </c>
      <c r="D187" s="10" t="s">
        <v>2114</v>
      </c>
      <c r="E187" s="10" t="s">
        <v>137</v>
      </c>
      <c r="F187" s="10" t="s">
        <v>2115</v>
      </c>
      <c r="G187" s="10" t="s">
        <v>578</v>
      </c>
      <c r="H187" s="10" t="s">
        <v>55</v>
      </c>
      <c r="J187" s="10" t="s">
        <v>2116</v>
      </c>
      <c r="K187" s="10" t="s">
        <v>42</v>
      </c>
    </row>
    <row r="188" ht="15.75" customHeight="1">
      <c r="A188" s="64">
        <v>45471.0</v>
      </c>
      <c r="B188" s="55" t="str">
        <f>HYPERLINK("https://jobright.ai/jobs/info/667f172767cd08a9a3f3ef01?utm_campaign=1066&amp;utm_source=sheet", "Apply")</f>
        <v>Apply</v>
      </c>
      <c r="C188" s="10" t="s">
        <v>2117</v>
      </c>
      <c r="D188" s="10" t="s">
        <v>2118</v>
      </c>
      <c r="E188" s="10" t="s">
        <v>276</v>
      </c>
      <c r="F188" s="10" t="s">
        <v>2119</v>
      </c>
      <c r="G188" s="10" t="s">
        <v>167</v>
      </c>
      <c r="H188" s="10" t="s">
        <v>55</v>
      </c>
      <c r="J188" s="10" t="s">
        <v>2120</v>
      </c>
      <c r="K188" s="10" t="s">
        <v>42</v>
      </c>
    </row>
    <row r="189" ht="15.75" customHeight="1">
      <c r="A189" s="64">
        <v>45471.0</v>
      </c>
      <c r="B189" s="55" t="str">
        <f>HYPERLINK("https://jobright.ai/jobs/info/667ef5b756ec5703ba0425da?utm_campaign=1066&amp;utm_source=sheet", "Apply")</f>
        <v>Apply</v>
      </c>
      <c r="C189" s="10" t="s">
        <v>1799</v>
      </c>
      <c r="D189" s="10" t="s">
        <v>2121</v>
      </c>
      <c r="E189" s="10" t="s">
        <v>276</v>
      </c>
      <c r="F189" s="10" t="s">
        <v>2122</v>
      </c>
      <c r="G189" s="10" t="s">
        <v>2123</v>
      </c>
      <c r="H189" s="10" t="s">
        <v>55</v>
      </c>
      <c r="J189" s="10" t="s">
        <v>2124</v>
      </c>
      <c r="K189" s="10" t="s">
        <v>42</v>
      </c>
    </row>
    <row r="190" ht="15.75" customHeight="1">
      <c r="A190" s="64">
        <v>45471.0</v>
      </c>
      <c r="B190" s="55" t="str">
        <f>HYPERLINK("https://jobright.ai/jobs/info/667ed82c31f9110acbfb0634?utm_campaign=1066&amp;utm_source=sheet", "Apply")</f>
        <v>Apply</v>
      </c>
      <c r="C190" s="10" t="s">
        <v>1799</v>
      </c>
      <c r="D190" s="10" t="s">
        <v>2125</v>
      </c>
      <c r="E190" s="10" t="s">
        <v>209</v>
      </c>
      <c r="F190" s="10" t="s">
        <v>693</v>
      </c>
      <c r="G190" s="10" t="s">
        <v>2123</v>
      </c>
      <c r="H190" s="10" t="s">
        <v>55</v>
      </c>
      <c r="J190" s="10" t="s">
        <v>2124</v>
      </c>
      <c r="K190" s="10" t="s">
        <v>42</v>
      </c>
    </row>
    <row r="191" ht="15.75" customHeight="1">
      <c r="A191" s="64">
        <v>45470.0</v>
      </c>
      <c r="B191" s="55" t="str">
        <f>HYPERLINK("https://jobright.ai/jobs/info/667e09cbad1ad78c00128447?utm_campaign=1066&amp;utm_source=sheet", "Apply")</f>
        <v>Apply</v>
      </c>
      <c r="C191" s="10" t="s">
        <v>2126</v>
      </c>
      <c r="D191" s="10" t="s">
        <v>1636</v>
      </c>
      <c r="E191" s="10">
        <v>6029.0</v>
      </c>
      <c r="G191" s="10" t="s">
        <v>170</v>
      </c>
      <c r="H191" s="10" t="s">
        <v>55</v>
      </c>
      <c r="I191" s="10" t="s">
        <v>2127</v>
      </c>
      <c r="J191" s="10" t="s">
        <v>2128</v>
      </c>
      <c r="K191" s="10" t="s">
        <v>42</v>
      </c>
    </row>
    <row r="192" ht="15.75" customHeight="1">
      <c r="A192" s="64">
        <v>45470.0</v>
      </c>
      <c r="B192" s="55" t="str">
        <f>HYPERLINK("https://jobright.ai/jobs/info/667439464bad03f9b038a265?utm_campaign=1066&amp;utm_source=sheet", "Apply")</f>
        <v>Apply</v>
      </c>
      <c r="C192" s="10" t="s">
        <v>2129</v>
      </c>
      <c r="D192" s="10" t="s">
        <v>1576</v>
      </c>
      <c r="E192" s="10" t="s">
        <v>45</v>
      </c>
      <c r="F192" s="10" t="s">
        <v>1577</v>
      </c>
      <c r="G192" s="10" t="s">
        <v>1578</v>
      </c>
      <c r="H192" s="10" t="s">
        <v>55</v>
      </c>
      <c r="J192" s="10" t="s">
        <v>2130</v>
      </c>
      <c r="K192" s="10" t="s">
        <v>42</v>
      </c>
    </row>
    <row r="193" ht="15.75" customHeight="1">
      <c r="A193" s="64">
        <v>45470.0</v>
      </c>
      <c r="B193" s="55" t="str">
        <f>HYPERLINK("https://jobright.ai/jobs/info/667cdfe4cf9539fe777a7f21?utm_campaign=1066&amp;utm_source=sheet", "Apply")</f>
        <v>Apply</v>
      </c>
      <c r="C193" s="10" t="s">
        <v>2131</v>
      </c>
      <c r="D193" s="10" t="s">
        <v>1547</v>
      </c>
      <c r="E193" s="10">
        <v>408.0</v>
      </c>
      <c r="G193" s="10" t="s">
        <v>153</v>
      </c>
      <c r="H193" s="10" t="s">
        <v>55</v>
      </c>
      <c r="J193" s="10" t="s">
        <v>2132</v>
      </c>
      <c r="K193" s="10" t="s">
        <v>42</v>
      </c>
    </row>
    <row r="194" ht="15.75" customHeight="1">
      <c r="A194" s="64">
        <v>45470.0</v>
      </c>
      <c r="B194" s="55" t="str">
        <f>HYPERLINK("https://jobright.ai/jobs/info/667daf9885f8076f244b27aa?utm_campaign=1066&amp;utm_source=sheet", "Apply")</f>
        <v>Apply</v>
      </c>
      <c r="C194" s="10" t="s">
        <v>2126</v>
      </c>
      <c r="D194" s="10" t="s">
        <v>1636</v>
      </c>
      <c r="E194" s="10">
        <v>6029.0</v>
      </c>
      <c r="G194" s="10" t="s">
        <v>2133</v>
      </c>
      <c r="H194" s="10" t="s">
        <v>55</v>
      </c>
      <c r="I194" s="10" t="s">
        <v>2127</v>
      </c>
      <c r="J194" s="10" t="s">
        <v>2128</v>
      </c>
      <c r="K194" s="10" t="s">
        <v>42</v>
      </c>
    </row>
    <row r="195" ht="15.75" customHeight="1">
      <c r="A195" s="64">
        <v>45469.0</v>
      </c>
      <c r="B195" s="55" t="str">
        <f>HYPERLINK("https://jobright.ai/jobs/info/667c28dbbed7830412ef44e1?utm_campaign=1066&amp;utm_source=sheet", "Apply")</f>
        <v>Apply</v>
      </c>
      <c r="C195" s="10" t="s">
        <v>2134</v>
      </c>
      <c r="D195" s="10" t="s">
        <v>2135</v>
      </c>
      <c r="E195" s="10" t="s">
        <v>276</v>
      </c>
      <c r="F195" s="10" t="s">
        <v>2136</v>
      </c>
      <c r="G195" s="10" t="s">
        <v>2137</v>
      </c>
      <c r="H195" s="10" t="s">
        <v>55</v>
      </c>
      <c r="I195" s="10" t="s">
        <v>2138</v>
      </c>
      <c r="J195" s="10" t="s">
        <v>2139</v>
      </c>
      <c r="K195" s="10" t="s">
        <v>42</v>
      </c>
    </row>
    <row r="196" ht="15.75" customHeight="1">
      <c r="A196" s="64">
        <v>45469.0</v>
      </c>
      <c r="B196" s="55" t="str">
        <f>HYPERLINK("https://jobright.ai/jobs/info/6685030f0de69be020e4a652?utm_campaign=1066&amp;utm_source=sheet", "Apply")</f>
        <v>Apply</v>
      </c>
      <c r="C196" s="10" t="s">
        <v>2140</v>
      </c>
      <c r="D196" s="10" t="s">
        <v>2141</v>
      </c>
      <c r="E196" s="10">
        <v>667.0</v>
      </c>
      <c r="G196" s="10" t="s">
        <v>170</v>
      </c>
      <c r="H196" s="10" t="s">
        <v>48</v>
      </c>
      <c r="I196" s="10" t="s">
        <v>2142</v>
      </c>
      <c r="J196" s="10" t="s">
        <v>2143</v>
      </c>
      <c r="K196" s="10" t="s">
        <v>42</v>
      </c>
    </row>
    <row r="197" ht="15.75" customHeight="1">
      <c r="A197" s="64">
        <v>45469.0</v>
      </c>
      <c r="B197" s="55" t="str">
        <f>HYPERLINK("https://jobright.ai/jobs/info/667c67e67e122028821443d7?utm_campaign=1066&amp;utm_source=sheet", "Apply")</f>
        <v>Apply</v>
      </c>
      <c r="C197" s="10" t="s">
        <v>1659</v>
      </c>
      <c r="D197" s="10" t="s">
        <v>2144</v>
      </c>
      <c r="E197" s="10" t="s">
        <v>65</v>
      </c>
      <c r="F197" s="10" t="s">
        <v>2145</v>
      </c>
      <c r="G197" s="10" t="s">
        <v>2146</v>
      </c>
      <c r="H197" s="10" t="s">
        <v>55</v>
      </c>
      <c r="I197" s="10" t="s">
        <v>2147</v>
      </c>
      <c r="J197" s="10" t="s">
        <v>2148</v>
      </c>
      <c r="K197" s="10" t="s">
        <v>42</v>
      </c>
    </row>
    <row r="198" ht="15.75" customHeight="1">
      <c r="A198" s="64">
        <v>45468.0</v>
      </c>
      <c r="B198" s="55" t="str">
        <f>HYPERLINK("https://jobright.ai/jobs/info/667af37c1a33bc49a08636f2?utm_campaign=1066&amp;utm_source=sheet", "Apply")</f>
        <v>Apply</v>
      </c>
      <c r="C198" s="10" t="s">
        <v>2149</v>
      </c>
      <c r="D198" s="10" t="s">
        <v>2150</v>
      </c>
      <c r="E198" s="10" t="s">
        <v>79</v>
      </c>
      <c r="F198" s="10" t="s">
        <v>529</v>
      </c>
      <c r="G198" s="10" t="s">
        <v>2151</v>
      </c>
      <c r="H198" s="10" t="s">
        <v>48</v>
      </c>
      <c r="J198" s="10" t="s">
        <v>2152</v>
      </c>
      <c r="K198" s="10" t="s">
        <v>42</v>
      </c>
    </row>
    <row r="199" ht="15.75" customHeight="1">
      <c r="A199" s="64">
        <v>45465.0</v>
      </c>
      <c r="B199" s="55" t="str">
        <f>HYPERLINK("https://jobright.ai/jobs/info/6679775022283fc0c733769a?utm_campaign=1066&amp;utm_source=sheet", "Apply")</f>
        <v>Apply</v>
      </c>
      <c r="C199" s="10" t="s">
        <v>2153</v>
      </c>
      <c r="D199" s="10" t="s">
        <v>1273</v>
      </c>
      <c r="E199" s="10" t="s">
        <v>45</v>
      </c>
      <c r="F199" s="10" t="s">
        <v>1274</v>
      </c>
      <c r="G199" s="10" t="s">
        <v>2154</v>
      </c>
      <c r="H199" s="10" t="s">
        <v>55</v>
      </c>
      <c r="J199" s="10" t="s">
        <v>2155</v>
      </c>
      <c r="K199" s="10" t="s">
        <v>42</v>
      </c>
    </row>
    <row r="200" ht="15.75" customHeight="1">
      <c r="A200" s="64">
        <v>45465.0</v>
      </c>
      <c r="B200" s="55" t="str">
        <f>HYPERLINK("https://jobright.ai/jobs/info/6676cef5131cc9dd67df295d?utm_campaign=1066&amp;utm_source=sheet", "Apply")</f>
        <v>Apply</v>
      </c>
      <c r="C200" s="10" t="s">
        <v>2156</v>
      </c>
      <c r="D200" s="10" t="s">
        <v>2157</v>
      </c>
      <c r="E200" s="10" t="s">
        <v>45</v>
      </c>
      <c r="F200" s="10" t="s">
        <v>2158</v>
      </c>
      <c r="G200" s="10" t="s">
        <v>628</v>
      </c>
      <c r="H200" s="10" t="s">
        <v>55</v>
      </c>
      <c r="J200" s="10" t="s">
        <v>2159</v>
      </c>
      <c r="K200" s="10" t="s">
        <v>42</v>
      </c>
    </row>
    <row r="201" ht="15.75" customHeight="1">
      <c r="A201" s="64">
        <v>45465.0</v>
      </c>
      <c r="B201" s="55" t="str">
        <f>HYPERLINK("https://jobright.ai/jobs/info/66761b22127b183117fe8a1f?utm_campaign=1066&amp;utm_source=sheet", "Apply")</f>
        <v>Apply</v>
      </c>
      <c r="C201" s="10" t="s">
        <v>2160</v>
      </c>
      <c r="D201" s="10" t="s">
        <v>1331</v>
      </c>
      <c r="E201" s="10" t="s">
        <v>45</v>
      </c>
      <c r="F201" s="10" t="s">
        <v>1332</v>
      </c>
      <c r="G201" s="10" t="s">
        <v>419</v>
      </c>
      <c r="H201" s="10" t="s">
        <v>55</v>
      </c>
      <c r="I201" s="10" t="s">
        <v>1336</v>
      </c>
      <c r="J201" s="10" t="s">
        <v>2161</v>
      </c>
      <c r="K201" s="10" t="s">
        <v>42</v>
      </c>
    </row>
    <row r="202" ht="15.75" customHeight="1">
      <c r="A202" s="64">
        <v>45465.0</v>
      </c>
      <c r="B202" s="55" t="str">
        <f>HYPERLINK("https://jobright.ai/jobs/info/6676021ef1b86992c3646c4b?utm_campaign=1066&amp;utm_source=sheet", "Apply")</f>
        <v>Apply</v>
      </c>
      <c r="C202" s="10" t="s">
        <v>2162</v>
      </c>
      <c r="D202" s="10" t="s">
        <v>1331</v>
      </c>
      <c r="E202" s="10" t="s">
        <v>45</v>
      </c>
      <c r="F202" s="10" t="s">
        <v>1332</v>
      </c>
      <c r="G202" s="10" t="s">
        <v>419</v>
      </c>
      <c r="H202" s="10" t="s">
        <v>55</v>
      </c>
      <c r="I202" s="10" t="s">
        <v>1336</v>
      </c>
      <c r="J202" s="10" t="s">
        <v>2163</v>
      </c>
      <c r="K202" s="10" t="s">
        <v>42</v>
      </c>
    </row>
    <row r="203" ht="15.75" customHeight="1">
      <c r="A203" s="64">
        <v>45465.0</v>
      </c>
      <c r="B203" s="55" t="str">
        <f>HYPERLINK("https://jobright.ai/jobs/info/66736ded21f478e9a4d0f7fa?utm_campaign=1066&amp;utm_source=sheet", "Apply")</f>
        <v>Apply</v>
      </c>
      <c r="C203" s="10" t="s">
        <v>2164</v>
      </c>
      <c r="D203" s="10" t="s">
        <v>1892</v>
      </c>
      <c r="E203" s="10" t="s">
        <v>45</v>
      </c>
      <c r="F203" s="10" t="s">
        <v>1893</v>
      </c>
      <c r="G203" s="10" t="s">
        <v>96</v>
      </c>
      <c r="H203" s="10" t="s">
        <v>55</v>
      </c>
      <c r="I203" s="10" t="s">
        <v>2165</v>
      </c>
      <c r="J203" s="10" t="s">
        <v>2166</v>
      </c>
      <c r="K203" s="10" t="s">
        <v>42</v>
      </c>
    </row>
    <row r="204" ht="15.75" customHeight="1">
      <c r="A204" s="64">
        <v>45464.0</v>
      </c>
      <c r="B204" s="55" t="str">
        <f>HYPERLINK("https://jobright.ai/jobs/info/6677a14d82327573f52bfa4c?utm_campaign=1066&amp;utm_source=sheet", "Apply")</f>
        <v>Apply</v>
      </c>
      <c r="C204" s="10" t="s">
        <v>2167</v>
      </c>
      <c r="D204" s="10" t="s">
        <v>1331</v>
      </c>
      <c r="E204" s="10" t="s">
        <v>45</v>
      </c>
      <c r="F204" s="10" t="s">
        <v>1332</v>
      </c>
      <c r="G204" s="10" t="s">
        <v>419</v>
      </c>
      <c r="H204" s="10" t="s">
        <v>55</v>
      </c>
      <c r="I204" s="10" t="s">
        <v>1336</v>
      </c>
      <c r="J204" s="10" t="s">
        <v>2168</v>
      </c>
      <c r="K204" s="10" t="s">
        <v>42</v>
      </c>
    </row>
    <row r="205" ht="15.75" customHeight="1">
      <c r="A205" s="64">
        <v>45464.0</v>
      </c>
      <c r="B205" s="55" t="str">
        <f>HYPERLINK("https://jobright.ai/jobs/info/6675dc6cd40a616e237821ec?utm_campaign=1066&amp;utm_source=sheet", "Apply")</f>
        <v>Apply</v>
      </c>
      <c r="C205" s="10" t="s">
        <v>2169</v>
      </c>
      <c r="D205" s="10" t="s">
        <v>2170</v>
      </c>
      <c r="E205" s="10" t="s">
        <v>209</v>
      </c>
      <c r="F205" s="10" t="s">
        <v>395</v>
      </c>
      <c r="G205" s="10" t="s">
        <v>830</v>
      </c>
      <c r="H205" s="10" t="s">
        <v>55</v>
      </c>
      <c r="I205" s="10" t="s">
        <v>2171</v>
      </c>
      <c r="J205" s="10" t="s">
        <v>2172</v>
      </c>
      <c r="K205" s="10" t="s">
        <v>42</v>
      </c>
    </row>
    <row r="206" ht="15.75" customHeight="1">
      <c r="A206" s="64">
        <v>45463.0</v>
      </c>
      <c r="B206" s="55" t="str">
        <f>HYPERLINK("https://jobright.ai/jobs/info/6674a16aeb9f41a843410bef?utm_campaign=1066&amp;utm_source=sheet", "Apply")</f>
        <v>Apply</v>
      </c>
      <c r="C206" s="10" t="s">
        <v>2173</v>
      </c>
      <c r="D206" s="10" t="s">
        <v>2174</v>
      </c>
      <c r="E206" s="10">
        <v>294.0</v>
      </c>
      <c r="G206" s="10" t="s">
        <v>96</v>
      </c>
      <c r="H206" s="10" t="s">
        <v>55</v>
      </c>
      <c r="I206" s="10" t="s">
        <v>1608</v>
      </c>
      <c r="J206" s="10" t="s">
        <v>2175</v>
      </c>
      <c r="K206" s="10" t="s">
        <v>42</v>
      </c>
    </row>
    <row r="207" ht="15.75" customHeight="1">
      <c r="A207" s="64">
        <v>45463.0</v>
      </c>
      <c r="B207" s="55" t="str">
        <f>HYPERLINK("https://jobright.ai/jobs/info/66741e398f8ed70066b4bc9a?utm_campaign=1066&amp;utm_source=sheet", "Apply")</f>
        <v>Apply</v>
      </c>
      <c r="C207" s="10" t="s">
        <v>2007</v>
      </c>
      <c r="D207" s="10" t="s">
        <v>1662</v>
      </c>
      <c r="E207" s="10" t="s">
        <v>209</v>
      </c>
      <c r="F207" s="10" t="s">
        <v>1663</v>
      </c>
      <c r="G207" s="10" t="s">
        <v>167</v>
      </c>
      <c r="H207" s="10" t="s">
        <v>55</v>
      </c>
      <c r="I207" s="10" t="s">
        <v>2176</v>
      </c>
      <c r="J207" s="10" t="s">
        <v>2177</v>
      </c>
      <c r="K207" s="10" t="s">
        <v>42</v>
      </c>
    </row>
    <row r="208" ht="15.75" customHeight="1">
      <c r="A208" s="66">
        <v>45463.0</v>
      </c>
      <c r="B208" s="55" t="str">
        <f>HYPERLINK("https://jobright.ai/jobs/info/66741e398f8ed70066b4bc9b?utm_campaign=1066&amp;utm_source=sheet", "Apply")</f>
        <v>Apply</v>
      </c>
      <c r="C208" s="10" t="s">
        <v>2178</v>
      </c>
      <c r="D208" s="10" t="s">
        <v>1662</v>
      </c>
      <c r="E208" s="10" t="s">
        <v>209</v>
      </c>
      <c r="F208" s="10" t="s">
        <v>1663</v>
      </c>
      <c r="G208" s="10" t="s">
        <v>167</v>
      </c>
      <c r="H208" s="10" t="s">
        <v>55</v>
      </c>
      <c r="I208" s="10" t="s">
        <v>2179</v>
      </c>
      <c r="J208" s="10" t="s">
        <v>2180</v>
      </c>
      <c r="K208" s="10" t="s">
        <v>42</v>
      </c>
    </row>
    <row r="209" ht="15.75" customHeight="1">
      <c r="A209" s="66">
        <v>45460.0</v>
      </c>
      <c r="B209" s="55" t="str">
        <f>HYPERLINK("https://jobright.ai/jobs/info/6667245f304d2271eed0ff42?utm_campaign=1066&amp;utm_source=sheet", "Apply")</f>
        <v>Apply</v>
      </c>
      <c r="C209" s="10" t="s">
        <v>2181</v>
      </c>
      <c r="D209" s="10" t="s">
        <v>2182</v>
      </c>
      <c r="E209" s="10" t="s">
        <v>45</v>
      </c>
      <c r="F209" s="10" t="s">
        <v>665</v>
      </c>
      <c r="G209" s="10" t="s">
        <v>2183</v>
      </c>
      <c r="H209" s="10" t="s">
        <v>55</v>
      </c>
      <c r="J209" s="10" t="s">
        <v>2184</v>
      </c>
      <c r="K209" s="10" t="s">
        <v>42</v>
      </c>
    </row>
    <row r="210" ht="15.75" customHeight="1">
      <c r="A210" s="66">
        <v>45458.0</v>
      </c>
      <c r="B210" s="55" t="str">
        <f>HYPERLINK("https://jobright.ai/jobs/info/6677b7909c2d9fa5bf087dce?utm_campaign=1066&amp;utm_source=sheet", "Apply")</f>
        <v>Apply</v>
      </c>
      <c r="C210" s="10" t="s">
        <v>2054</v>
      </c>
      <c r="D210" s="10" t="s">
        <v>2185</v>
      </c>
      <c r="E210" s="10" t="s">
        <v>137</v>
      </c>
      <c r="F210" s="10" t="s">
        <v>2186</v>
      </c>
      <c r="G210" s="10" t="s">
        <v>251</v>
      </c>
      <c r="H210" s="10" t="s">
        <v>252</v>
      </c>
      <c r="J210" s="10" t="s">
        <v>2187</v>
      </c>
      <c r="K210" s="10" t="s">
        <v>42</v>
      </c>
    </row>
    <row r="211" ht="15.75" customHeight="1">
      <c r="A211" s="66">
        <v>45458.0</v>
      </c>
      <c r="B211" s="55" t="str">
        <f>HYPERLINK("https://jobright.ai/jobs/info/668015ef000beb33b40a5031?utm_campaign=1066&amp;utm_source=sheet", "Apply")</f>
        <v>Apply</v>
      </c>
      <c r="C211" s="10" t="s">
        <v>2188</v>
      </c>
      <c r="D211" s="10" t="s">
        <v>2189</v>
      </c>
      <c r="F211" s="10" t="s">
        <v>1234</v>
      </c>
      <c r="G211" s="10" t="s">
        <v>1013</v>
      </c>
      <c r="H211" s="10" t="s">
        <v>55</v>
      </c>
      <c r="J211" s="10" t="s">
        <v>2190</v>
      </c>
      <c r="K211" s="10" t="s">
        <v>42</v>
      </c>
    </row>
    <row r="212" ht="15.75" customHeight="1">
      <c r="A212" s="66">
        <v>45457.0</v>
      </c>
      <c r="B212" s="55" t="str">
        <f>HYPERLINK("https://jobright.ai/jobs/info/666d08ea6bf3dd39802dc1b6?utm_campaign=1066&amp;utm_source=sheet", "Apply")</f>
        <v>Apply</v>
      </c>
      <c r="C212" s="10" t="s">
        <v>2191</v>
      </c>
      <c r="D212" s="10" t="s">
        <v>2192</v>
      </c>
      <c r="E212" s="10" t="s">
        <v>137</v>
      </c>
      <c r="F212" s="10" t="s">
        <v>2193</v>
      </c>
      <c r="G212" s="10" t="s">
        <v>153</v>
      </c>
      <c r="H212" s="10" t="s">
        <v>55</v>
      </c>
      <c r="I212" s="10" t="s">
        <v>1984</v>
      </c>
      <c r="J212" s="10" t="s">
        <v>2194</v>
      </c>
      <c r="K212" s="10" t="s">
        <v>42</v>
      </c>
    </row>
    <row r="213" ht="15.75" customHeight="1">
      <c r="A213" s="66">
        <v>45456.0</v>
      </c>
      <c r="B213" s="55" t="str">
        <f>HYPERLINK("https://jobright.ai/jobs/info/666b9b3f789b8d581ad69088?utm_campaign=1066&amp;utm_source=sheet", "Apply")</f>
        <v>Apply</v>
      </c>
      <c r="C213" s="10" t="s">
        <v>2195</v>
      </c>
      <c r="D213" s="10" t="s">
        <v>2196</v>
      </c>
      <c r="E213" s="10" t="s">
        <v>276</v>
      </c>
      <c r="F213" s="10" t="s">
        <v>2197</v>
      </c>
      <c r="G213" s="10" t="s">
        <v>636</v>
      </c>
      <c r="H213" s="10" t="s">
        <v>55</v>
      </c>
      <c r="I213" s="10" t="s">
        <v>2198</v>
      </c>
      <c r="J213" s="10" t="s">
        <v>2199</v>
      </c>
      <c r="K213" s="10" t="s">
        <v>42</v>
      </c>
    </row>
    <row r="214" ht="15.75" customHeight="1">
      <c r="A214" s="66">
        <v>45456.0</v>
      </c>
      <c r="B214" s="55" t="str">
        <f>HYPERLINK("https://jobright.ai/jobs/info/666b941794837c0167c40b6f?utm_campaign=1066&amp;utm_source=sheet", "Apply")</f>
        <v>Apply</v>
      </c>
      <c r="C214" s="10" t="s">
        <v>2054</v>
      </c>
      <c r="D214" s="10" t="s">
        <v>2185</v>
      </c>
      <c r="E214" s="10" t="s">
        <v>137</v>
      </c>
      <c r="F214" s="10" t="s">
        <v>2186</v>
      </c>
      <c r="G214" s="10" t="s">
        <v>2200</v>
      </c>
      <c r="H214" s="10" t="s">
        <v>48</v>
      </c>
      <c r="J214" s="10" t="s">
        <v>2187</v>
      </c>
      <c r="K214" s="10" t="s">
        <v>42</v>
      </c>
    </row>
    <row r="215" ht="15.75" customHeight="1">
      <c r="A215" s="66">
        <v>45455.0</v>
      </c>
      <c r="B215" s="55" t="str">
        <f>HYPERLINK("https://jobright.ai/jobs/info/66592162dc30f127d7d706e5?utm_campaign=1066&amp;utm_source=sheet", "Apply")</f>
        <v>Apply</v>
      </c>
      <c r="C215" s="10" t="s">
        <v>2201</v>
      </c>
      <c r="D215" s="10" t="s">
        <v>2202</v>
      </c>
      <c r="E215" s="10" t="s">
        <v>249</v>
      </c>
      <c r="F215" s="10" t="s">
        <v>1234</v>
      </c>
      <c r="G215" s="10" t="s">
        <v>2203</v>
      </c>
      <c r="H215" s="10" t="s">
        <v>55</v>
      </c>
      <c r="J215" s="10" t="s">
        <v>2204</v>
      </c>
      <c r="K215" s="10" t="s">
        <v>42</v>
      </c>
    </row>
    <row r="216" ht="15.75" customHeight="1">
      <c r="A216" s="66">
        <v>45455.0</v>
      </c>
      <c r="B216" s="55" t="str">
        <f>HYPERLINK("https://jobright.ai/jobs/info/6672ca4e3834861b0bddd8cb?utm_campaign=1066&amp;utm_source=sheet", "Apply")</f>
        <v>Apply</v>
      </c>
      <c r="C216" s="10" t="s">
        <v>2205</v>
      </c>
      <c r="D216" s="10" t="s">
        <v>2206</v>
      </c>
      <c r="E216" s="10" t="s">
        <v>45</v>
      </c>
      <c r="F216" s="10" t="s">
        <v>2207</v>
      </c>
      <c r="G216" s="10" t="s">
        <v>2208</v>
      </c>
      <c r="H216" s="10" t="s">
        <v>55</v>
      </c>
      <c r="J216" s="10" t="s">
        <v>2209</v>
      </c>
      <c r="K216" s="10" t="s">
        <v>42</v>
      </c>
    </row>
    <row r="217" ht="15.75" customHeight="1">
      <c r="A217" s="66">
        <v>45455.0</v>
      </c>
      <c r="B217" s="55" t="str">
        <f>HYPERLINK("https://jobright.ai/jobs/info/665ff028d6873af1aef69752?utm_campaign=1066&amp;utm_source=sheet", "Apply")</f>
        <v>Apply</v>
      </c>
      <c r="C217" s="10" t="s">
        <v>2210</v>
      </c>
      <c r="D217" s="10" t="s">
        <v>2211</v>
      </c>
      <c r="E217" s="10" t="s">
        <v>45</v>
      </c>
      <c r="F217" s="10" t="s">
        <v>1274</v>
      </c>
      <c r="G217" s="10" t="s">
        <v>2212</v>
      </c>
      <c r="H217" s="10" t="s">
        <v>55</v>
      </c>
      <c r="J217" s="10" t="s">
        <v>2213</v>
      </c>
      <c r="K217" s="10" t="s">
        <v>42</v>
      </c>
    </row>
    <row r="218" ht="15.75" customHeight="1">
      <c r="A218" s="66">
        <v>45454.0</v>
      </c>
      <c r="B218" s="55" t="str">
        <f>HYPERLINK("https://jobright.ai/jobs/info/6668e05f24bd923bd7800716?utm_campaign=1066&amp;utm_source=sheet", "Apply")</f>
        <v>Apply</v>
      </c>
      <c r="C218" s="10" t="s">
        <v>2214</v>
      </c>
      <c r="D218" s="10" t="s">
        <v>2215</v>
      </c>
      <c r="E218" s="10" t="s">
        <v>45</v>
      </c>
      <c r="F218" s="10" t="s">
        <v>2216</v>
      </c>
      <c r="G218" s="10" t="s">
        <v>807</v>
      </c>
      <c r="H218" s="10" t="s">
        <v>55</v>
      </c>
      <c r="I218" s="10" t="s">
        <v>2217</v>
      </c>
      <c r="J218" s="10" t="s">
        <v>2218</v>
      </c>
      <c r="K218" s="10" t="s">
        <v>42</v>
      </c>
    </row>
    <row r="219" ht="15.75" customHeight="1">
      <c r="A219" s="67">
        <v>45454.0</v>
      </c>
      <c r="B219" s="55" t="str">
        <f>HYPERLINK("https://jobright.ai/jobs/info/66688df47f6ba556721b65ae?utm_campaign=1066&amp;utm_source=sheet", "Apply")</f>
        <v>Apply</v>
      </c>
      <c r="C219" s="10" t="s">
        <v>2219</v>
      </c>
      <c r="D219" s="10" t="s">
        <v>2220</v>
      </c>
      <c r="E219" s="10" t="s">
        <v>45</v>
      </c>
      <c r="F219" s="10" t="s">
        <v>2221</v>
      </c>
      <c r="G219" s="10" t="s">
        <v>2222</v>
      </c>
      <c r="H219" s="10" t="s">
        <v>55</v>
      </c>
      <c r="I219" s="10" t="s">
        <v>1409</v>
      </c>
      <c r="J219" s="10" t="s">
        <v>2223</v>
      </c>
      <c r="K219" s="10" t="s">
        <v>42</v>
      </c>
    </row>
    <row r="220" ht="15.75" customHeight="1">
      <c r="A220" s="67">
        <v>45453.0</v>
      </c>
      <c r="B220" s="55" t="str">
        <f>HYPERLINK("https://jobright.ai/jobs/info/666768cf55d00056cc4207dc?utm_campaign=1066&amp;utm_source=sheet", "Apply")</f>
        <v>Apply</v>
      </c>
      <c r="C220" s="10" t="s">
        <v>2224</v>
      </c>
      <c r="D220" s="10" t="s">
        <v>1547</v>
      </c>
      <c r="E220" s="10">
        <v>408.0</v>
      </c>
      <c r="G220" s="10" t="s">
        <v>2225</v>
      </c>
      <c r="H220" s="10" t="s">
        <v>55</v>
      </c>
      <c r="J220" s="10" t="s">
        <v>2226</v>
      </c>
      <c r="K220" s="10" t="s">
        <v>42</v>
      </c>
    </row>
    <row r="221" ht="15.75" customHeight="1">
      <c r="A221" s="67">
        <v>45451.0</v>
      </c>
      <c r="B221" s="55" t="str">
        <f>HYPERLINK("https://jobright.ai/jobs/info/6677d6ae5793f82273cb2ff8?utm_campaign=1066&amp;utm_source=sheet", "Apply")</f>
        <v>Apply</v>
      </c>
      <c r="C221" s="10" t="s">
        <v>1891</v>
      </c>
      <c r="D221" s="10" t="s">
        <v>1892</v>
      </c>
      <c r="E221" s="10" t="s">
        <v>45</v>
      </c>
      <c r="F221" s="10" t="s">
        <v>1893</v>
      </c>
      <c r="G221" s="10" t="s">
        <v>96</v>
      </c>
      <c r="H221" s="10" t="s">
        <v>55</v>
      </c>
      <c r="I221" s="10" t="s">
        <v>581</v>
      </c>
      <c r="J221" s="10" t="s">
        <v>2227</v>
      </c>
      <c r="K221" s="10" t="s">
        <v>42</v>
      </c>
    </row>
    <row r="222" ht="15.75" customHeight="1">
      <c r="A222" s="67">
        <v>45450.0</v>
      </c>
      <c r="B222" s="55" t="str">
        <f>HYPERLINK("https://jobright.ai/jobs/info/6675e9dea266c24fd0a14d99?utm_campaign=1066&amp;utm_source=sheet", "Apply")</f>
        <v>Apply</v>
      </c>
      <c r="C222" s="10" t="s">
        <v>2228</v>
      </c>
      <c r="D222" s="10" t="s">
        <v>1582</v>
      </c>
      <c r="E222" s="10" t="s">
        <v>45</v>
      </c>
      <c r="F222" s="10" t="s">
        <v>665</v>
      </c>
      <c r="G222" s="10" t="s">
        <v>852</v>
      </c>
      <c r="H222" s="10" t="s">
        <v>55</v>
      </c>
      <c r="J222" s="10" t="s">
        <v>2229</v>
      </c>
      <c r="K222" s="10" t="s">
        <v>42</v>
      </c>
    </row>
    <row r="223" ht="15.75" customHeight="1">
      <c r="A223" s="67">
        <v>45449.0</v>
      </c>
      <c r="B223" s="55" t="str">
        <f>HYPERLINK("https://jobright.ai/jobs/info/6662385e41f9366fe5bbc1fe?utm_campaign=1066&amp;utm_source=sheet", "Apply")</f>
        <v>Apply</v>
      </c>
      <c r="C223" s="10" t="s">
        <v>2230</v>
      </c>
      <c r="D223" s="10" t="s">
        <v>2231</v>
      </c>
      <c r="E223" s="10" t="s">
        <v>45</v>
      </c>
      <c r="F223" s="10" t="s">
        <v>1506</v>
      </c>
      <c r="G223" s="10" t="s">
        <v>1024</v>
      </c>
      <c r="H223" s="10" t="s">
        <v>55</v>
      </c>
      <c r="J223" s="10" t="s">
        <v>2232</v>
      </c>
      <c r="K223" s="10" t="s">
        <v>42</v>
      </c>
    </row>
    <row r="224" ht="15.75" customHeight="1">
      <c r="A224" s="67">
        <v>45449.0</v>
      </c>
      <c r="B224" s="55" t="str">
        <f>HYPERLINK("https://jobright.ai/jobs/info/6661f2d125bcd4e28e660009?utm_campaign=1066&amp;utm_source=sheet", "Apply")</f>
        <v>Apply</v>
      </c>
      <c r="C224" s="10" t="s">
        <v>2007</v>
      </c>
      <c r="D224" s="10" t="s">
        <v>1662</v>
      </c>
      <c r="E224" s="10" t="s">
        <v>209</v>
      </c>
      <c r="F224" s="10" t="s">
        <v>1663</v>
      </c>
      <c r="G224" s="10" t="s">
        <v>167</v>
      </c>
      <c r="H224" s="10" t="s">
        <v>55</v>
      </c>
      <c r="I224" s="10" t="s">
        <v>2176</v>
      </c>
      <c r="J224" s="10" t="s">
        <v>2177</v>
      </c>
      <c r="K224" s="10" t="s">
        <v>42</v>
      </c>
    </row>
    <row r="225" ht="15.75" customHeight="1">
      <c r="A225" s="67">
        <v>45449.0</v>
      </c>
      <c r="B225" s="55" t="str">
        <f>HYPERLINK("https://jobright.ai/jobs/info/6661fd3deca34b2833349b18?utm_campaign=1066&amp;utm_source=sheet", "Apply")</f>
        <v>Apply</v>
      </c>
      <c r="C225" s="10" t="s">
        <v>2233</v>
      </c>
      <c r="D225" s="10" t="s">
        <v>1662</v>
      </c>
      <c r="E225" s="10" t="s">
        <v>209</v>
      </c>
      <c r="F225" s="10" t="s">
        <v>1663</v>
      </c>
      <c r="G225" s="10" t="s">
        <v>167</v>
      </c>
      <c r="H225" s="10" t="s">
        <v>48</v>
      </c>
      <c r="I225" s="10" t="s">
        <v>2234</v>
      </c>
      <c r="J225" s="10" t="s">
        <v>2235</v>
      </c>
      <c r="K225" s="10" t="s">
        <v>42</v>
      </c>
    </row>
    <row r="226" ht="15.75" customHeight="1">
      <c r="A226" s="67">
        <v>45449.0</v>
      </c>
      <c r="B226" s="55" t="str">
        <f>HYPERLINK("https://jobright.ai/jobs/info/6661df8ba2bcc67388aeafb1?utm_campaign=1066&amp;utm_source=sheet", "Apply")</f>
        <v>Apply</v>
      </c>
      <c r="C226" s="10" t="s">
        <v>2236</v>
      </c>
      <c r="D226" s="10" t="s">
        <v>1662</v>
      </c>
      <c r="E226" s="10" t="s">
        <v>209</v>
      </c>
      <c r="F226" s="10" t="s">
        <v>1663</v>
      </c>
      <c r="G226" s="10" t="s">
        <v>167</v>
      </c>
      <c r="H226" s="10" t="s">
        <v>55</v>
      </c>
      <c r="I226" s="10" t="s">
        <v>2234</v>
      </c>
      <c r="J226" s="10" t="s">
        <v>2237</v>
      </c>
      <c r="K226" s="10" t="s">
        <v>42</v>
      </c>
    </row>
    <row r="227" ht="15.75" customHeight="1">
      <c r="A227" s="67">
        <v>45449.0</v>
      </c>
      <c r="B227" s="55" t="str">
        <f>HYPERLINK("https://jobright.ai/jobs/info/66754456e46d8e8bcc8aef8e?utm_campaign=1066&amp;utm_source=sheet", "Apply")</f>
        <v>Apply</v>
      </c>
      <c r="C227" s="10" t="s">
        <v>2238</v>
      </c>
      <c r="D227" s="10" t="s">
        <v>2239</v>
      </c>
      <c r="F227" s="10" t="s">
        <v>2240</v>
      </c>
      <c r="G227" s="10" t="s">
        <v>2241</v>
      </c>
      <c r="H227" s="10" t="s">
        <v>48</v>
      </c>
      <c r="I227" s="10" t="s">
        <v>521</v>
      </c>
      <c r="J227" s="10" t="s">
        <v>2242</v>
      </c>
      <c r="K227" s="10" t="s">
        <v>42</v>
      </c>
    </row>
    <row r="228" ht="15.75" customHeight="1">
      <c r="A228" s="67">
        <v>45444.0</v>
      </c>
      <c r="B228" s="55" t="str">
        <f>HYPERLINK("https://jobright.ai/jobs/info/66630ca1c235e09220d51fb4?utm_campaign=1066&amp;utm_source=sheet", "Apply")</f>
        <v>Apply</v>
      </c>
      <c r="C228" s="10" t="s">
        <v>2243</v>
      </c>
      <c r="D228" s="10" t="s">
        <v>1502</v>
      </c>
      <c r="E228" s="10">
        <v>10345.0</v>
      </c>
      <c r="G228" s="10" t="s">
        <v>106</v>
      </c>
      <c r="H228" s="10" t="s">
        <v>55</v>
      </c>
      <c r="I228" s="10" t="s">
        <v>2244</v>
      </c>
      <c r="J228" s="10" t="s">
        <v>2245</v>
      </c>
      <c r="K228" s="10" t="s">
        <v>42</v>
      </c>
    </row>
    <row r="229" ht="15.75" customHeight="1">
      <c r="A229" s="67">
        <v>45444.0</v>
      </c>
      <c r="B229" s="55" t="str">
        <f>HYPERLINK("https://jobright.ai/jobs/info/66684fd590e17dfadf831977?utm_campaign=1066&amp;utm_source=sheet", "Apply")</f>
        <v>Apply</v>
      </c>
      <c r="C229" s="10" t="s">
        <v>2246</v>
      </c>
      <c r="D229" s="10" t="s">
        <v>1453</v>
      </c>
      <c r="E229" s="10" t="s">
        <v>45</v>
      </c>
      <c r="F229" s="10" t="s">
        <v>1454</v>
      </c>
      <c r="G229" s="10" t="s">
        <v>2247</v>
      </c>
      <c r="H229" s="10" t="s">
        <v>48</v>
      </c>
      <c r="J229" s="10" t="s">
        <v>2248</v>
      </c>
      <c r="K229" s="10" t="s">
        <v>42</v>
      </c>
    </row>
    <row r="230" ht="15.75" customHeight="1">
      <c r="A230" s="67">
        <v>45443.0</v>
      </c>
      <c r="B230" s="55" t="str">
        <f>HYPERLINK("https://jobright.ai/jobs/info/665a5314e44829f8e4d2754a?utm_campaign=1066&amp;utm_source=sheet", "Apply")</f>
        <v>Apply</v>
      </c>
      <c r="C230" s="10" t="s">
        <v>1862</v>
      </c>
      <c r="D230" s="10" t="s">
        <v>1502</v>
      </c>
      <c r="E230" s="10">
        <v>10345.0</v>
      </c>
      <c r="G230" s="10" t="s">
        <v>106</v>
      </c>
      <c r="H230" s="10" t="s">
        <v>55</v>
      </c>
      <c r="I230" s="10" t="s">
        <v>2249</v>
      </c>
      <c r="J230" s="10" t="s">
        <v>2250</v>
      </c>
      <c r="K230" s="10" t="s">
        <v>42</v>
      </c>
    </row>
    <row r="231" ht="15.75" customHeight="1">
      <c r="A231" s="67">
        <v>45442.0</v>
      </c>
      <c r="B231" s="55" t="str">
        <f>HYPERLINK("https://jobright.ai/jobs/info/6659176ce3ecf9e1b0660d8c?utm_campaign=1066&amp;utm_source=sheet", "Apply")</f>
        <v>Apply</v>
      </c>
      <c r="C231" s="10" t="s">
        <v>2251</v>
      </c>
      <c r="D231" s="10" t="s">
        <v>2252</v>
      </c>
      <c r="E231" s="10" t="s">
        <v>249</v>
      </c>
      <c r="F231" s="10" t="s">
        <v>2253</v>
      </c>
      <c r="G231" s="10" t="s">
        <v>996</v>
      </c>
      <c r="H231" s="10" t="s">
        <v>55</v>
      </c>
      <c r="J231" s="10" t="s">
        <v>2254</v>
      </c>
      <c r="K231" s="10" t="s">
        <v>42</v>
      </c>
    </row>
    <row r="232" ht="15.75" customHeight="1">
      <c r="A232" s="67">
        <v>45441.0</v>
      </c>
      <c r="B232" s="55" t="str">
        <f>HYPERLINK("https://jobright.ai/jobs/info/66686c848208ff983dbcf1f5?utm_campaign=1066&amp;utm_source=sheet", "Apply")</f>
        <v>Apply</v>
      </c>
      <c r="C232" s="10" t="s">
        <v>2255</v>
      </c>
      <c r="D232" s="10" t="s">
        <v>684</v>
      </c>
      <c r="E232" s="10" t="s">
        <v>45</v>
      </c>
      <c r="F232" s="10" t="s">
        <v>685</v>
      </c>
      <c r="G232" s="10" t="s">
        <v>2256</v>
      </c>
      <c r="H232" s="10" t="s">
        <v>55</v>
      </c>
      <c r="J232" s="10" t="s">
        <v>2257</v>
      </c>
      <c r="K232" s="10" t="s">
        <v>42</v>
      </c>
    </row>
    <row r="233" ht="15.75" customHeight="1">
      <c r="A233" s="67">
        <v>45440.0</v>
      </c>
      <c r="B233" s="55" t="str">
        <f>HYPERLINK("https://jobright.ai/jobs/info/6656083f033f45816d553ab6?utm_campaign=1066&amp;utm_source=sheet", "Apply")</f>
        <v>Apply</v>
      </c>
      <c r="C233" s="10" t="s">
        <v>2258</v>
      </c>
      <c r="D233" s="10" t="s">
        <v>2259</v>
      </c>
      <c r="E233" s="10" t="s">
        <v>79</v>
      </c>
      <c r="F233" s="10" t="s">
        <v>2260</v>
      </c>
      <c r="G233" s="10" t="s">
        <v>2261</v>
      </c>
      <c r="H233" s="10" t="s">
        <v>55</v>
      </c>
      <c r="J233" s="10" t="s">
        <v>2262</v>
      </c>
      <c r="K233" s="10" t="s">
        <v>42</v>
      </c>
    </row>
    <row r="234" ht="15.75" customHeight="1">
      <c r="A234" s="67">
        <v>45440.0</v>
      </c>
      <c r="B234" s="55" t="str">
        <f>HYPERLINK("https://jobright.ai/jobs/info/66629294d207c74779ac79cd?utm_campaign=1066&amp;utm_source=sheet", "Apply")</f>
        <v>Apply</v>
      </c>
      <c r="C234" s="10" t="s">
        <v>2263</v>
      </c>
      <c r="D234" s="10" t="s">
        <v>2264</v>
      </c>
      <c r="E234" s="10" t="s">
        <v>79</v>
      </c>
      <c r="F234" s="10" t="s">
        <v>2265</v>
      </c>
      <c r="G234" s="10" t="s">
        <v>2266</v>
      </c>
      <c r="H234" s="10" t="s">
        <v>48</v>
      </c>
      <c r="J234" s="10" t="s">
        <v>2267</v>
      </c>
      <c r="K234" s="10" t="s">
        <v>42</v>
      </c>
    </row>
    <row r="235" ht="15.75" customHeight="1">
      <c r="A235" s="67">
        <v>45439.0</v>
      </c>
      <c r="B235" s="55" t="str">
        <f>HYPERLINK("https://jobright.ai/jobs/info/6668839ff8309f8de12c5664?utm_campaign=1066&amp;utm_source=sheet", "Apply")</f>
        <v>Apply</v>
      </c>
      <c r="C235" s="10" t="s">
        <v>2268</v>
      </c>
      <c r="D235" s="10" t="s">
        <v>2269</v>
      </c>
      <c r="E235" s="10" t="s">
        <v>45</v>
      </c>
      <c r="F235" s="10" t="s">
        <v>665</v>
      </c>
      <c r="G235" s="10" t="s">
        <v>2270</v>
      </c>
      <c r="H235" s="10" t="s">
        <v>55</v>
      </c>
      <c r="J235" s="10" t="s">
        <v>2271</v>
      </c>
      <c r="K235" s="10" t="s">
        <v>42</v>
      </c>
    </row>
    <row r="236" ht="15.75" customHeight="1">
      <c r="A236" s="67">
        <v>45439.0</v>
      </c>
      <c r="B236" s="55" t="str">
        <f>HYPERLINK("https://jobright.ai/jobs/info/6668839ff8309f8de12c5640?utm_campaign=1066&amp;utm_source=sheet", "Apply")</f>
        <v>Apply</v>
      </c>
      <c r="C236" s="10" t="s">
        <v>2272</v>
      </c>
      <c r="D236" s="10" t="s">
        <v>2273</v>
      </c>
      <c r="E236" s="10" t="s">
        <v>45</v>
      </c>
      <c r="F236" s="10" t="s">
        <v>2274</v>
      </c>
      <c r="G236" s="10" t="s">
        <v>2275</v>
      </c>
      <c r="H236" s="10" t="s">
        <v>55</v>
      </c>
      <c r="J236" s="10" t="s">
        <v>2276</v>
      </c>
      <c r="K236" s="10" t="s">
        <v>42</v>
      </c>
    </row>
    <row r="237" ht="15.75" customHeight="1">
      <c r="A237" s="67">
        <v>45437.0</v>
      </c>
      <c r="B237" s="55" t="str">
        <f>HYPERLINK("https://jobright.ai/jobs/info/6677e243783a239da841806b?utm_campaign=1066&amp;utm_source=sheet", "Apply")</f>
        <v>Apply</v>
      </c>
      <c r="C237" s="10" t="s">
        <v>2277</v>
      </c>
      <c r="D237" s="10" t="s">
        <v>2278</v>
      </c>
      <c r="E237" s="10" t="s">
        <v>209</v>
      </c>
      <c r="F237" s="10" t="s">
        <v>2279</v>
      </c>
      <c r="G237" s="10" t="s">
        <v>2280</v>
      </c>
      <c r="H237" s="10" t="s">
        <v>55</v>
      </c>
      <c r="J237" s="10" t="s">
        <v>2281</v>
      </c>
      <c r="K237" s="10" t="s">
        <v>42</v>
      </c>
    </row>
    <row r="238" ht="15.75" customHeight="1">
      <c r="A238" s="67">
        <v>45435.0</v>
      </c>
      <c r="B238" s="55" t="str">
        <f>HYPERLINK("https://jobright.ai/jobs/info/664fff472a94fa8a2df4f5f0?utm_campaign=1066&amp;utm_source=sheet", "Apply")</f>
        <v>Apply</v>
      </c>
      <c r="C238" s="10" t="s">
        <v>1799</v>
      </c>
      <c r="D238" s="10" t="s">
        <v>2282</v>
      </c>
      <c r="E238" s="10" t="s">
        <v>137</v>
      </c>
      <c r="F238" s="10" t="s">
        <v>2283</v>
      </c>
      <c r="G238" s="10" t="s">
        <v>411</v>
      </c>
      <c r="H238" s="10" t="s">
        <v>48</v>
      </c>
      <c r="J238" s="10" t="s">
        <v>2284</v>
      </c>
      <c r="K238" s="10" t="s">
        <v>42</v>
      </c>
    </row>
    <row r="239" ht="15.75" customHeight="1">
      <c r="A239" s="67">
        <v>45435.0</v>
      </c>
      <c r="B239" s="55" t="str">
        <f>HYPERLINK("https://jobright.ai/jobs/info/6677e7a28edbb3fe78f321bd?utm_campaign=1066&amp;utm_source=sheet", "Apply")</f>
        <v>Apply</v>
      </c>
      <c r="C239" s="10" t="s">
        <v>2285</v>
      </c>
      <c r="D239" s="10" t="s">
        <v>1722</v>
      </c>
      <c r="E239" s="10" t="s">
        <v>65</v>
      </c>
      <c r="F239" s="10" t="s">
        <v>1723</v>
      </c>
      <c r="G239" s="10" t="s">
        <v>1254</v>
      </c>
      <c r="H239" s="10" t="s">
        <v>55</v>
      </c>
      <c r="I239" s="10" t="s">
        <v>2286</v>
      </c>
      <c r="J239" s="10" t="s">
        <v>2287</v>
      </c>
      <c r="K239" s="10" t="s">
        <v>42</v>
      </c>
    </row>
    <row r="240" ht="15.75" customHeight="1">
      <c r="A240" s="67">
        <v>45435.0</v>
      </c>
      <c r="B240" s="55" t="str">
        <f>HYPERLINK("https://jobright.ai/jobs/info/6677edba2ffca2bcf66928e1?utm_campaign=1066&amp;utm_source=sheet", "Apply")</f>
        <v>Apply</v>
      </c>
      <c r="C240" s="10" t="s">
        <v>2288</v>
      </c>
      <c r="D240" s="10" t="s">
        <v>2289</v>
      </c>
      <c r="E240" s="10" t="s">
        <v>71</v>
      </c>
      <c r="F240" s="10" t="s">
        <v>2290</v>
      </c>
      <c r="G240" s="10" t="s">
        <v>2291</v>
      </c>
      <c r="H240" s="10" t="s">
        <v>55</v>
      </c>
      <c r="I240" s="10" t="s">
        <v>1761</v>
      </c>
      <c r="J240" s="10" t="s">
        <v>2292</v>
      </c>
      <c r="K240" s="10" t="s">
        <v>42</v>
      </c>
    </row>
    <row r="241" ht="15.75" customHeight="1">
      <c r="A241" s="67">
        <v>45435.0</v>
      </c>
      <c r="B241" s="55" t="str">
        <f>HYPERLINK("https://jobright.ai/jobs/info/6677f20f9c81148ccaaed74f?utm_campaign=1066&amp;utm_source=sheet", "Apply")</f>
        <v>Apply</v>
      </c>
      <c r="C241" s="10" t="s">
        <v>2293</v>
      </c>
      <c r="D241" s="10" t="s">
        <v>2294</v>
      </c>
      <c r="E241" s="10" t="s">
        <v>209</v>
      </c>
      <c r="F241" s="10" t="s">
        <v>2295</v>
      </c>
      <c r="G241" s="10" t="s">
        <v>251</v>
      </c>
      <c r="H241" s="10" t="s">
        <v>252</v>
      </c>
      <c r="J241" s="10" t="s">
        <v>2296</v>
      </c>
      <c r="K241" s="10" t="s">
        <v>42</v>
      </c>
    </row>
    <row r="242" ht="15.75" customHeight="1">
      <c r="A242" s="67">
        <v>45434.0</v>
      </c>
      <c r="B242" s="55" t="str">
        <f>HYPERLINK("https://jobright.ai/jobs/info/66448b7882e22a1af25d33ac?utm_campaign=1066&amp;utm_source=sheet", "Apply")</f>
        <v>Apply</v>
      </c>
      <c r="C242" s="10" t="s">
        <v>2016</v>
      </c>
      <c r="D242" s="10" t="s">
        <v>2037</v>
      </c>
      <c r="E242" s="10">
        <v>13693.0</v>
      </c>
      <c r="G242" s="10" t="s">
        <v>139</v>
      </c>
      <c r="H242" s="10" t="s">
        <v>55</v>
      </c>
      <c r="J242" s="10" t="s">
        <v>2038</v>
      </c>
      <c r="K242" s="10" t="s">
        <v>42</v>
      </c>
    </row>
    <row r="243" ht="15.75" customHeight="1">
      <c r="A243" s="67">
        <v>45434.0</v>
      </c>
      <c r="B243" s="55" t="str">
        <f>HYPERLINK("https://jobright.ai/jobs/info/6676704ca0e238a9a3a4a84a?utm_campaign=1066&amp;utm_source=sheet", "Apply")</f>
        <v>Apply</v>
      </c>
      <c r="C243" s="10" t="s">
        <v>2297</v>
      </c>
      <c r="D243" s="10" t="s">
        <v>2298</v>
      </c>
      <c r="E243" s="10" t="s">
        <v>65</v>
      </c>
      <c r="F243" s="10" t="s">
        <v>1274</v>
      </c>
      <c r="G243" s="10" t="s">
        <v>2299</v>
      </c>
      <c r="H243" s="10" t="s">
        <v>55</v>
      </c>
      <c r="J243" s="10" t="s">
        <v>2300</v>
      </c>
      <c r="K243" s="10" t="s">
        <v>42</v>
      </c>
    </row>
    <row r="244" ht="15.75" customHeight="1">
      <c r="A244" s="67">
        <v>45432.0</v>
      </c>
      <c r="B244" s="55" t="str">
        <f>HYPERLINK("https://jobright.ai/jobs/info/664bd8364c29fb7ed44bb5ff?utm_campaign=1066&amp;utm_source=sheet", "Apply")</f>
        <v>Apply</v>
      </c>
      <c r="C244" s="10" t="s">
        <v>1605</v>
      </c>
      <c r="D244" s="10" t="s">
        <v>2103</v>
      </c>
      <c r="E244" s="10" t="s">
        <v>209</v>
      </c>
      <c r="F244" s="10" t="s">
        <v>2104</v>
      </c>
      <c r="G244" s="10" t="s">
        <v>170</v>
      </c>
      <c r="H244" s="10" t="s">
        <v>55</v>
      </c>
      <c r="J244" s="10" t="s">
        <v>2301</v>
      </c>
      <c r="K244" s="10" t="s">
        <v>42</v>
      </c>
    </row>
    <row r="245" ht="15.75" customHeight="1">
      <c r="A245" s="67">
        <v>45432.0</v>
      </c>
      <c r="B245" s="55" t="str">
        <f>HYPERLINK("https://jobright.ai/jobs/info/667301e2c32d0d359a61ec7f?utm_campaign=1066&amp;utm_source=sheet", "Apply")</f>
        <v>Apply</v>
      </c>
      <c r="C245" s="10" t="s">
        <v>2302</v>
      </c>
      <c r="D245" s="10" t="s">
        <v>2303</v>
      </c>
      <c r="E245" s="10" t="s">
        <v>276</v>
      </c>
      <c r="F245" s="10" t="s">
        <v>2304</v>
      </c>
      <c r="G245" s="10" t="s">
        <v>442</v>
      </c>
      <c r="H245" s="10" t="s">
        <v>55</v>
      </c>
      <c r="J245" s="10" t="s">
        <v>2305</v>
      </c>
      <c r="K245" s="10" t="s">
        <v>42</v>
      </c>
    </row>
    <row r="246" ht="15.75" customHeight="1">
      <c r="A246" s="68">
        <v>45432.0</v>
      </c>
      <c r="B246" s="55" t="str">
        <f>HYPERLINK("https://jobright.ai/jobs/info/664b6428fc33b7e16ffa8405?utm_campaign=1066&amp;utm_source=sheet", "Apply")</f>
        <v>Apply</v>
      </c>
      <c r="C246" s="10" t="s">
        <v>2306</v>
      </c>
      <c r="D246" s="10" t="s">
        <v>1502</v>
      </c>
      <c r="E246" s="10">
        <v>10345.0</v>
      </c>
      <c r="G246" s="10" t="s">
        <v>106</v>
      </c>
      <c r="H246" s="10" t="s">
        <v>55</v>
      </c>
      <c r="J246" s="10" t="s">
        <v>2307</v>
      </c>
      <c r="K246" s="10" t="s">
        <v>42</v>
      </c>
    </row>
    <row r="247" ht="15.75" customHeight="1">
      <c r="A247" s="68">
        <v>45432.0</v>
      </c>
      <c r="B247" s="55" t="str">
        <f>HYPERLINK("https://jobright.ai/jobs/info/66730231c32d0d359a61ef87?utm_campaign=1066&amp;utm_source=sheet", "Apply")</f>
        <v>Apply</v>
      </c>
      <c r="C247" s="10" t="s">
        <v>2308</v>
      </c>
      <c r="D247" s="10" t="s">
        <v>2309</v>
      </c>
      <c r="E247" s="10" t="s">
        <v>137</v>
      </c>
      <c r="F247" s="10" t="s">
        <v>2310</v>
      </c>
      <c r="G247" s="10" t="s">
        <v>723</v>
      </c>
      <c r="H247" s="10" t="s">
        <v>55</v>
      </c>
      <c r="I247" s="10" t="s">
        <v>2311</v>
      </c>
      <c r="J247" s="10" t="s">
        <v>2312</v>
      </c>
      <c r="K247" s="10" t="s">
        <v>42</v>
      </c>
    </row>
    <row r="248" ht="15.75" customHeight="1">
      <c r="A248" s="68">
        <v>45429.0</v>
      </c>
      <c r="B248" s="55" t="str">
        <f>HYPERLINK("https://jobright.ai/jobs/info/666c5c3122d2daf784e126d6?utm_campaign=1066&amp;utm_source=sheet", "Apply")</f>
        <v>Apply</v>
      </c>
      <c r="C248" s="10" t="s">
        <v>2313</v>
      </c>
      <c r="D248" s="10" t="s">
        <v>2314</v>
      </c>
      <c r="E248" s="10" t="s">
        <v>209</v>
      </c>
      <c r="F248" s="10" t="s">
        <v>2315</v>
      </c>
      <c r="G248" s="10" t="s">
        <v>152</v>
      </c>
      <c r="H248" s="10" t="s">
        <v>55</v>
      </c>
      <c r="J248" s="10" t="s">
        <v>2316</v>
      </c>
      <c r="K248" s="10" t="s">
        <v>42</v>
      </c>
    </row>
    <row r="249" ht="15.75" customHeight="1">
      <c r="A249" s="68">
        <v>45428.0</v>
      </c>
      <c r="B249" s="55" t="str">
        <f>HYPERLINK("https://jobright.ai/jobs/info/666bcee805dfa05e1a6927ea?utm_campaign=1066&amp;utm_source=sheet", "Apply")</f>
        <v>Apply</v>
      </c>
      <c r="C249" s="10" t="s">
        <v>2313</v>
      </c>
      <c r="D249" s="10" t="s">
        <v>2314</v>
      </c>
      <c r="E249" s="10" t="s">
        <v>209</v>
      </c>
      <c r="F249" s="10" t="s">
        <v>2315</v>
      </c>
      <c r="G249" s="10" t="s">
        <v>152</v>
      </c>
      <c r="H249" s="10" t="s">
        <v>55</v>
      </c>
      <c r="J249" s="10" t="s">
        <v>2316</v>
      </c>
      <c r="K249" s="10" t="s">
        <v>42</v>
      </c>
    </row>
    <row r="250" ht="15.75" customHeight="1">
      <c r="A250" s="68">
        <v>45427.0</v>
      </c>
      <c r="B250" s="55" t="str">
        <f>HYPERLINK("https://jobright.ai/jobs/info/66692077c327d9911b6d4e32?utm_campaign=1066&amp;utm_source=sheet", "Apply")</f>
        <v>Apply</v>
      </c>
      <c r="C250" s="10" t="s">
        <v>2317</v>
      </c>
      <c r="D250" s="10" t="s">
        <v>2318</v>
      </c>
      <c r="E250" s="10" t="s">
        <v>45</v>
      </c>
      <c r="F250" s="10" t="s">
        <v>2319</v>
      </c>
      <c r="G250" s="10" t="s">
        <v>113</v>
      </c>
      <c r="H250" s="10" t="s">
        <v>55</v>
      </c>
      <c r="J250" s="10" t="s">
        <v>2320</v>
      </c>
      <c r="K250" s="10" t="s">
        <v>42</v>
      </c>
    </row>
    <row r="251" ht="15.75" customHeight="1">
      <c r="A251" s="68">
        <v>45422.0</v>
      </c>
      <c r="B251" s="55" t="str">
        <f>HYPERLINK("https://jobright.ai/jobs/info/663e96a68ba78acd7e465a54?utm_campaign=1066&amp;utm_source=sheet", "Apply")</f>
        <v>Apply</v>
      </c>
      <c r="C251" s="10" t="s">
        <v>2321</v>
      </c>
      <c r="D251" s="10" t="s">
        <v>2322</v>
      </c>
      <c r="E251" s="10" t="s">
        <v>71</v>
      </c>
      <c r="F251" s="10" t="s">
        <v>250</v>
      </c>
      <c r="G251" s="10" t="s">
        <v>636</v>
      </c>
      <c r="H251" s="10" t="s">
        <v>55</v>
      </c>
      <c r="J251" s="10" t="s">
        <v>2323</v>
      </c>
      <c r="K251" s="10" t="s">
        <v>42</v>
      </c>
    </row>
    <row r="252" ht="15.75" customHeight="1">
      <c r="A252" s="68">
        <v>45420.0</v>
      </c>
      <c r="B252" s="55" t="str">
        <f>HYPERLINK("https://jobright.ai/jobs/info/6570f38c80c435703a87d5f4?utm_campaign=1066&amp;utm_source=sheet", "Apply")</f>
        <v>Apply</v>
      </c>
      <c r="C252" s="10" t="s">
        <v>2324</v>
      </c>
      <c r="D252" s="10" t="s">
        <v>1684</v>
      </c>
      <c r="E252" s="10" t="s">
        <v>209</v>
      </c>
      <c r="F252" s="10" t="s">
        <v>1685</v>
      </c>
      <c r="G252" s="10" t="s">
        <v>2325</v>
      </c>
      <c r="H252" s="10" t="s">
        <v>252</v>
      </c>
      <c r="I252" s="10" t="s">
        <v>2326</v>
      </c>
      <c r="J252" s="10" t="s">
        <v>2327</v>
      </c>
      <c r="K252" s="10" t="s">
        <v>42</v>
      </c>
    </row>
    <row r="253" ht="15.75" customHeight="1">
      <c r="A253" s="68">
        <v>45420.0</v>
      </c>
      <c r="B253" s="55" t="str">
        <f>HYPERLINK("https://jobright.ai/jobs/info/6669314732b5c01ae0397e68?utm_campaign=1066&amp;utm_source=sheet", "Apply")</f>
        <v>Apply</v>
      </c>
      <c r="C253" s="10" t="s">
        <v>2328</v>
      </c>
      <c r="D253" s="10" t="s">
        <v>1496</v>
      </c>
      <c r="E253" s="10" t="s">
        <v>45</v>
      </c>
      <c r="F253" s="10" t="s">
        <v>1497</v>
      </c>
      <c r="G253" s="10" t="s">
        <v>1460</v>
      </c>
      <c r="H253" s="10" t="s">
        <v>55</v>
      </c>
      <c r="J253" s="10" t="s">
        <v>2329</v>
      </c>
      <c r="K253" s="10" t="s">
        <v>42</v>
      </c>
    </row>
    <row r="254" ht="15.75" customHeight="1">
      <c r="A254" s="68">
        <v>45419.0</v>
      </c>
      <c r="B254" s="55" t="str">
        <f>HYPERLINK("https://jobright.ai/jobs/info/663aaeac1fc34f6d1a5fceba?utm_campaign=1066&amp;utm_source=sheet", "Apply")</f>
        <v>Apply</v>
      </c>
      <c r="C254" s="10" t="s">
        <v>2330</v>
      </c>
      <c r="D254" s="10" t="s">
        <v>2091</v>
      </c>
      <c r="E254" s="10" t="s">
        <v>249</v>
      </c>
      <c r="F254" s="10" t="s">
        <v>192</v>
      </c>
      <c r="G254" s="10" t="s">
        <v>789</v>
      </c>
      <c r="H254" s="10" t="s">
        <v>55</v>
      </c>
      <c r="J254" s="10" t="s">
        <v>2331</v>
      </c>
      <c r="K254" s="10" t="s">
        <v>42</v>
      </c>
    </row>
    <row r="255" ht="15.75" customHeight="1">
      <c r="A255" s="68">
        <v>45416.0</v>
      </c>
      <c r="B255" s="55" t="str">
        <f>HYPERLINK("https://jobright.ai/jobs/info/6637072c880e409e53de7e7b?utm_campaign=1066&amp;utm_source=sheet", "Apply")</f>
        <v>Apply</v>
      </c>
      <c r="C255" s="10" t="s">
        <v>2332</v>
      </c>
      <c r="D255" s="10" t="s">
        <v>1547</v>
      </c>
      <c r="E255" s="10">
        <v>408.0</v>
      </c>
      <c r="G255" s="10" t="s">
        <v>1556</v>
      </c>
      <c r="H255" s="10" t="s">
        <v>55</v>
      </c>
      <c r="J255" s="10" t="s">
        <v>2333</v>
      </c>
      <c r="K255" s="10" t="s">
        <v>42</v>
      </c>
    </row>
    <row r="256" ht="15.75" customHeight="1">
      <c r="A256" s="68">
        <v>45416.0</v>
      </c>
      <c r="B256" s="55" t="str">
        <f>HYPERLINK("https://jobright.ai/jobs/info/6637072c880e409e53de7eb9?utm_campaign=1066&amp;utm_source=sheet", "Apply")</f>
        <v>Apply</v>
      </c>
      <c r="C256" s="10" t="s">
        <v>2334</v>
      </c>
      <c r="D256" s="10" t="s">
        <v>1547</v>
      </c>
      <c r="E256" s="10">
        <v>408.0</v>
      </c>
      <c r="G256" s="10" t="s">
        <v>2335</v>
      </c>
      <c r="H256" s="10" t="s">
        <v>55</v>
      </c>
      <c r="J256" s="10" t="s">
        <v>2336</v>
      </c>
      <c r="K256" s="10" t="s">
        <v>42</v>
      </c>
    </row>
    <row r="257" ht="15.75" customHeight="1">
      <c r="A257" s="68">
        <v>45416.0</v>
      </c>
      <c r="B257" s="55" t="str">
        <f>HYPERLINK("https://jobright.ai/jobs/info/6637072c880e409e53de7f2b?utm_campaign=1066&amp;utm_source=sheet", "Apply")</f>
        <v>Apply</v>
      </c>
      <c r="C257" s="10" t="s">
        <v>2337</v>
      </c>
      <c r="D257" s="10" t="s">
        <v>1547</v>
      </c>
      <c r="E257" s="10">
        <v>408.0</v>
      </c>
      <c r="G257" s="10" t="s">
        <v>1556</v>
      </c>
      <c r="H257" s="10" t="s">
        <v>55</v>
      </c>
      <c r="J257" s="10" t="s">
        <v>2338</v>
      </c>
      <c r="K257" s="10" t="s">
        <v>42</v>
      </c>
    </row>
    <row r="258" ht="15.75" customHeight="1">
      <c r="A258" s="68">
        <v>45416.0</v>
      </c>
      <c r="B258" s="55" t="str">
        <f>HYPERLINK("https://jobright.ai/jobs/info/66370733880e409e53de7f5c?utm_campaign=1066&amp;utm_source=sheet", "Apply")</f>
        <v>Apply</v>
      </c>
      <c r="C258" s="10" t="s">
        <v>2339</v>
      </c>
      <c r="D258" s="10" t="s">
        <v>1547</v>
      </c>
      <c r="E258" s="10">
        <v>408.0</v>
      </c>
      <c r="G258" s="10" t="s">
        <v>2340</v>
      </c>
      <c r="H258" s="10" t="s">
        <v>55</v>
      </c>
      <c r="J258" s="10" t="s">
        <v>2341</v>
      </c>
      <c r="K258" s="10" t="s">
        <v>42</v>
      </c>
    </row>
    <row r="259" ht="15.75" customHeight="1">
      <c r="A259" s="68">
        <v>45416.0</v>
      </c>
      <c r="B259" s="55" t="str">
        <f>HYPERLINK("https://jobright.ai/jobs/info/66370733880e409e53de7f50?utm_campaign=1066&amp;utm_source=sheet", "Apply")</f>
        <v>Apply</v>
      </c>
      <c r="C259" s="10" t="s">
        <v>2342</v>
      </c>
      <c r="D259" s="10" t="s">
        <v>1547</v>
      </c>
      <c r="E259" s="10">
        <v>408.0</v>
      </c>
      <c r="G259" s="10" t="s">
        <v>170</v>
      </c>
      <c r="H259" s="10" t="s">
        <v>55</v>
      </c>
      <c r="J259" s="10" t="s">
        <v>2343</v>
      </c>
      <c r="K259" s="10" t="s">
        <v>42</v>
      </c>
    </row>
    <row r="260" ht="15.75" customHeight="1">
      <c r="A260" s="68">
        <v>45416.0</v>
      </c>
      <c r="B260" s="55" t="str">
        <f>HYPERLINK("https://jobright.ai/jobs/info/66370733880e409e53de7f5a?utm_campaign=1066&amp;utm_source=sheet", "Apply")</f>
        <v>Apply</v>
      </c>
      <c r="C260" s="10" t="s">
        <v>2344</v>
      </c>
      <c r="D260" s="10" t="s">
        <v>1547</v>
      </c>
      <c r="E260" s="10">
        <v>408.0</v>
      </c>
      <c r="G260" s="10" t="s">
        <v>2335</v>
      </c>
      <c r="H260" s="10" t="s">
        <v>55</v>
      </c>
      <c r="J260" s="10" t="s">
        <v>2345</v>
      </c>
      <c r="K260" s="10" t="s">
        <v>42</v>
      </c>
    </row>
    <row r="261" ht="15.75" customHeight="1">
      <c r="A261" s="68">
        <v>45415.0</v>
      </c>
      <c r="B261" s="55" t="str">
        <f>HYPERLINK("https://jobright.ai/jobs/info/663322a4a8493d4d3258ed2a?utm_campaign=1066&amp;utm_source=sheet", "Apply")</f>
        <v>Apply</v>
      </c>
      <c r="C261" s="10" t="s">
        <v>2346</v>
      </c>
      <c r="D261" s="10" t="s">
        <v>2347</v>
      </c>
      <c r="E261" s="10" t="s">
        <v>137</v>
      </c>
      <c r="F261" s="10" t="s">
        <v>2348</v>
      </c>
      <c r="G261" s="10" t="s">
        <v>2349</v>
      </c>
      <c r="H261" s="10" t="s">
        <v>55</v>
      </c>
      <c r="J261" s="10" t="s">
        <v>2350</v>
      </c>
      <c r="K261" s="10" t="s">
        <v>42</v>
      </c>
    </row>
    <row r="262" ht="15.75" customHeight="1">
      <c r="A262" s="68">
        <v>45414.0</v>
      </c>
      <c r="B262" s="55" t="str">
        <f>HYPERLINK("https://jobright.ai/jobs/info/666940238f0265d34931b413?utm_campaign=1066&amp;utm_source=sheet", "Apply")</f>
        <v>Apply</v>
      </c>
      <c r="C262" s="10" t="s">
        <v>2351</v>
      </c>
      <c r="D262" s="10" t="s">
        <v>196</v>
      </c>
      <c r="E262" s="10" t="s">
        <v>71</v>
      </c>
      <c r="F262" s="10" t="s">
        <v>197</v>
      </c>
      <c r="G262" s="10" t="s">
        <v>2352</v>
      </c>
      <c r="H262" s="10" t="s">
        <v>55</v>
      </c>
      <c r="J262" s="10" t="s">
        <v>2353</v>
      </c>
      <c r="K262" s="10" t="s">
        <v>42</v>
      </c>
    </row>
    <row r="263" ht="15.75" customHeight="1">
      <c r="A263" s="68"/>
    </row>
    <row r="264">
      <c r="A264" s="68"/>
    </row>
    <row r="265">
      <c r="A265" s="68"/>
    </row>
  </sheetData>
  <autoFilter ref="$A$1:$I$254"/>
  <hyperlinks>
    <hyperlink r:id="rId1" ref="D2"/>
    <hyperlink r:id="rId2" ref="D6"/>
    <hyperlink r:id="rId3" ref="D10"/>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38</v>
      </c>
      <c r="H1" s="51" t="s">
        <v>39</v>
      </c>
      <c r="I1" s="51" t="s">
        <v>40</v>
      </c>
      <c r="J1" s="51" t="s">
        <v>41</v>
      </c>
      <c r="K1" s="52" t="s">
        <v>42</v>
      </c>
      <c r="L1" s="53"/>
      <c r="M1" s="53"/>
      <c r="N1" s="53"/>
      <c r="O1" s="53"/>
      <c r="P1" s="53"/>
      <c r="Q1" s="53"/>
      <c r="R1" s="53"/>
      <c r="S1" s="53"/>
      <c r="T1" s="53"/>
      <c r="U1" s="53"/>
      <c r="V1" s="53"/>
      <c r="W1" s="53"/>
      <c r="X1" s="53"/>
      <c r="Y1" s="53"/>
    </row>
    <row r="2" ht="15.75" customHeight="1">
      <c r="A2" s="64">
        <v>45499.0</v>
      </c>
      <c r="B2" s="55" t="str">
        <f>HYPERLINK("https://jobright.ai/jobs/info/66a3d0cff78d4ddf58eb1d59?utm_campaign=1067&amp;utm_source=sheet", "Apply")</f>
        <v>Apply</v>
      </c>
      <c r="C2" s="10" t="s">
        <v>2354</v>
      </c>
      <c r="D2" s="10" t="s">
        <v>385</v>
      </c>
      <c r="E2" s="10" t="s">
        <v>45</v>
      </c>
      <c r="F2" s="10" t="s">
        <v>386</v>
      </c>
      <c r="G2" s="10" t="s">
        <v>423</v>
      </c>
      <c r="H2" s="10" t="s">
        <v>55</v>
      </c>
      <c r="I2" s="10" t="s">
        <v>2355</v>
      </c>
      <c r="J2" s="10" t="s">
        <v>2356</v>
      </c>
      <c r="K2" s="10" t="s">
        <v>42</v>
      </c>
    </row>
    <row r="3" ht="15.75" customHeight="1">
      <c r="A3" s="64">
        <v>45497.0</v>
      </c>
      <c r="B3" s="55" t="str">
        <f>HYPERLINK("https://jobright.ai/jobs/info/66a11b82432504a9274661df?utm_campaign=1067&amp;utm_source=sheet", "Apply")</f>
        <v>Apply</v>
      </c>
      <c r="C3" s="10" t="s">
        <v>2357</v>
      </c>
      <c r="D3" s="10" t="s">
        <v>590</v>
      </c>
      <c r="E3" s="10" t="s">
        <v>45</v>
      </c>
      <c r="F3" s="10" t="s">
        <v>591</v>
      </c>
      <c r="G3" s="10" t="s">
        <v>592</v>
      </c>
      <c r="H3" s="10" t="s">
        <v>48</v>
      </c>
      <c r="J3" s="10" t="s">
        <v>593</v>
      </c>
      <c r="K3" s="10" t="s">
        <v>42</v>
      </c>
    </row>
    <row r="4" ht="15.75" customHeight="1">
      <c r="A4" s="64">
        <v>45496.0</v>
      </c>
      <c r="B4" s="55" t="str">
        <f>HYPERLINK("https://jobright.ai/jobs/info/669f70c5a74e0179f1ecb7f2?utm_campaign=1067&amp;utm_source=sheet", "Apply")</f>
        <v>Apply</v>
      </c>
      <c r="C4" s="10" t="s">
        <v>2358</v>
      </c>
      <c r="D4" s="10" t="s">
        <v>2359</v>
      </c>
      <c r="E4" s="10" t="s">
        <v>79</v>
      </c>
      <c r="F4" s="10" t="s">
        <v>2360</v>
      </c>
      <c r="G4" s="10" t="s">
        <v>2361</v>
      </c>
      <c r="H4" s="10" t="s">
        <v>55</v>
      </c>
      <c r="J4" s="10" t="s">
        <v>2362</v>
      </c>
      <c r="K4" s="10" t="s">
        <v>42</v>
      </c>
    </row>
    <row r="5" ht="15.75" customHeight="1">
      <c r="A5" s="64">
        <v>45496.0</v>
      </c>
      <c r="B5" s="55" t="str">
        <f>HYPERLINK("https://jobright.ai/jobs/info/669825b187ac5143478d371a?utm_campaign=1067&amp;utm_source=sheet", "Apply")</f>
        <v>Apply</v>
      </c>
      <c r="C5" s="10" t="s">
        <v>2363</v>
      </c>
      <c r="D5" s="10" t="s">
        <v>2364</v>
      </c>
      <c r="E5" s="10" t="s">
        <v>65</v>
      </c>
      <c r="F5" s="10" t="s">
        <v>2365</v>
      </c>
      <c r="G5" s="10" t="s">
        <v>131</v>
      </c>
      <c r="H5" s="10" t="s">
        <v>55</v>
      </c>
      <c r="J5" s="10" t="s">
        <v>2366</v>
      </c>
      <c r="K5" s="10" t="s">
        <v>42</v>
      </c>
    </row>
    <row r="6" ht="15.75" customHeight="1">
      <c r="A6" s="64">
        <v>45494.0</v>
      </c>
      <c r="B6" s="55" t="str">
        <f>HYPERLINK("https://jobright.ai/jobs/info/666422fb956c88483b220558?utm_campaign=1067&amp;utm_source=sheet", "Apply")</f>
        <v>Apply</v>
      </c>
      <c r="C6" s="10" t="s">
        <v>2367</v>
      </c>
      <c r="D6" s="10" t="s">
        <v>385</v>
      </c>
      <c r="E6" s="10" t="s">
        <v>45</v>
      </c>
      <c r="F6" s="10" t="s">
        <v>386</v>
      </c>
      <c r="G6" s="10" t="s">
        <v>442</v>
      </c>
      <c r="H6" s="10" t="s">
        <v>55</v>
      </c>
      <c r="J6" s="10" t="s">
        <v>2368</v>
      </c>
      <c r="K6" s="10" t="s">
        <v>42</v>
      </c>
    </row>
    <row r="7" ht="15.75" customHeight="1">
      <c r="A7" s="64">
        <v>45492.0</v>
      </c>
      <c r="B7" s="55" t="str">
        <f>HYPERLINK("https://jobright.ai/jobs/info/66a403310d09d8a9054b3bca?utm_campaign=1067&amp;utm_source=sheet", "Apply")</f>
        <v>Apply</v>
      </c>
      <c r="C7" s="10" t="s">
        <v>2369</v>
      </c>
      <c r="D7" s="10" t="s">
        <v>2370</v>
      </c>
      <c r="E7" s="10">
        <v>2490.0</v>
      </c>
      <c r="G7" s="10" t="s">
        <v>966</v>
      </c>
      <c r="H7" s="10" t="s">
        <v>55</v>
      </c>
      <c r="J7" s="10" t="s">
        <v>2371</v>
      </c>
      <c r="K7" s="10" t="s">
        <v>42</v>
      </c>
    </row>
    <row r="8" ht="15.75" customHeight="1">
      <c r="A8" s="64">
        <v>45491.0</v>
      </c>
      <c r="B8" s="55" t="str">
        <f>HYPERLINK("https://jobright.ai/jobs/info/6698b015bfa046e79acb6a2e?utm_campaign=1067&amp;utm_source=sheet", "Apply")</f>
        <v>Apply</v>
      </c>
      <c r="C8" s="10" t="s">
        <v>2363</v>
      </c>
      <c r="D8" s="10" t="s">
        <v>2372</v>
      </c>
      <c r="E8" s="10" t="s">
        <v>65</v>
      </c>
      <c r="F8" s="10" t="s">
        <v>2373</v>
      </c>
      <c r="G8" s="10" t="s">
        <v>131</v>
      </c>
      <c r="H8" s="10" t="s">
        <v>55</v>
      </c>
      <c r="J8" s="10" t="s">
        <v>2374</v>
      </c>
      <c r="K8" s="10" t="s">
        <v>42</v>
      </c>
    </row>
    <row r="9" ht="15.75" customHeight="1">
      <c r="A9" s="64">
        <v>45490.0</v>
      </c>
      <c r="B9" s="55" t="str">
        <f>HYPERLINK("https://jobright.ai/jobs/info/669751ef4bcbe5178d6cd631?utm_campaign=1067&amp;utm_source=sheet", "Apply")</f>
        <v>Apply</v>
      </c>
      <c r="C9" s="10" t="s">
        <v>2375</v>
      </c>
      <c r="D9" s="10" t="s">
        <v>2376</v>
      </c>
      <c r="E9" s="10" t="s">
        <v>45</v>
      </c>
      <c r="F9" s="10" t="s">
        <v>2377</v>
      </c>
      <c r="G9" s="10" t="s">
        <v>923</v>
      </c>
      <c r="H9" s="10" t="s">
        <v>48</v>
      </c>
      <c r="I9" s="10" t="s">
        <v>2378</v>
      </c>
      <c r="J9" s="10" t="s">
        <v>2379</v>
      </c>
      <c r="K9" s="10" t="s">
        <v>42</v>
      </c>
    </row>
    <row r="10" ht="15.75" customHeight="1">
      <c r="A10" s="64">
        <v>45490.0</v>
      </c>
      <c r="B10" s="55" t="str">
        <f>HYPERLINK("https://jobright.ai/jobs/info/6697226de1fcfb9d1ce547f3?utm_campaign=1067&amp;utm_source=sheet", "Apply")</f>
        <v>Apply</v>
      </c>
      <c r="C10" s="10" t="s">
        <v>2375</v>
      </c>
      <c r="D10" s="10" t="s">
        <v>2376</v>
      </c>
      <c r="E10" s="10" t="s">
        <v>45</v>
      </c>
      <c r="F10" s="10" t="s">
        <v>2377</v>
      </c>
      <c r="G10" s="10" t="s">
        <v>2380</v>
      </c>
      <c r="H10" s="10" t="s">
        <v>48</v>
      </c>
      <c r="I10" s="10" t="s">
        <v>2378</v>
      </c>
      <c r="J10" s="10" t="s">
        <v>2379</v>
      </c>
      <c r="K10" s="10" t="s">
        <v>42</v>
      </c>
    </row>
    <row r="11" ht="15.75" customHeight="1">
      <c r="A11" s="64">
        <v>45490.0</v>
      </c>
      <c r="B11" s="55" t="str">
        <f>HYPERLINK("https://jobright.ai/jobs/info/66971f7e040b6b440af0790b?utm_campaign=1067&amp;utm_source=sheet", "Apply")</f>
        <v>Apply</v>
      </c>
      <c r="C11" s="10" t="s">
        <v>2375</v>
      </c>
      <c r="D11" s="10" t="s">
        <v>2376</v>
      </c>
      <c r="E11" s="10" t="s">
        <v>45</v>
      </c>
      <c r="F11" s="10" t="s">
        <v>2377</v>
      </c>
      <c r="G11" s="10" t="s">
        <v>740</v>
      </c>
      <c r="H11" s="10" t="s">
        <v>48</v>
      </c>
      <c r="I11" s="10" t="s">
        <v>2378</v>
      </c>
      <c r="J11" s="10" t="s">
        <v>2379</v>
      </c>
      <c r="K11" s="10" t="s">
        <v>42</v>
      </c>
    </row>
    <row r="12" ht="15.75" customHeight="1">
      <c r="A12" s="64">
        <v>45490.0</v>
      </c>
      <c r="B12" s="55" t="str">
        <f>HYPERLINK("https://jobright.ai/jobs/info/6697226de1fcfb9d1ce5481a?utm_campaign=1067&amp;utm_source=sheet", "Apply")</f>
        <v>Apply</v>
      </c>
      <c r="C12" s="10" t="s">
        <v>2375</v>
      </c>
      <c r="D12" s="10" t="s">
        <v>2376</v>
      </c>
      <c r="E12" s="10" t="s">
        <v>45</v>
      </c>
      <c r="F12" s="10" t="s">
        <v>2377</v>
      </c>
      <c r="G12" s="10" t="s">
        <v>113</v>
      </c>
      <c r="H12" s="10" t="s">
        <v>48</v>
      </c>
      <c r="I12" s="10" t="s">
        <v>2378</v>
      </c>
      <c r="J12" s="10" t="s">
        <v>2379</v>
      </c>
      <c r="K12" s="10" t="s">
        <v>42</v>
      </c>
    </row>
    <row r="13" ht="15.75" customHeight="1">
      <c r="A13" s="64">
        <v>45489.0</v>
      </c>
      <c r="B13" s="55" t="str">
        <f>HYPERLINK("https://jobright.ai/jobs/info/6696f7540e9dd8848c3c6753?utm_campaign=1067&amp;utm_source=sheet", "Apply")</f>
        <v>Apply</v>
      </c>
      <c r="C13" s="10" t="s">
        <v>2381</v>
      </c>
      <c r="D13" s="10" t="s">
        <v>2382</v>
      </c>
      <c r="E13" s="10" t="s">
        <v>249</v>
      </c>
      <c r="F13" s="10" t="s">
        <v>1485</v>
      </c>
      <c r="G13" s="10" t="s">
        <v>139</v>
      </c>
      <c r="H13" s="10" t="s">
        <v>55</v>
      </c>
      <c r="J13" s="10" t="s">
        <v>2383</v>
      </c>
      <c r="K13" s="10" t="s">
        <v>42</v>
      </c>
    </row>
    <row r="14" ht="15.75" customHeight="1">
      <c r="A14" s="64">
        <v>45489.0</v>
      </c>
      <c r="B14" s="55" t="str">
        <f>HYPERLINK("https://jobright.ai/jobs/info/6696acdd66ed8171d8060e96?utm_campaign=1067&amp;utm_source=sheet", "Apply")</f>
        <v>Apply</v>
      </c>
      <c r="C14" s="10" t="s">
        <v>2358</v>
      </c>
      <c r="D14" s="10" t="s">
        <v>2384</v>
      </c>
      <c r="E14" s="10" t="s">
        <v>249</v>
      </c>
      <c r="F14" s="10" t="s">
        <v>2385</v>
      </c>
      <c r="G14" s="10" t="s">
        <v>251</v>
      </c>
      <c r="H14" s="10" t="s">
        <v>252</v>
      </c>
      <c r="J14" s="10" t="s">
        <v>2386</v>
      </c>
      <c r="K14" s="10" t="s">
        <v>42</v>
      </c>
    </row>
    <row r="15" ht="15.75" customHeight="1">
      <c r="A15" s="64">
        <v>45489.0</v>
      </c>
      <c r="B15" s="55" t="str">
        <f>HYPERLINK("https://jobright.ai/jobs/info/6696cd968ab443f2e29c1c4f?utm_campaign=1067&amp;utm_source=sheet", "Apply")</f>
        <v>Apply</v>
      </c>
      <c r="C15" s="10" t="s">
        <v>2381</v>
      </c>
      <c r="D15" s="10" t="s">
        <v>2387</v>
      </c>
      <c r="E15" s="10" t="s">
        <v>45</v>
      </c>
      <c r="F15" s="10" t="s">
        <v>1084</v>
      </c>
      <c r="G15" s="10" t="s">
        <v>2388</v>
      </c>
      <c r="H15" s="10" t="s">
        <v>55</v>
      </c>
      <c r="J15" s="10" t="s">
        <v>2389</v>
      </c>
      <c r="K15" s="10" t="s">
        <v>42</v>
      </c>
    </row>
    <row r="16" ht="15.75" customHeight="1">
      <c r="A16" s="64">
        <v>45487.0</v>
      </c>
      <c r="B16" s="55" t="str">
        <f>HYPERLINK("https://jobright.ai/jobs/info/6694195f3d726e29018ed04d?utm_campaign=1067&amp;utm_source=sheet", "Apply")</f>
        <v>Apply</v>
      </c>
      <c r="C16" s="10" t="s">
        <v>2358</v>
      </c>
      <c r="D16" s="10" t="s">
        <v>2390</v>
      </c>
      <c r="E16" s="10">
        <v>2.0</v>
      </c>
      <c r="G16" s="10" t="s">
        <v>251</v>
      </c>
      <c r="H16" s="10" t="s">
        <v>252</v>
      </c>
      <c r="J16" s="10" t="s">
        <v>2391</v>
      </c>
      <c r="K16" s="10" t="s">
        <v>42</v>
      </c>
    </row>
    <row r="17" ht="15.75" customHeight="1">
      <c r="A17" s="64">
        <v>45486.0</v>
      </c>
      <c r="B17" s="55" t="str">
        <f>HYPERLINK("https://jobright.ai/jobs/info/65b88183a337a8bf50301267?utm_campaign=1067&amp;utm_source=sheet", "Apply")</f>
        <v>Apply</v>
      </c>
      <c r="C17" s="10" t="s">
        <v>2358</v>
      </c>
      <c r="D17" s="10" t="s">
        <v>1064</v>
      </c>
      <c r="E17" s="10" t="s">
        <v>65</v>
      </c>
      <c r="F17" s="10" t="s">
        <v>1065</v>
      </c>
      <c r="G17" s="10" t="s">
        <v>952</v>
      </c>
      <c r="H17" s="10" t="s">
        <v>55</v>
      </c>
      <c r="J17" s="10" t="s">
        <v>2392</v>
      </c>
      <c r="K17" s="10" t="s">
        <v>42</v>
      </c>
    </row>
    <row r="18" ht="15.75" customHeight="1">
      <c r="A18" s="64">
        <v>45484.0</v>
      </c>
      <c r="B18" s="55" t="str">
        <f>HYPERLINK("https://jobright.ai/jobs/info/6690bf8a555345cb31083ef2?utm_campaign=1067&amp;utm_source=sheet", "Apply")</f>
        <v>Apply</v>
      </c>
      <c r="C18" s="10" t="s">
        <v>2358</v>
      </c>
      <c r="D18" s="10" t="s">
        <v>2384</v>
      </c>
      <c r="E18" s="10" t="s">
        <v>249</v>
      </c>
      <c r="F18" s="10" t="s">
        <v>2385</v>
      </c>
      <c r="G18" s="10" t="s">
        <v>2393</v>
      </c>
      <c r="H18" s="10" t="s">
        <v>55</v>
      </c>
      <c r="J18" s="10" t="s">
        <v>2386</v>
      </c>
      <c r="K18" s="10" t="s">
        <v>42</v>
      </c>
    </row>
    <row r="19" ht="15.75" customHeight="1">
      <c r="A19" s="66">
        <v>45484.0</v>
      </c>
      <c r="B19" s="55" t="str">
        <f>HYPERLINK("https://jobright.ai/jobs/info/6691209761b6573a52caa77b?utm_campaign=1067&amp;utm_source=sheet", "Apply")</f>
        <v>Apply</v>
      </c>
      <c r="C19" s="10" t="s">
        <v>2394</v>
      </c>
      <c r="D19" s="10" t="s">
        <v>363</v>
      </c>
      <c r="E19" s="10" t="s">
        <v>209</v>
      </c>
      <c r="F19" s="10" t="s">
        <v>364</v>
      </c>
      <c r="G19" s="10" t="s">
        <v>365</v>
      </c>
      <c r="H19" s="10" t="s">
        <v>55</v>
      </c>
      <c r="I19" s="10" t="s">
        <v>581</v>
      </c>
      <c r="J19" s="10" t="s">
        <v>2395</v>
      </c>
      <c r="K19" s="10" t="s">
        <v>42</v>
      </c>
    </row>
    <row r="20" ht="15.75" customHeight="1">
      <c r="A20" s="66">
        <v>45482.0</v>
      </c>
      <c r="B20" s="55" t="str">
        <f>HYPERLINK("https://jobright.ai/jobs/info/668cf7b8433c315ce7c25765?utm_campaign=1067&amp;utm_source=sheet", "Apply")</f>
        <v>Apply</v>
      </c>
      <c r="C20" s="10" t="s">
        <v>2396</v>
      </c>
      <c r="D20" s="10" t="s">
        <v>2397</v>
      </c>
      <c r="E20" s="10" t="s">
        <v>71</v>
      </c>
      <c r="F20" s="10" t="s">
        <v>85</v>
      </c>
      <c r="G20" s="10" t="s">
        <v>2398</v>
      </c>
      <c r="H20" s="10" t="s">
        <v>55</v>
      </c>
      <c r="J20" s="10" t="s">
        <v>2399</v>
      </c>
      <c r="K20" s="10" t="s">
        <v>42</v>
      </c>
    </row>
    <row r="21" ht="15.75" customHeight="1">
      <c r="A21" s="66">
        <v>45481.0</v>
      </c>
      <c r="B21" s="55" t="str">
        <f>HYPERLINK("https://jobright.ai/jobs/info/666a022ca58cfd44ca93c8c8?utm_campaign=1067&amp;utm_source=sheet", "Apply")</f>
        <v>Apply</v>
      </c>
      <c r="C21" s="10" t="s">
        <v>2358</v>
      </c>
      <c r="D21" s="10" t="s">
        <v>2400</v>
      </c>
      <c r="E21" s="10">
        <v>84.0</v>
      </c>
      <c r="G21" s="10" t="s">
        <v>165</v>
      </c>
      <c r="H21" s="10" t="s">
        <v>55</v>
      </c>
      <c r="I21" s="10" t="s">
        <v>2401</v>
      </c>
      <c r="J21" s="10" t="s">
        <v>2402</v>
      </c>
      <c r="K21" s="10" t="s">
        <v>42</v>
      </c>
    </row>
    <row r="22" ht="15.75" customHeight="1">
      <c r="A22" s="66">
        <v>45478.0</v>
      </c>
      <c r="B22" s="55" t="str">
        <f>HYPERLINK("https://jobright.ai/jobs/info/66880a60576fc36f7f05f505?utm_campaign=1067&amp;utm_source=sheet", "Apply")</f>
        <v>Apply</v>
      </c>
      <c r="C22" s="10" t="s">
        <v>2403</v>
      </c>
      <c r="D22" s="10" t="s">
        <v>2404</v>
      </c>
      <c r="E22" s="10" t="s">
        <v>276</v>
      </c>
      <c r="F22" s="10" t="s">
        <v>1877</v>
      </c>
      <c r="G22" s="10" t="s">
        <v>2405</v>
      </c>
      <c r="H22" s="10" t="s">
        <v>48</v>
      </c>
      <c r="J22" s="10" t="s">
        <v>2406</v>
      </c>
      <c r="K22" s="10" t="s">
        <v>42</v>
      </c>
    </row>
    <row r="23" ht="15.75" customHeight="1">
      <c r="A23" s="64">
        <v>45475.0</v>
      </c>
      <c r="B23" s="55" t="str">
        <f>HYPERLINK("https://jobright.ai/jobs/info/668597848bf03a11b5c79583?utm_campaign=1067&amp;utm_source=sheet", "Apply")</f>
        <v>Apply</v>
      </c>
      <c r="C23" s="10" t="s">
        <v>2407</v>
      </c>
      <c r="D23" s="10" t="s">
        <v>2408</v>
      </c>
      <c r="E23" s="10" t="s">
        <v>209</v>
      </c>
      <c r="F23" s="10" t="s">
        <v>2409</v>
      </c>
      <c r="G23" s="10" t="s">
        <v>340</v>
      </c>
      <c r="H23" s="10" t="s">
        <v>55</v>
      </c>
      <c r="I23" s="10" t="s">
        <v>2410</v>
      </c>
      <c r="J23" s="10" t="s">
        <v>2411</v>
      </c>
      <c r="K23" s="10" t="s">
        <v>42</v>
      </c>
    </row>
    <row r="24" ht="15.75" customHeight="1">
      <c r="A24" s="64">
        <v>45470.0</v>
      </c>
      <c r="B24" s="55" t="str">
        <f>HYPERLINK("https://jobright.ai/jobs/info/667db5af32ca1bd423105fcd?utm_campaign=1067&amp;utm_source=sheet", "Apply")</f>
        <v>Apply</v>
      </c>
      <c r="C24" s="10" t="s">
        <v>2412</v>
      </c>
      <c r="D24" s="10" t="s">
        <v>2413</v>
      </c>
      <c r="E24" s="10" t="s">
        <v>65</v>
      </c>
      <c r="F24" s="10" t="s">
        <v>2414</v>
      </c>
      <c r="G24" s="10" t="s">
        <v>411</v>
      </c>
      <c r="H24" s="10" t="s">
        <v>55</v>
      </c>
      <c r="J24" s="10" t="s">
        <v>2415</v>
      </c>
      <c r="K24" s="10" t="s">
        <v>42</v>
      </c>
    </row>
    <row r="25" ht="15.75" customHeight="1">
      <c r="A25" s="64">
        <v>45469.0</v>
      </c>
      <c r="B25" s="55" t="str">
        <f>HYPERLINK("https://jobright.ai/jobs/info/667c67e67e122028821443d5?utm_campaign=1067&amp;utm_source=sheet", "Apply")</f>
        <v>Apply</v>
      </c>
      <c r="C25" s="10" t="s">
        <v>2358</v>
      </c>
      <c r="D25" s="10" t="s">
        <v>2416</v>
      </c>
      <c r="E25" s="10" t="s">
        <v>45</v>
      </c>
      <c r="F25" s="10" t="s">
        <v>2417</v>
      </c>
      <c r="G25" s="10" t="s">
        <v>2418</v>
      </c>
      <c r="H25" s="10" t="s">
        <v>55</v>
      </c>
      <c r="J25" s="10" t="s">
        <v>2419</v>
      </c>
      <c r="K25" s="10" t="s">
        <v>42</v>
      </c>
    </row>
    <row r="26" ht="15.75" customHeight="1">
      <c r="A26" s="64">
        <v>45444.0</v>
      </c>
      <c r="B26" s="55" t="str">
        <f>HYPERLINK("https://jobright.ai/jobs/info/665b8b782df62272791a3f9f?utm_campaign=1067&amp;utm_source=sheet", "Apply")</f>
        <v>Apply</v>
      </c>
      <c r="C26" s="10" t="s">
        <v>2358</v>
      </c>
      <c r="D26" s="10" t="s">
        <v>2420</v>
      </c>
      <c r="E26" s="10">
        <v>6.0</v>
      </c>
      <c r="G26" s="10" t="s">
        <v>2183</v>
      </c>
      <c r="H26" s="10" t="s">
        <v>48</v>
      </c>
      <c r="I26" s="10" t="s">
        <v>1729</v>
      </c>
      <c r="J26" s="10" t="s">
        <v>2421</v>
      </c>
      <c r="K26" s="10" t="s">
        <v>42</v>
      </c>
    </row>
    <row r="27" ht="15.75" customHeight="1">
      <c r="A27" s="64">
        <v>45434.0</v>
      </c>
      <c r="B27" s="55" t="str">
        <f>HYPERLINK("https://jobright.ai/jobs/info/667633c4e272243dcd4f64ae?utm_campaign=1067&amp;utm_source=sheet", "Apply")</f>
        <v>Apply</v>
      </c>
      <c r="C27" s="10" t="s">
        <v>2422</v>
      </c>
      <c r="D27" s="10" t="s">
        <v>2423</v>
      </c>
      <c r="G27" s="10" t="s">
        <v>159</v>
      </c>
      <c r="H27" s="10" t="s">
        <v>55</v>
      </c>
      <c r="J27" s="10" t="s">
        <v>2424</v>
      </c>
      <c r="K27" s="10" t="s">
        <v>42</v>
      </c>
    </row>
    <row r="28" ht="15.75" customHeight="1">
      <c r="A28" s="66">
        <v>45425.0</v>
      </c>
      <c r="B28" s="55" t="str">
        <f>HYPERLINK("https://jobright.ai/jobs/info/66692612e4014402c8870c00?utm_campaign=1067&amp;utm_source=sheet", "Apply")</f>
        <v>Apply</v>
      </c>
      <c r="C28" s="10" t="s">
        <v>2425</v>
      </c>
      <c r="D28" s="10" t="s">
        <v>2426</v>
      </c>
      <c r="E28" s="10" t="s">
        <v>209</v>
      </c>
      <c r="G28" s="10" t="s">
        <v>2427</v>
      </c>
      <c r="H28" s="10" t="s">
        <v>55</v>
      </c>
      <c r="J28" s="10" t="s">
        <v>2428</v>
      </c>
      <c r="K28" s="10" t="s">
        <v>42</v>
      </c>
    </row>
    <row r="29" ht="15.75" customHeight="1">
      <c r="A29" s="67">
        <v>45413.0</v>
      </c>
      <c r="B29" s="55" t="str">
        <f>HYPERLINK("https://jobright.ai/jobs/info/6631d1a32993c3db3ad300fb?utm_campaign=1067&amp;utm_source=sheet", "Apply")</f>
        <v>Apply</v>
      </c>
      <c r="C29" s="10" t="s">
        <v>2429</v>
      </c>
      <c r="D29" s="10" t="s">
        <v>2430</v>
      </c>
      <c r="E29" s="10" t="s">
        <v>209</v>
      </c>
      <c r="F29" s="10" t="s">
        <v>2431</v>
      </c>
      <c r="G29" s="10" t="s">
        <v>167</v>
      </c>
      <c r="H29" s="10" t="s">
        <v>55</v>
      </c>
      <c r="J29" s="10" t="s">
        <v>2432</v>
      </c>
      <c r="K29" s="10" t="s">
        <v>42</v>
      </c>
    </row>
    <row r="30">
      <c r="A30" s="67"/>
    </row>
    <row r="31">
      <c r="A31" s="67"/>
    </row>
    <row r="32">
      <c r="A32" s="68"/>
    </row>
    <row r="33">
      <c r="A33" s="68"/>
    </row>
  </sheetData>
  <autoFilter ref="$A$1:$I$29"/>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4">
        <v>45500.0</v>
      </c>
      <c r="B2" s="55" t="str">
        <f>HYPERLINK("https://jobright.ai/jobs/info/66a467913d35eb68f3b88506?utm_campaign=1062&amp;utm_source=sheet", "Apply")</f>
        <v>Apply</v>
      </c>
      <c r="C2" s="10" t="s">
        <v>2434</v>
      </c>
      <c r="D2" s="56" t="s">
        <v>2435</v>
      </c>
      <c r="E2" s="10" t="s">
        <v>209</v>
      </c>
      <c r="F2" s="10" t="s">
        <v>2436</v>
      </c>
      <c r="G2" s="10" t="s">
        <v>2437</v>
      </c>
      <c r="H2" s="10" t="s">
        <v>2438</v>
      </c>
      <c r="I2" s="10" t="s">
        <v>55</v>
      </c>
      <c r="K2" s="10" t="s">
        <v>2439</v>
      </c>
      <c r="L2" s="10" t="s">
        <v>42</v>
      </c>
    </row>
    <row r="3" ht="15.75" customHeight="1">
      <c r="A3" s="64">
        <v>45500.0</v>
      </c>
      <c r="B3" s="55" t="str">
        <f>HYPERLINK("https://jobright.ai/jobs/info/66a45ab6d7afe57e1001e22b?utm_campaign=1062&amp;utm_source=sheet", "Apply")</f>
        <v>Apply</v>
      </c>
      <c r="C3" s="10" t="s">
        <v>2440</v>
      </c>
      <c r="D3" s="56" t="s">
        <v>2441</v>
      </c>
      <c r="E3" s="10" t="s">
        <v>45</v>
      </c>
      <c r="F3" s="10" t="s">
        <v>2442</v>
      </c>
      <c r="G3" s="10" t="s">
        <v>2443</v>
      </c>
      <c r="H3" s="10" t="s">
        <v>1022</v>
      </c>
      <c r="I3" s="10" t="s">
        <v>55</v>
      </c>
      <c r="J3" s="10" t="s">
        <v>1608</v>
      </c>
      <c r="K3" s="10" t="s">
        <v>2444</v>
      </c>
      <c r="L3" s="10" t="s">
        <v>42</v>
      </c>
    </row>
    <row r="4" ht="15.75" customHeight="1">
      <c r="A4" s="64">
        <v>45500.0</v>
      </c>
      <c r="B4" s="55" t="str">
        <f>HYPERLINK("https://jobright.ai/jobs/info/66a460625493e4914e93f333?utm_campaign=1062&amp;utm_source=sheet", "Apply")</f>
        <v>Apply</v>
      </c>
      <c r="C4" s="10" t="s">
        <v>2445</v>
      </c>
      <c r="D4" s="56" t="s">
        <v>2446</v>
      </c>
      <c r="E4" s="10" t="s">
        <v>71</v>
      </c>
      <c r="F4" s="10" t="s">
        <v>2447</v>
      </c>
      <c r="G4" s="10" t="s">
        <v>2448</v>
      </c>
      <c r="H4" s="10" t="s">
        <v>2449</v>
      </c>
      <c r="I4" s="10" t="s">
        <v>55</v>
      </c>
      <c r="J4" s="10" t="s">
        <v>2450</v>
      </c>
      <c r="K4" s="10" t="s">
        <v>2451</v>
      </c>
      <c r="L4" s="10" t="s">
        <v>42</v>
      </c>
    </row>
    <row r="5" ht="15.75" customHeight="1">
      <c r="A5" s="64">
        <v>45500.0</v>
      </c>
      <c r="B5" s="55" t="str">
        <f>HYPERLINK("https://jobright.ai/jobs/info/66a4606c5493e4914e93f395?utm_campaign=1062&amp;utm_source=sheet", "Apply")</f>
        <v>Apply</v>
      </c>
      <c r="C5" s="10" t="s">
        <v>2452</v>
      </c>
      <c r="D5" s="56" t="s">
        <v>2453</v>
      </c>
      <c r="E5" s="10" t="s">
        <v>71</v>
      </c>
      <c r="F5" s="10" t="s">
        <v>2454</v>
      </c>
      <c r="G5" s="10" t="s">
        <v>2455</v>
      </c>
      <c r="H5" s="10" t="s">
        <v>251</v>
      </c>
      <c r="I5" s="10" t="s">
        <v>252</v>
      </c>
      <c r="K5" s="10" t="s">
        <v>2456</v>
      </c>
      <c r="L5" s="10" t="s">
        <v>42</v>
      </c>
    </row>
    <row r="6" ht="15.75" customHeight="1">
      <c r="A6" s="66">
        <v>45500.0</v>
      </c>
      <c r="B6" s="55" t="str">
        <f>HYPERLINK("https://jobright.ai/jobs/info/66a46a4d3d73b8ffff0c42a5?utm_campaign=1062&amp;utm_source=sheet", "Apply")</f>
        <v>Apply</v>
      </c>
      <c r="C6" s="10" t="s">
        <v>2457</v>
      </c>
      <c r="D6" s="56" t="s">
        <v>2458</v>
      </c>
      <c r="E6" s="10">
        <v>24.0</v>
      </c>
      <c r="G6" s="10" t="s">
        <v>2459</v>
      </c>
      <c r="H6" s="10" t="s">
        <v>636</v>
      </c>
      <c r="I6" s="10" t="s">
        <v>48</v>
      </c>
      <c r="K6" s="10" t="s">
        <v>2460</v>
      </c>
      <c r="L6" s="10" t="s">
        <v>42</v>
      </c>
    </row>
    <row r="7" ht="15.75" customHeight="1">
      <c r="A7" s="66">
        <v>45500.0</v>
      </c>
      <c r="B7" s="55" t="str">
        <f>HYPERLINK("https://jobright.ai/jobs/info/66a442ecdae625412f3b7675?utm_campaign=1062&amp;utm_source=sheet", "Apply")</f>
        <v>Apply</v>
      </c>
      <c r="C7" s="10" t="s">
        <v>2461</v>
      </c>
      <c r="D7" s="56" t="s">
        <v>2462</v>
      </c>
      <c r="E7" s="10" t="s">
        <v>79</v>
      </c>
      <c r="F7" s="10" t="s">
        <v>2463</v>
      </c>
      <c r="G7" s="10" t="s">
        <v>2464</v>
      </c>
      <c r="H7" s="10" t="s">
        <v>2465</v>
      </c>
      <c r="I7" s="10" t="s">
        <v>55</v>
      </c>
      <c r="J7" s="10" t="s">
        <v>2466</v>
      </c>
      <c r="K7" s="10" t="s">
        <v>2467</v>
      </c>
      <c r="L7" s="10" t="s">
        <v>42</v>
      </c>
    </row>
    <row r="8" ht="15.75" customHeight="1">
      <c r="A8" s="66">
        <v>45499.0</v>
      </c>
      <c r="B8" s="55" t="str">
        <f>HYPERLINK("https://jobright.ai/jobs/info/66a436ad493688faecdc8c8b?utm_campaign=1062&amp;utm_source=sheet", "Apply")</f>
        <v>Apply</v>
      </c>
      <c r="C8" s="10" t="s">
        <v>2461</v>
      </c>
      <c r="D8" s="56" t="s">
        <v>2462</v>
      </c>
      <c r="E8" s="10" t="s">
        <v>79</v>
      </c>
      <c r="F8" s="10" t="s">
        <v>2463</v>
      </c>
      <c r="G8" s="10" t="s">
        <v>2464</v>
      </c>
      <c r="H8" s="10" t="s">
        <v>2465</v>
      </c>
      <c r="I8" s="10" t="s">
        <v>48</v>
      </c>
      <c r="J8" s="10" t="s">
        <v>2466</v>
      </c>
      <c r="K8" s="10" t="s">
        <v>2467</v>
      </c>
      <c r="L8" s="10" t="s">
        <v>42</v>
      </c>
    </row>
    <row r="9" ht="15.75" customHeight="1">
      <c r="A9" s="66">
        <v>45499.0</v>
      </c>
      <c r="B9" s="55" t="str">
        <f>HYPERLINK("https://jobright.ai/jobs/info/66a190ef1ce58e679c940f77?utm_campaign=1062&amp;utm_source=sheet", "Apply")</f>
        <v>Apply</v>
      </c>
      <c r="C9" s="10" t="s">
        <v>2468</v>
      </c>
      <c r="D9" s="56" t="s">
        <v>2469</v>
      </c>
      <c r="E9" s="10">
        <v>12529.0</v>
      </c>
      <c r="G9" s="10" t="s">
        <v>2470</v>
      </c>
      <c r="H9" s="10" t="s">
        <v>245</v>
      </c>
      <c r="I9" s="10" t="s">
        <v>55</v>
      </c>
      <c r="J9" s="10" t="s">
        <v>2471</v>
      </c>
      <c r="K9" s="10" t="s">
        <v>2472</v>
      </c>
      <c r="L9" s="10" t="s">
        <v>42</v>
      </c>
    </row>
    <row r="10" ht="15.75" customHeight="1">
      <c r="A10" s="66">
        <v>45499.0</v>
      </c>
      <c r="B10" s="55" t="str">
        <f>HYPERLINK("https://jobright.ai/jobs/info/66a431388d3eebff0ac3788b?utm_campaign=1062&amp;utm_source=sheet", "Apply")</f>
        <v>Apply</v>
      </c>
      <c r="C10" s="10" t="s">
        <v>2473</v>
      </c>
      <c r="D10" s="56" t="s">
        <v>2474</v>
      </c>
      <c r="E10" s="10" t="s">
        <v>65</v>
      </c>
      <c r="F10" s="10" t="s">
        <v>2475</v>
      </c>
      <c r="G10" s="10" t="s">
        <v>2476</v>
      </c>
      <c r="H10" s="10" t="s">
        <v>153</v>
      </c>
      <c r="I10" s="10" t="s">
        <v>55</v>
      </c>
      <c r="K10" s="10" t="s">
        <v>2477</v>
      </c>
      <c r="L10" s="10" t="s">
        <v>42</v>
      </c>
    </row>
    <row r="11" ht="15.75" customHeight="1">
      <c r="A11" s="66">
        <v>45499.0</v>
      </c>
      <c r="B11" s="55" t="str">
        <f>HYPERLINK("https://jobright.ai/jobs/info/66a431388d3eebff0ac378f5?utm_campaign=1062&amp;utm_source=sheet", "Apply")</f>
        <v>Apply</v>
      </c>
      <c r="C11" s="10" t="s">
        <v>2478</v>
      </c>
      <c r="D11" s="56" t="s">
        <v>2479</v>
      </c>
      <c r="E11" s="10" t="s">
        <v>45</v>
      </c>
      <c r="F11" s="10" t="s">
        <v>2480</v>
      </c>
      <c r="G11" s="10" t="s">
        <v>2464</v>
      </c>
      <c r="H11" s="10" t="s">
        <v>423</v>
      </c>
      <c r="I11" s="10" t="s">
        <v>48</v>
      </c>
      <c r="J11" s="10" t="s">
        <v>2481</v>
      </c>
      <c r="K11" s="10" t="s">
        <v>2482</v>
      </c>
      <c r="L11" s="10" t="s">
        <v>42</v>
      </c>
    </row>
    <row r="12" ht="15.75" customHeight="1">
      <c r="A12" s="66">
        <v>45499.0</v>
      </c>
      <c r="B12" s="55" t="str">
        <f>HYPERLINK("https://jobright.ai/jobs/info/66a454fe13a041d195ede756?utm_campaign=1062&amp;utm_source=sheet", "Apply")</f>
        <v>Apply</v>
      </c>
      <c r="C12" s="10" t="s">
        <v>301</v>
      </c>
      <c r="D12" s="56" t="s">
        <v>2483</v>
      </c>
      <c r="E12" s="10" t="s">
        <v>209</v>
      </c>
      <c r="F12" s="10" t="s">
        <v>1124</v>
      </c>
      <c r="G12" s="10" t="s">
        <v>2484</v>
      </c>
      <c r="H12" s="10" t="s">
        <v>2485</v>
      </c>
      <c r="I12" s="10" t="s">
        <v>55</v>
      </c>
      <c r="K12" s="10" t="s">
        <v>2486</v>
      </c>
      <c r="L12" s="10" t="s">
        <v>42</v>
      </c>
    </row>
    <row r="13" ht="15.75" customHeight="1">
      <c r="A13" s="66">
        <v>45499.0</v>
      </c>
      <c r="B13" s="55" t="str">
        <f>HYPERLINK("https://jobright.ai/jobs/info/66a4307d299cb8484b231c96?utm_campaign=1062&amp;utm_source=sheet", "Apply")</f>
        <v>Apply</v>
      </c>
      <c r="C13" s="10" t="s">
        <v>2487</v>
      </c>
      <c r="D13" s="56" t="s">
        <v>2488</v>
      </c>
      <c r="E13" s="10" t="s">
        <v>65</v>
      </c>
      <c r="F13" s="10" t="s">
        <v>2489</v>
      </c>
      <c r="G13" s="10" t="s">
        <v>2470</v>
      </c>
      <c r="H13" s="10" t="s">
        <v>2490</v>
      </c>
      <c r="I13" s="10" t="s">
        <v>55</v>
      </c>
      <c r="K13" s="10" t="s">
        <v>2491</v>
      </c>
      <c r="L13" s="10" t="s">
        <v>42</v>
      </c>
    </row>
    <row r="14" ht="15.75" customHeight="1">
      <c r="A14" s="66">
        <v>45499.0</v>
      </c>
      <c r="B14" s="55" t="str">
        <f>HYPERLINK("https://jobright.ai/jobs/info/66a444dc5fb66c48f0132a42?utm_campaign=1062&amp;utm_source=sheet", "Apply")</f>
        <v>Apply</v>
      </c>
      <c r="C14" s="10" t="s">
        <v>2492</v>
      </c>
      <c r="D14" s="56" t="s">
        <v>2493</v>
      </c>
      <c r="E14" s="10" t="s">
        <v>45</v>
      </c>
      <c r="F14" s="10" t="s">
        <v>2494</v>
      </c>
      <c r="G14" s="10" t="s">
        <v>2495</v>
      </c>
      <c r="H14" s="10" t="s">
        <v>936</v>
      </c>
      <c r="I14" s="10" t="s">
        <v>55</v>
      </c>
      <c r="K14" s="10" t="s">
        <v>2496</v>
      </c>
      <c r="L14" s="10" t="s">
        <v>42</v>
      </c>
    </row>
    <row r="15" ht="15.75" customHeight="1">
      <c r="A15" s="66">
        <v>45499.0</v>
      </c>
      <c r="B15" s="55" t="str">
        <f>HYPERLINK("https://jobright.ai/jobs/info/66743d47c8cea9b1765b1baf?utm_campaign=1062&amp;utm_source=sheet", "Apply")</f>
        <v>Apply</v>
      </c>
      <c r="C15" s="10" t="s">
        <v>2497</v>
      </c>
      <c r="D15" s="56" t="s">
        <v>248</v>
      </c>
      <c r="E15" s="10" t="s">
        <v>249</v>
      </c>
      <c r="F15" s="10" t="s">
        <v>250</v>
      </c>
      <c r="G15" s="10" t="s">
        <v>2476</v>
      </c>
      <c r="H15" s="10" t="s">
        <v>251</v>
      </c>
      <c r="I15" s="10" t="s">
        <v>252</v>
      </c>
      <c r="K15" s="10" t="s">
        <v>2498</v>
      </c>
      <c r="L15" s="10" t="s">
        <v>42</v>
      </c>
    </row>
    <row r="16" ht="15.75" customHeight="1">
      <c r="A16" s="66">
        <v>45499.0</v>
      </c>
      <c r="B16" s="55" t="str">
        <f>HYPERLINK("https://jobright.ai/jobs/info/66a4275fe04bd1eb8f643ca8?utm_campaign=1062&amp;utm_source=sheet", "Apply")</f>
        <v>Apply</v>
      </c>
      <c r="C16" s="10" t="s">
        <v>2499</v>
      </c>
      <c r="D16" s="56" t="s">
        <v>2500</v>
      </c>
      <c r="E16" s="10" t="s">
        <v>209</v>
      </c>
      <c r="F16" s="10" t="s">
        <v>2501</v>
      </c>
      <c r="G16" s="10" t="s">
        <v>2502</v>
      </c>
      <c r="H16" s="10" t="s">
        <v>139</v>
      </c>
      <c r="I16" s="10" t="s">
        <v>55</v>
      </c>
      <c r="J16" s="10" t="s">
        <v>1984</v>
      </c>
      <c r="K16" s="10" t="s">
        <v>2503</v>
      </c>
      <c r="L16" s="10" t="s">
        <v>42</v>
      </c>
    </row>
    <row r="17" ht="15.75" customHeight="1">
      <c r="A17" s="66">
        <v>45499.0</v>
      </c>
      <c r="B17" s="55" t="str">
        <f>HYPERLINK("https://jobright.ai/jobs/info/66a44f6b126fe4848875399a?utm_campaign=1062&amp;utm_source=sheet", "Apply")</f>
        <v>Apply</v>
      </c>
      <c r="C17" s="10" t="s">
        <v>2504</v>
      </c>
      <c r="D17" s="56" t="s">
        <v>2505</v>
      </c>
      <c r="E17" s="10" t="s">
        <v>71</v>
      </c>
      <c r="F17" s="10" t="s">
        <v>2319</v>
      </c>
      <c r="G17" s="10" t="s">
        <v>2448</v>
      </c>
      <c r="H17" s="10" t="s">
        <v>884</v>
      </c>
      <c r="I17" s="10" t="s">
        <v>55</v>
      </c>
      <c r="K17" s="10" t="s">
        <v>2506</v>
      </c>
      <c r="L17" s="10" t="s">
        <v>42</v>
      </c>
    </row>
    <row r="18" ht="15.75" customHeight="1">
      <c r="A18" s="66">
        <v>45499.0</v>
      </c>
      <c r="B18" s="55" t="str">
        <f>HYPERLINK("https://jobright.ai/jobs/info/66a4314b8d3eebff0ac379f0?utm_campaign=1062&amp;utm_source=sheet", "Apply")</f>
        <v>Apply</v>
      </c>
      <c r="C18" s="10" t="s">
        <v>2507</v>
      </c>
      <c r="D18" s="56" t="s">
        <v>2508</v>
      </c>
      <c r="E18" s="10">
        <v>8491.0</v>
      </c>
      <c r="G18" s="10" t="s">
        <v>2509</v>
      </c>
      <c r="H18" s="10" t="s">
        <v>854</v>
      </c>
      <c r="I18" s="10" t="s">
        <v>55</v>
      </c>
      <c r="K18" s="10" t="s">
        <v>2510</v>
      </c>
      <c r="L18" s="10" t="s">
        <v>42</v>
      </c>
    </row>
    <row r="19" ht="15.75" customHeight="1">
      <c r="A19" s="66">
        <v>45499.0</v>
      </c>
      <c r="B19" s="55" t="str">
        <f>HYPERLINK("https://jobright.ai/jobs/info/66a4314b8d3eebff0ac37a28?utm_campaign=1062&amp;utm_source=sheet", "Apply")</f>
        <v>Apply</v>
      </c>
      <c r="C19" s="10" t="s">
        <v>2511</v>
      </c>
      <c r="D19" s="56" t="s">
        <v>2512</v>
      </c>
      <c r="E19" s="10" t="s">
        <v>276</v>
      </c>
      <c r="F19" s="10" t="s">
        <v>2513</v>
      </c>
      <c r="G19" s="10" t="s">
        <v>2484</v>
      </c>
      <c r="H19" s="10" t="s">
        <v>2514</v>
      </c>
      <c r="I19" s="10" t="s">
        <v>55</v>
      </c>
      <c r="K19" s="10" t="s">
        <v>2515</v>
      </c>
      <c r="L19" s="10" t="s">
        <v>42</v>
      </c>
    </row>
    <row r="20" ht="15.75" customHeight="1">
      <c r="A20" s="66">
        <v>45499.0</v>
      </c>
      <c r="B20" s="55" t="str">
        <f>HYPERLINK("https://jobright.ai/jobs/info/66a431548d3eebff0ac37acd?utm_campaign=1062&amp;utm_source=sheet", "Apply")</f>
        <v>Apply</v>
      </c>
      <c r="C20" s="10" t="s">
        <v>2516</v>
      </c>
      <c r="D20" s="56" t="s">
        <v>2517</v>
      </c>
      <c r="E20" s="10" t="s">
        <v>276</v>
      </c>
      <c r="F20" s="10" t="s">
        <v>2518</v>
      </c>
      <c r="G20" s="10" t="s">
        <v>2437</v>
      </c>
      <c r="H20" s="10" t="s">
        <v>229</v>
      </c>
      <c r="I20" s="10" t="s">
        <v>55</v>
      </c>
      <c r="J20" s="10" t="s">
        <v>2519</v>
      </c>
      <c r="K20" s="10" t="s">
        <v>2520</v>
      </c>
      <c r="L20" s="10" t="s">
        <v>42</v>
      </c>
    </row>
    <row r="21" ht="15.75" customHeight="1">
      <c r="A21" s="66">
        <v>45499.0</v>
      </c>
      <c r="B21" s="55" t="str">
        <f>HYPERLINK("https://jobright.ai/jobs/info/66a42db42e54ed503b6ca363?utm_campaign=1062&amp;utm_source=sheet", "Apply")</f>
        <v>Apply</v>
      </c>
      <c r="C21" s="10" t="s">
        <v>2521</v>
      </c>
      <c r="D21" s="56" t="s">
        <v>2522</v>
      </c>
      <c r="E21" s="10" t="s">
        <v>45</v>
      </c>
      <c r="F21" s="10" t="s">
        <v>1564</v>
      </c>
      <c r="G21" s="10" t="s">
        <v>2437</v>
      </c>
      <c r="H21" s="10" t="s">
        <v>845</v>
      </c>
      <c r="I21" s="10" t="s">
        <v>48</v>
      </c>
      <c r="J21" s="10" t="s">
        <v>2523</v>
      </c>
      <c r="K21" s="10" t="s">
        <v>2524</v>
      </c>
      <c r="L21" s="10" t="s">
        <v>42</v>
      </c>
    </row>
    <row r="22" ht="15.75" customHeight="1">
      <c r="A22" s="66">
        <v>45499.0</v>
      </c>
      <c r="B22" s="55" t="str">
        <f>HYPERLINK("https://jobright.ai/jobs/info/66a438c590b89d2fe0471c17?utm_campaign=1062&amp;utm_source=sheet", "Apply")</f>
        <v>Apply</v>
      </c>
      <c r="C22" s="10" t="s">
        <v>2525</v>
      </c>
      <c r="D22" s="56" t="s">
        <v>2526</v>
      </c>
      <c r="E22" s="10" t="s">
        <v>45</v>
      </c>
      <c r="F22" s="10" t="s">
        <v>2527</v>
      </c>
      <c r="G22" s="10" t="s">
        <v>2528</v>
      </c>
      <c r="H22" s="10" t="s">
        <v>906</v>
      </c>
      <c r="I22" s="10" t="s">
        <v>55</v>
      </c>
      <c r="K22" s="10" t="s">
        <v>2529</v>
      </c>
      <c r="L22" s="10" t="s">
        <v>42</v>
      </c>
    </row>
    <row r="23" ht="15.75" customHeight="1">
      <c r="A23" s="66">
        <v>45499.0</v>
      </c>
      <c r="B23" s="55" t="str">
        <f>HYPERLINK("https://jobright.ai/jobs/info/66a455b3c30fa95f24d7ec5a?utm_campaign=1062&amp;utm_source=sheet", "Apply")</f>
        <v>Apply</v>
      </c>
      <c r="C23" s="10" t="s">
        <v>2504</v>
      </c>
      <c r="D23" s="56" t="s">
        <v>2530</v>
      </c>
      <c r="E23" s="10" t="s">
        <v>276</v>
      </c>
      <c r="F23" s="10" t="s">
        <v>2531</v>
      </c>
      <c r="G23" s="10" t="s">
        <v>2448</v>
      </c>
      <c r="H23" s="10" t="s">
        <v>884</v>
      </c>
      <c r="I23" s="10" t="s">
        <v>55</v>
      </c>
      <c r="K23" s="10" t="s">
        <v>2506</v>
      </c>
      <c r="L23" s="10" t="s">
        <v>42</v>
      </c>
    </row>
    <row r="24" ht="15.75" customHeight="1">
      <c r="A24" s="66">
        <v>45499.0</v>
      </c>
      <c r="B24" s="55" t="str">
        <f>HYPERLINK("https://jobright.ai/jobs/info/66a42758e04bd1eb8f643c70?utm_campaign=1062&amp;utm_source=sheet", "Apply")</f>
        <v>Apply</v>
      </c>
      <c r="C24" s="10" t="s">
        <v>2532</v>
      </c>
      <c r="D24" s="56" t="s">
        <v>2533</v>
      </c>
      <c r="E24" s="10" t="s">
        <v>45</v>
      </c>
      <c r="F24" s="10" t="s">
        <v>2534</v>
      </c>
      <c r="G24" s="10" t="s">
        <v>2459</v>
      </c>
      <c r="H24" s="10" t="s">
        <v>2535</v>
      </c>
      <c r="I24" s="10" t="s">
        <v>55</v>
      </c>
      <c r="K24" s="10" t="s">
        <v>2536</v>
      </c>
      <c r="L24" s="10" t="s">
        <v>42</v>
      </c>
    </row>
    <row r="25" ht="15.75" customHeight="1">
      <c r="A25" s="66">
        <v>45499.0</v>
      </c>
      <c r="B25" s="55" t="str">
        <f>HYPERLINK("https://jobright.ai/jobs/info/66a41ea5e3f7d74095f48851?utm_campaign=1062&amp;utm_source=sheet", "Apply")</f>
        <v>Apply</v>
      </c>
      <c r="C25" s="10" t="s">
        <v>2537</v>
      </c>
      <c r="D25" s="56" t="s">
        <v>59</v>
      </c>
      <c r="E25" s="10" t="s">
        <v>45</v>
      </c>
      <c r="F25" s="10" t="s">
        <v>60</v>
      </c>
      <c r="G25" s="10" t="s">
        <v>2484</v>
      </c>
      <c r="H25" s="10" t="s">
        <v>61</v>
      </c>
      <c r="I25" s="10" t="s">
        <v>55</v>
      </c>
      <c r="K25" s="10" t="s">
        <v>2538</v>
      </c>
      <c r="L25" s="10" t="s">
        <v>42</v>
      </c>
    </row>
    <row r="26" ht="15.75" customHeight="1">
      <c r="A26" s="66">
        <v>45499.0</v>
      </c>
      <c r="B26" s="55" t="str">
        <f>HYPERLINK("https://jobright.ai/jobs/info/66a41ea5e3f7d74095f4885f?utm_campaign=1062&amp;utm_source=sheet", "Apply")</f>
        <v>Apply</v>
      </c>
      <c r="C26" s="10" t="s">
        <v>2539</v>
      </c>
      <c r="D26" s="56" t="s">
        <v>59</v>
      </c>
      <c r="E26" s="10" t="s">
        <v>45</v>
      </c>
      <c r="F26" s="10" t="s">
        <v>60</v>
      </c>
      <c r="G26" s="10" t="s">
        <v>2437</v>
      </c>
      <c r="H26" s="10" t="s">
        <v>61</v>
      </c>
      <c r="I26" s="10" t="s">
        <v>55</v>
      </c>
      <c r="K26" s="10" t="s">
        <v>2540</v>
      </c>
      <c r="L26" s="10" t="s">
        <v>42</v>
      </c>
    </row>
    <row r="27" ht="15.75" customHeight="1">
      <c r="A27" s="66">
        <v>45499.0</v>
      </c>
      <c r="B27" s="55" t="str">
        <f>HYPERLINK("https://jobright.ai/jobs/info/66a4172be30efe1dc24e696e?utm_campaign=1062&amp;utm_source=sheet", "Apply")</f>
        <v>Apply</v>
      </c>
      <c r="C27" s="10" t="s">
        <v>2541</v>
      </c>
      <c r="D27" s="56" t="s">
        <v>2542</v>
      </c>
      <c r="E27" s="10">
        <v>6.0</v>
      </c>
      <c r="G27" s="10" t="s">
        <v>2502</v>
      </c>
      <c r="H27" s="10" t="s">
        <v>251</v>
      </c>
      <c r="I27" s="10" t="s">
        <v>48</v>
      </c>
      <c r="K27" s="10" t="s">
        <v>2543</v>
      </c>
      <c r="L27" s="10" t="s">
        <v>42</v>
      </c>
    </row>
    <row r="28" ht="15.75" customHeight="1">
      <c r="A28" s="66">
        <v>45499.0</v>
      </c>
      <c r="B28" s="55" t="str">
        <f>HYPERLINK("https://jobright.ai/jobs/info/66a4172be30efe1dc24e6974?utm_campaign=1062&amp;utm_source=sheet", "Apply")</f>
        <v>Apply</v>
      </c>
      <c r="C28" s="10" t="s">
        <v>2544</v>
      </c>
      <c r="D28" s="56" t="s">
        <v>1331</v>
      </c>
      <c r="E28" s="10" t="s">
        <v>45</v>
      </c>
      <c r="F28" s="10" t="s">
        <v>1332</v>
      </c>
      <c r="G28" s="10" t="s">
        <v>2448</v>
      </c>
      <c r="H28" s="10" t="s">
        <v>419</v>
      </c>
      <c r="I28" s="10" t="s">
        <v>48</v>
      </c>
      <c r="J28" s="10" t="s">
        <v>2545</v>
      </c>
      <c r="K28" s="10" t="s">
        <v>2546</v>
      </c>
      <c r="L28" s="10" t="s">
        <v>42</v>
      </c>
    </row>
    <row r="29" ht="15.75" customHeight="1">
      <c r="A29" s="66">
        <v>45499.0</v>
      </c>
      <c r="B29" s="55" t="str">
        <f>HYPERLINK("https://jobright.ai/jobs/info/66a420605660965e6b312387?utm_campaign=1062&amp;utm_source=sheet", "Apply")</f>
        <v>Apply</v>
      </c>
      <c r="C29" s="10" t="s">
        <v>2547</v>
      </c>
      <c r="D29" s="56" t="s">
        <v>2548</v>
      </c>
      <c r="E29" s="10" t="s">
        <v>45</v>
      </c>
      <c r="F29" s="10" t="s">
        <v>2549</v>
      </c>
      <c r="G29" s="10" t="s">
        <v>2484</v>
      </c>
      <c r="H29" s="10" t="s">
        <v>2550</v>
      </c>
      <c r="I29" s="10" t="s">
        <v>55</v>
      </c>
      <c r="K29" s="10" t="s">
        <v>2551</v>
      </c>
      <c r="L29" s="10" t="s">
        <v>42</v>
      </c>
    </row>
    <row r="30" ht="15.75" customHeight="1">
      <c r="A30" s="66">
        <v>45499.0</v>
      </c>
      <c r="B30" s="55" t="str">
        <f>HYPERLINK("https://jobright.ai/jobs/info/66a4221c84d006430c764fa9?utm_campaign=1062&amp;utm_source=sheet", "Apply")</f>
        <v>Apply</v>
      </c>
      <c r="C30" s="10" t="s">
        <v>2552</v>
      </c>
      <c r="D30" s="56" t="s">
        <v>2553</v>
      </c>
      <c r="E30" s="10" t="s">
        <v>45</v>
      </c>
      <c r="F30" s="10" t="s">
        <v>2554</v>
      </c>
      <c r="G30" s="10" t="s">
        <v>2484</v>
      </c>
      <c r="H30" s="10" t="s">
        <v>791</v>
      </c>
      <c r="I30" s="10" t="s">
        <v>55</v>
      </c>
      <c r="J30" s="10" t="s">
        <v>2555</v>
      </c>
      <c r="K30" s="10" t="s">
        <v>2556</v>
      </c>
      <c r="L30" s="10" t="s">
        <v>42</v>
      </c>
    </row>
    <row r="31" ht="15.75" customHeight="1">
      <c r="A31" s="66">
        <v>45499.0</v>
      </c>
      <c r="B31" s="55" t="str">
        <f>HYPERLINK("https://jobright.ai/jobs/info/66a4190ad228a914b82eaba4?utm_campaign=1062&amp;utm_source=sheet", "Apply")</f>
        <v>Apply</v>
      </c>
      <c r="C31" s="10" t="s">
        <v>2557</v>
      </c>
      <c r="D31" s="56" t="s">
        <v>1547</v>
      </c>
      <c r="E31" s="10">
        <v>408.0</v>
      </c>
      <c r="G31" s="10" t="s">
        <v>2443</v>
      </c>
      <c r="H31" s="10" t="s">
        <v>1044</v>
      </c>
      <c r="I31" s="10" t="s">
        <v>55</v>
      </c>
      <c r="K31" s="10" t="s">
        <v>2558</v>
      </c>
      <c r="L31" s="10" t="s">
        <v>42</v>
      </c>
    </row>
    <row r="32" ht="15.75" customHeight="1">
      <c r="A32" s="66">
        <v>45499.0</v>
      </c>
      <c r="B32" s="55" t="str">
        <f>HYPERLINK("https://jobright.ai/jobs/info/66a4105f41780e3482820d75?utm_campaign=1062&amp;utm_source=sheet", "Apply")</f>
        <v>Apply</v>
      </c>
      <c r="C32" s="10" t="s">
        <v>2559</v>
      </c>
      <c r="D32" s="56" t="s">
        <v>2560</v>
      </c>
      <c r="E32" s="10" t="s">
        <v>71</v>
      </c>
      <c r="F32" s="10" t="s">
        <v>2561</v>
      </c>
      <c r="G32" s="10" t="s">
        <v>2448</v>
      </c>
      <c r="H32" s="10" t="s">
        <v>2562</v>
      </c>
      <c r="I32" s="10" t="s">
        <v>55</v>
      </c>
      <c r="J32" s="10" t="s">
        <v>2563</v>
      </c>
      <c r="K32" s="10" t="s">
        <v>2564</v>
      </c>
      <c r="L32" s="10" t="s">
        <v>42</v>
      </c>
    </row>
    <row r="33" ht="15.75" customHeight="1">
      <c r="A33" s="66">
        <v>45499.0</v>
      </c>
      <c r="B33" s="55" t="str">
        <f>HYPERLINK("https://jobright.ai/jobs/info/66a40db8dfc0dce261462091?utm_campaign=1062&amp;utm_source=sheet", "Apply")</f>
        <v>Apply</v>
      </c>
      <c r="C33" s="10" t="s">
        <v>2565</v>
      </c>
      <c r="D33" s="56" t="s">
        <v>1586</v>
      </c>
      <c r="E33" s="10" t="s">
        <v>137</v>
      </c>
      <c r="F33" s="10" t="s">
        <v>1587</v>
      </c>
      <c r="G33" s="10" t="s">
        <v>2448</v>
      </c>
      <c r="H33" s="10" t="s">
        <v>170</v>
      </c>
      <c r="I33" s="10" t="s">
        <v>55</v>
      </c>
      <c r="K33" s="10" t="s">
        <v>1588</v>
      </c>
      <c r="L33" s="10" t="s">
        <v>42</v>
      </c>
    </row>
    <row r="34" ht="15.75" customHeight="1">
      <c r="A34" s="66">
        <v>45499.0</v>
      </c>
      <c r="B34" s="55" t="str">
        <f>HYPERLINK("https://jobright.ai/jobs/info/66a40db8dfc0dce261462090?utm_campaign=1062&amp;utm_source=sheet", "Apply")</f>
        <v>Apply</v>
      </c>
      <c r="C34" s="10" t="s">
        <v>2566</v>
      </c>
      <c r="D34" s="56" t="s">
        <v>1586</v>
      </c>
      <c r="E34" s="10" t="s">
        <v>137</v>
      </c>
      <c r="F34" s="10" t="s">
        <v>1587</v>
      </c>
      <c r="G34" s="10" t="s">
        <v>2448</v>
      </c>
      <c r="H34" s="10" t="s">
        <v>170</v>
      </c>
      <c r="I34" s="10" t="s">
        <v>55</v>
      </c>
      <c r="K34" s="10" t="s">
        <v>1588</v>
      </c>
      <c r="L34" s="10" t="s">
        <v>42</v>
      </c>
    </row>
    <row r="35" ht="15.75" customHeight="1">
      <c r="A35" s="66">
        <v>45499.0</v>
      </c>
      <c r="B35" s="55" t="str">
        <f>HYPERLINK("https://jobright.ai/jobs/info/66a40dc1dfc0dce2614620a1?utm_campaign=1062&amp;utm_source=sheet", "Apply")</f>
        <v>Apply</v>
      </c>
      <c r="C35" s="10" t="s">
        <v>2567</v>
      </c>
      <c r="D35" s="56" t="s">
        <v>1586</v>
      </c>
      <c r="E35" s="10" t="s">
        <v>137</v>
      </c>
      <c r="F35" s="10" t="s">
        <v>1587</v>
      </c>
      <c r="G35" s="10" t="s">
        <v>2455</v>
      </c>
      <c r="H35" s="10" t="s">
        <v>170</v>
      </c>
      <c r="I35" s="10" t="s">
        <v>55</v>
      </c>
      <c r="K35" s="10" t="s">
        <v>1588</v>
      </c>
      <c r="L35" s="10" t="s">
        <v>42</v>
      </c>
    </row>
    <row r="36" ht="15.75" customHeight="1">
      <c r="A36" s="66">
        <v>45499.0</v>
      </c>
      <c r="B36" s="55" t="str">
        <f>HYPERLINK("https://jobright.ai/jobs/info/66a3fda5d61cea1521a4733e?utm_campaign=1062&amp;utm_source=sheet", "Apply")</f>
        <v>Apply</v>
      </c>
      <c r="C36" s="10" t="s">
        <v>2568</v>
      </c>
      <c r="D36" s="56" t="s">
        <v>2569</v>
      </c>
      <c r="E36" s="10">
        <v>4.0</v>
      </c>
      <c r="G36" s="10" t="s">
        <v>2455</v>
      </c>
      <c r="H36" s="10" t="s">
        <v>251</v>
      </c>
      <c r="I36" s="10" t="s">
        <v>252</v>
      </c>
      <c r="K36" s="10" t="s">
        <v>2543</v>
      </c>
      <c r="L36" s="10" t="s">
        <v>42</v>
      </c>
    </row>
    <row r="37" ht="15.75" customHeight="1">
      <c r="A37" s="66">
        <v>45499.0</v>
      </c>
      <c r="B37" s="55" t="str">
        <f>HYPERLINK("https://jobright.ai/jobs/info/66a3fd65d61cea1521a46ea5?utm_campaign=1062&amp;utm_source=sheet", "Apply")</f>
        <v>Apply</v>
      </c>
      <c r="C37" s="10" t="s">
        <v>2570</v>
      </c>
      <c r="D37" s="56" t="s">
        <v>2571</v>
      </c>
      <c r="E37" s="10" t="s">
        <v>276</v>
      </c>
      <c r="F37" s="10" t="s">
        <v>2572</v>
      </c>
      <c r="G37" s="10" t="s">
        <v>2464</v>
      </c>
      <c r="H37" s="10" t="s">
        <v>952</v>
      </c>
      <c r="I37" s="10" t="s">
        <v>55</v>
      </c>
      <c r="J37" s="10" t="s">
        <v>2573</v>
      </c>
      <c r="K37" s="10" t="s">
        <v>2574</v>
      </c>
      <c r="L37" s="10" t="s">
        <v>42</v>
      </c>
    </row>
    <row r="38" ht="15.75" customHeight="1">
      <c r="A38" s="66">
        <v>45499.0</v>
      </c>
      <c r="B38" s="55" t="str">
        <f>HYPERLINK("https://jobright.ai/jobs/info/66a403140d09d8a9054b38e1?utm_campaign=1062&amp;utm_source=sheet", "Apply")</f>
        <v>Apply</v>
      </c>
      <c r="C38" s="10" t="s">
        <v>2575</v>
      </c>
      <c r="D38" s="56" t="s">
        <v>1360</v>
      </c>
      <c r="E38" s="10" t="s">
        <v>79</v>
      </c>
      <c r="F38" s="10" t="s">
        <v>1361</v>
      </c>
      <c r="G38" s="10" t="s">
        <v>2455</v>
      </c>
      <c r="H38" s="10" t="s">
        <v>1120</v>
      </c>
      <c r="I38" s="10" t="s">
        <v>55</v>
      </c>
      <c r="K38" s="10" t="s">
        <v>1362</v>
      </c>
      <c r="L38" s="10" t="s">
        <v>42</v>
      </c>
    </row>
    <row r="39" ht="15.75" customHeight="1">
      <c r="A39" s="66">
        <v>45499.0</v>
      </c>
      <c r="B39" s="55" t="str">
        <f>HYPERLINK("https://jobright.ai/jobs/info/66a3ef56055d7222edffd7cf?utm_campaign=1062&amp;utm_source=sheet", "Apply")</f>
        <v>Apply</v>
      </c>
      <c r="C39" s="10" t="s">
        <v>2576</v>
      </c>
      <c r="D39" s="56" t="s">
        <v>1789</v>
      </c>
      <c r="E39" s="10" t="s">
        <v>45</v>
      </c>
      <c r="F39" s="10" t="s">
        <v>1790</v>
      </c>
      <c r="G39" s="10" t="s">
        <v>2484</v>
      </c>
      <c r="H39" s="10" t="s">
        <v>229</v>
      </c>
      <c r="I39" s="10" t="s">
        <v>55</v>
      </c>
      <c r="K39" s="10" t="s">
        <v>2577</v>
      </c>
      <c r="L39" s="10" t="s">
        <v>42</v>
      </c>
    </row>
    <row r="40" ht="15.75" customHeight="1">
      <c r="A40" s="66">
        <v>45499.0</v>
      </c>
      <c r="B40" s="55" t="str">
        <f>HYPERLINK("https://jobright.ai/jobs/info/66a3f4b65fcbfa8457ce1030?utm_campaign=1062&amp;utm_source=sheet", "Apply")</f>
        <v>Apply</v>
      </c>
      <c r="C40" s="10" t="s">
        <v>2578</v>
      </c>
      <c r="D40" s="56" t="s">
        <v>2462</v>
      </c>
      <c r="E40" s="10" t="s">
        <v>79</v>
      </c>
      <c r="F40" s="10" t="s">
        <v>2463</v>
      </c>
      <c r="G40" s="10" t="s">
        <v>2579</v>
      </c>
      <c r="H40" s="10" t="s">
        <v>131</v>
      </c>
      <c r="I40" s="10" t="s">
        <v>55</v>
      </c>
      <c r="K40" s="10" t="s">
        <v>2580</v>
      </c>
      <c r="L40" s="10" t="s">
        <v>42</v>
      </c>
    </row>
    <row r="41" ht="15.75" customHeight="1">
      <c r="A41" s="66">
        <v>45499.0</v>
      </c>
      <c r="B41" s="55" t="str">
        <f>HYPERLINK("https://jobright.ai/jobs/info/66a403140d09d8a9054b391c?utm_campaign=1062&amp;utm_source=sheet", "Apply")</f>
        <v>Apply</v>
      </c>
      <c r="C41" s="10" t="s">
        <v>2581</v>
      </c>
      <c r="D41" s="56" t="s">
        <v>2582</v>
      </c>
      <c r="E41" s="10" t="s">
        <v>209</v>
      </c>
      <c r="F41" s="10" t="s">
        <v>2583</v>
      </c>
      <c r="G41" s="10" t="s">
        <v>2448</v>
      </c>
      <c r="H41" s="10" t="s">
        <v>2584</v>
      </c>
      <c r="I41" s="10" t="s">
        <v>55</v>
      </c>
      <c r="K41" s="10" t="s">
        <v>2585</v>
      </c>
      <c r="L41" s="10" t="s">
        <v>42</v>
      </c>
    </row>
    <row r="42" ht="15.75" customHeight="1">
      <c r="A42" s="66">
        <v>45499.0</v>
      </c>
      <c r="B42" s="55" t="str">
        <f>HYPERLINK("https://jobright.ai/jobs/info/66a4523f68a55d33e67ee252?utm_campaign=1062&amp;utm_source=sheet", "Apply")</f>
        <v>Apply</v>
      </c>
      <c r="C42" s="10" t="s">
        <v>2578</v>
      </c>
      <c r="D42" s="56" t="s">
        <v>2462</v>
      </c>
      <c r="E42" s="10" t="s">
        <v>79</v>
      </c>
      <c r="F42" s="10" t="s">
        <v>2463</v>
      </c>
      <c r="G42" s="10" t="s">
        <v>2579</v>
      </c>
      <c r="H42" s="10" t="s">
        <v>131</v>
      </c>
      <c r="I42" s="10" t="s">
        <v>48</v>
      </c>
      <c r="K42" s="10" t="s">
        <v>2580</v>
      </c>
      <c r="L42" s="10" t="s">
        <v>42</v>
      </c>
    </row>
    <row r="43" ht="15.75" customHeight="1">
      <c r="A43" s="66">
        <v>45499.0</v>
      </c>
      <c r="B43" s="55" t="str">
        <f>HYPERLINK("https://jobright.ai/jobs/info/66a3ef2a87fb29a0df318dff?utm_campaign=1062&amp;utm_source=sheet", "Apply")</f>
        <v>Apply</v>
      </c>
      <c r="C43" s="10" t="s">
        <v>2586</v>
      </c>
      <c r="D43" s="56" t="s">
        <v>2587</v>
      </c>
      <c r="E43" s="10" t="s">
        <v>65</v>
      </c>
      <c r="F43" s="10" t="s">
        <v>2588</v>
      </c>
      <c r="G43" s="10" t="s">
        <v>2589</v>
      </c>
      <c r="H43" s="10" t="s">
        <v>915</v>
      </c>
      <c r="I43" s="10" t="s">
        <v>55</v>
      </c>
      <c r="J43" s="10" t="s">
        <v>2590</v>
      </c>
      <c r="K43" s="10" t="s">
        <v>2591</v>
      </c>
      <c r="L43" s="10" t="s">
        <v>42</v>
      </c>
    </row>
    <row r="44" ht="15.75" customHeight="1">
      <c r="A44" s="66">
        <v>45499.0</v>
      </c>
      <c r="B44" s="55" t="str">
        <f>HYPERLINK("https://jobright.ai/jobs/info/66a3f4c85fcbfa8457ce11ba?utm_campaign=1062&amp;utm_source=sheet", "Apply")</f>
        <v>Apply</v>
      </c>
      <c r="C44" s="10" t="s">
        <v>2592</v>
      </c>
      <c r="D44" s="56" t="s">
        <v>99</v>
      </c>
      <c r="E44" s="10" t="s">
        <v>45</v>
      </c>
      <c r="F44" s="10" t="s">
        <v>100</v>
      </c>
      <c r="G44" s="10" t="s">
        <v>2484</v>
      </c>
      <c r="H44" s="10" t="s">
        <v>110</v>
      </c>
      <c r="I44" s="10" t="s">
        <v>55</v>
      </c>
      <c r="K44" s="10" t="s">
        <v>2593</v>
      </c>
      <c r="L44" s="10" t="s">
        <v>42</v>
      </c>
    </row>
    <row r="45" ht="15.75" customHeight="1">
      <c r="A45" s="66">
        <v>45499.0</v>
      </c>
      <c r="B45" s="55" t="str">
        <f>HYPERLINK("https://jobright.ai/jobs/info/66a3ef3387fb29a0df318e81?utm_campaign=1062&amp;utm_source=sheet", "Apply")</f>
        <v>Apply</v>
      </c>
      <c r="C45" s="10" t="s">
        <v>2594</v>
      </c>
      <c r="D45" s="56" t="s">
        <v>2595</v>
      </c>
      <c r="E45" s="59">
        <v>45301.0</v>
      </c>
      <c r="F45" s="10" t="s">
        <v>2596</v>
      </c>
      <c r="G45" s="10" t="s">
        <v>2484</v>
      </c>
      <c r="H45" s="10" t="s">
        <v>2597</v>
      </c>
      <c r="I45" s="10" t="s">
        <v>55</v>
      </c>
      <c r="J45" s="10" t="s">
        <v>1729</v>
      </c>
      <c r="K45" s="10" t="s">
        <v>2598</v>
      </c>
      <c r="L45" s="10" t="s">
        <v>42</v>
      </c>
    </row>
    <row r="46" ht="15.75" customHeight="1">
      <c r="A46" s="66">
        <v>45499.0</v>
      </c>
      <c r="B46" s="55" t="str">
        <f>HYPERLINK("https://jobright.ai/jobs/info/66a3f4d25fcbfa8457ce1263?utm_campaign=1062&amp;utm_source=sheet", "Apply")</f>
        <v>Apply</v>
      </c>
      <c r="C46" s="10" t="s">
        <v>2599</v>
      </c>
      <c r="D46" s="56" t="s">
        <v>2600</v>
      </c>
      <c r="E46" s="10" t="s">
        <v>79</v>
      </c>
      <c r="F46" s="10" t="s">
        <v>2601</v>
      </c>
      <c r="G46" s="10" t="s">
        <v>2448</v>
      </c>
      <c r="H46" s="10" t="s">
        <v>2602</v>
      </c>
      <c r="I46" s="10" t="s">
        <v>48</v>
      </c>
      <c r="K46" s="10" t="s">
        <v>2603</v>
      </c>
      <c r="L46" s="10" t="s">
        <v>42</v>
      </c>
    </row>
    <row r="47" ht="15.75" customHeight="1">
      <c r="A47" s="66">
        <v>45499.0</v>
      </c>
      <c r="B47" s="55" t="str">
        <f>HYPERLINK("https://jobright.ai/jobs/info/66a409c4f228ed543e4330fe?utm_campaign=1062&amp;utm_source=sheet", "Apply")</f>
        <v>Apply</v>
      </c>
      <c r="C47" s="10" t="s">
        <v>2604</v>
      </c>
      <c r="D47" s="56" t="s">
        <v>99</v>
      </c>
      <c r="E47" s="10" t="s">
        <v>45</v>
      </c>
      <c r="F47" s="10" t="s">
        <v>100</v>
      </c>
      <c r="G47" s="10" t="s">
        <v>2605</v>
      </c>
      <c r="H47" s="10" t="s">
        <v>106</v>
      </c>
      <c r="I47" s="10" t="s">
        <v>55</v>
      </c>
      <c r="K47" s="10" t="s">
        <v>2606</v>
      </c>
      <c r="L47" s="10" t="s">
        <v>42</v>
      </c>
    </row>
    <row r="48" ht="15.75" customHeight="1">
      <c r="A48" s="66">
        <v>45499.0</v>
      </c>
      <c r="B48" s="55" t="str">
        <f>HYPERLINK("https://jobright.ai/jobs/info/66a3e846b020465e7d35ca4a?utm_campaign=1062&amp;utm_source=sheet", "Apply")</f>
        <v>Apply</v>
      </c>
      <c r="C48" s="10" t="s">
        <v>2607</v>
      </c>
      <c r="D48" s="56" t="s">
        <v>1776</v>
      </c>
      <c r="E48" s="10">
        <v>17178.0</v>
      </c>
      <c r="G48" s="10" t="s">
        <v>2448</v>
      </c>
      <c r="H48" s="10" t="s">
        <v>2608</v>
      </c>
      <c r="I48" s="10" t="s">
        <v>55</v>
      </c>
      <c r="J48" s="10" t="s">
        <v>2609</v>
      </c>
      <c r="K48" s="10" t="s">
        <v>2610</v>
      </c>
      <c r="L48" s="10" t="s">
        <v>42</v>
      </c>
    </row>
    <row r="49" ht="15.75" customHeight="1">
      <c r="A49" s="66">
        <v>45499.0</v>
      </c>
      <c r="B49" s="55" t="str">
        <f>HYPERLINK("https://jobright.ai/jobs/info/66a3e846b020465e7d35ca86?utm_campaign=1062&amp;utm_source=sheet", "Apply")</f>
        <v>Apply</v>
      </c>
      <c r="C49" s="10" t="s">
        <v>2611</v>
      </c>
      <c r="D49" s="56" t="s">
        <v>99</v>
      </c>
      <c r="E49" s="10" t="s">
        <v>45</v>
      </c>
      <c r="F49" s="10" t="s">
        <v>100</v>
      </c>
      <c r="G49" s="10" t="s">
        <v>2476</v>
      </c>
      <c r="H49" s="10" t="s">
        <v>106</v>
      </c>
      <c r="I49" s="10" t="s">
        <v>55</v>
      </c>
      <c r="K49" s="10" t="s">
        <v>2612</v>
      </c>
      <c r="L49" s="10" t="s">
        <v>42</v>
      </c>
    </row>
    <row r="50" ht="15.75" customHeight="1">
      <c r="A50" s="66">
        <v>45499.0</v>
      </c>
      <c r="B50" s="55" t="str">
        <f>HYPERLINK("https://jobright.ai/jobs/info/66a3e846b020465e7d35ca8f?utm_campaign=1062&amp;utm_source=sheet", "Apply")</f>
        <v>Apply</v>
      </c>
      <c r="C50" s="10" t="s">
        <v>2613</v>
      </c>
      <c r="D50" s="56" t="s">
        <v>99</v>
      </c>
      <c r="E50" s="10" t="s">
        <v>45</v>
      </c>
      <c r="F50" s="10" t="s">
        <v>100</v>
      </c>
      <c r="G50" s="10" t="s">
        <v>2484</v>
      </c>
      <c r="H50" s="10" t="s">
        <v>106</v>
      </c>
      <c r="I50" s="10" t="s">
        <v>55</v>
      </c>
      <c r="K50" s="10" t="s">
        <v>2593</v>
      </c>
      <c r="L50" s="10" t="s">
        <v>42</v>
      </c>
    </row>
    <row r="51" ht="15.75" customHeight="1">
      <c r="A51" s="66">
        <v>45499.0</v>
      </c>
      <c r="B51" s="55" t="str">
        <f>HYPERLINK("https://jobright.ai/jobs/info/66a3e846b020465e7d35ca8d?utm_campaign=1062&amp;utm_source=sheet", "Apply")</f>
        <v>Apply</v>
      </c>
      <c r="C51" s="10" t="s">
        <v>2614</v>
      </c>
      <c r="D51" s="56" t="s">
        <v>99</v>
      </c>
      <c r="E51" s="10" t="s">
        <v>45</v>
      </c>
      <c r="F51" s="10" t="s">
        <v>100</v>
      </c>
      <c r="G51" s="10" t="s">
        <v>2484</v>
      </c>
      <c r="H51" s="10" t="s">
        <v>104</v>
      </c>
      <c r="I51" s="10" t="s">
        <v>55</v>
      </c>
      <c r="K51" s="10" t="s">
        <v>2593</v>
      </c>
      <c r="L51" s="10" t="s">
        <v>42</v>
      </c>
    </row>
    <row r="52" ht="15.75" customHeight="1">
      <c r="A52" s="66">
        <v>45499.0</v>
      </c>
      <c r="B52" s="55" t="str">
        <f>HYPERLINK("https://jobright.ai/jobs/info/66a3ef4687fb29a0df318fdf?utm_campaign=1062&amp;utm_source=sheet", "Apply")</f>
        <v>Apply</v>
      </c>
      <c r="C52" s="10" t="s">
        <v>2615</v>
      </c>
      <c r="D52" s="56" t="s">
        <v>2616</v>
      </c>
      <c r="E52" s="10" t="s">
        <v>249</v>
      </c>
      <c r="F52" s="10" t="s">
        <v>2617</v>
      </c>
      <c r="G52" s="10" t="s">
        <v>2455</v>
      </c>
      <c r="H52" s="10" t="s">
        <v>2618</v>
      </c>
      <c r="I52" s="10" t="s">
        <v>48</v>
      </c>
      <c r="K52" s="10" t="s">
        <v>2619</v>
      </c>
      <c r="L52" s="10" t="s">
        <v>42</v>
      </c>
    </row>
    <row r="53" ht="15.75" customHeight="1">
      <c r="A53" s="66">
        <v>45499.0</v>
      </c>
      <c r="B53" s="55" t="str">
        <f>HYPERLINK("https://jobright.ai/jobs/info/66a3e145fa1e56eccb8f501e?utm_campaign=1062&amp;utm_source=sheet", "Apply")</f>
        <v>Apply</v>
      </c>
      <c r="C53" s="10" t="s">
        <v>2568</v>
      </c>
      <c r="D53" s="58" t="s">
        <v>1590</v>
      </c>
      <c r="G53" s="10" t="s">
        <v>2455</v>
      </c>
      <c r="H53" s="10" t="s">
        <v>251</v>
      </c>
      <c r="I53" s="10" t="s">
        <v>48</v>
      </c>
      <c r="K53" s="10" t="s">
        <v>2543</v>
      </c>
      <c r="L53" s="10" t="s">
        <v>42</v>
      </c>
    </row>
    <row r="54" ht="15.75" customHeight="1">
      <c r="A54" s="66">
        <v>45499.0</v>
      </c>
      <c r="B54" s="55" t="str">
        <f>HYPERLINK("https://jobright.ai/jobs/info/66a3ef4687fb29a0df319057?utm_campaign=1062&amp;utm_source=sheet", "Apply")</f>
        <v>Apply</v>
      </c>
      <c r="C54" s="10" t="s">
        <v>2620</v>
      </c>
      <c r="D54" s="56" t="s">
        <v>2621</v>
      </c>
      <c r="E54" s="10" t="s">
        <v>45</v>
      </c>
      <c r="F54" s="10" t="s">
        <v>2622</v>
      </c>
      <c r="G54" s="10" t="s">
        <v>2484</v>
      </c>
      <c r="H54" s="10" t="s">
        <v>2623</v>
      </c>
      <c r="I54" s="10" t="s">
        <v>55</v>
      </c>
      <c r="K54" s="10" t="s">
        <v>2624</v>
      </c>
      <c r="L54" s="10" t="s">
        <v>42</v>
      </c>
    </row>
    <row r="55" ht="15.75" customHeight="1">
      <c r="A55" s="66">
        <v>45499.0</v>
      </c>
      <c r="B55" s="55" t="str">
        <f>HYPERLINK("https://jobright.ai/jobs/info/66a0838848f326e64d43bdb5?utm_campaign=1062&amp;utm_source=sheet", "Apply")</f>
        <v>Apply</v>
      </c>
      <c r="C55" s="10" t="s">
        <v>2615</v>
      </c>
      <c r="D55" s="56" t="s">
        <v>2616</v>
      </c>
      <c r="E55" s="10" t="s">
        <v>249</v>
      </c>
      <c r="F55" s="10" t="s">
        <v>2617</v>
      </c>
      <c r="G55" s="10" t="s">
        <v>2455</v>
      </c>
      <c r="H55" s="10" t="s">
        <v>2618</v>
      </c>
      <c r="I55" s="10" t="s">
        <v>55</v>
      </c>
      <c r="K55" s="10" t="s">
        <v>2619</v>
      </c>
      <c r="L55" s="10" t="s">
        <v>42</v>
      </c>
    </row>
    <row r="56" ht="15.75" customHeight="1">
      <c r="A56" s="66">
        <v>45499.0</v>
      </c>
      <c r="B56" s="55" t="str">
        <f>HYPERLINK("https://jobright.ai/jobs/info/66a3e850b020465e7d35cb38?utm_campaign=1062&amp;utm_source=sheet", "Apply")</f>
        <v>Apply</v>
      </c>
      <c r="C56" s="10" t="s">
        <v>2625</v>
      </c>
      <c r="D56" s="56" t="s">
        <v>2626</v>
      </c>
      <c r="E56" s="10" t="s">
        <v>45</v>
      </c>
      <c r="F56" s="10" t="s">
        <v>2627</v>
      </c>
      <c r="G56" s="10" t="s">
        <v>2528</v>
      </c>
      <c r="H56" s="10" t="s">
        <v>2628</v>
      </c>
      <c r="I56" s="10" t="s">
        <v>48</v>
      </c>
      <c r="K56" s="10" t="s">
        <v>2629</v>
      </c>
      <c r="L56" s="10" t="s">
        <v>42</v>
      </c>
    </row>
    <row r="57" ht="15.75" customHeight="1">
      <c r="A57" s="66">
        <v>45499.0</v>
      </c>
      <c r="B57" s="55" t="str">
        <f>HYPERLINK("https://jobright.ai/jobs/info/66a403570d09d8a9054b3e60?utm_campaign=1062&amp;utm_source=sheet", "Apply")</f>
        <v>Apply</v>
      </c>
      <c r="C57" s="10" t="s">
        <v>2630</v>
      </c>
      <c r="D57" s="56" t="s">
        <v>2631</v>
      </c>
      <c r="E57" s="10" t="s">
        <v>209</v>
      </c>
      <c r="F57" s="10" t="s">
        <v>2632</v>
      </c>
      <c r="G57" s="10" t="s">
        <v>2464</v>
      </c>
      <c r="H57" s="10" t="s">
        <v>986</v>
      </c>
      <c r="I57" s="10" t="s">
        <v>55</v>
      </c>
      <c r="K57" s="10" t="s">
        <v>2633</v>
      </c>
      <c r="L57" s="10" t="s">
        <v>42</v>
      </c>
    </row>
    <row r="58" ht="15.75" customHeight="1">
      <c r="A58" s="66">
        <v>45499.0</v>
      </c>
      <c r="B58" s="55" t="str">
        <f>HYPERLINK("https://jobright.ai/jobs/info/66a3e18cfa1e56eccb8f5621?utm_campaign=1062&amp;utm_source=sheet", "Apply")</f>
        <v>Apply</v>
      </c>
      <c r="C58" s="10" t="s">
        <v>2594</v>
      </c>
      <c r="D58" s="56" t="s">
        <v>2634</v>
      </c>
      <c r="E58" s="10">
        <v>19.0</v>
      </c>
      <c r="G58" s="10" t="s">
        <v>2484</v>
      </c>
      <c r="H58" s="10" t="s">
        <v>2635</v>
      </c>
      <c r="I58" s="10" t="s">
        <v>55</v>
      </c>
      <c r="K58" s="10" t="s">
        <v>2636</v>
      </c>
      <c r="L58" s="10" t="s">
        <v>42</v>
      </c>
    </row>
    <row r="59" ht="15.75" customHeight="1">
      <c r="A59" s="66">
        <v>45499.0</v>
      </c>
      <c r="B59" s="55" t="str">
        <f>HYPERLINK("https://jobright.ai/jobs/info/66a3e866b020465e7d35ccc5?utm_campaign=1062&amp;utm_source=sheet", "Apply")</f>
        <v>Apply</v>
      </c>
      <c r="C59" s="10" t="s">
        <v>2637</v>
      </c>
      <c r="D59" s="56" t="s">
        <v>2638</v>
      </c>
      <c r="E59" s="10" t="s">
        <v>79</v>
      </c>
      <c r="F59" s="10" t="s">
        <v>2639</v>
      </c>
      <c r="G59" s="10" t="s">
        <v>2448</v>
      </c>
      <c r="H59" s="10" t="s">
        <v>170</v>
      </c>
      <c r="I59" s="10" t="s">
        <v>55</v>
      </c>
      <c r="J59" s="10" t="s">
        <v>2640</v>
      </c>
      <c r="K59" s="10" t="s">
        <v>2641</v>
      </c>
      <c r="L59" s="10" t="s">
        <v>42</v>
      </c>
    </row>
    <row r="60" ht="15.75" customHeight="1">
      <c r="A60" s="66">
        <v>45499.0</v>
      </c>
      <c r="B60" s="55" t="str">
        <f>HYPERLINK("https://jobright.ai/jobs/info/66a4316c8d3eebff0ac37db9?utm_campaign=1062&amp;utm_source=sheet", "Apply")</f>
        <v>Apply</v>
      </c>
      <c r="C60" s="10" t="s">
        <v>2642</v>
      </c>
      <c r="D60" s="56" t="s">
        <v>2643</v>
      </c>
      <c r="E60" s="10" t="s">
        <v>45</v>
      </c>
      <c r="F60" s="10" t="s">
        <v>1564</v>
      </c>
      <c r="G60" s="10" t="s">
        <v>2448</v>
      </c>
      <c r="H60" s="10" t="s">
        <v>2644</v>
      </c>
      <c r="I60" s="10" t="s">
        <v>55</v>
      </c>
      <c r="K60" s="10" t="s">
        <v>2645</v>
      </c>
      <c r="L60" s="10" t="s">
        <v>42</v>
      </c>
    </row>
    <row r="61" ht="15.75" customHeight="1">
      <c r="A61" s="66">
        <v>45499.0</v>
      </c>
      <c r="B61" s="55" t="str">
        <f>HYPERLINK("https://jobright.ai/jobs/info/66a3e86fb020465e7d35cda6?utm_campaign=1062&amp;utm_source=sheet", "Apply")</f>
        <v>Apply</v>
      </c>
      <c r="C61" s="10" t="s">
        <v>2646</v>
      </c>
      <c r="D61" s="56" t="s">
        <v>2647</v>
      </c>
      <c r="E61" s="10">
        <v>2261.0</v>
      </c>
      <c r="G61" s="10" t="s">
        <v>2437</v>
      </c>
      <c r="H61" s="10" t="s">
        <v>845</v>
      </c>
      <c r="I61" s="10" t="s">
        <v>48</v>
      </c>
      <c r="K61" s="10" t="s">
        <v>2648</v>
      </c>
      <c r="L61" s="10" t="s">
        <v>42</v>
      </c>
    </row>
    <row r="62" ht="15.75" customHeight="1">
      <c r="A62" s="66">
        <v>45499.0</v>
      </c>
      <c r="B62" s="55" t="str">
        <f>HYPERLINK("https://jobright.ai/jobs/info/66a3e878b020465e7d35ce1c?utm_campaign=1062&amp;utm_source=sheet", "Apply")</f>
        <v>Apply</v>
      </c>
      <c r="C62" s="10" t="s">
        <v>2649</v>
      </c>
      <c r="D62" s="56" t="s">
        <v>2650</v>
      </c>
      <c r="E62" s="10" t="s">
        <v>276</v>
      </c>
      <c r="F62" s="10" t="s">
        <v>2651</v>
      </c>
      <c r="G62" s="10" t="s">
        <v>2437</v>
      </c>
      <c r="H62" s="10" t="s">
        <v>152</v>
      </c>
      <c r="I62" s="10" t="s">
        <v>55</v>
      </c>
      <c r="J62" s="10" t="s">
        <v>2217</v>
      </c>
      <c r="K62" s="10" t="s">
        <v>2652</v>
      </c>
      <c r="L62" s="10" t="s">
        <v>42</v>
      </c>
    </row>
    <row r="63" ht="15.75" customHeight="1">
      <c r="A63" s="66">
        <v>45499.0</v>
      </c>
      <c r="B63" s="55" t="str">
        <f>HYPERLINK("https://jobright.ai/jobs/info/66a3da719f1d4690f1a40707?utm_campaign=1062&amp;utm_source=sheet", "Apply")</f>
        <v>Apply</v>
      </c>
      <c r="C63" s="10" t="s">
        <v>2630</v>
      </c>
      <c r="D63" s="56" t="s">
        <v>2631</v>
      </c>
      <c r="E63" s="10" t="s">
        <v>209</v>
      </c>
      <c r="F63" s="10" t="s">
        <v>2632</v>
      </c>
      <c r="G63" s="10" t="s">
        <v>2464</v>
      </c>
      <c r="H63" s="10" t="s">
        <v>1565</v>
      </c>
      <c r="I63" s="10" t="s">
        <v>55</v>
      </c>
      <c r="J63" s="10" t="s">
        <v>2653</v>
      </c>
      <c r="K63" s="10" t="s">
        <v>2633</v>
      </c>
      <c r="L63" s="10" t="s">
        <v>42</v>
      </c>
    </row>
    <row r="64" ht="15.75" customHeight="1">
      <c r="A64" s="66">
        <v>45499.0</v>
      </c>
      <c r="B64" s="55" t="str">
        <f>HYPERLINK("https://jobright.ai/jobs/info/66a3da719f1d4690f1a4070a?utm_campaign=1062&amp;utm_source=sheet", "Apply")</f>
        <v>Apply</v>
      </c>
      <c r="C64" s="10" t="s">
        <v>2630</v>
      </c>
      <c r="D64" s="56" t="s">
        <v>2631</v>
      </c>
      <c r="E64" s="10" t="s">
        <v>209</v>
      </c>
      <c r="F64" s="10" t="s">
        <v>2632</v>
      </c>
      <c r="G64" s="10" t="s">
        <v>2464</v>
      </c>
      <c r="H64" s="10" t="s">
        <v>525</v>
      </c>
      <c r="I64" s="10" t="s">
        <v>55</v>
      </c>
      <c r="K64" s="10" t="s">
        <v>2633</v>
      </c>
      <c r="L64" s="10" t="s">
        <v>42</v>
      </c>
    </row>
    <row r="65" ht="15.75" customHeight="1">
      <c r="A65" s="66">
        <v>45499.0</v>
      </c>
      <c r="B65" s="55" t="str">
        <f>HYPERLINK("https://jobright.ai/jobs/info/66a3da719f1d4690f1a4070c?utm_campaign=1062&amp;utm_source=sheet", "Apply")</f>
        <v>Apply</v>
      </c>
      <c r="C65" s="10" t="s">
        <v>2630</v>
      </c>
      <c r="D65" s="56" t="s">
        <v>2631</v>
      </c>
      <c r="E65" s="10" t="s">
        <v>209</v>
      </c>
      <c r="F65" s="10" t="s">
        <v>2632</v>
      </c>
      <c r="G65" s="10" t="s">
        <v>2464</v>
      </c>
      <c r="H65" s="10" t="s">
        <v>2654</v>
      </c>
      <c r="I65" s="10" t="s">
        <v>55</v>
      </c>
      <c r="K65" s="10" t="s">
        <v>2633</v>
      </c>
      <c r="L65" s="10" t="s">
        <v>42</v>
      </c>
    </row>
    <row r="66" ht="15.75" customHeight="1">
      <c r="A66" s="66">
        <v>45499.0</v>
      </c>
      <c r="B66" s="55" t="str">
        <f>HYPERLINK("https://jobright.ai/jobs/info/66a3da719f1d4690f1a40724?utm_campaign=1062&amp;utm_source=sheet", "Apply")</f>
        <v>Apply</v>
      </c>
      <c r="C66" s="10" t="s">
        <v>2630</v>
      </c>
      <c r="D66" s="56" t="s">
        <v>2631</v>
      </c>
      <c r="E66" s="10" t="s">
        <v>209</v>
      </c>
      <c r="F66" s="10" t="s">
        <v>2632</v>
      </c>
      <c r="G66" s="10" t="s">
        <v>2464</v>
      </c>
      <c r="H66" s="10" t="s">
        <v>616</v>
      </c>
      <c r="I66" s="10" t="s">
        <v>55</v>
      </c>
      <c r="J66" s="10" t="s">
        <v>2653</v>
      </c>
      <c r="K66" s="10" t="s">
        <v>2633</v>
      </c>
      <c r="L66" s="10" t="s">
        <v>42</v>
      </c>
    </row>
    <row r="67" ht="15.75" customHeight="1">
      <c r="A67" s="66">
        <v>45499.0</v>
      </c>
      <c r="B67" s="55" t="str">
        <f>HYPERLINK("https://jobright.ai/jobs/info/66a3da719f1d4690f1a40733?utm_campaign=1062&amp;utm_source=sheet", "Apply")</f>
        <v>Apply</v>
      </c>
      <c r="C67" s="10" t="s">
        <v>2630</v>
      </c>
      <c r="D67" s="56" t="s">
        <v>2631</v>
      </c>
      <c r="E67" s="10" t="s">
        <v>209</v>
      </c>
      <c r="F67" s="10" t="s">
        <v>2632</v>
      </c>
      <c r="G67" s="10" t="s">
        <v>2464</v>
      </c>
      <c r="H67" s="10" t="s">
        <v>405</v>
      </c>
      <c r="I67" s="10" t="s">
        <v>55</v>
      </c>
      <c r="J67" s="10" t="s">
        <v>2655</v>
      </c>
      <c r="K67" s="10" t="s">
        <v>2633</v>
      </c>
      <c r="L67" s="10" t="s">
        <v>42</v>
      </c>
    </row>
    <row r="68" ht="15.75" customHeight="1">
      <c r="A68" s="66">
        <v>45499.0</v>
      </c>
      <c r="B68" s="55" t="str">
        <f>HYPERLINK("https://jobright.ai/jobs/info/66a3e199fa1e56eccb8f56d9?utm_campaign=1062&amp;utm_source=sheet", "Apply")</f>
        <v>Apply</v>
      </c>
      <c r="C68" s="10" t="s">
        <v>2656</v>
      </c>
      <c r="D68" s="56" t="s">
        <v>1331</v>
      </c>
      <c r="E68" s="10" t="s">
        <v>45</v>
      </c>
      <c r="F68" s="10" t="s">
        <v>1332</v>
      </c>
      <c r="G68" s="10" t="s">
        <v>2448</v>
      </c>
      <c r="H68" s="10" t="s">
        <v>419</v>
      </c>
      <c r="I68" s="10" t="s">
        <v>48</v>
      </c>
      <c r="J68" s="10" t="s">
        <v>2545</v>
      </c>
      <c r="K68" s="10" t="s">
        <v>2657</v>
      </c>
      <c r="L68" s="10" t="s">
        <v>42</v>
      </c>
    </row>
    <row r="69" ht="15.75" customHeight="1">
      <c r="A69" s="66">
        <v>45499.0</v>
      </c>
      <c r="B69" s="55" t="str">
        <f>HYPERLINK("https://jobright.ai/jobs/info/66a3d2d9d7fee676c840453e?utm_campaign=1062&amp;utm_source=sheet", "Apply")</f>
        <v>Apply</v>
      </c>
      <c r="C69" s="10" t="s">
        <v>2658</v>
      </c>
      <c r="D69" s="56" t="s">
        <v>1576</v>
      </c>
      <c r="E69" s="10" t="s">
        <v>45</v>
      </c>
      <c r="F69" s="10" t="s">
        <v>1577</v>
      </c>
      <c r="G69" s="10" t="s">
        <v>2509</v>
      </c>
      <c r="H69" s="10" t="s">
        <v>2659</v>
      </c>
      <c r="I69" s="10" t="s">
        <v>55</v>
      </c>
      <c r="K69" s="10" t="s">
        <v>2660</v>
      </c>
      <c r="L69" s="10" t="s">
        <v>42</v>
      </c>
    </row>
    <row r="70" ht="15.75" customHeight="1">
      <c r="A70" s="66">
        <v>45499.0</v>
      </c>
      <c r="B70" s="55" t="str">
        <f>HYPERLINK("https://jobright.ai/jobs/info/66a3c9f655a005da42ef545e?utm_campaign=1062&amp;utm_source=sheet", "Apply")</f>
        <v>Apply</v>
      </c>
      <c r="C70" s="10" t="s">
        <v>2656</v>
      </c>
      <c r="D70" s="56" t="s">
        <v>1331</v>
      </c>
      <c r="E70" s="10" t="s">
        <v>45</v>
      </c>
      <c r="F70" s="10" t="s">
        <v>1332</v>
      </c>
      <c r="G70" s="10" t="s">
        <v>2448</v>
      </c>
      <c r="H70" s="10" t="s">
        <v>419</v>
      </c>
      <c r="I70" s="10" t="s">
        <v>55</v>
      </c>
      <c r="J70" s="10" t="s">
        <v>2545</v>
      </c>
      <c r="K70" s="10" t="s">
        <v>2657</v>
      </c>
      <c r="L70" s="10" t="s">
        <v>42</v>
      </c>
    </row>
    <row r="71" ht="15.75" customHeight="1">
      <c r="A71" s="66">
        <v>45499.0</v>
      </c>
      <c r="B71" s="55" t="str">
        <f>HYPERLINK("https://jobright.ai/jobs/info/66a3d2f1d7fee676c8404769?utm_campaign=1062&amp;utm_source=sheet", "Apply")</f>
        <v>Apply</v>
      </c>
      <c r="C71" s="10" t="s">
        <v>2661</v>
      </c>
      <c r="D71" s="56" t="s">
        <v>124</v>
      </c>
      <c r="E71" s="10" t="s">
        <v>45</v>
      </c>
      <c r="F71" s="10" t="s">
        <v>125</v>
      </c>
      <c r="G71" s="10" t="s">
        <v>2437</v>
      </c>
      <c r="H71" s="10" t="s">
        <v>126</v>
      </c>
      <c r="I71" s="10" t="s">
        <v>55</v>
      </c>
      <c r="K71" s="10" t="s">
        <v>2662</v>
      </c>
      <c r="L71" s="10" t="s">
        <v>42</v>
      </c>
    </row>
    <row r="72" ht="15.75" customHeight="1">
      <c r="A72" s="66">
        <v>45499.0</v>
      </c>
      <c r="B72" s="55" t="str">
        <f>HYPERLINK("https://jobright.ai/jobs/info/66a3d2f1d7fee676c8404779?utm_campaign=1062&amp;utm_source=sheet", "Apply")</f>
        <v>Apply</v>
      </c>
      <c r="C72" s="10" t="s">
        <v>2663</v>
      </c>
      <c r="D72" s="56" t="s">
        <v>124</v>
      </c>
      <c r="E72" s="10" t="s">
        <v>45</v>
      </c>
      <c r="F72" s="10" t="s">
        <v>125</v>
      </c>
      <c r="G72" s="10" t="s">
        <v>2484</v>
      </c>
      <c r="H72" s="10" t="s">
        <v>126</v>
      </c>
      <c r="I72" s="10" t="s">
        <v>55</v>
      </c>
      <c r="K72" s="10" t="s">
        <v>2664</v>
      </c>
      <c r="L72" s="10" t="s">
        <v>42</v>
      </c>
    </row>
    <row r="73" ht="15.75" customHeight="1">
      <c r="A73" s="66">
        <v>45499.0</v>
      </c>
      <c r="B73" s="55" t="str">
        <f>HYPERLINK("https://jobright.ai/jobs/info/66a3d31dd7fee676c8404b6b?utm_campaign=1062&amp;utm_source=sheet", "Apply")</f>
        <v>Apply</v>
      </c>
      <c r="C73" s="10" t="s">
        <v>2665</v>
      </c>
      <c r="D73" s="56" t="s">
        <v>1948</v>
      </c>
      <c r="E73" s="10" t="s">
        <v>65</v>
      </c>
      <c r="F73" s="10" t="s">
        <v>1949</v>
      </c>
      <c r="G73" s="10" t="s">
        <v>2464</v>
      </c>
      <c r="H73" s="10" t="s">
        <v>909</v>
      </c>
      <c r="I73" s="10" t="s">
        <v>48</v>
      </c>
      <c r="K73" s="10" t="s">
        <v>2666</v>
      </c>
      <c r="L73" s="10" t="s">
        <v>42</v>
      </c>
    </row>
    <row r="74" ht="15.75" customHeight="1">
      <c r="A74" s="66">
        <v>45499.0</v>
      </c>
      <c r="B74" s="55" t="str">
        <f>HYPERLINK("https://jobright.ai/jobs/info/66a3c560fa0e21e5bcfa750a?utm_campaign=1062&amp;utm_source=sheet", "Apply")</f>
        <v>Apply</v>
      </c>
      <c r="C74" s="10" t="s">
        <v>2667</v>
      </c>
      <c r="D74" s="56" t="s">
        <v>2668</v>
      </c>
      <c r="E74" s="10" t="s">
        <v>65</v>
      </c>
      <c r="F74" s="10" t="s">
        <v>2669</v>
      </c>
      <c r="G74" s="10" t="s">
        <v>2464</v>
      </c>
      <c r="H74" s="10" t="s">
        <v>251</v>
      </c>
      <c r="I74" s="10" t="s">
        <v>252</v>
      </c>
      <c r="K74" s="10" t="s">
        <v>2670</v>
      </c>
      <c r="L74" s="10" t="s">
        <v>42</v>
      </c>
    </row>
    <row r="75" ht="15.75" customHeight="1">
      <c r="A75" s="66">
        <v>45499.0</v>
      </c>
      <c r="B75" s="55" t="str">
        <f>HYPERLINK("https://jobright.ai/jobs/info/66a3daa99f1d4690f1a40c18?utm_campaign=1062&amp;utm_source=sheet", "Apply")</f>
        <v>Apply</v>
      </c>
      <c r="C75" s="10" t="s">
        <v>2665</v>
      </c>
      <c r="D75" s="56" t="s">
        <v>1948</v>
      </c>
      <c r="E75" s="10" t="s">
        <v>65</v>
      </c>
      <c r="F75" s="10" t="s">
        <v>1949</v>
      </c>
      <c r="G75" s="10" t="s">
        <v>2464</v>
      </c>
      <c r="H75" s="10" t="s">
        <v>923</v>
      </c>
      <c r="I75" s="10" t="s">
        <v>48</v>
      </c>
      <c r="K75" s="10" t="s">
        <v>2666</v>
      </c>
      <c r="L75" s="10" t="s">
        <v>42</v>
      </c>
    </row>
    <row r="76" ht="15.75" customHeight="1">
      <c r="A76" s="66">
        <v>45499.0</v>
      </c>
      <c r="B76" s="55" t="str">
        <f>HYPERLINK("https://jobright.ai/jobs/info/66a3c9bf55a005da42ef4ff7?utm_campaign=1062&amp;utm_source=sheet", "Apply")</f>
        <v>Apply</v>
      </c>
      <c r="C76" s="10" t="s">
        <v>2665</v>
      </c>
      <c r="D76" s="56" t="s">
        <v>1948</v>
      </c>
      <c r="E76" s="10" t="s">
        <v>65</v>
      </c>
      <c r="F76" s="10" t="s">
        <v>1949</v>
      </c>
      <c r="G76" s="10" t="s">
        <v>2464</v>
      </c>
      <c r="H76" s="10" t="s">
        <v>947</v>
      </c>
      <c r="I76" s="10" t="s">
        <v>48</v>
      </c>
      <c r="K76" s="10" t="s">
        <v>2666</v>
      </c>
      <c r="L76" s="10" t="s">
        <v>42</v>
      </c>
    </row>
    <row r="77" ht="15.75" customHeight="1">
      <c r="A77" s="66">
        <v>45499.0</v>
      </c>
      <c r="B77" s="55" t="str">
        <f>HYPERLINK("https://jobright.ai/jobs/info/66a3c9cf55a005da42ef51f0?utm_campaign=1062&amp;utm_source=sheet", "Apply")</f>
        <v>Apply</v>
      </c>
      <c r="C77" s="10" t="s">
        <v>2671</v>
      </c>
      <c r="D77" s="56" t="s">
        <v>2672</v>
      </c>
      <c r="E77" s="10" t="s">
        <v>276</v>
      </c>
      <c r="F77" s="10" t="s">
        <v>2673</v>
      </c>
      <c r="G77" s="10" t="s">
        <v>2448</v>
      </c>
      <c r="H77" s="10" t="s">
        <v>2674</v>
      </c>
      <c r="I77" s="10" t="s">
        <v>55</v>
      </c>
      <c r="K77" s="10" t="s">
        <v>2675</v>
      </c>
      <c r="L77" s="10" t="s">
        <v>42</v>
      </c>
    </row>
    <row r="78" ht="15.75" customHeight="1">
      <c r="A78" s="66">
        <v>45499.0</v>
      </c>
      <c r="B78" s="55" t="str">
        <f>HYPERLINK("https://jobright.ai/jobs/info/66a3a5acc3f6a01b72d3b909?utm_campaign=1062&amp;utm_source=sheet", "Apply")</f>
        <v>Apply</v>
      </c>
      <c r="C78" s="10" t="s">
        <v>2676</v>
      </c>
      <c r="D78" s="56" t="s">
        <v>2677</v>
      </c>
      <c r="E78" s="10" t="s">
        <v>79</v>
      </c>
      <c r="F78" s="10" t="s">
        <v>2678</v>
      </c>
      <c r="G78" s="10" t="s">
        <v>2448</v>
      </c>
      <c r="H78" s="10" t="s">
        <v>2679</v>
      </c>
      <c r="I78" s="10" t="s">
        <v>48</v>
      </c>
      <c r="K78" s="10" t="s">
        <v>2680</v>
      </c>
      <c r="L78" s="10" t="s">
        <v>42</v>
      </c>
    </row>
    <row r="79" ht="15.75" customHeight="1">
      <c r="A79" s="66">
        <v>45499.0</v>
      </c>
      <c r="B79" s="55" t="str">
        <f>HYPERLINK("https://jobright.ai/jobs/info/6674474cfa2e16b323fa49b4?utm_campaign=1062&amp;utm_source=sheet", "Apply")</f>
        <v>Apply</v>
      </c>
      <c r="C79" s="10" t="s">
        <v>2681</v>
      </c>
      <c r="D79" s="56" t="s">
        <v>2682</v>
      </c>
      <c r="E79" s="10" t="s">
        <v>45</v>
      </c>
      <c r="F79" s="10" t="s">
        <v>1357</v>
      </c>
      <c r="G79" s="10" t="s">
        <v>2589</v>
      </c>
      <c r="H79" s="10" t="s">
        <v>822</v>
      </c>
      <c r="I79" s="10" t="s">
        <v>55</v>
      </c>
      <c r="J79" s="10" t="s">
        <v>2683</v>
      </c>
      <c r="K79" s="10" t="s">
        <v>2684</v>
      </c>
      <c r="L79" s="10" t="s">
        <v>42</v>
      </c>
    </row>
    <row r="80" ht="15.75" customHeight="1">
      <c r="A80" s="66">
        <v>45499.0</v>
      </c>
      <c r="B80" s="55" t="str">
        <f>HYPERLINK("https://jobright.ai/jobs/info/66a3c35caf4cce342f86fea2?utm_campaign=1062&amp;utm_source=sheet", "Apply")</f>
        <v>Apply</v>
      </c>
      <c r="C80" s="10" t="s">
        <v>2685</v>
      </c>
      <c r="D80" s="56" t="s">
        <v>385</v>
      </c>
      <c r="E80" s="10" t="s">
        <v>45</v>
      </c>
      <c r="F80" s="10" t="s">
        <v>386</v>
      </c>
      <c r="G80" s="10" t="s">
        <v>2502</v>
      </c>
      <c r="H80" s="10" t="s">
        <v>423</v>
      </c>
      <c r="I80" s="10" t="s">
        <v>55</v>
      </c>
      <c r="J80" s="10" t="s">
        <v>1231</v>
      </c>
      <c r="K80" s="10" t="s">
        <v>2686</v>
      </c>
      <c r="L80" s="10" t="s">
        <v>42</v>
      </c>
    </row>
    <row r="81" ht="15.75" customHeight="1">
      <c r="A81" s="66">
        <v>45499.0</v>
      </c>
      <c r="B81" s="55" t="str">
        <f>HYPERLINK("https://jobright.ai/jobs/info/65bbab9a77bd08d53c7030e2?utm_campaign=1062&amp;utm_source=sheet", "Apply")</f>
        <v>Apply</v>
      </c>
      <c r="C81" s="10" t="s">
        <v>301</v>
      </c>
      <c r="D81" s="56" t="s">
        <v>614</v>
      </c>
      <c r="E81" s="10" t="s">
        <v>65</v>
      </c>
      <c r="F81" s="10" t="s">
        <v>615</v>
      </c>
      <c r="G81" s="10" t="s">
        <v>2448</v>
      </c>
      <c r="H81" s="10" t="s">
        <v>2687</v>
      </c>
      <c r="I81" s="10" t="s">
        <v>55</v>
      </c>
      <c r="K81" s="10" t="s">
        <v>2688</v>
      </c>
      <c r="L81" s="10" t="s">
        <v>42</v>
      </c>
    </row>
    <row r="82" ht="15.75" customHeight="1">
      <c r="A82" s="66">
        <v>45499.0</v>
      </c>
      <c r="B82" s="55" t="str">
        <f>HYPERLINK("https://jobright.ai/jobs/info/6677c6f764f2e472ffd627ee?utm_campaign=1062&amp;utm_source=sheet", "Apply")</f>
        <v>Apply</v>
      </c>
      <c r="C82" s="10" t="s">
        <v>2689</v>
      </c>
      <c r="D82" s="56" t="s">
        <v>2690</v>
      </c>
      <c r="E82" s="10" t="s">
        <v>45</v>
      </c>
      <c r="F82" s="10" t="s">
        <v>2691</v>
      </c>
      <c r="G82" s="10" t="s">
        <v>2495</v>
      </c>
      <c r="H82" s="10" t="s">
        <v>201</v>
      </c>
      <c r="I82" s="10" t="s">
        <v>48</v>
      </c>
      <c r="J82" s="10" t="s">
        <v>2692</v>
      </c>
      <c r="K82" s="10" t="s">
        <v>2693</v>
      </c>
      <c r="L82" s="10" t="s">
        <v>42</v>
      </c>
    </row>
    <row r="83" ht="15.75" customHeight="1">
      <c r="A83" s="66">
        <v>45499.0</v>
      </c>
      <c r="B83" s="55" t="str">
        <f>HYPERLINK("https://jobright.ai/jobs/info/65b43f7637b329c589670d12?utm_campaign=1062&amp;utm_source=sheet", "Apply")</f>
        <v>Apply</v>
      </c>
      <c r="C83" s="10" t="s">
        <v>2694</v>
      </c>
      <c r="D83" s="56" t="s">
        <v>2695</v>
      </c>
      <c r="E83" s="10" t="s">
        <v>209</v>
      </c>
      <c r="F83" s="10" t="s">
        <v>1815</v>
      </c>
      <c r="G83" s="10" t="s">
        <v>2448</v>
      </c>
      <c r="H83" s="10" t="s">
        <v>313</v>
      </c>
      <c r="I83" s="10" t="s">
        <v>55</v>
      </c>
      <c r="J83" s="10" t="s">
        <v>2696</v>
      </c>
      <c r="K83" s="10" t="s">
        <v>2697</v>
      </c>
      <c r="L83" s="10" t="s">
        <v>42</v>
      </c>
    </row>
    <row r="84" ht="15.75" customHeight="1">
      <c r="A84" s="66">
        <v>45499.0</v>
      </c>
      <c r="B84" s="55" t="str">
        <f>HYPERLINK("https://jobright.ai/jobs/info/664def9bcf7bdc8f73b3c510?utm_campaign=1062&amp;utm_source=sheet", "Apply")</f>
        <v>Apply</v>
      </c>
      <c r="C84" s="10" t="s">
        <v>2698</v>
      </c>
      <c r="D84" s="56" t="s">
        <v>2699</v>
      </c>
      <c r="E84" s="10" t="s">
        <v>249</v>
      </c>
      <c r="F84" s="10" t="s">
        <v>722</v>
      </c>
      <c r="G84" s="10" t="s">
        <v>2455</v>
      </c>
      <c r="H84" s="10" t="s">
        <v>73</v>
      </c>
      <c r="I84" s="10" t="s">
        <v>48</v>
      </c>
      <c r="K84" s="10" t="s">
        <v>2700</v>
      </c>
      <c r="L84" s="10" t="s">
        <v>42</v>
      </c>
    </row>
    <row r="85" ht="15.75" customHeight="1">
      <c r="A85" s="66">
        <v>45499.0</v>
      </c>
      <c r="B85" s="55" t="str">
        <f>HYPERLINK("https://jobright.ai/jobs/info/66744137bd65a761bf019baf?utm_campaign=1062&amp;utm_source=sheet", "Apply")</f>
        <v>Apply</v>
      </c>
      <c r="C85" s="10" t="s">
        <v>2701</v>
      </c>
      <c r="D85" s="56" t="s">
        <v>2702</v>
      </c>
      <c r="E85" s="10" t="s">
        <v>45</v>
      </c>
      <c r="F85" s="10" t="s">
        <v>2703</v>
      </c>
      <c r="G85" s="10" t="s">
        <v>2448</v>
      </c>
      <c r="H85" s="10" t="s">
        <v>313</v>
      </c>
      <c r="I85" s="10" t="s">
        <v>55</v>
      </c>
      <c r="J85" s="10" t="s">
        <v>2704</v>
      </c>
      <c r="K85" s="10" t="s">
        <v>2705</v>
      </c>
      <c r="L85" s="10" t="s">
        <v>42</v>
      </c>
    </row>
    <row r="86" ht="15.75" customHeight="1">
      <c r="A86" s="66">
        <v>45499.0</v>
      </c>
      <c r="B86" s="55" t="str">
        <f>HYPERLINK("https://jobright.ai/jobs/info/66892c32b1c4f94603c7c772?utm_campaign=1062&amp;utm_source=sheet", "Apply")</f>
        <v>Apply</v>
      </c>
      <c r="C86" s="10" t="s">
        <v>2706</v>
      </c>
      <c r="D86" s="56" t="s">
        <v>2707</v>
      </c>
      <c r="E86" s="10" t="s">
        <v>249</v>
      </c>
      <c r="F86" s="10" t="s">
        <v>539</v>
      </c>
      <c r="G86" s="10" t="s">
        <v>2502</v>
      </c>
      <c r="H86" s="10" t="s">
        <v>2708</v>
      </c>
      <c r="I86" s="10" t="s">
        <v>55</v>
      </c>
      <c r="J86" s="10" t="s">
        <v>2709</v>
      </c>
      <c r="K86" s="10" t="s">
        <v>2710</v>
      </c>
      <c r="L86" s="10" t="s">
        <v>42</v>
      </c>
    </row>
    <row r="87" ht="15.75" customHeight="1">
      <c r="A87" s="66">
        <v>45499.0</v>
      </c>
      <c r="B87" s="55" t="str">
        <f>HYPERLINK("https://jobright.ai/jobs/info/6677c39c2b6ed5133f4457cc?utm_campaign=1062&amp;utm_source=sheet", "Apply")</f>
        <v>Apply</v>
      </c>
      <c r="C87" s="10" t="s">
        <v>2711</v>
      </c>
      <c r="D87" s="56" t="s">
        <v>2712</v>
      </c>
      <c r="E87" s="10" t="s">
        <v>79</v>
      </c>
      <c r="F87" s="10" t="s">
        <v>2713</v>
      </c>
      <c r="G87" s="10" t="s">
        <v>2502</v>
      </c>
      <c r="H87" s="10" t="s">
        <v>698</v>
      </c>
      <c r="I87" s="10" t="s">
        <v>55</v>
      </c>
      <c r="J87" s="10" t="s">
        <v>2714</v>
      </c>
      <c r="K87" s="10" t="s">
        <v>2715</v>
      </c>
      <c r="L87" s="10" t="s">
        <v>42</v>
      </c>
    </row>
    <row r="88" ht="15.75" customHeight="1">
      <c r="A88" s="66">
        <v>45499.0</v>
      </c>
      <c r="B88" s="55" t="str">
        <f>HYPERLINK("https://jobright.ai/jobs/info/662e264c7a3263a4805669a8?utm_campaign=1062&amp;utm_source=sheet", "Apply")</f>
        <v>Apply</v>
      </c>
      <c r="C88" s="10" t="s">
        <v>2716</v>
      </c>
      <c r="D88" s="56" t="s">
        <v>2717</v>
      </c>
      <c r="E88" s="10" t="s">
        <v>65</v>
      </c>
      <c r="F88" s="10" t="s">
        <v>2718</v>
      </c>
      <c r="G88" s="10" t="s">
        <v>2605</v>
      </c>
      <c r="H88" s="10" t="s">
        <v>723</v>
      </c>
      <c r="I88" s="10" t="s">
        <v>55</v>
      </c>
      <c r="J88" s="10" t="s">
        <v>1189</v>
      </c>
      <c r="K88" s="10" t="s">
        <v>2719</v>
      </c>
      <c r="L88" s="10" t="s">
        <v>42</v>
      </c>
    </row>
    <row r="89" ht="15.75" customHeight="1">
      <c r="A89" s="66">
        <v>45499.0</v>
      </c>
      <c r="B89" s="55" t="str">
        <f>HYPERLINK("https://jobright.ai/jobs/info/6677c77664f2e472ffd63138?utm_campaign=1062&amp;utm_source=sheet", "Apply")</f>
        <v>Apply</v>
      </c>
      <c r="C89" s="10" t="s">
        <v>2720</v>
      </c>
      <c r="D89" s="56" t="s">
        <v>2721</v>
      </c>
      <c r="E89" s="10" t="s">
        <v>45</v>
      </c>
      <c r="F89" s="10" t="s">
        <v>2722</v>
      </c>
      <c r="G89" s="10" t="s">
        <v>2502</v>
      </c>
      <c r="H89" s="10" t="s">
        <v>313</v>
      </c>
      <c r="I89" s="10" t="s">
        <v>55</v>
      </c>
      <c r="J89" s="10" t="s">
        <v>2723</v>
      </c>
      <c r="K89" s="10" t="s">
        <v>2724</v>
      </c>
      <c r="L89" s="10" t="s">
        <v>42</v>
      </c>
    </row>
    <row r="90" ht="15.75" customHeight="1">
      <c r="A90" s="66">
        <v>45499.0</v>
      </c>
      <c r="B90" s="55" t="str">
        <f>HYPERLINK("https://jobright.ai/jobs/info/6677bd6e27c0e726e8f4eb4a?utm_campaign=1062&amp;utm_source=sheet", "Apply")</f>
        <v>Apply</v>
      </c>
      <c r="C90" s="10" t="s">
        <v>2725</v>
      </c>
      <c r="D90" s="56" t="s">
        <v>2726</v>
      </c>
      <c r="E90" s="10" t="s">
        <v>65</v>
      </c>
      <c r="F90" s="10" t="s">
        <v>85</v>
      </c>
      <c r="G90" s="10" t="s">
        <v>2464</v>
      </c>
      <c r="H90" s="10" t="s">
        <v>2727</v>
      </c>
      <c r="I90" s="10" t="s">
        <v>48</v>
      </c>
      <c r="J90" s="10" t="s">
        <v>2728</v>
      </c>
      <c r="K90" s="10" t="s">
        <v>2729</v>
      </c>
      <c r="L90" s="10" t="s">
        <v>42</v>
      </c>
    </row>
    <row r="91" ht="15.75" customHeight="1">
      <c r="A91" s="66">
        <v>45499.0</v>
      </c>
      <c r="B91" s="55" t="str">
        <f>HYPERLINK("https://jobright.ai/jobs/info/664e108210b4f1df29982315?utm_campaign=1062&amp;utm_source=sheet", "Apply")</f>
        <v>Apply</v>
      </c>
      <c r="C91" s="10" t="s">
        <v>2730</v>
      </c>
      <c r="D91" s="56" t="s">
        <v>2731</v>
      </c>
      <c r="E91" s="10" t="s">
        <v>65</v>
      </c>
      <c r="F91" s="10" t="s">
        <v>1234</v>
      </c>
      <c r="G91" s="10" t="s">
        <v>2464</v>
      </c>
      <c r="H91" s="10" t="s">
        <v>2732</v>
      </c>
      <c r="I91" s="10" t="s">
        <v>55</v>
      </c>
      <c r="K91" s="10" t="s">
        <v>2733</v>
      </c>
      <c r="L91" s="10" t="s">
        <v>42</v>
      </c>
    </row>
    <row r="92" ht="15.75" customHeight="1">
      <c r="A92" s="66">
        <v>45499.0</v>
      </c>
      <c r="B92" s="55" t="str">
        <f>HYPERLINK("https://jobright.ai/jobs/info/666a285ae606c79653b24c3c?utm_campaign=1062&amp;utm_source=sheet", "Apply")</f>
        <v>Apply</v>
      </c>
      <c r="C92" s="10" t="s">
        <v>301</v>
      </c>
      <c r="D92" s="56" t="s">
        <v>2734</v>
      </c>
      <c r="E92" s="10" t="s">
        <v>65</v>
      </c>
      <c r="F92" s="10" t="s">
        <v>486</v>
      </c>
      <c r="G92" s="10" t="s">
        <v>2470</v>
      </c>
      <c r="H92" s="10" t="s">
        <v>2735</v>
      </c>
      <c r="I92" s="10" t="s">
        <v>48</v>
      </c>
      <c r="J92" s="10" t="s">
        <v>1608</v>
      </c>
      <c r="K92" s="10" t="s">
        <v>2736</v>
      </c>
      <c r="L92" s="10" t="s">
        <v>42</v>
      </c>
    </row>
    <row r="93" ht="15.75" customHeight="1">
      <c r="A93" s="66">
        <v>45499.0</v>
      </c>
      <c r="B93" s="55" t="str">
        <f>HYPERLINK("https://jobright.ai/jobs/info/6675dccbd40a616e2378292a?utm_campaign=1062&amp;utm_source=sheet", "Apply")</f>
        <v>Apply</v>
      </c>
      <c r="C93" s="10" t="s">
        <v>2681</v>
      </c>
      <c r="D93" s="56" t="s">
        <v>2682</v>
      </c>
      <c r="E93" s="10" t="s">
        <v>45</v>
      </c>
      <c r="F93" s="10" t="s">
        <v>1357</v>
      </c>
      <c r="G93" s="10" t="s">
        <v>2589</v>
      </c>
      <c r="H93" s="10" t="s">
        <v>2737</v>
      </c>
      <c r="I93" s="10" t="s">
        <v>55</v>
      </c>
      <c r="J93" s="10" t="s">
        <v>2683</v>
      </c>
      <c r="K93" s="10" t="s">
        <v>2684</v>
      </c>
      <c r="L93" s="10" t="s">
        <v>42</v>
      </c>
    </row>
    <row r="94" ht="15.75" customHeight="1">
      <c r="A94" s="66">
        <v>45499.0</v>
      </c>
      <c r="B94" s="55" t="str">
        <f>HYPERLINK("https://jobright.ai/jobs/info/662b00a322c728ca054747df?utm_campaign=1062&amp;utm_source=sheet", "Apply")</f>
        <v>Apply</v>
      </c>
      <c r="C94" s="10" t="s">
        <v>301</v>
      </c>
      <c r="D94" s="56" t="s">
        <v>1223</v>
      </c>
      <c r="E94" s="10" t="s">
        <v>209</v>
      </c>
      <c r="F94" s="10" t="s">
        <v>1224</v>
      </c>
      <c r="G94" s="10" t="s">
        <v>2484</v>
      </c>
      <c r="H94" s="10" t="s">
        <v>2738</v>
      </c>
      <c r="I94" s="10" t="s">
        <v>55</v>
      </c>
      <c r="J94" s="10" t="s">
        <v>1984</v>
      </c>
      <c r="K94" s="10" t="s">
        <v>2739</v>
      </c>
      <c r="L94" s="10" t="s">
        <v>42</v>
      </c>
    </row>
    <row r="95" ht="15.75" customHeight="1">
      <c r="A95" s="66">
        <v>45499.0</v>
      </c>
      <c r="B95" s="55" t="str">
        <f>HYPERLINK("https://jobright.ai/jobs/info/664e111c10b4f1df29983042?utm_campaign=1062&amp;utm_source=sheet", "Apply")</f>
        <v>Apply</v>
      </c>
      <c r="C95" s="10" t="s">
        <v>2740</v>
      </c>
      <c r="D95" s="56" t="s">
        <v>2741</v>
      </c>
      <c r="E95" s="10" t="s">
        <v>79</v>
      </c>
      <c r="F95" s="10" t="s">
        <v>568</v>
      </c>
      <c r="G95" s="10" t="s">
        <v>2437</v>
      </c>
      <c r="H95" s="10" t="s">
        <v>434</v>
      </c>
      <c r="I95" s="10" t="s">
        <v>55</v>
      </c>
      <c r="J95" s="10" t="s">
        <v>2742</v>
      </c>
      <c r="K95" s="10" t="s">
        <v>2743</v>
      </c>
      <c r="L95" s="10" t="s">
        <v>42</v>
      </c>
    </row>
    <row r="96" ht="15.75" customHeight="1">
      <c r="A96" s="66">
        <v>45499.0</v>
      </c>
      <c r="B96" s="55" t="str">
        <f>HYPERLINK("https://jobright.ai/jobs/info/6542fe214f07d9e55de56e24?utm_campaign=1062&amp;utm_source=sheet", "Apply")</f>
        <v>Apply</v>
      </c>
      <c r="C96" s="10" t="s">
        <v>2744</v>
      </c>
      <c r="D96" s="56" t="s">
        <v>2745</v>
      </c>
      <c r="E96" s="10" t="s">
        <v>65</v>
      </c>
      <c r="F96" s="10" t="s">
        <v>2746</v>
      </c>
      <c r="G96" s="10" t="s">
        <v>2464</v>
      </c>
      <c r="H96" s="10" t="s">
        <v>505</v>
      </c>
      <c r="I96" s="10" t="s">
        <v>55</v>
      </c>
      <c r="K96" s="10" t="s">
        <v>2747</v>
      </c>
      <c r="L96" s="10" t="s">
        <v>42</v>
      </c>
    </row>
    <row r="97" ht="15.75" customHeight="1">
      <c r="A97" s="66">
        <v>45499.0</v>
      </c>
      <c r="B97" s="55" t="str">
        <f>HYPERLINK("https://jobright.ai/jobs/info/6683ecc70980a1d175d12d11?utm_campaign=1062&amp;utm_source=sheet", "Apply")</f>
        <v>Apply</v>
      </c>
      <c r="C97" s="10" t="s">
        <v>2748</v>
      </c>
      <c r="D97" s="56" t="s">
        <v>2749</v>
      </c>
      <c r="E97" s="10" t="s">
        <v>45</v>
      </c>
      <c r="F97" s="10" t="s">
        <v>2750</v>
      </c>
      <c r="G97" s="10" t="s">
        <v>2455</v>
      </c>
      <c r="H97" s="10" t="s">
        <v>159</v>
      </c>
      <c r="I97" s="10" t="s">
        <v>55</v>
      </c>
      <c r="K97" s="10" t="s">
        <v>2751</v>
      </c>
      <c r="L97" s="10" t="s">
        <v>42</v>
      </c>
    </row>
    <row r="98" ht="15.75" customHeight="1">
      <c r="A98" s="66">
        <v>45499.0</v>
      </c>
      <c r="B98" s="55" t="str">
        <f>HYPERLINK("https://jobright.ai/jobs/info/6572cb87c3237eb5936ae4f8?utm_campaign=1062&amp;utm_source=sheet", "Apply")</f>
        <v>Apply</v>
      </c>
      <c r="C98" s="10" t="s">
        <v>2752</v>
      </c>
      <c r="D98" s="56" t="s">
        <v>743</v>
      </c>
      <c r="E98" s="10" t="s">
        <v>249</v>
      </c>
      <c r="F98" s="10" t="s">
        <v>85</v>
      </c>
      <c r="G98" s="10" t="s">
        <v>2437</v>
      </c>
      <c r="H98" s="10" t="s">
        <v>572</v>
      </c>
      <c r="I98" s="10" t="s">
        <v>55</v>
      </c>
      <c r="K98" s="10" t="s">
        <v>2753</v>
      </c>
      <c r="L98" s="10" t="s">
        <v>42</v>
      </c>
    </row>
    <row r="99" ht="15.75" customHeight="1">
      <c r="A99" s="66">
        <v>45499.0</v>
      </c>
      <c r="B99" s="55" t="str">
        <f>HYPERLINK("https://jobright.ai/jobs/info/6677b7109c2d9fa5bf087479?utm_campaign=1062&amp;utm_source=sheet", "Apply")</f>
        <v>Apply</v>
      </c>
      <c r="C99" s="10" t="s">
        <v>2754</v>
      </c>
      <c r="D99" s="56" t="s">
        <v>2721</v>
      </c>
      <c r="E99" s="10" t="s">
        <v>45</v>
      </c>
      <c r="F99" s="10" t="s">
        <v>2722</v>
      </c>
      <c r="G99" s="10" t="s">
        <v>2448</v>
      </c>
      <c r="H99" s="10" t="s">
        <v>313</v>
      </c>
      <c r="I99" s="10" t="s">
        <v>55</v>
      </c>
      <c r="J99" s="10" t="s">
        <v>2755</v>
      </c>
      <c r="K99" s="10" t="s">
        <v>2756</v>
      </c>
      <c r="L99" s="10" t="s">
        <v>42</v>
      </c>
    </row>
    <row r="100" ht="15.75" customHeight="1">
      <c r="A100" s="66">
        <v>45499.0</v>
      </c>
      <c r="B100" s="55" t="str">
        <f>HYPERLINK("https://jobright.ai/jobs/info/65d9080d01bfe2ac56f75951?utm_campaign=1062&amp;utm_source=sheet", "Apply")</f>
        <v>Apply</v>
      </c>
      <c r="C100" s="10" t="s">
        <v>1716</v>
      </c>
      <c r="D100" s="56" t="s">
        <v>2757</v>
      </c>
      <c r="E100" s="10" t="s">
        <v>79</v>
      </c>
      <c r="F100" s="10" t="s">
        <v>2758</v>
      </c>
      <c r="G100" s="10" t="s">
        <v>2443</v>
      </c>
      <c r="H100" s="10" t="s">
        <v>2759</v>
      </c>
      <c r="I100" s="10" t="s">
        <v>55</v>
      </c>
      <c r="J100" s="10" t="s">
        <v>2760</v>
      </c>
      <c r="K100" s="10" t="s">
        <v>2761</v>
      </c>
      <c r="L100" s="10" t="s">
        <v>42</v>
      </c>
    </row>
    <row r="101" ht="15.75" customHeight="1">
      <c r="A101" s="66">
        <v>45499.0</v>
      </c>
      <c r="B101" s="55" t="str">
        <f>HYPERLINK("https://jobright.ai/jobs/info/662275108efd11f747518029?utm_campaign=1062&amp;utm_source=sheet", "Apply")</f>
        <v>Apply</v>
      </c>
      <c r="C101" s="10" t="s">
        <v>2762</v>
      </c>
      <c r="D101" s="56" t="s">
        <v>2763</v>
      </c>
      <c r="E101" s="10" t="s">
        <v>45</v>
      </c>
      <c r="F101" s="10" t="s">
        <v>1465</v>
      </c>
      <c r="G101" s="10" t="s">
        <v>2470</v>
      </c>
      <c r="H101" s="10" t="s">
        <v>106</v>
      </c>
      <c r="I101" s="10" t="s">
        <v>55</v>
      </c>
      <c r="J101" s="10" t="s">
        <v>2764</v>
      </c>
      <c r="K101" s="10" t="s">
        <v>2765</v>
      </c>
      <c r="L101" s="10" t="s">
        <v>42</v>
      </c>
    </row>
    <row r="102" ht="15.75" customHeight="1">
      <c r="A102" s="66">
        <v>45499.0</v>
      </c>
      <c r="B102" s="55" t="str">
        <f>HYPERLINK("https://jobright.ai/jobs/info/6677b7909c2d9fa5bf087d3d?utm_campaign=1062&amp;utm_source=sheet", "Apply")</f>
        <v>Apply</v>
      </c>
      <c r="C102" s="10" t="s">
        <v>2766</v>
      </c>
      <c r="D102" s="56" t="s">
        <v>2721</v>
      </c>
      <c r="E102" s="10" t="s">
        <v>45</v>
      </c>
      <c r="F102" s="10" t="s">
        <v>2722</v>
      </c>
      <c r="G102" s="10" t="s">
        <v>2502</v>
      </c>
      <c r="H102" s="10" t="s">
        <v>423</v>
      </c>
      <c r="I102" s="10" t="s">
        <v>55</v>
      </c>
      <c r="J102" s="10" t="s">
        <v>2767</v>
      </c>
      <c r="K102" s="10" t="s">
        <v>2768</v>
      </c>
      <c r="L102" s="10" t="s">
        <v>42</v>
      </c>
    </row>
    <row r="103" ht="15.75" customHeight="1">
      <c r="A103" s="66">
        <v>45499.0</v>
      </c>
      <c r="B103" s="55" t="str">
        <f>HYPERLINK("https://jobright.ai/jobs/info/668bb6b617dee337729250e2?utm_campaign=1062&amp;utm_source=sheet", "Apply")</f>
        <v>Apply</v>
      </c>
      <c r="C103" s="10" t="s">
        <v>2769</v>
      </c>
      <c r="D103" s="56" t="s">
        <v>99</v>
      </c>
      <c r="E103" s="10" t="s">
        <v>45</v>
      </c>
      <c r="F103" s="10" t="s">
        <v>100</v>
      </c>
      <c r="G103" s="10" t="s">
        <v>2484</v>
      </c>
      <c r="H103" s="10" t="s">
        <v>411</v>
      </c>
      <c r="I103" s="10" t="s">
        <v>55</v>
      </c>
      <c r="K103" s="10" t="s">
        <v>2770</v>
      </c>
      <c r="L103" s="10" t="s">
        <v>42</v>
      </c>
    </row>
    <row r="104" ht="15.75" customHeight="1">
      <c r="A104" s="66">
        <v>45499.0</v>
      </c>
      <c r="B104" s="55" t="str">
        <f>HYPERLINK("https://jobright.ai/jobs/info/6629661311e5847fa4a84236?utm_campaign=1062&amp;utm_source=sheet", "Apply")</f>
        <v>Apply</v>
      </c>
      <c r="C104" s="10" t="s">
        <v>2771</v>
      </c>
      <c r="D104" s="56" t="s">
        <v>385</v>
      </c>
      <c r="E104" s="10" t="s">
        <v>45</v>
      </c>
      <c r="F104" s="10" t="s">
        <v>386</v>
      </c>
      <c r="G104" s="10" t="s">
        <v>2448</v>
      </c>
      <c r="H104" s="10" t="s">
        <v>896</v>
      </c>
      <c r="I104" s="10" t="s">
        <v>55</v>
      </c>
      <c r="J104" s="10" t="s">
        <v>2772</v>
      </c>
      <c r="K104" s="10" t="s">
        <v>2773</v>
      </c>
      <c r="L104" s="10" t="s">
        <v>42</v>
      </c>
    </row>
    <row r="105" ht="15.75" customHeight="1">
      <c r="A105" s="66">
        <v>45499.0</v>
      </c>
      <c r="B105" s="55" t="str">
        <f>HYPERLINK("https://jobright.ai/jobs/info/66a3a5d7c3f6a01b72d3bcf9?utm_campaign=1062&amp;utm_source=sheet", "Apply")</f>
        <v>Apply</v>
      </c>
      <c r="C105" s="10" t="s">
        <v>2774</v>
      </c>
      <c r="D105" s="56" t="s">
        <v>2775</v>
      </c>
      <c r="E105" s="10" t="s">
        <v>45</v>
      </c>
      <c r="F105" s="10" t="s">
        <v>665</v>
      </c>
      <c r="G105" s="10" t="s">
        <v>2448</v>
      </c>
      <c r="H105" s="10" t="s">
        <v>423</v>
      </c>
      <c r="I105" s="10" t="s">
        <v>55</v>
      </c>
      <c r="J105" s="10" t="s">
        <v>2776</v>
      </c>
      <c r="K105" s="10" t="s">
        <v>2777</v>
      </c>
      <c r="L105" s="10" t="s">
        <v>42</v>
      </c>
    </row>
    <row r="106" ht="15.75" customHeight="1">
      <c r="A106" s="66">
        <v>45499.0</v>
      </c>
      <c r="B106" s="55" t="str">
        <f>HYPERLINK("https://jobright.ai/jobs/info/6675ac196d8340c59f8e4650?utm_campaign=1062&amp;utm_source=sheet", "Apply")</f>
        <v>Apply</v>
      </c>
      <c r="C106" s="10" t="s">
        <v>2681</v>
      </c>
      <c r="D106" s="56" t="s">
        <v>2682</v>
      </c>
      <c r="E106" s="10" t="s">
        <v>45</v>
      </c>
      <c r="F106" s="10" t="s">
        <v>1357</v>
      </c>
      <c r="G106" s="10" t="s">
        <v>2589</v>
      </c>
      <c r="H106" s="10" t="s">
        <v>434</v>
      </c>
      <c r="I106" s="10" t="s">
        <v>55</v>
      </c>
      <c r="J106" s="10" t="s">
        <v>2778</v>
      </c>
      <c r="K106" s="10" t="s">
        <v>2684</v>
      </c>
      <c r="L106" s="10" t="s">
        <v>42</v>
      </c>
    </row>
    <row r="107" ht="15.75" customHeight="1">
      <c r="A107" s="66">
        <v>45499.0</v>
      </c>
      <c r="B107" s="55" t="str">
        <f>HYPERLINK("https://jobright.ai/jobs/info/6677b6ec9c2d9fa5bf087280?utm_campaign=1062&amp;utm_source=sheet", "Apply")</f>
        <v>Apply</v>
      </c>
      <c r="C107" s="10" t="s">
        <v>2779</v>
      </c>
      <c r="D107" s="56" t="s">
        <v>2780</v>
      </c>
      <c r="E107" s="10" t="s">
        <v>249</v>
      </c>
      <c r="F107" s="10" t="s">
        <v>2781</v>
      </c>
      <c r="G107" s="10" t="s">
        <v>2589</v>
      </c>
      <c r="H107" s="10" t="s">
        <v>948</v>
      </c>
      <c r="I107" s="10" t="s">
        <v>55</v>
      </c>
      <c r="K107" s="10" t="s">
        <v>2782</v>
      </c>
      <c r="L107" s="10" t="s">
        <v>42</v>
      </c>
    </row>
    <row r="108" ht="15.75" customHeight="1">
      <c r="A108" s="66">
        <v>45499.0</v>
      </c>
      <c r="B108" s="55" t="str">
        <f>HYPERLINK("https://jobright.ai/jobs/info/66a3a5d7c3f6a01b72d3bd15?utm_campaign=1062&amp;utm_source=sheet", "Apply")</f>
        <v>Apply</v>
      </c>
      <c r="C108" s="10" t="s">
        <v>2783</v>
      </c>
      <c r="D108" s="56" t="s">
        <v>2784</v>
      </c>
      <c r="E108" s="10" t="s">
        <v>45</v>
      </c>
      <c r="F108" s="10" t="s">
        <v>1506</v>
      </c>
      <c r="G108" s="10" t="s">
        <v>2579</v>
      </c>
      <c r="H108" s="10" t="s">
        <v>792</v>
      </c>
      <c r="I108" s="10" t="s">
        <v>55</v>
      </c>
      <c r="J108" s="10" t="s">
        <v>2785</v>
      </c>
      <c r="K108" s="10" t="s">
        <v>2786</v>
      </c>
      <c r="L108" s="10" t="s">
        <v>42</v>
      </c>
    </row>
    <row r="109" ht="15.75" customHeight="1">
      <c r="A109" s="66">
        <v>45499.0</v>
      </c>
      <c r="B109" s="55" t="str">
        <f>HYPERLINK("https://jobright.ai/jobs/info/664e119c10b4f1df29983b30?utm_campaign=1062&amp;utm_source=sheet", "Apply")</f>
        <v>Apply</v>
      </c>
      <c r="C109" s="10" t="s">
        <v>2787</v>
      </c>
      <c r="D109" s="56" t="s">
        <v>2699</v>
      </c>
      <c r="E109" s="10" t="s">
        <v>249</v>
      </c>
      <c r="F109" s="10" t="s">
        <v>722</v>
      </c>
      <c r="G109" s="10" t="s">
        <v>2448</v>
      </c>
      <c r="H109" s="10" t="s">
        <v>73</v>
      </c>
      <c r="I109" s="10" t="s">
        <v>55</v>
      </c>
      <c r="K109" s="10" t="s">
        <v>2788</v>
      </c>
      <c r="L109" s="10" t="s">
        <v>42</v>
      </c>
    </row>
    <row r="110" ht="15.75" customHeight="1">
      <c r="A110" s="66">
        <v>45499.0</v>
      </c>
      <c r="B110" s="55" t="str">
        <f>HYPERLINK("https://jobright.ai/jobs/info/66a3a818beefa7511a0d9481?utm_campaign=1062&amp;utm_source=sheet", "Apply")</f>
        <v>Apply</v>
      </c>
      <c r="C110" s="10" t="s">
        <v>2789</v>
      </c>
      <c r="D110" s="56" t="s">
        <v>2493</v>
      </c>
      <c r="E110" s="10" t="s">
        <v>45</v>
      </c>
      <c r="F110" s="10" t="s">
        <v>2494</v>
      </c>
      <c r="G110" s="10" t="s">
        <v>2484</v>
      </c>
      <c r="H110" s="10" t="s">
        <v>936</v>
      </c>
      <c r="I110" s="10" t="s">
        <v>55</v>
      </c>
      <c r="K110" s="10" t="s">
        <v>2790</v>
      </c>
      <c r="L110" s="10" t="s">
        <v>42</v>
      </c>
    </row>
    <row r="111" ht="15.75" customHeight="1">
      <c r="A111" s="66">
        <v>45499.0</v>
      </c>
      <c r="B111" s="55" t="str">
        <f>HYPERLINK("https://jobright.ai/jobs/info/6686b8b5d3ab724e3f97f30d?utm_campaign=1062&amp;utm_source=sheet", "Apply")</f>
        <v>Apply</v>
      </c>
      <c r="C111" s="10" t="s">
        <v>2791</v>
      </c>
      <c r="D111" s="56" t="s">
        <v>2792</v>
      </c>
      <c r="E111" s="10" t="s">
        <v>45</v>
      </c>
      <c r="F111" s="10" t="s">
        <v>2793</v>
      </c>
      <c r="G111" s="10" t="s">
        <v>2470</v>
      </c>
      <c r="H111" s="10" t="s">
        <v>774</v>
      </c>
      <c r="I111" s="10" t="s">
        <v>55</v>
      </c>
      <c r="J111" s="10" t="s">
        <v>2794</v>
      </c>
      <c r="L111" s="10" t="s">
        <v>42</v>
      </c>
    </row>
    <row r="112" ht="15.75" customHeight="1">
      <c r="A112" s="66">
        <v>45499.0</v>
      </c>
      <c r="B112" s="55" t="str">
        <f>HYPERLINK("https://jobright.ai/jobs/info/66a3b1ebcc8f335cd486c667?utm_campaign=1062&amp;utm_source=sheet", "Apply")</f>
        <v>Apply</v>
      </c>
      <c r="C112" s="10" t="s">
        <v>2795</v>
      </c>
      <c r="D112" s="56" t="s">
        <v>204</v>
      </c>
      <c r="E112" s="10" t="s">
        <v>45</v>
      </c>
      <c r="F112" s="10" t="s">
        <v>205</v>
      </c>
      <c r="G112" s="10" t="s">
        <v>2455</v>
      </c>
      <c r="H112" s="10" t="s">
        <v>153</v>
      </c>
      <c r="I112" s="10" t="s">
        <v>55</v>
      </c>
      <c r="K112" s="10" t="s">
        <v>2796</v>
      </c>
      <c r="L112" s="10" t="s">
        <v>42</v>
      </c>
    </row>
    <row r="113" ht="15.75" customHeight="1">
      <c r="A113" s="66">
        <v>45499.0</v>
      </c>
      <c r="B113" s="55" t="str">
        <f>HYPERLINK("https://jobright.ai/jobs/info/668bb6bf17dee337729251e7?utm_campaign=1062&amp;utm_source=sheet", "Apply")</f>
        <v>Apply</v>
      </c>
      <c r="C113" s="10" t="s">
        <v>2797</v>
      </c>
      <c r="D113" s="56" t="s">
        <v>743</v>
      </c>
      <c r="E113" s="10" t="s">
        <v>249</v>
      </c>
      <c r="F113" s="10" t="s">
        <v>85</v>
      </c>
      <c r="G113" s="10" t="s">
        <v>2484</v>
      </c>
      <c r="H113" s="10" t="s">
        <v>605</v>
      </c>
      <c r="I113" s="10" t="s">
        <v>48</v>
      </c>
      <c r="K113" s="10" t="s">
        <v>2798</v>
      </c>
      <c r="L113" s="10" t="s">
        <v>42</v>
      </c>
    </row>
    <row r="114" ht="15.75" customHeight="1">
      <c r="A114" s="66">
        <v>45499.0</v>
      </c>
      <c r="B114" s="55" t="str">
        <f>HYPERLINK("https://jobright.ai/jobs/info/65ddc2bce9c2dc7e397dfebc?utm_campaign=1062&amp;utm_source=sheet", "Apply")</f>
        <v>Apply</v>
      </c>
      <c r="C114" s="10" t="s">
        <v>2799</v>
      </c>
      <c r="D114" s="56" t="s">
        <v>2800</v>
      </c>
      <c r="E114" s="10" t="s">
        <v>45</v>
      </c>
      <c r="F114" s="10" t="s">
        <v>2801</v>
      </c>
      <c r="G114" s="10" t="s">
        <v>2495</v>
      </c>
      <c r="H114" s="10" t="s">
        <v>2802</v>
      </c>
      <c r="I114" s="10" t="s">
        <v>48</v>
      </c>
      <c r="K114" s="10" t="s">
        <v>2803</v>
      </c>
      <c r="L114" s="10" t="s">
        <v>42</v>
      </c>
    </row>
    <row r="115" ht="15.75" customHeight="1">
      <c r="A115" s="66">
        <v>45499.0</v>
      </c>
      <c r="B115" s="55" t="str">
        <f>HYPERLINK("https://jobright.ai/jobs/info/6647c70ffe1d0b0468f1807a?utm_campaign=1062&amp;utm_source=sheet", "Apply")</f>
        <v>Apply</v>
      </c>
      <c r="C115" s="10" t="s">
        <v>2804</v>
      </c>
      <c r="D115" s="56" t="s">
        <v>2805</v>
      </c>
      <c r="E115" s="10" t="s">
        <v>276</v>
      </c>
      <c r="F115" s="10" t="s">
        <v>2806</v>
      </c>
      <c r="G115" s="10" t="s">
        <v>2807</v>
      </c>
      <c r="H115" s="10" t="s">
        <v>153</v>
      </c>
      <c r="I115" s="10" t="s">
        <v>55</v>
      </c>
      <c r="K115" s="10" t="s">
        <v>2808</v>
      </c>
      <c r="L115" s="10" t="s">
        <v>42</v>
      </c>
    </row>
    <row r="116" ht="15.75" customHeight="1">
      <c r="A116" s="66">
        <v>45499.0</v>
      </c>
      <c r="B116" s="55" t="str">
        <f>HYPERLINK("https://jobright.ai/jobs/info/6675938bbad9224db7bb73e8?utm_campaign=1062&amp;utm_source=sheet", "Apply")</f>
        <v>Apply</v>
      </c>
      <c r="C116" s="10" t="s">
        <v>2809</v>
      </c>
      <c r="D116" s="56" t="s">
        <v>2810</v>
      </c>
      <c r="E116" s="10" t="s">
        <v>209</v>
      </c>
      <c r="F116" s="10" t="s">
        <v>2811</v>
      </c>
      <c r="G116" s="10" t="s">
        <v>2448</v>
      </c>
      <c r="H116" s="10" t="s">
        <v>2812</v>
      </c>
      <c r="I116" s="10" t="s">
        <v>55</v>
      </c>
      <c r="J116" s="10" t="s">
        <v>2165</v>
      </c>
      <c r="K116" s="10" t="s">
        <v>2813</v>
      </c>
      <c r="L116" s="10" t="s">
        <v>42</v>
      </c>
    </row>
    <row r="117" ht="15.75" customHeight="1">
      <c r="A117" s="66">
        <v>45499.0</v>
      </c>
      <c r="B117" s="55" t="str">
        <f>HYPERLINK("https://jobright.ai/jobs/info/669a84489923480de0ec9397?utm_campaign=1062&amp;utm_source=sheet", "Apply")</f>
        <v>Apply</v>
      </c>
      <c r="C117" s="10" t="s">
        <v>2814</v>
      </c>
      <c r="D117" s="56" t="s">
        <v>2643</v>
      </c>
      <c r="E117" s="10" t="s">
        <v>45</v>
      </c>
      <c r="F117" s="10" t="s">
        <v>1564</v>
      </c>
      <c r="G117" s="10" t="s">
        <v>2470</v>
      </c>
      <c r="H117" s="10" t="s">
        <v>2815</v>
      </c>
      <c r="I117" s="10" t="s">
        <v>55</v>
      </c>
      <c r="K117" s="10" t="s">
        <v>2816</v>
      </c>
      <c r="L117" s="10" t="s">
        <v>42</v>
      </c>
    </row>
    <row r="118" ht="15.75" customHeight="1">
      <c r="A118" s="66">
        <v>45499.0</v>
      </c>
      <c r="B118" s="55" t="str">
        <f>HYPERLINK("https://jobright.ai/jobs/info/66a12107cfd8685b8923b82d?utm_campaign=1062&amp;utm_source=sheet", "Apply")</f>
        <v>Apply</v>
      </c>
      <c r="C118" s="10" t="s">
        <v>2817</v>
      </c>
      <c r="D118" s="56" t="s">
        <v>2818</v>
      </c>
      <c r="E118" s="10" t="s">
        <v>209</v>
      </c>
      <c r="F118" s="10" t="s">
        <v>2819</v>
      </c>
      <c r="G118" s="10" t="s">
        <v>2484</v>
      </c>
      <c r="H118" s="10" t="s">
        <v>2820</v>
      </c>
      <c r="I118" s="10" t="s">
        <v>55</v>
      </c>
      <c r="K118" s="10" t="s">
        <v>2821</v>
      </c>
      <c r="L118" s="10" t="s">
        <v>42</v>
      </c>
    </row>
    <row r="119" ht="15.75" customHeight="1">
      <c r="A119" s="66">
        <v>45499.0</v>
      </c>
      <c r="B119" s="55" t="str">
        <f>HYPERLINK("https://jobright.ai/jobs/info/6669a9d719644308d6bb6dcd?utm_campaign=1062&amp;utm_source=sheet", "Apply")</f>
        <v>Apply</v>
      </c>
      <c r="C119" s="10" t="s">
        <v>2822</v>
      </c>
      <c r="D119" s="56" t="s">
        <v>2823</v>
      </c>
      <c r="E119" s="10" t="s">
        <v>45</v>
      </c>
      <c r="F119" s="10" t="s">
        <v>2824</v>
      </c>
      <c r="G119" s="10" t="s">
        <v>2605</v>
      </c>
      <c r="H119" s="10" t="s">
        <v>994</v>
      </c>
      <c r="I119" s="10" t="s">
        <v>55</v>
      </c>
      <c r="K119" s="10" t="s">
        <v>2825</v>
      </c>
      <c r="L119" s="10" t="s">
        <v>42</v>
      </c>
    </row>
    <row r="120" ht="15.75" customHeight="1">
      <c r="A120" s="66">
        <v>45499.0</v>
      </c>
      <c r="B120" s="55" t="str">
        <f>HYPERLINK("https://jobright.ai/jobs/info/65cebe0952eef7fc176f97ef?utm_campaign=1062&amp;utm_source=sheet", "Apply")</f>
        <v>Apply</v>
      </c>
      <c r="C120" s="10" t="s">
        <v>2826</v>
      </c>
      <c r="D120" s="56" t="s">
        <v>2827</v>
      </c>
      <c r="E120" s="10" t="s">
        <v>65</v>
      </c>
      <c r="F120" s="10" t="s">
        <v>2828</v>
      </c>
      <c r="G120" s="10" t="s">
        <v>2448</v>
      </c>
      <c r="H120" s="10" t="s">
        <v>2829</v>
      </c>
      <c r="I120" s="10" t="s">
        <v>55</v>
      </c>
      <c r="K120" s="10" t="s">
        <v>2830</v>
      </c>
      <c r="L120" s="10" t="s">
        <v>42</v>
      </c>
    </row>
    <row r="121" ht="15.75" customHeight="1">
      <c r="A121" s="66">
        <v>45499.0</v>
      </c>
      <c r="B121" s="55" t="str">
        <f>HYPERLINK("https://jobright.ai/jobs/info/66796428f6b36b4aa01a45b7?utm_campaign=1062&amp;utm_source=sheet", "Apply")</f>
        <v>Apply</v>
      </c>
      <c r="C121" s="10" t="s">
        <v>2762</v>
      </c>
      <c r="D121" s="56" t="s">
        <v>2763</v>
      </c>
      <c r="E121" s="10" t="s">
        <v>45</v>
      </c>
      <c r="F121" s="10" t="s">
        <v>1465</v>
      </c>
      <c r="G121" s="10" t="s">
        <v>2470</v>
      </c>
      <c r="H121" s="10" t="s">
        <v>2831</v>
      </c>
      <c r="I121" s="10" t="s">
        <v>55</v>
      </c>
      <c r="J121" s="10" t="s">
        <v>2764</v>
      </c>
      <c r="K121" s="10" t="s">
        <v>2832</v>
      </c>
      <c r="L121" s="10" t="s">
        <v>42</v>
      </c>
    </row>
    <row r="122" ht="15.75" customHeight="1">
      <c r="A122" s="66">
        <v>45499.0</v>
      </c>
      <c r="B122" s="55" t="str">
        <f>HYPERLINK("https://jobright.ai/jobs/info/6675e18fe95c1a0a225b8ddf?utm_campaign=1062&amp;utm_source=sheet", "Apply")</f>
        <v>Apply</v>
      </c>
      <c r="C122" s="10" t="s">
        <v>2833</v>
      </c>
      <c r="D122" s="56" t="s">
        <v>208</v>
      </c>
      <c r="E122" s="10" t="s">
        <v>209</v>
      </c>
      <c r="F122" s="10" t="s">
        <v>210</v>
      </c>
      <c r="G122" s="10" t="s">
        <v>2448</v>
      </c>
      <c r="H122" s="10" t="s">
        <v>211</v>
      </c>
      <c r="I122" s="10" t="s">
        <v>55</v>
      </c>
      <c r="K122" s="10" t="s">
        <v>2834</v>
      </c>
      <c r="L122" s="10" t="s">
        <v>42</v>
      </c>
    </row>
    <row r="123" ht="15.75" customHeight="1">
      <c r="A123" s="66">
        <v>45499.0</v>
      </c>
      <c r="B123" s="55" t="str">
        <f>HYPERLINK("https://jobright.ai/jobs/info/6674287f2e2115fb0d03ac17?utm_campaign=1062&amp;utm_source=sheet", "Apply")</f>
        <v>Apply</v>
      </c>
      <c r="C123" s="10" t="s">
        <v>2701</v>
      </c>
      <c r="D123" s="56" t="s">
        <v>2702</v>
      </c>
      <c r="E123" s="10" t="s">
        <v>45</v>
      </c>
      <c r="F123" s="10" t="s">
        <v>2703</v>
      </c>
      <c r="G123" s="10" t="s">
        <v>2448</v>
      </c>
      <c r="H123" s="10" t="s">
        <v>423</v>
      </c>
      <c r="I123" s="10" t="s">
        <v>55</v>
      </c>
      <c r="J123" s="10" t="s">
        <v>2704</v>
      </c>
      <c r="K123" s="10" t="s">
        <v>2705</v>
      </c>
      <c r="L123" s="10" t="s">
        <v>42</v>
      </c>
    </row>
    <row r="124" ht="15.75" customHeight="1">
      <c r="A124" s="66">
        <v>45499.0</v>
      </c>
      <c r="B124" s="55" t="str">
        <f>HYPERLINK("https://jobright.ai/jobs/info/666a3c83010f8db93007fbb5?utm_campaign=1062&amp;utm_source=sheet", "Apply")</f>
        <v>Apply</v>
      </c>
      <c r="C124" s="10" t="s">
        <v>2835</v>
      </c>
      <c r="D124" s="56" t="s">
        <v>2836</v>
      </c>
      <c r="E124" s="10" t="s">
        <v>45</v>
      </c>
      <c r="F124" s="10" t="s">
        <v>665</v>
      </c>
      <c r="G124" s="10" t="s">
        <v>2443</v>
      </c>
      <c r="H124" s="10" t="s">
        <v>2837</v>
      </c>
      <c r="I124" s="10" t="s">
        <v>48</v>
      </c>
      <c r="K124" s="10" t="s">
        <v>2838</v>
      </c>
      <c r="L124" s="10" t="s">
        <v>42</v>
      </c>
    </row>
    <row r="125" ht="15.75" customHeight="1">
      <c r="A125" s="66">
        <v>45499.0</v>
      </c>
      <c r="B125" s="55" t="str">
        <f>HYPERLINK("https://jobright.ai/jobs/info/65cbbc23075ce84a6c0a76a5?utm_campaign=1062&amp;utm_source=sheet", "Apply")</f>
        <v>Apply</v>
      </c>
      <c r="C125" s="10" t="s">
        <v>2839</v>
      </c>
      <c r="D125" s="56" t="s">
        <v>2840</v>
      </c>
      <c r="E125" s="10" t="s">
        <v>209</v>
      </c>
      <c r="F125" s="10" t="s">
        <v>2470</v>
      </c>
      <c r="G125" s="10" t="s">
        <v>2484</v>
      </c>
      <c r="H125" s="10" t="s">
        <v>96</v>
      </c>
      <c r="I125" s="10" t="s">
        <v>48</v>
      </c>
      <c r="J125" s="10" t="s">
        <v>2841</v>
      </c>
      <c r="K125" s="10" t="s">
        <v>2842</v>
      </c>
      <c r="L125" s="10" t="s">
        <v>42</v>
      </c>
    </row>
    <row r="126" ht="15.75" customHeight="1">
      <c r="A126" s="66">
        <v>45499.0</v>
      </c>
      <c r="B126" s="55" t="str">
        <f>HYPERLINK("https://jobright.ai/jobs/info/66800a5dea6c0b10693cf2ec?utm_campaign=1062&amp;utm_source=sheet", "Apply")</f>
        <v>Apply</v>
      </c>
      <c r="C126" s="10" t="s">
        <v>2701</v>
      </c>
      <c r="D126" s="56" t="s">
        <v>2702</v>
      </c>
      <c r="E126" s="10" t="s">
        <v>45</v>
      </c>
      <c r="F126" s="10" t="s">
        <v>2703</v>
      </c>
      <c r="G126" s="10" t="s">
        <v>2448</v>
      </c>
      <c r="H126" s="10" t="s">
        <v>144</v>
      </c>
      <c r="I126" s="10" t="s">
        <v>55</v>
      </c>
      <c r="J126" s="10" t="s">
        <v>2704</v>
      </c>
      <c r="K126" s="10" t="s">
        <v>2705</v>
      </c>
      <c r="L126" s="10" t="s">
        <v>42</v>
      </c>
    </row>
    <row r="127" ht="15.75" customHeight="1">
      <c r="A127" s="66">
        <v>45499.0</v>
      </c>
      <c r="B127" s="55" t="str">
        <f>HYPERLINK("https://jobright.ai/jobs/info/65b45b3c5e1a6a34f900dacc?utm_campaign=1062&amp;utm_source=sheet", "Apply")</f>
        <v>Apply</v>
      </c>
      <c r="C127" s="10" t="s">
        <v>2762</v>
      </c>
      <c r="D127" s="56" t="s">
        <v>2763</v>
      </c>
      <c r="E127" s="10" t="s">
        <v>45</v>
      </c>
      <c r="F127" s="10" t="s">
        <v>1465</v>
      </c>
      <c r="G127" s="10" t="s">
        <v>2470</v>
      </c>
      <c r="H127" s="10" t="s">
        <v>2843</v>
      </c>
      <c r="I127" s="10" t="s">
        <v>55</v>
      </c>
      <c r="J127" s="10" t="s">
        <v>2764</v>
      </c>
      <c r="K127" s="10" t="s">
        <v>2832</v>
      </c>
      <c r="L127" s="10" t="s">
        <v>42</v>
      </c>
    </row>
    <row r="128" ht="15.75" customHeight="1">
      <c r="A128" s="66">
        <v>45499.0</v>
      </c>
      <c r="B128" s="55" t="str">
        <f>HYPERLINK("https://jobright.ai/jobs/info/6677c77664f2e472ffd6314d?utm_campaign=1062&amp;utm_source=sheet", "Apply")</f>
        <v>Apply</v>
      </c>
      <c r="C128" s="10" t="s">
        <v>2844</v>
      </c>
      <c r="D128" s="56" t="s">
        <v>2845</v>
      </c>
      <c r="E128" s="10" t="s">
        <v>249</v>
      </c>
      <c r="F128" s="10" t="s">
        <v>2846</v>
      </c>
      <c r="G128" s="10" t="s">
        <v>2455</v>
      </c>
      <c r="H128" s="10" t="s">
        <v>251</v>
      </c>
      <c r="I128" s="10" t="s">
        <v>252</v>
      </c>
      <c r="K128" s="10" t="s">
        <v>2847</v>
      </c>
      <c r="L128" s="10" t="s">
        <v>42</v>
      </c>
    </row>
    <row r="129" ht="15.75" customHeight="1">
      <c r="A129" s="66">
        <v>45499.0</v>
      </c>
      <c r="B129" s="55" t="str">
        <f>HYPERLINK("https://jobright.ai/jobs/info/6677c7eb64f2e472ffd63981?utm_campaign=1062&amp;utm_source=sheet", "Apply")</f>
        <v>Apply</v>
      </c>
      <c r="C129" s="10" t="s">
        <v>2848</v>
      </c>
      <c r="D129" s="56" t="s">
        <v>2849</v>
      </c>
      <c r="E129" s="10" t="s">
        <v>65</v>
      </c>
      <c r="F129" s="10" t="s">
        <v>2850</v>
      </c>
      <c r="G129" s="10" t="s">
        <v>2470</v>
      </c>
      <c r="H129" s="10" t="s">
        <v>2851</v>
      </c>
      <c r="I129" s="10" t="s">
        <v>55</v>
      </c>
      <c r="K129" s="10" t="s">
        <v>2852</v>
      </c>
      <c r="L129" s="10" t="s">
        <v>42</v>
      </c>
    </row>
    <row r="130" ht="15.75" customHeight="1">
      <c r="A130" s="66">
        <v>45499.0</v>
      </c>
      <c r="B130" s="55" t="str">
        <f>HYPERLINK("https://jobright.ai/jobs/info/66a383e1302d222abe63e5f0?utm_campaign=1062&amp;utm_source=sheet", "Apply")</f>
        <v>Apply</v>
      </c>
      <c r="C130" s="10" t="s">
        <v>2853</v>
      </c>
      <c r="D130" s="56" t="s">
        <v>2818</v>
      </c>
      <c r="E130" s="10" t="s">
        <v>209</v>
      </c>
      <c r="F130" s="10" t="s">
        <v>2819</v>
      </c>
      <c r="G130" s="10" t="s">
        <v>2437</v>
      </c>
      <c r="H130" s="10" t="s">
        <v>2820</v>
      </c>
      <c r="I130" s="10" t="s">
        <v>55</v>
      </c>
      <c r="K130" s="10" t="s">
        <v>2854</v>
      </c>
      <c r="L130" s="10" t="s">
        <v>42</v>
      </c>
    </row>
    <row r="131" ht="15.75" customHeight="1">
      <c r="A131" s="66">
        <v>45499.0</v>
      </c>
      <c r="B131" s="55" t="str">
        <f>HYPERLINK("https://jobright.ai/jobs/info/664df04ccf7bdc8f73b3d4e0?utm_campaign=1062&amp;utm_source=sheet", "Apply")</f>
        <v>Apply</v>
      </c>
      <c r="C131" s="10" t="s">
        <v>2855</v>
      </c>
      <c r="D131" s="56" t="s">
        <v>2856</v>
      </c>
      <c r="E131" s="10" t="s">
        <v>209</v>
      </c>
      <c r="F131" s="10" t="s">
        <v>2857</v>
      </c>
      <c r="G131" s="10" t="s">
        <v>2495</v>
      </c>
      <c r="H131" s="10" t="s">
        <v>2858</v>
      </c>
      <c r="I131" s="10" t="s">
        <v>55</v>
      </c>
      <c r="K131" s="10" t="s">
        <v>2859</v>
      </c>
      <c r="L131" s="10" t="s">
        <v>42</v>
      </c>
    </row>
    <row r="132" ht="15.75" customHeight="1">
      <c r="A132" s="66">
        <v>45499.0</v>
      </c>
      <c r="B132" s="55" t="str">
        <f>HYPERLINK("https://jobright.ai/jobs/info/6661b9d0f615ddf344fc36f0?utm_campaign=1062&amp;utm_source=sheet", "Apply")</f>
        <v>Apply</v>
      </c>
      <c r="C132" s="10" t="s">
        <v>2860</v>
      </c>
      <c r="D132" s="56" t="s">
        <v>2823</v>
      </c>
      <c r="E132" s="10" t="s">
        <v>45</v>
      </c>
      <c r="F132" s="10" t="s">
        <v>2824</v>
      </c>
      <c r="G132" s="10" t="s">
        <v>2605</v>
      </c>
      <c r="H132" s="10" t="s">
        <v>2861</v>
      </c>
      <c r="I132" s="10" t="s">
        <v>55</v>
      </c>
      <c r="K132" s="10" t="s">
        <v>2862</v>
      </c>
      <c r="L132" s="10" t="s">
        <v>42</v>
      </c>
    </row>
    <row r="133" ht="15.75" customHeight="1">
      <c r="A133" s="66">
        <v>45499.0</v>
      </c>
      <c r="B133" s="55" t="str">
        <f>HYPERLINK("https://jobright.ai/jobs/info/668d2f4d6cbb6889454a48a5?utm_campaign=1062&amp;utm_source=sheet", "Apply")</f>
        <v>Apply</v>
      </c>
      <c r="C133" s="10" t="s">
        <v>2701</v>
      </c>
      <c r="D133" s="56" t="s">
        <v>2702</v>
      </c>
      <c r="E133" s="10" t="s">
        <v>45</v>
      </c>
      <c r="F133" s="10" t="s">
        <v>2703</v>
      </c>
      <c r="G133" s="10" t="s">
        <v>2448</v>
      </c>
      <c r="H133" s="10" t="s">
        <v>845</v>
      </c>
      <c r="I133" s="10" t="s">
        <v>55</v>
      </c>
      <c r="J133" s="10" t="s">
        <v>2704</v>
      </c>
      <c r="K133" s="10" t="s">
        <v>2705</v>
      </c>
      <c r="L133" s="10" t="s">
        <v>42</v>
      </c>
    </row>
    <row r="134" ht="15.75" customHeight="1">
      <c r="A134" s="66">
        <v>45499.0</v>
      </c>
      <c r="B134" s="55" t="str">
        <f>HYPERLINK("https://jobright.ai/jobs/info/669d1aca1e37f365816fcf68?utm_campaign=1062&amp;utm_source=sheet", "Apply")</f>
        <v>Apply</v>
      </c>
      <c r="C134" s="10" t="s">
        <v>2863</v>
      </c>
      <c r="D134" s="56" t="s">
        <v>2864</v>
      </c>
      <c r="E134" s="10" t="s">
        <v>65</v>
      </c>
      <c r="F134" s="10" t="s">
        <v>2865</v>
      </c>
      <c r="G134" s="10" t="s">
        <v>2484</v>
      </c>
      <c r="H134" s="10" t="s">
        <v>2866</v>
      </c>
      <c r="I134" s="10" t="s">
        <v>55</v>
      </c>
      <c r="K134" s="10" t="s">
        <v>2867</v>
      </c>
      <c r="L134" s="10" t="s">
        <v>42</v>
      </c>
    </row>
    <row r="135" ht="15.75" customHeight="1">
      <c r="A135" s="66">
        <v>45499.0</v>
      </c>
      <c r="B135" s="55" t="str">
        <f>HYPERLINK("https://jobright.ai/jobs/info/66795ba6dcb1db3fc098eca5?utm_campaign=1062&amp;utm_source=sheet", "Apply")</f>
        <v>Apply</v>
      </c>
      <c r="C135" s="10" t="s">
        <v>2630</v>
      </c>
      <c r="D135" s="56" t="s">
        <v>2631</v>
      </c>
      <c r="E135" s="10" t="s">
        <v>209</v>
      </c>
      <c r="F135" s="10" t="s">
        <v>2632</v>
      </c>
      <c r="G135" s="10" t="s">
        <v>2464</v>
      </c>
      <c r="H135" s="10" t="s">
        <v>896</v>
      </c>
      <c r="I135" s="10" t="s">
        <v>55</v>
      </c>
      <c r="K135" s="10" t="s">
        <v>2633</v>
      </c>
      <c r="L135" s="10" t="s">
        <v>42</v>
      </c>
    </row>
    <row r="136" ht="15.75" customHeight="1">
      <c r="A136" s="66">
        <v>45499.0</v>
      </c>
      <c r="B136" s="55" t="str">
        <f>HYPERLINK("https://jobright.ai/jobs/info/65b45b3c5e1a6a34f900dae2?utm_campaign=1062&amp;utm_source=sheet", "Apply")</f>
        <v>Apply</v>
      </c>
      <c r="C136" s="10" t="s">
        <v>2762</v>
      </c>
      <c r="D136" s="56" t="s">
        <v>2763</v>
      </c>
      <c r="E136" s="10" t="s">
        <v>45</v>
      </c>
      <c r="F136" s="10" t="s">
        <v>1465</v>
      </c>
      <c r="G136" s="10" t="s">
        <v>2470</v>
      </c>
      <c r="H136" s="10" t="s">
        <v>434</v>
      </c>
      <c r="I136" s="10" t="s">
        <v>55</v>
      </c>
      <c r="J136" s="10" t="s">
        <v>2764</v>
      </c>
      <c r="K136" s="10" t="s">
        <v>2765</v>
      </c>
      <c r="L136" s="10" t="s">
        <v>42</v>
      </c>
    </row>
    <row r="137" ht="15.75" customHeight="1">
      <c r="A137" s="66">
        <v>45499.0</v>
      </c>
      <c r="B137" s="55" t="str">
        <f>HYPERLINK("https://jobright.ai/jobs/info/667c0d16963e2f7d10373368?utm_campaign=1062&amp;utm_source=sheet", "Apply")</f>
        <v>Apply</v>
      </c>
      <c r="C137" s="10" t="s">
        <v>2868</v>
      </c>
      <c r="D137" s="56" t="s">
        <v>2869</v>
      </c>
      <c r="E137" s="10" t="s">
        <v>45</v>
      </c>
      <c r="F137" s="10" t="s">
        <v>2870</v>
      </c>
      <c r="G137" s="10" t="s">
        <v>2437</v>
      </c>
      <c r="H137" s="10" t="s">
        <v>1270</v>
      </c>
      <c r="I137" s="10" t="s">
        <v>55</v>
      </c>
      <c r="K137" s="10" t="s">
        <v>2871</v>
      </c>
      <c r="L137" s="10" t="s">
        <v>42</v>
      </c>
    </row>
    <row r="138" ht="15.75" customHeight="1">
      <c r="A138" s="66">
        <v>45499.0</v>
      </c>
      <c r="B138" s="55" t="str">
        <f>HYPERLINK("https://jobright.ai/jobs/info/65dc742d30725e0fda3a4022?utm_campaign=1062&amp;utm_source=sheet", "Apply")</f>
        <v>Apply</v>
      </c>
      <c r="C138" s="10" t="s">
        <v>2799</v>
      </c>
      <c r="D138" s="56" t="s">
        <v>2800</v>
      </c>
      <c r="E138" s="10" t="s">
        <v>45</v>
      </c>
      <c r="F138" s="10" t="s">
        <v>2801</v>
      </c>
      <c r="G138" s="10" t="s">
        <v>2495</v>
      </c>
      <c r="H138" s="10" t="s">
        <v>2872</v>
      </c>
      <c r="I138" s="10" t="s">
        <v>48</v>
      </c>
      <c r="K138" s="10" t="s">
        <v>2803</v>
      </c>
      <c r="L138" s="10" t="s">
        <v>42</v>
      </c>
    </row>
    <row r="139" ht="15.75" customHeight="1">
      <c r="A139" s="66">
        <v>45499.0</v>
      </c>
      <c r="B139" s="55" t="str">
        <f>HYPERLINK("https://jobright.ai/jobs/info/65dc81acbad8ff590292a4fd?utm_campaign=1062&amp;utm_source=sheet", "Apply")</f>
        <v>Apply</v>
      </c>
      <c r="C139" s="10" t="s">
        <v>2799</v>
      </c>
      <c r="D139" s="56" t="s">
        <v>2800</v>
      </c>
      <c r="E139" s="10" t="s">
        <v>45</v>
      </c>
      <c r="F139" s="10" t="s">
        <v>2801</v>
      </c>
      <c r="G139" s="10" t="s">
        <v>2495</v>
      </c>
      <c r="H139" s="10" t="s">
        <v>2873</v>
      </c>
      <c r="I139" s="10" t="s">
        <v>48</v>
      </c>
      <c r="K139" s="10" t="s">
        <v>2803</v>
      </c>
      <c r="L139" s="10" t="s">
        <v>42</v>
      </c>
    </row>
    <row r="140" ht="15.75" customHeight="1">
      <c r="A140" s="66">
        <v>45499.0</v>
      </c>
      <c r="B140" s="55" t="str">
        <f>HYPERLINK("https://jobright.ai/jobs/info/66230919130f6c8d5cbf80b2?utm_campaign=1062&amp;utm_source=sheet", "Apply")</f>
        <v>Apply</v>
      </c>
      <c r="C140" s="10" t="s">
        <v>2874</v>
      </c>
      <c r="D140" s="56" t="s">
        <v>2875</v>
      </c>
      <c r="E140" s="10">
        <v>108.0</v>
      </c>
      <c r="G140" s="10" t="s">
        <v>2437</v>
      </c>
      <c r="H140" s="10" t="s">
        <v>2876</v>
      </c>
      <c r="I140" s="10" t="s">
        <v>55</v>
      </c>
      <c r="J140" s="10" t="s">
        <v>2165</v>
      </c>
      <c r="K140" s="10" t="s">
        <v>2877</v>
      </c>
      <c r="L140" s="10" t="s">
        <v>42</v>
      </c>
    </row>
    <row r="141" ht="15.75" customHeight="1">
      <c r="A141" s="66">
        <v>45499.0</v>
      </c>
      <c r="B141" s="55" t="str">
        <f>HYPERLINK("https://jobright.ai/jobs/info/66a3850c2936fa0c4bc88f18?utm_campaign=1062&amp;utm_source=sheet", "Apply")</f>
        <v>Apply</v>
      </c>
      <c r="C141" s="10" t="s">
        <v>2878</v>
      </c>
      <c r="D141" s="56" t="s">
        <v>528</v>
      </c>
      <c r="E141" s="10" t="s">
        <v>65</v>
      </c>
      <c r="F141" s="10" t="s">
        <v>529</v>
      </c>
      <c r="G141" s="10" t="s">
        <v>2484</v>
      </c>
      <c r="H141" s="10" t="s">
        <v>530</v>
      </c>
      <c r="I141" s="10" t="s">
        <v>55</v>
      </c>
      <c r="K141" s="10" t="s">
        <v>531</v>
      </c>
      <c r="L141" s="10" t="s">
        <v>42</v>
      </c>
    </row>
    <row r="142" ht="15.75" customHeight="1">
      <c r="A142" s="66">
        <v>45499.0</v>
      </c>
      <c r="B142" s="55" t="str">
        <f>HYPERLINK("https://jobright.ai/jobs/info/66a3770bb6a2e4555024ac1b?utm_campaign=1062&amp;utm_source=sheet", "Apply")</f>
        <v>Apply</v>
      </c>
      <c r="C142" s="10" t="s">
        <v>2879</v>
      </c>
      <c r="D142" s="56" t="s">
        <v>1675</v>
      </c>
      <c r="E142" s="10" t="s">
        <v>45</v>
      </c>
      <c r="F142" s="10" t="s">
        <v>1676</v>
      </c>
      <c r="G142" s="10" t="s">
        <v>2455</v>
      </c>
      <c r="H142" s="10" t="s">
        <v>153</v>
      </c>
      <c r="I142" s="10" t="s">
        <v>55</v>
      </c>
      <c r="K142" s="10" t="s">
        <v>2880</v>
      </c>
      <c r="L142" s="10" t="s">
        <v>42</v>
      </c>
    </row>
    <row r="143" ht="15.75" customHeight="1">
      <c r="A143" s="66">
        <v>45499.0</v>
      </c>
      <c r="B143" s="55" t="str">
        <f>HYPERLINK("https://jobright.ai/jobs/info/66a3bea27158ac239b6ddd28?utm_campaign=1062&amp;utm_source=sheet", "Apply")</f>
        <v>Apply</v>
      </c>
      <c r="C143" s="10" t="s">
        <v>2881</v>
      </c>
      <c r="D143" s="56" t="s">
        <v>2882</v>
      </c>
      <c r="E143" s="10" t="s">
        <v>276</v>
      </c>
      <c r="F143" s="10" t="s">
        <v>2883</v>
      </c>
      <c r="G143" s="10" t="s">
        <v>2484</v>
      </c>
      <c r="H143" s="10" t="s">
        <v>2884</v>
      </c>
      <c r="I143" s="10" t="s">
        <v>55</v>
      </c>
      <c r="K143" s="10" t="s">
        <v>2885</v>
      </c>
      <c r="L143" s="10" t="s">
        <v>42</v>
      </c>
    </row>
    <row r="144" ht="15.75" customHeight="1">
      <c r="A144" s="66">
        <v>45499.0</v>
      </c>
      <c r="B144" s="55" t="str">
        <f>HYPERLINK("https://jobright.ai/jobs/info/66a385042936fa0c4bc88e90?utm_campaign=1062&amp;utm_source=sheet", "Apply")</f>
        <v>Apply</v>
      </c>
      <c r="C144" s="10" t="s">
        <v>2886</v>
      </c>
      <c r="D144" s="56" t="s">
        <v>2887</v>
      </c>
      <c r="E144" s="10">
        <v>594.0</v>
      </c>
      <c r="G144" s="10" t="s">
        <v>2484</v>
      </c>
      <c r="H144" s="10" t="s">
        <v>2888</v>
      </c>
      <c r="I144" s="10" t="s">
        <v>55</v>
      </c>
      <c r="K144" s="10" t="s">
        <v>2889</v>
      </c>
      <c r="L144" s="10" t="s">
        <v>42</v>
      </c>
    </row>
    <row r="145" ht="15.75" customHeight="1">
      <c r="A145" s="66">
        <v>45499.0</v>
      </c>
      <c r="B145" s="55" t="str">
        <f>HYPERLINK("https://jobright.ai/jobs/info/66a3beca7158ac239b6de1c9?utm_campaign=1062&amp;utm_source=sheet", "Apply")</f>
        <v>Apply</v>
      </c>
      <c r="C145" s="10" t="s">
        <v>2890</v>
      </c>
      <c r="D145" s="56" t="s">
        <v>2891</v>
      </c>
      <c r="G145" s="10" t="s">
        <v>2495</v>
      </c>
      <c r="H145" s="10" t="s">
        <v>2892</v>
      </c>
      <c r="I145" s="10" t="s">
        <v>55</v>
      </c>
      <c r="K145" s="10" t="s">
        <v>2893</v>
      </c>
      <c r="L145" s="10" t="s">
        <v>42</v>
      </c>
    </row>
    <row r="146" ht="15.75" customHeight="1">
      <c r="A146" s="66">
        <v>45499.0</v>
      </c>
      <c r="B146" s="55" t="str">
        <f>HYPERLINK("https://jobright.ai/jobs/info/66a34c72680eaab563826cc0?utm_campaign=1062&amp;utm_source=sheet", "Apply")</f>
        <v>Apply</v>
      </c>
      <c r="C146" s="10" t="s">
        <v>2894</v>
      </c>
      <c r="D146" s="56" t="s">
        <v>2895</v>
      </c>
      <c r="F146" s="10" t="s">
        <v>2896</v>
      </c>
      <c r="G146" s="10" t="s">
        <v>2455</v>
      </c>
      <c r="H146" s="10" t="s">
        <v>2897</v>
      </c>
      <c r="I146" s="10" t="s">
        <v>55</v>
      </c>
      <c r="K146" s="10" t="s">
        <v>2898</v>
      </c>
      <c r="L146" s="10" t="s">
        <v>42</v>
      </c>
    </row>
    <row r="147" ht="15.75" customHeight="1">
      <c r="A147" s="66">
        <v>45499.0</v>
      </c>
      <c r="B147" s="55" t="str">
        <f>HYPERLINK("https://jobright.ai/jobs/info/66a34102a09ff1b864112e35?utm_campaign=1062&amp;utm_source=sheet", "Apply")</f>
        <v>Apply</v>
      </c>
      <c r="C147" s="10" t="s">
        <v>2899</v>
      </c>
      <c r="D147" s="56" t="s">
        <v>2900</v>
      </c>
      <c r="E147" s="10" t="s">
        <v>209</v>
      </c>
      <c r="F147" s="10" t="s">
        <v>2901</v>
      </c>
      <c r="G147" s="10" t="s">
        <v>2484</v>
      </c>
      <c r="H147" s="10" t="s">
        <v>854</v>
      </c>
      <c r="I147" s="10" t="s">
        <v>55</v>
      </c>
      <c r="K147" s="10" t="s">
        <v>2902</v>
      </c>
      <c r="L147" s="10" t="s">
        <v>42</v>
      </c>
    </row>
    <row r="148" ht="15.75" customHeight="1">
      <c r="A148" s="66">
        <v>45499.0</v>
      </c>
      <c r="B148" s="55" t="str">
        <f>HYPERLINK("https://jobright.ai/jobs/info/66a36485d7b93732228f431e?utm_campaign=1062&amp;utm_source=sheet", "Apply")</f>
        <v>Apply</v>
      </c>
      <c r="C148" s="10" t="s">
        <v>2630</v>
      </c>
      <c r="D148" s="56" t="s">
        <v>2631</v>
      </c>
      <c r="E148" s="10" t="s">
        <v>209</v>
      </c>
      <c r="F148" s="10" t="s">
        <v>2632</v>
      </c>
      <c r="G148" s="10" t="s">
        <v>2464</v>
      </c>
      <c r="H148" s="10" t="s">
        <v>167</v>
      </c>
      <c r="I148" s="10" t="s">
        <v>55</v>
      </c>
      <c r="K148" s="10" t="s">
        <v>2633</v>
      </c>
      <c r="L148" s="10" t="s">
        <v>42</v>
      </c>
    </row>
    <row r="149" ht="15.75" customHeight="1">
      <c r="A149" s="66">
        <v>45499.0</v>
      </c>
      <c r="B149" s="55" t="str">
        <f>HYPERLINK("https://jobright.ai/jobs/info/66a33202888facd857263e09?utm_campaign=1062&amp;utm_source=sheet", "Apply")</f>
        <v>Apply</v>
      </c>
      <c r="C149" s="10" t="s">
        <v>2903</v>
      </c>
      <c r="D149" s="56" t="s">
        <v>716</v>
      </c>
      <c r="E149" s="10" t="s">
        <v>79</v>
      </c>
      <c r="F149" s="10" t="s">
        <v>717</v>
      </c>
      <c r="G149" s="10" t="s">
        <v>2605</v>
      </c>
      <c r="H149" s="10" t="s">
        <v>144</v>
      </c>
      <c r="I149" s="10" t="s">
        <v>55</v>
      </c>
      <c r="J149" s="10" t="s">
        <v>718</v>
      </c>
      <c r="K149" s="10" t="s">
        <v>2904</v>
      </c>
      <c r="L149" s="10" t="s">
        <v>42</v>
      </c>
    </row>
    <row r="150" ht="15.75" customHeight="1">
      <c r="A150" s="66">
        <v>45499.0</v>
      </c>
      <c r="B150" s="55" t="str">
        <f>HYPERLINK("https://jobright.ai/jobs/info/66a33483c1d653d8e99f62b8?utm_campaign=1062&amp;utm_source=sheet", "Apply")</f>
        <v>Apply</v>
      </c>
      <c r="C150" s="10" t="s">
        <v>2630</v>
      </c>
      <c r="D150" s="56" t="s">
        <v>2631</v>
      </c>
      <c r="E150" s="10" t="s">
        <v>209</v>
      </c>
      <c r="F150" s="10" t="s">
        <v>2632</v>
      </c>
      <c r="G150" s="10" t="s">
        <v>2464</v>
      </c>
      <c r="H150" s="10" t="s">
        <v>2905</v>
      </c>
      <c r="I150" s="10" t="s">
        <v>55</v>
      </c>
      <c r="K150" s="10" t="s">
        <v>2633</v>
      </c>
      <c r="L150" s="10" t="s">
        <v>42</v>
      </c>
    </row>
    <row r="151" ht="15.75" customHeight="1">
      <c r="A151" s="66">
        <v>45499.0</v>
      </c>
      <c r="B151" s="55" t="str">
        <f>HYPERLINK("https://jobright.ai/jobs/info/66a3442c32bfe5404cebe4b1?utm_campaign=1062&amp;utm_source=sheet", "Apply")</f>
        <v>Apply</v>
      </c>
      <c r="C151" s="10" t="s">
        <v>2630</v>
      </c>
      <c r="D151" s="56" t="s">
        <v>2631</v>
      </c>
      <c r="E151" s="10" t="s">
        <v>209</v>
      </c>
      <c r="F151" s="10" t="s">
        <v>2632</v>
      </c>
      <c r="G151" s="10" t="s">
        <v>2464</v>
      </c>
      <c r="H151" s="10" t="s">
        <v>169</v>
      </c>
      <c r="I151" s="10" t="s">
        <v>55</v>
      </c>
      <c r="K151" s="10" t="s">
        <v>2633</v>
      </c>
      <c r="L151" s="10" t="s">
        <v>42</v>
      </c>
    </row>
    <row r="152" ht="15.75" customHeight="1">
      <c r="A152" s="66">
        <v>45499.0</v>
      </c>
      <c r="B152" s="55" t="str">
        <f>HYPERLINK("https://jobright.ai/jobs/info/66a3ca0455a005da42ef5665?utm_campaign=1062&amp;utm_source=sheet", "Apply")</f>
        <v>Apply</v>
      </c>
      <c r="C152" s="10" t="s">
        <v>2906</v>
      </c>
      <c r="D152" s="56" t="s">
        <v>2907</v>
      </c>
      <c r="E152" s="10" t="s">
        <v>137</v>
      </c>
      <c r="F152" s="10" t="s">
        <v>2908</v>
      </c>
      <c r="G152" s="10" t="s">
        <v>2448</v>
      </c>
      <c r="H152" s="10" t="s">
        <v>2909</v>
      </c>
      <c r="I152" s="10" t="s">
        <v>55</v>
      </c>
      <c r="K152" s="10" t="s">
        <v>2910</v>
      </c>
      <c r="L152" s="10" t="s">
        <v>42</v>
      </c>
    </row>
    <row r="153" ht="15.75" customHeight="1">
      <c r="A153" s="66">
        <v>45499.0</v>
      </c>
      <c r="B153" s="55" t="str">
        <f>HYPERLINK("https://jobright.ai/jobs/info/66a32d6a28557607c2baca75?utm_campaign=1062&amp;utm_source=sheet", "Apply")</f>
        <v>Apply</v>
      </c>
      <c r="C153" s="10" t="s">
        <v>2630</v>
      </c>
      <c r="D153" s="56" t="s">
        <v>2631</v>
      </c>
      <c r="E153" s="10" t="s">
        <v>209</v>
      </c>
      <c r="F153" s="10" t="s">
        <v>2632</v>
      </c>
      <c r="G153" s="10" t="s">
        <v>2464</v>
      </c>
      <c r="H153" s="10" t="s">
        <v>923</v>
      </c>
      <c r="I153" s="10" t="s">
        <v>55</v>
      </c>
      <c r="K153" s="10" t="s">
        <v>2633</v>
      </c>
      <c r="L153" s="10" t="s">
        <v>42</v>
      </c>
    </row>
    <row r="154" ht="15.75" customHeight="1">
      <c r="A154" s="66">
        <v>45499.0</v>
      </c>
      <c r="B154" s="55" t="str">
        <f>HYPERLINK("https://jobright.ai/jobs/info/66a329621bfa53822468236a?utm_campaign=1062&amp;utm_source=sheet", "Apply")</f>
        <v>Apply</v>
      </c>
      <c r="C154" s="10" t="s">
        <v>2630</v>
      </c>
      <c r="D154" s="56" t="s">
        <v>2631</v>
      </c>
      <c r="E154" s="10" t="s">
        <v>209</v>
      </c>
      <c r="F154" s="10" t="s">
        <v>2632</v>
      </c>
      <c r="G154" s="10" t="s">
        <v>2464</v>
      </c>
      <c r="H154" s="10" t="s">
        <v>909</v>
      </c>
      <c r="I154" s="10" t="s">
        <v>55</v>
      </c>
      <c r="K154" s="10" t="s">
        <v>2633</v>
      </c>
      <c r="L154" s="10" t="s">
        <v>42</v>
      </c>
    </row>
    <row r="155" ht="15.75" customHeight="1">
      <c r="A155" s="66">
        <v>45499.0</v>
      </c>
      <c r="B155" s="55" t="str">
        <f>HYPERLINK("https://jobright.ai/jobs/info/66a3ca0455a005da42ef5692?utm_campaign=1062&amp;utm_source=sheet", "Apply")</f>
        <v>Apply</v>
      </c>
      <c r="C155" s="10" t="s">
        <v>2911</v>
      </c>
      <c r="D155" s="56" t="s">
        <v>2907</v>
      </c>
      <c r="E155" s="10" t="s">
        <v>137</v>
      </c>
      <c r="F155" s="10" t="s">
        <v>2908</v>
      </c>
      <c r="G155" s="10" t="s">
        <v>2484</v>
      </c>
      <c r="H155" s="10" t="s">
        <v>2909</v>
      </c>
      <c r="I155" s="10" t="s">
        <v>55</v>
      </c>
      <c r="K155" s="10" t="s">
        <v>2912</v>
      </c>
      <c r="L155" s="10" t="s">
        <v>42</v>
      </c>
    </row>
    <row r="156" ht="15.75" customHeight="1">
      <c r="A156" s="66">
        <v>45499.0</v>
      </c>
      <c r="B156" s="55" t="str">
        <f>HYPERLINK("https://jobright.ai/jobs/info/66a3398f75416a9b35d49375?utm_campaign=1062&amp;utm_source=sheet", "Apply")</f>
        <v>Apply</v>
      </c>
      <c r="C156" s="10" t="s">
        <v>2913</v>
      </c>
      <c r="D156" s="56" t="s">
        <v>2907</v>
      </c>
      <c r="E156" s="10" t="s">
        <v>137</v>
      </c>
      <c r="F156" s="10" t="s">
        <v>2908</v>
      </c>
      <c r="G156" s="10" t="s">
        <v>2484</v>
      </c>
      <c r="H156" s="10" t="s">
        <v>2909</v>
      </c>
      <c r="I156" s="10" t="s">
        <v>55</v>
      </c>
      <c r="K156" s="10" t="s">
        <v>2914</v>
      </c>
      <c r="L156" s="10" t="s">
        <v>42</v>
      </c>
    </row>
    <row r="157" ht="15.75" customHeight="1">
      <c r="A157" s="66">
        <v>45499.0</v>
      </c>
      <c r="B157" s="55" t="str">
        <f>HYPERLINK("https://jobright.ai/jobs/info/66a329621bfa538224682381?utm_campaign=1062&amp;utm_source=sheet", "Apply")</f>
        <v>Apply</v>
      </c>
      <c r="C157" s="10" t="s">
        <v>2915</v>
      </c>
      <c r="D157" s="56" t="s">
        <v>2916</v>
      </c>
      <c r="E157" s="10" t="s">
        <v>276</v>
      </c>
      <c r="F157" s="10" t="s">
        <v>2917</v>
      </c>
      <c r="G157" s="10" t="s">
        <v>2502</v>
      </c>
      <c r="H157" s="10" t="s">
        <v>423</v>
      </c>
      <c r="I157" s="10" t="s">
        <v>55</v>
      </c>
      <c r="K157" s="10" t="s">
        <v>2918</v>
      </c>
      <c r="L157" s="10" t="s">
        <v>42</v>
      </c>
    </row>
    <row r="158" ht="15.75" customHeight="1">
      <c r="A158" s="66">
        <v>45499.0</v>
      </c>
      <c r="B158" s="55" t="str">
        <f>HYPERLINK("https://jobright.ai/jobs/info/66a3d32ed7fee676c8404cc5?utm_campaign=1062&amp;utm_source=sheet", "Apply")</f>
        <v>Apply</v>
      </c>
      <c r="C158" s="10" t="s">
        <v>2919</v>
      </c>
      <c r="D158" s="56" t="s">
        <v>2907</v>
      </c>
      <c r="E158" s="10" t="s">
        <v>137</v>
      </c>
      <c r="F158" s="10" t="s">
        <v>2908</v>
      </c>
      <c r="G158" s="10" t="s">
        <v>2484</v>
      </c>
      <c r="H158" s="10" t="s">
        <v>2909</v>
      </c>
      <c r="I158" s="10" t="s">
        <v>55</v>
      </c>
      <c r="K158" s="10" t="s">
        <v>2920</v>
      </c>
      <c r="L158" s="10" t="s">
        <v>42</v>
      </c>
    </row>
    <row r="159" ht="15.75" customHeight="1">
      <c r="A159" s="66">
        <v>45499.0</v>
      </c>
      <c r="B159" s="55" t="str">
        <f>HYPERLINK("https://jobright.ai/jobs/info/66a3208aff57370d38e37765?utm_campaign=1062&amp;utm_source=sheet", "Apply")</f>
        <v>Apply</v>
      </c>
      <c r="C159" s="10" t="s">
        <v>2921</v>
      </c>
      <c r="D159" s="56" t="s">
        <v>2922</v>
      </c>
      <c r="E159" s="10" t="s">
        <v>45</v>
      </c>
      <c r="F159" s="10" t="s">
        <v>1234</v>
      </c>
      <c r="G159" s="10" t="s">
        <v>2448</v>
      </c>
      <c r="H159" s="10" t="s">
        <v>965</v>
      </c>
      <c r="I159" s="10" t="s">
        <v>55</v>
      </c>
      <c r="K159" s="10" t="s">
        <v>2923</v>
      </c>
      <c r="L159" s="10" t="s">
        <v>42</v>
      </c>
    </row>
    <row r="160" ht="15.75" customHeight="1">
      <c r="A160" s="66">
        <v>45499.0</v>
      </c>
      <c r="B160" s="55" t="str">
        <f>HYPERLINK("https://jobright.ai/jobs/info/66a31273ff35fbee3d69b204?utm_campaign=1062&amp;utm_source=sheet", "Apply")</f>
        <v>Apply</v>
      </c>
      <c r="C160" s="10" t="s">
        <v>2924</v>
      </c>
      <c r="D160" s="56" t="s">
        <v>2925</v>
      </c>
      <c r="E160" s="10" t="s">
        <v>45</v>
      </c>
      <c r="F160" s="10" t="s">
        <v>2926</v>
      </c>
      <c r="G160" s="10" t="s">
        <v>2448</v>
      </c>
      <c r="H160" s="10" t="s">
        <v>807</v>
      </c>
      <c r="I160" s="10" t="s">
        <v>48</v>
      </c>
      <c r="K160" s="10" t="s">
        <v>2927</v>
      </c>
      <c r="L160" s="10" t="s">
        <v>42</v>
      </c>
    </row>
    <row r="161" ht="15.75" customHeight="1">
      <c r="A161" s="66">
        <v>45499.0</v>
      </c>
      <c r="B161" s="55" t="str">
        <f>HYPERLINK("https://jobright.ai/jobs/info/668beb0b6bc09df60995c388?utm_campaign=1062&amp;utm_source=sheet", "Apply")</f>
        <v>Apply</v>
      </c>
      <c r="C161" s="10" t="s">
        <v>2928</v>
      </c>
      <c r="D161" s="56" t="s">
        <v>2929</v>
      </c>
      <c r="E161" s="10" t="s">
        <v>276</v>
      </c>
      <c r="F161" s="10" t="s">
        <v>2930</v>
      </c>
      <c r="G161" s="10" t="s">
        <v>2459</v>
      </c>
      <c r="H161" s="10" t="s">
        <v>2931</v>
      </c>
      <c r="I161" s="10" t="s">
        <v>55</v>
      </c>
      <c r="K161" s="10" t="s">
        <v>2932</v>
      </c>
      <c r="L161" s="10" t="s">
        <v>42</v>
      </c>
    </row>
    <row r="162" ht="15.75" customHeight="1">
      <c r="A162" s="66">
        <v>45499.0</v>
      </c>
      <c r="B162" s="55" t="str">
        <f>HYPERLINK("https://jobright.ai/jobs/info/66a3065252f762883154aabb?utm_campaign=1062&amp;utm_source=sheet", "Apply")</f>
        <v>Apply</v>
      </c>
      <c r="C162" s="10" t="s">
        <v>2933</v>
      </c>
      <c r="D162" s="56" t="s">
        <v>2934</v>
      </c>
      <c r="E162" s="10">
        <v>13.0</v>
      </c>
      <c r="G162" s="10" t="s">
        <v>2448</v>
      </c>
      <c r="H162" s="10" t="s">
        <v>2935</v>
      </c>
      <c r="I162" s="10" t="s">
        <v>55</v>
      </c>
      <c r="K162" s="10" t="s">
        <v>2936</v>
      </c>
      <c r="L162" s="10" t="s">
        <v>42</v>
      </c>
    </row>
    <row r="163" ht="15.75" customHeight="1">
      <c r="A163" s="66">
        <v>45499.0</v>
      </c>
      <c r="B163" s="55" t="str">
        <f>HYPERLINK("https://jobright.ai/jobs/info/66a3c9df55a005da42ef52c9?utm_campaign=1062&amp;utm_source=sheet", "Apply")</f>
        <v>Apply</v>
      </c>
      <c r="C163" s="10" t="s">
        <v>2937</v>
      </c>
      <c r="D163" s="56" t="s">
        <v>2938</v>
      </c>
      <c r="E163" s="10" t="s">
        <v>137</v>
      </c>
      <c r="F163" s="10" t="s">
        <v>1949</v>
      </c>
      <c r="G163" s="10" t="s">
        <v>2464</v>
      </c>
      <c r="H163" s="10" t="s">
        <v>154</v>
      </c>
      <c r="I163" s="10" t="s">
        <v>55</v>
      </c>
      <c r="K163" s="10" t="s">
        <v>2939</v>
      </c>
      <c r="L163" s="10" t="s">
        <v>42</v>
      </c>
    </row>
    <row r="164" ht="15.75" customHeight="1">
      <c r="A164" s="66">
        <v>45499.0</v>
      </c>
      <c r="B164" s="55" t="str">
        <f>HYPERLINK("https://jobright.ai/jobs/info/66a3ca1d55a005da42ef589d?utm_campaign=1062&amp;utm_source=sheet", "Apply")</f>
        <v>Apply</v>
      </c>
      <c r="C164" s="10" t="s">
        <v>2937</v>
      </c>
      <c r="D164" s="56" t="s">
        <v>2938</v>
      </c>
      <c r="E164" s="10" t="s">
        <v>137</v>
      </c>
      <c r="F164" s="10" t="s">
        <v>1949</v>
      </c>
      <c r="G164" s="10" t="s">
        <v>2464</v>
      </c>
      <c r="H164" s="10" t="s">
        <v>607</v>
      </c>
      <c r="I164" s="10" t="s">
        <v>55</v>
      </c>
      <c r="K164" s="10" t="s">
        <v>2939</v>
      </c>
      <c r="L164" s="10" t="s">
        <v>42</v>
      </c>
    </row>
    <row r="165" ht="15.75" customHeight="1">
      <c r="A165" s="66">
        <v>45499.0</v>
      </c>
      <c r="B165" s="55" t="str">
        <f>HYPERLINK("https://jobright.ai/jobs/info/66a3ca1d55a005da42ef58b2?utm_campaign=1062&amp;utm_source=sheet", "Apply")</f>
        <v>Apply</v>
      </c>
      <c r="C165" s="10" t="s">
        <v>2937</v>
      </c>
      <c r="D165" s="56" t="s">
        <v>2938</v>
      </c>
      <c r="E165" s="10" t="s">
        <v>137</v>
      </c>
      <c r="F165" s="10" t="s">
        <v>1949</v>
      </c>
      <c r="G165" s="10" t="s">
        <v>2464</v>
      </c>
      <c r="H165" s="10" t="s">
        <v>1008</v>
      </c>
      <c r="I165" s="10" t="s">
        <v>55</v>
      </c>
      <c r="K165" s="10" t="s">
        <v>2939</v>
      </c>
      <c r="L165" s="10" t="s">
        <v>42</v>
      </c>
    </row>
    <row r="166" ht="15.75" customHeight="1">
      <c r="A166" s="66">
        <v>45499.0</v>
      </c>
      <c r="B166" s="55" t="str">
        <f>HYPERLINK("https://jobright.ai/jobs/info/66a3ca1d55a005da42ef58af?utm_campaign=1062&amp;utm_source=sheet", "Apply")</f>
        <v>Apply</v>
      </c>
      <c r="C166" s="10" t="s">
        <v>2937</v>
      </c>
      <c r="D166" s="56" t="s">
        <v>2938</v>
      </c>
      <c r="E166" s="10" t="s">
        <v>137</v>
      </c>
      <c r="F166" s="10" t="s">
        <v>1949</v>
      </c>
      <c r="G166" s="10" t="s">
        <v>2464</v>
      </c>
      <c r="H166" s="10" t="s">
        <v>153</v>
      </c>
      <c r="I166" s="10" t="s">
        <v>55</v>
      </c>
      <c r="K166" s="10" t="s">
        <v>2939</v>
      </c>
      <c r="L166" s="10" t="s">
        <v>42</v>
      </c>
    </row>
    <row r="167" ht="15.75" customHeight="1">
      <c r="A167" s="66">
        <v>45499.0</v>
      </c>
      <c r="B167" s="55" t="str">
        <f>HYPERLINK("https://jobright.ai/jobs/info/66a3ca1d55a005da42ef58ba?utm_campaign=1062&amp;utm_source=sheet", "Apply")</f>
        <v>Apply</v>
      </c>
      <c r="C167" s="10" t="s">
        <v>2937</v>
      </c>
      <c r="D167" s="56" t="s">
        <v>2938</v>
      </c>
      <c r="E167" s="10" t="s">
        <v>137</v>
      </c>
      <c r="F167" s="10" t="s">
        <v>1949</v>
      </c>
      <c r="G167" s="10" t="s">
        <v>2464</v>
      </c>
      <c r="H167" s="10" t="s">
        <v>1032</v>
      </c>
      <c r="I167" s="10" t="s">
        <v>55</v>
      </c>
      <c r="K167" s="10" t="s">
        <v>2939</v>
      </c>
      <c r="L167" s="10" t="s">
        <v>42</v>
      </c>
    </row>
    <row r="168" ht="15.75" customHeight="1">
      <c r="A168" s="66">
        <v>45499.0</v>
      </c>
      <c r="B168" s="55" t="str">
        <f>HYPERLINK("https://jobright.ai/jobs/info/66a447c0c60f0203dba01576?utm_campaign=1062&amp;utm_source=sheet", "Apply")</f>
        <v>Apply</v>
      </c>
      <c r="C168" s="10" t="s">
        <v>2940</v>
      </c>
      <c r="D168" s="56" t="s">
        <v>2941</v>
      </c>
      <c r="E168" s="10" t="s">
        <v>45</v>
      </c>
      <c r="F168" s="10" t="s">
        <v>2942</v>
      </c>
      <c r="G168" s="10" t="s">
        <v>2605</v>
      </c>
      <c r="H168" s="10" t="s">
        <v>777</v>
      </c>
      <c r="I168" s="10" t="s">
        <v>55</v>
      </c>
      <c r="K168" s="10" t="s">
        <v>2943</v>
      </c>
      <c r="L168" s="10" t="s">
        <v>42</v>
      </c>
    </row>
    <row r="169" ht="15.75" customHeight="1">
      <c r="A169" s="66">
        <v>45499.0</v>
      </c>
      <c r="B169" s="55" t="str">
        <f>HYPERLINK("https://jobright.ai/jobs/info/66a32f03b6fe5d094bad7639?utm_campaign=1062&amp;utm_source=sheet", "Apply")</f>
        <v>Apply</v>
      </c>
      <c r="C169" s="10" t="s">
        <v>2944</v>
      </c>
      <c r="D169" s="56" t="s">
        <v>2945</v>
      </c>
      <c r="E169" s="10" t="s">
        <v>45</v>
      </c>
      <c r="F169" s="10" t="s">
        <v>2946</v>
      </c>
      <c r="G169" s="10" t="s">
        <v>2464</v>
      </c>
      <c r="H169" s="10" t="s">
        <v>299</v>
      </c>
      <c r="I169" s="10" t="s">
        <v>55</v>
      </c>
      <c r="K169" s="10" t="s">
        <v>2947</v>
      </c>
      <c r="L169" s="10" t="s">
        <v>42</v>
      </c>
    </row>
    <row r="170" ht="15.75" customHeight="1">
      <c r="A170" s="66">
        <v>45499.0</v>
      </c>
      <c r="B170" s="55" t="str">
        <f>HYPERLINK("https://jobright.ai/jobs/info/66a3043f5819e4bbe872d553?utm_campaign=1062&amp;utm_source=sheet", "Apply")</f>
        <v>Apply</v>
      </c>
      <c r="C170" s="10" t="s">
        <v>2948</v>
      </c>
      <c r="D170" s="56" t="s">
        <v>2949</v>
      </c>
      <c r="E170" s="10" t="s">
        <v>249</v>
      </c>
      <c r="F170" s="10" t="s">
        <v>2950</v>
      </c>
      <c r="G170" s="10" t="s">
        <v>2455</v>
      </c>
      <c r="H170" s="10" t="s">
        <v>2654</v>
      </c>
      <c r="I170" s="10" t="s">
        <v>55</v>
      </c>
      <c r="K170" s="10" t="s">
        <v>2951</v>
      </c>
      <c r="L170" s="10" t="s">
        <v>42</v>
      </c>
    </row>
    <row r="171" ht="15.75" customHeight="1">
      <c r="A171" s="66">
        <v>45499.0</v>
      </c>
      <c r="B171" s="55" t="str">
        <f>HYPERLINK("https://jobright.ai/jobs/info/66a2fc017d87c2086e260a47?utm_campaign=1062&amp;utm_source=sheet", "Apply")</f>
        <v>Apply</v>
      </c>
      <c r="C171" s="10" t="s">
        <v>2952</v>
      </c>
      <c r="D171" s="56" t="s">
        <v>2949</v>
      </c>
      <c r="E171" s="10" t="s">
        <v>249</v>
      </c>
      <c r="F171" s="10" t="s">
        <v>2950</v>
      </c>
      <c r="G171" s="10" t="s">
        <v>2455</v>
      </c>
      <c r="H171" s="10" t="s">
        <v>2654</v>
      </c>
      <c r="I171" s="10" t="s">
        <v>55</v>
      </c>
      <c r="K171" s="10" t="s">
        <v>2953</v>
      </c>
      <c r="L171" s="10" t="s">
        <v>42</v>
      </c>
    </row>
    <row r="172" ht="15.75" customHeight="1">
      <c r="A172" s="66">
        <v>45499.0</v>
      </c>
      <c r="B172" s="55" t="str">
        <f>HYPERLINK("https://jobright.ai/jobs/info/66a403270d09d8a9054b3ae3?utm_campaign=1062&amp;utm_source=sheet", "Apply")</f>
        <v>Apply</v>
      </c>
      <c r="C172" s="10" t="s">
        <v>2954</v>
      </c>
      <c r="D172" s="56" t="s">
        <v>2938</v>
      </c>
      <c r="E172" s="10" t="s">
        <v>137</v>
      </c>
      <c r="F172" s="10" t="s">
        <v>1949</v>
      </c>
      <c r="G172" s="10" t="s">
        <v>2464</v>
      </c>
      <c r="H172" s="10" t="s">
        <v>153</v>
      </c>
      <c r="I172" s="10" t="s">
        <v>55</v>
      </c>
      <c r="K172" s="10" t="s">
        <v>2955</v>
      </c>
      <c r="L172" s="10" t="s">
        <v>42</v>
      </c>
    </row>
    <row r="173" ht="15.75" customHeight="1">
      <c r="A173" s="66">
        <v>45499.0</v>
      </c>
      <c r="B173" s="55" t="str">
        <f>HYPERLINK("https://jobright.ai/jobs/info/66a3043f5819e4bbe872d584?utm_campaign=1062&amp;utm_source=sheet", "Apply")</f>
        <v>Apply</v>
      </c>
      <c r="C173" s="10" t="s">
        <v>2956</v>
      </c>
      <c r="D173" s="56" t="s">
        <v>2957</v>
      </c>
      <c r="E173" s="10" t="s">
        <v>137</v>
      </c>
      <c r="F173" s="10" t="s">
        <v>2958</v>
      </c>
      <c r="G173" s="10" t="s">
        <v>2448</v>
      </c>
      <c r="H173" s="10" t="s">
        <v>2959</v>
      </c>
      <c r="I173" s="10" t="s">
        <v>55</v>
      </c>
      <c r="J173" s="10" t="s">
        <v>2590</v>
      </c>
      <c r="K173" s="10" t="s">
        <v>2960</v>
      </c>
      <c r="L173" s="10" t="s">
        <v>42</v>
      </c>
    </row>
    <row r="174" ht="15.75" customHeight="1">
      <c r="A174" s="66">
        <v>45499.0</v>
      </c>
      <c r="B174" s="55" t="str">
        <f>HYPERLINK("https://jobright.ai/jobs/info/667a206c9cb00e489c8f4f9b?utm_campaign=1062&amp;utm_source=sheet", "Apply")</f>
        <v>Apply</v>
      </c>
      <c r="C174" s="10" t="s">
        <v>2961</v>
      </c>
      <c r="D174" s="56" t="s">
        <v>191</v>
      </c>
      <c r="E174" s="10" t="s">
        <v>65</v>
      </c>
      <c r="F174" s="10" t="s">
        <v>192</v>
      </c>
      <c r="G174" s="10" t="s">
        <v>2448</v>
      </c>
      <c r="H174" s="10" t="s">
        <v>193</v>
      </c>
      <c r="I174" s="10" t="s">
        <v>55</v>
      </c>
      <c r="K174" s="10" t="s">
        <v>2962</v>
      </c>
      <c r="L174" s="10" t="s">
        <v>42</v>
      </c>
    </row>
    <row r="175" ht="15.75" customHeight="1">
      <c r="A175" s="66">
        <v>45499.0</v>
      </c>
      <c r="B175" s="55" t="str">
        <f>HYPERLINK("https://jobright.ai/jobs/info/66a4315d8d3eebff0ac37be0?utm_campaign=1062&amp;utm_source=sheet", "Apply")</f>
        <v>Apply</v>
      </c>
      <c r="C175" s="10" t="s">
        <v>2594</v>
      </c>
      <c r="D175" s="56" t="s">
        <v>2963</v>
      </c>
      <c r="E175" s="10" t="s">
        <v>249</v>
      </c>
      <c r="F175" s="10" t="s">
        <v>2964</v>
      </c>
      <c r="G175" s="10" t="s">
        <v>2484</v>
      </c>
      <c r="H175" s="10" t="s">
        <v>800</v>
      </c>
      <c r="I175" s="10" t="s">
        <v>55</v>
      </c>
      <c r="K175" s="10" t="s">
        <v>2965</v>
      </c>
      <c r="L175" s="10" t="s">
        <v>42</v>
      </c>
    </row>
    <row r="176" ht="15.75" customHeight="1">
      <c r="A176" s="66">
        <v>45499.0</v>
      </c>
      <c r="B176" s="55" t="str">
        <f>HYPERLINK("https://jobright.ai/jobs/info/66a3ca1d55a005da42ef58ee?utm_campaign=1062&amp;utm_source=sheet", "Apply")</f>
        <v>Apply</v>
      </c>
      <c r="C176" s="10" t="s">
        <v>2937</v>
      </c>
      <c r="D176" s="56" t="s">
        <v>2938</v>
      </c>
      <c r="E176" s="10" t="s">
        <v>137</v>
      </c>
      <c r="F176" s="10" t="s">
        <v>1949</v>
      </c>
      <c r="G176" s="10" t="s">
        <v>2464</v>
      </c>
      <c r="H176" s="10" t="s">
        <v>882</v>
      </c>
      <c r="I176" s="10" t="s">
        <v>55</v>
      </c>
      <c r="K176" s="10" t="s">
        <v>2939</v>
      </c>
      <c r="L176" s="10" t="s">
        <v>42</v>
      </c>
    </row>
    <row r="177" ht="15.75" customHeight="1">
      <c r="A177" s="66">
        <v>45499.0</v>
      </c>
      <c r="B177" s="55" t="str">
        <f>HYPERLINK("https://jobright.ai/jobs/info/66a4315d8d3eebff0ac37bf5?utm_campaign=1062&amp;utm_source=sheet", "Apply")</f>
        <v>Apply</v>
      </c>
      <c r="C177" s="10" t="s">
        <v>2966</v>
      </c>
      <c r="D177" s="56" t="s">
        <v>2967</v>
      </c>
      <c r="E177" s="10" t="s">
        <v>65</v>
      </c>
      <c r="F177" s="10" t="s">
        <v>2968</v>
      </c>
      <c r="G177" s="10" t="s">
        <v>2476</v>
      </c>
      <c r="H177" s="10" t="s">
        <v>429</v>
      </c>
      <c r="I177" s="10" t="s">
        <v>55</v>
      </c>
      <c r="K177" s="10" t="s">
        <v>2969</v>
      </c>
      <c r="L177" s="10" t="s">
        <v>42</v>
      </c>
    </row>
    <row r="178" ht="15.75" customHeight="1">
      <c r="A178" s="66">
        <v>45499.0</v>
      </c>
      <c r="B178" s="55" t="str">
        <f>HYPERLINK("https://jobright.ai/jobs/info/66a3e17afa1e56eccb8f54b6?utm_campaign=1062&amp;utm_source=sheet", "Apply")</f>
        <v>Apply</v>
      </c>
      <c r="C178" s="10" t="s">
        <v>2970</v>
      </c>
      <c r="D178" s="56" t="s">
        <v>2971</v>
      </c>
      <c r="E178" s="10" t="s">
        <v>249</v>
      </c>
      <c r="F178" s="10" t="s">
        <v>10</v>
      </c>
      <c r="G178" s="10" t="s">
        <v>2464</v>
      </c>
      <c r="H178" s="10" t="s">
        <v>2972</v>
      </c>
      <c r="I178" s="10" t="s">
        <v>55</v>
      </c>
      <c r="K178" s="10" t="s">
        <v>2973</v>
      </c>
      <c r="L178" s="10" t="s">
        <v>42</v>
      </c>
    </row>
    <row r="179" ht="15.75" customHeight="1">
      <c r="A179" s="66">
        <v>45499.0</v>
      </c>
      <c r="B179" s="55" t="str">
        <f>HYPERLINK("https://jobright.ai/jobs/info/66a3e17afa1e56eccb8f54c1?utm_campaign=1062&amp;utm_source=sheet", "Apply")</f>
        <v>Apply</v>
      </c>
      <c r="C179" s="10" t="s">
        <v>2970</v>
      </c>
      <c r="D179" s="56" t="s">
        <v>2971</v>
      </c>
      <c r="E179" s="10" t="s">
        <v>249</v>
      </c>
      <c r="F179" s="10" t="s">
        <v>10</v>
      </c>
      <c r="G179" s="10" t="s">
        <v>2464</v>
      </c>
      <c r="H179" s="10" t="s">
        <v>2535</v>
      </c>
      <c r="I179" s="10" t="s">
        <v>55</v>
      </c>
      <c r="K179" s="10" t="s">
        <v>2973</v>
      </c>
      <c r="L179" s="10" t="s">
        <v>42</v>
      </c>
    </row>
    <row r="180" ht="15.75" customHeight="1">
      <c r="A180" s="66">
        <v>45499.0</v>
      </c>
      <c r="B180" s="55" t="str">
        <f>HYPERLINK("https://jobright.ai/jobs/info/66a3ca1d55a005da42ef58f2?utm_campaign=1062&amp;utm_source=sheet", "Apply")</f>
        <v>Apply</v>
      </c>
      <c r="C180" s="10" t="s">
        <v>2937</v>
      </c>
      <c r="D180" s="56" t="s">
        <v>2938</v>
      </c>
      <c r="E180" s="10" t="s">
        <v>137</v>
      </c>
      <c r="F180" s="10" t="s">
        <v>1949</v>
      </c>
      <c r="G180" s="10" t="s">
        <v>2464</v>
      </c>
      <c r="H180" s="10" t="s">
        <v>1709</v>
      </c>
      <c r="I180" s="10" t="s">
        <v>55</v>
      </c>
      <c r="K180" s="10" t="s">
        <v>2939</v>
      </c>
      <c r="L180" s="10" t="s">
        <v>42</v>
      </c>
    </row>
    <row r="181" ht="15.75" customHeight="1">
      <c r="A181" s="66">
        <v>45499.0</v>
      </c>
      <c r="B181" s="55" t="str">
        <f>HYPERLINK("https://jobright.ai/jobs/info/66a3f913c344e12ad5440dc2?utm_campaign=1062&amp;utm_source=sheet", "Apply")</f>
        <v>Apply</v>
      </c>
      <c r="C181" s="10" t="s">
        <v>2974</v>
      </c>
      <c r="D181" s="56" t="s">
        <v>2975</v>
      </c>
      <c r="E181" s="10" t="s">
        <v>79</v>
      </c>
      <c r="F181" s="10" t="s">
        <v>205</v>
      </c>
      <c r="G181" s="10" t="s">
        <v>2448</v>
      </c>
      <c r="H181" s="10" t="s">
        <v>2976</v>
      </c>
      <c r="I181" s="10" t="s">
        <v>55</v>
      </c>
      <c r="K181" s="10" t="s">
        <v>2977</v>
      </c>
      <c r="L181" s="10" t="s">
        <v>42</v>
      </c>
    </row>
    <row r="182" ht="15.75" customHeight="1">
      <c r="A182" s="66">
        <v>45499.0</v>
      </c>
      <c r="B182" s="55" t="str">
        <f>HYPERLINK("https://jobright.ai/jobs/info/66a3fd76198db617d3583fe8?utm_campaign=1062&amp;utm_source=sheet", "Apply")</f>
        <v>Apply</v>
      </c>
      <c r="C182" s="10" t="s">
        <v>2539</v>
      </c>
      <c r="D182" s="56" t="s">
        <v>59</v>
      </c>
      <c r="E182" s="10" t="s">
        <v>45</v>
      </c>
      <c r="F182" s="10" t="s">
        <v>60</v>
      </c>
      <c r="G182" s="10" t="s">
        <v>2437</v>
      </c>
      <c r="H182" s="10" t="s">
        <v>195</v>
      </c>
      <c r="I182" s="10" t="s">
        <v>55</v>
      </c>
      <c r="K182" s="10" t="s">
        <v>2540</v>
      </c>
      <c r="L182" s="10" t="s">
        <v>42</v>
      </c>
    </row>
    <row r="183" ht="15.75" customHeight="1">
      <c r="A183" s="66">
        <v>45499.0</v>
      </c>
      <c r="B183" s="55" t="str">
        <f>HYPERLINK("https://jobright.ai/jobs/info/66a3fd76198db617d3583fef?utm_campaign=1062&amp;utm_source=sheet", "Apply")</f>
        <v>Apply</v>
      </c>
      <c r="C183" s="10" t="s">
        <v>2537</v>
      </c>
      <c r="D183" s="56" t="s">
        <v>59</v>
      </c>
      <c r="E183" s="10" t="s">
        <v>45</v>
      </c>
      <c r="F183" s="10" t="s">
        <v>60</v>
      </c>
      <c r="G183" s="10" t="s">
        <v>2484</v>
      </c>
      <c r="H183" s="10" t="s">
        <v>195</v>
      </c>
      <c r="I183" s="10" t="s">
        <v>55</v>
      </c>
      <c r="K183" s="10" t="s">
        <v>2538</v>
      </c>
      <c r="L183" s="10" t="s">
        <v>42</v>
      </c>
    </row>
    <row r="184" ht="15.75" customHeight="1">
      <c r="A184" s="66">
        <v>45499.0</v>
      </c>
      <c r="B184" s="55" t="str">
        <f>HYPERLINK("https://jobright.ai/jobs/info/66a43e06d88cd75fd2f077a2?utm_campaign=1062&amp;utm_source=sheet", "Apply")</f>
        <v>Apply</v>
      </c>
      <c r="C184" s="10" t="s">
        <v>2978</v>
      </c>
      <c r="D184" s="56" t="s">
        <v>1631</v>
      </c>
      <c r="E184" s="10" t="s">
        <v>45</v>
      </c>
      <c r="F184" s="10" t="s">
        <v>1632</v>
      </c>
      <c r="G184" s="10" t="s">
        <v>2484</v>
      </c>
      <c r="H184" s="10" t="s">
        <v>2979</v>
      </c>
      <c r="I184" s="10" t="s">
        <v>55</v>
      </c>
      <c r="J184" s="10" t="s">
        <v>2980</v>
      </c>
      <c r="K184" s="10" t="s">
        <v>2981</v>
      </c>
      <c r="L184" s="10" t="s">
        <v>42</v>
      </c>
    </row>
    <row r="185" ht="15.75" customHeight="1">
      <c r="A185" s="66">
        <v>45499.0</v>
      </c>
      <c r="B185" s="55" t="str">
        <f>HYPERLINK("https://jobright.ai/jobs/info/66a3ebea2593efae15efd2a9?utm_campaign=1062&amp;utm_source=sheet", "Apply")</f>
        <v>Apply</v>
      </c>
      <c r="C185" s="10" t="s">
        <v>2982</v>
      </c>
      <c r="D185" s="56" t="s">
        <v>2488</v>
      </c>
      <c r="E185" s="10" t="s">
        <v>65</v>
      </c>
      <c r="F185" s="10" t="s">
        <v>2489</v>
      </c>
      <c r="G185" s="10" t="s">
        <v>2470</v>
      </c>
      <c r="H185" s="10" t="s">
        <v>2983</v>
      </c>
      <c r="I185" s="10" t="s">
        <v>55</v>
      </c>
      <c r="K185" s="10" t="s">
        <v>2984</v>
      </c>
      <c r="L185" s="10" t="s">
        <v>42</v>
      </c>
    </row>
    <row r="186" ht="15.75" customHeight="1">
      <c r="A186" s="66">
        <v>45498.0</v>
      </c>
      <c r="B186" s="55" t="str">
        <f>HYPERLINK("https://jobright.ai/jobs/info/66a2f03eb09c5816619a1f35?utm_campaign=1062&amp;utm_source=sheet", "Apply")</f>
        <v>Apply</v>
      </c>
      <c r="C186" s="10" t="s">
        <v>2985</v>
      </c>
      <c r="D186" s="56" t="s">
        <v>2986</v>
      </c>
      <c r="E186" s="10" t="s">
        <v>45</v>
      </c>
      <c r="F186" s="10" t="s">
        <v>2987</v>
      </c>
      <c r="G186" s="10" t="s">
        <v>2448</v>
      </c>
      <c r="H186" s="10" t="s">
        <v>2988</v>
      </c>
      <c r="I186" s="10" t="s">
        <v>55</v>
      </c>
      <c r="K186" s="10" t="s">
        <v>2989</v>
      </c>
      <c r="L186" s="10" t="s">
        <v>42</v>
      </c>
    </row>
    <row r="187" ht="15.75" customHeight="1">
      <c r="A187" s="66">
        <v>45498.0</v>
      </c>
      <c r="B187" s="55" t="str">
        <f>HYPERLINK("https://jobright.ai/jobs/info/66a2fc1d7d87c2086e260d00?utm_campaign=1062&amp;utm_source=sheet", "Apply")</f>
        <v>Apply</v>
      </c>
      <c r="C187" s="10" t="s">
        <v>2990</v>
      </c>
      <c r="D187" s="56" t="s">
        <v>2991</v>
      </c>
      <c r="E187" s="10" t="s">
        <v>65</v>
      </c>
      <c r="F187" s="10" t="s">
        <v>1893</v>
      </c>
      <c r="G187" s="10" t="s">
        <v>2448</v>
      </c>
      <c r="H187" s="10" t="s">
        <v>159</v>
      </c>
      <c r="I187" s="10" t="s">
        <v>55</v>
      </c>
      <c r="K187" s="10" t="s">
        <v>2992</v>
      </c>
      <c r="L187" s="10" t="s">
        <v>42</v>
      </c>
    </row>
    <row r="188" ht="15.75" customHeight="1">
      <c r="A188" s="66">
        <v>45498.0</v>
      </c>
      <c r="B188" s="55" t="str">
        <f>HYPERLINK("https://jobright.ai/jobs/info/66a300c47dca4d6b69dbb9c7?utm_campaign=1062&amp;utm_source=sheet", "Apply")</f>
        <v>Apply</v>
      </c>
      <c r="C188" s="10" t="s">
        <v>2993</v>
      </c>
      <c r="D188" s="56" t="s">
        <v>2994</v>
      </c>
      <c r="E188" s="10" t="s">
        <v>209</v>
      </c>
      <c r="F188" s="10" t="s">
        <v>2995</v>
      </c>
      <c r="G188" s="10" t="s">
        <v>2495</v>
      </c>
      <c r="H188" s="10" t="s">
        <v>2996</v>
      </c>
      <c r="I188" s="10" t="s">
        <v>55</v>
      </c>
      <c r="J188" s="10" t="s">
        <v>2997</v>
      </c>
      <c r="K188" s="10" t="s">
        <v>2998</v>
      </c>
      <c r="L188" s="10" t="s">
        <v>42</v>
      </c>
    </row>
    <row r="189" ht="15.75" customHeight="1">
      <c r="A189" s="66">
        <v>45498.0</v>
      </c>
      <c r="B189" s="55" t="str">
        <f>HYPERLINK("https://jobright.ai/jobs/info/66a2ec83367ed95d6cc284c4?utm_campaign=1062&amp;utm_source=sheet", "Apply")</f>
        <v>Apply</v>
      </c>
      <c r="C189" s="10" t="s">
        <v>2999</v>
      </c>
      <c r="D189" s="56" t="s">
        <v>3000</v>
      </c>
      <c r="E189" s="10" t="s">
        <v>45</v>
      </c>
      <c r="F189" s="10" t="s">
        <v>2216</v>
      </c>
      <c r="G189" s="10" t="s">
        <v>2484</v>
      </c>
      <c r="H189" s="10" t="s">
        <v>572</v>
      </c>
      <c r="I189" s="10" t="s">
        <v>55</v>
      </c>
      <c r="K189" s="10" t="s">
        <v>3001</v>
      </c>
      <c r="L189" s="10" t="s">
        <v>42</v>
      </c>
    </row>
    <row r="190" ht="15.75" customHeight="1">
      <c r="A190" s="66">
        <v>45498.0</v>
      </c>
      <c r="B190" s="55" t="str">
        <f>HYPERLINK("https://jobright.ai/jobs/info/66a2df5ede8a34a2d334b30e?utm_campaign=1062&amp;utm_source=sheet", "Apply")</f>
        <v>Apply</v>
      </c>
      <c r="C190" s="10" t="s">
        <v>3002</v>
      </c>
      <c r="D190" s="56" t="s">
        <v>3003</v>
      </c>
      <c r="E190" s="10" t="s">
        <v>209</v>
      </c>
      <c r="F190" s="10" t="s">
        <v>3004</v>
      </c>
      <c r="G190" s="10" t="s">
        <v>3005</v>
      </c>
      <c r="H190" s="10" t="s">
        <v>3006</v>
      </c>
      <c r="I190" s="10" t="s">
        <v>55</v>
      </c>
      <c r="K190" s="10" t="s">
        <v>3007</v>
      </c>
      <c r="L190" s="10" t="s">
        <v>42</v>
      </c>
    </row>
    <row r="191" ht="15.75" customHeight="1">
      <c r="A191" s="66">
        <v>45498.0</v>
      </c>
      <c r="B191" s="55" t="str">
        <f>HYPERLINK("https://jobright.ai/jobs/info/66a2f50a66a78c16dec90fcb?utm_campaign=1062&amp;utm_source=sheet", "Apply")</f>
        <v>Apply</v>
      </c>
      <c r="C191" s="10" t="s">
        <v>3008</v>
      </c>
      <c r="D191" s="56" t="s">
        <v>702</v>
      </c>
      <c r="E191" s="10" t="s">
        <v>65</v>
      </c>
      <c r="F191" s="10" t="s">
        <v>703</v>
      </c>
      <c r="G191" s="10" t="s">
        <v>2459</v>
      </c>
      <c r="H191" s="10" t="s">
        <v>251</v>
      </c>
      <c r="I191" s="10" t="s">
        <v>48</v>
      </c>
      <c r="J191" s="10" t="s">
        <v>1952</v>
      </c>
      <c r="K191" s="10" t="s">
        <v>3009</v>
      </c>
      <c r="L191" s="10" t="s">
        <v>42</v>
      </c>
    </row>
    <row r="192" ht="15.75" customHeight="1">
      <c r="A192" s="66">
        <v>45498.0</v>
      </c>
      <c r="B192" s="55" t="str">
        <f>HYPERLINK("https://jobright.ai/jobs/info/66a2fc267d87c2086e260dc3?utm_campaign=1062&amp;utm_source=sheet", "Apply")</f>
        <v>Apply</v>
      </c>
      <c r="C192" s="10" t="s">
        <v>301</v>
      </c>
      <c r="D192" s="56" t="s">
        <v>3010</v>
      </c>
      <c r="E192" s="10">
        <v>12217.0</v>
      </c>
      <c r="G192" s="10" t="s">
        <v>2448</v>
      </c>
      <c r="H192" s="10" t="s">
        <v>822</v>
      </c>
      <c r="I192" s="10" t="s">
        <v>55</v>
      </c>
      <c r="J192" s="10" t="s">
        <v>2609</v>
      </c>
      <c r="K192" s="10" t="s">
        <v>3011</v>
      </c>
      <c r="L192" s="10" t="s">
        <v>42</v>
      </c>
    </row>
    <row r="193" ht="15.75" customHeight="1">
      <c r="A193" s="66">
        <v>45498.0</v>
      </c>
      <c r="B193" s="55" t="str">
        <f>HYPERLINK("https://jobright.ai/jobs/info/66a2feec6199d057adefb839?utm_campaign=1062&amp;utm_source=sheet", "Apply")</f>
        <v>Apply</v>
      </c>
      <c r="C193" s="10" t="s">
        <v>3012</v>
      </c>
      <c r="D193" s="56" t="s">
        <v>292</v>
      </c>
      <c r="E193" s="10" t="s">
        <v>71</v>
      </c>
      <c r="F193" s="10" t="s">
        <v>293</v>
      </c>
      <c r="G193" s="10" t="s">
        <v>2437</v>
      </c>
      <c r="H193" s="10" t="s">
        <v>294</v>
      </c>
      <c r="I193" s="10" t="s">
        <v>55</v>
      </c>
      <c r="K193" s="10" t="s">
        <v>3013</v>
      </c>
      <c r="L193" s="10" t="s">
        <v>42</v>
      </c>
    </row>
    <row r="194" ht="15.75" customHeight="1">
      <c r="A194" s="66">
        <v>45498.0</v>
      </c>
      <c r="B194" s="55" t="str">
        <f>HYPERLINK("https://jobright.ai/jobs/info/66a2ec96367ed95d6cc28659?utm_campaign=1062&amp;utm_source=sheet", "Apply")</f>
        <v>Apply</v>
      </c>
      <c r="C194" s="10" t="s">
        <v>3014</v>
      </c>
      <c r="D194" s="56" t="s">
        <v>702</v>
      </c>
      <c r="E194" s="10" t="s">
        <v>65</v>
      </c>
      <c r="F194" s="10" t="s">
        <v>703</v>
      </c>
      <c r="G194" s="10" t="s">
        <v>2443</v>
      </c>
      <c r="H194" s="10" t="s">
        <v>1058</v>
      </c>
      <c r="I194" s="10" t="s">
        <v>48</v>
      </c>
      <c r="J194" s="10" t="s">
        <v>1952</v>
      </c>
      <c r="K194" s="10" t="s">
        <v>3015</v>
      </c>
      <c r="L194" s="10" t="s">
        <v>42</v>
      </c>
    </row>
    <row r="195" ht="15.75" customHeight="1">
      <c r="A195" s="66">
        <v>45498.0</v>
      </c>
      <c r="B195" s="55" t="str">
        <f>HYPERLINK("https://jobright.ai/jobs/info/66a2d63e151114d5596524c2?utm_campaign=1062&amp;utm_source=sheet", "Apply")</f>
        <v>Apply</v>
      </c>
      <c r="C195" s="10" t="s">
        <v>3016</v>
      </c>
      <c r="D195" s="56" t="s">
        <v>3017</v>
      </c>
      <c r="E195" s="10" t="s">
        <v>45</v>
      </c>
      <c r="F195" s="10" t="s">
        <v>3018</v>
      </c>
      <c r="G195" s="10" t="s">
        <v>3005</v>
      </c>
      <c r="H195" s="10" t="s">
        <v>3019</v>
      </c>
      <c r="I195" s="10" t="s">
        <v>55</v>
      </c>
      <c r="K195" s="10" t="s">
        <v>3020</v>
      </c>
      <c r="L195" s="10" t="s">
        <v>42</v>
      </c>
    </row>
    <row r="196" ht="15.75" customHeight="1">
      <c r="A196" s="66">
        <v>45498.0</v>
      </c>
      <c r="B196" s="55" t="str">
        <f>HYPERLINK("https://jobright.ai/jobs/info/669f3ad9b6822b542faead79?utm_campaign=1062&amp;utm_source=sheet", "Apply")</f>
        <v>Apply</v>
      </c>
      <c r="C196" s="10" t="s">
        <v>3021</v>
      </c>
      <c r="D196" s="56" t="s">
        <v>567</v>
      </c>
      <c r="E196" s="10" t="s">
        <v>65</v>
      </c>
      <c r="F196" s="10" t="s">
        <v>568</v>
      </c>
      <c r="G196" s="10" t="s">
        <v>2448</v>
      </c>
      <c r="H196" s="10" t="s">
        <v>3022</v>
      </c>
      <c r="I196" s="10" t="s">
        <v>55</v>
      </c>
      <c r="J196" s="10" t="s">
        <v>3023</v>
      </c>
      <c r="K196" s="10" t="s">
        <v>3024</v>
      </c>
      <c r="L196" s="10" t="s">
        <v>42</v>
      </c>
    </row>
    <row r="197" ht="15.75" customHeight="1">
      <c r="A197" s="66">
        <v>45498.0</v>
      </c>
      <c r="B197" s="55" t="str">
        <f>HYPERLINK("https://jobright.ai/jobs/info/66a3045c5819e4bbe872d772?utm_campaign=1062&amp;utm_source=sheet", "Apply")</f>
        <v>Apply</v>
      </c>
      <c r="C197" s="10" t="s">
        <v>2630</v>
      </c>
      <c r="D197" s="56" t="s">
        <v>2631</v>
      </c>
      <c r="E197" s="10" t="s">
        <v>209</v>
      </c>
      <c r="F197" s="10" t="s">
        <v>2632</v>
      </c>
      <c r="G197" s="10" t="s">
        <v>2464</v>
      </c>
      <c r="H197" s="10" t="s">
        <v>2988</v>
      </c>
      <c r="I197" s="10" t="s">
        <v>55</v>
      </c>
      <c r="K197" s="10" t="s">
        <v>2633</v>
      </c>
      <c r="L197" s="10" t="s">
        <v>42</v>
      </c>
    </row>
    <row r="198" ht="15.75" customHeight="1">
      <c r="A198" s="66">
        <v>45498.0</v>
      </c>
      <c r="B198" s="55" t="str">
        <f>HYPERLINK("https://jobright.ai/jobs/info/66a3045c5819e4bbe872d76d?utm_campaign=1062&amp;utm_source=sheet", "Apply")</f>
        <v>Apply</v>
      </c>
      <c r="C198" s="10" t="s">
        <v>2630</v>
      </c>
      <c r="D198" s="56" t="s">
        <v>2631</v>
      </c>
      <c r="E198" s="10" t="s">
        <v>209</v>
      </c>
      <c r="F198" s="10" t="s">
        <v>2632</v>
      </c>
      <c r="G198" s="10" t="s">
        <v>2464</v>
      </c>
      <c r="H198" s="10" t="s">
        <v>1000</v>
      </c>
      <c r="I198" s="10" t="s">
        <v>55</v>
      </c>
      <c r="K198" s="10" t="s">
        <v>2633</v>
      </c>
      <c r="L198" s="10" t="s">
        <v>42</v>
      </c>
    </row>
    <row r="199" ht="15.75" customHeight="1">
      <c r="A199" s="66">
        <v>45498.0</v>
      </c>
      <c r="B199" s="55" t="str">
        <f>HYPERLINK("https://jobright.ai/jobs/info/66a2fc537d87c2086e261187?utm_campaign=1062&amp;utm_source=sheet", "Apply")</f>
        <v>Apply</v>
      </c>
      <c r="C199" s="10" t="s">
        <v>3008</v>
      </c>
      <c r="D199" s="56" t="s">
        <v>702</v>
      </c>
      <c r="E199" s="10" t="s">
        <v>65</v>
      </c>
      <c r="F199" s="10" t="s">
        <v>703</v>
      </c>
      <c r="G199" s="10" t="s">
        <v>2459</v>
      </c>
      <c r="H199" s="10" t="s">
        <v>1058</v>
      </c>
      <c r="I199" s="10" t="s">
        <v>48</v>
      </c>
      <c r="J199" s="10" t="s">
        <v>1952</v>
      </c>
      <c r="K199" s="10" t="s">
        <v>3009</v>
      </c>
      <c r="L199" s="10" t="s">
        <v>42</v>
      </c>
    </row>
    <row r="200" ht="15.75" customHeight="1">
      <c r="A200" s="66">
        <v>45498.0</v>
      </c>
      <c r="B200" s="55" t="str">
        <f>HYPERLINK("https://jobright.ai/jobs/info/66a3ca1555a005da42ef57c4?utm_campaign=1062&amp;utm_source=sheet", "Apply")</f>
        <v>Apply</v>
      </c>
      <c r="C200" s="10" t="s">
        <v>3025</v>
      </c>
      <c r="D200" s="56" t="s">
        <v>3026</v>
      </c>
      <c r="E200" s="10" t="s">
        <v>249</v>
      </c>
      <c r="F200" s="10" t="s">
        <v>3027</v>
      </c>
      <c r="G200" s="10" t="s">
        <v>2443</v>
      </c>
      <c r="H200" s="10" t="s">
        <v>857</v>
      </c>
      <c r="I200" s="10" t="s">
        <v>55</v>
      </c>
      <c r="K200" s="10" t="s">
        <v>3028</v>
      </c>
      <c r="L200" s="10" t="s">
        <v>42</v>
      </c>
    </row>
    <row r="201" ht="15.75" customHeight="1">
      <c r="A201" s="66">
        <v>45498.0</v>
      </c>
      <c r="B201" s="55" t="str">
        <f>HYPERLINK("https://jobright.ai/jobs/info/66a2eca8367ed95d6cc2889b?utm_campaign=1062&amp;utm_source=sheet", "Apply")</f>
        <v>Apply</v>
      </c>
      <c r="C201" s="10" t="s">
        <v>2630</v>
      </c>
      <c r="D201" s="56" t="s">
        <v>2631</v>
      </c>
      <c r="E201" s="10" t="s">
        <v>209</v>
      </c>
      <c r="F201" s="10" t="s">
        <v>2632</v>
      </c>
      <c r="G201" s="10" t="s">
        <v>2464</v>
      </c>
      <c r="H201" s="10" t="s">
        <v>3029</v>
      </c>
      <c r="I201" s="10" t="s">
        <v>55</v>
      </c>
      <c r="K201" s="10" t="s">
        <v>2633</v>
      </c>
      <c r="L201" s="10" t="s">
        <v>42</v>
      </c>
    </row>
    <row r="202" ht="15.75" customHeight="1">
      <c r="A202" s="66">
        <v>45498.0</v>
      </c>
      <c r="B202" s="55" t="str">
        <f>HYPERLINK("https://jobright.ai/jobs/info/66a042e6419140b73defa650?utm_campaign=1062&amp;utm_source=sheet", "Apply")</f>
        <v>Apply</v>
      </c>
      <c r="C202" s="10" t="s">
        <v>3030</v>
      </c>
      <c r="D202" s="56" t="s">
        <v>567</v>
      </c>
      <c r="E202" s="10" t="s">
        <v>65</v>
      </c>
      <c r="F202" s="10" t="s">
        <v>568</v>
      </c>
      <c r="G202" s="10" t="s">
        <v>2448</v>
      </c>
      <c r="H202" s="10" t="s">
        <v>354</v>
      </c>
      <c r="I202" s="10" t="s">
        <v>55</v>
      </c>
      <c r="J202" s="10" t="s">
        <v>3031</v>
      </c>
      <c r="K202" s="10" t="s">
        <v>3032</v>
      </c>
      <c r="L202" s="10" t="s">
        <v>42</v>
      </c>
    </row>
    <row r="203" ht="15.75" customHeight="1">
      <c r="A203" s="66">
        <v>45498.0</v>
      </c>
      <c r="B203" s="55" t="str">
        <f>HYPERLINK("https://jobright.ai/jobs/info/66a2e2f9621b00551f3627e4?utm_campaign=1062&amp;utm_source=sheet", "Apply")</f>
        <v>Apply</v>
      </c>
      <c r="C203" s="10" t="s">
        <v>3033</v>
      </c>
      <c r="D203" s="56" t="s">
        <v>3034</v>
      </c>
      <c r="E203" s="10" t="s">
        <v>65</v>
      </c>
      <c r="F203" s="10" t="s">
        <v>3035</v>
      </c>
      <c r="G203" s="10" t="s">
        <v>2448</v>
      </c>
      <c r="H203" s="10" t="s">
        <v>1254</v>
      </c>
      <c r="I203" s="10" t="s">
        <v>55</v>
      </c>
      <c r="K203" s="10" t="s">
        <v>3036</v>
      </c>
      <c r="L203" s="10" t="s">
        <v>42</v>
      </c>
    </row>
    <row r="204" ht="15.75" customHeight="1">
      <c r="A204" s="66">
        <v>45498.0</v>
      </c>
      <c r="B204" s="55" t="str">
        <f>HYPERLINK("https://jobright.ai/jobs/info/66a300c47dca4d6b69dbba11?utm_campaign=1062&amp;utm_source=sheet", "Apply")</f>
        <v>Apply</v>
      </c>
      <c r="C204" s="10" t="s">
        <v>3037</v>
      </c>
      <c r="D204" s="56" t="s">
        <v>2631</v>
      </c>
      <c r="E204" s="10" t="s">
        <v>209</v>
      </c>
      <c r="F204" s="10" t="s">
        <v>2632</v>
      </c>
      <c r="G204" s="10" t="s">
        <v>2579</v>
      </c>
      <c r="H204" s="10" t="s">
        <v>2988</v>
      </c>
      <c r="I204" s="10" t="s">
        <v>55</v>
      </c>
      <c r="K204" s="10" t="s">
        <v>3038</v>
      </c>
      <c r="L204" s="10" t="s">
        <v>42</v>
      </c>
    </row>
    <row r="205" ht="15.75" customHeight="1">
      <c r="A205" s="66">
        <v>45498.0</v>
      </c>
      <c r="B205" s="55" t="str">
        <f>HYPERLINK("https://jobright.ai/jobs/info/66a02f1dbe9142f3106f1954?utm_campaign=1062&amp;utm_source=sheet", "Apply")</f>
        <v>Apply</v>
      </c>
      <c r="C205" s="10" t="s">
        <v>3030</v>
      </c>
      <c r="D205" s="56" t="s">
        <v>567</v>
      </c>
      <c r="E205" s="10" t="s">
        <v>65</v>
      </c>
      <c r="F205" s="10" t="s">
        <v>568</v>
      </c>
      <c r="G205" s="10" t="s">
        <v>2448</v>
      </c>
      <c r="H205" s="10" t="s">
        <v>965</v>
      </c>
      <c r="I205" s="10" t="s">
        <v>55</v>
      </c>
      <c r="J205" s="10" t="s">
        <v>3031</v>
      </c>
      <c r="K205" s="10" t="s">
        <v>3032</v>
      </c>
      <c r="L205" s="10" t="s">
        <v>42</v>
      </c>
    </row>
    <row r="206" ht="15.75" customHeight="1">
      <c r="A206" s="66">
        <v>45498.0</v>
      </c>
      <c r="B206" s="55" t="str">
        <f>HYPERLINK("https://jobright.ai/jobs/info/66a2f51c66a78c16dec91122?utm_campaign=1062&amp;utm_source=sheet", "Apply")</f>
        <v>Apply</v>
      </c>
      <c r="C206" s="10" t="s">
        <v>2630</v>
      </c>
      <c r="D206" s="56" t="s">
        <v>2631</v>
      </c>
      <c r="E206" s="10" t="s">
        <v>209</v>
      </c>
      <c r="F206" s="10" t="s">
        <v>2632</v>
      </c>
      <c r="G206" s="10" t="s">
        <v>2464</v>
      </c>
      <c r="H206" s="10" t="s">
        <v>1033</v>
      </c>
      <c r="I206" s="10" t="s">
        <v>55</v>
      </c>
      <c r="K206" s="10" t="s">
        <v>2633</v>
      </c>
      <c r="L206" s="10" t="s">
        <v>42</v>
      </c>
    </row>
    <row r="207" ht="15.75" customHeight="1">
      <c r="A207" s="66">
        <v>45498.0</v>
      </c>
      <c r="B207" s="55" t="str">
        <f>HYPERLINK("https://jobright.ai/jobs/info/66a042e6419140b73defa654?utm_campaign=1062&amp;utm_source=sheet", "Apply")</f>
        <v>Apply</v>
      </c>
      <c r="C207" s="10" t="s">
        <v>3030</v>
      </c>
      <c r="D207" s="56" t="s">
        <v>567</v>
      </c>
      <c r="E207" s="10" t="s">
        <v>65</v>
      </c>
      <c r="F207" s="10" t="s">
        <v>568</v>
      </c>
      <c r="G207" s="10" t="s">
        <v>2448</v>
      </c>
      <c r="H207" s="10" t="s">
        <v>854</v>
      </c>
      <c r="I207" s="10" t="s">
        <v>55</v>
      </c>
      <c r="J207" s="10" t="s">
        <v>3031</v>
      </c>
      <c r="K207" s="10" t="s">
        <v>3032</v>
      </c>
      <c r="L207" s="10" t="s">
        <v>42</v>
      </c>
    </row>
    <row r="208" ht="15.75" customHeight="1">
      <c r="A208" s="66">
        <v>45498.0</v>
      </c>
      <c r="B208" s="55" t="str">
        <f>HYPERLINK("https://jobright.ai/jobs/info/668fc05ac304bf57947c208a?utm_campaign=1062&amp;utm_source=sheet", "Apply")</f>
        <v>Apply</v>
      </c>
      <c r="C208" s="10" t="s">
        <v>3039</v>
      </c>
      <c r="D208" s="56" t="s">
        <v>3040</v>
      </c>
      <c r="E208" s="10" t="s">
        <v>137</v>
      </c>
      <c r="F208" s="10" t="s">
        <v>3041</v>
      </c>
      <c r="G208" s="10" t="s">
        <v>2443</v>
      </c>
      <c r="H208" s="10" t="s">
        <v>3042</v>
      </c>
      <c r="I208" s="10" t="s">
        <v>48</v>
      </c>
      <c r="K208" s="10" t="s">
        <v>3043</v>
      </c>
      <c r="L208" s="10" t="s">
        <v>42</v>
      </c>
    </row>
    <row r="209" ht="15.75" customHeight="1">
      <c r="A209" s="66">
        <v>45498.0</v>
      </c>
      <c r="B209" s="55" t="str">
        <f>HYPERLINK("https://jobright.ai/jobs/info/66a2d3dd3e23e8ca995ff286?utm_campaign=1062&amp;utm_source=sheet", "Apply")</f>
        <v>Apply</v>
      </c>
      <c r="C209" s="10" t="s">
        <v>3044</v>
      </c>
      <c r="D209" s="56" t="s">
        <v>2631</v>
      </c>
      <c r="E209" s="10" t="s">
        <v>209</v>
      </c>
      <c r="F209" s="10" t="s">
        <v>2632</v>
      </c>
      <c r="G209" s="10" t="s">
        <v>2464</v>
      </c>
      <c r="H209" s="10" t="s">
        <v>605</v>
      </c>
      <c r="I209" s="10" t="s">
        <v>55</v>
      </c>
      <c r="K209" s="10" t="s">
        <v>3045</v>
      </c>
      <c r="L209" s="10" t="s">
        <v>42</v>
      </c>
    </row>
    <row r="210" ht="15.75" customHeight="1">
      <c r="A210" s="66">
        <v>45498.0</v>
      </c>
      <c r="B210" s="55" t="str">
        <f>HYPERLINK("https://jobright.ai/jobs/info/66a2d3dd3e23e8ca995ff283?utm_campaign=1062&amp;utm_source=sheet", "Apply")</f>
        <v>Apply</v>
      </c>
      <c r="C210" s="10" t="s">
        <v>3046</v>
      </c>
      <c r="D210" s="56" t="s">
        <v>2631</v>
      </c>
      <c r="E210" s="10" t="s">
        <v>209</v>
      </c>
      <c r="F210" s="10" t="s">
        <v>2632</v>
      </c>
      <c r="G210" s="10" t="s">
        <v>2437</v>
      </c>
      <c r="H210" s="10" t="s">
        <v>3047</v>
      </c>
      <c r="I210" s="10" t="s">
        <v>55</v>
      </c>
      <c r="K210" s="10" t="s">
        <v>3048</v>
      </c>
      <c r="L210" s="10" t="s">
        <v>42</v>
      </c>
    </row>
    <row r="211" ht="15.75" customHeight="1">
      <c r="A211" s="66">
        <v>45498.0</v>
      </c>
      <c r="B211" s="55" t="str">
        <f>HYPERLINK("https://jobright.ai/jobs/info/66a2d3dd3e23e8ca995ff288?utm_campaign=1062&amp;utm_source=sheet", "Apply")</f>
        <v>Apply</v>
      </c>
      <c r="C211" s="10" t="s">
        <v>2630</v>
      </c>
      <c r="D211" s="56" t="s">
        <v>2631</v>
      </c>
      <c r="E211" s="10" t="s">
        <v>209</v>
      </c>
      <c r="F211" s="10" t="s">
        <v>2632</v>
      </c>
      <c r="G211" s="10" t="s">
        <v>2464</v>
      </c>
      <c r="H211" s="10" t="s">
        <v>113</v>
      </c>
      <c r="I211" s="10" t="s">
        <v>55</v>
      </c>
      <c r="K211" s="10" t="s">
        <v>2633</v>
      </c>
      <c r="L211" s="10" t="s">
        <v>42</v>
      </c>
    </row>
    <row r="212" ht="15.75" customHeight="1">
      <c r="A212" s="66">
        <v>45498.0</v>
      </c>
      <c r="B212" s="55" t="str">
        <f>HYPERLINK("https://jobright.ai/jobs/info/66a0518282dde0352ff41568?utm_campaign=1062&amp;utm_source=sheet", "Apply")</f>
        <v>Apply</v>
      </c>
      <c r="C212" s="10" t="s">
        <v>3030</v>
      </c>
      <c r="D212" s="56" t="s">
        <v>567</v>
      </c>
      <c r="E212" s="10" t="s">
        <v>65</v>
      </c>
      <c r="F212" s="10" t="s">
        <v>568</v>
      </c>
      <c r="G212" s="10" t="s">
        <v>2448</v>
      </c>
      <c r="H212" s="10" t="s">
        <v>3049</v>
      </c>
      <c r="I212" s="10" t="s">
        <v>55</v>
      </c>
      <c r="J212" s="10" t="s">
        <v>3031</v>
      </c>
      <c r="K212" s="10" t="s">
        <v>3032</v>
      </c>
      <c r="L212" s="10" t="s">
        <v>42</v>
      </c>
    </row>
    <row r="213" ht="15.75" customHeight="1">
      <c r="A213" s="66">
        <v>45498.0</v>
      </c>
      <c r="B213" s="55" t="str">
        <f>HYPERLINK("https://jobright.ai/jobs/info/66a0518282dde0352ff41566?utm_campaign=1062&amp;utm_source=sheet", "Apply")</f>
        <v>Apply</v>
      </c>
      <c r="C213" s="10" t="s">
        <v>3030</v>
      </c>
      <c r="D213" s="56" t="s">
        <v>567</v>
      </c>
      <c r="E213" s="10" t="s">
        <v>65</v>
      </c>
      <c r="F213" s="10" t="s">
        <v>568</v>
      </c>
      <c r="G213" s="10" t="s">
        <v>2448</v>
      </c>
      <c r="H213" s="10" t="s">
        <v>3050</v>
      </c>
      <c r="I213" s="10" t="s">
        <v>55</v>
      </c>
      <c r="J213" s="10" t="s">
        <v>3031</v>
      </c>
      <c r="K213" s="10" t="s">
        <v>3032</v>
      </c>
      <c r="L213" s="10" t="s">
        <v>42</v>
      </c>
    </row>
    <row r="214" ht="15.75" customHeight="1">
      <c r="A214" s="66">
        <v>45498.0</v>
      </c>
      <c r="B214" s="55" t="str">
        <f>HYPERLINK("https://jobright.ai/jobs/info/66a2ecbb367ed95d6cc28994?utm_campaign=1062&amp;utm_source=sheet", "Apply")</f>
        <v>Apply</v>
      </c>
      <c r="C214" s="10" t="s">
        <v>3051</v>
      </c>
      <c r="D214" s="56" t="s">
        <v>3052</v>
      </c>
      <c r="E214" s="10" t="s">
        <v>79</v>
      </c>
      <c r="F214" s="10" t="s">
        <v>3053</v>
      </c>
      <c r="G214" s="10" t="s">
        <v>2484</v>
      </c>
      <c r="H214" s="10" t="s">
        <v>883</v>
      </c>
      <c r="I214" s="10" t="s">
        <v>55</v>
      </c>
      <c r="K214" s="10" t="s">
        <v>3054</v>
      </c>
      <c r="L214" s="10" t="s">
        <v>42</v>
      </c>
    </row>
    <row r="215" ht="15.75" customHeight="1">
      <c r="A215" s="66">
        <v>45498.0</v>
      </c>
      <c r="B215" s="55" t="str">
        <f>HYPERLINK("https://jobright.ai/jobs/info/66a2ecbb367ed95d6cc2899a?utm_campaign=1062&amp;utm_source=sheet", "Apply")</f>
        <v>Apply</v>
      </c>
      <c r="C215" s="10" t="s">
        <v>3051</v>
      </c>
      <c r="D215" s="56" t="s">
        <v>3052</v>
      </c>
      <c r="E215" s="10" t="s">
        <v>79</v>
      </c>
      <c r="F215" s="10" t="s">
        <v>3053</v>
      </c>
      <c r="G215" s="10" t="s">
        <v>2484</v>
      </c>
      <c r="H215" s="10" t="s">
        <v>894</v>
      </c>
      <c r="I215" s="10" t="s">
        <v>55</v>
      </c>
      <c r="K215" s="10" t="s">
        <v>3055</v>
      </c>
      <c r="L215" s="10" t="s">
        <v>42</v>
      </c>
    </row>
    <row r="216" ht="15.75" customHeight="1">
      <c r="A216" s="66">
        <v>45498.0</v>
      </c>
      <c r="B216" s="55" t="str">
        <f>HYPERLINK("https://jobright.ai/jobs/info/66a2ecbb367ed95d6cc2899c?utm_campaign=1062&amp;utm_source=sheet", "Apply")</f>
        <v>Apply</v>
      </c>
      <c r="C216" s="10" t="s">
        <v>3051</v>
      </c>
      <c r="D216" s="56" t="s">
        <v>3052</v>
      </c>
      <c r="E216" s="10" t="s">
        <v>79</v>
      </c>
      <c r="F216" s="10" t="s">
        <v>3053</v>
      </c>
      <c r="G216" s="10" t="s">
        <v>2484</v>
      </c>
      <c r="H216" s="10" t="s">
        <v>3056</v>
      </c>
      <c r="I216" s="10" t="s">
        <v>55</v>
      </c>
      <c r="K216" s="10" t="s">
        <v>3057</v>
      </c>
      <c r="L216" s="10" t="s">
        <v>42</v>
      </c>
    </row>
    <row r="217" ht="15.75" customHeight="1">
      <c r="A217" s="66">
        <v>45498.0</v>
      </c>
      <c r="B217" s="55" t="str">
        <f>HYPERLINK("https://jobright.ai/jobs/info/66a2ecbb367ed95d6cc2899d?utm_campaign=1062&amp;utm_source=sheet", "Apply")</f>
        <v>Apply</v>
      </c>
      <c r="C217" s="10" t="s">
        <v>3058</v>
      </c>
      <c r="D217" s="56" t="s">
        <v>3059</v>
      </c>
      <c r="E217" s="10" t="s">
        <v>249</v>
      </c>
      <c r="F217" s="10" t="s">
        <v>3060</v>
      </c>
      <c r="G217" s="10" t="s">
        <v>2437</v>
      </c>
      <c r="H217" s="10" t="s">
        <v>3061</v>
      </c>
      <c r="I217" s="10" t="s">
        <v>55</v>
      </c>
      <c r="J217" s="10" t="s">
        <v>3062</v>
      </c>
      <c r="K217" s="10" t="s">
        <v>3063</v>
      </c>
      <c r="L217" s="10" t="s">
        <v>42</v>
      </c>
    </row>
    <row r="218" ht="15.75" customHeight="1">
      <c r="A218" s="66">
        <v>45498.0</v>
      </c>
      <c r="B218" s="55" t="str">
        <f>HYPERLINK("https://jobright.ai/jobs/info/66a2c721f9690451830c22b8?utm_campaign=1062&amp;utm_source=sheet", "Apply")</f>
        <v>Apply</v>
      </c>
      <c r="C218" s="10" t="s">
        <v>3064</v>
      </c>
      <c r="D218" s="56" t="s">
        <v>3065</v>
      </c>
      <c r="E218" s="10" t="s">
        <v>209</v>
      </c>
      <c r="F218" s="10" t="s">
        <v>1084</v>
      </c>
      <c r="G218" s="10" t="s">
        <v>2470</v>
      </c>
      <c r="H218" s="10" t="s">
        <v>803</v>
      </c>
      <c r="I218" s="10" t="s">
        <v>55</v>
      </c>
      <c r="J218" s="10" t="s">
        <v>3066</v>
      </c>
      <c r="K218" s="10" t="s">
        <v>3067</v>
      </c>
      <c r="L218" s="10" t="s">
        <v>42</v>
      </c>
    </row>
    <row r="219" ht="15.75" customHeight="1">
      <c r="A219" s="66">
        <v>45498.0</v>
      </c>
      <c r="B219" s="55" t="str">
        <f>HYPERLINK("https://jobright.ai/jobs/info/66a2cdb7d2fccd54bf14f90f?utm_campaign=1062&amp;utm_source=sheet", "Apply")</f>
        <v>Apply</v>
      </c>
      <c r="C219" s="10" t="s">
        <v>3068</v>
      </c>
      <c r="D219" s="56" t="s">
        <v>3069</v>
      </c>
      <c r="E219" s="10" t="s">
        <v>249</v>
      </c>
      <c r="F219" s="10" t="s">
        <v>635</v>
      </c>
      <c r="G219" s="10" t="s">
        <v>2443</v>
      </c>
      <c r="H219" s="10" t="s">
        <v>832</v>
      </c>
      <c r="I219" s="10" t="s">
        <v>55</v>
      </c>
      <c r="K219" s="10" t="s">
        <v>3070</v>
      </c>
      <c r="L219" s="10" t="s">
        <v>42</v>
      </c>
    </row>
    <row r="220" ht="15.75" customHeight="1">
      <c r="A220" s="66">
        <v>45498.0</v>
      </c>
      <c r="B220" s="55" t="str">
        <f>HYPERLINK("https://jobright.ai/jobs/info/6688a83e060a173f1dd64f71?utm_campaign=1062&amp;utm_source=sheet", "Apply")</f>
        <v>Apply</v>
      </c>
      <c r="C220" s="10" t="s">
        <v>2928</v>
      </c>
      <c r="D220" s="56" t="s">
        <v>2929</v>
      </c>
      <c r="E220" s="10" t="s">
        <v>276</v>
      </c>
      <c r="F220" s="10" t="s">
        <v>2930</v>
      </c>
      <c r="G220" s="10" t="s">
        <v>2459</v>
      </c>
      <c r="H220" s="10" t="s">
        <v>2931</v>
      </c>
      <c r="I220" s="10" t="s">
        <v>55</v>
      </c>
      <c r="K220" s="10" t="s">
        <v>2932</v>
      </c>
      <c r="L220" s="10" t="s">
        <v>42</v>
      </c>
    </row>
    <row r="221" ht="15.75" customHeight="1">
      <c r="A221" s="66">
        <v>45498.0</v>
      </c>
      <c r="B221" s="55" t="str">
        <f>HYPERLINK("https://jobright.ai/jobs/info/668a692aa9bfabcfd637ccfa?utm_campaign=1062&amp;utm_source=sheet", "Apply")</f>
        <v>Apply</v>
      </c>
      <c r="C221" s="10" t="s">
        <v>1716</v>
      </c>
      <c r="D221" s="56" t="s">
        <v>3071</v>
      </c>
      <c r="E221" s="10" t="s">
        <v>45</v>
      </c>
      <c r="F221" s="10" t="s">
        <v>1234</v>
      </c>
      <c r="G221" s="10" t="s">
        <v>2502</v>
      </c>
      <c r="H221" s="10" t="s">
        <v>153</v>
      </c>
      <c r="I221" s="10" t="s">
        <v>55</v>
      </c>
      <c r="K221" s="10" t="s">
        <v>3072</v>
      </c>
      <c r="L221" s="10" t="s">
        <v>42</v>
      </c>
    </row>
    <row r="222" ht="15.75" customHeight="1">
      <c r="A222" s="66">
        <v>45498.0</v>
      </c>
      <c r="B222" s="55" t="str">
        <f>HYPERLINK("https://jobright.ai/jobs/info/66a2c13ebdefedf6c0ade16d?utm_campaign=1062&amp;utm_source=sheet", "Apply")</f>
        <v>Apply</v>
      </c>
      <c r="C222" s="10" t="s">
        <v>3073</v>
      </c>
      <c r="D222" s="56" t="s">
        <v>3074</v>
      </c>
      <c r="E222" s="10" t="s">
        <v>65</v>
      </c>
      <c r="F222" s="10" t="s">
        <v>3075</v>
      </c>
      <c r="G222" s="10" t="s">
        <v>2448</v>
      </c>
      <c r="H222" s="10" t="s">
        <v>167</v>
      </c>
      <c r="I222" s="10" t="s">
        <v>55</v>
      </c>
      <c r="J222" s="10" t="s">
        <v>3076</v>
      </c>
      <c r="K222" s="10" t="s">
        <v>3077</v>
      </c>
      <c r="L222" s="10" t="s">
        <v>42</v>
      </c>
    </row>
    <row r="223" ht="15.75" customHeight="1">
      <c r="A223" s="66">
        <v>45498.0</v>
      </c>
      <c r="B223" s="55" t="str">
        <f>HYPERLINK("https://jobright.ai/jobs/info/66a2d3ee3e23e8ca995ff3fb?utm_campaign=1062&amp;utm_source=sheet", "Apply")</f>
        <v>Apply</v>
      </c>
      <c r="C223" s="10" t="s">
        <v>3078</v>
      </c>
      <c r="D223" s="56" t="s">
        <v>3079</v>
      </c>
      <c r="E223" s="10" t="s">
        <v>249</v>
      </c>
      <c r="F223" s="10" t="s">
        <v>3080</v>
      </c>
      <c r="G223" s="10" t="s">
        <v>2459</v>
      </c>
      <c r="H223" s="10" t="s">
        <v>3081</v>
      </c>
      <c r="I223" s="10" t="s">
        <v>55</v>
      </c>
      <c r="K223" s="10" t="s">
        <v>3082</v>
      </c>
      <c r="L223" s="10" t="s">
        <v>42</v>
      </c>
    </row>
    <row r="224" ht="15.75" customHeight="1">
      <c r="A224" s="66">
        <v>45498.0</v>
      </c>
      <c r="B224" s="55" t="str">
        <f>HYPERLINK("https://jobright.ai/jobs/info/66a2e30c621b00551f3629ef?utm_campaign=1062&amp;utm_source=sheet", "Apply")</f>
        <v>Apply</v>
      </c>
      <c r="C224" s="10" t="s">
        <v>3083</v>
      </c>
      <c r="D224" s="56" t="s">
        <v>3084</v>
      </c>
      <c r="E224" s="10" t="s">
        <v>65</v>
      </c>
      <c r="F224" s="10" t="s">
        <v>1296</v>
      </c>
      <c r="G224" s="10" t="s">
        <v>2484</v>
      </c>
      <c r="H224" s="10" t="s">
        <v>3085</v>
      </c>
      <c r="I224" s="10" t="s">
        <v>55</v>
      </c>
      <c r="J224" s="10" t="s">
        <v>3086</v>
      </c>
      <c r="K224" s="10" t="s">
        <v>3087</v>
      </c>
      <c r="L224" s="10" t="s">
        <v>42</v>
      </c>
    </row>
    <row r="225" ht="15.75" customHeight="1">
      <c r="A225" s="66">
        <v>45498.0</v>
      </c>
      <c r="B225" s="55" t="str">
        <f>HYPERLINK("https://jobright.ai/jobs/info/66a2c843b4785fcea1faf98d?utm_campaign=1062&amp;utm_source=sheet", "Apply")</f>
        <v>Apply</v>
      </c>
      <c r="C225" s="10" t="s">
        <v>3088</v>
      </c>
      <c r="D225" s="56" t="s">
        <v>204</v>
      </c>
      <c r="E225" s="10" t="s">
        <v>45</v>
      </c>
      <c r="F225" s="10" t="s">
        <v>205</v>
      </c>
      <c r="G225" s="10" t="s">
        <v>2455</v>
      </c>
      <c r="H225" s="10" t="s">
        <v>153</v>
      </c>
      <c r="I225" s="10" t="s">
        <v>55</v>
      </c>
      <c r="K225" s="10" t="s">
        <v>3089</v>
      </c>
      <c r="L225" s="10" t="s">
        <v>42</v>
      </c>
    </row>
    <row r="226" ht="15.75" customHeight="1">
      <c r="A226" s="66">
        <v>45498.0</v>
      </c>
      <c r="B226" s="55" t="str">
        <f>HYPERLINK("https://jobright.ai/jobs/info/66a2c852b4785fcea1fafb28?utm_campaign=1062&amp;utm_source=sheet", "Apply")</f>
        <v>Apply</v>
      </c>
      <c r="C226" s="10" t="s">
        <v>3088</v>
      </c>
      <c r="D226" s="56" t="s">
        <v>204</v>
      </c>
      <c r="E226" s="10" t="s">
        <v>45</v>
      </c>
      <c r="F226" s="10" t="s">
        <v>205</v>
      </c>
      <c r="G226" s="10" t="s">
        <v>2455</v>
      </c>
      <c r="H226" s="10" t="s">
        <v>898</v>
      </c>
      <c r="I226" s="10" t="s">
        <v>55</v>
      </c>
      <c r="K226" s="10" t="s">
        <v>3089</v>
      </c>
      <c r="L226" s="10" t="s">
        <v>42</v>
      </c>
    </row>
    <row r="227" ht="15.75" customHeight="1">
      <c r="A227" s="66">
        <v>45498.0</v>
      </c>
      <c r="B227" s="55" t="str">
        <f>HYPERLINK("https://jobright.ai/jobs/info/66a2b88746079657174409d6?utm_campaign=1062&amp;utm_source=sheet", "Apply")</f>
        <v>Apply</v>
      </c>
      <c r="C227" s="10" t="s">
        <v>3090</v>
      </c>
      <c r="D227" s="56" t="s">
        <v>1789</v>
      </c>
      <c r="E227" s="10" t="s">
        <v>45</v>
      </c>
      <c r="F227" s="10" t="s">
        <v>1790</v>
      </c>
      <c r="G227" s="10" t="s">
        <v>2437</v>
      </c>
      <c r="H227" s="10" t="s">
        <v>216</v>
      </c>
      <c r="I227" s="10" t="s">
        <v>55</v>
      </c>
      <c r="J227" s="10" t="s">
        <v>3091</v>
      </c>
      <c r="K227" s="10" t="s">
        <v>3092</v>
      </c>
      <c r="L227" s="10" t="s">
        <v>42</v>
      </c>
    </row>
    <row r="228" ht="15.75" customHeight="1">
      <c r="A228" s="66">
        <v>45498.0</v>
      </c>
      <c r="B228" s="55" t="str">
        <f>HYPERLINK("https://jobright.ai/jobs/info/66a2b8874607965717440a57?utm_campaign=1062&amp;utm_source=sheet", "Apply")</f>
        <v>Apply</v>
      </c>
      <c r="C228" s="10" t="s">
        <v>3090</v>
      </c>
      <c r="D228" s="56" t="s">
        <v>1789</v>
      </c>
      <c r="E228" s="10" t="s">
        <v>45</v>
      </c>
      <c r="F228" s="10" t="s">
        <v>1790</v>
      </c>
      <c r="G228" s="10" t="s">
        <v>2437</v>
      </c>
      <c r="H228" s="10" t="s">
        <v>3093</v>
      </c>
      <c r="I228" s="10" t="s">
        <v>55</v>
      </c>
      <c r="J228" s="10" t="s">
        <v>3091</v>
      </c>
      <c r="K228" s="10" t="s">
        <v>3092</v>
      </c>
      <c r="L228" s="10" t="s">
        <v>42</v>
      </c>
    </row>
    <row r="229" ht="15.75" customHeight="1">
      <c r="A229" s="66">
        <v>45498.0</v>
      </c>
      <c r="B229" s="55" t="str">
        <f>HYPERLINK("https://jobright.ai/jobs/info/66a2bf53915788496ad37b1a?utm_campaign=1062&amp;utm_source=sheet", "Apply")</f>
        <v>Apply</v>
      </c>
      <c r="C229" s="10" t="s">
        <v>3094</v>
      </c>
      <c r="D229" s="56" t="s">
        <v>3095</v>
      </c>
      <c r="F229" s="10" t="s">
        <v>3096</v>
      </c>
      <c r="G229" s="10" t="s">
        <v>2448</v>
      </c>
      <c r="H229" s="10" t="s">
        <v>3097</v>
      </c>
      <c r="I229" s="10" t="s">
        <v>55</v>
      </c>
      <c r="K229" s="10" t="s">
        <v>3098</v>
      </c>
      <c r="L229" s="10" t="s">
        <v>42</v>
      </c>
    </row>
    <row r="230" ht="15.75" customHeight="1">
      <c r="A230" s="66">
        <v>45498.0</v>
      </c>
      <c r="B230" s="55" t="str">
        <f>HYPERLINK("https://jobright.ai/jobs/info/66a2bf53915788496ad37b61?utm_campaign=1062&amp;utm_source=sheet", "Apply")</f>
        <v>Apply</v>
      </c>
      <c r="C230" s="10" t="s">
        <v>3099</v>
      </c>
      <c r="D230" s="56" t="s">
        <v>220</v>
      </c>
      <c r="E230" s="10" t="s">
        <v>65</v>
      </c>
      <c r="F230" s="10" t="s">
        <v>221</v>
      </c>
      <c r="G230" s="10" t="s">
        <v>2437</v>
      </c>
      <c r="H230" s="10" t="s">
        <v>3100</v>
      </c>
      <c r="I230" s="10" t="s">
        <v>55</v>
      </c>
      <c r="K230" s="10" t="s">
        <v>3101</v>
      </c>
      <c r="L230" s="10" t="s">
        <v>42</v>
      </c>
    </row>
    <row r="231" ht="15.75" customHeight="1">
      <c r="A231" s="66">
        <v>45498.0</v>
      </c>
      <c r="B231" s="55" t="str">
        <f>HYPERLINK("https://jobright.ai/jobs/info/66a2bf53915788496ad37b6e?utm_campaign=1062&amp;utm_source=sheet", "Apply")</f>
        <v>Apply</v>
      </c>
      <c r="C231" s="10" t="s">
        <v>3102</v>
      </c>
      <c r="D231" s="56" t="s">
        <v>220</v>
      </c>
      <c r="E231" s="10" t="s">
        <v>65</v>
      </c>
      <c r="F231" s="10" t="s">
        <v>221</v>
      </c>
      <c r="G231" s="10" t="s">
        <v>2484</v>
      </c>
      <c r="H231" s="10" t="s">
        <v>3100</v>
      </c>
      <c r="I231" s="10" t="s">
        <v>55</v>
      </c>
      <c r="K231" s="10" t="s">
        <v>3103</v>
      </c>
      <c r="L231" s="10" t="s">
        <v>42</v>
      </c>
    </row>
    <row r="232" ht="15.75" customHeight="1">
      <c r="A232" s="66">
        <v>45498.0</v>
      </c>
      <c r="B232" s="55" t="str">
        <f>HYPERLINK("https://jobright.ai/jobs/info/66a2bf5b915788496ad37ba8?utm_campaign=1062&amp;utm_source=sheet", "Apply")</f>
        <v>Apply</v>
      </c>
      <c r="C232" s="10" t="s">
        <v>3099</v>
      </c>
      <c r="D232" s="56" t="s">
        <v>220</v>
      </c>
      <c r="E232" s="10" t="s">
        <v>65</v>
      </c>
      <c r="F232" s="10" t="s">
        <v>221</v>
      </c>
      <c r="G232" s="10" t="s">
        <v>2437</v>
      </c>
      <c r="H232" s="10" t="s">
        <v>222</v>
      </c>
      <c r="I232" s="10" t="s">
        <v>55</v>
      </c>
      <c r="K232" s="10" t="s">
        <v>3104</v>
      </c>
      <c r="L232" s="10" t="s">
        <v>42</v>
      </c>
    </row>
    <row r="233" ht="15.75" customHeight="1">
      <c r="A233" s="66">
        <v>45498.0</v>
      </c>
      <c r="B233" s="55" t="str">
        <f>HYPERLINK("https://jobright.ai/jobs/info/66a2bf53915788496ad37b6d?utm_campaign=1062&amp;utm_source=sheet", "Apply")</f>
        <v>Apply</v>
      </c>
      <c r="C233" s="10" t="s">
        <v>3105</v>
      </c>
      <c r="D233" s="56" t="s">
        <v>220</v>
      </c>
      <c r="E233" s="10" t="s">
        <v>65</v>
      </c>
      <c r="F233" s="10" t="s">
        <v>221</v>
      </c>
      <c r="G233" s="10" t="s">
        <v>2484</v>
      </c>
      <c r="H233" s="10" t="s">
        <v>222</v>
      </c>
      <c r="I233" s="10" t="s">
        <v>55</v>
      </c>
      <c r="K233" s="10" t="s">
        <v>3106</v>
      </c>
      <c r="L233" s="10" t="s">
        <v>42</v>
      </c>
    </row>
    <row r="234" ht="15.75" customHeight="1">
      <c r="A234" s="66">
        <v>45498.0</v>
      </c>
      <c r="B234" s="55" t="str">
        <f>HYPERLINK("https://jobright.ai/jobs/info/66a2bf53915788496ad37b73?utm_campaign=1062&amp;utm_source=sheet", "Apply")</f>
        <v>Apply</v>
      </c>
      <c r="C234" s="10" t="s">
        <v>3107</v>
      </c>
      <c r="D234" s="56" t="s">
        <v>220</v>
      </c>
      <c r="E234" s="10" t="s">
        <v>65</v>
      </c>
      <c r="F234" s="10" t="s">
        <v>221</v>
      </c>
      <c r="G234" s="10" t="s">
        <v>2470</v>
      </c>
      <c r="H234" s="10" t="s">
        <v>3100</v>
      </c>
      <c r="I234" s="10" t="s">
        <v>55</v>
      </c>
      <c r="K234" s="10" t="s">
        <v>3108</v>
      </c>
      <c r="L234" s="10" t="s">
        <v>42</v>
      </c>
    </row>
    <row r="235" ht="15.75" customHeight="1">
      <c r="A235" s="66">
        <v>45498.0</v>
      </c>
      <c r="B235" s="55" t="str">
        <f>HYPERLINK("https://jobright.ai/jobs/info/66a3ca1d55a005da42ef5878?utm_campaign=1062&amp;utm_source=sheet", "Apply")</f>
        <v>Apply</v>
      </c>
      <c r="C235" s="10" t="s">
        <v>3109</v>
      </c>
      <c r="D235" s="56" t="s">
        <v>220</v>
      </c>
      <c r="E235" s="10" t="s">
        <v>65</v>
      </c>
      <c r="F235" s="10" t="s">
        <v>221</v>
      </c>
      <c r="G235" s="10" t="s">
        <v>2470</v>
      </c>
      <c r="H235" s="10" t="s">
        <v>3100</v>
      </c>
      <c r="I235" s="10" t="s">
        <v>55</v>
      </c>
      <c r="K235" s="10" t="s">
        <v>3110</v>
      </c>
      <c r="L235" s="10" t="s">
        <v>42</v>
      </c>
    </row>
    <row r="236" ht="15.75" customHeight="1">
      <c r="A236" s="66">
        <v>45498.0</v>
      </c>
      <c r="B236" s="55" t="str">
        <f>HYPERLINK("https://jobright.ai/jobs/info/668e714f5006a3dce367ae09?utm_campaign=1062&amp;utm_source=sheet", "Apply")</f>
        <v>Apply</v>
      </c>
      <c r="C236" s="10" t="s">
        <v>2656</v>
      </c>
      <c r="D236" s="56" t="s">
        <v>1331</v>
      </c>
      <c r="E236" s="10" t="s">
        <v>45</v>
      </c>
      <c r="F236" s="10" t="s">
        <v>1332</v>
      </c>
      <c r="G236" s="10" t="s">
        <v>2448</v>
      </c>
      <c r="H236" s="10" t="s">
        <v>520</v>
      </c>
      <c r="I236" s="10" t="s">
        <v>55</v>
      </c>
      <c r="J236" s="10" t="s">
        <v>2545</v>
      </c>
      <c r="K236" s="10" t="s">
        <v>2657</v>
      </c>
      <c r="L236" s="10" t="s">
        <v>42</v>
      </c>
    </row>
    <row r="237" ht="15.75" customHeight="1">
      <c r="A237" s="66">
        <v>45498.0</v>
      </c>
      <c r="B237" s="55" t="str">
        <f>HYPERLINK("https://jobright.ai/jobs/info/668e820bb860a449c6f15cac?utm_campaign=1062&amp;utm_source=sheet", "Apply")</f>
        <v>Apply</v>
      </c>
      <c r="C237" s="10" t="s">
        <v>2656</v>
      </c>
      <c r="D237" s="56" t="s">
        <v>1331</v>
      </c>
      <c r="E237" s="10" t="s">
        <v>45</v>
      </c>
      <c r="F237" s="10" t="s">
        <v>1332</v>
      </c>
      <c r="G237" s="10" t="s">
        <v>2448</v>
      </c>
      <c r="H237" s="10" t="s">
        <v>3111</v>
      </c>
      <c r="I237" s="10" t="s">
        <v>55</v>
      </c>
      <c r="J237" s="10" t="s">
        <v>2545</v>
      </c>
      <c r="K237" s="10" t="s">
        <v>2657</v>
      </c>
      <c r="L237" s="10" t="s">
        <v>42</v>
      </c>
    </row>
    <row r="238" ht="15.75" customHeight="1">
      <c r="A238" s="66">
        <v>45498.0</v>
      </c>
      <c r="B238" s="55" t="str">
        <f>HYPERLINK("https://jobright.ai/jobs/info/66a2b0dc9af9a2a108449533?utm_campaign=1062&amp;utm_source=sheet", "Apply")</f>
        <v>Apply</v>
      </c>
      <c r="C238" s="10" t="s">
        <v>3102</v>
      </c>
      <c r="D238" s="56" t="s">
        <v>220</v>
      </c>
      <c r="E238" s="10" t="s">
        <v>65</v>
      </c>
      <c r="F238" s="10" t="s">
        <v>221</v>
      </c>
      <c r="G238" s="10" t="s">
        <v>2484</v>
      </c>
      <c r="H238" s="10" t="s">
        <v>222</v>
      </c>
      <c r="I238" s="10" t="s">
        <v>55</v>
      </c>
      <c r="K238" s="10" t="s">
        <v>3112</v>
      </c>
      <c r="L238" s="10" t="s">
        <v>42</v>
      </c>
    </row>
    <row r="239" ht="15.75" customHeight="1">
      <c r="A239" s="66">
        <v>45498.0</v>
      </c>
      <c r="B239" s="55" t="str">
        <f>HYPERLINK("https://jobright.ai/jobs/info/66a2b36b4f4afedd11103403?utm_campaign=1062&amp;utm_source=sheet", "Apply")</f>
        <v>Apply</v>
      </c>
      <c r="C239" s="10" t="s">
        <v>3113</v>
      </c>
      <c r="D239" s="56" t="s">
        <v>196</v>
      </c>
      <c r="E239" s="10" t="s">
        <v>71</v>
      </c>
      <c r="F239" s="10" t="s">
        <v>197</v>
      </c>
      <c r="G239" s="10" t="s">
        <v>2443</v>
      </c>
      <c r="H239" s="10" t="s">
        <v>193</v>
      </c>
      <c r="I239" s="10" t="s">
        <v>55</v>
      </c>
      <c r="K239" s="10" t="s">
        <v>3114</v>
      </c>
      <c r="L239" s="10" t="s">
        <v>42</v>
      </c>
    </row>
    <row r="240" ht="15.75" customHeight="1">
      <c r="A240" s="66">
        <v>45498.0</v>
      </c>
      <c r="B240" s="55" t="str">
        <f>HYPERLINK("https://jobright.ai/jobs/info/66a2b0e49af9a2a1084495df?utm_campaign=1062&amp;utm_source=sheet", "Apply")</f>
        <v>Apply</v>
      </c>
      <c r="C240" s="10" t="s">
        <v>3115</v>
      </c>
      <c r="D240" s="56" t="s">
        <v>3116</v>
      </c>
      <c r="E240" s="10" t="s">
        <v>79</v>
      </c>
      <c r="F240" s="10" t="s">
        <v>259</v>
      </c>
      <c r="G240" s="10" t="s">
        <v>2455</v>
      </c>
      <c r="H240" s="10" t="s">
        <v>900</v>
      </c>
      <c r="I240" s="10" t="s">
        <v>55</v>
      </c>
      <c r="K240" s="10" t="s">
        <v>3117</v>
      </c>
      <c r="L240" s="10" t="s">
        <v>42</v>
      </c>
    </row>
    <row r="241" ht="15.75" customHeight="1">
      <c r="A241" s="66">
        <v>45498.0</v>
      </c>
      <c r="B241" s="55" t="str">
        <f>HYPERLINK("https://jobright.ai/jobs/info/66a2a59a9bbfb77b02eb4118?utm_campaign=1062&amp;utm_source=sheet", "Apply")</f>
        <v>Apply</v>
      </c>
      <c r="C241" s="10" t="s">
        <v>3118</v>
      </c>
      <c r="D241" s="56" t="s">
        <v>3119</v>
      </c>
      <c r="E241" s="10" t="s">
        <v>45</v>
      </c>
      <c r="F241" s="10" t="s">
        <v>3120</v>
      </c>
      <c r="G241" s="10" t="s">
        <v>2502</v>
      </c>
      <c r="H241" s="10" t="s">
        <v>340</v>
      </c>
      <c r="I241" s="10" t="s">
        <v>55</v>
      </c>
      <c r="K241" s="10" t="s">
        <v>3121</v>
      </c>
      <c r="L241" s="10" t="s">
        <v>42</v>
      </c>
    </row>
    <row r="242" ht="15.75" customHeight="1">
      <c r="A242" s="66">
        <v>45498.0</v>
      </c>
      <c r="B242" s="55" t="str">
        <f>HYPERLINK("https://jobright.ai/jobs/info/66a2b3744f4afedd1110342b?utm_campaign=1062&amp;utm_source=sheet", "Apply")</f>
        <v>Apply</v>
      </c>
      <c r="C242" s="10" t="s">
        <v>3122</v>
      </c>
      <c r="D242" s="56" t="s">
        <v>3123</v>
      </c>
      <c r="E242" s="10" t="s">
        <v>249</v>
      </c>
      <c r="F242" s="10" t="s">
        <v>3124</v>
      </c>
      <c r="G242" s="10" t="s">
        <v>2448</v>
      </c>
      <c r="H242" s="10" t="s">
        <v>917</v>
      </c>
      <c r="I242" s="10" t="s">
        <v>55</v>
      </c>
      <c r="J242" s="10" t="s">
        <v>3125</v>
      </c>
      <c r="K242" s="10" t="s">
        <v>3126</v>
      </c>
      <c r="L242" s="10" t="s">
        <v>42</v>
      </c>
    </row>
    <row r="243" ht="15.75" customHeight="1">
      <c r="A243" s="66">
        <v>45498.0</v>
      </c>
      <c r="B243" s="55" t="str">
        <f>HYPERLINK("https://jobright.ai/jobs/info/66a2ecc3367ed95d6cc28a43?utm_campaign=1062&amp;utm_source=sheet", "Apply")</f>
        <v>Apply</v>
      </c>
      <c r="C243" s="10" t="s">
        <v>3127</v>
      </c>
      <c r="D243" s="56" t="s">
        <v>99</v>
      </c>
      <c r="E243" s="10" t="s">
        <v>45</v>
      </c>
      <c r="F243" s="10" t="s">
        <v>100</v>
      </c>
      <c r="G243" s="10" t="s">
        <v>2476</v>
      </c>
      <c r="H243" s="10" t="s">
        <v>232</v>
      </c>
      <c r="I243" s="10" t="s">
        <v>55</v>
      </c>
      <c r="K243" s="10" t="s">
        <v>2612</v>
      </c>
      <c r="L243" s="10" t="s">
        <v>42</v>
      </c>
    </row>
    <row r="244" ht="15.75" customHeight="1">
      <c r="A244" s="66">
        <v>45498.0</v>
      </c>
      <c r="B244" s="55" t="str">
        <f>HYPERLINK("https://jobright.ai/jobs/info/66a2aa33022211b3c862169b?utm_campaign=1062&amp;utm_source=sheet", "Apply")</f>
        <v>Apply</v>
      </c>
      <c r="C244" s="10" t="s">
        <v>3128</v>
      </c>
      <c r="D244" s="56" t="s">
        <v>3129</v>
      </c>
      <c r="E244" s="10" t="s">
        <v>45</v>
      </c>
      <c r="F244" s="10" t="s">
        <v>2409</v>
      </c>
      <c r="G244" s="10" t="s">
        <v>2443</v>
      </c>
      <c r="H244" s="10" t="s">
        <v>1036</v>
      </c>
      <c r="I244" s="10" t="s">
        <v>55</v>
      </c>
      <c r="K244" s="10" t="s">
        <v>3130</v>
      </c>
      <c r="L244" s="10" t="s">
        <v>42</v>
      </c>
    </row>
    <row r="245" ht="15.75" customHeight="1">
      <c r="A245" s="66">
        <v>45498.0</v>
      </c>
      <c r="B245" s="55" t="str">
        <f>HYPERLINK("https://jobright.ai/jobs/info/6697087f1d542bc7ed5a1e95?utm_campaign=1062&amp;utm_source=sheet", "Apply")</f>
        <v>Apply</v>
      </c>
      <c r="C245" s="10" t="s">
        <v>3131</v>
      </c>
      <c r="D245" s="56" t="s">
        <v>2986</v>
      </c>
      <c r="E245" s="10" t="s">
        <v>45</v>
      </c>
      <c r="F245" s="10" t="s">
        <v>2987</v>
      </c>
      <c r="G245" s="10" t="s">
        <v>2437</v>
      </c>
      <c r="H245" s="10" t="s">
        <v>96</v>
      </c>
      <c r="I245" s="10" t="s">
        <v>55</v>
      </c>
      <c r="J245" s="10" t="s">
        <v>3132</v>
      </c>
      <c r="K245" s="10" t="s">
        <v>3133</v>
      </c>
      <c r="L245" s="10" t="s">
        <v>42</v>
      </c>
    </row>
    <row r="246" ht="15.75" customHeight="1">
      <c r="A246" s="66">
        <v>45498.0</v>
      </c>
      <c r="B246" s="55" t="str">
        <f>HYPERLINK("https://jobright.ai/jobs/info/66a2a7c517f20d5fe76620b5?utm_campaign=1062&amp;utm_source=sheet", "Apply")</f>
        <v>Apply</v>
      </c>
      <c r="C246" s="10" t="s">
        <v>3134</v>
      </c>
      <c r="D246" s="56" t="s">
        <v>3135</v>
      </c>
      <c r="E246" s="10" t="s">
        <v>276</v>
      </c>
      <c r="F246" s="10" t="s">
        <v>568</v>
      </c>
      <c r="G246" s="10" t="s">
        <v>2464</v>
      </c>
      <c r="H246" s="10" t="s">
        <v>3136</v>
      </c>
      <c r="I246" s="10" t="s">
        <v>55</v>
      </c>
      <c r="J246" s="10" t="s">
        <v>3132</v>
      </c>
      <c r="K246" s="10" t="s">
        <v>3137</v>
      </c>
      <c r="L246" s="10" t="s">
        <v>42</v>
      </c>
    </row>
    <row r="247" ht="15.75" customHeight="1">
      <c r="A247" s="66">
        <v>45498.0</v>
      </c>
      <c r="B247" s="55" t="str">
        <f>HYPERLINK("https://jobright.ai/jobs/info/66a2a5a39bbfb77b02eb41ae?utm_campaign=1062&amp;utm_source=sheet", "Apply")</f>
        <v>Apply</v>
      </c>
      <c r="C247" s="10" t="s">
        <v>3138</v>
      </c>
      <c r="D247" s="56" t="s">
        <v>99</v>
      </c>
      <c r="E247" s="10" t="s">
        <v>45</v>
      </c>
      <c r="F247" s="10" t="s">
        <v>100</v>
      </c>
      <c r="G247" s="10" t="s">
        <v>2807</v>
      </c>
      <c r="H247" s="10" t="s">
        <v>165</v>
      </c>
      <c r="I247" s="10" t="s">
        <v>55</v>
      </c>
      <c r="K247" s="10" t="s">
        <v>3139</v>
      </c>
      <c r="L247" s="10" t="s">
        <v>42</v>
      </c>
    </row>
    <row r="248" ht="15.75" customHeight="1">
      <c r="A248" s="66">
        <v>45498.0</v>
      </c>
      <c r="B248" s="55" t="str">
        <f>HYPERLINK("https://jobright.ai/jobs/info/66a2a5a39bbfb77b02eb41b5?utm_campaign=1062&amp;utm_source=sheet", "Apply")</f>
        <v>Apply</v>
      </c>
      <c r="C248" s="10" t="s">
        <v>3140</v>
      </c>
      <c r="D248" s="56" t="s">
        <v>99</v>
      </c>
      <c r="E248" s="10" t="s">
        <v>45</v>
      </c>
      <c r="F248" s="10" t="s">
        <v>100</v>
      </c>
      <c r="G248" s="10" t="s">
        <v>2437</v>
      </c>
      <c r="H248" s="10" t="s">
        <v>101</v>
      </c>
      <c r="I248" s="10" t="s">
        <v>55</v>
      </c>
      <c r="K248" s="10" t="s">
        <v>3141</v>
      </c>
      <c r="L248" s="10" t="s">
        <v>42</v>
      </c>
    </row>
    <row r="249" ht="15.75" customHeight="1">
      <c r="A249" s="66">
        <v>45498.0</v>
      </c>
      <c r="B249" s="55" t="str">
        <f>HYPERLINK("https://jobright.ai/jobs/info/66a2a5a39bbfb77b02eb41e1?utm_campaign=1062&amp;utm_source=sheet", "Apply")</f>
        <v>Apply</v>
      </c>
      <c r="C249" s="10" t="s">
        <v>3142</v>
      </c>
      <c r="D249" s="56" t="s">
        <v>99</v>
      </c>
      <c r="E249" s="10" t="s">
        <v>45</v>
      </c>
      <c r="F249" s="10" t="s">
        <v>100</v>
      </c>
      <c r="G249" s="10" t="s">
        <v>2437</v>
      </c>
      <c r="H249" s="10" t="s">
        <v>232</v>
      </c>
      <c r="I249" s="10" t="s">
        <v>55</v>
      </c>
      <c r="K249" s="10" t="s">
        <v>3143</v>
      </c>
      <c r="L249" s="10" t="s">
        <v>42</v>
      </c>
    </row>
    <row r="250" ht="15.75" customHeight="1">
      <c r="A250" s="66">
        <v>45498.0</v>
      </c>
      <c r="B250" s="55" t="str">
        <f>HYPERLINK("https://jobright.ai/jobs/info/66a2a5a39bbfb77b02eb41be?utm_campaign=1062&amp;utm_source=sheet", "Apply")</f>
        <v>Apply</v>
      </c>
      <c r="C250" s="10" t="s">
        <v>3144</v>
      </c>
      <c r="D250" s="56" t="s">
        <v>99</v>
      </c>
      <c r="E250" s="10" t="s">
        <v>45</v>
      </c>
      <c r="F250" s="10" t="s">
        <v>100</v>
      </c>
      <c r="G250" s="10" t="s">
        <v>2437</v>
      </c>
      <c r="H250" s="10" t="s">
        <v>108</v>
      </c>
      <c r="I250" s="10" t="s">
        <v>55</v>
      </c>
      <c r="K250" s="10" t="s">
        <v>3141</v>
      </c>
      <c r="L250" s="10" t="s">
        <v>42</v>
      </c>
    </row>
    <row r="251" ht="15.75" customHeight="1">
      <c r="A251" s="66">
        <v>45498.0</v>
      </c>
      <c r="B251" s="55" t="str">
        <f>HYPERLINK("https://jobright.ai/jobs/info/66a2b3744f4afedd111034ba?utm_campaign=1062&amp;utm_source=sheet", "Apply")</f>
        <v>Apply</v>
      </c>
      <c r="C251" s="10" t="s">
        <v>3145</v>
      </c>
      <c r="D251" s="56" t="s">
        <v>99</v>
      </c>
      <c r="E251" s="10" t="s">
        <v>45</v>
      </c>
      <c r="F251" s="10" t="s">
        <v>100</v>
      </c>
      <c r="G251" s="10" t="s">
        <v>2437</v>
      </c>
      <c r="H251" s="10" t="s">
        <v>106</v>
      </c>
      <c r="I251" s="10" t="s">
        <v>55</v>
      </c>
      <c r="K251" s="10" t="s">
        <v>3141</v>
      </c>
      <c r="L251" s="10" t="s">
        <v>42</v>
      </c>
    </row>
    <row r="252" ht="15.75" customHeight="1">
      <c r="A252" s="66">
        <v>45498.0</v>
      </c>
      <c r="B252" s="55" t="str">
        <f>HYPERLINK("https://jobright.ai/jobs/info/66a2bb98f2f497226957668a?utm_campaign=1062&amp;utm_source=sheet", "Apply")</f>
        <v>Apply</v>
      </c>
      <c r="C252" s="10" t="s">
        <v>3146</v>
      </c>
      <c r="D252" s="56" t="s">
        <v>99</v>
      </c>
      <c r="E252" s="10" t="s">
        <v>45</v>
      </c>
      <c r="F252" s="10" t="s">
        <v>100</v>
      </c>
      <c r="G252" s="10" t="s">
        <v>2476</v>
      </c>
      <c r="H252" s="10" t="s">
        <v>106</v>
      </c>
      <c r="I252" s="10" t="s">
        <v>55</v>
      </c>
      <c r="K252" s="10" t="s">
        <v>2612</v>
      </c>
      <c r="L252" s="10" t="s">
        <v>42</v>
      </c>
    </row>
    <row r="253" ht="15.75" customHeight="1">
      <c r="A253" s="66">
        <v>45498.0</v>
      </c>
      <c r="B253" s="55" t="str">
        <f>HYPERLINK("https://jobright.ai/jobs/info/668fec630846f46e15d3794e?utm_campaign=1062&amp;utm_source=sheet", "Apply")</f>
        <v>Apply</v>
      </c>
      <c r="C253" s="10" t="s">
        <v>2656</v>
      </c>
      <c r="D253" s="56" t="s">
        <v>1331</v>
      </c>
      <c r="E253" s="10" t="s">
        <v>45</v>
      </c>
      <c r="F253" s="10" t="s">
        <v>1332</v>
      </c>
      <c r="G253" s="10" t="s">
        <v>2448</v>
      </c>
      <c r="H253" s="10" t="s">
        <v>2635</v>
      </c>
      <c r="I253" s="10" t="s">
        <v>55</v>
      </c>
      <c r="J253" s="10" t="s">
        <v>2545</v>
      </c>
      <c r="K253" s="10" t="s">
        <v>2657</v>
      </c>
      <c r="L253" s="10" t="s">
        <v>42</v>
      </c>
    </row>
    <row r="254" ht="15.75" customHeight="1">
      <c r="A254" s="66">
        <v>45498.0</v>
      </c>
      <c r="B254" s="55" t="str">
        <f>HYPERLINK("https://jobright.ai/jobs/info/66918415b3c5781c364c2551?utm_campaign=1062&amp;utm_source=sheet", "Apply")</f>
        <v>Apply</v>
      </c>
      <c r="C254" s="10" t="s">
        <v>3147</v>
      </c>
      <c r="D254" s="56" t="s">
        <v>3148</v>
      </c>
      <c r="E254" s="10" t="s">
        <v>65</v>
      </c>
      <c r="F254" s="10" t="s">
        <v>3149</v>
      </c>
      <c r="G254" s="10" t="s">
        <v>2484</v>
      </c>
      <c r="H254" s="10" t="s">
        <v>3150</v>
      </c>
      <c r="I254" s="10" t="s">
        <v>48</v>
      </c>
      <c r="K254" s="10" t="s">
        <v>3151</v>
      </c>
      <c r="L254" s="10" t="s">
        <v>42</v>
      </c>
    </row>
    <row r="255" ht="15.75" customHeight="1">
      <c r="A255" s="66">
        <v>45498.0</v>
      </c>
      <c r="B255" s="55" t="str">
        <f>HYPERLINK("https://jobright.ai/jobs/info/66a2fc2e7d87c2086e260ed5?utm_campaign=1062&amp;utm_source=sheet", "Apply")</f>
        <v>Apply</v>
      </c>
      <c r="C255" s="10" t="s">
        <v>3152</v>
      </c>
      <c r="D255" s="56" t="s">
        <v>99</v>
      </c>
      <c r="E255" s="10" t="s">
        <v>45</v>
      </c>
      <c r="F255" s="10" t="s">
        <v>100</v>
      </c>
      <c r="G255" s="10" t="s">
        <v>2437</v>
      </c>
      <c r="H255" s="10" t="s">
        <v>106</v>
      </c>
      <c r="I255" s="10" t="s">
        <v>55</v>
      </c>
      <c r="K255" s="10" t="s">
        <v>3141</v>
      </c>
      <c r="L255" s="10" t="s">
        <v>42</v>
      </c>
    </row>
    <row r="256" ht="15.75" customHeight="1">
      <c r="A256" s="66">
        <v>45498.0</v>
      </c>
      <c r="B256" s="55" t="str">
        <f>HYPERLINK("https://jobright.ai/jobs/info/66a29933d090d41dcbafd52f?utm_campaign=1062&amp;utm_source=sheet", "Apply")</f>
        <v>Apply</v>
      </c>
      <c r="C256" s="10" t="s">
        <v>3153</v>
      </c>
      <c r="D256" s="56" t="s">
        <v>99</v>
      </c>
      <c r="E256" s="10" t="s">
        <v>45</v>
      </c>
      <c r="F256" s="10" t="s">
        <v>100</v>
      </c>
      <c r="G256" s="10" t="s">
        <v>2437</v>
      </c>
      <c r="H256" s="10" t="s">
        <v>232</v>
      </c>
      <c r="I256" s="10" t="s">
        <v>55</v>
      </c>
      <c r="K256" s="10" t="s">
        <v>3143</v>
      </c>
      <c r="L256" s="10" t="s">
        <v>42</v>
      </c>
    </row>
    <row r="257" ht="15.75" customHeight="1">
      <c r="A257" s="66">
        <v>45498.0</v>
      </c>
      <c r="B257" s="55" t="str">
        <f>HYPERLINK("https://jobright.ai/jobs/info/66a29929d090d41dcbafd508?utm_campaign=1062&amp;utm_source=sheet", "Apply")</f>
        <v>Apply</v>
      </c>
      <c r="C257" s="10" t="s">
        <v>3154</v>
      </c>
      <c r="D257" s="56" t="s">
        <v>99</v>
      </c>
      <c r="E257" s="10" t="s">
        <v>45</v>
      </c>
      <c r="F257" s="10" t="s">
        <v>100</v>
      </c>
      <c r="G257" s="10" t="s">
        <v>2476</v>
      </c>
      <c r="H257" s="10" t="s">
        <v>232</v>
      </c>
      <c r="I257" s="10" t="s">
        <v>55</v>
      </c>
      <c r="K257" s="10" t="s">
        <v>2612</v>
      </c>
      <c r="L257" s="10" t="s">
        <v>42</v>
      </c>
    </row>
    <row r="258" ht="15.75" customHeight="1">
      <c r="A258" s="66">
        <v>45498.0</v>
      </c>
      <c r="B258" s="55" t="str">
        <f>HYPERLINK("https://jobright.ai/jobs/info/66a29933d090d41dcbafd538?utm_campaign=1062&amp;utm_source=sheet", "Apply")</f>
        <v>Apply</v>
      </c>
      <c r="C258" s="10" t="s">
        <v>3155</v>
      </c>
      <c r="D258" s="56" t="s">
        <v>99</v>
      </c>
      <c r="E258" s="10" t="s">
        <v>45</v>
      </c>
      <c r="F258" s="10" t="s">
        <v>100</v>
      </c>
      <c r="G258" s="10" t="s">
        <v>2437</v>
      </c>
      <c r="H258" s="10" t="s">
        <v>232</v>
      </c>
      <c r="I258" s="10" t="s">
        <v>55</v>
      </c>
      <c r="K258" s="10" t="s">
        <v>3143</v>
      </c>
      <c r="L258" s="10" t="s">
        <v>42</v>
      </c>
    </row>
    <row r="259" ht="15.75" customHeight="1">
      <c r="A259" s="66">
        <v>45498.0</v>
      </c>
      <c r="B259" s="55" t="str">
        <f>HYPERLINK("https://jobright.ai/jobs/info/66a29ef0c88aa14ad49ae197?utm_campaign=1062&amp;utm_source=sheet", "Apply")</f>
        <v>Apply</v>
      </c>
      <c r="C259" s="10" t="s">
        <v>3156</v>
      </c>
      <c r="D259" s="56" t="s">
        <v>3157</v>
      </c>
      <c r="E259" s="10" t="s">
        <v>65</v>
      </c>
      <c r="F259" s="10" t="s">
        <v>665</v>
      </c>
      <c r="G259" s="10" t="s">
        <v>2448</v>
      </c>
      <c r="H259" s="10" t="s">
        <v>167</v>
      </c>
      <c r="I259" s="10" t="s">
        <v>55</v>
      </c>
      <c r="K259" s="10" t="s">
        <v>3158</v>
      </c>
      <c r="L259" s="10" t="s">
        <v>42</v>
      </c>
    </row>
    <row r="260" ht="15.75" customHeight="1">
      <c r="A260" s="66">
        <v>45498.0</v>
      </c>
      <c r="B260" s="55" t="str">
        <f>HYPERLINK("https://jobright.ai/jobs/info/66a2ae26374aae0bd085fbf1?utm_campaign=1062&amp;utm_source=sheet", "Apply")</f>
        <v>Apply</v>
      </c>
      <c r="C260" s="10" t="s">
        <v>3159</v>
      </c>
      <c r="D260" s="56" t="s">
        <v>3160</v>
      </c>
      <c r="E260" s="10" t="s">
        <v>209</v>
      </c>
      <c r="F260" s="10" t="s">
        <v>331</v>
      </c>
      <c r="G260" s="10" t="s">
        <v>2605</v>
      </c>
      <c r="H260" s="10" t="s">
        <v>1036</v>
      </c>
      <c r="I260" s="10" t="s">
        <v>55</v>
      </c>
      <c r="K260" s="10" t="s">
        <v>3161</v>
      </c>
      <c r="L260" s="10" t="s">
        <v>42</v>
      </c>
    </row>
    <row r="261" ht="15.75" customHeight="1">
      <c r="A261" s="66">
        <v>45498.0</v>
      </c>
      <c r="B261" s="55" t="str">
        <f>HYPERLINK("https://jobright.ai/jobs/info/66a290318797a76c4776fce8?utm_campaign=1062&amp;utm_source=sheet", "Apply")</f>
        <v>Apply</v>
      </c>
      <c r="C261" s="10" t="s">
        <v>3162</v>
      </c>
      <c r="D261" s="56" t="s">
        <v>3163</v>
      </c>
      <c r="E261" s="10" t="s">
        <v>45</v>
      </c>
      <c r="F261" s="10" t="s">
        <v>2746</v>
      </c>
      <c r="G261" s="10" t="s">
        <v>2464</v>
      </c>
      <c r="H261" s="10" t="s">
        <v>73</v>
      </c>
      <c r="I261" s="10" t="s">
        <v>55</v>
      </c>
      <c r="J261" s="10" t="s">
        <v>2841</v>
      </c>
      <c r="K261" s="10" t="s">
        <v>3164</v>
      </c>
      <c r="L261" s="10" t="s">
        <v>42</v>
      </c>
    </row>
    <row r="262" ht="15.75" customHeight="1">
      <c r="A262" s="66">
        <v>45498.0</v>
      </c>
      <c r="B262" s="55" t="str">
        <f>HYPERLINK("https://jobright.ai/jobs/info/66a29cffaac12ae5af2e1a65?utm_campaign=1062&amp;utm_source=sheet", "Apply")</f>
        <v>Apply</v>
      </c>
      <c r="C262" s="10" t="s">
        <v>3165</v>
      </c>
      <c r="D262" s="56" t="s">
        <v>3166</v>
      </c>
      <c r="E262" s="10" t="s">
        <v>45</v>
      </c>
      <c r="F262" s="10" t="s">
        <v>3167</v>
      </c>
      <c r="G262" s="10" t="s">
        <v>2579</v>
      </c>
      <c r="H262" s="10" t="s">
        <v>1160</v>
      </c>
      <c r="I262" s="10" t="s">
        <v>55</v>
      </c>
      <c r="J262" s="10" t="s">
        <v>3168</v>
      </c>
      <c r="K262" s="10" t="s">
        <v>3169</v>
      </c>
      <c r="L262" s="10" t="s">
        <v>42</v>
      </c>
    </row>
    <row r="263" ht="15.75" customHeight="1">
      <c r="A263" s="66">
        <v>45498.0</v>
      </c>
      <c r="B263" s="55" t="str">
        <f>HYPERLINK("https://jobright.ai/jobs/info/669700ed8db37fc88ec4e438?utm_campaign=1062&amp;utm_source=sheet", "Apply")</f>
        <v>Apply</v>
      </c>
      <c r="C263" s="10" t="s">
        <v>3170</v>
      </c>
      <c r="D263" s="56" t="s">
        <v>2986</v>
      </c>
      <c r="E263" s="10" t="s">
        <v>45</v>
      </c>
      <c r="F263" s="10" t="s">
        <v>2987</v>
      </c>
      <c r="G263" s="10" t="s">
        <v>2484</v>
      </c>
      <c r="H263" s="10" t="s">
        <v>96</v>
      </c>
      <c r="I263" s="10" t="s">
        <v>55</v>
      </c>
      <c r="J263" s="10" t="s">
        <v>3132</v>
      </c>
      <c r="K263" s="10" t="s">
        <v>3133</v>
      </c>
      <c r="L263" s="10" t="s">
        <v>42</v>
      </c>
    </row>
    <row r="264" ht="15.75" customHeight="1">
      <c r="A264" s="66">
        <v>45498.0</v>
      </c>
      <c r="B264" s="55" t="str">
        <f>HYPERLINK("https://jobright.ai/jobs/info/6674de0ec2e16f9ef6c1ea10?utm_campaign=1062&amp;utm_source=sheet", "Apply")</f>
        <v>Apply</v>
      </c>
      <c r="C264" s="10" t="s">
        <v>301</v>
      </c>
      <c r="D264" s="56" t="s">
        <v>3171</v>
      </c>
      <c r="E264" s="10" t="s">
        <v>65</v>
      </c>
      <c r="F264" s="10" t="s">
        <v>1815</v>
      </c>
      <c r="G264" s="10" t="s">
        <v>2448</v>
      </c>
      <c r="H264" s="10" t="s">
        <v>740</v>
      </c>
      <c r="I264" s="10" t="s">
        <v>48</v>
      </c>
      <c r="K264" s="10" t="s">
        <v>3172</v>
      </c>
      <c r="L264" s="10" t="s">
        <v>42</v>
      </c>
    </row>
    <row r="265" ht="15.75" customHeight="1">
      <c r="A265" s="66">
        <v>45498.0</v>
      </c>
      <c r="B265" s="55" t="str">
        <f>HYPERLINK("https://jobright.ai/jobs/info/66a29933d090d41dcbafd5c1?utm_campaign=1062&amp;utm_source=sheet", "Apply")</f>
        <v>Apply</v>
      </c>
      <c r="C265" s="10" t="s">
        <v>3173</v>
      </c>
      <c r="D265" s="56" t="s">
        <v>3174</v>
      </c>
      <c r="E265" s="10" t="s">
        <v>71</v>
      </c>
      <c r="F265" s="10" t="s">
        <v>3175</v>
      </c>
      <c r="G265" s="10" t="s">
        <v>2448</v>
      </c>
      <c r="H265" s="10" t="s">
        <v>3176</v>
      </c>
      <c r="I265" s="10" t="s">
        <v>55</v>
      </c>
      <c r="K265" s="10" t="s">
        <v>3177</v>
      </c>
      <c r="L265" s="10" t="s">
        <v>42</v>
      </c>
    </row>
    <row r="266" ht="15.75" customHeight="1">
      <c r="A266" s="66">
        <v>45498.0</v>
      </c>
      <c r="B266" s="55" t="str">
        <f>HYPERLINK("https://jobright.ai/jobs/info/66a3e1a2fa1e56eccb8f57c6?utm_campaign=1062&amp;utm_source=sheet", "Apply")</f>
        <v>Apply</v>
      </c>
      <c r="C266" s="10" t="s">
        <v>3178</v>
      </c>
      <c r="D266" s="56" t="s">
        <v>3179</v>
      </c>
      <c r="E266" s="10" t="s">
        <v>249</v>
      </c>
      <c r="F266" s="10" t="s">
        <v>3180</v>
      </c>
      <c r="G266" s="10" t="s">
        <v>2448</v>
      </c>
      <c r="H266" s="10" t="s">
        <v>3181</v>
      </c>
      <c r="I266" s="10" t="s">
        <v>55</v>
      </c>
      <c r="K266" s="10" t="s">
        <v>3182</v>
      </c>
      <c r="L266" s="10" t="s">
        <v>42</v>
      </c>
    </row>
    <row r="267" ht="15.75" customHeight="1">
      <c r="A267" s="66">
        <v>45498.0</v>
      </c>
      <c r="B267" s="55" t="str">
        <f>HYPERLINK("https://jobright.ai/jobs/info/66a28ab183c567e4342998d7?utm_campaign=1062&amp;utm_source=sheet", "Apply")</f>
        <v>Apply</v>
      </c>
      <c r="C267" s="10" t="s">
        <v>3183</v>
      </c>
      <c r="D267" s="56" t="s">
        <v>3184</v>
      </c>
      <c r="E267" s="10" t="s">
        <v>65</v>
      </c>
      <c r="F267" s="10" t="s">
        <v>3096</v>
      </c>
      <c r="G267" s="10" t="s">
        <v>2495</v>
      </c>
      <c r="H267" s="10" t="s">
        <v>3042</v>
      </c>
      <c r="I267" s="10" t="s">
        <v>55</v>
      </c>
      <c r="K267" s="10" t="s">
        <v>3185</v>
      </c>
      <c r="L267" s="10" t="s">
        <v>42</v>
      </c>
    </row>
    <row r="268" ht="15.75" customHeight="1">
      <c r="A268" s="66">
        <v>45498.0</v>
      </c>
      <c r="B268" s="55" t="str">
        <f>HYPERLINK("https://jobright.ai/jobs/info/66a2903a8797a76c4776fd98?utm_campaign=1062&amp;utm_source=sheet", "Apply")</f>
        <v>Apply</v>
      </c>
      <c r="C268" s="10" t="s">
        <v>3186</v>
      </c>
      <c r="D268" s="56" t="s">
        <v>3187</v>
      </c>
      <c r="E268" s="10" t="s">
        <v>45</v>
      </c>
      <c r="F268" s="10" t="s">
        <v>3188</v>
      </c>
      <c r="G268" s="10" t="s">
        <v>2484</v>
      </c>
      <c r="H268" s="10" t="s">
        <v>3189</v>
      </c>
      <c r="I268" s="10" t="s">
        <v>48</v>
      </c>
      <c r="K268" s="10" t="s">
        <v>3190</v>
      </c>
      <c r="L268" s="10" t="s">
        <v>42</v>
      </c>
    </row>
    <row r="269" ht="15.75" customHeight="1">
      <c r="A269" s="66">
        <v>45498.0</v>
      </c>
      <c r="B269" s="55" t="str">
        <f>HYPERLINK("https://jobright.ai/jobs/info/66a29d07aac12ae5af2e1b7c?utm_campaign=1062&amp;utm_source=sheet", "Apply")</f>
        <v>Apply</v>
      </c>
      <c r="C269" s="10" t="s">
        <v>3191</v>
      </c>
      <c r="D269" s="56" t="s">
        <v>3192</v>
      </c>
      <c r="E269" s="10" t="s">
        <v>209</v>
      </c>
      <c r="F269" s="10" t="s">
        <v>1207</v>
      </c>
      <c r="G269" s="10" t="s">
        <v>2437</v>
      </c>
      <c r="H269" s="10" t="s">
        <v>966</v>
      </c>
      <c r="I269" s="10" t="s">
        <v>55</v>
      </c>
      <c r="J269" s="10" t="s">
        <v>3193</v>
      </c>
      <c r="K269" s="10" t="s">
        <v>3194</v>
      </c>
      <c r="L269" s="10" t="s">
        <v>42</v>
      </c>
    </row>
    <row r="270" ht="15.75" customHeight="1">
      <c r="A270" s="66">
        <v>45498.0</v>
      </c>
      <c r="B270" s="55" t="str">
        <f>HYPERLINK("https://jobright.ai/jobs/info/66a28d3db9f360f8b2611e57?utm_campaign=1062&amp;utm_source=sheet", "Apply")</f>
        <v>Apply</v>
      </c>
      <c r="C270" s="10" t="s">
        <v>3195</v>
      </c>
      <c r="D270" s="56" t="s">
        <v>2220</v>
      </c>
      <c r="E270" s="10" t="s">
        <v>45</v>
      </c>
      <c r="F270" s="10" t="s">
        <v>2221</v>
      </c>
      <c r="G270" s="10" t="s">
        <v>2464</v>
      </c>
      <c r="H270" s="10" t="s">
        <v>3196</v>
      </c>
      <c r="I270" s="10" t="s">
        <v>55</v>
      </c>
      <c r="J270" s="10" t="s">
        <v>3197</v>
      </c>
      <c r="K270" s="10" t="s">
        <v>3198</v>
      </c>
      <c r="L270" s="10" t="s">
        <v>42</v>
      </c>
    </row>
    <row r="271" ht="15.75" customHeight="1">
      <c r="A271" s="66">
        <v>45498.0</v>
      </c>
      <c r="B271" s="55" t="str">
        <f>HYPERLINK("https://jobright.ai/jobs/info/66a29d07aac12ae5af2e1b85?utm_campaign=1062&amp;utm_source=sheet", "Apply")</f>
        <v>Apply</v>
      </c>
      <c r="C271" s="10" t="s">
        <v>3199</v>
      </c>
      <c r="D271" s="56" t="s">
        <v>3192</v>
      </c>
      <c r="E271" s="10" t="s">
        <v>209</v>
      </c>
      <c r="F271" s="10" t="s">
        <v>1207</v>
      </c>
      <c r="G271" s="10" t="s">
        <v>2437</v>
      </c>
      <c r="H271" s="10" t="s">
        <v>966</v>
      </c>
      <c r="I271" s="10" t="s">
        <v>55</v>
      </c>
      <c r="J271" s="10" t="s">
        <v>3200</v>
      </c>
      <c r="K271" s="10" t="s">
        <v>3201</v>
      </c>
      <c r="L271" s="10" t="s">
        <v>42</v>
      </c>
    </row>
    <row r="272" ht="15.75" customHeight="1">
      <c r="A272" s="66">
        <v>45498.0</v>
      </c>
      <c r="B272" s="55" t="str">
        <f>HYPERLINK("https://jobright.ai/jobs/info/66a28d3db9f360f8b2611e81?utm_campaign=1062&amp;utm_source=sheet", "Apply")</f>
        <v>Apply</v>
      </c>
      <c r="C272" s="10" t="s">
        <v>3202</v>
      </c>
      <c r="D272" s="56" t="s">
        <v>3192</v>
      </c>
      <c r="E272" s="10" t="s">
        <v>209</v>
      </c>
      <c r="F272" s="10" t="s">
        <v>1207</v>
      </c>
      <c r="G272" s="10" t="s">
        <v>2437</v>
      </c>
      <c r="H272" s="10" t="s">
        <v>106</v>
      </c>
      <c r="I272" s="10" t="s">
        <v>55</v>
      </c>
      <c r="J272" s="10" t="s">
        <v>3193</v>
      </c>
      <c r="K272" s="10" t="s">
        <v>3194</v>
      </c>
      <c r="L272" s="10" t="s">
        <v>42</v>
      </c>
    </row>
    <row r="273" ht="15.75" customHeight="1">
      <c r="A273" s="66">
        <v>45498.0</v>
      </c>
      <c r="B273" s="55" t="str">
        <f>HYPERLINK("https://jobright.ai/jobs/info/66a28ac083c567e4342999ed?utm_campaign=1062&amp;utm_source=sheet", "Apply")</f>
        <v>Apply</v>
      </c>
      <c r="C273" s="10" t="s">
        <v>3203</v>
      </c>
      <c r="D273" s="56" t="s">
        <v>3204</v>
      </c>
      <c r="E273" s="10" t="s">
        <v>65</v>
      </c>
      <c r="F273" s="10" t="s">
        <v>3205</v>
      </c>
      <c r="G273" s="10" t="s">
        <v>2448</v>
      </c>
      <c r="H273" s="10" t="s">
        <v>167</v>
      </c>
      <c r="I273" s="10" t="s">
        <v>55</v>
      </c>
      <c r="K273" s="10" t="s">
        <v>3206</v>
      </c>
      <c r="L273" s="10" t="s">
        <v>42</v>
      </c>
    </row>
    <row r="274" ht="15.75" customHeight="1">
      <c r="A274" s="66">
        <v>45498.0</v>
      </c>
      <c r="B274" s="55" t="str">
        <f>HYPERLINK("https://jobright.ai/jobs/info/66a2b37c4f4afedd111034ec?utm_campaign=1062&amp;utm_source=sheet", "Apply")</f>
        <v>Apply</v>
      </c>
      <c r="C274" s="10" t="s">
        <v>3207</v>
      </c>
      <c r="D274" s="56" t="s">
        <v>1178</v>
      </c>
      <c r="E274" s="10" t="s">
        <v>137</v>
      </c>
      <c r="F274" s="10" t="s">
        <v>1179</v>
      </c>
      <c r="G274" s="10" t="s">
        <v>2443</v>
      </c>
      <c r="H274" s="10" t="s">
        <v>3208</v>
      </c>
      <c r="I274" s="10" t="s">
        <v>48</v>
      </c>
      <c r="K274" s="10" t="s">
        <v>3209</v>
      </c>
      <c r="L274" s="10" t="s">
        <v>42</v>
      </c>
    </row>
    <row r="275" ht="15.75" customHeight="1">
      <c r="A275" s="66">
        <v>45498.0</v>
      </c>
      <c r="B275" s="55" t="str">
        <f>HYPERLINK("https://jobright.ai/jobs/info/668deb806da13c2496823d18?utm_campaign=1062&amp;utm_source=sheet", "Apply")</f>
        <v>Apply</v>
      </c>
      <c r="C275" s="10" t="s">
        <v>3210</v>
      </c>
      <c r="D275" s="56" t="s">
        <v>3211</v>
      </c>
      <c r="E275" s="10" t="s">
        <v>45</v>
      </c>
      <c r="F275" s="10" t="s">
        <v>3212</v>
      </c>
      <c r="G275" s="10" t="s">
        <v>2495</v>
      </c>
      <c r="H275" s="10" t="s">
        <v>3213</v>
      </c>
      <c r="I275" s="10" t="s">
        <v>55</v>
      </c>
      <c r="K275" s="10" t="s">
        <v>3214</v>
      </c>
      <c r="L275" s="10" t="s">
        <v>42</v>
      </c>
    </row>
    <row r="276" ht="15.75" customHeight="1">
      <c r="A276" s="66">
        <v>45498.0</v>
      </c>
      <c r="B276" s="55" t="str">
        <f>HYPERLINK("https://jobright.ai/jobs/info/66a2814b324379dc6068c085?utm_campaign=1062&amp;utm_source=sheet", "Apply")</f>
        <v>Apply</v>
      </c>
      <c r="C276" s="10" t="s">
        <v>2630</v>
      </c>
      <c r="D276" s="56" t="s">
        <v>2631</v>
      </c>
      <c r="E276" s="10" t="s">
        <v>209</v>
      </c>
      <c r="F276" s="10" t="s">
        <v>2632</v>
      </c>
      <c r="G276" s="10" t="s">
        <v>2464</v>
      </c>
      <c r="H276" s="10" t="s">
        <v>411</v>
      </c>
      <c r="I276" s="10" t="s">
        <v>55</v>
      </c>
      <c r="K276" s="10" t="s">
        <v>2633</v>
      </c>
      <c r="L276" s="10" t="s">
        <v>42</v>
      </c>
    </row>
    <row r="277" ht="15.75" customHeight="1">
      <c r="A277" s="66">
        <v>45498.0</v>
      </c>
      <c r="B277" s="55" t="str">
        <f>HYPERLINK("https://jobright.ai/jobs/info/66a291e13dc1752fde738ad1?utm_campaign=1062&amp;utm_source=sheet", "Apply")</f>
        <v>Apply</v>
      </c>
      <c r="C277" s="10" t="s">
        <v>3215</v>
      </c>
      <c r="D277" s="56" t="s">
        <v>3216</v>
      </c>
      <c r="E277" s="10" t="s">
        <v>65</v>
      </c>
      <c r="F277" s="10" t="s">
        <v>2534</v>
      </c>
      <c r="G277" s="10" t="s">
        <v>2459</v>
      </c>
      <c r="H277" s="10" t="s">
        <v>165</v>
      </c>
      <c r="I277" s="10" t="s">
        <v>55</v>
      </c>
      <c r="K277" s="10" t="s">
        <v>3217</v>
      </c>
      <c r="L277" s="10" t="s">
        <v>42</v>
      </c>
    </row>
    <row r="278" ht="15.75" customHeight="1">
      <c r="A278" s="66">
        <v>45498.0</v>
      </c>
      <c r="B278" s="55" t="str">
        <f>HYPERLINK("https://jobright.ai/jobs/info/66a3dabe9f1d4690f1a40da0?utm_campaign=1062&amp;utm_source=sheet", "Apply")</f>
        <v>Apply</v>
      </c>
      <c r="C278" s="10" t="s">
        <v>2656</v>
      </c>
      <c r="D278" s="56" t="s">
        <v>1331</v>
      </c>
      <c r="E278" s="10" t="s">
        <v>45</v>
      </c>
      <c r="F278" s="10" t="s">
        <v>1332</v>
      </c>
      <c r="G278" s="10" t="s">
        <v>2448</v>
      </c>
      <c r="H278" s="10" t="s">
        <v>3218</v>
      </c>
      <c r="I278" s="10" t="s">
        <v>55</v>
      </c>
      <c r="J278" s="10" t="s">
        <v>2545</v>
      </c>
      <c r="K278" s="10" t="s">
        <v>2657</v>
      </c>
      <c r="L278" s="10" t="s">
        <v>42</v>
      </c>
    </row>
    <row r="279" ht="15.75" customHeight="1">
      <c r="A279" s="66">
        <v>45498.0</v>
      </c>
      <c r="B279" s="55" t="str">
        <f>HYPERLINK("https://jobright.ai/jobs/info/66a27d51e5fb02e6e64b1b38?utm_campaign=1062&amp;utm_source=sheet", "Apply")</f>
        <v>Apply</v>
      </c>
      <c r="C279" s="10" t="s">
        <v>3219</v>
      </c>
      <c r="D279" s="56" t="s">
        <v>3220</v>
      </c>
      <c r="E279" s="10" t="s">
        <v>45</v>
      </c>
      <c r="F279" s="10" t="s">
        <v>192</v>
      </c>
      <c r="G279" s="10" t="s">
        <v>2448</v>
      </c>
      <c r="H279" s="10" t="s">
        <v>3019</v>
      </c>
      <c r="I279" s="10" t="s">
        <v>55</v>
      </c>
      <c r="J279" s="10" t="s">
        <v>3221</v>
      </c>
      <c r="K279" s="10" t="s">
        <v>3222</v>
      </c>
      <c r="L279" s="10" t="s">
        <v>42</v>
      </c>
    </row>
    <row r="280" ht="15.75" customHeight="1">
      <c r="A280" s="66">
        <v>45498.0</v>
      </c>
      <c r="B280" s="55" t="str">
        <f>HYPERLINK("https://jobright.ai/jobs/info/66a3dac89f1d4690f1a40e10?utm_campaign=1062&amp;utm_source=sheet", "Apply")</f>
        <v>Apply</v>
      </c>
      <c r="C280" s="10" t="s">
        <v>2656</v>
      </c>
      <c r="D280" s="56" t="s">
        <v>1331</v>
      </c>
      <c r="E280" s="10" t="s">
        <v>45</v>
      </c>
      <c r="F280" s="10" t="s">
        <v>1332</v>
      </c>
      <c r="G280" s="10" t="s">
        <v>2448</v>
      </c>
      <c r="H280" s="10" t="s">
        <v>1254</v>
      </c>
      <c r="I280" s="10" t="s">
        <v>55</v>
      </c>
      <c r="J280" s="10" t="s">
        <v>2545</v>
      </c>
      <c r="K280" s="10" t="s">
        <v>2657</v>
      </c>
      <c r="L280" s="10" t="s">
        <v>42</v>
      </c>
    </row>
    <row r="281" ht="15.75" customHeight="1">
      <c r="A281" s="66">
        <v>45498.0</v>
      </c>
      <c r="B281" s="55" t="str">
        <f>HYPERLINK("https://jobright.ai/jobs/info/66a2814b324379dc6068c103?utm_campaign=1062&amp;utm_source=sheet", "Apply")</f>
        <v>Apply</v>
      </c>
      <c r="C281" s="10" t="s">
        <v>3223</v>
      </c>
      <c r="D281" s="56" t="s">
        <v>3224</v>
      </c>
      <c r="E281" s="10" t="s">
        <v>45</v>
      </c>
      <c r="F281" s="10" t="s">
        <v>3225</v>
      </c>
      <c r="G281" s="10" t="s">
        <v>2443</v>
      </c>
      <c r="H281" s="10" t="s">
        <v>965</v>
      </c>
      <c r="I281" s="10" t="s">
        <v>55</v>
      </c>
      <c r="K281" s="10" t="s">
        <v>3226</v>
      </c>
      <c r="L281" s="10" t="s">
        <v>42</v>
      </c>
    </row>
    <row r="282" ht="15.75" customHeight="1">
      <c r="A282" s="66">
        <v>45498.0</v>
      </c>
      <c r="B282" s="55" t="str">
        <f>HYPERLINK("https://jobright.ai/jobs/info/66a2814b324379dc6068c108?utm_campaign=1062&amp;utm_source=sheet", "Apply")</f>
        <v>Apply</v>
      </c>
      <c r="C282" s="10" t="s">
        <v>3227</v>
      </c>
      <c r="D282" s="56" t="s">
        <v>3224</v>
      </c>
      <c r="E282" s="10" t="s">
        <v>45</v>
      </c>
      <c r="F282" s="10" t="s">
        <v>3225</v>
      </c>
      <c r="G282" s="10" t="s">
        <v>2443</v>
      </c>
      <c r="H282" s="10" t="s">
        <v>965</v>
      </c>
      <c r="I282" s="10" t="s">
        <v>55</v>
      </c>
      <c r="K282" s="10" t="s">
        <v>3228</v>
      </c>
      <c r="L282" s="10" t="s">
        <v>42</v>
      </c>
    </row>
    <row r="283" ht="15.75" customHeight="1">
      <c r="A283" s="66">
        <v>45498.0</v>
      </c>
      <c r="B283" s="55" t="str">
        <f>HYPERLINK("https://jobright.ai/jobs/info/66a2814b324379dc6068c10d?utm_campaign=1062&amp;utm_source=sheet", "Apply")</f>
        <v>Apply</v>
      </c>
      <c r="C283" s="10" t="s">
        <v>3229</v>
      </c>
      <c r="D283" s="56" t="s">
        <v>3224</v>
      </c>
      <c r="E283" s="10" t="s">
        <v>45</v>
      </c>
      <c r="F283" s="10" t="s">
        <v>3225</v>
      </c>
      <c r="G283" s="10" t="s">
        <v>2443</v>
      </c>
      <c r="H283" s="10" t="s">
        <v>965</v>
      </c>
      <c r="I283" s="10" t="s">
        <v>55</v>
      </c>
      <c r="K283" s="10" t="s">
        <v>3230</v>
      </c>
      <c r="L283" s="10" t="s">
        <v>42</v>
      </c>
    </row>
    <row r="284" ht="15.75" customHeight="1">
      <c r="A284" s="66">
        <v>45498.0</v>
      </c>
      <c r="B284" s="55" t="str">
        <f>HYPERLINK("https://jobright.ai/jobs/info/66a271eb2996d0d2ddb1236a?utm_campaign=1062&amp;utm_source=sheet", "Apply")</f>
        <v>Apply</v>
      </c>
      <c r="C284" s="10" t="s">
        <v>301</v>
      </c>
      <c r="D284" s="56" t="s">
        <v>3231</v>
      </c>
      <c r="E284" s="10" t="s">
        <v>276</v>
      </c>
      <c r="F284" s="10" t="s">
        <v>2554</v>
      </c>
      <c r="G284" s="10" t="s">
        <v>2470</v>
      </c>
      <c r="H284" s="10" t="s">
        <v>3232</v>
      </c>
      <c r="I284" s="10" t="s">
        <v>55</v>
      </c>
      <c r="K284" s="10" t="s">
        <v>3233</v>
      </c>
      <c r="L284" s="10" t="s">
        <v>42</v>
      </c>
    </row>
    <row r="285" ht="15.75" customHeight="1">
      <c r="A285" s="66">
        <v>45498.0</v>
      </c>
      <c r="B285" s="55" t="str">
        <f>HYPERLINK("https://jobright.ai/jobs/info/66a2a5b59bbfb77b02eb4365?utm_campaign=1062&amp;utm_source=sheet", "Apply")</f>
        <v>Apply</v>
      </c>
      <c r="C285" s="10" t="s">
        <v>3234</v>
      </c>
      <c r="D285" s="56" t="s">
        <v>3224</v>
      </c>
      <c r="E285" s="10" t="s">
        <v>45</v>
      </c>
      <c r="F285" s="10" t="s">
        <v>3225</v>
      </c>
      <c r="G285" s="10" t="s">
        <v>2443</v>
      </c>
      <c r="H285" s="10" t="s">
        <v>965</v>
      </c>
      <c r="I285" s="10" t="s">
        <v>55</v>
      </c>
      <c r="K285" s="10" t="s">
        <v>3230</v>
      </c>
      <c r="L285" s="10" t="s">
        <v>42</v>
      </c>
    </row>
    <row r="286" ht="15.75" customHeight="1">
      <c r="A286" s="66">
        <v>45498.0</v>
      </c>
      <c r="B286" s="55" t="str">
        <f>HYPERLINK("https://jobright.ai/jobs/info/66a275fd5e239676a832ab0f?utm_campaign=1062&amp;utm_source=sheet", "Apply")</f>
        <v>Apply</v>
      </c>
      <c r="C286" s="10" t="s">
        <v>3134</v>
      </c>
      <c r="D286" s="56" t="s">
        <v>3235</v>
      </c>
      <c r="E286" s="10" t="s">
        <v>249</v>
      </c>
      <c r="F286" s="10" t="s">
        <v>2806</v>
      </c>
      <c r="G286" s="10" t="s">
        <v>2464</v>
      </c>
      <c r="H286" s="10" t="s">
        <v>3136</v>
      </c>
      <c r="I286" s="10" t="s">
        <v>55</v>
      </c>
      <c r="K286" s="10" t="s">
        <v>3137</v>
      </c>
      <c r="L286" s="10" t="s">
        <v>42</v>
      </c>
    </row>
    <row r="287" ht="15.75" customHeight="1">
      <c r="A287" s="66">
        <v>45498.0</v>
      </c>
      <c r="B287" s="55" t="str">
        <f>HYPERLINK("https://jobright.ai/jobs/info/66a26c66f2b59a61ea580918?utm_campaign=1062&amp;utm_source=sheet", "Apply")</f>
        <v>Apply</v>
      </c>
      <c r="C287" s="10" t="s">
        <v>3236</v>
      </c>
      <c r="D287" s="56" t="s">
        <v>3237</v>
      </c>
      <c r="E287" s="10" t="s">
        <v>249</v>
      </c>
      <c r="F287" s="10" t="s">
        <v>3238</v>
      </c>
      <c r="G287" s="10" t="s">
        <v>2448</v>
      </c>
      <c r="H287" s="10" t="s">
        <v>3239</v>
      </c>
      <c r="I287" s="10" t="s">
        <v>55</v>
      </c>
      <c r="K287" s="10" t="s">
        <v>3240</v>
      </c>
      <c r="L287" s="10" t="s">
        <v>42</v>
      </c>
    </row>
    <row r="288" ht="15.75" customHeight="1">
      <c r="A288" s="66">
        <v>45498.0</v>
      </c>
      <c r="B288" s="55" t="str">
        <f>HYPERLINK("https://jobright.ai/jobs/info/66a26c66f2b59a61ea58096a?utm_campaign=1062&amp;utm_source=sheet", "Apply")</f>
        <v>Apply</v>
      </c>
      <c r="C288" s="10" t="s">
        <v>301</v>
      </c>
      <c r="D288" s="56" t="s">
        <v>3241</v>
      </c>
      <c r="E288" s="10" t="s">
        <v>209</v>
      </c>
      <c r="F288" s="10" t="s">
        <v>3242</v>
      </c>
      <c r="G288" s="10" t="s">
        <v>2443</v>
      </c>
      <c r="H288" s="10" t="s">
        <v>1018</v>
      </c>
      <c r="I288" s="10" t="s">
        <v>55</v>
      </c>
      <c r="K288" s="10" t="s">
        <v>3243</v>
      </c>
      <c r="L288" s="10" t="s">
        <v>42</v>
      </c>
    </row>
    <row r="289" ht="15.75" customHeight="1">
      <c r="A289" s="66">
        <v>45498.0</v>
      </c>
      <c r="B289" s="55" t="str">
        <f>HYPERLINK("https://jobright.ai/jobs/info/66a3e1a2fa1e56eccb8f582e?utm_campaign=1062&amp;utm_source=sheet", "Apply")</f>
        <v>Apply</v>
      </c>
      <c r="C289" s="10" t="s">
        <v>2656</v>
      </c>
      <c r="D289" s="56" t="s">
        <v>1331</v>
      </c>
      <c r="E289" s="10" t="s">
        <v>45</v>
      </c>
      <c r="F289" s="10" t="s">
        <v>1332</v>
      </c>
      <c r="G289" s="10" t="s">
        <v>2448</v>
      </c>
      <c r="H289" s="10" t="s">
        <v>3244</v>
      </c>
      <c r="I289" s="10" t="s">
        <v>55</v>
      </c>
      <c r="J289" s="10" t="s">
        <v>2545</v>
      </c>
      <c r="K289" s="10" t="s">
        <v>2657</v>
      </c>
      <c r="L289" s="10" t="s">
        <v>42</v>
      </c>
    </row>
    <row r="290" ht="15.75" customHeight="1">
      <c r="A290" s="66">
        <v>45498.0</v>
      </c>
      <c r="B290" s="55" t="str">
        <f>HYPERLINK("https://jobright.ai/jobs/info/66a2560381ad172a378547fe?utm_campaign=1062&amp;utm_source=sheet", "Apply")</f>
        <v>Apply</v>
      </c>
      <c r="C290" s="10" t="s">
        <v>3245</v>
      </c>
      <c r="D290" s="56" t="s">
        <v>2634</v>
      </c>
      <c r="E290" s="10">
        <v>19.0</v>
      </c>
      <c r="G290" s="10" t="s">
        <v>2589</v>
      </c>
      <c r="H290" s="10" t="s">
        <v>251</v>
      </c>
      <c r="I290" s="10" t="s">
        <v>252</v>
      </c>
      <c r="J290" s="10" t="s">
        <v>3246</v>
      </c>
      <c r="K290" s="10" t="s">
        <v>3247</v>
      </c>
      <c r="L290" s="10" t="s">
        <v>42</v>
      </c>
    </row>
    <row r="291" ht="15.75" customHeight="1">
      <c r="A291" s="66">
        <v>45498.0</v>
      </c>
      <c r="B291" s="55" t="str">
        <f>HYPERLINK("https://jobright.ai/jobs/info/66a3e1adfa1e56eccb8f58ec?utm_campaign=1062&amp;utm_source=sheet", "Apply")</f>
        <v>Apply</v>
      </c>
      <c r="C291" s="10" t="s">
        <v>2656</v>
      </c>
      <c r="D291" s="56" t="s">
        <v>1331</v>
      </c>
      <c r="E291" s="10" t="s">
        <v>45</v>
      </c>
      <c r="F291" s="10" t="s">
        <v>1332</v>
      </c>
      <c r="G291" s="10" t="s">
        <v>2448</v>
      </c>
      <c r="H291" s="10" t="s">
        <v>3248</v>
      </c>
      <c r="I291" s="10" t="s">
        <v>55</v>
      </c>
      <c r="J291" s="10" t="s">
        <v>2545</v>
      </c>
      <c r="K291" s="10" t="s">
        <v>2657</v>
      </c>
      <c r="L291" s="10" t="s">
        <v>42</v>
      </c>
    </row>
    <row r="292" ht="15.75" customHeight="1">
      <c r="A292" s="66">
        <v>45498.0</v>
      </c>
      <c r="B292" s="55" t="str">
        <f>HYPERLINK("https://jobright.ai/jobs/info/66a35f7e71f3ff9524ed86ba?utm_campaign=1062&amp;utm_source=sheet", "Apply")</f>
        <v>Apply</v>
      </c>
      <c r="C292" s="10" t="s">
        <v>3249</v>
      </c>
      <c r="D292" s="56" t="s">
        <v>3250</v>
      </c>
      <c r="E292" s="10" t="s">
        <v>276</v>
      </c>
      <c r="F292" s="10" t="s">
        <v>10</v>
      </c>
      <c r="G292" s="10" t="s">
        <v>2464</v>
      </c>
      <c r="H292" s="10" t="s">
        <v>572</v>
      </c>
      <c r="I292" s="10" t="s">
        <v>55</v>
      </c>
      <c r="K292" s="10" t="s">
        <v>3251</v>
      </c>
      <c r="L292" s="10" t="s">
        <v>42</v>
      </c>
    </row>
    <row r="293" ht="15.75" customHeight="1">
      <c r="A293" s="66">
        <v>45498.0</v>
      </c>
      <c r="B293" s="55" t="str">
        <f>HYPERLINK("https://jobright.ai/jobs/info/669f3002595bf027a2539735?utm_campaign=1062&amp;utm_source=sheet", "Apply")</f>
        <v>Apply</v>
      </c>
      <c r="C293" s="10" t="s">
        <v>3021</v>
      </c>
      <c r="D293" s="56" t="s">
        <v>567</v>
      </c>
      <c r="E293" s="10" t="s">
        <v>65</v>
      </c>
      <c r="F293" s="10" t="s">
        <v>568</v>
      </c>
      <c r="G293" s="10" t="s">
        <v>2448</v>
      </c>
      <c r="H293" s="10" t="s">
        <v>3252</v>
      </c>
      <c r="I293" s="10" t="s">
        <v>55</v>
      </c>
      <c r="J293" s="10" t="s">
        <v>3023</v>
      </c>
      <c r="K293" s="10" t="s">
        <v>3024</v>
      </c>
      <c r="L293" s="10" t="s">
        <v>42</v>
      </c>
    </row>
    <row r="294" ht="15.75" customHeight="1">
      <c r="A294" s="66">
        <v>45498.0</v>
      </c>
      <c r="B294" s="55" t="str">
        <f>HYPERLINK("https://jobright.ai/jobs/info/66a3e1cdfa1e56eccb8f5abf?utm_campaign=1062&amp;utm_source=sheet", "Apply")</f>
        <v>Apply</v>
      </c>
      <c r="C294" s="10" t="s">
        <v>2656</v>
      </c>
      <c r="D294" s="56" t="s">
        <v>1331</v>
      </c>
      <c r="E294" s="10" t="s">
        <v>45</v>
      </c>
      <c r="F294" s="10" t="s">
        <v>1332</v>
      </c>
      <c r="G294" s="10" t="s">
        <v>2448</v>
      </c>
      <c r="H294" s="10" t="s">
        <v>3253</v>
      </c>
      <c r="I294" s="10" t="s">
        <v>55</v>
      </c>
      <c r="J294" s="10" t="s">
        <v>2545</v>
      </c>
      <c r="K294" s="10" t="s">
        <v>2657</v>
      </c>
      <c r="L294" s="10" t="s">
        <v>42</v>
      </c>
    </row>
    <row r="295" ht="15.75" customHeight="1">
      <c r="A295" s="66">
        <v>45498.0</v>
      </c>
      <c r="B295" s="55" t="str">
        <f>HYPERLINK("https://jobright.ai/jobs/info/66a268a2abc81f1dd17418d0?utm_campaign=1062&amp;utm_source=sheet", "Apply")</f>
        <v>Apply</v>
      </c>
      <c r="C295" s="10" t="s">
        <v>3254</v>
      </c>
      <c r="D295" s="56" t="s">
        <v>1178</v>
      </c>
      <c r="E295" s="10" t="s">
        <v>137</v>
      </c>
      <c r="F295" s="10" t="s">
        <v>1179</v>
      </c>
      <c r="G295" s="10" t="s">
        <v>2464</v>
      </c>
      <c r="H295" s="10" t="s">
        <v>874</v>
      </c>
      <c r="I295" s="10" t="s">
        <v>55</v>
      </c>
      <c r="K295" s="10" t="s">
        <v>3255</v>
      </c>
      <c r="L295" s="10" t="s">
        <v>42</v>
      </c>
    </row>
    <row r="296" ht="15.75" customHeight="1">
      <c r="A296" s="66">
        <v>45498.0</v>
      </c>
      <c r="B296" s="55" t="str">
        <f>HYPERLINK("https://jobright.ai/jobs/info/66a3e1cdfa1e56eccb8f5afb?utm_campaign=1062&amp;utm_source=sheet", "Apply")</f>
        <v>Apply</v>
      </c>
      <c r="C296" s="10" t="s">
        <v>2656</v>
      </c>
      <c r="D296" s="56" t="s">
        <v>1331</v>
      </c>
      <c r="E296" s="10" t="s">
        <v>45</v>
      </c>
      <c r="F296" s="10" t="s">
        <v>1332</v>
      </c>
      <c r="G296" s="10" t="s">
        <v>2448</v>
      </c>
      <c r="H296" s="10" t="s">
        <v>3256</v>
      </c>
      <c r="I296" s="10" t="s">
        <v>55</v>
      </c>
      <c r="J296" s="10" t="s">
        <v>2545</v>
      </c>
      <c r="K296" s="10" t="s">
        <v>2657</v>
      </c>
      <c r="L296" s="10" t="s">
        <v>42</v>
      </c>
    </row>
    <row r="297" ht="15.75" customHeight="1">
      <c r="A297" s="66">
        <v>45498.0</v>
      </c>
      <c r="B297" s="55" t="str">
        <f>HYPERLINK("https://jobright.ai/jobs/info/66a22fb3ad01bcaed1ade861?utm_campaign=1062&amp;utm_source=sheet", "Apply")</f>
        <v>Apply</v>
      </c>
      <c r="C297" s="10" t="s">
        <v>3257</v>
      </c>
      <c r="D297" s="56" t="s">
        <v>3017</v>
      </c>
      <c r="E297" s="10" t="s">
        <v>45</v>
      </c>
      <c r="F297" s="10" t="s">
        <v>3018</v>
      </c>
      <c r="G297" s="10" t="s">
        <v>2437</v>
      </c>
      <c r="H297" s="10" t="s">
        <v>3258</v>
      </c>
      <c r="I297" s="10" t="s">
        <v>55</v>
      </c>
      <c r="K297" s="10" t="s">
        <v>3259</v>
      </c>
      <c r="L297" s="10" t="s">
        <v>42</v>
      </c>
    </row>
    <row r="298" ht="15.75" customHeight="1">
      <c r="A298" s="66">
        <v>45498.0</v>
      </c>
      <c r="B298" s="55" t="str">
        <f>HYPERLINK("https://jobright.ai/jobs/info/668609c10cd7c5971a468d25?utm_campaign=1062&amp;utm_source=sheet", "Apply")</f>
        <v>Apply</v>
      </c>
      <c r="C298" s="10" t="s">
        <v>3260</v>
      </c>
      <c r="D298" s="56" t="s">
        <v>3261</v>
      </c>
      <c r="E298" s="10" t="s">
        <v>65</v>
      </c>
      <c r="F298" s="10" t="s">
        <v>1084</v>
      </c>
      <c r="G298" s="10" t="s">
        <v>2455</v>
      </c>
      <c r="H298" s="10" t="s">
        <v>914</v>
      </c>
      <c r="I298" s="10" t="s">
        <v>55</v>
      </c>
      <c r="K298" s="10" t="s">
        <v>3262</v>
      </c>
      <c r="L298" s="10" t="s">
        <v>42</v>
      </c>
    </row>
    <row r="299" ht="15.75" customHeight="1">
      <c r="A299" s="66">
        <v>45498.0</v>
      </c>
      <c r="B299" s="55" t="str">
        <f>HYPERLINK("https://jobright.ai/jobs/info/668fc176d472624446c9a10d?utm_campaign=1062&amp;utm_source=sheet", "Apply")</f>
        <v>Apply</v>
      </c>
      <c r="C299" s="10" t="s">
        <v>2656</v>
      </c>
      <c r="D299" s="56" t="s">
        <v>1331</v>
      </c>
      <c r="E299" s="10" t="s">
        <v>45</v>
      </c>
      <c r="F299" s="10" t="s">
        <v>1332</v>
      </c>
      <c r="G299" s="10" t="s">
        <v>2448</v>
      </c>
      <c r="H299" s="10" t="s">
        <v>3263</v>
      </c>
      <c r="I299" s="10" t="s">
        <v>55</v>
      </c>
      <c r="J299" s="10" t="s">
        <v>2545</v>
      </c>
      <c r="K299" s="10" t="s">
        <v>2657</v>
      </c>
      <c r="L299" s="10" t="s">
        <v>42</v>
      </c>
    </row>
    <row r="300" ht="15.75" customHeight="1">
      <c r="A300" s="66">
        <v>45498.0</v>
      </c>
      <c r="B300" s="55" t="str">
        <f>HYPERLINK("https://jobright.ai/jobs/info/6686278719c3e9af76ad5c91?utm_campaign=1062&amp;utm_source=sheet", "Apply")</f>
        <v>Apply</v>
      </c>
      <c r="C300" s="10" t="s">
        <v>2544</v>
      </c>
      <c r="D300" s="56" t="s">
        <v>1331</v>
      </c>
      <c r="E300" s="10" t="s">
        <v>45</v>
      </c>
      <c r="F300" s="10" t="s">
        <v>1332</v>
      </c>
      <c r="G300" s="10" t="s">
        <v>2448</v>
      </c>
      <c r="H300" s="10" t="s">
        <v>170</v>
      </c>
      <c r="I300" s="10" t="s">
        <v>48</v>
      </c>
      <c r="J300" s="10" t="s">
        <v>2545</v>
      </c>
      <c r="K300" s="10" t="s">
        <v>3264</v>
      </c>
      <c r="L300" s="10" t="s">
        <v>42</v>
      </c>
    </row>
    <row r="301" ht="15.75" customHeight="1">
      <c r="A301" s="66">
        <v>45498.0</v>
      </c>
      <c r="B301" s="55" t="str">
        <f>HYPERLINK("https://jobright.ai/jobs/info/66866730aa49111bd7274b90?utm_campaign=1062&amp;utm_source=sheet", "Apply")</f>
        <v>Apply</v>
      </c>
      <c r="C301" s="10" t="s">
        <v>2544</v>
      </c>
      <c r="D301" s="56" t="s">
        <v>1331</v>
      </c>
      <c r="E301" s="10" t="s">
        <v>45</v>
      </c>
      <c r="F301" s="10" t="s">
        <v>1332</v>
      </c>
      <c r="G301" s="10" t="s">
        <v>2448</v>
      </c>
      <c r="H301" s="10" t="s">
        <v>3265</v>
      </c>
      <c r="I301" s="10" t="s">
        <v>48</v>
      </c>
      <c r="J301" s="10" t="s">
        <v>2545</v>
      </c>
      <c r="K301" s="10" t="s">
        <v>3264</v>
      </c>
      <c r="L301" s="10" t="s">
        <v>42</v>
      </c>
    </row>
    <row r="302" ht="15.75" customHeight="1">
      <c r="A302" s="66">
        <v>45498.0</v>
      </c>
      <c r="B302" s="55" t="str">
        <f>HYPERLINK("https://jobright.ai/jobs/info/668fc573faac50243ea71d54?utm_campaign=1062&amp;utm_source=sheet", "Apply")</f>
        <v>Apply</v>
      </c>
      <c r="C302" s="10" t="s">
        <v>2656</v>
      </c>
      <c r="D302" s="56" t="s">
        <v>1331</v>
      </c>
      <c r="E302" s="10" t="s">
        <v>45</v>
      </c>
      <c r="F302" s="10" t="s">
        <v>1332</v>
      </c>
      <c r="G302" s="10" t="s">
        <v>2448</v>
      </c>
      <c r="H302" s="10" t="s">
        <v>3266</v>
      </c>
      <c r="I302" s="10" t="s">
        <v>55</v>
      </c>
      <c r="J302" s="10" t="s">
        <v>2545</v>
      </c>
      <c r="K302" s="10" t="s">
        <v>2657</v>
      </c>
      <c r="L302" s="10" t="s">
        <v>42</v>
      </c>
    </row>
    <row r="303" ht="15.75" customHeight="1">
      <c r="A303" s="66">
        <v>45498.0</v>
      </c>
      <c r="B303" s="55" t="str">
        <f>HYPERLINK("https://jobright.ai/jobs/info/668fdc8cb7836da1097c3caa?utm_campaign=1062&amp;utm_source=sheet", "Apply")</f>
        <v>Apply</v>
      </c>
      <c r="C303" s="10" t="s">
        <v>2656</v>
      </c>
      <c r="D303" s="56" t="s">
        <v>1331</v>
      </c>
      <c r="E303" s="10" t="s">
        <v>45</v>
      </c>
      <c r="F303" s="10" t="s">
        <v>1332</v>
      </c>
      <c r="G303" s="10" t="s">
        <v>2448</v>
      </c>
      <c r="H303" s="10" t="s">
        <v>3267</v>
      </c>
      <c r="I303" s="10" t="s">
        <v>55</v>
      </c>
      <c r="J303" s="10" t="s">
        <v>2545</v>
      </c>
      <c r="K303" s="10" t="s">
        <v>2657</v>
      </c>
      <c r="L303" s="10" t="s">
        <v>42</v>
      </c>
    </row>
    <row r="304" ht="15.75" customHeight="1">
      <c r="A304" s="66">
        <v>45498.0</v>
      </c>
      <c r="B304" s="55" t="str">
        <f>HYPERLINK("https://jobright.ai/jobs/info/66862c10323f5e12beea4ec9?utm_campaign=1062&amp;utm_source=sheet", "Apply")</f>
        <v>Apply</v>
      </c>
      <c r="C304" s="10" t="s">
        <v>2544</v>
      </c>
      <c r="D304" s="56" t="s">
        <v>1331</v>
      </c>
      <c r="E304" s="10" t="s">
        <v>45</v>
      </c>
      <c r="F304" s="10" t="s">
        <v>1332</v>
      </c>
      <c r="G304" s="10" t="s">
        <v>2448</v>
      </c>
      <c r="H304" s="10" t="s">
        <v>3253</v>
      </c>
      <c r="I304" s="10" t="s">
        <v>48</v>
      </c>
      <c r="J304" s="10" t="s">
        <v>2545</v>
      </c>
      <c r="K304" s="10" t="s">
        <v>3264</v>
      </c>
      <c r="L304" s="10" t="s">
        <v>42</v>
      </c>
    </row>
    <row r="305" ht="15.75" customHeight="1">
      <c r="A305" s="66">
        <v>45498.0</v>
      </c>
      <c r="B305" s="55" t="str">
        <f>HYPERLINK("https://jobright.ai/jobs/info/668e96164dd337b915ee8fb3?utm_campaign=1062&amp;utm_source=sheet", "Apply")</f>
        <v>Apply</v>
      </c>
      <c r="C305" s="10" t="s">
        <v>2656</v>
      </c>
      <c r="D305" s="56" t="s">
        <v>1331</v>
      </c>
      <c r="E305" s="10" t="s">
        <v>45</v>
      </c>
      <c r="F305" s="10" t="s">
        <v>1332</v>
      </c>
      <c r="G305" s="10" t="s">
        <v>2448</v>
      </c>
      <c r="H305" s="10" t="s">
        <v>3268</v>
      </c>
      <c r="I305" s="10" t="s">
        <v>55</v>
      </c>
      <c r="J305" s="10" t="s">
        <v>2545</v>
      </c>
      <c r="K305" s="10" t="s">
        <v>2657</v>
      </c>
      <c r="L305" s="10" t="s">
        <v>42</v>
      </c>
    </row>
    <row r="306" ht="15.75" customHeight="1">
      <c r="A306" s="66">
        <v>45498.0</v>
      </c>
      <c r="B306" s="55" t="str">
        <f>HYPERLINK("https://jobright.ai/jobs/info/668633e5cde4220425047ffa?utm_campaign=1062&amp;utm_source=sheet", "Apply")</f>
        <v>Apply</v>
      </c>
      <c r="C306" s="10" t="s">
        <v>2544</v>
      </c>
      <c r="D306" s="56" t="s">
        <v>1331</v>
      </c>
      <c r="E306" s="10" t="s">
        <v>45</v>
      </c>
      <c r="F306" s="10" t="s">
        <v>1332</v>
      </c>
      <c r="G306" s="10" t="s">
        <v>2448</v>
      </c>
      <c r="H306" s="10" t="s">
        <v>3269</v>
      </c>
      <c r="I306" s="10" t="s">
        <v>48</v>
      </c>
      <c r="J306" s="10" t="s">
        <v>2545</v>
      </c>
      <c r="K306" s="10" t="s">
        <v>3264</v>
      </c>
      <c r="L306" s="10" t="s">
        <v>42</v>
      </c>
    </row>
    <row r="307" ht="15.75" customHeight="1">
      <c r="A307" s="66">
        <v>45498.0</v>
      </c>
      <c r="B307" s="55" t="str">
        <f>HYPERLINK("https://jobright.ai/jobs/info/6693c2560a9f4673e3166738?utm_campaign=1062&amp;utm_source=sheet", "Apply")</f>
        <v>Apply</v>
      </c>
      <c r="C307" s="10" t="s">
        <v>2656</v>
      </c>
      <c r="D307" s="56" t="s">
        <v>1331</v>
      </c>
      <c r="E307" s="10" t="s">
        <v>45</v>
      </c>
      <c r="F307" s="10" t="s">
        <v>1332</v>
      </c>
      <c r="G307" s="10" t="s">
        <v>2448</v>
      </c>
      <c r="H307" s="10" t="s">
        <v>3270</v>
      </c>
      <c r="I307" s="10" t="s">
        <v>55</v>
      </c>
      <c r="J307" s="10" t="s">
        <v>2545</v>
      </c>
      <c r="K307" s="10" t="s">
        <v>2657</v>
      </c>
      <c r="L307" s="10" t="s">
        <v>42</v>
      </c>
    </row>
    <row r="308" ht="15.75" customHeight="1">
      <c r="A308" s="66">
        <v>45498.0</v>
      </c>
      <c r="B308" s="55" t="str">
        <f>HYPERLINK("https://jobright.ai/jobs/info/66a25487c0e679b90829bfbe?utm_campaign=1062&amp;utm_source=sheet", "Apply")</f>
        <v>Apply</v>
      </c>
      <c r="C308" s="10" t="s">
        <v>2656</v>
      </c>
      <c r="D308" s="56" t="s">
        <v>1331</v>
      </c>
      <c r="E308" s="10" t="s">
        <v>45</v>
      </c>
      <c r="F308" s="10" t="s">
        <v>1332</v>
      </c>
      <c r="G308" s="10" t="s">
        <v>2448</v>
      </c>
      <c r="H308" s="10" t="s">
        <v>3271</v>
      </c>
      <c r="I308" s="10" t="s">
        <v>55</v>
      </c>
      <c r="J308" s="10" t="s">
        <v>2545</v>
      </c>
      <c r="K308" s="10" t="s">
        <v>2657</v>
      </c>
      <c r="L308" s="10" t="s">
        <v>42</v>
      </c>
    </row>
    <row r="309" ht="15.75" customHeight="1">
      <c r="A309" s="66">
        <v>45498.0</v>
      </c>
      <c r="B309" s="55" t="str">
        <f>HYPERLINK("https://jobright.ai/jobs/info/6686278719c3e9af76ad5c4d?utm_campaign=1062&amp;utm_source=sheet", "Apply")</f>
        <v>Apply</v>
      </c>
      <c r="C309" s="10" t="s">
        <v>2544</v>
      </c>
      <c r="D309" s="56" t="s">
        <v>1331</v>
      </c>
      <c r="E309" s="10" t="s">
        <v>45</v>
      </c>
      <c r="F309" s="10" t="s">
        <v>1332</v>
      </c>
      <c r="G309" s="10" t="s">
        <v>2448</v>
      </c>
      <c r="H309" s="10" t="s">
        <v>3248</v>
      </c>
      <c r="I309" s="10" t="s">
        <v>48</v>
      </c>
      <c r="J309" s="10" t="s">
        <v>2545</v>
      </c>
      <c r="K309" s="10" t="s">
        <v>3264</v>
      </c>
      <c r="L309" s="10" t="s">
        <v>42</v>
      </c>
    </row>
    <row r="310" ht="15.75" customHeight="1">
      <c r="A310" s="66">
        <v>45498.0</v>
      </c>
      <c r="B310" s="55" t="str">
        <f>HYPERLINK("https://jobright.ai/jobs/info/668d1cffc3edd97e56c82a0e?utm_campaign=1062&amp;utm_source=sheet", "Apply")</f>
        <v>Apply</v>
      </c>
      <c r="C310" s="10" t="s">
        <v>2656</v>
      </c>
      <c r="D310" s="56" t="s">
        <v>1331</v>
      </c>
      <c r="E310" s="10" t="s">
        <v>45</v>
      </c>
      <c r="F310" s="10" t="s">
        <v>1332</v>
      </c>
      <c r="G310" s="10" t="s">
        <v>2448</v>
      </c>
      <c r="H310" s="10" t="s">
        <v>3272</v>
      </c>
      <c r="I310" s="10" t="s">
        <v>55</v>
      </c>
      <c r="J310" s="10" t="s">
        <v>2545</v>
      </c>
      <c r="K310" s="10" t="s">
        <v>2657</v>
      </c>
      <c r="L310" s="10" t="s">
        <v>42</v>
      </c>
    </row>
    <row r="311" ht="15.75" customHeight="1">
      <c r="A311" s="66">
        <v>45498.0</v>
      </c>
      <c r="B311" s="55" t="str">
        <f>HYPERLINK("https://jobright.ai/jobs/info/6686278719c3e9af76ad5ca8?utm_campaign=1062&amp;utm_source=sheet", "Apply")</f>
        <v>Apply</v>
      </c>
      <c r="C311" s="10" t="s">
        <v>2544</v>
      </c>
      <c r="D311" s="56" t="s">
        <v>1331</v>
      </c>
      <c r="E311" s="10" t="s">
        <v>45</v>
      </c>
      <c r="F311" s="10" t="s">
        <v>1332</v>
      </c>
      <c r="G311" s="10" t="s">
        <v>2448</v>
      </c>
      <c r="H311" s="10" t="s">
        <v>1254</v>
      </c>
      <c r="I311" s="10" t="s">
        <v>48</v>
      </c>
      <c r="J311" s="10" t="s">
        <v>2545</v>
      </c>
      <c r="K311" s="10" t="s">
        <v>3264</v>
      </c>
      <c r="L311" s="10" t="s">
        <v>42</v>
      </c>
    </row>
    <row r="312" ht="15.75" customHeight="1">
      <c r="A312" s="66">
        <v>45498.0</v>
      </c>
      <c r="B312" s="55" t="str">
        <f>HYPERLINK("https://jobright.ai/jobs/info/668e8d6def4dbce708eef3c0?utm_campaign=1062&amp;utm_source=sheet", "Apply")</f>
        <v>Apply</v>
      </c>
      <c r="C312" s="10" t="s">
        <v>2656</v>
      </c>
      <c r="D312" s="56" t="s">
        <v>1331</v>
      </c>
      <c r="E312" s="10" t="s">
        <v>45</v>
      </c>
      <c r="F312" s="10" t="s">
        <v>1332</v>
      </c>
      <c r="G312" s="10" t="s">
        <v>2448</v>
      </c>
      <c r="H312" s="10" t="s">
        <v>3273</v>
      </c>
      <c r="I312" s="10" t="s">
        <v>55</v>
      </c>
      <c r="J312" s="10" t="s">
        <v>2545</v>
      </c>
      <c r="K312" s="10" t="s">
        <v>2657</v>
      </c>
      <c r="L312" s="10" t="s">
        <v>42</v>
      </c>
    </row>
    <row r="313" ht="15.75" customHeight="1">
      <c r="A313" s="66">
        <v>45498.0</v>
      </c>
      <c r="B313" s="55" t="str">
        <f>HYPERLINK("https://jobright.ai/jobs/info/668e8e418ba8f92011d556cb?utm_campaign=1062&amp;utm_source=sheet", "Apply")</f>
        <v>Apply</v>
      </c>
      <c r="C313" s="10" t="s">
        <v>2656</v>
      </c>
      <c r="D313" s="56" t="s">
        <v>1331</v>
      </c>
      <c r="E313" s="10" t="s">
        <v>45</v>
      </c>
      <c r="F313" s="10" t="s">
        <v>1332</v>
      </c>
      <c r="G313" s="10" t="s">
        <v>2448</v>
      </c>
      <c r="H313" s="10" t="s">
        <v>3265</v>
      </c>
      <c r="I313" s="10" t="s">
        <v>55</v>
      </c>
      <c r="J313" s="10" t="s">
        <v>2545</v>
      </c>
      <c r="K313" s="10" t="s">
        <v>2657</v>
      </c>
      <c r="L313" s="10" t="s">
        <v>42</v>
      </c>
    </row>
    <row r="314" ht="15.75" customHeight="1">
      <c r="A314" s="66">
        <v>45498.0</v>
      </c>
      <c r="B314" s="55" t="str">
        <f>HYPERLINK("https://jobright.ai/jobs/info/668645a31ac348f6040f5ce8?utm_campaign=1062&amp;utm_source=sheet", "Apply")</f>
        <v>Apply</v>
      </c>
      <c r="C314" s="10" t="s">
        <v>2544</v>
      </c>
      <c r="D314" s="56" t="s">
        <v>1331</v>
      </c>
      <c r="E314" s="10" t="s">
        <v>45</v>
      </c>
      <c r="F314" s="10" t="s">
        <v>1332</v>
      </c>
      <c r="G314" s="10" t="s">
        <v>2448</v>
      </c>
      <c r="H314" s="10" t="s">
        <v>3274</v>
      </c>
      <c r="I314" s="10" t="s">
        <v>48</v>
      </c>
      <c r="J314" s="10" t="s">
        <v>2545</v>
      </c>
      <c r="K314" s="10" t="s">
        <v>3264</v>
      </c>
      <c r="L314" s="10" t="s">
        <v>42</v>
      </c>
    </row>
    <row r="315" ht="15.75" customHeight="1">
      <c r="A315" s="66">
        <v>45498.0</v>
      </c>
      <c r="B315" s="55" t="str">
        <f>HYPERLINK("https://jobright.ai/jobs/info/668fdf9e002e4fdd1bb55e6b?utm_campaign=1062&amp;utm_source=sheet", "Apply")</f>
        <v>Apply</v>
      </c>
      <c r="C315" s="10" t="s">
        <v>2656</v>
      </c>
      <c r="D315" s="56" t="s">
        <v>1331</v>
      </c>
      <c r="E315" s="10" t="s">
        <v>45</v>
      </c>
      <c r="F315" s="10" t="s">
        <v>1332</v>
      </c>
      <c r="G315" s="10" t="s">
        <v>2448</v>
      </c>
      <c r="H315" s="10" t="s">
        <v>3275</v>
      </c>
      <c r="I315" s="10" t="s">
        <v>55</v>
      </c>
      <c r="J315" s="10" t="s">
        <v>2545</v>
      </c>
      <c r="K315" s="10" t="s">
        <v>2657</v>
      </c>
      <c r="L315" s="10" t="s">
        <v>42</v>
      </c>
    </row>
    <row r="316" ht="15.75" customHeight="1">
      <c r="A316" s="66">
        <v>45498.0</v>
      </c>
      <c r="B316" s="55" t="str">
        <f>HYPERLINK("https://jobright.ai/jobs/info/66862c10323f5e12beea4ec0?utm_campaign=1062&amp;utm_source=sheet", "Apply")</f>
        <v>Apply</v>
      </c>
      <c r="C316" s="10" t="s">
        <v>2544</v>
      </c>
      <c r="D316" s="56" t="s">
        <v>1331</v>
      </c>
      <c r="E316" s="10" t="s">
        <v>45</v>
      </c>
      <c r="F316" s="10" t="s">
        <v>1332</v>
      </c>
      <c r="G316" s="10" t="s">
        <v>2448</v>
      </c>
      <c r="H316" s="10" t="s">
        <v>2635</v>
      </c>
      <c r="I316" s="10" t="s">
        <v>48</v>
      </c>
      <c r="J316" s="10" t="s">
        <v>2545</v>
      </c>
      <c r="K316" s="10" t="s">
        <v>3264</v>
      </c>
      <c r="L316" s="10" t="s">
        <v>42</v>
      </c>
    </row>
    <row r="317" ht="15.75" customHeight="1">
      <c r="A317" s="66">
        <v>45498.0</v>
      </c>
      <c r="B317" s="55" t="str">
        <f>HYPERLINK("https://jobright.ai/jobs/info/668ff3a3e6aac4a147461ad7?utm_campaign=1062&amp;utm_source=sheet", "Apply")</f>
        <v>Apply</v>
      </c>
      <c r="C317" s="10" t="s">
        <v>2656</v>
      </c>
      <c r="D317" s="56" t="s">
        <v>1331</v>
      </c>
      <c r="E317" s="10" t="s">
        <v>45</v>
      </c>
      <c r="F317" s="10" t="s">
        <v>1332</v>
      </c>
      <c r="G317" s="10" t="s">
        <v>2448</v>
      </c>
      <c r="H317" s="10" t="s">
        <v>3276</v>
      </c>
      <c r="I317" s="10" t="s">
        <v>55</v>
      </c>
      <c r="J317" s="10" t="s">
        <v>2545</v>
      </c>
      <c r="K317" s="10" t="s">
        <v>2657</v>
      </c>
      <c r="L317" s="10" t="s">
        <v>42</v>
      </c>
    </row>
    <row r="318" ht="15.75" customHeight="1">
      <c r="A318" s="66">
        <v>45498.0</v>
      </c>
      <c r="B318" s="55" t="str">
        <f>HYPERLINK("https://jobright.ai/jobs/info/668e6a2993519db874d56f3a?utm_campaign=1062&amp;utm_source=sheet", "Apply")</f>
        <v>Apply</v>
      </c>
      <c r="C318" s="10" t="s">
        <v>2656</v>
      </c>
      <c r="D318" s="56" t="s">
        <v>1331</v>
      </c>
      <c r="E318" s="10" t="s">
        <v>45</v>
      </c>
      <c r="F318" s="10" t="s">
        <v>1332</v>
      </c>
      <c r="G318" s="10" t="s">
        <v>2448</v>
      </c>
      <c r="H318" s="10" t="s">
        <v>3277</v>
      </c>
      <c r="I318" s="10" t="s">
        <v>55</v>
      </c>
      <c r="J318" s="10" t="s">
        <v>2545</v>
      </c>
      <c r="K318" s="10" t="s">
        <v>2657</v>
      </c>
      <c r="L318" s="10" t="s">
        <v>42</v>
      </c>
    </row>
    <row r="319" ht="15.75" customHeight="1">
      <c r="A319" s="66">
        <v>45498.0</v>
      </c>
      <c r="B319" s="55" t="str">
        <f>HYPERLINK("https://jobright.ai/jobs/info/668ea6f4273b8b67693814a7?utm_campaign=1062&amp;utm_source=sheet", "Apply")</f>
        <v>Apply</v>
      </c>
      <c r="C319" s="10" t="s">
        <v>2656</v>
      </c>
      <c r="D319" s="56" t="s">
        <v>1331</v>
      </c>
      <c r="E319" s="10" t="s">
        <v>45</v>
      </c>
      <c r="F319" s="10" t="s">
        <v>1332</v>
      </c>
      <c r="G319" s="10" t="s">
        <v>2448</v>
      </c>
      <c r="H319" s="10" t="s">
        <v>3278</v>
      </c>
      <c r="I319" s="10" t="s">
        <v>55</v>
      </c>
      <c r="J319" s="10" t="s">
        <v>2545</v>
      </c>
      <c r="K319" s="10" t="s">
        <v>2657</v>
      </c>
      <c r="L319" s="10" t="s">
        <v>42</v>
      </c>
    </row>
    <row r="320" ht="15.75" customHeight="1">
      <c r="A320" s="66">
        <v>45498.0</v>
      </c>
      <c r="B320" s="55" t="str">
        <f>HYPERLINK("https://jobright.ai/jobs/info/6686278719c3e9af76ad5c2e?utm_campaign=1062&amp;utm_source=sheet", "Apply")</f>
        <v>Apply</v>
      </c>
      <c r="C320" s="10" t="s">
        <v>2544</v>
      </c>
      <c r="D320" s="56" t="s">
        <v>1331</v>
      </c>
      <c r="E320" s="10" t="s">
        <v>45</v>
      </c>
      <c r="F320" s="10" t="s">
        <v>1332</v>
      </c>
      <c r="G320" s="10" t="s">
        <v>2448</v>
      </c>
      <c r="H320" s="10" t="s">
        <v>3268</v>
      </c>
      <c r="I320" s="10" t="s">
        <v>48</v>
      </c>
      <c r="J320" s="10" t="s">
        <v>2545</v>
      </c>
      <c r="K320" s="10" t="s">
        <v>3264</v>
      </c>
      <c r="L320" s="10" t="s">
        <v>42</v>
      </c>
    </row>
    <row r="321" ht="15.75" customHeight="1">
      <c r="A321" s="66">
        <v>45498.0</v>
      </c>
      <c r="B321" s="55" t="str">
        <f>HYPERLINK("https://jobright.ai/jobs/info/6686278719c3e9af76ad5c32?utm_campaign=1062&amp;utm_source=sheet", "Apply")</f>
        <v>Apply</v>
      </c>
      <c r="C321" s="10" t="s">
        <v>2544</v>
      </c>
      <c r="D321" s="56" t="s">
        <v>1331</v>
      </c>
      <c r="E321" s="10" t="s">
        <v>45</v>
      </c>
      <c r="F321" s="10" t="s">
        <v>1332</v>
      </c>
      <c r="G321" s="10" t="s">
        <v>2448</v>
      </c>
      <c r="H321" s="10" t="s">
        <v>3279</v>
      </c>
      <c r="I321" s="10" t="s">
        <v>48</v>
      </c>
      <c r="J321" s="10" t="s">
        <v>2545</v>
      </c>
      <c r="K321" s="10" t="s">
        <v>3264</v>
      </c>
      <c r="L321" s="10" t="s">
        <v>42</v>
      </c>
    </row>
    <row r="322" ht="15.75" customHeight="1">
      <c r="A322" s="66">
        <v>45498.0</v>
      </c>
      <c r="B322" s="55" t="str">
        <f>HYPERLINK("https://jobright.ai/jobs/info/6686278719c3e9af76ad5c37?utm_campaign=1062&amp;utm_source=sheet", "Apply")</f>
        <v>Apply</v>
      </c>
      <c r="C322" s="10" t="s">
        <v>2544</v>
      </c>
      <c r="D322" s="56" t="s">
        <v>1331</v>
      </c>
      <c r="E322" s="10" t="s">
        <v>45</v>
      </c>
      <c r="F322" s="10" t="s">
        <v>1332</v>
      </c>
      <c r="G322" s="10" t="s">
        <v>2448</v>
      </c>
      <c r="H322" s="10" t="s">
        <v>3280</v>
      </c>
      <c r="I322" s="10" t="s">
        <v>48</v>
      </c>
      <c r="J322" s="10" t="s">
        <v>2545</v>
      </c>
      <c r="K322" s="10" t="s">
        <v>3264</v>
      </c>
      <c r="L322" s="10" t="s">
        <v>42</v>
      </c>
    </row>
    <row r="323" ht="15.75" customHeight="1">
      <c r="A323" s="66">
        <v>45498.0</v>
      </c>
      <c r="B323" s="55" t="str">
        <f>HYPERLINK("https://jobright.ai/jobs/info/668ff9d90f79b533b8729c07?utm_campaign=1062&amp;utm_source=sheet", "Apply")</f>
        <v>Apply</v>
      </c>
      <c r="C323" s="10" t="s">
        <v>2656</v>
      </c>
      <c r="D323" s="56" t="s">
        <v>1331</v>
      </c>
      <c r="E323" s="10" t="s">
        <v>45</v>
      </c>
      <c r="F323" s="10" t="s">
        <v>1332</v>
      </c>
      <c r="G323" s="10" t="s">
        <v>2448</v>
      </c>
      <c r="H323" s="10" t="s">
        <v>3274</v>
      </c>
      <c r="I323" s="10" t="s">
        <v>55</v>
      </c>
      <c r="J323" s="10" t="s">
        <v>2545</v>
      </c>
      <c r="K323" s="10" t="s">
        <v>2657</v>
      </c>
      <c r="L323" s="10" t="s">
        <v>42</v>
      </c>
    </row>
    <row r="324" ht="15.75" customHeight="1">
      <c r="A324" s="66">
        <v>45498.0</v>
      </c>
      <c r="B324" s="55" t="str">
        <f>HYPERLINK("https://jobright.ai/jobs/info/6686278719c3e9af76ad5c3f?utm_campaign=1062&amp;utm_source=sheet", "Apply")</f>
        <v>Apply</v>
      </c>
      <c r="C324" s="10" t="s">
        <v>2544</v>
      </c>
      <c r="D324" s="56" t="s">
        <v>1331</v>
      </c>
      <c r="E324" s="10" t="s">
        <v>45</v>
      </c>
      <c r="F324" s="10" t="s">
        <v>1332</v>
      </c>
      <c r="G324" s="10" t="s">
        <v>2448</v>
      </c>
      <c r="H324" s="10" t="s">
        <v>3244</v>
      </c>
      <c r="I324" s="10" t="s">
        <v>48</v>
      </c>
      <c r="J324" s="10" t="s">
        <v>2545</v>
      </c>
      <c r="K324" s="10" t="s">
        <v>3264</v>
      </c>
      <c r="L324" s="10" t="s">
        <v>42</v>
      </c>
    </row>
    <row r="325" ht="15.75" customHeight="1">
      <c r="A325" s="66">
        <v>45498.0</v>
      </c>
      <c r="B325" s="55" t="str">
        <f>HYPERLINK("https://jobright.ai/jobs/info/6675ac046d8340c59f8e4464?utm_campaign=1062&amp;utm_source=sheet", "Apply")</f>
        <v>Apply</v>
      </c>
      <c r="C325" s="10" t="s">
        <v>3156</v>
      </c>
      <c r="D325" s="56" t="s">
        <v>3281</v>
      </c>
      <c r="E325" s="10" t="s">
        <v>45</v>
      </c>
      <c r="F325" s="10" t="s">
        <v>1065</v>
      </c>
      <c r="G325" s="10" t="s">
        <v>2448</v>
      </c>
      <c r="H325" s="10" t="s">
        <v>354</v>
      </c>
      <c r="I325" s="10" t="s">
        <v>55</v>
      </c>
      <c r="K325" s="10" t="s">
        <v>3282</v>
      </c>
      <c r="L325" s="10" t="s">
        <v>42</v>
      </c>
    </row>
    <row r="326" ht="15.75" customHeight="1">
      <c r="A326" s="66">
        <v>45498.0</v>
      </c>
      <c r="B326" s="55" t="str">
        <f>HYPERLINK("https://jobright.ai/jobs/info/66698fa9a16615009c367edd?utm_campaign=1062&amp;utm_source=sheet", "Apply")</f>
        <v>Apply</v>
      </c>
      <c r="C326" s="10" t="s">
        <v>3283</v>
      </c>
      <c r="D326" s="56" t="s">
        <v>2721</v>
      </c>
      <c r="E326" s="10" t="s">
        <v>45</v>
      </c>
      <c r="F326" s="10" t="s">
        <v>2722</v>
      </c>
      <c r="G326" s="10" t="s">
        <v>2502</v>
      </c>
      <c r="H326" s="10" t="s">
        <v>423</v>
      </c>
      <c r="I326" s="10" t="s">
        <v>55</v>
      </c>
      <c r="J326" s="10" t="s">
        <v>3284</v>
      </c>
      <c r="K326" s="10" t="s">
        <v>3285</v>
      </c>
      <c r="L326" s="10" t="s">
        <v>42</v>
      </c>
    </row>
    <row r="327" ht="15.75" customHeight="1">
      <c r="A327" s="66">
        <v>45498.0</v>
      </c>
      <c r="B327" s="55" t="str">
        <f>HYPERLINK("https://jobright.ai/jobs/info/66913e33e4526299ab22eb3e?utm_campaign=1062&amp;utm_source=sheet", "Apply")</f>
        <v>Apply</v>
      </c>
      <c r="C327" s="10" t="s">
        <v>2656</v>
      </c>
      <c r="D327" s="56" t="s">
        <v>1331</v>
      </c>
      <c r="E327" s="10" t="s">
        <v>45</v>
      </c>
      <c r="F327" s="10" t="s">
        <v>1332</v>
      </c>
      <c r="G327" s="10" t="s">
        <v>2448</v>
      </c>
      <c r="H327" s="10" t="s">
        <v>3286</v>
      </c>
      <c r="I327" s="10" t="s">
        <v>55</v>
      </c>
      <c r="J327" s="10" t="s">
        <v>2545</v>
      </c>
      <c r="K327" s="10" t="s">
        <v>2657</v>
      </c>
      <c r="L327" s="10" t="s">
        <v>42</v>
      </c>
    </row>
    <row r="328" ht="15.75" customHeight="1">
      <c r="A328" s="66">
        <v>45498.0</v>
      </c>
      <c r="B328" s="55" t="str">
        <f>HYPERLINK("https://jobright.ai/jobs/info/6686278719c3e9af76ad5c4f?utm_campaign=1062&amp;utm_source=sheet", "Apply")</f>
        <v>Apply</v>
      </c>
      <c r="C328" s="10" t="s">
        <v>2544</v>
      </c>
      <c r="D328" s="56" t="s">
        <v>1331</v>
      </c>
      <c r="E328" s="10" t="s">
        <v>45</v>
      </c>
      <c r="F328" s="10" t="s">
        <v>1332</v>
      </c>
      <c r="G328" s="10" t="s">
        <v>2448</v>
      </c>
      <c r="H328" s="10" t="s">
        <v>3275</v>
      </c>
      <c r="I328" s="10" t="s">
        <v>48</v>
      </c>
      <c r="J328" s="10" t="s">
        <v>2545</v>
      </c>
      <c r="K328" s="10" t="s">
        <v>3264</v>
      </c>
      <c r="L328" s="10" t="s">
        <v>42</v>
      </c>
    </row>
    <row r="329" ht="15.75" customHeight="1">
      <c r="A329" s="66">
        <v>45498.0</v>
      </c>
      <c r="B329" s="55" t="str">
        <f>HYPERLINK("https://jobright.ai/jobs/info/6686278719c3e9af76ad5c4c?utm_campaign=1062&amp;utm_source=sheet", "Apply")</f>
        <v>Apply</v>
      </c>
      <c r="C329" s="10" t="s">
        <v>2544</v>
      </c>
      <c r="D329" s="56" t="s">
        <v>1331</v>
      </c>
      <c r="E329" s="10" t="s">
        <v>45</v>
      </c>
      <c r="F329" s="10" t="s">
        <v>1332</v>
      </c>
      <c r="G329" s="10" t="s">
        <v>2448</v>
      </c>
      <c r="H329" s="10" t="s">
        <v>3287</v>
      </c>
      <c r="I329" s="10" t="s">
        <v>48</v>
      </c>
      <c r="J329" s="10" t="s">
        <v>2545</v>
      </c>
      <c r="K329" s="10" t="s">
        <v>3264</v>
      </c>
      <c r="L329" s="10" t="s">
        <v>42</v>
      </c>
    </row>
    <row r="330" ht="15.75" customHeight="1">
      <c r="A330" s="66">
        <v>45498.0</v>
      </c>
      <c r="B330" s="55" t="str">
        <f>HYPERLINK("https://jobright.ai/jobs/info/668e8a8306f3000f3f21274d?utm_campaign=1062&amp;utm_source=sheet", "Apply")</f>
        <v>Apply</v>
      </c>
      <c r="C330" s="10" t="s">
        <v>2656</v>
      </c>
      <c r="D330" s="56" t="s">
        <v>1331</v>
      </c>
      <c r="E330" s="10" t="s">
        <v>45</v>
      </c>
      <c r="F330" s="10" t="s">
        <v>1332</v>
      </c>
      <c r="G330" s="10" t="s">
        <v>2448</v>
      </c>
      <c r="H330" s="10" t="s">
        <v>3288</v>
      </c>
      <c r="I330" s="10" t="s">
        <v>55</v>
      </c>
      <c r="J330" s="10" t="s">
        <v>2545</v>
      </c>
      <c r="K330" s="10" t="s">
        <v>2657</v>
      </c>
      <c r="L330" s="10" t="s">
        <v>42</v>
      </c>
    </row>
    <row r="331" ht="15.75" customHeight="1">
      <c r="A331" s="66">
        <v>45498.0</v>
      </c>
      <c r="B331" s="55" t="str">
        <f>HYPERLINK("https://jobright.ai/jobs/info/664d960617b03c9fd93a3ef6?utm_campaign=1062&amp;utm_source=sheet", "Apply")</f>
        <v>Apply</v>
      </c>
      <c r="C331" s="10" t="s">
        <v>3289</v>
      </c>
      <c r="D331" s="56" t="s">
        <v>716</v>
      </c>
      <c r="E331" s="10" t="s">
        <v>79</v>
      </c>
      <c r="F331" s="10" t="s">
        <v>717</v>
      </c>
      <c r="G331" s="10" t="s">
        <v>2807</v>
      </c>
      <c r="H331" s="10" t="s">
        <v>144</v>
      </c>
      <c r="I331" s="10" t="s">
        <v>48</v>
      </c>
      <c r="J331" s="10" t="s">
        <v>3290</v>
      </c>
      <c r="K331" s="10" t="s">
        <v>3291</v>
      </c>
      <c r="L331" s="10" t="s">
        <v>42</v>
      </c>
    </row>
    <row r="332" ht="15.75" customHeight="1">
      <c r="A332" s="66">
        <v>45498.0</v>
      </c>
      <c r="B332" s="55" t="str">
        <f>HYPERLINK("https://jobright.ai/jobs/info/66863709c3a227946a5ec728?utm_campaign=1062&amp;utm_source=sheet", "Apply")</f>
        <v>Apply</v>
      </c>
      <c r="C332" s="10" t="s">
        <v>2544</v>
      </c>
      <c r="D332" s="56" t="s">
        <v>1331</v>
      </c>
      <c r="E332" s="10" t="s">
        <v>45</v>
      </c>
      <c r="F332" s="10" t="s">
        <v>1332</v>
      </c>
      <c r="G332" s="10" t="s">
        <v>2448</v>
      </c>
      <c r="H332" s="10" t="s">
        <v>3218</v>
      </c>
      <c r="I332" s="10" t="s">
        <v>48</v>
      </c>
      <c r="J332" s="10" t="s">
        <v>2545</v>
      </c>
      <c r="K332" s="10" t="s">
        <v>3264</v>
      </c>
      <c r="L332" s="10" t="s">
        <v>42</v>
      </c>
    </row>
    <row r="333" ht="15.75" customHeight="1">
      <c r="A333" s="66">
        <v>45498.0</v>
      </c>
      <c r="B333" s="55" t="str">
        <f>HYPERLINK("https://jobright.ai/jobs/info/66864dbef8900c2e840aed1b?utm_campaign=1062&amp;utm_source=sheet", "Apply")</f>
        <v>Apply</v>
      </c>
      <c r="C333" s="10" t="s">
        <v>2544</v>
      </c>
      <c r="D333" s="56" t="s">
        <v>1331</v>
      </c>
      <c r="E333" s="10" t="s">
        <v>45</v>
      </c>
      <c r="F333" s="10" t="s">
        <v>1332</v>
      </c>
      <c r="G333" s="10" t="s">
        <v>2448</v>
      </c>
      <c r="H333" s="10" t="s">
        <v>3273</v>
      </c>
      <c r="I333" s="10" t="s">
        <v>48</v>
      </c>
      <c r="J333" s="10" t="s">
        <v>2545</v>
      </c>
      <c r="K333" s="10" t="s">
        <v>3264</v>
      </c>
      <c r="L333" s="10" t="s">
        <v>42</v>
      </c>
    </row>
    <row r="334" ht="15.75" customHeight="1">
      <c r="A334" s="66">
        <v>45498.0</v>
      </c>
      <c r="B334" s="55" t="str">
        <f>HYPERLINK("https://jobright.ai/jobs/info/6675d38e5e546ebdd783a676?utm_campaign=1062&amp;utm_source=sheet", "Apply")</f>
        <v>Apply</v>
      </c>
      <c r="C334" s="10" t="s">
        <v>3292</v>
      </c>
      <c r="D334" s="56" t="s">
        <v>3293</v>
      </c>
      <c r="E334" s="10" t="s">
        <v>209</v>
      </c>
      <c r="F334" s="10" t="s">
        <v>1587</v>
      </c>
      <c r="G334" s="10" t="s">
        <v>2448</v>
      </c>
      <c r="H334" s="10" t="s">
        <v>168</v>
      </c>
      <c r="I334" s="10" t="s">
        <v>55</v>
      </c>
      <c r="J334" s="10" t="s">
        <v>3294</v>
      </c>
      <c r="K334" s="10" t="s">
        <v>3295</v>
      </c>
      <c r="L334" s="10" t="s">
        <v>42</v>
      </c>
    </row>
    <row r="335" ht="15.75" customHeight="1">
      <c r="A335" s="66">
        <v>45498.0</v>
      </c>
      <c r="B335" s="55" t="str">
        <f>HYPERLINK("https://jobright.ai/jobs/info/664defaccf7bdc8f73b3c6d3?utm_campaign=1062&amp;utm_source=sheet", "Apply")</f>
        <v>Apply</v>
      </c>
      <c r="C335" s="10" t="s">
        <v>3296</v>
      </c>
      <c r="D335" s="56" t="s">
        <v>3297</v>
      </c>
      <c r="E335" s="10">
        <v>16521.0</v>
      </c>
      <c r="G335" s="10" t="s">
        <v>2443</v>
      </c>
      <c r="H335" s="10" t="s">
        <v>113</v>
      </c>
      <c r="I335" s="10" t="s">
        <v>55</v>
      </c>
      <c r="K335" s="10" t="s">
        <v>3298</v>
      </c>
      <c r="L335" s="10" t="s">
        <v>42</v>
      </c>
    </row>
    <row r="336" ht="15.75" customHeight="1">
      <c r="A336" s="66">
        <v>45498.0</v>
      </c>
      <c r="B336" s="55" t="str">
        <f>HYPERLINK("https://jobright.ai/jobs/info/668fe26f569bdda61a566b74?utm_campaign=1062&amp;utm_source=sheet", "Apply")</f>
        <v>Apply</v>
      </c>
      <c r="C336" s="10" t="s">
        <v>2656</v>
      </c>
      <c r="D336" s="56" t="s">
        <v>1331</v>
      </c>
      <c r="E336" s="10" t="s">
        <v>45</v>
      </c>
      <c r="F336" s="10" t="s">
        <v>1332</v>
      </c>
      <c r="G336" s="10" t="s">
        <v>2448</v>
      </c>
      <c r="H336" s="10" t="s">
        <v>3299</v>
      </c>
      <c r="I336" s="10" t="s">
        <v>55</v>
      </c>
      <c r="J336" s="10" t="s">
        <v>2545</v>
      </c>
      <c r="K336" s="10" t="s">
        <v>2657</v>
      </c>
      <c r="L336" s="10" t="s">
        <v>42</v>
      </c>
    </row>
    <row r="337" ht="15.75" customHeight="1">
      <c r="A337" s="66">
        <v>45498.0</v>
      </c>
      <c r="B337" s="55" t="str">
        <f>HYPERLINK("https://jobright.ai/jobs/info/6686278719c3e9af76ad5c8f?utm_campaign=1062&amp;utm_source=sheet", "Apply")</f>
        <v>Apply</v>
      </c>
      <c r="C337" s="10" t="s">
        <v>2544</v>
      </c>
      <c r="D337" s="56" t="s">
        <v>1331</v>
      </c>
      <c r="E337" s="10" t="s">
        <v>45</v>
      </c>
      <c r="F337" s="10" t="s">
        <v>1332</v>
      </c>
      <c r="G337" s="10" t="s">
        <v>2448</v>
      </c>
      <c r="H337" s="10" t="s">
        <v>3300</v>
      </c>
      <c r="I337" s="10" t="s">
        <v>48</v>
      </c>
      <c r="J337" s="10" t="s">
        <v>2545</v>
      </c>
      <c r="K337" s="10" t="s">
        <v>3264</v>
      </c>
      <c r="L337" s="10" t="s">
        <v>42</v>
      </c>
    </row>
    <row r="338" ht="15.75" customHeight="1">
      <c r="A338" s="66">
        <v>45498.0</v>
      </c>
      <c r="B338" s="55" t="str">
        <f>HYPERLINK("https://jobright.ai/jobs/info/668fdb9d22cfeb6ebf477029?utm_campaign=1062&amp;utm_source=sheet", "Apply")</f>
        <v>Apply</v>
      </c>
      <c r="C338" s="10" t="s">
        <v>2656</v>
      </c>
      <c r="D338" s="56" t="s">
        <v>1331</v>
      </c>
      <c r="E338" s="10" t="s">
        <v>45</v>
      </c>
      <c r="F338" s="10" t="s">
        <v>1332</v>
      </c>
      <c r="G338" s="10" t="s">
        <v>2448</v>
      </c>
      <c r="H338" s="10" t="s">
        <v>3280</v>
      </c>
      <c r="I338" s="10" t="s">
        <v>55</v>
      </c>
      <c r="J338" s="10" t="s">
        <v>2545</v>
      </c>
      <c r="K338" s="10" t="s">
        <v>2657</v>
      </c>
      <c r="L338" s="10" t="s">
        <v>42</v>
      </c>
    </row>
    <row r="339" ht="15.75" customHeight="1">
      <c r="A339" s="66">
        <v>45498.0</v>
      </c>
      <c r="B339" s="55" t="str">
        <f>HYPERLINK("https://jobright.ai/jobs/info/6686278719c3e9af76ad5c46?utm_campaign=1062&amp;utm_source=sheet", "Apply")</f>
        <v>Apply</v>
      </c>
      <c r="C339" s="10" t="s">
        <v>2544</v>
      </c>
      <c r="D339" s="56" t="s">
        <v>1331</v>
      </c>
      <c r="E339" s="10" t="s">
        <v>45</v>
      </c>
      <c r="F339" s="10" t="s">
        <v>1332</v>
      </c>
      <c r="G339" s="10" t="s">
        <v>2448</v>
      </c>
      <c r="H339" s="10" t="s">
        <v>3288</v>
      </c>
      <c r="I339" s="10" t="s">
        <v>48</v>
      </c>
      <c r="J339" s="10" t="s">
        <v>2545</v>
      </c>
      <c r="K339" s="10" t="s">
        <v>3264</v>
      </c>
      <c r="L339" s="10" t="s">
        <v>42</v>
      </c>
    </row>
    <row r="340" ht="15.75" customHeight="1">
      <c r="A340" s="66">
        <v>45498.0</v>
      </c>
      <c r="B340" s="55" t="str">
        <f>HYPERLINK("https://jobright.ai/jobs/info/668e96164dd337b915ee8fb2?utm_campaign=1062&amp;utm_source=sheet", "Apply")</f>
        <v>Apply</v>
      </c>
      <c r="C340" s="10" t="s">
        <v>2656</v>
      </c>
      <c r="D340" s="56" t="s">
        <v>1331</v>
      </c>
      <c r="E340" s="10" t="s">
        <v>45</v>
      </c>
      <c r="F340" s="10" t="s">
        <v>1332</v>
      </c>
      <c r="G340" s="10" t="s">
        <v>2448</v>
      </c>
      <c r="H340" s="10" t="s">
        <v>3301</v>
      </c>
      <c r="I340" s="10" t="s">
        <v>55</v>
      </c>
      <c r="J340" s="10" t="s">
        <v>2545</v>
      </c>
      <c r="K340" s="10" t="s">
        <v>2657</v>
      </c>
      <c r="L340" s="10" t="s">
        <v>42</v>
      </c>
    </row>
    <row r="341" ht="15.75" customHeight="1">
      <c r="A341" s="66">
        <v>45498.0</v>
      </c>
      <c r="B341" s="55" t="str">
        <f>HYPERLINK("https://jobright.ai/jobs/info/6686278719c3e9af76ad5c3c?utm_campaign=1062&amp;utm_source=sheet", "Apply")</f>
        <v>Apply</v>
      </c>
      <c r="C341" s="10" t="s">
        <v>2544</v>
      </c>
      <c r="D341" s="56" t="s">
        <v>1331</v>
      </c>
      <c r="E341" s="10" t="s">
        <v>45</v>
      </c>
      <c r="F341" s="10" t="s">
        <v>1332</v>
      </c>
      <c r="G341" s="10" t="s">
        <v>2448</v>
      </c>
      <c r="H341" s="10" t="s">
        <v>3263</v>
      </c>
      <c r="I341" s="10" t="s">
        <v>48</v>
      </c>
      <c r="J341" s="10" t="s">
        <v>2545</v>
      </c>
      <c r="K341" s="10" t="s">
        <v>3264</v>
      </c>
      <c r="L341" s="10" t="s">
        <v>42</v>
      </c>
    </row>
    <row r="342" ht="15.75" customHeight="1">
      <c r="A342" s="66">
        <v>45498.0</v>
      </c>
      <c r="B342" s="55" t="str">
        <f>HYPERLINK("https://jobright.ai/jobs/info/6686278719c3e9af76ad5ca3?utm_campaign=1062&amp;utm_source=sheet", "Apply")</f>
        <v>Apply</v>
      </c>
      <c r="C342" s="10" t="s">
        <v>2544</v>
      </c>
      <c r="D342" s="56" t="s">
        <v>1331</v>
      </c>
      <c r="E342" s="10" t="s">
        <v>45</v>
      </c>
      <c r="F342" s="10" t="s">
        <v>1332</v>
      </c>
      <c r="G342" s="10" t="s">
        <v>2448</v>
      </c>
      <c r="H342" s="10" t="s">
        <v>3302</v>
      </c>
      <c r="I342" s="10" t="s">
        <v>48</v>
      </c>
      <c r="J342" s="10" t="s">
        <v>2545</v>
      </c>
      <c r="K342" s="10" t="s">
        <v>3264</v>
      </c>
      <c r="L342" s="10" t="s">
        <v>42</v>
      </c>
    </row>
    <row r="343" ht="15.75" customHeight="1">
      <c r="A343" s="66">
        <v>45498.0</v>
      </c>
      <c r="B343" s="55" t="str">
        <f>HYPERLINK("https://jobright.ai/jobs/info/668bd4ea356510bc9cd0efee?utm_campaign=1062&amp;utm_source=sheet", "Apply")</f>
        <v>Apply</v>
      </c>
      <c r="C343" s="10" t="s">
        <v>2544</v>
      </c>
      <c r="D343" s="56" t="s">
        <v>1331</v>
      </c>
      <c r="E343" s="10" t="s">
        <v>45</v>
      </c>
      <c r="F343" s="10" t="s">
        <v>1332</v>
      </c>
      <c r="G343" s="10" t="s">
        <v>2448</v>
      </c>
      <c r="H343" s="10" t="s">
        <v>3256</v>
      </c>
      <c r="I343" s="10" t="s">
        <v>55</v>
      </c>
      <c r="J343" s="10" t="s">
        <v>2545</v>
      </c>
      <c r="K343" s="10" t="s">
        <v>3264</v>
      </c>
      <c r="L343" s="10" t="s">
        <v>42</v>
      </c>
    </row>
    <row r="344" ht="15.75" customHeight="1">
      <c r="A344" s="66">
        <v>45498.0</v>
      </c>
      <c r="B344" s="55" t="str">
        <f>HYPERLINK("https://jobright.ai/jobs/info/65ec6ee5f13ac00501c85293?utm_campaign=1062&amp;utm_source=sheet", "Apply")</f>
        <v>Apply</v>
      </c>
      <c r="C344" s="10" t="s">
        <v>3303</v>
      </c>
      <c r="D344" s="56" t="s">
        <v>2763</v>
      </c>
      <c r="E344" s="10" t="s">
        <v>45</v>
      </c>
      <c r="F344" s="10" t="s">
        <v>1465</v>
      </c>
      <c r="G344" s="10" t="s">
        <v>2437</v>
      </c>
      <c r="H344" s="10" t="s">
        <v>3304</v>
      </c>
      <c r="I344" s="10" t="s">
        <v>55</v>
      </c>
      <c r="K344" s="10" t="s">
        <v>3305</v>
      </c>
      <c r="L344" s="10" t="s">
        <v>42</v>
      </c>
    </row>
    <row r="345" ht="15.75" customHeight="1">
      <c r="A345" s="66">
        <v>45498.0</v>
      </c>
      <c r="B345" s="55" t="str">
        <f>HYPERLINK("https://jobright.ai/jobs/info/6686632ff5ea75266998432c?utm_campaign=1062&amp;utm_source=sheet", "Apply")</f>
        <v>Apply</v>
      </c>
      <c r="C345" s="10" t="s">
        <v>2544</v>
      </c>
      <c r="D345" s="56" t="s">
        <v>1331</v>
      </c>
      <c r="E345" s="10" t="s">
        <v>45</v>
      </c>
      <c r="F345" s="10" t="s">
        <v>1332</v>
      </c>
      <c r="G345" s="10" t="s">
        <v>2448</v>
      </c>
      <c r="H345" s="10" t="s">
        <v>3111</v>
      </c>
      <c r="I345" s="10" t="s">
        <v>48</v>
      </c>
      <c r="J345" s="10" t="s">
        <v>2545</v>
      </c>
      <c r="K345" s="10" t="s">
        <v>3264</v>
      </c>
      <c r="L345" s="10" t="s">
        <v>42</v>
      </c>
    </row>
    <row r="346" ht="15.75" customHeight="1">
      <c r="A346" s="66">
        <v>45498.0</v>
      </c>
      <c r="B346" s="55" t="str">
        <f>HYPERLINK("https://jobright.ai/jobs/info/668bd4ea356510bc9cd0efe1?utm_campaign=1062&amp;utm_source=sheet", "Apply")</f>
        <v>Apply</v>
      </c>
      <c r="C346" s="10" t="s">
        <v>2656</v>
      </c>
      <c r="D346" s="56" t="s">
        <v>1331</v>
      </c>
      <c r="E346" s="10" t="s">
        <v>45</v>
      </c>
      <c r="F346" s="10" t="s">
        <v>1332</v>
      </c>
      <c r="G346" s="10" t="s">
        <v>2448</v>
      </c>
      <c r="H346" s="10" t="s">
        <v>3306</v>
      </c>
      <c r="I346" s="10" t="s">
        <v>55</v>
      </c>
      <c r="J346" s="10" t="s">
        <v>2545</v>
      </c>
      <c r="K346" s="10" t="s">
        <v>2657</v>
      </c>
      <c r="L346" s="10" t="s">
        <v>42</v>
      </c>
    </row>
    <row r="347" ht="15.75" customHeight="1">
      <c r="A347" s="66">
        <v>45498.0</v>
      </c>
      <c r="B347" s="55" t="str">
        <f>HYPERLINK("https://jobright.ai/jobs/info/6686278719c3e9af76ad5c49?utm_campaign=1062&amp;utm_source=sheet", "Apply")</f>
        <v>Apply</v>
      </c>
      <c r="C347" s="10" t="s">
        <v>2544</v>
      </c>
      <c r="D347" s="56" t="s">
        <v>1331</v>
      </c>
      <c r="E347" s="10" t="s">
        <v>45</v>
      </c>
      <c r="F347" s="10" t="s">
        <v>1332</v>
      </c>
      <c r="G347" s="10" t="s">
        <v>2448</v>
      </c>
      <c r="H347" s="10" t="s">
        <v>3301</v>
      </c>
      <c r="I347" s="10" t="s">
        <v>48</v>
      </c>
      <c r="J347" s="10" t="s">
        <v>2545</v>
      </c>
      <c r="K347" s="10" t="s">
        <v>3264</v>
      </c>
      <c r="L347" s="10" t="s">
        <v>42</v>
      </c>
    </row>
    <row r="348" ht="15.75" customHeight="1">
      <c r="A348" s="66">
        <v>45498.0</v>
      </c>
      <c r="B348" s="55" t="str">
        <f>HYPERLINK("https://jobright.ai/jobs/info/6686632ff5ea75266998432b?utm_campaign=1062&amp;utm_source=sheet", "Apply")</f>
        <v>Apply</v>
      </c>
      <c r="C348" s="10" t="s">
        <v>2544</v>
      </c>
      <c r="D348" s="56" t="s">
        <v>1331</v>
      </c>
      <c r="E348" s="10" t="s">
        <v>45</v>
      </c>
      <c r="F348" s="10" t="s">
        <v>1332</v>
      </c>
      <c r="G348" s="10" t="s">
        <v>2448</v>
      </c>
      <c r="H348" s="10" t="s">
        <v>3307</v>
      </c>
      <c r="I348" s="10" t="s">
        <v>48</v>
      </c>
      <c r="J348" s="10" t="s">
        <v>2545</v>
      </c>
      <c r="K348" s="10" t="s">
        <v>3264</v>
      </c>
      <c r="L348" s="10" t="s">
        <v>42</v>
      </c>
    </row>
    <row r="349" ht="15.75" customHeight="1">
      <c r="A349" s="66">
        <v>45498.0</v>
      </c>
      <c r="B349" s="55" t="str">
        <f>HYPERLINK("https://jobright.ai/jobs/info/66863709c3a227946a5ec72a?utm_campaign=1062&amp;utm_source=sheet", "Apply")</f>
        <v>Apply</v>
      </c>
      <c r="C349" s="10" t="s">
        <v>2544</v>
      </c>
      <c r="D349" s="56" t="s">
        <v>1331</v>
      </c>
      <c r="E349" s="10" t="s">
        <v>45</v>
      </c>
      <c r="F349" s="10" t="s">
        <v>1332</v>
      </c>
      <c r="G349" s="10" t="s">
        <v>2448</v>
      </c>
      <c r="H349" s="10" t="s">
        <v>3272</v>
      </c>
      <c r="I349" s="10" t="s">
        <v>48</v>
      </c>
      <c r="J349" s="10" t="s">
        <v>2545</v>
      </c>
      <c r="K349" s="10" t="s">
        <v>3264</v>
      </c>
      <c r="L349" s="10" t="s">
        <v>42</v>
      </c>
    </row>
    <row r="350" ht="15.75" customHeight="1">
      <c r="A350" s="66">
        <v>45498.0</v>
      </c>
      <c r="B350" s="55" t="str">
        <f>HYPERLINK("https://jobright.ai/jobs/info/6686278719c3e9af76ad5c98?utm_campaign=1062&amp;utm_source=sheet", "Apply")</f>
        <v>Apply</v>
      </c>
      <c r="C350" s="10" t="s">
        <v>2544</v>
      </c>
      <c r="D350" s="56" t="s">
        <v>1331</v>
      </c>
      <c r="E350" s="10" t="s">
        <v>45</v>
      </c>
      <c r="F350" s="10" t="s">
        <v>1332</v>
      </c>
      <c r="G350" s="10" t="s">
        <v>2448</v>
      </c>
      <c r="H350" s="10" t="s">
        <v>3308</v>
      </c>
      <c r="I350" s="10" t="s">
        <v>48</v>
      </c>
      <c r="J350" s="10" t="s">
        <v>2545</v>
      </c>
      <c r="K350" s="10" t="s">
        <v>3264</v>
      </c>
      <c r="L350" s="10" t="s">
        <v>42</v>
      </c>
    </row>
    <row r="351" ht="15.75" customHeight="1">
      <c r="A351" s="66">
        <v>45498.0</v>
      </c>
      <c r="B351" s="55" t="str">
        <f>HYPERLINK("https://jobright.ai/jobs/info/66863c97ef6416e59abc459a?utm_campaign=1062&amp;utm_source=sheet", "Apply")</f>
        <v>Apply</v>
      </c>
      <c r="C351" s="10" t="s">
        <v>2544</v>
      </c>
      <c r="D351" s="56" t="s">
        <v>1331</v>
      </c>
      <c r="E351" s="10" t="s">
        <v>45</v>
      </c>
      <c r="F351" s="10" t="s">
        <v>1332</v>
      </c>
      <c r="G351" s="10" t="s">
        <v>2448</v>
      </c>
      <c r="H351" s="10" t="s">
        <v>3309</v>
      </c>
      <c r="I351" s="10" t="s">
        <v>48</v>
      </c>
      <c r="J351" s="10" t="s">
        <v>2545</v>
      </c>
      <c r="K351" s="10" t="s">
        <v>3264</v>
      </c>
      <c r="L351" s="10" t="s">
        <v>42</v>
      </c>
    </row>
    <row r="352" ht="15.75" customHeight="1">
      <c r="A352" s="66">
        <v>45498.0</v>
      </c>
      <c r="B352" s="55" t="str">
        <f>HYPERLINK("https://jobright.ai/jobs/info/6686278719c3e9af76ad5c34?utm_campaign=1062&amp;utm_source=sheet", "Apply")</f>
        <v>Apply</v>
      </c>
      <c r="C352" s="10" t="s">
        <v>2544</v>
      </c>
      <c r="D352" s="56" t="s">
        <v>1331</v>
      </c>
      <c r="E352" s="10" t="s">
        <v>45</v>
      </c>
      <c r="F352" s="10" t="s">
        <v>1332</v>
      </c>
      <c r="G352" s="10" t="s">
        <v>2448</v>
      </c>
      <c r="H352" s="10" t="s">
        <v>3310</v>
      </c>
      <c r="I352" s="10" t="s">
        <v>48</v>
      </c>
      <c r="J352" s="10" t="s">
        <v>2545</v>
      </c>
      <c r="K352" s="10" t="s">
        <v>3264</v>
      </c>
      <c r="L352" s="10" t="s">
        <v>42</v>
      </c>
    </row>
    <row r="353" ht="15.75" customHeight="1">
      <c r="A353" s="66">
        <v>45498.0</v>
      </c>
      <c r="B353" s="55" t="str">
        <f>HYPERLINK("https://jobright.ai/jobs/info/668e6a3293519db874d56f3b?utm_campaign=1062&amp;utm_source=sheet", "Apply")</f>
        <v>Apply</v>
      </c>
      <c r="C353" s="10" t="s">
        <v>2656</v>
      </c>
      <c r="D353" s="56" t="s">
        <v>1331</v>
      </c>
      <c r="E353" s="10" t="s">
        <v>45</v>
      </c>
      <c r="F353" s="10" t="s">
        <v>1332</v>
      </c>
      <c r="G353" s="10" t="s">
        <v>2448</v>
      </c>
      <c r="H353" s="10" t="s">
        <v>3300</v>
      </c>
      <c r="I353" s="10" t="s">
        <v>55</v>
      </c>
      <c r="J353" s="10" t="s">
        <v>2545</v>
      </c>
      <c r="K353" s="10" t="s">
        <v>2657</v>
      </c>
      <c r="L353" s="10" t="s">
        <v>42</v>
      </c>
    </row>
    <row r="354" ht="15.75" customHeight="1">
      <c r="A354" s="66">
        <v>45498.0</v>
      </c>
      <c r="B354" s="55" t="str">
        <f>HYPERLINK("https://jobright.ai/jobs/info/668eab896a54d7e82ea09a82?utm_campaign=1062&amp;utm_source=sheet", "Apply")</f>
        <v>Apply</v>
      </c>
      <c r="C354" s="10" t="s">
        <v>2656</v>
      </c>
      <c r="D354" s="56" t="s">
        <v>1331</v>
      </c>
      <c r="E354" s="10" t="s">
        <v>45</v>
      </c>
      <c r="F354" s="10" t="s">
        <v>1332</v>
      </c>
      <c r="G354" s="10" t="s">
        <v>2448</v>
      </c>
      <c r="H354" s="10" t="s">
        <v>3311</v>
      </c>
      <c r="I354" s="10" t="s">
        <v>55</v>
      </c>
      <c r="J354" s="10" t="s">
        <v>2545</v>
      </c>
      <c r="K354" s="10" t="s">
        <v>2657</v>
      </c>
      <c r="L354" s="10" t="s">
        <v>42</v>
      </c>
    </row>
    <row r="355" ht="15.75" customHeight="1">
      <c r="A355" s="66">
        <v>45498.0</v>
      </c>
      <c r="B355" s="55" t="str">
        <f>HYPERLINK("https://jobright.ai/jobs/info/66698fa9a16615009c367ea3?utm_campaign=1062&amp;utm_source=sheet", "Apply")</f>
        <v>Apply</v>
      </c>
      <c r="C355" s="10" t="s">
        <v>3283</v>
      </c>
      <c r="D355" s="56" t="s">
        <v>2721</v>
      </c>
      <c r="E355" s="10" t="s">
        <v>45</v>
      </c>
      <c r="F355" s="10" t="s">
        <v>2722</v>
      </c>
      <c r="G355" s="10" t="s">
        <v>2502</v>
      </c>
      <c r="H355" s="10" t="s">
        <v>313</v>
      </c>
      <c r="I355" s="10" t="s">
        <v>55</v>
      </c>
      <c r="J355" s="10" t="s">
        <v>3312</v>
      </c>
      <c r="K355" s="10" t="s">
        <v>3313</v>
      </c>
      <c r="L355" s="10" t="s">
        <v>42</v>
      </c>
    </row>
    <row r="356" ht="15.75" customHeight="1">
      <c r="A356" s="66">
        <v>45498.0</v>
      </c>
      <c r="B356" s="55" t="str">
        <f>HYPERLINK("https://jobright.ai/jobs/info/66862c10323f5e12beea4ecb?utm_campaign=1062&amp;utm_source=sheet", "Apply")</f>
        <v>Apply</v>
      </c>
      <c r="C356" s="10" t="s">
        <v>2544</v>
      </c>
      <c r="D356" s="56" t="s">
        <v>1331</v>
      </c>
      <c r="E356" s="10" t="s">
        <v>45</v>
      </c>
      <c r="F356" s="10" t="s">
        <v>1332</v>
      </c>
      <c r="G356" s="10" t="s">
        <v>2448</v>
      </c>
      <c r="H356" s="10" t="s">
        <v>3314</v>
      </c>
      <c r="I356" s="10" t="s">
        <v>48</v>
      </c>
      <c r="J356" s="10" t="s">
        <v>2545</v>
      </c>
      <c r="K356" s="10" t="s">
        <v>3264</v>
      </c>
      <c r="L356" s="10" t="s">
        <v>42</v>
      </c>
    </row>
    <row r="357" ht="15.75" customHeight="1">
      <c r="A357" s="66">
        <v>45498.0</v>
      </c>
      <c r="B357" s="55" t="str">
        <f>HYPERLINK("https://jobright.ai/jobs/info/6677c2022b6ed5133f4437e8?utm_campaign=1062&amp;utm_source=sheet", "Apply")</f>
        <v>Apply</v>
      </c>
      <c r="C357" s="10" t="s">
        <v>3315</v>
      </c>
      <c r="D357" s="56" t="s">
        <v>3316</v>
      </c>
      <c r="E357" s="10" t="s">
        <v>45</v>
      </c>
      <c r="F357" s="10" t="s">
        <v>1790</v>
      </c>
      <c r="G357" s="10" t="s">
        <v>2579</v>
      </c>
      <c r="H357" s="10" t="s">
        <v>3317</v>
      </c>
      <c r="I357" s="10" t="s">
        <v>55</v>
      </c>
      <c r="J357" s="10" t="s">
        <v>3318</v>
      </c>
      <c r="K357" s="10" t="s">
        <v>3319</v>
      </c>
      <c r="L357" s="10" t="s">
        <v>42</v>
      </c>
    </row>
    <row r="358" ht="15.75" customHeight="1">
      <c r="A358" s="66">
        <v>45498.0</v>
      </c>
      <c r="B358" s="55" t="str">
        <f>HYPERLINK("https://jobright.ai/jobs/info/668a7809dfbe564b9b90489e?utm_campaign=1062&amp;utm_source=sheet", "Apply")</f>
        <v>Apply</v>
      </c>
      <c r="C358" s="10" t="s">
        <v>2656</v>
      </c>
      <c r="D358" s="56" t="s">
        <v>1331</v>
      </c>
      <c r="E358" s="10" t="s">
        <v>45</v>
      </c>
      <c r="F358" s="10" t="s">
        <v>1332</v>
      </c>
      <c r="G358" s="10" t="s">
        <v>2448</v>
      </c>
      <c r="H358" s="10" t="s">
        <v>3320</v>
      </c>
      <c r="I358" s="10" t="s">
        <v>55</v>
      </c>
      <c r="J358" s="10" t="s">
        <v>2545</v>
      </c>
      <c r="K358" s="10" t="s">
        <v>2657</v>
      </c>
      <c r="L358" s="10" t="s">
        <v>42</v>
      </c>
    </row>
    <row r="359" ht="15.75" customHeight="1">
      <c r="A359" s="66">
        <v>45498.0</v>
      </c>
      <c r="B359" s="55" t="str">
        <f>HYPERLINK("https://jobright.ai/jobs/info/6675d82b28c07253dad69f22?utm_campaign=1062&amp;utm_source=sheet", "Apply")</f>
        <v>Apply</v>
      </c>
      <c r="C359" s="10" t="s">
        <v>3321</v>
      </c>
      <c r="D359" s="56" t="s">
        <v>3322</v>
      </c>
      <c r="E359" s="10" t="s">
        <v>45</v>
      </c>
      <c r="F359" s="10" t="s">
        <v>3323</v>
      </c>
      <c r="G359" s="10" t="s">
        <v>2484</v>
      </c>
      <c r="H359" s="10" t="s">
        <v>3324</v>
      </c>
      <c r="I359" s="10" t="s">
        <v>55</v>
      </c>
      <c r="K359" s="10" t="s">
        <v>3325</v>
      </c>
      <c r="L359" s="10" t="s">
        <v>42</v>
      </c>
    </row>
    <row r="360" ht="15.75" customHeight="1">
      <c r="A360" s="66">
        <v>45498.0</v>
      </c>
      <c r="B360" s="55" t="str">
        <f>HYPERLINK("https://jobright.ai/jobs/info/668e76d97001c300f1fbb4c6?utm_campaign=1062&amp;utm_source=sheet", "Apply")</f>
        <v>Apply</v>
      </c>
      <c r="C360" s="10" t="s">
        <v>2656</v>
      </c>
      <c r="D360" s="56" t="s">
        <v>1331</v>
      </c>
      <c r="E360" s="10" t="s">
        <v>45</v>
      </c>
      <c r="F360" s="10" t="s">
        <v>1332</v>
      </c>
      <c r="G360" s="10" t="s">
        <v>2448</v>
      </c>
      <c r="H360" s="10" t="s">
        <v>3326</v>
      </c>
      <c r="I360" s="10" t="s">
        <v>55</v>
      </c>
      <c r="J360" s="10" t="s">
        <v>2545</v>
      </c>
      <c r="K360" s="10" t="s">
        <v>2657</v>
      </c>
      <c r="L360" s="10" t="s">
        <v>42</v>
      </c>
    </row>
    <row r="361" ht="15.75" customHeight="1">
      <c r="A361" s="66">
        <v>45498.0</v>
      </c>
      <c r="B361" s="55" t="str">
        <f>HYPERLINK("https://jobright.ai/jobs/info/668d296ee9464a99e8cac814?utm_campaign=1062&amp;utm_source=sheet", "Apply")</f>
        <v>Apply</v>
      </c>
      <c r="C361" s="10" t="s">
        <v>2544</v>
      </c>
      <c r="D361" s="56" t="s">
        <v>1331</v>
      </c>
      <c r="E361" s="10" t="s">
        <v>45</v>
      </c>
      <c r="F361" s="10" t="s">
        <v>1332</v>
      </c>
      <c r="G361" s="10" t="s">
        <v>2448</v>
      </c>
      <c r="H361" s="10" t="s">
        <v>3327</v>
      </c>
      <c r="I361" s="10" t="s">
        <v>55</v>
      </c>
      <c r="J361" s="10" t="s">
        <v>2545</v>
      </c>
      <c r="K361" s="10" t="s">
        <v>3264</v>
      </c>
      <c r="L361" s="10" t="s">
        <v>42</v>
      </c>
    </row>
    <row r="362" ht="15.75" customHeight="1">
      <c r="A362" s="66">
        <v>45498.0</v>
      </c>
      <c r="B362" s="55" t="str">
        <f>HYPERLINK("https://jobright.ai/jobs/info/66862c10323f5e12beea4ec2?utm_campaign=1062&amp;utm_source=sheet", "Apply")</f>
        <v>Apply</v>
      </c>
      <c r="C362" s="10" t="s">
        <v>2544</v>
      </c>
      <c r="D362" s="56" t="s">
        <v>1331</v>
      </c>
      <c r="E362" s="10" t="s">
        <v>45</v>
      </c>
      <c r="F362" s="10" t="s">
        <v>1332</v>
      </c>
      <c r="G362" s="10" t="s">
        <v>2448</v>
      </c>
      <c r="H362" s="10" t="s">
        <v>3306</v>
      </c>
      <c r="I362" s="10" t="s">
        <v>48</v>
      </c>
      <c r="J362" s="10" t="s">
        <v>2545</v>
      </c>
      <c r="K362" s="10" t="s">
        <v>3264</v>
      </c>
      <c r="L362" s="10" t="s">
        <v>42</v>
      </c>
    </row>
    <row r="363" ht="15.75" customHeight="1">
      <c r="A363" s="66">
        <v>45498.0</v>
      </c>
      <c r="B363" s="55" t="str">
        <f>HYPERLINK("https://jobright.ai/jobs/info/668ff3a3e6aac4a147461af5?utm_campaign=1062&amp;utm_source=sheet", "Apply")</f>
        <v>Apply</v>
      </c>
      <c r="C363" s="10" t="s">
        <v>2656</v>
      </c>
      <c r="D363" s="56" t="s">
        <v>1331</v>
      </c>
      <c r="E363" s="10" t="s">
        <v>45</v>
      </c>
      <c r="F363" s="10" t="s">
        <v>1332</v>
      </c>
      <c r="G363" s="10" t="s">
        <v>2448</v>
      </c>
      <c r="H363" s="10" t="s">
        <v>3269</v>
      </c>
      <c r="I363" s="10" t="s">
        <v>55</v>
      </c>
      <c r="J363" s="10" t="s">
        <v>2545</v>
      </c>
      <c r="K363" s="10" t="s">
        <v>2657</v>
      </c>
      <c r="L363" s="10" t="s">
        <v>42</v>
      </c>
    </row>
    <row r="364" ht="15.75" customHeight="1">
      <c r="A364" s="66">
        <v>45498.0</v>
      </c>
      <c r="B364" s="55" t="str">
        <f>HYPERLINK("https://jobright.ai/jobs/info/6685e49c07f6cebc7f82643b?utm_campaign=1062&amp;utm_source=sheet", "Apply")</f>
        <v>Apply</v>
      </c>
      <c r="C364" s="10" t="s">
        <v>3328</v>
      </c>
      <c r="D364" s="56" t="s">
        <v>3329</v>
      </c>
      <c r="E364" s="10" t="s">
        <v>45</v>
      </c>
      <c r="F364" s="10" t="s">
        <v>3330</v>
      </c>
      <c r="G364" s="10" t="s">
        <v>2437</v>
      </c>
      <c r="H364" s="10" t="s">
        <v>3331</v>
      </c>
      <c r="I364" s="10" t="s">
        <v>55</v>
      </c>
      <c r="J364" s="10" t="s">
        <v>3332</v>
      </c>
      <c r="K364" s="10" t="s">
        <v>3333</v>
      </c>
      <c r="L364" s="10" t="s">
        <v>42</v>
      </c>
    </row>
    <row r="365" ht="15.75" customHeight="1">
      <c r="A365" s="66">
        <v>45498.0</v>
      </c>
      <c r="B365" s="55" t="str">
        <f>HYPERLINK("https://jobright.ai/jobs/info/6686030bd5cea498aec2943f?utm_campaign=1062&amp;utm_source=sheet", "Apply")</f>
        <v>Apply</v>
      </c>
      <c r="C365" s="10" t="s">
        <v>2681</v>
      </c>
      <c r="D365" s="56" t="s">
        <v>2682</v>
      </c>
      <c r="E365" s="10" t="s">
        <v>45</v>
      </c>
      <c r="F365" s="10" t="s">
        <v>1357</v>
      </c>
      <c r="G365" s="10" t="s">
        <v>2589</v>
      </c>
      <c r="H365" s="10" t="s">
        <v>3334</v>
      </c>
      <c r="I365" s="10" t="s">
        <v>55</v>
      </c>
      <c r="J365" s="10" t="s">
        <v>2683</v>
      </c>
      <c r="K365" s="10" t="s">
        <v>2684</v>
      </c>
      <c r="L365" s="10" t="s">
        <v>42</v>
      </c>
    </row>
    <row r="366" ht="15.75" customHeight="1">
      <c r="A366" s="66">
        <v>45498.0</v>
      </c>
      <c r="B366" s="55" t="str">
        <f>HYPERLINK("https://jobright.ai/jobs/info/668fdb9d22cfeb6ebf47702c?utm_campaign=1062&amp;utm_source=sheet", "Apply")</f>
        <v>Apply</v>
      </c>
      <c r="C366" s="10" t="s">
        <v>2656</v>
      </c>
      <c r="D366" s="56" t="s">
        <v>1331</v>
      </c>
      <c r="E366" s="10" t="s">
        <v>45</v>
      </c>
      <c r="F366" s="10" t="s">
        <v>1332</v>
      </c>
      <c r="G366" s="10" t="s">
        <v>2448</v>
      </c>
      <c r="H366" s="10" t="s">
        <v>3314</v>
      </c>
      <c r="I366" s="10" t="s">
        <v>55</v>
      </c>
      <c r="J366" s="10" t="s">
        <v>2545</v>
      </c>
      <c r="K366" s="10" t="s">
        <v>2657</v>
      </c>
      <c r="L366" s="10" t="s">
        <v>42</v>
      </c>
    </row>
    <row r="367" ht="15.75" customHeight="1">
      <c r="A367" s="66">
        <v>45498.0</v>
      </c>
      <c r="B367" s="55" t="str">
        <f>HYPERLINK("https://jobright.ai/jobs/info/66863c97ef6416e59abc459c?utm_campaign=1062&amp;utm_source=sheet", "Apply")</f>
        <v>Apply</v>
      </c>
      <c r="C367" s="10" t="s">
        <v>2544</v>
      </c>
      <c r="D367" s="56" t="s">
        <v>1331</v>
      </c>
      <c r="E367" s="10" t="s">
        <v>45</v>
      </c>
      <c r="F367" s="10" t="s">
        <v>1332</v>
      </c>
      <c r="G367" s="10" t="s">
        <v>2448</v>
      </c>
      <c r="H367" s="10" t="s">
        <v>3267</v>
      </c>
      <c r="I367" s="10" t="s">
        <v>48</v>
      </c>
      <c r="J367" s="10" t="s">
        <v>2545</v>
      </c>
      <c r="K367" s="10" t="s">
        <v>3264</v>
      </c>
      <c r="L367" s="10" t="s">
        <v>42</v>
      </c>
    </row>
    <row r="368" ht="15.75" customHeight="1">
      <c r="A368" s="66">
        <v>45498.0</v>
      </c>
      <c r="B368" s="55" t="str">
        <f>HYPERLINK("https://jobright.ai/jobs/info/6686278719c3e9af76ad5c44?utm_campaign=1062&amp;utm_source=sheet", "Apply")</f>
        <v>Apply</v>
      </c>
      <c r="C368" s="10" t="s">
        <v>2544</v>
      </c>
      <c r="D368" s="56" t="s">
        <v>1331</v>
      </c>
      <c r="E368" s="10" t="s">
        <v>45</v>
      </c>
      <c r="F368" s="10" t="s">
        <v>1332</v>
      </c>
      <c r="G368" s="10" t="s">
        <v>2448</v>
      </c>
      <c r="H368" s="10" t="s">
        <v>3320</v>
      </c>
      <c r="I368" s="10" t="s">
        <v>48</v>
      </c>
      <c r="J368" s="10" t="s">
        <v>2545</v>
      </c>
      <c r="K368" s="10" t="s">
        <v>3264</v>
      </c>
      <c r="L368" s="10" t="s">
        <v>42</v>
      </c>
    </row>
    <row r="369" ht="15.75" customHeight="1">
      <c r="A369" s="66">
        <v>45498.0</v>
      </c>
      <c r="B369" s="55" t="str">
        <f>HYPERLINK("https://jobright.ai/jobs/info/66862c10323f5e12beea4eca?utm_campaign=1062&amp;utm_source=sheet", "Apply")</f>
        <v>Apply</v>
      </c>
      <c r="C369" s="10" t="s">
        <v>2544</v>
      </c>
      <c r="D369" s="56" t="s">
        <v>1331</v>
      </c>
      <c r="E369" s="10" t="s">
        <v>45</v>
      </c>
      <c r="F369" s="10" t="s">
        <v>1332</v>
      </c>
      <c r="G369" s="10" t="s">
        <v>2448</v>
      </c>
      <c r="H369" s="10" t="s">
        <v>3335</v>
      </c>
      <c r="I369" s="10" t="s">
        <v>48</v>
      </c>
      <c r="J369" s="10" t="s">
        <v>2545</v>
      </c>
      <c r="K369" s="10" t="s">
        <v>3264</v>
      </c>
      <c r="L369" s="10" t="s">
        <v>42</v>
      </c>
    </row>
    <row r="370" ht="15.75" customHeight="1">
      <c r="A370" s="66">
        <v>45498.0</v>
      </c>
      <c r="B370" s="55" t="str">
        <f>HYPERLINK("https://jobright.ai/jobs/info/6604cc4bdbc0741071621026?utm_campaign=1062&amp;utm_source=sheet", "Apply")</f>
        <v>Apply</v>
      </c>
      <c r="C370" s="10" t="s">
        <v>3336</v>
      </c>
      <c r="D370" s="56" t="s">
        <v>3337</v>
      </c>
      <c r="E370" s="10" t="s">
        <v>209</v>
      </c>
      <c r="F370" s="10" t="s">
        <v>2828</v>
      </c>
      <c r="G370" s="10" t="s">
        <v>2464</v>
      </c>
      <c r="H370" s="10" t="s">
        <v>3338</v>
      </c>
      <c r="I370" s="10" t="s">
        <v>55</v>
      </c>
      <c r="J370" s="10" t="s">
        <v>3339</v>
      </c>
      <c r="K370" s="10" t="s">
        <v>3340</v>
      </c>
      <c r="L370" s="10" t="s">
        <v>42</v>
      </c>
    </row>
    <row r="371" ht="15.75" customHeight="1">
      <c r="A371" s="66">
        <v>45498.0</v>
      </c>
      <c r="B371" s="55" t="str">
        <f>HYPERLINK("https://jobright.ai/jobs/info/668e8a8306f3000f3f212725?utm_campaign=1062&amp;utm_source=sheet", "Apply")</f>
        <v>Apply</v>
      </c>
      <c r="C371" s="10" t="s">
        <v>2656</v>
      </c>
      <c r="D371" s="56" t="s">
        <v>1331</v>
      </c>
      <c r="E371" s="10" t="s">
        <v>45</v>
      </c>
      <c r="F371" s="10" t="s">
        <v>1332</v>
      </c>
      <c r="G371" s="10" t="s">
        <v>2448</v>
      </c>
      <c r="H371" s="10" t="s">
        <v>2972</v>
      </c>
      <c r="I371" s="10" t="s">
        <v>55</v>
      </c>
      <c r="J371" s="10" t="s">
        <v>2545</v>
      </c>
      <c r="K371" s="10" t="s">
        <v>2657</v>
      </c>
      <c r="L371" s="10" t="s">
        <v>42</v>
      </c>
    </row>
    <row r="372" ht="15.75" customHeight="1">
      <c r="A372" s="66">
        <v>45498.0</v>
      </c>
      <c r="B372" s="55" t="str">
        <f>HYPERLINK("https://jobright.ai/jobs/info/6686278719c3e9af76ad5c45?utm_campaign=1062&amp;utm_source=sheet", "Apply")</f>
        <v>Apply</v>
      </c>
      <c r="C372" s="10" t="s">
        <v>2544</v>
      </c>
      <c r="D372" s="56" t="s">
        <v>1331</v>
      </c>
      <c r="E372" s="10" t="s">
        <v>45</v>
      </c>
      <c r="F372" s="10" t="s">
        <v>1332</v>
      </c>
      <c r="G372" s="10" t="s">
        <v>2448</v>
      </c>
      <c r="H372" s="10" t="s">
        <v>3341</v>
      </c>
      <c r="I372" s="10" t="s">
        <v>48</v>
      </c>
      <c r="J372" s="10" t="s">
        <v>2545</v>
      </c>
      <c r="K372" s="10" t="s">
        <v>3264</v>
      </c>
      <c r="L372" s="10" t="s">
        <v>42</v>
      </c>
    </row>
    <row r="373" ht="15.75" customHeight="1">
      <c r="A373" s="66">
        <v>45498.0</v>
      </c>
      <c r="B373" s="55" t="str">
        <f>HYPERLINK("https://jobright.ai/jobs/info/668bb6ac17dee33772924fe2?utm_campaign=1062&amp;utm_source=sheet", "Apply")</f>
        <v>Apply</v>
      </c>
      <c r="C373" s="10" t="s">
        <v>3342</v>
      </c>
      <c r="D373" s="56" t="s">
        <v>243</v>
      </c>
      <c r="E373" s="10" t="s">
        <v>45</v>
      </c>
      <c r="F373" s="10" t="s">
        <v>244</v>
      </c>
      <c r="G373" s="10" t="s">
        <v>2484</v>
      </c>
      <c r="H373" s="10" t="s">
        <v>245</v>
      </c>
      <c r="I373" s="10" t="s">
        <v>48</v>
      </c>
      <c r="K373" s="10" t="s">
        <v>3343</v>
      </c>
      <c r="L373" s="10" t="s">
        <v>42</v>
      </c>
    </row>
    <row r="374" ht="15.75" customHeight="1">
      <c r="A374" s="66">
        <v>45498.0</v>
      </c>
      <c r="B374" s="55" t="str">
        <f>HYPERLINK("https://jobright.ai/jobs/info/6685a4128e86a0cdfea61e77?utm_campaign=1062&amp;utm_source=sheet", "Apply")</f>
        <v>Apply</v>
      </c>
      <c r="C374" s="10" t="s">
        <v>3344</v>
      </c>
      <c r="D374" s="56" t="s">
        <v>191</v>
      </c>
      <c r="E374" s="10" t="s">
        <v>65</v>
      </c>
      <c r="F374" s="10" t="s">
        <v>192</v>
      </c>
      <c r="G374" s="10" t="s">
        <v>2448</v>
      </c>
      <c r="H374" s="10" t="s">
        <v>193</v>
      </c>
      <c r="I374" s="10" t="s">
        <v>55</v>
      </c>
      <c r="K374" s="10" t="s">
        <v>3345</v>
      </c>
      <c r="L374" s="10" t="s">
        <v>42</v>
      </c>
    </row>
    <row r="375" ht="15.75" customHeight="1">
      <c r="A375" s="66">
        <v>45498.0</v>
      </c>
      <c r="B375" s="55" t="str">
        <f>HYPERLINK("https://jobright.ai/jobs/info/66862c10323f5e12beea4eb3?utm_campaign=1062&amp;utm_source=sheet", "Apply")</f>
        <v>Apply</v>
      </c>
      <c r="C375" s="10" t="s">
        <v>2544</v>
      </c>
      <c r="D375" s="56" t="s">
        <v>1331</v>
      </c>
      <c r="E375" s="10" t="s">
        <v>45</v>
      </c>
      <c r="F375" s="10" t="s">
        <v>1332</v>
      </c>
      <c r="G375" s="10" t="s">
        <v>2448</v>
      </c>
      <c r="H375" s="10" t="s">
        <v>520</v>
      </c>
      <c r="I375" s="10" t="s">
        <v>48</v>
      </c>
      <c r="J375" s="10" t="s">
        <v>2545</v>
      </c>
      <c r="K375" s="10" t="s">
        <v>3264</v>
      </c>
      <c r="L375" s="10" t="s">
        <v>42</v>
      </c>
    </row>
    <row r="376" ht="15.75" customHeight="1">
      <c r="A376" s="66">
        <v>45498.0</v>
      </c>
      <c r="B376" s="55" t="str">
        <f>HYPERLINK("https://jobright.ai/jobs/info/6675e1c9e95c1a0a225b91a8?utm_campaign=1062&amp;utm_source=sheet", "Apply")</f>
        <v>Apply</v>
      </c>
      <c r="C376" s="10" t="s">
        <v>3346</v>
      </c>
      <c r="D376" s="56" t="s">
        <v>2810</v>
      </c>
      <c r="E376" s="10" t="s">
        <v>209</v>
      </c>
      <c r="F376" s="10" t="s">
        <v>2811</v>
      </c>
      <c r="G376" s="10" t="s">
        <v>2448</v>
      </c>
      <c r="H376" s="10" t="s">
        <v>3347</v>
      </c>
      <c r="I376" s="10" t="s">
        <v>55</v>
      </c>
      <c r="J376" s="10" t="s">
        <v>1189</v>
      </c>
      <c r="K376" s="10" t="s">
        <v>3348</v>
      </c>
      <c r="L376" s="10" t="s">
        <v>42</v>
      </c>
    </row>
    <row r="377" ht="15.75" customHeight="1">
      <c r="A377" s="66">
        <v>45498.0</v>
      </c>
      <c r="B377" s="55" t="str">
        <f>HYPERLINK("https://jobright.ai/jobs/info/668927ad121fe2a99ae596b9?utm_campaign=1062&amp;utm_source=sheet", "Apply")</f>
        <v>Apply</v>
      </c>
      <c r="C377" s="10" t="s">
        <v>2656</v>
      </c>
      <c r="D377" s="56" t="s">
        <v>1331</v>
      </c>
      <c r="E377" s="10" t="s">
        <v>45</v>
      </c>
      <c r="F377" s="10" t="s">
        <v>1332</v>
      </c>
      <c r="G377" s="10" t="s">
        <v>2448</v>
      </c>
      <c r="H377" s="10" t="s">
        <v>3308</v>
      </c>
      <c r="I377" s="10" t="s">
        <v>55</v>
      </c>
      <c r="J377" s="10" t="s">
        <v>2545</v>
      </c>
      <c r="K377" s="10" t="s">
        <v>2657</v>
      </c>
      <c r="L377" s="10" t="s">
        <v>42</v>
      </c>
    </row>
    <row r="378" ht="15.75" customHeight="1">
      <c r="A378" s="66">
        <v>45498.0</v>
      </c>
      <c r="B378" s="55" t="str">
        <f>HYPERLINK("https://jobright.ai/jobs/info/668ff9e30f79b533b8729c9b?utm_campaign=1062&amp;utm_source=sheet", "Apply")</f>
        <v>Apply</v>
      </c>
      <c r="C378" s="10" t="s">
        <v>2656</v>
      </c>
      <c r="D378" s="56" t="s">
        <v>1331</v>
      </c>
      <c r="E378" s="10" t="s">
        <v>45</v>
      </c>
      <c r="F378" s="10" t="s">
        <v>1332</v>
      </c>
      <c r="G378" s="10" t="s">
        <v>2448</v>
      </c>
      <c r="H378" s="10" t="s">
        <v>3335</v>
      </c>
      <c r="I378" s="10" t="s">
        <v>55</v>
      </c>
      <c r="J378" s="10" t="s">
        <v>2545</v>
      </c>
      <c r="K378" s="10" t="s">
        <v>2657</v>
      </c>
      <c r="L378" s="10" t="s">
        <v>42</v>
      </c>
    </row>
    <row r="379" ht="15.75" customHeight="1">
      <c r="A379" s="66">
        <v>45498.0</v>
      </c>
      <c r="B379" s="55" t="str">
        <f>HYPERLINK("https://jobright.ai/jobs/info/6685279e95dbf55927a5f4c0?utm_campaign=1062&amp;utm_source=sheet", "Apply")</f>
        <v>Apply</v>
      </c>
      <c r="C379" s="10" t="s">
        <v>3349</v>
      </c>
      <c r="D379" s="56" t="s">
        <v>3350</v>
      </c>
      <c r="E379" s="10" t="s">
        <v>65</v>
      </c>
      <c r="F379" s="10" t="s">
        <v>3351</v>
      </c>
      <c r="G379" s="10" t="s">
        <v>2448</v>
      </c>
      <c r="H379" s="10" t="s">
        <v>3352</v>
      </c>
      <c r="I379" s="10" t="s">
        <v>55</v>
      </c>
      <c r="K379" s="10" t="s">
        <v>3353</v>
      </c>
      <c r="L379" s="10" t="s">
        <v>42</v>
      </c>
    </row>
    <row r="380" ht="15.75" customHeight="1">
      <c r="A380" s="66">
        <v>45498.0</v>
      </c>
      <c r="B380" s="55" t="str">
        <f>HYPERLINK("https://jobright.ai/jobs/info/6686030bd5cea498aec2943e?utm_campaign=1062&amp;utm_source=sheet", "Apply")</f>
        <v>Apply</v>
      </c>
      <c r="C380" s="10" t="s">
        <v>3354</v>
      </c>
      <c r="D380" s="56" t="s">
        <v>3355</v>
      </c>
      <c r="E380" s="10">
        <v>1079.0</v>
      </c>
      <c r="G380" s="10" t="s">
        <v>2464</v>
      </c>
      <c r="H380" s="10" t="s">
        <v>131</v>
      </c>
      <c r="I380" s="10" t="s">
        <v>55</v>
      </c>
      <c r="K380" s="10" t="s">
        <v>3356</v>
      </c>
      <c r="L380" s="10" t="s">
        <v>42</v>
      </c>
    </row>
    <row r="381" ht="15.75" customHeight="1">
      <c r="A381" s="66">
        <v>45498.0</v>
      </c>
      <c r="B381" s="55" t="str">
        <f>HYPERLINK("https://jobright.ai/jobs/info/668fdb9d22cfeb6ebf47704d?utm_campaign=1062&amp;utm_source=sheet", "Apply")</f>
        <v>Apply</v>
      </c>
      <c r="C381" s="10" t="s">
        <v>2656</v>
      </c>
      <c r="D381" s="56" t="s">
        <v>1331</v>
      </c>
      <c r="E381" s="10" t="s">
        <v>45</v>
      </c>
      <c r="F381" s="10" t="s">
        <v>1332</v>
      </c>
      <c r="G381" s="10" t="s">
        <v>2448</v>
      </c>
      <c r="H381" s="10" t="s">
        <v>3279</v>
      </c>
      <c r="I381" s="10" t="s">
        <v>55</v>
      </c>
      <c r="J381" s="10" t="s">
        <v>2545</v>
      </c>
      <c r="K381" s="10" t="s">
        <v>2657</v>
      </c>
      <c r="L381" s="10" t="s">
        <v>42</v>
      </c>
    </row>
    <row r="382" ht="15.75" customHeight="1">
      <c r="A382" s="66">
        <v>45498.0</v>
      </c>
      <c r="B382" s="55" t="str">
        <f>HYPERLINK("https://jobright.ai/jobs/info/6686823b60fc882479d6bfc0?utm_campaign=1062&amp;utm_source=sheet", "Apply")</f>
        <v>Apply</v>
      </c>
      <c r="C382" s="10" t="s">
        <v>2544</v>
      </c>
      <c r="D382" s="56" t="s">
        <v>1331</v>
      </c>
      <c r="E382" s="10" t="s">
        <v>45</v>
      </c>
      <c r="F382" s="10" t="s">
        <v>1332</v>
      </c>
      <c r="G382" s="10" t="s">
        <v>2448</v>
      </c>
      <c r="H382" s="10" t="s">
        <v>3286</v>
      </c>
      <c r="I382" s="10" t="s">
        <v>48</v>
      </c>
      <c r="J382" s="10" t="s">
        <v>2545</v>
      </c>
      <c r="K382" s="10" t="s">
        <v>3264</v>
      </c>
      <c r="L382" s="10" t="s">
        <v>42</v>
      </c>
    </row>
    <row r="383" ht="15.75" customHeight="1">
      <c r="A383" s="66">
        <v>45498.0</v>
      </c>
      <c r="B383" s="55" t="str">
        <f>HYPERLINK("https://jobright.ai/jobs/info/6697c9a49d83874e9cdaf5f3?utm_campaign=1062&amp;utm_source=sheet", "Apply")</f>
        <v>Apply</v>
      </c>
      <c r="C383" s="10" t="s">
        <v>3357</v>
      </c>
      <c r="D383" s="56" t="s">
        <v>3358</v>
      </c>
      <c r="E383" s="10" t="s">
        <v>65</v>
      </c>
      <c r="F383" s="10" t="s">
        <v>3359</v>
      </c>
      <c r="G383" s="10" t="s">
        <v>2448</v>
      </c>
      <c r="H383" s="10" t="s">
        <v>3360</v>
      </c>
      <c r="I383" s="10" t="s">
        <v>55</v>
      </c>
      <c r="J383" s="10" t="s">
        <v>3361</v>
      </c>
      <c r="K383" s="10" t="s">
        <v>3362</v>
      </c>
      <c r="L383" s="10" t="s">
        <v>42</v>
      </c>
    </row>
    <row r="384" ht="15.75" customHeight="1">
      <c r="A384" s="66">
        <v>45498.0</v>
      </c>
      <c r="B384" s="55" t="str">
        <f>HYPERLINK("https://jobright.ai/jobs/info/668655f0649becfa71f8d928?utm_campaign=1062&amp;utm_source=sheet", "Apply")</f>
        <v>Apply</v>
      </c>
      <c r="C384" s="10" t="s">
        <v>3363</v>
      </c>
      <c r="D384" s="56" t="s">
        <v>3364</v>
      </c>
      <c r="E384" s="10" t="s">
        <v>45</v>
      </c>
      <c r="F384" s="10" t="s">
        <v>1274</v>
      </c>
      <c r="G384" s="10" t="s">
        <v>2470</v>
      </c>
      <c r="H384" s="10" t="s">
        <v>863</v>
      </c>
      <c r="I384" s="10" t="s">
        <v>55</v>
      </c>
      <c r="K384" s="10" t="s">
        <v>3365</v>
      </c>
      <c r="L384" s="10" t="s">
        <v>42</v>
      </c>
    </row>
    <row r="385" ht="15.75" customHeight="1">
      <c r="A385" s="66">
        <v>45498.0</v>
      </c>
      <c r="B385" s="55" t="str">
        <f>HYPERLINK("https://jobright.ai/jobs/info/66862c10323f5e12beea4eb6?utm_campaign=1062&amp;utm_source=sheet", "Apply")</f>
        <v>Apply</v>
      </c>
      <c r="C385" s="10" t="s">
        <v>2544</v>
      </c>
      <c r="D385" s="56" t="s">
        <v>1331</v>
      </c>
      <c r="E385" s="10" t="s">
        <v>45</v>
      </c>
      <c r="F385" s="10" t="s">
        <v>1332</v>
      </c>
      <c r="G385" s="10" t="s">
        <v>2448</v>
      </c>
      <c r="H385" s="10" t="s">
        <v>3270</v>
      </c>
      <c r="I385" s="10" t="s">
        <v>48</v>
      </c>
      <c r="J385" s="10" t="s">
        <v>2545</v>
      </c>
      <c r="K385" s="10" t="s">
        <v>3264</v>
      </c>
      <c r="L385" s="10" t="s">
        <v>42</v>
      </c>
    </row>
    <row r="386" ht="15.75" customHeight="1">
      <c r="A386" s="66">
        <v>45498.0</v>
      </c>
      <c r="B386" s="55" t="str">
        <f>HYPERLINK("https://jobright.ai/jobs/info/66a225d863fae719c87b8687?utm_campaign=1062&amp;utm_source=sheet", "Apply")</f>
        <v>Apply</v>
      </c>
      <c r="C386" s="10" t="s">
        <v>3366</v>
      </c>
      <c r="D386" s="56" t="s">
        <v>172</v>
      </c>
      <c r="E386" s="10" t="s">
        <v>65</v>
      </c>
      <c r="F386" s="10" t="s">
        <v>173</v>
      </c>
      <c r="G386" s="10" t="s">
        <v>2455</v>
      </c>
      <c r="H386" s="10" t="s">
        <v>174</v>
      </c>
      <c r="I386" s="10" t="s">
        <v>55</v>
      </c>
      <c r="K386" s="10" t="s">
        <v>3367</v>
      </c>
      <c r="L386" s="10" t="s">
        <v>42</v>
      </c>
    </row>
    <row r="387" ht="15.75" customHeight="1">
      <c r="A387" s="66">
        <v>45498.0</v>
      </c>
      <c r="B387" s="55" t="str">
        <f>HYPERLINK("https://jobright.ai/jobs/info/65c3dca80f81adf03c30a233?utm_campaign=1062&amp;utm_source=sheet", "Apply")</f>
        <v>Apply</v>
      </c>
      <c r="C387" s="10" t="s">
        <v>3368</v>
      </c>
      <c r="D387" s="56" t="s">
        <v>3369</v>
      </c>
      <c r="E387" s="10" t="s">
        <v>45</v>
      </c>
      <c r="F387" s="10" t="s">
        <v>3370</v>
      </c>
      <c r="G387" s="10" t="s">
        <v>2484</v>
      </c>
      <c r="H387" s="10" t="s">
        <v>3371</v>
      </c>
      <c r="I387" s="10" t="s">
        <v>55</v>
      </c>
      <c r="K387" s="10" t="s">
        <v>3372</v>
      </c>
      <c r="L387" s="10" t="s">
        <v>42</v>
      </c>
    </row>
    <row r="388" ht="15.75" customHeight="1">
      <c r="A388" s="66">
        <v>45498.0</v>
      </c>
      <c r="B388" s="55" t="str">
        <f>HYPERLINK("https://jobright.ai/jobs/info/66863c97ef6416e59abc459b?utm_campaign=1062&amp;utm_source=sheet", "Apply")</f>
        <v>Apply</v>
      </c>
      <c r="C388" s="10" t="s">
        <v>2544</v>
      </c>
      <c r="D388" s="56" t="s">
        <v>1331</v>
      </c>
      <c r="E388" s="10" t="s">
        <v>45</v>
      </c>
      <c r="F388" s="10" t="s">
        <v>1332</v>
      </c>
      <c r="G388" s="10" t="s">
        <v>2448</v>
      </c>
      <c r="H388" s="10" t="s">
        <v>3277</v>
      </c>
      <c r="I388" s="10" t="s">
        <v>48</v>
      </c>
      <c r="J388" s="10" t="s">
        <v>2545</v>
      </c>
      <c r="K388" s="10" t="s">
        <v>3264</v>
      </c>
      <c r="L388" s="10" t="s">
        <v>42</v>
      </c>
    </row>
    <row r="389" ht="15.75" customHeight="1">
      <c r="A389" s="66">
        <v>45498.0</v>
      </c>
      <c r="B389" s="55" t="str">
        <f>HYPERLINK("https://jobright.ai/jobs/info/668fd4115bdf80a0306d882d?utm_campaign=1062&amp;utm_source=sheet", "Apply")</f>
        <v>Apply</v>
      </c>
      <c r="C389" s="10" t="s">
        <v>2656</v>
      </c>
      <c r="D389" s="56" t="s">
        <v>1331</v>
      </c>
      <c r="E389" s="10" t="s">
        <v>45</v>
      </c>
      <c r="F389" s="10" t="s">
        <v>1332</v>
      </c>
      <c r="G389" s="10" t="s">
        <v>2448</v>
      </c>
      <c r="H389" s="10" t="s">
        <v>3287</v>
      </c>
      <c r="I389" s="10" t="s">
        <v>55</v>
      </c>
      <c r="J389" s="10" t="s">
        <v>2545</v>
      </c>
      <c r="K389" s="10" t="s">
        <v>2657</v>
      </c>
      <c r="L389" s="10" t="s">
        <v>42</v>
      </c>
    </row>
    <row r="390" ht="15.75" customHeight="1">
      <c r="A390" s="66">
        <v>45498.0</v>
      </c>
      <c r="B390" s="55" t="str">
        <f>HYPERLINK("https://jobright.ai/jobs/info/66864119d07d259df164f2cd?utm_campaign=1062&amp;utm_source=sheet", "Apply")</f>
        <v>Apply</v>
      </c>
      <c r="C390" s="10" t="s">
        <v>2544</v>
      </c>
      <c r="D390" s="56" t="s">
        <v>1331</v>
      </c>
      <c r="E390" s="10" t="s">
        <v>45</v>
      </c>
      <c r="F390" s="10" t="s">
        <v>1332</v>
      </c>
      <c r="G390" s="10" t="s">
        <v>2448</v>
      </c>
      <c r="H390" s="10" t="s">
        <v>3311</v>
      </c>
      <c r="I390" s="10" t="s">
        <v>48</v>
      </c>
      <c r="J390" s="10" t="s">
        <v>2545</v>
      </c>
      <c r="K390" s="10" t="s">
        <v>3264</v>
      </c>
      <c r="L390" s="10" t="s">
        <v>42</v>
      </c>
    </row>
    <row r="391" ht="15.75" customHeight="1">
      <c r="A391" s="66">
        <v>45498.0</v>
      </c>
      <c r="B391" s="55" t="str">
        <f>HYPERLINK("https://jobright.ai/jobs/info/6686278719c3e9af76ad5c2a?utm_campaign=1062&amp;utm_source=sheet", "Apply")</f>
        <v>Apply</v>
      </c>
      <c r="C391" s="10" t="s">
        <v>2544</v>
      </c>
      <c r="D391" s="56" t="s">
        <v>1331</v>
      </c>
      <c r="E391" s="10" t="s">
        <v>45</v>
      </c>
      <c r="F391" s="10" t="s">
        <v>1332</v>
      </c>
      <c r="G391" s="10" t="s">
        <v>2448</v>
      </c>
      <c r="H391" s="10" t="s">
        <v>3276</v>
      </c>
      <c r="I391" s="10" t="s">
        <v>48</v>
      </c>
      <c r="J391" s="10" t="s">
        <v>2545</v>
      </c>
      <c r="K391" s="10" t="s">
        <v>3264</v>
      </c>
      <c r="L391" s="10" t="s">
        <v>42</v>
      </c>
    </row>
    <row r="392" ht="15.75" customHeight="1">
      <c r="A392" s="66">
        <v>45498.0</v>
      </c>
      <c r="B392" s="55" t="str">
        <f>HYPERLINK("https://jobright.ai/jobs/info/66697c95e8f46bab6d4a4a27?utm_campaign=1062&amp;utm_source=sheet", "Apply")</f>
        <v>Apply</v>
      </c>
      <c r="C392" s="10" t="s">
        <v>2822</v>
      </c>
      <c r="D392" s="56" t="s">
        <v>2823</v>
      </c>
      <c r="E392" s="10" t="s">
        <v>45</v>
      </c>
      <c r="F392" s="10" t="s">
        <v>2824</v>
      </c>
      <c r="G392" s="10" t="s">
        <v>2605</v>
      </c>
      <c r="H392" s="10" t="s">
        <v>610</v>
      </c>
      <c r="I392" s="10" t="s">
        <v>55</v>
      </c>
      <c r="K392" s="10" t="s">
        <v>2825</v>
      </c>
      <c r="L392" s="10" t="s">
        <v>42</v>
      </c>
    </row>
    <row r="393" ht="15.75" customHeight="1">
      <c r="A393" s="66">
        <v>45498.0</v>
      </c>
      <c r="B393" s="55" t="str">
        <f>HYPERLINK("https://jobright.ai/jobs/info/668fefa14a16829a49be70ae?utm_campaign=1062&amp;utm_source=sheet", "Apply")</f>
        <v>Apply</v>
      </c>
      <c r="C393" s="10" t="s">
        <v>2656</v>
      </c>
      <c r="D393" s="56" t="s">
        <v>1331</v>
      </c>
      <c r="E393" s="10" t="s">
        <v>45</v>
      </c>
      <c r="F393" s="10" t="s">
        <v>1332</v>
      </c>
      <c r="G393" s="10" t="s">
        <v>2448</v>
      </c>
      <c r="H393" s="10" t="s">
        <v>723</v>
      </c>
      <c r="I393" s="10" t="s">
        <v>55</v>
      </c>
      <c r="J393" s="10" t="s">
        <v>2545</v>
      </c>
      <c r="K393" s="10" t="s">
        <v>2657</v>
      </c>
      <c r="L393" s="10" t="s">
        <v>42</v>
      </c>
    </row>
    <row r="394" ht="15.75" customHeight="1">
      <c r="A394" s="66">
        <v>45498.0</v>
      </c>
      <c r="B394" s="55" t="str">
        <f>HYPERLINK("https://jobright.ai/jobs/info/668fe97f2fc5ba37662c5b7a?utm_campaign=1062&amp;utm_source=sheet", "Apply")</f>
        <v>Apply</v>
      </c>
      <c r="C394" s="10" t="s">
        <v>2656</v>
      </c>
      <c r="D394" s="56" t="s">
        <v>1331</v>
      </c>
      <c r="E394" s="10" t="s">
        <v>45</v>
      </c>
      <c r="F394" s="10" t="s">
        <v>1332</v>
      </c>
      <c r="G394" s="10" t="s">
        <v>2448</v>
      </c>
      <c r="H394" s="10" t="s">
        <v>3302</v>
      </c>
      <c r="I394" s="10" t="s">
        <v>55</v>
      </c>
      <c r="J394" s="10" t="s">
        <v>2545</v>
      </c>
      <c r="K394" s="10" t="s">
        <v>2657</v>
      </c>
      <c r="L394" s="10" t="s">
        <v>42</v>
      </c>
    </row>
    <row r="395" ht="15.75" customHeight="1">
      <c r="A395" s="66">
        <v>45498.0</v>
      </c>
      <c r="B395" s="55" t="str">
        <f>HYPERLINK("https://jobright.ai/jobs/info/668645a31ac348f6040f5ce5?utm_campaign=1062&amp;utm_source=sheet", "Apply")</f>
        <v>Apply</v>
      </c>
      <c r="C395" s="10" t="s">
        <v>2544</v>
      </c>
      <c r="D395" s="56" t="s">
        <v>1331</v>
      </c>
      <c r="E395" s="10" t="s">
        <v>45</v>
      </c>
      <c r="F395" s="10" t="s">
        <v>1332</v>
      </c>
      <c r="G395" s="10" t="s">
        <v>2448</v>
      </c>
      <c r="H395" s="10" t="s">
        <v>3326</v>
      </c>
      <c r="I395" s="10" t="s">
        <v>48</v>
      </c>
      <c r="J395" s="10" t="s">
        <v>2545</v>
      </c>
      <c r="K395" s="10" t="s">
        <v>3264</v>
      </c>
      <c r="L395" s="10" t="s">
        <v>42</v>
      </c>
    </row>
    <row r="396" ht="15.75" customHeight="1">
      <c r="A396" s="66">
        <v>45498.0</v>
      </c>
      <c r="B396" s="55" t="str">
        <f>HYPERLINK("https://jobright.ai/jobs/info/668699028255e2f2b23fe68c?utm_campaign=1062&amp;utm_source=sheet", "Apply")</f>
        <v>Apply</v>
      </c>
      <c r="C396" s="10" t="s">
        <v>2544</v>
      </c>
      <c r="D396" s="56" t="s">
        <v>1331</v>
      </c>
      <c r="E396" s="10" t="s">
        <v>45</v>
      </c>
      <c r="F396" s="10" t="s">
        <v>1332</v>
      </c>
      <c r="G396" s="10" t="s">
        <v>2448</v>
      </c>
      <c r="H396" s="10" t="s">
        <v>3373</v>
      </c>
      <c r="I396" s="10" t="s">
        <v>48</v>
      </c>
      <c r="J396" s="10" t="s">
        <v>2545</v>
      </c>
      <c r="K396" s="10" t="s">
        <v>3264</v>
      </c>
      <c r="L396" s="10" t="s">
        <v>42</v>
      </c>
    </row>
    <row r="397" ht="15.75" customHeight="1">
      <c r="A397" s="66">
        <v>45498.0</v>
      </c>
      <c r="B397" s="55" t="str">
        <f>HYPERLINK("https://jobright.ai/jobs/info/6686278719c3e9af76ad5c30?utm_campaign=1062&amp;utm_source=sheet", "Apply")</f>
        <v>Apply</v>
      </c>
      <c r="C397" s="10" t="s">
        <v>2544</v>
      </c>
      <c r="D397" s="56" t="s">
        <v>1331</v>
      </c>
      <c r="E397" s="10" t="s">
        <v>45</v>
      </c>
      <c r="F397" s="10" t="s">
        <v>1332</v>
      </c>
      <c r="G397" s="10" t="s">
        <v>2448</v>
      </c>
      <c r="H397" s="10" t="s">
        <v>3266</v>
      </c>
      <c r="I397" s="10" t="s">
        <v>48</v>
      </c>
      <c r="J397" s="10" t="s">
        <v>2545</v>
      </c>
      <c r="K397" s="10" t="s">
        <v>3264</v>
      </c>
      <c r="L397" s="10" t="s">
        <v>42</v>
      </c>
    </row>
    <row r="398" ht="15.75" customHeight="1">
      <c r="A398" s="66">
        <v>45498.0</v>
      </c>
      <c r="B398" s="55" t="str">
        <f>HYPERLINK("https://jobright.ai/jobs/info/6686278719c3e9af76ad5c43?utm_campaign=1062&amp;utm_source=sheet", "Apply")</f>
        <v>Apply</v>
      </c>
      <c r="C398" s="10" t="s">
        <v>2544</v>
      </c>
      <c r="D398" s="56" t="s">
        <v>1331</v>
      </c>
      <c r="E398" s="10" t="s">
        <v>45</v>
      </c>
      <c r="F398" s="10" t="s">
        <v>1332</v>
      </c>
      <c r="G398" s="10" t="s">
        <v>2448</v>
      </c>
      <c r="H398" s="10" t="s">
        <v>3278</v>
      </c>
      <c r="I398" s="10" t="s">
        <v>48</v>
      </c>
      <c r="J398" s="10" t="s">
        <v>2545</v>
      </c>
      <c r="K398" s="10" t="s">
        <v>3264</v>
      </c>
      <c r="L398" s="10" t="s">
        <v>42</v>
      </c>
    </row>
    <row r="399" ht="15.75" customHeight="1">
      <c r="A399" s="66">
        <v>45498.0</v>
      </c>
      <c r="B399" s="55" t="str">
        <f>HYPERLINK("https://jobright.ai/jobs/info/6686278719c3e9af76ad5c39?utm_campaign=1062&amp;utm_source=sheet", "Apply")</f>
        <v>Apply</v>
      </c>
      <c r="C399" s="10" t="s">
        <v>2544</v>
      </c>
      <c r="D399" s="56" t="s">
        <v>1331</v>
      </c>
      <c r="E399" s="10" t="s">
        <v>45</v>
      </c>
      <c r="F399" s="10" t="s">
        <v>1332</v>
      </c>
      <c r="G399" s="10" t="s">
        <v>2448</v>
      </c>
      <c r="H399" s="10" t="s">
        <v>723</v>
      </c>
      <c r="I399" s="10" t="s">
        <v>48</v>
      </c>
      <c r="J399" s="10" t="s">
        <v>2545</v>
      </c>
      <c r="K399" s="10" t="s">
        <v>3264</v>
      </c>
      <c r="L399" s="10" t="s">
        <v>42</v>
      </c>
    </row>
    <row r="400" ht="15.75" customHeight="1">
      <c r="A400" s="66">
        <v>45498.0</v>
      </c>
      <c r="B400" s="55" t="str">
        <f>HYPERLINK("https://jobright.ai/jobs/info/66862c10323f5e12beea4ec5?utm_campaign=1062&amp;utm_source=sheet", "Apply")</f>
        <v>Apply</v>
      </c>
      <c r="C400" s="10" t="s">
        <v>2544</v>
      </c>
      <c r="D400" s="56" t="s">
        <v>1331</v>
      </c>
      <c r="E400" s="10" t="s">
        <v>45</v>
      </c>
      <c r="F400" s="10" t="s">
        <v>1332</v>
      </c>
      <c r="G400" s="10" t="s">
        <v>2448</v>
      </c>
      <c r="H400" s="10" t="s">
        <v>3271</v>
      </c>
      <c r="I400" s="10" t="s">
        <v>48</v>
      </c>
      <c r="J400" s="10" t="s">
        <v>2545</v>
      </c>
      <c r="K400" s="10" t="s">
        <v>3264</v>
      </c>
      <c r="L400" s="10" t="s">
        <v>42</v>
      </c>
    </row>
    <row r="401" ht="15.75" customHeight="1">
      <c r="A401" s="66">
        <v>45498.0</v>
      </c>
      <c r="B401" s="55" t="str">
        <f>HYPERLINK("https://jobright.ai/jobs/info/668fefa14a16829a49be7102?utm_campaign=1062&amp;utm_source=sheet", "Apply")</f>
        <v>Apply</v>
      </c>
      <c r="C401" s="10" t="s">
        <v>2656</v>
      </c>
      <c r="D401" s="56" t="s">
        <v>1331</v>
      </c>
      <c r="E401" s="10" t="s">
        <v>45</v>
      </c>
      <c r="F401" s="10" t="s">
        <v>1332</v>
      </c>
      <c r="G401" s="10" t="s">
        <v>2448</v>
      </c>
      <c r="H401" s="10" t="s">
        <v>3327</v>
      </c>
      <c r="I401" s="10" t="s">
        <v>55</v>
      </c>
      <c r="J401" s="10" t="s">
        <v>2545</v>
      </c>
      <c r="K401" s="10" t="s">
        <v>2657</v>
      </c>
      <c r="L401" s="10" t="s">
        <v>42</v>
      </c>
    </row>
    <row r="402" ht="15.75" customHeight="1">
      <c r="A402" s="66">
        <v>45498.0</v>
      </c>
      <c r="B402" s="55" t="str">
        <f>HYPERLINK("https://jobright.ai/jobs/info/668e8e378ba8f92011d5569d?utm_campaign=1062&amp;utm_source=sheet", "Apply")</f>
        <v>Apply</v>
      </c>
      <c r="C402" s="10" t="s">
        <v>2656</v>
      </c>
      <c r="D402" s="56" t="s">
        <v>1331</v>
      </c>
      <c r="E402" s="10" t="s">
        <v>45</v>
      </c>
      <c r="F402" s="10" t="s">
        <v>1332</v>
      </c>
      <c r="G402" s="10" t="s">
        <v>2448</v>
      </c>
      <c r="H402" s="10" t="s">
        <v>170</v>
      </c>
      <c r="I402" s="10" t="s">
        <v>55</v>
      </c>
      <c r="J402" s="10" t="s">
        <v>2545</v>
      </c>
      <c r="K402" s="10" t="s">
        <v>2657</v>
      </c>
      <c r="L402" s="10" t="s">
        <v>42</v>
      </c>
    </row>
    <row r="403" ht="15.75" customHeight="1">
      <c r="A403" s="66">
        <v>45498.0</v>
      </c>
      <c r="B403" s="55" t="str">
        <f>HYPERLINK("https://jobright.ai/jobs/info/66a225b8642c1d827779ddef?utm_campaign=1062&amp;utm_source=sheet", "Apply")</f>
        <v>Apply</v>
      </c>
      <c r="C403" s="10" t="s">
        <v>2656</v>
      </c>
      <c r="D403" s="56" t="s">
        <v>1331</v>
      </c>
      <c r="E403" s="10" t="s">
        <v>45</v>
      </c>
      <c r="F403" s="10" t="s">
        <v>1332</v>
      </c>
      <c r="G403" s="10" t="s">
        <v>2448</v>
      </c>
      <c r="H403" s="10" t="s">
        <v>419</v>
      </c>
      <c r="I403" s="10" t="s">
        <v>48</v>
      </c>
      <c r="J403" s="10" t="s">
        <v>2545</v>
      </c>
      <c r="K403" s="10" t="s">
        <v>2657</v>
      </c>
      <c r="L403" s="10" t="s">
        <v>42</v>
      </c>
    </row>
    <row r="404" ht="15.75" customHeight="1">
      <c r="A404" s="66">
        <v>45498.0</v>
      </c>
      <c r="B404" s="55" t="str">
        <f>HYPERLINK("https://jobright.ai/jobs/info/668626225a1b884a286faa06?utm_campaign=1062&amp;utm_source=sheet", "Apply")</f>
        <v>Apply</v>
      </c>
      <c r="C404" s="10" t="s">
        <v>2544</v>
      </c>
      <c r="D404" s="56" t="s">
        <v>1331</v>
      </c>
      <c r="E404" s="10" t="s">
        <v>45</v>
      </c>
      <c r="F404" s="10" t="s">
        <v>1332</v>
      </c>
      <c r="G404" s="10" t="s">
        <v>2448</v>
      </c>
      <c r="H404" s="10" t="s">
        <v>1212</v>
      </c>
      <c r="I404" s="10" t="s">
        <v>48</v>
      </c>
      <c r="J404" s="10" t="s">
        <v>2545</v>
      </c>
      <c r="K404" s="10" t="s">
        <v>3264</v>
      </c>
      <c r="L404" s="10" t="s">
        <v>42</v>
      </c>
    </row>
    <row r="405" ht="15.75" customHeight="1">
      <c r="A405" s="66">
        <v>45498.0</v>
      </c>
      <c r="B405" s="55" t="str">
        <f>HYPERLINK("https://jobright.ai/jobs/info/66862c10323f5e12beea4ec6?utm_campaign=1062&amp;utm_source=sheet", "Apply")</f>
        <v>Apply</v>
      </c>
      <c r="C405" s="10" t="s">
        <v>2544</v>
      </c>
      <c r="D405" s="56" t="s">
        <v>1331</v>
      </c>
      <c r="E405" s="10" t="s">
        <v>45</v>
      </c>
      <c r="F405" s="10" t="s">
        <v>1332</v>
      </c>
      <c r="G405" s="10" t="s">
        <v>2448</v>
      </c>
      <c r="H405" s="10" t="s">
        <v>3299</v>
      </c>
      <c r="I405" s="10" t="s">
        <v>48</v>
      </c>
      <c r="J405" s="10" t="s">
        <v>2545</v>
      </c>
      <c r="K405" s="10" t="s">
        <v>3264</v>
      </c>
      <c r="L405" s="10" t="s">
        <v>42</v>
      </c>
    </row>
    <row r="406" ht="15.75" customHeight="1">
      <c r="A406" s="66">
        <v>45498.0</v>
      </c>
      <c r="B406" s="55" t="str">
        <f>HYPERLINK("https://jobright.ai/jobs/info/66858c7d1b1f4c2377c85e97?utm_campaign=1062&amp;utm_source=sheet", "Apply")</f>
        <v>Apply</v>
      </c>
      <c r="C406" s="10" t="s">
        <v>3044</v>
      </c>
      <c r="D406" s="56" t="s">
        <v>2631</v>
      </c>
      <c r="E406" s="10" t="s">
        <v>209</v>
      </c>
      <c r="F406" s="10" t="s">
        <v>2632</v>
      </c>
      <c r="G406" s="10" t="s">
        <v>2464</v>
      </c>
      <c r="H406" s="10" t="s">
        <v>3374</v>
      </c>
      <c r="I406" s="10" t="s">
        <v>55</v>
      </c>
      <c r="K406" s="10" t="s">
        <v>3045</v>
      </c>
      <c r="L406" s="10" t="s">
        <v>42</v>
      </c>
    </row>
    <row r="407" ht="15.75" customHeight="1">
      <c r="A407" s="66">
        <v>45498.0</v>
      </c>
      <c r="B407" s="55" t="str">
        <f>HYPERLINK("https://jobright.ai/jobs/info/6686278719c3e9af76ad5c9e?utm_campaign=1062&amp;utm_source=sheet", "Apply")</f>
        <v>Apply</v>
      </c>
      <c r="C407" s="10" t="s">
        <v>2544</v>
      </c>
      <c r="D407" s="56" t="s">
        <v>1331</v>
      </c>
      <c r="E407" s="10" t="s">
        <v>45</v>
      </c>
      <c r="F407" s="10" t="s">
        <v>1332</v>
      </c>
      <c r="G407" s="10" t="s">
        <v>2448</v>
      </c>
      <c r="H407" s="10" t="s">
        <v>2972</v>
      </c>
      <c r="I407" s="10" t="s">
        <v>48</v>
      </c>
      <c r="J407" s="10" t="s">
        <v>2545</v>
      </c>
      <c r="K407" s="10" t="s">
        <v>3264</v>
      </c>
      <c r="L407" s="10" t="s">
        <v>42</v>
      </c>
    </row>
    <row r="408" ht="15.75" customHeight="1">
      <c r="A408" s="66">
        <v>45498.0</v>
      </c>
      <c r="B408" s="55" t="str">
        <f>HYPERLINK("https://jobright.ai/jobs/info/6685345542ddd5c037a08f67?utm_campaign=1062&amp;utm_source=sheet", "Apply")</f>
        <v>Apply</v>
      </c>
      <c r="C408" s="10" t="s">
        <v>3375</v>
      </c>
      <c r="D408" s="56" t="s">
        <v>3376</v>
      </c>
      <c r="E408" s="10" t="s">
        <v>45</v>
      </c>
      <c r="F408" s="10" t="s">
        <v>3377</v>
      </c>
      <c r="G408" s="10" t="s">
        <v>2459</v>
      </c>
      <c r="H408" s="10" t="s">
        <v>96</v>
      </c>
      <c r="I408" s="10" t="s">
        <v>48</v>
      </c>
      <c r="J408" s="10" t="s">
        <v>3378</v>
      </c>
      <c r="K408" s="10" t="s">
        <v>3379</v>
      </c>
      <c r="L408" s="10" t="s">
        <v>42</v>
      </c>
    </row>
    <row r="409" ht="15.75" customHeight="1">
      <c r="A409" s="66">
        <v>45498.0</v>
      </c>
      <c r="B409" s="55" t="str">
        <f>HYPERLINK("https://jobright.ai/jobs/info/668a7809dfbe564b9b904853?utm_campaign=1062&amp;utm_source=sheet", "Apply")</f>
        <v>Apply</v>
      </c>
      <c r="C409" s="10" t="s">
        <v>2656</v>
      </c>
      <c r="D409" s="56" t="s">
        <v>1331</v>
      </c>
      <c r="E409" s="10" t="s">
        <v>45</v>
      </c>
      <c r="F409" s="10" t="s">
        <v>1332</v>
      </c>
      <c r="G409" s="10" t="s">
        <v>2448</v>
      </c>
      <c r="H409" s="10" t="s">
        <v>3310</v>
      </c>
      <c r="I409" s="10" t="s">
        <v>55</v>
      </c>
      <c r="J409" s="10" t="s">
        <v>2545</v>
      </c>
      <c r="K409" s="10" t="s">
        <v>2657</v>
      </c>
      <c r="L409" s="10" t="s">
        <v>42</v>
      </c>
    </row>
    <row r="410" ht="15.75" customHeight="1">
      <c r="A410" s="66">
        <v>45498.0</v>
      </c>
      <c r="B410" s="55" t="str">
        <f>HYPERLINK("https://jobright.ai/jobs/info/668a7c227804bc93ed4967a1?utm_campaign=1062&amp;utm_source=sheet", "Apply")</f>
        <v>Apply</v>
      </c>
      <c r="C410" s="10" t="s">
        <v>2544</v>
      </c>
      <c r="D410" s="56" t="s">
        <v>1331</v>
      </c>
      <c r="E410" s="10" t="s">
        <v>45</v>
      </c>
      <c r="F410" s="10" t="s">
        <v>1332</v>
      </c>
      <c r="G410" s="10" t="s">
        <v>2448</v>
      </c>
      <c r="H410" s="10" t="s">
        <v>67</v>
      </c>
      <c r="I410" s="10" t="s">
        <v>55</v>
      </c>
      <c r="J410" s="10" t="s">
        <v>2545</v>
      </c>
      <c r="K410" s="10" t="s">
        <v>3264</v>
      </c>
      <c r="L410" s="10" t="s">
        <v>42</v>
      </c>
    </row>
    <row r="411" ht="15.75" customHeight="1">
      <c r="A411" s="66">
        <v>45498.0</v>
      </c>
      <c r="B411" s="55" t="str">
        <f>HYPERLINK("https://jobright.ai/jobs/info/668fdc8cb7836da1097c3c2e?utm_campaign=1062&amp;utm_source=sheet", "Apply")</f>
        <v>Apply</v>
      </c>
      <c r="C411" s="10" t="s">
        <v>2656</v>
      </c>
      <c r="D411" s="56" t="s">
        <v>1331</v>
      </c>
      <c r="E411" s="10" t="s">
        <v>45</v>
      </c>
      <c r="F411" s="10" t="s">
        <v>1332</v>
      </c>
      <c r="G411" s="10" t="s">
        <v>2448</v>
      </c>
      <c r="H411" s="10" t="s">
        <v>67</v>
      </c>
      <c r="I411" s="10" t="s">
        <v>55</v>
      </c>
      <c r="J411" s="10" t="s">
        <v>2545</v>
      </c>
      <c r="K411" s="10" t="s">
        <v>2657</v>
      </c>
      <c r="L411" s="10" t="s">
        <v>42</v>
      </c>
    </row>
    <row r="412" ht="15.75" customHeight="1">
      <c r="A412" s="66">
        <v>45498.0</v>
      </c>
      <c r="B412" s="55" t="str">
        <f>HYPERLINK("https://jobright.ai/jobs/info/66a22c06d584d9f47e7d50af?utm_campaign=1062&amp;utm_source=sheet", "Apply")</f>
        <v>Apply</v>
      </c>
      <c r="C412" s="10" t="s">
        <v>3380</v>
      </c>
      <c r="D412" s="56" t="s">
        <v>3381</v>
      </c>
      <c r="E412" s="10" t="s">
        <v>79</v>
      </c>
      <c r="F412" s="10" t="s">
        <v>3382</v>
      </c>
      <c r="G412" s="10" t="s">
        <v>2605</v>
      </c>
      <c r="H412" s="10" t="s">
        <v>3383</v>
      </c>
      <c r="I412" s="10" t="s">
        <v>55</v>
      </c>
      <c r="K412" s="10" t="s">
        <v>3384</v>
      </c>
      <c r="L412" s="10" t="s">
        <v>42</v>
      </c>
    </row>
    <row r="413" ht="15.75" customHeight="1">
      <c r="A413" s="66">
        <v>45498.0</v>
      </c>
      <c r="B413" s="55" t="str">
        <f>HYPERLINK("https://jobright.ai/jobs/info/66a22c06d584d9f47e7d50b3?utm_campaign=1062&amp;utm_source=sheet", "Apply")</f>
        <v>Apply</v>
      </c>
      <c r="C413" s="10" t="s">
        <v>3380</v>
      </c>
      <c r="D413" s="56" t="s">
        <v>3381</v>
      </c>
      <c r="E413" s="10" t="s">
        <v>79</v>
      </c>
      <c r="F413" s="10" t="s">
        <v>3382</v>
      </c>
      <c r="G413" s="10" t="s">
        <v>2605</v>
      </c>
      <c r="H413" s="10" t="s">
        <v>3385</v>
      </c>
      <c r="I413" s="10" t="s">
        <v>55</v>
      </c>
      <c r="K413" s="10" t="s">
        <v>3386</v>
      </c>
      <c r="L413" s="10" t="s">
        <v>42</v>
      </c>
    </row>
    <row r="414" ht="15.75" customHeight="1">
      <c r="A414" s="66">
        <v>45498.0</v>
      </c>
      <c r="B414" s="55" t="str">
        <f>HYPERLINK("https://jobright.ai/jobs/info/66a22c06d584d9f47e7d50ba?utm_campaign=1062&amp;utm_source=sheet", "Apply")</f>
        <v>Apply</v>
      </c>
      <c r="C414" s="10" t="s">
        <v>3380</v>
      </c>
      <c r="D414" s="56" t="s">
        <v>3381</v>
      </c>
      <c r="E414" s="10" t="s">
        <v>79</v>
      </c>
      <c r="F414" s="10" t="s">
        <v>3382</v>
      </c>
      <c r="G414" s="10" t="s">
        <v>2605</v>
      </c>
      <c r="H414" s="10" t="s">
        <v>3387</v>
      </c>
      <c r="I414" s="10" t="s">
        <v>55</v>
      </c>
      <c r="K414" s="10" t="s">
        <v>3386</v>
      </c>
      <c r="L414" s="10" t="s">
        <v>42</v>
      </c>
    </row>
    <row r="415" ht="15.75" customHeight="1">
      <c r="A415" s="66">
        <v>45498.0</v>
      </c>
      <c r="B415" s="55" t="str">
        <f>HYPERLINK("https://jobright.ai/jobs/info/66a22c06d584d9f47e7d50bb?utm_campaign=1062&amp;utm_source=sheet", "Apply")</f>
        <v>Apply</v>
      </c>
      <c r="C415" s="10" t="s">
        <v>3380</v>
      </c>
      <c r="D415" s="56" t="s">
        <v>3381</v>
      </c>
      <c r="E415" s="10" t="s">
        <v>79</v>
      </c>
      <c r="F415" s="10" t="s">
        <v>3382</v>
      </c>
      <c r="G415" s="10" t="s">
        <v>2605</v>
      </c>
      <c r="H415" s="10" t="s">
        <v>3388</v>
      </c>
      <c r="I415" s="10" t="s">
        <v>55</v>
      </c>
      <c r="K415" s="10" t="s">
        <v>3386</v>
      </c>
      <c r="L415" s="10" t="s">
        <v>42</v>
      </c>
    </row>
    <row r="416" ht="15.75" customHeight="1">
      <c r="A416" s="66">
        <v>45498.0</v>
      </c>
      <c r="B416" s="55" t="str">
        <f>HYPERLINK("https://jobright.ai/jobs/info/668bb6d217dee337729252c8?utm_campaign=1062&amp;utm_source=sheet", "Apply")</f>
        <v>Apply</v>
      </c>
      <c r="C416" s="10" t="s">
        <v>3389</v>
      </c>
      <c r="D416" s="56" t="s">
        <v>3390</v>
      </c>
      <c r="E416" s="10" t="s">
        <v>65</v>
      </c>
      <c r="F416" s="10" t="s">
        <v>2588</v>
      </c>
      <c r="G416" s="10" t="s">
        <v>2484</v>
      </c>
      <c r="H416" s="10" t="s">
        <v>2996</v>
      </c>
      <c r="I416" s="10" t="s">
        <v>48</v>
      </c>
      <c r="K416" s="10" t="s">
        <v>3391</v>
      </c>
      <c r="L416" s="10" t="s">
        <v>42</v>
      </c>
    </row>
    <row r="417" ht="15.75" customHeight="1">
      <c r="A417" s="66">
        <v>45498.0</v>
      </c>
      <c r="B417" s="55" t="str">
        <f>HYPERLINK("https://jobright.ai/jobs/info/668543d2f9a1794ebc977c8f?utm_campaign=1062&amp;utm_source=sheet", "Apply")</f>
        <v>Apply</v>
      </c>
      <c r="C417" s="10" t="s">
        <v>3375</v>
      </c>
      <c r="D417" s="56" t="s">
        <v>3376</v>
      </c>
      <c r="E417" s="10" t="s">
        <v>45</v>
      </c>
      <c r="F417" s="10" t="s">
        <v>3377</v>
      </c>
      <c r="G417" s="10" t="s">
        <v>2459</v>
      </c>
      <c r="H417" s="10" t="s">
        <v>3392</v>
      </c>
      <c r="I417" s="10" t="s">
        <v>48</v>
      </c>
      <c r="J417" s="10" t="s">
        <v>3393</v>
      </c>
      <c r="K417" s="10" t="s">
        <v>3379</v>
      </c>
      <c r="L417" s="10" t="s">
        <v>42</v>
      </c>
    </row>
    <row r="418" ht="15.75" customHeight="1">
      <c r="A418" s="66">
        <v>45498.0</v>
      </c>
      <c r="B418" s="55" t="str">
        <f>HYPERLINK("https://jobright.ai/jobs/info/6685345e42ddd5c037a08fbb?utm_campaign=1062&amp;utm_source=sheet", "Apply")</f>
        <v>Apply</v>
      </c>
      <c r="C418" s="10" t="s">
        <v>3375</v>
      </c>
      <c r="D418" s="56" t="s">
        <v>3376</v>
      </c>
      <c r="E418" s="10" t="s">
        <v>45</v>
      </c>
      <c r="F418" s="10" t="s">
        <v>3377</v>
      </c>
      <c r="G418" s="10" t="s">
        <v>2459</v>
      </c>
      <c r="H418" s="10" t="s">
        <v>3394</v>
      </c>
      <c r="I418" s="10" t="s">
        <v>48</v>
      </c>
      <c r="J418" s="10" t="s">
        <v>3393</v>
      </c>
      <c r="K418" s="10" t="s">
        <v>3379</v>
      </c>
      <c r="L418" s="10" t="s">
        <v>42</v>
      </c>
    </row>
    <row r="419" ht="15.75" customHeight="1">
      <c r="A419" s="66">
        <v>45498.0</v>
      </c>
      <c r="B419" s="55" t="str">
        <f>HYPERLINK("https://jobright.ai/jobs/info/66a22c06d584d9f47e7d50fd?utm_campaign=1062&amp;utm_source=sheet", "Apply")</f>
        <v>Apply</v>
      </c>
      <c r="C419" s="10" t="s">
        <v>3380</v>
      </c>
      <c r="D419" s="56" t="s">
        <v>3381</v>
      </c>
      <c r="E419" s="10" t="s">
        <v>79</v>
      </c>
      <c r="F419" s="10" t="s">
        <v>3382</v>
      </c>
      <c r="G419" s="10" t="s">
        <v>2605</v>
      </c>
      <c r="H419" s="10" t="s">
        <v>3395</v>
      </c>
      <c r="I419" s="10" t="s">
        <v>55</v>
      </c>
      <c r="K419" s="10" t="s">
        <v>3384</v>
      </c>
      <c r="L419" s="10" t="s">
        <v>42</v>
      </c>
    </row>
    <row r="420" ht="15.75" customHeight="1">
      <c r="A420" s="66">
        <v>45498.0</v>
      </c>
      <c r="B420" s="55" t="str">
        <f>HYPERLINK("https://jobright.ai/jobs/info/66a22c06d584d9f47e7d5102?utm_campaign=1062&amp;utm_source=sheet", "Apply")</f>
        <v>Apply</v>
      </c>
      <c r="C420" s="10" t="s">
        <v>3380</v>
      </c>
      <c r="D420" s="56" t="s">
        <v>3381</v>
      </c>
      <c r="E420" s="10" t="s">
        <v>79</v>
      </c>
      <c r="F420" s="10" t="s">
        <v>3382</v>
      </c>
      <c r="G420" s="10" t="s">
        <v>2605</v>
      </c>
      <c r="H420" s="10" t="s">
        <v>3396</v>
      </c>
      <c r="I420" s="10" t="s">
        <v>55</v>
      </c>
      <c r="K420" s="10" t="s">
        <v>3386</v>
      </c>
      <c r="L420" s="10" t="s">
        <v>42</v>
      </c>
    </row>
    <row r="421" ht="15.75" customHeight="1">
      <c r="A421" s="66">
        <v>45498.0</v>
      </c>
      <c r="B421" s="55" t="str">
        <f>HYPERLINK("https://jobright.ai/jobs/info/65d9ebffcc831285a4f7c7d1?utm_campaign=1062&amp;utm_source=sheet", "Apply")</f>
        <v>Apply</v>
      </c>
      <c r="C421" s="10" t="s">
        <v>2799</v>
      </c>
      <c r="D421" s="56" t="s">
        <v>2800</v>
      </c>
      <c r="E421" s="10" t="s">
        <v>45</v>
      </c>
      <c r="F421" s="10" t="s">
        <v>2801</v>
      </c>
      <c r="G421" s="10" t="s">
        <v>2495</v>
      </c>
      <c r="H421" s="10" t="s">
        <v>3397</v>
      </c>
      <c r="I421" s="10" t="s">
        <v>48</v>
      </c>
      <c r="K421" s="10" t="s">
        <v>2803</v>
      </c>
      <c r="L421" s="10" t="s">
        <v>42</v>
      </c>
    </row>
    <row r="422" ht="15.75" customHeight="1">
      <c r="A422" s="66">
        <v>45498.0</v>
      </c>
      <c r="B422" s="55" t="str">
        <f>HYPERLINK("https://jobright.ai/jobs/info/66795aa4dcb1db3fc098da61?utm_campaign=1062&amp;utm_source=sheet", "Apply")</f>
        <v>Apply</v>
      </c>
      <c r="C422" s="10" t="s">
        <v>3303</v>
      </c>
      <c r="D422" s="56" t="s">
        <v>2763</v>
      </c>
      <c r="E422" s="10" t="s">
        <v>45</v>
      </c>
      <c r="F422" s="10" t="s">
        <v>1465</v>
      </c>
      <c r="G422" s="10" t="s">
        <v>2437</v>
      </c>
      <c r="H422" s="10" t="s">
        <v>3398</v>
      </c>
      <c r="I422" s="10" t="s">
        <v>55</v>
      </c>
      <c r="J422" s="10" t="s">
        <v>3399</v>
      </c>
      <c r="K422" s="10" t="s">
        <v>3400</v>
      </c>
      <c r="L422" s="10" t="s">
        <v>42</v>
      </c>
    </row>
    <row r="423" ht="15.75" customHeight="1">
      <c r="A423" s="66">
        <v>45498.0</v>
      </c>
      <c r="B423" s="55" t="str">
        <f>HYPERLINK("https://jobright.ai/jobs/info/66a225b0642c1d827779dd2a?utm_campaign=1062&amp;utm_source=sheet", "Apply")</f>
        <v>Apply</v>
      </c>
      <c r="C423" s="10" t="s">
        <v>3401</v>
      </c>
      <c r="D423" s="56" t="s">
        <v>3402</v>
      </c>
      <c r="E423" s="10" t="s">
        <v>45</v>
      </c>
      <c r="F423" s="10" t="s">
        <v>3403</v>
      </c>
      <c r="G423" s="10" t="s">
        <v>2495</v>
      </c>
      <c r="H423" s="10" t="s">
        <v>429</v>
      </c>
      <c r="I423" s="10" t="s">
        <v>55</v>
      </c>
      <c r="K423" s="10" t="s">
        <v>3404</v>
      </c>
      <c r="L423" s="10" t="s">
        <v>42</v>
      </c>
    </row>
    <row r="424" ht="15.75" customHeight="1">
      <c r="A424" s="66">
        <v>45498.0</v>
      </c>
      <c r="B424" s="55" t="str">
        <f>HYPERLINK("https://jobright.ai/jobs/info/664e202cb45b688e7b70f57a?utm_campaign=1062&amp;utm_source=sheet", "Apply")</f>
        <v>Apply</v>
      </c>
      <c r="C424" s="10" t="s">
        <v>3405</v>
      </c>
      <c r="D424" s="56" t="s">
        <v>3406</v>
      </c>
      <c r="E424" s="10" t="s">
        <v>209</v>
      </c>
      <c r="F424" s="10" t="s">
        <v>221</v>
      </c>
      <c r="G424" s="10" t="s">
        <v>3005</v>
      </c>
      <c r="H424" s="10" t="s">
        <v>232</v>
      </c>
      <c r="I424" s="10" t="s">
        <v>55</v>
      </c>
      <c r="J424" s="10" t="s">
        <v>1960</v>
      </c>
      <c r="K424" s="10" t="s">
        <v>3407</v>
      </c>
      <c r="L424" s="10" t="s">
        <v>42</v>
      </c>
    </row>
    <row r="425" ht="15.75" customHeight="1">
      <c r="A425" s="66">
        <v>45498.0</v>
      </c>
      <c r="B425" s="55" t="str">
        <f>HYPERLINK("https://jobright.ai/jobs/info/6697c4de8ba4150d34e5cfd8?utm_campaign=1062&amp;utm_source=sheet", "Apply")</f>
        <v>Apply</v>
      </c>
      <c r="C425" s="10" t="s">
        <v>3408</v>
      </c>
      <c r="D425" s="56" t="s">
        <v>3409</v>
      </c>
      <c r="E425" s="10" t="s">
        <v>65</v>
      </c>
      <c r="F425" s="10" t="s">
        <v>3410</v>
      </c>
      <c r="G425" s="10" t="s">
        <v>2437</v>
      </c>
      <c r="H425" s="10" t="s">
        <v>313</v>
      </c>
      <c r="I425" s="10" t="s">
        <v>55</v>
      </c>
      <c r="K425" s="10" t="s">
        <v>3411</v>
      </c>
      <c r="L425" s="10" t="s">
        <v>42</v>
      </c>
    </row>
    <row r="426" ht="15.75" customHeight="1">
      <c r="A426" s="66">
        <v>45498.0</v>
      </c>
      <c r="B426" s="55" t="str">
        <f>HYPERLINK("https://jobright.ai/jobs/info/66795bafdcb1db3fc098ecb2?utm_campaign=1062&amp;utm_source=sheet", "Apply")</f>
        <v>Apply</v>
      </c>
      <c r="C426" s="10" t="s">
        <v>3044</v>
      </c>
      <c r="D426" s="56" t="s">
        <v>2631</v>
      </c>
      <c r="E426" s="10" t="s">
        <v>209</v>
      </c>
      <c r="F426" s="10" t="s">
        <v>2632</v>
      </c>
      <c r="G426" s="10" t="s">
        <v>2464</v>
      </c>
      <c r="H426" s="10" t="s">
        <v>915</v>
      </c>
      <c r="I426" s="10" t="s">
        <v>55</v>
      </c>
      <c r="K426" s="10" t="s">
        <v>3045</v>
      </c>
      <c r="L426" s="10" t="s">
        <v>42</v>
      </c>
    </row>
    <row r="427" ht="15.75" customHeight="1">
      <c r="A427" s="66">
        <v>45498.0</v>
      </c>
      <c r="B427" s="55" t="str">
        <f>HYPERLINK("https://jobright.ai/jobs/info/6668a67ade85a4f4a376efa1?utm_campaign=1062&amp;utm_source=sheet", "Apply")</f>
        <v>Apply</v>
      </c>
      <c r="C427" s="10" t="s">
        <v>3412</v>
      </c>
      <c r="D427" s="56" t="s">
        <v>3413</v>
      </c>
      <c r="E427" s="10" t="s">
        <v>45</v>
      </c>
      <c r="F427" s="10" t="s">
        <v>3414</v>
      </c>
      <c r="G427" s="10" t="s">
        <v>2448</v>
      </c>
      <c r="H427" s="10" t="s">
        <v>245</v>
      </c>
      <c r="I427" s="10" t="s">
        <v>55</v>
      </c>
      <c r="K427" s="10" t="s">
        <v>3415</v>
      </c>
      <c r="L427" s="10" t="s">
        <v>42</v>
      </c>
    </row>
    <row r="428" ht="15.75" customHeight="1">
      <c r="A428" s="66">
        <v>45498.0</v>
      </c>
      <c r="B428" s="55" t="str">
        <f>HYPERLINK("https://jobright.ai/jobs/info/669f3005595bf027a25397ed?utm_campaign=1062&amp;utm_source=sheet", "Apply")</f>
        <v>Apply</v>
      </c>
      <c r="C428" s="10" t="s">
        <v>3021</v>
      </c>
      <c r="D428" s="56" t="s">
        <v>567</v>
      </c>
      <c r="E428" s="10" t="s">
        <v>65</v>
      </c>
      <c r="F428" s="10" t="s">
        <v>568</v>
      </c>
      <c r="G428" s="10" t="s">
        <v>2448</v>
      </c>
      <c r="H428" s="10" t="s">
        <v>898</v>
      </c>
      <c r="I428" s="10" t="s">
        <v>55</v>
      </c>
      <c r="J428" s="10" t="s">
        <v>3023</v>
      </c>
      <c r="K428" s="10" t="s">
        <v>3024</v>
      </c>
      <c r="L428" s="10" t="s">
        <v>42</v>
      </c>
    </row>
    <row r="429" ht="15.75" customHeight="1">
      <c r="A429" s="66">
        <v>45498.0</v>
      </c>
      <c r="B429" s="55" t="str">
        <f>HYPERLINK("https://jobright.ai/jobs/info/66a2305401e1969f1d5dcd11?utm_campaign=1062&amp;utm_source=sheet", "Apply")</f>
        <v>Apply</v>
      </c>
      <c r="C429" s="10" t="s">
        <v>3416</v>
      </c>
      <c r="D429" s="56" t="s">
        <v>3417</v>
      </c>
      <c r="E429" s="10" t="s">
        <v>79</v>
      </c>
      <c r="F429" s="10" t="s">
        <v>3418</v>
      </c>
      <c r="G429" s="10" t="s">
        <v>2459</v>
      </c>
      <c r="H429" s="10" t="s">
        <v>3419</v>
      </c>
      <c r="I429" s="10" t="s">
        <v>48</v>
      </c>
      <c r="K429" s="10" t="s">
        <v>3420</v>
      </c>
      <c r="L429" s="10" t="s">
        <v>42</v>
      </c>
    </row>
    <row r="430" ht="15.75" customHeight="1">
      <c r="A430" s="66">
        <v>45498.0</v>
      </c>
      <c r="B430" s="55" t="str">
        <f>HYPERLINK("https://jobright.ai/jobs/info/669f5b15d7dfb4393d947cd7?utm_campaign=1062&amp;utm_source=sheet", "Apply")</f>
        <v>Apply</v>
      </c>
      <c r="C430" s="10" t="s">
        <v>3021</v>
      </c>
      <c r="D430" s="56" t="s">
        <v>567</v>
      </c>
      <c r="E430" s="10" t="s">
        <v>65</v>
      </c>
      <c r="F430" s="10" t="s">
        <v>568</v>
      </c>
      <c r="G430" s="10" t="s">
        <v>2448</v>
      </c>
      <c r="H430" s="10" t="s">
        <v>313</v>
      </c>
      <c r="I430" s="10" t="s">
        <v>55</v>
      </c>
      <c r="J430" s="10" t="s">
        <v>3023</v>
      </c>
      <c r="K430" s="10" t="s">
        <v>3024</v>
      </c>
      <c r="L430" s="10" t="s">
        <v>42</v>
      </c>
    </row>
    <row r="431" ht="15.75" customHeight="1">
      <c r="A431" s="66">
        <v>45498.0</v>
      </c>
      <c r="B431" s="55" t="str">
        <f>HYPERLINK("https://jobright.ai/jobs/info/669f5b15d7dfb4393d947cd6?utm_campaign=1062&amp;utm_source=sheet", "Apply")</f>
        <v>Apply</v>
      </c>
      <c r="C431" s="10" t="s">
        <v>3021</v>
      </c>
      <c r="D431" s="56" t="s">
        <v>567</v>
      </c>
      <c r="E431" s="10" t="s">
        <v>65</v>
      </c>
      <c r="F431" s="10" t="s">
        <v>568</v>
      </c>
      <c r="G431" s="10" t="s">
        <v>2448</v>
      </c>
      <c r="H431" s="10" t="s">
        <v>165</v>
      </c>
      <c r="I431" s="10" t="s">
        <v>55</v>
      </c>
      <c r="J431" s="10" t="s">
        <v>3023</v>
      </c>
      <c r="K431" s="10" t="s">
        <v>3024</v>
      </c>
      <c r="L431" s="10" t="s">
        <v>42</v>
      </c>
    </row>
    <row r="432" ht="15.75" customHeight="1">
      <c r="A432" s="66">
        <v>45498.0</v>
      </c>
      <c r="B432" s="55" t="str">
        <f>HYPERLINK("https://jobright.ai/jobs/info/66a1e89c1aee6f8551140cbd?utm_campaign=1062&amp;utm_source=sheet", "Apply")</f>
        <v>Apply</v>
      </c>
      <c r="C432" s="10" t="s">
        <v>3421</v>
      </c>
      <c r="D432" s="56" t="s">
        <v>3422</v>
      </c>
      <c r="E432" s="10" t="s">
        <v>71</v>
      </c>
      <c r="G432" s="10" t="s">
        <v>2448</v>
      </c>
      <c r="H432" s="10" t="s">
        <v>3423</v>
      </c>
      <c r="I432" s="10" t="s">
        <v>55</v>
      </c>
      <c r="J432" s="10" t="s">
        <v>3424</v>
      </c>
      <c r="K432" s="10" t="s">
        <v>3425</v>
      </c>
      <c r="L432" s="10" t="s">
        <v>42</v>
      </c>
    </row>
    <row r="433" ht="15.75" customHeight="1">
      <c r="A433" s="66">
        <v>45498.0</v>
      </c>
      <c r="B433" s="55" t="str">
        <f>HYPERLINK("https://jobright.ai/jobs/info/66a1ec03c1d4867d0d438be7?utm_campaign=1062&amp;utm_source=sheet", "Apply")</f>
        <v>Apply</v>
      </c>
      <c r="C433" s="10" t="s">
        <v>3426</v>
      </c>
      <c r="D433" s="56" t="s">
        <v>2818</v>
      </c>
      <c r="E433" s="10" t="s">
        <v>209</v>
      </c>
      <c r="F433" s="10" t="s">
        <v>2819</v>
      </c>
      <c r="G433" s="10" t="s">
        <v>2470</v>
      </c>
      <c r="H433" s="10" t="s">
        <v>3427</v>
      </c>
      <c r="I433" s="10" t="s">
        <v>55</v>
      </c>
      <c r="K433" s="10" t="s">
        <v>3428</v>
      </c>
      <c r="L433" s="10" t="s">
        <v>42</v>
      </c>
    </row>
    <row r="434" ht="15.75" customHeight="1">
      <c r="A434" s="66">
        <v>45498.0</v>
      </c>
      <c r="B434" s="55" t="str">
        <f>HYPERLINK("https://jobright.ai/jobs/info/669f3ad9b6822b542faead78?utm_campaign=1062&amp;utm_source=sheet", "Apply")</f>
        <v>Apply</v>
      </c>
      <c r="C434" s="10" t="s">
        <v>3021</v>
      </c>
      <c r="D434" s="56" t="s">
        <v>567</v>
      </c>
      <c r="E434" s="10" t="s">
        <v>65</v>
      </c>
      <c r="F434" s="10" t="s">
        <v>568</v>
      </c>
      <c r="G434" s="10" t="s">
        <v>2448</v>
      </c>
      <c r="H434" s="10" t="s">
        <v>2398</v>
      </c>
      <c r="I434" s="10" t="s">
        <v>55</v>
      </c>
      <c r="J434" s="10" t="s">
        <v>3023</v>
      </c>
      <c r="K434" s="10" t="s">
        <v>3024</v>
      </c>
      <c r="L434" s="10" t="s">
        <v>42</v>
      </c>
    </row>
    <row r="435" ht="15.75" customHeight="1">
      <c r="A435" s="66">
        <v>45498.0</v>
      </c>
      <c r="B435" s="55" t="str">
        <f>HYPERLINK("https://jobright.ai/jobs/info/66a1de72e6c3fb3842f9b069?utm_campaign=1062&amp;utm_source=sheet", "Apply")</f>
        <v>Apply</v>
      </c>
      <c r="C435" s="10" t="s">
        <v>2630</v>
      </c>
      <c r="D435" s="56" t="s">
        <v>2631</v>
      </c>
      <c r="E435" s="10" t="s">
        <v>209</v>
      </c>
      <c r="F435" s="10" t="s">
        <v>2632</v>
      </c>
      <c r="G435" s="10" t="s">
        <v>2464</v>
      </c>
      <c r="H435" s="10" t="s">
        <v>3429</v>
      </c>
      <c r="I435" s="10" t="s">
        <v>55</v>
      </c>
      <c r="J435" s="10" t="s">
        <v>3430</v>
      </c>
      <c r="K435" s="10" t="s">
        <v>2633</v>
      </c>
      <c r="L435" s="10" t="s">
        <v>42</v>
      </c>
    </row>
    <row r="436" ht="15.75" customHeight="1">
      <c r="A436" s="66">
        <v>45498.0</v>
      </c>
      <c r="B436" s="55" t="str">
        <f>HYPERLINK("https://jobright.ai/jobs/info/66a1de72e6c3fb3842f9b07a?utm_campaign=1062&amp;utm_source=sheet", "Apply")</f>
        <v>Apply</v>
      </c>
      <c r="C436" s="10" t="s">
        <v>3431</v>
      </c>
      <c r="D436" s="56" t="s">
        <v>3432</v>
      </c>
      <c r="E436" s="10" t="s">
        <v>209</v>
      </c>
      <c r="F436" s="10" t="s">
        <v>3433</v>
      </c>
      <c r="G436" s="10" t="s">
        <v>2470</v>
      </c>
      <c r="H436" s="10" t="s">
        <v>855</v>
      </c>
      <c r="I436" s="10" t="s">
        <v>55</v>
      </c>
      <c r="K436" s="10" t="s">
        <v>3434</v>
      </c>
      <c r="L436" s="10" t="s">
        <v>42</v>
      </c>
    </row>
    <row r="437" ht="15.75" customHeight="1">
      <c r="A437" s="66">
        <v>45498.0</v>
      </c>
      <c r="B437" s="55" t="str">
        <f>HYPERLINK("https://jobright.ai/jobs/info/66a1e8a61aee6f8551140d75?utm_campaign=1062&amp;utm_source=sheet", "Apply")</f>
        <v>Apply</v>
      </c>
      <c r="C437" s="10" t="s">
        <v>3435</v>
      </c>
      <c r="D437" s="56" t="s">
        <v>3436</v>
      </c>
      <c r="E437" s="10" t="s">
        <v>209</v>
      </c>
      <c r="F437" s="10" t="s">
        <v>3437</v>
      </c>
      <c r="G437" s="10" t="s">
        <v>2470</v>
      </c>
      <c r="H437" s="10" t="s">
        <v>3438</v>
      </c>
      <c r="I437" s="10" t="s">
        <v>55</v>
      </c>
      <c r="J437" s="10" t="s">
        <v>1189</v>
      </c>
      <c r="K437" s="10" t="s">
        <v>3439</v>
      </c>
      <c r="L437" s="10" t="s">
        <v>42</v>
      </c>
    </row>
    <row r="438" ht="15.75" customHeight="1">
      <c r="A438" s="66">
        <v>45498.0</v>
      </c>
      <c r="B438" s="55" t="str">
        <f>HYPERLINK("https://jobright.ai/jobs/info/669f3005595bf027a25397ee?utm_campaign=1062&amp;utm_source=sheet", "Apply")</f>
        <v>Apply</v>
      </c>
      <c r="C438" s="10" t="s">
        <v>3021</v>
      </c>
      <c r="D438" s="56" t="s">
        <v>567</v>
      </c>
      <c r="E438" s="10" t="s">
        <v>65</v>
      </c>
      <c r="F438" s="10" t="s">
        <v>568</v>
      </c>
      <c r="G438" s="10" t="s">
        <v>2448</v>
      </c>
      <c r="H438" s="10" t="s">
        <v>3440</v>
      </c>
      <c r="I438" s="10" t="s">
        <v>55</v>
      </c>
      <c r="J438" s="10" t="s">
        <v>3023</v>
      </c>
      <c r="K438" s="10" t="s">
        <v>3024</v>
      </c>
      <c r="L438" s="10" t="s">
        <v>42</v>
      </c>
    </row>
    <row r="439" ht="15.75" customHeight="1">
      <c r="A439" s="66">
        <v>45498.0</v>
      </c>
      <c r="B439" s="55" t="str">
        <f>HYPERLINK("https://jobright.ai/jobs/info/6675b076242bc4c930f29ea3?utm_campaign=1062&amp;utm_source=sheet", "Apply")</f>
        <v>Apply</v>
      </c>
      <c r="C439" s="10" t="s">
        <v>3441</v>
      </c>
      <c r="D439" s="56" t="s">
        <v>3442</v>
      </c>
      <c r="E439" s="10" t="s">
        <v>209</v>
      </c>
      <c r="F439" s="10" t="s">
        <v>3443</v>
      </c>
      <c r="G439" s="10" t="s">
        <v>2448</v>
      </c>
      <c r="H439" s="10" t="s">
        <v>167</v>
      </c>
      <c r="I439" s="10" t="s">
        <v>55</v>
      </c>
      <c r="K439" s="10" t="s">
        <v>3444</v>
      </c>
      <c r="L439" s="10" t="s">
        <v>42</v>
      </c>
    </row>
    <row r="440" ht="15.75" customHeight="1">
      <c r="A440" s="66">
        <v>45498.0</v>
      </c>
      <c r="B440" s="55" t="str">
        <f>HYPERLINK("https://jobright.ai/jobs/info/668c8bfb8ed793187891809c?utm_campaign=1062&amp;utm_source=sheet", "Apply")</f>
        <v>Apply</v>
      </c>
      <c r="C440" s="10" t="s">
        <v>3445</v>
      </c>
      <c r="D440" s="56" t="s">
        <v>243</v>
      </c>
      <c r="E440" s="10" t="s">
        <v>45</v>
      </c>
      <c r="F440" s="10" t="s">
        <v>244</v>
      </c>
      <c r="G440" s="10" t="s">
        <v>2484</v>
      </c>
      <c r="H440" s="10" t="s">
        <v>245</v>
      </c>
      <c r="I440" s="10" t="s">
        <v>48</v>
      </c>
      <c r="K440" s="10" t="s">
        <v>3446</v>
      </c>
      <c r="L440" s="10" t="s">
        <v>42</v>
      </c>
    </row>
    <row r="441" ht="15.75" customHeight="1">
      <c r="A441" s="66">
        <v>45498.0</v>
      </c>
      <c r="B441" s="55" t="str">
        <f>HYPERLINK("https://jobright.ai/jobs/info/66a1ca6af4111851b344770e?utm_campaign=1062&amp;utm_source=sheet", "Apply")</f>
        <v>Apply</v>
      </c>
      <c r="C441" s="10" t="s">
        <v>3447</v>
      </c>
      <c r="D441" s="56" t="s">
        <v>470</v>
      </c>
      <c r="E441" s="10" t="s">
        <v>45</v>
      </c>
      <c r="F441" s="10" t="s">
        <v>471</v>
      </c>
      <c r="G441" s="10" t="s">
        <v>2437</v>
      </c>
      <c r="H441" s="10" t="s">
        <v>472</v>
      </c>
      <c r="I441" s="10" t="s">
        <v>55</v>
      </c>
      <c r="J441" s="10" t="s">
        <v>473</v>
      </c>
      <c r="K441" s="10" t="s">
        <v>3448</v>
      </c>
      <c r="L441" s="10" t="s">
        <v>42</v>
      </c>
    </row>
    <row r="442" ht="15.75" customHeight="1">
      <c r="A442" s="66">
        <v>45498.0</v>
      </c>
      <c r="B442" s="55" t="str">
        <f>HYPERLINK("https://jobright.ai/jobs/info/668c9108a04664baea38a3de?utm_campaign=1062&amp;utm_source=sheet", "Apply")</f>
        <v>Apply</v>
      </c>
      <c r="C442" s="10" t="s">
        <v>3342</v>
      </c>
      <c r="D442" s="56" t="s">
        <v>243</v>
      </c>
      <c r="E442" s="10" t="s">
        <v>45</v>
      </c>
      <c r="F442" s="10" t="s">
        <v>244</v>
      </c>
      <c r="G442" s="10" t="s">
        <v>2484</v>
      </c>
      <c r="H442" s="10" t="s">
        <v>3449</v>
      </c>
      <c r="I442" s="10" t="s">
        <v>48</v>
      </c>
      <c r="K442" s="10" t="s">
        <v>3343</v>
      </c>
      <c r="L442" s="10" t="s">
        <v>42</v>
      </c>
    </row>
    <row r="443" ht="15.75" customHeight="1">
      <c r="A443" s="66">
        <v>45498.0</v>
      </c>
      <c r="B443" s="55" t="str">
        <f>HYPERLINK("https://jobright.ai/jobs/info/66a1c29c3d7ffc3c7ef585ad?utm_campaign=1062&amp;utm_source=sheet", "Apply")</f>
        <v>Apply</v>
      </c>
      <c r="C443" s="10" t="s">
        <v>3450</v>
      </c>
      <c r="D443" s="56" t="s">
        <v>208</v>
      </c>
      <c r="E443" s="10" t="s">
        <v>209</v>
      </c>
      <c r="F443" s="10" t="s">
        <v>210</v>
      </c>
      <c r="G443" s="10" t="s">
        <v>2448</v>
      </c>
      <c r="H443" s="10" t="s">
        <v>211</v>
      </c>
      <c r="I443" s="10" t="s">
        <v>55</v>
      </c>
      <c r="K443" s="10" t="s">
        <v>3451</v>
      </c>
      <c r="L443" s="10" t="s">
        <v>42</v>
      </c>
    </row>
    <row r="444" ht="15.75" customHeight="1">
      <c r="A444" s="66">
        <v>45498.0</v>
      </c>
      <c r="B444" s="55" t="str">
        <f>HYPERLINK("https://jobright.ai/jobs/info/66a1da283d7ed6eb23d8827e?utm_campaign=1062&amp;utm_source=sheet", "Apply")</f>
        <v>Apply</v>
      </c>
      <c r="C444" s="10" t="s">
        <v>3254</v>
      </c>
      <c r="D444" s="56" t="s">
        <v>3452</v>
      </c>
      <c r="E444" s="10" t="s">
        <v>45</v>
      </c>
      <c r="F444" s="10" t="s">
        <v>3453</v>
      </c>
      <c r="G444" s="10" t="s">
        <v>2464</v>
      </c>
      <c r="H444" s="10" t="s">
        <v>874</v>
      </c>
      <c r="I444" s="10" t="s">
        <v>55</v>
      </c>
      <c r="K444" s="10" t="s">
        <v>3255</v>
      </c>
      <c r="L444" s="10" t="s">
        <v>42</v>
      </c>
    </row>
    <row r="445" ht="15.75" customHeight="1">
      <c r="A445" s="66">
        <v>45498.0</v>
      </c>
      <c r="B445" s="55" t="str">
        <f>HYPERLINK("https://jobright.ai/jobs/info/66a2592ae289cc1fdbedc04d?utm_campaign=1062&amp;utm_source=sheet", "Apply")</f>
        <v>Apply</v>
      </c>
      <c r="C445" s="10" t="s">
        <v>2933</v>
      </c>
      <c r="D445" s="56" t="s">
        <v>2934</v>
      </c>
      <c r="E445" s="10">
        <v>13.0</v>
      </c>
      <c r="G445" s="10" t="s">
        <v>2448</v>
      </c>
      <c r="H445" s="10" t="s">
        <v>2935</v>
      </c>
      <c r="I445" s="10" t="s">
        <v>55</v>
      </c>
      <c r="K445" s="10" t="s">
        <v>2936</v>
      </c>
      <c r="L445" s="10" t="s">
        <v>42</v>
      </c>
    </row>
    <row r="446" ht="15.75" customHeight="1">
      <c r="A446" s="66">
        <v>45498.0</v>
      </c>
      <c r="B446" s="55" t="str">
        <f>HYPERLINK("https://jobright.ai/jobs/info/66a1ac7d37b76c71711352a1?utm_campaign=1062&amp;utm_source=sheet", "Apply")</f>
        <v>Apply</v>
      </c>
      <c r="C446" s="10" t="s">
        <v>3454</v>
      </c>
      <c r="D446" s="56" t="s">
        <v>3455</v>
      </c>
      <c r="E446" s="10" t="s">
        <v>65</v>
      </c>
      <c r="F446" s="10" t="s">
        <v>1415</v>
      </c>
      <c r="G446" s="10" t="s">
        <v>2464</v>
      </c>
      <c r="H446" s="10" t="s">
        <v>1978</v>
      </c>
      <c r="I446" s="10" t="s">
        <v>55</v>
      </c>
      <c r="J446" s="10" t="s">
        <v>1409</v>
      </c>
      <c r="K446" s="10" t="s">
        <v>3456</v>
      </c>
      <c r="L446" s="10" t="s">
        <v>42</v>
      </c>
    </row>
    <row r="447" ht="15.75" customHeight="1">
      <c r="A447" s="66">
        <v>45498.0</v>
      </c>
      <c r="B447" s="55" t="str">
        <f>HYPERLINK("https://jobright.ai/jobs/info/66a1a9c2c21cf5f1f4e2e54f?utm_campaign=1062&amp;utm_source=sheet", "Apply")</f>
        <v>Apply</v>
      </c>
      <c r="C447" s="10" t="s">
        <v>3457</v>
      </c>
      <c r="D447" s="56" t="s">
        <v>3458</v>
      </c>
      <c r="E447" s="10" t="s">
        <v>65</v>
      </c>
      <c r="F447" s="10" t="s">
        <v>615</v>
      </c>
      <c r="G447" s="10" t="s">
        <v>2437</v>
      </c>
      <c r="H447" s="10" t="s">
        <v>152</v>
      </c>
      <c r="I447" s="10" t="s">
        <v>55</v>
      </c>
      <c r="K447" s="10" t="s">
        <v>3459</v>
      </c>
      <c r="L447" s="10" t="s">
        <v>42</v>
      </c>
    </row>
    <row r="448" ht="15.75" customHeight="1">
      <c r="A448" s="66">
        <v>45498.0</v>
      </c>
      <c r="B448" s="55" t="str">
        <f>HYPERLINK("https://jobright.ai/jobs/info/66a2eccc367ed95d6cc28b2c?utm_campaign=1062&amp;utm_source=sheet", "Apply")</f>
        <v>Apply</v>
      </c>
      <c r="C448" s="10" t="s">
        <v>3460</v>
      </c>
      <c r="D448" s="56" t="s">
        <v>3461</v>
      </c>
      <c r="E448" s="10" t="s">
        <v>65</v>
      </c>
      <c r="F448" s="10" t="s">
        <v>2964</v>
      </c>
      <c r="G448" s="10" t="s">
        <v>2484</v>
      </c>
      <c r="H448" s="10" t="s">
        <v>3462</v>
      </c>
      <c r="I448" s="10" t="s">
        <v>55</v>
      </c>
      <c r="J448" s="10" t="s">
        <v>1244</v>
      </c>
      <c r="K448" s="10" t="s">
        <v>3463</v>
      </c>
      <c r="L448" s="10" t="s">
        <v>42</v>
      </c>
    </row>
    <row r="449" ht="15.75" customHeight="1">
      <c r="A449" s="66">
        <v>45498.0</v>
      </c>
      <c r="B449" s="55" t="str">
        <f>HYPERLINK("https://jobright.ai/jobs/info/66a2c153bdefedf6c0ade3a4?utm_campaign=1062&amp;utm_source=sheet", "Apply")</f>
        <v>Apply</v>
      </c>
      <c r="C449" s="10" t="s">
        <v>3464</v>
      </c>
      <c r="D449" s="56" t="s">
        <v>3465</v>
      </c>
      <c r="E449" s="10" t="s">
        <v>276</v>
      </c>
      <c r="F449" s="10" t="s">
        <v>2828</v>
      </c>
      <c r="G449" s="10" t="s">
        <v>2448</v>
      </c>
      <c r="H449" s="10" t="s">
        <v>3466</v>
      </c>
      <c r="I449" s="10" t="s">
        <v>55</v>
      </c>
      <c r="J449" s="10" t="s">
        <v>2590</v>
      </c>
      <c r="K449" s="10" t="s">
        <v>3467</v>
      </c>
      <c r="L449" s="10" t="s">
        <v>42</v>
      </c>
    </row>
    <row r="450" ht="15.75" customHeight="1">
      <c r="A450" s="66">
        <v>45498.0</v>
      </c>
      <c r="B450" s="55" t="str">
        <f>HYPERLINK("https://jobright.ai/jobs/info/66a2aaf5f1e819529f993840?utm_campaign=1062&amp;utm_source=sheet", "Apply")</f>
        <v>Apply</v>
      </c>
      <c r="C450" s="10" t="s">
        <v>3468</v>
      </c>
      <c r="D450" s="56" t="s">
        <v>3469</v>
      </c>
      <c r="E450" s="10" t="s">
        <v>65</v>
      </c>
      <c r="F450" s="10" t="s">
        <v>3470</v>
      </c>
      <c r="G450" s="10" t="s">
        <v>2579</v>
      </c>
      <c r="H450" s="10" t="s">
        <v>3471</v>
      </c>
      <c r="I450" s="10" t="s">
        <v>55</v>
      </c>
      <c r="K450" s="10" t="s">
        <v>3472</v>
      </c>
      <c r="L450" s="10" t="s">
        <v>42</v>
      </c>
    </row>
    <row r="451" ht="15.75" customHeight="1">
      <c r="A451" s="66">
        <v>45498.0</v>
      </c>
      <c r="B451" s="55" t="str">
        <f>HYPERLINK("https://jobright.ai/jobs/info/66a2fc427d87c2086e260ff5?utm_campaign=1062&amp;utm_source=sheet", "Apply")</f>
        <v>Apply</v>
      </c>
      <c r="C451" s="10" t="s">
        <v>3473</v>
      </c>
      <c r="D451" s="56" t="s">
        <v>2318</v>
      </c>
      <c r="E451" s="10" t="s">
        <v>45</v>
      </c>
      <c r="F451" s="10" t="s">
        <v>2319</v>
      </c>
      <c r="G451" s="10" t="s">
        <v>2509</v>
      </c>
      <c r="H451" s="10" t="s">
        <v>113</v>
      </c>
      <c r="I451" s="10" t="s">
        <v>48</v>
      </c>
      <c r="K451" s="10" t="s">
        <v>3474</v>
      </c>
      <c r="L451" s="10" t="s">
        <v>42</v>
      </c>
    </row>
    <row r="452" ht="15.75" customHeight="1">
      <c r="A452" s="66">
        <v>45498.0</v>
      </c>
      <c r="B452" s="55" t="str">
        <f>HYPERLINK("https://jobright.ai/jobs/info/66a35752b1561ee63493e797?utm_campaign=1062&amp;utm_source=sheet", "Apply")</f>
        <v>Apply</v>
      </c>
      <c r="C452" s="10" t="s">
        <v>2879</v>
      </c>
      <c r="D452" s="56" t="s">
        <v>1675</v>
      </c>
      <c r="E452" s="10" t="s">
        <v>45</v>
      </c>
      <c r="F452" s="10" t="s">
        <v>1676</v>
      </c>
      <c r="G452" s="10" t="s">
        <v>2455</v>
      </c>
      <c r="H452" s="10" t="s">
        <v>1677</v>
      </c>
      <c r="I452" s="10" t="s">
        <v>55</v>
      </c>
      <c r="J452" s="10" t="s">
        <v>3475</v>
      </c>
      <c r="K452" s="10" t="s">
        <v>2880</v>
      </c>
      <c r="L452" s="10" t="s">
        <v>42</v>
      </c>
    </row>
    <row r="453" ht="15.75" customHeight="1">
      <c r="A453" s="66">
        <v>45498.0</v>
      </c>
      <c r="B453" s="55" t="str">
        <f>HYPERLINK("https://jobright.ai/jobs/info/66a2aa3d022211b3c86217be?utm_campaign=1062&amp;utm_source=sheet", "Apply")</f>
        <v>Apply</v>
      </c>
      <c r="C453" s="10" t="s">
        <v>3476</v>
      </c>
      <c r="D453" s="56" t="s">
        <v>3477</v>
      </c>
      <c r="E453" s="10" t="s">
        <v>45</v>
      </c>
      <c r="F453" s="10" t="s">
        <v>1284</v>
      </c>
      <c r="G453" s="10" t="s">
        <v>2484</v>
      </c>
      <c r="H453" s="10" t="s">
        <v>3478</v>
      </c>
      <c r="I453" s="10" t="s">
        <v>55</v>
      </c>
      <c r="K453" s="10" t="s">
        <v>3479</v>
      </c>
      <c r="L453" s="10" t="s">
        <v>42</v>
      </c>
    </row>
    <row r="454" ht="15.75" customHeight="1">
      <c r="A454" s="66">
        <v>45498.0</v>
      </c>
      <c r="B454" s="55" t="str">
        <f>HYPERLINK("https://jobright.ai/jobs/info/66a3f4ed5fcbfa8457ce14ed?utm_campaign=1062&amp;utm_source=sheet", "Apply")</f>
        <v>Apply</v>
      </c>
      <c r="C454" s="10" t="s">
        <v>2599</v>
      </c>
      <c r="D454" s="56" t="s">
        <v>2600</v>
      </c>
      <c r="E454" s="10" t="s">
        <v>79</v>
      </c>
      <c r="F454" s="10" t="s">
        <v>2601</v>
      </c>
      <c r="G454" s="10" t="s">
        <v>2448</v>
      </c>
      <c r="H454" s="10" t="s">
        <v>3480</v>
      </c>
      <c r="I454" s="10" t="s">
        <v>55</v>
      </c>
      <c r="K454" s="10" t="s">
        <v>2603</v>
      </c>
      <c r="L454" s="10" t="s">
        <v>42</v>
      </c>
    </row>
    <row r="455" ht="15.75" customHeight="1">
      <c r="A455" s="66">
        <v>45497.0</v>
      </c>
      <c r="B455" s="55" t="str">
        <f>HYPERLINK("https://jobright.ai/jobs/info/66a19672f9b220ff437e559e?utm_campaign=1062&amp;utm_source=sheet", "Apply")</f>
        <v>Apply</v>
      </c>
      <c r="C455" s="10" t="s">
        <v>3481</v>
      </c>
      <c r="D455" s="56" t="s">
        <v>2462</v>
      </c>
      <c r="E455" s="10" t="s">
        <v>79</v>
      </c>
      <c r="F455" s="10" t="s">
        <v>2463</v>
      </c>
      <c r="G455" s="10" t="s">
        <v>2448</v>
      </c>
      <c r="H455" s="10" t="s">
        <v>3482</v>
      </c>
      <c r="I455" s="10" t="s">
        <v>48</v>
      </c>
      <c r="K455" s="10" t="s">
        <v>3483</v>
      </c>
      <c r="L455" s="10" t="s">
        <v>42</v>
      </c>
    </row>
    <row r="456" ht="15.75" customHeight="1">
      <c r="A456" s="66">
        <v>45497.0</v>
      </c>
      <c r="B456" s="55" t="str">
        <f>HYPERLINK("https://jobright.ai/jobs/info/66a1badd91191f45df57dd1d?utm_campaign=1062&amp;utm_source=sheet", "Apply")</f>
        <v>Apply</v>
      </c>
      <c r="C456" s="10" t="s">
        <v>3484</v>
      </c>
      <c r="D456" s="56" t="s">
        <v>3485</v>
      </c>
      <c r="E456" s="10" t="s">
        <v>137</v>
      </c>
      <c r="F456" s="10" t="s">
        <v>3486</v>
      </c>
      <c r="G456" s="10" t="s">
        <v>2437</v>
      </c>
      <c r="H456" s="10" t="s">
        <v>666</v>
      </c>
      <c r="I456" s="10" t="s">
        <v>55</v>
      </c>
      <c r="K456" s="10" t="s">
        <v>3487</v>
      </c>
      <c r="L456" s="10" t="s">
        <v>42</v>
      </c>
    </row>
    <row r="457" ht="15.75" customHeight="1">
      <c r="A457" s="66">
        <v>45497.0</v>
      </c>
      <c r="B457" s="55" t="str">
        <f>HYPERLINK("https://jobright.ai/jobs/info/66a19aa619aa36879dd24928?utm_campaign=1062&amp;utm_source=sheet", "Apply")</f>
        <v>Apply</v>
      </c>
      <c r="C457" s="10" t="s">
        <v>3488</v>
      </c>
      <c r="D457" s="56" t="s">
        <v>2493</v>
      </c>
      <c r="E457" s="10" t="s">
        <v>45</v>
      </c>
      <c r="F457" s="10" t="s">
        <v>2494</v>
      </c>
      <c r="G457" s="10" t="s">
        <v>2437</v>
      </c>
      <c r="H457" s="10" t="s">
        <v>936</v>
      </c>
      <c r="I457" s="10" t="s">
        <v>55</v>
      </c>
      <c r="K457" s="10" t="s">
        <v>3489</v>
      </c>
      <c r="L457" s="10" t="s">
        <v>42</v>
      </c>
    </row>
    <row r="458" ht="15.75" customHeight="1">
      <c r="A458" s="66">
        <v>45497.0</v>
      </c>
      <c r="B458" s="55" t="str">
        <f>HYPERLINK("https://jobright.ai/jobs/info/66a1a9ccc21cf5f1f4e2e632?utm_campaign=1062&amp;utm_source=sheet", "Apply")</f>
        <v>Apply</v>
      </c>
      <c r="C458" s="10" t="s">
        <v>3490</v>
      </c>
      <c r="D458" s="56" t="s">
        <v>3485</v>
      </c>
      <c r="E458" s="10" t="s">
        <v>137</v>
      </c>
      <c r="F458" s="10" t="s">
        <v>3486</v>
      </c>
      <c r="G458" s="10" t="s">
        <v>2470</v>
      </c>
      <c r="H458" s="10" t="s">
        <v>106</v>
      </c>
      <c r="I458" s="10" t="s">
        <v>55</v>
      </c>
      <c r="K458" s="10" t="s">
        <v>3491</v>
      </c>
      <c r="L458" s="10" t="s">
        <v>42</v>
      </c>
    </row>
    <row r="459" ht="15.75" customHeight="1">
      <c r="A459" s="66">
        <v>45497.0</v>
      </c>
      <c r="B459" s="55" t="str">
        <f>HYPERLINK("https://jobright.ai/jobs/info/66a1a9ccc21cf5f1f4e2e633?utm_campaign=1062&amp;utm_source=sheet", "Apply")</f>
        <v>Apply</v>
      </c>
      <c r="C459" s="10" t="s">
        <v>3492</v>
      </c>
      <c r="D459" s="56" t="s">
        <v>3485</v>
      </c>
      <c r="E459" s="10" t="s">
        <v>137</v>
      </c>
      <c r="F459" s="10" t="s">
        <v>3486</v>
      </c>
      <c r="G459" s="10" t="s">
        <v>2470</v>
      </c>
      <c r="H459" s="10" t="s">
        <v>106</v>
      </c>
      <c r="I459" s="10" t="s">
        <v>55</v>
      </c>
      <c r="K459" s="10" t="s">
        <v>3493</v>
      </c>
      <c r="L459" s="10" t="s">
        <v>42</v>
      </c>
    </row>
    <row r="460" ht="15.75" customHeight="1">
      <c r="A460" s="66">
        <v>45497.0</v>
      </c>
      <c r="B460" s="55" t="str">
        <f>HYPERLINK("https://jobright.ai/jobs/info/66a1a9d7c21cf5f1f4e2e76b?utm_campaign=1062&amp;utm_source=sheet", "Apply")</f>
        <v>Apply</v>
      </c>
      <c r="C460" s="10" t="s">
        <v>3492</v>
      </c>
      <c r="D460" s="56" t="s">
        <v>3485</v>
      </c>
      <c r="E460" s="10" t="s">
        <v>137</v>
      </c>
      <c r="F460" s="10" t="s">
        <v>3486</v>
      </c>
      <c r="G460" s="10" t="s">
        <v>2470</v>
      </c>
      <c r="H460" s="10" t="s">
        <v>101</v>
      </c>
      <c r="I460" s="10" t="s">
        <v>55</v>
      </c>
      <c r="K460" s="10" t="s">
        <v>3493</v>
      </c>
      <c r="L460" s="10" t="s">
        <v>42</v>
      </c>
    </row>
    <row r="461" ht="15.75" customHeight="1">
      <c r="A461" s="66">
        <v>45497.0</v>
      </c>
      <c r="B461" s="55" t="str">
        <f>HYPERLINK("https://jobright.ai/jobs/info/66a1a9d7c21cf5f1f4e2e736?utm_campaign=1062&amp;utm_source=sheet", "Apply")</f>
        <v>Apply</v>
      </c>
      <c r="C461" s="10" t="s">
        <v>3494</v>
      </c>
      <c r="D461" s="56" t="s">
        <v>3485</v>
      </c>
      <c r="E461" s="10" t="s">
        <v>137</v>
      </c>
      <c r="F461" s="10" t="s">
        <v>3486</v>
      </c>
      <c r="G461" s="10" t="s">
        <v>2437</v>
      </c>
      <c r="H461" s="10" t="s">
        <v>101</v>
      </c>
      <c r="I461" s="10" t="s">
        <v>55</v>
      </c>
      <c r="K461" s="10" t="s">
        <v>3495</v>
      </c>
      <c r="L461" s="10" t="s">
        <v>42</v>
      </c>
    </row>
    <row r="462" ht="15.75" customHeight="1">
      <c r="A462" s="66">
        <v>45497.0</v>
      </c>
      <c r="B462" s="55" t="str">
        <f>HYPERLINK("https://jobright.ai/jobs/info/66a1a9d7c21cf5f1f4e2e738?utm_campaign=1062&amp;utm_source=sheet", "Apply")</f>
        <v>Apply</v>
      </c>
      <c r="C462" s="10" t="s">
        <v>3496</v>
      </c>
      <c r="D462" s="56" t="s">
        <v>3485</v>
      </c>
      <c r="E462" s="10" t="s">
        <v>137</v>
      </c>
      <c r="F462" s="10" t="s">
        <v>3486</v>
      </c>
      <c r="G462" s="10" t="s">
        <v>2437</v>
      </c>
      <c r="H462" s="10" t="s">
        <v>101</v>
      </c>
      <c r="I462" s="10" t="s">
        <v>55</v>
      </c>
      <c r="K462" s="10" t="s">
        <v>3495</v>
      </c>
      <c r="L462" s="10" t="s">
        <v>42</v>
      </c>
    </row>
    <row r="463" ht="15.75" customHeight="1">
      <c r="A463" s="66">
        <v>45497.0</v>
      </c>
      <c r="B463" s="55" t="str">
        <f>HYPERLINK("https://jobright.ai/jobs/info/66a1a9ccc21cf5f1f4e2e63d?utm_campaign=1062&amp;utm_source=sheet", "Apply")</f>
        <v>Apply</v>
      </c>
      <c r="C463" s="10" t="s">
        <v>3497</v>
      </c>
      <c r="D463" s="56" t="s">
        <v>3485</v>
      </c>
      <c r="E463" s="10" t="s">
        <v>137</v>
      </c>
      <c r="F463" s="10" t="s">
        <v>3486</v>
      </c>
      <c r="G463" s="10" t="s">
        <v>2470</v>
      </c>
      <c r="H463" s="10" t="s">
        <v>101</v>
      </c>
      <c r="I463" s="10" t="s">
        <v>55</v>
      </c>
      <c r="K463" s="10" t="s">
        <v>3491</v>
      </c>
      <c r="L463" s="10" t="s">
        <v>42</v>
      </c>
    </row>
    <row r="464" ht="15.75" customHeight="1">
      <c r="A464" s="66">
        <v>45497.0</v>
      </c>
      <c r="B464" s="55" t="str">
        <f>HYPERLINK("https://jobright.ai/jobs/info/66a19b0379b79d29681d651a?utm_campaign=1062&amp;utm_source=sheet", "Apply")</f>
        <v>Apply</v>
      </c>
      <c r="C464" s="10" t="s">
        <v>3498</v>
      </c>
      <c r="D464" s="56" t="s">
        <v>2022</v>
      </c>
      <c r="E464" s="10" t="s">
        <v>45</v>
      </c>
      <c r="F464" s="10" t="s">
        <v>1893</v>
      </c>
      <c r="G464" s="10" t="s">
        <v>2443</v>
      </c>
      <c r="H464" s="10" t="s">
        <v>159</v>
      </c>
      <c r="I464" s="10" t="s">
        <v>55</v>
      </c>
      <c r="K464" s="10" t="s">
        <v>3499</v>
      </c>
      <c r="L464" s="10" t="s">
        <v>42</v>
      </c>
    </row>
    <row r="465" ht="15.75" customHeight="1">
      <c r="A465" s="66">
        <v>45497.0</v>
      </c>
      <c r="B465" s="55" t="str">
        <f>HYPERLINK("https://jobright.ai/jobs/info/66a1b81fcec011b316058436?utm_campaign=1062&amp;utm_source=sheet", "Apply")</f>
        <v>Apply</v>
      </c>
      <c r="C465" s="10" t="s">
        <v>2468</v>
      </c>
      <c r="D465" s="56" t="s">
        <v>2469</v>
      </c>
      <c r="E465" s="10">
        <v>12529.0</v>
      </c>
      <c r="G465" s="10" t="s">
        <v>2470</v>
      </c>
      <c r="H465" s="10" t="s">
        <v>3056</v>
      </c>
      <c r="I465" s="10" t="s">
        <v>55</v>
      </c>
      <c r="J465" s="10" t="s">
        <v>2471</v>
      </c>
      <c r="K465" s="10" t="s">
        <v>2472</v>
      </c>
      <c r="L465" s="10" t="s">
        <v>42</v>
      </c>
    </row>
    <row r="466" ht="15.75" customHeight="1">
      <c r="A466" s="66">
        <v>45497.0</v>
      </c>
      <c r="B466" s="55" t="str">
        <f>HYPERLINK("https://jobright.ai/jobs/info/66a1b511349d237c2fa6c47c?utm_campaign=1062&amp;utm_source=sheet", "Apply")</f>
        <v>Apply</v>
      </c>
      <c r="C466" s="10" t="s">
        <v>3500</v>
      </c>
      <c r="D466" s="56" t="s">
        <v>3485</v>
      </c>
      <c r="E466" s="10" t="s">
        <v>137</v>
      </c>
      <c r="F466" s="10" t="s">
        <v>3486</v>
      </c>
      <c r="G466" s="10" t="s">
        <v>2484</v>
      </c>
      <c r="H466" s="10" t="s">
        <v>106</v>
      </c>
      <c r="I466" s="10" t="s">
        <v>48</v>
      </c>
      <c r="K466" s="10" t="s">
        <v>3501</v>
      </c>
      <c r="L466" s="10" t="s">
        <v>42</v>
      </c>
    </row>
    <row r="467" ht="15.75" customHeight="1">
      <c r="A467" s="66">
        <v>45497.0</v>
      </c>
      <c r="B467" s="55" t="str">
        <f>HYPERLINK("https://jobright.ai/jobs/info/66a1b4eb349d237c2fa6be2f?utm_campaign=1062&amp;utm_source=sheet", "Apply")</f>
        <v>Apply</v>
      </c>
      <c r="C467" s="10" t="s">
        <v>3502</v>
      </c>
      <c r="D467" s="56" t="s">
        <v>3485</v>
      </c>
      <c r="E467" s="10" t="s">
        <v>137</v>
      </c>
      <c r="F467" s="10" t="s">
        <v>3486</v>
      </c>
      <c r="G467" s="10" t="s">
        <v>2484</v>
      </c>
      <c r="H467" s="10" t="s">
        <v>1030</v>
      </c>
      <c r="I467" s="10" t="s">
        <v>48</v>
      </c>
      <c r="K467" s="10" t="s">
        <v>3503</v>
      </c>
      <c r="L467" s="10" t="s">
        <v>42</v>
      </c>
    </row>
    <row r="468" ht="15.75" customHeight="1">
      <c r="A468" s="66">
        <v>45497.0</v>
      </c>
      <c r="B468" s="55" t="str">
        <f>HYPERLINK("https://jobright.ai/jobs/info/66a19742907c808499ce0135?utm_campaign=1062&amp;utm_source=sheet", "Apply")</f>
        <v>Apply</v>
      </c>
      <c r="C468" s="10" t="s">
        <v>2499</v>
      </c>
      <c r="D468" s="56" t="s">
        <v>2500</v>
      </c>
      <c r="E468" s="10" t="s">
        <v>209</v>
      </c>
      <c r="F468" s="10" t="s">
        <v>2501</v>
      </c>
      <c r="G468" s="10" t="s">
        <v>2502</v>
      </c>
      <c r="H468" s="10" t="s">
        <v>688</v>
      </c>
      <c r="I468" s="10" t="s">
        <v>55</v>
      </c>
      <c r="J468" s="10" t="s">
        <v>1984</v>
      </c>
      <c r="K468" s="10" t="s">
        <v>2503</v>
      </c>
      <c r="L468" s="10" t="s">
        <v>42</v>
      </c>
    </row>
    <row r="469" ht="15.75" customHeight="1">
      <c r="A469" s="66">
        <v>45497.0</v>
      </c>
      <c r="B469" s="55" t="str">
        <f>HYPERLINK("https://jobright.ai/jobs/info/66a1968cf9b220ff437e57ef?utm_campaign=1062&amp;utm_source=sheet", "Apply")</f>
        <v>Apply</v>
      </c>
      <c r="C469" s="10" t="s">
        <v>3494</v>
      </c>
      <c r="D469" s="56" t="s">
        <v>3485</v>
      </c>
      <c r="E469" s="10" t="s">
        <v>137</v>
      </c>
      <c r="F469" s="10" t="s">
        <v>3486</v>
      </c>
      <c r="G469" s="10" t="s">
        <v>2437</v>
      </c>
      <c r="H469" s="10" t="s">
        <v>666</v>
      </c>
      <c r="I469" s="10" t="s">
        <v>48</v>
      </c>
      <c r="K469" s="10" t="s">
        <v>3495</v>
      </c>
      <c r="L469" s="10" t="s">
        <v>42</v>
      </c>
    </row>
    <row r="470" ht="15.75" customHeight="1">
      <c r="A470" s="66">
        <v>45497.0</v>
      </c>
      <c r="B470" s="55" t="str">
        <f>HYPERLINK("https://jobright.ai/jobs/info/66a1968cf9b220ff437e57f0?utm_campaign=1062&amp;utm_source=sheet", "Apply")</f>
        <v>Apply</v>
      </c>
      <c r="C470" s="10" t="s">
        <v>3504</v>
      </c>
      <c r="D470" s="56" t="s">
        <v>3485</v>
      </c>
      <c r="E470" s="10" t="s">
        <v>137</v>
      </c>
      <c r="F470" s="10" t="s">
        <v>3486</v>
      </c>
      <c r="G470" s="10" t="s">
        <v>2484</v>
      </c>
      <c r="H470" s="10" t="s">
        <v>1030</v>
      </c>
      <c r="I470" s="10" t="s">
        <v>55</v>
      </c>
      <c r="K470" s="10" t="s">
        <v>3505</v>
      </c>
      <c r="L470" s="10" t="s">
        <v>42</v>
      </c>
    </row>
    <row r="471" ht="15.75" customHeight="1">
      <c r="A471" s="66">
        <v>45497.0</v>
      </c>
      <c r="B471" s="55" t="str">
        <f>HYPERLINK("https://jobright.ai/jobs/info/66a1968cf9b220ff437e57f1?utm_campaign=1062&amp;utm_source=sheet", "Apply")</f>
        <v>Apply</v>
      </c>
      <c r="C471" s="10" t="s">
        <v>3500</v>
      </c>
      <c r="D471" s="56" t="s">
        <v>3485</v>
      </c>
      <c r="E471" s="10" t="s">
        <v>137</v>
      </c>
      <c r="F471" s="10" t="s">
        <v>3486</v>
      </c>
      <c r="G471" s="10" t="s">
        <v>2484</v>
      </c>
      <c r="H471" s="10" t="s">
        <v>1030</v>
      </c>
      <c r="I471" s="10" t="s">
        <v>48</v>
      </c>
      <c r="K471" s="10" t="s">
        <v>3501</v>
      </c>
      <c r="L471" s="10" t="s">
        <v>42</v>
      </c>
    </row>
    <row r="472" ht="15.75" customHeight="1">
      <c r="A472" s="66">
        <v>45497.0</v>
      </c>
      <c r="B472" s="55" t="str">
        <f>HYPERLINK("https://jobright.ai/jobs/info/66a19672f9b220ff437e5615?utm_campaign=1062&amp;utm_source=sheet", "Apply")</f>
        <v>Apply</v>
      </c>
      <c r="C472" s="10" t="s">
        <v>3484</v>
      </c>
      <c r="D472" s="56" t="s">
        <v>3485</v>
      </c>
      <c r="E472" s="10" t="s">
        <v>137</v>
      </c>
      <c r="F472" s="10" t="s">
        <v>3486</v>
      </c>
      <c r="G472" s="10" t="s">
        <v>2437</v>
      </c>
      <c r="H472" s="10" t="s">
        <v>1030</v>
      </c>
      <c r="I472" s="10" t="s">
        <v>48</v>
      </c>
      <c r="K472" s="10" t="s">
        <v>3487</v>
      </c>
      <c r="L472" s="10" t="s">
        <v>42</v>
      </c>
    </row>
    <row r="473" ht="15.75" customHeight="1">
      <c r="A473" s="66">
        <v>45497.0</v>
      </c>
      <c r="B473" s="55" t="str">
        <f>HYPERLINK("https://jobright.ai/jobs/info/66a19672f9b220ff437e561c?utm_campaign=1062&amp;utm_source=sheet", "Apply")</f>
        <v>Apply</v>
      </c>
      <c r="C473" s="10" t="s">
        <v>3506</v>
      </c>
      <c r="D473" s="56" t="s">
        <v>3485</v>
      </c>
      <c r="E473" s="10" t="s">
        <v>137</v>
      </c>
      <c r="F473" s="10" t="s">
        <v>3486</v>
      </c>
      <c r="G473" s="10" t="s">
        <v>2437</v>
      </c>
      <c r="H473" s="10" t="s">
        <v>101</v>
      </c>
      <c r="I473" s="10" t="s">
        <v>48</v>
      </c>
      <c r="K473" s="10" t="s">
        <v>3495</v>
      </c>
      <c r="L473" s="10" t="s">
        <v>42</v>
      </c>
    </row>
    <row r="474" ht="15.75" customHeight="1">
      <c r="A474" s="66">
        <v>45497.0</v>
      </c>
      <c r="B474" s="55" t="str">
        <f>HYPERLINK("https://jobright.ai/jobs/info/66a265e1931bc6b9a8a146e3?utm_campaign=1062&amp;utm_source=sheet", "Apply")</f>
        <v>Apply</v>
      </c>
      <c r="C474" s="10" t="s">
        <v>2499</v>
      </c>
      <c r="D474" s="56" t="s">
        <v>2500</v>
      </c>
      <c r="E474" s="10" t="s">
        <v>209</v>
      </c>
      <c r="F474" s="10" t="s">
        <v>2501</v>
      </c>
      <c r="G474" s="10" t="s">
        <v>2502</v>
      </c>
      <c r="H474" s="10" t="s">
        <v>139</v>
      </c>
      <c r="I474" s="10" t="s">
        <v>55</v>
      </c>
      <c r="J474" s="10" t="s">
        <v>1984</v>
      </c>
      <c r="K474" s="10" t="s">
        <v>2503</v>
      </c>
      <c r="L474" s="10" t="s">
        <v>42</v>
      </c>
    </row>
    <row r="475" ht="15.75" customHeight="1">
      <c r="A475" s="66">
        <v>45497.0</v>
      </c>
      <c r="B475" s="55" t="str">
        <f>HYPERLINK("https://jobright.ai/jobs/info/66a1a3ae44dfa5a9b61c3878?utm_campaign=1062&amp;utm_source=sheet", "Apply")</f>
        <v>Apply</v>
      </c>
      <c r="C475" s="10" t="s">
        <v>2630</v>
      </c>
      <c r="D475" s="56" t="s">
        <v>2631</v>
      </c>
      <c r="E475" s="10" t="s">
        <v>209</v>
      </c>
      <c r="F475" s="10" t="s">
        <v>2632</v>
      </c>
      <c r="G475" s="10" t="s">
        <v>2464</v>
      </c>
      <c r="H475" s="10" t="s">
        <v>966</v>
      </c>
      <c r="I475" s="10" t="s">
        <v>55</v>
      </c>
      <c r="K475" s="10" t="s">
        <v>2633</v>
      </c>
      <c r="L475" s="10" t="s">
        <v>42</v>
      </c>
    </row>
    <row r="476" ht="15.75" customHeight="1">
      <c r="A476" s="66">
        <v>45497.0</v>
      </c>
      <c r="B476" s="55" t="str">
        <f>HYPERLINK("https://jobright.ai/jobs/info/668fe6b6c68e592406e06b48?utm_campaign=1062&amp;utm_source=sheet", "Apply")</f>
        <v>Apply</v>
      </c>
      <c r="C476" s="10" t="s">
        <v>3507</v>
      </c>
      <c r="D476" s="56" t="s">
        <v>3508</v>
      </c>
      <c r="E476" s="10" t="s">
        <v>209</v>
      </c>
      <c r="F476" s="10" t="s">
        <v>2365</v>
      </c>
      <c r="G476" s="10" t="s">
        <v>2437</v>
      </c>
      <c r="H476" s="10" t="s">
        <v>131</v>
      </c>
      <c r="I476" s="10" t="s">
        <v>48</v>
      </c>
      <c r="K476" s="10" t="s">
        <v>3509</v>
      </c>
      <c r="L476" s="10" t="s">
        <v>42</v>
      </c>
    </row>
    <row r="477" ht="15.75" customHeight="1">
      <c r="A477" s="66">
        <v>45497.0</v>
      </c>
      <c r="B477" s="55" t="str">
        <f>HYPERLINK("https://jobright.ai/jobs/info/66a1a03088a24549c55c0356?utm_campaign=1062&amp;utm_source=sheet", "Apply")</f>
        <v>Apply</v>
      </c>
      <c r="C477" s="10" t="s">
        <v>3510</v>
      </c>
      <c r="D477" s="56" t="s">
        <v>3508</v>
      </c>
      <c r="E477" s="10" t="s">
        <v>209</v>
      </c>
      <c r="F477" s="10" t="s">
        <v>2365</v>
      </c>
      <c r="G477" s="10" t="s">
        <v>2437</v>
      </c>
      <c r="H477" s="10" t="s">
        <v>131</v>
      </c>
      <c r="I477" s="10" t="s">
        <v>48</v>
      </c>
      <c r="K477" s="10" t="s">
        <v>3509</v>
      </c>
      <c r="L477" s="10" t="s">
        <v>42</v>
      </c>
    </row>
    <row r="478" ht="15.75" customHeight="1">
      <c r="A478" s="66">
        <v>45497.0</v>
      </c>
      <c r="B478" s="55" t="str">
        <f>HYPERLINK("https://jobright.ai/jobs/info/66a2305b01e1969f1d5dcde6?utm_campaign=1062&amp;utm_source=sheet", "Apply")</f>
        <v>Apply</v>
      </c>
      <c r="C478" s="10" t="s">
        <v>3511</v>
      </c>
      <c r="D478" s="56" t="s">
        <v>3512</v>
      </c>
      <c r="E478" s="10" t="s">
        <v>209</v>
      </c>
      <c r="F478" s="10" t="s">
        <v>1137</v>
      </c>
      <c r="G478" s="10" t="s">
        <v>2484</v>
      </c>
      <c r="H478" s="10" t="s">
        <v>146</v>
      </c>
      <c r="I478" s="10" t="s">
        <v>55</v>
      </c>
      <c r="K478" s="10" t="s">
        <v>3513</v>
      </c>
      <c r="L478" s="10" t="s">
        <v>42</v>
      </c>
    </row>
    <row r="479" ht="15.75" customHeight="1">
      <c r="A479" s="66">
        <v>45497.0</v>
      </c>
      <c r="B479" s="55" t="str">
        <f>HYPERLINK("https://jobright.ai/jobs/info/66a1940e7c2a83b26eb62190?utm_campaign=1062&amp;utm_source=sheet", "Apply")</f>
        <v>Apply</v>
      </c>
      <c r="C479" s="10" t="s">
        <v>3046</v>
      </c>
      <c r="D479" s="56" t="s">
        <v>2631</v>
      </c>
      <c r="E479" s="10" t="s">
        <v>209</v>
      </c>
      <c r="F479" s="10" t="s">
        <v>2632</v>
      </c>
      <c r="G479" s="10" t="s">
        <v>2437</v>
      </c>
      <c r="H479" s="10" t="s">
        <v>168</v>
      </c>
      <c r="I479" s="10" t="s">
        <v>55</v>
      </c>
      <c r="K479" s="10" t="s">
        <v>3048</v>
      </c>
      <c r="L479" s="10" t="s">
        <v>42</v>
      </c>
    </row>
    <row r="480" ht="15.75" customHeight="1">
      <c r="A480" s="66">
        <v>45497.0</v>
      </c>
      <c r="B480" s="55" t="str">
        <f>HYPERLINK("https://jobright.ai/jobs/info/66a184a2e6f51d676c026870?utm_campaign=1062&amp;utm_source=sheet", "Apply")</f>
        <v>Apply</v>
      </c>
      <c r="C480" s="10" t="s">
        <v>3514</v>
      </c>
      <c r="D480" s="56" t="s">
        <v>3515</v>
      </c>
      <c r="E480" s="10" t="s">
        <v>65</v>
      </c>
      <c r="F480" s="10" t="s">
        <v>3516</v>
      </c>
      <c r="G480" s="10" t="s">
        <v>2448</v>
      </c>
      <c r="H480" s="10" t="s">
        <v>965</v>
      </c>
      <c r="I480" s="10" t="s">
        <v>55</v>
      </c>
      <c r="K480" s="10" t="s">
        <v>3517</v>
      </c>
      <c r="L480" s="10" t="s">
        <v>42</v>
      </c>
    </row>
    <row r="481" ht="15.75" customHeight="1">
      <c r="A481" s="66">
        <v>45497.0</v>
      </c>
      <c r="B481" s="55" t="str">
        <f>HYPERLINK("https://jobright.ai/jobs/info/66a184a2e6f51d676c02689a?utm_campaign=1062&amp;utm_source=sheet", "Apply")</f>
        <v>Apply</v>
      </c>
      <c r="C481" s="10" t="s">
        <v>3518</v>
      </c>
      <c r="D481" s="56" t="s">
        <v>3519</v>
      </c>
      <c r="E481" s="10" t="s">
        <v>65</v>
      </c>
      <c r="F481" s="10" t="s">
        <v>1415</v>
      </c>
      <c r="G481" s="10" t="s">
        <v>2448</v>
      </c>
      <c r="H481" s="10" t="s">
        <v>505</v>
      </c>
      <c r="I481" s="10" t="s">
        <v>48</v>
      </c>
      <c r="K481" s="10" t="s">
        <v>3520</v>
      </c>
      <c r="L481" s="10" t="s">
        <v>42</v>
      </c>
    </row>
    <row r="482" ht="15.75" customHeight="1">
      <c r="A482" s="66">
        <v>45497.0</v>
      </c>
      <c r="B482" s="55" t="str">
        <f>HYPERLINK("https://jobright.ai/jobs/info/66a19e6eaa07bd39a0ce39f8?utm_campaign=1062&amp;utm_source=sheet", "Apply")</f>
        <v>Apply</v>
      </c>
      <c r="C482" s="10" t="s">
        <v>3521</v>
      </c>
      <c r="D482" s="56" t="s">
        <v>3485</v>
      </c>
      <c r="E482" s="10" t="s">
        <v>137</v>
      </c>
      <c r="F482" s="10" t="s">
        <v>3486</v>
      </c>
      <c r="G482" s="10" t="s">
        <v>2437</v>
      </c>
      <c r="H482" s="10" t="s">
        <v>666</v>
      </c>
      <c r="I482" s="10" t="s">
        <v>48</v>
      </c>
      <c r="K482" s="10" t="s">
        <v>3522</v>
      </c>
      <c r="L482" s="10" t="s">
        <v>42</v>
      </c>
    </row>
    <row r="483" ht="15.75" customHeight="1">
      <c r="A483" s="66">
        <v>45497.0</v>
      </c>
      <c r="B483" s="55" t="str">
        <f>HYPERLINK("https://jobright.ai/jobs/info/66a19e6eaa07bd39a0ce3a06?utm_campaign=1062&amp;utm_source=sheet", "Apply")</f>
        <v>Apply</v>
      </c>
      <c r="C483" s="10" t="s">
        <v>3484</v>
      </c>
      <c r="D483" s="56" t="s">
        <v>3485</v>
      </c>
      <c r="E483" s="10" t="s">
        <v>137</v>
      </c>
      <c r="F483" s="10" t="s">
        <v>3486</v>
      </c>
      <c r="G483" s="10" t="s">
        <v>2437</v>
      </c>
      <c r="H483" s="10" t="s">
        <v>106</v>
      </c>
      <c r="I483" s="10" t="s">
        <v>48</v>
      </c>
      <c r="K483" s="10" t="s">
        <v>3487</v>
      </c>
      <c r="L483" s="10" t="s">
        <v>42</v>
      </c>
    </row>
    <row r="484" ht="15.75" customHeight="1">
      <c r="A484" s="66">
        <v>45497.0</v>
      </c>
      <c r="B484" s="55" t="str">
        <f>HYPERLINK("https://jobright.ai/jobs/info/66a19e6eaa07bd39a0ce3a00?utm_campaign=1062&amp;utm_source=sheet", "Apply")</f>
        <v>Apply</v>
      </c>
      <c r="C484" s="10" t="s">
        <v>3523</v>
      </c>
      <c r="D484" s="56" t="s">
        <v>3485</v>
      </c>
      <c r="E484" s="10" t="s">
        <v>137</v>
      </c>
      <c r="F484" s="10" t="s">
        <v>3486</v>
      </c>
      <c r="G484" s="10" t="s">
        <v>2437</v>
      </c>
      <c r="H484" s="10" t="s">
        <v>106</v>
      </c>
      <c r="I484" s="10" t="s">
        <v>48</v>
      </c>
      <c r="K484" s="10" t="s">
        <v>3487</v>
      </c>
      <c r="L484" s="10" t="s">
        <v>42</v>
      </c>
    </row>
    <row r="485" ht="15.75" customHeight="1">
      <c r="A485" s="66">
        <v>45497.0</v>
      </c>
      <c r="B485" s="55" t="str">
        <f>HYPERLINK("https://jobright.ai/jobs/info/66a19e6eaa07bd39a0ce3a08?utm_campaign=1062&amp;utm_source=sheet", "Apply")</f>
        <v>Apply</v>
      </c>
      <c r="C485" s="10" t="s">
        <v>3524</v>
      </c>
      <c r="D485" s="56" t="s">
        <v>3485</v>
      </c>
      <c r="E485" s="10" t="s">
        <v>137</v>
      </c>
      <c r="F485" s="10" t="s">
        <v>3486</v>
      </c>
      <c r="G485" s="10" t="s">
        <v>2484</v>
      </c>
      <c r="H485" s="10" t="s">
        <v>106</v>
      </c>
      <c r="I485" s="10" t="s">
        <v>48</v>
      </c>
      <c r="K485" s="10" t="s">
        <v>3503</v>
      </c>
      <c r="L485" s="10" t="s">
        <v>42</v>
      </c>
    </row>
    <row r="486" ht="15.75" customHeight="1">
      <c r="A486" s="66">
        <v>45497.0</v>
      </c>
      <c r="B486" s="55" t="str">
        <f>HYPERLINK("https://jobright.ai/jobs/info/66a1badd91191f45df57dcf6?utm_campaign=1062&amp;utm_source=sheet", "Apply")</f>
        <v>Apply</v>
      </c>
      <c r="C486" s="10" t="s">
        <v>3525</v>
      </c>
      <c r="D486" s="56" t="s">
        <v>3485</v>
      </c>
      <c r="E486" s="10" t="s">
        <v>137</v>
      </c>
      <c r="F486" s="10" t="s">
        <v>3486</v>
      </c>
      <c r="G486" s="10" t="s">
        <v>2484</v>
      </c>
      <c r="H486" s="10" t="s">
        <v>666</v>
      </c>
      <c r="I486" s="10" t="s">
        <v>55</v>
      </c>
      <c r="K486" s="10" t="s">
        <v>3503</v>
      </c>
      <c r="L486" s="10" t="s">
        <v>42</v>
      </c>
    </row>
    <row r="487" ht="15.75" customHeight="1">
      <c r="A487" s="66">
        <v>45497.0</v>
      </c>
      <c r="B487" s="55" t="str">
        <f>HYPERLINK("https://jobright.ai/jobs/info/66a1bb0a91191f45df57e23f?utm_campaign=1062&amp;utm_source=sheet", "Apply")</f>
        <v>Apply</v>
      </c>
      <c r="C487" s="10" t="s">
        <v>3502</v>
      </c>
      <c r="D487" s="56" t="s">
        <v>3485</v>
      </c>
      <c r="E487" s="10" t="s">
        <v>137</v>
      </c>
      <c r="F487" s="10" t="s">
        <v>3486</v>
      </c>
      <c r="G487" s="10" t="s">
        <v>2484</v>
      </c>
      <c r="H487" s="10" t="s">
        <v>666</v>
      </c>
      <c r="I487" s="10" t="s">
        <v>55</v>
      </c>
      <c r="K487" s="10" t="s">
        <v>3503</v>
      </c>
      <c r="L487" s="10" t="s">
        <v>42</v>
      </c>
    </row>
    <row r="488" ht="15.75" customHeight="1">
      <c r="A488" s="66">
        <v>45497.0</v>
      </c>
      <c r="B488" s="55" t="str">
        <f>HYPERLINK("https://jobright.ai/jobs/info/66a1ac8837b76c717113538c?utm_campaign=1062&amp;utm_source=sheet", "Apply")</f>
        <v>Apply</v>
      </c>
      <c r="C488" s="10" t="s">
        <v>3526</v>
      </c>
      <c r="D488" s="56" t="s">
        <v>3485</v>
      </c>
      <c r="E488" s="10" t="s">
        <v>137</v>
      </c>
      <c r="F488" s="10" t="s">
        <v>3486</v>
      </c>
      <c r="G488" s="10" t="s">
        <v>2437</v>
      </c>
      <c r="H488" s="10" t="s">
        <v>1030</v>
      </c>
      <c r="I488" s="10" t="s">
        <v>48</v>
      </c>
      <c r="K488" s="10" t="s">
        <v>3495</v>
      </c>
      <c r="L488" s="10" t="s">
        <v>42</v>
      </c>
    </row>
    <row r="489" ht="15.75" customHeight="1">
      <c r="A489" s="66">
        <v>45497.0</v>
      </c>
      <c r="B489" s="55" t="str">
        <f>HYPERLINK("https://jobright.ai/jobs/info/66a1ac8837b76c717113538d?utm_campaign=1062&amp;utm_source=sheet", "Apply")</f>
        <v>Apply</v>
      </c>
      <c r="C489" s="10" t="s">
        <v>3527</v>
      </c>
      <c r="D489" s="56" t="s">
        <v>3485</v>
      </c>
      <c r="E489" s="10" t="s">
        <v>137</v>
      </c>
      <c r="F489" s="10" t="s">
        <v>3486</v>
      </c>
      <c r="G489" s="10" t="s">
        <v>2437</v>
      </c>
      <c r="H489" s="10" t="s">
        <v>1030</v>
      </c>
      <c r="I489" s="10" t="s">
        <v>48</v>
      </c>
      <c r="K489" s="10" t="s">
        <v>3495</v>
      </c>
      <c r="L489" s="10" t="s">
        <v>42</v>
      </c>
    </row>
    <row r="490" ht="15.75" customHeight="1">
      <c r="A490" s="66">
        <v>45497.0</v>
      </c>
      <c r="B490" s="55" t="str">
        <f>HYPERLINK("https://jobright.ai/jobs/info/66a1ac8a37b76c717113542d?utm_campaign=1062&amp;utm_source=sheet", "Apply")</f>
        <v>Apply</v>
      </c>
      <c r="C490" s="10" t="s">
        <v>3528</v>
      </c>
      <c r="D490" s="56" t="s">
        <v>3485</v>
      </c>
      <c r="E490" s="10" t="s">
        <v>137</v>
      </c>
      <c r="F490" s="10" t="s">
        <v>3486</v>
      </c>
      <c r="G490" s="10" t="s">
        <v>2484</v>
      </c>
      <c r="H490" s="10" t="s">
        <v>666</v>
      </c>
      <c r="I490" s="10" t="s">
        <v>48</v>
      </c>
      <c r="K490" s="10" t="s">
        <v>3503</v>
      </c>
      <c r="L490" s="10" t="s">
        <v>42</v>
      </c>
    </row>
    <row r="491" ht="15.75" customHeight="1">
      <c r="A491" s="66">
        <v>45497.0</v>
      </c>
      <c r="B491" s="55" t="str">
        <f>HYPERLINK("https://jobright.ai/jobs/info/66a1ac8a37b76c717113542e?utm_campaign=1062&amp;utm_source=sheet", "Apply")</f>
        <v>Apply</v>
      </c>
      <c r="C491" s="10" t="s">
        <v>3506</v>
      </c>
      <c r="D491" s="56" t="s">
        <v>3485</v>
      </c>
      <c r="E491" s="10" t="s">
        <v>137</v>
      </c>
      <c r="F491" s="10" t="s">
        <v>3486</v>
      </c>
      <c r="G491" s="10" t="s">
        <v>2437</v>
      </c>
      <c r="H491" s="10" t="s">
        <v>106</v>
      </c>
      <c r="I491" s="10" t="s">
        <v>48</v>
      </c>
      <c r="K491" s="10" t="s">
        <v>3495</v>
      </c>
      <c r="L491" s="10" t="s">
        <v>42</v>
      </c>
    </row>
    <row r="492" ht="15.75" customHeight="1">
      <c r="A492" s="66">
        <v>45497.0</v>
      </c>
      <c r="B492" s="55" t="str">
        <f>HYPERLINK("https://jobright.ai/jobs/info/66a1ac8a37b76c717113542f?utm_campaign=1062&amp;utm_source=sheet", "Apply")</f>
        <v>Apply</v>
      </c>
      <c r="C492" s="10" t="s">
        <v>3523</v>
      </c>
      <c r="D492" s="56" t="s">
        <v>3485</v>
      </c>
      <c r="E492" s="10" t="s">
        <v>137</v>
      </c>
      <c r="F492" s="10" t="s">
        <v>3486</v>
      </c>
      <c r="G492" s="10" t="s">
        <v>2437</v>
      </c>
      <c r="H492" s="10" t="s">
        <v>666</v>
      </c>
      <c r="I492" s="10" t="s">
        <v>48</v>
      </c>
      <c r="K492" s="10" t="s">
        <v>3487</v>
      </c>
      <c r="L492" s="10" t="s">
        <v>42</v>
      </c>
    </row>
    <row r="493" ht="15.75" customHeight="1">
      <c r="A493" s="66">
        <v>45497.0</v>
      </c>
      <c r="B493" s="55" t="str">
        <f>HYPERLINK("https://jobright.ai/jobs/info/66a1ac8837b76c717113538f?utm_campaign=1062&amp;utm_source=sheet", "Apply")</f>
        <v>Apply</v>
      </c>
      <c r="C493" s="10" t="s">
        <v>3529</v>
      </c>
      <c r="D493" s="56" t="s">
        <v>3485</v>
      </c>
      <c r="E493" s="10" t="s">
        <v>137</v>
      </c>
      <c r="F493" s="10" t="s">
        <v>3486</v>
      </c>
      <c r="G493" s="10" t="s">
        <v>2437</v>
      </c>
      <c r="H493" s="10" t="s">
        <v>1030</v>
      </c>
      <c r="I493" s="10" t="s">
        <v>48</v>
      </c>
      <c r="K493" s="10" t="s">
        <v>3495</v>
      </c>
      <c r="L493" s="10" t="s">
        <v>42</v>
      </c>
    </row>
    <row r="494" ht="15.75" customHeight="1">
      <c r="A494" s="66">
        <v>45497.0</v>
      </c>
      <c r="B494" s="55" t="str">
        <f>HYPERLINK("https://jobright.ai/jobs/info/66a18e13cc283f3a593af20b?utm_campaign=1062&amp;utm_source=sheet", "Apply")</f>
        <v>Apply</v>
      </c>
      <c r="C494" s="10" t="s">
        <v>3530</v>
      </c>
      <c r="D494" s="56" t="s">
        <v>3531</v>
      </c>
      <c r="E494" s="10" t="s">
        <v>209</v>
      </c>
      <c r="F494" s="10" t="s">
        <v>85</v>
      </c>
      <c r="G494" s="10" t="s">
        <v>2464</v>
      </c>
      <c r="H494" s="10" t="s">
        <v>3532</v>
      </c>
      <c r="I494" s="10" t="s">
        <v>55</v>
      </c>
      <c r="K494" s="10" t="s">
        <v>3533</v>
      </c>
      <c r="L494" s="10" t="s">
        <v>42</v>
      </c>
    </row>
    <row r="495" ht="15.75" customHeight="1">
      <c r="A495" s="66">
        <v>45497.0</v>
      </c>
      <c r="B495" s="55" t="str">
        <f>HYPERLINK("https://jobright.ai/jobs/info/66a18e13cc283f3a593af246?utm_campaign=1062&amp;utm_source=sheet", "Apply")</f>
        <v>Apply</v>
      </c>
      <c r="C495" s="10" t="s">
        <v>3496</v>
      </c>
      <c r="D495" s="56" t="s">
        <v>3485</v>
      </c>
      <c r="E495" s="10" t="s">
        <v>137</v>
      </c>
      <c r="F495" s="10" t="s">
        <v>3486</v>
      </c>
      <c r="G495" s="10" t="s">
        <v>2437</v>
      </c>
      <c r="H495" s="10" t="s">
        <v>106</v>
      </c>
      <c r="I495" s="10" t="s">
        <v>48</v>
      </c>
      <c r="K495" s="10" t="s">
        <v>3495</v>
      </c>
      <c r="L495" s="10" t="s">
        <v>42</v>
      </c>
    </row>
    <row r="496" ht="15.75" customHeight="1">
      <c r="A496" s="66">
        <v>45497.0</v>
      </c>
      <c r="B496" s="55" t="str">
        <f>HYPERLINK("https://jobright.ai/jobs/info/66a18e13cc283f3a593af244?utm_campaign=1062&amp;utm_source=sheet", "Apply")</f>
        <v>Apply</v>
      </c>
      <c r="C496" s="10" t="s">
        <v>3534</v>
      </c>
      <c r="D496" s="56" t="s">
        <v>3485</v>
      </c>
      <c r="E496" s="10" t="s">
        <v>137</v>
      </c>
      <c r="F496" s="10" t="s">
        <v>3486</v>
      </c>
      <c r="G496" s="10" t="s">
        <v>2437</v>
      </c>
      <c r="H496" s="10" t="s">
        <v>106</v>
      </c>
      <c r="I496" s="10" t="s">
        <v>48</v>
      </c>
      <c r="K496" s="10" t="s">
        <v>3522</v>
      </c>
      <c r="L496" s="10" t="s">
        <v>42</v>
      </c>
    </row>
    <row r="497" ht="15.75" customHeight="1">
      <c r="A497" s="66">
        <v>45497.0</v>
      </c>
      <c r="B497" s="55" t="str">
        <f>HYPERLINK("https://jobright.ai/jobs/info/66a18e13cc283f3a593af240?utm_campaign=1062&amp;utm_source=sheet", "Apply")</f>
        <v>Apply</v>
      </c>
      <c r="C497" s="10" t="s">
        <v>3504</v>
      </c>
      <c r="D497" s="56" t="s">
        <v>3485</v>
      </c>
      <c r="E497" s="10" t="s">
        <v>137</v>
      </c>
      <c r="F497" s="10" t="s">
        <v>3486</v>
      </c>
      <c r="G497" s="10" t="s">
        <v>2484</v>
      </c>
      <c r="H497" s="10" t="s">
        <v>106</v>
      </c>
      <c r="I497" s="10" t="s">
        <v>55</v>
      </c>
      <c r="K497" s="10" t="s">
        <v>3505</v>
      </c>
      <c r="L497" s="10" t="s">
        <v>42</v>
      </c>
    </row>
    <row r="498" ht="15.75" customHeight="1">
      <c r="A498" s="66">
        <v>45497.0</v>
      </c>
      <c r="B498" s="55" t="str">
        <f>HYPERLINK("https://jobright.ai/jobs/info/66a18e13cc283f3a593af24d?utm_campaign=1062&amp;utm_source=sheet", "Apply")</f>
        <v>Apply</v>
      </c>
      <c r="C498" s="10" t="s">
        <v>3523</v>
      </c>
      <c r="D498" s="56" t="s">
        <v>3485</v>
      </c>
      <c r="E498" s="10" t="s">
        <v>137</v>
      </c>
      <c r="F498" s="10" t="s">
        <v>3486</v>
      </c>
      <c r="G498" s="10" t="s">
        <v>2437</v>
      </c>
      <c r="H498" s="10" t="s">
        <v>1030</v>
      </c>
      <c r="I498" s="10" t="s">
        <v>48</v>
      </c>
      <c r="K498" s="10" t="s">
        <v>3487</v>
      </c>
      <c r="L498" s="10" t="s">
        <v>42</v>
      </c>
    </row>
    <row r="499" ht="15.75" customHeight="1">
      <c r="A499" s="66">
        <v>45497.0</v>
      </c>
      <c r="B499" s="55" t="str">
        <f>HYPERLINK("https://jobright.ai/jobs/info/66a18e13cc283f3a593af255?utm_campaign=1062&amp;utm_source=sheet", "Apply")</f>
        <v>Apply</v>
      </c>
      <c r="C499" s="10" t="s">
        <v>3500</v>
      </c>
      <c r="D499" s="56" t="s">
        <v>3485</v>
      </c>
      <c r="E499" s="10" t="s">
        <v>137</v>
      </c>
      <c r="F499" s="10" t="s">
        <v>3486</v>
      </c>
      <c r="G499" s="10" t="s">
        <v>2484</v>
      </c>
      <c r="H499" s="10" t="s">
        <v>666</v>
      </c>
      <c r="I499" s="10" t="s">
        <v>48</v>
      </c>
      <c r="K499" s="10" t="s">
        <v>3501</v>
      </c>
      <c r="L499" s="10" t="s">
        <v>42</v>
      </c>
    </row>
    <row r="500" ht="15.75" customHeight="1">
      <c r="A500" s="66">
        <v>45497.0</v>
      </c>
      <c r="B500" s="55" t="str">
        <f>HYPERLINK("https://jobright.ai/jobs/info/66a18e13cc283f3a593af254?utm_campaign=1062&amp;utm_source=sheet", "Apply")</f>
        <v>Apply</v>
      </c>
      <c r="C500" s="10" t="s">
        <v>3524</v>
      </c>
      <c r="D500" s="56" t="s">
        <v>3485</v>
      </c>
      <c r="E500" s="10" t="s">
        <v>137</v>
      </c>
      <c r="F500" s="10" t="s">
        <v>3486</v>
      </c>
      <c r="G500" s="10" t="s">
        <v>2484</v>
      </c>
      <c r="H500" s="10" t="s">
        <v>666</v>
      </c>
      <c r="I500" s="10" t="s">
        <v>48</v>
      </c>
      <c r="K500" s="10" t="s">
        <v>3503</v>
      </c>
      <c r="L500" s="10" t="s">
        <v>42</v>
      </c>
    </row>
    <row r="501" ht="15.75" customHeight="1">
      <c r="A501" s="66">
        <v>45497.0</v>
      </c>
      <c r="B501" s="55" t="str">
        <f>HYPERLINK("https://jobright.ai/jobs/info/66a18e43cc283f3a593af6cf?utm_campaign=1062&amp;utm_source=sheet", "Apply")</f>
        <v>Apply</v>
      </c>
      <c r="C501" s="10" t="s">
        <v>3524</v>
      </c>
      <c r="D501" s="56" t="s">
        <v>3485</v>
      </c>
      <c r="E501" s="10" t="s">
        <v>137</v>
      </c>
      <c r="F501" s="10" t="s">
        <v>3486</v>
      </c>
      <c r="G501" s="10" t="s">
        <v>2484</v>
      </c>
      <c r="H501" s="10" t="s">
        <v>1030</v>
      </c>
      <c r="I501" s="10" t="s">
        <v>48</v>
      </c>
      <c r="K501" s="10" t="s">
        <v>3503</v>
      </c>
      <c r="L501" s="10" t="s">
        <v>42</v>
      </c>
    </row>
    <row r="502" ht="15.75" customHeight="1">
      <c r="A502" s="66">
        <v>45497.0</v>
      </c>
      <c r="B502" s="55" t="str">
        <f>HYPERLINK("https://jobright.ai/jobs/info/66a18e13cc283f3a593af24a?utm_campaign=1062&amp;utm_source=sheet", "Apply")</f>
        <v>Apply</v>
      </c>
      <c r="C502" s="10" t="s">
        <v>3521</v>
      </c>
      <c r="D502" s="56" t="s">
        <v>3485</v>
      </c>
      <c r="E502" s="10" t="s">
        <v>137</v>
      </c>
      <c r="F502" s="10" t="s">
        <v>3486</v>
      </c>
      <c r="G502" s="10" t="s">
        <v>2437</v>
      </c>
      <c r="H502" s="10" t="s">
        <v>1030</v>
      </c>
      <c r="I502" s="10" t="s">
        <v>48</v>
      </c>
      <c r="K502" s="10" t="s">
        <v>3522</v>
      </c>
      <c r="L502" s="10" t="s">
        <v>42</v>
      </c>
    </row>
    <row r="503" ht="15.75" customHeight="1">
      <c r="A503" s="66">
        <v>45497.0</v>
      </c>
      <c r="B503" s="55" t="str">
        <f>HYPERLINK("https://jobright.ai/jobs/info/66a18e13cc283f3a593af256?utm_campaign=1062&amp;utm_source=sheet", "Apply")</f>
        <v>Apply</v>
      </c>
      <c r="C503" s="10" t="s">
        <v>3494</v>
      </c>
      <c r="D503" s="56" t="s">
        <v>3485</v>
      </c>
      <c r="E503" s="10" t="s">
        <v>137</v>
      </c>
      <c r="F503" s="10" t="s">
        <v>3486</v>
      </c>
      <c r="G503" s="10" t="s">
        <v>2437</v>
      </c>
      <c r="H503" s="10" t="s">
        <v>106</v>
      </c>
      <c r="I503" s="10" t="s">
        <v>48</v>
      </c>
      <c r="K503" s="10" t="s">
        <v>3495</v>
      </c>
      <c r="L503" s="10" t="s">
        <v>42</v>
      </c>
    </row>
    <row r="504" ht="15.75" customHeight="1">
      <c r="A504" s="66">
        <v>45497.0</v>
      </c>
      <c r="B504" s="55" t="str">
        <f>HYPERLINK("https://jobright.ai/jobs/info/66a1b81fcec011b316058448?utm_campaign=1062&amp;utm_source=sheet", "Apply")</f>
        <v>Apply</v>
      </c>
      <c r="C504" s="10" t="s">
        <v>3535</v>
      </c>
      <c r="D504" s="56" t="s">
        <v>702</v>
      </c>
      <c r="E504" s="10" t="s">
        <v>65</v>
      </c>
      <c r="F504" s="10" t="s">
        <v>703</v>
      </c>
      <c r="G504" s="10" t="s">
        <v>2448</v>
      </c>
      <c r="H504" s="10" t="s">
        <v>1058</v>
      </c>
      <c r="I504" s="10" t="s">
        <v>48</v>
      </c>
      <c r="J504" s="10" t="s">
        <v>3536</v>
      </c>
      <c r="K504" s="10" t="s">
        <v>3009</v>
      </c>
      <c r="L504" s="10" t="s">
        <v>42</v>
      </c>
    </row>
    <row r="505" ht="15.75" customHeight="1">
      <c r="A505" s="66">
        <v>45497.0</v>
      </c>
      <c r="B505" s="55" t="str">
        <f>HYPERLINK("https://jobright.ai/jobs/info/66a1b6b9201fec70230d48e8?utm_campaign=1062&amp;utm_source=sheet", "Apply")</f>
        <v>Apply</v>
      </c>
      <c r="C505" s="10" t="s">
        <v>3537</v>
      </c>
      <c r="D505" s="56" t="s">
        <v>3538</v>
      </c>
      <c r="E505" s="10" t="s">
        <v>45</v>
      </c>
      <c r="F505" s="10" t="s">
        <v>3539</v>
      </c>
      <c r="G505" s="10" t="s">
        <v>2437</v>
      </c>
      <c r="H505" s="10" t="s">
        <v>411</v>
      </c>
      <c r="I505" s="10" t="s">
        <v>55</v>
      </c>
      <c r="J505" s="10" t="s">
        <v>540</v>
      </c>
      <c r="K505" s="10" t="s">
        <v>3540</v>
      </c>
      <c r="L505" s="10" t="s">
        <v>42</v>
      </c>
    </row>
    <row r="506" ht="15.75" customHeight="1">
      <c r="A506" s="66">
        <v>45497.0</v>
      </c>
      <c r="B506" s="55" t="str">
        <f>HYPERLINK("https://jobright.ai/jobs/info/66a184abe6f51d676c0268fa?utm_campaign=1062&amp;utm_source=sheet", "Apply")</f>
        <v>Apply</v>
      </c>
      <c r="C506" s="10" t="s">
        <v>3541</v>
      </c>
      <c r="D506" s="56" t="s">
        <v>702</v>
      </c>
      <c r="E506" s="10" t="s">
        <v>65</v>
      </c>
      <c r="F506" s="10" t="s">
        <v>703</v>
      </c>
      <c r="G506" s="10" t="s">
        <v>2459</v>
      </c>
      <c r="H506" s="10" t="s">
        <v>251</v>
      </c>
      <c r="I506" s="10" t="s">
        <v>48</v>
      </c>
      <c r="J506" s="10" t="s">
        <v>1952</v>
      </c>
      <c r="K506" s="10" t="s">
        <v>3009</v>
      </c>
      <c r="L506" s="10" t="s">
        <v>42</v>
      </c>
    </row>
    <row r="507" ht="15.75" customHeight="1">
      <c r="A507" s="66">
        <v>45497.0</v>
      </c>
      <c r="B507" s="55" t="str">
        <f>HYPERLINK("https://jobright.ai/jobs/info/66a18e3ecc283f3a593af5de?utm_campaign=1062&amp;utm_source=sheet", "Apply")</f>
        <v>Apply</v>
      </c>
      <c r="C507" s="10" t="s">
        <v>3541</v>
      </c>
      <c r="D507" s="56" t="s">
        <v>702</v>
      </c>
      <c r="E507" s="10" t="s">
        <v>65</v>
      </c>
      <c r="F507" s="10" t="s">
        <v>703</v>
      </c>
      <c r="G507" s="10" t="s">
        <v>2459</v>
      </c>
      <c r="H507" s="10" t="s">
        <v>3019</v>
      </c>
      <c r="I507" s="10" t="s">
        <v>48</v>
      </c>
      <c r="J507" s="10" t="s">
        <v>1952</v>
      </c>
      <c r="K507" s="10" t="s">
        <v>3009</v>
      </c>
      <c r="L507" s="10" t="s">
        <v>42</v>
      </c>
    </row>
    <row r="508" ht="15.75" customHeight="1">
      <c r="A508" s="66">
        <v>45497.0</v>
      </c>
      <c r="B508" s="55" t="str">
        <f>HYPERLINK("https://jobright.ai/jobs/info/66a18df76311f63d4f25a008?utm_campaign=1062&amp;utm_source=sheet", "Apply")</f>
        <v>Apply</v>
      </c>
      <c r="C508" s="10" t="s">
        <v>3542</v>
      </c>
      <c r="D508" s="56" t="s">
        <v>2818</v>
      </c>
      <c r="E508" s="10" t="s">
        <v>209</v>
      </c>
      <c r="F508" s="10" t="s">
        <v>2819</v>
      </c>
      <c r="G508" s="10" t="s">
        <v>2484</v>
      </c>
      <c r="H508" s="10" t="s">
        <v>3543</v>
      </c>
      <c r="I508" s="10" t="s">
        <v>55</v>
      </c>
      <c r="J508" s="10" t="s">
        <v>3544</v>
      </c>
      <c r="K508" s="10" t="s">
        <v>3545</v>
      </c>
      <c r="L508" s="10" t="s">
        <v>42</v>
      </c>
    </row>
    <row r="509" ht="15.75" customHeight="1">
      <c r="A509" s="66">
        <v>45497.0</v>
      </c>
      <c r="B509" s="55" t="str">
        <f>HYPERLINK("https://jobright.ai/jobs/info/66a18e2bcc283f3a593af46d?utm_campaign=1062&amp;utm_source=sheet", "Apply")</f>
        <v>Apply</v>
      </c>
      <c r="C509" s="10" t="s">
        <v>3546</v>
      </c>
      <c r="D509" s="56" t="s">
        <v>3547</v>
      </c>
      <c r="E509" s="10" t="s">
        <v>249</v>
      </c>
      <c r="F509" s="10" t="s">
        <v>85</v>
      </c>
      <c r="G509" s="10" t="s">
        <v>2464</v>
      </c>
      <c r="H509" s="10" t="s">
        <v>131</v>
      </c>
      <c r="I509" s="10" t="s">
        <v>55</v>
      </c>
      <c r="K509" s="10" t="s">
        <v>3548</v>
      </c>
      <c r="L509" s="10" t="s">
        <v>42</v>
      </c>
    </row>
    <row r="510" ht="15.75" customHeight="1">
      <c r="A510" s="66">
        <v>45497.0</v>
      </c>
      <c r="B510" s="55" t="str">
        <f>HYPERLINK("https://jobright.ai/jobs/info/66a180a2137a029884e5a96d?utm_campaign=1062&amp;utm_source=sheet", "Apply")</f>
        <v>Apply</v>
      </c>
      <c r="C510" s="10" t="s">
        <v>2630</v>
      </c>
      <c r="D510" s="56" t="s">
        <v>2631</v>
      </c>
      <c r="E510" s="10" t="s">
        <v>209</v>
      </c>
      <c r="F510" s="10" t="s">
        <v>2632</v>
      </c>
      <c r="G510" s="10" t="s">
        <v>2464</v>
      </c>
      <c r="H510" s="10" t="s">
        <v>3549</v>
      </c>
      <c r="I510" s="10" t="s">
        <v>55</v>
      </c>
      <c r="K510" s="10" t="s">
        <v>2633</v>
      </c>
      <c r="L510" s="10" t="s">
        <v>42</v>
      </c>
    </row>
    <row r="511" ht="15.75" customHeight="1">
      <c r="A511" s="66">
        <v>45497.0</v>
      </c>
      <c r="B511" s="55" t="str">
        <f>HYPERLINK("https://jobright.ai/jobs/info/66a180ac137a029884e5a970?utm_campaign=1062&amp;utm_source=sheet", "Apply")</f>
        <v>Apply</v>
      </c>
      <c r="C511" s="10" t="s">
        <v>3550</v>
      </c>
      <c r="D511" s="56" t="s">
        <v>2631</v>
      </c>
      <c r="E511" s="10" t="s">
        <v>209</v>
      </c>
      <c r="F511" s="10" t="s">
        <v>2632</v>
      </c>
      <c r="G511" s="10" t="s">
        <v>2464</v>
      </c>
      <c r="H511" s="10" t="s">
        <v>146</v>
      </c>
      <c r="I511" s="10" t="s">
        <v>55</v>
      </c>
      <c r="K511" s="10" t="s">
        <v>2633</v>
      </c>
      <c r="L511" s="10" t="s">
        <v>42</v>
      </c>
    </row>
    <row r="512" ht="15.75" customHeight="1">
      <c r="A512" s="66">
        <v>45497.0</v>
      </c>
      <c r="B512" s="55" t="str">
        <f>HYPERLINK("https://jobright.ai/jobs/info/66a180ac137a029884e5a978?utm_campaign=1062&amp;utm_source=sheet", "Apply")</f>
        <v>Apply</v>
      </c>
      <c r="C512" s="10" t="s">
        <v>2630</v>
      </c>
      <c r="D512" s="56" t="s">
        <v>2631</v>
      </c>
      <c r="E512" s="10" t="s">
        <v>209</v>
      </c>
      <c r="F512" s="10" t="s">
        <v>2632</v>
      </c>
      <c r="G512" s="10" t="s">
        <v>2464</v>
      </c>
      <c r="H512" s="10" t="s">
        <v>3551</v>
      </c>
      <c r="I512" s="10" t="s">
        <v>55</v>
      </c>
      <c r="K512" s="10" t="s">
        <v>2633</v>
      </c>
      <c r="L512" s="10" t="s">
        <v>42</v>
      </c>
    </row>
    <row r="513" ht="15.75" customHeight="1">
      <c r="A513" s="66">
        <v>45497.0</v>
      </c>
      <c r="B513" s="55" t="str">
        <f>HYPERLINK("https://jobright.ai/jobs/info/66a18af3886017c169bb028e?utm_campaign=1062&amp;utm_source=sheet", "Apply")</f>
        <v>Apply</v>
      </c>
      <c r="C513" s="10" t="s">
        <v>3552</v>
      </c>
      <c r="D513" s="56" t="s">
        <v>3553</v>
      </c>
      <c r="E513" s="10" t="s">
        <v>79</v>
      </c>
      <c r="F513" s="10" t="s">
        <v>3554</v>
      </c>
      <c r="G513" s="10" t="s">
        <v>2502</v>
      </c>
      <c r="H513" s="10" t="s">
        <v>313</v>
      </c>
      <c r="I513" s="10" t="s">
        <v>55</v>
      </c>
      <c r="J513" s="10" t="s">
        <v>3555</v>
      </c>
      <c r="K513" s="10" t="s">
        <v>3556</v>
      </c>
      <c r="L513" s="10" t="s">
        <v>42</v>
      </c>
    </row>
    <row r="514" ht="15.75" customHeight="1">
      <c r="A514" s="66">
        <v>45497.0</v>
      </c>
      <c r="B514" s="55" t="str">
        <f>HYPERLINK("https://jobright.ai/jobs/info/66a17b6023b6a971f1e5bca9?utm_campaign=1062&amp;utm_source=sheet", "Apply")</f>
        <v>Apply</v>
      </c>
      <c r="C514" s="10" t="s">
        <v>3557</v>
      </c>
      <c r="D514" s="56" t="s">
        <v>3558</v>
      </c>
      <c r="E514" s="10" t="s">
        <v>45</v>
      </c>
      <c r="F514" s="10" t="s">
        <v>3559</v>
      </c>
      <c r="G514" s="10" t="s">
        <v>2807</v>
      </c>
      <c r="H514" s="10" t="s">
        <v>636</v>
      </c>
      <c r="I514" s="10" t="s">
        <v>55</v>
      </c>
      <c r="K514" s="10" t="s">
        <v>3560</v>
      </c>
      <c r="L514" s="10" t="s">
        <v>42</v>
      </c>
    </row>
    <row r="515" ht="15.75" customHeight="1">
      <c r="A515" s="66">
        <v>45497.0</v>
      </c>
      <c r="B515" s="55" t="str">
        <f>HYPERLINK("https://jobright.ai/jobs/info/66a184abe6f51d676c02699c?utm_campaign=1062&amp;utm_source=sheet", "Apply")</f>
        <v>Apply</v>
      </c>
      <c r="C515" s="10" t="s">
        <v>3561</v>
      </c>
      <c r="D515" s="56" t="s">
        <v>2073</v>
      </c>
      <c r="G515" s="10" t="s">
        <v>2448</v>
      </c>
      <c r="H515" s="10" t="s">
        <v>1263</v>
      </c>
      <c r="I515" s="10" t="s">
        <v>55</v>
      </c>
      <c r="J515" s="10" t="s">
        <v>3562</v>
      </c>
      <c r="K515" s="10" t="s">
        <v>3563</v>
      </c>
      <c r="L515" s="10" t="s">
        <v>42</v>
      </c>
    </row>
    <row r="516" ht="15.75" customHeight="1">
      <c r="A516" s="66">
        <v>45497.0</v>
      </c>
      <c r="B516" s="55" t="str">
        <f>HYPERLINK("https://jobright.ai/jobs/info/66a184b5e6f51d676c026a65?utm_campaign=1062&amp;utm_source=sheet", "Apply")</f>
        <v>Apply</v>
      </c>
      <c r="C516" s="10" t="s">
        <v>3435</v>
      </c>
      <c r="D516" s="56" t="s">
        <v>3564</v>
      </c>
      <c r="E516" s="10" t="s">
        <v>45</v>
      </c>
      <c r="F516" s="10" t="s">
        <v>3565</v>
      </c>
      <c r="G516" s="10" t="s">
        <v>2470</v>
      </c>
      <c r="H516" s="10" t="s">
        <v>3438</v>
      </c>
      <c r="I516" s="10" t="s">
        <v>55</v>
      </c>
      <c r="J516" s="10" t="s">
        <v>1189</v>
      </c>
      <c r="K516" s="10" t="s">
        <v>3566</v>
      </c>
      <c r="L516" s="10" t="s">
        <v>42</v>
      </c>
    </row>
    <row r="517" ht="15.75" customHeight="1">
      <c r="A517" s="66">
        <v>45497.0</v>
      </c>
      <c r="B517" s="55" t="str">
        <f>HYPERLINK("https://jobright.ai/jobs/info/66a184c1e6f51d676c026a8f?utm_campaign=1062&amp;utm_source=sheet", "Apply")</f>
        <v>Apply</v>
      </c>
      <c r="C517" s="10" t="s">
        <v>3567</v>
      </c>
      <c r="D517" s="56" t="s">
        <v>3568</v>
      </c>
      <c r="E517" s="59">
        <v>45301.0</v>
      </c>
      <c r="F517" s="10" t="s">
        <v>3569</v>
      </c>
      <c r="G517" s="10" t="s">
        <v>2448</v>
      </c>
      <c r="H517" s="10" t="s">
        <v>881</v>
      </c>
      <c r="I517" s="10" t="s">
        <v>55</v>
      </c>
      <c r="J517" s="10" t="s">
        <v>3570</v>
      </c>
      <c r="K517" s="10" t="s">
        <v>3571</v>
      </c>
      <c r="L517" s="10" t="s">
        <v>42</v>
      </c>
    </row>
    <row r="518" ht="15.75" customHeight="1">
      <c r="A518" s="66">
        <v>45497.0</v>
      </c>
      <c r="B518" s="55" t="str">
        <f>HYPERLINK("https://jobright.ai/jobs/info/66a180ac137a029884e5aa1f?utm_campaign=1062&amp;utm_source=sheet", "Apply")</f>
        <v>Apply</v>
      </c>
      <c r="C518" s="10" t="s">
        <v>3572</v>
      </c>
      <c r="D518" s="56" t="s">
        <v>3573</v>
      </c>
      <c r="E518" s="10">
        <v>4015.0</v>
      </c>
      <c r="G518" s="10" t="s">
        <v>2437</v>
      </c>
      <c r="H518" s="10" t="s">
        <v>795</v>
      </c>
      <c r="I518" s="10" t="s">
        <v>55</v>
      </c>
      <c r="J518" s="10" t="s">
        <v>3574</v>
      </c>
      <c r="K518" s="10" t="s">
        <v>3575</v>
      </c>
      <c r="L518" s="10" t="s">
        <v>42</v>
      </c>
    </row>
    <row r="519" ht="15.75" customHeight="1">
      <c r="A519" s="66">
        <v>45497.0</v>
      </c>
      <c r="B519" s="55" t="str">
        <f>HYPERLINK("https://jobright.ai/jobs/info/66a1761df18f03873ab22a95?utm_campaign=1062&amp;utm_source=sheet", "Apply")</f>
        <v>Apply</v>
      </c>
      <c r="C519" s="10" t="s">
        <v>3576</v>
      </c>
      <c r="D519" s="56" t="s">
        <v>3577</v>
      </c>
      <c r="E519" s="10" t="s">
        <v>65</v>
      </c>
      <c r="F519" s="10" t="s">
        <v>1459</v>
      </c>
      <c r="G519" s="10" t="s">
        <v>2448</v>
      </c>
      <c r="H519" s="10" t="s">
        <v>3578</v>
      </c>
      <c r="I519" s="10" t="s">
        <v>48</v>
      </c>
      <c r="J519" s="10" t="s">
        <v>2590</v>
      </c>
      <c r="K519" s="10" t="s">
        <v>3579</v>
      </c>
      <c r="L519" s="10" t="s">
        <v>42</v>
      </c>
    </row>
    <row r="520" ht="15.75" customHeight="1">
      <c r="A520" s="66">
        <v>45497.0</v>
      </c>
      <c r="B520" s="55" t="str">
        <f>HYPERLINK("https://jobright.ai/jobs/info/66a17ca7db94ded6371aa227?utm_campaign=1062&amp;utm_source=sheet", "Apply")</f>
        <v>Apply</v>
      </c>
      <c r="C520" s="10" t="s">
        <v>3580</v>
      </c>
      <c r="D520" s="56" t="s">
        <v>3581</v>
      </c>
      <c r="E520" s="10" t="s">
        <v>209</v>
      </c>
      <c r="F520" s="10" t="s">
        <v>3582</v>
      </c>
      <c r="G520" s="10" t="s">
        <v>2495</v>
      </c>
      <c r="H520" s="10" t="s">
        <v>3583</v>
      </c>
      <c r="I520" s="10" t="s">
        <v>55</v>
      </c>
      <c r="K520" s="10" t="s">
        <v>3584</v>
      </c>
      <c r="L520" s="10" t="s">
        <v>42</v>
      </c>
    </row>
    <row r="521" ht="15.75" customHeight="1">
      <c r="A521" s="66">
        <v>45497.0</v>
      </c>
      <c r="B521" s="55" t="str">
        <f>HYPERLINK("https://jobright.ai/jobs/info/66a17caedb94ded6371aa276?utm_campaign=1062&amp;utm_source=sheet", "Apply")</f>
        <v>Apply</v>
      </c>
      <c r="C521" s="10" t="s">
        <v>3585</v>
      </c>
      <c r="D521" s="56" t="s">
        <v>1183</v>
      </c>
      <c r="E521" s="10" t="s">
        <v>45</v>
      </c>
      <c r="F521" s="10" t="s">
        <v>1184</v>
      </c>
      <c r="G521" s="10" t="s">
        <v>2448</v>
      </c>
      <c r="H521" s="10" t="s">
        <v>3586</v>
      </c>
      <c r="I521" s="10" t="s">
        <v>55</v>
      </c>
      <c r="K521" s="10" t="s">
        <v>3587</v>
      </c>
      <c r="L521" s="10" t="s">
        <v>42</v>
      </c>
    </row>
    <row r="522" ht="15.75" customHeight="1">
      <c r="A522" s="66">
        <v>45497.0</v>
      </c>
      <c r="B522" s="55" t="str">
        <f>HYPERLINK("https://jobright.ai/jobs/info/66a17a6355f7339a60973a73?utm_campaign=1062&amp;utm_source=sheet", "Apply")</f>
        <v>Apply</v>
      </c>
      <c r="C522" s="10" t="s">
        <v>3588</v>
      </c>
      <c r="D522" s="56" t="s">
        <v>3589</v>
      </c>
      <c r="E522" s="10" t="s">
        <v>45</v>
      </c>
      <c r="F522" s="10" t="s">
        <v>2554</v>
      </c>
      <c r="G522" s="10" t="s">
        <v>2470</v>
      </c>
      <c r="H522" s="10" t="s">
        <v>3590</v>
      </c>
      <c r="I522" s="10" t="s">
        <v>55</v>
      </c>
      <c r="K522" s="10" t="s">
        <v>3591</v>
      </c>
      <c r="L522" s="10" t="s">
        <v>42</v>
      </c>
    </row>
    <row r="523" ht="15.75" customHeight="1">
      <c r="A523" s="66">
        <v>45497.0</v>
      </c>
      <c r="B523" s="55" t="str">
        <f>HYPERLINK("https://jobright.ai/jobs/info/66a172135c9c5c51b4894dd0?utm_campaign=1062&amp;utm_source=sheet", "Apply")</f>
        <v>Apply</v>
      </c>
      <c r="C523" s="10" t="s">
        <v>3592</v>
      </c>
      <c r="D523" s="56" t="s">
        <v>3593</v>
      </c>
      <c r="E523" s="59">
        <v>45301.0</v>
      </c>
      <c r="F523" s="10" t="s">
        <v>3594</v>
      </c>
      <c r="G523" s="10" t="s">
        <v>2443</v>
      </c>
      <c r="H523" s="10" t="s">
        <v>636</v>
      </c>
      <c r="I523" s="10" t="s">
        <v>55</v>
      </c>
      <c r="J523" s="10" t="s">
        <v>3595</v>
      </c>
      <c r="K523" s="10" t="s">
        <v>3596</v>
      </c>
      <c r="L523" s="10" t="s">
        <v>42</v>
      </c>
    </row>
    <row r="524" ht="15.75" customHeight="1">
      <c r="A524" s="66">
        <v>45497.0</v>
      </c>
      <c r="B524" s="55" t="str">
        <f>HYPERLINK("https://jobright.ai/jobs/info/66a1692a90fc2c738502f4f1?utm_campaign=1062&amp;utm_source=sheet", "Apply")</f>
        <v>Apply</v>
      </c>
      <c r="C524" s="10" t="s">
        <v>3597</v>
      </c>
      <c r="D524" s="56" t="s">
        <v>3598</v>
      </c>
      <c r="E524" s="10" t="s">
        <v>249</v>
      </c>
      <c r="F524" s="10" t="s">
        <v>3060</v>
      </c>
      <c r="G524" s="10" t="s">
        <v>2484</v>
      </c>
      <c r="H524" s="10" t="s">
        <v>3599</v>
      </c>
      <c r="I524" s="10" t="s">
        <v>55</v>
      </c>
      <c r="K524" s="10" t="s">
        <v>3600</v>
      </c>
      <c r="L524" s="10" t="s">
        <v>42</v>
      </c>
    </row>
    <row r="525" ht="15.75" customHeight="1">
      <c r="A525" s="66">
        <v>45497.0</v>
      </c>
      <c r="B525" s="55" t="str">
        <f>HYPERLINK("https://jobright.ai/jobs/info/66a16e1d2178a46615cb31fd?utm_campaign=1062&amp;utm_source=sheet", "Apply")</f>
        <v>Apply</v>
      </c>
      <c r="C525" s="10" t="s">
        <v>3601</v>
      </c>
      <c r="D525" s="56" t="s">
        <v>3602</v>
      </c>
      <c r="E525" s="10">
        <v>559.0</v>
      </c>
      <c r="G525" s="10" t="s">
        <v>2464</v>
      </c>
      <c r="H525" s="10" t="s">
        <v>3373</v>
      </c>
      <c r="I525" s="10" t="s">
        <v>55</v>
      </c>
      <c r="K525" s="10" t="s">
        <v>3603</v>
      </c>
      <c r="L525" s="10" t="s">
        <v>42</v>
      </c>
    </row>
    <row r="526" ht="15.75" customHeight="1">
      <c r="A526" s="66">
        <v>45497.0</v>
      </c>
      <c r="B526" s="55" t="str">
        <f>HYPERLINK("https://jobright.ai/jobs/info/66a24d9a0b034aa29c4627cc?utm_campaign=1062&amp;utm_source=sheet", "Apply")</f>
        <v>Apply</v>
      </c>
      <c r="C526" s="10" t="s">
        <v>2890</v>
      </c>
      <c r="D526" s="56" t="s">
        <v>2891</v>
      </c>
      <c r="G526" s="10" t="s">
        <v>2495</v>
      </c>
      <c r="H526" s="10" t="s">
        <v>2892</v>
      </c>
      <c r="I526" s="10" t="s">
        <v>55</v>
      </c>
      <c r="K526" s="10" t="s">
        <v>2893</v>
      </c>
      <c r="L526" s="10" t="s">
        <v>42</v>
      </c>
    </row>
    <row r="527" ht="15.75" customHeight="1">
      <c r="A527" s="66">
        <v>45497.0</v>
      </c>
      <c r="B527" s="55" t="str">
        <f>HYPERLINK("https://jobright.ai/jobs/info/66a12be834afed6024626bd9?utm_campaign=1062&amp;utm_source=sheet", "Apply")</f>
        <v>Apply</v>
      </c>
      <c r="C527" s="10" t="s">
        <v>3604</v>
      </c>
      <c r="D527" s="56" t="s">
        <v>363</v>
      </c>
      <c r="E527" s="10" t="s">
        <v>209</v>
      </c>
      <c r="F527" s="10" t="s">
        <v>364</v>
      </c>
      <c r="G527" s="10" t="s">
        <v>2455</v>
      </c>
      <c r="H527" s="10" t="s">
        <v>365</v>
      </c>
      <c r="I527" s="10" t="s">
        <v>55</v>
      </c>
      <c r="J527" s="10" t="s">
        <v>581</v>
      </c>
      <c r="K527" s="10" t="s">
        <v>3605</v>
      </c>
      <c r="L527" s="10" t="s">
        <v>42</v>
      </c>
    </row>
    <row r="528" ht="15.75" customHeight="1">
      <c r="A528" s="66">
        <v>45497.0</v>
      </c>
      <c r="B528" s="55" t="str">
        <f>HYPERLINK("https://jobright.ai/jobs/info/66a14bfdb48bc70bd7410add?utm_campaign=1062&amp;utm_source=sheet", "Apply")</f>
        <v>Apply</v>
      </c>
      <c r="C528" s="10" t="s">
        <v>3606</v>
      </c>
      <c r="D528" s="56" t="s">
        <v>191</v>
      </c>
      <c r="E528" s="10" t="s">
        <v>65</v>
      </c>
      <c r="F528" s="10" t="s">
        <v>192</v>
      </c>
      <c r="G528" s="10" t="s">
        <v>2437</v>
      </c>
      <c r="H528" s="10" t="s">
        <v>3607</v>
      </c>
      <c r="I528" s="10" t="s">
        <v>55</v>
      </c>
      <c r="K528" s="10" t="s">
        <v>3608</v>
      </c>
      <c r="L528" s="10" t="s">
        <v>42</v>
      </c>
    </row>
    <row r="529" ht="15.75" customHeight="1">
      <c r="A529" s="66">
        <v>45497.0</v>
      </c>
      <c r="B529" s="55" t="str">
        <f>HYPERLINK("https://jobright.ai/jobs/info/66a16270ac2138bd92a94e18?utm_campaign=1062&amp;utm_source=sheet", "Apply")</f>
        <v>Apply</v>
      </c>
      <c r="C529" s="10" t="s">
        <v>2630</v>
      </c>
      <c r="D529" s="56" t="s">
        <v>3163</v>
      </c>
      <c r="E529" s="10" t="s">
        <v>45</v>
      </c>
      <c r="F529" s="10" t="s">
        <v>2746</v>
      </c>
      <c r="G529" s="10" t="s">
        <v>2464</v>
      </c>
      <c r="H529" s="10" t="s">
        <v>423</v>
      </c>
      <c r="I529" s="10" t="s">
        <v>55</v>
      </c>
      <c r="J529" s="10" t="s">
        <v>1304</v>
      </c>
      <c r="K529" s="10" t="s">
        <v>3609</v>
      </c>
      <c r="L529" s="10" t="s">
        <v>42</v>
      </c>
    </row>
    <row r="530" ht="15.75" customHeight="1">
      <c r="A530" s="66">
        <v>45497.0</v>
      </c>
      <c r="B530" s="55" t="str">
        <f>HYPERLINK("https://jobright.ai/jobs/info/66a243f9dc92e106e668e14c?utm_campaign=1062&amp;utm_source=sheet", "Apply")</f>
        <v>Apply</v>
      </c>
      <c r="C530" s="10" t="s">
        <v>301</v>
      </c>
      <c r="D530" s="56" t="s">
        <v>3163</v>
      </c>
      <c r="E530" s="10" t="s">
        <v>45</v>
      </c>
      <c r="F530" s="10" t="s">
        <v>2746</v>
      </c>
      <c r="G530" s="10" t="s">
        <v>2464</v>
      </c>
      <c r="H530" s="10" t="s">
        <v>2708</v>
      </c>
      <c r="I530" s="10" t="s">
        <v>48</v>
      </c>
      <c r="J530" s="10" t="s">
        <v>3610</v>
      </c>
      <c r="K530" s="10" t="s">
        <v>3611</v>
      </c>
      <c r="L530" s="10" t="s">
        <v>42</v>
      </c>
    </row>
    <row r="531" ht="15.75" customHeight="1">
      <c r="A531" s="66">
        <v>45497.0</v>
      </c>
      <c r="B531" s="55" t="str">
        <f>HYPERLINK("https://jobright.ai/jobs/info/66a17caedb94ded6371aa2bf?utm_campaign=1062&amp;utm_source=sheet", "Apply")</f>
        <v>Apply</v>
      </c>
      <c r="C531" s="10" t="s">
        <v>3612</v>
      </c>
      <c r="D531" s="56" t="s">
        <v>99</v>
      </c>
      <c r="E531" s="10" t="s">
        <v>45</v>
      </c>
      <c r="F531" s="10" t="s">
        <v>100</v>
      </c>
      <c r="G531" s="10" t="s">
        <v>2807</v>
      </c>
      <c r="H531" s="10" t="s">
        <v>165</v>
      </c>
      <c r="I531" s="10" t="s">
        <v>55</v>
      </c>
      <c r="K531" s="10" t="s">
        <v>3613</v>
      </c>
      <c r="L531" s="10" t="s">
        <v>42</v>
      </c>
    </row>
    <row r="532" ht="15.75" customHeight="1">
      <c r="A532" s="66">
        <v>45497.0</v>
      </c>
      <c r="B532" s="55" t="str">
        <f>HYPERLINK("https://jobright.ai/jobs/info/66a14e401f65dd3b6ff6a61f?utm_campaign=1062&amp;utm_source=sheet", "Apply")</f>
        <v>Apply</v>
      </c>
      <c r="C532" s="10" t="s">
        <v>3614</v>
      </c>
      <c r="D532" s="56" t="s">
        <v>3163</v>
      </c>
      <c r="E532" s="10" t="s">
        <v>45</v>
      </c>
      <c r="F532" s="10" t="s">
        <v>2746</v>
      </c>
      <c r="G532" s="10" t="s">
        <v>2464</v>
      </c>
      <c r="H532" s="10" t="s">
        <v>167</v>
      </c>
      <c r="I532" s="10" t="s">
        <v>48</v>
      </c>
      <c r="J532" s="10" t="s">
        <v>3615</v>
      </c>
      <c r="K532" s="10" t="s">
        <v>3616</v>
      </c>
      <c r="L532" s="10" t="s">
        <v>42</v>
      </c>
    </row>
    <row r="533" ht="15.75" customHeight="1">
      <c r="A533" s="66">
        <v>45497.0</v>
      </c>
      <c r="B533" s="55" t="str">
        <f>HYPERLINK("https://jobright.ai/jobs/info/66a14e401f65dd3b6ff6a68d?utm_campaign=1062&amp;utm_source=sheet", "Apply")</f>
        <v>Apply</v>
      </c>
      <c r="C533" s="10" t="s">
        <v>301</v>
      </c>
      <c r="D533" s="56" t="s">
        <v>3163</v>
      </c>
      <c r="E533" s="10" t="s">
        <v>45</v>
      </c>
      <c r="F533" s="10" t="s">
        <v>2746</v>
      </c>
      <c r="G533" s="10" t="s">
        <v>2448</v>
      </c>
      <c r="H533" s="10" t="s">
        <v>872</v>
      </c>
      <c r="I533" s="10" t="s">
        <v>48</v>
      </c>
      <c r="J533" s="10" t="s">
        <v>3617</v>
      </c>
      <c r="K533" s="10" t="s">
        <v>3618</v>
      </c>
      <c r="L533" s="10" t="s">
        <v>42</v>
      </c>
    </row>
    <row r="534" ht="15.75" customHeight="1">
      <c r="A534" s="66">
        <v>45497.0</v>
      </c>
      <c r="B534" s="55" t="str">
        <f>HYPERLINK("https://jobright.ai/jobs/info/66a14c07b48bc70bd7410bc9?utm_campaign=1062&amp;utm_source=sheet", "Apply")</f>
        <v>Apply</v>
      </c>
      <c r="C534" s="10" t="s">
        <v>3619</v>
      </c>
      <c r="D534" s="56" t="s">
        <v>3620</v>
      </c>
      <c r="E534" s="10" t="s">
        <v>65</v>
      </c>
      <c r="F534" s="10" t="s">
        <v>3621</v>
      </c>
      <c r="G534" s="10" t="s">
        <v>2502</v>
      </c>
      <c r="H534" s="10" t="s">
        <v>3622</v>
      </c>
      <c r="I534" s="10" t="s">
        <v>55</v>
      </c>
      <c r="K534" s="10" t="s">
        <v>3623</v>
      </c>
      <c r="L534" s="10" t="s">
        <v>42</v>
      </c>
    </row>
    <row r="535" ht="15.75" customHeight="1">
      <c r="A535" s="66">
        <v>45497.0</v>
      </c>
      <c r="B535" s="55" t="str">
        <f>HYPERLINK("https://jobright.ai/jobs/info/66a1490953ccbd09bfe3831e?utm_campaign=1062&amp;utm_source=sheet", "Apply")</f>
        <v>Apply</v>
      </c>
      <c r="C535" s="10" t="s">
        <v>3624</v>
      </c>
      <c r="D535" s="56" t="s">
        <v>3625</v>
      </c>
      <c r="E535" s="10" t="s">
        <v>79</v>
      </c>
      <c r="F535" s="10" t="s">
        <v>3351</v>
      </c>
      <c r="G535" s="10" t="s">
        <v>2448</v>
      </c>
      <c r="H535" s="10" t="s">
        <v>326</v>
      </c>
      <c r="I535" s="10" t="s">
        <v>55</v>
      </c>
      <c r="K535" s="10" t="s">
        <v>3626</v>
      </c>
      <c r="L535" s="10" t="s">
        <v>42</v>
      </c>
    </row>
    <row r="536" ht="15.75" customHeight="1">
      <c r="A536" s="66">
        <v>45497.0</v>
      </c>
      <c r="B536" s="55" t="str">
        <f>HYPERLINK("https://jobright.ai/jobs/info/66a1466268fdc09d476c7b11?utm_campaign=1062&amp;utm_source=sheet", "Apply")</f>
        <v>Apply</v>
      </c>
      <c r="C536" s="10" t="s">
        <v>3627</v>
      </c>
      <c r="D536" s="56" t="s">
        <v>3628</v>
      </c>
      <c r="E536" s="10" t="s">
        <v>71</v>
      </c>
      <c r="F536" s="10" t="s">
        <v>1506</v>
      </c>
      <c r="G536" s="10" t="s">
        <v>2443</v>
      </c>
      <c r="H536" s="10" t="s">
        <v>73</v>
      </c>
      <c r="I536" s="10" t="s">
        <v>55</v>
      </c>
      <c r="K536" s="10" t="s">
        <v>3629</v>
      </c>
      <c r="L536" s="10" t="s">
        <v>42</v>
      </c>
    </row>
    <row r="537" ht="15.75" customHeight="1">
      <c r="A537" s="66">
        <v>45497.0</v>
      </c>
      <c r="B537" s="55" t="str">
        <f>HYPERLINK("https://jobright.ai/jobs/info/6698070700175647ff288ba0?utm_campaign=1062&amp;utm_source=sheet", "Apply")</f>
        <v>Apply</v>
      </c>
      <c r="C537" s="10" t="s">
        <v>3630</v>
      </c>
      <c r="D537" s="56" t="s">
        <v>2626</v>
      </c>
      <c r="E537" s="10" t="s">
        <v>45</v>
      </c>
      <c r="F537" s="10" t="s">
        <v>2627</v>
      </c>
      <c r="G537" s="10" t="s">
        <v>2448</v>
      </c>
      <c r="H537" s="10" t="s">
        <v>1004</v>
      </c>
      <c r="I537" s="10" t="s">
        <v>48</v>
      </c>
      <c r="J537" s="10" t="s">
        <v>3631</v>
      </c>
      <c r="K537" s="10" t="s">
        <v>3632</v>
      </c>
      <c r="L537" s="10" t="s">
        <v>42</v>
      </c>
    </row>
    <row r="538" ht="15.75" customHeight="1">
      <c r="A538" s="66">
        <v>45497.0</v>
      </c>
      <c r="B538" s="55" t="str">
        <f>HYPERLINK("https://jobright.ai/jobs/info/66a1437859051cfbf53a7e3e?utm_campaign=1062&amp;utm_source=sheet", "Apply")</f>
        <v>Apply</v>
      </c>
      <c r="C538" s="10" t="s">
        <v>3624</v>
      </c>
      <c r="D538" s="56" t="s">
        <v>3625</v>
      </c>
      <c r="E538" s="10" t="s">
        <v>79</v>
      </c>
      <c r="F538" s="10" t="s">
        <v>3351</v>
      </c>
      <c r="G538" s="10" t="s">
        <v>2448</v>
      </c>
      <c r="H538" s="10" t="s">
        <v>941</v>
      </c>
      <c r="I538" s="10" t="s">
        <v>55</v>
      </c>
      <c r="K538" s="10" t="s">
        <v>3626</v>
      </c>
      <c r="L538" s="10" t="s">
        <v>42</v>
      </c>
    </row>
    <row r="539" ht="15.75" customHeight="1">
      <c r="A539" s="66">
        <v>45497.0</v>
      </c>
      <c r="B539" s="55" t="str">
        <f>HYPERLINK("https://jobright.ai/jobs/info/66a140a620a40c2bedf03315?utm_campaign=1062&amp;utm_source=sheet", "Apply")</f>
        <v>Apply</v>
      </c>
      <c r="C539" s="10" t="s">
        <v>3044</v>
      </c>
      <c r="D539" s="56" t="s">
        <v>2631</v>
      </c>
      <c r="E539" s="10" t="s">
        <v>209</v>
      </c>
      <c r="F539" s="10" t="s">
        <v>2632</v>
      </c>
      <c r="G539" s="10" t="s">
        <v>2464</v>
      </c>
      <c r="H539" s="10" t="s">
        <v>609</v>
      </c>
      <c r="I539" s="10" t="s">
        <v>55</v>
      </c>
      <c r="K539" s="10" t="s">
        <v>3633</v>
      </c>
      <c r="L539" s="10" t="s">
        <v>42</v>
      </c>
    </row>
    <row r="540" ht="15.75" customHeight="1">
      <c r="A540" s="66">
        <v>45497.0</v>
      </c>
      <c r="B540" s="55" t="str">
        <f>HYPERLINK("https://jobright.ai/jobs/info/66a140a620a40c2bedf0333e?utm_campaign=1062&amp;utm_source=sheet", "Apply")</f>
        <v>Apply</v>
      </c>
      <c r="C540" s="10" t="s">
        <v>3044</v>
      </c>
      <c r="D540" s="56" t="s">
        <v>2631</v>
      </c>
      <c r="E540" s="10" t="s">
        <v>209</v>
      </c>
      <c r="F540" s="10" t="s">
        <v>2632</v>
      </c>
      <c r="G540" s="10" t="s">
        <v>2464</v>
      </c>
      <c r="H540" s="10" t="s">
        <v>3634</v>
      </c>
      <c r="I540" s="10" t="s">
        <v>55</v>
      </c>
      <c r="K540" s="10" t="s">
        <v>3633</v>
      </c>
      <c r="L540" s="10" t="s">
        <v>42</v>
      </c>
    </row>
    <row r="541" ht="15.75" customHeight="1">
      <c r="A541" s="66">
        <v>45497.0</v>
      </c>
      <c r="B541" s="55" t="str">
        <f>HYPERLINK("https://jobright.ai/jobs/info/66a140a620a40c2bedf03347?utm_campaign=1062&amp;utm_source=sheet", "Apply")</f>
        <v>Apply</v>
      </c>
      <c r="C541" s="10" t="s">
        <v>3635</v>
      </c>
      <c r="D541" s="56" t="s">
        <v>3636</v>
      </c>
      <c r="E541" s="10" t="s">
        <v>71</v>
      </c>
      <c r="F541" s="10" t="s">
        <v>1790</v>
      </c>
      <c r="G541" s="10" t="s">
        <v>2464</v>
      </c>
      <c r="H541" s="10" t="s">
        <v>949</v>
      </c>
      <c r="I541" s="10" t="s">
        <v>55</v>
      </c>
      <c r="K541" s="10" t="s">
        <v>3637</v>
      </c>
      <c r="L541" s="10" t="s">
        <v>42</v>
      </c>
    </row>
    <row r="542" ht="15.75" customHeight="1">
      <c r="A542" s="66">
        <v>45497.0</v>
      </c>
      <c r="B542" s="55" t="str">
        <f>HYPERLINK("https://jobright.ai/jobs/info/66a13303ddb398c1065dfb41?utm_campaign=1062&amp;utm_source=sheet", "Apply")</f>
        <v>Apply</v>
      </c>
      <c r="C542" s="10" t="s">
        <v>3638</v>
      </c>
      <c r="D542" s="56" t="s">
        <v>1690</v>
      </c>
      <c r="E542" s="10" t="s">
        <v>45</v>
      </c>
      <c r="F542" s="10" t="s">
        <v>564</v>
      </c>
      <c r="G542" s="10" t="s">
        <v>2437</v>
      </c>
      <c r="H542" s="10" t="s">
        <v>1691</v>
      </c>
      <c r="I542" s="10" t="s">
        <v>48</v>
      </c>
      <c r="K542" s="10" t="s">
        <v>3639</v>
      </c>
      <c r="L542" s="10" t="s">
        <v>42</v>
      </c>
    </row>
    <row r="543" ht="15.75" customHeight="1">
      <c r="A543" s="66">
        <v>45497.0</v>
      </c>
      <c r="B543" s="55" t="str">
        <f>HYPERLINK("https://jobright.ai/jobs/info/66a148f953ccbd09bfe381c2?utm_campaign=1062&amp;utm_source=sheet", "Apply")</f>
        <v>Apply</v>
      </c>
      <c r="C543" s="10" t="s">
        <v>3528</v>
      </c>
      <c r="D543" s="56" t="s">
        <v>3485</v>
      </c>
      <c r="E543" s="10" t="s">
        <v>137</v>
      </c>
      <c r="F543" s="10" t="s">
        <v>3486</v>
      </c>
      <c r="G543" s="10" t="s">
        <v>2484</v>
      </c>
      <c r="H543" s="10" t="s">
        <v>1030</v>
      </c>
      <c r="I543" s="10" t="s">
        <v>48</v>
      </c>
      <c r="K543" s="10" t="s">
        <v>3503</v>
      </c>
      <c r="L543" s="10" t="s">
        <v>42</v>
      </c>
    </row>
    <row r="544" ht="15.75" customHeight="1">
      <c r="A544" s="66">
        <v>45497.0</v>
      </c>
      <c r="B544" s="55" t="str">
        <f>HYPERLINK("https://jobright.ai/jobs/info/66a1490953ccbd09bfe38371?utm_campaign=1062&amp;utm_source=sheet", "Apply")</f>
        <v>Apply</v>
      </c>
      <c r="C544" s="10" t="s">
        <v>3640</v>
      </c>
      <c r="D544" s="56" t="s">
        <v>3192</v>
      </c>
      <c r="E544" s="10" t="s">
        <v>209</v>
      </c>
      <c r="F544" s="10" t="s">
        <v>1207</v>
      </c>
      <c r="G544" s="10" t="s">
        <v>2437</v>
      </c>
      <c r="H544" s="10" t="s">
        <v>106</v>
      </c>
      <c r="I544" s="10" t="s">
        <v>55</v>
      </c>
      <c r="J544" s="10" t="s">
        <v>3193</v>
      </c>
      <c r="K544" s="10" t="s">
        <v>3194</v>
      </c>
      <c r="L544" s="10" t="s">
        <v>42</v>
      </c>
    </row>
    <row r="545" ht="15.75" customHeight="1">
      <c r="A545" s="66">
        <v>45497.0</v>
      </c>
      <c r="B545" s="55" t="str">
        <f>HYPERLINK("https://jobright.ai/jobs/info/66a13b2a64d0e1054c2d3634?utm_campaign=1062&amp;utm_source=sheet", "Apply")</f>
        <v>Apply</v>
      </c>
      <c r="C545" s="10" t="s">
        <v>3641</v>
      </c>
      <c r="D545" s="56" t="s">
        <v>3192</v>
      </c>
      <c r="E545" s="10" t="s">
        <v>209</v>
      </c>
      <c r="F545" s="10" t="s">
        <v>1207</v>
      </c>
      <c r="G545" s="10" t="s">
        <v>2437</v>
      </c>
      <c r="H545" s="10" t="s">
        <v>966</v>
      </c>
      <c r="I545" s="10" t="s">
        <v>55</v>
      </c>
      <c r="J545" s="10" t="s">
        <v>3193</v>
      </c>
      <c r="K545" s="10" t="s">
        <v>3194</v>
      </c>
      <c r="L545" s="10" t="s">
        <v>42</v>
      </c>
    </row>
    <row r="546" ht="15.75" customHeight="1">
      <c r="A546" s="66">
        <v>45497.0</v>
      </c>
      <c r="B546" s="55" t="str">
        <f>HYPERLINK("https://jobright.ai/jobs/info/66a148f953ccbd09bfe381d6?utm_campaign=1062&amp;utm_source=sheet", "Apply")</f>
        <v>Apply</v>
      </c>
      <c r="C546" s="10" t="s">
        <v>3642</v>
      </c>
      <c r="D546" s="56" t="s">
        <v>1073</v>
      </c>
      <c r="E546" s="10" t="s">
        <v>45</v>
      </c>
      <c r="F546" s="10" t="s">
        <v>1074</v>
      </c>
      <c r="G546" s="10" t="s">
        <v>2470</v>
      </c>
      <c r="H546" s="10" t="s">
        <v>146</v>
      </c>
      <c r="I546" s="10" t="s">
        <v>48</v>
      </c>
      <c r="K546" s="10" t="s">
        <v>3643</v>
      </c>
      <c r="L546" s="10" t="s">
        <v>42</v>
      </c>
    </row>
    <row r="547" ht="15.75" customHeight="1">
      <c r="A547" s="66">
        <v>45497.0</v>
      </c>
      <c r="B547" s="55" t="str">
        <f>HYPERLINK("https://jobright.ai/jobs/info/66a12fb21fb31d3bea4a34eb?utm_campaign=1062&amp;utm_source=sheet", "Apply")</f>
        <v>Apply</v>
      </c>
      <c r="C547" s="10" t="s">
        <v>3644</v>
      </c>
      <c r="D547" s="56" t="s">
        <v>3645</v>
      </c>
      <c r="E547" s="10" t="s">
        <v>45</v>
      </c>
      <c r="F547" s="10" t="s">
        <v>1700</v>
      </c>
      <c r="G547" s="10" t="s">
        <v>2484</v>
      </c>
      <c r="H547" s="10" t="s">
        <v>3646</v>
      </c>
      <c r="I547" s="10" t="s">
        <v>55</v>
      </c>
      <c r="J547" s="10" t="s">
        <v>2165</v>
      </c>
      <c r="K547" s="10" t="s">
        <v>3647</v>
      </c>
      <c r="L547" s="10" t="s">
        <v>42</v>
      </c>
    </row>
    <row r="548" ht="15.75" customHeight="1">
      <c r="A548" s="66">
        <v>45497.0</v>
      </c>
      <c r="B548" s="55" t="str">
        <f>HYPERLINK("https://jobright.ai/jobs/info/66a3e8b0b020465e7d35d2bd?utm_campaign=1062&amp;utm_source=sheet", "Apply")</f>
        <v>Apply</v>
      </c>
      <c r="C548" s="10" t="s">
        <v>3648</v>
      </c>
      <c r="D548" s="56" t="s">
        <v>2462</v>
      </c>
      <c r="E548" s="10" t="s">
        <v>79</v>
      </c>
      <c r="F548" s="10" t="s">
        <v>2463</v>
      </c>
      <c r="G548" s="10" t="s">
        <v>2464</v>
      </c>
      <c r="H548" s="10" t="s">
        <v>768</v>
      </c>
      <c r="I548" s="10" t="s">
        <v>55</v>
      </c>
      <c r="J548" s="10" t="s">
        <v>2466</v>
      </c>
      <c r="K548" s="10" t="s">
        <v>2467</v>
      </c>
      <c r="L548" s="10" t="s">
        <v>42</v>
      </c>
    </row>
    <row r="549" ht="15.75" customHeight="1">
      <c r="A549" s="66">
        <v>45497.0</v>
      </c>
      <c r="B549" s="55" t="str">
        <f>HYPERLINK("https://jobright.ai/jobs/info/66a136fb38b703017284003c?utm_campaign=1062&amp;utm_source=sheet", "Apply")</f>
        <v>Apply</v>
      </c>
      <c r="C549" s="10" t="s">
        <v>3426</v>
      </c>
      <c r="D549" s="56" t="s">
        <v>2818</v>
      </c>
      <c r="E549" s="10" t="s">
        <v>209</v>
      </c>
      <c r="F549" s="10" t="s">
        <v>2819</v>
      </c>
      <c r="G549" s="10" t="s">
        <v>2470</v>
      </c>
      <c r="H549" s="10" t="s">
        <v>3427</v>
      </c>
      <c r="I549" s="10" t="s">
        <v>55</v>
      </c>
      <c r="K549" s="10" t="s">
        <v>3428</v>
      </c>
      <c r="L549" s="10" t="s">
        <v>42</v>
      </c>
    </row>
    <row r="550" ht="15.75" customHeight="1">
      <c r="A550" s="66">
        <v>45497.0</v>
      </c>
      <c r="B550" s="55" t="str">
        <f>HYPERLINK("https://jobright.ai/jobs/info/66a127fda9e645a4a8900798?utm_campaign=1062&amp;utm_source=sheet", "Apply")</f>
        <v>Apply</v>
      </c>
      <c r="C550" s="10" t="s">
        <v>3649</v>
      </c>
      <c r="D550" s="56" t="s">
        <v>3211</v>
      </c>
      <c r="E550" s="10" t="s">
        <v>45</v>
      </c>
      <c r="F550" s="10" t="s">
        <v>3212</v>
      </c>
      <c r="G550" s="10" t="s">
        <v>2484</v>
      </c>
      <c r="H550" s="10" t="s">
        <v>3650</v>
      </c>
      <c r="I550" s="10" t="s">
        <v>55</v>
      </c>
      <c r="J550" s="10" t="s">
        <v>3651</v>
      </c>
      <c r="K550" s="10" t="s">
        <v>3652</v>
      </c>
      <c r="L550" s="10" t="s">
        <v>42</v>
      </c>
    </row>
    <row r="551" ht="15.75" customHeight="1">
      <c r="A551" s="66">
        <v>45497.0</v>
      </c>
      <c r="B551" s="55" t="str">
        <f>HYPERLINK("https://jobright.ai/jobs/info/66a26a538d694daaf8c0cc8c?utm_campaign=1062&amp;utm_source=sheet", "Apply")</f>
        <v>Apply</v>
      </c>
      <c r="C551" s="10" t="s">
        <v>3653</v>
      </c>
      <c r="D551" s="56" t="s">
        <v>2994</v>
      </c>
      <c r="E551" s="10" t="s">
        <v>209</v>
      </c>
      <c r="F551" s="10" t="s">
        <v>2995</v>
      </c>
      <c r="G551" s="10" t="s">
        <v>2495</v>
      </c>
      <c r="H551" s="10" t="s">
        <v>2996</v>
      </c>
      <c r="I551" s="10" t="s">
        <v>55</v>
      </c>
      <c r="J551" s="10" t="s">
        <v>3654</v>
      </c>
      <c r="K551" s="10" t="s">
        <v>3655</v>
      </c>
      <c r="L551" s="10" t="s">
        <v>42</v>
      </c>
    </row>
    <row r="552" ht="15.75" customHeight="1">
      <c r="A552" s="66">
        <v>45497.0</v>
      </c>
      <c r="B552" s="55" t="str">
        <f>HYPERLINK("https://jobright.ai/jobs/info/66a12609d6c9bfaafdffbe20?utm_campaign=1062&amp;utm_source=sheet", "Apply")</f>
        <v>Apply</v>
      </c>
      <c r="C552" s="10" t="s">
        <v>3656</v>
      </c>
      <c r="D552" s="56" t="s">
        <v>3192</v>
      </c>
      <c r="E552" s="10" t="s">
        <v>209</v>
      </c>
      <c r="F552" s="10" t="s">
        <v>1207</v>
      </c>
      <c r="G552" s="10" t="s">
        <v>2437</v>
      </c>
      <c r="H552" s="10" t="s">
        <v>966</v>
      </c>
      <c r="I552" s="10" t="s">
        <v>55</v>
      </c>
      <c r="J552" s="10" t="s">
        <v>3200</v>
      </c>
      <c r="K552" s="10" t="s">
        <v>3201</v>
      </c>
      <c r="L552" s="10" t="s">
        <v>42</v>
      </c>
    </row>
    <row r="553" ht="15.75" customHeight="1">
      <c r="A553" s="66">
        <v>45497.0</v>
      </c>
      <c r="B553" s="55" t="str">
        <f>HYPERLINK("https://jobright.ai/jobs/info/66a214475dcce37a5324ce9c?utm_campaign=1062&amp;utm_source=sheet", "Apply")</f>
        <v>Apply</v>
      </c>
      <c r="C553" s="10" t="s">
        <v>3657</v>
      </c>
      <c r="D553" s="56" t="s">
        <v>3658</v>
      </c>
      <c r="E553" s="10" t="s">
        <v>65</v>
      </c>
      <c r="F553" s="10" t="s">
        <v>2746</v>
      </c>
      <c r="G553" s="10" t="s">
        <v>2437</v>
      </c>
      <c r="H553" s="10" t="s">
        <v>154</v>
      </c>
      <c r="I553" s="10" t="s">
        <v>55</v>
      </c>
      <c r="K553" s="10" t="s">
        <v>3659</v>
      </c>
      <c r="L553" s="10" t="s">
        <v>42</v>
      </c>
    </row>
    <row r="554" ht="15.75" customHeight="1">
      <c r="A554" s="66">
        <v>45497.0</v>
      </c>
      <c r="B554" s="55" t="str">
        <f>HYPERLINK("https://jobright.ai/jobs/info/66a214475dcce37a5324ce9b?utm_campaign=1062&amp;utm_source=sheet", "Apply")</f>
        <v>Apply</v>
      </c>
      <c r="C554" s="10" t="s">
        <v>3660</v>
      </c>
      <c r="D554" s="56" t="s">
        <v>3661</v>
      </c>
      <c r="E554" s="10" t="s">
        <v>65</v>
      </c>
      <c r="F554" s="10" t="s">
        <v>3662</v>
      </c>
      <c r="G554" s="10" t="s">
        <v>2448</v>
      </c>
      <c r="H554" s="10" t="s">
        <v>572</v>
      </c>
      <c r="I554" s="10" t="s">
        <v>55</v>
      </c>
      <c r="K554" s="10" t="s">
        <v>3663</v>
      </c>
      <c r="L554" s="10" t="s">
        <v>42</v>
      </c>
    </row>
    <row r="555" ht="15.75" customHeight="1">
      <c r="A555" s="66">
        <v>45497.0</v>
      </c>
      <c r="B555" s="55" t="str">
        <f>HYPERLINK("https://jobright.ai/jobs/info/667ac55d6fec2de820029fc8?utm_campaign=1062&amp;utm_source=sheet", "Apply")</f>
        <v>Apply</v>
      </c>
      <c r="C555" s="10" t="s">
        <v>3664</v>
      </c>
      <c r="D555" s="56" t="s">
        <v>3665</v>
      </c>
      <c r="E555" s="10" t="s">
        <v>71</v>
      </c>
      <c r="F555" s="10" t="s">
        <v>3666</v>
      </c>
      <c r="G555" s="10" t="s">
        <v>2502</v>
      </c>
      <c r="H555" s="10" t="s">
        <v>911</v>
      </c>
      <c r="I555" s="10" t="s">
        <v>48</v>
      </c>
      <c r="K555" s="10" t="s">
        <v>3667</v>
      </c>
      <c r="L555" s="10" t="s">
        <v>42</v>
      </c>
    </row>
    <row r="556" ht="15.75" customHeight="1">
      <c r="A556" s="66">
        <v>45497.0</v>
      </c>
      <c r="B556" s="55" t="str">
        <f>HYPERLINK("https://jobright.ai/jobs/info/66a3e88bb020465e7d35d005?utm_campaign=1062&amp;utm_source=sheet", "Apply")</f>
        <v>Apply</v>
      </c>
      <c r="C556" s="10" t="s">
        <v>3668</v>
      </c>
      <c r="D556" s="56" t="s">
        <v>3669</v>
      </c>
      <c r="E556" s="10" t="s">
        <v>65</v>
      </c>
      <c r="F556" s="10" t="s">
        <v>3670</v>
      </c>
      <c r="G556" s="10" t="s">
        <v>2443</v>
      </c>
      <c r="H556" s="10" t="s">
        <v>1254</v>
      </c>
      <c r="I556" s="10" t="s">
        <v>55</v>
      </c>
      <c r="J556" s="10" t="s">
        <v>3671</v>
      </c>
      <c r="K556" s="10" t="s">
        <v>3672</v>
      </c>
      <c r="L556" s="10" t="s">
        <v>42</v>
      </c>
    </row>
    <row r="557" ht="15.75" customHeight="1">
      <c r="A557" s="66">
        <v>45497.0</v>
      </c>
      <c r="B557" s="55" t="str">
        <f>HYPERLINK("https://jobright.ai/jobs/info/66a250ffa8221cc7b873ee54?utm_campaign=1062&amp;utm_source=sheet", "Apply")</f>
        <v>Apply</v>
      </c>
      <c r="C557" s="10" t="s">
        <v>3673</v>
      </c>
      <c r="D557" s="56" t="s">
        <v>1916</v>
      </c>
      <c r="E557" s="10" t="s">
        <v>209</v>
      </c>
      <c r="F557" s="10" t="s">
        <v>1917</v>
      </c>
      <c r="G557" s="10" t="s">
        <v>2455</v>
      </c>
      <c r="H557" s="10" t="s">
        <v>3674</v>
      </c>
      <c r="I557" s="10" t="s">
        <v>55</v>
      </c>
      <c r="J557" s="10" t="s">
        <v>3675</v>
      </c>
      <c r="K557" s="10" t="s">
        <v>3676</v>
      </c>
      <c r="L557" s="10" t="s">
        <v>42</v>
      </c>
    </row>
    <row r="558" ht="15.75" customHeight="1">
      <c r="A558" s="66">
        <v>45497.0</v>
      </c>
      <c r="B558" s="55" t="str">
        <f>HYPERLINK("https://jobright.ai/jobs/info/669929dd51cbb3cd564b4188?utm_campaign=1062&amp;utm_source=sheet", "Apply")</f>
        <v>Apply</v>
      </c>
      <c r="C558" s="10" t="s">
        <v>3673</v>
      </c>
      <c r="D558" s="56" t="s">
        <v>1916</v>
      </c>
      <c r="E558" s="10" t="s">
        <v>209</v>
      </c>
      <c r="F558" s="10" t="s">
        <v>1917</v>
      </c>
      <c r="G558" s="10" t="s">
        <v>2455</v>
      </c>
      <c r="H558" s="10" t="s">
        <v>3674</v>
      </c>
      <c r="I558" s="10" t="s">
        <v>55</v>
      </c>
      <c r="J558" s="10" t="s">
        <v>3675</v>
      </c>
      <c r="K558" s="10" t="s">
        <v>3676</v>
      </c>
      <c r="L558" s="10" t="s">
        <v>42</v>
      </c>
    </row>
    <row r="559" ht="15.75" customHeight="1">
      <c r="A559" s="66">
        <v>45497.0</v>
      </c>
      <c r="B559" s="55" t="str">
        <f>HYPERLINK("https://jobright.ai/jobs/info/668c2960dbe1aedcdfe00a01?utm_campaign=1062&amp;utm_source=sheet", "Apply")</f>
        <v>Apply</v>
      </c>
      <c r="C559" s="10" t="s">
        <v>3677</v>
      </c>
      <c r="D559" s="56" t="s">
        <v>1061</v>
      </c>
      <c r="E559" s="10" t="s">
        <v>209</v>
      </c>
      <c r="G559" s="10" t="s">
        <v>2484</v>
      </c>
      <c r="H559" s="10" t="s">
        <v>898</v>
      </c>
      <c r="I559" s="10" t="s">
        <v>55</v>
      </c>
      <c r="K559" s="10" t="s">
        <v>3678</v>
      </c>
      <c r="L559" s="10" t="s">
        <v>42</v>
      </c>
    </row>
    <row r="560" ht="15.75" customHeight="1">
      <c r="A560" s="66">
        <v>45497.0</v>
      </c>
      <c r="B560" s="55" t="str">
        <f>HYPERLINK("https://jobright.ai/jobs/info/66a23e0c591ddbc27da15d74?utm_campaign=1062&amp;utm_source=sheet", "Apply")</f>
        <v>Apply</v>
      </c>
      <c r="C560" s="10" t="s">
        <v>3679</v>
      </c>
      <c r="D560" s="56" t="s">
        <v>2462</v>
      </c>
      <c r="E560" s="10" t="s">
        <v>79</v>
      </c>
      <c r="F560" s="10" t="s">
        <v>2463</v>
      </c>
      <c r="G560" s="10" t="s">
        <v>2459</v>
      </c>
      <c r="H560" s="10" t="s">
        <v>131</v>
      </c>
      <c r="I560" s="10" t="s">
        <v>55</v>
      </c>
      <c r="J560" s="10" t="s">
        <v>3680</v>
      </c>
      <c r="K560" s="10" t="s">
        <v>3681</v>
      </c>
      <c r="L560" s="10" t="s">
        <v>42</v>
      </c>
    </row>
    <row r="561" ht="15.75" customHeight="1">
      <c r="A561" s="66">
        <v>45497.0</v>
      </c>
      <c r="B561" s="55" t="str">
        <f>HYPERLINK("https://jobright.ai/jobs/info/66a23c375c14cdf3ee23e2a2?utm_campaign=1062&amp;utm_source=sheet", "Apply")</f>
        <v>Apply</v>
      </c>
      <c r="C561" s="10" t="s">
        <v>3679</v>
      </c>
      <c r="D561" s="56" t="s">
        <v>2462</v>
      </c>
      <c r="E561" s="10" t="s">
        <v>79</v>
      </c>
      <c r="F561" s="10" t="s">
        <v>2463</v>
      </c>
      <c r="G561" s="10" t="s">
        <v>2459</v>
      </c>
      <c r="H561" s="10" t="s">
        <v>96</v>
      </c>
      <c r="I561" s="10" t="s">
        <v>55</v>
      </c>
      <c r="J561" s="10" t="s">
        <v>3680</v>
      </c>
      <c r="K561" s="10" t="s">
        <v>3681</v>
      </c>
      <c r="L561" s="10" t="s">
        <v>42</v>
      </c>
    </row>
    <row r="562" ht="15.75" customHeight="1">
      <c r="A562" s="66">
        <v>45497.0</v>
      </c>
      <c r="B562" s="55" t="str">
        <f>HYPERLINK("https://jobright.ai/jobs/info/66a0e91ab59a7cef876b645a?utm_campaign=1062&amp;utm_source=sheet", "Apply")</f>
        <v>Apply</v>
      </c>
      <c r="C562" s="10" t="s">
        <v>3682</v>
      </c>
      <c r="D562" s="56" t="s">
        <v>3683</v>
      </c>
      <c r="E562" s="10" t="s">
        <v>45</v>
      </c>
      <c r="F562" s="10" t="s">
        <v>3684</v>
      </c>
      <c r="G562" s="10" t="s">
        <v>2502</v>
      </c>
      <c r="H562" s="10" t="s">
        <v>3685</v>
      </c>
      <c r="I562" s="10" t="s">
        <v>55</v>
      </c>
      <c r="J562" s="10" t="s">
        <v>3686</v>
      </c>
      <c r="K562" s="10" t="s">
        <v>3687</v>
      </c>
      <c r="L562" s="10" t="s">
        <v>42</v>
      </c>
    </row>
    <row r="563" ht="15.75" customHeight="1">
      <c r="A563" s="66">
        <v>45497.0</v>
      </c>
      <c r="B563" s="55" t="str">
        <f>HYPERLINK("https://jobright.ai/jobs/info/66a2376aa3cccf144e98822d?utm_campaign=1062&amp;utm_source=sheet", "Apply")</f>
        <v>Apply</v>
      </c>
      <c r="C563" s="10" t="s">
        <v>3688</v>
      </c>
      <c r="D563" s="56" t="s">
        <v>3689</v>
      </c>
      <c r="E563" s="10">
        <v>5945.0</v>
      </c>
      <c r="G563" s="10" t="s">
        <v>2448</v>
      </c>
      <c r="H563" s="10" t="s">
        <v>251</v>
      </c>
      <c r="I563" s="10" t="s">
        <v>252</v>
      </c>
      <c r="J563" s="10" t="s">
        <v>1189</v>
      </c>
      <c r="K563" s="10" t="s">
        <v>3690</v>
      </c>
      <c r="L563" s="10" t="s">
        <v>42</v>
      </c>
    </row>
    <row r="564" ht="15.75" customHeight="1">
      <c r="A564" s="66">
        <v>45497.0</v>
      </c>
      <c r="B564" s="55" t="str">
        <f>HYPERLINK("https://jobright.ai/jobs/info/6677c32c2b6ed5133f444eb6?utm_campaign=1062&amp;utm_source=sheet", "Apply")</f>
        <v>Apply</v>
      </c>
      <c r="C564" s="10" t="s">
        <v>3691</v>
      </c>
      <c r="D564" s="56" t="s">
        <v>2721</v>
      </c>
      <c r="E564" s="10" t="s">
        <v>45</v>
      </c>
      <c r="F564" s="10" t="s">
        <v>2722</v>
      </c>
      <c r="G564" s="10" t="s">
        <v>2448</v>
      </c>
      <c r="H564" s="10" t="s">
        <v>313</v>
      </c>
      <c r="I564" s="10" t="s">
        <v>55</v>
      </c>
      <c r="J564" s="10" t="s">
        <v>2723</v>
      </c>
      <c r="K564" s="10" t="s">
        <v>3692</v>
      </c>
      <c r="L564" s="10" t="s">
        <v>42</v>
      </c>
    </row>
    <row r="565" ht="15.75" customHeight="1">
      <c r="A565" s="66">
        <v>45497.0</v>
      </c>
      <c r="B565" s="55" t="str">
        <f>HYPERLINK("https://jobright.ai/jobs/info/6677b8009c2d9fa5bf0884ec?utm_campaign=1062&amp;utm_source=sheet", "Apply")</f>
        <v>Apply</v>
      </c>
      <c r="C565" s="10" t="s">
        <v>3693</v>
      </c>
      <c r="D565" s="56" t="s">
        <v>2721</v>
      </c>
      <c r="E565" s="10" t="s">
        <v>45</v>
      </c>
      <c r="F565" s="10" t="s">
        <v>2722</v>
      </c>
      <c r="G565" s="10" t="s">
        <v>2448</v>
      </c>
      <c r="H565" s="10" t="s">
        <v>313</v>
      </c>
      <c r="I565" s="10" t="s">
        <v>55</v>
      </c>
      <c r="J565" s="10" t="s">
        <v>2723</v>
      </c>
      <c r="K565" s="10" t="s">
        <v>3694</v>
      </c>
      <c r="L565" s="10" t="s">
        <v>42</v>
      </c>
    </row>
    <row r="566" ht="15.75" customHeight="1">
      <c r="A566" s="66">
        <v>45497.0</v>
      </c>
      <c r="B566" s="55" t="str">
        <f>HYPERLINK("https://jobright.ai/jobs/info/66639c4b7d4b1cb291288743?utm_campaign=1062&amp;utm_source=sheet", "Apply")</f>
        <v>Apply</v>
      </c>
      <c r="C566" s="10" t="s">
        <v>3695</v>
      </c>
      <c r="D566" s="56" t="s">
        <v>317</v>
      </c>
      <c r="E566" s="10" t="s">
        <v>45</v>
      </c>
      <c r="F566" s="10" t="s">
        <v>318</v>
      </c>
      <c r="G566" s="10" t="s">
        <v>2437</v>
      </c>
      <c r="H566" s="10" t="s">
        <v>319</v>
      </c>
      <c r="I566" s="10" t="s">
        <v>55</v>
      </c>
      <c r="J566" s="10" t="s">
        <v>320</v>
      </c>
      <c r="K566" s="10" t="s">
        <v>3696</v>
      </c>
      <c r="L566" s="10" t="s">
        <v>42</v>
      </c>
    </row>
    <row r="567" ht="15.75" customHeight="1">
      <c r="A567" s="66">
        <v>45497.0</v>
      </c>
      <c r="B567" s="55" t="str">
        <f>HYPERLINK("https://jobright.ai/jobs/info/664b99b7cee159fad0ebe2c8?utm_campaign=1062&amp;utm_source=sheet", "Apply")</f>
        <v>Apply</v>
      </c>
      <c r="C567" s="10" t="s">
        <v>3697</v>
      </c>
      <c r="D567" s="56" t="s">
        <v>311</v>
      </c>
      <c r="E567" s="10" t="s">
        <v>45</v>
      </c>
      <c r="F567" s="10" t="s">
        <v>312</v>
      </c>
      <c r="G567" s="10" t="s">
        <v>2502</v>
      </c>
      <c r="H567" s="10" t="s">
        <v>313</v>
      </c>
      <c r="I567" s="10" t="s">
        <v>55</v>
      </c>
      <c r="J567" s="10" t="s">
        <v>2755</v>
      </c>
      <c r="K567" s="10" t="s">
        <v>3698</v>
      </c>
      <c r="L567" s="10" t="s">
        <v>42</v>
      </c>
    </row>
    <row r="568" ht="15.75" customHeight="1">
      <c r="A568" s="66">
        <v>45497.0</v>
      </c>
      <c r="B568" s="55" t="str">
        <f>HYPERLINK("https://jobright.ai/jobs/info/6668068dd19f25c2c7cd07bb?utm_campaign=1062&amp;utm_source=sheet", "Apply")</f>
        <v>Apply</v>
      </c>
      <c r="C568" s="10" t="s">
        <v>3699</v>
      </c>
      <c r="D568" s="56" t="s">
        <v>2721</v>
      </c>
      <c r="E568" s="10" t="s">
        <v>45</v>
      </c>
      <c r="F568" s="10" t="s">
        <v>2722</v>
      </c>
      <c r="G568" s="10" t="s">
        <v>2448</v>
      </c>
      <c r="H568" s="10" t="s">
        <v>313</v>
      </c>
      <c r="I568" s="10" t="s">
        <v>55</v>
      </c>
      <c r="J568" s="10" t="s">
        <v>2723</v>
      </c>
      <c r="K568" s="10" t="s">
        <v>3700</v>
      </c>
      <c r="L568" s="10" t="s">
        <v>42</v>
      </c>
    </row>
    <row r="569" ht="15.75" customHeight="1">
      <c r="A569" s="66">
        <v>45497.0</v>
      </c>
      <c r="B569" s="55" t="str">
        <f>HYPERLINK("https://jobright.ai/jobs/info/6675ac236d8340c59f8e4682?utm_campaign=1062&amp;utm_source=sheet", "Apply")</f>
        <v>Apply</v>
      </c>
      <c r="C569" s="10" t="s">
        <v>3699</v>
      </c>
      <c r="D569" s="56" t="s">
        <v>2721</v>
      </c>
      <c r="E569" s="10" t="s">
        <v>45</v>
      </c>
      <c r="F569" s="10" t="s">
        <v>2722</v>
      </c>
      <c r="G569" s="10" t="s">
        <v>2448</v>
      </c>
      <c r="H569" s="10" t="s">
        <v>423</v>
      </c>
      <c r="I569" s="10" t="s">
        <v>55</v>
      </c>
      <c r="J569" s="10" t="s">
        <v>2767</v>
      </c>
      <c r="K569" s="10" t="s">
        <v>3700</v>
      </c>
      <c r="L569" s="10" t="s">
        <v>42</v>
      </c>
    </row>
    <row r="570" ht="15.75" customHeight="1">
      <c r="A570" s="66">
        <v>45497.0</v>
      </c>
      <c r="B570" s="55" t="str">
        <f>HYPERLINK("https://jobright.ai/jobs/info/668bb6db17dee3377292543a?utm_campaign=1062&amp;utm_source=sheet", "Apply")</f>
        <v>Apply</v>
      </c>
      <c r="C570" s="10" t="s">
        <v>3701</v>
      </c>
      <c r="D570" s="56" t="s">
        <v>3702</v>
      </c>
      <c r="E570" s="10" t="s">
        <v>249</v>
      </c>
      <c r="F570" s="10" t="s">
        <v>293</v>
      </c>
      <c r="G570" s="10" t="s">
        <v>2484</v>
      </c>
      <c r="H570" s="10" t="s">
        <v>3703</v>
      </c>
      <c r="I570" s="10" t="s">
        <v>48</v>
      </c>
      <c r="K570" s="10" t="s">
        <v>3704</v>
      </c>
      <c r="L570" s="10" t="s">
        <v>42</v>
      </c>
    </row>
    <row r="571" ht="15.75" customHeight="1">
      <c r="A571" s="66">
        <v>45497.0</v>
      </c>
      <c r="B571" s="55" t="str">
        <f>HYPERLINK("https://jobright.ai/jobs/info/6677b7739c2d9fa5bf087ba8?utm_campaign=1062&amp;utm_source=sheet", "Apply")</f>
        <v>Apply</v>
      </c>
      <c r="C571" s="10" t="s">
        <v>2766</v>
      </c>
      <c r="D571" s="56" t="s">
        <v>2721</v>
      </c>
      <c r="E571" s="10" t="s">
        <v>45</v>
      </c>
      <c r="F571" s="10" t="s">
        <v>2722</v>
      </c>
      <c r="G571" s="10" t="s">
        <v>2502</v>
      </c>
      <c r="H571" s="10" t="s">
        <v>313</v>
      </c>
      <c r="I571" s="10" t="s">
        <v>55</v>
      </c>
      <c r="J571" s="10" t="s">
        <v>2723</v>
      </c>
      <c r="K571" s="10" t="s">
        <v>2768</v>
      </c>
      <c r="L571" s="10" t="s">
        <v>42</v>
      </c>
    </row>
    <row r="572" ht="15.75" customHeight="1">
      <c r="A572" s="66">
        <v>45497.0</v>
      </c>
      <c r="B572" s="55" t="str">
        <f>HYPERLINK("https://jobright.ai/jobs/info/6677bd2627c0e726e8f4e5e5?utm_campaign=1062&amp;utm_source=sheet", "Apply")</f>
        <v>Apply</v>
      </c>
      <c r="C572" s="10" t="s">
        <v>3705</v>
      </c>
      <c r="D572" s="56" t="s">
        <v>2721</v>
      </c>
      <c r="E572" s="10" t="s">
        <v>45</v>
      </c>
      <c r="F572" s="10" t="s">
        <v>2722</v>
      </c>
      <c r="G572" s="10" t="s">
        <v>2502</v>
      </c>
      <c r="H572" s="10" t="s">
        <v>423</v>
      </c>
      <c r="I572" s="10" t="s">
        <v>55</v>
      </c>
      <c r="J572" s="10" t="s">
        <v>2767</v>
      </c>
      <c r="K572" s="10" t="s">
        <v>3706</v>
      </c>
      <c r="L572" s="10" t="s">
        <v>42</v>
      </c>
    </row>
    <row r="573" ht="15.75" customHeight="1">
      <c r="A573" s="66">
        <v>45497.0</v>
      </c>
      <c r="B573" s="55" t="str">
        <f>HYPERLINK("https://jobright.ai/jobs/info/6677c6c964f2e472ffd624af?utm_campaign=1062&amp;utm_source=sheet", "Apply")</f>
        <v>Apply</v>
      </c>
      <c r="C573" s="10" t="s">
        <v>3705</v>
      </c>
      <c r="D573" s="56" t="s">
        <v>2721</v>
      </c>
      <c r="E573" s="10" t="s">
        <v>45</v>
      </c>
      <c r="F573" s="10" t="s">
        <v>2722</v>
      </c>
      <c r="G573" s="10" t="s">
        <v>2502</v>
      </c>
      <c r="H573" s="10" t="s">
        <v>313</v>
      </c>
      <c r="I573" s="10" t="s">
        <v>55</v>
      </c>
      <c r="J573" s="10" t="s">
        <v>2723</v>
      </c>
      <c r="K573" s="10" t="s">
        <v>3706</v>
      </c>
      <c r="L573" s="10" t="s">
        <v>42</v>
      </c>
    </row>
    <row r="574" ht="15.75" customHeight="1">
      <c r="A574" s="66">
        <v>45497.0</v>
      </c>
      <c r="B574" s="55" t="str">
        <f>HYPERLINK("https://jobright.ai/jobs/info/669a658dccbc474c18d0b16f?utm_campaign=1062&amp;utm_source=sheet", "Apply")</f>
        <v>Apply</v>
      </c>
      <c r="C574" s="10" t="s">
        <v>3707</v>
      </c>
      <c r="D574" s="56" t="s">
        <v>3708</v>
      </c>
      <c r="E574" s="10" t="s">
        <v>65</v>
      </c>
      <c r="F574" s="10" t="s">
        <v>3709</v>
      </c>
      <c r="G574" s="10" t="s">
        <v>2464</v>
      </c>
      <c r="H574" s="10" t="s">
        <v>152</v>
      </c>
      <c r="I574" s="10" t="s">
        <v>55</v>
      </c>
      <c r="K574" s="10" t="s">
        <v>3710</v>
      </c>
      <c r="L574" s="10" t="s">
        <v>42</v>
      </c>
    </row>
    <row r="575" ht="15.75" customHeight="1">
      <c r="A575" s="66">
        <v>45497.0</v>
      </c>
      <c r="B575" s="55" t="str">
        <f>HYPERLINK("https://jobright.ai/jobs/info/6677be0a27c0e726e8f4f719?utm_campaign=1062&amp;utm_source=sheet", "Apply")</f>
        <v>Apply</v>
      </c>
      <c r="C575" s="10" t="s">
        <v>3039</v>
      </c>
      <c r="D575" s="56" t="s">
        <v>3711</v>
      </c>
      <c r="E575" s="10" t="s">
        <v>65</v>
      </c>
      <c r="F575" s="10" t="s">
        <v>1506</v>
      </c>
      <c r="G575" s="10" t="s">
        <v>2448</v>
      </c>
      <c r="H575" s="10" t="s">
        <v>1016</v>
      </c>
      <c r="I575" s="10" t="s">
        <v>55</v>
      </c>
      <c r="K575" s="10" t="s">
        <v>3712</v>
      </c>
      <c r="L575" s="10" t="s">
        <v>42</v>
      </c>
    </row>
    <row r="576" ht="15.75" customHeight="1">
      <c r="A576" s="66">
        <v>45497.0</v>
      </c>
      <c r="B576" s="55" t="str">
        <f>HYPERLINK("https://jobright.ai/jobs/info/6684dc676da61b760e8b5851?utm_campaign=1062&amp;utm_source=sheet", "Apply")</f>
        <v>Apply</v>
      </c>
      <c r="C576" s="10" t="s">
        <v>3375</v>
      </c>
      <c r="D576" s="56" t="s">
        <v>3376</v>
      </c>
      <c r="E576" s="10" t="s">
        <v>45</v>
      </c>
      <c r="F576" s="10" t="s">
        <v>3377</v>
      </c>
      <c r="G576" s="10" t="s">
        <v>2459</v>
      </c>
      <c r="H576" s="10" t="s">
        <v>854</v>
      </c>
      <c r="I576" s="10" t="s">
        <v>48</v>
      </c>
      <c r="J576" s="10" t="s">
        <v>3393</v>
      </c>
      <c r="K576" s="10" t="s">
        <v>3379</v>
      </c>
      <c r="L576" s="10" t="s">
        <v>42</v>
      </c>
    </row>
    <row r="577" ht="15.75" customHeight="1">
      <c r="A577" s="66">
        <v>45497.0</v>
      </c>
      <c r="B577" s="55" t="str">
        <f>HYPERLINK("https://jobright.ai/jobs/info/6684d23d2013c1661e0c4874?utm_campaign=1062&amp;utm_source=sheet", "Apply")</f>
        <v>Apply</v>
      </c>
      <c r="C577" s="10" t="s">
        <v>3713</v>
      </c>
      <c r="D577" s="56" t="s">
        <v>3714</v>
      </c>
      <c r="E577" s="10" t="s">
        <v>79</v>
      </c>
      <c r="F577" s="10" t="s">
        <v>404</v>
      </c>
      <c r="G577" s="10" t="s">
        <v>2455</v>
      </c>
      <c r="H577" s="10" t="s">
        <v>108</v>
      </c>
      <c r="I577" s="10" t="s">
        <v>48</v>
      </c>
      <c r="K577" s="10" t="s">
        <v>3715</v>
      </c>
      <c r="L577" s="10" t="s">
        <v>42</v>
      </c>
    </row>
    <row r="578" ht="15.75" customHeight="1">
      <c r="A578" s="66">
        <v>45497.0</v>
      </c>
      <c r="B578" s="55" t="str">
        <f>HYPERLINK("https://jobright.ai/jobs/info/6677c6be64f2e472ffd623ed?utm_campaign=1062&amp;utm_source=sheet", "Apply")</f>
        <v>Apply</v>
      </c>
      <c r="C578" s="10" t="s">
        <v>3716</v>
      </c>
      <c r="D578" s="56" t="s">
        <v>2721</v>
      </c>
      <c r="E578" s="10" t="s">
        <v>45</v>
      </c>
      <c r="F578" s="10" t="s">
        <v>2722</v>
      </c>
      <c r="G578" s="10" t="s">
        <v>2502</v>
      </c>
      <c r="H578" s="10" t="s">
        <v>423</v>
      </c>
      <c r="I578" s="10" t="s">
        <v>55</v>
      </c>
      <c r="J578" s="10" t="s">
        <v>3717</v>
      </c>
      <c r="K578" s="10" t="s">
        <v>3718</v>
      </c>
      <c r="L578" s="10" t="s">
        <v>42</v>
      </c>
    </row>
    <row r="579" ht="15.75" customHeight="1">
      <c r="A579" s="66">
        <v>45497.0</v>
      </c>
      <c r="B579" s="55" t="str">
        <f>HYPERLINK("https://jobright.ai/jobs/info/6677bcaa27c0e726e8f4dc76?utm_campaign=1062&amp;utm_source=sheet", "Apply")</f>
        <v>Apply</v>
      </c>
      <c r="C579" s="10" t="s">
        <v>3716</v>
      </c>
      <c r="D579" s="56" t="s">
        <v>2721</v>
      </c>
      <c r="E579" s="10" t="s">
        <v>45</v>
      </c>
      <c r="F579" s="10" t="s">
        <v>2722</v>
      </c>
      <c r="G579" s="10" t="s">
        <v>2502</v>
      </c>
      <c r="H579" s="10" t="s">
        <v>313</v>
      </c>
      <c r="I579" s="10" t="s">
        <v>55</v>
      </c>
      <c r="J579" s="10" t="s">
        <v>314</v>
      </c>
      <c r="K579" s="10" t="s">
        <v>3718</v>
      </c>
      <c r="L579" s="10" t="s">
        <v>42</v>
      </c>
    </row>
    <row r="580" ht="15.75" customHeight="1">
      <c r="A580" s="66">
        <v>45497.0</v>
      </c>
      <c r="B580" s="55" t="str">
        <f>HYPERLINK("https://jobright.ai/jobs/info/668496db89906a0228a897a7?utm_campaign=1062&amp;utm_source=sheet", "Apply")</f>
        <v>Apply</v>
      </c>
      <c r="C580" s="10" t="s">
        <v>3375</v>
      </c>
      <c r="D580" s="56" t="s">
        <v>3376</v>
      </c>
      <c r="E580" s="10" t="s">
        <v>45</v>
      </c>
      <c r="F580" s="10" t="s">
        <v>3377</v>
      </c>
      <c r="G580" s="10" t="s">
        <v>2459</v>
      </c>
      <c r="H580" s="10" t="s">
        <v>3719</v>
      </c>
      <c r="I580" s="10" t="s">
        <v>48</v>
      </c>
      <c r="J580" s="10" t="s">
        <v>3720</v>
      </c>
      <c r="K580" s="10" t="s">
        <v>3379</v>
      </c>
      <c r="L580" s="10" t="s">
        <v>42</v>
      </c>
    </row>
    <row r="581" ht="15.75" customHeight="1">
      <c r="A581" s="66">
        <v>45497.0</v>
      </c>
      <c r="B581" s="55" t="str">
        <f>HYPERLINK("https://jobright.ai/jobs/info/6677bd0427c0e726e8f4e37d?utm_campaign=1062&amp;utm_source=sheet", "Apply")</f>
        <v>Apply</v>
      </c>
      <c r="C581" s="10" t="s">
        <v>3691</v>
      </c>
      <c r="D581" s="56" t="s">
        <v>2721</v>
      </c>
      <c r="E581" s="10" t="s">
        <v>45</v>
      </c>
      <c r="F581" s="10" t="s">
        <v>2722</v>
      </c>
      <c r="G581" s="10" t="s">
        <v>2448</v>
      </c>
      <c r="H581" s="10" t="s">
        <v>423</v>
      </c>
      <c r="I581" s="10" t="s">
        <v>55</v>
      </c>
      <c r="J581" s="10" t="s">
        <v>2767</v>
      </c>
      <c r="K581" s="10" t="s">
        <v>3692</v>
      </c>
      <c r="L581" s="10" t="s">
        <v>42</v>
      </c>
    </row>
    <row r="582" ht="15.75" customHeight="1">
      <c r="A582" s="66">
        <v>45497.0</v>
      </c>
      <c r="B582" s="55" t="str">
        <f>HYPERLINK("https://jobright.ai/jobs/info/66850703584e185704cd1bee?utm_campaign=1062&amp;utm_source=sheet", "Apply")</f>
        <v>Apply</v>
      </c>
      <c r="C582" s="10" t="s">
        <v>3375</v>
      </c>
      <c r="D582" s="56" t="s">
        <v>3376</v>
      </c>
      <c r="E582" s="10" t="s">
        <v>45</v>
      </c>
      <c r="F582" s="10" t="s">
        <v>3377</v>
      </c>
      <c r="G582" s="10" t="s">
        <v>2459</v>
      </c>
      <c r="H582" s="10" t="s">
        <v>636</v>
      </c>
      <c r="I582" s="10" t="s">
        <v>48</v>
      </c>
      <c r="J582" s="10" t="s">
        <v>3393</v>
      </c>
      <c r="K582" s="10" t="s">
        <v>3379</v>
      </c>
      <c r="L582" s="10" t="s">
        <v>42</v>
      </c>
    </row>
    <row r="583" ht="15.75" customHeight="1">
      <c r="A583" s="66">
        <v>45497.0</v>
      </c>
      <c r="B583" s="55" t="str">
        <f>HYPERLINK("https://jobright.ai/jobs/info/6684d799613b832fe6991946?utm_campaign=1062&amp;utm_source=sheet", "Apply")</f>
        <v>Apply</v>
      </c>
      <c r="C583" s="10" t="s">
        <v>3375</v>
      </c>
      <c r="D583" s="56" t="s">
        <v>3376</v>
      </c>
      <c r="E583" s="10" t="s">
        <v>45</v>
      </c>
      <c r="F583" s="10" t="s">
        <v>3377</v>
      </c>
      <c r="G583" s="10" t="s">
        <v>2459</v>
      </c>
      <c r="H583" s="10" t="s">
        <v>3721</v>
      </c>
      <c r="I583" s="10" t="s">
        <v>48</v>
      </c>
      <c r="J583" s="10" t="s">
        <v>3393</v>
      </c>
      <c r="K583" s="10" t="s">
        <v>3722</v>
      </c>
      <c r="L583" s="10" t="s">
        <v>42</v>
      </c>
    </row>
    <row r="584" ht="15.75" customHeight="1">
      <c r="A584" s="66">
        <v>45497.0</v>
      </c>
      <c r="B584" s="55" t="str">
        <f>HYPERLINK("https://jobright.ai/jobs/info/6667de171669c8572799e7fc?utm_campaign=1062&amp;utm_source=sheet", "Apply")</f>
        <v>Apply</v>
      </c>
      <c r="C584" s="10" t="s">
        <v>3723</v>
      </c>
      <c r="D584" s="56" t="s">
        <v>2721</v>
      </c>
      <c r="E584" s="10" t="s">
        <v>45</v>
      </c>
      <c r="F584" s="10" t="s">
        <v>2722</v>
      </c>
      <c r="G584" s="10" t="s">
        <v>2448</v>
      </c>
      <c r="H584" s="10" t="s">
        <v>313</v>
      </c>
      <c r="I584" s="10" t="s">
        <v>55</v>
      </c>
      <c r="J584" s="10" t="s">
        <v>2723</v>
      </c>
      <c r="K584" s="10" t="s">
        <v>3724</v>
      </c>
      <c r="L584" s="10" t="s">
        <v>42</v>
      </c>
    </row>
    <row r="585" ht="15.75" customHeight="1">
      <c r="A585" s="66">
        <v>45497.0</v>
      </c>
      <c r="B585" s="55" t="str">
        <f>HYPERLINK("https://jobright.ai/jobs/info/668490d723fbc70f728b9e64?utm_campaign=1062&amp;utm_source=sheet", "Apply")</f>
        <v>Apply</v>
      </c>
      <c r="C585" s="10" t="s">
        <v>3725</v>
      </c>
      <c r="D585" s="56" t="s">
        <v>716</v>
      </c>
      <c r="E585" s="10" t="s">
        <v>79</v>
      </c>
      <c r="F585" s="10" t="s">
        <v>717</v>
      </c>
      <c r="G585" s="10" t="s">
        <v>2528</v>
      </c>
      <c r="H585" s="10" t="s">
        <v>144</v>
      </c>
      <c r="I585" s="10" t="s">
        <v>55</v>
      </c>
      <c r="J585" s="10" t="s">
        <v>718</v>
      </c>
      <c r="K585" s="10" t="s">
        <v>3726</v>
      </c>
      <c r="L585" s="10" t="s">
        <v>42</v>
      </c>
    </row>
    <row r="586" ht="15.75" customHeight="1">
      <c r="A586" s="66">
        <v>45497.0</v>
      </c>
      <c r="B586" s="55" t="str">
        <f>HYPERLINK("https://jobright.ai/jobs/info/6668068dd19f25c2c7cd07c5?utm_campaign=1062&amp;utm_source=sheet", "Apply")</f>
        <v>Apply</v>
      </c>
      <c r="C586" s="10" t="s">
        <v>3727</v>
      </c>
      <c r="D586" s="56" t="s">
        <v>2721</v>
      </c>
      <c r="E586" s="10" t="s">
        <v>45</v>
      </c>
      <c r="F586" s="10" t="s">
        <v>2722</v>
      </c>
      <c r="G586" s="10" t="s">
        <v>2502</v>
      </c>
      <c r="H586" s="10" t="s">
        <v>313</v>
      </c>
      <c r="I586" s="10" t="s">
        <v>55</v>
      </c>
      <c r="J586" s="10" t="s">
        <v>2723</v>
      </c>
      <c r="K586" s="10" t="s">
        <v>3728</v>
      </c>
      <c r="L586" s="10" t="s">
        <v>42</v>
      </c>
    </row>
    <row r="587" ht="15.75" customHeight="1">
      <c r="A587" s="66">
        <v>45497.0</v>
      </c>
      <c r="B587" s="55" t="str">
        <f>HYPERLINK("https://jobright.ai/jobs/info/664c7095381463663d2036ae?utm_campaign=1062&amp;utm_source=sheet", "Apply")</f>
        <v>Apply</v>
      </c>
      <c r="C587" s="10" t="s">
        <v>3729</v>
      </c>
      <c r="D587" s="56" t="s">
        <v>716</v>
      </c>
      <c r="E587" s="10" t="s">
        <v>79</v>
      </c>
      <c r="F587" s="10" t="s">
        <v>717</v>
      </c>
      <c r="G587" s="10" t="s">
        <v>2605</v>
      </c>
      <c r="H587" s="10" t="s">
        <v>144</v>
      </c>
      <c r="I587" s="10" t="s">
        <v>48</v>
      </c>
      <c r="J587" s="10" t="s">
        <v>718</v>
      </c>
      <c r="K587" s="10" t="s">
        <v>3730</v>
      </c>
      <c r="L587" s="10" t="s">
        <v>42</v>
      </c>
    </row>
    <row r="588" ht="15.75" customHeight="1">
      <c r="A588" s="66">
        <v>45497.0</v>
      </c>
      <c r="B588" s="55" t="str">
        <f>HYPERLINK("https://jobright.ai/jobs/info/668490d723fbc70f728b9e6b?utm_campaign=1062&amp;utm_source=sheet", "Apply")</f>
        <v>Apply</v>
      </c>
      <c r="C588" s="10" t="s">
        <v>3731</v>
      </c>
      <c r="D588" s="56" t="s">
        <v>716</v>
      </c>
      <c r="E588" s="10" t="s">
        <v>79</v>
      </c>
      <c r="F588" s="10" t="s">
        <v>717</v>
      </c>
      <c r="G588" s="10" t="s">
        <v>2528</v>
      </c>
      <c r="H588" s="10" t="s">
        <v>144</v>
      </c>
      <c r="I588" s="10" t="s">
        <v>48</v>
      </c>
      <c r="J588" s="10" t="s">
        <v>718</v>
      </c>
      <c r="K588" s="10" t="s">
        <v>3726</v>
      </c>
      <c r="L588" s="10" t="s">
        <v>42</v>
      </c>
    </row>
    <row r="589" ht="15.75" customHeight="1">
      <c r="A589" s="66">
        <v>45497.0</v>
      </c>
      <c r="B589" s="55" t="str">
        <f>HYPERLINK("https://jobright.ai/jobs/info/664c460cc2299090a337ad4a?utm_campaign=1062&amp;utm_source=sheet", "Apply")</f>
        <v>Apply</v>
      </c>
      <c r="C589" s="10" t="s">
        <v>3732</v>
      </c>
      <c r="D589" s="56" t="s">
        <v>716</v>
      </c>
      <c r="E589" s="10" t="s">
        <v>79</v>
      </c>
      <c r="F589" s="10" t="s">
        <v>717</v>
      </c>
      <c r="G589" s="10" t="s">
        <v>3733</v>
      </c>
      <c r="H589" s="10" t="s">
        <v>144</v>
      </c>
      <c r="I589" s="10" t="s">
        <v>48</v>
      </c>
      <c r="J589" s="10" t="s">
        <v>718</v>
      </c>
      <c r="K589" s="10" t="s">
        <v>3730</v>
      </c>
      <c r="L589" s="10" t="s">
        <v>42</v>
      </c>
    </row>
    <row r="590" ht="15.75" customHeight="1">
      <c r="A590" s="66">
        <v>45497.0</v>
      </c>
      <c r="B590" s="55" t="str">
        <f>HYPERLINK("https://jobright.ai/jobs/info/6684d7a5613b832fe6991a31?utm_campaign=1062&amp;utm_source=sheet", "Apply")</f>
        <v>Apply</v>
      </c>
      <c r="C590" s="10" t="s">
        <v>3734</v>
      </c>
      <c r="D590" s="56" t="s">
        <v>3714</v>
      </c>
      <c r="E590" s="10" t="s">
        <v>79</v>
      </c>
      <c r="F590" s="10" t="s">
        <v>404</v>
      </c>
      <c r="G590" s="10" t="s">
        <v>2455</v>
      </c>
      <c r="H590" s="10" t="s">
        <v>3735</v>
      </c>
      <c r="I590" s="10" t="s">
        <v>48</v>
      </c>
      <c r="K590" s="10" t="s">
        <v>3715</v>
      </c>
      <c r="L590" s="10" t="s">
        <v>42</v>
      </c>
    </row>
    <row r="591" ht="15.75" customHeight="1">
      <c r="A591" s="66">
        <v>45497.0</v>
      </c>
      <c r="B591" s="55" t="str">
        <f>HYPERLINK("https://jobright.ai/jobs/info/66a0de6428125a716783e48e?utm_campaign=1062&amp;utm_source=sheet", "Apply")</f>
        <v>Apply</v>
      </c>
      <c r="C591" s="10" t="s">
        <v>3736</v>
      </c>
      <c r="D591" s="56" t="s">
        <v>3737</v>
      </c>
      <c r="E591" s="10" t="s">
        <v>137</v>
      </c>
      <c r="F591" s="10" t="s">
        <v>2950</v>
      </c>
      <c r="G591" s="10" t="s">
        <v>2509</v>
      </c>
      <c r="H591" s="10" t="s">
        <v>977</v>
      </c>
      <c r="I591" s="10" t="s">
        <v>55</v>
      </c>
      <c r="K591" s="10" t="s">
        <v>3738</v>
      </c>
      <c r="L591" s="10" t="s">
        <v>42</v>
      </c>
    </row>
    <row r="592" ht="15.75" customHeight="1">
      <c r="A592" s="66">
        <v>45497.0</v>
      </c>
      <c r="B592" s="55" t="str">
        <f>HYPERLINK("https://jobright.ai/jobs/info/667581e0b8ac7f4a9d6b9ccf?utm_campaign=1062&amp;utm_source=sheet", "Apply")</f>
        <v>Apply</v>
      </c>
      <c r="C592" s="10" t="s">
        <v>3739</v>
      </c>
      <c r="D592" s="56" t="s">
        <v>3740</v>
      </c>
      <c r="E592" s="10" t="s">
        <v>65</v>
      </c>
      <c r="F592" s="10" t="s">
        <v>1274</v>
      </c>
      <c r="G592" s="10" t="s">
        <v>2484</v>
      </c>
      <c r="H592" s="10" t="s">
        <v>3741</v>
      </c>
      <c r="I592" s="10" t="s">
        <v>55</v>
      </c>
      <c r="K592" s="10" t="s">
        <v>3742</v>
      </c>
      <c r="L592" s="10" t="s">
        <v>42</v>
      </c>
    </row>
    <row r="593" ht="15.75" customHeight="1">
      <c r="A593" s="66">
        <v>45497.0</v>
      </c>
      <c r="B593" s="55" t="str">
        <f>HYPERLINK("https://jobright.ai/jobs/info/66a16676f0a8c0435deb1be7?utm_campaign=1062&amp;utm_source=sheet", "Apply")</f>
        <v>Apply</v>
      </c>
      <c r="C593" s="10" t="s">
        <v>3679</v>
      </c>
      <c r="D593" s="56" t="s">
        <v>2462</v>
      </c>
      <c r="E593" s="10" t="s">
        <v>79</v>
      </c>
      <c r="F593" s="10" t="s">
        <v>2463</v>
      </c>
      <c r="G593" s="10" t="s">
        <v>2459</v>
      </c>
      <c r="H593" s="10" t="s">
        <v>131</v>
      </c>
      <c r="I593" s="10" t="s">
        <v>48</v>
      </c>
      <c r="J593" s="10" t="s">
        <v>3680</v>
      </c>
      <c r="K593" s="10" t="s">
        <v>3681</v>
      </c>
      <c r="L593" s="10" t="s">
        <v>42</v>
      </c>
    </row>
    <row r="594" ht="15.75" customHeight="1">
      <c r="A594" s="66">
        <v>45497.0</v>
      </c>
      <c r="B594" s="55" t="str">
        <f>HYPERLINK("https://jobright.ai/jobs/info/66840717d65531d6be998278?utm_campaign=1062&amp;utm_source=sheet", "Apply")</f>
        <v>Apply</v>
      </c>
      <c r="C594" s="10" t="s">
        <v>3743</v>
      </c>
      <c r="D594" s="56" t="s">
        <v>3744</v>
      </c>
      <c r="E594" s="10" t="s">
        <v>65</v>
      </c>
      <c r="F594" s="10" t="s">
        <v>1893</v>
      </c>
      <c r="G594" s="10" t="s">
        <v>2437</v>
      </c>
      <c r="H594" s="10" t="s">
        <v>3745</v>
      </c>
      <c r="I594" s="10" t="s">
        <v>55</v>
      </c>
      <c r="J594" s="10" t="s">
        <v>3746</v>
      </c>
      <c r="K594" s="10" t="s">
        <v>3747</v>
      </c>
      <c r="L594" s="10" t="s">
        <v>42</v>
      </c>
    </row>
    <row r="595" ht="15.75" customHeight="1">
      <c r="A595" s="66">
        <v>45497.0</v>
      </c>
      <c r="B595" s="55" t="str">
        <f>HYPERLINK("https://jobright.ai/jobs/info/66a0cccf9f5d6d5234aa3372?utm_campaign=1062&amp;utm_source=sheet", "Apply")</f>
        <v>Apply</v>
      </c>
      <c r="C595" s="10" t="s">
        <v>3748</v>
      </c>
      <c r="D595" s="56" t="s">
        <v>3749</v>
      </c>
      <c r="E595" s="10" t="s">
        <v>276</v>
      </c>
      <c r="F595" s="10" t="s">
        <v>3750</v>
      </c>
      <c r="G595" s="10" t="s">
        <v>2448</v>
      </c>
      <c r="H595" s="10" t="s">
        <v>3751</v>
      </c>
      <c r="I595" s="10" t="s">
        <v>55</v>
      </c>
      <c r="K595" s="10" t="s">
        <v>3752</v>
      </c>
      <c r="L595" s="10" t="s">
        <v>42</v>
      </c>
    </row>
    <row r="596" ht="15.75" customHeight="1">
      <c r="A596" s="66">
        <v>45497.0</v>
      </c>
      <c r="B596" s="55" t="str">
        <f>HYPERLINK("https://jobright.ai/jobs/info/667597c6ff3b4e0886ada850?utm_campaign=1062&amp;utm_source=sheet", "Apply")</f>
        <v>Apply</v>
      </c>
      <c r="C596" s="10" t="s">
        <v>3753</v>
      </c>
      <c r="D596" s="56" t="s">
        <v>208</v>
      </c>
      <c r="E596" s="10" t="s">
        <v>209</v>
      </c>
      <c r="F596" s="10" t="s">
        <v>210</v>
      </c>
      <c r="G596" s="10" t="s">
        <v>2502</v>
      </c>
      <c r="H596" s="10" t="s">
        <v>211</v>
      </c>
      <c r="I596" s="10" t="s">
        <v>55</v>
      </c>
      <c r="K596" s="10" t="s">
        <v>3754</v>
      </c>
      <c r="L596" s="10" t="s">
        <v>42</v>
      </c>
    </row>
    <row r="597" ht="15.75" customHeight="1">
      <c r="A597" s="66">
        <v>45497.0</v>
      </c>
      <c r="B597" s="55" t="str">
        <f>HYPERLINK("https://jobright.ai/jobs/info/66842758cf82b8df3444a638?utm_campaign=1062&amp;utm_source=sheet", "Apply")</f>
        <v>Apply</v>
      </c>
      <c r="C597" s="10" t="s">
        <v>3755</v>
      </c>
      <c r="D597" s="56" t="s">
        <v>2726</v>
      </c>
      <c r="E597" s="10" t="s">
        <v>65</v>
      </c>
      <c r="F597" s="10" t="s">
        <v>85</v>
      </c>
      <c r="G597" s="10" t="s">
        <v>2464</v>
      </c>
      <c r="H597" s="10" t="s">
        <v>1010</v>
      </c>
      <c r="I597" s="10" t="s">
        <v>48</v>
      </c>
      <c r="K597" s="10" t="s">
        <v>3756</v>
      </c>
      <c r="L597" s="10" t="s">
        <v>42</v>
      </c>
    </row>
    <row r="598" ht="15.75" customHeight="1">
      <c r="A598" s="66">
        <v>45497.0</v>
      </c>
      <c r="B598" s="55" t="str">
        <f>HYPERLINK("https://jobright.ai/jobs/info/66a0cccf9f5d6d5234aa339b?utm_campaign=1062&amp;utm_source=sheet", "Apply")</f>
        <v>Apply</v>
      </c>
      <c r="C598" s="10" t="s">
        <v>3757</v>
      </c>
      <c r="D598" s="56" t="s">
        <v>1223</v>
      </c>
      <c r="E598" s="10" t="s">
        <v>209</v>
      </c>
      <c r="F598" s="10" t="s">
        <v>1224</v>
      </c>
      <c r="G598" s="10" t="s">
        <v>2484</v>
      </c>
      <c r="H598" s="10" t="s">
        <v>3758</v>
      </c>
      <c r="I598" s="10" t="s">
        <v>55</v>
      </c>
      <c r="K598" s="10" t="s">
        <v>3759</v>
      </c>
      <c r="L598" s="10" t="s">
        <v>42</v>
      </c>
    </row>
    <row r="599" ht="15.75" customHeight="1">
      <c r="A599" s="66">
        <v>45497.0</v>
      </c>
      <c r="B599" s="55" t="str">
        <f>HYPERLINK("https://jobright.ai/jobs/info/66842758cf82b8df3444a603?utm_campaign=1062&amp;utm_source=sheet", "Apply")</f>
        <v>Apply</v>
      </c>
      <c r="C599" s="10" t="s">
        <v>2725</v>
      </c>
      <c r="D599" s="56" t="s">
        <v>2726</v>
      </c>
      <c r="E599" s="10" t="s">
        <v>65</v>
      </c>
      <c r="F599" s="10" t="s">
        <v>85</v>
      </c>
      <c r="G599" s="10" t="s">
        <v>2464</v>
      </c>
      <c r="H599" s="10" t="s">
        <v>146</v>
      </c>
      <c r="I599" s="10" t="s">
        <v>48</v>
      </c>
      <c r="K599" s="10" t="s">
        <v>3760</v>
      </c>
      <c r="L599" s="10" t="s">
        <v>42</v>
      </c>
    </row>
    <row r="600" ht="15.75" customHeight="1">
      <c r="A600" s="66">
        <v>45497.0</v>
      </c>
      <c r="B600" s="55" t="str">
        <f>HYPERLINK("https://jobright.ai/jobs/info/6675a323a05c85bb25afa2f8?utm_campaign=1062&amp;utm_source=sheet", "Apply")</f>
        <v>Apply</v>
      </c>
      <c r="C600" s="10" t="s">
        <v>3761</v>
      </c>
      <c r="D600" s="56" t="s">
        <v>3762</v>
      </c>
      <c r="E600" s="10" t="s">
        <v>65</v>
      </c>
      <c r="F600" s="10" t="s">
        <v>2385</v>
      </c>
      <c r="G600" s="10" t="s">
        <v>2437</v>
      </c>
      <c r="H600" s="10" t="s">
        <v>3763</v>
      </c>
      <c r="I600" s="10" t="s">
        <v>55</v>
      </c>
      <c r="K600" s="10" t="s">
        <v>3764</v>
      </c>
      <c r="L600" s="10" t="s">
        <v>42</v>
      </c>
    </row>
    <row r="601" ht="15.75" customHeight="1">
      <c r="A601" s="66">
        <v>45497.0</v>
      </c>
      <c r="B601" s="55" t="str">
        <f>HYPERLINK("https://jobright.ai/jobs/info/66a35f7e71f3ff9524ed86c5?utm_campaign=1062&amp;utm_source=sheet", "Apply")</f>
        <v>Apply</v>
      </c>
      <c r="C601" s="10" t="s">
        <v>3765</v>
      </c>
      <c r="D601" s="56" t="s">
        <v>3766</v>
      </c>
      <c r="E601" s="10" t="s">
        <v>276</v>
      </c>
      <c r="F601" s="10" t="s">
        <v>2588</v>
      </c>
      <c r="G601" s="10" t="s">
        <v>2464</v>
      </c>
      <c r="H601" s="10" t="s">
        <v>73</v>
      </c>
      <c r="I601" s="10" t="s">
        <v>55</v>
      </c>
      <c r="K601" s="10" t="s">
        <v>3767</v>
      </c>
      <c r="L601" s="10" t="s">
        <v>42</v>
      </c>
    </row>
    <row r="602" ht="15.75" customHeight="1">
      <c r="A602" s="66">
        <v>45497.0</v>
      </c>
      <c r="B602" s="55" t="str">
        <f>HYPERLINK("https://jobright.ai/jobs/info/66a1fa982c35b37e3b785fee?utm_campaign=1062&amp;utm_source=sheet", "Apply")</f>
        <v>Apply</v>
      </c>
      <c r="C602" s="10" t="s">
        <v>3768</v>
      </c>
      <c r="D602" s="56" t="s">
        <v>3769</v>
      </c>
      <c r="E602" s="10" t="s">
        <v>65</v>
      </c>
      <c r="F602" s="10" t="s">
        <v>3770</v>
      </c>
      <c r="G602" s="10" t="s">
        <v>2455</v>
      </c>
      <c r="H602" s="10" t="s">
        <v>434</v>
      </c>
      <c r="I602" s="10" t="s">
        <v>55</v>
      </c>
      <c r="J602" s="10" t="s">
        <v>3771</v>
      </c>
      <c r="K602" s="10" t="s">
        <v>3772</v>
      </c>
      <c r="L602" s="10" t="s">
        <v>42</v>
      </c>
    </row>
    <row r="603" ht="15.75" customHeight="1">
      <c r="A603" s="66">
        <v>45497.0</v>
      </c>
      <c r="B603" s="55" t="str">
        <f>HYPERLINK("https://jobright.ai/jobs/info/66a1f13a2f4f47ae624f6b5c?utm_campaign=1062&amp;utm_source=sheet", "Apply")</f>
        <v>Apply</v>
      </c>
      <c r="C603" s="10" t="s">
        <v>3773</v>
      </c>
      <c r="D603" s="56" t="s">
        <v>1738</v>
      </c>
      <c r="E603" s="10" t="s">
        <v>249</v>
      </c>
      <c r="F603" s="10" t="s">
        <v>1465</v>
      </c>
      <c r="G603" s="10" t="s">
        <v>3774</v>
      </c>
      <c r="H603" s="10" t="s">
        <v>131</v>
      </c>
      <c r="I603" s="10" t="s">
        <v>55</v>
      </c>
      <c r="K603" s="10" t="s">
        <v>3775</v>
      </c>
      <c r="L603" s="10" t="s">
        <v>42</v>
      </c>
    </row>
    <row r="604" ht="15.75" customHeight="1">
      <c r="A604" s="66">
        <v>45497.0</v>
      </c>
      <c r="B604" s="55" t="str">
        <f>HYPERLINK("https://jobright.ai/jobs/info/66a1f13a2f4f47ae624f6b7a?utm_campaign=1062&amp;utm_source=sheet", "Apply")</f>
        <v>Apply</v>
      </c>
      <c r="C604" s="10" t="s">
        <v>3776</v>
      </c>
      <c r="D604" s="56" t="s">
        <v>3777</v>
      </c>
      <c r="E604" s="10" t="s">
        <v>276</v>
      </c>
      <c r="F604" s="10" t="s">
        <v>3778</v>
      </c>
      <c r="G604" s="10" t="s">
        <v>2443</v>
      </c>
      <c r="H604" s="10" t="s">
        <v>3779</v>
      </c>
      <c r="I604" s="10" t="s">
        <v>55</v>
      </c>
      <c r="K604" s="10" t="s">
        <v>3780</v>
      </c>
      <c r="L604" s="10" t="s">
        <v>42</v>
      </c>
    </row>
    <row r="605" ht="15.75" customHeight="1">
      <c r="A605" s="66">
        <v>45497.0</v>
      </c>
      <c r="B605" s="55" t="str">
        <f>HYPERLINK("https://jobright.ai/jobs/info/66a14f6ddb76d566d1e191c6?utm_campaign=1062&amp;utm_source=sheet", "Apply")</f>
        <v>Apply</v>
      </c>
      <c r="C605" s="10" t="s">
        <v>3682</v>
      </c>
      <c r="D605" s="56" t="s">
        <v>3683</v>
      </c>
      <c r="E605" s="10" t="s">
        <v>45</v>
      </c>
      <c r="F605" s="10" t="s">
        <v>3684</v>
      </c>
      <c r="G605" s="10" t="s">
        <v>2502</v>
      </c>
      <c r="H605" s="10" t="s">
        <v>165</v>
      </c>
      <c r="I605" s="10" t="s">
        <v>55</v>
      </c>
      <c r="J605" s="10" t="s">
        <v>3686</v>
      </c>
      <c r="K605" s="10" t="s">
        <v>3687</v>
      </c>
      <c r="L605" s="10" t="s">
        <v>42</v>
      </c>
    </row>
    <row r="606" ht="15.75" customHeight="1">
      <c r="A606" s="66">
        <v>45497.0</v>
      </c>
      <c r="B606" s="55" t="str">
        <f>HYPERLINK("https://jobright.ai/jobs/info/66a0932d132a9c9cec0321c8?utm_campaign=1062&amp;utm_source=sheet", "Apply")</f>
        <v>Apply</v>
      </c>
      <c r="C606" s="10" t="s">
        <v>3781</v>
      </c>
      <c r="D606" s="56" t="s">
        <v>3436</v>
      </c>
      <c r="E606" s="10" t="s">
        <v>209</v>
      </c>
      <c r="F606" s="10" t="s">
        <v>3437</v>
      </c>
      <c r="G606" s="10" t="s">
        <v>2484</v>
      </c>
      <c r="H606" s="10" t="s">
        <v>3438</v>
      </c>
      <c r="I606" s="10" t="s">
        <v>55</v>
      </c>
      <c r="J606" s="10" t="s">
        <v>3782</v>
      </c>
      <c r="K606" s="10" t="s">
        <v>3783</v>
      </c>
      <c r="L606" s="10" t="s">
        <v>42</v>
      </c>
    </row>
    <row r="607" ht="15.75" customHeight="1">
      <c r="A607" s="66">
        <v>45497.0</v>
      </c>
      <c r="B607" s="55" t="str">
        <f>HYPERLINK("https://jobright.ai/jobs/info/6675ce1efde6a7756c635c8f?utm_campaign=1062&amp;utm_source=sheet", "Apply")</f>
        <v>Apply</v>
      </c>
      <c r="C607" s="10" t="s">
        <v>3421</v>
      </c>
      <c r="D607" s="56" t="s">
        <v>317</v>
      </c>
      <c r="E607" s="10" t="s">
        <v>45</v>
      </c>
      <c r="F607" s="10" t="s">
        <v>318</v>
      </c>
      <c r="G607" s="10" t="s">
        <v>2495</v>
      </c>
      <c r="H607" s="10" t="s">
        <v>319</v>
      </c>
      <c r="I607" s="10" t="s">
        <v>55</v>
      </c>
      <c r="J607" s="10" t="s">
        <v>320</v>
      </c>
      <c r="K607" s="10" t="s">
        <v>3784</v>
      </c>
      <c r="L607" s="10" t="s">
        <v>42</v>
      </c>
    </row>
    <row r="608" ht="15.75" customHeight="1">
      <c r="A608" s="66">
        <v>45497.0</v>
      </c>
      <c r="B608" s="55" t="str">
        <f>HYPERLINK("https://jobright.ai/jobs/info/66a09dd72ab9524a6becd650?utm_campaign=1062&amp;utm_source=sheet", "Apply")</f>
        <v>Apply</v>
      </c>
      <c r="C608" s="10" t="s">
        <v>3785</v>
      </c>
      <c r="D608" s="56" t="s">
        <v>3376</v>
      </c>
      <c r="E608" s="10" t="s">
        <v>45</v>
      </c>
      <c r="F608" s="10" t="s">
        <v>3377</v>
      </c>
      <c r="G608" s="10" t="s">
        <v>2484</v>
      </c>
      <c r="H608" s="10" t="s">
        <v>3786</v>
      </c>
      <c r="I608" s="10" t="s">
        <v>55</v>
      </c>
      <c r="J608" s="10" t="s">
        <v>3787</v>
      </c>
      <c r="K608" s="10" t="s">
        <v>3788</v>
      </c>
      <c r="L608" s="10" t="s">
        <v>42</v>
      </c>
    </row>
    <row r="609" ht="15.75" customHeight="1">
      <c r="A609" s="66">
        <v>45497.0</v>
      </c>
      <c r="B609" s="55" t="str">
        <f>HYPERLINK("https://jobright.ai/jobs/info/66a09c1c32a85301d982ab75?utm_campaign=1062&amp;utm_source=sheet", "Apply")</f>
        <v>Apply</v>
      </c>
      <c r="C609" s="10" t="s">
        <v>3789</v>
      </c>
      <c r="D609" s="56" t="s">
        <v>3436</v>
      </c>
      <c r="E609" s="10" t="s">
        <v>209</v>
      </c>
      <c r="F609" s="10" t="s">
        <v>3437</v>
      </c>
      <c r="G609" s="10" t="s">
        <v>2484</v>
      </c>
      <c r="H609" s="10" t="s">
        <v>3438</v>
      </c>
      <c r="I609" s="10" t="s">
        <v>55</v>
      </c>
      <c r="J609" s="10" t="s">
        <v>1189</v>
      </c>
      <c r="K609" s="10" t="s">
        <v>3783</v>
      </c>
      <c r="L609" s="10" t="s">
        <v>42</v>
      </c>
    </row>
    <row r="610" ht="15.75" customHeight="1">
      <c r="A610" s="66">
        <v>45497.0</v>
      </c>
      <c r="B610" s="55" t="str">
        <f>HYPERLINK("https://jobright.ai/jobs/info/6675be456f7095ca90c075e1?utm_campaign=1062&amp;utm_source=sheet", "Apply")</f>
        <v>Apply</v>
      </c>
      <c r="C610" s="10" t="s">
        <v>3790</v>
      </c>
      <c r="D610" s="56" t="s">
        <v>317</v>
      </c>
      <c r="E610" s="10" t="s">
        <v>45</v>
      </c>
      <c r="F610" s="10" t="s">
        <v>318</v>
      </c>
      <c r="G610" s="10" t="s">
        <v>2470</v>
      </c>
      <c r="H610" s="10" t="s">
        <v>3791</v>
      </c>
      <c r="I610" s="10" t="s">
        <v>55</v>
      </c>
      <c r="J610" s="10" t="s">
        <v>320</v>
      </c>
      <c r="K610" s="10" t="s">
        <v>3792</v>
      </c>
      <c r="L610" s="10" t="s">
        <v>42</v>
      </c>
    </row>
    <row r="611" ht="15.75" customHeight="1">
      <c r="A611" s="66">
        <v>45497.0</v>
      </c>
      <c r="B611" s="55" t="str">
        <f>HYPERLINK("https://jobright.ai/jobs/info/66a07f9ac20f22c367e05d20?utm_campaign=1062&amp;utm_source=sheet", "Apply")</f>
        <v>Apply</v>
      </c>
      <c r="C611" s="10" t="s">
        <v>3793</v>
      </c>
      <c r="D611" s="56" t="s">
        <v>3794</v>
      </c>
      <c r="E611" s="10" t="s">
        <v>65</v>
      </c>
      <c r="F611" s="10" t="s">
        <v>3795</v>
      </c>
      <c r="G611" s="10" t="s">
        <v>2484</v>
      </c>
      <c r="H611" s="10" t="s">
        <v>3796</v>
      </c>
      <c r="I611" s="10" t="s">
        <v>48</v>
      </c>
      <c r="J611" s="10" t="s">
        <v>3797</v>
      </c>
      <c r="K611" s="10" t="s">
        <v>3798</v>
      </c>
      <c r="L611" s="10" t="s">
        <v>42</v>
      </c>
    </row>
    <row r="612" ht="15.75" customHeight="1">
      <c r="A612" s="66">
        <v>45497.0</v>
      </c>
      <c r="B612" s="55" t="str">
        <f>HYPERLINK("https://jobright.ai/jobs/info/66a07f87c20f22c367e05a76?utm_campaign=1062&amp;utm_source=sheet", "Apply")</f>
        <v>Apply</v>
      </c>
      <c r="C612" s="10" t="s">
        <v>3793</v>
      </c>
      <c r="D612" s="56" t="s">
        <v>3794</v>
      </c>
      <c r="E612" s="10" t="s">
        <v>65</v>
      </c>
      <c r="F612" s="10" t="s">
        <v>3795</v>
      </c>
      <c r="G612" s="10" t="s">
        <v>2484</v>
      </c>
      <c r="H612" s="10" t="s">
        <v>251</v>
      </c>
      <c r="I612" s="10" t="s">
        <v>48</v>
      </c>
      <c r="J612" s="10" t="s">
        <v>3797</v>
      </c>
      <c r="K612" s="10" t="s">
        <v>3798</v>
      </c>
      <c r="L612" s="10" t="s">
        <v>42</v>
      </c>
    </row>
    <row r="613" ht="15.75" customHeight="1">
      <c r="A613" s="66">
        <v>45497.0</v>
      </c>
      <c r="B613" s="55" t="str">
        <f>HYPERLINK("https://jobright.ai/jobs/info/66a087ca92fc950024d1d506?utm_campaign=1062&amp;utm_source=sheet", "Apply")</f>
        <v>Apply</v>
      </c>
      <c r="C613" s="10" t="s">
        <v>3799</v>
      </c>
      <c r="D613" s="56" t="s">
        <v>3800</v>
      </c>
      <c r="E613" s="10" t="s">
        <v>65</v>
      </c>
      <c r="F613" s="10" t="s">
        <v>3801</v>
      </c>
      <c r="G613" s="10" t="s">
        <v>2437</v>
      </c>
      <c r="H613" s="10" t="s">
        <v>3802</v>
      </c>
      <c r="I613" s="10" t="s">
        <v>55</v>
      </c>
      <c r="J613" s="10" t="s">
        <v>366</v>
      </c>
      <c r="K613" s="10" t="s">
        <v>3803</v>
      </c>
      <c r="L613" s="10" t="s">
        <v>42</v>
      </c>
    </row>
    <row r="614" ht="15.75" customHeight="1">
      <c r="A614" s="66">
        <v>45497.0</v>
      </c>
      <c r="B614" s="55" t="str">
        <f>HYPERLINK("https://jobright.ai/jobs/info/66a0be65c10a2049c789c375?utm_campaign=1062&amp;utm_source=sheet", "Apply")</f>
        <v>Apply</v>
      </c>
      <c r="C614" s="10" t="s">
        <v>3781</v>
      </c>
      <c r="D614" s="56" t="s">
        <v>3564</v>
      </c>
      <c r="E614" s="10" t="s">
        <v>45</v>
      </c>
      <c r="F614" s="10" t="s">
        <v>3565</v>
      </c>
      <c r="G614" s="10" t="s">
        <v>2484</v>
      </c>
      <c r="H614" s="10" t="s">
        <v>3438</v>
      </c>
      <c r="I614" s="10" t="s">
        <v>55</v>
      </c>
      <c r="J614" s="10" t="s">
        <v>3782</v>
      </c>
      <c r="K614" s="10" t="s">
        <v>3783</v>
      </c>
      <c r="L614" s="10" t="s">
        <v>42</v>
      </c>
    </row>
    <row r="615" ht="15.75" customHeight="1">
      <c r="A615" s="66">
        <v>45497.0</v>
      </c>
      <c r="B615" s="55" t="str">
        <f>HYPERLINK("https://jobright.ai/jobs/info/66a08d30fb3b4af2379d0b33?utm_campaign=1062&amp;utm_source=sheet", "Apply")</f>
        <v>Apply</v>
      </c>
      <c r="C615" s="10" t="s">
        <v>3804</v>
      </c>
      <c r="D615" s="56" t="s">
        <v>3079</v>
      </c>
      <c r="E615" s="10" t="s">
        <v>249</v>
      </c>
      <c r="F615" s="10" t="s">
        <v>3080</v>
      </c>
      <c r="G615" s="10" t="s">
        <v>2459</v>
      </c>
      <c r="H615" s="10" t="s">
        <v>146</v>
      </c>
      <c r="I615" s="10" t="s">
        <v>55</v>
      </c>
      <c r="K615" s="10" t="s">
        <v>3805</v>
      </c>
      <c r="L615" s="10" t="s">
        <v>42</v>
      </c>
    </row>
    <row r="616" ht="15.75" customHeight="1">
      <c r="A616" s="66">
        <v>45497.0</v>
      </c>
      <c r="B616" s="55" t="str">
        <f>HYPERLINK("https://jobright.ai/jobs/info/66a095961cfc1609be8300d1?utm_campaign=1062&amp;utm_source=sheet", "Apply")</f>
        <v>Apply</v>
      </c>
      <c r="C616" s="10" t="s">
        <v>3789</v>
      </c>
      <c r="D616" s="56" t="s">
        <v>3564</v>
      </c>
      <c r="E616" s="10" t="s">
        <v>45</v>
      </c>
      <c r="F616" s="10" t="s">
        <v>3565</v>
      </c>
      <c r="G616" s="10" t="s">
        <v>2484</v>
      </c>
      <c r="H616" s="10" t="s">
        <v>3438</v>
      </c>
      <c r="I616" s="10" t="s">
        <v>55</v>
      </c>
      <c r="J616" s="10" t="s">
        <v>1189</v>
      </c>
      <c r="K616" s="10" t="s">
        <v>3783</v>
      </c>
      <c r="L616" s="10" t="s">
        <v>42</v>
      </c>
    </row>
    <row r="617" ht="15.75" customHeight="1">
      <c r="A617" s="66">
        <v>45497.0</v>
      </c>
      <c r="B617" s="55" t="str">
        <f>HYPERLINK("https://jobright.ai/jobs/info/66a07927f493ff248a603392?utm_campaign=1062&amp;utm_source=sheet", "Apply")</f>
        <v>Apply</v>
      </c>
      <c r="C617" s="10" t="s">
        <v>3806</v>
      </c>
      <c r="D617" s="56" t="s">
        <v>3708</v>
      </c>
      <c r="E617" s="10" t="s">
        <v>65</v>
      </c>
      <c r="F617" s="10" t="s">
        <v>3709</v>
      </c>
      <c r="G617" s="10" t="s">
        <v>2579</v>
      </c>
      <c r="H617" s="10" t="s">
        <v>3807</v>
      </c>
      <c r="I617" s="10" t="s">
        <v>55</v>
      </c>
      <c r="K617" s="10" t="s">
        <v>3808</v>
      </c>
      <c r="L617" s="10" t="s">
        <v>42</v>
      </c>
    </row>
    <row r="618" ht="15.75" customHeight="1">
      <c r="A618" s="66">
        <v>45497.0</v>
      </c>
      <c r="B618" s="55" t="str">
        <f>HYPERLINK("https://jobright.ai/jobs/info/66a1b4eb349d237c2fa6be56?utm_campaign=1062&amp;utm_source=sheet", "Apply")</f>
        <v>Apply</v>
      </c>
      <c r="C618" s="10" t="s">
        <v>3809</v>
      </c>
      <c r="D618" s="56" t="s">
        <v>3810</v>
      </c>
      <c r="E618" s="10" t="s">
        <v>249</v>
      </c>
      <c r="F618" s="10" t="s">
        <v>3811</v>
      </c>
      <c r="G618" s="10" t="s">
        <v>2484</v>
      </c>
      <c r="H618" s="10" t="s">
        <v>146</v>
      </c>
      <c r="I618" s="10" t="s">
        <v>55</v>
      </c>
      <c r="K618" s="10" t="s">
        <v>3812</v>
      </c>
      <c r="L618" s="10" t="s">
        <v>42</v>
      </c>
    </row>
    <row r="619" ht="15.75" customHeight="1">
      <c r="A619" s="66">
        <v>45497.0</v>
      </c>
      <c r="B619" s="55" t="str">
        <f>HYPERLINK("https://jobright.ai/jobs/info/66a074bce348287e40821f39?utm_campaign=1062&amp;utm_source=sheet", "Apply")</f>
        <v>Apply</v>
      </c>
      <c r="C619" s="10" t="s">
        <v>3813</v>
      </c>
      <c r="D619" s="56" t="s">
        <v>3814</v>
      </c>
      <c r="E619" s="10" t="s">
        <v>137</v>
      </c>
      <c r="F619" s="10" t="s">
        <v>3815</v>
      </c>
      <c r="G619" s="10" t="s">
        <v>2579</v>
      </c>
      <c r="H619" s="10" t="s">
        <v>955</v>
      </c>
      <c r="I619" s="10" t="s">
        <v>55</v>
      </c>
      <c r="K619" s="10" t="s">
        <v>3816</v>
      </c>
      <c r="L619" s="10" t="s">
        <v>42</v>
      </c>
    </row>
    <row r="620" ht="15.75" customHeight="1">
      <c r="A620" s="66">
        <v>45497.0</v>
      </c>
      <c r="B620" s="55" t="str">
        <f>HYPERLINK("https://jobright.ai/jobs/info/66a12417952485abf9abe8f6?utm_campaign=1062&amp;utm_source=sheet", "Apply")</f>
        <v>Apply</v>
      </c>
      <c r="C620" s="10" t="s">
        <v>301</v>
      </c>
      <c r="D620" s="56" t="s">
        <v>3817</v>
      </c>
      <c r="E620" s="10" t="s">
        <v>79</v>
      </c>
      <c r="F620" s="10" t="s">
        <v>1274</v>
      </c>
      <c r="G620" s="10" t="s">
        <v>2484</v>
      </c>
      <c r="H620" s="10" t="s">
        <v>174</v>
      </c>
      <c r="I620" s="10" t="s">
        <v>55</v>
      </c>
      <c r="K620" s="10" t="s">
        <v>3818</v>
      </c>
      <c r="L620" s="10" t="s">
        <v>42</v>
      </c>
    </row>
    <row r="621" ht="15.75" customHeight="1">
      <c r="A621" s="66">
        <v>45497.0</v>
      </c>
      <c r="B621" s="55" t="str">
        <f>HYPERLINK("https://jobright.ai/jobs/info/66a11edd2b30156284a3c649?utm_campaign=1062&amp;utm_source=sheet", "Apply")</f>
        <v>Apply</v>
      </c>
      <c r="C621" s="10" t="s">
        <v>3819</v>
      </c>
      <c r="D621" s="56" t="s">
        <v>3820</v>
      </c>
      <c r="E621" s="10" t="s">
        <v>209</v>
      </c>
      <c r="F621" s="10" t="s">
        <v>3821</v>
      </c>
      <c r="G621" s="10" t="s">
        <v>2437</v>
      </c>
      <c r="H621" s="10" t="s">
        <v>73</v>
      </c>
      <c r="I621" s="10" t="s">
        <v>55</v>
      </c>
      <c r="K621" s="10" t="s">
        <v>3822</v>
      </c>
      <c r="L621" s="10" t="s">
        <v>42</v>
      </c>
    </row>
    <row r="622" ht="15.75" customHeight="1">
      <c r="A622" s="66">
        <v>45497.0</v>
      </c>
      <c r="B622" s="55" t="str">
        <f>HYPERLINK("https://jobright.ai/jobs/info/66a1604fe2be5c244a65617d?utm_campaign=1062&amp;utm_source=sheet", "Apply")</f>
        <v>Apply</v>
      </c>
      <c r="C622" s="10" t="s">
        <v>3823</v>
      </c>
      <c r="D622" s="56" t="s">
        <v>684</v>
      </c>
      <c r="E622" s="10" t="s">
        <v>45</v>
      </c>
      <c r="F622" s="10" t="s">
        <v>685</v>
      </c>
      <c r="G622" s="10" t="s">
        <v>2509</v>
      </c>
      <c r="H622" s="10" t="s">
        <v>3824</v>
      </c>
      <c r="I622" s="10" t="s">
        <v>55</v>
      </c>
      <c r="K622" s="10" t="s">
        <v>3825</v>
      </c>
      <c r="L622" s="10" t="s">
        <v>42</v>
      </c>
    </row>
    <row r="623" ht="15.75" customHeight="1">
      <c r="A623" s="66">
        <v>45497.0</v>
      </c>
      <c r="B623" s="55" t="str">
        <f>HYPERLINK("https://jobright.ai/jobs/info/66a1649f62a32f0d1f203f4a?utm_campaign=1062&amp;utm_source=sheet", "Apply")</f>
        <v>Apply</v>
      </c>
      <c r="C623" s="10" t="s">
        <v>3826</v>
      </c>
      <c r="D623" s="56" t="s">
        <v>3538</v>
      </c>
      <c r="E623" s="10" t="s">
        <v>45</v>
      </c>
      <c r="F623" s="10" t="s">
        <v>3539</v>
      </c>
      <c r="G623" s="10" t="s">
        <v>2437</v>
      </c>
      <c r="H623" s="10" t="s">
        <v>3827</v>
      </c>
      <c r="I623" s="10" t="s">
        <v>55</v>
      </c>
      <c r="J623" s="10" t="s">
        <v>540</v>
      </c>
      <c r="K623" s="10" t="s">
        <v>3828</v>
      </c>
      <c r="L623" s="10" t="s">
        <v>42</v>
      </c>
    </row>
    <row r="624" ht="15.75" customHeight="1">
      <c r="A624" s="66">
        <v>45497.0</v>
      </c>
      <c r="B624" s="55" t="str">
        <f>HYPERLINK("https://jobright.ai/jobs/info/66a1a0b6f9d25010fae4c39c?utm_campaign=1062&amp;utm_source=sheet", "Apply")</f>
        <v>Apply</v>
      </c>
      <c r="C624" s="10" t="s">
        <v>3535</v>
      </c>
      <c r="D624" s="56" t="s">
        <v>702</v>
      </c>
      <c r="E624" s="10" t="s">
        <v>65</v>
      </c>
      <c r="F624" s="10" t="s">
        <v>703</v>
      </c>
      <c r="G624" s="10" t="s">
        <v>2448</v>
      </c>
      <c r="H624" s="10" t="s">
        <v>1058</v>
      </c>
      <c r="I624" s="10" t="s">
        <v>48</v>
      </c>
      <c r="J624" s="10" t="s">
        <v>3536</v>
      </c>
      <c r="K624" s="10" t="s">
        <v>3009</v>
      </c>
      <c r="L624" s="10" t="s">
        <v>42</v>
      </c>
    </row>
    <row r="625" ht="15.75" customHeight="1">
      <c r="A625" s="66">
        <v>45496.0</v>
      </c>
      <c r="B625" s="55" t="str">
        <f>HYPERLINK("https://jobright.ai/jobs/info/66a03fc34138bf13e1d750d1?utm_campaign=1062&amp;utm_source=sheet", "Apply")</f>
        <v>Apply</v>
      </c>
      <c r="C625" s="10" t="s">
        <v>3829</v>
      </c>
      <c r="D625" s="56" t="s">
        <v>3337</v>
      </c>
      <c r="E625" s="10" t="s">
        <v>209</v>
      </c>
      <c r="F625" s="10" t="s">
        <v>2828</v>
      </c>
      <c r="G625" s="10" t="s">
        <v>2464</v>
      </c>
      <c r="H625" s="10" t="s">
        <v>106</v>
      </c>
      <c r="I625" s="10" t="s">
        <v>55</v>
      </c>
      <c r="K625" s="10" t="s">
        <v>3830</v>
      </c>
      <c r="L625" s="10" t="s">
        <v>42</v>
      </c>
    </row>
    <row r="626" ht="15.75" customHeight="1">
      <c r="A626" s="66">
        <v>45496.0</v>
      </c>
      <c r="B626" s="55" t="str">
        <f>HYPERLINK("https://jobright.ai/jobs/info/66a045a727f3a8d785fe000e?utm_campaign=1062&amp;utm_source=sheet", "Apply")</f>
        <v>Apply</v>
      </c>
      <c r="C626" s="10" t="s">
        <v>3831</v>
      </c>
      <c r="D626" s="56" t="s">
        <v>3832</v>
      </c>
      <c r="E626" s="10" t="s">
        <v>65</v>
      </c>
      <c r="F626" s="10" t="s">
        <v>660</v>
      </c>
      <c r="G626" s="10" t="s">
        <v>2437</v>
      </c>
      <c r="H626" s="10" t="s">
        <v>616</v>
      </c>
      <c r="I626" s="10" t="s">
        <v>48</v>
      </c>
      <c r="J626" s="10" t="s">
        <v>3833</v>
      </c>
      <c r="K626" s="10" t="s">
        <v>3834</v>
      </c>
      <c r="L626" s="10" t="s">
        <v>42</v>
      </c>
    </row>
    <row r="627" ht="15.75" customHeight="1">
      <c r="A627" s="66">
        <v>45496.0</v>
      </c>
      <c r="B627" s="55" t="str">
        <f>HYPERLINK("https://jobright.ai/jobs/info/66a045a727f3a8d785fe0011?utm_campaign=1062&amp;utm_source=sheet", "Apply")</f>
        <v>Apply</v>
      </c>
      <c r="C627" s="10" t="s">
        <v>3835</v>
      </c>
      <c r="D627" s="56" t="s">
        <v>3832</v>
      </c>
      <c r="E627" s="10" t="s">
        <v>65</v>
      </c>
      <c r="F627" s="10" t="s">
        <v>660</v>
      </c>
      <c r="G627" s="10" t="s">
        <v>2464</v>
      </c>
      <c r="H627" s="10" t="s">
        <v>131</v>
      </c>
      <c r="I627" s="10" t="s">
        <v>48</v>
      </c>
      <c r="J627" s="10" t="s">
        <v>3833</v>
      </c>
      <c r="K627" s="10" t="s">
        <v>3836</v>
      </c>
      <c r="L627" s="10" t="s">
        <v>42</v>
      </c>
    </row>
    <row r="628" ht="15.75" customHeight="1">
      <c r="A628" s="66">
        <v>45496.0</v>
      </c>
      <c r="B628" s="55" t="str">
        <f>HYPERLINK("https://jobright.ai/jobs/info/66a045bd27f3a8d785fe0271?utm_campaign=1062&amp;utm_source=sheet", "Apply")</f>
        <v>Apply</v>
      </c>
      <c r="C628" s="10" t="s">
        <v>3835</v>
      </c>
      <c r="D628" s="56" t="s">
        <v>3832</v>
      </c>
      <c r="E628" s="10" t="s">
        <v>65</v>
      </c>
      <c r="F628" s="10" t="s">
        <v>660</v>
      </c>
      <c r="G628" s="10" t="s">
        <v>2464</v>
      </c>
      <c r="H628" s="10" t="s">
        <v>616</v>
      </c>
      <c r="I628" s="10" t="s">
        <v>48</v>
      </c>
      <c r="J628" s="10" t="s">
        <v>3833</v>
      </c>
      <c r="K628" s="10" t="s">
        <v>3836</v>
      </c>
      <c r="L628" s="10" t="s">
        <v>42</v>
      </c>
    </row>
    <row r="629" ht="15.75" customHeight="1">
      <c r="A629" s="66">
        <v>45496.0</v>
      </c>
      <c r="B629" s="55" t="str">
        <f>HYPERLINK("https://jobright.ai/jobs/info/667312946a438141ac3b85f3?utm_campaign=1062&amp;utm_source=sheet", "Apply")</f>
        <v>Apply</v>
      </c>
      <c r="C629" s="10" t="s">
        <v>3837</v>
      </c>
      <c r="D629" s="56" t="s">
        <v>1690</v>
      </c>
      <c r="E629" s="10" t="s">
        <v>45</v>
      </c>
      <c r="F629" s="10" t="s">
        <v>564</v>
      </c>
      <c r="G629" s="10" t="s">
        <v>2448</v>
      </c>
      <c r="H629" s="10" t="s">
        <v>1691</v>
      </c>
      <c r="I629" s="10" t="s">
        <v>48</v>
      </c>
      <c r="K629" s="10" t="s">
        <v>3838</v>
      </c>
      <c r="L629" s="10" t="s">
        <v>42</v>
      </c>
    </row>
    <row r="630" ht="15.75" customHeight="1">
      <c r="A630" s="66">
        <v>45496.0</v>
      </c>
      <c r="B630" s="55" t="str">
        <f>HYPERLINK("https://jobright.ai/jobs/info/66a0345339a3ff52f9a7d23a?utm_campaign=1062&amp;utm_source=sheet", "Apply")</f>
        <v>Apply</v>
      </c>
      <c r="C630" s="10" t="s">
        <v>3839</v>
      </c>
      <c r="D630" s="56" t="s">
        <v>716</v>
      </c>
      <c r="E630" s="10" t="s">
        <v>79</v>
      </c>
      <c r="F630" s="10" t="s">
        <v>717</v>
      </c>
      <c r="G630" s="10" t="s">
        <v>3005</v>
      </c>
      <c r="H630" s="10" t="s">
        <v>144</v>
      </c>
      <c r="I630" s="10" t="s">
        <v>48</v>
      </c>
      <c r="J630" s="10" t="s">
        <v>718</v>
      </c>
      <c r="K630" s="10" t="s">
        <v>3840</v>
      </c>
      <c r="L630" s="10" t="s">
        <v>42</v>
      </c>
    </row>
    <row r="631" ht="15.75" customHeight="1">
      <c r="A631" s="66">
        <v>45496.0</v>
      </c>
      <c r="B631" s="55" t="str">
        <f>HYPERLINK("https://jobright.ai/jobs/info/66a03d6b2eac7ec3724e8cee?utm_campaign=1062&amp;utm_source=sheet", "Apply")</f>
        <v>Apply</v>
      </c>
      <c r="C631" s="10" t="s">
        <v>3841</v>
      </c>
      <c r="D631" s="56" t="s">
        <v>3842</v>
      </c>
      <c r="E631" s="10" t="s">
        <v>249</v>
      </c>
      <c r="F631" s="10" t="s">
        <v>3843</v>
      </c>
      <c r="G631" s="10" t="s">
        <v>2437</v>
      </c>
      <c r="H631" s="10" t="s">
        <v>245</v>
      </c>
      <c r="I631" s="10" t="s">
        <v>55</v>
      </c>
      <c r="K631" s="10" t="s">
        <v>3844</v>
      </c>
      <c r="L631" s="10" t="s">
        <v>42</v>
      </c>
    </row>
    <row r="632" ht="15.75" customHeight="1">
      <c r="A632" s="66">
        <v>45496.0</v>
      </c>
      <c r="B632" s="55" t="str">
        <f>HYPERLINK("https://jobright.ai/jobs/info/66a0328676c2695220a63cfd?utm_campaign=1062&amp;utm_source=sheet", "Apply")</f>
        <v>Apply</v>
      </c>
      <c r="C632" s="10" t="s">
        <v>3845</v>
      </c>
      <c r="D632" s="56" t="s">
        <v>3846</v>
      </c>
      <c r="E632" s="10" t="s">
        <v>71</v>
      </c>
      <c r="F632" s="10" t="s">
        <v>3205</v>
      </c>
      <c r="G632" s="10" t="s">
        <v>2464</v>
      </c>
      <c r="H632" s="10" t="s">
        <v>3847</v>
      </c>
      <c r="I632" s="10" t="s">
        <v>55</v>
      </c>
      <c r="K632" s="10" t="s">
        <v>3848</v>
      </c>
      <c r="L632" s="10" t="s">
        <v>42</v>
      </c>
    </row>
    <row r="633" ht="15.75" customHeight="1">
      <c r="A633" s="66">
        <v>45496.0</v>
      </c>
      <c r="B633" s="55" t="str">
        <f>HYPERLINK("https://jobright.ai/jobs/info/66a032a876c2695220a63ffb?utm_campaign=1062&amp;utm_source=sheet", "Apply")</f>
        <v>Apply</v>
      </c>
      <c r="C633" s="10" t="s">
        <v>3845</v>
      </c>
      <c r="D633" s="56" t="s">
        <v>3846</v>
      </c>
      <c r="E633" s="10" t="s">
        <v>71</v>
      </c>
      <c r="F633" s="10" t="s">
        <v>3205</v>
      </c>
      <c r="G633" s="10" t="s">
        <v>2464</v>
      </c>
      <c r="H633" s="10" t="s">
        <v>810</v>
      </c>
      <c r="I633" s="10" t="s">
        <v>55</v>
      </c>
      <c r="K633" s="10" t="s">
        <v>3848</v>
      </c>
      <c r="L633" s="10" t="s">
        <v>42</v>
      </c>
    </row>
    <row r="634" ht="15.75" customHeight="1">
      <c r="A634" s="66">
        <v>45496.0</v>
      </c>
      <c r="B634" s="55" t="str">
        <f>HYPERLINK("https://jobright.ai/jobs/info/6675ea49a266c24fd0a1545f?utm_campaign=1062&amp;utm_source=sheet", "Apply")</f>
        <v>Apply</v>
      </c>
      <c r="C634" s="10" t="s">
        <v>3849</v>
      </c>
      <c r="D634" s="56" t="s">
        <v>3850</v>
      </c>
      <c r="E634" s="10" t="s">
        <v>137</v>
      </c>
      <c r="F634" s="10" t="s">
        <v>3851</v>
      </c>
      <c r="G634" s="10" t="s">
        <v>2484</v>
      </c>
      <c r="H634" s="10" t="s">
        <v>3852</v>
      </c>
      <c r="I634" s="10" t="s">
        <v>55</v>
      </c>
      <c r="K634" s="10" t="s">
        <v>3853</v>
      </c>
      <c r="L634" s="10" t="s">
        <v>42</v>
      </c>
    </row>
    <row r="635" ht="15.75" customHeight="1">
      <c r="A635" s="66">
        <v>45496.0</v>
      </c>
      <c r="B635" s="55" t="str">
        <f>HYPERLINK("https://jobright.ai/jobs/info/66a06179e24775742fc8ecb4?utm_campaign=1062&amp;utm_source=sheet", "Apply")</f>
        <v>Apply</v>
      </c>
      <c r="C635" s="10" t="s">
        <v>3854</v>
      </c>
      <c r="D635" s="56" t="s">
        <v>3855</v>
      </c>
      <c r="E635" s="10" t="s">
        <v>45</v>
      </c>
      <c r="F635" s="10" t="s">
        <v>3167</v>
      </c>
      <c r="G635" s="10" t="s">
        <v>2495</v>
      </c>
      <c r="H635" s="10" t="s">
        <v>3856</v>
      </c>
      <c r="I635" s="10" t="s">
        <v>55</v>
      </c>
      <c r="K635" s="10" t="s">
        <v>3857</v>
      </c>
      <c r="L635" s="10" t="s">
        <v>42</v>
      </c>
    </row>
    <row r="636" ht="15.75" customHeight="1">
      <c r="A636" s="66">
        <v>45496.0</v>
      </c>
      <c r="B636" s="55" t="str">
        <f>HYPERLINK("https://jobright.ai/jobs/info/66a044ed46bc1c4d05a338ab?utm_campaign=1062&amp;utm_source=sheet", "Apply")</f>
        <v>Apply</v>
      </c>
      <c r="C636" s="10" t="s">
        <v>3858</v>
      </c>
      <c r="D636" s="56" t="s">
        <v>3855</v>
      </c>
      <c r="E636" s="10" t="s">
        <v>45</v>
      </c>
      <c r="F636" s="10" t="s">
        <v>3167</v>
      </c>
      <c r="G636" s="10" t="s">
        <v>2495</v>
      </c>
      <c r="H636" s="10" t="s">
        <v>131</v>
      </c>
      <c r="I636" s="10" t="s">
        <v>55</v>
      </c>
      <c r="K636" s="10" t="s">
        <v>3859</v>
      </c>
      <c r="L636" s="10" t="s">
        <v>42</v>
      </c>
    </row>
    <row r="637" ht="15.75" customHeight="1">
      <c r="A637" s="66">
        <v>45496.0</v>
      </c>
      <c r="B637" s="55" t="str">
        <f>HYPERLINK("https://jobright.ai/jobs/info/66a0329076c2695220a63d23?utm_campaign=1062&amp;utm_source=sheet", "Apply")</f>
        <v>Apply</v>
      </c>
      <c r="C637" s="10" t="s">
        <v>3044</v>
      </c>
      <c r="D637" s="56" t="s">
        <v>2631</v>
      </c>
      <c r="E637" s="10" t="s">
        <v>209</v>
      </c>
      <c r="F637" s="10" t="s">
        <v>2632</v>
      </c>
      <c r="G637" s="10" t="s">
        <v>2464</v>
      </c>
      <c r="H637" s="10" t="s">
        <v>299</v>
      </c>
      <c r="I637" s="10" t="s">
        <v>55</v>
      </c>
      <c r="K637" s="10" t="s">
        <v>3045</v>
      </c>
      <c r="L637" s="10" t="s">
        <v>42</v>
      </c>
    </row>
    <row r="638" ht="15.75" customHeight="1">
      <c r="A638" s="66">
        <v>45496.0</v>
      </c>
      <c r="B638" s="55" t="str">
        <f>HYPERLINK("https://jobright.ai/jobs/info/66a042e6419140b73defa64e?utm_campaign=1062&amp;utm_source=sheet", "Apply")</f>
        <v>Apply</v>
      </c>
      <c r="C638" s="10" t="s">
        <v>3030</v>
      </c>
      <c r="D638" s="56" t="s">
        <v>567</v>
      </c>
      <c r="E638" s="10" t="s">
        <v>65</v>
      </c>
      <c r="F638" s="10" t="s">
        <v>568</v>
      </c>
      <c r="G638" s="10" t="s">
        <v>2448</v>
      </c>
      <c r="H638" s="10" t="s">
        <v>3860</v>
      </c>
      <c r="I638" s="10" t="s">
        <v>55</v>
      </c>
      <c r="J638" s="10" t="s">
        <v>3031</v>
      </c>
      <c r="K638" s="10" t="s">
        <v>3032</v>
      </c>
      <c r="L638" s="10" t="s">
        <v>42</v>
      </c>
    </row>
    <row r="639" ht="15.75" customHeight="1">
      <c r="A639" s="66">
        <v>45496.0</v>
      </c>
      <c r="B639" s="55" t="str">
        <f>HYPERLINK("https://jobright.ai/jobs/info/66a042e6419140b73defa64f?utm_campaign=1062&amp;utm_source=sheet", "Apply")</f>
        <v>Apply</v>
      </c>
      <c r="C639" s="10" t="s">
        <v>3030</v>
      </c>
      <c r="D639" s="56" t="s">
        <v>567</v>
      </c>
      <c r="E639" s="10" t="s">
        <v>65</v>
      </c>
      <c r="F639" s="10" t="s">
        <v>568</v>
      </c>
      <c r="G639" s="10" t="s">
        <v>2448</v>
      </c>
      <c r="H639" s="10" t="s">
        <v>3861</v>
      </c>
      <c r="I639" s="10" t="s">
        <v>55</v>
      </c>
      <c r="J639" s="10" t="s">
        <v>3031</v>
      </c>
      <c r="K639" s="10" t="s">
        <v>3032</v>
      </c>
      <c r="L639" s="10" t="s">
        <v>42</v>
      </c>
    </row>
    <row r="640" ht="15.75" customHeight="1">
      <c r="A640" s="66">
        <v>45496.0</v>
      </c>
      <c r="B640" s="55" t="str">
        <f>HYPERLINK("https://jobright.ai/jobs/info/66a042e6419140b73defa651?utm_campaign=1062&amp;utm_source=sheet", "Apply")</f>
        <v>Apply</v>
      </c>
      <c r="C640" s="10" t="s">
        <v>3030</v>
      </c>
      <c r="D640" s="56" t="s">
        <v>567</v>
      </c>
      <c r="E640" s="10" t="s">
        <v>65</v>
      </c>
      <c r="F640" s="10" t="s">
        <v>568</v>
      </c>
      <c r="G640" s="10" t="s">
        <v>2448</v>
      </c>
      <c r="H640" s="10" t="s">
        <v>3862</v>
      </c>
      <c r="I640" s="10" t="s">
        <v>55</v>
      </c>
      <c r="J640" s="10" t="s">
        <v>3031</v>
      </c>
      <c r="K640" s="10" t="s">
        <v>3032</v>
      </c>
      <c r="L640" s="10" t="s">
        <v>42</v>
      </c>
    </row>
    <row r="641" ht="15.75" customHeight="1">
      <c r="A641" s="66">
        <v>45496.0</v>
      </c>
      <c r="B641" s="55" t="str">
        <f>HYPERLINK("https://jobright.ai/jobs/info/66a042e6419140b73defa653?utm_campaign=1062&amp;utm_source=sheet", "Apply")</f>
        <v>Apply</v>
      </c>
      <c r="C641" s="10" t="s">
        <v>3030</v>
      </c>
      <c r="D641" s="56" t="s">
        <v>567</v>
      </c>
      <c r="E641" s="10" t="s">
        <v>65</v>
      </c>
      <c r="F641" s="10" t="s">
        <v>568</v>
      </c>
      <c r="G641" s="10" t="s">
        <v>2448</v>
      </c>
      <c r="H641" s="10" t="s">
        <v>810</v>
      </c>
      <c r="I641" s="10" t="s">
        <v>55</v>
      </c>
      <c r="J641" s="10" t="s">
        <v>3031</v>
      </c>
      <c r="K641" s="10" t="s">
        <v>3032</v>
      </c>
      <c r="L641" s="10" t="s">
        <v>42</v>
      </c>
    </row>
    <row r="642" ht="15.75" customHeight="1">
      <c r="A642" s="66">
        <v>45496.0</v>
      </c>
      <c r="B642" s="55" t="str">
        <f>HYPERLINK("https://jobright.ai/jobs/info/66a042e6419140b73defa652?utm_campaign=1062&amp;utm_source=sheet", "Apply")</f>
        <v>Apply</v>
      </c>
      <c r="C642" s="10" t="s">
        <v>3030</v>
      </c>
      <c r="D642" s="56" t="s">
        <v>567</v>
      </c>
      <c r="E642" s="10" t="s">
        <v>65</v>
      </c>
      <c r="F642" s="10" t="s">
        <v>568</v>
      </c>
      <c r="G642" s="10" t="s">
        <v>2448</v>
      </c>
      <c r="H642" s="10" t="s">
        <v>860</v>
      </c>
      <c r="I642" s="10" t="s">
        <v>55</v>
      </c>
      <c r="J642" s="10" t="s">
        <v>3031</v>
      </c>
      <c r="K642" s="10" t="s">
        <v>3032</v>
      </c>
      <c r="L642" s="10" t="s">
        <v>42</v>
      </c>
    </row>
    <row r="643" ht="15.75" customHeight="1">
      <c r="A643" s="66">
        <v>45496.0</v>
      </c>
      <c r="B643" s="55" t="str">
        <f>HYPERLINK("https://jobright.ai/jobs/info/66a0518282dde0352ff41565?utm_campaign=1062&amp;utm_source=sheet", "Apply")</f>
        <v>Apply</v>
      </c>
      <c r="C643" s="10" t="s">
        <v>3030</v>
      </c>
      <c r="D643" s="56" t="s">
        <v>567</v>
      </c>
      <c r="E643" s="10" t="s">
        <v>65</v>
      </c>
      <c r="F643" s="10" t="s">
        <v>568</v>
      </c>
      <c r="G643" s="10" t="s">
        <v>2448</v>
      </c>
      <c r="H643" s="10" t="s">
        <v>3863</v>
      </c>
      <c r="I643" s="10" t="s">
        <v>55</v>
      </c>
      <c r="J643" s="10" t="s">
        <v>3031</v>
      </c>
      <c r="K643" s="10" t="s">
        <v>3032</v>
      </c>
      <c r="L643" s="10" t="s">
        <v>42</v>
      </c>
    </row>
    <row r="644" ht="15.75" customHeight="1">
      <c r="A644" s="66">
        <v>45496.0</v>
      </c>
      <c r="B644" s="55" t="str">
        <f>HYPERLINK("https://jobright.ai/jobs/info/66a0518282dde0352ff41567?utm_campaign=1062&amp;utm_source=sheet", "Apply")</f>
        <v>Apply</v>
      </c>
      <c r="C644" s="10" t="s">
        <v>3030</v>
      </c>
      <c r="D644" s="56" t="s">
        <v>567</v>
      </c>
      <c r="E644" s="10" t="s">
        <v>65</v>
      </c>
      <c r="F644" s="10" t="s">
        <v>568</v>
      </c>
      <c r="G644" s="10" t="s">
        <v>2448</v>
      </c>
      <c r="H644" s="10" t="s">
        <v>794</v>
      </c>
      <c r="I644" s="10" t="s">
        <v>55</v>
      </c>
      <c r="J644" s="10" t="s">
        <v>3031</v>
      </c>
      <c r="K644" s="10" t="s">
        <v>3032</v>
      </c>
      <c r="L644" s="10" t="s">
        <v>42</v>
      </c>
    </row>
    <row r="645" ht="15.75" customHeight="1">
      <c r="A645" s="66">
        <v>45496.0</v>
      </c>
      <c r="B645" s="55" t="str">
        <f>HYPERLINK("https://jobright.ai/jobs/info/66a0344234cade2b11fe6d51?utm_campaign=1062&amp;utm_source=sheet", "Apply")</f>
        <v>Apply</v>
      </c>
      <c r="C645" s="10" t="s">
        <v>3864</v>
      </c>
      <c r="D645" s="56" t="s">
        <v>3855</v>
      </c>
      <c r="E645" s="10" t="s">
        <v>45</v>
      </c>
      <c r="F645" s="10" t="s">
        <v>3167</v>
      </c>
      <c r="G645" s="10" t="s">
        <v>2495</v>
      </c>
      <c r="H645" s="10" t="s">
        <v>3865</v>
      </c>
      <c r="I645" s="10" t="s">
        <v>55</v>
      </c>
      <c r="K645" s="10" t="s">
        <v>3866</v>
      </c>
      <c r="L645" s="10" t="s">
        <v>42</v>
      </c>
    </row>
    <row r="646" ht="15.75" customHeight="1">
      <c r="A646" s="66">
        <v>45496.0</v>
      </c>
      <c r="B646" s="55" t="str">
        <f>HYPERLINK("https://jobright.ai/jobs/info/66a0344234cade2b11fe6d53?utm_campaign=1062&amp;utm_source=sheet", "Apply")</f>
        <v>Apply</v>
      </c>
      <c r="C646" s="10" t="s">
        <v>3854</v>
      </c>
      <c r="D646" s="56" t="s">
        <v>3855</v>
      </c>
      <c r="E646" s="10" t="s">
        <v>45</v>
      </c>
      <c r="F646" s="10" t="s">
        <v>3167</v>
      </c>
      <c r="G646" s="10" t="s">
        <v>2495</v>
      </c>
      <c r="H646" s="10" t="s">
        <v>3867</v>
      </c>
      <c r="I646" s="10" t="s">
        <v>55</v>
      </c>
      <c r="K646" s="10" t="s">
        <v>3857</v>
      </c>
      <c r="L646" s="10" t="s">
        <v>42</v>
      </c>
    </row>
    <row r="647" ht="15.75" customHeight="1">
      <c r="A647" s="66">
        <v>45496.0</v>
      </c>
      <c r="B647" s="55" t="str">
        <f>HYPERLINK("https://jobright.ai/jobs/info/66a0344234cade2b11fe6d54?utm_campaign=1062&amp;utm_source=sheet", "Apply")</f>
        <v>Apply</v>
      </c>
      <c r="C647" s="10" t="s">
        <v>3854</v>
      </c>
      <c r="D647" s="56" t="s">
        <v>3855</v>
      </c>
      <c r="E647" s="10" t="s">
        <v>45</v>
      </c>
      <c r="F647" s="10" t="s">
        <v>3167</v>
      </c>
      <c r="G647" s="10" t="s">
        <v>2495</v>
      </c>
      <c r="H647" s="10" t="s">
        <v>2623</v>
      </c>
      <c r="I647" s="10" t="s">
        <v>55</v>
      </c>
      <c r="K647" s="10" t="s">
        <v>3857</v>
      </c>
      <c r="L647" s="10" t="s">
        <v>42</v>
      </c>
    </row>
    <row r="648" ht="15.75" customHeight="1">
      <c r="A648" s="66">
        <v>45496.0</v>
      </c>
      <c r="B648" s="55" t="str">
        <f>HYPERLINK("https://jobright.ai/jobs/info/66a02f30be9142f3106f1b7b?utm_campaign=1062&amp;utm_source=sheet", "Apply")</f>
        <v>Apply</v>
      </c>
      <c r="C648" s="10" t="s">
        <v>3030</v>
      </c>
      <c r="D648" s="56" t="s">
        <v>567</v>
      </c>
      <c r="E648" s="10" t="s">
        <v>65</v>
      </c>
      <c r="F648" s="10" t="s">
        <v>568</v>
      </c>
      <c r="G648" s="10" t="s">
        <v>2448</v>
      </c>
      <c r="H648" s="10" t="s">
        <v>798</v>
      </c>
      <c r="I648" s="10" t="s">
        <v>55</v>
      </c>
      <c r="J648" s="10" t="s">
        <v>3031</v>
      </c>
      <c r="K648" s="10" t="s">
        <v>3032</v>
      </c>
      <c r="L648" s="10" t="s">
        <v>42</v>
      </c>
    </row>
    <row r="649" ht="15.75" customHeight="1">
      <c r="A649" s="66">
        <v>45496.0</v>
      </c>
      <c r="B649" s="55" t="str">
        <f>HYPERLINK("https://jobright.ai/jobs/info/66a02f30be9142f3106f1b7a?utm_campaign=1062&amp;utm_source=sheet", "Apply")</f>
        <v>Apply</v>
      </c>
      <c r="C649" s="10" t="s">
        <v>3030</v>
      </c>
      <c r="D649" s="56" t="s">
        <v>567</v>
      </c>
      <c r="E649" s="10" t="s">
        <v>65</v>
      </c>
      <c r="F649" s="10" t="s">
        <v>568</v>
      </c>
      <c r="G649" s="10" t="s">
        <v>2448</v>
      </c>
      <c r="H649" s="10" t="s">
        <v>113</v>
      </c>
      <c r="I649" s="10" t="s">
        <v>55</v>
      </c>
      <c r="J649" s="10" t="s">
        <v>3031</v>
      </c>
      <c r="K649" s="10" t="s">
        <v>3032</v>
      </c>
      <c r="L649" s="10" t="s">
        <v>42</v>
      </c>
    </row>
    <row r="650" ht="15.75" customHeight="1">
      <c r="A650" s="66">
        <v>45496.0</v>
      </c>
      <c r="B650" s="55" t="str">
        <f>HYPERLINK("https://jobright.ai/jobs/info/66a0344234cade2b11fe6d57?utm_campaign=1062&amp;utm_source=sheet", "Apply")</f>
        <v>Apply</v>
      </c>
      <c r="C650" s="10" t="s">
        <v>3858</v>
      </c>
      <c r="D650" s="56" t="s">
        <v>3855</v>
      </c>
      <c r="E650" s="10" t="s">
        <v>45</v>
      </c>
      <c r="F650" s="10" t="s">
        <v>3167</v>
      </c>
      <c r="G650" s="10" t="s">
        <v>2495</v>
      </c>
      <c r="H650" s="10" t="s">
        <v>2623</v>
      </c>
      <c r="I650" s="10" t="s">
        <v>55</v>
      </c>
      <c r="K650" s="10" t="s">
        <v>3859</v>
      </c>
      <c r="L650" s="10" t="s">
        <v>42</v>
      </c>
    </row>
    <row r="651" ht="15.75" customHeight="1">
      <c r="A651" s="66">
        <v>45496.0</v>
      </c>
      <c r="B651" s="55" t="str">
        <f>HYPERLINK("https://jobright.ai/jobs/info/66a0344234cade2b11fe6d55?utm_campaign=1062&amp;utm_source=sheet", "Apply")</f>
        <v>Apply</v>
      </c>
      <c r="C651" s="10" t="s">
        <v>3858</v>
      </c>
      <c r="D651" s="56" t="s">
        <v>3855</v>
      </c>
      <c r="E651" s="10" t="s">
        <v>45</v>
      </c>
      <c r="F651" s="10" t="s">
        <v>3167</v>
      </c>
      <c r="G651" s="10" t="s">
        <v>2495</v>
      </c>
      <c r="H651" s="10" t="s">
        <v>3867</v>
      </c>
      <c r="I651" s="10" t="s">
        <v>55</v>
      </c>
      <c r="K651" s="10" t="s">
        <v>3859</v>
      </c>
      <c r="L651" s="10" t="s">
        <v>42</v>
      </c>
    </row>
    <row r="652" ht="15.75" customHeight="1">
      <c r="A652" s="66">
        <v>45496.0</v>
      </c>
      <c r="B652" s="55" t="str">
        <f>HYPERLINK("https://jobright.ai/jobs/info/66a04bf1a71c376ac310e92b?utm_campaign=1062&amp;utm_source=sheet", "Apply")</f>
        <v>Apply</v>
      </c>
      <c r="C652" s="10" t="s">
        <v>3868</v>
      </c>
      <c r="D652" s="56" t="s">
        <v>3589</v>
      </c>
      <c r="E652" s="10" t="s">
        <v>45</v>
      </c>
      <c r="F652" s="10" t="s">
        <v>2554</v>
      </c>
      <c r="G652" s="10" t="s">
        <v>2484</v>
      </c>
      <c r="H652" s="10" t="s">
        <v>3590</v>
      </c>
      <c r="I652" s="10" t="s">
        <v>55</v>
      </c>
      <c r="K652" s="10" t="s">
        <v>3591</v>
      </c>
      <c r="L652" s="10" t="s">
        <v>42</v>
      </c>
    </row>
    <row r="653" ht="15.75" customHeight="1">
      <c r="A653" s="66">
        <v>45496.0</v>
      </c>
      <c r="B653" s="55" t="str">
        <f>HYPERLINK("https://jobright.ai/jobs/info/66a03c5ecabc57d8db4d1fb8?utm_campaign=1062&amp;utm_source=sheet", "Apply")</f>
        <v>Apply</v>
      </c>
      <c r="C653" s="10" t="s">
        <v>3854</v>
      </c>
      <c r="D653" s="56" t="s">
        <v>3855</v>
      </c>
      <c r="E653" s="10" t="s">
        <v>45</v>
      </c>
      <c r="F653" s="10" t="s">
        <v>3167</v>
      </c>
      <c r="G653" s="10" t="s">
        <v>2495</v>
      </c>
      <c r="H653" s="10" t="s">
        <v>251</v>
      </c>
      <c r="I653" s="10" t="s">
        <v>252</v>
      </c>
      <c r="K653" s="10" t="s">
        <v>3857</v>
      </c>
      <c r="L653" s="10" t="s">
        <v>42</v>
      </c>
    </row>
    <row r="654" ht="15.75" customHeight="1">
      <c r="A654" s="66">
        <v>45496.0</v>
      </c>
      <c r="B654" s="55" t="str">
        <f>HYPERLINK("https://jobright.ai/jobs/info/66a03c5ecabc57d8db4d1fbb?utm_campaign=1062&amp;utm_source=sheet", "Apply")</f>
        <v>Apply</v>
      </c>
      <c r="C654" s="10" t="s">
        <v>3869</v>
      </c>
      <c r="D654" s="56" t="s">
        <v>3855</v>
      </c>
      <c r="E654" s="10" t="s">
        <v>45</v>
      </c>
      <c r="F654" s="10" t="s">
        <v>3167</v>
      </c>
      <c r="G654" s="10" t="s">
        <v>2495</v>
      </c>
      <c r="H654" s="10" t="s">
        <v>3867</v>
      </c>
      <c r="I654" s="10" t="s">
        <v>55</v>
      </c>
      <c r="K654" s="10" t="s">
        <v>3870</v>
      </c>
      <c r="L654" s="10" t="s">
        <v>42</v>
      </c>
    </row>
    <row r="655" ht="15.75" customHeight="1">
      <c r="A655" s="66">
        <v>45496.0</v>
      </c>
      <c r="B655" s="55" t="str">
        <f>HYPERLINK("https://jobright.ai/jobs/info/66a03c5ecabc57d8db4d1fbc?utm_campaign=1062&amp;utm_source=sheet", "Apply")</f>
        <v>Apply</v>
      </c>
      <c r="C655" s="10" t="s">
        <v>3854</v>
      </c>
      <c r="D655" s="56" t="s">
        <v>3855</v>
      </c>
      <c r="E655" s="10" t="s">
        <v>45</v>
      </c>
      <c r="F655" s="10" t="s">
        <v>3167</v>
      </c>
      <c r="G655" s="10" t="s">
        <v>2495</v>
      </c>
      <c r="H655" s="10" t="s">
        <v>3871</v>
      </c>
      <c r="I655" s="10" t="s">
        <v>55</v>
      </c>
      <c r="K655" s="10" t="s">
        <v>3857</v>
      </c>
      <c r="L655" s="10" t="s">
        <v>42</v>
      </c>
    </row>
    <row r="656" ht="15.75" customHeight="1">
      <c r="A656" s="66">
        <v>45496.0</v>
      </c>
      <c r="B656" s="55" t="str">
        <f>HYPERLINK("https://jobright.ai/jobs/info/66a03c5ecabc57d8db4d1fbe?utm_campaign=1062&amp;utm_source=sheet", "Apply")</f>
        <v>Apply</v>
      </c>
      <c r="C656" s="10" t="s">
        <v>3869</v>
      </c>
      <c r="D656" s="56" t="s">
        <v>3855</v>
      </c>
      <c r="E656" s="10" t="s">
        <v>45</v>
      </c>
      <c r="F656" s="10" t="s">
        <v>3167</v>
      </c>
      <c r="G656" s="10" t="s">
        <v>2495</v>
      </c>
      <c r="H656" s="10" t="s">
        <v>2623</v>
      </c>
      <c r="I656" s="10" t="s">
        <v>55</v>
      </c>
      <c r="K656" s="10" t="s">
        <v>3870</v>
      </c>
      <c r="L656" s="10" t="s">
        <v>42</v>
      </c>
    </row>
    <row r="657" ht="15.75" customHeight="1">
      <c r="A657" s="66">
        <v>45496.0</v>
      </c>
      <c r="B657" s="55" t="str">
        <f>HYPERLINK("https://jobright.ai/jobs/info/66a03c5ecabc57d8db4d1fbd?utm_campaign=1062&amp;utm_source=sheet", "Apply")</f>
        <v>Apply</v>
      </c>
      <c r="C657" s="10" t="s">
        <v>3858</v>
      </c>
      <c r="D657" s="56" t="s">
        <v>3855</v>
      </c>
      <c r="E657" s="10" t="s">
        <v>45</v>
      </c>
      <c r="F657" s="10" t="s">
        <v>3167</v>
      </c>
      <c r="G657" s="10" t="s">
        <v>2495</v>
      </c>
      <c r="H657" s="10" t="s">
        <v>3856</v>
      </c>
      <c r="I657" s="10" t="s">
        <v>55</v>
      </c>
      <c r="K657" s="10" t="s">
        <v>3859</v>
      </c>
      <c r="L657" s="10" t="s">
        <v>42</v>
      </c>
    </row>
    <row r="658" ht="15.75" customHeight="1">
      <c r="A658" s="66">
        <v>45496.0</v>
      </c>
      <c r="B658" s="55" t="str">
        <f>HYPERLINK("https://jobright.ai/jobs/info/66a03c5ecabc57d8db4d1fbf?utm_campaign=1062&amp;utm_source=sheet", "Apply")</f>
        <v>Apply</v>
      </c>
      <c r="C658" s="10" t="s">
        <v>3864</v>
      </c>
      <c r="D658" s="56" t="s">
        <v>3855</v>
      </c>
      <c r="E658" s="10" t="s">
        <v>45</v>
      </c>
      <c r="F658" s="10" t="s">
        <v>3167</v>
      </c>
      <c r="G658" s="10" t="s">
        <v>2495</v>
      </c>
      <c r="H658" s="10" t="s">
        <v>3872</v>
      </c>
      <c r="I658" s="10" t="s">
        <v>55</v>
      </c>
      <c r="K658" s="10" t="s">
        <v>3866</v>
      </c>
      <c r="L658" s="10" t="s">
        <v>42</v>
      </c>
    </row>
    <row r="659" ht="15.75" customHeight="1">
      <c r="A659" s="66">
        <v>45496.0</v>
      </c>
      <c r="B659" s="55" t="str">
        <f>HYPERLINK("https://jobright.ai/jobs/info/66a022f14dd14f92db11b636?utm_campaign=1062&amp;utm_source=sheet", "Apply")</f>
        <v>Apply</v>
      </c>
      <c r="C659" s="10" t="s">
        <v>3854</v>
      </c>
      <c r="D659" s="56" t="s">
        <v>3855</v>
      </c>
      <c r="E659" s="10" t="s">
        <v>45</v>
      </c>
      <c r="F659" s="10" t="s">
        <v>3167</v>
      </c>
      <c r="G659" s="10" t="s">
        <v>2495</v>
      </c>
      <c r="H659" s="10" t="s">
        <v>131</v>
      </c>
      <c r="I659" s="10" t="s">
        <v>55</v>
      </c>
      <c r="K659" s="10" t="s">
        <v>3857</v>
      </c>
      <c r="L659" s="10" t="s">
        <v>42</v>
      </c>
    </row>
    <row r="660" ht="15.75" customHeight="1">
      <c r="A660" s="66">
        <v>45496.0</v>
      </c>
      <c r="B660" s="55" t="str">
        <f>HYPERLINK("https://jobright.ai/jobs/info/66a022f14dd14f92db11b6a1?utm_campaign=1062&amp;utm_source=sheet", "Apply")</f>
        <v>Apply</v>
      </c>
      <c r="C660" s="10" t="s">
        <v>3869</v>
      </c>
      <c r="D660" s="56" t="s">
        <v>3855</v>
      </c>
      <c r="E660" s="10" t="s">
        <v>45</v>
      </c>
      <c r="F660" s="10" t="s">
        <v>3167</v>
      </c>
      <c r="G660" s="10" t="s">
        <v>2495</v>
      </c>
      <c r="H660" s="10" t="s">
        <v>251</v>
      </c>
      <c r="I660" s="10" t="s">
        <v>252</v>
      </c>
      <c r="K660" s="10" t="s">
        <v>3870</v>
      </c>
      <c r="L660" s="10" t="s">
        <v>42</v>
      </c>
    </row>
    <row r="661" ht="15.75" customHeight="1">
      <c r="A661" s="66">
        <v>45496.0</v>
      </c>
      <c r="B661" s="55" t="str">
        <f>HYPERLINK("https://jobright.ai/jobs/info/66a022f14dd14f92db11b62c?utm_campaign=1062&amp;utm_source=sheet", "Apply")</f>
        <v>Apply</v>
      </c>
      <c r="C661" s="10" t="s">
        <v>3864</v>
      </c>
      <c r="D661" s="56" t="s">
        <v>3855</v>
      </c>
      <c r="E661" s="10" t="s">
        <v>45</v>
      </c>
      <c r="F661" s="10" t="s">
        <v>3167</v>
      </c>
      <c r="G661" s="10" t="s">
        <v>2495</v>
      </c>
      <c r="H661" s="10" t="s">
        <v>3867</v>
      </c>
      <c r="I661" s="10" t="s">
        <v>55</v>
      </c>
      <c r="K661" s="10" t="s">
        <v>3866</v>
      </c>
      <c r="L661" s="10" t="s">
        <v>42</v>
      </c>
    </row>
    <row r="662" ht="15.75" customHeight="1">
      <c r="A662" s="66">
        <v>45496.0</v>
      </c>
      <c r="B662" s="55" t="str">
        <f>HYPERLINK("https://jobright.ai/jobs/info/66a022f14dd14f92db11b635?utm_campaign=1062&amp;utm_source=sheet", "Apply")</f>
        <v>Apply</v>
      </c>
      <c r="C662" s="10" t="s">
        <v>3869</v>
      </c>
      <c r="D662" s="56" t="s">
        <v>3855</v>
      </c>
      <c r="E662" s="10" t="s">
        <v>45</v>
      </c>
      <c r="F662" s="10" t="s">
        <v>3167</v>
      </c>
      <c r="G662" s="10" t="s">
        <v>2495</v>
      </c>
      <c r="H662" s="10" t="s">
        <v>131</v>
      </c>
      <c r="I662" s="10" t="s">
        <v>55</v>
      </c>
      <c r="K662" s="10" t="s">
        <v>3870</v>
      </c>
      <c r="L662" s="10" t="s">
        <v>42</v>
      </c>
    </row>
    <row r="663" ht="15.75" customHeight="1">
      <c r="A663" s="66">
        <v>45496.0</v>
      </c>
      <c r="B663" s="55" t="str">
        <f>HYPERLINK("https://jobright.ai/jobs/info/66a022f14dd14f92db11b62f?utm_campaign=1062&amp;utm_source=sheet", "Apply")</f>
        <v>Apply</v>
      </c>
      <c r="C663" s="10" t="s">
        <v>3858</v>
      </c>
      <c r="D663" s="56" t="s">
        <v>3855</v>
      </c>
      <c r="E663" s="10" t="s">
        <v>45</v>
      </c>
      <c r="F663" s="10" t="s">
        <v>3167</v>
      </c>
      <c r="G663" s="10" t="s">
        <v>2495</v>
      </c>
      <c r="H663" s="10" t="s">
        <v>3872</v>
      </c>
      <c r="I663" s="10" t="s">
        <v>55</v>
      </c>
      <c r="K663" s="10" t="s">
        <v>3859</v>
      </c>
      <c r="L663" s="10" t="s">
        <v>42</v>
      </c>
    </row>
    <row r="664" ht="15.75" customHeight="1">
      <c r="A664" s="66">
        <v>45496.0</v>
      </c>
      <c r="B664" s="55" t="str">
        <f>HYPERLINK("https://jobright.ai/jobs/info/66a02b96b4de1722bbbfccb6?utm_campaign=1062&amp;utm_source=sheet", "Apply")</f>
        <v>Apply</v>
      </c>
      <c r="C664" s="10" t="s">
        <v>3858</v>
      </c>
      <c r="D664" s="56" t="s">
        <v>3855</v>
      </c>
      <c r="E664" s="10" t="s">
        <v>45</v>
      </c>
      <c r="F664" s="10" t="s">
        <v>3167</v>
      </c>
      <c r="G664" s="10" t="s">
        <v>2495</v>
      </c>
      <c r="H664" s="10" t="s">
        <v>3865</v>
      </c>
      <c r="I664" s="10" t="s">
        <v>55</v>
      </c>
      <c r="K664" s="10" t="s">
        <v>3859</v>
      </c>
      <c r="L664" s="10" t="s">
        <v>42</v>
      </c>
    </row>
    <row r="665" ht="15.75" customHeight="1">
      <c r="A665" s="66">
        <v>45496.0</v>
      </c>
      <c r="B665" s="55" t="str">
        <f>HYPERLINK("https://jobright.ai/jobs/info/66a02b96b4de1722bbbfccb9?utm_campaign=1062&amp;utm_source=sheet", "Apply")</f>
        <v>Apply</v>
      </c>
      <c r="C665" s="10" t="s">
        <v>3854</v>
      </c>
      <c r="D665" s="56" t="s">
        <v>3855</v>
      </c>
      <c r="E665" s="10" t="s">
        <v>45</v>
      </c>
      <c r="F665" s="10" t="s">
        <v>3167</v>
      </c>
      <c r="G665" s="10" t="s">
        <v>2495</v>
      </c>
      <c r="H665" s="10" t="s">
        <v>3873</v>
      </c>
      <c r="I665" s="10" t="s">
        <v>55</v>
      </c>
      <c r="K665" s="10" t="s">
        <v>3857</v>
      </c>
      <c r="L665" s="10" t="s">
        <v>42</v>
      </c>
    </row>
    <row r="666" ht="15.75" customHeight="1">
      <c r="A666" s="66">
        <v>45496.0</v>
      </c>
      <c r="B666" s="55" t="str">
        <f>HYPERLINK("https://jobright.ai/jobs/info/66a02b96b4de1722bbbfccb8?utm_campaign=1062&amp;utm_source=sheet", "Apply")</f>
        <v>Apply</v>
      </c>
      <c r="C666" s="10" t="s">
        <v>3854</v>
      </c>
      <c r="D666" s="56" t="s">
        <v>3855</v>
      </c>
      <c r="E666" s="10" t="s">
        <v>45</v>
      </c>
      <c r="F666" s="10" t="s">
        <v>3167</v>
      </c>
      <c r="G666" s="10" t="s">
        <v>2495</v>
      </c>
      <c r="H666" s="10" t="s">
        <v>3872</v>
      </c>
      <c r="I666" s="10" t="s">
        <v>55</v>
      </c>
      <c r="K666" s="10" t="s">
        <v>3857</v>
      </c>
      <c r="L666" s="10" t="s">
        <v>42</v>
      </c>
    </row>
    <row r="667" ht="15.75" customHeight="1">
      <c r="A667" s="66">
        <v>45496.0</v>
      </c>
      <c r="B667" s="55" t="str">
        <f>HYPERLINK("https://jobright.ai/jobs/info/66a02b96b4de1722bbbfccb7?utm_campaign=1062&amp;utm_source=sheet", "Apply")</f>
        <v>Apply</v>
      </c>
      <c r="C667" s="10" t="s">
        <v>3864</v>
      </c>
      <c r="D667" s="56" t="s">
        <v>3855</v>
      </c>
      <c r="E667" s="10" t="s">
        <v>45</v>
      </c>
      <c r="F667" s="10" t="s">
        <v>3167</v>
      </c>
      <c r="G667" s="10" t="s">
        <v>2495</v>
      </c>
      <c r="H667" s="10" t="s">
        <v>2623</v>
      </c>
      <c r="I667" s="10" t="s">
        <v>55</v>
      </c>
      <c r="K667" s="10" t="s">
        <v>3866</v>
      </c>
      <c r="L667" s="10" t="s">
        <v>42</v>
      </c>
    </row>
    <row r="668" ht="15.75" customHeight="1">
      <c r="A668" s="66">
        <v>45496.0</v>
      </c>
      <c r="B668" s="55" t="str">
        <f>HYPERLINK("https://jobright.ai/jobs/info/66a02b96b4de1722bbbfccba?utm_campaign=1062&amp;utm_source=sheet", "Apply")</f>
        <v>Apply</v>
      </c>
      <c r="C668" s="10" t="s">
        <v>3854</v>
      </c>
      <c r="D668" s="56" t="s">
        <v>3855</v>
      </c>
      <c r="E668" s="10" t="s">
        <v>45</v>
      </c>
      <c r="F668" s="10" t="s">
        <v>3167</v>
      </c>
      <c r="G668" s="10" t="s">
        <v>2495</v>
      </c>
      <c r="H668" s="10" t="s">
        <v>3865</v>
      </c>
      <c r="I668" s="10" t="s">
        <v>55</v>
      </c>
      <c r="K668" s="10" t="s">
        <v>3857</v>
      </c>
      <c r="L668" s="10" t="s">
        <v>42</v>
      </c>
    </row>
    <row r="669" ht="15.75" customHeight="1">
      <c r="A669" s="66">
        <v>45496.0</v>
      </c>
      <c r="B669" s="55" t="str">
        <f>HYPERLINK("https://jobright.ai/jobs/info/66a02d7f086497c0036931ee?utm_campaign=1062&amp;utm_source=sheet", "Apply")</f>
        <v>Apply</v>
      </c>
      <c r="C669" s="10" t="s">
        <v>3841</v>
      </c>
      <c r="D669" s="56" t="s">
        <v>3874</v>
      </c>
      <c r="E669" s="10" t="s">
        <v>45</v>
      </c>
      <c r="F669" s="10" t="s">
        <v>1274</v>
      </c>
      <c r="G669" s="10" t="s">
        <v>2437</v>
      </c>
      <c r="H669" s="10" t="s">
        <v>245</v>
      </c>
      <c r="I669" s="10" t="s">
        <v>55</v>
      </c>
      <c r="K669" s="10" t="s">
        <v>3844</v>
      </c>
      <c r="L669" s="10" t="s">
        <v>42</v>
      </c>
    </row>
    <row r="670" ht="15.75" customHeight="1">
      <c r="A670" s="66">
        <v>45496.0</v>
      </c>
      <c r="B670" s="55" t="str">
        <f>HYPERLINK("https://jobright.ai/jobs/info/66a02aaf83fe12fc9f1d48dc?utm_campaign=1062&amp;utm_source=sheet", "Apply")</f>
        <v>Apply</v>
      </c>
      <c r="C670" s="10" t="s">
        <v>3875</v>
      </c>
      <c r="D670" s="56" t="s">
        <v>3071</v>
      </c>
      <c r="E670" s="10" t="s">
        <v>45</v>
      </c>
      <c r="F670" s="10" t="s">
        <v>1234</v>
      </c>
      <c r="G670" s="10" t="s">
        <v>2448</v>
      </c>
      <c r="H670" s="10" t="s">
        <v>153</v>
      </c>
      <c r="I670" s="10" t="s">
        <v>48</v>
      </c>
      <c r="K670" s="10" t="s">
        <v>3876</v>
      </c>
      <c r="L670" s="10" t="s">
        <v>42</v>
      </c>
    </row>
    <row r="671" ht="15.75" customHeight="1">
      <c r="A671" s="66">
        <v>45496.0</v>
      </c>
      <c r="B671" s="55" t="str">
        <f>HYPERLINK("https://jobright.ai/jobs/info/66a02a9683fe12fc9f1d463e?utm_campaign=1062&amp;utm_source=sheet", "Apply")</f>
        <v>Apply</v>
      </c>
      <c r="C671" s="10" t="s">
        <v>3877</v>
      </c>
      <c r="D671" s="56" t="s">
        <v>3071</v>
      </c>
      <c r="E671" s="10" t="s">
        <v>45</v>
      </c>
      <c r="F671" s="10" t="s">
        <v>1234</v>
      </c>
      <c r="G671" s="10" t="s">
        <v>2448</v>
      </c>
      <c r="H671" s="10" t="s">
        <v>153</v>
      </c>
      <c r="I671" s="10" t="s">
        <v>48</v>
      </c>
      <c r="K671" s="10" t="s">
        <v>3878</v>
      </c>
      <c r="L671" s="10" t="s">
        <v>42</v>
      </c>
    </row>
    <row r="672" ht="15.75" customHeight="1">
      <c r="A672" s="66">
        <v>45496.0</v>
      </c>
      <c r="B672" s="55" t="str">
        <f>HYPERLINK("https://jobright.ai/jobs/info/66a02a9683fe12fc9f1d4642?utm_campaign=1062&amp;utm_source=sheet", "Apply")</f>
        <v>Apply</v>
      </c>
      <c r="C672" s="10" t="s">
        <v>3879</v>
      </c>
      <c r="D672" s="56" t="s">
        <v>3880</v>
      </c>
      <c r="E672" s="10" t="s">
        <v>79</v>
      </c>
      <c r="F672" s="10" t="s">
        <v>10</v>
      </c>
      <c r="G672" s="10" t="s">
        <v>2579</v>
      </c>
      <c r="H672" s="10" t="s">
        <v>3881</v>
      </c>
      <c r="I672" s="10" t="s">
        <v>55</v>
      </c>
      <c r="K672" s="10" t="s">
        <v>3882</v>
      </c>
      <c r="L672" s="10" t="s">
        <v>42</v>
      </c>
    </row>
    <row r="673" ht="15.75" customHeight="1">
      <c r="A673" s="66">
        <v>45496.0</v>
      </c>
      <c r="B673" s="55" t="str">
        <f>HYPERLINK("https://jobright.ai/jobs/info/66a0384bf54d4e37ee753ab4?utm_campaign=1062&amp;utm_source=sheet", "Apply")</f>
        <v>Apply</v>
      </c>
      <c r="C673" s="10" t="s">
        <v>3883</v>
      </c>
      <c r="D673" s="56" t="s">
        <v>3884</v>
      </c>
      <c r="E673" s="10" t="s">
        <v>65</v>
      </c>
      <c r="F673" s="10" t="s">
        <v>3885</v>
      </c>
      <c r="G673" s="10" t="s">
        <v>2484</v>
      </c>
      <c r="H673" s="10" t="s">
        <v>3741</v>
      </c>
      <c r="I673" s="10" t="s">
        <v>55</v>
      </c>
      <c r="K673" s="10" t="s">
        <v>3886</v>
      </c>
      <c r="L673" s="10" t="s">
        <v>42</v>
      </c>
    </row>
    <row r="674" ht="15.75" customHeight="1">
      <c r="A674" s="66">
        <v>45496.0</v>
      </c>
      <c r="B674" s="55" t="str">
        <f>HYPERLINK("https://jobright.ai/jobs/info/66a01d70a6ae81356f4f3658?utm_campaign=1062&amp;utm_source=sheet", "Apply")</f>
        <v>Apply</v>
      </c>
      <c r="C674" s="10" t="s">
        <v>3887</v>
      </c>
      <c r="D674" s="56" t="s">
        <v>3888</v>
      </c>
      <c r="E674" s="10" t="s">
        <v>79</v>
      </c>
      <c r="F674" s="10" t="s">
        <v>3486</v>
      </c>
      <c r="G674" s="10" t="s">
        <v>2464</v>
      </c>
      <c r="H674" s="10" t="s">
        <v>1978</v>
      </c>
      <c r="I674" s="10" t="s">
        <v>48</v>
      </c>
      <c r="K674" s="10" t="s">
        <v>3889</v>
      </c>
      <c r="L674" s="10" t="s">
        <v>42</v>
      </c>
    </row>
    <row r="675" ht="15.75" customHeight="1">
      <c r="A675" s="66">
        <v>45496.0</v>
      </c>
      <c r="B675" s="55" t="str">
        <f>HYPERLINK("https://jobright.ai/jobs/info/66a0189828a7efe347576996?utm_campaign=1062&amp;utm_source=sheet", "Apply")</f>
        <v>Apply</v>
      </c>
      <c r="C675" s="10" t="s">
        <v>3890</v>
      </c>
      <c r="D675" s="56" t="s">
        <v>470</v>
      </c>
      <c r="E675" s="10" t="s">
        <v>45</v>
      </c>
      <c r="F675" s="10" t="s">
        <v>471</v>
      </c>
      <c r="G675" s="10" t="s">
        <v>2589</v>
      </c>
      <c r="H675" s="10" t="s">
        <v>472</v>
      </c>
      <c r="I675" s="10" t="s">
        <v>55</v>
      </c>
      <c r="J675" s="10" t="s">
        <v>473</v>
      </c>
      <c r="K675" s="10" t="s">
        <v>3891</v>
      </c>
      <c r="L675" s="10" t="s">
        <v>42</v>
      </c>
    </row>
    <row r="676" ht="15.75" customHeight="1">
      <c r="A676" s="66">
        <v>45496.0</v>
      </c>
      <c r="B676" s="55" t="str">
        <f>HYPERLINK("https://jobright.ai/jobs/info/66a0189828a7efe34757699f?utm_campaign=1062&amp;utm_source=sheet", "Apply")</f>
        <v>Apply</v>
      </c>
      <c r="C676" s="10" t="s">
        <v>3892</v>
      </c>
      <c r="D676" s="56" t="s">
        <v>470</v>
      </c>
      <c r="E676" s="10" t="s">
        <v>45</v>
      </c>
      <c r="F676" s="10" t="s">
        <v>471</v>
      </c>
      <c r="G676" s="10" t="s">
        <v>2502</v>
      </c>
      <c r="H676" s="10" t="s">
        <v>472</v>
      </c>
      <c r="I676" s="10" t="s">
        <v>55</v>
      </c>
      <c r="J676" s="10" t="s">
        <v>473</v>
      </c>
      <c r="K676" s="10" t="s">
        <v>3893</v>
      </c>
      <c r="L676" s="10" t="s">
        <v>42</v>
      </c>
    </row>
    <row r="677" ht="15.75" customHeight="1">
      <c r="A677" s="66">
        <v>45496.0</v>
      </c>
      <c r="B677" s="55" t="str">
        <f>HYPERLINK("https://jobright.ai/jobs/info/66a0189828a7efe347576999?utm_campaign=1062&amp;utm_source=sheet", "Apply")</f>
        <v>Apply</v>
      </c>
      <c r="C677" s="10" t="s">
        <v>3894</v>
      </c>
      <c r="D677" s="56" t="s">
        <v>470</v>
      </c>
      <c r="E677" s="10" t="s">
        <v>45</v>
      </c>
      <c r="F677" s="10" t="s">
        <v>471</v>
      </c>
      <c r="G677" s="10" t="s">
        <v>2448</v>
      </c>
      <c r="H677" s="10" t="s">
        <v>472</v>
      </c>
      <c r="I677" s="10" t="s">
        <v>55</v>
      </c>
      <c r="J677" s="10" t="s">
        <v>473</v>
      </c>
      <c r="K677" s="10" t="s">
        <v>3895</v>
      </c>
      <c r="L677" s="10" t="s">
        <v>42</v>
      </c>
    </row>
    <row r="678" ht="15.75" customHeight="1">
      <c r="A678" s="66">
        <v>45496.0</v>
      </c>
      <c r="B678" s="55" t="str">
        <f>HYPERLINK("https://jobright.ai/jobs/info/66a0345e39a3ff52f9a7d374?utm_campaign=1062&amp;utm_source=sheet", "Apply")</f>
        <v>Apply</v>
      </c>
      <c r="C678" s="10" t="s">
        <v>3896</v>
      </c>
      <c r="D678" s="56" t="s">
        <v>3897</v>
      </c>
      <c r="E678" s="10" t="s">
        <v>45</v>
      </c>
      <c r="F678" s="10" t="s">
        <v>3898</v>
      </c>
      <c r="G678" s="10" t="s">
        <v>2484</v>
      </c>
      <c r="H678" s="10" t="s">
        <v>3899</v>
      </c>
      <c r="I678" s="10" t="s">
        <v>48</v>
      </c>
      <c r="K678" s="10" t="s">
        <v>3900</v>
      </c>
      <c r="L678" s="10" t="s">
        <v>42</v>
      </c>
    </row>
    <row r="679" ht="15.75" customHeight="1">
      <c r="A679" s="66">
        <v>45496.0</v>
      </c>
      <c r="B679" s="55" t="str">
        <f>HYPERLINK("https://jobright.ai/jobs/info/66a01d70a6ae81356f4f367e?utm_campaign=1062&amp;utm_source=sheet", "Apply")</f>
        <v>Apply</v>
      </c>
      <c r="C679" s="10" t="s">
        <v>3901</v>
      </c>
      <c r="D679" s="56" t="s">
        <v>3902</v>
      </c>
      <c r="E679" s="10" t="s">
        <v>249</v>
      </c>
      <c r="F679" s="10" t="s">
        <v>1274</v>
      </c>
      <c r="G679" s="10" t="s">
        <v>2484</v>
      </c>
      <c r="H679" s="10" t="s">
        <v>1036</v>
      </c>
      <c r="I679" s="10" t="s">
        <v>55</v>
      </c>
      <c r="J679" s="10" t="s">
        <v>1984</v>
      </c>
      <c r="K679" s="10" t="s">
        <v>3903</v>
      </c>
      <c r="L679" s="10" t="s">
        <v>42</v>
      </c>
    </row>
    <row r="680" ht="15.75" customHeight="1">
      <c r="A680" s="66">
        <v>45496.0</v>
      </c>
      <c r="B680" s="55" t="str">
        <f>HYPERLINK("https://jobright.ai/jobs/info/66a022ee46b8641105c98c28?utm_campaign=1062&amp;utm_source=sheet", "Apply")</f>
        <v>Apply</v>
      </c>
      <c r="C680" s="10" t="s">
        <v>3904</v>
      </c>
      <c r="D680" s="56" t="s">
        <v>3905</v>
      </c>
      <c r="E680" s="10" t="s">
        <v>79</v>
      </c>
      <c r="F680" s="10" t="s">
        <v>3906</v>
      </c>
      <c r="G680" s="10" t="s">
        <v>2448</v>
      </c>
      <c r="H680" s="10" t="s">
        <v>96</v>
      </c>
      <c r="I680" s="10" t="s">
        <v>55</v>
      </c>
      <c r="J680" s="10" t="s">
        <v>3907</v>
      </c>
      <c r="K680" s="10" t="s">
        <v>3908</v>
      </c>
      <c r="L680" s="10" t="s">
        <v>42</v>
      </c>
    </row>
    <row r="681" ht="15.75" customHeight="1">
      <c r="A681" s="66">
        <v>45496.0</v>
      </c>
      <c r="B681" s="55" t="str">
        <f>HYPERLINK("https://jobright.ai/jobs/info/66a018a028a7efe347576ac0?utm_campaign=1062&amp;utm_source=sheet", "Apply")</f>
        <v>Apply</v>
      </c>
      <c r="C681" s="10" t="s">
        <v>3909</v>
      </c>
      <c r="D681" s="56" t="s">
        <v>3910</v>
      </c>
      <c r="E681" s="10">
        <v>4.0</v>
      </c>
      <c r="G681" s="10" t="s">
        <v>2484</v>
      </c>
      <c r="H681" s="10" t="s">
        <v>80</v>
      </c>
      <c r="I681" s="10" t="s">
        <v>55</v>
      </c>
      <c r="J681" s="10" t="s">
        <v>3911</v>
      </c>
      <c r="K681" s="10" t="s">
        <v>3912</v>
      </c>
      <c r="L681" s="10" t="s">
        <v>42</v>
      </c>
    </row>
    <row r="682" ht="15.75" customHeight="1">
      <c r="A682" s="66">
        <v>45496.0</v>
      </c>
      <c r="B682" s="55" t="str">
        <f>HYPERLINK("https://jobright.ai/jobs/info/66a018a028a7efe347576ace?utm_campaign=1062&amp;utm_source=sheet", "Apply")</f>
        <v>Apply</v>
      </c>
      <c r="C682" s="10" t="s">
        <v>3913</v>
      </c>
      <c r="D682" s="56" t="s">
        <v>2553</v>
      </c>
      <c r="E682" s="10" t="s">
        <v>45</v>
      </c>
      <c r="F682" s="10" t="s">
        <v>2554</v>
      </c>
      <c r="G682" s="10" t="s">
        <v>2484</v>
      </c>
      <c r="H682" s="10" t="s">
        <v>1001</v>
      </c>
      <c r="I682" s="10" t="s">
        <v>55</v>
      </c>
      <c r="J682" s="10" t="s">
        <v>2555</v>
      </c>
      <c r="K682" s="10" t="s">
        <v>3914</v>
      </c>
      <c r="L682" s="10" t="s">
        <v>42</v>
      </c>
    </row>
    <row r="683" ht="15.75" customHeight="1">
      <c r="A683" s="66">
        <v>45496.0</v>
      </c>
      <c r="B683" s="55" t="str">
        <f>HYPERLINK("https://jobright.ai/jobs/info/66a018a728a7efe347576b19?utm_campaign=1062&amp;utm_source=sheet", "Apply")</f>
        <v>Apply</v>
      </c>
      <c r="C683" s="10" t="s">
        <v>3915</v>
      </c>
      <c r="D683" s="56" t="s">
        <v>3916</v>
      </c>
      <c r="E683" s="10">
        <v>150.0</v>
      </c>
      <c r="G683" s="10" t="s">
        <v>2437</v>
      </c>
      <c r="H683" s="10" t="s">
        <v>411</v>
      </c>
      <c r="I683" s="10" t="s">
        <v>55</v>
      </c>
      <c r="K683" s="10" t="s">
        <v>3917</v>
      </c>
      <c r="L683" s="10" t="s">
        <v>42</v>
      </c>
    </row>
    <row r="684" ht="15.75" customHeight="1">
      <c r="A684" s="66">
        <v>45496.0</v>
      </c>
      <c r="B684" s="55" t="str">
        <f>HYPERLINK("https://jobright.ai/jobs/info/66a0068fd99bbba7484d6483?utm_campaign=1062&amp;utm_source=sheet", "Apply")</f>
        <v>Apply</v>
      </c>
      <c r="C684" s="10" t="s">
        <v>3918</v>
      </c>
      <c r="D684" s="56" t="s">
        <v>3919</v>
      </c>
      <c r="E684" s="10" t="s">
        <v>79</v>
      </c>
      <c r="F684" s="10" t="s">
        <v>3920</v>
      </c>
      <c r="G684" s="10" t="s">
        <v>2484</v>
      </c>
      <c r="H684" s="10" t="s">
        <v>3921</v>
      </c>
      <c r="I684" s="10" t="s">
        <v>48</v>
      </c>
      <c r="K684" s="10" t="s">
        <v>3922</v>
      </c>
      <c r="L684" s="10" t="s">
        <v>42</v>
      </c>
    </row>
    <row r="685" ht="15.75" customHeight="1">
      <c r="A685" s="66">
        <v>45496.0</v>
      </c>
      <c r="B685" s="55" t="str">
        <f>HYPERLINK("https://jobright.ai/jobs/info/66a00d4c0e65e7e047a8a8ff?utm_campaign=1062&amp;utm_source=sheet", "Apply")</f>
        <v>Apply</v>
      </c>
      <c r="C685" s="10" t="s">
        <v>3923</v>
      </c>
      <c r="D685" s="56" t="s">
        <v>3711</v>
      </c>
      <c r="E685" s="10" t="s">
        <v>65</v>
      </c>
      <c r="F685" s="10" t="s">
        <v>1506</v>
      </c>
      <c r="G685" s="10" t="s">
        <v>2528</v>
      </c>
      <c r="H685" s="10" t="s">
        <v>1016</v>
      </c>
      <c r="I685" s="10" t="s">
        <v>55</v>
      </c>
      <c r="K685" s="10" t="s">
        <v>3924</v>
      </c>
      <c r="L685" s="10" t="s">
        <v>42</v>
      </c>
    </row>
    <row r="686" ht="15.75" customHeight="1">
      <c r="A686" s="66">
        <v>45496.0</v>
      </c>
      <c r="B686" s="55" t="str">
        <f>HYPERLINK("https://jobright.ai/jobs/info/66a0014da4a9d243b7e56963?utm_campaign=1062&amp;utm_source=sheet", "Apply")</f>
        <v>Apply</v>
      </c>
      <c r="C686" s="10" t="s">
        <v>3925</v>
      </c>
      <c r="D686" s="56" t="s">
        <v>3926</v>
      </c>
      <c r="E686" s="10" t="s">
        <v>276</v>
      </c>
      <c r="F686" s="10" t="s">
        <v>1983</v>
      </c>
      <c r="G686" s="10" t="s">
        <v>2448</v>
      </c>
      <c r="H686" s="10" t="s">
        <v>3927</v>
      </c>
      <c r="I686" s="10" t="s">
        <v>55</v>
      </c>
      <c r="K686" s="10" t="s">
        <v>3928</v>
      </c>
      <c r="L686" s="10" t="s">
        <v>42</v>
      </c>
    </row>
    <row r="687" ht="15.75" customHeight="1">
      <c r="A687" s="66">
        <v>45496.0</v>
      </c>
      <c r="B687" s="55" t="str">
        <f>HYPERLINK("https://jobright.ai/jobs/info/66a00697d99bbba7484d659d?utm_campaign=1062&amp;utm_source=sheet", "Apply")</f>
        <v>Apply</v>
      </c>
      <c r="C687" s="10" t="s">
        <v>3929</v>
      </c>
      <c r="D687" s="56" t="s">
        <v>3930</v>
      </c>
      <c r="E687" s="10">
        <v>8572.0</v>
      </c>
      <c r="G687" s="10" t="s">
        <v>2470</v>
      </c>
      <c r="H687" s="10" t="s">
        <v>3931</v>
      </c>
      <c r="I687" s="10" t="s">
        <v>55</v>
      </c>
      <c r="K687" s="10" t="s">
        <v>3932</v>
      </c>
      <c r="L687" s="10" t="s">
        <v>42</v>
      </c>
    </row>
    <row r="688" ht="15.75" customHeight="1">
      <c r="A688" s="66">
        <v>45496.0</v>
      </c>
      <c r="B688" s="55" t="str">
        <f>HYPERLINK("https://jobright.ai/jobs/info/669ff96b88333dda24b997b2?utm_campaign=1062&amp;utm_source=sheet", "Apply")</f>
        <v>Apply</v>
      </c>
      <c r="C688" s="10" t="s">
        <v>3933</v>
      </c>
      <c r="D688" s="56" t="s">
        <v>99</v>
      </c>
      <c r="E688" s="10" t="s">
        <v>45</v>
      </c>
      <c r="F688" s="10" t="s">
        <v>100</v>
      </c>
      <c r="G688" s="10" t="s">
        <v>2807</v>
      </c>
      <c r="H688" s="10" t="s">
        <v>165</v>
      </c>
      <c r="I688" s="10" t="s">
        <v>55</v>
      </c>
      <c r="K688" s="10" t="s">
        <v>3613</v>
      </c>
      <c r="L688" s="10" t="s">
        <v>42</v>
      </c>
    </row>
    <row r="689" ht="15.75" customHeight="1">
      <c r="A689" s="66">
        <v>45496.0</v>
      </c>
      <c r="B689" s="55" t="str">
        <f>HYPERLINK("https://jobright.ai/jobs/info/669ff2c893fc7dc6960f875c?utm_campaign=1062&amp;utm_source=sheet", "Apply")</f>
        <v>Apply</v>
      </c>
      <c r="C689" s="10" t="s">
        <v>3934</v>
      </c>
      <c r="D689" s="56" t="s">
        <v>2493</v>
      </c>
      <c r="E689" s="10" t="s">
        <v>45</v>
      </c>
      <c r="F689" s="10" t="s">
        <v>2494</v>
      </c>
      <c r="G689" s="10" t="s">
        <v>2484</v>
      </c>
      <c r="H689" s="10" t="s">
        <v>936</v>
      </c>
      <c r="I689" s="10" t="s">
        <v>55</v>
      </c>
      <c r="K689" s="10" t="s">
        <v>3935</v>
      </c>
      <c r="L689" s="10" t="s">
        <v>42</v>
      </c>
    </row>
    <row r="690" ht="15.75" customHeight="1">
      <c r="A690" s="66">
        <v>45496.0</v>
      </c>
      <c r="B690" s="55" t="str">
        <f>HYPERLINK("https://jobright.ai/jobs/info/669fe8bae7a91c490018ad00?utm_campaign=1062&amp;utm_source=sheet", "Apply")</f>
        <v>Apply</v>
      </c>
      <c r="C690" s="10" t="s">
        <v>3923</v>
      </c>
      <c r="D690" s="56" t="s">
        <v>3711</v>
      </c>
      <c r="E690" s="10" t="s">
        <v>65</v>
      </c>
      <c r="F690" s="10" t="s">
        <v>1506</v>
      </c>
      <c r="G690" s="10" t="s">
        <v>2528</v>
      </c>
      <c r="H690" s="10" t="s">
        <v>1016</v>
      </c>
      <c r="I690" s="10" t="s">
        <v>48</v>
      </c>
      <c r="K690" s="10" t="s">
        <v>3936</v>
      </c>
      <c r="L690" s="10" t="s">
        <v>42</v>
      </c>
    </row>
    <row r="691" ht="15.75" customHeight="1">
      <c r="A691" s="66">
        <v>45496.0</v>
      </c>
      <c r="B691" s="55" t="str">
        <f>HYPERLINK("https://jobright.ai/jobs/info/669fe8bae7a91c490018ad03?utm_campaign=1062&amp;utm_source=sheet", "Apply")</f>
        <v>Apply</v>
      </c>
      <c r="C691" s="10" t="s">
        <v>3937</v>
      </c>
      <c r="D691" s="56" t="s">
        <v>2634</v>
      </c>
      <c r="E691" s="10">
        <v>19.0</v>
      </c>
      <c r="G691" s="10" t="s">
        <v>2484</v>
      </c>
      <c r="H691" s="10" t="s">
        <v>3263</v>
      </c>
      <c r="I691" s="10" t="s">
        <v>55</v>
      </c>
      <c r="J691" s="10" t="s">
        <v>3938</v>
      </c>
      <c r="K691" s="10" t="s">
        <v>3939</v>
      </c>
      <c r="L691" s="10" t="s">
        <v>42</v>
      </c>
    </row>
    <row r="692" ht="15.75" customHeight="1">
      <c r="A692" s="66">
        <v>45496.0</v>
      </c>
      <c r="B692" s="55" t="str">
        <f>HYPERLINK("https://jobright.ai/jobs/info/669ff0c347af768066e6392c?utm_campaign=1062&amp;utm_source=sheet", "Apply")</f>
        <v>Apply</v>
      </c>
      <c r="C692" s="10" t="s">
        <v>3940</v>
      </c>
      <c r="D692" s="56" t="s">
        <v>2986</v>
      </c>
      <c r="E692" s="10" t="s">
        <v>45</v>
      </c>
      <c r="F692" s="10" t="s">
        <v>2987</v>
      </c>
      <c r="G692" s="10" t="s">
        <v>2464</v>
      </c>
      <c r="H692" s="10" t="s">
        <v>3941</v>
      </c>
      <c r="I692" s="10" t="s">
        <v>55</v>
      </c>
      <c r="K692" s="10" t="s">
        <v>3942</v>
      </c>
      <c r="L692" s="10" t="s">
        <v>42</v>
      </c>
    </row>
    <row r="693" ht="15.75" customHeight="1">
      <c r="A693" s="66">
        <v>45496.0</v>
      </c>
      <c r="B693" s="55" t="str">
        <f>HYPERLINK("https://jobright.ai/jobs/info/66a3efaa87fb29a0df3197f2?utm_campaign=1062&amp;utm_source=sheet", "Apply")</f>
        <v>Apply</v>
      </c>
      <c r="C693" s="10" t="s">
        <v>3943</v>
      </c>
      <c r="D693" s="56" t="s">
        <v>3944</v>
      </c>
      <c r="E693" s="10" t="s">
        <v>65</v>
      </c>
      <c r="F693" s="10" t="s">
        <v>3018</v>
      </c>
      <c r="G693" s="10" t="s">
        <v>2437</v>
      </c>
      <c r="H693" s="10" t="s">
        <v>3945</v>
      </c>
      <c r="I693" s="10" t="s">
        <v>55</v>
      </c>
      <c r="K693" s="10" t="s">
        <v>3946</v>
      </c>
      <c r="L693" s="10" t="s">
        <v>42</v>
      </c>
    </row>
    <row r="694" ht="15.75" customHeight="1">
      <c r="A694" s="66">
        <v>45496.0</v>
      </c>
      <c r="B694" s="55" t="str">
        <f>HYPERLINK("https://jobright.ai/jobs/info/669fe8c2e7a91c490018ad41?utm_campaign=1062&amp;utm_source=sheet", "Apply")</f>
        <v>Apply</v>
      </c>
      <c r="C694" s="10" t="s">
        <v>3947</v>
      </c>
      <c r="D694" s="56" t="s">
        <v>3948</v>
      </c>
      <c r="E694" s="10" t="s">
        <v>45</v>
      </c>
      <c r="F694" s="10" t="s">
        <v>3949</v>
      </c>
      <c r="G694" s="10" t="s">
        <v>2484</v>
      </c>
      <c r="H694" s="10" t="s">
        <v>113</v>
      </c>
      <c r="I694" s="10" t="s">
        <v>55</v>
      </c>
      <c r="K694" s="10" t="s">
        <v>3950</v>
      </c>
      <c r="L694" s="10" t="s">
        <v>42</v>
      </c>
    </row>
    <row r="695" ht="15.75" customHeight="1">
      <c r="A695" s="66">
        <v>45496.0</v>
      </c>
      <c r="B695" s="55" t="str">
        <f>HYPERLINK("https://jobright.ai/jobs/info/669ffc0f412b679d59f3ed29?utm_campaign=1062&amp;utm_source=sheet", "Apply")</f>
        <v>Apply</v>
      </c>
      <c r="C695" s="10" t="s">
        <v>3530</v>
      </c>
      <c r="D695" s="56" t="s">
        <v>3531</v>
      </c>
      <c r="E695" s="10" t="s">
        <v>209</v>
      </c>
      <c r="F695" s="10" t="s">
        <v>85</v>
      </c>
      <c r="G695" s="10" t="s">
        <v>2464</v>
      </c>
      <c r="H695" s="10" t="s">
        <v>578</v>
      </c>
      <c r="I695" s="10" t="s">
        <v>55</v>
      </c>
      <c r="K695" s="10" t="s">
        <v>3533</v>
      </c>
      <c r="L695" s="10" t="s">
        <v>42</v>
      </c>
    </row>
    <row r="696" ht="15.75" customHeight="1">
      <c r="A696" s="66">
        <v>45496.0</v>
      </c>
      <c r="B696" s="55" t="str">
        <f>HYPERLINK("https://jobright.ai/jobs/info/669fe8cae7a91c490018ae0c?utm_campaign=1062&amp;utm_source=sheet", "Apply")</f>
        <v>Apply</v>
      </c>
      <c r="C696" s="10" t="s">
        <v>3951</v>
      </c>
      <c r="D696" s="56" t="s">
        <v>3952</v>
      </c>
      <c r="E696" s="10" t="s">
        <v>209</v>
      </c>
      <c r="F696" s="10" t="s">
        <v>3953</v>
      </c>
      <c r="G696" s="10" t="s">
        <v>2455</v>
      </c>
      <c r="H696" s="10" t="s">
        <v>3954</v>
      </c>
      <c r="I696" s="10" t="s">
        <v>55</v>
      </c>
      <c r="K696" s="10" t="s">
        <v>3955</v>
      </c>
      <c r="L696" s="10" t="s">
        <v>42</v>
      </c>
    </row>
    <row r="697" ht="15.75" customHeight="1">
      <c r="A697" s="66">
        <v>45496.0</v>
      </c>
      <c r="B697" s="55" t="str">
        <f>HYPERLINK("https://jobright.ai/jobs/info/66a3efb387fb29a0df319870?utm_campaign=1062&amp;utm_source=sheet", "Apply")</f>
        <v>Apply</v>
      </c>
      <c r="C697" s="10" t="s">
        <v>3956</v>
      </c>
      <c r="D697" s="56" t="s">
        <v>3957</v>
      </c>
      <c r="E697" s="10" t="s">
        <v>45</v>
      </c>
      <c r="F697" s="10" t="s">
        <v>3958</v>
      </c>
      <c r="G697" s="10" t="s">
        <v>2528</v>
      </c>
      <c r="H697" s="10" t="s">
        <v>774</v>
      </c>
      <c r="I697" s="10" t="s">
        <v>55</v>
      </c>
      <c r="J697" s="10" t="s">
        <v>3959</v>
      </c>
      <c r="K697" s="10" t="s">
        <v>3960</v>
      </c>
      <c r="L697" s="10" t="s">
        <v>42</v>
      </c>
    </row>
    <row r="698" ht="15.75" customHeight="1">
      <c r="A698" s="66">
        <v>45496.0</v>
      </c>
      <c r="B698" s="55" t="str">
        <f>HYPERLINK("https://jobright.ai/jobs/info/669fdab1a8a919031f05ed44?utm_campaign=1062&amp;utm_source=sheet", "Apply")</f>
        <v>Apply</v>
      </c>
      <c r="C698" s="10" t="s">
        <v>3961</v>
      </c>
      <c r="D698" s="56" t="s">
        <v>1073</v>
      </c>
      <c r="E698" s="10" t="s">
        <v>45</v>
      </c>
      <c r="F698" s="10" t="s">
        <v>1074</v>
      </c>
      <c r="G698" s="10" t="s">
        <v>2502</v>
      </c>
      <c r="H698" s="10" t="s">
        <v>146</v>
      </c>
      <c r="I698" s="10" t="s">
        <v>48</v>
      </c>
      <c r="K698" s="10" t="s">
        <v>3962</v>
      </c>
      <c r="L698" s="10" t="s">
        <v>42</v>
      </c>
    </row>
    <row r="699" ht="15.75" customHeight="1">
      <c r="A699" s="66">
        <v>45496.0</v>
      </c>
      <c r="B699" s="55" t="str">
        <f>HYPERLINK("https://jobright.ai/jobs/info/6697b4eaf369042fb172b8aa?utm_campaign=1062&amp;utm_source=sheet", "Apply")</f>
        <v>Apply</v>
      </c>
      <c r="C699" s="10" t="s">
        <v>3963</v>
      </c>
      <c r="D699" s="56" t="s">
        <v>3964</v>
      </c>
      <c r="E699" s="10" t="s">
        <v>276</v>
      </c>
      <c r="F699" s="10" t="s">
        <v>3965</v>
      </c>
      <c r="G699" s="10" t="s">
        <v>2528</v>
      </c>
      <c r="H699" s="10" t="s">
        <v>1025</v>
      </c>
      <c r="I699" s="10" t="s">
        <v>55</v>
      </c>
      <c r="J699" s="10" t="s">
        <v>1797</v>
      </c>
      <c r="K699" s="10" t="s">
        <v>3966</v>
      </c>
      <c r="L699" s="10" t="s">
        <v>42</v>
      </c>
    </row>
    <row r="700" ht="15.75" customHeight="1">
      <c r="A700" s="66">
        <v>45496.0</v>
      </c>
      <c r="B700" s="55" t="str">
        <f>HYPERLINK("https://jobright.ai/jobs/info/669ff071b07d98e4c0375045?utm_campaign=1062&amp;utm_source=sheet", "Apply")</f>
        <v>Apply</v>
      </c>
      <c r="C700" s="10" t="s">
        <v>3967</v>
      </c>
      <c r="D700" s="56" t="s">
        <v>1183</v>
      </c>
      <c r="E700" s="10" t="s">
        <v>45</v>
      </c>
      <c r="F700" s="10" t="s">
        <v>1184</v>
      </c>
      <c r="G700" s="10" t="s">
        <v>2448</v>
      </c>
      <c r="H700" s="10" t="s">
        <v>3968</v>
      </c>
      <c r="I700" s="10" t="s">
        <v>55</v>
      </c>
      <c r="J700" s="10" t="s">
        <v>3969</v>
      </c>
      <c r="K700" s="10" t="s">
        <v>3970</v>
      </c>
      <c r="L700" s="10" t="s">
        <v>42</v>
      </c>
    </row>
    <row r="701" ht="15.75" customHeight="1">
      <c r="A701" s="66">
        <v>45496.0</v>
      </c>
      <c r="B701" s="55" t="str">
        <f>HYPERLINK("https://jobright.ai/jobs/info/669fd06042744ff6f3a37f25?utm_campaign=1062&amp;utm_source=sheet", "Apply")</f>
        <v>Apply</v>
      </c>
      <c r="C701" s="10" t="s">
        <v>3971</v>
      </c>
      <c r="D701" s="56" t="s">
        <v>1650</v>
      </c>
      <c r="E701" s="10" t="s">
        <v>209</v>
      </c>
      <c r="F701" s="10" t="s">
        <v>1243</v>
      </c>
      <c r="G701" s="10" t="s">
        <v>2509</v>
      </c>
      <c r="H701" s="10" t="s">
        <v>833</v>
      </c>
      <c r="I701" s="10" t="s">
        <v>55</v>
      </c>
      <c r="K701" s="10" t="s">
        <v>3972</v>
      </c>
      <c r="L701" s="10" t="s">
        <v>42</v>
      </c>
    </row>
    <row r="702" ht="15.75" customHeight="1">
      <c r="A702" s="66">
        <v>45496.0</v>
      </c>
      <c r="B702" s="55" t="str">
        <f>HYPERLINK("https://jobright.ai/jobs/info/669fdac3a8a919031f05efc8?utm_campaign=1062&amp;utm_source=sheet", "Apply")</f>
        <v>Apply</v>
      </c>
      <c r="C702" s="10" t="s">
        <v>3951</v>
      </c>
      <c r="D702" s="56" t="s">
        <v>3952</v>
      </c>
      <c r="E702" s="10" t="s">
        <v>209</v>
      </c>
      <c r="F702" s="10" t="s">
        <v>3953</v>
      </c>
      <c r="G702" s="10" t="s">
        <v>2455</v>
      </c>
      <c r="H702" s="10" t="s">
        <v>354</v>
      </c>
      <c r="I702" s="10" t="s">
        <v>55</v>
      </c>
      <c r="K702" s="10" t="s">
        <v>3955</v>
      </c>
      <c r="L702" s="10" t="s">
        <v>42</v>
      </c>
    </row>
    <row r="703" ht="15.75" customHeight="1">
      <c r="A703" s="66">
        <v>45496.0</v>
      </c>
      <c r="B703" s="55" t="str">
        <f>HYPERLINK("https://jobright.ai/jobs/info/669fcdcc9720391081d193c3?utm_campaign=1062&amp;utm_source=sheet", "Apply")</f>
        <v>Apply</v>
      </c>
      <c r="C703" s="10" t="s">
        <v>3973</v>
      </c>
      <c r="D703" s="56" t="s">
        <v>3974</v>
      </c>
      <c r="E703" s="10" t="s">
        <v>276</v>
      </c>
      <c r="F703" s="10" t="s">
        <v>3975</v>
      </c>
      <c r="G703" s="10" t="s">
        <v>2448</v>
      </c>
      <c r="H703" s="10" t="s">
        <v>411</v>
      </c>
      <c r="I703" s="10" t="s">
        <v>55</v>
      </c>
      <c r="K703" s="10" t="s">
        <v>3976</v>
      </c>
      <c r="L703" s="10" t="s">
        <v>42</v>
      </c>
    </row>
    <row r="704" ht="15.75" customHeight="1">
      <c r="A704" s="66">
        <v>45496.0</v>
      </c>
      <c r="B704" s="55" t="str">
        <f>HYPERLINK("https://jobright.ai/jobs/info/66a11b9f432504a9274663e6?utm_campaign=1062&amp;utm_source=sheet", "Apply")</f>
        <v>Apply</v>
      </c>
      <c r="C704" s="10" t="s">
        <v>3673</v>
      </c>
      <c r="D704" s="56" t="s">
        <v>1916</v>
      </c>
      <c r="E704" s="10" t="s">
        <v>209</v>
      </c>
      <c r="F704" s="10" t="s">
        <v>1917</v>
      </c>
      <c r="G704" s="10" t="s">
        <v>2455</v>
      </c>
      <c r="H704" s="10" t="s">
        <v>3674</v>
      </c>
      <c r="I704" s="10" t="s">
        <v>55</v>
      </c>
      <c r="J704" s="10" t="s">
        <v>3675</v>
      </c>
      <c r="K704" s="10" t="s">
        <v>3676</v>
      </c>
      <c r="L704" s="10" t="s">
        <v>42</v>
      </c>
    </row>
    <row r="705" ht="15.75" customHeight="1">
      <c r="A705" s="66">
        <v>45496.0</v>
      </c>
      <c r="B705" s="55" t="str">
        <f>HYPERLINK("https://jobright.ai/jobs/info/669fc3575fc481811c0e62aa?utm_campaign=1062&amp;utm_source=sheet", "Apply")</f>
        <v>Apply</v>
      </c>
      <c r="C705" s="10" t="s">
        <v>3977</v>
      </c>
      <c r="D705" s="56" t="s">
        <v>3978</v>
      </c>
      <c r="E705" s="10">
        <v>973.0</v>
      </c>
      <c r="G705" s="10" t="s">
        <v>2484</v>
      </c>
      <c r="H705" s="10" t="s">
        <v>1050</v>
      </c>
      <c r="I705" s="10" t="s">
        <v>55</v>
      </c>
      <c r="J705" s="10" t="s">
        <v>3979</v>
      </c>
      <c r="K705" s="10" t="s">
        <v>3980</v>
      </c>
      <c r="L705" s="10" t="s">
        <v>42</v>
      </c>
    </row>
    <row r="706" ht="15.75" customHeight="1">
      <c r="A706" s="66">
        <v>45496.0</v>
      </c>
      <c r="B706" s="55" t="str">
        <f>HYPERLINK("https://jobright.ai/jobs/info/669fbbd2f65994b9359d4de5?utm_campaign=1062&amp;utm_source=sheet", "Apply")</f>
        <v>Apply</v>
      </c>
      <c r="C706" s="10" t="s">
        <v>3981</v>
      </c>
      <c r="D706" s="56" t="s">
        <v>3982</v>
      </c>
      <c r="E706" s="10" t="s">
        <v>79</v>
      </c>
      <c r="F706" s="10" t="s">
        <v>3983</v>
      </c>
      <c r="G706" s="10" t="s">
        <v>2437</v>
      </c>
      <c r="H706" s="10" t="s">
        <v>3150</v>
      </c>
      <c r="I706" s="10" t="s">
        <v>55</v>
      </c>
      <c r="K706" s="10" t="s">
        <v>3984</v>
      </c>
      <c r="L706" s="10" t="s">
        <v>42</v>
      </c>
    </row>
    <row r="707" ht="15.75" customHeight="1">
      <c r="A707" s="66">
        <v>45496.0</v>
      </c>
      <c r="B707" s="55" t="str">
        <f>HYPERLINK("https://jobright.ai/jobs/info/66a3f5295fcbfa8457ce1992?utm_campaign=1062&amp;utm_source=sheet", "Apply")</f>
        <v>Apply</v>
      </c>
      <c r="C707" s="10" t="s">
        <v>3985</v>
      </c>
      <c r="D707" s="56" t="s">
        <v>3986</v>
      </c>
      <c r="E707" s="10" t="s">
        <v>276</v>
      </c>
      <c r="F707" s="10" t="s">
        <v>10</v>
      </c>
      <c r="G707" s="10" t="s">
        <v>2464</v>
      </c>
      <c r="H707" s="10" t="s">
        <v>188</v>
      </c>
      <c r="I707" s="10" t="s">
        <v>55</v>
      </c>
      <c r="K707" s="10" t="s">
        <v>3987</v>
      </c>
      <c r="L707" s="10" t="s">
        <v>42</v>
      </c>
    </row>
    <row r="708" ht="15.75" customHeight="1">
      <c r="A708" s="66">
        <v>45496.0</v>
      </c>
      <c r="B708" s="55" t="str">
        <f>HYPERLINK("https://jobright.ai/jobs/info/66a3f5295fcbfa8457ce1a04?utm_campaign=1062&amp;utm_source=sheet", "Apply")</f>
        <v>Apply</v>
      </c>
      <c r="C708" s="10" t="s">
        <v>3988</v>
      </c>
      <c r="D708" s="56" t="s">
        <v>3989</v>
      </c>
      <c r="E708" s="10" t="s">
        <v>45</v>
      </c>
      <c r="F708" s="10" t="s">
        <v>1207</v>
      </c>
      <c r="G708" s="10" t="s">
        <v>2605</v>
      </c>
      <c r="H708" s="10" t="s">
        <v>3931</v>
      </c>
      <c r="I708" s="10" t="s">
        <v>55</v>
      </c>
      <c r="K708" s="10" t="s">
        <v>3990</v>
      </c>
      <c r="L708" s="10" t="s">
        <v>42</v>
      </c>
    </row>
    <row r="709" ht="15.75" customHeight="1">
      <c r="A709" s="66">
        <v>45496.0</v>
      </c>
      <c r="B709" s="55" t="str">
        <f>HYPERLINK("https://jobright.ai/jobs/info/669faf37409ac17305d78231?utm_campaign=1062&amp;utm_source=sheet", "Apply")</f>
        <v>Apply</v>
      </c>
      <c r="C709" s="10" t="s">
        <v>3991</v>
      </c>
      <c r="D709" s="56" t="s">
        <v>1563</v>
      </c>
      <c r="E709" s="59">
        <v>45301.0</v>
      </c>
      <c r="F709" s="10" t="s">
        <v>1564</v>
      </c>
      <c r="G709" s="10" t="s">
        <v>2448</v>
      </c>
      <c r="H709" s="10" t="s">
        <v>1565</v>
      </c>
      <c r="I709" s="10" t="s">
        <v>55</v>
      </c>
      <c r="J709" s="10" t="s">
        <v>3992</v>
      </c>
      <c r="K709" s="10" t="s">
        <v>3993</v>
      </c>
      <c r="L709" s="10" t="s">
        <v>42</v>
      </c>
    </row>
    <row r="710" ht="15.75" customHeight="1">
      <c r="A710" s="66">
        <v>45496.0</v>
      </c>
      <c r="B710" s="55" t="str">
        <f>HYPERLINK("https://jobright.ai/jobs/info/669facf6f97b7654d93f0639?utm_campaign=1062&amp;utm_source=sheet", "Apply")</f>
        <v>Apply</v>
      </c>
      <c r="C710" s="10" t="s">
        <v>3994</v>
      </c>
      <c r="D710" s="56" t="s">
        <v>196</v>
      </c>
      <c r="E710" s="10" t="s">
        <v>71</v>
      </c>
      <c r="F710" s="10" t="s">
        <v>197</v>
      </c>
      <c r="G710" s="10" t="s">
        <v>2443</v>
      </c>
      <c r="H710" s="10" t="s">
        <v>1963</v>
      </c>
      <c r="I710" s="10" t="s">
        <v>55</v>
      </c>
      <c r="K710" s="10" t="s">
        <v>3995</v>
      </c>
      <c r="L710" s="10" t="s">
        <v>42</v>
      </c>
    </row>
    <row r="711" ht="15.75" customHeight="1">
      <c r="A711" s="66">
        <v>45496.0</v>
      </c>
      <c r="B711" s="55" t="str">
        <f>HYPERLINK("https://jobright.ai/jobs/info/66a23c275c14cdf3ee23e0a9?utm_campaign=1062&amp;utm_source=sheet", "Apply")</f>
        <v>Apply</v>
      </c>
      <c r="C711" s="10" t="s">
        <v>3996</v>
      </c>
      <c r="D711" s="56" t="s">
        <v>3432</v>
      </c>
      <c r="E711" s="10" t="s">
        <v>209</v>
      </c>
      <c r="F711" s="10" t="s">
        <v>3433</v>
      </c>
      <c r="G711" s="10" t="s">
        <v>2470</v>
      </c>
      <c r="H711" s="10" t="s">
        <v>855</v>
      </c>
      <c r="I711" s="10" t="s">
        <v>55</v>
      </c>
      <c r="K711" s="10" t="s">
        <v>3997</v>
      </c>
      <c r="L711" s="10" t="s">
        <v>42</v>
      </c>
    </row>
    <row r="712" ht="15.75" customHeight="1">
      <c r="A712" s="66">
        <v>45496.0</v>
      </c>
      <c r="B712" s="55" t="str">
        <f>HYPERLINK("https://jobright.ai/jobs/info/66619a5fe2a38499d61e1b3a?utm_campaign=1062&amp;utm_source=sheet", "Apply")</f>
        <v>Apply</v>
      </c>
      <c r="C712" s="10" t="s">
        <v>3998</v>
      </c>
      <c r="D712" s="56" t="s">
        <v>3999</v>
      </c>
      <c r="E712" s="10" t="s">
        <v>65</v>
      </c>
      <c r="F712" s="10" t="s">
        <v>4000</v>
      </c>
      <c r="G712" s="10" t="s">
        <v>2443</v>
      </c>
      <c r="H712" s="10" t="s">
        <v>4001</v>
      </c>
      <c r="I712" s="10" t="s">
        <v>55</v>
      </c>
      <c r="J712" s="10" t="s">
        <v>4002</v>
      </c>
      <c r="K712" s="10" t="s">
        <v>4003</v>
      </c>
      <c r="L712" s="10" t="s">
        <v>42</v>
      </c>
    </row>
    <row r="713" ht="15.75" customHeight="1">
      <c r="A713" s="66">
        <v>45496.0</v>
      </c>
      <c r="B713" s="55" t="str">
        <f>HYPERLINK("https://jobright.ai/jobs/info/6676b7f8022d43fb7b688916?utm_campaign=1062&amp;utm_source=sheet", "Apply")</f>
        <v>Apply</v>
      </c>
      <c r="C713" s="10" t="s">
        <v>4004</v>
      </c>
      <c r="D713" s="56" t="s">
        <v>2721</v>
      </c>
      <c r="E713" s="10" t="s">
        <v>45</v>
      </c>
      <c r="F713" s="10" t="s">
        <v>2722</v>
      </c>
      <c r="G713" s="10" t="s">
        <v>2502</v>
      </c>
      <c r="H713" s="10" t="s">
        <v>313</v>
      </c>
      <c r="I713" s="10" t="s">
        <v>55</v>
      </c>
      <c r="J713" s="10" t="s">
        <v>2723</v>
      </c>
      <c r="K713" s="10" t="s">
        <v>4005</v>
      </c>
      <c r="L713" s="10" t="s">
        <v>42</v>
      </c>
    </row>
    <row r="714" ht="15.75" customHeight="1">
      <c r="A714" s="66">
        <v>45496.0</v>
      </c>
      <c r="B714" s="55" t="str">
        <f>HYPERLINK("https://jobright.ai/jobs/info/6677c1bd2b6ed5133f4432ab?utm_campaign=1062&amp;utm_source=sheet", "Apply")</f>
        <v>Apply</v>
      </c>
      <c r="C714" s="10" t="s">
        <v>4006</v>
      </c>
      <c r="D714" s="56" t="s">
        <v>2721</v>
      </c>
      <c r="E714" s="10" t="s">
        <v>45</v>
      </c>
      <c r="F714" s="10" t="s">
        <v>2722</v>
      </c>
      <c r="G714" s="10" t="s">
        <v>2502</v>
      </c>
      <c r="H714" s="10" t="s">
        <v>423</v>
      </c>
      <c r="I714" s="10" t="s">
        <v>55</v>
      </c>
      <c r="J714" s="10" t="s">
        <v>2767</v>
      </c>
      <c r="K714" s="10" t="s">
        <v>4007</v>
      </c>
      <c r="L714" s="10" t="s">
        <v>42</v>
      </c>
    </row>
    <row r="715" ht="15.75" customHeight="1">
      <c r="A715" s="66">
        <v>45496.0</v>
      </c>
      <c r="B715" s="55" t="str">
        <f>HYPERLINK("https://jobright.ai/jobs/info/6666e664f6a2ab22eec0bde8?utm_campaign=1062&amp;utm_source=sheet", "Apply")</f>
        <v>Apply</v>
      </c>
      <c r="C715" s="10" t="s">
        <v>4008</v>
      </c>
      <c r="D715" s="56" t="s">
        <v>2721</v>
      </c>
      <c r="E715" s="10" t="s">
        <v>45</v>
      </c>
      <c r="F715" s="10" t="s">
        <v>2722</v>
      </c>
      <c r="G715" s="10" t="s">
        <v>2448</v>
      </c>
      <c r="H715" s="10" t="s">
        <v>423</v>
      </c>
      <c r="I715" s="10" t="s">
        <v>55</v>
      </c>
      <c r="J715" s="10" t="s">
        <v>2767</v>
      </c>
      <c r="K715" s="10" t="s">
        <v>4009</v>
      </c>
      <c r="L715" s="10" t="s">
        <v>42</v>
      </c>
    </row>
    <row r="716" ht="15.75" customHeight="1">
      <c r="A716" s="66">
        <v>45496.0</v>
      </c>
      <c r="B716" s="55" t="str">
        <f>HYPERLINK("https://jobright.ai/jobs/info/66838c9b2c4a444fbfe64613?utm_campaign=1062&amp;utm_source=sheet", "Apply")</f>
        <v>Apply</v>
      </c>
      <c r="C716" s="10" t="s">
        <v>4010</v>
      </c>
      <c r="D716" s="56" t="s">
        <v>4011</v>
      </c>
      <c r="E716" s="10" t="s">
        <v>65</v>
      </c>
      <c r="F716" s="10" t="s">
        <v>4012</v>
      </c>
      <c r="G716" s="10" t="s">
        <v>2495</v>
      </c>
      <c r="H716" s="10" t="s">
        <v>3302</v>
      </c>
      <c r="I716" s="10" t="s">
        <v>55</v>
      </c>
      <c r="K716" s="10" t="s">
        <v>4013</v>
      </c>
      <c r="L716" s="10" t="s">
        <v>42</v>
      </c>
    </row>
    <row r="717" ht="15.75" customHeight="1">
      <c r="A717" s="66">
        <v>45496.0</v>
      </c>
      <c r="B717" s="55" t="str">
        <f>HYPERLINK("https://jobright.ai/jobs/info/669f9ac96b4d6a584080f92d?utm_campaign=1062&amp;utm_source=sheet", "Apply")</f>
        <v>Apply</v>
      </c>
      <c r="C717" s="10" t="s">
        <v>4014</v>
      </c>
      <c r="D717" s="56" t="s">
        <v>3515</v>
      </c>
      <c r="E717" s="10" t="s">
        <v>65</v>
      </c>
      <c r="F717" s="10" t="s">
        <v>3516</v>
      </c>
      <c r="G717" s="10" t="s">
        <v>2448</v>
      </c>
      <c r="H717" s="10" t="s">
        <v>1097</v>
      </c>
      <c r="I717" s="10" t="s">
        <v>55</v>
      </c>
      <c r="K717" s="10" t="s">
        <v>3517</v>
      </c>
      <c r="L717" s="10" t="s">
        <v>42</v>
      </c>
    </row>
    <row r="718" ht="15.75" customHeight="1">
      <c r="A718" s="66">
        <v>45496.0</v>
      </c>
      <c r="B718" s="55" t="str">
        <f>HYPERLINK("https://jobright.ai/jobs/info/668bb6e417dee337729254f7?utm_campaign=1062&amp;utm_source=sheet", "Apply")</f>
        <v>Apply</v>
      </c>
      <c r="C718" s="10" t="s">
        <v>4015</v>
      </c>
      <c r="D718" s="56" t="s">
        <v>4016</v>
      </c>
      <c r="E718" s="10" t="s">
        <v>45</v>
      </c>
      <c r="F718" s="10" t="s">
        <v>4017</v>
      </c>
      <c r="G718" s="10" t="s">
        <v>2484</v>
      </c>
      <c r="H718" s="10" t="s">
        <v>4018</v>
      </c>
      <c r="I718" s="10" t="s">
        <v>55</v>
      </c>
      <c r="K718" s="10" t="s">
        <v>4019</v>
      </c>
      <c r="L718" s="10" t="s">
        <v>42</v>
      </c>
    </row>
    <row r="719" ht="15.75" customHeight="1">
      <c r="A719" s="66">
        <v>45496.0</v>
      </c>
      <c r="B719" s="55" t="str">
        <f>HYPERLINK("https://jobright.ai/jobs/info/6683380eb5752eff96c79d7b?utm_campaign=1062&amp;utm_source=sheet", "Apply")</f>
        <v>Apply</v>
      </c>
      <c r="C719" s="10" t="s">
        <v>4020</v>
      </c>
      <c r="D719" s="56" t="s">
        <v>4021</v>
      </c>
      <c r="E719" s="10" t="s">
        <v>79</v>
      </c>
      <c r="F719" s="10" t="s">
        <v>4022</v>
      </c>
      <c r="G719" s="10" t="s">
        <v>2437</v>
      </c>
      <c r="H719" s="10" t="s">
        <v>4023</v>
      </c>
      <c r="I719" s="10" t="s">
        <v>55</v>
      </c>
      <c r="K719" s="10" t="s">
        <v>4024</v>
      </c>
      <c r="L719" s="10" t="s">
        <v>42</v>
      </c>
    </row>
    <row r="720" ht="15.75" customHeight="1">
      <c r="A720" s="66">
        <v>45496.0</v>
      </c>
      <c r="B720" s="55" t="str">
        <f>HYPERLINK("https://jobright.ai/jobs/info/6683718c68a2d17c2b63c5f6?utm_campaign=1062&amp;utm_source=sheet", "Apply")</f>
        <v>Apply</v>
      </c>
      <c r="C720" s="10" t="s">
        <v>4025</v>
      </c>
      <c r="D720" s="56" t="s">
        <v>2712</v>
      </c>
      <c r="E720" s="10" t="s">
        <v>79</v>
      </c>
      <c r="F720" s="10" t="s">
        <v>2713</v>
      </c>
      <c r="G720" s="10" t="s">
        <v>2437</v>
      </c>
      <c r="H720" s="10" t="s">
        <v>698</v>
      </c>
      <c r="I720" s="10" t="s">
        <v>55</v>
      </c>
      <c r="J720" s="10" t="s">
        <v>2714</v>
      </c>
      <c r="K720" s="10" t="s">
        <v>4026</v>
      </c>
      <c r="L720" s="10" t="s">
        <v>42</v>
      </c>
    </row>
    <row r="721" ht="15.75" customHeight="1">
      <c r="A721" s="66">
        <v>45496.0</v>
      </c>
      <c r="B721" s="55" t="str">
        <f>HYPERLINK("https://jobright.ai/jobs/info/6677bcaa27c0e726e8f4dbfd?utm_campaign=1062&amp;utm_source=sheet", "Apply")</f>
        <v>Apply</v>
      </c>
      <c r="C721" s="10" t="s">
        <v>3716</v>
      </c>
      <c r="D721" s="56" t="s">
        <v>2721</v>
      </c>
      <c r="E721" s="10" t="s">
        <v>45</v>
      </c>
      <c r="F721" s="10" t="s">
        <v>2722</v>
      </c>
      <c r="G721" s="10" t="s">
        <v>2502</v>
      </c>
      <c r="H721" s="10" t="s">
        <v>423</v>
      </c>
      <c r="I721" s="10" t="s">
        <v>55</v>
      </c>
      <c r="J721" s="10" t="s">
        <v>3717</v>
      </c>
      <c r="K721" s="10" t="s">
        <v>4027</v>
      </c>
      <c r="L721" s="10" t="s">
        <v>42</v>
      </c>
    </row>
    <row r="722" ht="15.75" customHeight="1">
      <c r="A722" s="66">
        <v>45496.0</v>
      </c>
      <c r="B722" s="55" t="str">
        <f>HYPERLINK("https://jobright.ai/jobs/info/6666d5e131be1686e9868589?utm_campaign=1062&amp;utm_source=sheet", "Apply")</f>
        <v>Apply</v>
      </c>
      <c r="C722" s="10" t="s">
        <v>3716</v>
      </c>
      <c r="D722" s="56" t="s">
        <v>2721</v>
      </c>
      <c r="E722" s="10" t="s">
        <v>45</v>
      </c>
      <c r="F722" s="10" t="s">
        <v>2722</v>
      </c>
      <c r="G722" s="10" t="s">
        <v>2502</v>
      </c>
      <c r="H722" s="10" t="s">
        <v>313</v>
      </c>
      <c r="I722" s="10" t="s">
        <v>55</v>
      </c>
      <c r="J722" s="10" t="s">
        <v>314</v>
      </c>
      <c r="K722" s="10" t="s">
        <v>4027</v>
      </c>
      <c r="L722" s="10" t="s">
        <v>42</v>
      </c>
    </row>
    <row r="723" ht="15.75" customHeight="1">
      <c r="A723" s="66">
        <v>45496.0</v>
      </c>
      <c r="B723" s="55" t="str">
        <f>HYPERLINK("https://jobright.ai/jobs/info/6677bd0f27c0e726e8f4e3d2?utm_campaign=1062&amp;utm_source=sheet", "Apply")</f>
        <v>Apply</v>
      </c>
      <c r="C723" s="10" t="s">
        <v>4028</v>
      </c>
      <c r="D723" s="56" t="s">
        <v>2721</v>
      </c>
      <c r="E723" s="10" t="s">
        <v>45</v>
      </c>
      <c r="F723" s="10" t="s">
        <v>2722</v>
      </c>
      <c r="G723" s="10" t="s">
        <v>2502</v>
      </c>
      <c r="H723" s="10" t="s">
        <v>313</v>
      </c>
      <c r="I723" s="10" t="s">
        <v>55</v>
      </c>
      <c r="J723" s="10" t="s">
        <v>2723</v>
      </c>
      <c r="K723" s="10" t="s">
        <v>4029</v>
      </c>
      <c r="L723" s="10" t="s">
        <v>42</v>
      </c>
    </row>
    <row r="724" ht="15.75" customHeight="1">
      <c r="A724" s="66">
        <v>45496.0</v>
      </c>
      <c r="B724" s="55" t="str">
        <f>HYPERLINK("https://jobright.ai/jobs/info/6677b8339c2d9fa5bf088907?utm_campaign=1062&amp;utm_source=sheet", "Apply")</f>
        <v>Apply</v>
      </c>
      <c r="C724" s="10" t="s">
        <v>3716</v>
      </c>
      <c r="D724" s="56" t="s">
        <v>2721</v>
      </c>
      <c r="E724" s="10" t="s">
        <v>45</v>
      </c>
      <c r="F724" s="10" t="s">
        <v>2722</v>
      </c>
      <c r="G724" s="10" t="s">
        <v>2502</v>
      </c>
      <c r="H724" s="10" t="s">
        <v>313</v>
      </c>
      <c r="I724" s="10" t="s">
        <v>55</v>
      </c>
      <c r="J724" s="10" t="s">
        <v>314</v>
      </c>
      <c r="K724" s="10" t="s">
        <v>4030</v>
      </c>
      <c r="L724" s="10" t="s">
        <v>42</v>
      </c>
    </row>
    <row r="725" ht="15.75" customHeight="1">
      <c r="A725" s="66">
        <v>45496.0</v>
      </c>
      <c r="B725" s="55" t="str">
        <f>HYPERLINK("https://jobright.ai/jobs/info/669f90900b9cdd2085c17e08?utm_campaign=1062&amp;utm_source=sheet", "Apply")</f>
        <v>Apply</v>
      </c>
      <c r="C725" s="10" t="s">
        <v>4031</v>
      </c>
      <c r="D725" s="56" t="s">
        <v>4032</v>
      </c>
      <c r="E725" s="10" t="s">
        <v>137</v>
      </c>
      <c r="F725" s="10" t="s">
        <v>4033</v>
      </c>
      <c r="G725" s="10" t="s">
        <v>3733</v>
      </c>
      <c r="H725" s="10" t="s">
        <v>2203</v>
      </c>
      <c r="I725" s="10" t="s">
        <v>55</v>
      </c>
      <c r="J725" s="10" t="s">
        <v>4034</v>
      </c>
      <c r="K725" s="10" t="s">
        <v>4035</v>
      </c>
      <c r="L725" s="10" t="s">
        <v>42</v>
      </c>
    </row>
    <row r="726" ht="15.75" customHeight="1">
      <c r="A726" s="66">
        <v>45496.0</v>
      </c>
      <c r="B726" s="55" t="str">
        <f>HYPERLINK("https://jobright.ai/jobs/info/6677bc9327c0e726e8f4daac?utm_campaign=1062&amp;utm_source=sheet", "Apply")</f>
        <v>Apply</v>
      </c>
      <c r="C726" s="10" t="s">
        <v>4036</v>
      </c>
      <c r="D726" s="56" t="s">
        <v>2721</v>
      </c>
      <c r="E726" s="10" t="s">
        <v>45</v>
      </c>
      <c r="F726" s="10" t="s">
        <v>2722</v>
      </c>
      <c r="G726" s="10" t="s">
        <v>2448</v>
      </c>
      <c r="H726" s="10" t="s">
        <v>313</v>
      </c>
      <c r="I726" s="10" t="s">
        <v>55</v>
      </c>
      <c r="J726" s="10" t="s">
        <v>2723</v>
      </c>
      <c r="K726" s="10" t="s">
        <v>3724</v>
      </c>
      <c r="L726" s="10" t="s">
        <v>42</v>
      </c>
    </row>
    <row r="727" ht="15.75" customHeight="1">
      <c r="A727" s="66">
        <v>45496.0</v>
      </c>
      <c r="B727" s="55" t="str">
        <f>HYPERLINK("https://jobright.ai/jobs/info/6683946b3852d4df8b5e8382?utm_campaign=1062&amp;utm_source=sheet", "Apply")</f>
        <v>Apply</v>
      </c>
      <c r="C727" s="10" t="s">
        <v>3375</v>
      </c>
      <c r="D727" s="56" t="s">
        <v>3376</v>
      </c>
      <c r="E727" s="10" t="s">
        <v>45</v>
      </c>
      <c r="F727" s="10" t="s">
        <v>3377</v>
      </c>
      <c r="G727" s="10" t="s">
        <v>2459</v>
      </c>
      <c r="H727" s="10" t="s">
        <v>738</v>
      </c>
      <c r="I727" s="10" t="s">
        <v>48</v>
      </c>
      <c r="J727" s="10" t="s">
        <v>3393</v>
      </c>
      <c r="K727" s="10" t="s">
        <v>3379</v>
      </c>
      <c r="L727" s="10" t="s">
        <v>42</v>
      </c>
    </row>
    <row r="728" ht="15.75" customHeight="1">
      <c r="A728" s="66">
        <v>45496.0</v>
      </c>
      <c r="B728" s="55" t="str">
        <f>HYPERLINK("https://jobright.ai/jobs/info/66833aff60002e71662cda6c?utm_campaign=1062&amp;utm_source=sheet", "Apply")</f>
        <v>Apply</v>
      </c>
      <c r="C728" s="10" t="s">
        <v>3375</v>
      </c>
      <c r="D728" s="56" t="s">
        <v>3376</v>
      </c>
      <c r="E728" s="10" t="s">
        <v>45</v>
      </c>
      <c r="F728" s="10" t="s">
        <v>3377</v>
      </c>
      <c r="G728" s="10" t="s">
        <v>2459</v>
      </c>
      <c r="H728" s="10" t="s">
        <v>4037</v>
      </c>
      <c r="I728" s="10" t="s">
        <v>48</v>
      </c>
      <c r="J728" s="10" t="s">
        <v>3720</v>
      </c>
      <c r="K728" s="10" t="s">
        <v>3379</v>
      </c>
      <c r="L728" s="10" t="s">
        <v>42</v>
      </c>
    </row>
    <row r="729" ht="15.75" customHeight="1">
      <c r="A729" s="66">
        <v>45496.0</v>
      </c>
      <c r="B729" s="55" t="str">
        <f>HYPERLINK("https://jobright.ai/jobs/info/6676b7f8022d43fb7b688904?utm_campaign=1062&amp;utm_source=sheet", "Apply")</f>
        <v>Apply</v>
      </c>
      <c r="C729" s="10" t="s">
        <v>4038</v>
      </c>
      <c r="D729" s="56" t="s">
        <v>2721</v>
      </c>
      <c r="E729" s="10" t="s">
        <v>45</v>
      </c>
      <c r="F729" s="10" t="s">
        <v>2722</v>
      </c>
      <c r="G729" s="10" t="s">
        <v>2502</v>
      </c>
      <c r="H729" s="10" t="s">
        <v>313</v>
      </c>
      <c r="I729" s="10" t="s">
        <v>55</v>
      </c>
      <c r="J729" s="10" t="s">
        <v>2723</v>
      </c>
      <c r="K729" s="10" t="s">
        <v>4039</v>
      </c>
      <c r="L729" s="10" t="s">
        <v>42</v>
      </c>
    </row>
    <row r="730" ht="15.75" customHeight="1">
      <c r="A730" s="66">
        <v>45496.0</v>
      </c>
      <c r="B730" s="55" t="str">
        <f>HYPERLINK("https://jobright.ai/jobs/info/6682f16c56317a36d1ad8d47?utm_campaign=1062&amp;utm_source=sheet", "Apply")</f>
        <v>Apply</v>
      </c>
      <c r="C730" s="10" t="s">
        <v>4040</v>
      </c>
      <c r="D730" s="56" t="s">
        <v>2763</v>
      </c>
      <c r="E730" s="10" t="s">
        <v>45</v>
      </c>
      <c r="F730" s="10" t="s">
        <v>1465</v>
      </c>
      <c r="G730" s="10" t="s">
        <v>2470</v>
      </c>
      <c r="H730" s="10" t="s">
        <v>4041</v>
      </c>
      <c r="I730" s="10" t="s">
        <v>55</v>
      </c>
      <c r="J730" s="10" t="s">
        <v>4042</v>
      </c>
      <c r="K730" s="10" t="s">
        <v>2832</v>
      </c>
      <c r="L730" s="10" t="s">
        <v>42</v>
      </c>
    </row>
    <row r="731" ht="15.75" customHeight="1">
      <c r="A731" s="66">
        <v>45496.0</v>
      </c>
      <c r="B731" s="55" t="str">
        <f>HYPERLINK("https://jobright.ai/jobs/info/6677bc9327c0e726e8f4da60?utm_campaign=1062&amp;utm_source=sheet", "Apply")</f>
        <v>Apply</v>
      </c>
      <c r="C731" s="10" t="s">
        <v>4008</v>
      </c>
      <c r="D731" s="56" t="s">
        <v>2721</v>
      </c>
      <c r="E731" s="10" t="s">
        <v>45</v>
      </c>
      <c r="F731" s="10" t="s">
        <v>2722</v>
      </c>
      <c r="G731" s="10" t="s">
        <v>2448</v>
      </c>
      <c r="H731" s="10" t="s">
        <v>313</v>
      </c>
      <c r="I731" s="10" t="s">
        <v>55</v>
      </c>
      <c r="J731" s="10" t="s">
        <v>2723</v>
      </c>
      <c r="K731" s="10" t="s">
        <v>4009</v>
      </c>
      <c r="L731" s="10" t="s">
        <v>42</v>
      </c>
    </row>
    <row r="732" ht="15.75" customHeight="1">
      <c r="A732" s="66">
        <v>45496.0</v>
      </c>
      <c r="B732" s="55" t="str">
        <f>HYPERLINK("https://jobright.ai/jobs/info/6677b6ec9c2d9fa5bf0872e3?utm_campaign=1062&amp;utm_source=sheet", "Apply")</f>
        <v>Apply</v>
      </c>
      <c r="C732" s="10" t="s">
        <v>4043</v>
      </c>
      <c r="D732" s="56" t="s">
        <v>2721</v>
      </c>
      <c r="E732" s="10" t="s">
        <v>45</v>
      </c>
      <c r="F732" s="10" t="s">
        <v>2722</v>
      </c>
      <c r="G732" s="10" t="s">
        <v>2502</v>
      </c>
      <c r="H732" s="10" t="s">
        <v>423</v>
      </c>
      <c r="I732" s="10" t="s">
        <v>55</v>
      </c>
      <c r="J732" s="10" t="s">
        <v>2767</v>
      </c>
      <c r="K732" s="10" t="s">
        <v>4044</v>
      </c>
      <c r="L732" s="10" t="s">
        <v>42</v>
      </c>
    </row>
    <row r="733" ht="15.75" customHeight="1">
      <c r="A733" s="66">
        <v>45496.0</v>
      </c>
      <c r="B733" s="55" t="str">
        <f>HYPERLINK("https://jobright.ai/jobs/info/6677bd0f27c0e726e8f4e460?utm_campaign=1062&amp;utm_source=sheet", "Apply")</f>
        <v>Apply</v>
      </c>
      <c r="C733" s="10" t="s">
        <v>4043</v>
      </c>
      <c r="D733" s="56" t="s">
        <v>2721</v>
      </c>
      <c r="E733" s="10" t="s">
        <v>45</v>
      </c>
      <c r="F733" s="10" t="s">
        <v>2722</v>
      </c>
      <c r="G733" s="10" t="s">
        <v>2502</v>
      </c>
      <c r="H733" s="10" t="s">
        <v>313</v>
      </c>
      <c r="I733" s="10" t="s">
        <v>55</v>
      </c>
      <c r="J733" s="10" t="s">
        <v>2723</v>
      </c>
      <c r="K733" s="10" t="s">
        <v>4044</v>
      </c>
      <c r="L733" s="10" t="s">
        <v>42</v>
      </c>
    </row>
    <row r="734" ht="15.75" customHeight="1">
      <c r="A734" s="66">
        <v>45496.0</v>
      </c>
      <c r="B734" s="55" t="str">
        <f>HYPERLINK("https://jobright.ai/jobs/info/6683445e8264d4aa18e99623?utm_campaign=1062&amp;utm_source=sheet", "Apply")</f>
        <v>Apply</v>
      </c>
      <c r="C734" s="10" t="s">
        <v>4045</v>
      </c>
      <c r="D734" s="56" t="s">
        <v>385</v>
      </c>
      <c r="E734" s="10" t="s">
        <v>45</v>
      </c>
      <c r="F734" s="10" t="s">
        <v>386</v>
      </c>
      <c r="G734" s="10" t="s">
        <v>4046</v>
      </c>
      <c r="H734" s="10" t="s">
        <v>1057</v>
      </c>
      <c r="I734" s="10" t="s">
        <v>55</v>
      </c>
      <c r="K734" s="10" t="s">
        <v>4047</v>
      </c>
      <c r="L734" s="10" t="s">
        <v>42</v>
      </c>
    </row>
    <row r="735" ht="15.75" customHeight="1">
      <c r="A735" s="66">
        <v>45496.0</v>
      </c>
      <c r="B735" s="55" t="str">
        <f>HYPERLINK("https://jobright.ai/jobs/info/6682f16c56317a36d1ad8d48?utm_campaign=1062&amp;utm_source=sheet", "Apply")</f>
        <v>Apply</v>
      </c>
      <c r="C735" s="10" t="s">
        <v>4040</v>
      </c>
      <c r="D735" s="56" t="s">
        <v>2763</v>
      </c>
      <c r="E735" s="10" t="s">
        <v>45</v>
      </c>
      <c r="F735" s="10" t="s">
        <v>1465</v>
      </c>
      <c r="G735" s="10" t="s">
        <v>2470</v>
      </c>
      <c r="H735" s="10" t="s">
        <v>988</v>
      </c>
      <c r="I735" s="10" t="s">
        <v>55</v>
      </c>
      <c r="J735" s="10" t="s">
        <v>4042</v>
      </c>
      <c r="K735" s="10" t="s">
        <v>2832</v>
      </c>
      <c r="L735" s="10" t="s">
        <v>42</v>
      </c>
    </row>
    <row r="736" ht="15.75" customHeight="1">
      <c r="A736" s="66">
        <v>45496.0</v>
      </c>
      <c r="B736" s="55" t="str">
        <f>HYPERLINK("https://jobright.ai/jobs/info/6682e359bcb975e888d21b82?utm_campaign=1062&amp;utm_source=sheet", "Apply")</f>
        <v>Apply</v>
      </c>
      <c r="C736" s="10" t="s">
        <v>4040</v>
      </c>
      <c r="D736" s="56" t="s">
        <v>2763</v>
      </c>
      <c r="E736" s="10" t="s">
        <v>45</v>
      </c>
      <c r="F736" s="10" t="s">
        <v>1465</v>
      </c>
      <c r="G736" s="10" t="s">
        <v>2470</v>
      </c>
      <c r="H736" s="10" t="s">
        <v>4048</v>
      </c>
      <c r="I736" s="10" t="s">
        <v>55</v>
      </c>
      <c r="J736" s="10" t="s">
        <v>4042</v>
      </c>
      <c r="K736" s="10" t="s">
        <v>2832</v>
      </c>
      <c r="L736" s="10" t="s">
        <v>42</v>
      </c>
    </row>
    <row r="737" ht="15.75" customHeight="1">
      <c r="A737" s="66">
        <v>45496.0</v>
      </c>
      <c r="B737" s="55" t="str">
        <f>HYPERLINK("https://jobright.ai/jobs/info/6677be6327c0e726e8f4fdbd?utm_campaign=1062&amp;utm_source=sheet", "Apply")</f>
        <v>Apply</v>
      </c>
      <c r="C737" s="10" t="s">
        <v>4049</v>
      </c>
      <c r="D737" s="56" t="s">
        <v>2721</v>
      </c>
      <c r="E737" s="10" t="s">
        <v>45</v>
      </c>
      <c r="F737" s="10" t="s">
        <v>2722</v>
      </c>
      <c r="G737" s="10" t="s">
        <v>2502</v>
      </c>
      <c r="H737" s="10" t="s">
        <v>313</v>
      </c>
      <c r="I737" s="10" t="s">
        <v>55</v>
      </c>
      <c r="J737" s="10" t="s">
        <v>2723</v>
      </c>
      <c r="K737" s="10" t="s">
        <v>4050</v>
      </c>
      <c r="L737" s="10" t="s">
        <v>42</v>
      </c>
    </row>
    <row r="738" ht="15.75" customHeight="1">
      <c r="A738" s="66">
        <v>45496.0</v>
      </c>
      <c r="B738" s="55" t="str">
        <f>HYPERLINK("https://jobright.ai/jobs/info/6682e359bcb975e888d21b83?utm_campaign=1062&amp;utm_source=sheet", "Apply")</f>
        <v>Apply</v>
      </c>
      <c r="C738" s="10" t="s">
        <v>4040</v>
      </c>
      <c r="D738" s="56" t="s">
        <v>2763</v>
      </c>
      <c r="E738" s="10" t="s">
        <v>45</v>
      </c>
      <c r="F738" s="10" t="s">
        <v>1465</v>
      </c>
      <c r="G738" s="10" t="s">
        <v>2470</v>
      </c>
      <c r="H738" s="10" t="s">
        <v>4051</v>
      </c>
      <c r="I738" s="10" t="s">
        <v>55</v>
      </c>
      <c r="J738" s="10" t="s">
        <v>4042</v>
      </c>
      <c r="K738" s="10" t="s">
        <v>2832</v>
      </c>
      <c r="L738" s="10" t="s">
        <v>42</v>
      </c>
    </row>
    <row r="739" ht="15.75" customHeight="1">
      <c r="A739" s="66">
        <v>45496.0</v>
      </c>
      <c r="B739" s="55" t="str">
        <f>HYPERLINK("https://jobright.ai/jobs/info/668386d14c38f18b71e212a6?utm_campaign=1062&amp;utm_source=sheet", "Apply")</f>
        <v>Apply</v>
      </c>
      <c r="C739" s="10" t="s">
        <v>3375</v>
      </c>
      <c r="D739" s="56" t="s">
        <v>3376</v>
      </c>
      <c r="E739" s="10" t="s">
        <v>45</v>
      </c>
      <c r="F739" s="10" t="s">
        <v>3377</v>
      </c>
      <c r="G739" s="10" t="s">
        <v>2459</v>
      </c>
      <c r="H739" s="10" t="s">
        <v>848</v>
      </c>
      <c r="I739" s="10" t="s">
        <v>55</v>
      </c>
      <c r="J739" s="10" t="s">
        <v>3393</v>
      </c>
      <c r="K739" s="10" t="s">
        <v>3379</v>
      </c>
      <c r="L739" s="10" t="s">
        <v>42</v>
      </c>
    </row>
    <row r="740" ht="15.75" customHeight="1">
      <c r="A740" s="66">
        <v>45496.0</v>
      </c>
      <c r="B740" s="55" t="str">
        <f>HYPERLINK("https://jobright.ai/jobs/info/6666dc97be8ed61e51e68ec6?utm_campaign=1062&amp;utm_source=sheet", "Apply")</f>
        <v>Apply</v>
      </c>
      <c r="C740" s="10" t="s">
        <v>4052</v>
      </c>
      <c r="D740" s="56" t="s">
        <v>2721</v>
      </c>
      <c r="E740" s="10" t="s">
        <v>45</v>
      </c>
      <c r="F740" s="10" t="s">
        <v>2722</v>
      </c>
      <c r="G740" s="10" t="s">
        <v>2448</v>
      </c>
      <c r="H740" s="10" t="s">
        <v>313</v>
      </c>
      <c r="I740" s="10" t="s">
        <v>55</v>
      </c>
      <c r="J740" s="10" t="s">
        <v>2723</v>
      </c>
      <c r="K740" s="10" t="s">
        <v>3700</v>
      </c>
      <c r="L740" s="10" t="s">
        <v>42</v>
      </c>
    </row>
    <row r="741" ht="15.75" customHeight="1">
      <c r="A741" s="66">
        <v>45496.0</v>
      </c>
      <c r="B741" s="55" t="str">
        <f>HYPERLINK("https://jobright.ai/jobs/info/6683946b3852d4df8b5e8369?utm_campaign=1062&amp;utm_source=sheet", "Apply")</f>
        <v>Apply</v>
      </c>
      <c r="C741" s="10" t="s">
        <v>3375</v>
      </c>
      <c r="D741" s="56" t="s">
        <v>3376</v>
      </c>
      <c r="E741" s="10" t="s">
        <v>45</v>
      </c>
      <c r="F741" s="10" t="s">
        <v>3377</v>
      </c>
      <c r="G741" s="10" t="s">
        <v>2459</v>
      </c>
      <c r="H741" s="10" t="s">
        <v>738</v>
      </c>
      <c r="I741" s="10" t="s">
        <v>48</v>
      </c>
      <c r="K741" s="10" t="s">
        <v>3379</v>
      </c>
      <c r="L741" s="10" t="s">
        <v>42</v>
      </c>
    </row>
    <row r="742" ht="15.75" customHeight="1">
      <c r="A742" s="66">
        <v>45496.0</v>
      </c>
      <c r="B742" s="55" t="str">
        <f>HYPERLINK("https://jobright.ai/jobs/info/66832b8f57eb512f576b7ab3?utm_campaign=1062&amp;utm_source=sheet", "Apply")</f>
        <v>Apply</v>
      </c>
      <c r="C742" s="10" t="s">
        <v>4053</v>
      </c>
      <c r="D742" s="56" t="s">
        <v>204</v>
      </c>
      <c r="E742" s="10" t="s">
        <v>45</v>
      </c>
      <c r="F742" s="10" t="s">
        <v>205</v>
      </c>
      <c r="G742" s="10" t="s">
        <v>2476</v>
      </c>
      <c r="H742" s="10" t="s">
        <v>153</v>
      </c>
      <c r="I742" s="10" t="s">
        <v>48</v>
      </c>
      <c r="K742" s="10" t="s">
        <v>4054</v>
      </c>
      <c r="L742" s="10" t="s">
        <v>42</v>
      </c>
    </row>
    <row r="743" ht="15.75" customHeight="1">
      <c r="A743" s="66">
        <v>45496.0</v>
      </c>
      <c r="B743" s="55" t="str">
        <f>HYPERLINK("https://jobright.ai/jobs/info/66834126a77cf77fee2dcab2?utm_campaign=1062&amp;utm_source=sheet", "Apply")</f>
        <v>Apply</v>
      </c>
      <c r="C743" s="10" t="s">
        <v>4045</v>
      </c>
      <c r="D743" s="56" t="s">
        <v>385</v>
      </c>
      <c r="E743" s="10" t="s">
        <v>45</v>
      </c>
      <c r="F743" s="10" t="s">
        <v>386</v>
      </c>
      <c r="G743" s="10" t="s">
        <v>4046</v>
      </c>
      <c r="H743" s="10" t="s">
        <v>159</v>
      </c>
      <c r="I743" s="10" t="s">
        <v>55</v>
      </c>
      <c r="K743" s="10" t="s">
        <v>4047</v>
      </c>
      <c r="L743" s="10" t="s">
        <v>42</v>
      </c>
    </row>
    <row r="744" ht="15.75" customHeight="1">
      <c r="A744" s="66">
        <v>45496.0</v>
      </c>
      <c r="B744" s="55" t="str">
        <f>HYPERLINK("https://jobright.ai/jobs/info/6677bcaa27c0e726e8f4dc3d?utm_campaign=1062&amp;utm_source=sheet", "Apply")</f>
        <v>Apply</v>
      </c>
      <c r="C744" s="10" t="s">
        <v>4055</v>
      </c>
      <c r="D744" s="56" t="s">
        <v>2721</v>
      </c>
      <c r="E744" s="10" t="s">
        <v>45</v>
      </c>
      <c r="F744" s="10" t="s">
        <v>2722</v>
      </c>
      <c r="G744" s="10" t="s">
        <v>2502</v>
      </c>
      <c r="H744" s="10" t="s">
        <v>313</v>
      </c>
      <c r="I744" s="10" t="s">
        <v>55</v>
      </c>
      <c r="J744" s="10" t="s">
        <v>314</v>
      </c>
      <c r="K744" s="10" t="s">
        <v>4056</v>
      </c>
      <c r="L744" s="10" t="s">
        <v>42</v>
      </c>
    </row>
    <row r="745" ht="15.75" customHeight="1">
      <c r="A745" s="66">
        <v>45496.0</v>
      </c>
      <c r="B745" s="55" t="str">
        <f>HYPERLINK("https://jobright.ai/jobs/info/6677b7059c2d9fa5bf0873dc?utm_campaign=1062&amp;utm_source=sheet", "Apply")</f>
        <v>Apply</v>
      </c>
      <c r="C745" s="10" t="s">
        <v>4052</v>
      </c>
      <c r="D745" s="56" t="s">
        <v>2721</v>
      </c>
      <c r="E745" s="10" t="s">
        <v>45</v>
      </c>
      <c r="F745" s="10" t="s">
        <v>2722</v>
      </c>
      <c r="G745" s="10" t="s">
        <v>2448</v>
      </c>
      <c r="H745" s="10" t="s">
        <v>423</v>
      </c>
      <c r="I745" s="10" t="s">
        <v>55</v>
      </c>
      <c r="J745" s="10" t="s">
        <v>2767</v>
      </c>
      <c r="K745" s="10" t="s">
        <v>3700</v>
      </c>
      <c r="L745" s="10" t="s">
        <v>42</v>
      </c>
    </row>
    <row r="746" ht="15.75" customHeight="1">
      <c r="A746" s="66">
        <v>45496.0</v>
      </c>
      <c r="B746" s="55" t="str">
        <f>HYPERLINK("https://jobright.ai/jobs/info/66a221c709f85f5f80120d68?utm_campaign=1062&amp;utm_source=sheet", "Apply")</f>
        <v>Apply</v>
      </c>
      <c r="C746" s="10" t="s">
        <v>4057</v>
      </c>
      <c r="D746" s="56" t="s">
        <v>4058</v>
      </c>
      <c r="E746" s="10" t="s">
        <v>209</v>
      </c>
      <c r="F746" s="10" t="s">
        <v>358</v>
      </c>
      <c r="G746" s="10" t="s">
        <v>2448</v>
      </c>
      <c r="H746" s="10" t="s">
        <v>4059</v>
      </c>
      <c r="I746" s="10" t="s">
        <v>55</v>
      </c>
      <c r="J746" s="10" t="s">
        <v>4060</v>
      </c>
      <c r="K746" s="10" t="s">
        <v>4061</v>
      </c>
      <c r="L746" s="10" t="s">
        <v>42</v>
      </c>
    </row>
    <row r="747" ht="15.75" customHeight="1">
      <c r="A747" s="66">
        <v>45496.0</v>
      </c>
      <c r="B747" s="55" t="str">
        <f>HYPERLINK("https://jobright.ai/jobs/info/6677bc9f27c0e726e8f4db76?utm_campaign=1062&amp;utm_source=sheet", "Apply")</f>
        <v>Apply</v>
      </c>
      <c r="C747" s="10" t="s">
        <v>4038</v>
      </c>
      <c r="D747" s="56" t="s">
        <v>2721</v>
      </c>
      <c r="E747" s="10" t="s">
        <v>45</v>
      </c>
      <c r="F747" s="10" t="s">
        <v>2722</v>
      </c>
      <c r="G747" s="10" t="s">
        <v>2502</v>
      </c>
      <c r="H747" s="10" t="s">
        <v>423</v>
      </c>
      <c r="I747" s="10" t="s">
        <v>55</v>
      </c>
      <c r="J747" s="10" t="s">
        <v>2767</v>
      </c>
      <c r="K747" s="10" t="s">
        <v>4039</v>
      </c>
      <c r="L747" s="10" t="s">
        <v>42</v>
      </c>
    </row>
    <row r="748" ht="15.75" customHeight="1">
      <c r="A748" s="66">
        <v>45496.0</v>
      </c>
      <c r="B748" s="55" t="str">
        <f>HYPERLINK("https://jobright.ai/jobs/info/6682e359bcb975e888d21b85?utm_campaign=1062&amp;utm_source=sheet", "Apply")</f>
        <v>Apply</v>
      </c>
      <c r="C748" s="10" t="s">
        <v>4040</v>
      </c>
      <c r="D748" s="56" t="s">
        <v>2763</v>
      </c>
      <c r="E748" s="10" t="s">
        <v>45</v>
      </c>
      <c r="F748" s="10" t="s">
        <v>1465</v>
      </c>
      <c r="G748" s="10" t="s">
        <v>2470</v>
      </c>
      <c r="H748" s="10" t="s">
        <v>886</v>
      </c>
      <c r="I748" s="10" t="s">
        <v>55</v>
      </c>
      <c r="J748" s="10" t="s">
        <v>4042</v>
      </c>
      <c r="K748" s="10" t="s">
        <v>2832</v>
      </c>
      <c r="L748" s="10" t="s">
        <v>42</v>
      </c>
    </row>
    <row r="749" ht="15.75" customHeight="1">
      <c r="A749" s="66">
        <v>45496.0</v>
      </c>
      <c r="B749" s="55" t="str">
        <f>HYPERLINK("https://jobright.ai/jobs/info/66757c7618f8e4209432900b?utm_campaign=1062&amp;utm_source=sheet", "Apply")</f>
        <v>Apply</v>
      </c>
      <c r="C749" s="10" t="s">
        <v>4062</v>
      </c>
      <c r="D749" s="56" t="s">
        <v>4063</v>
      </c>
      <c r="E749" s="10" t="s">
        <v>209</v>
      </c>
      <c r="F749" s="10" t="s">
        <v>4064</v>
      </c>
      <c r="G749" s="10" t="s">
        <v>2455</v>
      </c>
      <c r="H749" s="10" t="s">
        <v>572</v>
      </c>
      <c r="I749" s="10" t="s">
        <v>55</v>
      </c>
      <c r="K749" s="10" t="s">
        <v>4065</v>
      </c>
      <c r="L749" s="10" t="s">
        <v>42</v>
      </c>
    </row>
    <row r="750" ht="15.75" customHeight="1">
      <c r="A750" s="66">
        <v>45496.0</v>
      </c>
      <c r="B750" s="55" t="str">
        <f>HYPERLINK("https://jobright.ai/jobs/info/6677b7109c2d9fa5bf087487?utm_campaign=1062&amp;utm_source=sheet", "Apply")</f>
        <v>Apply</v>
      </c>
      <c r="C750" s="10" t="s">
        <v>4055</v>
      </c>
      <c r="D750" s="56" t="s">
        <v>2721</v>
      </c>
      <c r="E750" s="10" t="s">
        <v>45</v>
      </c>
      <c r="F750" s="10" t="s">
        <v>2722</v>
      </c>
      <c r="G750" s="10" t="s">
        <v>2502</v>
      </c>
      <c r="H750" s="10" t="s">
        <v>423</v>
      </c>
      <c r="I750" s="10" t="s">
        <v>55</v>
      </c>
      <c r="J750" s="10" t="s">
        <v>3717</v>
      </c>
      <c r="K750" s="10" t="s">
        <v>4056</v>
      </c>
      <c r="L750" s="10" t="s">
        <v>42</v>
      </c>
    </row>
    <row r="751" ht="15.75" customHeight="1">
      <c r="A751" s="66">
        <v>45496.0</v>
      </c>
      <c r="B751" s="55" t="str">
        <f>HYPERLINK("https://jobright.ai/jobs/info/668394603852d4df8b5e8328?utm_campaign=1062&amp;utm_source=sheet", "Apply")</f>
        <v>Apply</v>
      </c>
      <c r="C751" s="10" t="s">
        <v>3375</v>
      </c>
      <c r="D751" s="56" t="s">
        <v>3376</v>
      </c>
      <c r="E751" s="10" t="s">
        <v>45</v>
      </c>
      <c r="F751" s="10" t="s">
        <v>3377</v>
      </c>
      <c r="G751" s="10" t="s">
        <v>2459</v>
      </c>
      <c r="H751" s="10" t="s">
        <v>1476</v>
      </c>
      <c r="I751" s="10" t="s">
        <v>48</v>
      </c>
      <c r="J751" s="10" t="s">
        <v>3393</v>
      </c>
      <c r="K751" s="10" t="s">
        <v>3379</v>
      </c>
      <c r="L751" s="10" t="s">
        <v>42</v>
      </c>
    </row>
    <row r="752" ht="15.75" customHeight="1">
      <c r="A752" s="66">
        <v>45496.0</v>
      </c>
      <c r="B752" s="55" t="str">
        <f>HYPERLINK("https://jobright.ai/jobs/info/667d96e0ceb70d3330c09853?utm_campaign=1062&amp;utm_source=sheet", "Apply")</f>
        <v>Apply</v>
      </c>
      <c r="C752" s="10" t="s">
        <v>4066</v>
      </c>
      <c r="D752" s="56" t="s">
        <v>4067</v>
      </c>
      <c r="E752" s="10" t="s">
        <v>45</v>
      </c>
      <c r="F752" s="10" t="s">
        <v>2950</v>
      </c>
      <c r="G752" s="10" t="s">
        <v>2448</v>
      </c>
      <c r="H752" s="10" t="s">
        <v>4068</v>
      </c>
      <c r="I752" s="10" t="s">
        <v>55</v>
      </c>
      <c r="K752" s="10" t="s">
        <v>4069</v>
      </c>
      <c r="L752" s="10" t="s">
        <v>42</v>
      </c>
    </row>
    <row r="753" ht="15.75" customHeight="1">
      <c r="A753" s="66">
        <v>45496.0</v>
      </c>
      <c r="B753" s="55" t="str">
        <f>HYPERLINK("https://jobright.ai/jobs/info/6683385fb5752eff96c7a378?utm_campaign=1062&amp;utm_source=sheet", "Apply")</f>
        <v>Apply</v>
      </c>
      <c r="C753" s="10" t="s">
        <v>4070</v>
      </c>
      <c r="D753" s="56" t="s">
        <v>4071</v>
      </c>
      <c r="E753" s="10" t="s">
        <v>65</v>
      </c>
      <c r="F753" s="10" t="s">
        <v>4072</v>
      </c>
      <c r="G753" s="10" t="s">
        <v>2495</v>
      </c>
      <c r="H753" s="10" t="s">
        <v>4073</v>
      </c>
      <c r="I753" s="10" t="s">
        <v>55</v>
      </c>
      <c r="K753" s="10" t="s">
        <v>4074</v>
      </c>
      <c r="L753" s="10" t="s">
        <v>42</v>
      </c>
    </row>
    <row r="754" ht="15.75" customHeight="1">
      <c r="A754" s="66">
        <v>45496.0</v>
      </c>
      <c r="B754" s="55" t="str">
        <f>HYPERLINK("https://jobright.ai/jobs/info/6682f16c56317a36d1ad8d49?utm_campaign=1062&amp;utm_source=sheet", "Apply")</f>
        <v>Apply</v>
      </c>
      <c r="C754" s="10" t="s">
        <v>4040</v>
      </c>
      <c r="D754" s="56" t="s">
        <v>2763</v>
      </c>
      <c r="E754" s="10" t="s">
        <v>45</v>
      </c>
      <c r="F754" s="10" t="s">
        <v>1465</v>
      </c>
      <c r="G754" s="10" t="s">
        <v>2470</v>
      </c>
      <c r="H754" s="10" t="s">
        <v>4075</v>
      </c>
      <c r="I754" s="10" t="s">
        <v>55</v>
      </c>
      <c r="J754" s="10" t="s">
        <v>4042</v>
      </c>
      <c r="K754" s="10" t="s">
        <v>2832</v>
      </c>
      <c r="L754" s="10" t="s">
        <v>42</v>
      </c>
    </row>
    <row r="755" ht="15.75" customHeight="1">
      <c r="A755" s="66">
        <v>45496.0</v>
      </c>
      <c r="B755" s="55" t="str">
        <f>HYPERLINK("https://jobright.ai/jobs/info/6682f16c56317a36d1ad8d4b?utm_campaign=1062&amp;utm_source=sheet", "Apply")</f>
        <v>Apply</v>
      </c>
      <c r="C755" s="10" t="s">
        <v>4040</v>
      </c>
      <c r="D755" s="56" t="s">
        <v>2763</v>
      </c>
      <c r="E755" s="10" t="s">
        <v>45</v>
      </c>
      <c r="F755" s="10" t="s">
        <v>1465</v>
      </c>
      <c r="G755" s="10" t="s">
        <v>2470</v>
      </c>
      <c r="H755" s="10" t="s">
        <v>4076</v>
      </c>
      <c r="I755" s="10" t="s">
        <v>55</v>
      </c>
      <c r="J755" s="10" t="s">
        <v>4042</v>
      </c>
      <c r="K755" s="10" t="s">
        <v>2832</v>
      </c>
      <c r="L755" s="10" t="s">
        <v>42</v>
      </c>
    </row>
    <row r="756" ht="15.75" customHeight="1">
      <c r="A756" s="66">
        <v>45496.0</v>
      </c>
      <c r="B756" s="55" t="str">
        <f>HYPERLINK("https://jobright.ai/jobs/info/6676cacc0367cb83573ccc7e?utm_campaign=1062&amp;utm_source=sheet", "Apply")</f>
        <v>Apply</v>
      </c>
      <c r="C756" s="10" t="s">
        <v>4077</v>
      </c>
      <c r="D756" s="56" t="s">
        <v>2721</v>
      </c>
      <c r="E756" s="10" t="s">
        <v>45</v>
      </c>
      <c r="F756" s="10" t="s">
        <v>2722</v>
      </c>
      <c r="G756" s="10" t="s">
        <v>2502</v>
      </c>
      <c r="H756" s="10" t="s">
        <v>423</v>
      </c>
      <c r="I756" s="10" t="s">
        <v>55</v>
      </c>
      <c r="J756" s="10" t="s">
        <v>2767</v>
      </c>
      <c r="K756" s="10" t="s">
        <v>3706</v>
      </c>
      <c r="L756" s="10" t="s">
        <v>42</v>
      </c>
    </row>
    <row r="757" ht="15.75" customHeight="1">
      <c r="A757" s="66">
        <v>45496.0</v>
      </c>
      <c r="B757" s="55" t="str">
        <f>HYPERLINK("https://jobright.ai/jobs/info/6677c1c92b6ed5133f4433d0?utm_campaign=1062&amp;utm_source=sheet", "Apply")</f>
        <v>Apply</v>
      </c>
      <c r="C757" s="10" t="s">
        <v>4006</v>
      </c>
      <c r="D757" s="56" t="s">
        <v>2721</v>
      </c>
      <c r="E757" s="10" t="s">
        <v>45</v>
      </c>
      <c r="F757" s="10" t="s">
        <v>2722</v>
      </c>
      <c r="G757" s="10" t="s">
        <v>2502</v>
      </c>
      <c r="H757" s="10" t="s">
        <v>313</v>
      </c>
      <c r="I757" s="10" t="s">
        <v>55</v>
      </c>
      <c r="J757" s="10" t="s">
        <v>2723</v>
      </c>
      <c r="K757" s="10" t="s">
        <v>4007</v>
      </c>
      <c r="L757" s="10" t="s">
        <v>42</v>
      </c>
    </row>
    <row r="758" ht="15.75" customHeight="1">
      <c r="A758" s="66">
        <v>45496.0</v>
      </c>
      <c r="B758" s="55" t="str">
        <f>HYPERLINK("https://jobright.ai/jobs/info/6677c32c2b6ed5133f444e9a?utm_campaign=1062&amp;utm_source=sheet", "Apply")</f>
        <v>Apply</v>
      </c>
      <c r="C758" s="10" t="s">
        <v>4078</v>
      </c>
      <c r="D758" s="56" t="s">
        <v>2721</v>
      </c>
      <c r="E758" s="10" t="s">
        <v>45</v>
      </c>
      <c r="F758" s="10" t="s">
        <v>2722</v>
      </c>
      <c r="G758" s="10" t="s">
        <v>2502</v>
      </c>
      <c r="H758" s="10" t="s">
        <v>313</v>
      </c>
      <c r="I758" s="10" t="s">
        <v>55</v>
      </c>
      <c r="J758" s="10" t="s">
        <v>2723</v>
      </c>
      <c r="K758" s="10" t="s">
        <v>2768</v>
      </c>
      <c r="L758" s="10" t="s">
        <v>42</v>
      </c>
    </row>
    <row r="759" ht="15.75" customHeight="1">
      <c r="A759" s="66">
        <v>45496.0</v>
      </c>
      <c r="B759" s="55" t="str">
        <f>HYPERLINK("https://jobright.ai/jobs/info/6682e8dec4dccd5cdecc8b29?utm_campaign=1062&amp;utm_source=sheet", "Apply")</f>
        <v>Apply</v>
      </c>
      <c r="C759" s="10" t="s">
        <v>4040</v>
      </c>
      <c r="D759" s="56" t="s">
        <v>2763</v>
      </c>
      <c r="E759" s="10" t="s">
        <v>45</v>
      </c>
      <c r="F759" s="10" t="s">
        <v>1465</v>
      </c>
      <c r="G759" s="10" t="s">
        <v>2470</v>
      </c>
      <c r="H759" s="10" t="s">
        <v>106</v>
      </c>
      <c r="I759" s="10" t="s">
        <v>55</v>
      </c>
      <c r="J759" s="10" t="s">
        <v>4042</v>
      </c>
      <c r="K759" s="10" t="s">
        <v>2832</v>
      </c>
      <c r="L759" s="10" t="s">
        <v>42</v>
      </c>
    </row>
    <row r="760" ht="15.75" customHeight="1">
      <c r="A760" s="66">
        <v>45496.0</v>
      </c>
      <c r="B760" s="55" t="str">
        <f>HYPERLINK("https://jobright.ai/jobs/info/6677c2d02b6ed5133f444835?utm_campaign=1062&amp;utm_source=sheet", "Apply")</f>
        <v>Apply</v>
      </c>
      <c r="C760" s="10" t="s">
        <v>4077</v>
      </c>
      <c r="D760" s="56" t="s">
        <v>2721</v>
      </c>
      <c r="E760" s="10" t="s">
        <v>45</v>
      </c>
      <c r="F760" s="10" t="s">
        <v>2722</v>
      </c>
      <c r="G760" s="10" t="s">
        <v>2502</v>
      </c>
      <c r="H760" s="10" t="s">
        <v>313</v>
      </c>
      <c r="I760" s="10" t="s">
        <v>55</v>
      </c>
      <c r="J760" s="10" t="s">
        <v>2723</v>
      </c>
      <c r="K760" s="10" t="s">
        <v>4050</v>
      </c>
      <c r="L760" s="10" t="s">
        <v>42</v>
      </c>
    </row>
    <row r="761" ht="15.75" customHeight="1">
      <c r="A761" s="66">
        <v>45496.0</v>
      </c>
      <c r="B761" s="55" t="str">
        <f>HYPERLINK("https://jobright.ai/jobs/info/6682f16c56317a36d1ad8d4a?utm_campaign=1062&amp;utm_source=sheet", "Apply")</f>
        <v>Apply</v>
      </c>
      <c r="C761" s="10" t="s">
        <v>4040</v>
      </c>
      <c r="D761" s="56" t="s">
        <v>2763</v>
      </c>
      <c r="E761" s="10" t="s">
        <v>45</v>
      </c>
      <c r="F761" s="10" t="s">
        <v>1465</v>
      </c>
      <c r="G761" s="10" t="s">
        <v>2470</v>
      </c>
      <c r="H761" s="10" t="s">
        <v>4079</v>
      </c>
      <c r="I761" s="10" t="s">
        <v>55</v>
      </c>
      <c r="J761" s="10" t="s">
        <v>4042</v>
      </c>
      <c r="K761" s="10" t="s">
        <v>2832</v>
      </c>
      <c r="L761" s="10" t="s">
        <v>42</v>
      </c>
    </row>
    <row r="762" ht="15.75" customHeight="1">
      <c r="A762" s="66">
        <v>45496.0</v>
      </c>
      <c r="B762" s="55" t="str">
        <f>HYPERLINK("https://jobright.ai/jobs/info/6693d07944ba1adc08a75d3c?utm_campaign=1062&amp;utm_source=sheet", "Apply")</f>
        <v>Apply</v>
      </c>
      <c r="C762" s="10" t="s">
        <v>3375</v>
      </c>
      <c r="D762" s="56" t="s">
        <v>3376</v>
      </c>
      <c r="E762" s="10" t="s">
        <v>45</v>
      </c>
      <c r="F762" s="10" t="s">
        <v>3377</v>
      </c>
      <c r="G762" s="10" t="s">
        <v>2459</v>
      </c>
      <c r="H762" s="10" t="s">
        <v>251</v>
      </c>
      <c r="I762" s="10" t="s">
        <v>48</v>
      </c>
      <c r="J762" s="10" t="s">
        <v>3393</v>
      </c>
      <c r="K762" s="10" t="s">
        <v>3379</v>
      </c>
      <c r="L762" s="10" t="s">
        <v>42</v>
      </c>
    </row>
    <row r="763" ht="15.75" customHeight="1">
      <c r="A763" s="66">
        <v>45496.0</v>
      </c>
      <c r="B763" s="55" t="str">
        <f>HYPERLINK("https://jobright.ai/jobs/info/6683410ba77cf77fee2dc957?utm_campaign=1062&amp;utm_source=sheet", "Apply")</f>
        <v>Apply</v>
      </c>
      <c r="C763" s="10" t="s">
        <v>4080</v>
      </c>
      <c r="D763" s="56" t="s">
        <v>4081</v>
      </c>
      <c r="E763" s="10" t="s">
        <v>45</v>
      </c>
      <c r="F763" s="10" t="s">
        <v>4082</v>
      </c>
      <c r="G763" s="10" t="s">
        <v>2495</v>
      </c>
      <c r="H763" s="10" t="s">
        <v>911</v>
      </c>
      <c r="I763" s="10" t="s">
        <v>55</v>
      </c>
      <c r="K763" s="10" t="s">
        <v>4083</v>
      </c>
      <c r="L763" s="10" t="s">
        <v>42</v>
      </c>
    </row>
    <row r="764" ht="15.75" customHeight="1">
      <c r="A764" s="66">
        <v>45496.0</v>
      </c>
      <c r="B764" s="55" t="str">
        <f>HYPERLINK("https://jobright.ai/jobs/info/6682e304bcb975e888d21453?utm_campaign=1062&amp;utm_source=sheet", "Apply")</f>
        <v>Apply</v>
      </c>
      <c r="C764" s="10" t="s">
        <v>4040</v>
      </c>
      <c r="D764" s="56" t="s">
        <v>2763</v>
      </c>
      <c r="E764" s="10" t="s">
        <v>45</v>
      </c>
      <c r="F764" s="10" t="s">
        <v>1465</v>
      </c>
      <c r="G764" s="10" t="s">
        <v>2470</v>
      </c>
      <c r="H764" s="10" t="s">
        <v>434</v>
      </c>
      <c r="I764" s="10" t="s">
        <v>55</v>
      </c>
      <c r="J764" s="10" t="s">
        <v>4042</v>
      </c>
      <c r="K764" s="10" t="s">
        <v>2832</v>
      </c>
      <c r="L764" s="10" t="s">
        <v>42</v>
      </c>
    </row>
    <row r="765" ht="15.75" customHeight="1">
      <c r="A765" s="66">
        <v>45496.0</v>
      </c>
      <c r="B765" s="55" t="str">
        <f>HYPERLINK("https://jobright.ai/jobs/info/6682f16c56317a36d1ad8d46?utm_campaign=1062&amp;utm_source=sheet", "Apply")</f>
        <v>Apply</v>
      </c>
      <c r="C765" s="10" t="s">
        <v>4040</v>
      </c>
      <c r="D765" s="56" t="s">
        <v>2763</v>
      </c>
      <c r="E765" s="10" t="s">
        <v>45</v>
      </c>
      <c r="F765" s="10" t="s">
        <v>1465</v>
      </c>
      <c r="G765" s="10" t="s">
        <v>2470</v>
      </c>
      <c r="H765" s="10" t="s">
        <v>2831</v>
      </c>
      <c r="I765" s="10" t="s">
        <v>55</v>
      </c>
      <c r="J765" s="10" t="s">
        <v>4042</v>
      </c>
      <c r="K765" s="10" t="s">
        <v>2832</v>
      </c>
      <c r="L765" s="10" t="s">
        <v>42</v>
      </c>
    </row>
    <row r="766" ht="15.75" customHeight="1">
      <c r="A766" s="66">
        <v>45496.0</v>
      </c>
      <c r="B766" s="55" t="str">
        <f>HYPERLINK("https://jobright.ai/jobs/info/6682e304bcb975e888d2145c?utm_campaign=1062&amp;utm_source=sheet", "Apply")</f>
        <v>Apply</v>
      </c>
      <c r="C766" s="10" t="s">
        <v>4084</v>
      </c>
      <c r="D766" s="56" t="s">
        <v>2763</v>
      </c>
      <c r="E766" s="10" t="s">
        <v>45</v>
      </c>
      <c r="F766" s="10" t="s">
        <v>1465</v>
      </c>
      <c r="G766" s="10" t="s">
        <v>2437</v>
      </c>
      <c r="H766" s="10" t="s">
        <v>165</v>
      </c>
      <c r="I766" s="10" t="s">
        <v>55</v>
      </c>
      <c r="J766" s="10" t="s">
        <v>4085</v>
      </c>
      <c r="K766" s="10" t="s">
        <v>3305</v>
      </c>
      <c r="L766" s="10" t="s">
        <v>42</v>
      </c>
    </row>
    <row r="767" ht="15.75" customHeight="1">
      <c r="A767" s="66">
        <v>45496.0</v>
      </c>
      <c r="B767" s="55" t="str">
        <f>HYPERLINK("https://jobright.ai/jobs/info/6682e359bcb975e888d21b84?utm_campaign=1062&amp;utm_source=sheet", "Apply")</f>
        <v>Apply</v>
      </c>
      <c r="C767" s="10" t="s">
        <v>4040</v>
      </c>
      <c r="D767" s="56" t="s">
        <v>2763</v>
      </c>
      <c r="E767" s="10" t="s">
        <v>45</v>
      </c>
      <c r="F767" s="10" t="s">
        <v>1465</v>
      </c>
      <c r="G767" s="10" t="s">
        <v>2470</v>
      </c>
      <c r="H767" s="10" t="s">
        <v>4086</v>
      </c>
      <c r="I767" s="10" t="s">
        <v>55</v>
      </c>
      <c r="J767" s="10" t="s">
        <v>4042</v>
      </c>
      <c r="K767" s="10" t="s">
        <v>2832</v>
      </c>
      <c r="L767" s="10" t="s">
        <v>42</v>
      </c>
    </row>
    <row r="768" ht="15.75" customHeight="1">
      <c r="A768" s="66">
        <v>45496.0</v>
      </c>
      <c r="B768" s="55" t="str">
        <f>HYPERLINK("https://jobright.ai/jobs/info/6682ced6ac1ecadd06f38c98?utm_campaign=1062&amp;utm_source=sheet", "Apply")</f>
        <v>Apply</v>
      </c>
      <c r="C768" s="10" t="s">
        <v>4087</v>
      </c>
      <c r="D768" s="56" t="s">
        <v>2726</v>
      </c>
      <c r="E768" s="10" t="s">
        <v>65</v>
      </c>
      <c r="F768" s="10" t="s">
        <v>85</v>
      </c>
      <c r="G768" s="10" t="s">
        <v>2464</v>
      </c>
      <c r="H768" s="10" t="s">
        <v>1086</v>
      </c>
      <c r="I768" s="10" t="s">
        <v>48</v>
      </c>
      <c r="K768" s="10" t="s">
        <v>4088</v>
      </c>
      <c r="L768" s="10" t="s">
        <v>42</v>
      </c>
    </row>
    <row r="769" ht="15.75" customHeight="1">
      <c r="A769" s="66">
        <v>45496.0</v>
      </c>
      <c r="B769" s="55" t="str">
        <f>HYPERLINK("https://jobright.ai/jobs/info/6683946b3852d4df8b5e838e?utm_campaign=1062&amp;utm_source=sheet", "Apply")</f>
        <v>Apply</v>
      </c>
      <c r="C769" s="10" t="s">
        <v>3375</v>
      </c>
      <c r="D769" s="56" t="s">
        <v>3376</v>
      </c>
      <c r="E769" s="10" t="s">
        <v>45</v>
      </c>
      <c r="F769" s="10" t="s">
        <v>3377</v>
      </c>
      <c r="G769" s="10" t="s">
        <v>2459</v>
      </c>
      <c r="H769" s="10" t="s">
        <v>607</v>
      </c>
      <c r="I769" s="10" t="s">
        <v>55</v>
      </c>
      <c r="J769" s="10" t="s">
        <v>3393</v>
      </c>
      <c r="K769" s="10" t="s">
        <v>3379</v>
      </c>
      <c r="L769" s="10" t="s">
        <v>42</v>
      </c>
    </row>
    <row r="770" ht="15.75" customHeight="1">
      <c r="A770" s="66">
        <v>45496.0</v>
      </c>
      <c r="B770" s="55" t="str">
        <f>HYPERLINK("https://jobright.ai/jobs/info/6677bdf427c0e726e8f4f52a?utm_campaign=1062&amp;utm_source=sheet", "Apply")</f>
        <v>Apply</v>
      </c>
      <c r="C770" s="10" t="s">
        <v>4089</v>
      </c>
      <c r="D770" s="56" t="s">
        <v>4090</v>
      </c>
      <c r="E770" s="10" t="s">
        <v>45</v>
      </c>
      <c r="F770" s="10" t="s">
        <v>4091</v>
      </c>
      <c r="G770" s="10" t="s">
        <v>2470</v>
      </c>
      <c r="H770" s="10" t="s">
        <v>113</v>
      </c>
      <c r="I770" s="10" t="s">
        <v>55</v>
      </c>
      <c r="K770" s="10" t="s">
        <v>4092</v>
      </c>
      <c r="L770" s="10" t="s">
        <v>42</v>
      </c>
    </row>
    <row r="771" ht="15.75" customHeight="1">
      <c r="A771" s="66">
        <v>45496.0</v>
      </c>
      <c r="B771" s="55" t="str">
        <f>HYPERLINK("https://jobright.ai/jobs/info/6683946b3852d4df8b5e8348?utm_campaign=1062&amp;utm_source=sheet", "Apply")</f>
        <v>Apply</v>
      </c>
      <c r="C771" s="10" t="s">
        <v>3375</v>
      </c>
      <c r="D771" s="56" t="s">
        <v>3376</v>
      </c>
      <c r="E771" s="10" t="s">
        <v>45</v>
      </c>
      <c r="F771" s="10" t="s">
        <v>3377</v>
      </c>
      <c r="G771" s="10" t="s">
        <v>2459</v>
      </c>
      <c r="H771" s="10" t="s">
        <v>153</v>
      </c>
      <c r="I771" s="10" t="s">
        <v>55</v>
      </c>
      <c r="J771" s="10" t="s">
        <v>3393</v>
      </c>
      <c r="K771" s="10" t="s">
        <v>3379</v>
      </c>
      <c r="L771" s="10" t="s">
        <v>42</v>
      </c>
    </row>
    <row r="772" ht="15.75" customHeight="1">
      <c r="A772" s="66">
        <v>45496.0</v>
      </c>
      <c r="B772" s="55" t="str">
        <f>HYPERLINK("https://jobright.ai/jobs/info/668394603852d4df8b5e831b?utm_campaign=1062&amp;utm_source=sheet", "Apply")</f>
        <v>Apply</v>
      </c>
      <c r="C772" s="10" t="s">
        <v>3375</v>
      </c>
      <c r="D772" s="56" t="s">
        <v>3376</v>
      </c>
      <c r="E772" s="10" t="s">
        <v>45</v>
      </c>
      <c r="F772" s="10" t="s">
        <v>3377</v>
      </c>
      <c r="G772" s="10" t="s">
        <v>2459</v>
      </c>
      <c r="H772" s="10" t="s">
        <v>3392</v>
      </c>
      <c r="I772" s="10" t="s">
        <v>48</v>
      </c>
      <c r="J772" s="10" t="s">
        <v>3393</v>
      </c>
      <c r="K772" s="10" t="s">
        <v>3379</v>
      </c>
      <c r="L772" s="10" t="s">
        <v>42</v>
      </c>
    </row>
    <row r="773" ht="15.75" customHeight="1">
      <c r="A773" s="66">
        <v>45496.0</v>
      </c>
      <c r="B773" s="55" t="str">
        <f>HYPERLINK("https://jobright.ai/jobs/info/6683946b3852d4df8b5e8343?utm_campaign=1062&amp;utm_source=sheet", "Apply")</f>
        <v>Apply</v>
      </c>
      <c r="C773" s="10" t="s">
        <v>3375</v>
      </c>
      <c r="D773" s="56" t="s">
        <v>3376</v>
      </c>
      <c r="E773" s="10" t="s">
        <v>45</v>
      </c>
      <c r="F773" s="10" t="s">
        <v>3377</v>
      </c>
      <c r="G773" s="10" t="s">
        <v>2459</v>
      </c>
      <c r="H773" s="10" t="s">
        <v>3394</v>
      </c>
      <c r="I773" s="10" t="s">
        <v>48</v>
      </c>
      <c r="J773" s="10" t="s">
        <v>3393</v>
      </c>
      <c r="K773" s="10" t="s">
        <v>3379</v>
      </c>
      <c r="L773" s="10" t="s">
        <v>42</v>
      </c>
    </row>
    <row r="774" ht="15.75" customHeight="1">
      <c r="A774" s="66">
        <v>45496.0</v>
      </c>
      <c r="B774" s="55" t="str">
        <f>HYPERLINK("https://jobright.ai/jobs/info/6682e8dec4dccd5cdecc8b2a?utm_campaign=1062&amp;utm_source=sheet", "Apply")</f>
        <v>Apply</v>
      </c>
      <c r="C774" s="10" t="s">
        <v>4040</v>
      </c>
      <c r="D774" s="56" t="s">
        <v>2763</v>
      </c>
      <c r="E774" s="10" t="s">
        <v>45</v>
      </c>
      <c r="F774" s="10" t="s">
        <v>1465</v>
      </c>
      <c r="G774" s="10" t="s">
        <v>2470</v>
      </c>
      <c r="H774" s="10" t="s">
        <v>2843</v>
      </c>
      <c r="I774" s="10" t="s">
        <v>55</v>
      </c>
      <c r="J774" s="10" t="s">
        <v>4042</v>
      </c>
      <c r="K774" s="10" t="s">
        <v>2832</v>
      </c>
      <c r="L774" s="10" t="s">
        <v>42</v>
      </c>
    </row>
    <row r="775" ht="15.75" customHeight="1">
      <c r="A775" s="66">
        <v>45496.0</v>
      </c>
      <c r="B775" s="55" t="str">
        <f>HYPERLINK("https://jobright.ai/jobs/info/6682e8dec4dccd5cdecc8b2b?utm_campaign=1062&amp;utm_source=sheet", "Apply")</f>
        <v>Apply</v>
      </c>
      <c r="C775" s="10" t="s">
        <v>4040</v>
      </c>
      <c r="D775" s="56" t="s">
        <v>2763</v>
      </c>
      <c r="E775" s="10" t="s">
        <v>45</v>
      </c>
      <c r="F775" s="10" t="s">
        <v>1465</v>
      </c>
      <c r="G775" s="10" t="s">
        <v>2470</v>
      </c>
      <c r="H775" s="10" t="s">
        <v>914</v>
      </c>
      <c r="I775" s="10" t="s">
        <v>55</v>
      </c>
      <c r="J775" s="10" t="s">
        <v>4042</v>
      </c>
      <c r="K775" s="10" t="s">
        <v>2832</v>
      </c>
      <c r="L775" s="10" t="s">
        <v>42</v>
      </c>
    </row>
    <row r="776" ht="15.75" customHeight="1">
      <c r="A776" s="66">
        <v>45496.0</v>
      </c>
      <c r="B776" s="55" t="str">
        <f>HYPERLINK("https://jobright.ai/jobs/info/669f934c10790ea5c005705a?utm_campaign=1062&amp;utm_source=sheet", "Apply")</f>
        <v>Apply</v>
      </c>
      <c r="C776" s="10" t="s">
        <v>4093</v>
      </c>
      <c r="D776" s="56" t="s">
        <v>4094</v>
      </c>
      <c r="E776" s="10" t="s">
        <v>71</v>
      </c>
      <c r="F776" s="10" t="s">
        <v>4095</v>
      </c>
      <c r="G776" s="10" t="s">
        <v>2484</v>
      </c>
      <c r="H776" s="10" t="s">
        <v>886</v>
      </c>
      <c r="I776" s="10" t="s">
        <v>55</v>
      </c>
      <c r="K776" s="10" t="s">
        <v>4096</v>
      </c>
      <c r="L776" s="10" t="s">
        <v>42</v>
      </c>
    </row>
    <row r="777" ht="15.75" customHeight="1">
      <c r="A777" s="66">
        <v>45496.0</v>
      </c>
      <c r="B777" s="55" t="str">
        <f>HYPERLINK("https://jobright.ai/jobs/info/669f478b5957bc3f40214d47?utm_campaign=1062&amp;utm_source=sheet", "Apply")</f>
        <v>Apply</v>
      </c>
      <c r="C777" s="10" t="s">
        <v>4097</v>
      </c>
      <c r="D777" s="56" t="s">
        <v>2810</v>
      </c>
      <c r="E777" s="10" t="s">
        <v>209</v>
      </c>
      <c r="F777" s="10" t="s">
        <v>2811</v>
      </c>
      <c r="G777" s="10" t="s">
        <v>2484</v>
      </c>
      <c r="H777" s="10" t="s">
        <v>86</v>
      </c>
      <c r="I777" s="10" t="s">
        <v>48</v>
      </c>
      <c r="K777" s="10" t="s">
        <v>4098</v>
      </c>
      <c r="L777" s="10" t="s">
        <v>42</v>
      </c>
    </row>
    <row r="778" ht="15.75" customHeight="1">
      <c r="A778" s="66">
        <v>45496.0</v>
      </c>
      <c r="B778" s="55" t="str">
        <f>HYPERLINK("https://jobright.ai/jobs/info/669f5082a588dff06492ab66?utm_campaign=1062&amp;utm_source=sheet", "Apply")</f>
        <v>Apply</v>
      </c>
      <c r="C778" s="10" t="s">
        <v>4099</v>
      </c>
      <c r="D778" s="56" t="s">
        <v>4100</v>
      </c>
      <c r="E778" s="10" t="s">
        <v>209</v>
      </c>
      <c r="F778" s="10" t="s">
        <v>1833</v>
      </c>
      <c r="G778" s="10" t="s">
        <v>2443</v>
      </c>
      <c r="H778" s="10" t="s">
        <v>159</v>
      </c>
      <c r="I778" s="10" t="s">
        <v>55</v>
      </c>
      <c r="K778" s="10" t="s">
        <v>4101</v>
      </c>
      <c r="L778" s="10" t="s">
        <v>42</v>
      </c>
    </row>
    <row r="779" ht="15.75" customHeight="1">
      <c r="A779" s="66">
        <v>45496.0</v>
      </c>
      <c r="B779" s="55" t="str">
        <f>HYPERLINK("https://jobright.ai/jobs/info/669f2702b340fbcb12445349?utm_campaign=1062&amp;utm_source=sheet", "Apply")</f>
        <v>Apply</v>
      </c>
      <c r="C779" s="10" t="s">
        <v>4102</v>
      </c>
      <c r="D779" s="56" t="s">
        <v>394</v>
      </c>
      <c r="E779" s="10" t="s">
        <v>249</v>
      </c>
      <c r="F779" s="10" t="s">
        <v>395</v>
      </c>
      <c r="G779" s="10" t="s">
        <v>3733</v>
      </c>
      <c r="H779" s="10" t="s">
        <v>152</v>
      </c>
      <c r="I779" s="10" t="s">
        <v>55</v>
      </c>
      <c r="K779" s="10" t="s">
        <v>4103</v>
      </c>
      <c r="L779" s="10" t="s">
        <v>42</v>
      </c>
    </row>
    <row r="780" ht="15.75" customHeight="1">
      <c r="A780" s="66">
        <v>45496.0</v>
      </c>
      <c r="B780" s="55" t="str">
        <f>HYPERLINK("https://jobright.ai/jobs/info/669f2702b340fbcb1244533e?utm_campaign=1062&amp;utm_source=sheet", "Apply")</f>
        <v>Apply</v>
      </c>
      <c r="C780" s="10" t="s">
        <v>4104</v>
      </c>
      <c r="D780" s="56" t="s">
        <v>394</v>
      </c>
      <c r="E780" s="10" t="s">
        <v>249</v>
      </c>
      <c r="F780" s="10" t="s">
        <v>395</v>
      </c>
      <c r="G780" s="10" t="s">
        <v>3733</v>
      </c>
      <c r="H780" s="10" t="s">
        <v>113</v>
      </c>
      <c r="I780" s="10" t="s">
        <v>55</v>
      </c>
      <c r="K780" s="10" t="s">
        <v>4103</v>
      </c>
      <c r="L780" s="10" t="s">
        <v>42</v>
      </c>
    </row>
    <row r="781" ht="15.75" customHeight="1">
      <c r="A781" s="66">
        <v>45496.0</v>
      </c>
      <c r="B781" s="55" t="str">
        <f>HYPERLINK("https://jobright.ai/jobs/info/668deb966da13c2496823e37?utm_campaign=1062&amp;utm_source=sheet", "Apply")</f>
        <v>Apply</v>
      </c>
      <c r="C781" s="10" t="s">
        <v>4105</v>
      </c>
      <c r="D781" s="56" t="s">
        <v>1576</v>
      </c>
      <c r="E781" s="10" t="s">
        <v>45</v>
      </c>
      <c r="F781" s="10" t="s">
        <v>1577</v>
      </c>
      <c r="G781" s="10" t="s">
        <v>2484</v>
      </c>
      <c r="H781" s="10" t="s">
        <v>2659</v>
      </c>
      <c r="I781" s="10" t="s">
        <v>55</v>
      </c>
      <c r="K781" s="10" t="s">
        <v>4106</v>
      </c>
      <c r="L781" s="10" t="s">
        <v>42</v>
      </c>
    </row>
    <row r="782" ht="15.75" customHeight="1">
      <c r="A782" s="66">
        <v>45496.0</v>
      </c>
      <c r="B782" s="55" t="str">
        <f>HYPERLINK("https://jobright.ai/jobs/info/669f32eccbb1e68b11060565?utm_campaign=1062&amp;utm_source=sheet", "Apply")</f>
        <v>Apply</v>
      </c>
      <c r="C782" s="10" t="s">
        <v>4107</v>
      </c>
      <c r="D782" s="56" t="s">
        <v>4108</v>
      </c>
      <c r="E782" s="10" t="s">
        <v>79</v>
      </c>
      <c r="F782" s="10" t="s">
        <v>4109</v>
      </c>
      <c r="G782" s="10" t="s">
        <v>2448</v>
      </c>
      <c r="H782" s="10" t="s">
        <v>4110</v>
      </c>
      <c r="I782" s="10" t="s">
        <v>48</v>
      </c>
      <c r="K782" s="10" t="s">
        <v>4111</v>
      </c>
      <c r="L782" s="10" t="s">
        <v>42</v>
      </c>
    </row>
    <row r="783" ht="15.75" customHeight="1">
      <c r="A783" s="66">
        <v>45496.0</v>
      </c>
      <c r="B783" s="55" t="str">
        <f>HYPERLINK("https://jobright.ai/jobs/info/6658ce5b61791d2e01353657?utm_campaign=1062&amp;utm_source=sheet", "Apply")</f>
        <v>Apply</v>
      </c>
      <c r="C783" s="10" t="s">
        <v>3668</v>
      </c>
      <c r="D783" s="56" t="s">
        <v>3669</v>
      </c>
      <c r="E783" s="10" t="s">
        <v>65</v>
      </c>
      <c r="F783" s="10" t="s">
        <v>3670</v>
      </c>
      <c r="G783" s="10" t="s">
        <v>2443</v>
      </c>
      <c r="H783" s="10" t="s">
        <v>169</v>
      </c>
      <c r="I783" s="10" t="s">
        <v>48</v>
      </c>
      <c r="J783" s="10" t="s">
        <v>4112</v>
      </c>
      <c r="K783" s="10" t="s">
        <v>4113</v>
      </c>
      <c r="L783" s="10" t="s">
        <v>42</v>
      </c>
    </row>
    <row r="784" ht="15.75" customHeight="1">
      <c r="A784" s="66">
        <v>45496.0</v>
      </c>
      <c r="B784" s="55" t="str">
        <f>HYPERLINK("https://jobright.ai/jobs/info/669f1e522c992f847b59fec4?utm_campaign=1062&amp;utm_source=sheet", "Apply")</f>
        <v>Apply</v>
      </c>
      <c r="C784" s="10" t="s">
        <v>4114</v>
      </c>
      <c r="D784" s="56" t="s">
        <v>1948</v>
      </c>
      <c r="E784" s="10" t="s">
        <v>65</v>
      </c>
      <c r="F784" s="10" t="s">
        <v>1949</v>
      </c>
      <c r="G784" s="10" t="s">
        <v>2464</v>
      </c>
      <c r="H784" s="10" t="s">
        <v>909</v>
      </c>
      <c r="I784" s="10" t="s">
        <v>48</v>
      </c>
      <c r="K784" s="10" t="s">
        <v>4115</v>
      </c>
      <c r="L784" s="10" t="s">
        <v>42</v>
      </c>
    </row>
    <row r="785" ht="15.75" customHeight="1">
      <c r="A785" s="66">
        <v>45496.0</v>
      </c>
      <c r="B785" s="55" t="str">
        <f>HYPERLINK("https://jobright.ai/jobs/info/665981062651fee52c0c9a90?utm_campaign=1062&amp;utm_source=sheet", "Apply")</f>
        <v>Apply</v>
      </c>
      <c r="C785" s="10" t="s">
        <v>3668</v>
      </c>
      <c r="D785" s="56" t="s">
        <v>3669</v>
      </c>
      <c r="E785" s="10" t="s">
        <v>65</v>
      </c>
      <c r="F785" s="10" t="s">
        <v>3670</v>
      </c>
      <c r="G785" s="10" t="s">
        <v>2443</v>
      </c>
      <c r="H785" s="10" t="s">
        <v>1260</v>
      </c>
      <c r="I785" s="10" t="s">
        <v>48</v>
      </c>
      <c r="J785" s="10" t="s">
        <v>4112</v>
      </c>
      <c r="K785" s="10" t="s">
        <v>4113</v>
      </c>
      <c r="L785" s="10" t="s">
        <v>42</v>
      </c>
    </row>
    <row r="786" ht="15.75" customHeight="1">
      <c r="A786" s="66">
        <v>45496.0</v>
      </c>
      <c r="B786" s="55" t="str">
        <f>HYPERLINK("https://jobright.ai/jobs/info/66a065cc0e159f780df651f1?utm_campaign=1062&amp;utm_source=sheet", "Apply")</f>
        <v>Apply</v>
      </c>
      <c r="C786" s="10" t="s">
        <v>4116</v>
      </c>
      <c r="D786" s="56" t="s">
        <v>3293</v>
      </c>
      <c r="E786" s="10" t="s">
        <v>209</v>
      </c>
      <c r="F786" s="10" t="s">
        <v>1587</v>
      </c>
      <c r="G786" s="10" t="s">
        <v>2437</v>
      </c>
      <c r="H786" s="10" t="s">
        <v>168</v>
      </c>
      <c r="I786" s="10" t="s">
        <v>55</v>
      </c>
      <c r="J786" s="10" t="s">
        <v>4117</v>
      </c>
      <c r="K786" s="10" t="s">
        <v>4118</v>
      </c>
      <c r="L786" s="10" t="s">
        <v>42</v>
      </c>
    </row>
    <row r="787" ht="15.75" customHeight="1">
      <c r="A787" s="66">
        <v>45496.0</v>
      </c>
      <c r="B787" s="55" t="str">
        <f>HYPERLINK("https://jobright.ai/jobs/info/66a065ea0e159f780df65424?utm_campaign=1062&amp;utm_source=sheet", "Apply")</f>
        <v>Apply</v>
      </c>
      <c r="C787" s="10" t="s">
        <v>3030</v>
      </c>
      <c r="D787" s="56" t="s">
        <v>567</v>
      </c>
      <c r="E787" s="10" t="s">
        <v>65</v>
      </c>
      <c r="F787" s="10" t="s">
        <v>568</v>
      </c>
      <c r="G787" s="10" t="s">
        <v>2448</v>
      </c>
      <c r="H787" s="10" t="s">
        <v>245</v>
      </c>
      <c r="I787" s="10" t="s">
        <v>55</v>
      </c>
      <c r="J787" s="10" t="s">
        <v>3031</v>
      </c>
      <c r="K787" s="10" t="s">
        <v>3032</v>
      </c>
      <c r="L787" s="10" t="s">
        <v>42</v>
      </c>
    </row>
    <row r="788" ht="15.75" customHeight="1">
      <c r="A788" s="66">
        <v>45496.0</v>
      </c>
      <c r="B788" s="55" t="str">
        <f>HYPERLINK("https://jobright.ai/jobs/info/66a04891658c8e8600d6fa66?utm_campaign=1062&amp;utm_source=sheet", "Apply")</f>
        <v>Apply</v>
      </c>
      <c r="C788" s="10" t="s">
        <v>4119</v>
      </c>
      <c r="D788" s="56" t="s">
        <v>1738</v>
      </c>
      <c r="E788" s="10" t="s">
        <v>249</v>
      </c>
      <c r="F788" s="10" t="s">
        <v>1465</v>
      </c>
      <c r="G788" s="10" t="s">
        <v>2502</v>
      </c>
      <c r="H788" s="10" t="s">
        <v>911</v>
      </c>
      <c r="I788" s="10" t="s">
        <v>55</v>
      </c>
      <c r="K788" s="10" t="s">
        <v>4120</v>
      </c>
      <c r="L788" s="10" t="s">
        <v>42</v>
      </c>
    </row>
    <row r="789" ht="15.75" customHeight="1">
      <c r="A789" s="66">
        <v>45496.0</v>
      </c>
      <c r="B789" s="55" t="str">
        <f>HYPERLINK("https://jobright.ai/jobs/info/66a042e6419140b73defa66e?utm_campaign=1062&amp;utm_source=sheet", "Apply")</f>
        <v>Apply</v>
      </c>
      <c r="C789" s="10" t="s">
        <v>3030</v>
      </c>
      <c r="D789" s="56" t="s">
        <v>567</v>
      </c>
      <c r="E789" s="10" t="s">
        <v>65</v>
      </c>
      <c r="F789" s="10" t="s">
        <v>568</v>
      </c>
      <c r="G789" s="10" t="s">
        <v>2448</v>
      </c>
      <c r="H789" s="10" t="s">
        <v>1013</v>
      </c>
      <c r="I789" s="10" t="s">
        <v>55</v>
      </c>
      <c r="J789" s="10" t="s">
        <v>3031</v>
      </c>
      <c r="K789" s="10" t="s">
        <v>3032</v>
      </c>
      <c r="L789" s="10" t="s">
        <v>42</v>
      </c>
    </row>
    <row r="790" ht="15.75" customHeight="1">
      <c r="A790" s="66">
        <v>45496.0</v>
      </c>
      <c r="B790" s="55" t="str">
        <f>HYPERLINK("https://jobright.ai/jobs/info/669fd07142744ff6f3a38055?utm_campaign=1062&amp;utm_source=sheet", "Apply")</f>
        <v>Apply</v>
      </c>
      <c r="C790" s="10" t="s">
        <v>4121</v>
      </c>
      <c r="D790" s="56" t="s">
        <v>4122</v>
      </c>
      <c r="E790" s="10" t="s">
        <v>249</v>
      </c>
      <c r="F790" s="10" t="s">
        <v>1506</v>
      </c>
      <c r="G790" s="10" t="s">
        <v>2448</v>
      </c>
      <c r="H790" s="10" t="s">
        <v>4123</v>
      </c>
      <c r="I790" s="10" t="s">
        <v>55</v>
      </c>
      <c r="J790" s="10" t="s">
        <v>4124</v>
      </c>
      <c r="K790" s="10" t="s">
        <v>4125</v>
      </c>
      <c r="L790" s="10" t="s">
        <v>42</v>
      </c>
    </row>
    <row r="791" ht="15.75" customHeight="1">
      <c r="A791" s="66">
        <v>45496.0</v>
      </c>
      <c r="B791" s="55" t="str">
        <f>HYPERLINK("https://jobright.ai/jobs/info/66a04bf1a71c376ac310e987?utm_campaign=1062&amp;utm_source=sheet", "Apply")</f>
        <v>Apply</v>
      </c>
      <c r="C791" s="10" t="s">
        <v>4126</v>
      </c>
      <c r="D791" s="56" t="s">
        <v>1738</v>
      </c>
      <c r="E791" s="10" t="s">
        <v>249</v>
      </c>
      <c r="F791" s="10" t="s">
        <v>1465</v>
      </c>
      <c r="G791" s="10" t="s">
        <v>2509</v>
      </c>
      <c r="H791" s="10" t="s">
        <v>911</v>
      </c>
      <c r="I791" s="10" t="s">
        <v>55</v>
      </c>
      <c r="K791" s="10" t="s">
        <v>4127</v>
      </c>
      <c r="L791" s="10" t="s">
        <v>42</v>
      </c>
    </row>
    <row r="792" ht="15.75" customHeight="1">
      <c r="A792" s="66">
        <v>45496.0</v>
      </c>
      <c r="B792" s="55" t="str">
        <f>HYPERLINK("https://jobright.ai/jobs/info/66a03d802eac7ec3724e8f95?utm_campaign=1062&amp;utm_source=sheet", "Apply")</f>
        <v>Apply</v>
      </c>
      <c r="C792" s="10" t="s">
        <v>3030</v>
      </c>
      <c r="D792" s="56" t="s">
        <v>567</v>
      </c>
      <c r="E792" s="10" t="s">
        <v>65</v>
      </c>
      <c r="F792" s="10" t="s">
        <v>568</v>
      </c>
      <c r="G792" s="10" t="s">
        <v>2448</v>
      </c>
      <c r="H792" s="10" t="s">
        <v>843</v>
      </c>
      <c r="I792" s="10" t="s">
        <v>55</v>
      </c>
      <c r="J792" s="10" t="s">
        <v>3031</v>
      </c>
      <c r="K792" s="10" t="s">
        <v>3032</v>
      </c>
      <c r="L792" s="10" t="s">
        <v>42</v>
      </c>
    </row>
    <row r="793" ht="15.75" customHeight="1">
      <c r="A793" s="66">
        <v>45496.0</v>
      </c>
      <c r="B793" s="55" t="str">
        <f>HYPERLINK("https://jobright.ai/jobs/info/66a03d802eac7ec3724e8f97?utm_campaign=1062&amp;utm_source=sheet", "Apply")</f>
        <v>Apply</v>
      </c>
      <c r="C793" s="10" t="s">
        <v>3030</v>
      </c>
      <c r="D793" s="56" t="s">
        <v>567</v>
      </c>
      <c r="E793" s="10" t="s">
        <v>65</v>
      </c>
      <c r="F793" s="10" t="s">
        <v>568</v>
      </c>
      <c r="G793" s="10" t="s">
        <v>2448</v>
      </c>
      <c r="H793" s="10" t="s">
        <v>765</v>
      </c>
      <c r="I793" s="10" t="s">
        <v>55</v>
      </c>
      <c r="J793" s="10" t="s">
        <v>3031</v>
      </c>
      <c r="K793" s="10" t="s">
        <v>3032</v>
      </c>
      <c r="L793" s="10" t="s">
        <v>42</v>
      </c>
    </row>
    <row r="794" ht="15.75" customHeight="1">
      <c r="A794" s="66">
        <v>45496.0</v>
      </c>
      <c r="B794" s="55" t="str">
        <f>HYPERLINK("https://jobright.ai/jobs/info/66a03d802eac7ec3724e8f98?utm_campaign=1062&amp;utm_source=sheet", "Apply")</f>
        <v>Apply</v>
      </c>
      <c r="C794" s="10" t="s">
        <v>3030</v>
      </c>
      <c r="D794" s="56" t="s">
        <v>567</v>
      </c>
      <c r="E794" s="10" t="s">
        <v>65</v>
      </c>
      <c r="F794" s="10" t="s">
        <v>568</v>
      </c>
      <c r="G794" s="10" t="s">
        <v>2448</v>
      </c>
      <c r="H794" s="10" t="s">
        <v>505</v>
      </c>
      <c r="I794" s="10" t="s">
        <v>55</v>
      </c>
      <c r="J794" s="10" t="s">
        <v>3031</v>
      </c>
      <c r="K794" s="10" t="s">
        <v>3032</v>
      </c>
      <c r="L794" s="10" t="s">
        <v>42</v>
      </c>
    </row>
    <row r="795" ht="15.75" customHeight="1">
      <c r="A795" s="66">
        <v>45496.0</v>
      </c>
      <c r="B795" s="55" t="str">
        <f>HYPERLINK("https://jobright.ai/jobs/info/66a03d802eac7ec3724e8f96?utm_campaign=1062&amp;utm_source=sheet", "Apply")</f>
        <v>Apply</v>
      </c>
      <c r="C795" s="10" t="s">
        <v>3030</v>
      </c>
      <c r="D795" s="56" t="s">
        <v>567</v>
      </c>
      <c r="E795" s="10" t="s">
        <v>65</v>
      </c>
      <c r="F795" s="10" t="s">
        <v>568</v>
      </c>
      <c r="G795" s="10" t="s">
        <v>2448</v>
      </c>
      <c r="H795" s="10" t="s">
        <v>4128</v>
      </c>
      <c r="I795" s="10" t="s">
        <v>55</v>
      </c>
      <c r="J795" s="10" t="s">
        <v>3031</v>
      </c>
      <c r="K795" s="10" t="s">
        <v>3032</v>
      </c>
      <c r="L795" s="10" t="s">
        <v>42</v>
      </c>
    </row>
    <row r="796" ht="15.75" customHeight="1">
      <c r="A796" s="66">
        <v>45496.0</v>
      </c>
      <c r="B796" s="55" t="str">
        <f>HYPERLINK("https://jobright.ai/jobs/info/66a02f26be9142f3106f1a98?utm_campaign=1062&amp;utm_source=sheet", "Apply")</f>
        <v>Apply</v>
      </c>
      <c r="C796" s="10" t="s">
        <v>4129</v>
      </c>
      <c r="D796" s="56" t="s">
        <v>4130</v>
      </c>
      <c r="E796" s="10" t="s">
        <v>79</v>
      </c>
      <c r="F796" s="10" t="s">
        <v>1243</v>
      </c>
      <c r="G796" s="10" t="s">
        <v>2448</v>
      </c>
      <c r="H796" s="10" t="s">
        <v>4131</v>
      </c>
      <c r="I796" s="10" t="s">
        <v>55</v>
      </c>
      <c r="K796" s="10" t="s">
        <v>4132</v>
      </c>
      <c r="L796" s="10" t="s">
        <v>42</v>
      </c>
    </row>
    <row r="797" ht="15.75" customHeight="1">
      <c r="A797" s="66">
        <v>45496.0</v>
      </c>
      <c r="B797" s="55" t="str">
        <f>HYPERLINK("https://jobright.ai/jobs/info/669fde261c33ed13e0471c0b?utm_campaign=1062&amp;utm_source=sheet", "Apply")</f>
        <v>Apply</v>
      </c>
      <c r="C797" s="10" t="s">
        <v>4133</v>
      </c>
      <c r="D797" s="56" t="s">
        <v>2971</v>
      </c>
      <c r="E797" s="10" t="s">
        <v>249</v>
      </c>
      <c r="F797" s="10" t="s">
        <v>10</v>
      </c>
      <c r="G797" s="10" t="s">
        <v>2464</v>
      </c>
      <c r="H797" s="10" t="s">
        <v>245</v>
      </c>
      <c r="I797" s="10" t="s">
        <v>55</v>
      </c>
      <c r="K797" s="10" t="s">
        <v>4134</v>
      </c>
      <c r="L797" s="10" t="s">
        <v>42</v>
      </c>
    </row>
    <row r="798" ht="15.75" customHeight="1">
      <c r="A798" s="66">
        <v>45496.0</v>
      </c>
      <c r="B798" s="55" t="str">
        <f>HYPERLINK("https://jobright.ai/jobs/info/669f04c51199fe6bc30f76b9?utm_campaign=1062&amp;utm_source=sheet", "Apply")</f>
        <v>Apply</v>
      </c>
      <c r="C798" s="10" t="s">
        <v>4135</v>
      </c>
      <c r="D798" s="56" t="s">
        <v>4136</v>
      </c>
      <c r="E798" s="10" t="s">
        <v>71</v>
      </c>
      <c r="F798" s="10" t="s">
        <v>4137</v>
      </c>
      <c r="G798" s="10" t="s">
        <v>2509</v>
      </c>
      <c r="H798" s="10" t="s">
        <v>96</v>
      </c>
      <c r="I798" s="10" t="s">
        <v>55</v>
      </c>
      <c r="J798" s="10" t="s">
        <v>4138</v>
      </c>
      <c r="K798" s="10" t="s">
        <v>4139</v>
      </c>
      <c r="L798" s="10" t="s">
        <v>42</v>
      </c>
    </row>
    <row r="799" ht="15.75" customHeight="1">
      <c r="A799" s="66">
        <v>45496.0</v>
      </c>
      <c r="B799" s="55" t="str">
        <f>HYPERLINK("https://jobright.ai/jobs/info/669f04c51199fe6bc30f76cd?utm_campaign=1062&amp;utm_source=sheet", "Apply")</f>
        <v>Apply</v>
      </c>
      <c r="C799" s="10" t="s">
        <v>4140</v>
      </c>
      <c r="D799" s="56" t="s">
        <v>4141</v>
      </c>
      <c r="E799" s="10" t="s">
        <v>137</v>
      </c>
      <c r="F799" s="10" t="s">
        <v>4142</v>
      </c>
      <c r="G799" s="10" t="s">
        <v>2437</v>
      </c>
      <c r="H799" s="10" t="s">
        <v>4143</v>
      </c>
      <c r="I799" s="10" t="s">
        <v>55</v>
      </c>
      <c r="K799" s="10" t="s">
        <v>4144</v>
      </c>
      <c r="L799" s="10" t="s">
        <v>42</v>
      </c>
    </row>
    <row r="800" ht="15.75" customHeight="1">
      <c r="A800" s="66">
        <v>45496.0</v>
      </c>
      <c r="B800" s="55" t="str">
        <f>HYPERLINK("https://jobright.ai/jobs/info/66a02c76b9065c2c99e9e6dd?utm_campaign=1062&amp;utm_source=sheet", "Apply")</f>
        <v>Apply</v>
      </c>
      <c r="C800" s="10" t="s">
        <v>301</v>
      </c>
      <c r="D800" s="56" t="s">
        <v>4145</v>
      </c>
      <c r="E800" s="10" t="s">
        <v>45</v>
      </c>
      <c r="F800" s="10" t="s">
        <v>4146</v>
      </c>
      <c r="G800" s="10" t="s">
        <v>2476</v>
      </c>
      <c r="H800" s="10" t="s">
        <v>3266</v>
      </c>
      <c r="I800" s="10" t="s">
        <v>55</v>
      </c>
      <c r="K800" s="10" t="s">
        <v>4147</v>
      </c>
      <c r="L800" s="10" t="s">
        <v>42</v>
      </c>
    </row>
    <row r="801" ht="15.75" customHeight="1">
      <c r="A801" s="66">
        <v>45496.0</v>
      </c>
      <c r="B801" s="55" t="str">
        <f>HYPERLINK("https://jobright.ai/jobs/info/669fbeaf62ee49dee41ff3bb?utm_campaign=1062&amp;utm_source=sheet", "Apply")</f>
        <v>Apply</v>
      </c>
      <c r="C801" s="10" t="s">
        <v>4148</v>
      </c>
      <c r="D801" s="56" t="s">
        <v>2037</v>
      </c>
      <c r="E801" s="10">
        <v>13693.0</v>
      </c>
      <c r="G801" s="10" t="s">
        <v>2448</v>
      </c>
      <c r="H801" s="10" t="s">
        <v>4149</v>
      </c>
      <c r="I801" s="10" t="s">
        <v>55</v>
      </c>
      <c r="K801" s="10" t="s">
        <v>4150</v>
      </c>
      <c r="L801" s="10" t="s">
        <v>42</v>
      </c>
    </row>
    <row r="802" ht="15.75" customHeight="1">
      <c r="A802" s="66">
        <v>45496.0</v>
      </c>
      <c r="B802" s="55" t="str">
        <f>HYPERLINK("https://jobright.ai/jobs/info/66a01add77c9dd1e7f88ceae?utm_campaign=1062&amp;utm_source=sheet", "Apply")</f>
        <v>Apply</v>
      </c>
      <c r="C802" s="10" t="s">
        <v>4151</v>
      </c>
      <c r="D802" s="56" t="s">
        <v>4152</v>
      </c>
      <c r="E802" s="10" t="s">
        <v>249</v>
      </c>
      <c r="F802" s="10" t="s">
        <v>1587</v>
      </c>
      <c r="G802" s="10" t="s">
        <v>2579</v>
      </c>
      <c r="H802" s="10" t="s">
        <v>4153</v>
      </c>
      <c r="I802" s="10" t="s">
        <v>55</v>
      </c>
      <c r="J802" s="10" t="s">
        <v>2450</v>
      </c>
      <c r="K802" s="10" t="s">
        <v>4154</v>
      </c>
      <c r="L802" s="10" t="s">
        <v>42</v>
      </c>
    </row>
    <row r="803" ht="15.75" customHeight="1">
      <c r="A803" s="66">
        <v>45496.0</v>
      </c>
      <c r="B803" s="55" t="str">
        <f>HYPERLINK("https://jobright.ai/jobs/info/669ff66c769dc3a3a1c9efec?utm_campaign=1062&amp;utm_source=sheet", "Apply")</f>
        <v>Apply</v>
      </c>
      <c r="C803" s="10" t="s">
        <v>4155</v>
      </c>
      <c r="D803" s="56" t="s">
        <v>1631</v>
      </c>
      <c r="E803" s="10" t="s">
        <v>45</v>
      </c>
      <c r="F803" s="10" t="s">
        <v>1632</v>
      </c>
      <c r="G803" s="10" t="s">
        <v>2484</v>
      </c>
      <c r="H803" s="10" t="s">
        <v>1633</v>
      </c>
      <c r="I803" s="10" t="s">
        <v>55</v>
      </c>
      <c r="K803" s="10" t="s">
        <v>4156</v>
      </c>
      <c r="L803" s="10" t="s">
        <v>42</v>
      </c>
    </row>
    <row r="804" ht="15.75" customHeight="1">
      <c r="A804" s="66">
        <v>45496.0</v>
      </c>
      <c r="B804" s="55" t="str">
        <f>HYPERLINK("https://jobright.ai/jobs/info/66a01aaceb231042f75250a5?utm_campaign=1062&amp;utm_source=sheet", "Apply")</f>
        <v>Apply</v>
      </c>
      <c r="C804" s="10" t="s">
        <v>3829</v>
      </c>
      <c r="D804" s="56" t="s">
        <v>3337</v>
      </c>
      <c r="E804" s="10" t="s">
        <v>209</v>
      </c>
      <c r="F804" s="10" t="s">
        <v>2828</v>
      </c>
      <c r="G804" s="10" t="s">
        <v>2464</v>
      </c>
      <c r="H804" s="10" t="s">
        <v>4157</v>
      </c>
      <c r="I804" s="10" t="s">
        <v>55</v>
      </c>
      <c r="K804" s="10" t="s">
        <v>3830</v>
      </c>
      <c r="L804" s="10" t="s">
        <v>42</v>
      </c>
    </row>
    <row r="805" ht="15.75" customHeight="1">
      <c r="A805" s="66">
        <v>45496.0</v>
      </c>
      <c r="B805" s="55" t="str">
        <f>HYPERLINK("https://jobright.ai/jobs/info/66a00d4c0e65e7e047a8a8ef?utm_campaign=1062&amp;utm_source=sheet", "Apply")</f>
        <v>Apply</v>
      </c>
      <c r="C805" s="10" t="s">
        <v>301</v>
      </c>
      <c r="D805" s="56" t="s">
        <v>4145</v>
      </c>
      <c r="E805" s="10" t="s">
        <v>45</v>
      </c>
      <c r="F805" s="10" t="s">
        <v>4146</v>
      </c>
      <c r="G805" s="10" t="s">
        <v>2476</v>
      </c>
      <c r="H805" s="10" t="s">
        <v>4158</v>
      </c>
      <c r="I805" s="10" t="s">
        <v>55</v>
      </c>
      <c r="K805" s="10" t="s">
        <v>4147</v>
      </c>
      <c r="L805" s="10" t="s">
        <v>42</v>
      </c>
    </row>
    <row r="806" ht="15.75" customHeight="1">
      <c r="A806" s="66">
        <v>45496.0</v>
      </c>
      <c r="B806" s="55" t="str">
        <f>HYPERLINK("https://jobright.ai/jobs/info/66a056ee0c5ba788197446e7?utm_campaign=1062&amp;utm_source=sheet", "Apply")</f>
        <v>Apply</v>
      </c>
      <c r="C806" s="10" t="s">
        <v>3804</v>
      </c>
      <c r="D806" s="56" t="s">
        <v>3079</v>
      </c>
      <c r="E806" s="10" t="s">
        <v>249</v>
      </c>
      <c r="F806" s="10" t="s">
        <v>3080</v>
      </c>
      <c r="G806" s="10" t="s">
        <v>2459</v>
      </c>
      <c r="H806" s="10" t="s">
        <v>4159</v>
      </c>
      <c r="I806" s="10" t="s">
        <v>55</v>
      </c>
      <c r="K806" s="10" t="s">
        <v>3805</v>
      </c>
      <c r="L806" s="10" t="s">
        <v>42</v>
      </c>
    </row>
    <row r="807" ht="15.75" customHeight="1">
      <c r="A807" s="66">
        <v>45495.0</v>
      </c>
      <c r="B807" s="55" t="str">
        <f>HYPERLINK("https://jobright.ai/jobs/info/669ef8c39f70a03ca95faa42?utm_campaign=1062&amp;utm_source=sheet", "Apply")</f>
        <v>Apply</v>
      </c>
      <c r="C807" s="10" t="s">
        <v>4160</v>
      </c>
      <c r="D807" s="56" t="s">
        <v>4161</v>
      </c>
      <c r="E807" s="10" t="s">
        <v>45</v>
      </c>
      <c r="F807" s="10" t="s">
        <v>3403</v>
      </c>
      <c r="G807" s="10" t="s">
        <v>2502</v>
      </c>
      <c r="H807" s="10" t="s">
        <v>201</v>
      </c>
      <c r="I807" s="10" t="s">
        <v>55</v>
      </c>
      <c r="K807" s="10" t="s">
        <v>4162</v>
      </c>
      <c r="L807" s="10" t="s">
        <v>42</v>
      </c>
    </row>
    <row r="808" ht="15.75" customHeight="1">
      <c r="A808" s="66">
        <v>45495.0</v>
      </c>
      <c r="B808" s="55" t="str">
        <f>HYPERLINK("https://jobright.ai/jobs/info/669ef8c39f70a03ca95faa41?utm_campaign=1062&amp;utm_source=sheet", "Apply")</f>
        <v>Apply</v>
      </c>
      <c r="C808" s="10" t="s">
        <v>4163</v>
      </c>
      <c r="D808" s="56" t="s">
        <v>4161</v>
      </c>
      <c r="E808" s="10" t="s">
        <v>45</v>
      </c>
      <c r="F808" s="10" t="s">
        <v>3403</v>
      </c>
      <c r="G808" s="10" t="s">
        <v>2502</v>
      </c>
      <c r="H808" s="10" t="s">
        <v>201</v>
      </c>
      <c r="I808" s="10" t="s">
        <v>55</v>
      </c>
      <c r="K808" s="10" t="s">
        <v>4164</v>
      </c>
      <c r="L808" s="10" t="s">
        <v>42</v>
      </c>
    </row>
    <row r="809" ht="15.75" customHeight="1">
      <c r="A809" s="66">
        <v>45495.0</v>
      </c>
      <c r="B809" s="55" t="str">
        <f>HYPERLINK("https://jobright.ai/jobs/info/669ef8c39f70a03ca95faa45?utm_campaign=1062&amp;utm_source=sheet", "Apply")</f>
        <v>Apply</v>
      </c>
      <c r="C809" s="10" t="s">
        <v>4165</v>
      </c>
      <c r="D809" s="56" t="s">
        <v>4161</v>
      </c>
      <c r="E809" s="10" t="s">
        <v>45</v>
      </c>
      <c r="F809" s="10" t="s">
        <v>3403</v>
      </c>
      <c r="G809" s="10" t="s">
        <v>2502</v>
      </c>
      <c r="H809" s="10" t="s">
        <v>201</v>
      </c>
      <c r="I809" s="10" t="s">
        <v>55</v>
      </c>
      <c r="K809" s="10" t="s">
        <v>4166</v>
      </c>
      <c r="L809" s="10" t="s">
        <v>42</v>
      </c>
    </row>
    <row r="810" ht="15.75" customHeight="1">
      <c r="A810" s="66">
        <v>45495.0</v>
      </c>
      <c r="B810" s="55" t="str">
        <f>HYPERLINK("https://jobright.ai/jobs/info/6670d064eb70e5a7b47f96aa?utm_campaign=1062&amp;utm_source=sheet", "Apply")</f>
        <v>Apply</v>
      </c>
      <c r="C810" s="10" t="s">
        <v>4167</v>
      </c>
      <c r="D810" s="56" t="s">
        <v>243</v>
      </c>
      <c r="E810" s="10" t="s">
        <v>45</v>
      </c>
      <c r="F810" s="10" t="s">
        <v>244</v>
      </c>
      <c r="G810" s="10" t="s">
        <v>2437</v>
      </c>
      <c r="H810" s="10" t="s">
        <v>245</v>
      </c>
      <c r="I810" s="10" t="s">
        <v>48</v>
      </c>
      <c r="K810" s="10" t="s">
        <v>4168</v>
      </c>
      <c r="L810" s="10" t="s">
        <v>42</v>
      </c>
    </row>
    <row r="811" ht="15.75" customHeight="1">
      <c r="A811" s="66">
        <v>45495.0</v>
      </c>
      <c r="B811" s="55" t="str">
        <f>HYPERLINK("https://jobright.ai/jobs/info/669ef20eab6b2374b157c045?utm_campaign=1062&amp;utm_source=sheet", "Apply")</f>
        <v>Apply</v>
      </c>
      <c r="C811" s="10" t="s">
        <v>4169</v>
      </c>
      <c r="D811" s="56" t="s">
        <v>664</v>
      </c>
      <c r="E811" s="10" t="s">
        <v>45</v>
      </c>
      <c r="F811" s="10" t="s">
        <v>665</v>
      </c>
      <c r="G811" s="10" t="s">
        <v>2589</v>
      </c>
      <c r="H811" s="10" t="s">
        <v>4170</v>
      </c>
      <c r="I811" s="10" t="s">
        <v>55</v>
      </c>
      <c r="K811" s="10" t="s">
        <v>4171</v>
      </c>
      <c r="L811" s="10" t="s">
        <v>42</v>
      </c>
    </row>
    <row r="812" ht="15.75" customHeight="1">
      <c r="A812" s="66">
        <v>45495.0</v>
      </c>
      <c r="B812" s="55" t="str">
        <f>HYPERLINK("https://jobright.ai/jobs/info/669ef74fa443ea09fce127a1?utm_campaign=1062&amp;utm_source=sheet", "Apply")</f>
        <v>Apply</v>
      </c>
      <c r="C812" s="10" t="s">
        <v>4172</v>
      </c>
      <c r="D812" s="56" t="s">
        <v>3485</v>
      </c>
      <c r="E812" s="10" t="s">
        <v>137</v>
      </c>
      <c r="F812" s="10" t="s">
        <v>3486</v>
      </c>
      <c r="G812" s="10" t="s">
        <v>2437</v>
      </c>
      <c r="H812" s="10" t="s">
        <v>101</v>
      </c>
      <c r="I812" s="10" t="s">
        <v>55</v>
      </c>
      <c r="K812" s="10" t="s">
        <v>4173</v>
      </c>
      <c r="L812" s="10" t="s">
        <v>42</v>
      </c>
    </row>
    <row r="813" ht="15.75" customHeight="1">
      <c r="A813" s="66">
        <v>45495.0</v>
      </c>
      <c r="B813" s="55" t="str">
        <f>HYPERLINK("https://jobright.ai/jobs/info/669f117aba23839d3b2f355f?utm_campaign=1062&amp;utm_source=sheet", "Apply")</f>
        <v>Apply</v>
      </c>
      <c r="C813" s="10" t="s">
        <v>4174</v>
      </c>
      <c r="D813" s="56" t="s">
        <v>4175</v>
      </c>
      <c r="G813" s="10" t="s">
        <v>2807</v>
      </c>
      <c r="H813" s="10" t="s">
        <v>505</v>
      </c>
      <c r="I813" s="10" t="s">
        <v>55</v>
      </c>
      <c r="J813" s="10" t="s">
        <v>4176</v>
      </c>
      <c r="K813" s="10" t="s">
        <v>4177</v>
      </c>
      <c r="L813" s="10" t="s">
        <v>42</v>
      </c>
    </row>
    <row r="814" ht="15.75" customHeight="1">
      <c r="A814" s="66">
        <v>45495.0</v>
      </c>
      <c r="B814" s="55" t="str">
        <f>HYPERLINK("https://jobright.ai/jobs/info/669f04c51199fe6bc30f772d?utm_campaign=1062&amp;utm_source=sheet", "Apply")</f>
        <v>Apply</v>
      </c>
      <c r="C814" s="10" t="s">
        <v>4178</v>
      </c>
      <c r="D814" s="56" t="s">
        <v>1061</v>
      </c>
      <c r="E814" s="10" t="s">
        <v>209</v>
      </c>
      <c r="G814" s="10" t="s">
        <v>2476</v>
      </c>
      <c r="H814" s="10" t="s">
        <v>898</v>
      </c>
      <c r="I814" s="10" t="s">
        <v>55</v>
      </c>
      <c r="K814" s="10" t="s">
        <v>4179</v>
      </c>
      <c r="L814" s="10" t="s">
        <v>42</v>
      </c>
    </row>
    <row r="815" ht="15.75" customHeight="1">
      <c r="A815" s="66">
        <v>45495.0</v>
      </c>
      <c r="B815" s="55" t="str">
        <f>HYPERLINK("https://jobright.ai/jobs/info/6670ca8230f6216c998d7e13?utm_campaign=1062&amp;utm_source=sheet", "Apply")</f>
        <v>Apply</v>
      </c>
      <c r="C815" s="10" t="s">
        <v>4180</v>
      </c>
      <c r="D815" s="56" t="s">
        <v>243</v>
      </c>
      <c r="E815" s="10" t="s">
        <v>45</v>
      </c>
      <c r="F815" s="10" t="s">
        <v>244</v>
      </c>
      <c r="G815" s="10" t="s">
        <v>2470</v>
      </c>
      <c r="H815" s="10" t="s">
        <v>4181</v>
      </c>
      <c r="I815" s="10" t="s">
        <v>48</v>
      </c>
      <c r="K815" s="10" t="s">
        <v>4182</v>
      </c>
      <c r="L815" s="10" t="s">
        <v>42</v>
      </c>
    </row>
    <row r="816" ht="15.75" customHeight="1">
      <c r="A816" s="66">
        <v>45495.0</v>
      </c>
      <c r="B816" s="55" t="str">
        <f>HYPERLINK("https://jobright.ai/jobs/info/669ef3ed8f2d3be9ad516742?utm_campaign=1062&amp;utm_source=sheet", "Apply")</f>
        <v>Apply</v>
      </c>
      <c r="C816" s="10" t="s">
        <v>4183</v>
      </c>
      <c r="D816" s="56" t="s">
        <v>4184</v>
      </c>
      <c r="E816" s="10">
        <v>83.0</v>
      </c>
      <c r="G816" s="10" t="s">
        <v>2484</v>
      </c>
      <c r="H816" s="10" t="s">
        <v>4185</v>
      </c>
      <c r="I816" s="10" t="s">
        <v>55</v>
      </c>
      <c r="K816" s="10" t="s">
        <v>4186</v>
      </c>
      <c r="L816" s="10" t="s">
        <v>42</v>
      </c>
    </row>
    <row r="817" ht="15.75" customHeight="1">
      <c r="A817" s="66">
        <v>45495.0</v>
      </c>
      <c r="B817" s="55" t="str">
        <f>HYPERLINK("https://jobright.ai/jobs/info/6690b3cb77cd5c0d31df89bd?utm_campaign=1062&amp;utm_source=sheet", "Apply")</f>
        <v>Apply</v>
      </c>
      <c r="C817" s="10" t="s">
        <v>4187</v>
      </c>
      <c r="D817" s="56" t="s">
        <v>2986</v>
      </c>
      <c r="E817" s="10" t="s">
        <v>45</v>
      </c>
      <c r="F817" s="10" t="s">
        <v>2987</v>
      </c>
      <c r="G817" s="10" t="s">
        <v>2579</v>
      </c>
      <c r="H817" s="10" t="s">
        <v>4188</v>
      </c>
      <c r="I817" s="10" t="s">
        <v>48</v>
      </c>
      <c r="J817" s="10" t="s">
        <v>4189</v>
      </c>
      <c r="K817" s="10" t="s">
        <v>4190</v>
      </c>
      <c r="L817" s="10" t="s">
        <v>42</v>
      </c>
    </row>
    <row r="818" ht="15.75" customHeight="1">
      <c r="A818" s="66">
        <v>45495.0</v>
      </c>
      <c r="B818" s="55" t="str">
        <f>HYPERLINK("https://jobright.ai/jobs/info/669ee8454aa4bd9f77626b47?utm_campaign=1062&amp;utm_source=sheet", "Apply")</f>
        <v>Apply</v>
      </c>
      <c r="C818" s="10" t="s">
        <v>4191</v>
      </c>
      <c r="D818" s="56" t="s">
        <v>4192</v>
      </c>
      <c r="E818" s="10" t="s">
        <v>45</v>
      </c>
      <c r="F818" s="10" t="s">
        <v>471</v>
      </c>
      <c r="G818" s="10" t="s">
        <v>2448</v>
      </c>
      <c r="H818" s="10" t="s">
        <v>4193</v>
      </c>
      <c r="I818" s="10" t="s">
        <v>48</v>
      </c>
      <c r="K818" s="10" t="s">
        <v>4194</v>
      </c>
      <c r="L818" s="10" t="s">
        <v>42</v>
      </c>
    </row>
    <row r="819" ht="15.75" customHeight="1">
      <c r="A819" s="66">
        <v>45495.0</v>
      </c>
      <c r="B819" s="55" t="str">
        <f>HYPERLINK("https://jobright.ai/jobs/info/669ee8544aa4bd9f77626c47?utm_campaign=1062&amp;utm_source=sheet", "Apply")</f>
        <v>Apply</v>
      </c>
      <c r="C819" s="10" t="s">
        <v>4191</v>
      </c>
      <c r="D819" s="56" t="s">
        <v>4192</v>
      </c>
      <c r="E819" s="10" t="s">
        <v>45</v>
      </c>
      <c r="F819" s="10" t="s">
        <v>471</v>
      </c>
      <c r="G819" s="10" t="s">
        <v>2448</v>
      </c>
      <c r="H819" s="10" t="s">
        <v>4195</v>
      </c>
      <c r="I819" s="10" t="s">
        <v>48</v>
      </c>
      <c r="K819" s="10" t="s">
        <v>4194</v>
      </c>
      <c r="L819" s="10" t="s">
        <v>42</v>
      </c>
    </row>
    <row r="820" ht="15.75" customHeight="1">
      <c r="A820" s="66">
        <v>45495.0</v>
      </c>
      <c r="B820" s="55" t="str">
        <f>HYPERLINK("https://jobright.ai/jobs/info/669f19eb821ed2aaf5a74058?utm_campaign=1062&amp;utm_source=sheet", "Apply")</f>
        <v>Apply</v>
      </c>
      <c r="C820" s="10" t="s">
        <v>4196</v>
      </c>
      <c r="D820" s="56" t="s">
        <v>4197</v>
      </c>
      <c r="E820" s="10" t="s">
        <v>45</v>
      </c>
      <c r="F820" s="10" t="s">
        <v>2385</v>
      </c>
      <c r="G820" s="10" t="s">
        <v>2807</v>
      </c>
      <c r="H820" s="10" t="s">
        <v>994</v>
      </c>
      <c r="I820" s="10" t="s">
        <v>55</v>
      </c>
      <c r="K820" s="10" t="s">
        <v>4198</v>
      </c>
      <c r="L820" s="10" t="s">
        <v>42</v>
      </c>
    </row>
    <row r="821" ht="15.75" customHeight="1">
      <c r="A821" s="66">
        <v>45495.0</v>
      </c>
      <c r="B821" s="55" t="str">
        <f>HYPERLINK("https://jobright.ai/jobs/info/669f19e5821ed2aaf5a73fa4?utm_campaign=1062&amp;utm_source=sheet", "Apply")</f>
        <v>Apply</v>
      </c>
      <c r="C821" s="10" t="s">
        <v>4199</v>
      </c>
      <c r="D821" s="56" t="s">
        <v>4197</v>
      </c>
      <c r="E821" s="10" t="s">
        <v>45</v>
      </c>
      <c r="F821" s="10" t="s">
        <v>2385</v>
      </c>
      <c r="G821" s="10" t="s">
        <v>2448</v>
      </c>
      <c r="H821" s="10" t="s">
        <v>4200</v>
      </c>
      <c r="I821" s="10" t="s">
        <v>55</v>
      </c>
      <c r="K821" s="10" t="s">
        <v>4201</v>
      </c>
      <c r="L821" s="10" t="s">
        <v>42</v>
      </c>
    </row>
    <row r="822" ht="15.75" customHeight="1">
      <c r="A822" s="66">
        <v>45495.0</v>
      </c>
      <c r="B822" s="55" t="str">
        <f>HYPERLINK("https://jobright.ai/jobs/info/669f19e5821ed2aaf5a73fa2?utm_campaign=1062&amp;utm_source=sheet", "Apply")</f>
        <v>Apply</v>
      </c>
      <c r="C822" s="10" t="s">
        <v>2630</v>
      </c>
      <c r="D822" s="56" t="s">
        <v>2631</v>
      </c>
      <c r="E822" s="10" t="s">
        <v>209</v>
      </c>
      <c r="F822" s="10" t="s">
        <v>2632</v>
      </c>
      <c r="G822" s="10" t="s">
        <v>2464</v>
      </c>
      <c r="H822" s="10" t="s">
        <v>571</v>
      </c>
      <c r="I822" s="10" t="s">
        <v>55</v>
      </c>
      <c r="K822" s="10" t="s">
        <v>2633</v>
      </c>
      <c r="L822" s="10" t="s">
        <v>42</v>
      </c>
    </row>
    <row r="823" ht="15.75" customHeight="1">
      <c r="A823" s="66">
        <v>45495.0</v>
      </c>
      <c r="B823" s="55" t="str">
        <f>HYPERLINK("https://jobright.ai/jobs/info/669f19e5821ed2aaf5a73fad?utm_campaign=1062&amp;utm_source=sheet", "Apply")</f>
        <v>Apply</v>
      </c>
      <c r="C823" s="10" t="s">
        <v>4202</v>
      </c>
      <c r="D823" s="56" t="s">
        <v>4197</v>
      </c>
      <c r="E823" s="10" t="s">
        <v>45</v>
      </c>
      <c r="F823" s="10" t="s">
        <v>2385</v>
      </c>
      <c r="G823" s="10" t="s">
        <v>2448</v>
      </c>
      <c r="H823" s="10" t="s">
        <v>4203</v>
      </c>
      <c r="I823" s="10" t="s">
        <v>55</v>
      </c>
      <c r="K823" s="10" t="s">
        <v>4204</v>
      </c>
      <c r="L823" s="10" t="s">
        <v>42</v>
      </c>
    </row>
    <row r="824" ht="15.75" customHeight="1">
      <c r="A824" s="66">
        <v>45495.0</v>
      </c>
      <c r="B824" s="55" t="str">
        <f>HYPERLINK("https://jobright.ai/jobs/info/669f19e5821ed2aaf5a73fb0?utm_campaign=1062&amp;utm_source=sheet", "Apply")</f>
        <v>Apply</v>
      </c>
      <c r="C824" s="10" t="s">
        <v>4199</v>
      </c>
      <c r="D824" s="56" t="s">
        <v>4197</v>
      </c>
      <c r="E824" s="10" t="s">
        <v>45</v>
      </c>
      <c r="F824" s="10" t="s">
        <v>2385</v>
      </c>
      <c r="G824" s="10" t="s">
        <v>2448</v>
      </c>
      <c r="H824" s="10" t="s">
        <v>4205</v>
      </c>
      <c r="I824" s="10" t="s">
        <v>55</v>
      </c>
      <c r="K824" s="10" t="s">
        <v>4201</v>
      </c>
      <c r="L824" s="10" t="s">
        <v>42</v>
      </c>
    </row>
    <row r="825" ht="15.75" customHeight="1">
      <c r="A825" s="66">
        <v>45495.0</v>
      </c>
      <c r="B825" s="55" t="str">
        <f>HYPERLINK("https://jobright.ai/jobs/info/669f2d1a0c72d857aab672b8?utm_campaign=1062&amp;utm_source=sheet", "Apply")</f>
        <v>Apply</v>
      </c>
      <c r="C825" s="10" t="s">
        <v>4206</v>
      </c>
      <c r="D825" s="56" t="s">
        <v>4197</v>
      </c>
      <c r="E825" s="10" t="s">
        <v>45</v>
      </c>
      <c r="F825" s="10" t="s">
        <v>2385</v>
      </c>
      <c r="G825" s="10" t="s">
        <v>2448</v>
      </c>
      <c r="H825" s="10" t="s">
        <v>3310</v>
      </c>
      <c r="I825" s="10" t="s">
        <v>55</v>
      </c>
      <c r="K825" s="10" t="s">
        <v>4207</v>
      </c>
      <c r="L825" s="10" t="s">
        <v>42</v>
      </c>
    </row>
    <row r="826" ht="15.75" customHeight="1">
      <c r="A826" s="66">
        <v>45495.0</v>
      </c>
      <c r="B826" s="55" t="str">
        <f>HYPERLINK("https://jobright.ai/jobs/info/669eeae1ca00356aa1b91df0?utm_campaign=1062&amp;utm_source=sheet", "Apply")</f>
        <v>Apply</v>
      </c>
      <c r="C826" s="10" t="s">
        <v>2630</v>
      </c>
      <c r="D826" s="56" t="s">
        <v>2631</v>
      </c>
      <c r="E826" s="10" t="s">
        <v>209</v>
      </c>
      <c r="F826" s="10" t="s">
        <v>2632</v>
      </c>
      <c r="G826" s="10" t="s">
        <v>2464</v>
      </c>
      <c r="H826" s="10" t="s">
        <v>3634</v>
      </c>
      <c r="I826" s="10" t="s">
        <v>55</v>
      </c>
      <c r="K826" s="10" t="s">
        <v>2633</v>
      </c>
      <c r="L826" s="10" t="s">
        <v>42</v>
      </c>
    </row>
    <row r="827" ht="15.75" customHeight="1">
      <c r="A827" s="66">
        <v>45495.0</v>
      </c>
      <c r="B827" s="55" t="str">
        <f>HYPERLINK("https://jobright.ai/jobs/info/669eeaf4ca00356aa1b91fcd?utm_campaign=1062&amp;utm_source=sheet", "Apply")</f>
        <v>Apply</v>
      </c>
      <c r="C827" s="10" t="s">
        <v>2630</v>
      </c>
      <c r="D827" s="56" t="s">
        <v>2631</v>
      </c>
      <c r="E827" s="10" t="s">
        <v>209</v>
      </c>
      <c r="F827" s="10" t="s">
        <v>2632</v>
      </c>
      <c r="G827" s="10" t="s">
        <v>2464</v>
      </c>
      <c r="H827" s="10" t="s">
        <v>4208</v>
      </c>
      <c r="I827" s="10" t="s">
        <v>55</v>
      </c>
      <c r="K827" s="10" t="s">
        <v>2633</v>
      </c>
      <c r="L827" s="10" t="s">
        <v>42</v>
      </c>
    </row>
    <row r="828" ht="15.75" customHeight="1">
      <c r="A828" s="66">
        <v>45495.0</v>
      </c>
      <c r="B828" s="55" t="str">
        <f>HYPERLINK("https://jobright.ai/jobs/info/669f04c51199fe6bc30f774a?utm_campaign=1062&amp;utm_source=sheet", "Apply")</f>
        <v>Apply</v>
      </c>
      <c r="C828" s="10" t="s">
        <v>4209</v>
      </c>
      <c r="D828" s="56" t="s">
        <v>4197</v>
      </c>
      <c r="E828" s="10" t="s">
        <v>45</v>
      </c>
      <c r="F828" s="10" t="s">
        <v>2385</v>
      </c>
      <c r="G828" s="10" t="s">
        <v>2437</v>
      </c>
      <c r="H828" s="10" t="s">
        <v>854</v>
      </c>
      <c r="I828" s="10" t="s">
        <v>55</v>
      </c>
      <c r="K828" s="10" t="s">
        <v>4210</v>
      </c>
      <c r="L828" s="10" t="s">
        <v>42</v>
      </c>
    </row>
    <row r="829" ht="15.75" customHeight="1">
      <c r="A829" s="66">
        <v>45495.0</v>
      </c>
      <c r="B829" s="55" t="str">
        <f>HYPERLINK("https://jobright.ai/jobs/info/669ed988fa3c944533b952be?utm_campaign=1062&amp;utm_source=sheet", "Apply")</f>
        <v>Apply</v>
      </c>
      <c r="C829" s="10" t="s">
        <v>4211</v>
      </c>
      <c r="D829" s="56" t="s">
        <v>4212</v>
      </c>
      <c r="E829" s="10" t="s">
        <v>45</v>
      </c>
      <c r="F829" s="10" t="s">
        <v>4213</v>
      </c>
      <c r="G829" s="10" t="s">
        <v>2484</v>
      </c>
      <c r="H829" s="10" t="s">
        <v>4214</v>
      </c>
      <c r="I829" s="10" t="s">
        <v>55</v>
      </c>
      <c r="K829" s="10" t="s">
        <v>4215</v>
      </c>
      <c r="L829" s="10" t="s">
        <v>42</v>
      </c>
    </row>
    <row r="830" ht="15.75" customHeight="1">
      <c r="A830" s="66">
        <v>45495.0</v>
      </c>
      <c r="B830" s="55" t="str">
        <f>HYPERLINK("https://jobright.ai/jobs/info/669ee71d335dddbe62d7d159?utm_campaign=1062&amp;utm_source=sheet", "Apply")</f>
        <v>Apply</v>
      </c>
      <c r="C830" s="10" t="s">
        <v>4216</v>
      </c>
      <c r="D830" s="56" t="s">
        <v>567</v>
      </c>
      <c r="E830" s="10" t="s">
        <v>65</v>
      </c>
      <c r="F830" s="10" t="s">
        <v>568</v>
      </c>
      <c r="G830" s="10" t="s">
        <v>2448</v>
      </c>
      <c r="H830" s="10" t="s">
        <v>73</v>
      </c>
      <c r="I830" s="10" t="s">
        <v>55</v>
      </c>
      <c r="J830" s="10" t="s">
        <v>4217</v>
      </c>
      <c r="K830" s="10" t="s">
        <v>3024</v>
      </c>
      <c r="L830" s="10" t="s">
        <v>42</v>
      </c>
    </row>
    <row r="831" ht="15.75" customHeight="1">
      <c r="A831" s="66">
        <v>45495.0</v>
      </c>
      <c r="B831" s="55" t="str">
        <f>HYPERLINK("https://jobright.ai/jobs/info/669edcda0a1a20b818bda162?utm_campaign=1062&amp;utm_source=sheet", "Apply")</f>
        <v>Apply</v>
      </c>
      <c r="C831" s="10" t="s">
        <v>2630</v>
      </c>
      <c r="D831" s="56" t="s">
        <v>2631</v>
      </c>
      <c r="E831" s="10" t="s">
        <v>209</v>
      </c>
      <c r="F831" s="10" t="s">
        <v>2632</v>
      </c>
      <c r="G831" s="10" t="s">
        <v>2464</v>
      </c>
      <c r="H831" s="10" t="s">
        <v>139</v>
      </c>
      <c r="I831" s="10" t="s">
        <v>55</v>
      </c>
      <c r="K831" s="10" t="s">
        <v>2633</v>
      </c>
      <c r="L831" s="10" t="s">
        <v>42</v>
      </c>
    </row>
    <row r="832" ht="15.75" customHeight="1">
      <c r="A832" s="66">
        <v>45495.0</v>
      </c>
      <c r="B832" s="55" t="str">
        <f>HYPERLINK("https://jobright.ai/jobs/info/669f38ce38820fc2debd2819?utm_campaign=1062&amp;utm_source=sheet", "Apply")</f>
        <v>Apply</v>
      </c>
      <c r="C832" s="10" t="s">
        <v>4218</v>
      </c>
      <c r="D832" s="56" t="s">
        <v>4197</v>
      </c>
      <c r="E832" s="10" t="s">
        <v>45</v>
      </c>
      <c r="F832" s="10" t="s">
        <v>2385</v>
      </c>
      <c r="G832" s="10" t="s">
        <v>2484</v>
      </c>
      <c r="H832" s="10" t="s">
        <v>3270</v>
      </c>
      <c r="I832" s="10" t="s">
        <v>55</v>
      </c>
      <c r="K832" s="10" t="s">
        <v>4219</v>
      </c>
      <c r="L832" s="10" t="s">
        <v>42</v>
      </c>
    </row>
    <row r="833" ht="15.75" customHeight="1">
      <c r="A833" s="66">
        <v>45495.0</v>
      </c>
      <c r="B833" s="55" t="str">
        <f>HYPERLINK("https://jobright.ai/jobs/info/669f38ce38820fc2debd281a?utm_campaign=1062&amp;utm_source=sheet", "Apply")</f>
        <v>Apply</v>
      </c>
      <c r="C833" s="10" t="s">
        <v>4218</v>
      </c>
      <c r="D833" s="56" t="s">
        <v>4197</v>
      </c>
      <c r="E833" s="10" t="s">
        <v>45</v>
      </c>
      <c r="F833" s="10" t="s">
        <v>2385</v>
      </c>
      <c r="G833" s="10" t="s">
        <v>2484</v>
      </c>
      <c r="H833" s="10" t="s">
        <v>3309</v>
      </c>
      <c r="I833" s="10" t="s">
        <v>55</v>
      </c>
      <c r="K833" s="10" t="s">
        <v>4219</v>
      </c>
      <c r="L833" s="10" t="s">
        <v>42</v>
      </c>
    </row>
    <row r="834" ht="15.75" customHeight="1">
      <c r="A834" s="66">
        <v>45495.0</v>
      </c>
      <c r="B834" s="55" t="str">
        <f>HYPERLINK("https://jobright.ai/jobs/info/669ee70e335dddbe62d7cf5e?utm_campaign=1062&amp;utm_source=sheet", "Apply")</f>
        <v>Apply</v>
      </c>
      <c r="C834" s="10" t="s">
        <v>4206</v>
      </c>
      <c r="D834" s="56" t="s">
        <v>4197</v>
      </c>
      <c r="E834" s="10" t="s">
        <v>45</v>
      </c>
      <c r="F834" s="10" t="s">
        <v>2385</v>
      </c>
      <c r="G834" s="10" t="s">
        <v>2448</v>
      </c>
      <c r="H834" s="10" t="s">
        <v>251</v>
      </c>
      <c r="I834" s="10" t="s">
        <v>252</v>
      </c>
      <c r="K834" s="10" t="s">
        <v>4207</v>
      </c>
      <c r="L834" s="10" t="s">
        <v>42</v>
      </c>
    </row>
    <row r="835" ht="15.75" customHeight="1">
      <c r="A835" s="66">
        <v>45495.0</v>
      </c>
      <c r="B835" s="55" t="str">
        <f>HYPERLINK("https://jobright.ai/jobs/info/669ee723335dddbe62d7d220?utm_campaign=1062&amp;utm_source=sheet", "Apply")</f>
        <v>Apply</v>
      </c>
      <c r="C835" s="10" t="s">
        <v>4218</v>
      </c>
      <c r="D835" s="56" t="s">
        <v>4197</v>
      </c>
      <c r="E835" s="10" t="s">
        <v>45</v>
      </c>
      <c r="F835" s="10" t="s">
        <v>2385</v>
      </c>
      <c r="G835" s="10" t="s">
        <v>2484</v>
      </c>
      <c r="H835" s="10" t="s">
        <v>3271</v>
      </c>
      <c r="I835" s="10" t="s">
        <v>55</v>
      </c>
      <c r="K835" s="10" t="s">
        <v>4219</v>
      </c>
      <c r="L835" s="10" t="s">
        <v>42</v>
      </c>
    </row>
    <row r="836" ht="15.75" customHeight="1">
      <c r="A836" s="66">
        <v>45495.0</v>
      </c>
      <c r="B836" s="55" t="str">
        <f>HYPERLINK("https://jobright.ai/jobs/info/669ee70e335dddbe62d7cf49?utm_campaign=1062&amp;utm_source=sheet", "Apply")</f>
        <v>Apply</v>
      </c>
      <c r="C836" s="10" t="s">
        <v>4196</v>
      </c>
      <c r="D836" s="56" t="s">
        <v>4197</v>
      </c>
      <c r="E836" s="10" t="s">
        <v>45</v>
      </c>
      <c r="F836" s="10" t="s">
        <v>2385</v>
      </c>
      <c r="G836" s="10" t="s">
        <v>2807</v>
      </c>
      <c r="H836" s="10" t="s">
        <v>636</v>
      </c>
      <c r="I836" s="10" t="s">
        <v>55</v>
      </c>
      <c r="K836" s="10" t="s">
        <v>4198</v>
      </c>
      <c r="L836" s="10" t="s">
        <v>42</v>
      </c>
    </row>
    <row r="837" ht="15.75" customHeight="1">
      <c r="A837" s="66">
        <v>45495.0</v>
      </c>
      <c r="B837" s="55" t="str">
        <f>HYPERLINK("https://jobright.ai/jobs/info/669ee723335dddbe62d7d221?utm_campaign=1062&amp;utm_source=sheet", "Apply")</f>
        <v>Apply</v>
      </c>
      <c r="C837" s="10" t="s">
        <v>4218</v>
      </c>
      <c r="D837" s="56" t="s">
        <v>4197</v>
      </c>
      <c r="E837" s="10" t="s">
        <v>45</v>
      </c>
      <c r="F837" s="10" t="s">
        <v>2385</v>
      </c>
      <c r="G837" s="10" t="s">
        <v>2484</v>
      </c>
      <c r="H837" s="10" t="s">
        <v>3266</v>
      </c>
      <c r="I837" s="10" t="s">
        <v>55</v>
      </c>
      <c r="K837" s="10" t="s">
        <v>4219</v>
      </c>
      <c r="L837" s="10" t="s">
        <v>42</v>
      </c>
    </row>
    <row r="838" ht="15.75" customHeight="1">
      <c r="A838" s="66">
        <v>45495.0</v>
      </c>
      <c r="B838" s="55" t="str">
        <f>HYPERLINK("https://jobright.ai/jobs/info/669ee70e335dddbe62d7cf53?utm_campaign=1062&amp;utm_source=sheet", "Apply")</f>
        <v>Apply</v>
      </c>
      <c r="C838" s="10" t="s">
        <v>4218</v>
      </c>
      <c r="D838" s="56" t="s">
        <v>4197</v>
      </c>
      <c r="E838" s="10" t="s">
        <v>45</v>
      </c>
      <c r="F838" s="10" t="s">
        <v>2385</v>
      </c>
      <c r="G838" s="10" t="s">
        <v>2484</v>
      </c>
      <c r="H838" s="10" t="s">
        <v>4205</v>
      </c>
      <c r="I838" s="10" t="s">
        <v>55</v>
      </c>
      <c r="K838" s="10" t="s">
        <v>4219</v>
      </c>
      <c r="L838" s="10" t="s">
        <v>42</v>
      </c>
    </row>
    <row r="839" ht="15.75" customHeight="1">
      <c r="A839" s="66">
        <v>45495.0</v>
      </c>
      <c r="B839" s="55" t="str">
        <f>HYPERLINK("https://jobright.ai/jobs/info/669ee04f6d37918f3bac842f?utm_campaign=1062&amp;utm_source=sheet", "Apply")</f>
        <v>Apply</v>
      </c>
      <c r="C839" s="10" t="s">
        <v>2630</v>
      </c>
      <c r="D839" s="56" t="s">
        <v>2631</v>
      </c>
      <c r="E839" s="10" t="s">
        <v>209</v>
      </c>
      <c r="F839" s="10" t="s">
        <v>2632</v>
      </c>
      <c r="G839" s="10" t="s">
        <v>2464</v>
      </c>
      <c r="H839" s="10" t="s">
        <v>986</v>
      </c>
      <c r="I839" s="10" t="s">
        <v>55</v>
      </c>
      <c r="K839" s="10" t="s">
        <v>2633</v>
      </c>
      <c r="L839" s="10" t="s">
        <v>42</v>
      </c>
    </row>
    <row r="840" ht="15.75" customHeight="1">
      <c r="A840" s="66">
        <v>45495.0</v>
      </c>
      <c r="B840" s="55" t="str">
        <f>HYPERLINK("https://jobright.ai/jobs/info/669ee04f6d37918f3bac8430?utm_campaign=1062&amp;utm_source=sheet", "Apply")</f>
        <v>Apply</v>
      </c>
      <c r="C840" s="10" t="s">
        <v>2630</v>
      </c>
      <c r="D840" s="56" t="s">
        <v>2631</v>
      </c>
      <c r="E840" s="10" t="s">
        <v>209</v>
      </c>
      <c r="F840" s="10" t="s">
        <v>2632</v>
      </c>
      <c r="G840" s="10" t="s">
        <v>2464</v>
      </c>
      <c r="H840" s="10" t="s">
        <v>610</v>
      </c>
      <c r="I840" s="10" t="s">
        <v>55</v>
      </c>
      <c r="K840" s="10" t="s">
        <v>2633</v>
      </c>
      <c r="L840" s="10" t="s">
        <v>42</v>
      </c>
    </row>
    <row r="841" ht="15.75" customHeight="1">
      <c r="A841" s="66">
        <v>45495.0</v>
      </c>
      <c r="B841" s="55" t="str">
        <f>HYPERLINK("https://jobright.ai/jobs/info/669edcda0a1a20b818bda183?utm_campaign=1062&amp;utm_source=sheet", "Apply")</f>
        <v>Apply</v>
      </c>
      <c r="C841" s="10" t="s">
        <v>4216</v>
      </c>
      <c r="D841" s="56" t="s">
        <v>567</v>
      </c>
      <c r="E841" s="10" t="s">
        <v>65</v>
      </c>
      <c r="F841" s="10" t="s">
        <v>568</v>
      </c>
      <c r="G841" s="10" t="s">
        <v>2448</v>
      </c>
      <c r="H841" s="10" t="s">
        <v>442</v>
      </c>
      <c r="I841" s="10" t="s">
        <v>55</v>
      </c>
      <c r="J841" s="10" t="s">
        <v>4217</v>
      </c>
      <c r="K841" s="10" t="s">
        <v>3024</v>
      </c>
      <c r="L841" s="10" t="s">
        <v>42</v>
      </c>
    </row>
    <row r="842" ht="15.75" customHeight="1">
      <c r="A842" s="66">
        <v>45495.0</v>
      </c>
      <c r="B842" s="55" t="str">
        <f>HYPERLINK("https://jobright.ai/jobs/info/669edcfb0a1a20b818bda47a?utm_campaign=1062&amp;utm_source=sheet", "Apply")</f>
        <v>Apply</v>
      </c>
      <c r="C842" s="10" t="s">
        <v>4216</v>
      </c>
      <c r="D842" s="56" t="s">
        <v>567</v>
      </c>
      <c r="E842" s="10" t="s">
        <v>65</v>
      </c>
      <c r="F842" s="10" t="s">
        <v>568</v>
      </c>
      <c r="G842" s="10" t="s">
        <v>2448</v>
      </c>
      <c r="H842" s="10" t="s">
        <v>4220</v>
      </c>
      <c r="I842" s="10" t="s">
        <v>55</v>
      </c>
      <c r="J842" s="10" t="s">
        <v>4217</v>
      </c>
      <c r="K842" s="10" t="s">
        <v>3024</v>
      </c>
      <c r="L842" s="10" t="s">
        <v>42</v>
      </c>
    </row>
    <row r="843" ht="15.75" customHeight="1">
      <c r="A843" s="66">
        <v>45495.0</v>
      </c>
      <c r="B843" s="55" t="str">
        <f>HYPERLINK("https://jobright.ai/jobs/info/669edcfb0a1a20b818bda47b?utm_campaign=1062&amp;utm_source=sheet", "Apply")</f>
        <v>Apply</v>
      </c>
      <c r="C843" s="10" t="s">
        <v>4216</v>
      </c>
      <c r="D843" s="56" t="s">
        <v>567</v>
      </c>
      <c r="E843" s="10" t="s">
        <v>65</v>
      </c>
      <c r="F843" s="10" t="s">
        <v>568</v>
      </c>
      <c r="G843" s="10" t="s">
        <v>2448</v>
      </c>
      <c r="H843" s="10" t="s">
        <v>4221</v>
      </c>
      <c r="I843" s="10" t="s">
        <v>55</v>
      </c>
      <c r="J843" s="10" t="s">
        <v>4217</v>
      </c>
      <c r="K843" s="10" t="s">
        <v>3024</v>
      </c>
      <c r="L843" s="10" t="s">
        <v>42</v>
      </c>
    </row>
    <row r="844" ht="15.75" customHeight="1">
      <c r="A844" s="66">
        <v>45495.0</v>
      </c>
      <c r="B844" s="55" t="str">
        <f>HYPERLINK("https://jobright.ai/jobs/info/669edcfb0a1a20b818bda47c?utm_campaign=1062&amp;utm_source=sheet", "Apply")</f>
        <v>Apply</v>
      </c>
      <c r="C844" s="10" t="s">
        <v>4216</v>
      </c>
      <c r="D844" s="56" t="s">
        <v>567</v>
      </c>
      <c r="E844" s="10" t="s">
        <v>65</v>
      </c>
      <c r="F844" s="10" t="s">
        <v>568</v>
      </c>
      <c r="G844" s="10" t="s">
        <v>2448</v>
      </c>
      <c r="H844" s="10" t="s">
        <v>154</v>
      </c>
      <c r="I844" s="10" t="s">
        <v>55</v>
      </c>
      <c r="J844" s="10" t="s">
        <v>4217</v>
      </c>
      <c r="K844" s="10" t="s">
        <v>3024</v>
      </c>
      <c r="L844" s="10" t="s">
        <v>42</v>
      </c>
    </row>
    <row r="845" ht="15.75" customHeight="1">
      <c r="A845" s="66">
        <v>45495.0</v>
      </c>
      <c r="B845" s="55" t="str">
        <f>HYPERLINK("https://jobright.ai/jobs/info/669ee05f6d37918f3bac85eb?utm_campaign=1062&amp;utm_source=sheet", "Apply")</f>
        <v>Apply</v>
      </c>
      <c r="C845" s="10" t="s">
        <v>4216</v>
      </c>
      <c r="D845" s="56" t="s">
        <v>567</v>
      </c>
      <c r="E845" s="10" t="s">
        <v>65</v>
      </c>
      <c r="F845" s="10" t="s">
        <v>568</v>
      </c>
      <c r="G845" s="10" t="s">
        <v>2448</v>
      </c>
      <c r="H845" s="10" t="s">
        <v>578</v>
      </c>
      <c r="I845" s="10" t="s">
        <v>55</v>
      </c>
      <c r="J845" s="10" t="s">
        <v>4217</v>
      </c>
      <c r="K845" s="10" t="s">
        <v>3024</v>
      </c>
      <c r="L845" s="10" t="s">
        <v>42</v>
      </c>
    </row>
    <row r="846" ht="15.75" customHeight="1">
      <c r="A846" s="66">
        <v>45495.0</v>
      </c>
      <c r="B846" s="55" t="str">
        <f>HYPERLINK("https://jobright.ai/jobs/info/669efe77fd551666e1d03ae8?utm_campaign=1062&amp;utm_source=sheet", "Apply")</f>
        <v>Apply</v>
      </c>
      <c r="C846" s="10" t="s">
        <v>4222</v>
      </c>
      <c r="D846" s="56" t="s">
        <v>1794</v>
      </c>
      <c r="E846" s="10" t="s">
        <v>65</v>
      </c>
      <c r="F846" s="10" t="s">
        <v>1795</v>
      </c>
      <c r="G846" s="10" t="s">
        <v>2448</v>
      </c>
      <c r="H846" s="10" t="s">
        <v>1796</v>
      </c>
      <c r="I846" s="10" t="s">
        <v>55</v>
      </c>
      <c r="J846" s="10" t="s">
        <v>1409</v>
      </c>
      <c r="K846" s="10" t="s">
        <v>4223</v>
      </c>
      <c r="L846" s="10" t="s">
        <v>42</v>
      </c>
    </row>
    <row r="847" ht="15.75" customHeight="1">
      <c r="A847" s="66">
        <v>45495.0</v>
      </c>
      <c r="B847" s="55" t="str">
        <f>HYPERLINK("https://jobright.ai/jobs/info/669ee15c955da1e92eb3ea85?utm_campaign=1062&amp;utm_source=sheet", "Apply")</f>
        <v>Apply</v>
      </c>
      <c r="C847" s="10" t="s">
        <v>4224</v>
      </c>
      <c r="D847" s="56" t="s">
        <v>4225</v>
      </c>
      <c r="E847" s="10" t="s">
        <v>209</v>
      </c>
      <c r="F847" s="10" t="s">
        <v>4226</v>
      </c>
      <c r="G847" s="10" t="s">
        <v>2437</v>
      </c>
      <c r="H847" s="10" t="s">
        <v>4227</v>
      </c>
      <c r="I847" s="10" t="s">
        <v>55</v>
      </c>
      <c r="K847" s="10" t="s">
        <v>4228</v>
      </c>
      <c r="L847" s="10" t="s">
        <v>42</v>
      </c>
    </row>
    <row r="848" ht="15.75" customHeight="1">
      <c r="A848" s="66">
        <v>45495.0</v>
      </c>
      <c r="B848" s="55" t="str">
        <f>HYPERLINK("https://jobright.ai/jobs/info/669ed988fa3c944533b9530a?utm_campaign=1062&amp;utm_source=sheet", "Apply")</f>
        <v>Apply</v>
      </c>
      <c r="C848" s="10" t="s">
        <v>4229</v>
      </c>
      <c r="D848" s="56" t="s">
        <v>4225</v>
      </c>
      <c r="E848" s="10" t="s">
        <v>209</v>
      </c>
      <c r="F848" s="10" t="s">
        <v>4226</v>
      </c>
      <c r="G848" s="10" t="s">
        <v>2470</v>
      </c>
      <c r="H848" s="10" t="s">
        <v>4230</v>
      </c>
      <c r="I848" s="10" t="s">
        <v>55</v>
      </c>
      <c r="K848" s="10" t="s">
        <v>4231</v>
      </c>
      <c r="L848" s="10" t="s">
        <v>42</v>
      </c>
    </row>
    <row r="849" ht="15.75" customHeight="1">
      <c r="A849" s="66">
        <v>45495.0</v>
      </c>
      <c r="B849" s="55" t="str">
        <f>HYPERLINK("https://jobright.ai/jobs/info/667b5c49144544f4c57b5536?utm_campaign=1062&amp;utm_source=sheet", "Apply")</f>
        <v>Apply</v>
      </c>
      <c r="C849" s="10" t="s">
        <v>4232</v>
      </c>
      <c r="D849" s="56" t="s">
        <v>4233</v>
      </c>
      <c r="E849" s="10" t="s">
        <v>65</v>
      </c>
      <c r="F849" s="10" t="s">
        <v>1124</v>
      </c>
      <c r="G849" s="10" t="s">
        <v>2459</v>
      </c>
      <c r="H849" s="10" t="s">
        <v>1260</v>
      </c>
      <c r="I849" s="10" t="s">
        <v>55</v>
      </c>
      <c r="J849" s="10" t="s">
        <v>4234</v>
      </c>
      <c r="K849" s="10" t="s">
        <v>4235</v>
      </c>
      <c r="L849" s="10" t="s">
        <v>42</v>
      </c>
    </row>
    <row r="850" ht="15.75" customHeight="1">
      <c r="A850" s="66">
        <v>45495.0</v>
      </c>
      <c r="B850" s="55" t="str">
        <f>HYPERLINK("https://jobright.ai/jobs/info/669eda75445b4140a485db3c?utm_campaign=1062&amp;utm_source=sheet", "Apply")</f>
        <v>Apply</v>
      </c>
      <c r="C850" s="10" t="s">
        <v>3550</v>
      </c>
      <c r="D850" s="56" t="s">
        <v>4236</v>
      </c>
      <c r="E850" s="10" t="s">
        <v>65</v>
      </c>
      <c r="F850" s="10" t="s">
        <v>4237</v>
      </c>
      <c r="G850" s="10" t="s">
        <v>2464</v>
      </c>
      <c r="H850" s="10" t="s">
        <v>167</v>
      </c>
      <c r="I850" s="10" t="s">
        <v>55</v>
      </c>
      <c r="K850" s="10" t="s">
        <v>4238</v>
      </c>
      <c r="L850" s="10" t="s">
        <v>42</v>
      </c>
    </row>
    <row r="851" ht="15.75" customHeight="1">
      <c r="A851" s="66">
        <v>45495.0</v>
      </c>
      <c r="B851" s="55" t="str">
        <f>HYPERLINK("https://jobright.ai/jobs/info/669ece4870bef644cfa14ee9?utm_campaign=1062&amp;utm_source=sheet", "Apply")</f>
        <v>Apply</v>
      </c>
      <c r="C851" s="10" t="s">
        <v>4239</v>
      </c>
      <c r="D851" s="56" t="s">
        <v>4240</v>
      </c>
      <c r="E851" s="10" t="s">
        <v>79</v>
      </c>
      <c r="F851" s="10" t="s">
        <v>10</v>
      </c>
      <c r="G851" s="10" t="s">
        <v>2464</v>
      </c>
      <c r="H851" s="10" t="s">
        <v>807</v>
      </c>
      <c r="I851" s="10" t="s">
        <v>48</v>
      </c>
      <c r="K851" s="10" t="s">
        <v>4241</v>
      </c>
      <c r="L851" s="10" t="s">
        <v>42</v>
      </c>
    </row>
    <row r="852" ht="15.75" customHeight="1">
      <c r="A852" s="66">
        <v>45495.0</v>
      </c>
      <c r="B852" s="55" t="str">
        <f>HYPERLINK("https://jobright.ai/jobs/info/669ed27342b6caf656ce3fc8?utm_campaign=1062&amp;utm_source=sheet", "Apply")</f>
        <v>Apply</v>
      </c>
      <c r="C852" s="10" t="s">
        <v>4242</v>
      </c>
      <c r="D852" s="56" t="s">
        <v>3071</v>
      </c>
      <c r="E852" s="10" t="s">
        <v>45</v>
      </c>
      <c r="F852" s="10" t="s">
        <v>1234</v>
      </c>
      <c r="G852" s="10" t="s">
        <v>2448</v>
      </c>
      <c r="H852" s="10" t="s">
        <v>153</v>
      </c>
      <c r="I852" s="10" t="s">
        <v>48</v>
      </c>
      <c r="K852" s="10" t="s">
        <v>4243</v>
      </c>
      <c r="L852" s="10" t="s">
        <v>42</v>
      </c>
    </row>
    <row r="853" ht="15.75" customHeight="1">
      <c r="A853" s="66">
        <v>45495.0</v>
      </c>
      <c r="B853" s="55" t="str">
        <f>HYPERLINK("https://jobright.ai/jobs/info/669df6aad1a3ddc59e9caebe?utm_campaign=1062&amp;utm_source=sheet", "Apply")</f>
        <v>Apply</v>
      </c>
      <c r="C853" s="10" t="s">
        <v>4244</v>
      </c>
      <c r="D853" s="56" t="s">
        <v>4245</v>
      </c>
      <c r="E853" s="10" t="s">
        <v>71</v>
      </c>
      <c r="F853" s="10" t="s">
        <v>1323</v>
      </c>
      <c r="G853" s="10" t="s">
        <v>2579</v>
      </c>
      <c r="H853" s="10" t="s">
        <v>4246</v>
      </c>
      <c r="I853" s="10" t="s">
        <v>55</v>
      </c>
      <c r="K853" s="10" t="s">
        <v>4247</v>
      </c>
      <c r="L853" s="10" t="s">
        <v>42</v>
      </c>
    </row>
    <row r="854" ht="15.75" customHeight="1">
      <c r="A854" s="66">
        <v>45495.0</v>
      </c>
      <c r="B854" s="55" t="str">
        <f>HYPERLINK("https://jobright.ai/jobs/info/669edde8155ef203fa66a727?utm_campaign=1062&amp;utm_source=sheet", "Apply")</f>
        <v>Apply</v>
      </c>
      <c r="C854" s="10" t="s">
        <v>4248</v>
      </c>
      <c r="D854" s="56" t="s">
        <v>4249</v>
      </c>
      <c r="F854" s="10" t="s">
        <v>4250</v>
      </c>
      <c r="G854" s="10" t="s">
        <v>2437</v>
      </c>
      <c r="H854" s="10" t="s">
        <v>4251</v>
      </c>
      <c r="I854" s="10" t="s">
        <v>55</v>
      </c>
      <c r="K854" s="10" t="s">
        <v>4252</v>
      </c>
      <c r="L854" s="10" t="s">
        <v>42</v>
      </c>
    </row>
    <row r="855" ht="15.75" customHeight="1">
      <c r="A855" s="66">
        <v>45495.0</v>
      </c>
      <c r="B855" s="55" t="str">
        <f>HYPERLINK("https://jobright.ai/jobs/info/669ece5670bef644cfa14fcb?utm_campaign=1062&amp;utm_source=sheet", "Apply")</f>
        <v>Apply</v>
      </c>
      <c r="C855" s="10" t="s">
        <v>4253</v>
      </c>
      <c r="D855" s="56" t="s">
        <v>4254</v>
      </c>
      <c r="E855" s="10" t="s">
        <v>79</v>
      </c>
      <c r="F855" s="10" t="s">
        <v>3060</v>
      </c>
      <c r="G855" s="10" t="s">
        <v>2464</v>
      </c>
      <c r="H855" s="10" t="s">
        <v>1688</v>
      </c>
      <c r="I855" s="10" t="s">
        <v>55</v>
      </c>
      <c r="J855" s="10" t="s">
        <v>4255</v>
      </c>
      <c r="K855" s="10" t="s">
        <v>4256</v>
      </c>
      <c r="L855" s="10" t="s">
        <v>42</v>
      </c>
    </row>
    <row r="856" ht="15.75" customHeight="1">
      <c r="A856" s="66">
        <v>45495.0</v>
      </c>
      <c r="B856" s="55" t="str">
        <f>HYPERLINK("https://jobright.ai/jobs/info/669ee15c955da1e92eb3eaa8?utm_campaign=1062&amp;utm_source=sheet", "Apply")</f>
        <v>Apply</v>
      </c>
      <c r="C856" s="10" t="s">
        <v>4191</v>
      </c>
      <c r="D856" s="56" t="s">
        <v>4192</v>
      </c>
      <c r="E856" s="10" t="s">
        <v>45</v>
      </c>
      <c r="F856" s="10" t="s">
        <v>471</v>
      </c>
      <c r="G856" s="10" t="s">
        <v>2448</v>
      </c>
      <c r="H856" s="10" t="s">
        <v>1021</v>
      </c>
      <c r="I856" s="10" t="s">
        <v>55</v>
      </c>
      <c r="K856" s="10" t="s">
        <v>4194</v>
      </c>
      <c r="L856" s="10" t="s">
        <v>42</v>
      </c>
    </row>
    <row r="857" ht="15.75" customHeight="1">
      <c r="A857" s="66">
        <v>45495.0</v>
      </c>
      <c r="B857" s="55" t="str">
        <f>HYPERLINK("https://jobright.ai/jobs/info/6679adf30876913fed304e0f?utm_campaign=1062&amp;utm_source=sheet", "Apply")</f>
        <v>Apply</v>
      </c>
      <c r="C857" s="10" t="s">
        <v>4257</v>
      </c>
      <c r="D857" s="56" t="s">
        <v>4258</v>
      </c>
      <c r="E857" s="10" t="s">
        <v>45</v>
      </c>
      <c r="F857" s="10" t="s">
        <v>4259</v>
      </c>
      <c r="G857" s="10" t="s">
        <v>2484</v>
      </c>
      <c r="H857" s="10" t="s">
        <v>159</v>
      </c>
      <c r="I857" s="10" t="s">
        <v>55</v>
      </c>
      <c r="K857" s="10" t="s">
        <v>4260</v>
      </c>
      <c r="L857" s="10" t="s">
        <v>42</v>
      </c>
    </row>
    <row r="858" ht="15.75" customHeight="1">
      <c r="A858" s="66">
        <v>45495.0</v>
      </c>
      <c r="B858" s="55" t="str">
        <f>HYPERLINK("https://jobright.ai/jobs/info/669ebb7a20640de33b233c54?utm_campaign=1062&amp;utm_source=sheet", "Apply")</f>
        <v>Apply</v>
      </c>
      <c r="C858" s="10" t="s">
        <v>3236</v>
      </c>
      <c r="D858" s="56" t="s">
        <v>1989</v>
      </c>
      <c r="E858" s="10">
        <v>11491.0</v>
      </c>
      <c r="G858" s="10" t="s">
        <v>2443</v>
      </c>
      <c r="H858" s="10" t="s">
        <v>4261</v>
      </c>
      <c r="I858" s="10" t="s">
        <v>55</v>
      </c>
      <c r="K858" s="10" t="s">
        <v>4262</v>
      </c>
      <c r="L858" s="10" t="s">
        <v>42</v>
      </c>
    </row>
    <row r="859" ht="15.75" customHeight="1">
      <c r="A859" s="66">
        <v>45495.0</v>
      </c>
      <c r="B859" s="55" t="str">
        <f>HYPERLINK("https://jobright.ai/jobs/info/669eb0486d94e3741e2fcedb?utm_campaign=1062&amp;utm_source=sheet", "Apply")</f>
        <v>Apply</v>
      </c>
      <c r="C859" s="10" t="s">
        <v>4263</v>
      </c>
      <c r="D859" s="56" t="s">
        <v>2322</v>
      </c>
      <c r="E859" s="10" t="s">
        <v>71</v>
      </c>
      <c r="F859" s="10" t="s">
        <v>250</v>
      </c>
      <c r="G859" s="10" t="s">
        <v>2470</v>
      </c>
      <c r="H859" s="10" t="s">
        <v>636</v>
      </c>
      <c r="I859" s="10" t="s">
        <v>55</v>
      </c>
      <c r="K859" s="10" t="s">
        <v>4264</v>
      </c>
      <c r="L859" s="10" t="s">
        <v>42</v>
      </c>
    </row>
    <row r="860" ht="15.75" customHeight="1">
      <c r="A860" s="66">
        <v>45495.0</v>
      </c>
      <c r="B860" s="55" t="str">
        <f>HYPERLINK("https://jobright.ai/jobs/info/669eaaf2bdf52c9b5636ff14?utm_campaign=1062&amp;utm_source=sheet", "Apply")</f>
        <v>Apply</v>
      </c>
      <c r="C860" s="10" t="s">
        <v>2594</v>
      </c>
      <c r="D860" s="56" t="s">
        <v>4265</v>
      </c>
      <c r="E860" s="59">
        <v>45301.0</v>
      </c>
      <c r="F860" s="10" t="s">
        <v>4266</v>
      </c>
      <c r="G860" s="10" t="s">
        <v>2484</v>
      </c>
      <c r="H860" s="10" t="s">
        <v>2222</v>
      </c>
      <c r="I860" s="10" t="s">
        <v>55</v>
      </c>
      <c r="K860" s="10" t="s">
        <v>4267</v>
      </c>
      <c r="L860" s="10" t="s">
        <v>42</v>
      </c>
    </row>
    <row r="861" ht="15.75" customHeight="1">
      <c r="A861" s="66">
        <v>45495.0</v>
      </c>
      <c r="B861" s="55" t="str">
        <f>HYPERLINK("https://jobright.ai/jobs/info/669eaef317d5ed9a58b84428?utm_campaign=1062&amp;utm_source=sheet", "Apply")</f>
        <v>Apply</v>
      </c>
      <c r="C861" s="10" t="s">
        <v>4268</v>
      </c>
      <c r="D861" s="56" t="s">
        <v>4269</v>
      </c>
      <c r="E861" s="10" t="s">
        <v>209</v>
      </c>
      <c r="F861" s="10" t="s">
        <v>1234</v>
      </c>
      <c r="G861" s="10" t="s">
        <v>2448</v>
      </c>
      <c r="H861" s="10" t="s">
        <v>73</v>
      </c>
      <c r="I861" s="10" t="s">
        <v>55</v>
      </c>
      <c r="K861" s="10" t="s">
        <v>4270</v>
      </c>
      <c r="L861" s="10" t="s">
        <v>42</v>
      </c>
    </row>
    <row r="862" ht="15.75" customHeight="1">
      <c r="A862" s="66">
        <v>45495.0</v>
      </c>
      <c r="B862" s="55" t="str">
        <f>HYPERLINK("https://jobright.ai/jobs/info/669f3568513d45c522bb267d?utm_campaign=1062&amp;utm_source=sheet", "Apply")</f>
        <v>Apply</v>
      </c>
      <c r="C862" s="10" t="s">
        <v>3236</v>
      </c>
      <c r="D862" s="56" t="s">
        <v>4271</v>
      </c>
      <c r="E862" s="10" t="s">
        <v>45</v>
      </c>
      <c r="F862" s="10" t="s">
        <v>4272</v>
      </c>
      <c r="G862" s="10" t="s">
        <v>2443</v>
      </c>
      <c r="H862" s="10" t="s">
        <v>636</v>
      </c>
      <c r="I862" s="10" t="s">
        <v>55</v>
      </c>
      <c r="K862" s="10" t="s">
        <v>4273</v>
      </c>
      <c r="L862" s="10" t="s">
        <v>42</v>
      </c>
    </row>
    <row r="863" ht="15.75" customHeight="1">
      <c r="A863" s="66">
        <v>45495.0</v>
      </c>
      <c r="B863" s="55" t="str">
        <f>HYPERLINK("https://jobright.ai/jobs/info/669faf55409ac17305d784a2?utm_campaign=1062&amp;utm_source=sheet", "Apply")</f>
        <v>Apply</v>
      </c>
      <c r="C863" s="10" t="s">
        <v>4274</v>
      </c>
      <c r="D863" s="56" t="s">
        <v>3957</v>
      </c>
      <c r="E863" s="10" t="s">
        <v>45</v>
      </c>
      <c r="F863" s="10" t="s">
        <v>3958</v>
      </c>
      <c r="G863" s="10" t="s">
        <v>2455</v>
      </c>
      <c r="H863" s="10" t="s">
        <v>1254</v>
      </c>
      <c r="I863" s="10" t="s">
        <v>55</v>
      </c>
      <c r="K863" s="10" t="s">
        <v>4275</v>
      </c>
      <c r="L863" s="10" t="s">
        <v>42</v>
      </c>
    </row>
    <row r="864" ht="15.75" customHeight="1">
      <c r="A864" s="66">
        <v>45495.0</v>
      </c>
      <c r="B864" s="55" t="str">
        <f>HYPERLINK("https://jobright.ai/jobs/info/66999cd5830db724f81aae50?utm_campaign=1062&amp;utm_source=sheet", "Apply")</f>
        <v>Apply</v>
      </c>
      <c r="C864" s="10" t="s">
        <v>4276</v>
      </c>
      <c r="D864" s="56" t="s">
        <v>567</v>
      </c>
      <c r="E864" s="10" t="s">
        <v>65</v>
      </c>
      <c r="F864" s="10" t="s">
        <v>568</v>
      </c>
      <c r="G864" s="10" t="s">
        <v>2448</v>
      </c>
      <c r="H864" s="10" t="s">
        <v>572</v>
      </c>
      <c r="I864" s="10" t="s">
        <v>55</v>
      </c>
      <c r="K864" s="10" t="s">
        <v>3024</v>
      </c>
      <c r="L864" s="10" t="s">
        <v>42</v>
      </c>
    </row>
    <row r="865" ht="15.75" customHeight="1">
      <c r="A865" s="66">
        <v>45495.0</v>
      </c>
      <c r="B865" s="55" t="str">
        <f>HYPERLINK("https://jobright.ai/jobs/info/667dfcbe63c037a1350fd2f4?utm_campaign=1062&amp;utm_source=sheet", "Apply")</f>
        <v>Apply</v>
      </c>
      <c r="C865" s="10" t="s">
        <v>4277</v>
      </c>
      <c r="D865" s="56" t="s">
        <v>4278</v>
      </c>
      <c r="E865" s="10" t="s">
        <v>276</v>
      </c>
      <c r="F865" s="10" t="s">
        <v>2781</v>
      </c>
      <c r="G865" s="10" t="s">
        <v>2464</v>
      </c>
      <c r="H865" s="10" t="s">
        <v>4279</v>
      </c>
      <c r="I865" s="10" t="s">
        <v>55</v>
      </c>
      <c r="K865" s="10" t="s">
        <v>4280</v>
      </c>
      <c r="L865" s="10" t="s">
        <v>42</v>
      </c>
    </row>
    <row r="866" ht="15.75" customHeight="1">
      <c r="A866" s="66">
        <v>45495.0</v>
      </c>
      <c r="B866" s="55" t="str">
        <f>HYPERLINK("https://jobright.ai/jobs/info/669e8c3eb9186741b8e6f4df?utm_campaign=1062&amp;utm_source=sheet", "Apply")</f>
        <v>Apply</v>
      </c>
      <c r="C866" s="10" t="s">
        <v>4281</v>
      </c>
      <c r="D866" s="56" t="s">
        <v>2493</v>
      </c>
      <c r="E866" s="10" t="s">
        <v>45</v>
      </c>
      <c r="F866" s="10" t="s">
        <v>2494</v>
      </c>
      <c r="G866" s="10" t="s">
        <v>2484</v>
      </c>
      <c r="H866" s="10" t="s">
        <v>936</v>
      </c>
      <c r="I866" s="10" t="s">
        <v>55</v>
      </c>
      <c r="K866" s="10" t="s">
        <v>4282</v>
      </c>
      <c r="L866" s="10" t="s">
        <v>42</v>
      </c>
    </row>
    <row r="867" ht="15.75" customHeight="1">
      <c r="A867" s="66">
        <v>45495.0</v>
      </c>
      <c r="B867" s="55" t="str">
        <f>HYPERLINK("https://jobright.ai/jobs/info/669e99a349d1c738f4cb0148?utm_campaign=1062&amp;utm_source=sheet", "Apply")</f>
        <v>Apply</v>
      </c>
      <c r="C867" s="10" t="s">
        <v>2630</v>
      </c>
      <c r="D867" s="56" t="s">
        <v>2631</v>
      </c>
      <c r="E867" s="10" t="s">
        <v>209</v>
      </c>
      <c r="F867" s="10" t="s">
        <v>2632</v>
      </c>
      <c r="G867" s="10" t="s">
        <v>2464</v>
      </c>
      <c r="H867" s="10" t="s">
        <v>965</v>
      </c>
      <c r="I867" s="10" t="s">
        <v>55</v>
      </c>
      <c r="K867" s="10" t="s">
        <v>2633</v>
      </c>
      <c r="L867" s="10" t="s">
        <v>42</v>
      </c>
    </row>
    <row r="868" ht="15.75" customHeight="1">
      <c r="A868" s="66">
        <v>45495.0</v>
      </c>
      <c r="B868" s="55" t="str">
        <f>HYPERLINK("https://jobright.ai/jobs/info/669e99a349d1c738f4cb0147?utm_campaign=1062&amp;utm_source=sheet", "Apply")</f>
        <v>Apply</v>
      </c>
      <c r="C868" s="10" t="s">
        <v>2630</v>
      </c>
      <c r="D868" s="56" t="s">
        <v>2631</v>
      </c>
      <c r="E868" s="10" t="s">
        <v>209</v>
      </c>
      <c r="F868" s="10" t="s">
        <v>2632</v>
      </c>
      <c r="G868" s="10" t="s">
        <v>2464</v>
      </c>
      <c r="H868" s="10" t="s">
        <v>4283</v>
      </c>
      <c r="I868" s="10" t="s">
        <v>55</v>
      </c>
      <c r="K868" s="10" t="s">
        <v>2633</v>
      </c>
      <c r="L868" s="10" t="s">
        <v>42</v>
      </c>
    </row>
    <row r="869" ht="15.75" customHeight="1">
      <c r="A869" s="66">
        <v>45495.0</v>
      </c>
      <c r="B869" s="55" t="str">
        <f>HYPERLINK("https://jobright.ai/jobs/info/66a3f53f5fcbfa8457ce1b23?utm_campaign=1062&amp;utm_source=sheet", "Apply")</f>
        <v>Apply</v>
      </c>
      <c r="C869" s="10" t="s">
        <v>3624</v>
      </c>
      <c r="D869" s="56" t="s">
        <v>3625</v>
      </c>
      <c r="E869" s="10" t="s">
        <v>79</v>
      </c>
      <c r="F869" s="10" t="s">
        <v>3351</v>
      </c>
      <c r="G869" s="10" t="s">
        <v>2448</v>
      </c>
      <c r="H869" s="10" t="s">
        <v>168</v>
      </c>
      <c r="I869" s="10" t="s">
        <v>55</v>
      </c>
      <c r="K869" s="10" t="s">
        <v>3626</v>
      </c>
      <c r="L869" s="10" t="s">
        <v>42</v>
      </c>
    </row>
    <row r="870" ht="15.75" customHeight="1">
      <c r="A870" s="66">
        <v>45495.0</v>
      </c>
      <c r="B870" s="55" t="str">
        <f>HYPERLINK("https://jobright.ai/jobs/info/669e8a7550459e85ba474c2a?utm_campaign=1062&amp;utm_source=sheet", "Apply")</f>
        <v>Apply</v>
      </c>
      <c r="C870" s="10" t="s">
        <v>4284</v>
      </c>
      <c r="D870" s="56" t="s">
        <v>3645</v>
      </c>
      <c r="E870" s="10" t="s">
        <v>45</v>
      </c>
      <c r="F870" s="10" t="s">
        <v>1700</v>
      </c>
      <c r="G870" s="10" t="s">
        <v>2502</v>
      </c>
      <c r="H870" s="10" t="s">
        <v>4285</v>
      </c>
      <c r="I870" s="10" t="s">
        <v>55</v>
      </c>
      <c r="K870" s="10" t="s">
        <v>4286</v>
      </c>
      <c r="L870" s="10" t="s">
        <v>42</v>
      </c>
    </row>
    <row r="871" ht="15.75" customHeight="1">
      <c r="A871" s="66">
        <v>45495.0</v>
      </c>
      <c r="B871" s="55" t="str">
        <f>HYPERLINK("https://jobright.ai/jobs/info/669e92fd1fc72dfa202d130d?utm_campaign=1062&amp;utm_source=sheet", "Apply")</f>
        <v>Apply</v>
      </c>
      <c r="C871" s="10" t="s">
        <v>4287</v>
      </c>
      <c r="D871" s="56" t="s">
        <v>730</v>
      </c>
      <c r="E871" s="10" t="s">
        <v>45</v>
      </c>
      <c r="F871" s="10" t="s">
        <v>731</v>
      </c>
      <c r="G871" s="10" t="s">
        <v>2459</v>
      </c>
      <c r="H871" s="10" t="s">
        <v>927</v>
      </c>
      <c r="I871" s="10" t="s">
        <v>55</v>
      </c>
      <c r="K871" s="10" t="s">
        <v>4288</v>
      </c>
      <c r="L871" s="10" t="s">
        <v>42</v>
      </c>
    </row>
    <row r="872" ht="15.75" customHeight="1">
      <c r="A872" s="66">
        <v>45495.0</v>
      </c>
      <c r="B872" s="55" t="str">
        <f>HYPERLINK("https://jobright.ai/jobs/info/669e91d5a88bdc3e5a07e6c3?utm_campaign=1062&amp;utm_source=sheet", "Apply")</f>
        <v>Apply</v>
      </c>
      <c r="C872" s="10" t="s">
        <v>4289</v>
      </c>
      <c r="D872" s="56" t="s">
        <v>4290</v>
      </c>
      <c r="E872" s="10" t="s">
        <v>276</v>
      </c>
      <c r="F872" s="10" t="s">
        <v>2186</v>
      </c>
      <c r="G872" s="10" t="s">
        <v>2455</v>
      </c>
      <c r="H872" s="10" t="s">
        <v>232</v>
      </c>
      <c r="I872" s="10" t="s">
        <v>55</v>
      </c>
      <c r="K872" s="10" t="s">
        <v>4291</v>
      </c>
      <c r="L872" s="10" t="s">
        <v>42</v>
      </c>
    </row>
    <row r="873" ht="15.75" customHeight="1">
      <c r="A873" s="66">
        <v>45495.0</v>
      </c>
      <c r="B873" s="55" t="str">
        <f>HYPERLINK("https://jobright.ai/jobs/info/669e856c6fcd424695e731ff?utm_campaign=1062&amp;utm_source=sheet", "Apply")</f>
        <v>Apply</v>
      </c>
      <c r="C873" s="10" t="s">
        <v>2630</v>
      </c>
      <c r="D873" s="56" t="s">
        <v>2631</v>
      </c>
      <c r="E873" s="10" t="s">
        <v>209</v>
      </c>
      <c r="F873" s="10" t="s">
        <v>2632</v>
      </c>
      <c r="G873" s="10" t="s">
        <v>2464</v>
      </c>
      <c r="H873" s="10" t="s">
        <v>1144</v>
      </c>
      <c r="I873" s="10" t="s">
        <v>55</v>
      </c>
      <c r="K873" s="10" t="s">
        <v>2633</v>
      </c>
      <c r="L873" s="10" t="s">
        <v>42</v>
      </c>
    </row>
    <row r="874" ht="15.75" customHeight="1">
      <c r="A874" s="66">
        <v>45495.0</v>
      </c>
      <c r="B874" s="55" t="str">
        <f>HYPERLINK("https://jobright.ai/jobs/info/669e87fdfd9fb1454f0b3ba7?utm_campaign=1062&amp;utm_source=sheet", "Apply")</f>
        <v>Apply</v>
      </c>
      <c r="C874" s="10" t="s">
        <v>2725</v>
      </c>
      <c r="D874" s="56" t="s">
        <v>2726</v>
      </c>
      <c r="E874" s="10" t="s">
        <v>65</v>
      </c>
      <c r="F874" s="10" t="s">
        <v>85</v>
      </c>
      <c r="G874" s="10" t="s">
        <v>2464</v>
      </c>
      <c r="H874" s="10" t="s">
        <v>4292</v>
      </c>
      <c r="I874" s="10" t="s">
        <v>48</v>
      </c>
      <c r="J874" s="10" t="s">
        <v>4293</v>
      </c>
      <c r="K874" s="10" t="s">
        <v>3760</v>
      </c>
      <c r="L874" s="10" t="s">
        <v>42</v>
      </c>
    </row>
    <row r="875" ht="15.75" customHeight="1">
      <c r="A875" s="66">
        <v>45495.0</v>
      </c>
      <c r="B875" s="55" t="str">
        <f>HYPERLINK("https://jobright.ai/jobs/info/669e803a3f732b1a49b7885c?utm_campaign=1062&amp;utm_source=sheet", "Apply")</f>
        <v>Apply</v>
      </c>
      <c r="C875" s="10" t="s">
        <v>4294</v>
      </c>
      <c r="D875" s="56" t="s">
        <v>4295</v>
      </c>
      <c r="E875" s="10" t="s">
        <v>45</v>
      </c>
      <c r="F875" s="10" t="s">
        <v>4296</v>
      </c>
      <c r="G875" s="10" t="s">
        <v>2448</v>
      </c>
      <c r="H875" s="10" t="s">
        <v>598</v>
      </c>
      <c r="I875" s="10" t="s">
        <v>55</v>
      </c>
      <c r="K875" s="10" t="s">
        <v>4297</v>
      </c>
      <c r="L875" s="10" t="s">
        <v>42</v>
      </c>
    </row>
    <row r="876" ht="15.75" customHeight="1">
      <c r="A876" s="66">
        <v>45495.0</v>
      </c>
      <c r="B876" s="55" t="str">
        <f>HYPERLINK("https://jobright.ai/jobs/info/669e7b3a48c0502967efc361?utm_campaign=1062&amp;utm_source=sheet", "Apply")</f>
        <v>Apply</v>
      </c>
      <c r="C876" s="10" t="s">
        <v>3078</v>
      </c>
      <c r="D876" s="56" t="s">
        <v>3079</v>
      </c>
      <c r="E876" s="10" t="s">
        <v>249</v>
      </c>
      <c r="F876" s="10" t="s">
        <v>3080</v>
      </c>
      <c r="G876" s="10" t="s">
        <v>2459</v>
      </c>
      <c r="H876" s="10" t="s">
        <v>3081</v>
      </c>
      <c r="I876" s="10" t="s">
        <v>55</v>
      </c>
      <c r="K876" s="10" t="s">
        <v>3082</v>
      </c>
      <c r="L876" s="10" t="s">
        <v>42</v>
      </c>
    </row>
    <row r="877" ht="15.75" customHeight="1">
      <c r="A877" s="66">
        <v>45495.0</v>
      </c>
      <c r="B877" s="55" t="str">
        <f>HYPERLINK("https://jobright.ai/jobs/info/66a3f93ec344e12ad5441186?utm_campaign=1062&amp;utm_source=sheet", "Apply")</f>
        <v>Apply</v>
      </c>
      <c r="C877" s="10" t="s">
        <v>3624</v>
      </c>
      <c r="D877" s="56" t="s">
        <v>3625</v>
      </c>
      <c r="E877" s="10" t="s">
        <v>79</v>
      </c>
      <c r="F877" s="10" t="s">
        <v>3351</v>
      </c>
      <c r="G877" s="10" t="s">
        <v>2448</v>
      </c>
      <c r="H877" s="10" t="s">
        <v>941</v>
      </c>
      <c r="I877" s="10" t="s">
        <v>55</v>
      </c>
      <c r="K877" s="10" t="s">
        <v>3626</v>
      </c>
      <c r="L877" s="10" t="s">
        <v>42</v>
      </c>
    </row>
    <row r="878" ht="15.75" customHeight="1">
      <c r="A878" s="66">
        <v>45495.0</v>
      </c>
      <c r="B878" s="55" t="str">
        <f>HYPERLINK("https://jobright.ai/jobs/info/66a3f948c344e12ad54411c3?utm_campaign=1062&amp;utm_source=sheet", "Apply")</f>
        <v>Apply</v>
      </c>
      <c r="C878" s="10" t="s">
        <v>3624</v>
      </c>
      <c r="D878" s="56" t="s">
        <v>3625</v>
      </c>
      <c r="E878" s="10" t="s">
        <v>79</v>
      </c>
      <c r="F878" s="10" t="s">
        <v>3351</v>
      </c>
      <c r="G878" s="10" t="s">
        <v>2448</v>
      </c>
      <c r="H878" s="10" t="s">
        <v>1008</v>
      </c>
      <c r="I878" s="10" t="s">
        <v>55</v>
      </c>
      <c r="K878" s="10" t="s">
        <v>3626</v>
      </c>
      <c r="L878" s="10" t="s">
        <v>42</v>
      </c>
    </row>
    <row r="879" ht="15.75" customHeight="1">
      <c r="A879" s="66">
        <v>45495.0</v>
      </c>
      <c r="B879" s="55" t="str">
        <f>HYPERLINK("https://jobright.ai/jobs/info/66a0d327b771b94412b6e3ef?utm_campaign=1062&amp;utm_source=sheet", "Apply")</f>
        <v>Apply</v>
      </c>
      <c r="C879" s="10" t="s">
        <v>4298</v>
      </c>
      <c r="D879" s="56" t="s">
        <v>4299</v>
      </c>
      <c r="E879" s="10" t="s">
        <v>276</v>
      </c>
      <c r="F879" s="10" t="s">
        <v>4300</v>
      </c>
      <c r="G879" s="10" t="s">
        <v>2464</v>
      </c>
      <c r="H879" s="10" t="s">
        <v>4301</v>
      </c>
      <c r="I879" s="10" t="s">
        <v>55</v>
      </c>
      <c r="K879" s="10" t="s">
        <v>4302</v>
      </c>
      <c r="L879" s="10" t="s">
        <v>42</v>
      </c>
    </row>
    <row r="880" ht="15.75" customHeight="1">
      <c r="A880" s="66">
        <v>45495.0</v>
      </c>
      <c r="B880" s="55" t="str">
        <f>HYPERLINK("https://jobright.ai/jobs/info/65e8684611485e8debb78a38?utm_campaign=1062&amp;utm_source=sheet", "Apply")</f>
        <v>Apply</v>
      </c>
      <c r="C880" s="10" t="s">
        <v>4303</v>
      </c>
      <c r="D880" s="56" t="s">
        <v>4304</v>
      </c>
      <c r="E880" s="10" t="s">
        <v>45</v>
      </c>
      <c r="F880" s="10" t="s">
        <v>4305</v>
      </c>
      <c r="G880" s="10" t="s">
        <v>2589</v>
      </c>
      <c r="H880" s="10" t="s">
        <v>686</v>
      </c>
      <c r="I880" s="10" t="s">
        <v>55</v>
      </c>
      <c r="K880" s="10" t="s">
        <v>4306</v>
      </c>
      <c r="L880" s="10" t="s">
        <v>42</v>
      </c>
    </row>
    <row r="881" ht="15.75" customHeight="1">
      <c r="A881" s="66">
        <v>45495.0</v>
      </c>
      <c r="B881" s="55" t="str">
        <f>HYPERLINK("https://jobright.ai/jobs/info/669f19eb821ed2aaf5a740c1?utm_campaign=1062&amp;utm_source=sheet", "Apply")</f>
        <v>Apply</v>
      </c>
      <c r="C881" s="10" t="s">
        <v>4216</v>
      </c>
      <c r="D881" s="56" t="s">
        <v>567</v>
      </c>
      <c r="E881" s="10" t="s">
        <v>65</v>
      </c>
      <c r="F881" s="10" t="s">
        <v>568</v>
      </c>
      <c r="G881" s="10" t="s">
        <v>2448</v>
      </c>
      <c r="H881" s="10" t="s">
        <v>168</v>
      </c>
      <c r="I881" s="10" t="s">
        <v>55</v>
      </c>
      <c r="J881" s="10" t="s">
        <v>4217</v>
      </c>
      <c r="K881" s="10" t="s">
        <v>3024</v>
      </c>
      <c r="L881" s="10" t="s">
        <v>42</v>
      </c>
    </row>
    <row r="882" ht="15.75" customHeight="1">
      <c r="A882" s="66">
        <v>45495.0</v>
      </c>
      <c r="B882" s="55" t="str">
        <f>HYPERLINK("https://jobright.ai/jobs/info/669f19eb821ed2aaf5a740c2?utm_campaign=1062&amp;utm_source=sheet", "Apply")</f>
        <v>Apply</v>
      </c>
      <c r="C882" s="10" t="s">
        <v>4216</v>
      </c>
      <c r="D882" s="56" t="s">
        <v>567</v>
      </c>
      <c r="E882" s="10" t="s">
        <v>65</v>
      </c>
      <c r="F882" s="10" t="s">
        <v>568</v>
      </c>
      <c r="G882" s="10" t="s">
        <v>2448</v>
      </c>
      <c r="H882" s="10" t="s">
        <v>738</v>
      </c>
      <c r="I882" s="10" t="s">
        <v>55</v>
      </c>
      <c r="J882" s="10" t="s">
        <v>4217</v>
      </c>
      <c r="K882" s="10" t="s">
        <v>3024</v>
      </c>
      <c r="L882" s="10" t="s">
        <v>42</v>
      </c>
    </row>
    <row r="883" ht="15.75" customHeight="1">
      <c r="A883" s="66">
        <v>45495.0</v>
      </c>
      <c r="B883" s="55" t="str">
        <f>HYPERLINK("https://jobright.ai/jobs/info/66758adee9630e29ff214800?utm_campaign=1062&amp;utm_source=sheet", "Apply")</f>
        <v>Apply</v>
      </c>
      <c r="C883" s="10" t="s">
        <v>4307</v>
      </c>
      <c r="D883" s="56" t="s">
        <v>3422</v>
      </c>
      <c r="E883" s="10" t="s">
        <v>71</v>
      </c>
      <c r="G883" s="10" t="s">
        <v>2807</v>
      </c>
      <c r="H883" s="10" t="s">
        <v>3423</v>
      </c>
      <c r="I883" s="10" t="s">
        <v>55</v>
      </c>
      <c r="J883" s="10" t="s">
        <v>4308</v>
      </c>
      <c r="K883" s="10" t="s">
        <v>4309</v>
      </c>
      <c r="L883" s="10" t="s">
        <v>42</v>
      </c>
    </row>
    <row r="884" ht="15.75" customHeight="1">
      <c r="A884" s="66">
        <v>45495.0</v>
      </c>
      <c r="B884" s="55" t="str">
        <f>HYPERLINK("https://jobright.ai/jobs/info/668bb6f517dee33772925624?utm_campaign=1062&amp;utm_source=sheet", "Apply")</f>
        <v>Apply</v>
      </c>
      <c r="C884" s="10" t="s">
        <v>4310</v>
      </c>
      <c r="D884" s="56" t="s">
        <v>3422</v>
      </c>
      <c r="E884" s="10" t="s">
        <v>71</v>
      </c>
      <c r="G884" s="10" t="s">
        <v>2807</v>
      </c>
      <c r="H884" s="10" t="s">
        <v>3423</v>
      </c>
      <c r="I884" s="10" t="s">
        <v>55</v>
      </c>
      <c r="J884" s="10" t="s">
        <v>4311</v>
      </c>
      <c r="K884" s="10" t="s">
        <v>4312</v>
      </c>
      <c r="L884" s="10" t="s">
        <v>42</v>
      </c>
    </row>
    <row r="885" ht="15.75" customHeight="1">
      <c r="A885" s="66">
        <v>45495.0</v>
      </c>
      <c r="B885" s="55" t="str">
        <f>HYPERLINK("https://jobright.ai/jobs/info/669eaef917d5ed9a58b844de?utm_campaign=1062&amp;utm_source=sheet", "Apply")</f>
        <v>Apply</v>
      </c>
      <c r="C885" s="10" t="s">
        <v>4313</v>
      </c>
      <c r="D885" s="56" t="s">
        <v>4314</v>
      </c>
      <c r="E885" s="59">
        <v>45301.0</v>
      </c>
      <c r="F885" s="10" t="s">
        <v>4315</v>
      </c>
      <c r="G885" s="10" t="s">
        <v>2448</v>
      </c>
      <c r="H885" s="10" t="s">
        <v>3049</v>
      </c>
      <c r="I885" s="10" t="s">
        <v>55</v>
      </c>
      <c r="K885" s="10" t="s">
        <v>4316</v>
      </c>
      <c r="L885" s="10" t="s">
        <v>42</v>
      </c>
    </row>
    <row r="886" ht="15.75" customHeight="1">
      <c r="A886" s="66">
        <v>45495.0</v>
      </c>
      <c r="B886" s="55" t="str">
        <f>HYPERLINK("https://jobright.ai/jobs/info/669ee723335dddbe62d7d1fb?utm_campaign=1062&amp;utm_source=sheet", "Apply")</f>
        <v>Apply</v>
      </c>
      <c r="C886" s="10" t="s">
        <v>4216</v>
      </c>
      <c r="D886" s="56" t="s">
        <v>567</v>
      </c>
      <c r="E886" s="10" t="s">
        <v>65</v>
      </c>
      <c r="F886" s="10" t="s">
        <v>568</v>
      </c>
      <c r="G886" s="10" t="s">
        <v>2448</v>
      </c>
      <c r="H886" s="10" t="s">
        <v>167</v>
      </c>
      <c r="I886" s="10" t="s">
        <v>55</v>
      </c>
      <c r="J886" s="10" t="s">
        <v>4217</v>
      </c>
      <c r="K886" s="10" t="s">
        <v>3024</v>
      </c>
      <c r="L886" s="10" t="s">
        <v>42</v>
      </c>
    </row>
    <row r="887" ht="15.75" customHeight="1">
      <c r="A887" s="66">
        <v>45495.0</v>
      </c>
      <c r="B887" s="55" t="str">
        <f>HYPERLINK("https://jobright.ai/jobs/info/669ef0e8916858f3035824a5?utm_campaign=1062&amp;utm_source=sheet", "Apply")</f>
        <v>Apply</v>
      </c>
      <c r="C887" s="10" t="s">
        <v>4317</v>
      </c>
      <c r="D887" s="56" t="s">
        <v>4318</v>
      </c>
      <c r="E887" s="10" t="s">
        <v>45</v>
      </c>
      <c r="F887" s="10" t="s">
        <v>4319</v>
      </c>
      <c r="G887" s="10" t="s">
        <v>2484</v>
      </c>
      <c r="H887" s="10" t="s">
        <v>505</v>
      </c>
      <c r="I887" s="10" t="s">
        <v>55</v>
      </c>
      <c r="K887" s="10" t="s">
        <v>4320</v>
      </c>
      <c r="L887" s="10" t="s">
        <v>42</v>
      </c>
    </row>
    <row r="888" ht="15.75" customHeight="1">
      <c r="A888" s="66">
        <v>45495.0</v>
      </c>
      <c r="B888" s="55" t="str">
        <f>HYPERLINK("https://jobright.ai/jobs/info/669efd67f7a71fbcbfb4edf4?utm_campaign=1062&amp;utm_source=sheet", "Apply")</f>
        <v>Apply</v>
      </c>
      <c r="C888" s="10" t="s">
        <v>4216</v>
      </c>
      <c r="D888" s="56" t="s">
        <v>567</v>
      </c>
      <c r="E888" s="10" t="s">
        <v>65</v>
      </c>
      <c r="F888" s="10" t="s">
        <v>568</v>
      </c>
      <c r="G888" s="10" t="s">
        <v>2448</v>
      </c>
      <c r="H888" s="10" t="s">
        <v>2183</v>
      </c>
      <c r="I888" s="10" t="s">
        <v>55</v>
      </c>
      <c r="J888" s="10" t="s">
        <v>4217</v>
      </c>
      <c r="K888" s="10" t="s">
        <v>3024</v>
      </c>
      <c r="L888" s="10" t="s">
        <v>42</v>
      </c>
    </row>
    <row r="889" ht="15.75" customHeight="1">
      <c r="A889" s="66">
        <v>45495.0</v>
      </c>
      <c r="B889" s="55" t="str">
        <f>HYPERLINK("https://jobright.ai/jobs/info/669e99ac49d1c738f4cb0198?utm_campaign=1062&amp;utm_source=sheet", "Apply")</f>
        <v>Apply</v>
      </c>
      <c r="C889" s="10" t="s">
        <v>4321</v>
      </c>
      <c r="D889" s="56" t="s">
        <v>4322</v>
      </c>
      <c r="E889" s="10" t="s">
        <v>45</v>
      </c>
      <c r="F889" s="10" t="s">
        <v>4323</v>
      </c>
      <c r="G889" s="10" t="s">
        <v>2448</v>
      </c>
      <c r="H889" s="10" t="s">
        <v>636</v>
      </c>
      <c r="I889" s="10" t="s">
        <v>55</v>
      </c>
      <c r="J889" s="10" t="s">
        <v>1409</v>
      </c>
      <c r="K889" s="10" t="s">
        <v>4324</v>
      </c>
      <c r="L889" s="10" t="s">
        <v>42</v>
      </c>
    </row>
    <row r="890" ht="15.75" customHeight="1">
      <c r="A890" s="66">
        <v>45495.0</v>
      </c>
      <c r="B890" s="55" t="str">
        <f>HYPERLINK("https://jobright.ai/jobs/info/669dd400ea68e4af1077270e?utm_campaign=1062&amp;utm_source=sheet", "Apply")</f>
        <v>Apply</v>
      </c>
      <c r="C890" s="10" t="s">
        <v>4325</v>
      </c>
      <c r="D890" s="56" t="s">
        <v>4326</v>
      </c>
      <c r="E890" s="59">
        <v>45301.0</v>
      </c>
      <c r="F890" s="10" t="s">
        <v>660</v>
      </c>
      <c r="G890" s="10" t="s">
        <v>2448</v>
      </c>
      <c r="H890" s="10" t="s">
        <v>4327</v>
      </c>
      <c r="I890" s="10" t="s">
        <v>55</v>
      </c>
      <c r="L890" s="10" t="s">
        <v>42</v>
      </c>
    </row>
    <row r="891" ht="15.75" customHeight="1">
      <c r="A891" s="66">
        <v>45495.0</v>
      </c>
      <c r="B891" s="55" t="str">
        <f>HYPERLINK("https://jobright.ai/jobs/info/669d6fee3e04e8ce3c6573a4?utm_campaign=1062&amp;utm_source=sheet", "Apply")</f>
        <v>Apply</v>
      </c>
      <c r="C891" s="10" t="s">
        <v>4328</v>
      </c>
      <c r="D891" s="56" t="s">
        <v>4326</v>
      </c>
      <c r="E891" s="59">
        <v>45301.0</v>
      </c>
      <c r="F891" s="10" t="s">
        <v>660</v>
      </c>
      <c r="G891" s="10" t="s">
        <v>2448</v>
      </c>
      <c r="H891" s="10" t="s">
        <v>4329</v>
      </c>
      <c r="I891" s="10" t="s">
        <v>55</v>
      </c>
      <c r="K891" s="10" t="s">
        <v>4330</v>
      </c>
      <c r="L891" s="10" t="s">
        <v>42</v>
      </c>
    </row>
    <row r="892" ht="15.75" customHeight="1">
      <c r="A892" s="66">
        <v>45495.0</v>
      </c>
      <c r="B892" s="55" t="str">
        <f>HYPERLINK("https://jobright.ai/jobs/info/669e6e77446c8221ffc34967?utm_campaign=1062&amp;utm_source=sheet", "Apply")</f>
        <v>Apply</v>
      </c>
      <c r="C892" s="10" t="s">
        <v>4331</v>
      </c>
      <c r="D892" s="56" t="s">
        <v>4332</v>
      </c>
      <c r="E892" s="10" t="s">
        <v>276</v>
      </c>
      <c r="F892" s="10" t="s">
        <v>2122</v>
      </c>
      <c r="G892" s="10" t="s">
        <v>2448</v>
      </c>
      <c r="H892" s="10" t="s">
        <v>4333</v>
      </c>
      <c r="I892" s="10" t="s">
        <v>55</v>
      </c>
      <c r="L892" s="10" t="s">
        <v>42</v>
      </c>
    </row>
    <row r="893" ht="15.75" customHeight="1">
      <c r="A893" s="66">
        <v>45495.0</v>
      </c>
      <c r="B893" s="55" t="str">
        <f>HYPERLINK("https://jobright.ai/jobs/info/669efe7ffd551666e1d03b3f?utm_campaign=1062&amp;utm_source=sheet", "Apply")</f>
        <v>Apply</v>
      </c>
      <c r="C893" s="10" t="s">
        <v>4218</v>
      </c>
      <c r="D893" s="56" t="s">
        <v>4334</v>
      </c>
      <c r="E893" s="10" t="s">
        <v>45</v>
      </c>
      <c r="F893" s="10" t="s">
        <v>1207</v>
      </c>
      <c r="G893" s="10" t="s">
        <v>2484</v>
      </c>
      <c r="H893" s="10" t="s">
        <v>4335</v>
      </c>
      <c r="I893" s="10" t="s">
        <v>55</v>
      </c>
      <c r="K893" s="10" t="s">
        <v>4219</v>
      </c>
      <c r="L893" s="10" t="s">
        <v>42</v>
      </c>
    </row>
    <row r="894" ht="15.75" customHeight="1">
      <c r="A894" s="66">
        <v>45495.0</v>
      </c>
      <c r="B894" s="55" t="str">
        <f>HYPERLINK("https://jobright.ai/jobs/info/66a46190134e1be99a5943c6?utm_campaign=1062&amp;utm_source=sheet", "Apply")</f>
        <v>Apply</v>
      </c>
      <c r="C894" s="10" t="s">
        <v>4336</v>
      </c>
      <c r="D894" s="56" t="s">
        <v>4254</v>
      </c>
      <c r="E894" s="10" t="s">
        <v>79</v>
      </c>
      <c r="F894" s="10" t="s">
        <v>3060</v>
      </c>
      <c r="G894" s="10" t="s">
        <v>2464</v>
      </c>
      <c r="H894" s="10" t="s">
        <v>1688</v>
      </c>
      <c r="I894" s="10" t="s">
        <v>55</v>
      </c>
      <c r="J894" s="10" t="s">
        <v>2609</v>
      </c>
      <c r="K894" s="10" t="s">
        <v>4337</v>
      </c>
      <c r="L894" s="10" t="s">
        <v>42</v>
      </c>
    </row>
    <row r="895" ht="15.75" customHeight="1">
      <c r="A895" s="66">
        <v>45494.0</v>
      </c>
      <c r="B895" s="55" t="str">
        <f>HYPERLINK("https://jobright.ai/jobs/info/669dd0f33f074f7668a577d8?utm_campaign=1062&amp;utm_source=sheet", "Apply")</f>
        <v>Apply</v>
      </c>
      <c r="C895" s="10" t="s">
        <v>4338</v>
      </c>
      <c r="D895" s="56" t="s">
        <v>3794</v>
      </c>
      <c r="E895" s="10" t="s">
        <v>65</v>
      </c>
      <c r="F895" s="10" t="s">
        <v>3795</v>
      </c>
      <c r="G895" s="10" t="s">
        <v>2448</v>
      </c>
      <c r="H895" s="10" t="s">
        <v>251</v>
      </c>
      <c r="I895" s="10" t="s">
        <v>48</v>
      </c>
      <c r="J895" s="10" t="s">
        <v>4339</v>
      </c>
      <c r="K895" s="10" t="s">
        <v>4340</v>
      </c>
      <c r="L895" s="10" t="s">
        <v>42</v>
      </c>
    </row>
    <row r="896" ht="15.75" customHeight="1">
      <c r="A896" s="66">
        <v>45494.0</v>
      </c>
      <c r="B896" s="55" t="str">
        <f>HYPERLINK("https://jobright.ai/jobs/info/669dd0f33f074f7668a57820?utm_campaign=1062&amp;utm_source=sheet", "Apply")</f>
        <v>Apply</v>
      </c>
      <c r="C896" s="10" t="s">
        <v>4341</v>
      </c>
      <c r="D896" s="56" t="s">
        <v>3794</v>
      </c>
      <c r="E896" s="10" t="s">
        <v>65</v>
      </c>
      <c r="F896" s="10" t="s">
        <v>3795</v>
      </c>
      <c r="G896" s="10" t="s">
        <v>2502</v>
      </c>
      <c r="H896" s="10" t="s">
        <v>251</v>
      </c>
      <c r="I896" s="10" t="s">
        <v>48</v>
      </c>
      <c r="J896" s="10" t="s">
        <v>3797</v>
      </c>
      <c r="K896" s="10" t="s">
        <v>4342</v>
      </c>
      <c r="L896" s="10" t="s">
        <v>42</v>
      </c>
    </row>
    <row r="897" ht="15.75" customHeight="1">
      <c r="A897" s="66">
        <v>45494.0</v>
      </c>
      <c r="B897" s="55" t="str">
        <f>HYPERLINK("https://jobright.ai/jobs/info/669dda41cebd6b38e4baa277?utm_campaign=1062&amp;utm_source=sheet", "Apply")</f>
        <v>Apply</v>
      </c>
      <c r="C897" s="10" t="s">
        <v>4338</v>
      </c>
      <c r="D897" s="56" t="s">
        <v>3794</v>
      </c>
      <c r="E897" s="10" t="s">
        <v>65</v>
      </c>
      <c r="F897" s="10" t="s">
        <v>3795</v>
      </c>
      <c r="G897" s="10" t="s">
        <v>2448</v>
      </c>
      <c r="H897" s="10" t="s">
        <v>3796</v>
      </c>
      <c r="I897" s="10" t="s">
        <v>48</v>
      </c>
      <c r="J897" s="10" t="s">
        <v>4339</v>
      </c>
      <c r="K897" s="10" t="s">
        <v>4340</v>
      </c>
      <c r="L897" s="10" t="s">
        <v>42</v>
      </c>
    </row>
    <row r="898" ht="15.75" customHeight="1">
      <c r="A898" s="66">
        <v>45494.0</v>
      </c>
      <c r="B898" s="55" t="str">
        <f>HYPERLINK("https://jobright.ai/jobs/info/669d84065cb009c1aa4be8ee?utm_campaign=1062&amp;utm_source=sheet", "Apply")</f>
        <v>Apply</v>
      </c>
      <c r="C898" s="10" t="s">
        <v>4341</v>
      </c>
      <c r="D898" s="56" t="s">
        <v>3794</v>
      </c>
      <c r="E898" s="10" t="s">
        <v>65</v>
      </c>
      <c r="F898" s="10" t="s">
        <v>3795</v>
      </c>
      <c r="G898" s="10" t="s">
        <v>2502</v>
      </c>
      <c r="H898" s="10" t="s">
        <v>3796</v>
      </c>
      <c r="I898" s="10" t="s">
        <v>48</v>
      </c>
      <c r="J898" s="10" t="s">
        <v>3797</v>
      </c>
      <c r="K898" s="10" t="s">
        <v>4342</v>
      </c>
      <c r="L898" s="10" t="s">
        <v>42</v>
      </c>
    </row>
    <row r="899" ht="15.75" customHeight="1">
      <c r="A899" s="66">
        <v>45494.0</v>
      </c>
      <c r="B899" s="55" t="str">
        <f>HYPERLINK("https://jobright.ai/jobs/info/669d48b0903968eeb0f97e29?utm_campaign=1062&amp;utm_source=sheet", "Apply")</f>
        <v>Apply</v>
      </c>
      <c r="C899" s="10" t="s">
        <v>4343</v>
      </c>
      <c r="D899" s="56" t="s">
        <v>4344</v>
      </c>
      <c r="E899" s="10" t="s">
        <v>65</v>
      </c>
      <c r="G899" s="10" t="s">
        <v>2605</v>
      </c>
      <c r="H899" s="10" t="s">
        <v>636</v>
      </c>
      <c r="I899" s="10" t="s">
        <v>55</v>
      </c>
      <c r="K899" s="10" t="s">
        <v>4345</v>
      </c>
      <c r="L899" s="10" t="s">
        <v>42</v>
      </c>
    </row>
    <row r="900" ht="15.75" customHeight="1">
      <c r="A900" s="66">
        <v>45494.0</v>
      </c>
      <c r="B900" s="55" t="str">
        <f>HYPERLINK("https://jobright.ai/jobs/info/6682917d80444982f0ddc3f4?utm_campaign=1062&amp;utm_source=sheet", "Apply")</f>
        <v>Apply</v>
      </c>
      <c r="C900" s="10" t="s">
        <v>4346</v>
      </c>
      <c r="D900" s="56" t="s">
        <v>2462</v>
      </c>
      <c r="E900" s="10" t="s">
        <v>79</v>
      </c>
      <c r="F900" s="10" t="s">
        <v>2463</v>
      </c>
      <c r="G900" s="10" t="s">
        <v>2464</v>
      </c>
      <c r="H900" s="10" t="s">
        <v>607</v>
      </c>
      <c r="I900" s="10" t="s">
        <v>55</v>
      </c>
      <c r="K900" s="10" t="s">
        <v>4347</v>
      </c>
      <c r="L900" s="10" t="s">
        <v>42</v>
      </c>
    </row>
    <row r="901" ht="15.75" customHeight="1">
      <c r="A901" s="66">
        <v>45494.0</v>
      </c>
      <c r="B901" s="55" t="str">
        <f>HYPERLINK("https://jobright.ai/jobs/info/66a3f948c344e12ad54411f2?utm_campaign=1062&amp;utm_source=sheet", "Apply")</f>
        <v>Apply</v>
      </c>
      <c r="C901" s="10" t="s">
        <v>4348</v>
      </c>
      <c r="D901" s="56" t="s">
        <v>2462</v>
      </c>
      <c r="E901" s="10" t="s">
        <v>79</v>
      </c>
      <c r="F901" s="10" t="s">
        <v>2463</v>
      </c>
      <c r="G901" s="10" t="s">
        <v>2437</v>
      </c>
      <c r="H901" s="10" t="s">
        <v>167</v>
      </c>
      <c r="I901" s="10" t="s">
        <v>55</v>
      </c>
      <c r="K901" s="10" t="s">
        <v>4349</v>
      </c>
      <c r="L901" s="10" t="s">
        <v>42</v>
      </c>
    </row>
    <row r="902" ht="15.75" customHeight="1">
      <c r="A902" s="66">
        <v>45494.0</v>
      </c>
      <c r="B902" s="55" t="str">
        <f>HYPERLINK("https://jobright.ai/jobs/info/66a3c35caf4cce342f86fe76?utm_campaign=1062&amp;utm_source=sheet", "Apply")</f>
        <v>Apply</v>
      </c>
      <c r="C902" s="10" t="s">
        <v>4350</v>
      </c>
      <c r="D902" s="56" t="s">
        <v>308</v>
      </c>
      <c r="E902" s="10" t="s">
        <v>45</v>
      </c>
      <c r="F902" s="10" t="s">
        <v>239</v>
      </c>
      <c r="G902" s="10" t="s">
        <v>2437</v>
      </c>
      <c r="H902" s="10" t="s">
        <v>853</v>
      </c>
      <c r="I902" s="10" t="s">
        <v>55</v>
      </c>
      <c r="K902" s="10" t="s">
        <v>4351</v>
      </c>
      <c r="L902" s="10" t="s">
        <v>42</v>
      </c>
    </row>
    <row r="903" ht="15.75" customHeight="1">
      <c r="A903" s="66">
        <v>45494.0</v>
      </c>
      <c r="B903" s="55" t="str">
        <f>HYPERLINK("https://jobright.ai/jobs/info/66a26d5f41a048df206659c6?utm_campaign=1062&amp;utm_source=sheet", "Apply")</f>
        <v>Apply</v>
      </c>
      <c r="C903" s="10" t="s">
        <v>4352</v>
      </c>
      <c r="D903" s="56" t="s">
        <v>2818</v>
      </c>
      <c r="E903" s="10" t="s">
        <v>209</v>
      </c>
      <c r="F903" s="10" t="s">
        <v>2819</v>
      </c>
      <c r="G903" s="10" t="s">
        <v>2437</v>
      </c>
      <c r="H903" s="10" t="s">
        <v>920</v>
      </c>
      <c r="I903" s="10" t="s">
        <v>55</v>
      </c>
      <c r="J903" s="10" t="s">
        <v>3544</v>
      </c>
      <c r="K903" s="10" t="s">
        <v>4353</v>
      </c>
      <c r="L903" s="10" t="s">
        <v>42</v>
      </c>
    </row>
    <row r="904" ht="15.75" customHeight="1">
      <c r="A904" s="66">
        <v>45494.0</v>
      </c>
      <c r="B904" s="55" t="str">
        <f>HYPERLINK("https://jobright.ai/jobs/info/669fc3675fc481811c0e63be?utm_campaign=1062&amp;utm_source=sheet", "Apply")</f>
        <v>Apply</v>
      </c>
      <c r="C904" s="10" t="s">
        <v>4354</v>
      </c>
      <c r="D904" s="56" t="s">
        <v>4355</v>
      </c>
      <c r="E904" s="10" t="s">
        <v>249</v>
      </c>
      <c r="F904" s="10" t="s">
        <v>4356</v>
      </c>
      <c r="G904" s="10" t="s">
        <v>2443</v>
      </c>
      <c r="H904" s="10" t="s">
        <v>170</v>
      </c>
      <c r="I904" s="10" t="s">
        <v>55</v>
      </c>
      <c r="K904" s="10" t="s">
        <v>4357</v>
      </c>
      <c r="L904" s="10" t="s">
        <v>42</v>
      </c>
    </row>
    <row r="905" ht="15.75" customHeight="1">
      <c r="A905" s="66">
        <v>45494.0</v>
      </c>
      <c r="B905" s="55" t="str">
        <f>HYPERLINK("https://jobright.ai/jobs/info/66a3f951c344e12ad5441283?utm_campaign=1062&amp;utm_source=sheet", "Apply")</f>
        <v>Apply</v>
      </c>
      <c r="C905" s="10" t="s">
        <v>4358</v>
      </c>
      <c r="D905" s="56" t="s">
        <v>2462</v>
      </c>
      <c r="E905" s="10" t="s">
        <v>79</v>
      </c>
      <c r="F905" s="10" t="s">
        <v>2463</v>
      </c>
      <c r="G905" s="10" t="s">
        <v>2579</v>
      </c>
      <c r="H905" s="10" t="s">
        <v>159</v>
      </c>
      <c r="I905" s="10" t="s">
        <v>55</v>
      </c>
      <c r="K905" s="10" t="s">
        <v>4359</v>
      </c>
      <c r="L905" s="10" t="s">
        <v>42</v>
      </c>
    </row>
    <row r="906" ht="15.75" customHeight="1">
      <c r="A906" s="66">
        <v>45494.0</v>
      </c>
      <c r="B906" s="55" t="str">
        <f>HYPERLINK("https://jobright.ai/jobs/info/66a0fc305adfd0bdf9ac4cfb?utm_campaign=1062&amp;utm_source=sheet", "Apply")</f>
        <v>Apply</v>
      </c>
      <c r="C906" s="10" t="s">
        <v>4358</v>
      </c>
      <c r="D906" s="56" t="s">
        <v>2462</v>
      </c>
      <c r="E906" s="10" t="s">
        <v>79</v>
      </c>
      <c r="F906" s="10" t="s">
        <v>2463</v>
      </c>
      <c r="G906" s="10" t="s">
        <v>2579</v>
      </c>
      <c r="H906" s="10" t="s">
        <v>4360</v>
      </c>
      <c r="I906" s="10" t="s">
        <v>55</v>
      </c>
      <c r="K906" s="10" t="s">
        <v>4359</v>
      </c>
      <c r="L906" s="10" t="s">
        <v>42</v>
      </c>
    </row>
    <row r="907" ht="15.75" customHeight="1">
      <c r="A907" s="66">
        <v>45494.0</v>
      </c>
      <c r="B907" s="55" t="str">
        <f>HYPERLINK("https://jobright.ai/jobs/info/6677cc0574ec1a95a89adbc5?utm_campaign=1062&amp;utm_source=sheet", "Apply")</f>
        <v>Apply</v>
      </c>
      <c r="C907" s="10" t="s">
        <v>3705</v>
      </c>
      <c r="D907" s="56" t="s">
        <v>2721</v>
      </c>
      <c r="E907" s="10" t="s">
        <v>45</v>
      </c>
      <c r="F907" s="10" t="s">
        <v>2722</v>
      </c>
      <c r="G907" s="10" t="s">
        <v>2502</v>
      </c>
      <c r="H907" s="10" t="s">
        <v>313</v>
      </c>
      <c r="I907" s="10" t="s">
        <v>55</v>
      </c>
      <c r="J907" s="10" t="s">
        <v>2723</v>
      </c>
      <c r="K907" s="10" t="s">
        <v>4361</v>
      </c>
      <c r="L907" s="10" t="s">
        <v>42</v>
      </c>
    </row>
    <row r="908" ht="15.75" customHeight="1">
      <c r="A908" s="66">
        <v>45494.0</v>
      </c>
      <c r="B908" s="55" t="str">
        <f>HYPERLINK("https://jobright.ai/jobs/info/66a3f951c344e12ad544128d?utm_campaign=1062&amp;utm_source=sheet", "Apply")</f>
        <v>Apply</v>
      </c>
      <c r="C908" s="10" t="s">
        <v>4358</v>
      </c>
      <c r="D908" s="56" t="s">
        <v>2462</v>
      </c>
      <c r="E908" s="10" t="s">
        <v>79</v>
      </c>
      <c r="F908" s="10" t="s">
        <v>2463</v>
      </c>
      <c r="G908" s="10" t="s">
        <v>2579</v>
      </c>
      <c r="H908" s="10" t="s">
        <v>4362</v>
      </c>
      <c r="I908" s="10" t="s">
        <v>55</v>
      </c>
      <c r="K908" s="10" t="s">
        <v>4359</v>
      </c>
      <c r="L908" s="10" t="s">
        <v>42</v>
      </c>
    </row>
    <row r="909" ht="15.75" customHeight="1">
      <c r="A909" s="66">
        <v>45494.0</v>
      </c>
      <c r="B909" s="55" t="str">
        <f>HYPERLINK("https://jobright.ai/jobs/info/66a24290ce613dae632bce7b?utm_campaign=1062&amp;utm_source=sheet", "Apply")</f>
        <v>Apply</v>
      </c>
      <c r="C909" s="10" t="s">
        <v>4363</v>
      </c>
      <c r="D909" s="56" t="s">
        <v>2818</v>
      </c>
      <c r="E909" s="10" t="s">
        <v>209</v>
      </c>
      <c r="F909" s="10" t="s">
        <v>2819</v>
      </c>
      <c r="G909" s="10" t="s">
        <v>2484</v>
      </c>
      <c r="H909" s="10" t="s">
        <v>920</v>
      </c>
      <c r="I909" s="10" t="s">
        <v>55</v>
      </c>
      <c r="J909" s="10" t="s">
        <v>3544</v>
      </c>
      <c r="K909" s="10" t="s">
        <v>4353</v>
      </c>
      <c r="L909" s="10" t="s">
        <v>42</v>
      </c>
    </row>
    <row r="910" ht="15.75" customHeight="1">
      <c r="A910" s="66">
        <v>45494.0</v>
      </c>
      <c r="B910" s="55" t="str">
        <f>HYPERLINK("https://jobright.ai/jobs/info/664638b39ff25705a2f726b3?utm_campaign=1062&amp;utm_source=sheet", "Apply")</f>
        <v>Apply</v>
      </c>
      <c r="C910" s="10" t="s">
        <v>4364</v>
      </c>
      <c r="D910" s="56" t="s">
        <v>2726</v>
      </c>
      <c r="E910" s="10" t="s">
        <v>65</v>
      </c>
      <c r="F910" s="10" t="s">
        <v>85</v>
      </c>
      <c r="G910" s="10" t="s">
        <v>2579</v>
      </c>
      <c r="H910" s="10" t="s">
        <v>167</v>
      </c>
      <c r="I910" s="10" t="s">
        <v>55</v>
      </c>
      <c r="K910" s="10" t="s">
        <v>4365</v>
      </c>
      <c r="L910" s="10" t="s">
        <v>42</v>
      </c>
    </row>
    <row r="911" ht="15.75" customHeight="1">
      <c r="A911" s="66">
        <v>45494.0</v>
      </c>
      <c r="B911" s="55" t="str">
        <f>HYPERLINK("https://jobright.ai/jobs/info/669e4c20892b00836a41a347?utm_campaign=1062&amp;utm_source=sheet", "Apply")</f>
        <v>Apply</v>
      </c>
      <c r="C911" s="10" t="s">
        <v>4366</v>
      </c>
      <c r="D911" s="56" t="s">
        <v>2462</v>
      </c>
      <c r="E911" s="10" t="s">
        <v>79</v>
      </c>
      <c r="F911" s="10" t="s">
        <v>2463</v>
      </c>
      <c r="G911" s="10" t="s">
        <v>2464</v>
      </c>
      <c r="H911" s="10" t="s">
        <v>167</v>
      </c>
      <c r="I911" s="10" t="s">
        <v>55</v>
      </c>
      <c r="K911" s="10" t="s">
        <v>4367</v>
      </c>
      <c r="L911" s="10" t="s">
        <v>42</v>
      </c>
    </row>
    <row r="912" ht="15.75" customHeight="1">
      <c r="A912" s="66">
        <v>45494.0</v>
      </c>
      <c r="B912" s="55" t="str">
        <f>HYPERLINK("https://jobright.ai/jobs/info/66a0ecf09a71a3ec08da32b9?utm_campaign=1062&amp;utm_source=sheet", "Apply")</f>
        <v>Apply</v>
      </c>
      <c r="C912" s="10" t="s">
        <v>4368</v>
      </c>
      <c r="D912" s="56" t="s">
        <v>2818</v>
      </c>
      <c r="E912" s="10" t="s">
        <v>209</v>
      </c>
      <c r="F912" s="10" t="s">
        <v>2819</v>
      </c>
      <c r="G912" s="10" t="s">
        <v>2448</v>
      </c>
      <c r="H912" s="10" t="s">
        <v>3543</v>
      </c>
      <c r="I912" s="10" t="s">
        <v>55</v>
      </c>
      <c r="J912" s="10" t="s">
        <v>3544</v>
      </c>
      <c r="K912" s="10" t="s">
        <v>3545</v>
      </c>
      <c r="L912" s="10" t="s">
        <v>42</v>
      </c>
    </row>
    <row r="913" ht="15.75" customHeight="1">
      <c r="A913" s="66">
        <v>45494.0</v>
      </c>
      <c r="B913" s="55" t="str">
        <f>HYPERLINK("https://jobright.ai/jobs/info/66a0ecf09a71a3ec08da32bc?utm_campaign=1062&amp;utm_source=sheet", "Apply")</f>
        <v>Apply</v>
      </c>
      <c r="C913" s="10" t="s">
        <v>4352</v>
      </c>
      <c r="D913" s="56" t="s">
        <v>2818</v>
      </c>
      <c r="E913" s="10" t="s">
        <v>209</v>
      </c>
      <c r="F913" s="10" t="s">
        <v>2819</v>
      </c>
      <c r="G913" s="10" t="s">
        <v>2437</v>
      </c>
      <c r="H913" s="10" t="s">
        <v>4369</v>
      </c>
      <c r="I913" s="10" t="s">
        <v>55</v>
      </c>
      <c r="J913" s="10" t="s">
        <v>3544</v>
      </c>
      <c r="K913" s="10" t="s">
        <v>4353</v>
      </c>
      <c r="L913" s="10" t="s">
        <v>42</v>
      </c>
    </row>
    <row r="914" ht="15.75" customHeight="1">
      <c r="A914" s="66">
        <v>45494.0</v>
      </c>
      <c r="B914" s="55" t="str">
        <f>HYPERLINK("https://jobright.ai/jobs/info/668bb6f517dee33772925674?utm_campaign=1062&amp;utm_source=sheet", "Apply")</f>
        <v>Apply</v>
      </c>
      <c r="C914" s="10" t="s">
        <v>4363</v>
      </c>
      <c r="D914" s="56" t="s">
        <v>2818</v>
      </c>
      <c r="E914" s="10" t="s">
        <v>209</v>
      </c>
      <c r="F914" s="10" t="s">
        <v>2819</v>
      </c>
      <c r="G914" s="10" t="s">
        <v>2484</v>
      </c>
      <c r="H914" s="10" t="s">
        <v>4369</v>
      </c>
      <c r="I914" s="10" t="s">
        <v>55</v>
      </c>
      <c r="J914" s="10" t="s">
        <v>3544</v>
      </c>
      <c r="K914" s="10" t="s">
        <v>4370</v>
      </c>
      <c r="L914" s="10" t="s">
        <v>42</v>
      </c>
    </row>
    <row r="915" ht="15.75" customHeight="1">
      <c r="A915" s="66">
        <v>45494.0</v>
      </c>
      <c r="B915" s="55" t="str">
        <f>HYPERLINK("https://jobright.ai/jobs/info/669e467fca3e6aa92c887ee9?utm_campaign=1062&amp;utm_source=sheet", "Apply")</f>
        <v>Apply</v>
      </c>
      <c r="C915" s="10" t="s">
        <v>4346</v>
      </c>
      <c r="D915" s="56" t="s">
        <v>2462</v>
      </c>
      <c r="E915" s="10" t="s">
        <v>79</v>
      </c>
      <c r="F915" s="10" t="s">
        <v>2463</v>
      </c>
      <c r="G915" s="10" t="s">
        <v>2464</v>
      </c>
      <c r="H915" s="10" t="s">
        <v>1008</v>
      </c>
      <c r="I915" s="10" t="s">
        <v>55</v>
      </c>
      <c r="K915" s="10" t="s">
        <v>4347</v>
      </c>
      <c r="L915" s="10" t="s">
        <v>42</v>
      </c>
    </row>
    <row r="916" ht="15.75" customHeight="1">
      <c r="A916" s="66">
        <v>45494.0</v>
      </c>
      <c r="B916" s="55" t="str">
        <f>HYPERLINK("https://jobright.ai/jobs/info/6594cd7966e3ee90a9804f42?utm_campaign=1062&amp;utm_source=sheet", "Apply")</f>
        <v>Apply</v>
      </c>
      <c r="C916" s="10" t="s">
        <v>4371</v>
      </c>
      <c r="D916" s="56" t="s">
        <v>3422</v>
      </c>
      <c r="E916" s="10" t="s">
        <v>71</v>
      </c>
      <c r="G916" s="10" t="s">
        <v>2437</v>
      </c>
      <c r="H916" s="10" t="s">
        <v>4372</v>
      </c>
      <c r="I916" s="10" t="s">
        <v>55</v>
      </c>
      <c r="J916" s="10" t="s">
        <v>4373</v>
      </c>
      <c r="K916" s="10" t="s">
        <v>4374</v>
      </c>
      <c r="L916" s="10" t="s">
        <v>42</v>
      </c>
    </row>
    <row r="917" ht="15.75" customHeight="1">
      <c r="A917" s="66">
        <v>45494.0</v>
      </c>
      <c r="B917" s="55" t="str">
        <f>HYPERLINK("https://jobright.ai/jobs/info/668296bd2c48423eb58320f4?utm_campaign=1062&amp;utm_source=sheet", "Apply")</f>
        <v>Apply</v>
      </c>
      <c r="C917" s="10" t="s">
        <v>4346</v>
      </c>
      <c r="D917" s="56" t="s">
        <v>2462</v>
      </c>
      <c r="E917" s="10" t="s">
        <v>79</v>
      </c>
      <c r="F917" s="10" t="s">
        <v>2463</v>
      </c>
      <c r="G917" s="10" t="s">
        <v>2464</v>
      </c>
      <c r="H917" s="10" t="s">
        <v>4375</v>
      </c>
      <c r="I917" s="10" t="s">
        <v>55</v>
      </c>
      <c r="K917" s="10" t="s">
        <v>4347</v>
      </c>
      <c r="L917" s="10" t="s">
        <v>42</v>
      </c>
    </row>
    <row r="918" ht="15.75" customHeight="1">
      <c r="A918" s="66">
        <v>45494.0</v>
      </c>
      <c r="B918" s="55" t="str">
        <f>HYPERLINK("https://jobright.ai/jobs/info/6676d92c4ffdc62f7b67a4be?utm_campaign=1062&amp;utm_source=sheet", "Apply")</f>
        <v>Apply</v>
      </c>
      <c r="C918" s="10" t="s">
        <v>4376</v>
      </c>
      <c r="D918" s="56" t="s">
        <v>4377</v>
      </c>
      <c r="E918" s="10" t="s">
        <v>45</v>
      </c>
      <c r="F918" s="10" t="s">
        <v>1695</v>
      </c>
      <c r="G918" s="10" t="s">
        <v>2443</v>
      </c>
      <c r="H918" s="10" t="s">
        <v>96</v>
      </c>
      <c r="I918" s="10" t="s">
        <v>55</v>
      </c>
      <c r="J918" s="10" t="s">
        <v>4378</v>
      </c>
      <c r="K918" s="10" t="s">
        <v>4379</v>
      </c>
      <c r="L918" s="10" t="s">
        <v>42</v>
      </c>
    </row>
    <row r="919" ht="15.75" customHeight="1">
      <c r="A919" s="66">
        <v>45494.0</v>
      </c>
      <c r="B919" s="55" t="str">
        <f>HYPERLINK("https://jobright.ai/jobs/info/665e557645ce60d2a2d66f30?utm_campaign=1062&amp;utm_source=sheet", "Apply")</f>
        <v>Apply</v>
      </c>
      <c r="C919" s="10" t="s">
        <v>4380</v>
      </c>
      <c r="D919" s="56" t="s">
        <v>4381</v>
      </c>
      <c r="E919" s="10" t="s">
        <v>65</v>
      </c>
      <c r="F919" s="10" t="s">
        <v>4382</v>
      </c>
      <c r="G919" s="10" t="s">
        <v>2484</v>
      </c>
      <c r="H919" s="10" t="s">
        <v>438</v>
      </c>
      <c r="I919" s="10" t="s">
        <v>48</v>
      </c>
      <c r="K919" s="10" t="s">
        <v>4383</v>
      </c>
      <c r="L919" s="10" t="s">
        <v>42</v>
      </c>
    </row>
    <row r="920" ht="15.75" customHeight="1">
      <c r="A920" s="66">
        <v>45494.0</v>
      </c>
      <c r="B920" s="55" t="str">
        <f>HYPERLINK("https://jobright.ai/jobs/info/6645b00b629cff6b62b41173?utm_campaign=1062&amp;utm_source=sheet", "Apply")</f>
        <v>Apply</v>
      </c>
      <c r="C920" s="10" t="s">
        <v>4384</v>
      </c>
      <c r="D920" s="56" t="s">
        <v>4385</v>
      </c>
      <c r="E920" s="10" t="s">
        <v>65</v>
      </c>
      <c r="F920" s="10" t="s">
        <v>3453</v>
      </c>
      <c r="G920" s="10" t="s">
        <v>2443</v>
      </c>
      <c r="H920" s="10" t="s">
        <v>313</v>
      </c>
      <c r="I920" s="10" t="s">
        <v>55</v>
      </c>
      <c r="J920" s="10" t="s">
        <v>4386</v>
      </c>
      <c r="K920" s="10" t="s">
        <v>4387</v>
      </c>
      <c r="L920" s="10" t="s">
        <v>42</v>
      </c>
    </row>
    <row r="921" ht="15.75" customHeight="1">
      <c r="A921" s="66">
        <v>45494.0</v>
      </c>
      <c r="B921" s="55" t="str">
        <f>HYPERLINK("https://jobright.ai/jobs/info/6663faecfe76cf774c93a596?utm_campaign=1062&amp;utm_source=sheet", "Apply")</f>
        <v>Apply</v>
      </c>
      <c r="C921" s="10" t="s">
        <v>4077</v>
      </c>
      <c r="D921" s="56" t="s">
        <v>2721</v>
      </c>
      <c r="E921" s="10" t="s">
        <v>45</v>
      </c>
      <c r="F921" s="10" t="s">
        <v>2722</v>
      </c>
      <c r="G921" s="10" t="s">
        <v>2502</v>
      </c>
      <c r="H921" s="10" t="s">
        <v>423</v>
      </c>
      <c r="I921" s="10" t="s">
        <v>55</v>
      </c>
      <c r="J921" s="10" t="s">
        <v>2767</v>
      </c>
      <c r="K921" s="10" t="s">
        <v>4361</v>
      </c>
      <c r="L921" s="10" t="s">
        <v>42</v>
      </c>
    </row>
    <row r="922" ht="15.75" customHeight="1">
      <c r="A922" s="66">
        <v>45494.0</v>
      </c>
      <c r="B922" s="55" t="str">
        <f>HYPERLINK("https://jobright.ai/jobs/info/6647ebead65c1af883897dcb?utm_campaign=1062&amp;utm_source=sheet", "Apply")</f>
        <v>Apply</v>
      </c>
      <c r="C922" s="10" t="s">
        <v>4388</v>
      </c>
      <c r="D922" s="56" t="s">
        <v>427</v>
      </c>
      <c r="E922" s="10" t="s">
        <v>45</v>
      </c>
      <c r="F922" s="10" t="s">
        <v>428</v>
      </c>
      <c r="G922" s="10" t="s">
        <v>2448</v>
      </c>
      <c r="H922" s="10" t="s">
        <v>429</v>
      </c>
      <c r="I922" s="10" t="s">
        <v>48</v>
      </c>
      <c r="K922" s="10" t="s">
        <v>430</v>
      </c>
      <c r="L922" s="10" t="s">
        <v>42</v>
      </c>
    </row>
    <row r="923" ht="15.75" customHeight="1">
      <c r="A923" s="66">
        <v>45494.0</v>
      </c>
      <c r="B923" s="55" t="str">
        <f>HYPERLINK("https://jobright.ai/jobs/info/66465cf766db8b00cbabbfa1?utm_campaign=1062&amp;utm_source=sheet", "Apply")</f>
        <v>Apply</v>
      </c>
      <c r="C923" s="10" t="s">
        <v>4389</v>
      </c>
      <c r="D923" s="56" t="s">
        <v>1061</v>
      </c>
      <c r="E923" s="10" t="s">
        <v>209</v>
      </c>
      <c r="G923" s="10" t="s">
        <v>2448</v>
      </c>
      <c r="H923" s="10" t="s">
        <v>1945</v>
      </c>
      <c r="I923" s="10" t="s">
        <v>55</v>
      </c>
      <c r="K923" s="10" t="s">
        <v>4390</v>
      </c>
      <c r="L923" s="10" t="s">
        <v>42</v>
      </c>
    </row>
    <row r="924" ht="15.75" customHeight="1">
      <c r="A924" s="66">
        <v>45494.0</v>
      </c>
      <c r="B924" s="55" t="str">
        <f>HYPERLINK("https://jobright.ai/jobs/info/667974268f20c6df6b89ab5c?utm_campaign=1062&amp;utm_source=sheet", "Apply")</f>
        <v>Apply</v>
      </c>
      <c r="C924" s="10" t="s">
        <v>4391</v>
      </c>
      <c r="D924" s="56" t="s">
        <v>4392</v>
      </c>
      <c r="E924" s="10" t="s">
        <v>45</v>
      </c>
      <c r="F924" s="10" t="s">
        <v>4393</v>
      </c>
      <c r="G924" s="10" t="s">
        <v>3733</v>
      </c>
      <c r="H924" s="10" t="s">
        <v>201</v>
      </c>
      <c r="I924" s="10" t="s">
        <v>55</v>
      </c>
      <c r="J924" s="10" t="s">
        <v>4394</v>
      </c>
      <c r="K924" s="10" t="s">
        <v>4395</v>
      </c>
      <c r="L924" s="10" t="s">
        <v>42</v>
      </c>
    </row>
    <row r="925" ht="15.75" customHeight="1">
      <c r="A925" s="66">
        <v>45494.0</v>
      </c>
      <c r="B925" s="55" t="str">
        <f>HYPERLINK("https://jobright.ai/jobs/info/669110711275f0d7353dd53c?utm_campaign=1062&amp;utm_source=sheet", "Apply")</f>
        <v>Apply</v>
      </c>
      <c r="C925" s="10" t="s">
        <v>4358</v>
      </c>
      <c r="D925" s="56" t="s">
        <v>2462</v>
      </c>
      <c r="E925" s="10" t="s">
        <v>79</v>
      </c>
      <c r="F925" s="10" t="s">
        <v>2463</v>
      </c>
      <c r="G925" s="10" t="s">
        <v>2579</v>
      </c>
      <c r="H925" s="10" t="s">
        <v>4396</v>
      </c>
      <c r="I925" s="10" t="s">
        <v>55</v>
      </c>
      <c r="K925" s="10" t="s">
        <v>4359</v>
      </c>
      <c r="L925" s="10" t="s">
        <v>42</v>
      </c>
    </row>
    <row r="926" ht="15.75" customHeight="1">
      <c r="A926" s="66">
        <v>45494.0</v>
      </c>
      <c r="B926" s="55" t="str">
        <f>HYPERLINK("https://jobright.ai/jobs/info/6677d19397271e26801e1e3b?utm_campaign=1062&amp;utm_source=sheet", "Apply")</f>
        <v>Apply</v>
      </c>
      <c r="C926" s="10" t="s">
        <v>3716</v>
      </c>
      <c r="D926" s="56" t="s">
        <v>2721</v>
      </c>
      <c r="E926" s="10" t="s">
        <v>45</v>
      </c>
      <c r="F926" s="10" t="s">
        <v>2722</v>
      </c>
      <c r="G926" s="10" t="s">
        <v>2502</v>
      </c>
      <c r="H926" s="10" t="s">
        <v>313</v>
      </c>
      <c r="I926" s="10" t="s">
        <v>55</v>
      </c>
      <c r="J926" s="10" t="s">
        <v>314</v>
      </c>
      <c r="K926" s="10" t="s">
        <v>4397</v>
      </c>
      <c r="L926" s="10" t="s">
        <v>42</v>
      </c>
    </row>
    <row r="927" ht="15.75" customHeight="1">
      <c r="A927" s="66">
        <v>45494.0</v>
      </c>
      <c r="B927" s="55" t="str">
        <f>HYPERLINK("https://jobright.ai/jobs/info/6675ac196d8340c59f8e45f5?utm_campaign=1062&amp;utm_source=sheet", "Apply")</f>
        <v>Apply</v>
      </c>
      <c r="C927" s="10" t="s">
        <v>4398</v>
      </c>
      <c r="D927" s="56" t="s">
        <v>4399</v>
      </c>
      <c r="E927" s="10" t="s">
        <v>45</v>
      </c>
      <c r="F927" s="10" t="s">
        <v>660</v>
      </c>
      <c r="G927" s="10" t="s">
        <v>2476</v>
      </c>
      <c r="H927" s="10" t="s">
        <v>117</v>
      </c>
      <c r="I927" s="10" t="s">
        <v>55</v>
      </c>
      <c r="J927" s="10" t="s">
        <v>4400</v>
      </c>
      <c r="K927" s="10" t="s">
        <v>4401</v>
      </c>
      <c r="L927" s="10" t="s">
        <v>42</v>
      </c>
    </row>
    <row r="928" ht="15.75" customHeight="1">
      <c r="A928" s="66">
        <v>45494.0</v>
      </c>
      <c r="B928" s="55" t="str">
        <f>HYPERLINK("https://jobright.ai/jobs/info/6675dce0d40a616e23782a85?utm_campaign=1062&amp;utm_source=sheet", "Apply")</f>
        <v>Apply</v>
      </c>
      <c r="C928" s="10" t="s">
        <v>4364</v>
      </c>
      <c r="D928" s="56" t="s">
        <v>2726</v>
      </c>
      <c r="E928" s="10" t="s">
        <v>65</v>
      </c>
      <c r="F928" s="10" t="s">
        <v>85</v>
      </c>
      <c r="G928" s="10" t="s">
        <v>2579</v>
      </c>
      <c r="H928" s="10" t="s">
        <v>4402</v>
      </c>
      <c r="I928" s="10" t="s">
        <v>48</v>
      </c>
      <c r="K928" s="10" t="s">
        <v>4365</v>
      </c>
      <c r="L928" s="10" t="s">
        <v>42</v>
      </c>
    </row>
    <row r="929" ht="15.75" customHeight="1">
      <c r="A929" s="66">
        <v>45494.0</v>
      </c>
      <c r="B929" s="55" t="str">
        <f>HYPERLINK("https://jobright.ai/jobs/info/666389fcb779cc2b169f0b5d?utm_campaign=1062&amp;utm_source=sheet", "Apply")</f>
        <v>Apply</v>
      </c>
      <c r="C929" s="10" t="s">
        <v>4403</v>
      </c>
      <c r="D929" s="56" t="s">
        <v>4225</v>
      </c>
      <c r="E929" s="10" t="s">
        <v>209</v>
      </c>
      <c r="F929" s="10" t="s">
        <v>4226</v>
      </c>
      <c r="G929" s="10" t="s">
        <v>2470</v>
      </c>
      <c r="H929" s="10" t="s">
        <v>4404</v>
      </c>
      <c r="I929" s="10" t="s">
        <v>55</v>
      </c>
      <c r="J929" s="10" t="s">
        <v>1616</v>
      </c>
      <c r="K929" s="10" t="s">
        <v>4405</v>
      </c>
      <c r="L929" s="10" t="s">
        <v>42</v>
      </c>
    </row>
    <row r="930" ht="15.75" customHeight="1">
      <c r="A930" s="66">
        <v>45494.0</v>
      </c>
      <c r="B930" s="55" t="str">
        <f>HYPERLINK("https://jobright.ai/jobs/info/6677d35e97271e26801e3ef3?utm_campaign=1062&amp;utm_source=sheet", "Apply")</f>
        <v>Apply</v>
      </c>
      <c r="C930" s="10" t="s">
        <v>4364</v>
      </c>
      <c r="D930" s="56" t="s">
        <v>2726</v>
      </c>
      <c r="E930" s="10" t="s">
        <v>65</v>
      </c>
      <c r="F930" s="10" t="s">
        <v>85</v>
      </c>
      <c r="G930" s="10" t="s">
        <v>2579</v>
      </c>
      <c r="H930" s="10" t="s">
        <v>4406</v>
      </c>
      <c r="I930" s="10" t="s">
        <v>48</v>
      </c>
      <c r="K930" s="10" t="s">
        <v>4365</v>
      </c>
      <c r="L930" s="10" t="s">
        <v>42</v>
      </c>
    </row>
    <row r="931" ht="15.75" customHeight="1">
      <c r="A931" s="66">
        <v>45494.0</v>
      </c>
      <c r="B931" s="55" t="str">
        <f>HYPERLINK("https://jobright.ai/jobs/info/6676b804022d43fb7b6889f6?utm_campaign=1062&amp;utm_source=sheet", "Apply")</f>
        <v>Apply</v>
      </c>
      <c r="C931" s="10" t="s">
        <v>3705</v>
      </c>
      <c r="D931" s="56" t="s">
        <v>2721</v>
      </c>
      <c r="E931" s="10" t="s">
        <v>45</v>
      </c>
      <c r="F931" s="10" t="s">
        <v>2722</v>
      </c>
      <c r="G931" s="10" t="s">
        <v>2502</v>
      </c>
      <c r="H931" s="10" t="s">
        <v>423</v>
      </c>
      <c r="I931" s="10" t="s">
        <v>55</v>
      </c>
      <c r="J931" s="10" t="s">
        <v>2767</v>
      </c>
      <c r="K931" s="10" t="s">
        <v>4361</v>
      </c>
      <c r="L931" s="10" t="s">
        <v>42</v>
      </c>
    </row>
    <row r="932" ht="15.75" customHeight="1">
      <c r="A932" s="66">
        <v>45494.0</v>
      </c>
      <c r="B932" s="55" t="str">
        <f>HYPERLINK("https://jobright.ai/jobs/info/6646a786e13e61b188cd7b87?utm_campaign=1062&amp;utm_source=sheet", "Apply")</f>
        <v>Apply</v>
      </c>
      <c r="C932" s="10" t="s">
        <v>4407</v>
      </c>
      <c r="D932" s="56" t="s">
        <v>4408</v>
      </c>
      <c r="E932" s="10" t="s">
        <v>65</v>
      </c>
      <c r="F932" s="10" t="s">
        <v>2806</v>
      </c>
      <c r="G932" s="10" t="s">
        <v>2807</v>
      </c>
      <c r="H932" s="10" t="s">
        <v>1309</v>
      </c>
      <c r="I932" s="10" t="s">
        <v>55</v>
      </c>
      <c r="J932" s="10" t="s">
        <v>4409</v>
      </c>
      <c r="K932" s="10" t="s">
        <v>4410</v>
      </c>
      <c r="L932" s="10" t="s">
        <v>42</v>
      </c>
    </row>
    <row r="933" ht="15.75" customHeight="1">
      <c r="A933" s="66">
        <v>45494.0</v>
      </c>
      <c r="B933" s="55" t="str">
        <f>HYPERLINK("https://jobright.ai/jobs/info/6677d6a15793f82273cb2f81?utm_campaign=1062&amp;utm_source=sheet", "Apply")</f>
        <v>Apply</v>
      </c>
      <c r="C933" s="10" t="s">
        <v>3716</v>
      </c>
      <c r="D933" s="56" t="s">
        <v>2721</v>
      </c>
      <c r="E933" s="10" t="s">
        <v>45</v>
      </c>
      <c r="F933" s="10" t="s">
        <v>2722</v>
      </c>
      <c r="G933" s="10" t="s">
        <v>2502</v>
      </c>
      <c r="H933" s="10" t="s">
        <v>423</v>
      </c>
      <c r="I933" s="10" t="s">
        <v>55</v>
      </c>
      <c r="J933" s="10" t="s">
        <v>3717</v>
      </c>
      <c r="K933" s="10" t="s">
        <v>4397</v>
      </c>
      <c r="L933" s="10" t="s">
        <v>42</v>
      </c>
    </row>
    <row r="934" ht="15.75" customHeight="1">
      <c r="A934" s="66">
        <v>45494.0</v>
      </c>
      <c r="B934" s="55" t="str">
        <f>HYPERLINK("https://jobright.ai/jobs/info/6675e19de95c1a0a225b8ebe?utm_campaign=1062&amp;utm_source=sheet", "Apply")</f>
        <v>Apply</v>
      </c>
      <c r="C934" s="10" t="s">
        <v>4411</v>
      </c>
      <c r="D934" s="56" t="s">
        <v>4412</v>
      </c>
      <c r="E934" s="10" t="s">
        <v>45</v>
      </c>
      <c r="F934" s="10" t="s">
        <v>1700</v>
      </c>
      <c r="G934" s="10" t="s">
        <v>2455</v>
      </c>
      <c r="H934" s="10" t="s">
        <v>914</v>
      </c>
      <c r="I934" s="10" t="s">
        <v>55</v>
      </c>
      <c r="J934" s="10" t="s">
        <v>4413</v>
      </c>
      <c r="K934" s="10" t="s">
        <v>4414</v>
      </c>
      <c r="L934" s="10" t="s">
        <v>42</v>
      </c>
    </row>
    <row r="935" ht="15.75" customHeight="1">
      <c r="A935" s="66">
        <v>45494.0</v>
      </c>
      <c r="B935" s="55" t="str">
        <f>HYPERLINK("https://jobright.ai/jobs/info/6663956014a8f172c1ad1532?utm_campaign=1062&amp;utm_source=sheet", "Apply")</f>
        <v>Apply</v>
      </c>
      <c r="C935" s="10" t="s">
        <v>4415</v>
      </c>
      <c r="D935" s="56" t="s">
        <v>180</v>
      </c>
      <c r="E935" s="10">
        <v>3092.0</v>
      </c>
      <c r="G935" s="10" t="s">
        <v>2448</v>
      </c>
      <c r="H935" s="10" t="s">
        <v>113</v>
      </c>
      <c r="I935" s="10" t="s">
        <v>55</v>
      </c>
      <c r="K935" s="10" t="s">
        <v>4416</v>
      </c>
      <c r="L935" s="10" t="s">
        <v>42</v>
      </c>
    </row>
    <row r="936" ht="15.75" customHeight="1">
      <c r="A936" s="66">
        <v>45494.0</v>
      </c>
      <c r="B936" s="55" t="str">
        <f>HYPERLINK("https://jobright.ai/jobs/info/6663f418a03475ffe93afd41?utm_campaign=1062&amp;utm_source=sheet", "Apply")</f>
        <v>Apply</v>
      </c>
      <c r="C936" s="10" t="s">
        <v>4417</v>
      </c>
      <c r="D936" s="56" t="s">
        <v>2721</v>
      </c>
      <c r="E936" s="10" t="s">
        <v>45</v>
      </c>
      <c r="F936" s="10" t="s">
        <v>2722</v>
      </c>
      <c r="G936" s="10" t="s">
        <v>2502</v>
      </c>
      <c r="H936" s="10" t="s">
        <v>313</v>
      </c>
      <c r="I936" s="10" t="s">
        <v>55</v>
      </c>
      <c r="J936" s="10" t="s">
        <v>2723</v>
      </c>
      <c r="K936" s="10" t="s">
        <v>4418</v>
      </c>
      <c r="L936" s="10" t="s">
        <v>42</v>
      </c>
    </row>
    <row r="937" ht="15.75" customHeight="1">
      <c r="A937" s="66">
        <v>45494.0</v>
      </c>
      <c r="B937" s="55" t="str">
        <f>HYPERLINK("https://jobright.ai/jobs/info/6693c25e0a9f4673e3166841?utm_campaign=1062&amp;utm_source=sheet", "Apply")</f>
        <v>Apply</v>
      </c>
      <c r="C937" s="10" t="s">
        <v>4419</v>
      </c>
      <c r="D937" s="56" t="s">
        <v>3231</v>
      </c>
      <c r="E937" s="10" t="s">
        <v>276</v>
      </c>
      <c r="F937" s="10" t="s">
        <v>2554</v>
      </c>
      <c r="G937" s="10" t="s">
        <v>2437</v>
      </c>
      <c r="H937" s="10" t="s">
        <v>4420</v>
      </c>
      <c r="I937" s="10" t="s">
        <v>55</v>
      </c>
      <c r="K937" s="10" t="s">
        <v>4421</v>
      </c>
      <c r="L937" s="10" t="s">
        <v>42</v>
      </c>
    </row>
    <row r="938" ht="15.75" customHeight="1">
      <c r="A938" s="66">
        <v>45494.0</v>
      </c>
      <c r="B938" s="55" t="str">
        <f>HYPERLINK("https://jobright.ai/jobs/info/667416ef5535aa1101e332b0?utm_campaign=1062&amp;utm_source=sheet", "Apply")</f>
        <v>Apply</v>
      </c>
      <c r="C938" s="10" t="s">
        <v>4422</v>
      </c>
      <c r="D938" s="56" t="s">
        <v>1127</v>
      </c>
      <c r="E938" s="10" t="s">
        <v>209</v>
      </c>
      <c r="F938" s="10" t="s">
        <v>239</v>
      </c>
      <c r="G938" s="10" t="s">
        <v>2484</v>
      </c>
      <c r="H938" s="10" t="s">
        <v>4423</v>
      </c>
      <c r="I938" s="10" t="s">
        <v>55</v>
      </c>
      <c r="K938" s="10" t="s">
        <v>4424</v>
      </c>
      <c r="L938" s="10" t="s">
        <v>42</v>
      </c>
    </row>
    <row r="939" ht="15.75" customHeight="1">
      <c r="A939" s="66">
        <v>45494.0</v>
      </c>
      <c r="B939" s="55" t="str">
        <f>HYPERLINK("https://jobright.ai/jobs/info/6663eb81f651f7b67b8edcc6?utm_campaign=1062&amp;utm_source=sheet", "Apply")</f>
        <v>Apply</v>
      </c>
      <c r="C939" s="10" t="s">
        <v>4077</v>
      </c>
      <c r="D939" s="56" t="s">
        <v>2721</v>
      </c>
      <c r="E939" s="10" t="s">
        <v>45</v>
      </c>
      <c r="F939" s="10" t="s">
        <v>2722</v>
      </c>
      <c r="G939" s="10" t="s">
        <v>2502</v>
      </c>
      <c r="H939" s="10" t="s">
        <v>313</v>
      </c>
      <c r="I939" s="10" t="s">
        <v>55</v>
      </c>
      <c r="J939" s="10" t="s">
        <v>2723</v>
      </c>
      <c r="K939" s="10" t="s">
        <v>4361</v>
      </c>
      <c r="L939" s="10" t="s">
        <v>42</v>
      </c>
    </row>
    <row r="940" ht="15.75" customHeight="1">
      <c r="A940" s="66">
        <v>45494.0</v>
      </c>
      <c r="B940" s="55" t="str">
        <f>HYPERLINK("https://jobright.ai/jobs/info/66465d1f66db8b00cbabc36b?utm_campaign=1062&amp;utm_source=sheet", "Apply")</f>
        <v>Apply</v>
      </c>
      <c r="C940" s="10" t="s">
        <v>4425</v>
      </c>
      <c r="D940" s="56" t="s">
        <v>2763</v>
      </c>
      <c r="E940" s="10" t="s">
        <v>45</v>
      </c>
      <c r="F940" s="10" t="s">
        <v>1465</v>
      </c>
      <c r="G940" s="10" t="s">
        <v>2495</v>
      </c>
      <c r="H940" s="10" t="s">
        <v>3847</v>
      </c>
      <c r="I940" s="10" t="s">
        <v>55</v>
      </c>
      <c r="K940" s="10" t="s">
        <v>4426</v>
      </c>
      <c r="L940" s="10" t="s">
        <v>42</v>
      </c>
    </row>
    <row r="941" ht="15.75" customHeight="1">
      <c r="A941" s="66">
        <v>45494.0</v>
      </c>
      <c r="B941" s="55" t="str">
        <f>HYPERLINK("https://jobright.ai/jobs/info/664654e3420472106268e1da?utm_campaign=1062&amp;utm_source=sheet", "Apply")</f>
        <v>Apply</v>
      </c>
      <c r="C941" s="10" t="s">
        <v>4425</v>
      </c>
      <c r="D941" s="56" t="s">
        <v>2763</v>
      </c>
      <c r="E941" s="10" t="s">
        <v>45</v>
      </c>
      <c r="F941" s="10" t="s">
        <v>1465</v>
      </c>
      <c r="G941" s="10" t="s">
        <v>2495</v>
      </c>
      <c r="H941" s="10" t="s">
        <v>2831</v>
      </c>
      <c r="I941" s="10" t="s">
        <v>55</v>
      </c>
      <c r="K941" s="10" t="s">
        <v>4426</v>
      </c>
      <c r="L941" s="10" t="s">
        <v>42</v>
      </c>
    </row>
    <row r="942" ht="15.75" customHeight="1">
      <c r="A942" s="66">
        <v>45494.0</v>
      </c>
      <c r="B942" s="55" t="str">
        <f>HYPERLINK("https://jobright.ai/jobs/info/667974268f20c6df6b89ab3b?utm_campaign=1062&amp;utm_source=sheet", "Apply")</f>
        <v>Apply</v>
      </c>
      <c r="C942" s="10" t="s">
        <v>4427</v>
      </c>
      <c r="D942" s="56" t="s">
        <v>4428</v>
      </c>
      <c r="E942" s="10" t="s">
        <v>209</v>
      </c>
      <c r="F942" s="10" t="s">
        <v>2617</v>
      </c>
      <c r="G942" s="10" t="s">
        <v>2448</v>
      </c>
      <c r="H942" s="10" t="s">
        <v>165</v>
      </c>
      <c r="I942" s="10" t="s">
        <v>55</v>
      </c>
      <c r="J942" s="10" t="s">
        <v>4429</v>
      </c>
      <c r="K942" s="10" t="s">
        <v>4430</v>
      </c>
      <c r="L942" s="10" t="s">
        <v>42</v>
      </c>
    </row>
    <row r="943" ht="15.75" customHeight="1">
      <c r="A943" s="66">
        <v>45494.0</v>
      </c>
      <c r="B943" s="55" t="str">
        <f>HYPERLINK("https://jobright.ai/jobs/info/664803e2aba5e84352282928?utm_campaign=1062&amp;utm_source=sheet", "Apply")</f>
        <v>Apply</v>
      </c>
      <c r="C943" s="10" t="s">
        <v>2725</v>
      </c>
      <c r="D943" s="56" t="s">
        <v>2726</v>
      </c>
      <c r="E943" s="10" t="s">
        <v>65</v>
      </c>
      <c r="F943" s="10" t="s">
        <v>85</v>
      </c>
      <c r="G943" s="10" t="s">
        <v>2464</v>
      </c>
      <c r="H943" s="10" t="s">
        <v>131</v>
      </c>
      <c r="I943" s="10" t="s">
        <v>48</v>
      </c>
      <c r="K943" s="10" t="s">
        <v>4431</v>
      </c>
      <c r="L943" s="10" t="s">
        <v>42</v>
      </c>
    </row>
    <row r="944" ht="15.75" customHeight="1">
      <c r="A944" s="66">
        <v>45494.0</v>
      </c>
      <c r="B944" s="55" t="str">
        <f>HYPERLINK("https://jobright.ai/jobs/info/668805fe0c041b83fd893e3b?utm_campaign=1062&amp;utm_source=sheet", "Apply")</f>
        <v>Apply</v>
      </c>
      <c r="C944" s="10" t="s">
        <v>4432</v>
      </c>
      <c r="D944" s="56" t="s">
        <v>4433</v>
      </c>
      <c r="E944" s="10">
        <v>235.0</v>
      </c>
      <c r="G944" s="10" t="s">
        <v>2476</v>
      </c>
      <c r="H944" s="10" t="s">
        <v>4434</v>
      </c>
      <c r="I944" s="10" t="s">
        <v>55</v>
      </c>
      <c r="K944" s="10" t="s">
        <v>4435</v>
      </c>
      <c r="L944" s="10" t="s">
        <v>42</v>
      </c>
    </row>
    <row r="945" ht="15.75" customHeight="1">
      <c r="A945" s="66">
        <v>45493.0</v>
      </c>
      <c r="B945" s="55" t="str">
        <f>HYPERLINK("https://jobright.ai/jobs/info/669c5939998bead1e5bfe206?utm_campaign=1062&amp;utm_source=sheet", "Apply")</f>
        <v>Apply</v>
      </c>
      <c r="C945" s="10" t="s">
        <v>4436</v>
      </c>
      <c r="D945" s="56" t="s">
        <v>4428</v>
      </c>
      <c r="E945" s="10" t="s">
        <v>209</v>
      </c>
      <c r="F945" s="10" t="s">
        <v>2617</v>
      </c>
      <c r="G945" s="10" t="s">
        <v>2443</v>
      </c>
      <c r="H945" s="10" t="s">
        <v>165</v>
      </c>
      <c r="I945" s="10" t="s">
        <v>55</v>
      </c>
      <c r="J945" s="10" t="s">
        <v>4437</v>
      </c>
      <c r="K945" s="10" t="s">
        <v>4438</v>
      </c>
      <c r="L945" s="10" t="s">
        <v>42</v>
      </c>
    </row>
    <row r="946" ht="15.75" customHeight="1">
      <c r="A946" s="66">
        <v>45493.0</v>
      </c>
      <c r="B946" s="55" t="str">
        <f>HYPERLINK("https://jobright.ai/jobs/info/665af7e679f68d0a9512f49b?utm_campaign=1062&amp;utm_source=sheet", "Apply")</f>
        <v>Apply</v>
      </c>
      <c r="C946" s="10" t="s">
        <v>4432</v>
      </c>
      <c r="D946" s="56" t="s">
        <v>4433</v>
      </c>
      <c r="E946" s="10">
        <v>235.0</v>
      </c>
      <c r="G946" s="10" t="s">
        <v>2476</v>
      </c>
      <c r="H946" s="10" t="s">
        <v>4434</v>
      </c>
      <c r="I946" s="10" t="s">
        <v>48</v>
      </c>
      <c r="K946" s="10" t="s">
        <v>4435</v>
      </c>
      <c r="L946" s="10" t="s">
        <v>42</v>
      </c>
    </row>
    <row r="947" ht="15.75" customHeight="1">
      <c r="A947" s="66">
        <v>45493.0</v>
      </c>
      <c r="B947" s="55" t="str">
        <f>HYPERLINK("https://jobright.ai/jobs/info/66854a7f9799f1a00a244a69?utm_campaign=1062&amp;utm_source=sheet", "Apply")</f>
        <v>Apply</v>
      </c>
      <c r="C947" s="10" t="s">
        <v>4439</v>
      </c>
      <c r="D947" s="56" t="s">
        <v>311</v>
      </c>
      <c r="E947" s="10" t="s">
        <v>45</v>
      </c>
      <c r="F947" s="10" t="s">
        <v>312</v>
      </c>
      <c r="G947" s="10" t="s">
        <v>2502</v>
      </c>
      <c r="H947" s="10" t="s">
        <v>313</v>
      </c>
      <c r="I947" s="10" t="s">
        <v>55</v>
      </c>
      <c r="J947" s="10" t="s">
        <v>2723</v>
      </c>
      <c r="K947" s="10" t="s">
        <v>4440</v>
      </c>
      <c r="L947" s="10" t="s">
        <v>42</v>
      </c>
    </row>
    <row r="948" ht="15.75" customHeight="1">
      <c r="A948" s="66">
        <v>45493.0</v>
      </c>
      <c r="B948" s="55" t="str">
        <f>HYPERLINK("https://jobright.ai/jobs/info/669d168635607f92f55d4129?utm_campaign=1062&amp;utm_source=sheet", "Apply")</f>
        <v>Apply</v>
      </c>
      <c r="C948" s="10" t="s">
        <v>1771</v>
      </c>
      <c r="D948" s="56" t="s">
        <v>1768</v>
      </c>
      <c r="E948" s="10" t="s">
        <v>79</v>
      </c>
      <c r="F948" s="10" t="s">
        <v>1769</v>
      </c>
      <c r="G948" s="10" t="s">
        <v>2437</v>
      </c>
      <c r="H948" s="10" t="s">
        <v>96</v>
      </c>
      <c r="I948" s="10" t="s">
        <v>55</v>
      </c>
      <c r="J948" s="10" t="s">
        <v>521</v>
      </c>
      <c r="K948" s="10" t="s">
        <v>4441</v>
      </c>
      <c r="L948" s="10" t="s">
        <v>42</v>
      </c>
    </row>
    <row r="949" ht="15.75" customHeight="1">
      <c r="A949" s="66">
        <v>45493.0</v>
      </c>
      <c r="B949" s="55" t="str">
        <f>HYPERLINK("https://jobright.ai/jobs/info/669cb33ca5976e39e28d4322?utm_campaign=1062&amp;utm_source=sheet", "Apply")</f>
        <v>Apply</v>
      </c>
      <c r="C949" s="10" t="s">
        <v>1771</v>
      </c>
      <c r="D949" s="56" t="s">
        <v>1768</v>
      </c>
      <c r="E949" s="10" t="s">
        <v>79</v>
      </c>
      <c r="F949" s="10" t="s">
        <v>1769</v>
      </c>
      <c r="G949" s="10" t="s">
        <v>2437</v>
      </c>
      <c r="H949" s="10" t="s">
        <v>96</v>
      </c>
      <c r="I949" s="10" t="s">
        <v>55</v>
      </c>
      <c r="J949" s="10" t="s">
        <v>2609</v>
      </c>
      <c r="K949" s="10" t="s">
        <v>4441</v>
      </c>
      <c r="L949" s="10" t="s">
        <v>42</v>
      </c>
    </row>
    <row r="950" ht="15.75" customHeight="1">
      <c r="A950" s="66">
        <v>45493.0</v>
      </c>
      <c r="B950" s="55" t="str">
        <f>HYPERLINK("https://jobright.ai/jobs/info/669c9e620f44011a12422e8e?utm_campaign=1062&amp;utm_source=sheet", "Apply")</f>
        <v>Apply</v>
      </c>
      <c r="C950" s="10" t="s">
        <v>4432</v>
      </c>
      <c r="D950" s="56" t="s">
        <v>4433</v>
      </c>
      <c r="E950" s="10">
        <v>235.0</v>
      </c>
      <c r="G950" s="10" t="s">
        <v>2476</v>
      </c>
      <c r="H950" s="10" t="s">
        <v>4434</v>
      </c>
      <c r="I950" s="10" t="s">
        <v>55</v>
      </c>
      <c r="K950" s="10" t="s">
        <v>4435</v>
      </c>
      <c r="L950" s="10" t="s">
        <v>42</v>
      </c>
    </row>
    <row r="951" ht="15.75" customHeight="1">
      <c r="A951" s="66">
        <v>45493.0</v>
      </c>
      <c r="B951" s="55" t="str">
        <f>HYPERLINK("https://jobright.ai/jobs/info/669c4904fa2c0d1c7c2db652?utm_campaign=1062&amp;utm_source=sheet", "Apply")</f>
        <v>Apply</v>
      </c>
      <c r="C951" s="10" t="s">
        <v>4442</v>
      </c>
      <c r="D951" s="56" t="s">
        <v>99</v>
      </c>
      <c r="E951" s="10" t="s">
        <v>45</v>
      </c>
      <c r="F951" s="10" t="s">
        <v>100</v>
      </c>
      <c r="G951" s="10" t="s">
        <v>2455</v>
      </c>
      <c r="H951" s="10" t="s">
        <v>235</v>
      </c>
      <c r="I951" s="10" t="s">
        <v>55</v>
      </c>
      <c r="K951" s="10" t="s">
        <v>4443</v>
      </c>
      <c r="L951" s="10" t="s">
        <v>42</v>
      </c>
    </row>
    <row r="952" ht="15.75" customHeight="1">
      <c r="A952" s="66">
        <v>45493.0</v>
      </c>
      <c r="B952" s="55" t="str">
        <f>HYPERLINK("https://jobright.ai/jobs/info/667f0ab8936892b2c2c78dcb?utm_campaign=1062&amp;utm_source=sheet", "Apply")</f>
        <v>Apply</v>
      </c>
      <c r="C952" s="10" t="s">
        <v>4444</v>
      </c>
      <c r="D952" s="56" t="s">
        <v>4445</v>
      </c>
      <c r="E952" s="10" t="s">
        <v>65</v>
      </c>
      <c r="F952" s="10" t="s">
        <v>2409</v>
      </c>
      <c r="G952" s="10" t="s">
        <v>2443</v>
      </c>
      <c r="H952" s="10" t="s">
        <v>1013</v>
      </c>
      <c r="I952" s="10" t="s">
        <v>55</v>
      </c>
      <c r="K952" s="10" t="s">
        <v>4446</v>
      </c>
      <c r="L952" s="10" t="s">
        <v>42</v>
      </c>
    </row>
    <row r="953" ht="15.75" customHeight="1">
      <c r="A953" s="66">
        <v>45493.0</v>
      </c>
      <c r="B953" s="55" t="str">
        <f>HYPERLINK("https://jobright.ai/jobs/info/669c452ef318798ab2b04cfd?utm_campaign=1062&amp;utm_source=sheet", "Apply")</f>
        <v>Apply</v>
      </c>
      <c r="C953" s="10" t="s">
        <v>4447</v>
      </c>
      <c r="D953" s="56" t="s">
        <v>4448</v>
      </c>
      <c r="E953" s="10" t="s">
        <v>71</v>
      </c>
      <c r="F953" s="10" t="s">
        <v>4449</v>
      </c>
      <c r="G953" s="10" t="s">
        <v>2448</v>
      </c>
      <c r="H953" s="10" t="s">
        <v>636</v>
      </c>
      <c r="I953" s="10" t="s">
        <v>55</v>
      </c>
      <c r="K953" s="10" t="s">
        <v>4450</v>
      </c>
      <c r="L953" s="10" t="s">
        <v>42</v>
      </c>
    </row>
    <row r="954" ht="15.75" customHeight="1">
      <c r="A954" s="66">
        <v>45493.0</v>
      </c>
      <c r="B954" s="55" t="str">
        <f>HYPERLINK("https://jobright.ai/jobs/info/669c4535f318798ab2b04dc3?utm_campaign=1062&amp;utm_source=sheet", "Apply")</f>
        <v>Apply</v>
      </c>
      <c r="C954" s="10" t="s">
        <v>4451</v>
      </c>
      <c r="D954" s="56" t="s">
        <v>4448</v>
      </c>
      <c r="E954" s="10" t="s">
        <v>71</v>
      </c>
      <c r="F954" s="10" t="s">
        <v>4449</v>
      </c>
      <c r="G954" s="10" t="s">
        <v>2448</v>
      </c>
      <c r="H954" s="10" t="s">
        <v>4452</v>
      </c>
      <c r="I954" s="10" t="s">
        <v>55</v>
      </c>
      <c r="K954" s="10" t="s">
        <v>4450</v>
      </c>
      <c r="L954" s="10" t="s">
        <v>42</v>
      </c>
    </row>
    <row r="955" ht="15.75" customHeight="1">
      <c r="A955" s="66">
        <v>45493.0</v>
      </c>
      <c r="B955" s="55" t="str">
        <f>HYPERLINK("https://jobright.ai/jobs/info/669c4542f318798ab2b04f93?utm_campaign=1062&amp;utm_source=sheet", "Apply")</f>
        <v>Apply</v>
      </c>
      <c r="C955" s="10" t="s">
        <v>4453</v>
      </c>
      <c r="D955" s="56" t="s">
        <v>4448</v>
      </c>
      <c r="E955" s="10" t="s">
        <v>71</v>
      </c>
      <c r="F955" s="10" t="s">
        <v>4449</v>
      </c>
      <c r="G955" s="10" t="s">
        <v>2448</v>
      </c>
      <c r="H955" s="10" t="s">
        <v>1786</v>
      </c>
      <c r="I955" s="10" t="s">
        <v>55</v>
      </c>
      <c r="K955" s="10" t="s">
        <v>4450</v>
      </c>
      <c r="L955" s="10" t="s">
        <v>42</v>
      </c>
    </row>
    <row r="956" ht="15.75" customHeight="1">
      <c r="A956" s="66">
        <v>45493.0</v>
      </c>
      <c r="B956" s="55" t="str">
        <f>HYPERLINK("https://jobright.ai/jobs/info/669c454ff318798ab2b050ce?utm_campaign=1062&amp;utm_source=sheet", "Apply")</f>
        <v>Apply</v>
      </c>
      <c r="C956" s="10" t="s">
        <v>4447</v>
      </c>
      <c r="D956" s="56" t="s">
        <v>4448</v>
      </c>
      <c r="E956" s="10" t="s">
        <v>71</v>
      </c>
      <c r="F956" s="10" t="s">
        <v>4449</v>
      </c>
      <c r="G956" s="10" t="s">
        <v>2448</v>
      </c>
      <c r="H956" s="10" t="s">
        <v>2602</v>
      </c>
      <c r="I956" s="10" t="s">
        <v>55</v>
      </c>
      <c r="K956" s="10" t="s">
        <v>4450</v>
      </c>
      <c r="L956" s="10" t="s">
        <v>42</v>
      </c>
    </row>
    <row r="957" ht="15.75" customHeight="1">
      <c r="A957" s="66">
        <v>45493.0</v>
      </c>
      <c r="B957" s="55" t="str">
        <f>HYPERLINK("https://jobright.ai/jobs/info/669c4554f318798ab2b0518d?utm_campaign=1062&amp;utm_source=sheet", "Apply")</f>
        <v>Apply</v>
      </c>
      <c r="C957" s="10" t="s">
        <v>4454</v>
      </c>
      <c r="D957" s="56" t="s">
        <v>4448</v>
      </c>
      <c r="E957" s="10" t="s">
        <v>71</v>
      </c>
      <c r="F957" s="10" t="s">
        <v>4449</v>
      </c>
      <c r="G957" s="10" t="s">
        <v>2448</v>
      </c>
      <c r="H957" s="10" t="s">
        <v>4455</v>
      </c>
      <c r="I957" s="10" t="s">
        <v>55</v>
      </c>
      <c r="K957" s="10" t="s">
        <v>4450</v>
      </c>
      <c r="L957" s="10" t="s">
        <v>42</v>
      </c>
    </row>
    <row r="958" ht="15.75" customHeight="1">
      <c r="A958" s="66">
        <v>45493.0</v>
      </c>
      <c r="B958" s="55" t="str">
        <f>HYPERLINK("https://jobright.ai/jobs/info/669c455af318798ab2b05286?utm_campaign=1062&amp;utm_source=sheet", "Apply")</f>
        <v>Apply</v>
      </c>
      <c r="C958" s="10" t="s">
        <v>4447</v>
      </c>
      <c r="D958" s="56" t="s">
        <v>4448</v>
      </c>
      <c r="E958" s="10" t="s">
        <v>71</v>
      </c>
      <c r="F958" s="10" t="s">
        <v>4449</v>
      </c>
      <c r="G958" s="10" t="s">
        <v>2448</v>
      </c>
      <c r="H958" s="10" t="s">
        <v>4456</v>
      </c>
      <c r="I958" s="10" t="s">
        <v>55</v>
      </c>
      <c r="K958" s="10" t="s">
        <v>4450</v>
      </c>
      <c r="L958" s="10" t="s">
        <v>42</v>
      </c>
    </row>
    <row r="959" ht="15.75" customHeight="1">
      <c r="A959" s="66">
        <v>45493.0</v>
      </c>
      <c r="B959" s="55" t="str">
        <f>HYPERLINK("https://jobright.ai/jobs/info/669c4560f318798ab2b05366?utm_campaign=1062&amp;utm_source=sheet", "Apply")</f>
        <v>Apply</v>
      </c>
      <c r="C959" s="10" t="s">
        <v>4457</v>
      </c>
      <c r="D959" s="56" t="s">
        <v>4448</v>
      </c>
      <c r="E959" s="10" t="s">
        <v>71</v>
      </c>
      <c r="F959" s="10" t="s">
        <v>4449</v>
      </c>
      <c r="G959" s="10" t="s">
        <v>2448</v>
      </c>
      <c r="H959" s="10" t="s">
        <v>4458</v>
      </c>
      <c r="I959" s="10" t="s">
        <v>55</v>
      </c>
      <c r="K959" s="10" t="s">
        <v>4450</v>
      </c>
      <c r="L959" s="10" t="s">
        <v>42</v>
      </c>
    </row>
    <row r="960" ht="15.75" customHeight="1">
      <c r="A960" s="66">
        <v>45493.0</v>
      </c>
      <c r="B960" s="55" t="str">
        <f>HYPERLINK("https://jobright.ai/jobs/info/66a3ca15276decb4d52f16f7?utm_campaign=1062&amp;utm_source=sheet", "Apply")</f>
        <v>Apply</v>
      </c>
      <c r="C960" s="10" t="s">
        <v>4459</v>
      </c>
      <c r="D960" s="56" t="s">
        <v>4460</v>
      </c>
      <c r="E960" s="10" t="s">
        <v>209</v>
      </c>
      <c r="F960" s="10" t="s">
        <v>4461</v>
      </c>
      <c r="G960" s="10" t="s">
        <v>2448</v>
      </c>
      <c r="H960" s="10" t="s">
        <v>3945</v>
      </c>
      <c r="I960" s="10" t="s">
        <v>55</v>
      </c>
      <c r="J960" s="10" t="s">
        <v>4462</v>
      </c>
      <c r="K960" s="10" t="s">
        <v>4463</v>
      </c>
      <c r="L960" s="10" t="s">
        <v>42</v>
      </c>
    </row>
    <row r="961" ht="15.75" customHeight="1">
      <c r="A961" s="66">
        <v>45493.0</v>
      </c>
      <c r="B961" s="55" t="str">
        <f>HYPERLINK("https://jobright.ai/jobs/info/669fc3675fc481811c0e63c1?utm_campaign=1062&amp;utm_source=sheet", "Apply")</f>
        <v>Apply</v>
      </c>
      <c r="C961" s="10" t="s">
        <v>4464</v>
      </c>
      <c r="D961" s="56" t="s">
        <v>4465</v>
      </c>
      <c r="E961" s="10" t="s">
        <v>209</v>
      </c>
      <c r="F961" s="10" t="s">
        <v>4466</v>
      </c>
      <c r="G961" s="10" t="s">
        <v>2443</v>
      </c>
      <c r="H961" s="10" t="s">
        <v>898</v>
      </c>
      <c r="I961" s="10" t="s">
        <v>55</v>
      </c>
      <c r="J961" s="10" t="s">
        <v>4467</v>
      </c>
      <c r="K961" s="10" t="s">
        <v>4468</v>
      </c>
      <c r="L961" s="10" t="s">
        <v>42</v>
      </c>
    </row>
    <row r="962" ht="15.75" customHeight="1">
      <c r="A962" s="66">
        <v>45493.0</v>
      </c>
      <c r="B962" s="55" t="str">
        <f>HYPERLINK("https://jobright.ai/jobs/info/66a3f95bc344e12ad5441376?utm_campaign=1062&amp;utm_source=sheet", "Apply")</f>
        <v>Apply</v>
      </c>
      <c r="C962" s="10" t="s">
        <v>301</v>
      </c>
      <c r="D962" s="56" t="s">
        <v>4469</v>
      </c>
      <c r="E962" s="10" t="s">
        <v>45</v>
      </c>
      <c r="F962" s="10" t="s">
        <v>428</v>
      </c>
      <c r="G962" s="10" t="s">
        <v>2495</v>
      </c>
      <c r="H962" s="10" t="s">
        <v>429</v>
      </c>
      <c r="I962" s="10" t="s">
        <v>55</v>
      </c>
      <c r="K962" s="10" t="s">
        <v>4470</v>
      </c>
      <c r="L962" s="10" t="s">
        <v>42</v>
      </c>
    </row>
    <row r="963" ht="15.75" customHeight="1">
      <c r="A963" s="66">
        <v>45493.0</v>
      </c>
      <c r="B963" s="55" t="str">
        <f>HYPERLINK("https://jobright.ai/jobs/info/66464b50bce3147923b96957?utm_campaign=1062&amp;utm_source=sheet", "Apply")</f>
        <v>Apply</v>
      </c>
      <c r="C963" s="10" t="s">
        <v>4425</v>
      </c>
      <c r="D963" s="56" t="s">
        <v>2763</v>
      </c>
      <c r="E963" s="10" t="s">
        <v>45</v>
      </c>
      <c r="F963" s="10" t="s">
        <v>1465</v>
      </c>
      <c r="G963" s="10" t="s">
        <v>2495</v>
      </c>
      <c r="H963" s="10" t="s">
        <v>4471</v>
      </c>
      <c r="I963" s="10" t="s">
        <v>55</v>
      </c>
      <c r="K963" s="10" t="s">
        <v>4426</v>
      </c>
      <c r="L963" s="10" t="s">
        <v>42</v>
      </c>
    </row>
    <row r="964" ht="15.75" customHeight="1">
      <c r="A964" s="66">
        <v>45493.0</v>
      </c>
      <c r="B964" s="55" t="str">
        <f>HYPERLINK("https://jobright.ai/jobs/info/667f27bc62721fe0c17d51e1?utm_campaign=1062&amp;utm_source=sheet", "Apply")</f>
        <v>Apply</v>
      </c>
      <c r="C964" s="10" t="s">
        <v>4472</v>
      </c>
      <c r="D964" s="56" t="s">
        <v>4473</v>
      </c>
      <c r="E964" s="10" t="s">
        <v>79</v>
      </c>
      <c r="F964" s="10" t="s">
        <v>10</v>
      </c>
      <c r="G964" s="10" t="s">
        <v>2464</v>
      </c>
      <c r="H964" s="10" t="s">
        <v>605</v>
      </c>
      <c r="I964" s="10" t="s">
        <v>55</v>
      </c>
      <c r="K964" s="10" t="s">
        <v>4474</v>
      </c>
      <c r="L964" s="10" t="s">
        <v>42</v>
      </c>
    </row>
    <row r="965" ht="15.75" customHeight="1">
      <c r="A965" s="66">
        <v>45493.0</v>
      </c>
      <c r="B965" s="55" t="str">
        <f>HYPERLINK("https://jobright.ai/jobs/info/66a3b31117830ba101e0b37b?utm_campaign=1062&amp;utm_source=sheet", "Apply")</f>
        <v>Apply</v>
      </c>
      <c r="C965" s="10" t="s">
        <v>4475</v>
      </c>
      <c r="D965" s="56" t="s">
        <v>4460</v>
      </c>
      <c r="E965" s="10" t="s">
        <v>209</v>
      </c>
      <c r="F965" s="10" t="s">
        <v>4461</v>
      </c>
      <c r="G965" s="10" t="s">
        <v>2437</v>
      </c>
      <c r="H965" s="10" t="s">
        <v>3945</v>
      </c>
      <c r="I965" s="10" t="s">
        <v>55</v>
      </c>
      <c r="J965" s="10" t="s">
        <v>4476</v>
      </c>
      <c r="K965" s="10" t="s">
        <v>4477</v>
      </c>
      <c r="L965" s="10" t="s">
        <v>42</v>
      </c>
    </row>
    <row r="966" ht="15.75" customHeight="1">
      <c r="A966" s="66">
        <v>45493.0</v>
      </c>
      <c r="B966" s="55" t="str">
        <f>HYPERLINK("https://jobright.ai/jobs/info/65a715b47c6e79f9a2d42072?utm_campaign=1062&amp;utm_source=sheet", "Apply")</f>
        <v>Apply</v>
      </c>
      <c r="C966" s="10" t="s">
        <v>4478</v>
      </c>
      <c r="D966" s="56" t="s">
        <v>4479</v>
      </c>
      <c r="E966" s="10" t="s">
        <v>45</v>
      </c>
      <c r="F966" s="10" t="s">
        <v>3778</v>
      </c>
      <c r="G966" s="10" t="s">
        <v>2437</v>
      </c>
      <c r="H966" s="10" t="s">
        <v>636</v>
      </c>
      <c r="I966" s="10" t="s">
        <v>55</v>
      </c>
      <c r="J966" s="10" t="s">
        <v>4480</v>
      </c>
      <c r="K966" s="10" t="s">
        <v>4481</v>
      </c>
      <c r="L966" s="10" t="s">
        <v>42</v>
      </c>
    </row>
    <row r="967" ht="15.75" customHeight="1">
      <c r="A967" s="66">
        <v>45493.0</v>
      </c>
      <c r="B967" s="55" t="str">
        <f>HYPERLINK("https://jobright.ai/jobs/info/6676278974a49bf8010a1715?utm_campaign=1062&amp;utm_source=sheet", "Apply")</f>
        <v>Apply</v>
      </c>
      <c r="C967" s="10" t="s">
        <v>4482</v>
      </c>
      <c r="D967" s="56" t="s">
        <v>4483</v>
      </c>
      <c r="E967" s="10">
        <v>1031.0</v>
      </c>
      <c r="G967" s="10" t="s">
        <v>2470</v>
      </c>
      <c r="H967" s="10" t="s">
        <v>4484</v>
      </c>
      <c r="I967" s="10" t="s">
        <v>55</v>
      </c>
      <c r="K967" s="10" t="s">
        <v>4485</v>
      </c>
      <c r="L967" s="10" t="s">
        <v>42</v>
      </c>
    </row>
    <row r="968" ht="15.75" customHeight="1">
      <c r="A968" s="66">
        <v>45493.0</v>
      </c>
      <c r="B968" s="55" t="str">
        <f>HYPERLINK("https://jobright.ai/jobs/info/669faf37409ac17305d782b9?utm_campaign=1062&amp;utm_source=sheet", "Apply")</f>
        <v>Apply</v>
      </c>
      <c r="C968" s="10" t="s">
        <v>4486</v>
      </c>
      <c r="D968" s="56" t="s">
        <v>4487</v>
      </c>
      <c r="E968" s="10">
        <v>34259.0</v>
      </c>
      <c r="G968" s="10" t="s">
        <v>2470</v>
      </c>
      <c r="H968" s="10" t="s">
        <v>154</v>
      </c>
      <c r="I968" s="10" t="s">
        <v>55</v>
      </c>
      <c r="K968" s="10" t="s">
        <v>4488</v>
      </c>
      <c r="L968" s="10" t="s">
        <v>42</v>
      </c>
    </row>
    <row r="969" ht="15.75" customHeight="1">
      <c r="A969" s="66">
        <v>45493.0</v>
      </c>
      <c r="B969" s="55" t="str">
        <f>HYPERLINK("https://jobright.ai/jobs/info/669e5878bd0f0c5d51992c2e?utm_campaign=1062&amp;utm_source=sheet", "Apply")</f>
        <v>Apply</v>
      </c>
      <c r="C969" s="10" t="s">
        <v>4489</v>
      </c>
      <c r="D969" s="56" t="s">
        <v>4460</v>
      </c>
      <c r="E969" s="10" t="s">
        <v>209</v>
      </c>
      <c r="F969" s="10" t="s">
        <v>4461</v>
      </c>
      <c r="G969" s="10" t="s">
        <v>2484</v>
      </c>
      <c r="H969" s="10" t="s">
        <v>3945</v>
      </c>
      <c r="I969" s="10" t="s">
        <v>55</v>
      </c>
      <c r="J969" s="10" t="s">
        <v>4490</v>
      </c>
      <c r="K969" s="10" t="s">
        <v>4491</v>
      </c>
      <c r="L969" s="10" t="s">
        <v>42</v>
      </c>
    </row>
    <row r="970" ht="15.75" customHeight="1">
      <c r="A970" s="66">
        <v>45493.0</v>
      </c>
      <c r="B970" s="55" t="str">
        <f>HYPERLINK("https://jobright.ai/jobs/info/669fa4bfb1b0bcfa7f386cb5?utm_campaign=1062&amp;utm_source=sheet", "Apply")</f>
        <v>Apply</v>
      </c>
      <c r="C970" s="10" t="s">
        <v>4492</v>
      </c>
      <c r="D970" s="56" t="s">
        <v>4493</v>
      </c>
      <c r="E970" s="10" t="s">
        <v>71</v>
      </c>
      <c r="F970" s="10" t="s">
        <v>4494</v>
      </c>
      <c r="G970" s="10" t="s">
        <v>2448</v>
      </c>
      <c r="H970" s="10" t="s">
        <v>3266</v>
      </c>
      <c r="I970" s="10" t="s">
        <v>55</v>
      </c>
      <c r="L970" s="10" t="s">
        <v>42</v>
      </c>
    </row>
    <row r="971" ht="15.75" customHeight="1">
      <c r="A971" s="66">
        <v>45493.0</v>
      </c>
      <c r="B971" s="55" t="str">
        <f>HYPERLINK("https://jobright.ai/jobs/info/66a39c25d1de96a5874b5be1?utm_campaign=1062&amp;utm_source=sheet", "Apply")</f>
        <v>Apply</v>
      </c>
      <c r="C971" s="10" t="s">
        <v>4495</v>
      </c>
      <c r="D971" s="56" t="s">
        <v>4460</v>
      </c>
      <c r="E971" s="10" t="s">
        <v>209</v>
      </c>
      <c r="F971" s="10" t="s">
        <v>4461</v>
      </c>
      <c r="G971" s="10" t="s">
        <v>2437</v>
      </c>
      <c r="H971" s="10" t="s">
        <v>3945</v>
      </c>
      <c r="I971" s="10" t="s">
        <v>55</v>
      </c>
      <c r="J971" s="10" t="s">
        <v>4496</v>
      </c>
      <c r="K971" s="10" t="s">
        <v>4497</v>
      </c>
      <c r="L971" s="10" t="s">
        <v>42</v>
      </c>
    </row>
    <row r="972" ht="15.75" customHeight="1">
      <c r="A972" s="66">
        <v>45493.0</v>
      </c>
      <c r="B972" s="55" t="str">
        <f>HYPERLINK("https://jobright.ai/jobs/info/669bb214defa6eee837c73de?utm_campaign=1062&amp;utm_source=sheet", "Apply")</f>
        <v>Apply</v>
      </c>
      <c r="C972" s="10" t="s">
        <v>4498</v>
      </c>
      <c r="D972" s="56" t="s">
        <v>4499</v>
      </c>
      <c r="E972" s="10" t="s">
        <v>276</v>
      </c>
      <c r="F972" s="10" t="s">
        <v>4500</v>
      </c>
      <c r="G972" s="10" t="s">
        <v>2502</v>
      </c>
      <c r="H972" s="10" t="s">
        <v>4501</v>
      </c>
      <c r="I972" s="10" t="s">
        <v>48</v>
      </c>
      <c r="K972" s="10" t="s">
        <v>4502</v>
      </c>
      <c r="L972" s="10" t="s">
        <v>42</v>
      </c>
    </row>
    <row r="973" ht="15.75" customHeight="1">
      <c r="A973" s="66">
        <v>45493.0</v>
      </c>
      <c r="B973" s="55" t="str">
        <f>HYPERLINK("https://jobright.ai/jobs/info/667ee2fb37a8015679a5370a?utm_campaign=1062&amp;utm_source=sheet", "Apply")</f>
        <v>Apply</v>
      </c>
      <c r="C973" s="10" t="s">
        <v>4503</v>
      </c>
      <c r="D973" s="56" t="s">
        <v>1073</v>
      </c>
      <c r="E973" s="10" t="s">
        <v>45</v>
      </c>
      <c r="F973" s="10" t="s">
        <v>1074</v>
      </c>
      <c r="G973" s="10" t="s">
        <v>3005</v>
      </c>
      <c r="H973" s="10" t="s">
        <v>201</v>
      </c>
      <c r="I973" s="10" t="s">
        <v>48</v>
      </c>
      <c r="J973" s="10" t="s">
        <v>4504</v>
      </c>
      <c r="K973" s="10" t="s">
        <v>4505</v>
      </c>
      <c r="L973" s="10" t="s">
        <v>42</v>
      </c>
    </row>
    <row r="974" ht="15.75" customHeight="1">
      <c r="A974" s="66">
        <v>45493.0</v>
      </c>
      <c r="B974" s="55" t="str">
        <f>HYPERLINK("https://jobright.ai/jobs/info/667f0f8744a5e5bb25f56234?utm_campaign=1062&amp;utm_source=sheet", "Apply")</f>
        <v>Apply</v>
      </c>
      <c r="C974" s="10" t="s">
        <v>3457</v>
      </c>
      <c r="D974" s="56" t="s">
        <v>3458</v>
      </c>
      <c r="E974" s="10" t="s">
        <v>65</v>
      </c>
      <c r="F974" s="10" t="s">
        <v>615</v>
      </c>
      <c r="G974" s="10" t="s">
        <v>2437</v>
      </c>
      <c r="H974" s="10" t="s">
        <v>411</v>
      </c>
      <c r="I974" s="10" t="s">
        <v>55</v>
      </c>
      <c r="K974" s="10" t="s">
        <v>4506</v>
      </c>
      <c r="L974" s="10" t="s">
        <v>42</v>
      </c>
    </row>
    <row r="975" ht="15.75" customHeight="1">
      <c r="A975" s="66">
        <v>45493.0</v>
      </c>
      <c r="B975" s="55" t="str">
        <f>HYPERLINK("https://jobright.ai/jobs/info/66a0e0c424925149e553d1c5?utm_campaign=1062&amp;utm_source=sheet", "Apply")</f>
        <v>Apply</v>
      </c>
      <c r="C975" s="10" t="s">
        <v>3183</v>
      </c>
      <c r="D975" s="56" t="s">
        <v>3184</v>
      </c>
      <c r="E975" s="10" t="s">
        <v>65</v>
      </c>
      <c r="F975" s="10" t="s">
        <v>3096</v>
      </c>
      <c r="G975" s="10" t="s">
        <v>2448</v>
      </c>
      <c r="H975" s="10" t="s">
        <v>3042</v>
      </c>
      <c r="I975" s="10" t="s">
        <v>55</v>
      </c>
      <c r="K975" s="10" t="s">
        <v>4507</v>
      </c>
      <c r="L975" s="10" t="s">
        <v>42</v>
      </c>
    </row>
    <row r="976" ht="15.75" customHeight="1">
      <c r="A976" s="66">
        <v>45493.0</v>
      </c>
      <c r="B976" s="55" t="str">
        <f>HYPERLINK("https://jobright.ai/jobs/info/669e40a44ef9507440b484d2?utm_campaign=1062&amp;utm_source=sheet", "Apply")</f>
        <v>Apply</v>
      </c>
      <c r="C976" s="10" t="s">
        <v>4508</v>
      </c>
      <c r="D976" s="56" t="s">
        <v>4509</v>
      </c>
      <c r="E976" s="10" t="s">
        <v>65</v>
      </c>
      <c r="F976" s="10" t="s">
        <v>4510</v>
      </c>
      <c r="G976" s="10" t="s">
        <v>2448</v>
      </c>
      <c r="H976" s="10" t="s">
        <v>872</v>
      </c>
      <c r="I976" s="10" t="s">
        <v>55</v>
      </c>
      <c r="K976" s="10" t="s">
        <v>4511</v>
      </c>
      <c r="L976" s="10" t="s">
        <v>42</v>
      </c>
    </row>
    <row r="977" ht="15.75" customHeight="1">
      <c r="A977" s="66">
        <v>45493.0</v>
      </c>
      <c r="B977" s="55" t="str">
        <f>HYPERLINK("https://jobright.ai/jobs/info/669e40a44ef9507440b484d3?utm_campaign=1062&amp;utm_source=sheet", "Apply")</f>
        <v>Apply</v>
      </c>
      <c r="C977" s="10" t="s">
        <v>4512</v>
      </c>
      <c r="D977" s="56" t="s">
        <v>4513</v>
      </c>
      <c r="E977" s="10">
        <v>660.0</v>
      </c>
      <c r="G977" s="10" t="s">
        <v>2484</v>
      </c>
      <c r="H977" s="10" t="s">
        <v>4514</v>
      </c>
      <c r="I977" s="10" t="s">
        <v>55</v>
      </c>
      <c r="J977" s="10" t="s">
        <v>1797</v>
      </c>
      <c r="K977" s="10" t="s">
        <v>4515</v>
      </c>
      <c r="L977" s="10" t="s">
        <v>42</v>
      </c>
    </row>
    <row r="978" ht="15.75" customHeight="1">
      <c r="A978" s="66">
        <v>45493.0</v>
      </c>
      <c r="B978" s="55" t="str">
        <f>HYPERLINK("https://jobright.ai/jobs/info/669e40a44ef9507440b484d9?utm_campaign=1062&amp;utm_source=sheet", "Apply")</f>
        <v>Apply</v>
      </c>
      <c r="C978" s="10" t="s">
        <v>4464</v>
      </c>
      <c r="D978" s="56" t="s">
        <v>4516</v>
      </c>
      <c r="E978" s="10">
        <v>803.0</v>
      </c>
      <c r="G978" s="10" t="s">
        <v>2443</v>
      </c>
      <c r="H978" s="10" t="s">
        <v>898</v>
      </c>
      <c r="I978" s="10" t="s">
        <v>55</v>
      </c>
      <c r="J978" s="10" t="s">
        <v>4467</v>
      </c>
      <c r="K978" s="10" t="s">
        <v>4468</v>
      </c>
      <c r="L978" s="10" t="s">
        <v>42</v>
      </c>
    </row>
    <row r="979" ht="15.75" customHeight="1">
      <c r="A979" s="66">
        <v>45493.0</v>
      </c>
      <c r="B979" s="55" t="str">
        <f>HYPERLINK("https://jobright.ai/jobs/info/666249e7c0bc963868395024?utm_campaign=1062&amp;utm_source=sheet", "Apply")</f>
        <v>Apply</v>
      </c>
      <c r="C979" s="10" t="s">
        <v>4517</v>
      </c>
      <c r="D979" s="56" t="s">
        <v>2925</v>
      </c>
      <c r="E979" s="10" t="s">
        <v>45</v>
      </c>
      <c r="F979" s="10" t="s">
        <v>2926</v>
      </c>
      <c r="G979" s="10" t="s">
        <v>2443</v>
      </c>
      <c r="H979" s="10" t="s">
        <v>2996</v>
      </c>
      <c r="I979" s="10" t="s">
        <v>48</v>
      </c>
      <c r="K979" s="10" t="s">
        <v>4518</v>
      </c>
      <c r="L979" s="10" t="s">
        <v>42</v>
      </c>
    </row>
    <row r="980" ht="15.75" customHeight="1">
      <c r="A980" s="66">
        <v>45493.0</v>
      </c>
      <c r="B980" s="55" t="str">
        <f>HYPERLINK("https://jobright.ai/jobs/info/6675628b42bae55a95829160?utm_campaign=1062&amp;utm_source=sheet", "Apply")</f>
        <v>Apply</v>
      </c>
      <c r="C980" s="10" t="s">
        <v>4519</v>
      </c>
      <c r="D980" s="56" t="s">
        <v>4520</v>
      </c>
      <c r="E980" s="10" t="s">
        <v>79</v>
      </c>
      <c r="F980" s="10" t="s">
        <v>4521</v>
      </c>
      <c r="G980" s="10" t="s">
        <v>3733</v>
      </c>
      <c r="H980" s="10" t="s">
        <v>4037</v>
      </c>
      <c r="I980" s="10" t="s">
        <v>55</v>
      </c>
      <c r="K980" s="10" t="s">
        <v>4522</v>
      </c>
      <c r="L980" s="10" t="s">
        <v>42</v>
      </c>
    </row>
    <row r="981" ht="15.75" customHeight="1">
      <c r="A981" s="66">
        <v>45493.0</v>
      </c>
      <c r="B981" s="55" t="str">
        <f>HYPERLINK("https://jobright.ai/jobs/info/6674170f5535aa1101e334d2?utm_campaign=1062&amp;utm_source=sheet", "Apply")</f>
        <v>Apply</v>
      </c>
      <c r="C981" s="10" t="s">
        <v>4523</v>
      </c>
      <c r="D981" s="56" t="s">
        <v>385</v>
      </c>
      <c r="E981" s="10" t="s">
        <v>45</v>
      </c>
      <c r="F981" s="10" t="s">
        <v>386</v>
      </c>
      <c r="G981" s="10" t="s">
        <v>2448</v>
      </c>
      <c r="H981" s="10" t="s">
        <v>711</v>
      </c>
      <c r="I981" s="10" t="s">
        <v>55</v>
      </c>
      <c r="K981" s="10" t="s">
        <v>4524</v>
      </c>
      <c r="L981" s="10" t="s">
        <v>42</v>
      </c>
    </row>
    <row r="982" ht="15.75" customHeight="1">
      <c r="A982" s="66">
        <v>45493.0</v>
      </c>
      <c r="B982" s="55" t="str">
        <f>HYPERLINK("https://jobright.ai/jobs/info/667f35469151a72949aa034a?utm_campaign=1062&amp;utm_source=sheet", "Apply")</f>
        <v>Apply</v>
      </c>
      <c r="C982" s="10" t="s">
        <v>4525</v>
      </c>
      <c r="D982" s="56" t="s">
        <v>4526</v>
      </c>
      <c r="E982" s="10" t="s">
        <v>209</v>
      </c>
      <c r="F982" s="10" t="s">
        <v>3124</v>
      </c>
      <c r="G982" s="10" t="s">
        <v>2443</v>
      </c>
      <c r="H982" s="10" t="s">
        <v>113</v>
      </c>
      <c r="I982" s="10" t="s">
        <v>48</v>
      </c>
      <c r="K982" s="10" t="s">
        <v>4527</v>
      </c>
      <c r="L982" s="10" t="s">
        <v>42</v>
      </c>
    </row>
    <row r="983" ht="15.75" customHeight="1">
      <c r="A983" s="66">
        <v>45493.0</v>
      </c>
      <c r="B983" s="55" t="str">
        <f>HYPERLINK("https://jobright.ai/jobs/info/667f1d7386f1f771815ce6d9?utm_campaign=1062&amp;utm_source=sheet", "Apply")</f>
        <v>Apply</v>
      </c>
      <c r="C983" s="10" t="s">
        <v>4528</v>
      </c>
      <c r="D983" s="56" t="s">
        <v>4529</v>
      </c>
      <c r="E983" s="10" t="s">
        <v>79</v>
      </c>
      <c r="F983" s="10" t="s">
        <v>10</v>
      </c>
      <c r="G983" s="10" t="s">
        <v>2464</v>
      </c>
      <c r="H983" s="10" t="s">
        <v>411</v>
      </c>
      <c r="I983" s="10" t="s">
        <v>55</v>
      </c>
      <c r="K983" s="10" t="s">
        <v>4530</v>
      </c>
      <c r="L983" s="10" t="s">
        <v>42</v>
      </c>
    </row>
    <row r="984" ht="15.75" customHeight="1">
      <c r="A984" s="66">
        <v>45493.0</v>
      </c>
      <c r="B984" s="55" t="str">
        <f>HYPERLINK("https://jobright.ai/jobs/info/667f43fde13a4c45f01dea87?utm_campaign=1062&amp;utm_source=sheet", "Apply")</f>
        <v>Apply</v>
      </c>
      <c r="C984" s="10" t="s">
        <v>4531</v>
      </c>
      <c r="D984" s="56" t="s">
        <v>1780</v>
      </c>
      <c r="E984" s="10" t="s">
        <v>45</v>
      </c>
      <c r="F984" s="10" t="s">
        <v>1781</v>
      </c>
      <c r="G984" s="10" t="s">
        <v>2807</v>
      </c>
      <c r="H984" s="10" t="s">
        <v>96</v>
      </c>
      <c r="I984" s="10" t="s">
        <v>55</v>
      </c>
      <c r="J984" s="10" t="s">
        <v>3969</v>
      </c>
      <c r="K984" s="10" t="s">
        <v>4532</v>
      </c>
      <c r="L984" s="10" t="s">
        <v>42</v>
      </c>
    </row>
    <row r="985" ht="15.75" customHeight="1">
      <c r="A985" s="66">
        <v>45493.0</v>
      </c>
      <c r="B985" s="55" t="str">
        <f>HYPERLINK("https://jobright.ai/jobs/info/6672ec673bc1bf09bd16e506?utm_campaign=1062&amp;utm_source=sheet", "Apply")</f>
        <v>Apply</v>
      </c>
      <c r="C985" s="10" t="s">
        <v>4533</v>
      </c>
      <c r="D985" s="56" t="s">
        <v>4534</v>
      </c>
      <c r="E985" s="10" t="s">
        <v>65</v>
      </c>
      <c r="F985" s="10" t="s">
        <v>486</v>
      </c>
      <c r="G985" s="10" t="s">
        <v>3005</v>
      </c>
      <c r="H985" s="10" t="s">
        <v>4535</v>
      </c>
      <c r="I985" s="10" t="s">
        <v>48</v>
      </c>
      <c r="K985" s="10" t="s">
        <v>4536</v>
      </c>
      <c r="L985" s="10" t="s">
        <v>42</v>
      </c>
    </row>
    <row r="986" ht="15.75" customHeight="1">
      <c r="A986" s="66">
        <v>45493.0</v>
      </c>
      <c r="B986" s="55" t="str">
        <f>HYPERLINK("https://jobright.ai/jobs/info/667f8ac6f722acb50a081d7b?utm_campaign=1062&amp;utm_source=sheet", "Apply")</f>
        <v>Apply</v>
      </c>
      <c r="C986" s="10" t="s">
        <v>4537</v>
      </c>
      <c r="D986" s="56" t="s">
        <v>204</v>
      </c>
      <c r="E986" s="10" t="s">
        <v>45</v>
      </c>
      <c r="F986" s="10" t="s">
        <v>205</v>
      </c>
      <c r="G986" s="10" t="s">
        <v>2476</v>
      </c>
      <c r="H986" s="10" t="s">
        <v>153</v>
      </c>
      <c r="I986" s="10" t="s">
        <v>48</v>
      </c>
      <c r="K986" s="10" t="s">
        <v>4538</v>
      </c>
      <c r="L986" s="10" t="s">
        <v>42</v>
      </c>
    </row>
    <row r="987" ht="15.75" customHeight="1">
      <c r="A987" s="66">
        <v>45493.0</v>
      </c>
      <c r="B987" s="55" t="str">
        <f>HYPERLINK("https://jobright.ai/jobs/info/669ba4d0570252d0306ef0fd?utm_campaign=1062&amp;utm_source=sheet", "Apply")</f>
        <v>Apply</v>
      </c>
      <c r="C987" s="10" t="s">
        <v>4539</v>
      </c>
      <c r="D987" s="56" t="s">
        <v>4071</v>
      </c>
      <c r="E987" s="10" t="s">
        <v>65</v>
      </c>
      <c r="F987" s="10" t="s">
        <v>4072</v>
      </c>
      <c r="G987" s="10" t="s">
        <v>2495</v>
      </c>
      <c r="H987" s="10" t="s">
        <v>4073</v>
      </c>
      <c r="I987" s="10" t="s">
        <v>55</v>
      </c>
      <c r="K987" s="10" t="s">
        <v>4540</v>
      </c>
      <c r="L987" s="10" t="s">
        <v>42</v>
      </c>
    </row>
    <row r="988" ht="15.75" customHeight="1">
      <c r="A988" s="66">
        <v>45493.0</v>
      </c>
      <c r="B988" s="55" t="str">
        <f>HYPERLINK("https://jobright.ai/jobs/info/6677cbf974ec1a95a89ada8a?utm_campaign=1062&amp;utm_source=sheet", "Apply")</f>
        <v>Apply</v>
      </c>
      <c r="C988" s="10" t="s">
        <v>4541</v>
      </c>
      <c r="D988" s="56" t="s">
        <v>4542</v>
      </c>
      <c r="E988" s="10" t="s">
        <v>65</v>
      </c>
      <c r="F988" s="10" t="s">
        <v>4543</v>
      </c>
      <c r="G988" s="10" t="s">
        <v>2448</v>
      </c>
      <c r="H988" s="10" t="s">
        <v>835</v>
      </c>
      <c r="I988" s="10" t="s">
        <v>55</v>
      </c>
      <c r="K988" s="10" t="s">
        <v>4544</v>
      </c>
      <c r="L988" s="10" t="s">
        <v>42</v>
      </c>
    </row>
    <row r="989" ht="15.75" customHeight="1">
      <c r="A989" s="66">
        <v>45493.0</v>
      </c>
      <c r="B989" s="55" t="str">
        <f>HYPERLINK("https://jobright.ai/jobs/info/667f173167cd08a9a3f3f033?utm_campaign=1062&amp;utm_source=sheet", "Apply")</f>
        <v>Apply</v>
      </c>
      <c r="C989" s="10" t="s">
        <v>4545</v>
      </c>
      <c r="D989" s="56" t="s">
        <v>4546</v>
      </c>
      <c r="E989" s="10" t="s">
        <v>137</v>
      </c>
      <c r="F989" s="10" t="s">
        <v>4547</v>
      </c>
      <c r="G989" s="10" t="s">
        <v>2807</v>
      </c>
      <c r="H989" s="10" t="s">
        <v>1263</v>
      </c>
      <c r="I989" s="10" t="s">
        <v>55</v>
      </c>
      <c r="J989" s="10" t="s">
        <v>4548</v>
      </c>
      <c r="K989" s="10" t="s">
        <v>4549</v>
      </c>
      <c r="L989" s="10" t="s">
        <v>42</v>
      </c>
    </row>
    <row r="990" ht="15.75" customHeight="1">
      <c r="A990" s="66">
        <v>45493.0</v>
      </c>
      <c r="B990" s="55" t="str">
        <f>HYPERLINK("https://jobright.ai/jobs/info/667f3b3361f2588c34187a0d?utm_campaign=1062&amp;utm_source=sheet", "Apply")</f>
        <v>Apply</v>
      </c>
      <c r="C990" s="10" t="s">
        <v>4550</v>
      </c>
      <c r="D990" s="56" t="s">
        <v>4551</v>
      </c>
      <c r="E990" s="10" t="s">
        <v>65</v>
      </c>
      <c r="F990" s="10" t="s">
        <v>3205</v>
      </c>
      <c r="G990" s="10" t="s">
        <v>2509</v>
      </c>
      <c r="H990" s="10" t="s">
        <v>4552</v>
      </c>
      <c r="I990" s="10" t="s">
        <v>55</v>
      </c>
      <c r="K990" s="10" t="s">
        <v>4553</v>
      </c>
      <c r="L990" s="10" t="s">
        <v>42</v>
      </c>
    </row>
    <row r="991" ht="15.75" customHeight="1">
      <c r="A991" s="66">
        <v>45493.0</v>
      </c>
      <c r="B991" s="55" t="str">
        <f>HYPERLINK("https://jobright.ai/jobs/info/669b9db66f5f8c0b7954cb81?utm_campaign=1062&amp;utm_source=sheet", "Apply")</f>
        <v>Apply</v>
      </c>
      <c r="C991" s="10" t="s">
        <v>3046</v>
      </c>
      <c r="D991" s="56" t="s">
        <v>2631</v>
      </c>
      <c r="E991" s="10" t="s">
        <v>209</v>
      </c>
      <c r="F991" s="10" t="s">
        <v>2632</v>
      </c>
      <c r="G991" s="10" t="s">
        <v>2437</v>
      </c>
      <c r="H991" s="10" t="s">
        <v>4001</v>
      </c>
      <c r="I991" s="10" t="s">
        <v>55</v>
      </c>
      <c r="K991" s="10" t="s">
        <v>3048</v>
      </c>
      <c r="L991" s="10" t="s">
        <v>42</v>
      </c>
    </row>
    <row r="992" ht="15.75" customHeight="1">
      <c r="A992" s="66">
        <v>45493.0</v>
      </c>
      <c r="B992" s="55" t="str">
        <f>HYPERLINK("https://jobright.ai/jobs/info/669c54d0028c1d416db050a2?utm_campaign=1062&amp;utm_source=sheet", "Apply")</f>
        <v>Apply</v>
      </c>
      <c r="C992" s="10" t="s">
        <v>2630</v>
      </c>
      <c r="D992" s="56" t="s">
        <v>2631</v>
      </c>
      <c r="E992" s="10" t="s">
        <v>209</v>
      </c>
      <c r="F992" s="10" t="s">
        <v>2632</v>
      </c>
      <c r="G992" s="10" t="s">
        <v>2464</v>
      </c>
      <c r="H992" s="10" t="s">
        <v>810</v>
      </c>
      <c r="I992" s="10" t="s">
        <v>55</v>
      </c>
      <c r="K992" s="10" t="s">
        <v>2633</v>
      </c>
      <c r="L992" s="10" t="s">
        <v>42</v>
      </c>
    </row>
    <row r="993" ht="15.75" customHeight="1">
      <c r="A993" s="66">
        <v>45493.0</v>
      </c>
      <c r="B993" s="55" t="str">
        <f>HYPERLINK("https://jobright.ai/jobs/info/669b3c0fc53964c721241c9d?utm_campaign=1062&amp;utm_source=sheet", "Apply")</f>
        <v>Apply</v>
      </c>
      <c r="C993" s="10" t="s">
        <v>2630</v>
      </c>
      <c r="D993" s="56" t="s">
        <v>2631</v>
      </c>
      <c r="E993" s="10" t="s">
        <v>209</v>
      </c>
      <c r="F993" s="10" t="s">
        <v>2632</v>
      </c>
      <c r="G993" s="10" t="s">
        <v>2464</v>
      </c>
      <c r="H993" s="10" t="s">
        <v>4001</v>
      </c>
      <c r="I993" s="10" t="s">
        <v>55</v>
      </c>
      <c r="K993" s="10" t="s">
        <v>2633</v>
      </c>
      <c r="L993" s="10" t="s">
        <v>42</v>
      </c>
    </row>
    <row r="994" ht="15.75" customHeight="1">
      <c r="A994" s="66">
        <v>45493.0</v>
      </c>
      <c r="B994" s="55" t="str">
        <f>HYPERLINK("https://jobright.ai/jobs/info/669b3c0fc53964c721241c95?utm_campaign=1062&amp;utm_source=sheet", "Apply")</f>
        <v>Apply</v>
      </c>
      <c r="C994" s="10" t="s">
        <v>2630</v>
      </c>
      <c r="D994" s="56" t="s">
        <v>2631</v>
      </c>
      <c r="E994" s="10" t="s">
        <v>209</v>
      </c>
      <c r="F994" s="10" t="s">
        <v>2632</v>
      </c>
      <c r="G994" s="10" t="s">
        <v>2464</v>
      </c>
      <c r="H994" s="10" t="s">
        <v>4554</v>
      </c>
      <c r="I994" s="10" t="s">
        <v>55</v>
      </c>
      <c r="K994" s="10" t="s">
        <v>2633</v>
      </c>
      <c r="L994" s="10" t="s">
        <v>42</v>
      </c>
    </row>
    <row r="995" ht="15.75" customHeight="1">
      <c r="A995" s="66">
        <v>45493.0</v>
      </c>
      <c r="B995" s="55" t="str">
        <f>HYPERLINK("https://jobright.ai/jobs/info/669b3c0fc53964c721241c83?utm_campaign=1062&amp;utm_source=sheet", "Apply")</f>
        <v>Apply</v>
      </c>
      <c r="C995" s="10" t="s">
        <v>1605</v>
      </c>
      <c r="D995" s="56" t="s">
        <v>4555</v>
      </c>
      <c r="E995" s="10" t="s">
        <v>65</v>
      </c>
      <c r="F995" s="10" t="s">
        <v>2828</v>
      </c>
      <c r="G995" s="10" t="s">
        <v>2448</v>
      </c>
      <c r="H995" s="10" t="s">
        <v>4556</v>
      </c>
      <c r="I995" s="10" t="s">
        <v>55</v>
      </c>
      <c r="J995" s="10" t="s">
        <v>4557</v>
      </c>
      <c r="K995" s="10" t="s">
        <v>4558</v>
      </c>
      <c r="L995" s="10" t="s">
        <v>42</v>
      </c>
    </row>
    <row r="996" ht="15.75" customHeight="1">
      <c r="A996" s="66">
        <v>45493.0</v>
      </c>
      <c r="B996" s="55" t="str">
        <f>HYPERLINK("https://jobright.ai/jobs/info/669bce50d7ecd002dd45d667?utm_campaign=1062&amp;utm_source=sheet", "Apply")</f>
        <v>Apply</v>
      </c>
      <c r="C996" s="10" t="s">
        <v>4559</v>
      </c>
      <c r="D996" s="56" t="s">
        <v>4560</v>
      </c>
      <c r="E996" s="10" t="s">
        <v>137</v>
      </c>
      <c r="F996" s="10" t="s">
        <v>1587</v>
      </c>
      <c r="G996" s="10" t="s">
        <v>4046</v>
      </c>
      <c r="H996" s="10" t="s">
        <v>251</v>
      </c>
      <c r="I996" s="10" t="s">
        <v>252</v>
      </c>
      <c r="K996" s="10" t="s">
        <v>4561</v>
      </c>
      <c r="L996" s="10" t="s">
        <v>42</v>
      </c>
    </row>
    <row r="997" ht="15.75" customHeight="1">
      <c r="A997" s="66">
        <v>45493.0</v>
      </c>
      <c r="B997" s="55" t="str">
        <f>HYPERLINK("https://jobright.ai/jobs/info/669ab630bceed1fe7aad3592?utm_campaign=1062&amp;utm_source=sheet", "Apply")</f>
        <v>Apply</v>
      </c>
      <c r="C997" s="10" t="s">
        <v>4562</v>
      </c>
      <c r="D997" s="56" t="s">
        <v>1789</v>
      </c>
      <c r="E997" s="10" t="s">
        <v>45</v>
      </c>
      <c r="F997" s="10" t="s">
        <v>1790</v>
      </c>
      <c r="G997" s="10" t="s">
        <v>2807</v>
      </c>
      <c r="H997" s="10" t="s">
        <v>1791</v>
      </c>
      <c r="I997" s="10" t="s">
        <v>55</v>
      </c>
      <c r="K997" s="10" t="s">
        <v>4563</v>
      </c>
      <c r="L997" s="10" t="s">
        <v>42</v>
      </c>
    </row>
    <row r="998" ht="15.75" customHeight="1">
      <c r="A998" s="66">
        <v>45493.0</v>
      </c>
      <c r="B998" s="55" t="str">
        <f>HYPERLINK("https://jobright.ai/jobs/info/66a455bcc30fa95f24d7ed07?utm_campaign=1062&amp;utm_source=sheet", "Apply")</f>
        <v>Apply</v>
      </c>
      <c r="C998" s="10" t="s">
        <v>4564</v>
      </c>
      <c r="D998" s="56" t="s">
        <v>4565</v>
      </c>
      <c r="E998" s="10" t="s">
        <v>249</v>
      </c>
      <c r="F998" s="10" t="s">
        <v>4521</v>
      </c>
      <c r="G998" s="10" t="s">
        <v>2484</v>
      </c>
      <c r="H998" s="10" t="s">
        <v>3719</v>
      </c>
      <c r="I998" s="10" t="s">
        <v>55</v>
      </c>
      <c r="K998" s="10" t="s">
        <v>4566</v>
      </c>
      <c r="L998" s="10" t="s">
        <v>42</v>
      </c>
    </row>
    <row r="999" ht="15.75" customHeight="1">
      <c r="A999" s="66">
        <v>45492.0</v>
      </c>
      <c r="B999" s="55" t="str">
        <f>HYPERLINK("https://jobright.ai/jobs/info/669b175937bc299532c0feeb?utm_campaign=1062&amp;utm_source=sheet", "Apply")</f>
        <v>Apply</v>
      </c>
      <c r="C999" s="10" t="s">
        <v>4567</v>
      </c>
      <c r="D999" s="56" t="s">
        <v>2823</v>
      </c>
      <c r="E999" s="10" t="s">
        <v>45</v>
      </c>
      <c r="F999" s="10" t="s">
        <v>2824</v>
      </c>
      <c r="G999" s="10" t="s">
        <v>2605</v>
      </c>
      <c r="H999" s="10" t="s">
        <v>113</v>
      </c>
      <c r="I999" s="10" t="s">
        <v>55</v>
      </c>
      <c r="J999" s="10" t="s">
        <v>4568</v>
      </c>
      <c r="K999" s="10" t="s">
        <v>4569</v>
      </c>
      <c r="L999" s="10" t="s">
        <v>42</v>
      </c>
    </row>
    <row r="1000" ht="15.75" customHeight="1">
      <c r="A1000" s="66">
        <v>45492.0</v>
      </c>
      <c r="B1000" s="55" t="str">
        <f>HYPERLINK("https://jobright.ai/jobs/info/669aebdedec4702b79404a2d?utm_campaign=1062&amp;utm_source=sheet", "Apply")</f>
        <v>Apply</v>
      </c>
      <c r="C1000" s="10" t="s">
        <v>4570</v>
      </c>
      <c r="D1000" s="56" t="s">
        <v>44</v>
      </c>
      <c r="E1000" s="10" t="s">
        <v>45</v>
      </c>
      <c r="F1000" s="10" t="s">
        <v>46</v>
      </c>
      <c r="G1000" s="10" t="s">
        <v>2502</v>
      </c>
      <c r="H1000" s="10" t="s">
        <v>113</v>
      </c>
      <c r="I1000" s="10" t="s">
        <v>48</v>
      </c>
      <c r="J1000" s="10" t="s">
        <v>375</v>
      </c>
      <c r="K1000" s="10" t="s">
        <v>4571</v>
      </c>
      <c r="L1000" s="10" t="s">
        <v>42</v>
      </c>
    </row>
    <row r="1001" ht="15.75" customHeight="1">
      <c r="A1001" s="66">
        <v>45492.0</v>
      </c>
      <c r="B1001" s="55" t="str">
        <f>HYPERLINK("https://jobright.ai/jobs/info/669b21c32e4e3e95c2a60468?utm_campaign=1062&amp;utm_source=sheet", "Apply")</f>
        <v>Apply</v>
      </c>
      <c r="C1001" s="10" t="s">
        <v>4567</v>
      </c>
      <c r="D1001" s="56" t="s">
        <v>2823</v>
      </c>
      <c r="E1001" s="10" t="s">
        <v>45</v>
      </c>
      <c r="F1001" s="10" t="s">
        <v>2824</v>
      </c>
      <c r="G1001" s="10" t="s">
        <v>2605</v>
      </c>
      <c r="H1001" s="10" t="s">
        <v>354</v>
      </c>
      <c r="I1001" s="10" t="s">
        <v>55</v>
      </c>
      <c r="J1001" s="10" t="s">
        <v>4568</v>
      </c>
      <c r="K1001" s="10" t="s">
        <v>4569</v>
      </c>
      <c r="L1001" s="10" t="s">
        <v>42</v>
      </c>
    </row>
    <row r="1002" ht="15.75" customHeight="1">
      <c r="A1002" s="66">
        <v>45492.0</v>
      </c>
      <c r="B1002" s="55" t="str">
        <f>HYPERLINK("https://jobright.ai/jobs/info/669c017288e977fdaeacff51?utm_campaign=1062&amp;utm_source=sheet", "Apply")</f>
        <v>Apply</v>
      </c>
      <c r="C1002" s="10" t="s">
        <v>4572</v>
      </c>
      <c r="D1002" s="56" t="s">
        <v>4573</v>
      </c>
      <c r="E1002" s="10" t="s">
        <v>65</v>
      </c>
      <c r="F1002" s="10" t="s">
        <v>4574</v>
      </c>
      <c r="G1002" s="10" t="s">
        <v>2448</v>
      </c>
      <c r="H1002" s="10" t="s">
        <v>2208</v>
      </c>
      <c r="I1002" s="10" t="s">
        <v>55</v>
      </c>
      <c r="K1002" s="10" t="s">
        <v>4575</v>
      </c>
      <c r="L1002" s="10" t="s">
        <v>42</v>
      </c>
    </row>
    <row r="1003" ht="15.75" customHeight="1">
      <c r="A1003" s="66">
        <v>45492.0</v>
      </c>
      <c r="B1003" s="55" t="str">
        <f>HYPERLINK("https://jobright.ai/jobs/info/669af48e459d064d98ae2bd9?utm_campaign=1062&amp;utm_source=sheet", "Apply")</f>
        <v>Apply</v>
      </c>
      <c r="C1003" s="10" t="s">
        <v>301</v>
      </c>
      <c r="D1003" s="56" t="s">
        <v>4576</v>
      </c>
      <c r="E1003" s="10">
        <v>112.0</v>
      </c>
      <c r="G1003" s="10" t="s">
        <v>2464</v>
      </c>
      <c r="H1003" s="10" t="s">
        <v>4577</v>
      </c>
      <c r="I1003" s="10" t="s">
        <v>55</v>
      </c>
      <c r="J1003" s="10" t="s">
        <v>1189</v>
      </c>
      <c r="K1003" s="10" t="s">
        <v>4578</v>
      </c>
      <c r="L1003" s="10" t="s">
        <v>42</v>
      </c>
    </row>
    <row r="1004" ht="15.75" customHeight="1">
      <c r="A1004" s="66">
        <v>45492.0</v>
      </c>
      <c r="B1004" s="55" t="str">
        <f>HYPERLINK("https://jobright.ai/jobs/info/669af0f4a76b59315bab9825?utm_campaign=1062&amp;utm_source=sheet", "Apply")</f>
        <v>Apply</v>
      </c>
      <c r="C1004" s="10" t="s">
        <v>2532</v>
      </c>
      <c r="D1004" s="56" t="s">
        <v>2533</v>
      </c>
      <c r="E1004" s="10" t="s">
        <v>45</v>
      </c>
      <c r="F1004" s="10" t="s">
        <v>2534</v>
      </c>
      <c r="G1004" s="10" t="s">
        <v>2459</v>
      </c>
      <c r="H1004" s="10" t="s">
        <v>2535</v>
      </c>
      <c r="I1004" s="10" t="s">
        <v>55</v>
      </c>
      <c r="K1004" s="10" t="s">
        <v>2536</v>
      </c>
      <c r="L1004" s="10" t="s">
        <v>42</v>
      </c>
    </row>
    <row r="1005" ht="15.75" customHeight="1">
      <c r="A1005" s="66">
        <v>45492.0</v>
      </c>
      <c r="B1005" s="55" t="str">
        <f>HYPERLINK("https://jobright.ai/jobs/info/669aeed169a1ff428c94f241?utm_campaign=1062&amp;utm_source=sheet", "Apply")</f>
        <v>Apply</v>
      </c>
      <c r="C1005" s="10" t="s">
        <v>4579</v>
      </c>
      <c r="D1005" s="56" t="s">
        <v>1183</v>
      </c>
      <c r="E1005" s="10" t="s">
        <v>45</v>
      </c>
      <c r="F1005" s="10" t="s">
        <v>1184</v>
      </c>
      <c r="G1005" s="10" t="s">
        <v>2484</v>
      </c>
      <c r="H1005" s="10" t="s">
        <v>4580</v>
      </c>
      <c r="I1005" s="10" t="s">
        <v>55</v>
      </c>
      <c r="J1005" s="10" t="s">
        <v>4581</v>
      </c>
      <c r="K1005" s="10" t="s">
        <v>4582</v>
      </c>
      <c r="L1005" s="10" t="s">
        <v>42</v>
      </c>
    </row>
    <row r="1006" ht="15.75" customHeight="1">
      <c r="A1006" s="66">
        <v>45492.0</v>
      </c>
      <c r="B1006" s="55" t="str">
        <f>HYPERLINK("https://jobright.ai/jobs/info/669ae2a7f776b6fd3c6f9c11?utm_campaign=1062&amp;utm_source=sheet", "Apply")</f>
        <v>Apply</v>
      </c>
      <c r="C1006" s="10" t="s">
        <v>4583</v>
      </c>
      <c r="D1006" s="56" t="s">
        <v>4584</v>
      </c>
      <c r="E1006" s="10">
        <v>222.0</v>
      </c>
      <c r="G1006" s="10" t="s">
        <v>2448</v>
      </c>
      <c r="H1006" s="10" t="s">
        <v>131</v>
      </c>
      <c r="I1006" s="10" t="s">
        <v>55</v>
      </c>
      <c r="K1006" s="10" t="s">
        <v>4585</v>
      </c>
      <c r="L1006" s="10" t="s">
        <v>42</v>
      </c>
    </row>
    <row r="1007" ht="15.75" customHeight="1">
      <c r="A1007" s="66">
        <v>45492.0</v>
      </c>
      <c r="B1007" s="55" t="str">
        <f>HYPERLINK("https://jobright.ai/jobs/info/669ba998eb19937cc1c55ddf?utm_campaign=1062&amp;utm_source=sheet", "Apply")</f>
        <v>Apply</v>
      </c>
      <c r="C1007" s="10" t="s">
        <v>4586</v>
      </c>
      <c r="D1007" s="56" t="s">
        <v>4587</v>
      </c>
      <c r="E1007" s="10" t="s">
        <v>45</v>
      </c>
      <c r="F1007" s="10" t="s">
        <v>270</v>
      </c>
      <c r="G1007" s="10" t="s">
        <v>2579</v>
      </c>
      <c r="H1007" s="10" t="s">
        <v>937</v>
      </c>
      <c r="I1007" s="10" t="s">
        <v>48</v>
      </c>
      <c r="K1007" s="10" t="s">
        <v>4588</v>
      </c>
      <c r="L1007" s="10" t="s">
        <v>42</v>
      </c>
    </row>
    <row r="1008" ht="15.75" customHeight="1">
      <c r="A1008" s="66">
        <v>45492.0</v>
      </c>
      <c r="B1008" s="55" t="str">
        <f>HYPERLINK("https://jobright.ai/jobs/info/669addce1ba6433041419a66?utm_campaign=1062&amp;utm_source=sheet", "Apply")</f>
        <v>Apply</v>
      </c>
      <c r="C1008" s="10" t="s">
        <v>4589</v>
      </c>
      <c r="D1008" s="56" t="s">
        <v>180</v>
      </c>
      <c r="E1008" s="10">
        <v>3092.0</v>
      </c>
      <c r="G1008" s="10" t="s">
        <v>3733</v>
      </c>
      <c r="H1008" s="10" t="s">
        <v>181</v>
      </c>
      <c r="I1008" s="10" t="s">
        <v>55</v>
      </c>
      <c r="K1008" s="10" t="s">
        <v>4590</v>
      </c>
      <c r="L1008" s="10" t="s">
        <v>42</v>
      </c>
    </row>
    <row r="1009" ht="15.75" customHeight="1">
      <c r="A1009" s="66">
        <v>45492.0</v>
      </c>
      <c r="B1009" s="55" t="str">
        <f>HYPERLINK("https://jobright.ai/jobs/info/66746a8dafaefe573cace856?utm_campaign=1062&amp;utm_source=sheet", "Apply")</f>
        <v>Apply</v>
      </c>
      <c r="C1009" s="10" t="s">
        <v>4591</v>
      </c>
      <c r="D1009" s="56" t="s">
        <v>4592</v>
      </c>
      <c r="E1009" s="10" t="s">
        <v>65</v>
      </c>
      <c r="F1009" s="10" t="s">
        <v>4593</v>
      </c>
      <c r="G1009" s="10" t="s">
        <v>2484</v>
      </c>
      <c r="H1009" s="10" t="s">
        <v>4594</v>
      </c>
      <c r="I1009" s="10" t="s">
        <v>55</v>
      </c>
      <c r="J1009" s="10" t="s">
        <v>3246</v>
      </c>
      <c r="K1009" s="10" t="s">
        <v>4595</v>
      </c>
      <c r="L1009" s="10" t="s">
        <v>42</v>
      </c>
    </row>
    <row r="1010" ht="15.75" customHeight="1">
      <c r="A1010" s="66">
        <v>45492.0</v>
      </c>
      <c r="B1010" s="55" t="str">
        <f>HYPERLINK("https://jobright.ai/jobs/info/669b1496a15756b5bbe92224?utm_campaign=1062&amp;utm_source=sheet", "Apply")</f>
        <v>Apply</v>
      </c>
      <c r="C1010" s="10" t="s">
        <v>4596</v>
      </c>
      <c r="D1010" s="56" t="s">
        <v>470</v>
      </c>
      <c r="E1010" s="10" t="s">
        <v>45</v>
      </c>
      <c r="F1010" s="10" t="s">
        <v>471</v>
      </c>
      <c r="G1010" s="10" t="s">
        <v>2437</v>
      </c>
      <c r="H1010" s="10" t="s">
        <v>472</v>
      </c>
      <c r="I1010" s="10" t="s">
        <v>55</v>
      </c>
      <c r="J1010" s="10" t="s">
        <v>473</v>
      </c>
      <c r="K1010" s="10" t="s">
        <v>4597</v>
      </c>
      <c r="L1010" s="10" t="s">
        <v>42</v>
      </c>
    </row>
    <row r="1011" ht="15.75" customHeight="1">
      <c r="A1011" s="66">
        <v>45492.0</v>
      </c>
      <c r="B1011" s="55" t="str">
        <f>HYPERLINK("https://jobright.ai/jobs/info/669ae64b106c09b0deb5fe63?utm_campaign=1062&amp;utm_source=sheet", "Apply")</f>
        <v>Apply</v>
      </c>
      <c r="C1011" s="10" t="s">
        <v>4598</v>
      </c>
      <c r="D1011" s="56" t="s">
        <v>470</v>
      </c>
      <c r="E1011" s="10" t="s">
        <v>45</v>
      </c>
      <c r="F1011" s="10" t="s">
        <v>471</v>
      </c>
      <c r="G1011" s="10" t="s">
        <v>2484</v>
      </c>
      <c r="H1011" s="10" t="s">
        <v>472</v>
      </c>
      <c r="I1011" s="10" t="s">
        <v>55</v>
      </c>
      <c r="J1011" s="10" t="s">
        <v>473</v>
      </c>
      <c r="K1011" s="10" t="s">
        <v>4599</v>
      </c>
      <c r="L1011" s="10" t="s">
        <v>42</v>
      </c>
    </row>
    <row r="1012" ht="15.75" customHeight="1">
      <c r="A1012" s="66">
        <v>45492.0</v>
      </c>
      <c r="B1012" s="55" t="str">
        <f>HYPERLINK("https://jobright.ai/jobs/info/669adb875d47756f9c8019d6?utm_campaign=1062&amp;utm_source=sheet", "Apply")</f>
        <v>Apply</v>
      </c>
      <c r="C1012" s="10" t="s">
        <v>4600</v>
      </c>
      <c r="D1012" s="56" t="s">
        <v>470</v>
      </c>
      <c r="E1012" s="10" t="s">
        <v>45</v>
      </c>
      <c r="F1012" s="10" t="s">
        <v>471</v>
      </c>
      <c r="G1012" s="10" t="s">
        <v>2459</v>
      </c>
      <c r="H1012" s="10" t="s">
        <v>472</v>
      </c>
      <c r="I1012" s="10" t="s">
        <v>55</v>
      </c>
      <c r="J1012" s="10" t="s">
        <v>473</v>
      </c>
      <c r="K1012" s="10" t="s">
        <v>4601</v>
      </c>
      <c r="L1012" s="10" t="s">
        <v>42</v>
      </c>
    </row>
    <row r="1013" ht="15.75" customHeight="1">
      <c r="A1013" s="66">
        <v>45492.0</v>
      </c>
      <c r="B1013" s="55" t="str">
        <f>HYPERLINK("https://jobright.ai/jobs/info/669adb875d47756f9c8019d2?utm_campaign=1062&amp;utm_source=sheet", "Apply")</f>
        <v>Apply</v>
      </c>
      <c r="C1013" s="10" t="s">
        <v>4602</v>
      </c>
      <c r="D1013" s="56" t="s">
        <v>470</v>
      </c>
      <c r="E1013" s="10" t="s">
        <v>45</v>
      </c>
      <c r="F1013" s="10" t="s">
        <v>471</v>
      </c>
      <c r="G1013" s="10" t="s">
        <v>2448</v>
      </c>
      <c r="H1013" s="10" t="s">
        <v>472</v>
      </c>
      <c r="I1013" s="10" t="s">
        <v>55</v>
      </c>
      <c r="J1013" s="10" t="s">
        <v>473</v>
      </c>
      <c r="K1013" s="10" t="s">
        <v>4603</v>
      </c>
      <c r="L1013" s="10" t="s">
        <v>42</v>
      </c>
    </row>
    <row r="1014" ht="15.75" customHeight="1">
      <c r="A1014" s="66">
        <v>45492.0</v>
      </c>
      <c r="B1014" s="55" t="str">
        <f>HYPERLINK("https://jobright.ai/jobs/info/669aed15bb55c2faf5163fee?utm_campaign=1062&amp;utm_source=sheet", "Apply")</f>
        <v>Apply</v>
      </c>
      <c r="C1014" s="10" t="s">
        <v>2532</v>
      </c>
      <c r="D1014" s="56" t="s">
        <v>4604</v>
      </c>
      <c r="E1014" s="10" t="s">
        <v>137</v>
      </c>
      <c r="F1014" s="10" t="s">
        <v>4605</v>
      </c>
      <c r="G1014" s="10" t="s">
        <v>2459</v>
      </c>
      <c r="H1014" s="10" t="s">
        <v>2535</v>
      </c>
      <c r="I1014" s="10" t="s">
        <v>55</v>
      </c>
      <c r="K1014" s="10" t="s">
        <v>2536</v>
      </c>
      <c r="L1014" s="10" t="s">
        <v>42</v>
      </c>
    </row>
    <row r="1015" ht="15.75" customHeight="1">
      <c r="A1015" s="66">
        <v>45492.0</v>
      </c>
      <c r="B1015" s="55" t="str">
        <f>HYPERLINK("https://jobright.ai/jobs/info/669af8dc66125bd136c8368e?utm_campaign=1062&amp;utm_source=sheet", "Apply")</f>
        <v>Apply</v>
      </c>
      <c r="C1015" s="10" t="s">
        <v>4606</v>
      </c>
      <c r="D1015" s="56" t="s">
        <v>4607</v>
      </c>
      <c r="E1015" s="10" t="s">
        <v>65</v>
      </c>
      <c r="F1015" s="10" t="s">
        <v>1587</v>
      </c>
      <c r="G1015" s="10" t="s">
        <v>2459</v>
      </c>
      <c r="H1015" s="10" t="s">
        <v>3093</v>
      </c>
      <c r="I1015" s="10" t="s">
        <v>55</v>
      </c>
      <c r="J1015" s="10" t="s">
        <v>4608</v>
      </c>
      <c r="K1015" s="10" t="s">
        <v>4609</v>
      </c>
      <c r="L1015" s="10" t="s">
        <v>42</v>
      </c>
    </row>
    <row r="1016" ht="15.75" customHeight="1">
      <c r="A1016" s="66">
        <v>45492.0</v>
      </c>
      <c r="B1016" s="55" t="str">
        <f>HYPERLINK("https://jobright.ai/jobs/info/669adb905d47756f9c8019f5?utm_campaign=1062&amp;utm_source=sheet", "Apply")</f>
        <v>Apply</v>
      </c>
      <c r="C1016" s="10" t="s">
        <v>4610</v>
      </c>
      <c r="D1016" s="56" t="s">
        <v>4611</v>
      </c>
      <c r="E1016" s="10" t="s">
        <v>65</v>
      </c>
      <c r="F1016" s="10" t="s">
        <v>2365</v>
      </c>
      <c r="G1016" s="10" t="s">
        <v>2448</v>
      </c>
      <c r="H1016" s="10" t="s">
        <v>914</v>
      </c>
      <c r="I1016" s="10" t="s">
        <v>55</v>
      </c>
      <c r="K1016" s="10" t="s">
        <v>4612</v>
      </c>
      <c r="L1016" s="10" t="s">
        <v>42</v>
      </c>
    </row>
    <row r="1017" ht="15.75" customHeight="1">
      <c r="A1017" s="66">
        <v>45492.0</v>
      </c>
      <c r="B1017" s="55" t="str">
        <f>HYPERLINK("https://jobright.ai/jobs/info/66976a3b0cb55672d6b4ed9e?utm_campaign=1062&amp;utm_source=sheet", "Apply")</f>
        <v>Apply</v>
      </c>
      <c r="C1017" s="10" t="s">
        <v>4613</v>
      </c>
      <c r="D1017" s="56" t="s">
        <v>567</v>
      </c>
      <c r="E1017" s="10" t="s">
        <v>65</v>
      </c>
      <c r="F1017" s="10" t="s">
        <v>568</v>
      </c>
      <c r="G1017" s="10" t="s">
        <v>2448</v>
      </c>
      <c r="H1017" s="10" t="s">
        <v>602</v>
      </c>
      <c r="I1017" s="10" t="s">
        <v>55</v>
      </c>
      <c r="K1017" s="10" t="s">
        <v>4614</v>
      </c>
      <c r="L1017" s="10" t="s">
        <v>42</v>
      </c>
    </row>
    <row r="1018" ht="15.75" customHeight="1">
      <c r="A1018" s="66">
        <v>45492.0</v>
      </c>
      <c r="B1018" s="55" t="str">
        <f>HYPERLINK("https://jobright.ai/jobs/info/669ab318e36ad8d3f8dddffb?utm_campaign=1062&amp;utm_source=sheet", "Apply")</f>
        <v>Apply</v>
      </c>
      <c r="C1018" s="10" t="s">
        <v>4615</v>
      </c>
      <c r="D1018" s="56" t="s">
        <v>4616</v>
      </c>
      <c r="E1018" s="10" t="s">
        <v>137</v>
      </c>
      <c r="F1018" s="10" t="s">
        <v>2758</v>
      </c>
      <c r="G1018" s="10" t="s">
        <v>2443</v>
      </c>
      <c r="H1018" s="10" t="s">
        <v>2241</v>
      </c>
      <c r="I1018" s="10" t="s">
        <v>55</v>
      </c>
      <c r="K1018" s="10" t="s">
        <v>4617</v>
      </c>
      <c r="L1018" s="10" t="s">
        <v>42</v>
      </c>
    </row>
    <row r="1019" ht="15.75" customHeight="1">
      <c r="A1019" s="66">
        <v>45492.0</v>
      </c>
      <c r="B1019" s="55" t="str">
        <f>HYPERLINK("https://jobright.ai/jobs/info/669acc0d356e3dd03c9b4b63?utm_campaign=1062&amp;utm_source=sheet", "Apply")</f>
        <v>Apply</v>
      </c>
      <c r="C1019" s="10" t="s">
        <v>4618</v>
      </c>
      <c r="D1019" s="56" t="s">
        <v>4619</v>
      </c>
      <c r="E1019" s="10" t="s">
        <v>71</v>
      </c>
      <c r="F1019" s="10" t="s">
        <v>665</v>
      </c>
      <c r="G1019" s="10" t="s">
        <v>2484</v>
      </c>
      <c r="H1019" s="10" t="s">
        <v>698</v>
      </c>
      <c r="I1019" s="10" t="s">
        <v>55</v>
      </c>
      <c r="K1019" s="10" t="s">
        <v>4620</v>
      </c>
      <c r="L1019" s="10" t="s">
        <v>42</v>
      </c>
    </row>
    <row r="1020" ht="15.75" customHeight="1">
      <c r="A1020" s="66">
        <v>45492.0</v>
      </c>
      <c r="B1020" s="55" t="str">
        <f>HYPERLINK("https://jobright.ai/jobs/info/669748d9ea99e22770cc9849?utm_campaign=1062&amp;utm_source=sheet", "Apply")</f>
        <v>Apply</v>
      </c>
      <c r="C1020" s="10" t="s">
        <v>4613</v>
      </c>
      <c r="D1020" s="56" t="s">
        <v>567</v>
      </c>
      <c r="E1020" s="10" t="s">
        <v>65</v>
      </c>
      <c r="F1020" s="10" t="s">
        <v>568</v>
      </c>
      <c r="G1020" s="10" t="s">
        <v>2448</v>
      </c>
      <c r="H1020" s="10" t="s">
        <v>610</v>
      </c>
      <c r="I1020" s="10" t="s">
        <v>55</v>
      </c>
      <c r="K1020" s="10" t="s">
        <v>4614</v>
      </c>
      <c r="L1020" s="10" t="s">
        <v>42</v>
      </c>
    </row>
    <row r="1021" ht="15.75" customHeight="1">
      <c r="A1021" s="66">
        <v>45492.0</v>
      </c>
      <c r="B1021" s="55" t="str">
        <f>HYPERLINK("https://jobright.ai/jobs/info/668cc7f7a1023a7b515b545f?utm_campaign=1062&amp;utm_source=sheet", "Apply")</f>
        <v>Apply</v>
      </c>
      <c r="C1021" s="10" t="s">
        <v>4621</v>
      </c>
      <c r="D1021" s="56" t="s">
        <v>3620</v>
      </c>
      <c r="E1021" s="10" t="s">
        <v>65</v>
      </c>
      <c r="F1021" s="10" t="s">
        <v>3621</v>
      </c>
      <c r="G1021" s="10" t="s">
        <v>2495</v>
      </c>
      <c r="H1021" s="10" t="s">
        <v>3622</v>
      </c>
      <c r="I1021" s="10" t="s">
        <v>55</v>
      </c>
      <c r="K1021" s="10" t="s">
        <v>4622</v>
      </c>
      <c r="L1021" s="10" t="s">
        <v>42</v>
      </c>
    </row>
    <row r="1022" ht="15.75" customHeight="1">
      <c r="A1022" s="66">
        <v>45492.0</v>
      </c>
      <c r="B1022" s="55" t="str">
        <f>HYPERLINK("https://jobright.ai/jobs/info/669aa4f3cff5836d3109b71e?utm_campaign=1062&amp;utm_source=sheet", "Apply")</f>
        <v>Apply</v>
      </c>
      <c r="C1022" s="10" t="s">
        <v>2630</v>
      </c>
      <c r="D1022" s="56" t="s">
        <v>2631</v>
      </c>
      <c r="E1022" s="10" t="s">
        <v>209</v>
      </c>
      <c r="F1022" s="10" t="s">
        <v>2632</v>
      </c>
      <c r="G1022" s="10" t="s">
        <v>2464</v>
      </c>
      <c r="H1022" s="10" t="s">
        <v>4623</v>
      </c>
      <c r="I1022" s="10" t="s">
        <v>55</v>
      </c>
      <c r="K1022" s="10" t="s">
        <v>2633</v>
      </c>
      <c r="L1022" s="10" t="s">
        <v>42</v>
      </c>
    </row>
    <row r="1023" ht="15.75" customHeight="1">
      <c r="A1023" s="66">
        <v>45492.0</v>
      </c>
      <c r="B1023" s="55" t="str">
        <f>HYPERLINK("https://jobright.ai/jobs/info/669a9be23bed9a8b0a55af13?utm_campaign=1062&amp;utm_source=sheet", "Apply")</f>
        <v>Apply</v>
      </c>
      <c r="C1023" s="10" t="s">
        <v>4624</v>
      </c>
      <c r="D1023" s="56" t="s">
        <v>1690</v>
      </c>
      <c r="E1023" s="10" t="s">
        <v>45</v>
      </c>
      <c r="F1023" s="10" t="s">
        <v>564</v>
      </c>
      <c r="G1023" s="10" t="s">
        <v>2484</v>
      </c>
      <c r="H1023" s="10" t="s">
        <v>1691</v>
      </c>
      <c r="I1023" s="10" t="s">
        <v>48</v>
      </c>
      <c r="K1023" s="10" t="s">
        <v>4625</v>
      </c>
      <c r="L1023" s="10" t="s">
        <v>42</v>
      </c>
    </row>
    <row r="1024" ht="15.75" customHeight="1">
      <c r="A1024" s="66">
        <v>45492.0</v>
      </c>
      <c r="B1024" s="55" t="str">
        <f>HYPERLINK("https://jobright.ai/jobs/info/669abbe2708adb3cc7d0cde7?utm_campaign=1062&amp;utm_source=sheet", "Apply")</f>
        <v>Apply</v>
      </c>
      <c r="C1024" s="10" t="s">
        <v>4626</v>
      </c>
      <c r="D1024" s="56" t="s">
        <v>1178</v>
      </c>
      <c r="E1024" s="10" t="s">
        <v>137</v>
      </c>
      <c r="F1024" s="10" t="s">
        <v>1179</v>
      </c>
      <c r="G1024" s="10" t="s">
        <v>3005</v>
      </c>
      <c r="H1024" s="10" t="s">
        <v>4627</v>
      </c>
      <c r="I1024" s="10" t="s">
        <v>55</v>
      </c>
      <c r="J1024" s="10" t="s">
        <v>4628</v>
      </c>
      <c r="K1024" s="10" t="s">
        <v>4629</v>
      </c>
      <c r="L1024" s="10" t="s">
        <v>42</v>
      </c>
    </row>
    <row r="1025" ht="15.75" customHeight="1">
      <c r="A1025" s="66">
        <v>45492.0</v>
      </c>
      <c r="B1025" s="55" t="str">
        <f>HYPERLINK("https://jobright.ai/jobs/info/669a9b771c65fab8943f980a?utm_campaign=1062&amp;utm_source=sheet", "Apply")</f>
        <v>Apply</v>
      </c>
      <c r="C1025" s="10" t="s">
        <v>2630</v>
      </c>
      <c r="D1025" s="56" t="s">
        <v>2631</v>
      </c>
      <c r="E1025" s="10" t="s">
        <v>209</v>
      </c>
      <c r="F1025" s="10" t="s">
        <v>2632</v>
      </c>
      <c r="G1025" s="10" t="s">
        <v>2464</v>
      </c>
      <c r="H1025" s="10" t="s">
        <v>1328</v>
      </c>
      <c r="I1025" s="10" t="s">
        <v>55</v>
      </c>
      <c r="K1025" s="10" t="s">
        <v>2633</v>
      </c>
      <c r="L1025" s="10" t="s">
        <v>42</v>
      </c>
    </row>
    <row r="1026" ht="15.75" customHeight="1">
      <c r="A1026" s="66">
        <v>45492.0</v>
      </c>
      <c r="B1026" s="55" t="str">
        <f>HYPERLINK("https://jobright.ai/jobs/info/66a3fd8ed61cea1521a47144?utm_campaign=1062&amp;utm_source=sheet", "Apply")</f>
        <v>Apply</v>
      </c>
      <c r="C1026" s="10" t="s">
        <v>4630</v>
      </c>
      <c r="D1026" s="56" t="s">
        <v>196</v>
      </c>
      <c r="E1026" s="10" t="s">
        <v>71</v>
      </c>
      <c r="F1026" s="10" t="s">
        <v>197</v>
      </c>
      <c r="G1026" s="10" t="s">
        <v>2443</v>
      </c>
      <c r="H1026" s="10" t="s">
        <v>193</v>
      </c>
      <c r="I1026" s="10" t="s">
        <v>55</v>
      </c>
      <c r="K1026" s="10" t="s">
        <v>4631</v>
      </c>
      <c r="L1026" s="10" t="s">
        <v>42</v>
      </c>
    </row>
    <row r="1027" ht="15.75" customHeight="1">
      <c r="A1027" s="66">
        <v>45492.0</v>
      </c>
      <c r="B1027" s="55" t="str">
        <f>HYPERLINK("https://jobright.ai/jobs/info/669a8bd98c99540201e1b1c9?utm_campaign=1062&amp;utm_source=sheet", "Apply")</f>
        <v>Apply</v>
      </c>
      <c r="C1027" s="10" t="s">
        <v>4632</v>
      </c>
      <c r="D1027" s="56" t="s">
        <v>4633</v>
      </c>
      <c r="E1027" s="10" t="s">
        <v>79</v>
      </c>
      <c r="F1027" s="10" t="s">
        <v>2746</v>
      </c>
      <c r="G1027" s="10" t="s">
        <v>2484</v>
      </c>
      <c r="H1027" s="10" t="s">
        <v>965</v>
      </c>
      <c r="I1027" s="10" t="s">
        <v>55</v>
      </c>
      <c r="K1027" s="10" t="s">
        <v>4634</v>
      </c>
      <c r="L1027" s="10" t="s">
        <v>42</v>
      </c>
    </row>
    <row r="1028" ht="15.75" customHeight="1">
      <c r="A1028" s="66">
        <v>45492.0</v>
      </c>
      <c r="B1028" s="55" t="str">
        <f>HYPERLINK("https://jobright.ai/jobs/info/66a266dd5297dc7b7d57f750?utm_campaign=1062&amp;utm_source=sheet", "Apply")</f>
        <v>Apply</v>
      </c>
      <c r="C1028" s="10" t="s">
        <v>4635</v>
      </c>
      <c r="D1028" s="56" t="s">
        <v>4636</v>
      </c>
      <c r="E1028" s="10" t="s">
        <v>276</v>
      </c>
      <c r="F1028" s="10" t="s">
        <v>568</v>
      </c>
      <c r="G1028" s="10" t="s">
        <v>2464</v>
      </c>
      <c r="H1028" s="10" t="s">
        <v>4637</v>
      </c>
      <c r="I1028" s="10" t="s">
        <v>55</v>
      </c>
      <c r="K1028" s="10" t="s">
        <v>4638</v>
      </c>
      <c r="L1028" s="10" t="s">
        <v>42</v>
      </c>
    </row>
    <row r="1029" ht="15.75" customHeight="1">
      <c r="A1029" s="66">
        <v>45492.0</v>
      </c>
      <c r="B1029" s="55" t="str">
        <f>HYPERLINK("https://jobright.ai/jobs/info/6660e92769beeac3f1da3efd?utm_campaign=1062&amp;utm_source=sheet", "Apply")</f>
        <v>Apply</v>
      </c>
      <c r="C1029" s="10" t="s">
        <v>4639</v>
      </c>
      <c r="D1029" s="56" t="s">
        <v>4640</v>
      </c>
      <c r="E1029" s="10" t="s">
        <v>209</v>
      </c>
      <c r="F1029" s="10" t="s">
        <v>697</v>
      </c>
      <c r="G1029" s="10" t="s">
        <v>2502</v>
      </c>
      <c r="H1029" s="10" t="s">
        <v>419</v>
      </c>
      <c r="I1029" s="10" t="s">
        <v>55</v>
      </c>
      <c r="K1029" s="10" t="s">
        <v>4641</v>
      </c>
      <c r="L1029" s="10" t="s">
        <v>42</v>
      </c>
    </row>
    <row r="1030" ht="15.75" customHeight="1">
      <c r="A1030" s="66">
        <v>45492.0</v>
      </c>
      <c r="B1030" s="55" t="str">
        <f>HYPERLINK("https://jobright.ai/jobs/info/66a3b31117830ba101e0b393?utm_campaign=1062&amp;utm_source=sheet", "Apply")</f>
        <v>Apply</v>
      </c>
      <c r="C1030" s="10" t="s">
        <v>4626</v>
      </c>
      <c r="D1030" s="56" t="s">
        <v>4642</v>
      </c>
      <c r="E1030" s="10" t="s">
        <v>45</v>
      </c>
      <c r="F1030" s="10" t="s">
        <v>4643</v>
      </c>
      <c r="G1030" s="10" t="s">
        <v>3005</v>
      </c>
      <c r="H1030" s="10" t="s">
        <v>4627</v>
      </c>
      <c r="I1030" s="10" t="s">
        <v>55</v>
      </c>
      <c r="J1030" s="10" t="s">
        <v>4644</v>
      </c>
      <c r="K1030" s="10" t="s">
        <v>4645</v>
      </c>
      <c r="L1030" s="10" t="s">
        <v>42</v>
      </c>
    </row>
    <row r="1031" ht="15.75" customHeight="1">
      <c r="A1031" s="66">
        <v>45492.0</v>
      </c>
      <c r="B1031" s="55" t="str">
        <f>HYPERLINK("https://jobright.ai/jobs/info/66a3fde9d61cea1521a477a3?utm_campaign=1062&amp;utm_source=sheet", "Apply")</f>
        <v>Apply</v>
      </c>
      <c r="C1031" s="10" t="s">
        <v>4358</v>
      </c>
      <c r="D1031" s="56" t="s">
        <v>2462</v>
      </c>
      <c r="E1031" s="10" t="s">
        <v>79</v>
      </c>
      <c r="F1031" s="10" t="s">
        <v>2463</v>
      </c>
      <c r="G1031" s="10" t="s">
        <v>2579</v>
      </c>
      <c r="H1031" s="10" t="s">
        <v>4396</v>
      </c>
      <c r="I1031" s="10" t="s">
        <v>55</v>
      </c>
      <c r="K1031" s="10" t="s">
        <v>4359</v>
      </c>
      <c r="L1031" s="10" t="s">
        <v>42</v>
      </c>
    </row>
    <row r="1032" ht="15.75" customHeight="1">
      <c r="A1032" s="66">
        <v>45492.0</v>
      </c>
      <c r="B1032" s="55" t="str">
        <f>HYPERLINK("https://jobright.ai/jobs/info/669a71329819bc20e390dc38?utm_campaign=1062&amp;utm_source=sheet", "Apply")</f>
        <v>Apply</v>
      </c>
      <c r="C1032" s="10" t="s">
        <v>4646</v>
      </c>
      <c r="D1032" s="56" t="s">
        <v>3598</v>
      </c>
      <c r="E1032" s="10" t="s">
        <v>249</v>
      </c>
      <c r="F1032" s="10" t="s">
        <v>3060</v>
      </c>
      <c r="G1032" s="10" t="s">
        <v>2437</v>
      </c>
      <c r="H1032" s="10" t="s">
        <v>3599</v>
      </c>
      <c r="I1032" s="10" t="s">
        <v>55</v>
      </c>
      <c r="K1032" s="10" t="s">
        <v>4647</v>
      </c>
      <c r="L1032" s="10" t="s">
        <v>42</v>
      </c>
    </row>
    <row r="1033" ht="15.75" customHeight="1">
      <c r="A1033" s="66">
        <v>45492.0</v>
      </c>
      <c r="B1033" s="55" t="str">
        <f>HYPERLINK("https://jobright.ai/jobs/info/66a3a46c225c1023d7e2e512?utm_campaign=1062&amp;utm_source=sheet", "Apply")</f>
        <v>Apply</v>
      </c>
      <c r="C1033" s="10" t="s">
        <v>4648</v>
      </c>
      <c r="D1033" s="56" t="s">
        <v>4642</v>
      </c>
      <c r="E1033" s="10" t="s">
        <v>45</v>
      </c>
      <c r="F1033" s="10" t="s">
        <v>4643</v>
      </c>
      <c r="G1033" s="10" t="s">
        <v>2528</v>
      </c>
      <c r="H1033" s="10" t="s">
        <v>251</v>
      </c>
      <c r="I1033" s="10" t="s">
        <v>252</v>
      </c>
      <c r="J1033" s="10" t="s">
        <v>4649</v>
      </c>
      <c r="K1033" s="10" t="s">
        <v>4650</v>
      </c>
      <c r="L1033" s="10" t="s">
        <v>42</v>
      </c>
    </row>
    <row r="1034" ht="15.75" customHeight="1">
      <c r="A1034" s="66">
        <v>45492.0</v>
      </c>
      <c r="B1034" s="55" t="str">
        <f>HYPERLINK("https://jobright.ai/jobs/info/669a6d1eca20b9c392f2b5c7?utm_campaign=1062&amp;utm_source=sheet", "Apply")</f>
        <v>Apply</v>
      </c>
      <c r="C1034" s="10" t="s">
        <v>4380</v>
      </c>
      <c r="D1034" s="56" t="s">
        <v>4651</v>
      </c>
      <c r="E1034" s="10" t="s">
        <v>45</v>
      </c>
      <c r="F1034" s="10" t="s">
        <v>2527</v>
      </c>
      <c r="G1034" s="10" t="s">
        <v>2484</v>
      </c>
      <c r="H1034" s="10" t="s">
        <v>4652</v>
      </c>
      <c r="I1034" s="10" t="s">
        <v>55</v>
      </c>
      <c r="K1034" s="10" t="s">
        <v>4653</v>
      </c>
      <c r="L1034" s="10" t="s">
        <v>42</v>
      </c>
    </row>
    <row r="1035" ht="15.75" customHeight="1">
      <c r="A1035" s="66">
        <v>45492.0</v>
      </c>
      <c r="B1035" s="55" t="str">
        <f>HYPERLINK("https://jobright.ai/jobs/info/669e591ac1b409aba18623b5?utm_campaign=1062&amp;utm_source=sheet", "Apply")</f>
        <v>Apply</v>
      </c>
      <c r="C1035" s="10" t="s">
        <v>4654</v>
      </c>
      <c r="D1035" s="56" t="s">
        <v>4655</v>
      </c>
      <c r="E1035" s="10">
        <v>5073.0</v>
      </c>
      <c r="G1035" s="10" t="s">
        <v>2448</v>
      </c>
      <c r="H1035" s="10" t="s">
        <v>2006</v>
      </c>
      <c r="I1035" s="10" t="s">
        <v>55</v>
      </c>
      <c r="K1035" s="10" t="s">
        <v>4656</v>
      </c>
      <c r="L1035" s="10" t="s">
        <v>42</v>
      </c>
    </row>
    <row r="1036" ht="15.75" customHeight="1">
      <c r="A1036" s="66">
        <v>45492.0</v>
      </c>
      <c r="B1036" s="55" t="str">
        <f>HYPERLINK("https://jobright.ai/jobs/info/669a6620806bb6f378cc942f?utm_campaign=1062&amp;utm_source=sheet", "Apply")</f>
        <v>Apply</v>
      </c>
      <c r="C1036" s="10" t="s">
        <v>4657</v>
      </c>
      <c r="D1036" s="56" t="s">
        <v>4658</v>
      </c>
      <c r="E1036" s="10" t="s">
        <v>45</v>
      </c>
      <c r="F1036" s="10" t="s">
        <v>4659</v>
      </c>
      <c r="G1036" s="10" t="s">
        <v>2455</v>
      </c>
      <c r="H1036" s="10" t="s">
        <v>894</v>
      </c>
      <c r="I1036" s="10" t="s">
        <v>55</v>
      </c>
      <c r="K1036" s="10" t="s">
        <v>4660</v>
      </c>
      <c r="L1036" s="10" t="s">
        <v>42</v>
      </c>
    </row>
    <row r="1037" ht="15.75" customHeight="1">
      <c r="A1037" s="66">
        <v>45492.0</v>
      </c>
      <c r="B1037" s="55" t="str">
        <f>HYPERLINK("https://jobright.ai/jobs/info/669a71279819bc20e390db16?utm_campaign=1062&amp;utm_source=sheet", "Apply")</f>
        <v>Apply</v>
      </c>
      <c r="C1037" s="10" t="s">
        <v>4661</v>
      </c>
      <c r="D1037" s="56" t="s">
        <v>4662</v>
      </c>
      <c r="E1037" s="10" t="s">
        <v>79</v>
      </c>
      <c r="F1037" s="10" t="s">
        <v>3205</v>
      </c>
      <c r="G1037" s="10" t="s">
        <v>2464</v>
      </c>
      <c r="H1037" s="10" t="s">
        <v>154</v>
      </c>
      <c r="I1037" s="10" t="s">
        <v>55</v>
      </c>
      <c r="K1037" s="10" t="s">
        <v>4663</v>
      </c>
      <c r="L1037" s="10" t="s">
        <v>42</v>
      </c>
    </row>
    <row r="1038" ht="15.75" customHeight="1">
      <c r="A1038" s="66">
        <v>45492.0</v>
      </c>
      <c r="B1038" s="55" t="str">
        <f>HYPERLINK("https://jobright.ai/jobs/info/66917247fc2b664fec45cb70?utm_campaign=1062&amp;utm_source=sheet", "Apply")</f>
        <v>Apply</v>
      </c>
      <c r="C1038" s="10" t="s">
        <v>4664</v>
      </c>
      <c r="D1038" s="56" t="s">
        <v>4651</v>
      </c>
      <c r="E1038" s="10" t="s">
        <v>45</v>
      </c>
      <c r="F1038" s="10" t="s">
        <v>2527</v>
      </c>
      <c r="G1038" s="10" t="s">
        <v>2470</v>
      </c>
      <c r="H1038" s="10" t="s">
        <v>4652</v>
      </c>
      <c r="I1038" s="10" t="s">
        <v>55</v>
      </c>
      <c r="K1038" s="10" t="s">
        <v>4665</v>
      </c>
      <c r="L1038" s="10" t="s">
        <v>42</v>
      </c>
    </row>
    <row r="1039" ht="15.75" customHeight="1">
      <c r="A1039" s="66">
        <v>45492.0</v>
      </c>
      <c r="B1039" s="55" t="str">
        <f>HYPERLINK("https://jobright.ai/jobs/info/6699ff78824ce0d268293a74?utm_campaign=1062&amp;utm_source=sheet", "Apply")</f>
        <v>Apply</v>
      </c>
      <c r="C1039" s="10" t="s">
        <v>4666</v>
      </c>
      <c r="D1039" s="56" t="s">
        <v>4667</v>
      </c>
      <c r="E1039" s="10" t="s">
        <v>137</v>
      </c>
      <c r="F1039" s="10" t="s">
        <v>4668</v>
      </c>
      <c r="G1039" s="10" t="s">
        <v>2437</v>
      </c>
      <c r="H1039" s="10" t="s">
        <v>910</v>
      </c>
      <c r="I1039" s="10" t="s">
        <v>55</v>
      </c>
      <c r="K1039" s="10" t="s">
        <v>4669</v>
      </c>
      <c r="L1039" s="10" t="s">
        <v>42</v>
      </c>
    </row>
    <row r="1040" ht="15.75" customHeight="1">
      <c r="A1040" s="66">
        <v>45492.0</v>
      </c>
      <c r="B1040" s="55" t="str">
        <f>HYPERLINK("https://jobright.ai/jobs/info/66a39c25d1de96a5874b5bf5?utm_campaign=1062&amp;utm_source=sheet", "Apply")</f>
        <v>Apply</v>
      </c>
      <c r="C1040" s="10" t="s">
        <v>296</v>
      </c>
      <c r="D1040" s="56" t="s">
        <v>4670</v>
      </c>
      <c r="E1040" s="10" t="s">
        <v>45</v>
      </c>
      <c r="F1040" s="10" t="s">
        <v>4671</v>
      </c>
      <c r="G1040" s="10" t="s">
        <v>2437</v>
      </c>
      <c r="H1040" s="10" t="s">
        <v>1144</v>
      </c>
      <c r="I1040" s="10" t="s">
        <v>55</v>
      </c>
      <c r="K1040" s="10" t="s">
        <v>4672</v>
      </c>
      <c r="L1040" s="10" t="s">
        <v>42</v>
      </c>
    </row>
    <row r="1041" ht="15.75" customHeight="1">
      <c r="A1041" s="66">
        <v>45492.0</v>
      </c>
      <c r="B1041" s="55" t="str">
        <f>HYPERLINK("https://jobright.ai/jobs/info/669fa05a23c3d3b512dfecf4?utm_campaign=1062&amp;utm_source=sheet", "Apply")</f>
        <v>Apply</v>
      </c>
      <c r="C1041" s="10" t="s">
        <v>4673</v>
      </c>
      <c r="D1041" s="56" t="s">
        <v>4674</v>
      </c>
      <c r="E1041" s="10" t="s">
        <v>45</v>
      </c>
      <c r="F1041" s="10" t="s">
        <v>471</v>
      </c>
      <c r="G1041" s="10" t="s">
        <v>2455</v>
      </c>
      <c r="H1041" s="10" t="s">
        <v>1260</v>
      </c>
      <c r="I1041" s="10" t="s">
        <v>55</v>
      </c>
      <c r="J1041" s="10" t="s">
        <v>4675</v>
      </c>
      <c r="K1041" s="10" t="s">
        <v>4676</v>
      </c>
      <c r="L1041" s="10" t="s">
        <v>42</v>
      </c>
    </row>
    <row r="1042" ht="15.75" customHeight="1">
      <c r="A1042" s="66">
        <v>45492.0</v>
      </c>
      <c r="B1042" s="55" t="str">
        <f>HYPERLINK("https://jobright.ai/jobs/info/66a0ee3db3fb11bcb3dad320?utm_campaign=1062&amp;utm_source=sheet", "Apply")</f>
        <v>Apply</v>
      </c>
      <c r="C1042" s="10" t="s">
        <v>4677</v>
      </c>
      <c r="D1042" s="56" t="s">
        <v>3461</v>
      </c>
      <c r="E1042" s="10" t="s">
        <v>65</v>
      </c>
      <c r="F1042" s="10" t="s">
        <v>2964</v>
      </c>
      <c r="G1042" s="10" t="s">
        <v>2484</v>
      </c>
      <c r="H1042" s="10" t="s">
        <v>4678</v>
      </c>
      <c r="I1042" s="10" t="s">
        <v>55</v>
      </c>
      <c r="J1042" s="10" t="s">
        <v>4679</v>
      </c>
      <c r="K1042" s="10" t="s">
        <v>4680</v>
      </c>
      <c r="L1042" s="10" t="s">
        <v>42</v>
      </c>
    </row>
    <row r="1043" ht="15.75" customHeight="1">
      <c r="A1043" s="66">
        <v>45492.0</v>
      </c>
      <c r="B1043" s="55" t="str">
        <f>HYPERLINK("https://jobright.ai/jobs/info/66a403710d09d8a9054b4054?utm_campaign=1062&amp;utm_source=sheet", "Apply")</f>
        <v>Apply</v>
      </c>
      <c r="C1043" s="10" t="s">
        <v>1756</v>
      </c>
      <c r="D1043" s="56" t="s">
        <v>1757</v>
      </c>
      <c r="E1043" s="10">
        <v>15243.0</v>
      </c>
      <c r="G1043" s="10" t="s">
        <v>2443</v>
      </c>
      <c r="H1043" s="10" t="s">
        <v>165</v>
      </c>
      <c r="I1043" s="10" t="s">
        <v>55</v>
      </c>
      <c r="J1043" s="10" t="s">
        <v>4681</v>
      </c>
      <c r="K1043" s="10" t="s">
        <v>4682</v>
      </c>
      <c r="L1043" s="10" t="s">
        <v>42</v>
      </c>
    </row>
    <row r="1044" ht="15.75" customHeight="1">
      <c r="A1044" s="66">
        <v>45492.0</v>
      </c>
      <c r="B1044" s="55" t="str">
        <f>HYPERLINK("https://jobright.ai/jobs/info/66a393bdb64c538c2cb5849e?utm_campaign=1062&amp;utm_source=sheet", "Apply")</f>
        <v>Apply</v>
      </c>
      <c r="C1044" s="10" t="s">
        <v>301</v>
      </c>
      <c r="D1044" s="56" t="s">
        <v>4683</v>
      </c>
      <c r="E1044" s="10" t="s">
        <v>65</v>
      </c>
      <c r="F1044" s="10" t="s">
        <v>1700</v>
      </c>
      <c r="G1044" s="10" t="s">
        <v>2448</v>
      </c>
      <c r="H1044" s="10" t="s">
        <v>229</v>
      </c>
      <c r="I1044" s="10" t="s">
        <v>55</v>
      </c>
      <c r="K1044" s="10" t="s">
        <v>4684</v>
      </c>
      <c r="L1044" s="10" t="s">
        <v>42</v>
      </c>
    </row>
    <row r="1045" ht="15.75" customHeight="1">
      <c r="A1045" s="66">
        <v>45492.0</v>
      </c>
      <c r="B1045" s="55" t="str">
        <f>HYPERLINK("https://jobright.ai/jobs/info/669a5a2035fab870f631eea3?utm_campaign=1062&amp;utm_source=sheet", "Apply")</f>
        <v>Apply</v>
      </c>
      <c r="C1045" s="10" t="s">
        <v>4685</v>
      </c>
      <c r="D1045" s="56" t="s">
        <v>311</v>
      </c>
      <c r="E1045" s="10" t="s">
        <v>45</v>
      </c>
      <c r="F1045" s="10" t="s">
        <v>312</v>
      </c>
      <c r="G1045" s="10" t="s">
        <v>2502</v>
      </c>
      <c r="H1045" s="10" t="s">
        <v>313</v>
      </c>
      <c r="I1045" s="10" t="s">
        <v>55</v>
      </c>
      <c r="J1045" s="10" t="s">
        <v>3312</v>
      </c>
      <c r="K1045" s="10" t="s">
        <v>4686</v>
      </c>
      <c r="L1045" s="10" t="s">
        <v>42</v>
      </c>
    </row>
    <row r="1046" ht="15.75" customHeight="1">
      <c r="A1046" s="66">
        <v>45492.0</v>
      </c>
      <c r="B1046" s="55" t="str">
        <f>HYPERLINK("https://jobright.ai/jobs/info/669a53b48397db306a1a28d0?utm_campaign=1062&amp;utm_source=sheet", "Apply")</f>
        <v>Apply</v>
      </c>
      <c r="C1046" s="10" t="s">
        <v>4687</v>
      </c>
      <c r="D1046" s="56" t="s">
        <v>311</v>
      </c>
      <c r="E1046" s="10" t="s">
        <v>45</v>
      </c>
      <c r="F1046" s="10" t="s">
        <v>312</v>
      </c>
      <c r="G1046" s="10" t="s">
        <v>2502</v>
      </c>
      <c r="H1046" s="10" t="s">
        <v>313</v>
      </c>
      <c r="I1046" s="10" t="s">
        <v>55</v>
      </c>
      <c r="J1046" s="10" t="s">
        <v>4688</v>
      </c>
      <c r="K1046" s="10" t="s">
        <v>4689</v>
      </c>
      <c r="L1046" s="10" t="s">
        <v>42</v>
      </c>
    </row>
    <row r="1047" ht="15.75" customHeight="1">
      <c r="A1047" s="66">
        <v>45492.0</v>
      </c>
      <c r="B1047" s="55" t="str">
        <f>HYPERLINK("https://jobright.ai/jobs/info/66a4038a0d09d8a9054b41bc?utm_campaign=1062&amp;utm_source=sheet", "Apply")</f>
        <v>Apply</v>
      </c>
      <c r="C1047" s="10" t="s">
        <v>4690</v>
      </c>
      <c r="D1047" s="56" t="s">
        <v>4691</v>
      </c>
      <c r="E1047" s="10" t="s">
        <v>276</v>
      </c>
      <c r="F1047" s="10" t="s">
        <v>4692</v>
      </c>
      <c r="G1047" s="10" t="s">
        <v>2437</v>
      </c>
      <c r="H1047" s="10" t="s">
        <v>354</v>
      </c>
      <c r="I1047" s="10" t="s">
        <v>55</v>
      </c>
      <c r="K1047" s="10" t="s">
        <v>4693</v>
      </c>
      <c r="L1047" s="10" t="s">
        <v>42</v>
      </c>
    </row>
    <row r="1048" ht="15.75" customHeight="1">
      <c r="A1048" s="66">
        <v>45492.0</v>
      </c>
      <c r="B1048" s="55" t="str">
        <f>HYPERLINK("https://jobright.ai/jobs/info/669a4f922885e142e98de9db?utm_campaign=1062&amp;utm_source=sheet", "Apply")</f>
        <v>Apply</v>
      </c>
      <c r="C1048" s="10" t="s">
        <v>4694</v>
      </c>
      <c r="D1048" s="56" t="s">
        <v>311</v>
      </c>
      <c r="E1048" s="10" t="s">
        <v>45</v>
      </c>
      <c r="F1048" s="10" t="s">
        <v>312</v>
      </c>
      <c r="G1048" s="10" t="s">
        <v>2448</v>
      </c>
      <c r="H1048" s="10" t="s">
        <v>423</v>
      </c>
      <c r="I1048" s="10" t="s">
        <v>55</v>
      </c>
      <c r="J1048" s="10" t="s">
        <v>4695</v>
      </c>
      <c r="K1048" s="10" t="s">
        <v>4696</v>
      </c>
      <c r="L1048" s="10" t="s">
        <v>42</v>
      </c>
    </row>
    <row r="1049" ht="15.75" customHeight="1">
      <c r="A1049" s="66">
        <v>45492.0</v>
      </c>
      <c r="B1049" s="55" t="str">
        <f>HYPERLINK("https://jobright.ai/jobs/info/669a4987d0f33072afe0eae1?utm_campaign=1062&amp;utm_source=sheet", "Apply")</f>
        <v>Apply</v>
      </c>
      <c r="C1049" s="10" t="s">
        <v>4697</v>
      </c>
      <c r="D1049" s="56" t="s">
        <v>311</v>
      </c>
      <c r="E1049" s="10" t="s">
        <v>45</v>
      </c>
      <c r="F1049" s="10" t="s">
        <v>312</v>
      </c>
      <c r="G1049" s="10" t="s">
        <v>2502</v>
      </c>
      <c r="H1049" s="10" t="s">
        <v>313</v>
      </c>
      <c r="I1049" s="10" t="s">
        <v>55</v>
      </c>
      <c r="J1049" s="10" t="s">
        <v>4698</v>
      </c>
      <c r="K1049" s="10" t="s">
        <v>4699</v>
      </c>
      <c r="L1049" s="10" t="s">
        <v>42</v>
      </c>
    </row>
    <row r="1050" ht="15.75" customHeight="1">
      <c r="A1050" s="66">
        <v>45492.0</v>
      </c>
      <c r="B1050" s="55" t="str">
        <f>HYPERLINK("https://jobright.ai/jobs/info/669a4f872885e142e98de91c?utm_campaign=1062&amp;utm_source=sheet", "Apply")</f>
        <v>Apply</v>
      </c>
      <c r="C1050" s="10" t="s">
        <v>4700</v>
      </c>
      <c r="D1050" s="56" t="s">
        <v>4701</v>
      </c>
      <c r="E1050" s="10" t="s">
        <v>137</v>
      </c>
      <c r="F1050" s="10" t="s">
        <v>4702</v>
      </c>
      <c r="G1050" s="10" t="s">
        <v>2437</v>
      </c>
      <c r="H1050" s="10" t="s">
        <v>3265</v>
      </c>
      <c r="I1050" s="10" t="s">
        <v>55</v>
      </c>
      <c r="J1050" s="10" t="s">
        <v>1608</v>
      </c>
      <c r="K1050" s="10" t="s">
        <v>4703</v>
      </c>
      <c r="L1050" s="10" t="s">
        <v>42</v>
      </c>
    </row>
    <row r="1051" ht="15.75" customHeight="1">
      <c r="A1051" s="66">
        <v>45492.0</v>
      </c>
      <c r="B1051" s="55" t="str">
        <f>HYPERLINK("https://jobright.ai/jobs/info/666102de186da9003aad9cf3?utm_campaign=1062&amp;utm_source=sheet", "Apply")</f>
        <v>Apply</v>
      </c>
      <c r="C1051" s="10" t="s">
        <v>4704</v>
      </c>
      <c r="D1051" s="56" t="s">
        <v>716</v>
      </c>
      <c r="E1051" s="10" t="s">
        <v>79</v>
      </c>
      <c r="F1051" s="10" t="s">
        <v>717</v>
      </c>
      <c r="G1051" s="10" t="s">
        <v>2807</v>
      </c>
      <c r="H1051" s="10" t="s">
        <v>144</v>
      </c>
      <c r="I1051" s="10" t="s">
        <v>48</v>
      </c>
      <c r="J1051" s="10" t="s">
        <v>718</v>
      </c>
      <c r="K1051" s="10" t="s">
        <v>4705</v>
      </c>
      <c r="L1051" s="10" t="s">
        <v>42</v>
      </c>
    </row>
    <row r="1052" ht="15.75" customHeight="1">
      <c r="A1052" s="66">
        <v>45492.0</v>
      </c>
      <c r="B1052" s="55" t="str">
        <f>HYPERLINK("https://jobright.ai/jobs/info/667df2aea8cfb857af6f1225?utm_campaign=1062&amp;utm_source=sheet", "Apply")</f>
        <v>Apply</v>
      </c>
      <c r="C1052" s="10" t="s">
        <v>3349</v>
      </c>
      <c r="D1052" s="56" t="s">
        <v>3350</v>
      </c>
      <c r="E1052" s="10" t="s">
        <v>65</v>
      </c>
      <c r="F1052" s="10" t="s">
        <v>3351</v>
      </c>
      <c r="G1052" s="10" t="s">
        <v>2448</v>
      </c>
      <c r="H1052" s="10" t="s">
        <v>3352</v>
      </c>
      <c r="I1052" s="10" t="s">
        <v>55</v>
      </c>
      <c r="K1052" s="10" t="s">
        <v>4706</v>
      </c>
      <c r="L1052" s="10" t="s">
        <v>42</v>
      </c>
    </row>
    <row r="1053" ht="15.75" customHeight="1">
      <c r="A1053" s="66">
        <v>45492.0</v>
      </c>
      <c r="B1053" s="55" t="str">
        <f>HYPERLINK("https://jobright.ai/jobs/info/6661378652e301400cd2ca15?utm_campaign=1062&amp;utm_source=sheet", "Apply")</f>
        <v>Apply</v>
      </c>
      <c r="C1053" s="10" t="s">
        <v>4707</v>
      </c>
      <c r="D1053" s="56" t="s">
        <v>4708</v>
      </c>
      <c r="E1053" s="10" t="s">
        <v>71</v>
      </c>
      <c r="F1053" s="10" t="s">
        <v>4709</v>
      </c>
      <c r="G1053" s="10" t="s">
        <v>2502</v>
      </c>
      <c r="H1053" s="10" t="s">
        <v>1254</v>
      </c>
      <c r="I1053" s="10" t="s">
        <v>55</v>
      </c>
      <c r="J1053" s="10" t="s">
        <v>81</v>
      </c>
      <c r="K1053" s="10" t="s">
        <v>4710</v>
      </c>
      <c r="L1053" s="10" t="s">
        <v>42</v>
      </c>
    </row>
    <row r="1054" ht="15.75" customHeight="1">
      <c r="A1054" s="66">
        <v>45492.0</v>
      </c>
      <c r="B1054" s="55" t="str">
        <f>HYPERLINK("https://jobright.ai/jobs/info/664eb98c441ecf4d17eb345c?utm_campaign=1062&amp;utm_source=sheet", "Apply")</f>
        <v>Apply</v>
      </c>
      <c r="C1054" s="10" t="s">
        <v>4711</v>
      </c>
      <c r="D1054" s="56" t="s">
        <v>4712</v>
      </c>
      <c r="E1054" s="10" t="s">
        <v>65</v>
      </c>
      <c r="F1054" s="10" t="s">
        <v>1184</v>
      </c>
      <c r="G1054" s="10" t="s">
        <v>2484</v>
      </c>
      <c r="H1054" s="10" t="s">
        <v>3719</v>
      </c>
      <c r="I1054" s="10" t="s">
        <v>55</v>
      </c>
      <c r="K1054" s="10" t="s">
        <v>4713</v>
      </c>
      <c r="L1054" s="10" t="s">
        <v>42</v>
      </c>
    </row>
    <row r="1055" ht="15.75" customHeight="1">
      <c r="A1055" s="66">
        <v>45492.0</v>
      </c>
      <c r="B1055" s="55" t="str">
        <f>HYPERLINK("https://jobright.ai/jobs/info/66610edd08a9bf673241ecc0?utm_campaign=1062&amp;utm_source=sheet", "Apply")</f>
        <v>Apply</v>
      </c>
      <c r="C1055" s="10" t="s">
        <v>4714</v>
      </c>
      <c r="D1055" s="56" t="s">
        <v>4715</v>
      </c>
      <c r="E1055" s="10" t="s">
        <v>65</v>
      </c>
      <c r="F1055" s="10" t="s">
        <v>4716</v>
      </c>
      <c r="G1055" s="10" t="s">
        <v>2448</v>
      </c>
      <c r="H1055" s="10" t="s">
        <v>131</v>
      </c>
      <c r="I1055" s="10" t="s">
        <v>55</v>
      </c>
      <c r="K1055" s="10" t="s">
        <v>4717</v>
      </c>
      <c r="L1055" s="10" t="s">
        <v>42</v>
      </c>
    </row>
    <row r="1056" ht="15.75" customHeight="1">
      <c r="A1056" s="66">
        <v>45492.0</v>
      </c>
      <c r="B1056" s="55" t="str">
        <f>HYPERLINK("https://jobright.ai/jobs/info/667e1bca164e0674b2ce1097?utm_campaign=1062&amp;utm_source=sheet", "Apply")</f>
        <v>Apply</v>
      </c>
      <c r="C1056" s="10" t="s">
        <v>4718</v>
      </c>
      <c r="D1056" s="56" t="s">
        <v>4719</v>
      </c>
      <c r="E1056" s="10" t="s">
        <v>45</v>
      </c>
      <c r="F1056" s="10" t="s">
        <v>4720</v>
      </c>
      <c r="G1056" s="10" t="s">
        <v>2437</v>
      </c>
      <c r="H1056" s="10" t="s">
        <v>4721</v>
      </c>
      <c r="I1056" s="10" t="s">
        <v>55</v>
      </c>
      <c r="K1056" s="10" t="s">
        <v>4722</v>
      </c>
      <c r="L1056" s="10" t="s">
        <v>42</v>
      </c>
    </row>
    <row r="1057" ht="15.75" customHeight="1">
      <c r="A1057" s="66">
        <v>45492.0</v>
      </c>
      <c r="B1057" s="55" t="str">
        <f>HYPERLINK("https://jobright.ai/jobs/info/6675b5ca357894b74ff2a3c1?utm_campaign=1062&amp;utm_source=sheet", "Apply")</f>
        <v>Apply</v>
      </c>
      <c r="C1057" s="10" t="s">
        <v>4723</v>
      </c>
      <c r="D1057" s="56" t="s">
        <v>2682</v>
      </c>
      <c r="E1057" s="10" t="s">
        <v>45</v>
      </c>
      <c r="F1057" s="10" t="s">
        <v>1357</v>
      </c>
      <c r="G1057" s="10" t="s">
        <v>2589</v>
      </c>
      <c r="H1057" s="10" t="s">
        <v>4724</v>
      </c>
      <c r="I1057" s="10" t="s">
        <v>55</v>
      </c>
      <c r="J1057" s="10" t="s">
        <v>2683</v>
      </c>
      <c r="K1057" s="10" t="s">
        <v>2684</v>
      </c>
      <c r="L1057" s="10" t="s">
        <v>42</v>
      </c>
    </row>
    <row r="1058" ht="15.75" customHeight="1">
      <c r="A1058" s="66">
        <v>45492.0</v>
      </c>
      <c r="B1058" s="55" t="str">
        <f>HYPERLINK("https://jobright.ai/jobs/info/667dac6fa59aa08a6b4d3d39?utm_campaign=1062&amp;utm_source=sheet", "Apply")</f>
        <v>Apply</v>
      </c>
      <c r="C1058" s="10" t="s">
        <v>4725</v>
      </c>
      <c r="D1058" s="56" t="s">
        <v>3477</v>
      </c>
      <c r="E1058" s="10" t="s">
        <v>45</v>
      </c>
      <c r="F1058" s="10" t="s">
        <v>1284</v>
      </c>
      <c r="G1058" s="10" t="s">
        <v>3733</v>
      </c>
      <c r="H1058" s="10" t="s">
        <v>153</v>
      </c>
      <c r="I1058" s="10" t="s">
        <v>55</v>
      </c>
      <c r="K1058" s="10" t="s">
        <v>4726</v>
      </c>
      <c r="L1058" s="10" t="s">
        <v>42</v>
      </c>
    </row>
    <row r="1059" ht="15.75" customHeight="1">
      <c r="A1059" s="66">
        <v>45492.0</v>
      </c>
      <c r="B1059" s="55" t="str">
        <f>HYPERLINK("https://jobright.ai/jobs/info/6659af4a83258ff8b567079b?utm_campaign=1062&amp;utm_source=sheet", "Apply")</f>
        <v>Apply</v>
      </c>
      <c r="C1059" s="10" t="s">
        <v>4727</v>
      </c>
      <c r="D1059" s="56" t="s">
        <v>385</v>
      </c>
      <c r="E1059" s="10" t="s">
        <v>45</v>
      </c>
      <c r="F1059" s="10" t="s">
        <v>386</v>
      </c>
      <c r="G1059" s="10" t="s">
        <v>2448</v>
      </c>
      <c r="H1059" s="10" t="s">
        <v>4728</v>
      </c>
      <c r="I1059" s="10" t="s">
        <v>55</v>
      </c>
      <c r="K1059" s="10" t="s">
        <v>4729</v>
      </c>
      <c r="L1059" s="10" t="s">
        <v>42</v>
      </c>
    </row>
    <row r="1060" ht="15.75" customHeight="1">
      <c r="A1060" s="66">
        <v>45492.0</v>
      </c>
      <c r="B1060" s="55" t="str">
        <f>HYPERLINK("https://jobright.ai/jobs/info/667d568daa63cf1b275d1227?utm_campaign=1062&amp;utm_source=sheet", "Apply")</f>
        <v>Apply</v>
      </c>
      <c r="C1060" s="10" t="s">
        <v>4730</v>
      </c>
      <c r="D1060" s="56" t="s">
        <v>99</v>
      </c>
      <c r="E1060" s="10" t="s">
        <v>45</v>
      </c>
      <c r="F1060" s="10" t="s">
        <v>100</v>
      </c>
      <c r="G1060" s="10" t="s">
        <v>2484</v>
      </c>
      <c r="H1060" s="10" t="s">
        <v>4731</v>
      </c>
      <c r="I1060" s="10" t="s">
        <v>55</v>
      </c>
      <c r="K1060" s="10" t="s">
        <v>4732</v>
      </c>
      <c r="L1060" s="10" t="s">
        <v>42</v>
      </c>
    </row>
    <row r="1061" ht="15.75" customHeight="1">
      <c r="A1061" s="66">
        <v>45492.0</v>
      </c>
      <c r="B1061" s="55" t="str">
        <f>HYPERLINK("https://jobright.ai/jobs/info/667d9d2b36f412392903ee54?utm_campaign=1062&amp;utm_source=sheet", "Apply")</f>
        <v>Apply</v>
      </c>
      <c r="C1061" s="10" t="s">
        <v>4733</v>
      </c>
      <c r="D1061" s="56" t="s">
        <v>263</v>
      </c>
      <c r="E1061" s="10" t="s">
        <v>45</v>
      </c>
      <c r="F1061" s="10" t="s">
        <v>264</v>
      </c>
      <c r="G1061" s="10" t="s">
        <v>2484</v>
      </c>
      <c r="H1061" s="10" t="s">
        <v>4734</v>
      </c>
      <c r="I1061" s="10" t="s">
        <v>55</v>
      </c>
      <c r="J1061" s="10" t="s">
        <v>4735</v>
      </c>
      <c r="K1061" s="10" t="s">
        <v>4736</v>
      </c>
      <c r="L1061" s="10" t="s">
        <v>42</v>
      </c>
    </row>
    <row r="1062" ht="15.75" customHeight="1">
      <c r="A1062" s="66">
        <v>45492.0</v>
      </c>
      <c r="B1062" s="55" t="str">
        <f>HYPERLINK("https://jobright.ai/jobs/info/669748d9ea99e22770cc9848?utm_campaign=1062&amp;utm_source=sheet", "Apply")</f>
        <v>Apply</v>
      </c>
      <c r="C1062" s="10" t="s">
        <v>4613</v>
      </c>
      <c r="D1062" s="56" t="s">
        <v>567</v>
      </c>
      <c r="E1062" s="10" t="s">
        <v>65</v>
      </c>
      <c r="F1062" s="10" t="s">
        <v>568</v>
      </c>
      <c r="G1062" s="10" t="s">
        <v>2448</v>
      </c>
      <c r="H1062" s="10" t="s">
        <v>576</v>
      </c>
      <c r="I1062" s="10" t="s">
        <v>55</v>
      </c>
      <c r="K1062" s="10" t="s">
        <v>4614</v>
      </c>
      <c r="L1062" s="10" t="s">
        <v>42</v>
      </c>
    </row>
    <row r="1063" ht="15.75" customHeight="1">
      <c r="A1063" s="66">
        <v>45492.0</v>
      </c>
      <c r="B1063" s="55" t="str">
        <f>HYPERLINK("https://jobright.ai/jobs/info/669a32880e482c4063d74a77?utm_campaign=1062&amp;utm_source=sheet", "Apply")</f>
        <v>Apply</v>
      </c>
      <c r="C1063" s="10" t="s">
        <v>3094</v>
      </c>
      <c r="D1063" s="56" t="s">
        <v>3095</v>
      </c>
      <c r="F1063" s="10" t="s">
        <v>3096</v>
      </c>
      <c r="G1063" s="10" t="s">
        <v>2443</v>
      </c>
      <c r="H1063" s="10" t="s">
        <v>3097</v>
      </c>
      <c r="I1063" s="10" t="s">
        <v>55</v>
      </c>
      <c r="K1063" s="10" t="s">
        <v>4737</v>
      </c>
      <c r="L1063" s="10" t="s">
        <v>42</v>
      </c>
    </row>
    <row r="1064" ht="15.75" customHeight="1">
      <c r="A1064" s="66">
        <v>45492.0</v>
      </c>
      <c r="B1064" s="55" t="str">
        <f>HYPERLINK("https://jobright.ai/jobs/info/669751a0a25c567e77ffc338?utm_campaign=1062&amp;utm_source=sheet", "Apply")</f>
        <v>Apply</v>
      </c>
      <c r="C1064" s="10" t="s">
        <v>4613</v>
      </c>
      <c r="D1064" s="56" t="s">
        <v>567</v>
      </c>
      <c r="E1064" s="10" t="s">
        <v>65</v>
      </c>
      <c r="F1064" s="10" t="s">
        <v>568</v>
      </c>
      <c r="G1064" s="10" t="s">
        <v>2448</v>
      </c>
      <c r="H1064" s="10" t="s">
        <v>572</v>
      </c>
      <c r="I1064" s="10" t="s">
        <v>55</v>
      </c>
      <c r="K1064" s="10" t="s">
        <v>4614</v>
      </c>
      <c r="L1064" s="10" t="s">
        <v>42</v>
      </c>
    </row>
    <row r="1065" ht="15.75" customHeight="1">
      <c r="A1065" s="66">
        <v>45492.0</v>
      </c>
      <c r="B1065" s="55" t="str">
        <f>HYPERLINK("https://jobright.ai/jobs/info/669a19ed13e5508eebafb6bf?utm_campaign=1062&amp;utm_source=sheet", "Apply")</f>
        <v>Apply</v>
      </c>
      <c r="C1065" s="10" t="s">
        <v>4738</v>
      </c>
      <c r="D1065" s="56" t="s">
        <v>2303</v>
      </c>
      <c r="E1065" s="10" t="s">
        <v>276</v>
      </c>
      <c r="F1065" s="10" t="s">
        <v>2304</v>
      </c>
      <c r="G1065" s="10" t="s">
        <v>3774</v>
      </c>
      <c r="H1065" s="10" t="s">
        <v>442</v>
      </c>
      <c r="I1065" s="10" t="s">
        <v>48</v>
      </c>
      <c r="K1065" s="10" t="s">
        <v>4739</v>
      </c>
      <c r="L1065" s="10" t="s">
        <v>42</v>
      </c>
    </row>
    <row r="1066" ht="15.75" customHeight="1">
      <c r="A1066" s="66">
        <v>45492.0</v>
      </c>
      <c r="B1066" s="55" t="str">
        <f>HYPERLINK("https://jobright.ai/jobs/info/66975d231ebb6df8dcbb86c9?utm_campaign=1062&amp;utm_source=sheet", "Apply")</f>
        <v>Apply</v>
      </c>
      <c r="C1066" s="10" t="s">
        <v>4613</v>
      </c>
      <c r="D1066" s="56" t="s">
        <v>567</v>
      </c>
      <c r="E1066" s="10" t="s">
        <v>65</v>
      </c>
      <c r="F1066" s="10" t="s">
        <v>568</v>
      </c>
      <c r="G1066" s="10" t="s">
        <v>2448</v>
      </c>
      <c r="H1066" s="10" t="s">
        <v>139</v>
      </c>
      <c r="I1066" s="10" t="s">
        <v>55</v>
      </c>
      <c r="K1066" s="10" t="s">
        <v>4614</v>
      </c>
      <c r="L1066" s="10" t="s">
        <v>42</v>
      </c>
    </row>
    <row r="1067" ht="15.75" customHeight="1">
      <c r="A1067" s="66">
        <v>45492.0</v>
      </c>
      <c r="B1067" s="55" t="str">
        <f>HYPERLINK("https://jobright.ai/jobs/info/66965bdec8ec64ebc8ed4772?utm_campaign=1062&amp;utm_source=sheet", "Apply")</f>
        <v>Apply</v>
      </c>
      <c r="C1067" s="10" t="s">
        <v>4740</v>
      </c>
      <c r="D1067" s="56" t="s">
        <v>4741</v>
      </c>
      <c r="E1067" s="10" t="s">
        <v>79</v>
      </c>
      <c r="F1067" s="10" t="s">
        <v>4742</v>
      </c>
      <c r="G1067" s="10" t="s">
        <v>2484</v>
      </c>
      <c r="H1067" s="10" t="s">
        <v>2635</v>
      </c>
      <c r="I1067" s="10" t="s">
        <v>55</v>
      </c>
      <c r="K1067" s="10" t="s">
        <v>4743</v>
      </c>
      <c r="L1067" s="10" t="s">
        <v>42</v>
      </c>
    </row>
    <row r="1068" ht="15.75" customHeight="1">
      <c r="A1068" s="66">
        <v>45492.0</v>
      </c>
      <c r="B1068" s="55" t="str">
        <f>HYPERLINK("https://jobright.ai/jobs/info/6699fede03992eed75ab6404?utm_campaign=1062&amp;utm_source=sheet", "Apply")</f>
        <v>Apply</v>
      </c>
      <c r="C1068" s="10" t="s">
        <v>4744</v>
      </c>
      <c r="D1068" s="56" t="s">
        <v>4745</v>
      </c>
      <c r="E1068" s="10" t="s">
        <v>209</v>
      </c>
      <c r="F1068" s="10" t="s">
        <v>2793</v>
      </c>
      <c r="G1068" s="10" t="s">
        <v>2484</v>
      </c>
      <c r="H1068" s="10" t="s">
        <v>4746</v>
      </c>
      <c r="I1068" s="10" t="s">
        <v>55</v>
      </c>
      <c r="K1068" s="10" t="s">
        <v>4747</v>
      </c>
      <c r="L1068" s="10" t="s">
        <v>42</v>
      </c>
    </row>
    <row r="1069" ht="15.75" customHeight="1">
      <c r="A1069" s="66">
        <v>45492.0</v>
      </c>
      <c r="B1069" s="55" t="str">
        <f>HYPERLINK("https://jobright.ai/jobs/info/6699fede03992eed75ab641e?utm_campaign=1062&amp;utm_source=sheet", "Apply")</f>
        <v>Apply</v>
      </c>
      <c r="C1069" s="10" t="s">
        <v>4748</v>
      </c>
      <c r="D1069" s="56" t="s">
        <v>4745</v>
      </c>
      <c r="E1069" s="10" t="s">
        <v>209</v>
      </c>
      <c r="F1069" s="10" t="s">
        <v>2793</v>
      </c>
      <c r="G1069" s="10" t="s">
        <v>2448</v>
      </c>
      <c r="H1069" s="10" t="s">
        <v>4746</v>
      </c>
      <c r="I1069" s="10" t="s">
        <v>55</v>
      </c>
      <c r="K1069" s="10" t="s">
        <v>4747</v>
      </c>
      <c r="L1069" s="10" t="s">
        <v>42</v>
      </c>
    </row>
    <row r="1070" ht="15.75" customHeight="1">
      <c r="A1070" s="66">
        <v>45492.0</v>
      </c>
      <c r="B1070" s="55" t="str">
        <f>HYPERLINK("https://jobright.ai/jobs/info/66996050e56fdd691f9cfab3?utm_campaign=1062&amp;utm_source=sheet", "Apply")</f>
        <v>Apply</v>
      </c>
      <c r="C1070" s="10" t="s">
        <v>4749</v>
      </c>
      <c r="D1070" s="56" t="s">
        <v>4750</v>
      </c>
      <c r="E1070" s="10" t="s">
        <v>209</v>
      </c>
      <c r="F1070" s="10" t="s">
        <v>1909</v>
      </c>
      <c r="G1070" s="10" t="s">
        <v>2448</v>
      </c>
      <c r="H1070" s="10" t="s">
        <v>958</v>
      </c>
      <c r="I1070" s="10" t="s">
        <v>55</v>
      </c>
      <c r="K1070" s="10" t="s">
        <v>4751</v>
      </c>
      <c r="L1070" s="10" t="s">
        <v>42</v>
      </c>
    </row>
    <row r="1071" ht="15.75" customHeight="1">
      <c r="A1071" s="66">
        <v>45492.0</v>
      </c>
      <c r="B1071" s="55" t="str">
        <f>HYPERLINK("https://jobright.ai/jobs/info/6699ebab8396008844902447?utm_campaign=1062&amp;utm_source=sheet", "Apply")</f>
        <v>Apply</v>
      </c>
      <c r="C1071" s="10" t="s">
        <v>4752</v>
      </c>
      <c r="D1071" s="56" t="s">
        <v>4555</v>
      </c>
      <c r="E1071" s="10" t="s">
        <v>65</v>
      </c>
      <c r="F1071" s="10" t="s">
        <v>2828</v>
      </c>
      <c r="G1071" s="10" t="s">
        <v>2443</v>
      </c>
      <c r="H1071" s="10" t="s">
        <v>621</v>
      </c>
      <c r="I1071" s="10" t="s">
        <v>55</v>
      </c>
      <c r="J1071" s="10" t="s">
        <v>4753</v>
      </c>
      <c r="K1071" s="10" t="s">
        <v>4754</v>
      </c>
      <c r="L1071" s="10" t="s">
        <v>42</v>
      </c>
    </row>
    <row r="1072" ht="15.75" customHeight="1">
      <c r="A1072" s="66">
        <v>45492.0</v>
      </c>
      <c r="B1072" s="55" t="str">
        <f>HYPERLINK("https://jobright.ai/jobs/info/6699e6133d7e21ce872ba987?utm_campaign=1062&amp;utm_source=sheet", "Apply")</f>
        <v>Apply</v>
      </c>
      <c r="C1072" s="10" t="s">
        <v>4755</v>
      </c>
      <c r="D1072" s="56" t="s">
        <v>1547</v>
      </c>
      <c r="E1072" s="10">
        <v>408.0</v>
      </c>
      <c r="G1072" s="10" t="s">
        <v>2579</v>
      </c>
      <c r="H1072" s="10" t="s">
        <v>131</v>
      </c>
      <c r="I1072" s="10" t="s">
        <v>55</v>
      </c>
      <c r="K1072" s="10" t="s">
        <v>4756</v>
      </c>
      <c r="L1072" s="10" t="s">
        <v>42</v>
      </c>
    </row>
    <row r="1073" ht="15.75" customHeight="1">
      <c r="A1073" s="66">
        <v>45492.0</v>
      </c>
      <c r="B1073" s="55" t="str">
        <f>HYPERLINK("https://jobright.ai/jobs/info/669af1cb7460f5accae03867?utm_campaign=1062&amp;utm_source=sheet", "Apply")</f>
        <v>Apply</v>
      </c>
      <c r="C1073" s="10" t="s">
        <v>4757</v>
      </c>
      <c r="D1073" s="56" t="s">
        <v>4758</v>
      </c>
      <c r="E1073" s="10" t="s">
        <v>249</v>
      </c>
      <c r="F1073" s="10" t="s">
        <v>1234</v>
      </c>
      <c r="G1073" s="10" t="s">
        <v>2484</v>
      </c>
      <c r="H1073" s="10" t="s">
        <v>607</v>
      </c>
      <c r="I1073" s="10" t="s">
        <v>55</v>
      </c>
      <c r="K1073" s="10" t="s">
        <v>4759</v>
      </c>
      <c r="L1073" s="10" t="s">
        <v>42</v>
      </c>
    </row>
    <row r="1074" ht="15.75" customHeight="1">
      <c r="A1074" s="66">
        <v>45492.0</v>
      </c>
      <c r="B1074" s="55" t="str">
        <f>HYPERLINK("https://jobright.ai/jobs/info/6697126cff29392ce4bfb934?utm_campaign=1062&amp;utm_source=sheet", "Apply")</f>
        <v>Apply</v>
      </c>
      <c r="C1074" s="10" t="s">
        <v>4760</v>
      </c>
      <c r="D1074" s="56" t="s">
        <v>4761</v>
      </c>
      <c r="E1074" s="10" t="s">
        <v>45</v>
      </c>
      <c r="F1074" s="10" t="s">
        <v>1506</v>
      </c>
      <c r="G1074" s="10" t="s">
        <v>2464</v>
      </c>
      <c r="H1074" s="10" t="s">
        <v>795</v>
      </c>
      <c r="I1074" s="10" t="s">
        <v>55</v>
      </c>
      <c r="J1074" s="10" t="s">
        <v>4762</v>
      </c>
      <c r="K1074" s="10" t="s">
        <v>4763</v>
      </c>
      <c r="L1074" s="10" t="s">
        <v>42</v>
      </c>
    </row>
    <row r="1075" ht="15.75" customHeight="1">
      <c r="A1075" s="66">
        <v>45492.0</v>
      </c>
      <c r="B1075" s="55" t="str">
        <f>HYPERLINK("https://jobright.ai/jobs/info/669ab630bceed1fe7aad35a7?utm_campaign=1062&amp;utm_source=sheet", "Apply")</f>
        <v>Apply</v>
      </c>
      <c r="C1075" s="10" t="s">
        <v>4764</v>
      </c>
      <c r="D1075" s="56" t="s">
        <v>4765</v>
      </c>
      <c r="E1075" s="10" t="s">
        <v>45</v>
      </c>
      <c r="F1075" s="10" t="s">
        <v>2824</v>
      </c>
      <c r="G1075" s="10" t="s">
        <v>2464</v>
      </c>
      <c r="H1075" s="10" t="s">
        <v>958</v>
      </c>
      <c r="I1075" s="10" t="s">
        <v>55</v>
      </c>
      <c r="K1075" s="10" t="s">
        <v>4766</v>
      </c>
      <c r="L1075" s="10" t="s">
        <v>42</v>
      </c>
    </row>
    <row r="1076" ht="15.75" customHeight="1">
      <c r="A1076" s="66">
        <v>45492.0</v>
      </c>
      <c r="B1076" s="55" t="str">
        <f>HYPERLINK("https://jobright.ai/jobs/info/669adb995d47756f9c801ae2?utm_campaign=1062&amp;utm_source=sheet", "Apply")</f>
        <v>Apply</v>
      </c>
      <c r="C1076" s="10" t="s">
        <v>4767</v>
      </c>
      <c r="D1076" s="56" t="s">
        <v>4768</v>
      </c>
      <c r="E1076" s="10" t="s">
        <v>209</v>
      </c>
      <c r="F1076" s="10" t="s">
        <v>3898</v>
      </c>
      <c r="G1076" s="10" t="s">
        <v>2484</v>
      </c>
      <c r="H1076" s="10" t="s">
        <v>222</v>
      </c>
      <c r="I1076" s="10" t="s">
        <v>55</v>
      </c>
      <c r="K1076" s="10" t="s">
        <v>4769</v>
      </c>
      <c r="L1076" s="10" t="s">
        <v>42</v>
      </c>
    </row>
    <row r="1077" ht="15.75" customHeight="1">
      <c r="A1077" s="66">
        <v>45492.0</v>
      </c>
      <c r="B1077" s="55" t="str">
        <f>HYPERLINK("https://jobright.ai/jobs/info/669aacd1c51b8935158dd7c4?utm_campaign=1062&amp;utm_source=sheet", "Apply")</f>
        <v>Apply</v>
      </c>
      <c r="C1077" s="10" t="s">
        <v>4770</v>
      </c>
      <c r="D1077" s="56" t="s">
        <v>4765</v>
      </c>
      <c r="E1077" s="10" t="s">
        <v>45</v>
      </c>
      <c r="F1077" s="10" t="s">
        <v>2824</v>
      </c>
      <c r="G1077" s="10" t="s">
        <v>2448</v>
      </c>
      <c r="H1077" s="10" t="s">
        <v>958</v>
      </c>
      <c r="I1077" s="10" t="s">
        <v>55</v>
      </c>
      <c r="K1077" s="10" t="s">
        <v>4771</v>
      </c>
      <c r="L1077" s="10" t="s">
        <v>42</v>
      </c>
    </row>
    <row r="1078" ht="15.75" customHeight="1">
      <c r="A1078" s="66">
        <v>45492.0</v>
      </c>
      <c r="B1078" s="55" t="str">
        <f>HYPERLINK("https://jobright.ai/jobs/info/669abc5b3da9c10845be7bc5?utm_campaign=1062&amp;utm_source=sheet", "Apply")</f>
        <v>Apply</v>
      </c>
      <c r="C1078" s="10" t="s">
        <v>1605</v>
      </c>
      <c r="D1078" s="56" t="s">
        <v>4555</v>
      </c>
      <c r="E1078" s="10" t="s">
        <v>65</v>
      </c>
      <c r="F1078" s="10" t="s">
        <v>2828</v>
      </c>
      <c r="G1078" s="10" t="s">
        <v>2448</v>
      </c>
      <c r="H1078" s="10" t="s">
        <v>4556</v>
      </c>
      <c r="I1078" s="10" t="s">
        <v>55</v>
      </c>
      <c r="J1078" s="10" t="s">
        <v>4557</v>
      </c>
      <c r="K1078" s="10" t="s">
        <v>4558</v>
      </c>
      <c r="L1078" s="10" t="s">
        <v>42</v>
      </c>
    </row>
    <row r="1079" ht="15.75" customHeight="1">
      <c r="A1079" s="66">
        <v>45492.0</v>
      </c>
      <c r="B1079" s="55" t="str">
        <f>HYPERLINK("https://jobright.ai/jobs/info/669a78cfc279cc47c41acdf5?utm_campaign=1062&amp;utm_source=sheet", "Apply")</f>
        <v>Apply</v>
      </c>
      <c r="C1079" s="10" t="s">
        <v>4155</v>
      </c>
      <c r="D1079" s="56" t="s">
        <v>4651</v>
      </c>
      <c r="E1079" s="10" t="s">
        <v>45</v>
      </c>
      <c r="F1079" s="10" t="s">
        <v>2527</v>
      </c>
      <c r="G1079" s="10" t="s">
        <v>2484</v>
      </c>
      <c r="H1079" s="10" t="s">
        <v>4652</v>
      </c>
      <c r="I1079" s="10" t="s">
        <v>55</v>
      </c>
      <c r="K1079" s="10" t="s">
        <v>4653</v>
      </c>
      <c r="L1079" s="10" t="s">
        <v>42</v>
      </c>
    </row>
    <row r="1080" ht="15.75" customHeight="1">
      <c r="A1080" s="66">
        <v>45492.0</v>
      </c>
      <c r="B1080" s="55" t="str">
        <f>HYPERLINK("https://jobright.ai/jobs/info/66a46586d3c950e558a8ae64?utm_campaign=1062&amp;utm_source=sheet", "Apply")</f>
        <v>Apply</v>
      </c>
      <c r="C1080" s="10" t="s">
        <v>4772</v>
      </c>
      <c r="D1080" s="56" t="s">
        <v>4773</v>
      </c>
      <c r="E1080" s="10" t="s">
        <v>71</v>
      </c>
      <c r="F1080" s="10" t="s">
        <v>2806</v>
      </c>
      <c r="G1080" s="10" t="s">
        <v>2484</v>
      </c>
      <c r="H1080" s="10" t="s">
        <v>1260</v>
      </c>
      <c r="I1080" s="10" t="s">
        <v>55</v>
      </c>
      <c r="K1080" s="10" t="s">
        <v>4774</v>
      </c>
      <c r="L1080" s="10" t="s">
        <v>42</v>
      </c>
    </row>
    <row r="1081" ht="15.75" customHeight="1">
      <c r="A1081" s="66">
        <v>45492.0</v>
      </c>
      <c r="B1081" s="55" t="str">
        <f>HYPERLINK("https://jobright.ai/jobs/info/669ac2db856fd9c9bf361342?utm_campaign=1062&amp;utm_source=sheet", "Apply")</f>
        <v>Apply</v>
      </c>
      <c r="C1081" s="10" t="s">
        <v>4775</v>
      </c>
      <c r="D1081" s="56" t="s">
        <v>4776</v>
      </c>
      <c r="E1081" s="10">
        <v>2028.0</v>
      </c>
      <c r="G1081" s="10" t="s">
        <v>2484</v>
      </c>
      <c r="H1081" s="10" t="s">
        <v>4777</v>
      </c>
      <c r="I1081" s="10" t="s">
        <v>55</v>
      </c>
      <c r="K1081" s="10" t="s">
        <v>4778</v>
      </c>
      <c r="L1081" s="10" t="s">
        <v>42</v>
      </c>
    </row>
    <row r="1082" ht="15.75" customHeight="1">
      <c r="A1082" s="66">
        <v>45492.0</v>
      </c>
      <c r="B1082" s="55" t="str">
        <f>HYPERLINK("https://jobright.ai/jobs/info/669aadffa0085fff770a7bae?utm_campaign=1062&amp;utm_source=sheet", "Apply")</f>
        <v>Apply</v>
      </c>
      <c r="C1082" s="10" t="s">
        <v>4767</v>
      </c>
      <c r="D1082" s="56" t="s">
        <v>4768</v>
      </c>
      <c r="E1082" s="10" t="s">
        <v>209</v>
      </c>
      <c r="F1082" s="10" t="s">
        <v>3898</v>
      </c>
      <c r="G1082" s="10" t="s">
        <v>2484</v>
      </c>
      <c r="H1082" s="10" t="s">
        <v>4779</v>
      </c>
      <c r="I1082" s="10" t="s">
        <v>55</v>
      </c>
      <c r="K1082" s="10" t="s">
        <v>4769</v>
      </c>
      <c r="L1082" s="10" t="s">
        <v>42</v>
      </c>
    </row>
    <row r="1083" ht="15.75" customHeight="1">
      <c r="A1083" s="66">
        <v>45491.0</v>
      </c>
      <c r="B1083" s="55" t="str">
        <f>HYPERLINK("https://jobright.ai/jobs/info/6699b3af8e2bbfc90c31e5db?utm_campaign=1062&amp;utm_source=sheet", "Apply")</f>
        <v>Apply</v>
      </c>
      <c r="C1083" s="10" t="s">
        <v>4780</v>
      </c>
      <c r="D1083" s="56" t="s">
        <v>3832</v>
      </c>
      <c r="E1083" s="10" t="s">
        <v>65</v>
      </c>
      <c r="F1083" s="10" t="s">
        <v>660</v>
      </c>
      <c r="G1083" s="10" t="s">
        <v>2579</v>
      </c>
      <c r="H1083" s="10" t="s">
        <v>159</v>
      </c>
      <c r="I1083" s="10" t="s">
        <v>55</v>
      </c>
      <c r="J1083" s="10" t="s">
        <v>4234</v>
      </c>
      <c r="K1083" s="10" t="s">
        <v>4781</v>
      </c>
      <c r="L1083" s="10" t="s">
        <v>42</v>
      </c>
    </row>
    <row r="1084" ht="15.75" customHeight="1">
      <c r="A1084" s="66">
        <v>45491.0</v>
      </c>
      <c r="B1084" s="55" t="str">
        <f>HYPERLINK("https://jobright.ai/jobs/info/6699ab415a89528d063162bd?utm_campaign=1062&amp;utm_source=sheet", "Apply")</f>
        <v>Apply</v>
      </c>
      <c r="C1084" s="10" t="s">
        <v>4782</v>
      </c>
      <c r="D1084" s="56" t="s">
        <v>4783</v>
      </c>
      <c r="E1084" s="10" t="s">
        <v>249</v>
      </c>
      <c r="F1084" s="10" t="s">
        <v>4784</v>
      </c>
      <c r="G1084" s="10" t="s">
        <v>4046</v>
      </c>
      <c r="H1084" s="10" t="s">
        <v>1058</v>
      </c>
      <c r="I1084" s="10" t="s">
        <v>55</v>
      </c>
      <c r="K1084" s="10" t="s">
        <v>4785</v>
      </c>
      <c r="L1084" s="10" t="s">
        <v>42</v>
      </c>
    </row>
    <row r="1085" ht="15.75" customHeight="1">
      <c r="A1085" s="66">
        <v>45491.0</v>
      </c>
      <c r="B1085" s="55" t="str">
        <f>HYPERLINK("https://jobright.ai/jobs/info/66801563000beb33b40a4680?utm_campaign=1062&amp;utm_source=sheet", "Apply")</f>
        <v>Apply</v>
      </c>
      <c r="C1085" s="10" t="s">
        <v>2694</v>
      </c>
      <c r="D1085" s="56" t="s">
        <v>2695</v>
      </c>
      <c r="E1085" s="10" t="s">
        <v>209</v>
      </c>
      <c r="F1085" s="10" t="s">
        <v>1815</v>
      </c>
      <c r="G1085" s="10" t="s">
        <v>2448</v>
      </c>
      <c r="H1085" s="10" t="s">
        <v>313</v>
      </c>
      <c r="I1085" s="10" t="s">
        <v>55</v>
      </c>
      <c r="J1085" s="10" t="s">
        <v>2696</v>
      </c>
      <c r="K1085" s="10" t="s">
        <v>4786</v>
      </c>
      <c r="L1085" s="10" t="s">
        <v>42</v>
      </c>
    </row>
    <row r="1086" ht="15.75" customHeight="1">
      <c r="A1086" s="66">
        <v>45491.0</v>
      </c>
      <c r="B1086" s="55" t="str">
        <f>HYPERLINK("https://jobright.ai/jobs/info/6699ae21fa9b2a4f99a06233?utm_campaign=1062&amp;utm_source=sheet", "Apply")</f>
        <v>Apply</v>
      </c>
      <c r="C1086" s="10" t="s">
        <v>2630</v>
      </c>
      <c r="D1086" s="56" t="s">
        <v>2631</v>
      </c>
      <c r="E1086" s="10" t="s">
        <v>209</v>
      </c>
      <c r="F1086" s="10" t="s">
        <v>2632</v>
      </c>
      <c r="G1086" s="10" t="s">
        <v>2464</v>
      </c>
      <c r="H1086" s="10" t="s">
        <v>4787</v>
      </c>
      <c r="I1086" s="10" t="s">
        <v>55</v>
      </c>
      <c r="K1086" s="10" t="s">
        <v>2633</v>
      </c>
      <c r="L1086" s="10" t="s">
        <v>42</v>
      </c>
    </row>
    <row r="1087" ht="15.75" customHeight="1">
      <c r="A1087" s="66">
        <v>45491.0</v>
      </c>
      <c r="B1087" s="55" t="str">
        <f>HYPERLINK("https://jobright.ai/jobs/info/6699ab5a5a89528d06316553?utm_campaign=1062&amp;utm_source=sheet", "Apply")</f>
        <v>Apply</v>
      </c>
      <c r="C1087" s="10" t="s">
        <v>4276</v>
      </c>
      <c r="D1087" s="56" t="s">
        <v>567</v>
      </c>
      <c r="E1087" s="10" t="s">
        <v>65</v>
      </c>
      <c r="F1087" s="10" t="s">
        <v>568</v>
      </c>
      <c r="G1087" s="10" t="s">
        <v>2448</v>
      </c>
      <c r="H1087" s="10" t="s">
        <v>570</v>
      </c>
      <c r="I1087" s="10" t="s">
        <v>55</v>
      </c>
      <c r="K1087" s="10" t="s">
        <v>3024</v>
      </c>
      <c r="L1087" s="10" t="s">
        <v>42</v>
      </c>
    </row>
    <row r="1088" ht="15.75" customHeight="1">
      <c r="A1088" s="66">
        <v>45491.0</v>
      </c>
      <c r="B1088" s="55" t="str">
        <f>HYPERLINK("https://jobright.ai/jobs/info/6699c685ba0fc51ed3e026a4?utm_campaign=1062&amp;utm_source=sheet", "Apply")</f>
        <v>Apply</v>
      </c>
      <c r="C1088" s="10" t="s">
        <v>4276</v>
      </c>
      <c r="D1088" s="56" t="s">
        <v>567</v>
      </c>
      <c r="E1088" s="10" t="s">
        <v>65</v>
      </c>
      <c r="F1088" s="10" t="s">
        <v>568</v>
      </c>
      <c r="G1088" s="10" t="s">
        <v>2448</v>
      </c>
      <c r="H1088" s="10" t="s">
        <v>609</v>
      </c>
      <c r="I1088" s="10" t="s">
        <v>55</v>
      </c>
      <c r="K1088" s="10" t="s">
        <v>3024</v>
      </c>
      <c r="L1088" s="10" t="s">
        <v>42</v>
      </c>
    </row>
    <row r="1089" ht="15.75" customHeight="1">
      <c r="A1089" s="66">
        <v>45491.0</v>
      </c>
      <c r="B1089" s="55" t="str">
        <f>HYPERLINK("https://jobright.ai/jobs/info/6699a2ea631eb495dff5b89e?utm_campaign=1062&amp;utm_source=sheet", "Apply")</f>
        <v>Apply</v>
      </c>
      <c r="C1089" s="10" t="s">
        <v>4788</v>
      </c>
      <c r="D1089" s="56" t="s">
        <v>3832</v>
      </c>
      <c r="E1089" s="10" t="s">
        <v>65</v>
      </c>
      <c r="F1089" s="10" t="s">
        <v>660</v>
      </c>
      <c r="G1089" s="10" t="s">
        <v>2509</v>
      </c>
      <c r="H1089" s="10" t="s">
        <v>4789</v>
      </c>
      <c r="I1089" s="10" t="s">
        <v>48</v>
      </c>
      <c r="J1089" s="10" t="s">
        <v>4790</v>
      </c>
      <c r="K1089" s="10" t="s">
        <v>4791</v>
      </c>
      <c r="L1089" s="10" t="s">
        <v>42</v>
      </c>
    </row>
    <row r="1090" ht="15.75" customHeight="1">
      <c r="A1090" s="66">
        <v>45491.0</v>
      </c>
      <c r="B1090" s="55" t="str">
        <f>HYPERLINK("https://jobright.ai/jobs/info/6699b77ca88c5ef0817a60f6?utm_campaign=1062&amp;utm_source=sheet", "Apply")</f>
        <v>Apply</v>
      </c>
      <c r="C1090" s="10" t="s">
        <v>4792</v>
      </c>
      <c r="D1090" s="56" t="s">
        <v>4793</v>
      </c>
      <c r="E1090" s="10" t="s">
        <v>276</v>
      </c>
      <c r="G1090" s="10" t="s">
        <v>2464</v>
      </c>
      <c r="H1090" s="10" t="s">
        <v>4794</v>
      </c>
      <c r="I1090" s="10" t="s">
        <v>55</v>
      </c>
      <c r="K1090" s="10" t="s">
        <v>4795</v>
      </c>
      <c r="L1090" s="10" t="s">
        <v>42</v>
      </c>
    </row>
    <row r="1091" ht="15.75" customHeight="1">
      <c r="A1091" s="66">
        <v>45491.0</v>
      </c>
      <c r="B1091" s="55" t="str">
        <f>HYPERLINK("https://jobright.ai/jobs/info/669998f04663dabd47c846d0?utm_campaign=1062&amp;utm_source=sheet", "Apply")</f>
        <v>Apply</v>
      </c>
      <c r="C1091" s="10" t="s">
        <v>4796</v>
      </c>
      <c r="D1091" s="56" t="s">
        <v>2721</v>
      </c>
      <c r="E1091" s="10" t="s">
        <v>45</v>
      </c>
      <c r="F1091" s="10" t="s">
        <v>2722</v>
      </c>
      <c r="G1091" s="10" t="s">
        <v>2448</v>
      </c>
      <c r="H1091" s="10" t="s">
        <v>423</v>
      </c>
      <c r="I1091" s="10" t="s">
        <v>55</v>
      </c>
      <c r="J1091" s="10" t="s">
        <v>4797</v>
      </c>
      <c r="K1091" s="10" t="s">
        <v>4798</v>
      </c>
      <c r="L1091" s="10" t="s">
        <v>42</v>
      </c>
    </row>
    <row r="1092" ht="15.75" customHeight="1">
      <c r="A1092" s="66">
        <v>45491.0</v>
      </c>
      <c r="B1092" s="55" t="str">
        <f>HYPERLINK("https://jobright.ai/jobs/info/6699a65e9a33b14b40b73cf8?utm_campaign=1062&amp;utm_source=sheet", "Apply")</f>
        <v>Apply</v>
      </c>
      <c r="C1092" s="10" t="s">
        <v>2630</v>
      </c>
      <c r="D1092" s="56" t="s">
        <v>2631</v>
      </c>
      <c r="E1092" s="10" t="s">
        <v>209</v>
      </c>
      <c r="F1092" s="10" t="s">
        <v>2632</v>
      </c>
      <c r="G1092" s="10" t="s">
        <v>2464</v>
      </c>
      <c r="H1092" s="10" t="s">
        <v>688</v>
      </c>
      <c r="I1092" s="10" t="s">
        <v>55</v>
      </c>
      <c r="K1092" s="10" t="s">
        <v>2633</v>
      </c>
      <c r="L1092" s="10" t="s">
        <v>42</v>
      </c>
    </row>
    <row r="1093" ht="15.75" customHeight="1">
      <c r="A1093" s="66">
        <v>45491.0</v>
      </c>
      <c r="B1093" s="55" t="str">
        <f>HYPERLINK("https://jobright.ai/jobs/info/6699a65e9a33b14b40b73cf9?utm_campaign=1062&amp;utm_source=sheet", "Apply")</f>
        <v>Apply</v>
      </c>
      <c r="C1093" s="10" t="s">
        <v>2630</v>
      </c>
      <c r="D1093" s="56" t="s">
        <v>2631</v>
      </c>
      <c r="E1093" s="10" t="s">
        <v>209</v>
      </c>
      <c r="F1093" s="10" t="s">
        <v>2632</v>
      </c>
      <c r="G1093" s="10" t="s">
        <v>2464</v>
      </c>
      <c r="H1093" s="10" t="s">
        <v>915</v>
      </c>
      <c r="I1093" s="10" t="s">
        <v>55</v>
      </c>
      <c r="K1093" s="10" t="s">
        <v>2633</v>
      </c>
      <c r="L1093" s="10" t="s">
        <v>42</v>
      </c>
    </row>
    <row r="1094" ht="15.75" customHeight="1">
      <c r="A1094" s="66">
        <v>45491.0</v>
      </c>
      <c r="B1094" s="55" t="str">
        <f>HYPERLINK("https://jobright.ai/jobs/info/6699a65e9a33b14b40b73cfa?utm_campaign=1062&amp;utm_source=sheet", "Apply")</f>
        <v>Apply</v>
      </c>
      <c r="C1094" s="10" t="s">
        <v>2630</v>
      </c>
      <c r="D1094" s="56" t="s">
        <v>2631</v>
      </c>
      <c r="E1094" s="10" t="s">
        <v>209</v>
      </c>
      <c r="F1094" s="10" t="s">
        <v>2632</v>
      </c>
      <c r="G1094" s="10" t="s">
        <v>2464</v>
      </c>
      <c r="H1094" s="10" t="s">
        <v>3374</v>
      </c>
      <c r="I1094" s="10" t="s">
        <v>55</v>
      </c>
      <c r="K1094" s="10" t="s">
        <v>2633</v>
      </c>
      <c r="L1094" s="10" t="s">
        <v>42</v>
      </c>
    </row>
    <row r="1095" ht="15.75" customHeight="1">
      <c r="A1095" s="66">
        <v>45491.0</v>
      </c>
      <c r="B1095" s="55" t="str">
        <f>HYPERLINK("https://jobright.ai/jobs/info/6699a64b9a33b14b40b73b2f?utm_campaign=1062&amp;utm_source=sheet", "Apply")</f>
        <v>Apply</v>
      </c>
      <c r="C1095" s="10" t="s">
        <v>2630</v>
      </c>
      <c r="D1095" s="56" t="s">
        <v>2631</v>
      </c>
      <c r="E1095" s="10" t="s">
        <v>209</v>
      </c>
      <c r="F1095" s="10" t="s">
        <v>2632</v>
      </c>
      <c r="G1095" s="10" t="s">
        <v>2464</v>
      </c>
      <c r="H1095" s="10" t="s">
        <v>4799</v>
      </c>
      <c r="I1095" s="10" t="s">
        <v>55</v>
      </c>
      <c r="K1095" s="10" t="s">
        <v>2633</v>
      </c>
      <c r="L1095" s="10" t="s">
        <v>42</v>
      </c>
    </row>
    <row r="1096" ht="15.75" customHeight="1">
      <c r="A1096" s="66">
        <v>45491.0</v>
      </c>
      <c r="B1096" s="55" t="str">
        <f>HYPERLINK("https://jobright.ai/jobs/info/6699a6409a33b14b40b73ae2?utm_campaign=1062&amp;utm_source=sheet", "Apply")</f>
        <v>Apply</v>
      </c>
      <c r="C1096" s="10" t="s">
        <v>2630</v>
      </c>
      <c r="D1096" s="56" t="s">
        <v>2631</v>
      </c>
      <c r="E1096" s="10" t="s">
        <v>209</v>
      </c>
      <c r="F1096" s="10" t="s">
        <v>2632</v>
      </c>
      <c r="G1096" s="10" t="s">
        <v>2464</v>
      </c>
      <c r="H1096" s="10" t="s">
        <v>4800</v>
      </c>
      <c r="I1096" s="10" t="s">
        <v>55</v>
      </c>
      <c r="K1096" s="10" t="s">
        <v>2633</v>
      </c>
      <c r="L1096" s="10" t="s">
        <v>42</v>
      </c>
    </row>
    <row r="1097" ht="15.75" customHeight="1">
      <c r="A1097" s="66">
        <v>45491.0</v>
      </c>
      <c r="B1097" s="55" t="str">
        <f>HYPERLINK("https://jobright.ai/jobs/info/6699a65e9a33b14b40b73cfc?utm_campaign=1062&amp;utm_source=sheet", "Apply")</f>
        <v>Apply</v>
      </c>
      <c r="C1097" s="10" t="s">
        <v>2630</v>
      </c>
      <c r="D1097" s="56" t="s">
        <v>2631</v>
      </c>
      <c r="E1097" s="10" t="s">
        <v>209</v>
      </c>
      <c r="F1097" s="10" t="s">
        <v>2632</v>
      </c>
      <c r="G1097" s="10" t="s">
        <v>2464</v>
      </c>
      <c r="H1097" s="10" t="s">
        <v>896</v>
      </c>
      <c r="I1097" s="10" t="s">
        <v>55</v>
      </c>
      <c r="K1097" s="10" t="s">
        <v>2633</v>
      </c>
      <c r="L1097" s="10" t="s">
        <v>42</v>
      </c>
    </row>
    <row r="1098" ht="15.75" customHeight="1">
      <c r="A1098" s="66">
        <v>45491.0</v>
      </c>
      <c r="B1098" s="55" t="str">
        <f>HYPERLINK("https://jobright.ai/jobs/info/6699b3cb8e2bbfc90c31e87c?utm_campaign=1062&amp;utm_source=sheet", "Apply")</f>
        <v>Apply</v>
      </c>
      <c r="C1098" s="10" t="s">
        <v>2630</v>
      </c>
      <c r="D1098" s="56" t="s">
        <v>2631</v>
      </c>
      <c r="E1098" s="10" t="s">
        <v>209</v>
      </c>
      <c r="F1098" s="10" t="s">
        <v>2632</v>
      </c>
      <c r="G1098" s="10" t="s">
        <v>2464</v>
      </c>
      <c r="H1098" s="10" t="s">
        <v>1978</v>
      </c>
      <c r="I1098" s="10" t="s">
        <v>55</v>
      </c>
      <c r="K1098" s="10" t="s">
        <v>2633</v>
      </c>
      <c r="L1098" s="10" t="s">
        <v>42</v>
      </c>
    </row>
    <row r="1099" ht="15.75" customHeight="1">
      <c r="A1099" s="66">
        <v>45491.0</v>
      </c>
      <c r="B1099" s="55" t="str">
        <f>HYPERLINK("https://jobright.ai/jobs/info/669a683da5800347fe627eb7?utm_campaign=1062&amp;utm_source=sheet", "Apply")</f>
        <v>Apply</v>
      </c>
      <c r="C1099" s="10" t="s">
        <v>4801</v>
      </c>
      <c r="D1099" s="56" t="s">
        <v>4802</v>
      </c>
      <c r="E1099" s="10" t="s">
        <v>249</v>
      </c>
      <c r="F1099" s="10" t="s">
        <v>2470</v>
      </c>
      <c r="G1099" s="10" t="s">
        <v>2484</v>
      </c>
      <c r="H1099" s="10" t="s">
        <v>3532</v>
      </c>
      <c r="I1099" s="10" t="s">
        <v>55</v>
      </c>
      <c r="K1099" s="10" t="s">
        <v>4803</v>
      </c>
      <c r="L1099" s="10" t="s">
        <v>42</v>
      </c>
    </row>
    <row r="1100" ht="15.75" customHeight="1">
      <c r="A1100" s="66">
        <v>45491.0</v>
      </c>
      <c r="B1100" s="55" t="str">
        <f>HYPERLINK("https://jobright.ai/jobs/info/6699a2fb631eb495dff5ba62?utm_campaign=1062&amp;utm_source=sheet", "Apply")</f>
        <v>Apply</v>
      </c>
      <c r="C1100" s="10" t="s">
        <v>4276</v>
      </c>
      <c r="D1100" s="56" t="s">
        <v>567</v>
      </c>
      <c r="E1100" s="10" t="s">
        <v>65</v>
      </c>
      <c r="F1100" s="10" t="s">
        <v>568</v>
      </c>
      <c r="G1100" s="10" t="s">
        <v>2448</v>
      </c>
      <c r="H1100" s="10" t="s">
        <v>606</v>
      </c>
      <c r="I1100" s="10" t="s">
        <v>55</v>
      </c>
      <c r="K1100" s="10" t="s">
        <v>3024</v>
      </c>
      <c r="L1100" s="10" t="s">
        <v>42</v>
      </c>
    </row>
    <row r="1101" ht="15.75" customHeight="1">
      <c r="A1101" s="66">
        <v>45491.0</v>
      </c>
      <c r="B1101" s="55" t="str">
        <f>HYPERLINK("https://jobright.ai/jobs/info/6699a2fb631eb495dff5ba61?utm_campaign=1062&amp;utm_source=sheet", "Apply")</f>
        <v>Apply</v>
      </c>
      <c r="C1101" s="10" t="s">
        <v>4276</v>
      </c>
      <c r="D1101" s="56" t="s">
        <v>567</v>
      </c>
      <c r="E1101" s="10" t="s">
        <v>65</v>
      </c>
      <c r="F1101" s="10" t="s">
        <v>568</v>
      </c>
      <c r="G1101" s="10" t="s">
        <v>2448</v>
      </c>
      <c r="H1101" s="10" t="s">
        <v>571</v>
      </c>
      <c r="I1101" s="10" t="s">
        <v>55</v>
      </c>
      <c r="K1101" s="10" t="s">
        <v>3024</v>
      </c>
      <c r="L1101" s="10" t="s">
        <v>42</v>
      </c>
    </row>
    <row r="1102" ht="15.75" customHeight="1">
      <c r="A1102" s="66">
        <v>45491.0</v>
      </c>
      <c r="B1102" s="55" t="str">
        <f>HYPERLINK("https://jobright.ai/jobs/info/6699bc04e8a08dd85247ae10?utm_campaign=1062&amp;utm_source=sheet", "Apply")</f>
        <v>Apply</v>
      </c>
      <c r="C1102" s="10" t="s">
        <v>2630</v>
      </c>
      <c r="D1102" s="56" t="s">
        <v>2631</v>
      </c>
      <c r="E1102" s="10" t="s">
        <v>209</v>
      </c>
      <c r="F1102" s="10" t="s">
        <v>2632</v>
      </c>
      <c r="G1102" s="10" t="s">
        <v>2464</v>
      </c>
      <c r="H1102" s="10" t="s">
        <v>4804</v>
      </c>
      <c r="I1102" s="10" t="s">
        <v>55</v>
      </c>
      <c r="K1102" s="10" t="s">
        <v>2633</v>
      </c>
      <c r="L1102" s="10" t="s">
        <v>42</v>
      </c>
    </row>
    <row r="1103" ht="15.75" customHeight="1">
      <c r="A1103" s="66">
        <v>45491.0</v>
      </c>
      <c r="B1103" s="55" t="str">
        <f>HYPERLINK("https://jobright.ai/jobs/info/66999fefa6cffa96210cde3d?utm_campaign=1062&amp;utm_source=sheet", "Apply")</f>
        <v>Apply</v>
      </c>
      <c r="C1103" s="10" t="s">
        <v>3046</v>
      </c>
      <c r="D1103" s="56" t="s">
        <v>2631</v>
      </c>
      <c r="E1103" s="10" t="s">
        <v>209</v>
      </c>
      <c r="F1103" s="10" t="s">
        <v>2632</v>
      </c>
      <c r="G1103" s="10" t="s">
        <v>2437</v>
      </c>
      <c r="H1103" s="10" t="s">
        <v>146</v>
      </c>
      <c r="I1103" s="10" t="s">
        <v>55</v>
      </c>
      <c r="K1103" s="10" t="s">
        <v>3048</v>
      </c>
      <c r="L1103" s="10" t="s">
        <v>42</v>
      </c>
    </row>
    <row r="1104" ht="15.75" customHeight="1">
      <c r="A1104" s="66">
        <v>45491.0</v>
      </c>
      <c r="B1104" s="55" t="str">
        <f>HYPERLINK("https://jobright.ai/jobs/info/6699a009a6cffa96210ce0b6?utm_campaign=1062&amp;utm_source=sheet", "Apply")</f>
        <v>Apply</v>
      </c>
      <c r="C1104" s="10" t="s">
        <v>2630</v>
      </c>
      <c r="D1104" s="56" t="s">
        <v>2631</v>
      </c>
      <c r="E1104" s="10" t="s">
        <v>209</v>
      </c>
      <c r="F1104" s="10" t="s">
        <v>2632</v>
      </c>
      <c r="G1104" s="10" t="s">
        <v>2464</v>
      </c>
      <c r="H1104" s="10" t="s">
        <v>3006</v>
      </c>
      <c r="I1104" s="10" t="s">
        <v>55</v>
      </c>
      <c r="K1104" s="10" t="s">
        <v>2633</v>
      </c>
      <c r="L1104" s="10" t="s">
        <v>42</v>
      </c>
    </row>
    <row r="1105" ht="15.75" customHeight="1">
      <c r="A1105" s="66">
        <v>45491.0</v>
      </c>
      <c r="B1105" s="55" t="str">
        <f>HYPERLINK("https://jobright.ai/jobs/info/66999fefa6cffa96210cde6d?utm_campaign=1062&amp;utm_source=sheet", "Apply")</f>
        <v>Apply</v>
      </c>
      <c r="C1105" s="10" t="s">
        <v>4805</v>
      </c>
      <c r="D1105" s="56" t="s">
        <v>4806</v>
      </c>
      <c r="E1105" s="10" t="s">
        <v>79</v>
      </c>
      <c r="F1105" s="10" t="s">
        <v>1790</v>
      </c>
      <c r="G1105" s="10" t="s">
        <v>2464</v>
      </c>
      <c r="H1105" s="10" t="s">
        <v>106</v>
      </c>
      <c r="I1105" s="10" t="s">
        <v>48</v>
      </c>
      <c r="K1105" s="10" t="s">
        <v>4807</v>
      </c>
      <c r="L1105" s="10" t="s">
        <v>42</v>
      </c>
    </row>
    <row r="1106" ht="15.75" customHeight="1">
      <c r="A1106" s="66">
        <v>45491.0</v>
      </c>
      <c r="B1106" s="55" t="str">
        <f>HYPERLINK("https://jobright.ai/jobs/info/669999164663dabd47c84a7d?utm_campaign=1062&amp;utm_source=sheet", "Apply")</f>
        <v>Apply</v>
      </c>
      <c r="C1106" s="10" t="s">
        <v>2630</v>
      </c>
      <c r="D1106" s="56" t="s">
        <v>2631</v>
      </c>
      <c r="E1106" s="10" t="s">
        <v>209</v>
      </c>
      <c r="F1106" s="10" t="s">
        <v>2632</v>
      </c>
      <c r="G1106" s="10" t="s">
        <v>2464</v>
      </c>
      <c r="H1106" s="10" t="s">
        <v>994</v>
      </c>
      <c r="I1106" s="10" t="s">
        <v>55</v>
      </c>
      <c r="K1106" s="10" t="s">
        <v>2633</v>
      </c>
      <c r="L1106" s="10" t="s">
        <v>42</v>
      </c>
    </row>
    <row r="1107" ht="15.75" customHeight="1">
      <c r="A1107" s="66">
        <v>45491.0</v>
      </c>
      <c r="B1107" s="55" t="str">
        <f>HYPERLINK("https://jobright.ai/jobs/info/669998fa4663dabd47c847b7?utm_campaign=1062&amp;utm_source=sheet", "Apply")</f>
        <v>Apply</v>
      </c>
      <c r="C1107" s="10" t="s">
        <v>2630</v>
      </c>
      <c r="D1107" s="56" t="s">
        <v>2631</v>
      </c>
      <c r="E1107" s="10" t="s">
        <v>209</v>
      </c>
      <c r="F1107" s="10" t="s">
        <v>2632</v>
      </c>
      <c r="G1107" s="10" t="s">
        <v>2464</v>
      </c>
      <c r="H1107" s="10" t="s">
        <v>168</v>
      </c>
      <c r="I1107" s="10" t="s">
        <v>55</v>
      </c>
      <c r="K1107" s="10" t="s">
        <v>2633</v>
      </c>
      <c r="L1107" s="10" t="s">
        <v>42</v>
      </c>
    </row>
    <row r="1108" ht="15.75" customHeight="1">
      <c r="A1108" s="66">
        <v>45491.0</v>
      </c>
      <c r="B1108" s="55" t="str">
        <f>HYPERLINK("https://jobright.ai/jobs/info/669998fa4663dabd47c847bd?utm_campaign=1062&amp;utm_source=sheet", "Apply")</f>
        <v>Apply</v>
      </c>
      <c r="C1108" s="10" t="s">
        <v>2630</v>
      </c>
      <c r="D1108" s="56" t="s">
        <v>2631</v>
      </c>
      <c r="E1108" s="10" t="s">
        <v>209</v>
      </c>
      <c r="F1108" s="10" t="s">
        <v>2632</v>
      </c>
      <c r="G1108" s="10" t="s">
        <v>2464</v>
      </c>
      <c r="H1108" s="10" t="s">
        <v>4808</v>
      </c>
      <c r="I1108" s="10" t="s">
        <v>55</v>
      </c>
      <c r="K1108" s="10" t="s">
        <v>2633</v>
      </c>
      <c r="L1108" s="10" t="s">
        <v>42</v>
      </c>
    </row>
    <row r="1109" ht="15.75" customHeight="1">
      <c r="A1109" s="66">
        <v>45491.0</v>
      </c>
      <c r="B1109" s="55" t="str">
        <f>HYPERLINK("https://jobright.ai/jobs/info/669998fa4663dabd47c847c8?utm_campaign=1062&amp;utm_source=sheet", "Apply")</f>
        <v>Apply</v>
      </c>
      <c r="C1109" s="10" t="s">
        <v>2630</v>
      </c>
      <c r="D1109" s="56" t="s">
        <v>2631</v>
      </c>
      <c r="E1109" s="10" t="s">
        <v>209</v>
      </c>
      <c r="F1109" s="10" t="s">
        <v>2632</v>
      </c>
      <c r="G1109" s="10" t="s">
        <v>2464</v>
      </c>
      <c r="H1109" s="10" t="s">
        <v>763</v>
      </c>
      <c r="I1109" s="10" t="s">
        <v>55</v>
      </c>
      <c r="K1109" s="10" t="s">
        <v>2633</v>
      </c>
      <c r="L1109" s="10" t="s">
        <v>42</v>
      </c>
    </row>
    <row r="1110" ht="15.75" customHeight="1">
      <c r="A1110" s="66">
        <v>45491.0</v>
      </c>
      <c r="B1110" s="55" t="str">
        <f>HYPERLINK("https://jobright.ai/jobs/info/669999164663dabd47c84a7e?utm_campaign=1062&amp;utm_source=sheet", "Apply")</f>
        <v>Apply</v>
      </c>
      <c r="C1110" s="10" t="s">
        <v>2630</v>
      </c>
      <c r="D1110" s="56" t="s">
        <v>2631</v>
      </c>
      <c r="E1110" s="10" t="s">
        <v>209</v>
      </c>
      <c r="F1110" s="10" t="s">
        <v>2632</v>
      </c>
      <c r="G1110" s="10" t="s">
        <v>2464</v>
      </c>
      <c r="H1110" s="10" t="s">
        <v>146</v>
      </c>
      <c r="I1110" s="10" t="s">
        <v>55</v>
      </c>
      <c r="K1110" s="10" t="s">
        <v>2633</v>
      </c>
      <c r="L1110" s="10" t="s">
        <v>42</v>
      </c>
    </row>
    <row r="1111" ht="15.75" customHeight="1">
      <c r="A1111" s="66">
        <v>45491.0</v>
      </c>
      <c r="B1111" s="55" t="str">
        <f>HYPERLINK("https://jobright.ai/jobs/info/669998fa4663dabd47c847ea?utm_campaign=1062&amp;utm_source=sheet", "Apply")</f>
        <v>Apply</v>
      </c>
      <c r="C1111" s="10" t="s">
        <v>2630</v>
      </c>
      <c r="D1111" s="56" t="s">
        <v>2631</v>
      </c>
      <c r="E1111" s="10" t="s">
        <v>209</v>
      </c>
      <c r="F1111" s="10" t="s">
        <v>2632</v>
      </c>
      <c r="G1111" s="10" t="s">
        <v>2464</v>
      </c>
      <c r="H1111" s="10" t="s">
        <v>1025</v>
      </c>
      <c r="I1111" s="10" t="s">
        <v>55</v>
      </c>
      <c r="K1111" s="10" t="s">
        <v>2633</v>
      </c>
      <c r="L1111" s="10" t="s">
        <v>42</v>
      </c>
    </row>
    <row r="1112" ht="15.75" customHeight="1">
      <c r="A1112" s="66">
        <v>45491.0</v>
      </c>
      <c r="B1112" s="55" t="str">
        <f>HYPERLINK("https://jobright.ai/jobs/info/669998fa4663dabd47c847f8?utm_campaign=1062&amp;utm_source=sheet", "Apply")</f>
        <v>Apply</v>
      </c>
      <c r="C1112" s="10" t="s">
        <v>2630</v>
      </c>
      <c r="D1112" s="56" t="s">
        <v>2631</v>
      </c>
      <c r="E1112" s="10" t="s">
        <v>209</v>
      </c>
      <c r="F1112" s="10" t="s">
        <v>2632</v>
      </c>
      <c r="G1112" s="10" t="s">
        <v>2464</v>
      </c>
      <c r="H1112" s="10" t="s">
        <v>1709</v>
      </c>
      <c r="I1112" s="10" t="s">
        <v>55</v>
      </c>
      <c r="K1112" s="10" t="s">
        <v>2633</v>
      </c>
      <c r="L1112" s="10" t="s">
        <v>42</v>
      </c>
    </row>
    <row r="1113" ht="15.75" customHeight="1">
      <c r="A1113" s="66">
        <v>45491.0</v>
      </c>
      <c r="B1113" s="55" t="str">
        <f>HYPERLINK("https://jobright.ai/jobs/info/669998fa4663dabd47c847c0?utm_campaign=1062&amp;utm_source=sheet", "Apply")</f>
        <v>Apply</v>
      </c>
      <c r="C1113" s="10" t="s">
        <v>2630</v>
      </c>
      <c r="D1113" s="56" t="s">
        <v>2631</v>
      </c>
      <c r="E1113" s="10" t="s">
        <v>209</v>
      </c>
      <c r="F1113" s="10" t="s">
        <v>2632</v>
      </c>
      <c r="G1113" s="10" t="s">
        <v>2464</v>
      </c>
      <c r="H1113" s="10" t="s">
        <v>299</v>
      </c>
      <c r="I1113" s="10" t="s">
        <v>55</v>
      </c>
      <c r="K1113" s="10" t="s">
        <v>2633</v>
      </c>
      <c r="L1113" s="10" t="s">
        <v>42</v>
      </c>
    </row>
    <row r="1114" ht="15.75" customHeight="1">
      <c r="A1114" s="66">
        <v>45491.0</v>
      </c>
      <c r="B1114" s="55" t="str">
        <f>HYPERLINK("https://jobright.ai/jobs/info/669999164663dabd47c84a7f?utm_campaign=1062&amp;utm_source=sheet", "Apply")</f>
        <v>Apply</v>
      </c>
      <c r="C1114" s="10" t="s">
        <v>2630</v>
      </c>
      <c r="D1114" s="56" t="s">
        <v>2631</v>
      </c>
      <c r="E1114" s="10" t="s">
        <v>209</v>
      </c>
      <c r="F1114" s="10" t="s">
        <v>2632</v>
      </c>
      <c r="G1114" s="10" t="s">
        <v>2464</v>
      </c>
      <c r="H1114" s="10" t="s">
        <v>3387</v>
      </c>
      <c r="I1114" s="10" t="s">
        <v>55</v>
      </c>
      <c r="K1114" s="10" t="s">
        <v>2633</v>
      </c>
      <c r="L1114" s="10" t="s">
        <v>42</v>
      </c>
    </row>
    <row r="1115" ht="15.75" customHeight="1">
      <c r="A1115" s="66">
        <v>45491.0</v>
      </c>
      <c r="B1115" s="55" t="str">
        <f>HYPERLINK("https://jobright.ai/jobs/info/669998fa4663dabd47c84821?utm_campaign=1062&amp;utm_source=sheet", "Apply")</f>
        <v>Apply</v>
      </c>
      <c r="C1115" s="10" t="s">
        <v>2630</v>
      </c>
      <c r="D1115" s="56" t="s">
        <v>2631</v>
      </c>
      <c r="E1115" s="10" t="s">
        <v>209</v>
      </c>
      <c r="F1115" s="10" t="s">
        <v>2632</v>
      </c>
      <c r="G1115" s="10" t="s">
        <v>2464</v>
      </c>
      <c r="H1115" s="10" t="s">
        <v>154</v>
      </c>
      <c r="I1115" s="10" t="s">
        <v>55</v>
      </c>
      <c r="K1115" s="10" t="s">
        <v>2633</v>
      </c>
      <c r="L1115" s="10" t="s">
        <v>42</v>
      </c>
    </row>
    <row r="1116" ht="15.75" customHeight="1">
      <c r="A1116" s="66">
        <v>45491.0</v>
      </c>
      <c r="B1116" s="55" t="str">
        <f>HYPERLINK("https://jobright.ai/jobs/info/669999034663dabd47c848e3?utm_campaign=1062&amp;utm_source=sheet", "Apply")</f>
        <v>Apply</v>
      </c>
      <c r="C1116" s="10" t="s">
        <v>2630</v>
      </c>
      <c r="D1116" s="56" t="s">
        <v>2631</v>
      </c>
      <c r="E1116" s="10" t="s">
        <v>209</v>
      </c>
      <c r="F1116" s="10" t="s">
        <v>2632</v>
      </c>
      <c r="G1116" s="10" t="s">
        <v>2464</v>
      </c>
      <c r="H1116" s="10" t="s">
        <v>188</v>
      </c>
      <c r="I1116" s="10" t="s">
        <v>55</v>
      </c>
      <c r="K1116" s="10" t="s">
        <v>2633</v>
      </c>
      <c r="L1116" s="10" t="s">
        <v>42</v>
      </c>
    </row>
    <row r="1117" ht="15.75" customHeight="1">
      <c r="A1117" s="66">
        <v>45491.0</v>
      </c>
      <c r="B1117" s="55" t="str">
        <f>HYPERLINK("https://jobright.ai/jobs/info/6699b94c2b6a14e6c47927a8?utm_campaign=1062&amp;utm_source=sheet", "Apply")</f>
        <v>Apply</v>
      </c>
      <c r="C1117" s="10" t="s">
        <v>4276</v>
      </c>
      <c r="D1117" s="56" t="s">
        <v>567</v>
      </c>
      <c r="E1117" s="10" t="s">
        <v>65</v>
      </c>
      <c r="F1117" s="10" t="s">
        <v>568</v>
      </c>
      <c r="G1117" s="10" t="s">
        <v>2448</v>
      </c>
      <c r="H1117" s="10" t="s">
        <v>605</v>
      </c>
      <c r="I1117" s="10" t="s">
        <v>55</v>
      </c>
      <c r="K1117" s="10" t="s">
        <v>3024</v>
      </c>
      <c r="L1117" s="10" t="s">
        <v>42</v>
      </c>
    </row>
    <row r="1118" ht="15.75" customHeight="1">
      <c r="A1118" s="66">
        <v>45491.0</v>
      </c>
      <c r="B1118" s="55" t="str">
        <f>HYPERLINK("https://jobright.ai/jobs/info/669997a42ffed9764616e52a?utm_campaign=1062&amp;utm_source=sheet", "Apply")</f>
        <v>Apply</v>
      </c>
      <c r="C1118" s="10" t="s">
        <v>4276</v>
      </c>
      <c r="D1118" s="56" t="s">
        <v>567</v>
      </c>
      <c r="E1118" s="10" t="s">
        <v>65</v>
      </c>
      <c r="F1118" s="10" t="s">
        <v>568</v>
      </c>
      <c r="G1118" s="10" t="s">
        <v>2448</v>
      </c>
      <c r="H1118" s="10" t="s">
        <v>574</v>
      </c>
      <c r="I1118" s="10" t="s">
        <v>55</v>
      </c>
      <c r="K1118" s="10" t="s">
        <v>3024</v>
      </c>
      <c r="L1118" s="10" t="s">
        <v>42</v>
      </c>
    </row>
    <row r="1119" ht="15.75" customHeight="1">
      <c r="A1119" s="66">
        <v>45491.0</v>
      </c>
      <c r="B1119" s="55" t="str">
        <f>HYPERLINK("https://jobright.ai/jobs/info/669992efeaece15dc98ab869?utm_campaign=1062&amp;utm_source=sheet", "Apply")</f>
        <v>Apply</v>
      </c>
      <c r="C1119" s="10" t="s">
        <v>4276</v>
      </c>
      <c r="D1119" s="56" t="s">
        <v>567</v>
      </c>
      <c r="E1119" s="10" t="s">
        <v>65</v>
      </c>
      <c r="F1119" s="10" t="s">
        <v>568</v>
      </c>
      <c r="G1119" s="10" t="s">
        <v>2448</v>
      </c>
      <c r="H1119" s="10" t="s">
        <v>607</v>
      </c>
      <c r="I1119" s="10" t="s">
        <v>55</v>
      </c>
      <c r="K1119" s="10" t="s">
        <v>3024</v>
      </c>
      <c r="L1119" s="10" t="s">
        <v>42</v>
      </c>
    </row>
    <row r="1120" ht="15.75" customHeight="1">
      <c r="A1120" s="66">
        <v>45491.0</v>
      </c>
      <c r="B1120" s="55" t="str">
        <f>HYPERLINK("https://jobright.ai/jobs/info/669997a42ffed9764616e52c?utm_campaign=1062&amp;utm_source=sheet", "Apply")</f>
        <v>Apply</v>
      </c>
      <c r="C1120" s="10" t="s">
        <v>4276</v>
      </c>
      <c r="D1120" s="56" t="s">
        <v>567</v>
      </c>
      <c r="E1120" s="10" t="s">
        <v>65</v>
      </c>
      <c r="F1120" s="10" t="s">
        <v>568</v>
      </c>
      <c r="G1120" s="10" t="s">
        <v>2448</v>
      </c>
      <c r="H1120" s="10" t="s">
        <v>1033</v>
      </c>
      <c r="I1120" s="10" t="s">
        <v>55</v>
      </c>
      <c r="K1120" s="10" t="s">
        <v>3024</v>
      </c>
      <c r="L1120" s="10" t="s">
        <v>42</v>
      </c>
    </row>
    <row r="1121" ht="15.75" customHeight="1">
      <c r="A1121" s="66">
        <v>45491.0</v>
      </c>
      <c r="B1121" s="55" t="str">
        <f>HYPERLINK("https://jobright.ai/jobs/info/66999cd5830db724f81aae4f?utm_campaign=1062&amp;utm_source=sheet", "Apply")</f>
        <v>Apply</v>
      </c>
      <c r="C1121" s="10" t="s">
        <v>4276</v>
      </c>
      <c r="D1121" s="56" t="s">
        <v>567</v>
      </c>
      <c r="E1121" s="10" t="s">
        <v>65</v>
      </c>
      <c r="F1121" s="10" t="s">
        <v>568</v>
      </c>
      <c r="G1121" s="10" t="s">
        <v>2448</v>
      </c>
      <c r="H1121" s="10" t="s">
        <v>1048</v>
      </c>
      <c r="I1121" s="10" t="s">
        <v>55</v>
      </c>
      <c r="K1121" s="10" t="s">
        <v>3024</v>
      </c>
      <c r="L1121" s="10" t="s">
        <v>42</v>
      </c>
    </row>
    <row r="1122" ht="15.75" customHeight="1">
      <c r="A1122" s="66">
        <v>45491.0</v>
      </c>
      <c r="B1122" s="55" t="str">
        <f>HYPERLINK("https://jobright.ai/jobs/info/669997a42ffed9764616e52e?utm_campaign=1062&amp;utm_source=sheet", "Apply")</f>
        <v>Apply</v>
      </c>
      <c r="C1122" s="10" t="s">
        <v>4276</v>
      </c>
      <c r="D1122" s="56" t="s">
        <v>567</v>
      </c>
      <c r="E1122" s="10" t="s">
        <v>65</v>
      </c>
      <c r="F1122" s="10" t="s">
        <v>568</v>
      </c>
      <c r="G1122" s="10" t="s">
        <v>2448</v>
      </c>
      <c r="H1122" s="10" t="s">
        <v>608</v>
      </c>
      <c r="I1122" s="10" t="s">
        <v>55</v>
      </c>
      <c r="K1122" s="10" t="s">
        <v>3024</v>
      </c>
      <c r="L1122" s="10" t="s">
        <v>42</v>
      </c>
    </row>
    <row r="1123" ht="15.75" customHeight="1">
      <c r="A1123" s="66">
        <v>45491.0</v>
      </c>
      <c r="B1123" s="55" t="str">
        <f>HYPERLINK("https://jobright.ai/jobs/info/669997ae2ffed9764616e530?utm_campaign=1062&amp;utm_source=sheet", "Apply")</f>
        <v>Apply</v>
      </c>
      <c r="C1123" s="10" t="s">
        <v>4276</v>
      </c>
      <c r="D1123" s="56" t="s">
        <v>567</v>
      </c>
      <c r="E1123" s="10" t="s">
        <v>65</v>
      </c>
      <c r="F1123" s="10" t="s">
        <v>568</v>
      </c>
      <c r="G1123" s="10" t="s">
        <v>2448</v>
      </c>
      <c r="H1123" s="10" t="s">
        <v>602</v>
      </c>
      <c r="I1123" s="10" t="s">
        <v>55</v>
      </c>
      <c r="K1123" s="10" t="s">
        <v>3024</v>
      </c>
      <c r="L1123" s="10" t="s">
        <v>42</v>
      </c>
    </row>
    <row r="1124" ht="15.75" customHeight="1">
      <c r="A1124" s="66">
        <v>45491.0</v>
      </c>
      <c r="B1124" s="55" t="str">
        <f>HYPERLINK("https://jobright.ai/jobs/info/669997ae2ffed9764616e532?utm_campaign=1062&amp;utm_source=sheet", "Apply")</f>
        <v>Apply</v>
      </c>
      <c r="C1124" s="10" t="s">
        <v>4276</v>
      </c>
      <c r="D1124" s="56" t="s">
        <v>567</v>
      </c>
      <c r="E1124" s="10" t="s">
        <v>65</v>
      </c>
      <c r="F1124" s="10" t="s">
        <v>568</v>
      </c>
      <c r="G1124" s="10" t="s">
        <v>2448</v>
      </c>
      <c r="H1124" s="10" t="s">
        <v>610</v>
      </c>
      <c r="I1124" s="10" t="s">
        <v>55</v>
      </c>
      <c r="K1124" s="10" t="s">
        <v>3024</v>
      </c>
      <c r="L1124" s="10" t="s">
        <v>42</v>
      </c>
    </row>
    <row r="1125" ht="15.75" customHeight="1">
      <c r="A1125" s="66">
        <v>45491.0</v>
      </c>
      <c r="B1125" s="55" t="str">
        <f>HYPERLINK("https://jobright.ai/jobs/info/669997ae2ffed9764616e52f?utm_campaign=1062&amp;utm_source=sheet", "Apply")</f>
        <v>Apply</v>
      </c>
      <c r="C1125" s="10" t="s">
        <v>4276</v>
      </c>
      <c r="D1125" s="56" t="s">
        <v>567</v>
      </c>
      <c r="E1125" s="10" t="s">
        <v>65</v>
      </c>
      <c r="F1125" s="10" t="s">
        <v>568</v>
      </c>
      <c r="G1125" s="10" t="s">
        <v>2448</v>
      </c>
      <c r="H1125" s="10" t="s">
        <v>139</v>
      </c>
      <c r="I1125" s="10" t="s">
        <v>55</v>
      </c>
      <c r="K1125" s="10" t="s">
        <v>3024</v>
      </c>
      <c r="L1125" s="10" t="s">
        <v>42</v>
      </c>
    </row>
    <row r="1126" ht="15.75" customHeight="1">
      <c r="A1126" s="66">
        <v>45491.0</v>
      </c>
      <c r="B1126" s="55" t="str">
        <f>HYPERLINK("https://jobright.ai/jobs/info/669997ae2ffed9764616e531?utm_campaign=1062&amp;utm_source=sheet", "Apply")</f>
        <v>Apply</v>
      </c>
      <c r="C1126" s="10" t="s">
        <v>4276</v>
      </c>
      <c r="D1126" s="56" t="s">
        <v>567</v>
      </c>
      <c r="E1126" s="10" t="s">
        <v>65</v>
      </c>
      <c r="F1126" s="10" t="s">
        <v>568</v>
      </c>
      <c r="G1126" s="10" t="s">
        <v>2448</v>
      </c>
      <c r="H1126" s="10" t="s">
        <v>411</v>
      </c>
      <c r="I1126" s="10" t="s">
        <v>55</v>
      </c>
      <c r="K1126" s="10" t="s">
        <v>3024</v>
      </c>
      <c r="L1126" s="10" t="s">
        <v>42</v>
      </c>
    </row>
    <row r="1127" ht="15.75" customHeight="1">
      <c r="A1127" s="66">
        <v>45491.0</v>
      </c>
      <c r="B1127" s="55" t="str">
        <f>HYPERLINK("https://jobright.ai/jobs/info/669997ae2ffed9764616e534?utm_campaign=1062&amp;utm_source=sheet", "Apply")</f>
        <v>Apply</v>
      </c>
      <c r="C1127" s="10" t="s">
        <v>4276</v>
      </c>
      <c r="D1127" s="56" t="s">
        <v>567</v>
      </c>
      <c r="E1127" s="10" t="s">
        <v>65</v>
      </c>
      <c r="F1127" s="10" t="s">
        <v>568</v>
      </c>
      <c r="G1127" s="10" t="s">
        <v>2448</v>
      </c>
      <c r="H1127" s="10" t="s">
        <v>573</v>
      </c>
      <c r="I1127" s="10" t="s">
        <v>55</v>
      </c>
      <c r="K1127" s="10" t="s">
        <v>3024</v>
      </c>
      <c r="L1127" s="10" t="s">
        <v>42</v>
      </c>
    </row>
    <row r="1128" ht="15.75" customHeight="1">
      <c r="A1128" s="66">
        <v>45491.0</v>
      </c>
      <c r="B1128" s="55" t="str">
        <f>HYPERLINK("https://jobright.ai/jobs/info/669997ae2ffed9764616e533?utm_campaign=1062&amp;utm_source=sheet", "Apply")</f>
        <v>Apply</v>
      </c>
      <c r="C1128" s="10" t="s">
        <v>4276</v>
      </c>
      <c r="D1128" s="56" t="s">
        <v>567</v>
      </c>
      <c r="E1128" s="10" t="s">
        <v>65</v>
      </c>
      <c r="F1128" s="10" t="s">
        <v>568</v>
      </c>
      <c r="G1128" s="10" t="s">
        <v>2448</v>
      </c>
      <c r="H1128" s="10" t="s">
        <v>603</v>
      </c>
      <c r="I1128" s="10" t="s">
        <v>55</v>
      </c>
      <c r="K1128" s="10" t="s">
        <v>3024</v>
      </c>
      <c r="L1128" s="10" t="s">
        <v>42</v>
      </c>
    </row>
    <row r="1129" ht="15.75" customHeight="1">
      <c r="A1129" s="66">
        <v>45491.0</v>
      </c>
      <c r="B1129" s="55" t="str">
        <f>HYPERLINK("https://jobright.ai/jobs/info/669a1465ec2dbbbda470821a?utm_campaign=1062&amp;utm_source=sheet", "Apply")</f>
        <v>Apply</v>
      </c>
      <c r="C1129" s="10" t="s">
        <v>4809</v>
      </c>
      <c r="D1129" s="56" t="s">
        <v>4526</v>
      </c>
      <c r="E1129" s="10" t="s">
        <v>209</v>
      </c>
      <c r="F1129" s="10" t="s">
        <v>3124</v>
      </c>
      <c r="G1129" s="10" t="s">
        <v>2443</v>
      </c>
      <c r="H1129" s="10" t="s">
        <v>113</v>
      </c>
      <c r="I1129" s="10" t="s">
        <v>48</v>
      </c>
      <c r="K1129" s="10" t="s">
        <v>4810</v>
      </c>
      <c r="L1129" s="10" t="s">
        <v>42</v>
      </c>
    </row>
    <row r="1130" ht="15.75" customHeight="1">
      <c r="A1130" s="66">
        <v>45491.0</v>
      </c>
      <c r="B1130" s="55" t="str">
        <f>HYPERLINK("https://jobright.ai/jobs/info/6699b3cb8e2bbfc90c31e886?utm_campaign=1062&amp;utm_source=sheet", "Apply")</f>
        <v>Apply</v>
      </c>
      <c r="C1130" s="10" t="s">
        <v>4811</v>
      </c>
      <c r="D1130" s="56" t="s">
        <v>4812</v>
      </c>
      <c r="E1130" s="10" t="s">
        <v>65</v>
      </c>
      <c r="F1130" s="10" t="s">
        <v>239</v>
      </c>
      <c r="G1130" s="10" t="s">
        <v>2464</v>
      </c>
      <c r="H1130" s="10" t="s">
        <v>4813</v>
      </c>
      <c r="I1130" s="10" t="s">
        <v>55</v>
      </c>
      <c r="J1130" s="10" t="s">
        <v>2742</v>
      </c>
      <c r="K1130" s="10" t="s">
        <v>4814</v>
      </c>
      <c r="L1130" s="10" t="s">
        <v>42</v>
      </c>
    </row>
    <row r="1131" ht="15.75" customHeight="1">
      <c r="A1131" s="66">
        <v>45491.0</v>
      </c>
      <c r="B1131" s="55" t="str">
        <f>HYPERLINK("https://jobright.ai/jobs/info/6699b3cb8e2bbfc90c31e887?utm_campaign=1062&amp;utm_source=sheet", "Apply")</f>
        <v>Apply</v>
      </c>
      <c r="C1131" s="10" t="s">
        <v>4815</v>
      </c>
      <c r="D1131" s="56" t="s">
        <v>4812</v>
      </c>
      <c r="E1131" s="10" t="s">
        <v>65</v>
      </c>
      <c r="F1131" s="10" t="s">
        <v>239</v>
      </c>
      <c r="G1131" s="10" t="s">
        <v>2464</v>
      </c>
      <c r="H1131" s="10" t="s">
        <v>759</v>
      </c>
      <c r="I1131" s="10" t="s">
        <v>55</v>
      </c>
      <c r="J1131" s="10" t="s">
        <v>2742</v>
      </c>
      <c r="K1131" s="10" t="s">
        <v>4814</v>
      </c>
      <c r="L1131" s="10" t="s">
        <v>42</v>
      </c>
    </row>
    <row r="1132" ht="15.75" customHeight="1">
      <c r="A1132" s="66">
        <v>45491.0</v>
      </c>
      <c r="B1132" s="55" t="str">
        <f>HYPERLINK("https://jobright.ai/jobs/info/66998b0a31dfa4ce41feef8d?utm_campaign=1062&amp;utm_source=sheet", "Apply")</f>
        <v>Apply</v>
      </c>
      <c r="C1132" s="10" t="s">
        <v>2725</v>
      </c>
      <c r="D1132" s="56" t="s">
        <v>2726</v>
      </c>
      <c r="E1132" s="10" t="s">
        <v>65</v>
      </c>
      <c r="F1132" s="10" t="s">
        <v>85</v>
      </c>
      <c r="G1132" s="10" t="s">
        <v>2464</v>
      </c>
      <c r="H1132" s="10" t="s">
        <v>3288</v>
      </c>
      <c r="I1132" s="10" t="s">
        <v>48</v>
      </c>
      <c r="K1132" s="10" t="s">
        <v>3760</v>
      </c>
      <c r="L1132" s="10" t="s">
        <v>42</v>
      </c>
    </row>
    <row r="1133" ht="15.75" customHeight="1">
      <c r="A1133" s="66">
        <v>45491.0</v>
      </c>
      <c r="B1133" s="55" t="str">
        <f>HYPERLINK("https://jobright.ai/jobs/info/6699ca05d447e7f36d24f1c4?utm_campaign=1062&amp;utm_source=sheet", "Apply")</f>
        <v>Apply</v>
      </c>
      <c r="C1133" s="10" t="s">
        <v>4816</v>
      </c>
      <c r="D1133" s="56" t="s">
        <v>4812</v>
      </c>
      <c r="E1133" s="10" t="s">
        <v>65</v>
      </c>
      <c r="F1133" s="10" t="s">
        <v>239</v>
      </c>
      <c r="G1133" s="10" t="s">
        <v>2464</v>
      </c>
      <c r="H1133" s="10" t="s">
        <v>4813</v>
      </c>
      <c r="I1133" s="10" t="s">
        <v>55</v>
      </c>
      <c r="J1133" s="10" t="s">
        <v>2742</v>
      </c>
      <c r="K1133" s="10" t="s">
        <v>4814</v>
      </c>
      <c r="L1133" s="10" t="s">
        <v>42</v>
      </c>
    </row>
    <row r="1134" ht="15.75" customHeight="1">
      <c r="A1134" s="66">
        <v>45491.0</v>
      </c>
      <c r="B1134" s="55" t="str">
        <f>HYPERLINK("https://jobright.ai/jobs/info/66998f6bc4a8af3445390410?utm_campaign=1062&amp;utm_source=sheet", "Apply")</f>
        <v>Apply</v>
      </c>
      <c r="C1134" s="10" t="s">
        <v>4817</v>
      </c>
      <c r="D1134" s="56" t="s">
        <v>4818</v>
      </c>
      <c r="E1134" s="10" t="s">
        <v>45</v>
      </c>
      <c r="F1134" s="10" t="s">
        <v>486</v>
      </c>
      <c r="G1134" s="10" t="s">
        <v>2470</v>
      </c>
      <c r="H1134" s="10" t="s">
        <v>3847</v>
      </c>
      <c r="I1134" s="10" t="s">
        <v>55</v>
      </c>
      <c r="K1134" s="10" t="s">
        <v>4819</v>
      </c>
      <c r="L1134" s="10" t="s">
        <v>42</v>
      </c>
    </row>
    <row r="1135" ht="15.75" customHeight="1">
      <c r="A1135" s="66">
        <v>45491.0</v>
      </c>
      <c r="B1135" s="55" t="str">
        <f>HYPERLINK("https://jobright.ai/jobs/info/6699909782139a81540d85a7?utm_campaign=1062&amp;utm_source=sheet", "Apply")</f>
        <v>Apply</v>
      </c>
      <c r="C1135" s="10" t="s">
        <v>4811</v>
      </c>
      <c r="D1135" s="56" t="s">
        <v>4812</v>
      </c>
      <c r="E1135" s="10" t="s">
        <v>65</v>
      </c>
      <c r="F1135" s="10" t="s">
        <v>239</v>
      </c>
      <c r="G1135" s="10" t="s">
        <v>2464</v>
      </c>
      <c r="H1135" s="10" t="s">
        <v>859</v>
      </c>
      <c r="I1135" s="10" t="s">
        <v>55</v>
      </c>
      <c r="J1135" s="10" t="s">
        <v>2742</v>
      </c>
      <c r="K1135" s="10" t="s">
        <v>4814</v>
      </c>
      <c r="L1135" s="10" t="s">
        <v>42</v>
      </c>
    </row>
    <row r="1136" ht="15.75" customHeight="1">
      <c r="A1136" s="66">
        <v>45491.0</v>
      </c>
      <c r="B1136" s="55" t="str">
        <f>HYPERLINK("https://jobright.ai/jobs/info/6699909782139a81540d85a8?utm_campaign=1062&amp;utm_source=sheet", "Apply")</f>
        <v>Apply</v>
      </c>
      <c r="C1136" s="10" t="s">
        <v>4816</v>
      </c>
      <c r="D1136" s="56" t="s">
        <v>4812</v>
      </c>
      <c r="E1136" s="10" t="s">
        <v>65</v>
      </c>
      <c r="F1136" s="10" t="s">
        <v>239</v>
      </c>
      <c r="G1136" s="10" t="s">
        <v>2464</v>
      </c>
      <c r="H1136" s="10" t="s">
        <v>188</v>
      </c>
      <c r="I1136" s="10" t="s">
        <v>55</v>
      </c>
      <c r="J1136" s="10" t="s">
        <v>2742</v>
      </c>
      <c r="K1136" s="10" t="s">
        <v>4814</v>
      </c>
      <c r="L1136" s="10" t="s">
        <v>42</v>
      </c>
    </row>
    <row r="1137" ht="15.75" customHeight="1">
      <c r="A1137" s="66">
        <v>45491.0</v>
      </c>
      <c r="B1137" s="55" t="str">
        <f>HYPERLINK("https://jobright.ai/jobs/info/6699909782139a81540d85a9?utm_campaign=1062&amp;utm_source=sheet", "Apply")</f>
        <v>Apply</v>
      </c>
      <c r="C1137" s="10" t="s">
        <v>4816</v>
      </c>
      <c r="D1137" s="56" t="s">
        <v>4812</v>
      </c>
      <c r="E1137" s="10" t="s">
        <v>65</v>
      </c>
      <c r="F1137" s="10" t="s">
        <v>239</v>
      </c>
      <c r="G1137" s="10" t="s">
        <v>2464</v>
      </c>
      <c r="H1137" s="10" t="s">
        <v>4820</v>
      </c>
      <c r="I1137" s="10" t="s">
        <v>55</v>
      </c>
      <c r="J1137" s="10" t="s">
        <v>2742</v>
      </c>
      <c r="K1137" s="10" t="s">
        <v>4814</v>
      </c>
      <c r="L1137" s="10" t="s">
        <v>42</v>
      </c>
    </row>
    <row r="1138" ht="15.75" customHeight="1">
      <c r="A1138" s="66">
        <v>45491.0</v>
      </c>
      <c r="B1138" s="55" t="str">
        <f>HYPERLINK("https://jobright.ai/jobs/info/6699ab625a89528d06316616?utm_campaign=1062&amp;utm_source=sheet", "Apply")</f>
        <v>Apply</v>
      </c>
      <c r="C1138" s="10" t="s">
        <v>4815</v>
      </c>
      <c r="D1138" s="56" t="s">
        <v>4812</v>
      </c>
      <c r="E1138" s="10" t="s">
        <v>65</v>
      </c>
      <c r="F1138" s="10" t="s">
        <v>239</v>
      </c>
      <c r="G1138" s="10" t="s">
        <v>2464</v>
      </c>
      <c r="H1138" s="10" t="s">
        <v>898</v>
      </c>
      <c r="I1138" s="10" t="s">
        <v>55</v>
      </c>
      <c r="J1138" s="10" t="s">
        <v>2742</v>
      </c>
      <c r="K1138" s="10" t="s">
        <v>4814</v>
      </c>
      <c r="L1138" s="10" t="s">
        <v>42</v>
      </c>
    </row>
    <row r="1139" ht="15.75" customHeight="1">
      <c r="A1139" s="66">
        <v>45491.0</v>
      </c>
      <c r="B1139" s="55" t="str">
        <f>HYPERLINK("https://jobright.ai/jobs/info/669999274663dabd47c84b81?utm_campaign=1062&amp;utm_source=sheet", "Apply")</f>
        <v>Apply</v>
      </c>
      <c r="C1139" s="10" t="s">
        <v>4816</v>
      </c>
      <c r="D1139" s="56" t="s">
        <v>4812</v>
      </c>
      <c r="E1139" s="10" t="s">
        <v>65</v>
      </c>
      <c r="F1139" s="10" t="s">
        <v>239</v>
      </c>
      <c r="G1139" s="10" t="s">
        <v>2464</v>
      </c>
      <c r="H1139" s="10" t="s">
        <v>4821</v>
      </c>
      <c r="I1139" s="10" t="s">
        <v>55</v>
      </c>
      <c r="J1139" s="10" t="s">
        <v>2742</v>
      </c>
      <c r="K1139" s="10" t="s">
        <v>4814</v>
      </c>
      <c r="L1139" s="10" t="s">
        <v>42</v>
      </c>
    </row>
    <row r="1140" ht="15.75" customHeight="1">
      <c r="A1140" s="66">
        <v>45491.0</v>
      </c>
      <c r="B1140" s="55" t="str">
        <f>HYPERLINK("https://jobright.ai/jobs/info/669999274663dabd47c84b80?utm_campaign=1062&amp;utm_source=sheet", "Apply")</f>
        <v>Apply</v>
      </c>
      <c r="C1140" s="10" t="s">
        <v>4815</v>
      </c>
      <c r="D1140" s="56" t="s">
        <v>4812</v>
      </c>
      <c r="E1140" s="10" t="s">
        <v>65</v>
      </c>
      <c r="F1140" s="10" t="s">
        <v>239</v>
      </c>
      <c r="G1140" s="10" t="s">
        <v>2464</v>
      </c>
      <c r="H1140" s="10" t="s">
        <v>859</v>
      </c>
      <c r="I1140" s="10" t="s">
        <v>55</v>
      </c>
      <c r="J1140" s="10" t="s">
        <v>2742</v>
      </c>
      <c r="K1140" s="10" t="s">
        <v>4814</v>
      </c>
      <c r="L1140" s="10" t="s">
        <v>42</v>
      </c>
    </row>
    <row r="1141" ht="15.75" customHeight="1">
      <c r="A1141" s="66">
        <v>45491.0</v>
      </c>
      <c r="B1141" s="55" t="str">
        <f>HYPERLINK("https://jobright.ai/jobs/info/669999274663dabd47c84b7e?utm_campaign=1062&amp;utm_source=sheet", "Apply")</f>
        <v>Apply</v>
      </c>
      <c r="C1141" s="10" t="s">
        <v>4815</v>
      </c>
      <c r="D1141" s="56" t="s">
        <v>4812</v>
      </c>
      <c r="E1141" s="10" t="s">
        <v>65</v>
      </c>
      <c r="F1141" s="10" t="s">
        <v>239</v>
      </c>
      <c r="G1141" s="10" t="s">
        <v>2464</v>
      </c>
      <c r="H1141" s="10" t="s">
        <v>4820</v>
      </c>
      <c r="I1141" s="10" t="s">
        <v>55</v>
      </c>
      <c r="J1141" s="10" t="s">
        <v>2742</v>
      </c>
      <c r="K1141" s="10" t="s">
        <v>4814</v>
      </c>
      <c r="L1141" s="10" t="s">
        <v>42</v>
      </c>
    </row>
    <row r="1142" ht="15.75" customHeight="1">
      <c r="A1142" s="66">
        <v>45491.0</v>
      </c>
      <c r="B1142" s="55" t="str">
        <f>HYPERLINK("https://jobright.ai/jobs/info/669999274663dabd47c84b82?utm_campaign=1062&amp;utm_source=sheet", "Apply")</f>
        <v>Apply</v>
      </c>
      <c r="C1142" s="10" t="s">
        <v>4815</v>
      </c>
      <c r="D1142" s="56" t="s">
        <v>4812</v>
      </c>
      <c r="E1142" s="10" t="s">
        <v>65</v>
      </c>
      <c r="F1142" s="10" t="s">
        <v>239</v>
      </c>
      <c r="G1142" s="10" t="s">
        <v>2464</v>
      </c>
      <c r="H1142" s="10" t="s">
        <v>1007</v>
      </c>
      <c r="I1142" s="10" t="s">
        <v>55</v>
      </c>
      <c r="J1142" s="10" t="s">
        <v>2742</v>
      </c>
      <c r="K1142" s="10" t="s">
        <v>4814</v>
      </c>
      <c r="L1142" s="10" t="s">
        <v>42</v>
      </c>
    </row>
    <row r="1143" ht="15.75" customHeight="1">
      <c r="A1143" s="66">
        <v>45491.0</v>
      </c>
      <c r="B1143" s="55" t="str">
        <f>HYPERLINK("https://jobright.ai/jobs/info/669999274663dabd47c84b7d?utm_campaign=1062&amp;utm_source=sheet", "Apply")</f>
        <v>Apply</v>
      </c>
      <c r="C1143" s="10" t="s">
        <v>4815</v>
      </c>
      <c r="D1143" s="56" t="s">
        <v>4812</v>
      </c>
      <c r="E1143" s="10" t="s">
        <v>65</v>
      </c>
      <c r="F1143" s="10" t="s">
        <v>239</v>
      </c>
      <c r="G1143" s="10" t="s">
        <v>2464</v>
      </c>
      <c r="H1143" s="10" t="s">
        <v>106</v>
      </c>
      <c r="I1143" s="10" t="s">
        <v>55</v>
      </c>
      <c r="J1143" s="10" t="s">
        <v>2742</v>
      </c>
      <c r="K1143" s="10" t="s">
        <v>4814</v>
      </c>
      <c r="L1143" s="10" t="s">
        <v>42</v>
      </c>
    </row>
    <row r="1144" ht="15.75" customHeight="1">
      <c r="A1144" s="66">
        <v>45491.0</v>
      </c>
      <c r="B1144" s="55" t="str">
        <f>HYPERLINK("https://jobright.ai/jobs/info/669999274663dabd47c84b7f?utm_campaign=1062&amp;utm_source=sheet", "Apply")</f>
        <v>Apply</v>
      </c>
      <c r="C1144" s="10" t="s">
        <v>4815</v>
      </c>
      <c r="D1144" s="56" t="s">
        <v>4812</v>
      </c>
      <c r="E1144" s="10" t="s">
        <v>65</v>
      </c>
      <c r="F1144" s="10" t="s">
        <v>239</v>
      </c>
      <c r="G1144" s="10" t="s">
        <v>2464</v>
      </c>
      <c r="H1144" s="10" t="s">
        <v>299</v>
      </c>
      <c r="I1144" s="10" t="s">
        <v>55</v>
      </c>
      <c r="J1144" s="10" t="s">
        <v>2742</v>
      </c>
      <c r="K1144" s="10" t="s">
        <v>4814</v>
      </c>
      <c r="L1144" s="10" t="s">
        <v>42</v>
      </c>
    </row>
    <row r="1145" ht="15.75" customHeight="1">
      <c r="A1145" s="66">
        <v>45491.0</v>
      </c>
      <c r="B1145" s="55" t="str">
        <f>HYPERLINK("https://jobright.ai/jobs/info/669988036857f00f1d02a4fb?utm_campaign=1062&amp;utm_source=sheet", "Apply")</f>
        <v>Apply</v>
      </c>
      <c r="C1145" s="10" t="s">
        <v>4816</v>
      </c>
      <c r="D1145" s="56" t="s">
        <v>4812</v>
      </c>
      <c r="E1145" s="10" t="s">
        <v>65</v>
      </c>
      <c r="F1145" s="10" t="s">
        <v>239</v>
      </c>
      <c r="G1145" s="10" t="s">
        <v>2464</v>
      </c>
      <c r="H1145" s="10" t="s">
        <v>1007</v>
      </c>
      <c r="I1145" s="10" t="s">
        <v>55</v>
      </c>
      <c r="J1145" s="10" t="s">
        <v>2742</v>
      </c>
      <c r="K1145" s="10" t="s">
        <v>4814</v>
      </c>
      <c r="L1145" s="10" t="s">
        <v>42</v>
      </c>
    </row>
    <row r="1146" ht="15.75" customHeight="1">
      <c r="A1146" s="66">
        <v>45491.0</v>
      </c>
      <c r="B1146" s="55" t="str">
        <f>HYPERLINK("https://jobright.ai/jobs/info/669988136857f00f1d02a669?utm_campaign=1062&amp;utm_source=sheet", "Apply")</f>
        <v>Apply</v>
      </c>
      <c r="C1146" s="10" t="s">
        <v>4811</v>
      </c>
      <c r="D1146" s="56" t="s">
        <v>4812</v>
      </c>
      <c r="E1146" s="10" t="s">
        <v>65</v>
      </c>
      <c r="F1146" s="10" t="s">
        <v>239</v>
      </c>
      <c r="G1146" s="10" t="s">
        <v>2464</v>
      </c>
      <c r="H1146" s="10" t="s">
        <v>898</v>
      </c>
      <c r="I1146" s="10" t="s">
        <v>55</v>
      </c>
      <c r="J1146" s="10" t="s">
        <v>2742</v>
      </c>
      <c r="K1146" s="10" t="s">
        <v>4814</v>
      </c>
      <c r="L1146" s="10" t="s">
        <v>42</v>
      </c>
    </row>
    <row r="1147" ht="15.75" customHeight="1">
      <c r="A1147" s="66">
        <v>45491.0</v>
      </c>
      <c r="B1147" s="55" t="str">
        <f>HYPERLINK("https://jobright.ai/jobs/info/669988036857f00f1d02a4ed?utm_campaign=1062&amp;utm_source=sheet", "Apply")</f>
        <v>Apply</v>
      </c>
      <c r="C1147" s="10" t="s">
        <v>4811</v>
      </c>
      <c r="D1147" s="56" t="s">
        <v>4812</v>
      </c>
      <c r="E1147" s="10" t="s">
        <v>65</v>
      </c>
      <c r="F1147" s="10" t="s">
        <v>239</v>
      </c>
      <c r="G1147" s="10" t="s">
        <v>2464</v>
      </c>
      <c r="H1147" s="10" t="s">
        <v>1007</v>
      </c>
      <c r="I1147" s="10" t="s">
        <v>55</v>
      </c>
      <c r="J1147" s="10" t="s">
        <v>2742</v>
      </c>
      <c r="K1147" s="10" t="s">
        <v>4814</v>
      </c>
      <c r="L1147" s="10" t="s">
        <v>42</v>
      </c>
    </row>
    <row r="1148" ht="15.75" customHeight="1">
      <c r="A1148" s="66">
        <v>45491.0</v>
      </c>
      <c r="B1148" s="55" t="str">
        <f>HYPERLINK("https://jobright.ai/jobs/info/669988036857f00f1d02a4b6?utm_campaign=1062&amp;utm_source=sheet", "Apply")</f>
        <v>Apply</v>
      </c>
      <c r="C1148" s="10" t="s">
        <v>4815</v>
      </c>
      <c r="D1148" s="56" t="s">
        <v>4812</v>
      </c>
      <c r="E1148" s="10" t="s">
        <v>65</v>
      </c>
      <c r="F1148" s="10" t="s">
        <v>239</v>
      </c>
      <c r="G1148" s="10" t="s">
        <v>2464</v>
      </c>
      <c r="H1148" s="10" t="s">
        <v>4821</v>
      </c>
      <c r="I1148" s="10" t="s">
        <v>55</v>
      </c>
      <c r="J1148" s="10" t="s">
        <v>2742</v>
      </c>
      <c r="K1148" s="10" t="s">
        <v>4814</v>
      </c>
      <c r="L1148" s="10" t="s">
        <v>42</v>
      </c>
    </row>
    <row r="1149" ht="15.75" customHeight="1">
      <c r="A1149" s="66">
        <v>45491.0</v>
      </c>
      <c r="B1149" s="55" t="str">
        <f>HYPERLINK("https://jobright.ai/jobs/info/669988136857f00f1d02a66a?utm_campaign=1062&amp;utm_source=sheet", "Apply")</f>
        <v>Apply</v>
      </c>
      <c r="C1149" s="10" t="s">
        <v>4811</v>
      </c>
      <c r="D1149" s="56" t="s">
        <v>4812</v>
      </c>
      <c r="E1149" s="10" t="s">
        <v>65</v>
      </c>
      <c r="F1149" s="10" t="s">
        <v>239</v>
      </c>
      <c r="G1149" s="10" t="s">
        <v>2464</v>
      </c>
      <c r="H1149" s="10" t="s">
        <v>4821</v>
      </c>
      <c r="I1149" s="10" t="s">
        <v>55</v>
      </c>
      <c r="J1149" s="10" t="s">
        <v>2742</v>
      </c>
      <c r="K1149" s="10" t="s">
        <v>4814</v>
      </c>
      <c r="L1149" s="10" t="s">
        <v>42</v>
      </c>
    </row>
    <row r="1150" ht="15.75" customHeight="1">
      <c r="A1150" s="66">
        <v>45491.0</v>
      </c>
      <c r="B1150" s="55" t="str">
        <f>HYPERLINK("https://jobright.ai/jobs/info/669988136857f00f1d02a66b?utm_campaign=1062&amp;utm_source=sheet", "Apply")</f>
        <v>Apply</v>
      </c>
      <c r="C1150" s="10" t="s">
        <v>4816</v>
      </c>
      <c r="D1150" s="56" t="s">
        <v>4812</v>
      </c>
      <c r="E1150" s="10" t="s">
        <v>65</v>
      </c>
      <c r="F1150" s="10" t="s">
        <v>239</v>
      </c>
      <c r="G1150" s="10" t="s">
        <v>2464</v>
      </c>
      <c r="H1150" s="10" t="s">
        <v>898</v>
      </c>
      <c r="I1150" s="10" t="s">
        <v>55</v>
      </c>
      <c r="J1150" s="10" t="s">
        <v>2742</v>
      </c>
      <c r="K1150" s="10" t="s">
        <v>4814</v>
      </c>
      <c r="L1150" s="10" t="s">
        <v>42</v>
      </c>
    </row>
    <row r="1151" ht="15.75" customHeight="1">
      <c r="A1151" s="66">
        <v>45491.0</v>
      </c>
      <c r="B1151" s="55" t="str">
        <f>HYPERLINK("https://jobright.ai/jobs/info/669988136857f00f1d02a66d?utm_campaign=1062&amp;utm_source=sheet", "Apply")</f>
        <v>Apply</v>
      </c>
      <c r="C1151" s="10" t="s">
        <v>4815</v>
      </c>
      <c r="D1151" s="56" t="s">
        <v>4812</v>
      </c>
      <c r="E1151" s="10" t="s">
        <v>65</v>
      </c>
      <c r="F1151" s="10" t="s">
        <v>239</v>
      </c>
      <c r="G1151" s="10" t="s">
        <v>2464</v>
      </c>
      <c r="H1151" s="10" t="s">
        <v>3440</v>
      </c>
      <c r="I1151" s="10" t="s">
        <v>55</v>
      </c>
      <c r="J1151" s="10" t="s">
        <v>2742</v>
      </c>
      <c r="K1151" s="10" t="s">
        <v>4814</v>
      </c>
      <c r="L1151" s="10" t="s">
        <v>42</v>
      </c>
    </row>
    <row r="1152" ht="15.75" customHeight="1">
      <c r="A1152" s="66">
        <v>45491.0</v>
      </c>
      <c r="B1152" s="55" t="str">
        <f>HYPERLINK("https://jobright.ai/jobs/info/669988136857f00f1d02a66e?utm_campaign=1062&amp;utm_source=sheet", "Apply")</f>
        <v>Apply</v>
      </c>
      <c r="C1152" s="10" t="s">
        <v>4816</v>
      </c>
      <c r="D1152" s="56" t="s">
        <v>4812</v>
      </c>
      <c r="E1152" s="10" t="s">
        <v>65</v>
      </c>
      <c r="F1152" s="10" t="s">
        <v>239</v>
      </c>
      <c r="G1152" s="10" t="s">
        <v>2464</v>
      </c>
      <c r="H1152" s="10" t="s">
        <v>106</v>
      </c>
      <c r="I1152" s="10" t="s">
        <v>55</v>
      </c>
      <c r="J1152" s="10" t="s">
        <v>2742</v>
      </c>
      <c r="K1152" s="10" t="s">
        <v>4814</v>
      </c>
      <c r="L1152" s="10" t="s">
        <v>42</v>
      </c>
    </row>
    <row r="1153" ht="15.75" customHeight="1">
      <c r="A1153" s="66">
        <v>45491.0</v>
      </c>
      <c r="B1153" s="55" t="str">
        <f>HYPERLINK("https://jobright.ai/jobs/info/669988136857f00f1d02a66c?utm_campaign=1062&amp;utm_source=sheet", "Apply")</f>
        <v>Apply</v>
      </c>
      <c r="C1153" s="10" t="s">
        <v>4816</v>
      </c>
      <c r="D1153" s="56" t="s">
        <v>4812</v>
      </c>
      <c r="E1153" s="10" t="s">
        <v>65</v>
      </c>
      <c r="F1153" s="10" t="s">
        <v>239</v>
      </c>
      <c r="G1153" s="10" t="s">
        <v>2464</v>
      </c>
      <c r="H1153" s="10" t="s">
        <v>3440</v>
      </c>
      <c r="I1153" s="10" t="s">
        <v>55</v>
      </c>
      <c r="J1153" s="10" t="s">
        <v>2742</v>
      </c>
      <c r="K1153" s="10" t="s">
        <v>4814</v>
      </c>
      <c r="L1153" s="10" t="s">
        <v>42</v>
      </c>
    </row>
    <row r="1154" ht="15.75" customHeight="1">
      <c r="A1154" s="66">
        <v>45491.0</v>
      </c>
      <c r="B1154" s="55" t="str">
        <f>HYPERLINK("https://jobright.ai/jobs/info/66998b0a31dfa4ce41feefc6?utm_campaign=1062&amp;utm_source=sheet", "Apply")</f>
        <v>Apply</v>
      </c>
      <c r="C1154" s="10" t="s">
        <v>4816</v>
      </c>
      <c r="D1154" s="56" t="s">
        <v>4812</v>
      </c>
      <c r="E1154" s="10" t="s">
        <v>65</v>
      </c>
      <c r="F1154" s="10" t="s">
        <v>239</v>
      </c>
      <c r="G1154" s="10" t="s">
        <v>2464</v>
      </c>
      <c r="H1154" s="10" t="s">
        <v>759</v>
      </c>
      <c r="I1154" s="10" t="s">
        <v>55</v>
      </c>
      <c r="J1154" s="10" t="s">
        <v>2742</v>
      </c>
      <c r="K1154" s="10" t="s">
        <v>4814</v>
      </c>
      <c r="L1154" s="10" t="s">
        <v>42</v>
      </c>
    </row>
    <row r="1155" ht="15.75" customHeight="1">
      <c r="A1155" s="66">
        <v>45491.0</v>
      </c>
      <c r="B1155" s="55" t="str">
        <f>HYPERLINK("https://jobright.ai/jobs/info/66998b0a31dfa4ce41feefc7?utm_campaign=1062&amp;utm_source=sheet", "Apply")</f>
        <v>Apply</v>
      </c>
      <c r="C1155" s="10" t="s">
        <v>4811</v>
      </c>
      <c r="D1155" s="56" t="s">
        <v>4812</v>
      </c>
      <c r="E1155" s="10" t="s">
        <v>65</v>
      </c>
      <c r="F1155" s="10" t="s">
        <v>239</v>
      </c>
      <c r="G1155" s="10" t="s">
        <v>2464</v>
      </c>
      <c r="H1155" s="10" t="s">
        <v>759</v>
      </c>
      <c r="I1155" s="10" t="s">
        <v>55</v>
      </c>
      <c r="J1155" s="10" t="s">
        <v>2742</v>
      </c>
      <c r="K1155" s="10" t="s">
        <v>4814</v>
      </c>
      <c r="L1155" s="10" t="s">
        <v>42</v>
      </c>
    </row>
    <row r="1156" ht="15.75" customHeight="1">
      <c r="A1156" s="66">
        <v>45491.0</v>
      </c>
      <c r="B1156" s="55" t="str">
        <f>HYPERLINK("https://jobright.ai/jobs/info/66998b0a31dfa4ce41feefc8?utm_campaign=1062&amp;utm_source=sheet", "Apply")</f>
        <v>Apply</v>
      </c>
      <c r="C1156" s="10" t="s">
        <v>4811</v>
      </c>
      <c r="D1156" s="56" t="s">
        <v>4812</v>
      </c>
      <c r="E1156" s="10" t="s">
        <v>65</v>
      </c>
      <c r="F1156" s="10" t="s">
        <v>239</v>
      </c>
      <c r="G1156" s="10" t="s">
        <v>2464</v>
      </c>
      <c r="H1156" s="10" t="s">
        <v>3440</v>
      </c>
      <c r="I1156" s="10" t="s">
        <v>55</v>
      </c>
      <c r="J1156" s="10" t="s">
        <v>2742</v>
      </c>
      <c r="K1156" s="10" t="s">
        <v>4814</v>
      </c>
      <c r="L1156" s="10" t="s">
        <v>42</v>
      </c>
    </row>
    <row r="1157" ht="15.75" customHeight="1">
      <c r="A1157" s="66">
        <v>45491.0</v>
      </c>
      <c r="B1157" s="55" t="str">
        <f>HYPERLINK("https://jobright.ai/jobs/info/66998b0a31dfa4ce41feefca?utm_campaign=1062&amp;utm_source=sheet", "Apply")</f>
        <v>Apply</v>
      </c>
      <c r="C1157" s="10" t="s">
        <v>4811</v>
      </c>
      <c r="D1157" s="56" t="s">
        <v>4812</v>
      </c>
      <c r="E1157" s="10" t="s">
        <v>65</v>
      </c>
      <c r="F1157" s="10" t="s">
        <v>239</v>
      </c>
      <c r="G1157" s="10" t="s">
        <v>2464</v>
      </c>
      <c r="H1157" s="10" t="s">
        <v>4820</v>
      </c>
      <c r="I1157" s="10" t="s">
        <v>55</v>
      </c>
      <c r="J1157" s="10" t="s">
        <v>2742</v>
      </c>
      <c r="K1157" s="10" t="s">
        <v>4814</v>
      </c>
      <c r="L1157" s="10" t="s">
        <v>42</v>
      </c>
    </row>
    <row r="1158" ht="15.75" customHeight="1">
      <c r="A1158" s="66">
        <v>45491.0</v>
      </c>
      <c r="B1158" s="55" t="str">
        <f>HYPERLINK("https://jobright.ai/jobs/info/66998b0a31dfa4ce41feefcb?utm_campaign=1062&amp;utm_source=sheet", "Apply")</f>
        <v>Apply</v>
      </c>
      <c r="C1158" s="10" t="s">
        <v>4815</v>
      </c>
      <c r="D1158" s="56" t="s">
        <v>4812</v>
      </c>
      <c r="E1158" s="10" t="s">
        <v>65</v>
      </c>
      <c r="F1158" s="10" t="s">
        <v>239</v>
      </c>
      <c r="G1158" s="10" t="s">
        <v>2464</v>
      </c>
      <c r="H1158" s="10" t="s">
        <v>4813</v>
      </c>
      <c r="I1158" s="10" t="s">
        <v>55</v>
      </c>
      <c r="J1158" s="10" t="s">
        <v>2742</v>
      </c>
      <c r="K1158" s="10" t="s">
        <v>4814</v>
      </c>
      <c r="L1158" s="10" t="s">
        <v>42</v>
      </c>
    </row>
    <row r="1159" ht="15.75" customHeight="1">
      <c r="A1159" s="66">
        <v>45491.0</v>
      </c>
      <c r="B1159" s="55" t="str">
        <f>HYPERLINK("https://jobright.ai/jobs/info/66998b0a31dfa4ce41feefd1?utm_campaign=1062&amp;utm_source=sheet", "Apply")</f>
        <v>Apply</v>
      </c>
      <c r="C1159" s="10" t="s">
        <v>4815</v>
      </c>
      <c r="D1159" s="56" t="s">
        <v>4812</v>
      </c>
      <c r="E1159" s="10" t="s">
        <v>65</v>
      </c>
      <c r="F1159" s="10" t="s">
        <v>239</v>
      </c>
      <c r="G1159" s="10" t="s">
        <v>2464</v>
      </c>
      <c r="H1159" s="10" t="s">
        <v>188</v>
      </c>
      <c r="I1159" s="10" t="s">
        <v>55</v>
      </c>
      <c r="J1159" s="10" t="s">
        <v>2742</v>
      </c>
      <c r="K1159" s="10" t="s">
        <v>4814</v>
      </c>
      <c r="L1159" s="10" t="s">
        <v>42</v>
      </c>
    </row>
    <row r="1160" ht="15.75" customHeight="1">
      <c r="A1160" s="66">
        <v>45491.0</v>
      </c>
      <c r="B1160" s="55" t="str">
        <f>HYPERLINK("https://jobright.ai/jobs/info/66998b0a31dfa4ce41feefcf?utm_campaign=1062&amp;utm_source=sheet", "Apply")</f>
        <v>Apply</v>
      </c>
      <c r="C1160" s="10" t="s">
        <v>4811</v>
      </c>
      <c r="D1160" s="56" t="s">
        <v>4812</v>
      </c>
      <c r="E1160" s="10" t="s">
        <v>65</v>
      </c>
      <c r="F1160" s="10" t="s">
        <v>239</v>
      </c>
      <c r="G1160" s="10" t="s">
        <v>2464</v>
      </c>
      <c r="H1160" s="10" t="s">
        <v>188</v>
      </c>
      <c r="I1160" s="10" t="s">
        <v>55</v>
      </c>
      <c r="J1160" s="10" t="s">
        <v>2742</v>
      </c>
      <c r="K1160" s="10" t="s">
        <v>4814</v>
      </c>
      <c r="L1160" s="10" t="s">
        <v>42</v>
      </c>
    </row>
    <row r="1161" ht="15.75" customHeight="1">
      <c r="A1161" s="66">
        <v>45491.0</v>
      </c>
      <c r="B1161" s="55" t="str">
        <f>HYPERLINK("https://jobright.ai/jobs/info/66998b0a31dfa4ce41feefcd?utm_campaign=1062&amp;utm_source=sheet", "Apply")</f>
        <v>Apply</v>
      </c>
      <c r="C1161" s="10" t="s">
        <v>4816</v>
      </c>
      <c r="D1161" s="56" t="s">
        <v>4812</v>
      </c>
      <c r="E1161" s="10" t="s">
        <v>65</v>
      </c>
      <c r="F1161" s="10" t="s">
        <v>239</v>
      </c>
      <c r="G1161" s="10" t="s">
        <v>2464</v>
      </c>
      <c r="H1161" s="10" t="s">
        <v>859</v>
      </c>
      <c r="I1161" s="10" t="s">
        <v>55</v>
      </c>
      <c r="J1161" s="10" t="s">
        <v>2742</v>
      </c>
      <c r="K1161" s="10" t="s">
        <v>4814</v>
      </c>
      <c r="L1161" s="10" t="s">
        <v>42</v>
      </c>
    </row>
    <row r="1162" ht="15.75" customHeight="1">
      <c r="A1162" s="66">
        <v>45491.0</v>
      </c>
      <c r="B1162" s="55" t="str">
        <f>HYPERLINK("https://jobright.ai/jobs/info/66998b0a31dfa4ce41feefcc?utm_campaign=1062&amp;utm_source=sheet", "Apply")</f>
        <v>Apply</v>
      </c>
      <c r="C1162" s="10" t="s">
        <v>4811</v>
      </c>
      <c r="D1162" s="56" t="s">
        <v>4812</v>
      </c>
      <c r="E1162" s="10" t="s">
        <v>65</v>
      </c>
      <c r="F1162" s="10" t="s">
        <v>239</v>
      </c>
      <c r="G1162" s="10" t="s">
        <v>2464</v>
      </c>
      <c r="H1162" s="10" t="s">
        <v>299</v>
      </c>
      <c r="I1162" s="10" t="s">
        <v>55</v>
      </c>
      <c r="J1162" s="10" t="s">
        <v>2742</v>
      </c>
      <c r="K1162" s="10" t="s">
        <v>4814</v>
      </c>
      <c r="L1162" s="10" t="s">
        <v>42</v>
      </c>
    </row>
    <row r="1163" ht="15.75" customHeight="1">
      <c r="A1163" s="66">
        <v>45491.0</v>
      </c>
      <c r="B1163" s="55" t="str">
        <f>HYPERLINK("https://jobright.ai/jobs/info/66998b0a31dfa4ce41feefce?utm_campaign=1062&amp;utm_source=sheet", "Apply")</f>
        <v>Apply</v>
      </c>
      <c r="C1163" s="10" t="s">
        <v>4811</v>
      </c>
      <c r="D1163" s="56" t="s">
        <v>4812</v>
      </c>
      <c r="E1163" s="10" t="s">
        <v>65</v>
      </c>
      <c r="F1163" s="10" t="s">
        <v>239</v>
      </c>
      <c r="G1163" s="10" t="s">
        <v>2464</v>
      </c>
      <c r="H1163" s="10" t="s">
        <v>106</v>
      </c>
      <c r="I1163" s="10" t="s">
        <v>55</v>
      </c>
      <c r="J1163" s="10" t="s">
        <v>2742</v>
      </c>
      <c r="K1163" s="10" t="s">
        <v>4814</v>
      </c>
      <c r="L1163" s="10" t="s">
        <v>42</v>
      </c>
    </row>
    <row r="1164" ht="15.75" customHeight="1">
      <c r="A1164" s="66">
        <v>45491.0</v>
      </c>
      <c r="B1164" s="55" t="str">
        <f>HYPERLINK("https://jobright.ai/jobs/info/66998b0a31dfa4ce41feefd0?utm_campaign=1062&amp;utm_source=sheet", "Apply")</f>
        <v>Apply</v>
      </c>
      <c r="C1164" s="10" t="s">
        <v>4816</v>
      </c>
      <c r="D1164" s="56" t="s">
        <v>4812</v>
      </c>
      <c r="E1164" s="10" t="s">
        <v>65</v>
      </c>
      <c r="F1164" s="10" t="s">
        <v>239</v>
      </c>
      <c r="G1164" s="10" t="s">
        <v>2464</v>
      </c>
      <c r="H1164" s="10" t="s">
        <v>299</v>
      </c>
      <c r="I1164" s="10" t="s">
        <v>55</v>
      </c>
      <c r="J1164" s="10" t="s">
        <v>2742</v>
      </c>
      <c r="K1164" s="10" t="s">
        <v>4814</v>
      </c>
      <c r="L1164" s="10" t="s">
        <v>42</v>
      </c>
    </row>
    <row r="1165" ht="15.75" customHeight="1">
      <c r="A1165" s="66">
        <v>45491.0</v>
      </c>
      <c r="B1165" s="55" t="str">
        <f>HYPERLINK("https://jobright.ai/jobs/info/66913e0ce4526299ab22e896?utm_campaign=1062&amp;utm_source=sheet", "Apply")</f>
        <v>Apply</v>
      </c>
      <c r="C1165" s="10" t="s">
        <v>4822</v>
      </c>
      <c r="D1165" s="56" t="s">
        <v>3166</v>
      </c>
      <c r="E1165" s="10" t="s">
        <v>45</v>
      </c>
      <c r="F1165" s="10" t="s">
        <v>3167</v>
      </c>
      <c r="G1165" s="10" t="s">
        <v>2484</v>
      </c>
      <c r="H1165" s="10" t="s">
        <v>1160</v>
      </c>
      <c r="I1165" s="10" t="s">
        <v>55</v>
      </c>
      <c r="J1165" s="10" t="s">
        <v>3168</v>
      </c>
      <c r="K1165" s="10" t="s">
        <v>4823</v>
      </c>
      <c r="L1165" s="10" t="s">
        <v>42</v>
      </c>
    </row>
    <row r="1166" ht="15.75" customHeight="1">
      <c r="A1166" s="66">
        <v>45491.0</v>
      </c>
      <c r="B1166" s="55" t="str">
        <f>HYPERLINK("https://jobright.ai/jobs/info/669a4fa52885e142e98deb94?utm_campaign=1062&amp;utm_source=sheet", "Apply")</f>
        <v>Apply</v>
      </c>
      <c r="C1166" s="10" t="s">
        <v>4824</v>
      </c>
      <c r="D1166" s="56" t="s">
        <v>4825</v>
      </c>
      <c r="E1166" s="10">
        <v>216.0</v>
      </c>
      <c r="G1166" s="10" t="s">
        <v>2484</v>
      </c>
      <c r="H1166" s="10" t="s">
        <v>4826</v>
      </c>
      <c r="I1166" s="10" t="s">
        <v>55</v>
      </c>
      <c r="J1166" s="10" t="s">
        <v>4827</v>
      </c>
      <c r="K1166" s="10" t="s">
        <v>4828</v>
      </c>
      <c r="L1166" s="10" t="s">
        <v>42</v>
      </c>
    </row>
    <row r="1167" ht="15.75" customHeight="1">
      <c r="A1167" s="66">
        <v>45491.0</v>
      </c>
      <c r="B1167" s="55" t="str">
        <f>HYPERLINK("https://jobright.ai/jobs/info/6699a010a6cffa96210ce169?utm_campaign=1062&amp;utm_source=sheet", "Apply")</f>
        <v>Apply</v>
      </c>
      <c r="C1167" s="10" t="s">
        <v>4829</v>
      </c>
      <c r="D1167" s="56" t="s">
        <v>4636</v>
      </c>
      <c r="E1167" s="10" t="s">
        <v>276</v>
      </c>
      <c r="F1167" s="10" t="s">
        <v>568</v>
      </c>
      <c r="G1167" s="10" t="s">
        <v>2464</v>
      </c>
      <c r="H1167" s="10" t="s">
        <v>4830</v>
      </c>
      <c r="I1167" s="10" t="s">
        <v>55</v>
      </c>
      <c r="K1167" s="10" t="s">
        <v>4831</v>
      </c>
      <c r="L1167" s="10" t="s">
        <v>42</v>
      </c>
    </row>
    <row r="1168" ht="15.75" customHeight="1">
      <c r="A1168" s="66">
        <v>45491.0</v>
      </c>
      <c r="B1168" s="55" t="str">
        <f>HYPERLINK("https://jobright.ai/jobs/info/6699817986a11b09c0351149?utm_campaign=1062&amp;utm_source=sheet", "Apply")</f>
        <v>Apply</v>
      </c>
      <c r="C1168" s="10" t="s">
        <v>4829</v>
      </c>
      <c r="D1168" s="56" t="s">
        <v>4636</v>
      </c>
      <c r="E1168" s="10" t="s">
        <v>276</v>
      </c>
      <c r="F1168" s="10" t="s">
        <v>568</v>
      </c>
      <c r="G1168" s="10" t="s">
        <v>2464</v>
      </c>
      <c r="H1168" s="10" t="s">
        <v>4832</v>
      </c>
      <c r="I1168" s="10" t="s">
        <v>55</v>
      </c>
      <c r="K1168" s="10" t="s">
        <v>4831</v>
      </c>
      <c r="L1168" s="10" t="s">
        <v>42</v>
      </c>
    </row>
    <row r="1169" ht="15.75" customHeight="1">
      <c r="A1169" s="66">
        <v>45491.0</v>
      </c>
      <c r="B1169" s="55" t="str">
        <f>HYPERLINK("https://jobright.ai/jobs/info/6699817986a11b09c035114e?utm_campaign=1062&amp;utm_source=sheet", "Apply")</f>
        <v>Apply</v>
      </c>
      <c r="C1169" s="10" t="s">
        <v>4829</v>
      </c>
      <c r="D1169" s="56" t="s">
        <v>4636</v>
      </c>
      <c r="E1169" s="10" t="s">
        <v>276</v>
      </c>
      <c r="F1169" s="10" t="s">
        <v>568</v>
      </c>
      <c r="G1169" s="10" t="s">
        <v>2464</v>
      </c>
      <c r="H1169" s="10" t="s">
        <v>4406</v>
      </c>
      <c r="I1169" s="10" t="s">
        <v>55</v>
      </c>
      <c r="K1169" s="10" t="s">
        <v>4831</v>
      </c>
      <c r="L1169" s="10" t="s">
        <v>42</v>
      </c>
    </row>
    <row r="1170" ht="15.75" customHeight="1">
      <c r="A1170" s="66">
        <v>45491.0</v>
      </c>
      <c r="B1170" s="55" t="str">
        <f>HYPERLINK("https://jobright.ai/jobs/info/6699817986a11b09c035114c?utm_campaign=1062&amp;utm_source=sheet", "Apply")</f>
        <v>Apply</v>
      </c>
      <c r="C1170" s="10" t="s">
        <v>4829</v>
      </c>
      <c r="D1170" s="56" t="s">
        <v>4636</v>
      </c>
      <c r="E1170" s="10" t="s">
        <v>276</v>
      </c>
      <c r="F1170" s="10" t="s">
        <v>568</v>
      </c>
      <c r="G1170" s="10" t="s">
        <v>2464</v>
      </c>
      <c r="H1170" s="10" t="s">
        <v>131</v>
      </c>
      <c r="I1170" s="10" t="s">
        <v>55</v>
      </c>
      <c r="K1170" s="10" t="s">
        <v>4831</v>
      </c>
      <c r="L1170" s="10" t="s">
        <v>42</v>
      </c>
    </row>
    <row r="1171" ht="15.75" customHeight="1">
      <c r="A1171" s="66">
        <v>45491.0</v>
      </c>
      <c r="B1171" s="55" t="str">
        <f>HYPERLINK("https://jobright.ai/jobs/info/66997ef261ed54c480cf9a65?utm_campaign=1062&amp;utm_source=sheet", "Apply")</f>
        <v>Apply</v>
      </c>
      <c r="C1171" s="10" t="s">
        <v>4829</v>
      </c>
      <c r="D1171" s="56" t="s">
        <v>4636</v>
      </c>
      <c r="E1171" s="10" t="s">
        <v>276</v>
      </c>
      <c r="F1171" s="10" t="s">
        <v>568</v>
      </c>
      <c r="G1171" s="10" t="s">
        <v>2464</v>
      </c>
      <c r="H1171" s="10" t="s">
        <v>3047</v>
      </c>
      <c r="I1171" s="10" t="s">
        <v>55</v>
      </c>
      <c r="K1171" s="10" t="s">
        <v>4831</v>
      </c>
      <c r="L1171" s="10" t="s">
        <v>42</v>
      </c>
    </row>
    <row r="1172" ht="15.75" customHeight="1">
      <c r="A1172" s="66">
        <v>45491.0</v>
      </c>
      <c r="B1172" s="55" t="str">
        <f>HYPERLINK("https://jobright.ai/jobs/info/66997ef261ed54c480cf9a73?utm_campaign=1062&amp;utm_source=sheet", "Apply")</f>
        <v>Apply</v>
      </c>
      <c r="C1172" s="10" t="s">
        <v>4829</v>
      </c>
      <c r="D1172" s="56" t="s">
        <v>4636</v>
      </c>
      <c r="E1172" s="10" t="s">
        <v>276</v>
      </c>
      <c r="F1172" s="10" t="s">
        <v>568</v>
      </c>
      <c r="G1172" s="10" t="s">
        <v>2464</v>
      </c>
      <c r="H1172" s="10" t="s">
        <v>167</v>
      </c>
      <c r="I1172" s="10" t="s">
        <v>55</v>
      </c>
      <c r="K1172" s="10" t="s">
        <v>4831</v>
      </c>
      <c r="L1172" s="10" t="s">
        <v>42</v>
      </c>
    </row>
    <row r="1173" ht="15.75" customHeight="1">
      <c r="A1173" s="66">
        <v>45491.0</v>
      </c>
      <c r="B1173" s="55" t="str">
        <f>HYPERLINK("https://jobright.ai/jobs/info/66997c9e0e64b4fcfb0a8db4?utm_campaign=1062&amp;utm_source=sheet", "Apply")</f>
        <v>Apply</v>
      </c>
      <c r="C1173" s="10" t="s">
        <v>4833</v>
      </c>
      <c r="D1173" s="56" t="s">
        <v>4834</v>
      </c>
      <c r="E1173" s="10" t="s">
        <v>45</v>
      </c>
      <c r="F1173" s="10" t="s">
        <v>2274</v>
      </c>
      <c r="G1173" s="10" t="s">
        <v>3005</v>
      </c>
      <c r="H1173" s="10" t="s">
        <v>245</v>
      </c>
      <c r="I1173" s="10" t="s">
        <v>55</v>
      </c>
      <c r="K1173" s="10" t="s">
        <v>4835</v>
      </c>
      <c r="L1173" s="10" t="s">
        <v>42</v>
      </c>
    </row>
    <row r="1174" ht="15.75" customHeight="1">
      <c r="A1174" s="66">
        <v>45491.0</v>
      </c>
      <c r="B1174" s="55" t="str">
        <f>HYPERLINK("https://jobright.ai/jobs/info/669970df4a3a14aadcbbb79c?utm_campaign=1062&amp;utm_source=sheet", "Apply")</f>
        <v>Apply</v>
      </c>
      <c r="C1174" s="10" t="s">
        <v>4836</v>
      </c>
      <c r="D1174" s="56" t="s">
        <v>4837</v>
      </c>
      <c r="E1174" s="10" t="s">
        <v>137</v>
      </c>
      <c r="F1174" s="10" t="s">
        <v>4838</v>
      </c>
      <c r="G1174" s="10" t="s">
        <v>2484</v>
      </c>
      <c r="H1174" s="10" t="s">
        <v>4839</v>
      </c>
      <c r="I1174" s="10" t="s">
        <v>55</v>
      </c>
      <c r="K1174" s="10" t="s">
        <v>4840</v>
      </c>
      <c r="L1174" s="10" t="s">
        <v>42</v>
      </c>
    </row>
    <row r="1175" ht="15.75" customHeight="1">
      <c r="A1175" s="66">
        <v>45491.0</v>
      </c>
      <c r="B1175" s="55" t="str">
        <f>HYPERLINK("https://jobright.ai/jobs/info/6675e9afa266c24fd0a14a7f?utm_campaign=1062&amp;utm_source=sheet", "Apply")</f>
        <v>Apply</v>
      </c>
      <c r="C1175" s="10" t="s">
        <v>301</v>
      </c>
      <c r="D1175" s="56" t="s">
        <v>4841</v>
      </c>
      <c r="E1175" s="10" t="s">
        <v>45</v>
      </c>
      <c r="F1175" s="10" t="s">
        <v>4842</v>
      </c>
      <c r="G1175" s="10" t="s">
        <v>2437</v>
      </c>
      <c r="H1175" s="10" t="s">
        <v>4843</v>
      </c>
      <c r="I1175" s="10" t="s">
        <v>55</v>
      </c>
      <c r="J1175" s="10" t="s">
        <v>4844</v>
      </c>
      <c r="K1175" s="10" t="s">
        <v>4845</v>
      </c>
      <c r="L1175" s="10" t="s">
        <v>42</v>
      </c>
    </row>
    <row r="1176" ht="15.75" customHeight="1">
      <c r="A1176" s="66">
        <v>45491.0</v>
      </c>
      <c r="B1176" s="55" t="str">
        <f>HYPERLINK("https://jobright.ai/jobs/info/65eafc1b764a8ca1489f6cb3?utm_campaign=1062&amp;utm_source=sheet", "Apply")</f>
        <v>Apply</v>
      </c>
      <c r="C1176" s="10" t="s">
        <v>4846</v>
      </c>
      <c r="D1176" s="56" t="s">
        <v>4847</v>
      </c>
      <c r="E1176" s="10" t="s">
        <v>249</v>
      </c>
      <c r="F1176" s="10" t="s">
        <v>2746</v>
      </c>
      <c r="G1176" s="10" t="s">
        <v>2464</v>
      </c>
      <c r="H1176" s="10" t="s">
        <v>4848</v>
      </c>
      <c r="I1176" s="10" t="s">
        <v>55</v>
      </c>
      <c r="K1176" s="10" t="s">
        <v>4849</v>
      </c>
      <c r="L1176" s="10" t="s">
        <v>42</v>
      </c>
    </row>
    <row r="1177" ht="15.75" customHeight="1">
      <c r="A1177" s="66">
        <v>45491.0</v>
      </c>
      <c r="B1177" s="55" t="str">
        <f>HYPERLINK("https://jobright.ai/jobs/info/6699b033f933816be6e7debe?utm_campaign=1062&amp;utm_source=sheet", "Apply")</f>
        <v>Apply</v>
      </c>
      <c r="C1177" s="10" t="s">
        <v>4829</v>
      </c>
      <c r="D1177" s="56" t="s">
        <v>4636</v>
      </c>
      <c r="E1177" s="10" t="s">
        <v>276</v>
      </c>
      <c r="F1177" s="10" t="s">
        <v>568</v>
      </c>
      <c r="G1177" s="10" t="s">
        <v>2464</v>
      </c>
      <c r="H1177" s="10" t="s">
        <v>4850</v>
      </c>
      <c r="I1177" s="10" t="s">
        <v>55</v>
      </c>
      <c r="K1177" s="10" t="s">
        <v>4831</v>
      </c>
      <c r="L1177" s="10" t="s">
        <v>42</v>
      </c>
    </row>
    <row r="1178" ht="15.75" customHeight="1">
      <c r="A1178" s="66">
        <v>45491.0</v>
      </c>
      <c r="B1178" s="55" t="str">
        <f>HYPERLINK("https://jobright.ai/jobs/info/669977b28b5bba55b3e7f299?utm_campaign=1062&amp;utm_source=sheet", "Apply")</f>
        <v>Apply</v>
      </c>
      <c r="C1178" s="10" t="s">
        <v>4635</v>
      </c>
      <c r="D1178" s="56" t="s">
        <v>4636</v>
      </c>
      <c r="E1178" s="10" t="s">
        <v>276</v>
      </c>
      <c r="F1178" s="10" t="s">
        <v>568</v>
      </c>
      <c r="G1178" s="10" t="s">
        <v>2464</v>
      </c>
      <c r="H1178" s="10" t="s">
        <v>4830</v>
      </c>
      <c r="I1178" s="10" t="s">
        <v>55</v>
      </c>
      <c r="K1178" s="10" t="s">
        <v>4638</v>
      </c>
      <c r="L1178" s="10" t="s">
        <v>42</v>
      </c>
    </row>
    <row r="1179" ht="15.75" customHeight="1">
      <c r="A1179" s="66">
        <v>45491.0</v>
      </c>
      <c r="B1179" s="55" t="str">
        <f>HYPERLINK("https://jobright.ai/jobs/info/66999318eaece15dc98abbbf?utm_campaign=1062&amp;utm_source=sheet", "Apply")</f>
        <v>Apply</v>
      </c>
      <c r="C1179" s="10" t="s">
        <v>4829</v>
      </c>
      <c r="D1179" s="56" t="s">
        <v>4636</v>
      </c>
      <c r="E1179" s="10" t="s">
        <v>276</v>
      </c>
      <c r="F1179" s="10" t="s">
        <v>568</v>
      </c>
      <c r="G1179" s="10" t="s">
        <v>2464</v>
      </c>
      <c r="H1179" s="10" t="s">
        <v>4851</v>
      </c>
      <c r="I1179" s="10" t="s">
        <v>55</v>
      </c>
      <c r="K1179" s="10" t="s">
        <v>4831</v>
      </c>
      <c r="L1179" s="10" t="s">
        <v>42</v>
      </c>
    </row>
    <row r="1180" ht="15.75" customHeight="1">
      <c r="A1180" s="66">
        <v>45491.0</v>
      </c>
      <c r="B1180" s="55" t="str">
        <f>HYPERLINK("https://jobright.ai/jobs/info/669970df4a3a14aadcbbb7bb?utm_campaign=1062&amp;utm_source=sheet", "Apply")</f>
        <v>Apply</v>
      </c>
      <c r="C1180" s="10" t="s">
        <v>4829</v>
      </c>
      <c r="D1180" s="56" t="s">
        <v>4636</v>
      </c>
      <c r="E1180" s="10" t="s">
        <v>276</v>
      </c>
      <c r="F1180" s="10" t="s">
        <v>568</v>
      </c>
      <c r="G1180" s="10" t="s">
        <v>2464</v>
      </c>
      <c r="H1180" s="10" t="s">
        <v>1017</v>
      </c>
      <c r="I1180" s="10" t="s">
        <v>55</v>
      </c>
      <c r="K1180" s="10" t="s">
        <v>4831</v>
      </c>
      <c r="L1180" s="10" t="s">
        <v>42</v>
      </c>
    </row>
    <row r="1181" ht="15.75" customHeight="1">
      <c r="A1181" s="66">
        <v>45491.0</v>
      </c>
      <c r="B1181" s="55" t="str">
        <f>HYPERLINK("https://jobright.ai/jobs/info/669970fe4a3a14aadcbbbaf6?utm_campaign=1062&amp;utm_source=sheet", "Apply")</f>
        <v>Apply</v>
      </c>
      <c r="C1181" s="10" t="s">
        <v>4829</v>
      </c>
      <c r="D1181" s="56" t="s">
        <v>4636</v>
      </c>
      <c r="E1181" s="10" t="s">
        <v>276</v>
      </c>
      <c r="F1181" s="10" t="s">
        <v>568</v>
      </c>
      <c r="G1181" s="10" t="s">
        <v>2464</v>
      </c>
      <c r="H1181" s="10" t="s">
        <v>4852</v>
      </c>
      <c r="I1181" s="10" t="s">
        <v>55</v>
      </c>
      <c r="K1181" s="10" t="s">
        <v>4831</v>
      </c>
      <c r="L1181" s="10" t="s">
        <v>42</v>
      </c>
    </row>
    <row r="1182" ht="15.75" customHeight="1">
      <c r="A1182" s="66">
        <v>45491.0</v>
      </c>
      <c r="B1182" s="55" t="str">
        <f>HYPERLINK("https://jobright.ai/jobs/info/669970fe4a3a14aadcbbbaf7?utm_campaign=1062&amp;utm_source=sheet", "Apply")</f>
        <v>Apply</v>
      </c>
      <c r="C1182" s="10" t="s">
        <v>4829</v>
      </c>
      <c r="D1182" s="56" t="s">
        <v>4636</v>
      </c>
      <c r="E1182" s="10" t="s">
        <v>276</v>
      </c>
      <c r="F1182" s="10" t="s">
        <v>568</v>
      </c>
      <c r="G1182" s="10" t="s">
        <v>2464</v>
      </c>
      <c r="H1182" s="10" t="s">
        <v>4853</v>
      </c>
      <c r="I1182" s="10" t="s">
        <v>55</v>
      </c>
      <c r="K1182" s="10" t="s">
        <v>4831</v>
      </c>
      <c r="L1182" s="10" t="s">
        <v>42</v>
      </c>
    </row>
    <row r="1183" ht="15.75" customHeight="1">
      <c r="A1183" s="66">
        <v>45491.0</v>
      </c>
      <c r="B1183" s="55" t="str">
        <f>HYPERLINK("https://jobright.ai/jobs/info/6650c91e1abdf07e445e04bc?utm_campaign=1062&amp;utm_source=sheet", "Apply")</f>
        <v>Apply</v>
      </c>
      <c r="C1183" s="10" t="s">
        <v>4854</v>
      </c>
      <c r="D1183" s="56" t="s">
        <v>4847</v>
      </c>
      <c r="E1183" s="10" t="s">
        <v>249</v>
      </c>
      <c r="F1183" s="10" t="s">
        <v>2746</v>
      </c>
      <c r="G1183" s="10" t="s">
        <v>2464</v>
      </c>
      <c r="H1183" s="10" t="s">
        <v>4848</v>
      </c>
      <c r="I1183" s="10" t="s">
        <v>55</v>
      </c>
      <c r="K1183" s="10" t="s">
        <v>4849</v>
      </c>
      <c r="L1183" s="10" t="s">
        <v>42</v>
      </c>
    </row>
    <row r="1184" ht="15.75" customHeight="1">
      <c r="A1184" s="66">
        <v>45491.0</v>
      </c>
      <c r="B1184" s="55" t="str">
        <f>HYPERLINK("https://jobright.ai/jobs/info/66996b7962e363181a8c77ee?utm_campaign=1062&amp;utm_source=sheet", "Apply")</f>
        <v>Apply</v>
      </c>
      <c r="C1184" s="10" t="s">
        <v>4855</v>
      </c>
      <c r="D1184" s="56" t="s">
        <v>4856</v>
      </c>
      <c r="E1184" s="10" t="s">
        <v>276</v>
      </c>
      <c r="F1184" s="10" t="s">
        <v>4857</v>
      </c>
      <c r="G1184" s="10" t="s">
        <v>2484</v>
      </c>
      <c r="H1184" s="10" t="s">
        <v>4858</v>
      </c>
      <c r="I1184" s="10" t="s">
        <v>55</v>
      </c>
      <c r="K1184" s="10" t="s">
        <v>4859</v>
      </c>
      <c r="L1184" s="10" t="s">
        <v>42</v>
      </c>
    </row>
    <row r="1185" ht="15.75" customHeight="1">
      <c r="A1185" s="66">
        <v>45491.0</v>
      </c>
      <c r="B1185" s="55" t="str">
        <f>HYPERLINK("https://jobright.ai/jobs/info/669179a94c0f79ebbd88ce75?utm_campaign=1062&amp;utm_source=sheet", "Apply")</f>
        <v>Apply</v>
      </c>
      <c r="C1185" s="10" t="s">
        <v>4860</v>
      </c>
      <c r="D1185" s="56" t="s">
        <v>3166</v>
      </c>
      <c r="E1185" s="10" t="s">
        <v>45</v>
      </c>
      <c r="F1185" s="10" t="s">
        <v>3167</v>
      </c>
      <c r="G1185" s="10" t="s">
        <v>2437</v>
      </c>
      <c r="H1185" s="10" t="s">
        <v>1160</v>
      </c>
      <c r="I1185" s="10" t="s">
        <v>55</v>
      </c>
      <c r="J1185" s="10" t="s">
        <v>3168</v>
      </c>
      <c r="K1185" s="10" t="s">
        <v>4861</v>
      </c>
      <c r="L1185" s="10" t="s">
        <v>42</v>
      </c>
    </row>
    <row r="1186" ht="15.75" customHeight="1">
      <c r="A1186" s="66">
        <v>45491.0</v>
      </c>
      <c r="B1186" s="55" t="str">
        <f>HYPERLINK("https://jobright.ai/jobs/info/66a13c51814e5297466f0ba4?utm_campaign=1062&amp;utm_source=sheet", "Apply")</f>
        <v>Apply</v>
      </c>
      <c r="C1186" s="10" t="s">
        <v>4862</v>
      </c>
      <c r="D1186" s="56" t="s">
        <v>4802</v>
      </c>
      <c r="E1186" s="10" t="s">
        <v>249</v>
      </c>
      <c r="F1186" s="10" t="s">
        <v>2470</v>
      </c>
      <c r="G1186" s="10" t="s">
        <v>2437</v>
      </c>
      <c r="H1186" s="10" t="s">
        <v>3208</v>
      </c>
      <c r="I1186" s="10" t="s">
        <v>55</v>
      </c>
      <c r="K1186" s="10" t="s">
        <v>4863</v>
      </c>
      <c r="L1186" s="10" t="s">
        <v>42</v>
      </c>
    </row>
    <row r="1187" ht="15.75" customHeight="1">
      <c r="A1187" s="66">
        <v>45491.0</v>
      </c>
      <c r="B1187" s="55" t="str">
        <f>HYPERLINK("https://jobright.ai/jobs/info/669970f04a3a14aadcbbb945?utm_campaign=1062&amp;utm_source=sheet", "Apply")</f>
        <v>Apply</v>
      </c>
      <c r="C1187" s="10" t="s">
        <v>4864</v>
      </c>
      <c r="D1187" s="56" t="s">
        <v>2157</v>
      </c>
      <c r="E1187" s="10" t="s">
        <v>45</v>
      </c>
      <c r="F1187" s="10" t="s">
        <v>2158</v>
      </c>
      <c r="G1187" s="10" t="s">
        <v>2443</v>
      </c>
      <c r="H1187" s="10" t="s">
        <v>628</v>
      </c>
      <c r="I1187" s="10" t="s">
        <v>55</v>
      </c>
      <c r="K1187" s="10" t="s">
        <v>2159</v>
      </c>
      <c r="L1187" s="10" t="s">
        <v>42</v>
      </c>
    </row>
    <row r="1188" ht="15.75" customHeight="1">
      <c r="A1188" s="66">
        <v>45491.0</v>
      </c>
      <c r="B1188" s="55" t="str">
        <f>HYPERLINK("https://jobright.ai/jobs/info/66995534a0dff363527acb93?utm_campaign=1062&amp;utm_source=sheet", "Apply")</f>
        <v>Apply</v>
      </c>
      <c r="C1188" s="10" t="s">
        <v>4865</v>
      </c>
      <c r="D1188" s="56" t="s">
        <v>3645</v>
      </c>
      <c r="E1188" s="10" t="s">
        <v>45</v>
      </c>
      <c r="F1188" s="10" t="s">
        <v>1700</v>
      </c>
      <c r="G1188" s="10" t="s">
        <v>2484</v>
      </c>
      <c r="H1188" s="10" t="s">
        <v>3646</v>
      </c>
      <c r="I1188" s="10" t="s">
        <v>55</v>
      </c>
      <c r="J1188" s="10" t="s">
        <v>2165</v>
      </c>
      <c r="K1188" s="10" t="s">
        <v>4866</v>
      </c>
      <c r="L1188" s="10" t="s">
        <v>42</v>
      </c>
    </row>
    <row r="1189" ht="15.75" customHeight="1">
      <c r="A1189" s="66">
        <v>45491.0</v>
      </c>
      <c r="B1189" s="55" t="str">
        <f>HYPERLINK("https://jobright.ai/jobs/info/66995440e5a7e5d9b8ee91d4?utm_campaign=1062&amp;utm_source=sheet", "Apply")</f>
        <v>Apply</v>
      </c>
      <c r="C1189" s="10" t="s">
        <v>4867</v>
      </c>
      <c r="D1189" s="56" t="s">
        <v>3531</v>
      </c>
      <c r="E1189" s="10" t="s">
        <v>209</v>
      </c>
      <c r="F1189" s="10" t="s">
        <v>85</v>
      </c>
      <c r="G1189" s="10" t="s">
        <v>2579</v>
      </c>
      <c r="H1189" s="10" t="s">
        <v>4868</v>
      </c>
      <c r="I1189" s="10" t="s">
        <v>55</v>
      </c>
      <c r="K1189" s="10" t="s">
        <v>4869</v>
      </c>
      <c r="L1189" s="10" t="s">
        <v>42</v>
      </c>
    </row>
    <row r="1190" ht="15.75" customHeight="1">
      <c r="A1190" s="66">
        <v>45491.0</v>
      </c>
      <c r="B1190" s="55" t="str">
        <f>HYPERLINK("https://jobright.ai/jobs/info/66996058e56fdd691f9cfb7f?utm_campaign=1062&amp;utm_source=sheet", "Apply")</f>
        <v>Apply</v>
      </c>
      <c r="C1190" s="10" t="s">
        <v>4870</v>
      </c>
      <c r="D1190" s="56" t="s">
        <v>4871</v>
      </c>
      <c r="E1190" s="10" t="s">
        <v>45</v>
      </c>
      <c r="F1190" s="10" t="s">
        <v>4872</v>
      </c>
      <c r="G1190" s="10" t="s">
        <v>2579</v>
      </c>
      <c r="H1190" s="10" t="s">
        <v>167</v>
      </c>
      <c r="I1190" s="10" t="s">
        <v>55</v>
      </c>
      <c r="J1190" s="10" t="s">
        <v>1873</v>
      </c>
      <c r="K1190" s="10" t="s">
        <v>4873</v>
      </c>
      <c r="L1190" s="10" t="s">
        <v>42</v>
      </c>
    </row>
    <row r="1191" ht="15.75" customHeight="1">
      <c r="A1191" s="66">
        <v>45491.0</v>
      </c>
      <c r="B1191" s="55" t="str">
        <f>HYPERLINK("https://jobright.ai/jobs/info/66994a10788ef9279e8e8cdd?utm_campaign=1062&amp;utm_source=sheet", "Apply")</f>
        <v>Apply</v>
      </c>
      <c r="C1191" s="10" t="s">
        <v>3644</v>
      </c>
      <c r="D1191" s="56" t="s">
        <v>3645</v>
      </c>
      <c r="E1191" s="10" t="s">
        <v>45</v>
      </c>
      <c r="F1191" s="10" t="s">
        <v>1700</v>
      </c>
      <c r="G1191" s="10" t="s">
        <v>2484</v>
      </c>
      <c r="H1191" s="10" t="s">
        <v>3646</v>
      </c>
      <c r="I1191" s="10" t="s">
        <v>55</v>
      </c>
      <c r="J1191" s="10" t="s">
        <v>2165</v>
      </c>
      <c r="K1191" s="10" t="s">
        <v>3647</v>
      </c>
      <c r="L1191" s="10" t="s">
        <v>42</v>
      </c>
    </row>
    <row r="1192" ht="15.75" customHeight="1">
      <c r="A1192" s="66">
        <v>45491.0</v>
      </c>
      <c r="B1192" s="55" t="str">
        <f>HYPERLINK("https://jobright.ai/jobs/info/66995068fe6d069c7caa9e8a?utm_campaign=1062&amp;utm_source=sheet", "Apply")</f>
        <v>Apply</v>
      </c>
      <c r="C1192" s="10" t="s">
        <v>4874</v>
      </c>
      <c r="D1192" s="56" t="s">
        <v>4875</v>
      </c>
      <c r="E1192" s="10" t="s">
        <v>137</v>
      </c>
      <c r="F1192" s="10" t="s">
        <v>2806</v>
      </c>
      <c r="G1192" s="10" t="s">
        <v>2437</v>
      </c>
      <c r="H1192" s="10" t="s">
        <v>3423</v>
      </c>
      <c r="I1192" s="10" t="s">
        <v>55</v>
      </c>
      <c r="K1192" s="10" t="s">
        <v>4876</v>
      </c>
      <c r="L1192" s="10" t="s">
        <v>42</v>
      </c>
    </row>
    <row r="1193" ht="15.75" customHeight="1">
      <c r="A1193" s="66">
        <v>45491.0</v>
      </c>
      <c r="B1193" s="55" t="str">
        <f>HYPERLINK("https://jobright.ai/jobs/info/66994d3663c1016c1926d96d?utm_campaign=1062&amp;utm_source=sheet", "Apply")</f>
        <v>Apply</v>
      </c>
      <c r="C1193" s="10" t="s">
        <v>4877</v>
      </c>
      <c r="D1193" s="56" t="s">
        <v>4878</v>
      </c>
      <c r="E1193" s="10" t="s">
        <v>45</v>
      </c>
      <c r="F1193" s="10" t="s">
        <v>4879</v>
      </c>
      <c r="G1193" s="10" t="s">
        <v>2470</v>
      </c>
      <c r="H1193" s="10" t="s">
        <v>4880</v>
      </c>
      <c r="I1193" s="10" t="s">
        <v>55</v>
      </c>
      <c r="K1193" s="10" t="s">
        <v>4881</v>
      </c>
      <c r="L1193" s="10" t="s">
        <v>42</v>
      </c>
    </row>
    <row r="1194" ht="15.75" customHeight="1">
      <c r="A1194" s="66">
        <v>45491.0</v>
      </c>
      <c r="B1194" s="55" t="str">
        <f>HYPERLINK("https://jobright.ai/jobs/info/66a27b6310e34507ec383ddc?utm_campaign=1062&amp;utm_source=sheet", "Apply")</f>
        <v>Apply</v>
      </c>
      <c r="C1194" s="10" t="s">
        <v>4882</v>
      </c>
      <c r="D1194" s="56" t="s">
        <v>4883</v>
      </c>
      <c r="E1194" s="10" t="s">
        <v>65</v>
      </c>
      <c r="F1194" s="10" t="s">
        <v>4884</v>
      </c>
      <c r="G1194" s="10" t="s">
        <v>2484</v>
      </c>
      <c r="H1194" s="10" t="s">
        <v>4885</v>
      </c>
      <c r="I1194" s="10" t="s">
        <v>55</v>
      </c>
      <c r="K1194" s="10" t="s">
        <v>4886</v>
      </c>
      <c r="L1194" s="10" t="s">
        <v>42</v>
      </c>
    </row>
    <row r="1195" ht="15.75" customHeight="1">
      <c r="A1195" s="66">
        <v>45491.0</v>
      </c>
      <c r="B1195" s="55" t="str">
        <f>HYPERLINK("https://jobright.ai/jobs/info/66a27b6310e34507ec383de7?utm_campaign=1062&amp;utm_source=sheet", "Apply")</f>
        <v>Apply</v>
      </c>
      <c r="C1195" s="10" t="s">
        <v>4887</v>
      </c>
      <c r="D1195" s="56" t="s">
        <v>1993</v>
      </c>
      <c r="E1195" s="10" t="s">
        <v>45</v>
      </c>
      <c r="F1195" s="10" t="s">
        <v>1179</v>
      </c>
      <c r="G1195" s="10" t="s">
        <v>2448</v>
      </c>
      <c r="H1195" s="10" t="s">
        <v>387</v>
      </c>
      <c r="I1195" s="10" t="s">
        <v>55</v>
      </c>
      <c r="J1195" s="10" t="s">
        <v>4888</v>
      </c>
      <c r="K1195" s="10" t="s">
        <v>4889</v>
      </c>
      <c r="L1195" s="10" t="s">
        <v>42</v>
      </c>
    </row>
    <row r="1196" ht="15.75" customHeight="1">
      <c r="A1196" s="66">
        <v>45491.0</v>
      </c>
      <c r="B1196" s="55" t="str">
        <f>HYPERLINK("https://jobright.ai/jobs/info/66a27b6310e34507ec383e19?utm_campaign=1062&amp;utm_source=sheet", "Apply")</f>
        <v>Apply</v>
      </c>
      <c r="C1196" s="10" t="s">
        <v>4358</v>
      </c>
      <c r="D1196" s="56" t="s">
        <v>2462</v>
      </c>
      <c r="E1196" s="10" t="s">
        <v>79</v>
      </c>
      <c r="F1196" s="10" t="s">
        <v>2463</v>
      </c>
      <c r="G1196" s="10" t="s">
        <v>2579</v>
      </c>
      <c r="H1196" s="10" t="s">
        <v>4360</v>
      </c>
      <c r="I1196" s="10" t="s">
        <v>55</v>
      </c>
      <c r="K1196" s="10" t="s">
        <v>4359</v>
      </c>
      <c r="L1196" s="10" t="s">
        <v>42</v>
      </c>
    </row>
    <row r="1197" ht="15.75" customHeight="1">
      <c r="A1197" s="66">
        <v>45491.0</v>
      </c>
      <c r="B1197" s="55" t="str">
        <f>HYPERLINK("https://jobright.ai/jobs/info/6676278974a49bf8010a16f1?utm_campaign=1062&amp;utm_source=sheet", "Apply")</f>
        <v>Apply</v>
      </c>
      <c r="C1197" s="10" t="s">
        <v>4890</v>
      </c>
      <c r="D1197" s="56" t="s">
        <v>317</v>
      </c>
      <c r="E1197" s="10" t="s">
        <v>45</v>
      </c>
      <c r="F1197" s="10" t="s">
        <v>318</v>
      </c>
      <c r="G1197" s="10" t="s">
        <v>2484</v>
      </c>
      <c r="H1197" s="10" t="s">
        <v>4891</v>
      </c>
      <c r="I1197" s="10" t="s">
        <v>55</v>
      </c>
      <c r="K1197" s="10" t="s">
        <v>4892</v>
      </c>
      <c r="L1197" s="10" t="s">
        <v>42</v>
      </c>
    </row>
    <row r="1198" ht="15.75" customHeight="1">
      <c r="A1198" s="66">
        <v>45491.0</v>
      </c>
      <c r="B1198" s="55" t="str">
        <f>HYPERLINK("https://jobright.ai/jobs/info/669940a52f564a8124d2e6db?utm_campaign=1062&amp;utm_source=sheet", "Apply")</f>
        <v>Apply</v>
      </c>
      <c r="C1198" s="10" t="s">
        <v>4893</v>
      </c>
      <c r="D1198" s="56" t="s">
        <v>4894</v>
      </c>
      <c r="E1198" s="10" t="s">
        <v>45</v>
      </c>
      <c r="F1198" s="10" t="s">
        <v>2365</v>
      </c>
      <c r="G1198" s="10" t="s">
        <v>2437</v>
      </c>
      <c r="H1198" s="10" t="s">
        <v>4895</v>
      </c>
      <c r="I1198" s="10" t="s">
        <v>55</v>
      </c>
      <c r="K1198" s="10" t="s">
        <v>4896</v>
      </c>
      <c r="L1198" s="10" t="s">
        <v>42</v>
      </c>
    </row>
    <row r="1199" ht="15.75" customHeight="1">
      <c r="A1199" s="66">
        <v>45491.0</v>
      </c>
      <c r="B1199" s="55" t="str">
        <f>HYPERLINK("https://jobright.ai/jobs/info/66a26fed75dfeeec4e614ed0?utm_campaign=1062&amp;utm_source=sheet", "Apply")</f>
        <v>Apply</v>
      </c>
      <c r="C1199" s="10" t="s">
        <v>4882</v>
      </c>
      <c r="D1199" s="56" t="s">
        <v>4883</v>
      </c>
      <c r="E1199" s="10" t="s">
        <v>65</v>
      </c>
      <c r="F1199" s="10" t="s">
        <v>4884</v>
      </c>
      <c r="G1199" s="10" t="s">
        <v>2484</v>
      </c>
      <c r="H1199" s="10" t="s">
        <v>4897</v>
      </c>
      <c r="I1199" s="10" t="s">
        <v>55</v>
      </c>
      <c r="K1199" s="10" t="s">
        <v>4886</v>
      </c>
      <c r="L1199" s="10" t="s">
        <v>42</v>
      </c>
    </row>
    <row r="1200" ht="15.75" customHeight="1">
      <c r="A1200" s="66">
        <v>45491.0</v>
      </c>
      <c r="B1200" s="55" t="str">
        <f>HYPERLINK("https://jobright.ai/jobs/info/66996b7262e363181a8c76eb?utm_campaign=1062&amp;utm_source=sheet", "Apply")</f>
        <v>Apply</v>
      </c>
      <c r="C1200" s="10" t="s">
        <v>2725</v>
      </c>
      <c r="D1200" s="56" t="s">
        <v>2726</v>
      </c>
      <c r="E1200" s="10" t="s">
        <v>65</v>
      </c>
      <c r="F1200" s="10" t="s">
        <v>85</v>
      </c>
      <c r="G1200" s="10" t="s">
        <v>2464</v>
      </c>
      <c r="H1200" s="10" t="s">
        <v>572</v>
      </c>
      <c r="I1200" s="10" t="s">
        <v>48</v>
      </c>
      <c r="K1200" s="10" t="s">
        <v>3760</v>
      </c>
      <c r="L1200" s="10" t="s">
        <v>42</v>
      </c>
    </row>
    <row r="1201" ht="15.75" customHeight="1">
      <c r="A1201" s="66">
        <v>45491.0</v>
      </c>
      <c r="B1201" s="55" t="str">
        <f>HYPERLINK("https://jobright.ai/jobs/info/669fcdf29720391081d1969b?utm_campaign=1062&amp;utm_source=sheet", "Apply")</f>
        <v>Apply</v>
      </c>
      <c r="C1201" s="10" t="s">
        <v>4862</v>
      </c>
      <c r="D1201" s="56" t="s">
        <v>4802</v>
      </c>
      <c r="E1201" s="10" t="s">
        <v>249</v>
      </c>
      <c r="F1201" s="10" t="s">
        <v>2470</v>
      </c>
      <c r="G1201" s="10" t="s">
        <v>2437</v>
      </c>
      <c r="H1201" s="10" t="s">
        <v>271</v>
      </c>
      <c r="I1201" s="10" t="s">
        <v>55</v>
      </c>
      <c r="K1201" s="10" t="s">
        <v>4898</v>
      </c>
      <c r="L1201" s="10" t="s">
        <v>42</v>
      </c>
    </row>
    <row r="1202" ht="15.75" customHeight="1">
      <c r="A1202" s="66">
        <v>45491.0</v>
      </c>
      <c r="B1202" s="55" t="str">
        <f>HYPERLINK("https://jobright.ai/jobs/info/66a26a3d8d694daaf8c0cb65?utm_campaign=1062&amp;utm_source=sheet", "Apply")</f>
        <v>Apply</v>
      </c>
      <c r="C1202" s="10" t="s">
        <v>4899</v>
      </c>
      <c r="D1202" s="56" t="s">
        <v>4900</v>
      </c>
      <c r="E1202" s="10" t="s">
        <v>137</v>
      </c>
      <c r="F1202" s="10" t="s">
        <v>4901</v>
      </c>
      <c r="G1202" s="10" t="s">
        <v>2455</v>
      </c>
      <c r="H1202" s="10" t="s">
        <v>170</v>
      </c>
      <c r="I1202" s="10" t="s">
        <v>55</v>
      </c>
      <c r="K1202" s="10" t="s">
        <v>4902</v>
      </c>
      <c r="L1202" s="10" t="s">
        <v>42</v>
      </c>
    </row>
    <row r="1203" ht="15.75" customHeight="1">
      <c r="A1203" s="66">
        <v>45491.0</v>
      </c>
      <c r="B1203" s="55" t="str">
        <f>HYPERLINK("https://jobright.ai/jobs/info/66992eba9ee418557d293347?utm_campaign=1062&amp;utm_source=sheet", "Apply")</f>
        <v>Apply</v>
      </c>
      <c r="C1203" s="10" t="s">
        <v>4903</v>
      </c>
      <c r="D1203" s="56" t="s">
        <v>2925</v>
      </c>
      <c r="E1203" s="10" t="s">
        <v>45</v>
      </c>
      <c r="F1203" s="10" t="s">
        <v>2926</v>
      </c>
      <c r="G1203" s="10" t="s">
        <v>2528</v>
      </c>
      <c r="H1203" s="10" t="s">
        <v>807</v>
      </c>
      <c r="I1203" s="10" t="s">
        <v>48</v>
      </c>
      <c r="K1203" s="10" t="s">
        <v>4904</v>
      </c>
      <c r="L1203" s="10" t="s">
        <v>42</v>
      </c>
    </row>
    <row r="1204" ht="15.75" customHeight="1">
      <c r="A1204" s="66">
        <v>45491.0</v>
      </c>
      <c r="B1204" s="55" t="str">
        <f>HYPERLINK("https://jobright.ai/jobs/info/66a266f65297dc7b7d57f8f6?utm_campaign=1062&amp;utm_source=sheet", "Apply")</f>
        <v>Apply</v>
      </c>
      <c r="C1204" s="10" t="s">
        <v>4882</v>
      </c>
      <c r="D1204" s="56" t="s">
        <v>4883</v>
      </c>
      <c r="E1204" s="10" t="s">
        <v>65</v>
      </c>
      <c r="F1204" s="10" t="s">
        <v>4884</v>
      </c>
      <c r="G1204" s="10" t="s">
        <v>2484</v>
      </c>
      <c r="H1204" s="10" t="s">
        <v>245</v>
      </c>
      <c r="I1204" s="10" t="s">
        <v>55</v>
      </c>
      <c r="K1204" s="10" t="s">
        <v>4886</v>
      </c>
      <c r="L1204" s="10" t="s">
        <v>42</v>
      </c>
    </row>
    <row r="1205" ht="15.75" customHeight="1">
      <c r="A1205" s="66">
        <v>45491.0</v>
      </c>
      <c r="B1205" s="55" t="str">
        <f>HYPERLINK("https://jobright.ai/jobs/info/669a77afa898614b42f9d59d?utm_campaign=1062&amp;utm_source=sheet", "Apply")</f>
        <v>Apply</v>
      </c>
      <c r="C1205" s="10" t="s">
        <v>4905</v>
      </c>
      <c r="D1205" s="56" t="s">
        <v>4883</v>
      </c>
      <c r="E1205" s="10" t="s">
        <v>65</v>
      </c>
      <c r="F1205" s="10" t="s">
        <v>4884</v>
      </c>
      <c r="G1205" s="10" t="s">
        <v>2437</v>
      </c>
      <c r="H1205" s="10" t="s">
        <v>245</v>
      </c>
      <c r="I1205" s="10" t="s">
        <v>55</v>
      </c>
      <c r="K1205" s="10" t="s">
        <v>4898</v>
      </c>
      <c r="L1205" s="10" t="s">
        <v>42</v>
      </c>
    </row>
    <row r="1206" ht="15.75" customHeight="1">
      <c r="A1206" s="66">
        <v>45491.0</v>
      </c>
      <c r="B1206" s="55" t="str">
        <f>HYPERLINK("https://jobright.ai/jobs/info/669d171fcc2913c69c0f3ca4?utm_campaign=1062&amp;utm_source=sheet", "Apply")</f>
        <v>Apply</v>
      </c>
      <c r="C1206" s="10" t="s">
        <v>4358</v>
      </c>
      <c r="D1206" s="56" t="s">
        <v>2462</v>
      </c>
      <c r="E1206" s="10" t="s">
        <v>79</v>
      </c>
      <c r="F1206" s="10" t="s">
        <v>2463</v>
      </c>
      <c r="G1206" s="10" t="s">
        <v>2579</v>
      </c>
      <c r="H1206" s="10" t="s">
        <v>4362</v>
      </c>
      <c r="I1206" s="10" t="s">
        <v>55</v>
      </c>
      <c r="K1206" s="10" t="s">
        <v>4359</v>
      </c>
      <c r="L1206" s="10" t="s">
        <v>42</v>
      </c>
    </row>
    <row r="1207" ht="15.75" customHeight="1">
      <c r="A1207" s="66">
        <v>45491.0</v>
      </c>
      <c r="B1207" s="55" t="str">
        <f>HYPERLINK("https://jobright.ai/jobs/info/66a25935e289cc1fdbedc12a?utm_campaign=1062&amp;utm_source=sheet", "Apply")</f>
        <v>Apply</v>
      </c>
      <c r="C1207" s="10" t="s">
        <v>4882</v>
      </c>
      <c r="D1207" s="56" t="s">
        <v>4883</v>
      </c>
      <c r="E1207" s="10" t="s">
        <v>65</v>
      </c>
      <c r="F1207" s="10" t="s">
        <v>4884</v>
      </c>
      <c r="G1207" s="10" t="s">
        <v>2484</v>
      </c>
      <c r="H1207" s="10" t="s">
        <v>965</v>
      </c>
      <c r="I1207" s="10" t="s">
        <v>55</v>
      </c>
      <c r="K1207" s="10" t="s">
        <v>4886</v>
      </c>
      <c r="L1207" s="10" t="s">
        <v>42</v>
      </c>
    </row>
    <row r="1208" ht="15.75" customHeight="1">
      <c r="A1208" s="66">
        <v>45491.0</v>
      </c>
      <c r="B1208" s="55" t="str">
        <f>HYPERLINK("https://jobright.ai/jobs/info/66a256fdb5e640ccaff6bf66?utm_campaign=1062&amp;utm_source=sheet", "Apply")</f>
        <v>Apply</v>
      </c>
      <c r="C1208" s="10" t="s">
        <v>4906</v>
      </c>
      <c r="D1208" s="56" t="s">
        <v>4907</v>
      </c>
      <c r="E1208" s="10" t="s">
        <v>65</v>
      </c>
      <c r="F1208" s="10" t="s">
        <v>665</v>
      </c>
      <c r="G1208" s="10" t="s">
        <v>2484</v>
      </c>
      <c r="H1208" s="10" t="s">
        <v>4908</v>
      </c>
      <c r="I1208" s="10" t="s">
        <v>55</v>
      </c>
      <c r="K1208" s="10" t="s">
        <v>4909</v>
      </c>
      <c r="L1208" s="10" t="s">
        <v>42</v>
      </c>
    </row>
    <row r="1209" ht="15.75" customHeight="1">
      <c r="A1209" s="66">
        <v>45491.0</v>
      </c>
      <c r="B1209" s="55" t="str">
        <f>HYPERLINK("https://jobright.ai/jobs/info/669d0c889a5037d44da6fde3?utm_campaign=1062&amp;utm_source=sheet", "Apply")</f>
        <v>Apply</v>
      </c>
      <c r="C1209" s="10" t="s">
        <v>4910</v>
      </c>
      <c r="D1209" s="56" t="s">
        <v>3017</v>
      </c>
      <c r="E1209" s="10" t="s">
        <v>45</v>
      </c>
      <c r="F1209" s="10" t="s">
        <v>3018</v>
      </c>
      <c r="G1209" s="10" t="s">
        <v>2448</v>
      </c>
      <c r="H1209" s="10" t="s">
        <v>96</v>
      </c>
      <c r="I1209" s="10" t="s">
        <v>55</v>
      </c>
      <c r="K1209" s="10" t="s">
        <v>4911</v>
      </c>
      <c r="L1209" s="10" t="s">
        <v>42</v>
      </c>
    </row>
    <row r="1210" ht="15.75" customHeight="1">
      <c r="A1210" s="66">
        <v>45491.0</v>
      </c>
      <c r="B1210" s="55" t="str">
        <f>HYPERLINK("https://jobright.ai/jobs/info/669e5c0a6357d90ec4699ced?utm_campaign=1062&amp;utm_source=sheet", "Apply")</f>
        <v>Apply</v>
      </c>
      <c r="C1210" s="10" t="s">
        <v>4912</v>
      </c>
      <c r="D1210" s="56" t="s">
        <v>1631</v>
      </c>
      <c r="E1210" s="10" t="s">
        <v>45</v>
      </c>
      <c r="F1210" s="10" t="s">
        <v>1632</v>
      </c>
      <c r="G1210" s="10" t="s">
        <v>2437</v>
      </c>
      <c r="H1210" s="10" t="s">
        <v>4913</v>
      </c>
      <c r="I1210" s="10" t="s">
        <v>55</v>
      </c>
      <c r="K1210" s="10" t="s">
        <v>4914</v>
      </c>
      <c r="L1210" s="10" t="s">
        <v>42</v>
      </c>
    </row>
    <row r="1211" ht="15.75" customHeight="1">
      <c r="A1211" s="66">
        <v>45491.0</v>
      </c>
      <c r="B1211" s="55" t="str">
        <f>HYPERLINK("https://jobright.ai/jobs/info/669e5e4376c6144940234cc5?utm_campaign=1062&amp;utm_source=sheet", "Apply")</f>
        <v>Apply</v>
      </c>
      <c r="C1211" s="10" t="s">
        <v>4915</v>
      </c>
      <c r="D1211" s="56" t="s">
        <v>4802</v>
      </c>
      <c r="E1211" s="10" t="s">
        <v>249</v>
      </c>
      <c r="F1211" s="10" t="s">
        <v>2470</v>
      </c>
      <c r="G1211" s="10" t="s">
        <v>2464</v>
      </c>
      <c r="H1211" s="10" t="s">
        <v>278</v>
      </c>
      <c r="I1211" s="10" t="s">
        <v>55</v>
      </c>
      <c r="K1211" s="10" t="s">
        <v>4916</v>
      </c>
      <c r="L1211" s="10" t="s">
        <v>42</v>
      </c>
    </row>
    <row r="1212" ht="15.75" customHeight="1">
      <c r="A1212" s="66">
        <v>45491.0</v>
      </c>
      <c r="B1212" s="55" t="str">
        <f>HYPERLINK("https://jobright.ai/jobs/info/669d0a6804c007d24af47c64?utm_campaign=1062&amp;utm_source=sheet", "Apply")</f>
        <v>Apply</v>
      </c>
      <c r="C1212" s="10" t="s">
        <v>4917</v>
      </c>
      <c r="D1212" s="56" t="s">
        <v>4802</v>
      </c>
      <c r="E1212" s="10" t="s">
        <v>249</v>
      </c>
      <c r="F1212" s="10" t="s">
        <v>2470</v>
      </c>
      <c r="G1212" s="10" t="s">
        <v>2484</v>
      </c>
      <c r="H1212" s="10" t="s">
        <v>3208</v>
      </c>
      <c r="I1212" s="10" t="s">
        <v>55</v>
      </c>
      <c r="K1212" s="10" t="s">
        <v>4918</v>
      </c>
      <c r="L1212" s="10" t="s">
        <v>42</v>
      </c>
    </row>
    <row r="1213" ht="15.75" customHeight="1">
      <c r="A1213" s="66">
        <v>45491.0</v>
      </c>
      <c r="B1213" s="55" t="str">
        <f>HYPERLINK("https://jobright.ai/jobs/info/66a25103a8221cc7b873ef09?utm_campaign=1062&amp;utm_source=sheet", "Apply")</f>
        <v>Apply</v>
      </c>
      <c r="C1213" s="10" t="s">
        <v>4882</v>
      </c>
      <c r="D1213" s="56" t="s">
        <v>4883</v>
      </c>
      <c r="E1213" s="10" t="s">
        <v>65</v>
      </c>
      <c r="F1213" s="10" t="s">
        <v>4884</v>
      </c>
      <c r="G1213" s="10" t="s">
        <v>2484</v>
      </c>
      <c r="H1213" s="10" t="s">
        <v>442</v>
      </c>
      <c r="I1213" s="10" t="s">
        <v>55</v>
      </c>
      <c r="K1213" s="10" t="s">
        <v>4886</v>
      </c>
      <c r="L1213" s="10" t="s">
        <v>42</v>
      </c>
    </row>
    <row r="1214" ht="15.75" customHeight="1">
      <c r="A1214" s="66">
        <v>45491.0</v>
      </c>
      <c r="B1214" s="55" t="str">
        <f>HYPERLINK("https://jobright.ai/jobs/info/669d0a6804c007d24af47c8d?utm_campaign=1062&amp;utm_source=sheet", "Apply")</f>
        <v>Apply</v>
      </c>
      <c r="C1214" s="10" t="s">
        <v>4358</v>
      </c>
      <c r="D1214" s="56" t="s">
        <v>2462</v>
      </c>
      <c r="E1214" s="10" t="s">
        <v>79</v>
      </c>
      <c r="F1214" s="10" t="s">
        <v>2463</v>
      </c>
      <c r="G1214" s="10" t="s">
        <v>2579</v>
      </c>
      <c r="H1214" s="10" t="s">
        <v>159</v>
      </c>
      <c r="I1214" s="10" t="s">
        <v>55</v>
      </c>
      <c r="K1214" s="10" t="s">
        <v>4359</v>
      </c>
      <c r="L1214" s="10" t="s">
        <v>42</v>
      </c>
    </row>
    <row r="1215" ht="15.75" customHeight="1">
      <c r="A1215" s="66">
        <v>45491.0</v>
      </c>
      <c r="B1215" s="55" t="str">
        <f>HYPERLINK("https://jobright.ai/jobs/info/6699223210e3fec36b685aef?utm_campaign=1062&amp;utm_source=sheet", "Apply")</f>
        <v>Apply</v>
      </c>
      <c r="C1215" s="10" t="s">
        <v>4919</v>
      </c>
      <c r="D1215" s="56" t="s">
        <v>4920</v>
      </c>
      <c r="E1215" s="10" t="s">
        <v>249</v>
      </c>
      <c r="F1215" s="10" t="s">
        <v>4921</v>
      </c>
      <c r="G1215" s="10" t="s">
        <v>2484</v>
      </c>
      <c r="H1215" s="10" t="s">
        <v>4922</v>
      </c>
      <c r="I1215" s="10" t="s">
        <v>55</v>
      </c>
      <c r="K1215" s="10" t="s">
        <v>4923</v>
      </c>
      <c r="L1215" s="10" t="s">
        <v>42</v>
      </c>
    </row>
    <row r="1216" ht="15.75" customHeight="1">
      <c r="A1216" s="66">
        <v>45491.0</v>
      </c>
      <c r="B1216" s="55" t="str">
        <f>HYPERLINK("https://jobright.ai/jobs/info/669ba8f6b14cf70eadd8b6df?utm_campaign=1062&amp;utm_source=sheet", "Apply")</f>
        <v>Apply</v>
      </c>
      <c r="C1216" s="10" t="s">
        <v>4924</v>
      </c>
      <c r="D1216" s="56" t="s">
        <v>4925</v>
      </c>
      <c r="E1216" s="10" t="s">
        <v>276</v>
      </c>
      <c r="F1216" s="10" t="s">
        <v>4926</v>
      </c>
      <c r="G1216" s="10" t="s">
        <v>2464</v>
      </c>
      <c r="H1216" s="10" t="s">
        <v>4927</v>
      </c>
      <c r="I1216" s="10" t="s">
        <v>55</v>
      </c>
      <c r="K1216" s="10" t="s">
        <v>4928</v>
      </c>
      <c r="L1216" s="10" t="s">
        <v>42</v>
      </c>
    </row>
    <row r="1217" ht="15.75" customHeight="1">
      <c r="A1217" s="66">
        <v>45491.0</v>
      </c>
      <c r="B1217" s="55" t="str">
        <f>HYPERLINK("https://jobright.ai/jobs/info/669e49881bef9e02d106cbda?utm_campaign=1062&amp;utm_source=sheet", "Apply")</f>
        <v>Apply</v>
      </c>
      <c r="C1217" s="10" t="s">
        <v>4348</v>
      </c>
      <c r="D1217" s="56" t="s">
        <v>2462</v>
      </c>
      <c r="E1217" s="10" t="s">
        <v>79</v>
      </c>
      <c r="F1217" s="10" t="s">
        <v>2463</v>
      </c>
      <c r="G1217" s="10" t="s">
        <v>2437</v>
      </c>
      <c r="H1217" s="10" t="s">
        <v>3056</v>
      </c>
      <c r="I1217" s="10" t="s">
        <v>55</v>
      </c>
      <c r="K1217" s="10" t="s">
        <v>4929</v>
      </c>
      <c r="L1217" s="10" t="s">
        <v>42</v>
      </c>
    </row>
    <row r="1218" ht="15.75" customHeight="1">
      <c r="A1218" s="64">
        <v>45491.0</v>
      </c>
      <c r="B1218" s="55" t="str">
        <f>HYPERLINK("https://jobright.ai/jobs/info/66a23c435c14cdf3ee23e34f?utm_campaign=1062&amp;utm_source=sheet", "Apply")</f>
        <v>Apply</v>
      </c>
      <c r="C1218" s="10" t="s">
        <v>4882</v>
      </c>
      <c r="D1218" s="56" t="s">
        <v>4883</v>
      </c>
      <c r="E1218" s="10" t="s">
        <v>65</v>
      </c>
      <c r="F1218" s="10" t="s">
        <v>4884</v>
      </c>
      <c r="G1218" s="10" t="s">
        <v>2484</v>
      </c>
      <c r="H1218" s="10" t="s">
        <v>170</v>
      </c>
      <c r="I1218" s="10" t="s">
        <v>55</v>
      </c>
      <c r="K1218" s="10" t="s">
        <v>4886</v>
      </c>
      <c r="L1218" s="10" t="s">
        <v>42</v>
      </c>
    </row>
    <row r="1219" ht="15.75" customHeight="1">
      <c r="A1219" s="64">
        <v>45491.0</v>
      </c>
      <c r="B1219" s="55" t="str">
        <f>HYPERLINK("https://jobright.ai/jobs/info/669e46b2ca3e6aa92c8883b0?utm_campaign=1062&amp;utm_source=sheet", "Apply")</f>
        <v>Apply</v>
      </c>
      <c r="C1219" s="10" t="s">
        <v>4930</v>
      </c>
      <c r="D1219" s="56" t="s">
        <v>4802</v>
      </c>
      <c r="E1219" s="10" t="s">
        <v>249</v>
      </c>
      <c r="F1219" s="10" t="s">
        <v>2470</v>
      </c>
      <c r="G1219" s="10" t="s">
        <v>2437</v>
      </c>
      <c r="H1219" s="10" t="s">
        <v>278</v>
      </c>
      <c r="I1219" s="10" t="s">
        <v>55</v>
      </c>
      <c r="K1219" s="10" t="s">
        <v>4898</v>
      </c>
      <c r="L1219" s="10" t="s">
        <v>42</v>
      </c>
    </row>
    <row r="1220" ht="15.75" customHeight="1">
      <c r="A1220" s="64">
        <v>45491.0</v>
      </c>
      <c r="B1220" s="55" t="str">
        <f>HYPERLINK("https://jobright.ai/jobs/info/669e46b2ca3e6aa92c8883b1?utm_campaign=1062&amp;utm_source=sheet", "Apply")</f>
        <v>Apply</v>
      </c>
      <c r="C1220" s="10" t="s">
        <v>4930</v>
      </c>
      <c r="D1220" s="56" t="s">
        <v>4802</v>
      </c>
      <c r="E1220" s="10" t="s">
        <v>249</v>
      </c>
      <c r="F1220" s="10" t="s">
        <v>2470</v>
      </c>
      <c r="G1220" s="10" t="s">
        <v>2437</v>
      </c>
      <c r="H1220" s="10" t="s">
        <v>442</v>
      </c>
      <c r="I1220" s="10" t="s">
        <v>55</v>
      </c>
      <c r="K1220" s="10" t="s">
        <v>4898</v>
      </c>
      <c r="L1220" s="10" t="s">
        <v>42</v>
      </c>
    </row>
    <row r="1221" ht="15.75" customHeight="1">
      <c r="A1221" s="64">
        <v>45491.0</v>
      </c>
      <c r="B1221" s="55" t="str">
        <f>HYPERLINK("https://jobright.ai/jobs/info/669e43807102b7b2bcf21513?utm_campaign=1062&amp;utm_source=sheet", "Apply")</f>
        <v>Apply</v>
      </c>
      <c r="C1221" s="10" t="s">
        <v>4931</v>
      </c>
      <c r="D1221" s="56" t="s">
        <v>4932</v>
      </c>
      <c r="E1221" s="10" t="s">
        <v>65</v>
      </c>
      <c r="F1221" s="10" t="s">
        <v>4547</v>
      </c>
      <c r="G1221" s="10" t="s">
        <v>2448</v>
      </c>
      <c r="H1221" s="10" t="s">
        <v>442</v>
      </c>
      <c r="I1221" s="10" t="s">
        <v>55</v>
      </c>
      <c r="K1221" s="10" t="s">
        <v>4933</v>
      </c>
      <c r="L1221" s="10" t="s">
        <v>42</v>
      </c>
    </row>
    <row r="1222" ht="15.75" customHeight="1">
      <c r="A1222" s="64">
        <v>45491.0</v>
      </c>
      <c r="B1222" s="55" t="str">
        <f>HYPERLINK("https://jobright.ai/jobs/info/669e43807102b7b2bcf21510?utm_campaign=1062&amp;utm_source=sheet", "Apply")</f>
        <v>Apply</v>
      </c>
      <c r="C1222" s="10" t="s">
        <v>2630</v>
      </c>
      <c r="D1222" s="56" t="s">
        <v>4934</v>
      </c>
      <c r="E1222" s="10" t="s">
        <v>65</v>
      </c>
      <c r="F1222" s="10" t="s">
        <v>3205</v>
      </c>
      <c r="G1222" s="10" t="s">
        <v>2464</v>
      </c>
      <c r="H1222" s="10" t="s">
        <v>932</v>
      </c>
      <c r="I1222" s="10" t="s">
        <v>55</v>
      </c>
      <c r="K1222" s="10" t="s">
        <v>4935</v>
      </c>
      <c r="L1222" s="10" t="s">
        <v>42</v>
      </c>
    </row>
    <row r="1223" ht="15.75" customHeight="1">
      <c r="A1223" s="64">
        <v>45491.0</v>
      </c>
      <c r="B1223" s="55" t="str">
        <f>HYPERLINK("https://jobright.ai/jobs/info/669e40c34ef9507440b48736?utm_campaign=1062&amp;utm_source=sheet", "Apply")</f>
        <v>Apply</v>
      </c>
      <c r="C1223" s="10" t="s">
        <v>4862</v>
      </c>
      <c r="D1223" s="56" t="s">
        <v>4802</v>
      </c>
      <c r="E1223" s="10" t="s">
        <v>249</v>
      </c>
      <c r="F1223" s="10" t="s">
        <v>2470</v>
      </c>
      <c r="G1223" s="10" t="s">
        <v>2437</v>
      </c>
      <c r="H1223" s="10" t="s">
        <v>864</v>
      </c>
      <c r="I1223" s="10" t="s">
        <v>55</v>
      </c>
      <c r="K1223" s="10" t="s">
        <v>4898</v>
      </c>
      <c r="L1223" s="10" t="s">
        <v>42</v>
      </c>
    </row>
    <row r="1224" ht="15.75" customHeight="1">
      <c r="A1224" s="64">
        <v>45491.0</v>
      </c>
      <c r="B1224" s="55" t="str">
        <f>HYPERLINK("https://jobright.ai/jobs/info/669e40c34ef9507440b4873b?utm_campaign=1062&amp;utm_source=sheet", "Apply")</f>
        <v>Apply</v>
      </c>
      <c r="C1224" s="10" t="s">
        <v>4905</v>
      </c>
      <c r="D1224" s="56" t="s">
        <v>4883</v>
      </c>
      <c r="E1224" s="10" t="s">
        <v>65</v>
      </c>
      <c r="F1224" s="10" t="s">
        <v>4884</v>
      </c>
      <c r="G1224" s="10" t="s">
        <v>2437</v>
      </c>
      <c r="H1224" s="10" t="s">
        <v>4885</v>
      </c>
      <c r="I1224" s="10" t="s">
        <v>55</v>
      </c>
      <c r="K1224" s="10" t="s">
        <v>4898</v>
      </c>
      <c r="L1224" s="10" t="s">
        <v>42</v>
      </c>
    </row>
    <row r="1225" ht="15.75" customHeight="1">
      <c r="A1225" s="64">
        <v>45491.0</v>
      </c>
      <c r="B1225" s="55" t="str">
        <f>HYPERLINK("https://jobright.ai/jobs/info/66990576507bb8df8a7a6e45?utm_campaign=1062&amp;utm_source=sheet", "Apply")</f>
        <v>Apply</v>
      </c>
      <c r="C1225" s="10" t="s">
        <v>4936</v>
      </c>
      <c r="D1225" s="56" t="s">
        <v>311</v>
      </c>
      <c r="E1225" s="10" t="s">
        <v>45</v>
      </c>
      <c r="F1225" s="10" t="s">
        <v>312</v>
      </c>
      <c r="G1225" s="10" t="s">
        <v>2502</v>
      </c>
      <c r="H1225" s="10" t="s">
        <v>423</v>
      </c>
      <c r="I1225" s="10" t="s">
        <v>55</v>
      </c>
      <c r="J1225" s="10" t="s">
        <v>4937</v>
      </c>
      <c r="K1225" s="10" t="s">
        <v>4938</v>
      </c>
      <c r="L1225" s="10" t="s">
        <v>42</v>
      </c>
    </row>
    <row r="1226" ht="15.75" customHeight="1">
      <c r="A1226" s="64">
        <v>45491.0</v>
      </c>
      <c r="B1226" s="55" t="str">
        <f>HYPERLINK("https://jobright.ai/jobs/info/669e3a25e01d13c184ac353e?utm_campaign=1062&amp;utm_source=sheet", "Apply")</f>
        <v>Apply</v>
      </c>
      <c r="C1226" s="10" t="s">
        <v>4917</v>
      </c>
      <c r="D1226" s="56" t="s">
        <v>4802</v>
      </c>
      <c r="E1226" s="10" t="s">
        <v>249</v>
      </c>
      <c r="F1226" s="10" t="s">
        <v>2470</v>
      </c>
      <c r="G1226" s="10" t="s">
        <v>2484</v>
      </c>
      <c r="H1226" s="10" t="s">
        <v>3208</v>
      </c>
      <c r="I1226" s="10" t="s">
        <v>55</v>
      </c>
      <c r="K1226" s="10" t="s">
        <v>4939</v>
      </c>
      <c r="L1226" s="10" t="s">
        <v>42</v>
      </c>
    </row>
    <row r="1227" ht="15.75" customHeight="1">
      <c r="A1227" s="64">
        <v>45491.0</v>
      </c>
      <c r="B1227" s="55" t="str">
        <f>HYPERLINK("https://jobright.ai/jobs/info/6698fb21df654ea204b60f97?utm_campaign=1062&amp;utm_source=sheet", "Apply")</f>
        <v>Apply</v>
      </c>
      <c r="C1227" s="10" t="s">
        <v>4940</v>
      </c>
      <c r="D1227" s="56" t="s">
        <v>311</v>
      </c>
      <c r="E1227" s="10" t="s">
        <v>45</v>
      </c>
      <c r="F1227" s="10" t="s">
        <v>312</v>
      </c>
      <c r="G1227" s="10" t="s">
        <v>2502</v>
      </c>
      <c r="H1227" s="10" t="s">
        <v>313</v>
      </c>
      <c r="I1227" s="10" t="s">
        <v>55</v>
      </c>
      <c r="J1227" s="10" t="s">
        <v>4688</v>
      </c>
      <c r="K1227" s="10" t="s">
        <v>4941</v>
      </c>
      <c r="L1227" s="10" t="s">
        <v>42</v>
      </c>
    </row>
    <row r="1228" ht="15.75" customHeight="1">
      <c r="A1228" s="64">
        <v>45491.0</v>
      </c>
      <c r="B1228" s="55" t="str">
        <f>HYPERLINK("https://jobright.ai/jobs/info/668bb7c417dee33772926a8d?utm_campaign=1062&amp;utm_source=sheet", "Apply")</f>
        <v>Apply</v>
      </c>
      <c r="C1228" s="10" t="s">
        <v>4917</v>
      </c>
      <c r="D1228" s="56" t="s">
        <v>4802</v>
      </c>
      <c r="E1228" s="10" t="s">
        <v>249</v>
      </c>
      <c r="F1228" s="10" t="s">
        <v>2470</v>
      </c>
      <c r="G1228" s="10" t="s">
        <v>2484</v>
      </c>
      <c r="H1228" s="10" t="s">
        <v>923</v>
      </c>
      <c r="I1228" s="10" t="s">
        <v>55</v>
      </c>
      <c r="K1228" s="10" t="s">
        <v>4886</v>
      </c>
      <c r="L1228" s="10" t="s">
        <v>42</v>
      </c>
    </row>
    <row r="1229" ht="15.75" customHeight="1">
      <c r="A1229" s="64">
        <v>45491.0</v>
      </c>
      <c r="B1229" s="55" t="str">
        <f>HYPERLINK("https://jobright.ai/jobs/info/667c476b3a9f6591e8a5f453?utm_campaign=1062&amp;utm_source=sheet", "Apply")</f>
        <v>Apply</v>
      </c>
      <c r="C1229" s="10" t="s">
        <v>4942</v>
      </c>
      <c r="D1229" s="56" t="s">
        <v>1073</v>
      </c>
      <c r="E1229" s="10" t="s">
        <v>45</v>
      </c>
      <c r="F1229" s="10" t="s">
        <v>1074</v>
      </c>
      <c r="G1229" s="10" t="s">
        <v>2470</v>
      </c>
      <c r="H1229" s="10" t="s">
        <v>807</v>
      </c>
      <c r="I1229" s="10" t="s">
        <v>48</v>
      </c>
      <c r="K1229" s="10" t="s">
        <v>4943</v>
      </c>
      <c r="L1229" s="10" t="s">
        <v>42</v>
      </c>
    </row>
    <row r="1230" ht="15.75" customHeight="1">
      <c r="A1230" s="64">
        <v>45491.0</v>
      </c>
      <c r="B1230" s="55" t="str">
        <f>HYPERLINK("https://jobright.ai/jobs/info/667cb7597f13acf322d94c1b?utm_campaign=1062&amp;utm_source=sheet", "Apply")</f>
        <v>Apply</v>
      </c>
      <c r="C1230" s="10" t="s">
        <v>4930</v>
      </c>
      <c r="D1230" s="56" t="s">
        <v>4802</v>
      </c>
      <c r="E1230" s="10" t="s">
        <v>249</v>
      </c>
      <c r="F1230" s="10" t="s">
        <v>2470</v>
      </c>
      <c r="G1230" s="10" t="s">
        <v>2437</v>
      </c>
      <c r="H1230" s="10" t="s">
        <v>4897</v>
      </c>
      <c r="I1230" s="10" t="s">
        <v>55</v>
      </c>
      <c r="K1230" s="10" t="s">
        <v>4898</v>
      </c>
      <c r="L1230" s="10" t="s">
        <v>42</v>
      </c>
    </row>
    <row r="1231" ht="15.75" customHeight="1">
      <c r="A1231" s="64">
        <v>45491.0</v>
      </c>
      <c r="B1231" s="55" t="str">
        <f>HYPERLINK("https://jobright.ai/jobs/info/667d0753661970ce839b7311?utm_campaign=1062&amp;utm_source=sheet", "Apply")</f>
        <v>Apply</v>
      </c>
      <c r="C1231" s="10" t="s">
        <v>4930</v>
      </c>
      <c r="D1231" s="56" t="s">
        <v>4802</v>
      </c>
      <c r="E1231" s="10" t="s">
        <v>249</v>
      </c>
      <c r="F1231" s="10" t="s">
        <v>2470</v>
      </c>
      <c r="G1231" s="10" t="s">
        <v>2437</v>
      </c>
      <c r="H1231" s="10" t="s">
        <v>170</v>
      </c>
      <c r="I1231" s="10" t="s">
        <v>55</v>
      </c>
      <c r="K1231" s="10" t="s">
        <v>4898</v>
      </c>
      <c r="L1231" s="10" t="s">
        <v>42</v>
      </c>
    </row>
    <row r="1232" ht="15.75" customHeight="1">
      <c r="A1232" s="64">
        <v>45491.0</v>
      </c>
      <c r="B1232" s="55" t="str">
        <f>HYPERLINK("https://jobright.ai/jobs/info/6686a2c2cc76e214d6198479?utm_campaign=1062&amp;utm_source=sheet", "Apply")</f>
        <v>Apply</v>
      </c>
      <c r="C1232" s="10" t="s">
        <v>4862</v>
      </c>
      <c r="D1232" s="56" t="s">
        <v>4802</v>
      </c>
      <c r="E1232" s="10" t="s">
        <v>249</v>
      </c>
      <c r="F1232" s="10" t="s">
        <v>2470</v>
      </c>
      <c r="G1232" s="10" t="s">
        <v>2437</v>
      </c>
      <c r="H1232" s="10" t="s">
        <v>3208</v>
      </c>
      <c r="I1232" s="10" t="s">
        <v>55</v>
      </c>
      <c r="K1232" s="10" t="s">
        <v>4944</v>
      </c>
      <c r="L1232" s="10" t="s">
        <v>42</v>
      </c>
    </row>
    <row r="1233" ht="15.75" customHeight="1">
      <c r="A1233" s="64">
        <v>45491.0</v>
      </c>
      <c r="B1233" s="55" t="str">
        <f>HYPERLINK("https://jobright.ai/jobs/info/6683e6a5bff8e7c8fbc4a94c?utm_campaign=1062&amp;utm_source=sheet", "Apply")</f>
        <v>Apply</v>
      </c>
      <c r="C1233" s="10" t="s">
        <v>3207</v>
      </c>
      <c r="D1233" s="56" t="s">
        <v>4945</v>
      </c>
      <c r="E1233" s="10" t="s">
        <v>45</v>
      </c>
      <c r="F1233" s="10" t="s">
        <v>4946</v>
      </c>
      <c r="G1233" s="10" t="s">
        <v>2443</v>
      </c>
      <c r="H1233" s="10" t="s">
        <v>3208</v>
      </c>
      <c r="I1233" s="10" t="s">
        <v>55</v>
      </c>
      <c r="K1233" s="10" t="s">
        <v>3209</v>
      </c>
      <c r="L1233" s="10" t="s">
        <v>42</v>
      </c>
    </row>
    <row r="1234" ht="15.75" customHeight="1">
      <c r="A1234" s="64">
        <v>45491.0</v>
      </c>
      <c r="B1234" s="55" t="str">
        <f>HYPERLINK("https://jobright.ai/jobs/info/667ce3f20912df05df3c08bb?utm_campaign=1062&amp;utm_source=sheet", "Apply")</f>
        <v>Apply</v>
      </c>
      <c r="C1234" s="10" t="s">
        <v>1872</v>
      </c>
      <c r="D1234" s="56" t="s">
        <v>4947</v>
      </c>
      <c r="E1234" s="10" t="s">
        <v>79</v>
      </c>
      <c r="F1234" s="10" t="s">
        <v>4948</v>
      </c>
      <c r="G1234" s="10" t="s">
        <v>2502</v>
      </c>
      <c r="H1234" s="10" t="s">
        <v>1254</v>
      </c>
      <c r="I1234" s="10" t="s">
        <v>55</v>
      </c>
      <c r="K1234" s="10" t="s">
        <v>4949</v>
      </c>
      <c r="L1234" s="10" t="s">
        <v>42</v>
      </c>
    </row>
    <row r="1235" ht="15.75" customHeight="1">
      <c r="A1235" s="64">
        <v>45491.0</v>
      </c>
      <c r="B1235" s="55" t="str">
        <f>HYPERLINK("https://jobright.ai/jobs/info/665dd58d64be4476b26ec4fd?utm_campaign=1062&amp;utm_source=sheet", "Apply")</f>
        <v>Apply</v>
      </c>
      <c r="C1235" s="10" t="s">
        <v>4403</v>
      </c>
      <c r="D1235" s="56" t="s">
        <v>4225</v>
      </c>
      <c r="E1235" s="10" t="s">
        <v>209</v>
      </c>
      <c r="F1235" s="10" t="s">
        <v>4226</v>
      </c>
      <c r="G1235" s="10" t="s">
        <v>2470</v>
      </c>
      <c r="H1235" s="10" t="s">
        <v>4230</v>
      </c>
      <c r="I1235" s="10" t="s">
        <v>55</v>
      </c>
      <c r="J1235" s="10" t="s">
        <v>1616</v>
      </c>
      <c r="K1235" s="10" t="s">
        <v>4405</v>
      </c>
      <c r="L1235" s="10" t="s">
        <v>42</v>
      </c>
    </row>
    <row r="1236" ht="15.75" customHeight="1">
      <c r="A1236" s="64">
        <v>45491.0</v>
      </c>
      <c r="B1236" s="55" t="str">
        <f>HYPERLINK("https://jobright.ai/jobs/info/665f62e4d29f1fbd98c5078a?utm_campaign=1062&amp;utm_source=sheet", "Apply")</f>
        <v>Apply</v>
      </c>
      <c r="C1236" s="10" t="s">
        <v>4950</v>
      </c>
      <c r="D1236" s="56" t="s">
        <v>2823</v>
      </c>
      <c r="E1236" s="10" t="s">
        <v>45</v>
      </c>
      <c r="F1236" s="10" t="s">
        <v>2824</v>
      </c>
      <c r="G1236" s="10" t="s">
        <v>2464</v>
      </c>
      <c r="H1236" s="10" t="s">
        <v>1476</v>
      </c>
      <c r="I1236" s="10" t="s">
        <v>55</v>
      </c>
      <c r="K1236" s="10" t="s">
        <v>4951</v>
      </c>
      <c r="L1236" s="10" t="s">
        <v>42</v>
      </c>
    </row>
    <row r="1237" ht="15.75" customHeight="1">
      <c r="A1237" s="64">
        <v>45491.0</v>
      </c>
      <c r="B1237" s="55" t="str">
        <f>HYPERLINK("https://jobright.ai/jobs/info/665fa21793efb292daa0b97f?utm_campaign=1062&amp;utm_source=sheet", "Apply")</f>
        <v>Apply</v>
      </c>
      <c r="C1237" s="10" t="s">
        <v>4952</v>
      </c>
      <c r="D1237" s="56" t="s">
        <v>4953</v>
      </c>
      <c r="E1237" s="10" t="s">
        <v>249</v>
      </c>
      <c r="F1237" s="10" t="s">
        <v>4954</v>
      </c>
      <c r="G1237" s="10" t="s">
        <v>2470</v>
      </c>
      <c r="H1237" s="10" t="s">
        <v>201</v>
      </c>
      <c r="I1237" s="10" t="s">
        <v>55</v>
      </c>
      <c r="J1237" s="10" t="s">
        <v>521</v>
      </c>
      <c r="K1237" s="10" t="s">
        <v>4955</v>
      </c>
      <c r="L1237" s="10" t="s">
        <v>42</v>
      </c>
    </row>
    <row r="1238" ht="15.75" customHeight="1">
      <c r="A1238" s="64">
        <v>45491.0</v>
      </c>
      <c r="B1238" s="55" t="str">
        <f>HYPERLINK("https://jobright.ai/jobs/info/6677c8c164f2e472ffd64913?utm_campaign=1062&amp;utm_source=sheet", "Apply")</f>
        <v>Apply</v>
      </c>
      <c r="C1238" s="10" t="s">
        <v>2725</v>
      </c>
      <c r="D1238" s="56" t="s">
        <v>2726</v>
      </c>
      <c r="E1238" s="10" t="s">
        <v>65</v>
      </c>
      <c r="F1238" s="10" t="s">
        <v>85</v>
      </c>
      <c r="G1238" s="10" t="s">
        <v>2464</v>
      </c>
      <c r="H1238" s="10" t="s">
        <v>1086</v>
      </c>
      <c r="I1238" s="10" t="s">
        <v>48</v>
      </c>
      <c r="K1238" s="10" t="s">
        <v>4956</v>
      </c>
      <c r="L1238" s="10" t="s">
        <v>42</v>
      </c>
    </row>
    <row r="1239" ht="15.75" customHeight="1">
      <c r="A1239" s="64">
        <v>45491.0</v>
      </c>
      <c r="B1239" s="55" t="str">
        <f>HYPERLINK("https://jobright.ai/jobs/info/6696521fb7f3928f49a21cbd?utm_campaign=1062&amp;utm_source=sheet", "Apply")</f>
        <v>Apply</v>
      </c>
      <c r="C1239" s="10" t="s">
        <v>4862</v>
      </c>
      <c r="D1239" s="56" t="s">
        <v>4802</v>
      </c>
      <c r="E1239" s="10" t="s">
        <v>249</v>
      </c>
      <c r="F1239" s="10" t="s">
        <v>2470</v>
      </c>
      <c r="G1239" s="10" t="s">
        <v>2437</v>
      </c>
      <c r="H1239" s="10" t="s">
        <v>923</v>
      </c>
      <c r="I1239" s="10" t="s">
        <v>55</v>
      </c>
      <c r="K1239" s="10" t="s">
        <v>4898</v>
      </c>
      <c r="L1239" s="10" t="s">
        <v>42</v>
      </c>
    </row>
    <row r="1240" ht="15.75" customHeight="1">
      <c r="A1240" s="64">
        <v>45491.0</v>
      </c>
      <c r="B1240" s="55" t="str">
        <f>HYPERLINK("https://jobright.ai/jobs/info/6677c8d864f2e472ffd64a31?utm_campaign=1062&amp;utm_source=sheet", "Apply")</f>
        <v>Apply</v>
      </c>
      <c r="C1240" s="10" t="s">
        <v>4957</v>
      </c>
      <c r="D1240" s="56" t="s">
        <v>4958</v>
      </c>
      <c r="E1240" s="10" t="s">
        <v>249</v>
      </c>
      <c r="F1240" s="10" t="s">
        <v>4959</v>
      </c>
      <c r="G1240" s="10" t="s">
        <v>2437</v>
      </c>
      <c r="H1240" s="10" t="s">
        <v>4960</v>
      </c>
      <c r="I1240" s="10" t="s">
        <v>55</v>
      </c>
      <c r="K1240" s="10" t="s">
        <v>4961</v>
      </c>
      <c r="L1240" s="10" t="s">
        <v>42</v>
      </c>
    </row>
    <row r="1241" ht="15.75" customHeight="1">
      <c r="A1241" s="64">
        <v>45491.0</v>
      </c>
      <c r="B1241" s="55" t="str">
        <f>HYPERLINK("https://jobright.ai/jobs/info/668bb7c417dee33772926a95?utm_campaign=1062&amp;utm_source=sheet", "Apply")</f>
        <v>Apply</v>
      </c>
      <c r="C1241" s="10" t="s">
        <v>4917</v>
      </c>
      <c r="D1241" s="56" t="s">
        <v>4802</v>
      </c>
      <c r="E1241" s="10" t="s">
        <v>249</v>
      </c>
      <c r="F1241" s="10" t="s">
        <v>2470</v>
      </c>
      <c r="G1241" s="10" t="s">
        <v>2484</v>
      </c>
      <c r="H1241" s="10" t="s">
        <v>278</v>
      </c>
      <c r="I1241" s="10" t="s">
        <v>55</v>
      </c>
      <c r="K1241" s="10" t="s">
        <v>4886</v>
      </c>
      <c r="L1241" s="10" t="s">
        <v>42</v>
      </c>
    </row>
    <row r="1242" ht="15.75" customHeight="1">
      <c r="A1242" s="64">
        <v>45491.0</v>
      </c>
      <c r="B1242" s="55" t="str">
        <f>HYPERLINK("https://jobright.ai/jobs/info/667d73beacc51afa47c3cfe4?utm_campaign=1062&amp;utm_source=sheet", "Apply")</f>
        <v>Apply</v>
      </c>
      <c r="C1242" s="10" t="s">
        <v>4962</v>
      </c>
      <c r="D1242" s="56" t="s">
        <v>4802</v>
      </c>
      <c r="E1242" s="10" t="s">
        <v>249</v>
      </c>
      <c r="F1242" s="10" t="s">
        <v>2470</v>
      </c>
      <c r="G1242" s="10" t="s">
        <v>2437</v>
      </c>
      <c r="H1242" s="10" t="s">
        <v>278</v>
      </c>
      <c r="I1242" s="10" t="s">
        <v>55</v>
      </c>
      <c r="K1242" s="10" t="s">
        <v>4898</v>
      </c>
      <c r="L1242" s="10" t="s">
        <v>42</v>
      </c>
    </row>
    <row r="1243" ht="15.75" customHeight="1">
      <c r="A1243" s="64">
        <v>45491.0</v>
      </c>
      <c r="B1243" s="55" t="str">
        <f>HYPERLINK("https://jobright.ai/jobs/info/667ca3457b6b9db4746b1cff?utm_campaign=1062&amp;utm_source=sheet", "Apply")</f>
        <v>Apply</v>
      </c>
      <c r="C1243" s="10" t="s">
        <v>4862</v>
      </c>
      <c r="D1243" s="56" t="s">
        <v>4802</v>
      </c>
      <c r="E1243" s="10" t="s">
        <v>249</v>
      </c>
      <c r="F1243" s="10" t="s">
        <v>2470</v>
      </c>
      <c r="G1243" s="10" t="s">
        <v>2437</v>
      </c>
      <c r="H1243" s="10" t="s">
        <v>4963</v>
      </c>
      <c r="I1243" s="10" t="s">
        <v>55</v>
      </c>
      <c r="K1243" s="10" t="s">
        <v>4898</v>
      </c>
      <c r="L1243" s="10" t="s">
        <v>42</v>
      </c>
    </row>
    <row r="1244" ht="15.75" customHeight="1">
      <c r="A1244" s="64">
        <v>45491.0</v>
      </c>
      <c r="B1244" s="55" t="str">
        <f>HYPERLINK("https://jobright.ai/jobs/info/6676b804022d43fb7b6889af?utm_campaign=1062&amp;utm_source=sheet", "Apply")</f>
        <v>Apply</v>
      </c>
      <c r="C1244" s="10" t="s">
        <v>4964</v>
      </c>
      <c r="D1244" s="56" t="s">
        <v>2721</v>
      </c>
      <c r="E1244" s="10" t="s">
        <v>45</v>
      </c>
      <c r="F1244" s="10" t="s">
        <v>2722</v>
      </c>
      <c r="G1244" s="10" t="s">
        <v>2528</v>
      </c>
      <c r="H1244" s="10" t="s">
        <v>313</v>
      </c>
      <c r="I1244" s="10" t="s">
        <v>55</v>
      </c>
      <c r="J1244" s="10" t="s">
        <v>2723</v>
      </c>
      <c r="K1244" s="10" t="s">
        <v>4965</v>
      </c>
      <c r="L1244" s="10" t="s">
        <v>42</v>
      </c>
    </row>
    <row r="1245" ht="15.75" customHeight="1">
      <c r="A1245" s="64">
        <v>45491.0</v>
      </c>
      <c r="B1245" s="55" t="str">
        <f>HYPERLINK("https://jobright.ai/jobs/info/665f507b49a876d6ce32b1fa?utm_campaign=1062&amp;utm_source=sheet", "Apply")</f>
        <v>Apply</v>
      </c>
      <c r="C1245" s="10" t="s">
        <v>3044</v>
      </c>
      <c r="D1245" s="56" t="s">
        <v>2631</v>
      </c>
      <c r="E1245" s="10" t="s">
        <v>209</v>
      </c>
      <c r="F1245" s="10" t="s">
        <v>2632</v>
      </c>
      <c r="G1245" s="10" t="s">
        <v>2464</v>
      </c>
      <c r="H1245" s="10" t="s">
        <v>779</v>
      </c>
      <c r="I1245" s="10" t="s">
        <v>55</v>
      </c>
      <c r="K1245" s="10" t="s">
        <v>3045</v>
      </c>
      <c r="L1245" s="10" t="s">
        <v>42</v>
      </c>
    </row>
    <row r="1246" ht="15.75" customHeight="1">
      <c r="A1246" s="64">
        <v>45491.0</v>
      </c>
      <c r="B1246" s="55" t="str">
        <f>HYPERLINK("https://jobright.ai/jobs/info/667ca018c08973d614a469bb?utm_campaign=1062&amp;utm_source=sheet", "Apply")</f>
        <v>Apply</v>
      </c>
      <c r="C1246" s="10" t="s">
        <v>4966</v>
      </c>
      <c r="D1246" s="56" t="s">
        <v>1780</v>
      </c>
      <c r="E1246" s="10" t="s">
        <v>45</v>
      </c>
      <c r="F1246" s="10" t="s">
        <v>1781</v>
      </c>
      <c r="G1246" s="10" t="s">
        <v>2589</v>
      </c>
      <c r="H1246" s="10" t="s">
        <v>153</v>
      </c>
      <c r="I1246" s="10" t="s">
        <v>55</v>
      </c>
      <c r="K1246" s="10" t="s">
        <v>4967</v>
      </c>
      <c r="L1246" s="10" t="s">
        <v>42</v>
      </c>
    </row>
    <row r="1247" ht="15.75" customHeight="1">
      <c r="A1247" s="64">
        <v>45491.0</v>
      </c>
      <c r="B1247" s="55" t="str">
        <f>HYPERLINK("https://jobright.ai/jobs/info/667c9c155bb91f3e5e18b8ed?utm_campaign=1062&amp;utm_source=sheet", "Apply")</f>
        <v>Apply</v>
      </c>
      <c r="C1247" s="10" t="s">
        <v>4968</v>
      </c>
      <c r="D1247" s="56" t="s">
        <v>4969</v>
      </c>
      <c r="E1247" s="10" t="s">
        <v>209</v>
      </c>
      <c r="G1247" s="10" t="s">
        <v>2448</v>
      </c>
      <c r="H1247" s="10" t="s">
        <v>4970</v>
      </c>
      <c r="I1247" s="10" t="s">
        <v>55</v>
      </c>
      <c r="K1247" s="10" t="s">
        <v>4971</v>
      </c>
      <c r="L1247" s="10" t="s">
        <v>42</v>
      </c>
    </row>
    <row r="1248" ht="15.75" customHeight="1">
      <c r="A1248" s="64">
        <v>45491.0</v>
      </c>
      <c r="B1248" s="55" t="str">
        <f>HYPERLINK("https://jobright.ai/jobs/info/6677dce3fbac42152a146116?utm_campaign=1062&amp;utm_source=sheet", "Apply")</f>
        <v>Apply</v>
      </c>
      <c r="C1248" s="10" t="s">
        <v>4972</v>
      </c>
      <c r="D1248" s="56" t="s">
        <v>2717</v>
      </c>
      <c r="E1248" s="10" t="s">
        <v>65</v>
      </c>
      <c r="F1248" s="10" t="s">
        <v>2718</v>
      </c>
      <c r="G1248" s="10" t="s">
        <v>2605</v>
      </c>
      <c r="H1248" s="10" t="s">
        <v>4973</v>
      </c>
      <c r="I1248" s="10" t="s">
        <v>55</v>
      </c>
      <c r="J1248" s="10" t="s">
        <v>1189</v>
      </c>
      <c r="K1248" s="10" t="s">
        <v>2719</v>
      </c>
      <c r="L1248" s="10" t="s">
        <v>42</v>
      </c>
    </row>
    <row r="1249" ht="15.75" customHeight="1">
      <c r="A1249" s="64">
        <v>45491.0</v>
      </c>
      <c r="B1249" s="55" t="str">
        <f>HYPERLINK("https://jobright.ai/jobs/info/6677dce3fbac42152a146149?utm_campaign=1062&amp;utm_source=sheet", "Apply")</f>
        <v>Apply</v>
      </c>
      <c r="C1249" s="10" t="s">
        <v>4972</v>
      </c>
      <c r="D1249" s="56" t="s">
        <v>2717</v>
      </c>
      <c r="E1249" s="10" t="s">
        <v>65</v>
      </c>
      <c r="F1249" s="10" t="s">
        <v>2718</v>
      </c>
      <c r="G1249" s="10" t="s">
        <v>2605</v>
      </c>
      <c r="H1249" s="10" t="s">
        <v>4974</v>
      </c>
      <c r="I1249" s="10" t="s">
        <v>55</v>
      </c>
      <c r="J1249" s="10" t="s">
        <v>1189</v>
      </c>
      <c r="K1249" s="10" t="s">
        <v>2719</v>
      </c>
      <c r="L1249" s="10" t="s">
        <v>42</v>
      </c>
    </row>
    <row r="1250" ht="15.75" customHeight="1">
      <c r="A1250" s="64">
        <v>45491.0</v>
      </c>
      <c r="B1250" s="55" t="str">
        <f>HYPERLINK("https://jobright.ai/jobs/info/6677cca674ec1a95a89ae5fc?utm_campaign=1062&amp;utm_source=sheet", "Apply")</f>
        <v>Apply</v>
      </c>
      <c r="C1250" s="10" t="s">
        <v>4975</v>
      </c>
      <c r="D1250" s="56" t="s">
        <v>4197</v>
      </c>
      <c r="E1250" s="10" t="s">
        <v>45</v>
      </c>
      <c r="F1250" s="10" t="s">
        <v>2385</v>
      </c>
      <c r="G1250" s="10" t="s">
        <v>2807</v>
      </c>
      <c r="H1250" s="10" t="s">
        <v>4205</v>
      </c>
      <c r="I1250" s="10" t="s">
        <v>55</v>
      </c>
      <c r="J1250" s="10" t="s">
        <v>4976</v>
      </c>
      <c r="K1250" s="10" t="s">
        <v>4977</v>
      </c>
      <c r="L1250" s="10" t="s">
        <v>42</v>
      </c>
    </row>
    <row r="1251" ht="15.75" customHeight="1">
      <c r="A1251" s="64">
        <v>45491.0</v>
      </c>
      <c r="B1251" s="55" t="str">
        <f>HYPERLINK("https://jobright.ai/jobs/info/6675a7756fb7d4bb72dd72a6?utm_campaign=1062&amp;utm_source=sheet", "Apply")</f>
        <v>Apply</v>
      </c>
      <c r="C1251" s="10" t="s">
        <v>4978</v>
      </c>
      <c r="D1251" s="56" t="s">
        <v>4979</v>
      </c>
      <c r="E1251" s="10" t="s">
        <v>65</v>
      </c>
      <c r="F1251" s="10" t="s">
        <v>1815</v>
      </c>
      <c r="G1251" s="10" t="s">
        <v>2448</v>
      </c>
      <c r="H1251" s="10" t="s">
        <v>131</v>
      </c>
      <c r="I1251" s="10" t="s">
        <v>55</v>
      </c>
      <c r="K1251" s="10" t="s">
        <v>4980</v>
      </c>
      <c r="L1251" s="10" t="s">
        <v>42</v>
      </c>
    </row>
    <row r="1252" ht="15.75" customHeight="1">
      <c r="A1252" s="64">
        <v>45491.0</v>
      </c>
      <c r="B1252" s="55" t="str">
        <f>HYPERLINK("https://jobright.ai/jobs/info/665fe5efcdf8b2bdbae44a1c?utm_campaign=1062&amp;utm_source=sheet", "Apply")</f>
        <v>Apply</v>
      </c>
      <c r="C1252" s="10" t="s">
        <v>4517</v>
      </c>
      <c r="D1252" s="56" t="s">
        <v>2925</v>
      </c>
      <c r="E1252" s="10" t="s">
        <v>45</v>
      </c>
      <c r="F1252" s="10" t="s">
        <v>2926</v>
      </c>
      <c r="G1252" s="10" t="s">
        <v>2443</v>
      </c>
      <c r="H1252" s="10" t="s">
        <v>2996</v>
      </c>
      <c r="I1252" s="10" t="s">
        <v>48</v>
      </c>
      <c r="K1252" s="10" t="s">
        <v>4518</v>
      </c>
      <c r="L1252" s="10" t="s">
        <v>42</v>
      </c>
    </row>
    <row r="1253" ht="15.75" customHeight="1">
      <c r="A1253" s="64">
        <v>45491.0</v>
      </c>
      <c r="B1253" s="55" t="str">
        <f>HYPERLINK("https://jobright.ai/jobs/info/6643a496387b204357960d0c?utm_campaign=1062&amp;utm_source=sheet", "Apply")</f>
        <v>Apply</v>
      </c>
      <c r="C1253" s="10" t="s">
        <v>4981</v>
      </c>
      <c r="D1253" s="56" t="s">
        <v>4526</v>
      </c>
      <c r="E1253" s="10" t="s">
        <v>209</v>
      </c>
      <c r="F1253" s="10" t="s">
        <v>3124</v>
      </c>
      <c r="G1253" s="10" t="s">
        <v>2443</v>
      </c>
      <c r="H1253" s="10" t="s">
        <v>113</v>
      </c>
      <c r="I1253" s="10" t="s">
        <v>48</v>
      </c>
      <c r="K1253" s="10" t="s">
        <v>4982</v>
      </c>
      <c r="L1253" s="10" t="s">
        <v>42</v>
      </c>
    </row>
    <row r="1254" ht="15.75" customHeight="1">
      <c r="A1254" s="64">
        <v>45491.0</v>
      </c>
      <c r="B1254" s="55" t="str">
        <f>HYPERLINK("https://jobright.ai/jobs/info/667c9c2a5bb91f3e5e18baad?utm_campaign=1062&amp;utm_source=sheet", "Apply")</f>
        <v>Apply</v>
      </c>
      <c r="C1254" s="10" t="s">
        <v>2725</v>
      </c>
      <c r="D1254" s="56" t="s">
        <v>2726</v>
      </c>
      <c r="E1254" s="10" t="s">
        <v>65</v>
      </c>
      <c r="F1254" s="10" t="s">
        <v>85</v>
      </c>
      <c r="G1254" s="10" t="s">
        <v>2464</v>
      </c>
      <c r="H1254" s="10" t="s">
        <v>159</v>
      </c>
      <c r="I1254" s="10" t="s">
        <v>48</v>
      </c>
      <c r="K1254" s="10" t="s">
        <v>4983</v>
      </c>
      <c r="L1254" s="10" t="s">
        <v>42</v>
      </c>
    </row>
    <row r="1255" ht="15.75" customHeight="1">
      <c r="A1255" s="64">
        <v>45491.0</v>
      </c>
      <c r="B1255" s="55" t="str">
        <f>HYPERLINK("https://jobright.ai/jobs/info/667c57b0e22ba27459966d33?utm_campaign=1062&amp;utm_source=sheet", "Apply")</f>
        <v>Apply</v>
      </c>
      <c r="C1255" s="10" t="s">
        <v>4984</v>
      </c>
      <c r="D1255" s="56" t="s">
        <v>4985</v>
      </c>
      <c r="E1255" s="10" t="s">
        <v>65</v>
      </c>
      <c r="F1255" s="10" t="s">
        <v>4986</v>
      </c>
      <c r="G1255" s="10" t="s">
        <v>2484</v>
      </c>
      <c r="H1255" s="10" t="s">
        <v>4868</v>
      </c>
      <c r="I1255" s="10" t="s">
        <v>48</v>
      </c>
      <c r="K1255" s="10" t="s">
        <v>4987</v>
      </c>
      <c r="L1255" s="10" t="s">
        <v>42</v>
      </c>
    </row>
    <row r="1256" ht="15.75" customHeight="1">
      <c r="A1256" s="64">
        <v>45491.0</v>
      </c>
      <c r="B1256" s="55" t="str">
        <f>HYPERLINK("https://jobright.ai/jobs/info/665fe5d5cdf8b2bdbae4487d?utm_campaign=1062&amp;utm_source=sheet", "Apply")</f>
        <v>Apply</v>
      </c>
      <c r="C1256" s="10" t="s">
        <v>4988</v>
      </c>
      <c r="D1256" s="56" t="s">
        <v>2925</v>
      </c>
      <c r="E1256" s="10" t="s">
        <v>45</v>
      </c>
      <c r="F1256" s="10" t="s">
        <v>2926</v>
      </c>
      <c r="G1256" s="10" t="s">
        <v>2448</v>
      </c>
      <c r="H1256" s="10" t="s">
        <v>2996</v>
      </c>
      <c r="I1256" s="10" t="s">
        <v>48</v>
      </c>
      <c r="K1256" s="10" t="s">
        <v>2927</v>
      </c>
      <c r="L1256" s="10" t="s">
        <v>42</v>
      </c>
    </row>
    <row r="1257" ht="15.75" customHeight="1">
      <c r="A1257" s="64">
        <v>45491.0</v>
      </c>
      <c r="B1257" s="55" t="str">
        <f>HYPERLINK("https://jobright.ai/jobs/info/667c9233672790c3c6bdb55b?utm_campaign=1062&amp;utm_source=sheet", "Apply")</f>
        <v>Apply</v>
      </c>
      <c r="C1257" s="10" t="s">
        <v>2725</v>
      </c>
      <c r="D1257" s="56" t="s">
        <v>2726</v>
      </c>
      <c r="E1257" s="10" t="s">
        <v>65</v>
      </c>
      <c r="F1257" s="10" t="s">
        <v>85</v>
      </c>
      <c r="G1257" s="10" t="s">
        <v>2464</v>
      </c>
      <c r="H1257" s="10" t="s">
        <v>152</v>
      </c>
      <c r="I1257" s="10" t="s">
        <v>48</v>
      </c>
      <c r="K1257" s="10" t="s">
        <v>4431</v>
      </c>
      <c r="L1257" s="10" t="s">
        <v>42</v>
      </c>
    </row>
    <row r="1258" ht="15.75" customHeight="1">
      <c r="A1258" s="64">
        <v>45491.0</v>
      </c>
      <c r="B1258" s="55" t="str">
        <f>HYPERLINK("https://jobright.ai/jobs/info/6699b5df9ffdc10ad0be6ae1?utm_campaign=1062&amp;utm_source=sheet", "Apply")</f>
        <v>Apply</v>
      </c>
      <c r="C1258" s="10" t="s">
        <v>4989</v>
      </c>
      <c r="D1258" s="56" t="s">
        <v>1444</v>
      </c>
      <c r="E1258" s="10" t="s">
        <v>45</v>
      </c>
      <c r="F1258" s="10" t="s">
        <v>1445</v>
      </c>
      <c r="G1258" s="10" t="s">
        <v>2807</v>
      </c>
      <c r="H1258" s="10" t="s">
        <v>4990</v>
      </c>
      <c r="I1258" s="10" t="s">
        <v>55</v>
      </c>
      <c r="J1258" s="10" t="s">
        <v>4991</v>
      </c>
      <c r="K1258" s="10" t="s">
        <v>4992</v>
      </c>
      <c r="L1258" s="10" t="s">
        <v>42</v>
      </c>
    </row>
    <row r="1259" ht="15.75" customHeight="1">
      <c r="A1259" s="64">
        <v>45491.0</v>
      </c>
      <c r="B1259" s="55" t="str">
        <f>HYPERLINK("https://jobright.ai/jobs/info/6698b32c49cf3ad82cead3b0?utm_campaign=1062&amp;utm_source=sheet", "Apply")</f>
        <v>Apply</v>
      </c>
      <c r="C1259" s="10" t="s">
        <v>4993</v>
      </c>
      <c r="D1259" s="56" t="s">
        <v>311</v>
      </c>
      <c r="E1259" s="10" t="s">
        <v>45</v>
      </c>
      <c r="F1259" s="10" t="s">
        <v>312</v>
      </c>
      <c r="G1259" s="10" t="s">
        <v>2502</v>
      </c>
      <c r="H1259" s="10" t="s">
        <v>313</v>
      </c>
      <c r="I1259" s="10" t="s">
        <v>55</v>
      </c>
      <c r="J1259" s="10" t="s">
        <v>4698</v>
      </c>
      <c r="K1259" s="10" t="s">
        <v>4994</v>
      </c>
      <c r="L1259" s="10" t="s">
        <v>42</v>
      </c>
    </row>
    <row r="1260" ht="15.75" customHeight="1">
      <c r="A1260" s="64">
        <v>45491.0</v>
      </c>
      <c r="B1260" s="55" t="str">
        <f>HYPERLINK("https://jobright.ai/jobs/info/6698e30a33eb6054e7c31cc6?utm_campaign=1062&amp;utm_source=sheet", "Apply")</f>
        <v>Apply</v>
      </c>
      <c r="C1260" s="10" t="s">
        <v>2630</v>
      </c>
      <c r="D1260" s="56" t="s">
        <v>2631</v>
      </c>
      <c r="E1260" s="10" t="s">
        <v>209</v>
      </c>
      <c r="F1260" s="10" t="s">
        <v>2632</v>
      </c>
      <c r="G1260" s="10" t="s">
        <v>2464</v>
      </c>
      <c r="H1260" s="10" t="s">
        <v>882</v>
      </c>
      <c r="I1260" s="10" t="s">
        <v>55</v>
      </c>
      <c r="K1260" s="10" t="s">
        <v>2633</v>
      </c>
      <c r="L1260" s="10" t="s">
        <v>42</v>
      </c>
    </row>
    <row r="1261" ht="15.75" customHeight="1">
      <c r="A1261" s="64">
        <v>45491.0</v>
      </c>
      <c r="B1261" s="55" t="str">
        <f>HYPERLINK("https://jobright.ai/jobs/info/66989897ce666d4a712c33c0?utm_campaign=1062&amp;utm_source=sheet", "Apply")</f>
        <v>Apply</v>
      </c>
      <c r="C1261" s="10" t="s">
        <v>4995</v>
      </c>
      <c r="D1261" s="56" t="s">
        <v>4996</v>
      </c>
      <c r="E1261" s="10" t="s">
        <v>65</v>
      </c>
      <c r="F1261" s="10" t="s">
        <v>4997</v>
      </c>
      <c r="G1261" s="10" t="s">
        <v>2509</v>
      </c>
      <c r="H1261" s="10" t="s">
        <v>765</v>
      </c>
      <c r="I1261" s="10" t="s">
        <v>48</v>
      </c>
      <c r="J1261" s="10" t="s">
        <v>4998</v>
      </c>
      <c r="K1261" s="10" t="s">
        <v>4999</v>
      </c>
      <c r="L1261" s="10" t="s">
        <v>42</v>
      </c>
    </row>
    <row r="1262" ht="15.75" customHeight="1">
      <c r="A1262" s="64">
        <v>45491.0</v>
      </c>
      <c r="B1262" s="55" t="str">
        <f>HYPERLINK("https://jobright.ai/jobs/info/66990eb473d5af3493603b18?utm_campaign=1062&amp;utm_source=sheet", "Apply")</f>
        <v>Apply</v>
      </c>
      <c r="C1262" s="10" t="s">
        <v>5000</v>
      </c>
      <c r="D1262" s="56" t="s">
        <v>5001</v>
      </c>
      <c r="E1262" s="10" t="s">
        <v>209</v>
      </c>
      <c r="F1262" s="10" t="s">
        <v>3124</v>
      </c>
      <c r="G1262" s="10" t="s">
        <v>2443</v>
      </c>
      <c r="H1262" s="10" t="s">
        <v>1025</v>
      </c>
      <c r="I1262" s="10" t="s">
        <v>55</v>
      </c>
      <c r="K1262" s="10" t="s">
        <v>5002</v>
      </c>
      <c r="L1262" s="10" t="s">
        <v>42</v>
      </c>
    </row>
    <row r="1263" ht="15.75" customHeight="1">
      <c r="A1263" s="64">
        <v>45491.0</v>
      </c>
      <c r="B1263" s="55" t="str">
        <f>HYPERLINK("https://jobright.ai/jobs/info/66989c38b1eca4343d043408?utm_campaign=1062&amp;utm_source=sheet", "Apply")</f>
        <v>Apply</v>
      </c>
      <c r="C1263" s="10" t="s">
        <v>5003</v>
      </c>
      <c r="D1263" s="56" t="s">
        <v>5004</v>
      </c>
      <c r="G1263" s="10" t="s">
        <v>2484</v>
      </c>
      <c r="H1263" s="10" t="s">
        <v>5005</v>
      </c>
      <c r="I1263" s="10" t="s">
        <v>55</v>
      </c>
      <c r="J1263" s="10" t="s">
        <v>5006</v>
      </c>
      <c r="K1263" s="10" t="s">
        <v>5007</v>
      </c>
      <c r="L1263" s="10" t="s">
        <v>42</v>
      </c>
    </row>
    <row r="1264" ht="15.75" customHeight="1">
      <c r="A1264" s="64">
        <v>45491.0</v>
      </c>
      <c r="B1264" s="55" t="str">
        <f>HYPERLINK("https://jobright.ai/jobs/info/6698969cdeb6dacef3c98f9d?utm_campaign=1062&amp;utm_source=sheet", "Apply")</f>
        <v>Apply</v>
      </c>
      <c r="C1264" s="10" t="s">
        <v>3156</v>
      </c>
      <c r="D1264" s="56" t="s">
        <v>1183</v>
      </c>
      <c r="E1264" s="10" t="s">
        <v>45</v>
      </c>
      <c r="F1264" s="10" t="s">
        <v>1184</v>
      </c>
      <c r="G1264" s="10" t="s">
        <v>2448</v>
      </c>
      <c r="H1264" s="10" t="s">
        <v>804</v>
      </c>
      <c r="I1264" s="10" t="s">
        <v>55</v>
      </c>
      <c r="J1264" s="10" t="s">
        <v>5008</v>
      </c>
      <c r="K1264" s="10" t="s">
        <v>5009</v>
      </c>
      <c r="L1264" s="10" t="s">
        <v>42</v>
      </c>
    </row>
    <row r="1265" ht="15.75" customHeight="1">
      <c r="A1265" s="64">
        <v>45491.0</v>
      </c>
      <c r="B1265" s="55" t="str">
        <f>HYPERLINK("https://jobright.ai/jobs/info/6698849772006507039538df?utm_campaign=1062&amp;utm_source=sheet", "Apply")</f>
        <v>Apply</v>
      </c>
      <c r="C1265" s="10" t="s">
        <v>5010</v>
      </c>
      <c r="D1265" s="56" t="s">
        <v>5004</v>
      </c>
      <c r="G1265" s="10" t="s">
        <v>2484</v>
      </c>
      <c r="H1265" s="10" t="s">
        <v>438</v>
      </c>
      <c r="I1265" s="10" t="s">
        <v>55</v>
      </c>
      <c r="J1265" s="10" t="s">
        <v>5011</v>
      </c>
      <c r="K1265" s="10" t="s">
        <v>5012</v>
      </c>
      <c r="L1265" s="10" t="s">
        <v>42</v>
      </c>
    </row>
    <row r="1266" ht="15.75" customHeight="1">
      <c r="A1266" s="64">
        <v>45491.0</v>
      </c>
      <c r="B1266" s="55" t="str">
        <f>HYPERLINK("https://jobright.ai/jobs/info/66a1ba6cc8e15e161f943314?utm_campaign=1062&amp;utm_source=sheet", "Apply")</f>
        <v>Apply</v>
      </c>
      <c r="C1266" s="10" t="s">
        <v>4317</v>
      </c>
      <c r="D1266" s="56" t="s">
        <v>4318</v>
      </c>
      <c r="E1266" s="10" t="s">
        <v>45</v>
      </c>
      <c r="F1266" s="10" t="s">
        <v>4319</v>
      </c>
      <c r="G1266" s="10" t="s">
        <v>2484</v>
      </c>
      <c r="H1266" s="10" t="s">
        <v>5013</v>
      </c>
      <c r="I1266" s="10" t="s">
        <v>55</v>
      </c>
      <c r="K1266" s="10" t="s">
        <v>4320</v>
      </c>
      <c r="L1266" s="10" t="s">
        <v>42</v>
      </c>
    </row>
    <row r="1267" ht="15.75" customHeight="1">
      <c r="A1267" s="64">
        <v>45491.0</v>
      </c>
      <c r="B1267" s="55" t="str">
        <f>HYPERLINK("https://jobright.ai/jobs/info/66984ec16ace611cbf3c758e?utm_campaign=1062&amp;utm_source=sheet", "Apply")</f>
        <v>Apply</v>
      </c>
      <c r="C1267" s="10" t="s">
        <v>5014</v>
      </c>
      <c r="D1267" s="56" t="s">
        <v>5015</v>
      </c>
      <c r="E1267" s="10" t="s">
        <v>71</v>
      </c>
      <c r="F1267" s="10" t="s">
        <v>5016</v>
      </c>
      <c r="G1267" s="10" t="s">
        <v>2437</v>
      </c>
      <c r="H1267" s="10" t="s">
        <v>251</v>
      </c>
      <c r="I1267" s="10" t="s">
        <v>252</v>
      </c>
      <c r="J1267" s="10" t="s">
        <v>5017</v>
      </c>
      <c r="K1267" s="10" t="s">
        <v>5018</v>
      </c>
      <c r="L1267" s="10" t="s">
        <v>42</v>
      </c>
    </row>
    <row r="1268" ht="15.75" customHeight="1">
      <c r="A1268" s="64">
        <v>45491.0</v>
      </c>
      <c r="B1268" s="55" t="str">
        <f>HYPERLINK("https://jobright.ai/jobs/info/669662b554be5f07e0d86200?utm_campaign=1062&amp;utm_source=sheet", "Apply")</f>
        <v>Apply</v>
      </c>
      <c r="C1268" s="10" t="s">
        <v>5019</v>
      </c>
      <c r="D1268" s="56" t="s">
        <v>311</v>
      </c>
      <c r="E1268" s="10" t="s">
        <v>45</v>
      </c>
      <c r="F1268" s="10" t="s">
        <v>312</v>
      </c>
      <c r="G1268" s="10" t="s">
        <v>2502</v>
      </c>
      <c r="H1268" s="10" t="s">
        <v>313</v>
      </c>
      <c r="I1268" s="10" t="s">
        <v>55</v>
      </c>
      <c r="J1268" s="10" t="s">
        <v>4698</v>
      </c>
      <c r="K1268" s="10" t="s">
        <v>5020</v>
      </c>
      <c r="L1268" s="10" t="s">
        <v>42</v>
      </c>
    </row>
    <row r="1269" ht="15.75" customHeight="1">
      <c r="A1269" s="64">
        <v>45491.0</v>
      </c>
      <c r="B1269" s="55" t="str">
        <f>HYPERLINK("https://jobright.ai/jobs/info/669898a1ce666d4a712c3438?utm_campaign=1062&amp;utm_source=sheet", "Apply")</f>
        <v>Apply</v>
      </c>
      <c r="C1269" s="10" t="s">
        <v>5021</v>
      </c>
      <c r="D1269" s="56" t="s">
        <v>5022</v>
      </c>
      <c r="E1269" s="10" t="s">
        <v>65</v>
      </c>
      <c r="F1269" s="10" t="s">
        <v>2828</v>
      </c>
      <c r="G1269" s="10" t="s">
        <v>2605</v>
      </c>
      <c r="H1269" s="10" t="s">
        <v>1120</v>
      </c>
      <c r="I1269" s="10" t="s">
        <v>55</v>
      </c>
      <c r="K1269" s="10" t="s">
        <v>5023</v>
      </c>
      <c r="L1269" s="10" t="s">
        <v>42</v>
      </c>
    </row>
    <row r="1270" ht="15.75" customHeight="1">
      <c r="A1270" s="64">
        <v>45491.0</v>
      </c>
      <c r="B1270" s="55" t="str">
        <f>HYPERLINK("https://jobright.ai/jobs/info/669997af2ffed9764616e5f7?utm_campaign=1062&amp;utm_source=sheet", "Apply")</f>
        <v>Apply</v>
      </c>
      <c r="C1270" s="10" t="s">
        <v>4276</v>
      </c>
      <c r="D1270" s="56" t="s">
        <v>567</v>
      </c>
      <c r="E1270" s="10" t="s">
        <v>65</v>
      </c>
      <c r="F1270" s="10" t="s">
        <v>568</v>
      </c>
      <c r="G1270" s="10" t="s">
        <v>2448</v>
      </c>
      <c r="H1270" s="10" t="s">
        <v>153</v>
      </c>
      <c r="I1270" s="10" t="s">
        <v>55</v>
      </c>
      <c r="K1270" s="10" t="s">
        <v>3024</v>
      </c>
      <c r="L1270" s="10" t="s">
        <v>42</v>
      </c>
    </row>
    <row r="1271" ht="15.75" customHeight="1">
      <c r="A1271" s="64">
        <v>45491.0</v>
      </c>
      <c r="B1271" s="55" t="str">
        <f>HYPERLINK("https://jobright.ai/jobs/info/66997174a53b186b6e471b64?utm_campaign=1062&amp;utm_source=sheet", "Apply")</f>
        <v>Apply</v>
      </c>
      <c r="C1271" s="10" t="s">
        <v>4864</v>
      </c>
      <c r="D1271" s="56" t="s">
        <v>5024</v>
      </c>
      <c r="E1271" s="10" t="s">
        <v>45</v>
      </c>
      <c r="F1271" s="10" t="s">
        <v>5025</v>
      </c>
      <c r="G1271" s="10" t="s">
        <v>2443</v>
      </c>
      <c r="H1271" s="10" t="s">
        <v>5026</v>
      </c>
      <c r="I1271" s="10" t="s">
        <v>55</v>
      </c>
      <c r="K1271" s="10" t="s">
        <v>5027</v>
      </c>
      <c r="L1271" s="10" t="s">
        <v>42</v>
      </c>
    </row>
    <row r="1272" ht="15.75" customHeight="1">
      <c r="A1272" s="64">
        <v>45491.0</v>
      </c>
      <c r="B1272" s="55" t="str">
        <f>HYPERLINK("https://jobright.ai/jobs/info/66996e6fa41ce254938c5af9?utm_campaign=1062&amp;utm_source=sheet", "Apply")</f>
        <v>Apply</v>
      </c>
      <c r="C1272" s="10" t="s">
        <v>4752</v>
      </c>
      <c r="D1272" s="56" t="s">
        <v>4555</v>
      </c>
      <c r="E1272" s="10" t="s">
        <v>65</v>
      </c>
      <c r="F1272" s="10" t="s">
        <v>2828</v>
      </c>
      <c r="G1272" s="10" t="s">
        <v>2443</v>
      </c>
      <c r="H1272" s="10" t="s">
        <v>621</v>
      </c>
      <c r="I1272" s="10" t="s">
        <v>55</v>
      </c>
      <c r="J1272" s="10" t="s">
        <v>4753</v>
      </c>
      <c r="K1272" s="10" t="s">
        <v>5028</v>
      </c>
      <c r="L1272" s="10" t="s">
        <v>42</v>
      </c>
    </row>
    <row r="1273" ht="15.75" customHeight="1">
      <c r="A1273" s="64">
        <v>45491.0</v>
      </c>
      <c r="B1273" s="55" t="str">
        <f>HYPERLINK("https://jobright.ai/jobs/info/66997174a53b186b6e471b68?utm_campaign=1062&amp;utm_source=sheet", "Apply")</f>
        <v>Apply</v>
      </c>
      <c r="C1273" s="10" t="s">
        <v>5029</v>
      </c>
      <c r="D1273" s="56" t="s">
        <v>1414</v>
      </c>
      <c r="E1273" s="10" t="s">
        <v>45</v>
      </c>
      <c r="F1273" s="10" t="s">
        <v>1415</v>
      </c>
      <c r="G1273" s="10" t="s">
        <v>2448</v>
      </c>
      <c r="H1273" s="10" t="s">
        <v>5030</v>
      </c>
      <c r="I1273" s="10" t="s">
        <v>55</v>
      </c>
      <c r="K1273" s="10" t="s">
        <v>5031</v>
      </c>
      <c r="L1273" s="10" t="s">
        <v>42</v>
      </c>
    </row>
    <row r="1274" ht="15.75" customHeight="1">
      <c r="A1274" s="64">
        <v>45491.0</v>
      </c>
      <c r="B1274" s="55" t="str">
        <f>HYPERLINK("https://jobright.ai/jobs/info/66991962ed2f6b42ab424a96?utm_campaign=1062&amp;utm_source=sheet", "Apply")</f>
        <v>Apply</v>
      </c>
      <c r="C1274" s="10" t="s">
        <v>5032</v>
      </c>
      <c r="D1274" s="56" t="s">
        <v>1414</v>
      </c>
      <c r="E1274" s="10" t="s">
        <v>45</v>
      </c>
      <c r="F1274" s="10" t="s">
        <v>1415</v>
      </c>
      <c r="G1274" s="10" t="s">
        <v>2448</v>
      </c>
      <c r="H1274" s="10" t="s">
        <v>5030</v>
      </c>
      <c r="I1274" s="10" t="s">
        <v>55</v>
      </c>
      <c r="K1274" s="10" t="s">
        <v>5033</v>
      </c>
      <c r="L1274" s="10" t="s">
        <v>42</v>
      </c>
    </row>
    <row r="1275" ht="15.75" customHeight="1">
      <c r="A1275" s="64">
        <v>45490.0</v>
      </c>
      <c r="B1275" s="55" t="str">
        <f>HYPERLINK("https://jobright.ai/jobs/info/66986a14612f94d9459910a6?utm_campaign=1062&amp;utm_source=sheet", "Apply")</f>
        <v>Apply</v>
      </c>
      <c r="C1275" s="10" t="s">
        <v>5034</v>
      </c>
      <c r="D1275" s="56" t="s">
        <v>5035</v>
      </c>
      <c r="E1275" s="10" t="s">
        <v>137</v>
      </c>
      <c r="F1275" s="10" t="s">
        <v>5036</v>
      </c>
      <c r="G1275" s="10" t="s">
        <v>2470</v>
      </c>
      <c r="H1275" s="10" t="s">
        <v>525</v>
      </c>
      <c r="I1275" s="10" t="s">
        <v>55</v>
      </c>
      <c r="K1275" s="10" t="s">
        <v>5037</v>
      </c>
      <c r="L1275" s="10" t="s">
        <v>42</v>
      </c>
    </row>
    <row r="1276" ht="15.75" customHeight="1">
      <c r="A1276" s="64">
        <v>45490.0</v>
      </c>
      <c r="B1276" s="55" t="str">
        <f>HYPERLINK("https://jobright.ai/jobs/info/669860d2cc1bbc4f0771541c?utm_campaign=1062&amp;utm_source=sheet", "Apply")</f>
        <v>Apply</v>
      </c>
      <c r="C1276" s="10" t="s">
        <v>5038</v>
      </c>
      <c r="D1276" s="56" t="s">
        <v>5039</v>
      </c>
      <c r="E1276" s="10" t="s">
        <v>276</v>
      </c>
      <c r="F1276" s="10" t="s">
        <v>5040</v>
      </c>
      <c r="G1276" s="10" t="s">
        <v>2443</v>
      </c>
      <c r="H1276" s="10" t="s">
        <v>5041</v>
      </c>
      <c r="I1276" s="10" t="s">
        <v>55</v>
      </c>
      <c r="K1276" s="10" t="s">
        <v>5042</v>
      </c>
      <c r="L1276" s="10" t="s">
        <v>42</v>
      </c>
    </row>
    <row r="1277" ht="15.75" customHeight="1">
      <c r="A1277" s="64">
        <v>45490.0</v>
      </c>
      <c r="B1277" s="55" t="str">
        <f>HYPERLINK("https://jobright.ai/jobs/info/669863d369627a020a696e4f?utm_campaign=1062&amp;utm_source=sheet", "Apply")</f>
        <v>Apply</v>
      </c>
      <c r="C1277" s="10" t="s">
        <v>5043</v>
      </c>
      <c r="D1277" s="56" t="s">
        <v>5044</v>
      </c>
      <c r="E1277" s="10" t="s">
        <v>71</v>
      </c>
      <c r="F1277" s="10" t="s">
        <v>3205</v>
      </c>
      <c r="G1277" s="10" t="s">
        <v>2464</v>
      </c>
      <c r="H1277" s="10" t="s">
        <v>621</v>
      </c>
      <c r="I1277" s="10" t="s">
        <v>55</v>
      </c>
      <c r="K1277" s="10" t="s">
        <v>5045</v>
      </c>
      <c r="L1277" s="10" t="s">
        <v>42</v>
      </c>
    </row>
    <row r="1278" ht="15.75" customHeight="1">
      <c r="A1278" s="64">
        <v>45490.0</v>
      </c>
      <c r="B1278" s="55" t="str">
        <f>HYPERLINK("https://jobright.ai/jobs/info/669860303dcb2e6ad8ada1c3?utm_campaign=1062&amp;utm_source=sheet", "Apply")</f>
        <v>Apply</v>
      </c>
      <c r="C1278" s="10" t="s">
        <v>5046</v>
      </c>
      <c r="D1278" s="56" t="s">
        <v>5047</v>
      </c>
      <c r="E1278" s="10" t="s">
        <v>45</v>
      </c>
      <c r="F1278" s="10" t="s">
        <v>5048</v>
      </c>
      <c r="G1278" s="10" t="s">
        <v>2448</v>
      </c>
      <c r="H1278" s="10" t="s">
        <v>5049</v>
      </c>
      <c r="I1278" s="10" t="s">
        <v>55</v>
      </c>
      <c r="K1278" s="10" t="s">
        <v>5050</v>
      </c>
      <c r="L1278" s="10" t="s">
        <v>42</v>
      </c>
    </row>
    <row r="1279" ht="15.75" customHeight="1">
      <c r="A1279" s="64">
        <v>45490.0</v>
      </c>
      <c r="B1279" s="55" t="str">
        <f>HYPERLINK("https://jobright.ai/jobs/info/669860d2cc1bbc4f0771546d?utm_campaign=1062&amp;utm_source=sheet", "Apply")</f>
        <v>Apply</v>
      </c>
      <c r="C1279" s="10" t="s">
        <v>5051</v>
      </c>
      <c r="D1279" s="56" t="s">
        <v>5052</v>
      </c>
      <c r="E1279" s="10" t="s">
        <v>249</v>
      </c>
      <c r="F1279" s="10" t="s">
        <v>4022</v>
      </c>
      <c r="G1279" s="10" t="s">
        <v>2448</v>
      </c>
      <c r="H1279" s="10" t="s">
        <v>5053</v>
      </c>
      <c r="I1279" s="10" t="s">
        <v>55</v>
      </c>
      <c r="J1279" s="10" t="s">
        <v>5054</v>
      </c>
      <c r="K1279" s="10" t="s">
        <v>5055</v>
      </c>
      <c r="L1279" s="10" t="s">
        <v>42</v>
      </c>
    </row>
    <row r="1280" ht="15.75" customHeight="1">
      <c r="A1280" s="64">
        <v>45490.0</v>
      </c>
      <c r="B1280" s="55" t="str">
        <f>HYPERLINK("https://jobright.ai/jobs/info/66985b93bcc7083fede2a4e3?utm_campaign=1062&amp;utm_source=sheet", "Apply")</f>
        <v>Apply</v>
      </c>
      <c r="C1280" s="10" t="s">
        <v>5056</v>
      </c>
      <c r="D1280" s="56" t="s">
        <v>5057</v>
      </c>
      <c r="E1280" s="10" t="s">
        <v>249</v>
      </c>
      <c r="F1280" s="10" t="s">
        <v>5058</v>
      </c>
      <c r="G1280" s="10" t="s">
        <v>2579</v>
      </c>
      <c r="H1280" s="10" t="s">
        <v>949</v>
      </c>
      <c r="I1280" s="10" t="s">
        <v>55</v>
      </c>
      <c r="J1280" s="10" t="s">
        <v>5059</v>
      </c>
      <c r="K1280" s="10" t="s">
        <v>5060</v>
      </c>
      <c r="L1280" s="10" t="s">
        <v>42</v>
      </c>
    </row>
    <row r="1281" ht="15.75" customHeight="1">
      <c r="A1281" s="64">
        <v>45490.0</v>
      </c>
      <c r="B1281" s="55" t="str">
        <f>HYPERLINK("https://jobright.ai/jobs/info/66985e4448d5b075115a12b5?utm_campaign=1062&amp;utm_source=sheet", "Apply")</f>
        <v>Apply</v>
      </c>
      <c r="C1281" s="10" t="s">
        <v>5061</v>
      </c>
      <c r="D1281" s="56" t="s">
        <v>5062</v>
      </c>
      <c r="E1281" s="10" t="s">
        <v>45</v>
      </c>
      <c r="F1281" s="10" t="s">
        <v>2385</v>
      </c>
      <c r="G1281" s="10" t="s">
        <v>2484</v>
      </c>
      <c r="H1281" s="10" t="s">
        <v>866</v>
      </c>
      <c r="I1281" s="10" t="s">
        <v>55</v>
      </c>
      <c r="K1281" s="10" t="s">
        <v>5063</v>
      </c>
      <c r="L1281" s="10" t="s">
        <v>42</v>
      </c>
    </row>
    <row r="1282" ht="15.75" customHeight="1">
      <c r="A1282" s="64">
        <v>45490.0</v>
      </c>
      <c r="B1282" s="55" t="str">
        <f>HYPERLINK("https://jobright.ai/jobs/info/66985e4448d5b075115a12c9?utm_campaign=1062&amp;utm_source=sheet", "Apply")</f>
        <v>Apply</v>
      </c>
      <c r="C1282" s="10" t="s">
        <v>5064</v>
      </c>
      <c r="D1282" s="56" t="s">
        <v>716</v>
      </c>
      <c r="E1282" s="10" t="s">
        <v>79</v>
      </c>
      <c r="F1282" s="10" t="s">
        <v>717</v>
      </c>
      <c r="G1282" s="10" t="s">
        <v>3733</v>
      </c>
      <c r="H1282" s="10" t="s">
        <v>144</v>
      </c>
      <c r="I1282" s="10" t="s">
        <v>55</v>
      </c>
      <c r="J1282" s="10" t="s">
        <v>718</v>
      </c>
      <c r="K1282" s="10" t="s">
        <v>5065</v>
      </c>
      <c r="L1282" s="10" t="s">
        <v>42</v>
      </c>
    </row>
    <row r="1283" ht="15.75" customHeight="1">
      <c r="A1283" s="64">
        <v>45490.0</v>
      </c>
      <c r="B1283" s="55" t="str">
        <f>HYPERLINK("https://jobright.ai/jobs/info/66985e4e48d5b075115a130e?utm_campaign=1062&amp;utm_source=sheet", "Apply")</f>
        <v>Apply</v>
      </c>
      <c r="C1283" s="10" t="s">
        <v>5066</v>
      </c>
      <c r="D1283" s="56" t="s">
        <v>5067</v>
      </c>
      <c r="E1283" s="10" t="s">
        <v>79</v>
      </c>
      <c r="F1283" s="10" t="s">
        <v>665</v>
      </c>
      <c r="G1283" s="10" t="s">
        <v>2495</v>
      </c>
      <c r="H1283" s="10" t="s">
        <v>5068</v>
      </c>
      <c r="I1283" s="10" t="s">
        <v>48</v>
      </c>
      <c r="K1283" s="10" t="s">
        <v>5069</v>
      </c>
      <c r="L1283" s="10" t="s">
        <v>42</v>
      </c>
    </row>
    <row r="1284" ht="15.75" customHeight="1">
      <c r="A1284" s="64">
        <v>45490.0</v>
      </c>
      <c r="B1284" s="55" t="str">
        <f>HYPERLINK("https://jobright.ai/jobs/info/6698570658b8b9aeae6e3709?utm_campaign=1062&amp;utm_source=sheet", "Apply")</f>
        <v>Apply</v>
      </c>
      <c r="C1284" s="10" t="s">
        <v>3236</v>
      </c>
      <c r="D1284" s="56" t="s">
        <v>4271</v>
      </c>
      <c r="E1284" s="10" t="s">
        <v>45</v>
      </c>
      <c r="F1284" s="10" t="s">
        <v>4272</v>
      </c>
      <c r="G1284" s="10" t="s">
        <v>2443</v>
      </c>
      <c r="H1284" s="10" t="s">
        <v>636</v>
      </c>
      <c r="I1284" s="10" t="s">
        <v>55</v>
      </c>
      <c r="K1284" s="10" t="s">
        <v>5070</v>
      </c>
      <c r="L1284" s="10" t="s">
        <v>42</v>
      </c>
    </row>
    <row r="1285" ht="15.75" customHeight="1">
      <c r="A1285" s="64">
        <v>45490.0</v>
      </c>
      <c r="B1285" s="55" t="str">
        <f>HYPERLINK("https://jobright.ai/jobs/info/6698660fc5aa19a88362793d?utm_campaign=1062&amp;utm_source=sheet", "Apply")</f>
        <v>Apply</v>
      </c>
      <c r="C1285" s="10" t="s">
        <v>5071</v>
      </c>
      <c r="D1285" s="56" t="s">
        <v>5044</v>
      </c>
      <c r="E1285" s="10" t="s">
        <v>71</v>
      </c>
      <c r="F1285" s="10" t="s">
        <v>3205</v>
      </c>
      <c r="G1285" s="10" t="s">
        <v>2464</v>
      </c>
      <c r="H1285" s="10" t="s">
        <v>216</v>
      </c>
      <c r="I1285" s="10" t="s">
        <v>55</v>
      </c>
      <c r="K1285" s="10" t="s">
        <v>5045</v>
      </c>
      <c r="L1285" s="10" t="s">
        <v>42</v>
      </c>
    </row>
    <row r="1286" ht="15.75" customHeight="1">
      <c r="A1286" s="64">
        <v>45490.0</v>
      </c>
      <c r="B1286" s="55" t="str">
        <f>HYPERLINK("https://jobright.ai/jobs/info/6698570658b8b9aeae6e36ff?utm_campaign=1062&amp;utm_source=sheet", "Apply")</f>
        <v>Apply</v>
      </c>
      <c r="C1286" s="10" t="s">
        <v>5072</v>
      </c>
      <c r="D1286" s="56" t="s">
        <v>5073</v>
      </c>
      <c r="E1286" s="10" t="s">
        <v>45</v>
      </c>
      <c r="F1286" s="10" t="s">
        <v>318</v>
      </c>
      <c r="G1286" s="10" t="s">
        <v>2484</v>
      </c>
      <c r="H1286" s="10" t="s">
        <v>5074</v>
      </c>
      <c r="I1286" s="10" t="s">
        <v>55</v>
      </c>
      <c r="J1286" s="10" t="s">
        <v>2980</v>
      </c>
      <c r="K1286" s="10" t="s">
        <v>5075</v>
      </c>
      <c r="L1286" s="10" t="s">
        <v>42</v>
      </c>
    </row>
    <row r="1287" ht="15.75" customHeight="1">
      <c r="A1287" s="64">
        <v>45490.0</v>
      </c>
      <c r="B1287" s="55" t="str">
        <f>HYPERLINK("https://jobright.ai/jobs/info/66987f7fdb84e346e534d38b?utm_campaign=1062&amp;utm_source=sheet", "Apply")</f>
        <v>Apply</v>
      </c>
      <c r="C1287" s="10" t="s">
        <v>5076</v>
      </c>
      <c r="D1287" s="56" t="s">
        <v>5077</v>
      </c>
      <c r="E1287" s="10" t="s">
        <v>45</v>
      </c>
      <c r="F1287" s="10" t="s">
        <v>2409</v>
      </c>
      <c r="G1287" s="10" t="s">
        <v>2443</v>
      </c>
      <c r="H1287" s="10" t="s">
        <v>251</v>
      </c>
      <c r="I1287" s="10" t="s">
        <v>252</v>
      </c>
      <c r="J1287" s="10" t="s">
        <v>5078</v>
      </c>
      <c r="K1287" s="10" t="s">
        <v>5079</v>
      </c>
      <c r="L1287" s="10" t="s">
        <v>42</v>
      </c>
    </row>
    <row r="1288" ht="15.75" customHeight="1">
      <c r="A1288" s="64">
        <v>45490.0</v>
      </c>
      <c r="B1288" s="55" t="str">
        <f>HYPERLINK("https://jobright.ai/jobs/info/6698428975958df8e7de611a?utm_campaign=1062&amp;utm_source=sheet", "Apply")</f>
        <v>Apply</v>
      </c>
      <c r="C1288" s="10" t="s">
        <v>5080</v>
      </c>
      <c r="D1288" s="56" t="s">
        <v>1576</v>
      </c>
      <c r="E1288" s="10" t="s">
        <v>45</v>
      </c>
      <c r="F1288" s="10" t="s">
        <v>1577</v>
      </c>
      <c r="G1288" s="10" t="s">
        <v>2484</v>
      </c>
      <c r="H1288" s="10" t="s">
        <v>2659</v>
      </c>
      <c r="I1288" s="10" t="s">
        <v>55</v>
      </c>
      <c r="K1288" s="10" t="s">
        <v>5081</v>
      </c>
      <c r="L1288" s="10" t="s">
        <v>42</v>
      </c>
    </row>
    <row r="1289" ht="15.75" customHeight="1">
      <c r="A1289" s="64">
        <v>45490.0</v>
      </c>
      <c r="B1289" s="55" t="str">
        <f>HYPERLINK("https://jobright.ai/jobs/info/669888b55e79a0171110ad96?utm_campaign=1062&amp;utm_source=sheet", "Apply")</f>
        <v>Apply</v>
      </c>
      <c r="C1289" s="10" t="s">
        <v>5082</v>
      </c>
      <c r="D1289" s="56" t="s">
        <v>5083</v>
      </c>
      <c r="E1289" s="10" t="s">
        <v>209</v>
      </c>
      <c r="F1289" s="10" t="s">
        <v>529</v>
      </c>
      <c r="G1289" s="10" t="s">
        <v>2470</v>
      </c>
      <c r="H1289" s="10" t="s">
        <v>5084</v>
      </c>
      <c r="I1289" s="10" t="s">
        <v>48</v>
      </c>
      <c r="K1289" s="10" t="s">
        <v>5085</v>
      </c>
      <c r="L1289" s="10" t="s">
        <v>42</v>
      </c>
    </row>
    <row r="1290" ht="15.75" customHeight="1">
      <c r="A1290" s="64">
        <v>45490.0</v>
      </c>
      <c r="B1290" s="55" t="str">
        <f>HYPERLINK("https://jobright.ai/jobs/info/66984eca6ace611cbf3c7611?utm_campaign=1062&amp;utm_source=sheet", "Apply")</f>
        <v>Apply</v>
      </c>
      <c r="C1290" s="10" t="s">
        <v>5086</v>
      </c>
      <c r="D1290" s="56" t="s">
        <v>5087</v>
      </c>
      <c r="E1290" s="10" t="s">
        <v>276</v>
      </c>
      <c r="F1290" s="10" t="s">
        <v>1700</v>
      </c>
      <c r="G1290" s="10" t="s">
        <v>2476</v>
      </c>
      <c r="H1290" s="10" t="s">
        <v>978</v>
      </c>
      <c r="I1290" s="10" t="s">
        <v>55</v>
      </c>
      <c r="J1290" s="10" t="s">
        <v>1409</v>
      </c>
      <c r="K1290" s="10" t="s">
        <v>5088</v>
      </c>
      <c r="L1290" s="10" t="s">
        <v>42</v>
      </c>
    </row>
    <row r="1291" ht="15.75" customHeight="1">
      <c r="A1291" s="64">
        <v>45490.0</v>
      </c>
      <c r="B1291" s="55" t="str">
        <f>HYPERLINK("https://jobright.ai/jobs/info/663aa12c5acbe3a5f13bd0f7?utm_campaign=1062&amp;utm_source=sheet", "Apply")</f>
        <v>Apply</v>
      </c>
      <c r="C1291" s="10" t="s">
        <v>5089</v>
      </c>
      <c r="D1291" s="56" t="s">
        <v>5090</v>
      </c>
      <c r="E1291" s="10" t="s">
        <v>65</v>
      </c>
      <c r="F1291" s="10" t="s">
        <v>5091</v>
      </c>
      <c r="G1291" s="10" t="s">
        <v>2437</v>
      </c>
      <c r="H1291" s="10" t="s">
        <v>5092</v>
      </c>
      <c r="I1291" s="10" t="s">
        <v>48</v>
      </c>
      <c r="K1291" s="10" t="s">
        <v>5093</v>
      </c>
      <c r="L1291" s="10" t="s">
        <v>42</v>
      </c>
    </row>
    <row r="1292" ht="15.75" customHeight="1">
      <c r="A1292" s="64">
        <v>45490.0</v>
      </c>
      <c r="B1292" s="55" t="str">
        <f>HYPERLINK("https://jobright.ai/jobs/info/669860dbcc1bbc4f0771555f?utm_campaign=1062&amp;utm_source=sheet", "Apply")</f>
        <v>Apply</v>
      </c>
      <c r="C1292" s="10" t="s">
        <v>5094</v>
      </c>
      <c r="D1292" s="56" t="s">
        <v>1582</v>
      </c>
      <c r="E1292" s="10" t="s">
        <v>45</v>
      </c>
      <c r="F1292" s="10" t="s">
        <v>665</v>
      </c>
      <c r="G1292" s="10" t="s">
        <v>2443</v>
      </c>
      <c r="H1292" s="10" t="s">
        <v>852</v>
      </c>
      <c r="I1292" s="10" t="s">
        <v>55</v>
      </c>
      <c r="J1292" s="10" t="s">
        <v>5095</v>
      </c>
      <c r="K1292" s="10" t="s">
        <v>5096</v>
      </c>
      <c r="L1292" s="10" t="s">
        <v>42</v>
      </c>
    </row>
    <row r="1293" ht="15.75" customHeight="1">
      <c r="A1293" s="64">
        <v>45490.0</v>
      </c>
      <c r="B1293" s="55" t="str">
        <f>HYPERLINK("https://jobright.ai/jobs/info/6698418119b3a20daf3b911c?utm_campaign=1062&amp;utm_source=sheet", "Apply")</f>
        <v>Apply</v>
      </c>
      <c r="C1293" s="10" t="s">
        <v>5097</v>
      </c>
      <c r="D1293" s="56" t="s">
        <v>5098</v>
      </c>
      <c r="E1293" s="10" t="s">
        <v>209</v>
      </c>
      <c r="F1293" s="10" t="s">
        <v>259</v>
      </c>
      <c r="G1293" s="10" t="s">
        <v>2476</v>
      </c>
      <c r="H1293" s="10" t="s">
        <v>636</v>
      </c>
      <c r="I1293" s="10" t="s">
        <v>55</v>
      </c>
      <c r="K1293" s="10" t="s">
        <v>5099</v>
      </c>
      <c r="L1293" s="10" t="s">
        <v>42</v>
      </c>
    </row>
    <row r="1294" ht="15.75" customHeight="1">
      <c r="A1294" s="64">
        <v>45490.0</v>
      </c>
      <c r="B1294" s="55" t="str">
        <f>HYPERLINK("https://jobright.ai/jobs/info/669840b25abb93a84eb8262c?utm_campaign=1062&amp;utm_source=sheet", "Apply")</f>
        <v>Apply</v>
      </c>
      <c r="C1294" s="10" t="s">
        <v>5100</v>
      </c>
      <c r="D1294" s="56" t="s">
        <v>1458</v>
      </c>
      <c r="E1294" s="10" t="s">
        <v>45</v>
      </c>
      <c r="F1294" s="10" t="s">
        <v>1459</v>
      </c>
      <c r="G1294" s="10" t="s">
        <v>2448</v>
      </c>
      <c r="H1294" s="10" t="s">
        <v>826</v>
      </c>
      <c r="I1294" s="10" t="s">
        <v>55</v>
      </c>
      <c r="K1294" s="10" t="s">
        <v>5101</v>
      </c>
      <c r="L1294" s="10" t="s">
        <v>42</v>
      </c>
    </row>
    <row r="1295" ht="15.75" customHeight="1">
      <c r="A1295" s="64">
        <v>45490.0</v>
      </c>
      <c r="B1295" s="55" t="str">
        <f>HYPERLINK("https://jobright.ai/jobs/info/66959ba1a70b2fb207aed9f5?utm_campaign=1062&amp;utm_source=sheet", "Apply")</f>
        <v>Apply</v>
      </c>
      <c r="C1295" s="10" t="s">
        <v>5102</v>
      </c>
      <c r="D1295" s="56" t="s">
        <v>1547</v>
      </c>
      <c r="E1295" s="10">
        <v>408.0</v>
      </c>
      <c r="G1295" s="10" t="s">
        <v>2448</v>
      </c>
      <c r="H1295" s="10" t="s">
        <v>1556</v>
      </c>
      <c r="I1295" s="10" t="s">
        <v>55</v>
      </c>
      <c r="K1295" s="10" t="s">
        <v>5103</v>
      </c>
      <c r="L1295" s="10" t="s">
        <v>42</v>
      </c>
    </row>
    <row r="1296" ht="15.75" customHeight="1">
      <c r="A1296" s="64">
        <v>45490.0</v>
      </c>
      <c r="B1296" s="55" t="str">
        <f>HYPERLINK("https://jobright.ai/jobs/info/66982ff91a81d4aae34cdb11?utm_campaign=1062&amp;utm_source=sheet", "Apply")</f>
        <v>Apply</v>
      </c>
      <c r="C1296" s="10" t="s">
        <v>5104</v>
      </c>
      <c r="D1296" s="56" t="s">
        <v>5105</v>
      </c>
      <c r="E1296" s="10" t="s">
        <v>45</v>
      </c>
      <c r="F1296" s="10" t="s">
        <v>5106</v>
      </c>
      <c r="G1296" s="10" t="s">
        <v>2455</v>
      </c>
      <c r="H1296" s="10" t="s">
        <v>923</v>
      </c>
      <c r="I1296" s="10" t="s">
        <v>55</v>
      </c>
      <c r="K1296" s="10" t="s">
        <v>5107</v>
      </c>
      <c r="L1296" s="10" t="s">
        <v>42</v>
      </c>
    </row>
    <row r="1297" ht="15.75" customHeight="1">
      <c r="A1297" s="64">
        <v>45490.0</v>
      </c>
      <c r="B1297" s="55" t="str">
        <f>HYPERLINK("https://jobright.ai/jobs/info/6637072c880e409e53de7ea9?utm_campaign=1062&amp;utm_source=sheet", "Apply")</f>
        <v>Apply</v>
      </c>
      <c r="C1297" s="10" t="s">
        <v>5108</v>
      </c>
      <c r="D1297" s="56" t="s">
        <v>1547</v>
      </c>
      <c r="E1297" s="10">
        <v>408.0</v>
      </c>
      <c r="G1297" s="10" t="s">
        <v>2448</v>
      </c>
      <c r="H1297" s="10" t="s">
        <v>1556</v>
      </c>
      <c r="I1297" s="10" t="s">
        <v>55</v>
      </c>
      <c r="K1297" s="10" t="s">
        <v>5109</v>
      </c>
      <c r="L1297" s="10" t="s">
        <v>42</v>
      </c>
    </row>
    <row r="1298" ht="15.75" customHeight="1">
      <c r="A1298" s="64">
        <v>45490.0</v>
      </c>
      <c r="B1298" s="55" t="str">
        <f>HYPERLINK("https://jobright.ai/jobs/info/6637072c880e409e53de7f0b?utm_campaign=1062&amp;utm_source=sheet", "Apply")</f>
        <v>Apply</v>
      </c>
      <c r="C1298" s="10" t="s">
        <v>5110</v>
      </c>
      <c r="D1298" s="56" t="s">
        <v>1547</v>
      </c>
      <c r="E1298" s="10">
        <v>408.0</v>
      </c>
      <c r="G1298" s="10" t="s">
        <v>2448</v>
      </c>
      <c r="H1298" s="10" t="s">
        <v>1556</v>
      </c>
      <c r="I1298" s="10" t="s">
        <v>55</v>
      </c>
      <c r="K1298" s="10" t="s">
        <v>5111</v>
      </c>
      <c r="L1298" s="10" t="s">
        <v>42</v>
      </c>
    </row>
    <row r="1299" ht="15.75" customHeight="1">
      <c r="A1299" s="64">
        <v>45490.0</v>
      </c>
      <c r="B1299" s="55" t="str">
        <f>HYPERLINK("https://jobright.ai/jobs/info/669825b187ac5143478d36f4?utm_campaign=1062&amp;utm_source=sheet", "Apply")</f>
        <v>Apply</v>
      </c>
      <c r="C1299" s="10" t="s">
        <v>5112</v>
      </c>
      <c r="D1299" s="56" t="s">
        <v>5113</v>
      </c>
      <c r="E1299" s="10" t="s">
        <v>276</v>
      </c>
      <c r="F1299" s="10" t="s">
        <v>1389</v>
      </c>
      <c r="G1299" s="10" t="s">
        <v>2448</v>
      </c>
      <c r="H1299" s="10" t="s">
        <v>952</v>
      </c>
      <c r="I1299" s="10" t="s">
        <v>55</v>
      </c>
      <c r="K1299" s="10" t="s">
        <v>5114</v>
      </c>
      <c r="L1299" s="10" t="s">
        <v>42</v>
      </c>
    </row>
    <row r="1300" ht="15.75" customHeight="1">
      <c r="A1300" s="64">
        <v>45490.0</v>
      </c>
      <c r="B1300" s="55" t="str">
        <f>HYPERLINK("https://jobright.ai/jobs/info/669834ba42f8a0cca17e1741?utm_campaign=1062&amp;utm_source=sheet", "Apply")</f>
        <v>Apply</v>
      </c>
      <c r="C1300" s="10" t="s">
        <v>2473</v>
      </c>
      <c r="D1300" s="56" t="s">
        <v>2384</v>
      </c>
      <c r="E1300" s="10" t="s">
        <v>249</v>
      </c>
      <c r="F1300" s="10" t="s">
        <v>2385</v>
      </c>
      <c r="G1300" s="10" t="s">
        <v>2476</v>
      </c>
      <c r="H1300" s="10" t="s">
        <v>5115</v>
      </c>
      <c r="I1300" s="10" t="s">
        <v>55</v>
      </c>
      <c r="K1300" s="10" t="s">
        <v>5116</v>
      </c>
      <c r="L1300" s="10" t="s">
        <v>42</v>
      </c>
    </row>
    <row r="1301" ht="15.75" customHeight="1">
      <c r="A1301" s="64">
        <v>45490.0</v>
      </c>
      <c r="B1301" s="55" t="str">
        <f>HYPERLINK("https://jobright.ai/jobs/info/669825ba87ac5143478d3788?utm_campaign=1062&amp;utm_source=sheet", "Apply")</f>
        <v>Apply</v>
      </c>
      <c r="C1301" s="10" t="s">
        <v>5117</v>
      </c>
      <c r="D1301" s="56" t="s">
        <v>5118</v>
      </c>
      <c r="E1301" s="10">
        <v>633.0</v>
      </c>
      <c r="G1301" s="10" t="s">
        <v>2448</v>
      </c>
      <c r="H1301" s="10" t="s">
        <v>4514</v>
      </c>
      <c r="I1301" s="10" t="s">
        <v>55</v>
      </c>
      <c r="K1301" s="10" t="s">
        <v>5119</v>
      </c>
      <c r="L1301" s="10" t="s">
        <v>42</v>
      </c>
    </row>
    <row r="1302" ht="15.75" customHeight="1">
      <c r="A1302" s="64">
        <v>45490.0</v>
      </c>
      <c r="B1302" s="55" t="str">
        <f>HYPERLINK("https://jobright.ai/jobs/info/66955ea02b30e9ec479301e9?utm_campaign=1062&amp;utm_source=sheet", "Apply")</f>
        <v>Apply</v>
      </c>
      <c r="C1302" s="10" t="s">
        <v>5120</v>
      </c>
      <c r="D1302" s="56" t="s">
        <v>567</v>
      </c>
      <c r="E1302" s="10" t="s">
        <v>65</v>
      </c>
      <c r="F1302" s="10" t="s">
        <v>568</v>
      </c>
      <c r="G1302" s="10" t="s">
        <v>2464</v>
      </c>
      <c r="H1302" s="10" t="s">
        <v>3862</v>
      </c>
      <c r="I1302" s="10" t="s">
        <v>55</v>
      </c>
      <c r="J1302" s="10" t="s">
        <v>3031</v>
      </c>
      <c r="K1302" s="10" t="s">
        <v>3024</v>
      </c>
      <c r="L1302" s="10" t="s">
        <v>42</v>
      </c>
    </row>
    <row r="1303" ht="15.75" customHeight="1">
      <c r="A1303" s="64">
        <v>45490.0</v>
      </c>
      <c r="B1303" s="55" t="str">
        <f>HYPERLINK("https://jobright.ai/jobs/info/6698070f00175647ff288bb9?utm_campaign=1062&amp;utm_source=sheet", "Apply")</f>
        <v>Apply</v>
      </c>
      <c r="C1303" s="10" t="s">
        <v>2594</v>
      </c>
      <c r="D1303" s="56" t="s">
        <v>5121</v>
      </c>
      <c r="E1303" s="10" t="s">
        <v>79</v>
      </c>
      <c r="F1303" s="10" t="s">
        <v>5122</v>
      </c>
      <c r="G1303" s="10" t="s">
        <v>2484</v>
      </c>
      <c r="H1303" s="10" t="s">
        <v>794</v>
      </c>
      <c r="I1303" s="10" t="s">
        <v>55</v>
      </c>
      <c r="J1303" s="10" t="s">
        <v>2609</v>
      </c>
      <c r="K1303" s="10" t="s">
        <v>5123</v>
      </c>
      <c r="L1303" s="10" t="s">
        <v>42</v>
      </c>
    </row>
    <row r="1304" ht="15.75" customHeight="1">
      <c r="A1304" s="64">
        <v>45490.0</v>
      </c>
      <c r="B1304" s="55" t="str">
        <f>HYPERLINK("https://jobright.ai/jobs/info/6698149e6a4483d2b284dfa9?utm_campaign=1062&amp;utm_source=sheet", "Apply")</f>
        <v>Apply</v>
      </c>
      <c r="C1304" s="10" t="s">
        <v>5124</v>
      </c>
      <c r="D1304" s="56" t="s">
        <v>5125</v>
      </c>
      <c r="E1304" s="10" t="s">
        <v>209</v>
      </c>
      <c r="F1304" s="10" t="s">
        <v>1454</v>
      </c>
      <c r="G1304" s="10" t="s">
        <v>2484</v>
      </c>
      <c r="H1304" s="10" t="s">
        <v>994</v>
      </c>
      <c r="I1304" s="10" t="s">
        <v>48</v>
      </c>
      <c r="K1304" s="10" t="s">
        <v>5126</v>
      </c>
      <c r="L1304" s="10" t="s">
        <v>42</v>
      </c>
    </row>
    <row r="1305" ht="15.75" customHeight="1">
      <c r="A1305" s="64">
        <v>45490.0</v>
      </c>
      <c r="B1305" s="55" t="str">
        <f>HYPERLINK("https://jobright.ai/jobs/info/669820523ac3c099dfe9e074?utm_campaign=1062&amp;utm_source=sheet", "Apply")</f>
        <v>Apply</v>
      </c>
      <c r="C1305" s="10" t="s">
        <v>5127</v>
      </c>
      <c r="D1305" s="56" t="s">
        <v>3832</v>
      </c>
      <c r="E1305" s="10" t="s">
        <v>65</v>
      </c>
      <c r="F1305" s="10" t="s">
        <v>660</v>
      </c>
      <c r="G1305" s="10" t="s">
        <v>2459</v>
      </c>
      <c r="H1305" s="10" t="s">
        <v>113</v>
      </c>
      <c r="I1305" s="10" t="s">
        <v>55</v>
      </c>
      <c r="J1305" s="10" t="s">
        <v>3615</v>
      </c>
      <c r="K1305" s="10" t="s">
        <v>5128</v>
      </c>
      <c r="L1305" s="10" t="s">
        <v>42</v>
      </c>
    </row>
    <row r="1306" ht="15.75" customHeight="1">
      <c r="A1306" s="64">
        <v>45490.0</v>
      </c>
      <c r="B1306" s="55" t="str">
        <f>HYPERLINK("https://jobright.ai/jobs/info/66980d140928a59504a86882?utm_campaign=1062&amp;utm_source=sheet", "Apply")</f>
        <v>Apply</v>
      </c>
      <c r="C1306" s="10" t="s">
        <v>5129</v>
      </c>
      <c r="D1306" s="56" t="s">
        <v>5130</v>
      </c>
      <c r="E1306" s="10" t="s">
        <v>65</v>
      </c>
      <c r="F1306" s="10" t="s">
        <v>331</v>
      </c>
      <c r="G1306" s="10" t="s">
        <v>2484</v>
      </c>
      <c r="H1306" s="10" t="s">
        <v>5131</v>
      </c>
      <c r="I1306" s="10" t="s">
        <v>55</v>
      </c>
      <c r="K1306" s="10" t="s">
        <v>5132</v>
      </c>
      <c r="L1306" s="10" t="s">
        <v>42</v>
      </c>
    </row>
    <row r="1307" ht="15.75" customHeight="1">
      <c r="A1307" s="64">
        <v>45490.0</v>
      </c>
      <c r="B1307" s="55" t="str">
        <f>HYPERLINK("https://jobright.ai/jobs/info/66980bbf1f9cc5982debd16e?utm_campaign=1062&amp;utm_source=sheet", "Apply")</f>
        <v>Apply</v>
      </c>
      <c r="C1307" s="10" t="s">
        <v>5133</v>
      </c>
      <c r="D1307" s="56" t="s">
        <v>5125</v>
      </c>
      <c r="E1307" s="10" t="s">
        <v>209</v>
      </c>
      <c r="F1307" s="10" t="s">
        <v>1454</v>
      </c>
      <c r="G1307" s="10" t="s">
        <v>2448</v>
      </c>
      <c r="H1307" s="10" t="s">
        <v>229</v>
      </c>
      <c r="I1307" s="10" t="s">
        <v>48</v>
      </c>
      <c r="K1307" s="10" t="s">
        <v>5134</v>
      </c>
      <c r="L1307" s="10" t="s">
        <v>42</v>
      </c>
    </row>
    <row r="1308" ht="15.75" customHeight="1">
      <c r="A1308" s="64">
        <v>45490.0</v>
      </c>
      <c r="B1308" s="55" t="str">
        <f>HYPERLINK("https://jobright.ai/jobs/info/6698074c428a720637bda22a?utm_campaign=1062&amp;utm_source=sheet", "Apply")</f>
        <v>Apply</v>
      </c>
      <c r="C1308" s="10" t="s">
        <v>5135</v>
      </c>
      <c r="D1308" s="56" t="s">
        <v>5136</v>
      </c>
      <c r="E1308" s="10" t="s">
        <v>45</v>
      </c>
      <c r="F1308" s="10" t="s">
        <v>221</v>
      </c>
      <c r="G1308" s="10" t="s">
        <v>2605</v>
      </c>
      <c r="H1308" s="10" t="s">
        <v>5137</v>
      </c>
      <c r="I1308" s="10" t="s">
        <v>55</v>
      </c>
      <c r="J1308" s="10" t="s">
        <v>5138</v>
      </c>
      <c r="K1308" s="10" t="s">
        <v>5139</v>
      </c>
      <c r="L1308" s="10" t="s">
        <v>42</v>
      </c>
    </row>
    <row r="1309" ht="15.75" customHeight="1">
      <c r="A1309" s="64">
        <v>45490.0</v>
      </c>
      <c r="B1309" s="55" t="str">
        <f>HYPERLINK("https://jobright.ai/jobs/info/66a12c735b67f66506bddd48?utm_campaign=1062&amp;utm_source=sheet", "Apply")</f>
        <v>Apply</v>
      </c>
      <c r="C1309" s="10" t="s">
        <v>5140</v>
      </c>
      <c r="D1309" s="56" t="s">
        <v>2818</v>
      </c>
      <c r="E1309" s="10" t="s">
        <v>209</v>
      </c>
      <c r="F1309" s="10" t="s">
        <v>2819</v>
      </c>
      <c r="G1309" s="10" t="s">
        <v>2484</v>
      </c>
      <c r="H1309" s="10" t="s">
        <v>920</v>
      </c>
      <c r="I1309" s="10" t="s">
        <v>55</v>
      </c>
      <c r="J1309" s="10" t="s">
        <v>3544</v>
      </c>
      <c r="K1309" s="10" t="s">
        <v>4353</v>
      </c>
      <c r="L1309" s="10" t="s">
        <v>42</v>
      </c>
    </row>
    <row r="1310" ht="15.75" customHeight="1">
      <c r="A1310" s="64">
        <v>45490.0</v>
      </c>
      <c r="B1310" s="55" t="str">
        <f>HYPERLINK("https://jobright.ai/jobs/info/66980bc81f9cc5982debd293?utm_campaign=1062&amp;utm_source=sheet", "Apply")</f>
        <v>Apply</v>
      </c>
      <c r="C1310" s="10" t="s">
        <v>5141</v>
      </c>
      <c r="D1310" s="56" t="s">
        <v>5142</v>
      </c>
      <c r="E1310" s="10" t="s">
        <v>249</v>
      </c>
      <c r="F1310" s="10" t="s">
        <v>5143</v>
      </c>
      <c r="G1310" s="10" t="s">
        <v>2464</v>
      </c>
      <c r="H1310" s="10" t="s">
        <v>636</v>
      </c>
      <c r="I1310" s="10" t="s">
        <v>55</v>
      </c>
      <c r="K1310" s="10" t="s">
        <v>5144</v>
      </c>
      <c r="L1310" s="10" t="s">
        <v>42</v>
      </c>
    </row>
    <row r="1311" ht="15.75" customHeight="1">
      <c r="A1311" s="64">
        <v>45490.0</v>
      </c>
      <c r="B1311" s="55" t="str">
        <f>HYPERLINK("https://jobright.ai/jobs/info/66a1160654618507e6174f14?utm_campaign=1062&amp;utm_source=sheet", "Apply")</f>
        <v>Apply</v>
      </c>
      <c r="C1311" s="10" t="s">
        <v>5145</v>
      </c>
      <c r="D1311" s="56" t="s">
        <v>5146</v>
      </c>
      <c r="E1311" s="10" t="s">
        <v>65</v>
      </c>
      <c r="F1311" s="10" t="s">
        <v>5147</v>
      </c>
      <c r="G1311" s="10" t="s">
        <v>2484</v>
      </c>
      <c r="H1311" s="10" t="s">
        <v>5148</v>
      </c>
      <c r="I1311" s="10" t="s">
        <v>55</v>
      </c>
      <c r="K1311" s="10" t="s">
        <v>5149</v>
      </c>
      <c r="L1311" s="10" t="s">
        <v>42</v>
      </c>
    </row>
    <row r="1312" ht="15.75" customHeight="1">
      <c r="A1312" s="64">
        <v>45490.0</v>
      </c>
      <c r="B1312" s="55" t="str">
        <f>HYPERLINK("https://jobright.ai/jobs/info/66a1160654618507e6174f31?utm_campaign=1062&amp;utm_source=sheet", "Apply")</f>
        <v>Apply</v>
      </c>
      <c r="C1312" s="10" t="s">
        <v>4906</v>
      </c>
      <c r="D1312" s="56" t="s">
        <v>4907</v>
      </c>
      <c r="E1312" s="10" t="s">
        <v>65</v>
      </c>
      <c r="F1312" s="10" t="s">
        <v>665</v>
      </c>
      <c r="G1312" s="10" t="s">
        <v>2484</v>
      </c>
      <c r="H1312" s="10" t="s">
        <v>4908</v>
      </c>
      <c r="I1312" s="10" t="s">
        <v>55</v>
      </c>
      <c r="K1312" s="10" t="s">
        <v>5150</v>
      </c>
      <c r="L1312" s="10" t="s">
        <v>42</v>
      </c>
    </row>
    <row r="1313" ht="15.75" customHeight="1">
      <c r="A1313" s="64">
        <v>45490.0</v>
      </c>
      <c r="B1313" s="55" t="str">
        <f>HYPERLINK("https://jobright.ai/jobs/info/6697dd1987ba406a4523a09f?utm_campaign=1062&amp;utm_source=sheet", "Apply")</f>
        <v>Apply</v>
      </c>
      <c r="C1313" s="10" t="s">
        <v>5151</v>
      </c>
      <c r="D1313" s="56" t="s">
        <v>4658</v>
      </c>
      <c r="E1313" s="10" t="s">
        <v>45</v>
      </c>
      <c r="F1313" s="10" t="s">
        <v>4659</v>
      </c>
      <c r="G1313" s="10" t="s">
        <v>2455</v>
      </c>
      <c r="H1313" s="10" t="s">
        <v>894</v>
      </c>
      <c r="I1313" s="10" t="s">
        <v>55</v>
      </c>
      <c r="K1313" s="10" t="s">
        <v>5152</v>
      </c>
      <c r="L1313" s="10" t="s">
        <v>42</v>
      </c>
    </row>
    <row r="1314" ht="15.75" customHeight="1">
      <c r="A1314" s="64">
        <v>45490.0</v>
      </c>
      <c r="B1314" s="55" t="str">
        <f>HYPERLINK("https://jobright.ai/jobs/info/66990ab3ec8e301ea3c866f5?utm_campaign=1062&amp;utm_source=sheet", "Apply")</f>
        <v>Apply</v>
      </c>
      <c r="C1314" s="10" t="s">
        <v>5153</v>
      </c>
      <c r="D1314" s="56" t="s">
        <v>5154</v>
      </c>
      <c r="E1314" s="10" t="s">
        <v>45</v>
      </c>
      <c r="F1314" s="10" t="s">
        <v>5155</v>
      </c>
      <c r="G1314" s="10" t="s">
        <v>2448</v>
      </c>
      <c r="H1314" s="10" t="s">
        <v>5156</v>
      </c>
      <c r="I1314" s="10" t="s">
        <v>55</v>
      </c>
      <c r="K1314" s="10" t="s">
        <v>5157</v>
      </c>
      <c r="L1314" s="10" t="s">
        <v>42</v>
      </c>
    </row>
    <row r="1315" ht="15.75" customHeight="1">
      <c r="A1315" s="64">
        <v>45490.0</v>
      </c>
      <c r="B1315" s="55" t="str">
        <f>HYPERLINK("https://jobright.ai/jobs/info/6697e08f8bf4ec0133a27210?utm_campaign=1062&amp;utm_source=sheet", "Apply")</f>
        <v>Apply</v>
      </c>
      <c r="C1315" s="10" t="s">
        <v>5158</v>
      </c>
      <c r="D1315" s="56" t="s">
        <v>5159</v>
      </c>
      <c r="E1315" s="10" t="s">
        <v>45</v>
      </c>
      <c r="F1315" s="10" t="s">
        <v>1893</v>
      </c>
      <c r="G1315" s="10" t="s">
        <v>2448</v>
      </c>
      <c r="H1315" s="10" t="s">
        <v>965</v>
      </c>
      <c r="I1315" s="10" t="s">
        <v>55</v>
      </c>
      <c r="J1315" s="10" t="s">
        <v>5160</v>
      </c>
      <c r="K1315" s="10" t="s">
        <v>5161</v>
      </c>
      <c r="L1315" s="10" t="s">
        <v>42</v>
      </c>
    </row>
    <row r="1316" ht="15.75" customHeight="1">
      <c r="A1316" s="64">
        <v>45490.0</v>
      </c>
      <c r="B1316" s="55" t="str">
        <f>HYPERLINK("https://jobright.ai/jobs/info/66990ba9c8a59dc96df53959?utm_campaign=1062&amp;utm_source=sheet", "Apply")</f>
        <v>Apply</v>
      </c>
      <c r="C1316" s="10" t="s">
        <v>5162</v>
      </c>
      <c r="D1316" s="56" t="s">
        <v>4433</v>
      </c>
      <c r="E1316" s="10">
        <v>235.0</v>
      </c>
      <c r="G1316" s="10" t="s">
        <v>2476</v>
      </c>
      <c r="H1316" s="10" t="s">
        <v>4897</v>
      </c>
      <c r="I1316" s="10" t="s">
        <v>55</v>
      </c>
      <c r="K1316" s="10" t="s">
        <v>5163</v>
      </c>
      <c r="L1316" s="10" t="s">
        <v>42</v>
      </c>
    </row>
    <row r="1317" ht="15.75" customHeight="1">
      <c r="A1317" s="64">
        <v>45490.0</v>
      </c>
      <c r="B1317" s="55" t="str">
        <f>HYPERLINK("https://jobright.ai/jobs/info/6697ddc5c1957b47ad533f64?utm_campaign=1062&amp;utm_source=sheet", "Apply")</f>
        <v>Apply</v>
      </c>
      <c r="C1317" s="10" t="s">
        <v>5162</v>
      </c>
      <c r="D1317" s="56" t="s">
        <v>4433</v>
      </c>
      <c r="E1317" s="10">
        <v>235.0</v>
      </c>
      <c r="G1317" s="10" t="s">
        <v>2476</v>
      </c>
      <c r="H1317" s="10" t="s">
        <v>4434</v>
      </c>
      <c r="I1317" s="10" t="s">
        <v>55</v>
      </c>
      <c r="K1317" s="10" t="s">
        <v>4435</v>
      </c>
      <c r="L1317" s="10" t="s">
        <v>42</v>
      </c>
    </row>
    <row r="1318" ht="15.75" customHeight="1">
      <c r="A1318" s="64">
        <v>45490.0</v>
      </c>
      <c r="B1318" s="55" t="str">
        <f>HYPERLINK("https://jobright.ai/jobs/info/66a10b85eecb88c2e882a718?utm_campaign=1062&amp;utm_source=sheet", "Apply")</f>
        <v>Apply</v>
      </c>
      <c r="C1318" s="10" t="s">
        <v>5164</v>
      </c>
      <c r="D1318" s="56" t="s">
        <v>5165</v>
      </c>
      <c r="E1318" s="10" t="s">
        <v>209</v>
      </c>
      <c r="F1318" s="10" t="s">
        <v>5166</v>
      </c>
      <c r="G1318" s="10" t="s">
        <v>2448</v>
      </c>
      <c r="H1318" s="10" t="s">
        <v>423</v>
      </c>
      <c r="I1318" s="10" t="s">
        <v>55</v>
      </c>
      <c r="J1318" s="10" t="s">
        <v>5167</v>
      </c>
      <c r="K1318" s="10" t="s">
        <v>5168</v>
      </c>
      <c r="L1318" s="10" t="s">
        <v>42</v>
      </c>
    </row>
    <row r="1319" ht="15.75" customHeight="1">
      <c r="A1319" s="64">
        <v>45490.0</v>
      </c>
      <c r="B1319" s="55" t="str">
        <f>HYPERLINK("https://jobright.ai/jobs/info/6697dae1badd9259bc18dd60?utm_campaign=1062&amp;utm_source=sheet", "Apply")</f>
        <v>Apply</v>
      </c>
      <c r="C1319" s="10" t="s">
        <v>5153</v>
      </c>
      <c r="D1319" s="56" t="s">
        <v>5154</v>
      </c>
      <c r="E1319" s="10" t="s">
        <v>45</v>
      </c>
      <c r="F1319" s="10" t="s">
        <v>5155</v>
      </c>
      <c r="G1319" s="10" t="s">
        <v>2448</v>
      </c>
      <c r="H1319" s="10" t="s">
        <v>5156</v>
      </c>
      <c r="I1319" s="10" t="s">
        <v>48</v>
      </c>
      <c r="K1319" s="10" t="s">
        <v>5157</v>
      </c>
      <c r="L1319" s="10" t="s">
        <v>42</v>
      </c>
    </row>
    <row r="1320" ht="15.75" customHeight="1">
      <c r="A1320" s="64">
        <v>45490.0</v>
      </c>
      <c r="B1320" s="55" t="str">
        <f>HYPERLINK("https://jobright.ai/jobs/info/66a0fff87e8eb381e8aa4b76?utm_campaign=1062&amp;utm_source=sheet", "Apply")</f>
        <v>Apply</v>
      </c>
      <c r="C1320" s="10" t="s">
        <v>5169</v>
      </c>
      <c r="D1320" s="56" t="s">
        <v>2818</v>
      </c>
      <c r="E1320" s="10" t="s">
        <v>209</v>
      </c>
      <c r="F1320" s="10" t="s">
        <v>2819</v>
      </c>
      <c r="G1320" s="10" t="s">
        <v>2437</v>
      </c>
      <c r="H1320" s="10" t="s">
        <v>4369</v>
      </c>
      <c r="I1320" s="10" t="s">
        <v>55</v>
      </c>
      <c r="J1320" s="10" t="s">
        <v>3544</v>
      </c>
      <c r="K1320" s="10" t="s">
        <v>4353</v>
      </c>
      <c r="L1320" s="10" t="s">
        <v>42</v>
      </c>
    </row>
    <row r="1321" ht="15.75" customHeight="1">
      <c r="A1321" s="64">
        <v>45490.0</v>
      </c>
      <c r="B1321" s="55" t="str">
        <f>HYPERLINK("https://jobright.ai/jobs/info/66a0fff87e8eb381e8aa4b7a?utm_campaign=1062&amp;utm_source=sheet", "Apply")</f>
        <v>Apply</v>
      </c>
      <c r="C1321" s="10" t="s">
        <v>5169</v>
      </c>
      <c r="D1321" s="56" t="s">
        <v>2818</v>
      </c>
      <c r="E1321" s="10" t="s">
        <v>209</v>
      </c>
      <c r="F1321" s="10" t="s">
        <v>2819</v>
      </c>
      <c r="G1321" s="10" t="s">
        <v>2437</v>
      </c>
      <c r="H1321" s="10" t="s">
        <v>920</v>
      </c>
      <c r="I1321" s="10" t="s">
        <v>55</v>
      </c>
      <c r="J1321" s="10" t="s">
        <v>3544</v>
      </c>
      <c r="K1321" s="10" t="s">
        <v>4353</v>
      </c>
      <c r="L1321" s="10" t="s">
        <v>42</v>
      </c>
    </row>
    <row r="1322" ht="15.75" customHeight="1">
      <c r="A1322" s="64">
        <v>45490.0</v>
      </c>
      <c r="B1322" s="55" t="str">
        <f>HYPERLINK("https://jobright.ai/jobs/info/669bb62441fc5f97779f7b9a?utm_campaign=1062&amp;utm_source=sheet", "Apply")</f>
        <v>Apply</v>
      </c>
      <c r="C1322" s="10" t="s">
        <v>3156</v>
      </c>
      <c r="D1322" s="56" t="s">
        <v>5170</v>
      </c>
      <c r="E1322" s="10" t="s">
        <v>45</v>
      </c>
      <c r="F1322" s="10" t="s">
        <v>5171</v>
      </c>
      <c r="G1322" s="10" t="s">
        <v>2470</v>
      </c>
      <c r="H1322" s="10" t="s">
        <v>5172</v>
      </c>
      <c r="I1322" s="10" t="s">
        <v>55</v>
      </c>
      <c r="K1322" s="10" t="s">
        <v>5173</v>
      </c>
      <c r="L1322" s="10" t="s">
        <v>42</v>
      </c>
    </row>
    <row r="1323" ht="15.75" customHeight="1">
      <c r="A1323" s="64">
        <v>45490.0</v>
      </c>
      <c r="B1323" s="55" t="str">
        <f>HYPERLINK("https://jobright.ai/jobs/info/669703d502c012c979e064bc?utm_campaign=1062&amp;utm_source=sheet", "Apply")</f>
        <v>Apply</v>
      </c>
      <c r="C1323" s="10" t="s">
        <v>5174</v>
      </c>
      <c r="D1323" s="56" t="s">
        <v>5175</v>
      </c>
      <c r="E1323" s="10" t="s">
        <v>45</v>
      </c>
      <c r="F1323" s="10" t="s">
        <v>5176</v>
      </c>
      <c r="G1323" s="10" t="s">
        <v>2484</v>
      </c>
      <c r="H1323" s="10" t="s">
        <v>5177</v>
      </c>
      <c r="I1323" s="10" t="s">
        <v>55</v>
      </c>
      <c r="K1323" s="10" t="s">
        <v>5178</v>
      </c>
      <c r="L1323" s="10" t="s">
        <v>42</v>
      </c>
    </row>
    <row r="1324" ht="15.75" customHeight="1">
      <c r="A1324" s="64">
        <v>45490.0</v>
      </c>
      <c r="B1324" s="55" t="str">
        <f>HYPERLINK("https://jobright.ai/jobs/info/66a0ecf09a71a3ec08da32d6?utm_campaign=1062&amp;utm_source=sheet", "Apply")</f>
        <v>Apply</v>
      </c>
      <c r="C1324" s="10" t="s">
        <v>5179</v>
      </c>
      <c r="D1324" s="56" t="s">
        <v>1631</v>
      </c>
      <c r="E1324" s="10" t="s">
        <v>45</v>
      </c>
      <c r="F1324" s="10" t="s">
        <v>1632</v>
      </c>
      <c r="G1324" s="10" t="s">
        <v>2437</v>
      </c>
      <c r="H1324" s="10" t="s">
        <v>5180</v>
      </c>
      <c r="I1324" s="10" t="s">
        <v>55</v>
      </c>
      <c r="J1324" s="10" t="s">
        <v>3132</v>
      </c>
      <c r="K1324" s="10" t="s">
        <v>5181</v>
      </c>
      <c r="L1324" s="10" t="s">
        <v>42</v>
      </c>
    </row>
    <row r="1325" ht="15.75" customHeight="1">
      <c r="A1325" s="64">
        <v>45490.0</v>
      </c>
      <c r="B1325" s="55" t="str">
        <f>HYPERLINK("https://jobright.ai/jobs/info/66a0ecf09a71a3ec08da32db?utm_campaign=1062&amp;utm_source=sheet", "Apply")</f>
        <v>Apply</v>
      </c>
      <c r="C1325" s="10" t="s">
        <v>5140</v>
      </c>
      <c r="D1325" s="56" t="s">
        <v>2818</v>
      </c>
      <c r="E1325" s="10" t="s">
        <v>209</v>
      </c>
      <c r="F1325" s="10" t="s">
        <v>2819</v>
      </c>
      <c r="G1325" s="10" t="s">
        <v>2484</v>
      </c>
      <c r="H1325" s="10" t="s">
        <v>4369</v>
      </c>
      <c r="I1325" s="10" t="s">
        <v>55</v>
      </c>
      <c r="J1325" s="10" t="s">
        <v>3544</v>
      </c>
      <c r="K1325" s="10" t="s">
        <v>4353</v>
      </c>
      <c r="L1325" s="10" t="s">
        <v>42</v>
      </c>
    </row>
    <row r="1326" ht="15.75" customHeight="1">
      <c r="A1326" s="64">
        <v>45490.0</v>
      </c>
      <c r="B1326" s="55" t="str">
        <f>HYPERLINK("https://jobright.ai/jobs/info/669a4fb82885e142e98ded20?utm_campaign=1062&amp;utm_source=sheet", "Apply")</f>
        <v>Apply</v>
      </c>
      <c r="C1326" s="10" t="s">
        <v>5182</v>
      </c>
      <c r="D1326" s="56" t="s">
        <v>3515</v>
      </c>
      <c r="E1326" s="10" t="s">
        <v>65</v>
      </c>
      <c r="F1326" s="10" t="s">
        <v>3516</v>
      </c>
      <c r="G1326" s="10" t="s">
        <v>2448</v>
      </c>
      <c r="H1326" s="10" t="s">
        <v>245</v>
      </c>
      <c r="I1326" s="10" t="s">
        <v>55</v>
      </c>
      <c r="K1326" s="10" t="s">
        <v>5183</v>
      </c>
      <c r="L1326" s="10" t="s">
        <v>42</v>
      </c>
    </row>
    <row r="1327" ht="15.75" customHeight="1">
      <c r="A1327" s="64">
        <v>45490.0</v>
      </c>
      <c r="B1327" s="55" t="str">
        <f>HYPERLINK("https://jobright.ai/jobs/info/66a0e294b056846ad15eff41?utm_campaign=1062&amp;utm_source=sheet", "Apply")</f>
        <v>Apply</v>
      </c>
      <c r="C1327" s="10" t="s">
        <v>5184</v>
      </c>
      <c r="D1327" s="56" t="s">
        <v>5185</v>
      </c>
      <c r="E1327" s="10">
        <v>110.0</v>
      </c>
      <c r="G1327" s="10" t="s">
        <v>2448</v>
      </c>
      <c r="H1327" s="10" t="s">
        <v>5186</v>
      </c>
      <c r="I1327" s="10" t="s">
        <v>55</v>
      </c>
      <c r="K1327" s="10" t="s">
        <v>5187</v>
      </c>
      <c r="L1327" s="10" t="s">
        <v>42</v>
      </c>
    </row>
    <row r="1328" ht="15.75" customHeight="1">
      <c r="A1328" s="64">
        <v>45490.0</v>
      </c>
      <c r="B1328" s="55" t="str">
        <f>HYPERLINK("https://jobright.ai/jobs/info/667608d50f75793ae234ddd6?utm_campaign=1062&amp;utm_source=sheet", "Apply")</f>
        <v>Apply</v>
      </c>
      <c r="C1328" s="10" t="s">
        <v>5188</v>
      </c>
      <c r="D1328" s="56" t="s">
        <v>186</v>
      </c>
      <c r="E1328" s="10" t="s">
        <v>65</v>
      </c>
      <c r="F1328" s="10" t="s">
        <v>187</v>
      </c>
      <c r="G1328" s="10" t="s">
        <v>3005</v>
      </c>
      <c r="H1328" s="10" t="s">
        <v>5189</v>
      </c>
      <c r="I1328" s="10" t="s">
        <v>55</v>
      </c>
      <c r="K1328" s="10" t="s">
        <v>5190</v>
      </c>
      <c r="L1328" s="10" t="s">
        <v>42</v>
      </c>
    </row>
    <row r="1329" ht="15.75" customHeight="1">
      <c r="A1329" s="64">
        <v>45490.0</v>
      </c>
      <c r="B1329" s="55" t="str">
        <f>HYPERLINK("https://jobright.ai/jobs/info/669ce6b418954c9f46ca6995?utm_campaign=1062&amp;utm_source=sheet", "Apply")</f>
        <v>Apply</v>
      </c>
      <c r="C1329" s="10" t="s">
        <v>5191</v>
      </c>
      <c r="D1329" s="56" t="s">
        <v>3515</v>
      </c>
      <c r="E1329" s="10" t="s">
        <v>65</v>
      </c>
      <c r="F1329" s="10" t="s">
        <v>3516</v>
      </c>
      <c r="G1329" s="10" t="s">
        <v>2448</v>
      </c>
      <c r="H1329" s="10" t="s">
        <v>4799</v>
      </c>
      <c r="I1329" s="10" t="s">
        <v>55</v>
      </c>
      <c r="K1329" s="10" t="s">
        <v>5183</v>
      </c>
      <c r="L1329" s="10" t="s">
        <v>42</v>
      </c>
    </row>
    <row r="1330" ht="15.75" customHeight="1">
      <c r="A1330" s="64">
        <v>45490.0</v>
      </c>
      <c r="B1330" s="55" t="str">
        <f>HYPERLINK("https://jobright.ai/jobs/info/667af9668cbec8d66b803767?utm_campaign=1062&amp;utm_source=sheet", "Apply")</f>
        <v>Apply</v>
      </c>
      <c r="C1330" s="10" t="s">
        <v>5192</v>
      </c>
      <c r="D1330" s="56" t="s">
        <v>1073</v>
      </c>
      <c r="E1330" s="10" t="s">
        <v>45</v>
      </c>
      <c r="F1330" s="10" t="s">
        <v>1074</v>
      </c>
      <c r="G1330" s="10" t="s">
        <v>2470</v>
      </c>
      <c r="H1330" s="10" t="s">
        <v>807</v>
      </c>
      <c r="I1330" s="10" t="s">
        <v>48</v>
      </c>
      <c r="K1330" s="10" t="s">
        <v>5193</v>
      </c>
      <c r="L1330" s="10" t="s">
        <v>42</v>
      </c>
    </row>
    <row r="1331" ht="15.75" customHeight="1">
      <c r="A1331" s="64">
        <v>45490.0</v>
      </c>
      <c r="B1331" s="55" t="str">
        <f>HYPERLINK("https://jobright.ai/jobs/info/66741aee58f25362ea0daef5?utm_campaign=1062&amp;utm_source=sheet", "Apply")</f>
        <v>Apply</v>
      </c>
      <c r="C1331" s="10" t="s">
        <v>4523</v>
      </c>
      <c r="D1331" s="56" t="s">
        <v>385</v>
      </c>
      <c r="E1331" s="10" t="s">
        <v>45</v>
      </c>
      <c r="F1331" s="10" t="s">
        <v>386</v>
      </c>
      <c r="G1331" s="10" t="s">
        <v>2448</v>
      </c>
      <c r="H1331" s="10" t="s">
        <v>711</v>
      </c>
      <c r="I1331" s="10" t="s">
        <v>55</v>
      </c>
      <c r="K1331" s="10" t="s">
        <v>5194</v>
      </c>
      <c r="L1331" s="10" t="s">
        <v>42</v>
      </c>
    </row>
    <row r="1332" ht="15.75" customHeight="1">
      <c r="A1332" s="64">
        <v>45490.0</v>
      </c>
      <c r="B1332" s="55" t="str">
        <f>HYPERLINK("https://jobright.ai/jobs/info/665e5994ed315ad52f2949b0?utm_campaign=1062&amp;utm_source=sheet", "Apply")</f>
        <v>Apply</v>
      </c>
      <c r="C1332" s="10" t="s">
        <v>5195</v>
      </c>
      <c r="D1332" s="56" t="s">
        <v>5196</v>
      </c>
      <c r="E1332" s="10" t="s">
        <v>249</v>
      </c>
      <c r="F1332" s="10" t="s">
        <v>1389</v>
      </c>
      <c r="G1332" s="10" t="s">
        <v>2448</v>
      </c>
      <c r="H1332" s="10" t="s">
        <v>5197</v>
      </c>
      <c r="I1332" s="10" t="s">
        <v>55</v>
      </c>
      <c r="K1332" s="10" t="s">
        <v>5198</v>
      </c>
      <c r="L1332" s="10" t="s">
        <v>42</v>
      </c>
    </row>
    <row r="1333" ht="15.75" customHeight="1">
      <c r="A1333" s="64">
        <v>45490.0</v>
      </c>
      <c r="B1333" s="55" t="str">
        <f>HYPERLINK("https://jobright.ai/jobs/info/669a41f67fb0611bc0f213d8?utm_campaign=1062&amp;utm_source=sheet", "Apply")</f>
        <v>Apply</v>
      </c>
      <c r="C1333" s="10" t="s">
        <v>5199</v>
      </c>
      <c r="D1333" s="56" t="s">
        <v>5200</v>
      </c>
      <c r="E1333" s="10" t="s">
        <v>45</v>
      </c>
      <c r="F1333" s="10" t="s">
        <v>2617</v>
      </c>
      <c r="G1333" s="10" t="s">
        <v>2443</v>
      </c>
      <c r="H1333" s="10" t="s">
        <v>966</v>
      </c>
      <c r="I1333" s="10" t="s">
        <v>55</v>
      </c>
      <c r="J1333" s="10" t="s">
        <v>5201</v>
      </c>
      <c r="K1333" s="10" t="s">
        <v>5202</v>
      </c>
      <c r="L1333" s="10" t="s">
        <v>42</v>
      </c>
    </row>
    <row r="1334" ht="15.75" customHeight="1">
      <c r="A1334" s="64">
        <v>45490.0</v>
      </c>
      <c r="B1334" s="55" t="str">
        <f>HYPERLINK("https://jobright.ai/jobs/info/667ba305ee3ea3ef1865d7ec?utm_campaign=1062&amp;utm_source=sheet", "Apply")</f>
        <v>Apply</v>
      </c>
      <c r="C1334" s="10" t="s">
        <v>5203</v>
      </c>
      <c r="D1334" s="56" t="s">
        <v>3515</v>
      </c>
      <c r="E1334" s="10" t="s">
        <v>65</v>
      </c>
      <c r="F1334" s="10" t="s">
        <v>3516</v>
      </c>
      <c r="G1334" s="10" t="s">
        <v>2448</v>
      </c>
      <c r="H1334" s="10" t="s">
        <v>278</v>
      </c>
      <c r="I1334" s="10" t="s">
        <v>55</v>
      </c>
      <c r="K1334" s="10" t="s">
        <v>5183</v>
      </c>
      <c r="L1334" s="10" t="s">
        <v>42</v>
      </c>
    </row>
    <row r="1335" ht="15.75" customHeight="1">
      <c r="A1335" s="64">
        <v>45490.0</v>
      </c>
      <c r="B1335" s="55" t="str">
        <f>HYPERLINK("https://jobright.ai/jobs/info/667b0e8dbf9efe4d35de44da?utm_campaign=1062&amp;utm_source=sheet", "Apply")</f>
        <v>Apply</v>
      </c>
      <c r="C1335" s="10" t="s">
        <v>5204</v>
      </c>
      <c r="D1335" s="56" t="s">
        <v>5205</v>
      </c>
      <c r="E1335" s="10" t="s">
        <v>65</v>
      </c>
      <c r="F1335" s="10" t="s">
        <v>620</v>
      </c>
      <c r="G1335" s="10" t="s">
        <v>2437</v>
      </c>
      <c r="H1335" s="10" t="s">
        <v>896</v>
      </c>
      <c r="I1335" s="10" t="s">
        <v>55</v>
      </c>
      <c r="J1335" s="10" t="s">
        <v>1960</v>
      </c>
      <c r="K1335" s="10" t="s">
        <v>5206</v>
      </c>
      <c r="L1335" s="10" t="s">
        <v>42</v>
      </c>
    </row>
    <row r="1336" ht="15.75" customHeight="1">
      <c r="A1336" s="64">
        <v>45490.0</v>
      </c>
      <c r="B1336" s="55" t="str">
        <f>HYPERLINK("https://jobright.ai/jobs/info/663c13e662c6e1c05a2698dd?utm_campaign=1062&amp;utm_source=sheet", "Apply")</f>
        <v>Apply</v>
      </c>
      <c r="C1336" s="10" t="s">
        <v>5207</v>
      </c>
      <c r="D1336" s="56" t="s">
        <v>186</v>
      </c>
      <c r="E1336" s="10" t="s">
        <v>65</v>
      </c>
      <c r="F1336" s="10" t="s">
        <v>187</v>
      </c>
      <c r="G1336" s="10" t="s">
        <v>3005</v>
      </c>
      <c r="H1336" s="10" t="s">
        <v>188</v>
      </c>
      <c r="I1336" s="10" t="s">
        <v>55</v>
      </c>
      <c r="K1336" s="10" t="s">
        <v>5190</v>
      </c>
      <c r="L1336" s="10" t="s">
        <v>42</v>
      </c>
    </row>
    <row r="1337" ht="15.75" customHeight="1">
      <c r="A1337" s="64">
        <v>45490.0</v>
      </c>
      <c r="B1337" s="55" t="str">
        <f>HYPERLINK("https://jobright.ai/jobs/info/6677eddb2ffca2bcf6692b98?utm_campaign=1062&amp;utm_source=sheet", "Apply")</f>
        <v>Apply</v>
      </c>
      <c r="C1337" s="10" t="s">
        <v>5208</v>
      </c>
      <c r="D1337" s="56" t="s">
        <v>5209</v>
      </c>
      <c r="E1337" s="10" t="s">
        <v>79</v>
      </c>
      <c r="F1337" s="10" t="s">
        <v>5210</v>
      </c>
      <c r="G1337" s="10" t="s">
        <v>2464</v>
      </c>
      <c r="H1337" s="10" t="s">
        <v>4623</v>
      </c>
      <c r="I1337" s="10" t="s">
        <v>55</v>
      </c>
      <c r="J1337" s="10" t="s">
        <v>5211</v>
      </c>
      <c r="K1337" s="10" t="s">
        <v>5212</v>
      </c>
      <c r="L1337" s="10" t="s">
        <v>42</v>
      </c>
    </row>
    <row r="1338" ht="15.75" customHeight="1">
      <c r="A1338" s="64">
        <v>45490.0</v>
      </c>
      <c r="B1338" s="55" t="str">
        <f>HYPERLINK("https://jobright.ai/jobs/info/667608d50f75793ae234dd73?utm_campaign=1062&amp;utm_source=sheet", "Apply")</f>
        <v>Apply</v>
      </c>
      <c r="C1338" s="10" t="s">
        <v>5213</v>
      </c>
      <c r="D1338" s="56" t="s">
        <v>186</v>
      </c>
      <c r="E1338" s="10" t="s">
        <v>65</v>
      </c>
      <c r="F1338" s="10" t="s">
        <v>187</v>
      </c>
      <c r="G1338" s="10" t="s">
        <v>2448</v>
      </c>
      <c r="H1338" s="10" t="s">
        <v>5189</v>
      </c>
      <c r="I1338" s="10" t="s">
        <v>55</v>
      </c>
      <c r="K1338" s="10" t="s">
        <v>5214</v>
      </c>
      <c r="L1338" s="10" t="s">
        <v>42</v>
      </c>
    </row>
    <row r="1339" ht="15.75" customHeight="1">
      <c r="A1339" s="64">
        <v>45490.0</v>
      </c>
      <c r="B1339" s="55" t="str">
        <f>HYPERLINK("https://jobright.ai/jobs/info/667c13a6a3f6c1af6aff0e89?utm_campaign=1062&amp;utm_source=sheet", "Apply")</f>
        <v>Apply</v>
      </c>
      <c r="C1339" s="10" t="s">
        <v>5215</v>
      </c>
      <c r="D1339" s="56" t="s">
        <v>4233</v>
      </c>
      <c r="E1339" s="10" t="s">
        <v>65</v>
      </c>
      <c r="F1339" s="10" t="s">
        <v>1124</v>
      </c>
      <c r="G1339" s="10" t="s">
        <v>2437</v>
      </c>
      <c r="H1339" s="10" t="s">
        <v>1008</v>
      </c>
      <c r="I1339" s="10" t="s">
        <v>55</v>
      </c>
      <c r="J1339" s="10" t="s">
        <v>5216</v>
      </c>
      <c r="K1339" s="10" t="s">
        <v>5217</v>
      </c>
      <c r="L1339" s="10" t="s">
        <v>42</v>
      </c>
    </row>
    <row r="1340" ht="15.75" customHeight="1">
      <c r="A1340" s="64">
        <v>45490.0</v>
      </c>
      <c r="B1340" s="55" t="str">
        <f>HYPERLINK("https://jobright.ai/jobs/info/6675866424f553052c296d38?utm_campaign=1062&amp;utm_source=sheet", "Apply")</f>
        <v>Apply</v>
      </c>
      <c r="C1340" s="10" t="s">
        <v>5218</v>
      </c>
      <c r="D1340" s="56" t="s">
        <v>311</v>
      </c>
      <c r="E1340" s="10" t="s">
        <v>45</v>
      </c>
      <c r="F1340" s="10" t="s">
        <v>312</v>
      </c>
      <c r="G1340" s="10" t="s">
        <v>2502</v>
      </c>
      <c r="H1340" s="10" t="s">
        <v>313</v>
      </c>
      <c r="I1340" s="10" t="s">
        <v>55</v>
      </c>
      <c r="J1340" s="10" t="s">
        <v>5219</v>
      </c>
      <c r="K1340" s="10" t="s">
        <v>5220</v>
      </c>
      <c r="L1340" s="10" t="s">
        <v>42</v>
      </c>
    </row>
    <row r="1341" ht="15.75" customHeight="1">
      <c r="A1341" s="64">
        <v>45490.0</v>
      </c>
      <c r="B1341" s="55" t="str">
        <f>HYPERLINK("https://jobright.ai/jobs/info/665e520a470222ee68930f28?utm_campaign=1062&amp;utm_source=sheet", "Apply")</f>
        <v>Apply</v>
      </c>
      <c r="C1341" s="10" t="s">
        <v>5221</v>
      </c>
      <c r="D1341" s="56" t="s">
        <v>5222</v>
      </c>
      <c r="E1341" s="10" t="s">
        <v>79</v>
      </c>
      <c r="F1341" s="10" t="s">
        <v>10</v>
      </c>
      <c r="G1341" s="10" t="s">
        <v>2579</v>
      </c>
      <c r="H1341" s="10" t="s">
        <v>572</v>
      </c>
      <c r="I1341" s="10" t="s">
        <v>55</v>
      </c>
      <c r="K1341" s="10" t="s">
        <v>5223</v>
      </c>
      <c r="L1341" s="10" t="s">
        <v>42</v>
      </c>
    </row>
    <row r="1342" ht="15.75" customHeight="1">
      <c r="A1342" s="64">
        <v>45490.0</v>
      </c>
      <c r="B1342" s="55" t="str">
        <f>HYPERLINK("https://jobright.ai/jobs/info/6642b95cc06a0b349da4457e?utm_campaign=1062&amp;utm_source=sheet", "Apply")</f>
        <v>Apply</v>
      </c>
      <c r="C1342" s="10" t="s">
        <v>5224</v>
      </c>
      <c r="D1342" s="56" t="s">
        <v>5225</v>
      </c>
      <c r="E1342" s="10" t="s">
        <v>45</v>
      </c>
      <c r="F1342" s="10" t="s">
        <v>1833</v>
      </c>
      <c r="G1342" s="10" t="s">
        <v>2448</v>
      </c>
      <c r="H1342" s="10" t="s">
        <v>165</v>
      </c>
      <c r="I1342" s="10" t="s">
        <v>55</v>
      </c>
      <c r="K1342" s="10" t="s">
        <v>5226</v>
      </c>
      <c r="L1342" s="10" t="s">
        <v>42</v>
      </c>
    </row>
    <row r="1343" ht="15.75" customHeight="1">
      <c r="A1343" s="64">
        <v>45490.0</v>
      </c>
      <c r="B1343" s="55" t="str">
        <f>HYPERLINK("https://jobright.ai/jobs/info/667b0ab5b4d737a87d6e843c?utm_campaign=1062&amp;utm_source=sheet", "Apply")</f>
        <v>Apply</v>
      </c>
      <c r="C1343" s="10" t="s">
        <v>5227</v>
      </c>
      <c r="D1343" s="56" t="s">
        <v>325</v>
      </c>
      <c r="E1343" s="10">
        <v>17752.0</v>
      </c>
      <c r="G1343" s="10" t="s">
        <v>2448</v>
      </c>
      <c r="H1343" s="10" t="s">
        <v>5228</v>
      </c>
      <c r="I1343" s="10" t="s">
        <v>48</v>
      </c>
      <c r="J1343" s="10" t="s">
        <v>327</v>
      </c>
      <c r="K1343" s="10" t="s">
        <v>5229</v>
      </c>
      <c r="L1343" s="10" t="s">
        <v>42</v>
      </c>
    </row>
    <row r="1344" ht="15.75" customHeight="1">
      <c r="A1344" s="64">
        <v>45490.0</v>
      </c>
      <c r="B1344" s="55" t="str">
        <f>HYPERLINK("https://jobright.ai/jobs/info/6677dca7fbac42152a145cab?utm_campaign=1062&amp;utm_source=sheet", "Apply")</f>
        <v>Apply</v>
      </c>
      <c r="C1344" s="10" t="s">
        <v>5230</v>
      </c>
      <c r="D1344" s="56" t="s">
        <v>5209</v>
      </c>
      <c r="E1344" s="10" t="s">
        <v>79</v>
      </c>
      <c r="F1344" s="10" t="s">
        <v>5210</v>
      </c>
      <c r="G1344" s="10" t="s">
        <v>2470</v>
      </c>
      <c r="H1344" s="10" t="s">
        <v>4623</v>
      </c>
      <c r="I1344" s="10" t="s">
        <v>55</v>
      </c>
      <c r="J1344" s="10" t="s">
        <v>5211</v>
      </c>
      <c r="K1344" s="10" t="s">
        <v>5231</v>
      </c>
      <c r="L1344" s="10" t="s">
        <v>42</v>
      </c>
    </row>
    <row r="1345" ht="15.75" customHeight="1">
      <c r="A1345" s="64">
        <v>45490.0</v>
      </c>
      <c r="B1345" s="55" t="str">
        <f>HYPERLINK("https://jobright.ai/jobs/info/667ec654fb91a65412d4a233?utm_campaign=1062&amp;utm_source=sheet", "Apply")</f>
        <v>Apply</v>
      </c>
      <c r="C1345" s="10" t="s">
        <v>5232</v>
      </c>
      <c r="D1345" s="56" t="s">
        <v>5233</v>
      </c>
      <c r="E1345" s="10" t="s">
        <v>249</v>
      </c>
      <c r="F1345" s="10" t="s">
        <v>1815</v>
      </c>
      <c r="G1345" s="10" t="s">
        <v>2437</v>
      </c>
      <c r="H1345" s="10" t="s">
        <v>5234</v>
      </c>
      <c r="I1345" s="10" t="s">
        <v>55</v>
      </c>
      <c r="K1345" s="10" t="s">
        <v>5235</v>
      </c>
      <c r="L1345" s="10" t="s">
        <v>42</v>
      </c>
    </row>
    <row r="1346" ht="15.75" customHeight="1">
      <c r="A1346" s="64">
        <v>45490.0</v>
      </c>
      <c r="B1346" s="55" t="str">
        <f>HYPERLINK("https://jobright.ai/jobs/info/6675e631002960a5a8d1afc8?utm_campaign=1062&amp;utm_source=sheet", "Apply")</f>
        <v>Apply</v>
      </c>
      <c r="C1346" s="10" t="s">
        <v>4723</v>
      </c>
      <c r="D1346" s="56" t="s">
        <v>2682</v>
      </c>
      <c r="E1346" s="10" t="s">
        <v>45</v>
      </c>
      <c r="F1346" s="10" t="s">
        <v>1357</v>
      </c>
      <c r="G1346" s="10" t="s">
        <v>2589</v>
      </c>
      <c r="H1346" s="10" t="s">
        <v>2241</v>
      </c>
      <c r="I1346" s="10" t="s">
        <v>55</v>
      </c>
      <c r="K1346" s="10" t="s">
        <v>2684</v>
      </c>
      <c r="L1346" s="10" t="s">
        <v>42</v>
      </c>
    </row>
    <row r="1347" ht="15.75" customHeight="1">
      <c r="A1347" s="64">
        <v>45490.0</v>
      </c>
      <c r="B1347" s="55" t="str">
        <f>HYPERLINK("https://jobright.ai/jobs/info/668d4154ea09f40432365847?utm_campaign=1062&amp;utm_source=sheet", "Apply")</f>
        <v>Apply</v>
      </c>
      <c r="C1347" s="10" t="s">
        <v>5236</v>
      </c>
      <c r="D1347" s="56" t="s">
        <v>5237</v>
      </c>
      <c r="E1347" s="10" t="s">
        <v>71</v>
      </c>
      <c r="F1347" s="10" t="s">
        <v>479</v>
      </c>
      <c r="G1347" s="10" t="s">
        <v>2437</v>
      </c>
      <c r="H1347" s="10" t="s">
        <v>419</v>
      </c>
      <c r="I1347" s="10" t="s">
        <v>48</v>
      </c>
      <c r="J1347" s="10" t="s">
        <v>5238</v>
      </c>
      <c r="K1347" s="10" t="s">
        <v>5239</v>
      </c>
      <c r="L1347" s="10" t="s">
        <v>42</v>
      </c>
    </row>
    <row r="1348" ht="15.75" customHeight="1">
      <c r="A1348" s="64">
        <v>45490.0</v>
      </c>
      <c r="B1348" s="55" t="str">
        <f>HYPERLINK("https://jobright.ai/jobs/info/667b2e70e24347abeb424451?utm_campaign=1062&amp;utm_source=sheet", "Apply")</f>
        <v>Apply</v>
      </c>
      <c r="C1348" s="10" t="s">
        <v>4723</v>
      </c>
      <c r="D1348" s="56" t="s">
        <v>2682</v>
      </c>
      <c r="E1348" s="10" t="s">
        <v>45</v>
      </c>
      <c r="F1348" s="10" t="s">
        <v>1357</v>
      </c>
      <c r="G1348" s="10" t="s">
        <v>2589</v>
      </c>
      <c r="H1348" s="10" t="s">
        <v>1007</v>
      </c>
      <c r="I1348" s="10" t="s">
        <v>55</v>
      </c>
      <c r="K1348" s="10" t="s">
        <v>2684</v>
      </c>
      <c r="L1348" s="10" t="s">
        <v>42</v>
      </c>
    </row>
    <row r="1349" ht="15.75" customHeight="1">
      <c r="A1349" s="64">
        <v>45490.0</v>
      </c>
      <c r="B1349" s="55" t="str">
        <f>HYPERLINK("https://jobright.ai/jobs/info/65d0e0221756e247154eff4b?utm_campaign=1062&amp;utm_source=sheet", "Apply")</f>
        <v>Apply</v>
      </c>
      <c r="C1349" s="10" t="s">
        <v>5240</v>
      </c>
      <c r="D1349" s="56" t="s">
        <v>186</v>
      </c>
      <c r="E1349" s="10" t="s">
        <v>65</v>
      </c>
      <c r="F1349" s="10" t="s">
        <v>187</v>
      </c>
      <c r="G1349" s="10" t="s">
        <v>2448</v>
      </c>
      <c r="H1349" s="10" t="s">
        <v>188</v>
      </c>
      <c r="I1349" s="10" t="s">
        <v>55</v>
      </c>
      <c r="K1349" s="10" t="s">
        <v>5241</v>
      </c>
      <c r="L1349" s="10" t="s">
        <v>42</v>
      </c>
    </row>
    <row r="1350" ht="15.75" customHeight="1">
      <c r="A1350" s="64">
        <v>45490.0</v>
      </c>
      <c r="B1350" s="55" t="str">
        <f>HYPERLINK("https://jobright.ai/jobs/info/667bd6dbee9a680f16839bb7?utm_campaign=1062&amp;utm_source=sheet", "Apply")</f>
        <v>Apply</v>
      </c>
      <c r="C1350" s="10" t="s">
        <v>5242</v>
      </c>
      <c r="D1350" s="56" t="s">
        <v>5243</v>
      </c>
      <c r="E1350" s="10" t="s">
        <v>65</v>
      </c>
      <c r="F1350" s="10" t="s">
        <v>5244</v>
      </c>
      <c r="G1350" s="10" t="s">
        <v>2464</v>
      </c>
      <c r="H1350" s="10" t="s">
        <v>5245</v>
      </c>
      <c r="I1350" s="10" t="s">
        <v>55</v>
      </c>
      <c r="K1350" s="10" t="s">
        <v>5246</v>
      </c>
      <c r="L1350" s="10" t="s">
        <v>42</v>
      </c>
    </row>
    <row r="1351" ht="15.75" customHeight="1">
      <c r="A1351" s="64">
        <v>45490.0</v>
      </c>
      <c r="B1351" s="55" t="str">
        <f>HYPERLINK("https://jobright.ai/jobs/info/667b2e70e24347abeb42444f?utm_campaign=1062&amp;utm_source=sheet", "Apply")</f>
        <v>Apply</v>
      </c>
      <c r="C1351" s="10" t="s">
        <v>4723</v>
      </c>
      <c r="D1351" s="56" t="s">
        <v>2682</v>
      </c>
      <c r="E1351" s="10" t="s">
        <v>45</v>
      </c>
      <c r="F1351" s="10" t="s">
        <v>1357</v>
      </c>
      <c r="G1351" s="10" t="s">
        <v>2589</v>
      </c>
      <c r="H1351" s="10" t="s">
        <v>5247</v>
      </c>
      <c r="I1351" s="10" t="s">
        <v>55</v>
      </c>
      <c r="J1351" s="10" t="s">
        <v>2683</v>
      </c>
      <c r="K1351" s="10" t="s">
        <v>2684</v>
      </c>
      <c r="L1351" s="10" t="s">
        <v>42</v>
      </c>
    </row>
    <row r="1352" ht="15.75" customHeight="1">
      <c r="A1352" s="64">
        <v>45490.0</v>
      </c>
      <c r="B1352" s="55" t="str">
        <f>HYPERLINK("https://jobright.ai/jobs/info/668c6bc059b1963e7b946cfa?utm_campaign=1062&amp;utm_source=sheet", "Apply")</f>
        <v>Apply</v>
      </c>
      <c r="C1352" s="10" t="s">
        <v>5248</v>
      </c>
      <c r="D1352" s="56" t="s">
        <v>3211</v>
      </c>
      <c r="E1352" s="10" t="s">
        <v>45</v>
      </c>
      <c r="F1352" s="10" t="s">
        <v>3212</v>
      </c>
      <c r="G1352" s="10" t="s">
        <v>2448</v>
      </c>
      <c r="H1352" s="10" t="s">
        <v>1022</v>
      </c>
      <c r="I1352" s="10" t="s">
        <v>55</v>
      </c>
      <c r="J1352" s="10" t="s">
        <v>5249</v>
      </c>
      <c r="K1352" s="10" t="s">
        <v>5250</v>
      </c>
      <c r="L1352" s="10" t="s">
        <v>42</v>
      </c>
    </row>
    <row r="1353" ht="15.75" customHeight="1">
      <c r="A1353" s="64">
        <v>45490.0</v>
      </c>
      <c r="B1353" s="55" t="str">
        <f>HYPERLINK("https://jobright.ai/jobs/info/667b62bb33a389e0c495e6fd?utm_campaign=1062&amp;utm_source=sheet", "Apply")</f>
        <v>Apply</v>
      </c>
      <c r="C1353" s="10" t="s">
        <v>5251</v>
      </c>
      <c r="D1353" s="56" t="s">
        <v>4071</v>
      </c>
      <c r="E1353" s="10" t="s">
        <v>65</v>
      </c>
      <c r="F1353" s="10" t="s">
        <v>4072</v>
      </c>
      <c r="G1353" s="10" t="s">
        <v>2502</v>
      </c>
      <c r="H1353" s="10" t="s">
        <v>4073</v>
      </c>
      <c r="I1353" s="10" t="s">
        <v>55</v>
      </c>
      <c r="K1353" s="10" t="s">
        <v>5252</v>
      </c>
      <c r="L1353" s="10" t="s">
        <v>42</v>
      </c>
    </row>
    <row r="1354" ht="15.75" customHeight="1">
      <c r="A1354" s="64">
        <v>45490.0</v>
      </c>
      <c r="B1354" s="55" t="str">
        <f>HYPERLINK("https://jobright.ai/jobs/info/667627a774a49bf8010a186c?utm_campaign=1062&amp;utm_source=sheet", "Apply")</f>
        <v>Apply</v>
      </c>
      <c r="C1354" s="10" t="s">
        <v>301</v>
      </c>
      <c r="D1354" s="56" t="s">
        <v>5253</v>
      </c>
      <c r="E1354" s="10" t="s">
        <v>45</v>
      </c>
      <c r="F1354" s="10" t="s">
        <v>529</v>
      </c>
      <c r="G1354" s="10" t="s">
        <v>2448</v>
      </c>
      <c r="H1354" s="10" t="s">
        <v>5254</v>
      </c>
      <c r="I1354" s="10" t="s">
        <v>55</v>
      </c>
      <c r="K1354" s="10" t="s">
        <v>5255</v>
      </c>
      <c r="L1354" s="10" t="s">
        <v>42</v>
      </c>
    </row>
    <row r="1355" ht="15.75" customHeight="1">
      <c r="A1355" s="64">
        <v>45490.0</v>
      </c>
      <c r="B1355" s="55" t="str">
        <f>HYPERLINK("https://jobright.ai/jobs/info/664e365b5ea75b6f96bedcce?utm_campaign=1062&amp;utm_source=sheet", "Apply")</f>
        <v>Apply</v>
      </c>
      <c r="C1355" s="10" t="s">
        <v>5256</v>
      </c>
      <c r="D1355" s="56" t="s">
        <v>5257</v>
      </c>
      <c r="E1355" s="10">
        <v>5045.0</v>
      </c>
      <c r="G1355" s="10" t="s">
        <v>2579</v>
      </c>
      <c r="H1355" s="10" t="s">
        <v>5258</v>
      </c>
      <c r="I1355" s="10" t="s">
        <v>55</v>
      </c>
      <c r="K1355" s="10" t="s">
        <v>5259</v>
      </c>
      <c r="L1355" s="10" t="s">
        <v>42</v>
      </c>
    </row>
    <row r="1356" ht="15.75" customHeight="1">
      <c r="A1356" s="64">
        <v>45490.0</v>
      </c>
      <c r="B1356" s="55" t="str">
        <f>HYPERLINK("https://jobright.ai/jobs/info/665e51f1470222ee68930d7c?utm_campaign=1062&amp;utm_source=sheet", "Apply")</f>
        <v>Apply</v>
      </c>
      <c r="C1356" s="10" t="s">
        <v>301</v>
      </c>
      <c r="D1356" s="56" t="s">
        <v>5260</v>
      </c>
      <c r="E1356" s="10">
        <v>49.0</v>
      </c>
      <c r="G1356" s="10" t="s">
        <v>2484</v>
      </c>
      <c r="H1356" s="10" t="s">
        <v>5261</v>
      </c>
      <c r="I1356" s="10" t="s">
        <v>55</v>
      </c>
      <c r="K1356" s="10" t="s">
        <v>5262</v>
      </c>
      <c r="L1356" s="10" t="s">
        <v>42</v>
      </c>
    </row>
    <row r="1357" ht="15.75" customHeight="1">
      <c r="A1357" s="64">
        <v>45490.0</v>
      </c>
      <c r="B1357" s="55" t="str">
        <f>HYPERLINK("https://jobright.ai/jobs/info/6697a49e93620e3dc5d22cd3?utm_campaign=1062&amp;utm_source=sheet", "Apply")</f>
        <v>Apply</v>
      </c>
      <c r="C1357" s="10" t="s">
        <v>5263</v>
      </c>
      <c r="D1357" s="56" t="s">
        <v>5264</v>
      </c>
      <c r="E1357" s="10" t="s">
        <v>45</v>
      </c>
      <c r="F1357" s="10" t="s">
        <v>5265</v>
      </c>
      <c r="G1357" s="10" t="s">
        <v>2448</v>
      </c>
      <c r="H1357" s="10" t="s">
        <v>5266</v>
      </c>
      <c r="I1357" s="10" t="s">
        <v>55</v>
      </c>
      <c r="K1357" s="10" t="s">
        <v>5267</v>
      </c>
      <c r="L1357" s="10" t="s">
        <v>42</v>
      </c>
    </row>
    <row r="1358" ht="15.75" customHeight="1">
      <c r="A1358" s="64">
        <v>45490.0</v>
      </c>
      <c r="B1358" s="55" t="str">
        <f>HYPERLINK("https://jobright.ai/jobs/info/6697b3279d866742adc558ea?utm_campaign=1062&amp;utm_source=sheet", "Apply")</f>
        <v>Apply</v>
      </c>
      <c r="C1358" s="10" t="s">
        <v>3748</v>
      </c>
      <c r="D1358" s="56" t="s">
        <v>3749</v>
      </c>
      <c r="E1358" s="10" t="s">
        <v>276</v>
      </c>
      <c r="F1358" s="10" t="s">
        <v>3750</v>
      </c>
      <c r="G1358" s="10" t="s">
        <v>2464</v>
      </c>
      <c r="H1358" s="10" t="s">
        <v>5268</v>
      </c>
      <c r="I1358" s="10" t="s">
        <v>55</v>
      </c>
      <c r="K1358" s="10" t="s">
        <v>3752</v>
      </c>
      <c r="L1358" s="10" t="s">
        <v>42</v>
      </c>
    </row>
    <row r="1359" ht="15.75" customHeight="1">
      <c r="A1359" s="64">
        <v>45490.0</v>
      </c>
      <c r="B1359" s="55" t="str">
        <f>HYPERLINK("https://jobright.ai/jobs/info/667b40f86c645d774025fad3?utm_campaign=1062&amp;utm_source=sheet", "Apply")</f>
        <v>Apply</v>
      </c>
      <c r="C1359" s="10" t="s">
        <v>5269</v>
      </c>
      <c r="D1359" s="56" t="s">
        <v>5270</v>
      </c>
      <c r="E1359" s="10" t="s">
        <v>209</v>
      </c>
      <c r="F1359" s="10" t="s">
        <v>529</v>
      </c>
      <c r="G1359" s="10" t="s">
        <v>2455</v>
      </c>
      <c r="H1359" s="10" t="s">
        <v>898</v>
      </c>
      <c r="I1359" s="10" t="s">
        <v>48</v>
      </c>
      <c r="K1359" s="10" t="s">
        <v>5271</v>
      </c>
      <c r="L1359" s="10" t="s">
        <v>42</v>
      </c>
    </row>
    <row r="1360" ht="15.75" customHeight="1">
      <c r="A1360" s="64">
        <v>45490.0</v>
      </c>
      <c r="B1360" s="55" t="str">
        <f>HYPERLINK("https://jobright.ai/jobs/info/665de5f7d85067ba847b539a?utm_campaign=1062&amp;utm_source=sheet", "Apply")</f>
        <v>Apply</v>
      </c>
      <c r="C1360" s="10" t="s">
        <v>5272</v>
      </c>
      <c r="D1360" s="56" t="s">
        <v>4225</v>
      </c>
      <c r="E1360" s="10" t="s">
        <v>209</v>
      </c>
      <c r="F1360" s="10" t="s">
        <v>4226</v>
      </c>
      <c r="G1360" s="10" t="s">
        <v>2470</v>
      </c>
      <c r="H1360" s="10" t="s">
        <v>4404</v>
      </c>
      <c r="I1360" s="10" t="s">
        <v>55</v>
      </c>
      <c r="K1360" s="10" t="s">
        <v>5273</v>
      </c>
      <c r="L1360" s="10" t="s">
        <v>42</v>
      </c>
    </row>
    <row r="1361" ht="15.75" customHeight="1">
      <c r="A1361" s="64">
        <v>45490.0</v>
      </c>
      <c r="B1361" s="55" t="str">
        <f>HYPERLINK("https://jobright.ai/jobs/info/66748dd5c67424e3abb9839d?utm_campaign=1062&amp;utm_source=sheet", "Apply")</f>
        <v>Apply</v>
      </c>
      <c r="C1361" s="10" t="s">
        <v>5274</v>
      </c>
      <c r="D1361" s="56" t="s">
        <v>5275</v>
      </c>
      <c r="E1361" s="10" t="s">
        <v>249</v>
      </c>
      <c r="F1361" s="10" t="s">
        <v>5276</v>
      </c>
      <c r="G1361" s="10" t="s">
        <v>2437</v>
      </c>
      <c r="H1361" s="10" t="s">
        <v>4170</v>
      </c>
      <c r="I1361" s="10" t="s">
        <v>55</v>
      </c>
      <c r="J1361" s="10" t="s">
        <v>5277</v>
      </c>
      <c r="K1361" s="10" t="s">
        <v>5278</v>
      </c>
      <c r="L1361" s="10" t="s">
        <v>42</v>
      </c>
    </row>
    <row r="1362" ht="15.75" customHeight="1">
      <c r="A1362" s="64">
        <v>45490.0</v>
      </c>
      <c r="B1362" s="55" t="str">
        <f>HYPERLINK("https://jobright.ai/jobs/info/6675a7816fb7d4bb72dd740a?utm_campaign=1062&amp;utm_source=sheet", "Apply")</f>
        <v>Apply</v>
      </c>
      <c r="C1362" s="10" t="s">
        <v>5279</v>
      </c>
      <c r="D1362" s="56" t="s">
        <v>5280</v>
      </c>
      <c r="E1362" s="10" t="s">
        <v>209</v>
      </c>
      <c r="F1362" s="10" t="s">
        <v>1512</v>
      </c>
      <c r="G1362" s="10" t="s">
        <v>2484</v>
      </c>
      <c r="H1362" s="10" t="s">
        <v>854</v>
      </c>
      <c r="I1362" s="10" t="s">
        <v>55</v>
      </c>
      <c r="K1362" s="10" t="s">
        <v>5281</v>
      </c>
      <c r="L1362" s="10" t="s">
        <v>42</v>
      </c>
    </row>
    <row r="1363" ht="15.75" customHeight="1">
      <c r="A1363" s="64">
        <v>45490.0</v>
      </c>
      <c r="B1363" s="55" t="str">
        <f>HYPERLINK("https://jobright.ai/jobs/info/6677d7b75793f82273cb4246?utm_campaign=1062&amp;utm_source=sheet", "Apply")</f>
        <v>Apply</v>
      </c>
      <c r="C1363" s="10" t="s">
        <v>5282</v>
      </c>
      <c r="D1363" s="56" t="s">
        <v>5283</v>
      </c>
      <c r="E1363" s="10" t="s">
        <v>209</v>
      </c>
      <c r="F1363" s="10" t="s">
        <v>620</v>
      </c>
      <c r="G1363" s="10" t="s">
        <v>2448</v>
      </c>
      <c r="H1363" s="10" t="s">
        <v>73</v>
      </c>
      <c r="I1363" s="10" t="s">
        <v>55</v>
      </c>
      <c r="K1363" s="10" t="s">
        <v>5284</v>
      </c>
      <c r="L1363" s="10" t="s">
        <v>42</v>
      </c>
    </row>
    <row r="1364" ht="15.75" customHeight="1">
      <c r="A1364" s="64">
        <v>45490.0</v>
      </c>
      <c r="B1364" s="55" t="str">
        <f>HYPERLINK("https://jobright.ai/jobs/info/66201ab2544a57590dfba360?utm_campaign=1062&amp;utm_source=sheet", "Apply")</f>
        <v>Apply</v>
      </c>
      <c r="C1364" s="10" t="s">
        <v>5285</v>
      </c>
      <c r="D1364" s="56" t="s">
        <v>5237</v>
      </c>
      <c r="E1364" s="10" t="s">
        <v>71</v>
      </c>
      <c r="F1364" s="10" t="s">
        <v>479</v>
      </c>
      <c r="G1364" s="10" t="s">
        <v>2437</v>
      </c>
      <c r="H1364" s="10" t="s">
        <v>5286</v>
      </c>
      <c r="I1364" s="10" t="s">
        <v>48</v>
      </c>
      <c r="J1364" s="10" t="s">
        <v>5238</v>
      </c>
      <c r="K1364" s="10" t="s">
        <v>5239</v>
      </c>
      <c r="L1364" s="10" t="s">
        <v>42</v>
      </c>
    </row>
    <row r="1365" ht="15.75" customHeight="1">
      <c r="A1365" s="64">
        <v>45490.0</v>
      </c>
      <c r="B1365" s="55" t="str">
        <f>HYPERLINK("https://jobright.ai/jobs/info/66567df2c21c78f6884477f5?utm_campaign=1062&amp;utm_source=sheet", "Apply")</f>
        <v>Apply</v>
      </c>
      <c r="C1365" s="10" t="s">
        <v>5287</v>
      </c>
      <c r="D1365" s="56" t="s">
        <v>5288</v>
      </c>
      <c r="E1365" s="10" t="s">
        <v>65</v>
      </c>
      <c r="F1365" s="10" t="s">
        <v>2583</v>
      </c>
      <c r="G1365" s="10" t="s">
        <v>2448</v>
      </c>
      <c r="H1365" s="10" t="s">
        <v>5289</v>
      </c>
      <c r="I1365" s="10" t="s">
        <v>55</v>
      </c>
      <c r="J1365" s="10" t="s">
        <v>5290</v>
      </c>
      <c r="K1365" s="10" t="s">
        <v>5291</v>
      </c>
      <c r="L1365" s="10" t="s">
        <v>42</v>
      </c>
    </row>
    <row r="1366" ht="15.75" customHeight="1">
      <c r="A1366" s="64">
        <v>45490.0</v>
      </c>
      <c r="B1366" s="55" t="str">
        <f>HYPERLINK("https://jobright.ai/jobs/info/667af3721a33bc49a0863604?utm_campaign=1062&amp;utm_source=sheet", "Apply")</f>
        <v>Apply</v>
      </c>
      <c r="C1366" s="10" t="s">
        <v>5292</v>
      </c>
      <c r="D1366" s="56" t="s">
        <v>5293</v>
      </c>
      <c r="E1366" s="10" t="s">
        <v>65</v>
      </c>
      <c r="F1366" s="10" t="s">
        <v>5294</v>
      </c>
      <c r="G1366" s="10" t="s">
        <v>2484</v>
      </c>
      <c r="H1366" s="10" t="s">
        <v>5295</v>
      </c>
      <c r="I1366" s="10" t="s">
        <v>55</v>
      </c>
      <c r="J1366" s="10" t="s">
        <v>509</v>
      </c>
      <c r="K1366" s="10" t="s">
        <v>5296</v>
      </c>
      <c r="L1366" s="10" t="s">
        <v>42</v>
      </c>
    </row>
    <row r="1367" ht="15.75" customHeight="1">
      <c r="A1367" s="64">
        <v>45490.0</v>
      </c>
      <c r="B1367" s="55" t="str">
        <f>HYPERLINK("https://jobright.ai/jobs/info/667ba4afc2bd20db94871650?utm_campaign=1062&amp;utm_source=sheet", "Apply")</f>
        <v>Apply</v>
      </c>
      <c r="C1367" s="10" t="s">
        <v>5297</v>
      </c>
      <c r="D1367" s="56" t="s">
        <v>716</v>
      </c>
      <c r="E1367" s="10" t="s">
        <v>79</v>
      </c>
      <c r="F1367" s="10" t="s">
        <v>717</v>
      </c>
      <c r="G1367" s="10" t="s">
        <v>2807</v>
      </c>
      <c r="H1367" s="10" t="s">
        <v>144</v>
      </c>
      <c r="I1367" s="10" t="s">
        <v>48</v>
      </c>
      <c r="J1367" s="10" t="s">
        <v>718</v>
      </c>
      <c r="K1367" s="10" t="s">
        <v>5298</v>
      </c>
      <c r="L1367" s="10" t="s">
        <v>42</v>
      </c>
    </row>
    <row r="1368" ht="15.75" customHeight="1">
      <c r="A1368" s="64">
        <v>45490.0</v>
      </c>
      <c r="B1368" s="55" t="str">
        <f>HYPERLINK("https://jobright.ai/jobs/info/6675e61c002960a5a8d1ae55?utm_campaign=1062&amp;utm_source=sheet", "Apply")</f>
        <v>Apply</v>
      </c>
      <c r="C1368" s="10" t="s">
        <v>5299</v>
      </c>
      <c r="D1368" s="56" t="s">
        <v>5222</v>
      </c>
      <c r="E1368" s="10" t="s">
        <v>79</v>
      </c>
      <c r="F1368" s="10" t="s">
        <v>10</v>
      </c>
      <c r="G1368" s="10" t="s">
        <v>2464</v>
      </c>
      <c r="H1368" s="10" t="s">
        <v>168</v>
      </c>
      <c r="I1368" s="10" t="s">
        <v>55</v>
      </c>
      <c r="K1368" s="10" t="s">
        <v>5300</v>
      </c>
      <c r="L1368" s="10" t="s">
        <v>42</v>
      </c>
    </row>
    <row r="1369" ht="15.75" customHeight="1">
      <c r="A1369" s="64">
        <v>45490.0</v>
      </c>
      <c r="B1369" s="55" t="str">
        <f>HYPERLINK("https://jobright.ai/jobs/info/667b596246c6f972c505d7a8?utm_campaign=1062&amp;utm_source=sheet", "Apply")</f>
        <v>Apply</v>
      </c>
      <c r="C1369" s="10" t="s">
        <v>5301</v>
      </c>
      <c r="D1369" s="56" t="s">
        <v>288</v>
      </c>
      <c r="E1369" s="10" t="s">
        <v>137</v>
      </c>
      <c r="F1369" s="10" t="s">
        <v>289</v>
      </c>
      <c r="G1369" s="10" t="s">
        <v>3733</v>
      </c>
      <c r="H1369" s="10" t="s">
        <v>868</v>
      </c>
      <c r="I1369" s="10" t="s">
        <v>55</v>
      </c>
      <c r="K1369" s="10" t="s">
        <v>5302</v>
      </c>
      <c r="L1369" s="10" t="s">
        <v>42</v>
      </c>
    </row>
    <row r="1370" ht="15.75" customHeight="1">
      <c r="A1370" s="64">
        <v>45490.0</v>
      </c>
      <c r="B1370" s="55" t="str">
        <f>HYPERLINK("https://jobright.ai/jobs/info/665e555e45ce60d2a2d66dc8?utm_campaign=1062&amp;utm_source=sheet", "Apply")</f>
        <v>Apply</v>
      </c>
      <c r="C1370" s="10" t="s">
        <v>5303</v>
      </c>
      <c r="D1370" s="56" t="s">
        <v>5304</v>
      </c>
      <c r="E1370" s="10" t="s">
        <v>249</v>
      </c>
      <c r="F1370" s="10" t="s">
        <v>2186</v>
      </c>
      <c r="G1370" s="10" t="s">
        <v>2455</v>
      </c>
      <c r="H1370" s="10" t="s">
        <v>144</v>
      </c>
      <c r="I1370" s="10" t="s">
        <v>48</v>
      </c>
      <c r="J1370" s="10" t="s">
        <v>5305</v>
      </c>
      <c r="K1370" s="10" t="s">
        <v>5306</v>
      </c>
      <c r="L1370" s="10" t="s">
        <v>42</v>
      </c>
    </row>
    <row r="1371" ht="15.75" customHeight="1">
      <c r="A1371" s="64">
        <v>45490.0</v>
      </c>
      <c r="B1371" s="55" t="str">
        <f>HYPERLINK("https://jobright.ai/jobs/info/6642412c072a454e47a1a3a0?utm_campaign=1062&amp;utm_source=sheet", "Apply")</f>
        <v>Apply</v>
      </c>
      <c r="C1371" s="10" t="s">
        <v>5307</v>
      </c>
      <c r="D1371" s="56" t="s">
        <v>2726</v>
      </c>
      <c r="E1371" s="10" t="s">
        <v>65</v>
      </c>
      <c r="F1371" s="10" t="s">
        <v>85</v>
      </c>
      <c r="G1371" s="10" t="s">
        <v>2464</v>
      </c>
      <c r="H1371" s="10" t="s">
        <v>96</v>
      </c>
      <c r="I1371" s="10" t="s">
        <v>48</v>
      </c>
      <c r="J1371" s="10" t="s">
        <v>5308</v>
      </c>
      <c r="K1371" s="10" t="s">
        <v>5309</v>
      </c>
      <c r="L1371" s="10" t="s">
        <v>42</v>
      </c>
    </row>
    <row r="1372" ht="15.75" customHeight="1">
      <c r="A1372" s="64">
        <v>45490.0</v>
      </c>
      <c r="B1372" s="55" t="str">
        <f>HYPERLINK("https://jobright.ai/jobs/info/667b77b56d67dd6e98a669b9?utm_campaign=1062&amp;utm_source=sheet", "Apply")</f>
        <v>Apply</v>
      </c>
      <c r="C1372" s="10" t="s">
        <v>484</v>
      </c>
      <c r="D1372" s="56" t="s">
        <v>3364</v>
      </c>
      <c r="E1372" s="10" t="s">
        <v>45</v>
      </c>
      <c r="F1372" s="10" t="s">
        <v>1274</v>
      </c>
      <c r="G1372" s="10" t="s">
        <v>2448</v>
      </c>
      <c r="H1372" s="10" t="s">
        <v>849</v>
      </c>
      <c r="I1372" s="10" t="s">
        <v>55</v>
      </c>
      <c r="K1372" s="10" t="s">
        <v>5310</v>
      </c>
      <c r="L1372" s="10" t="s">
        <v>42</v>
      </c>
    </row>
    <row r="1373" ht="15.75" customHeight="1">
      <c r="A1373" s="64">
        <v>45490.0</v>
      </c>
      <c r="B1373" s="55" t="str">
        <f>HYPERLINK("https://jobright.ai/jobs/info/665efbaeb40e17e6f7ae45a1?utm_campaign=1062&amp;utm_source=sheet", "Apply")</f>
        <v>Apply</v>
      </c>
      <c r="C1373" s="10" t="s">
        <v>5311</v>
      </c>
      <c r="D1373" s="56" t="s">
        <v>5312</v>
      </c>
      <c r="E1373" s="10" t="s">
        <v>65</v>
      </c>
      <c r="F1373" s="10" t="s">
        <v>5313</v>
      </c>
      <c r="G1373" s="10" t="s">
        <v>2502</v>
      </c>
      <c r="H1373" s="10" t="s">
        <v>144</v>
      </c>
      <c r="I1373" s="10" t="s">
        <v>55</v>
      </c>
      <c r="J1373" s="10" t="s">
        <v>5314</v>
      </c>
      <c r="K1373" s="10" t="s">
        <v>5315</v>
      </c>
      <c r="L1373" s="10" t="s">
        <v>42</v>
      </c>
    </row>
    <row r="1374" ht="15.75" customHeight="1">
      <c r="A1374" s="64">
        <v>45490.0</v>
      </c>
      <c r="B1374" s="55" t="str">
        <f>HYPERLINK("https://jobright.ai/jobs/info/6677d28497271e26801e2f17?utm_campaign=1062&amp;utm_source=sheet", "Apply")</f>
        <v>Apply</v>
      </c>
      <c r="C1374" s="10" t="s">
        <v>2725</v>
      </c>
      <c r="D1374" s="56" t="s">
        <v>2726</v>
      </c>
      <c r="E1374" s="10" t="s">
        <v>65</v>
      </c>
      <c r="F1374" s="10" t="s">
        <v>85</v>
      </c>
      <c r="G1374" s="10" t="s">
        <v>2464</v>
      </c>
      <c r="H1374" s="10" t="s">
        <v>4402</v>
      </c>
      <c r="I1374" s="10" t="s">
        <v>48</v>
      </c>
      <c r="K1374" s="10" t="s">
        <v>3760</v>
      </c>
      <c r="L1374" s="10" t="s">
        <v>42</v>
      </c>
    </row>
    <row r="1375" ht="15.75" customHeight="1">
      <c r="A1375" s="64">
        <v>45490.0</v>
      </c>
      <c r="B1375" s="55" t="str">
        <f>HYPERLINK("https://jobright.ai/jobs/info/6677cca674ec1a95a89ae5c0?utm_campaign=1062&amp;utm_source=sheet", "Apply")</f>
        <v>Apply</v>
      </c>
      <c r="C1375" s="10" t="s">
        <v>5316</v>
      </c>
      <c r="D1375" s="56" t="s">
        <v>1780</v>
      </c>
      <c r="E1375" s="10" t="s">
        <v>45</v>
      </c>
      <c r="F1375" s="10" t="s">
        <v>1781</v>
      </c>
      <c r="G1375" s="10" t="s">
        <v>2807</v>
      </c>
      <c r="H1375" s="10" t="s">
        <v>153</v>
      </c>
      <c r="I1375" s="10" t="s">
        <v>55</v>
      </c>
      <c r="K1375" s="10" t="s">
        <v>5317</v>
      </c>
      <c r="L1375" s="10" t="s">
        <v>42</v>
      </c>
    </row>
    <row r="1376" ht="15.75" customHeight="1">
      <c r="A1376" s="64">
        <v>45490.0</v>
      </c>
      <c r="B1376" s="55" t="str">
        <f>HYPERLINK("https://jobright.ai/jobs/info/667b62a333a389e0c495e58c?utm_campaign=1062&amp;utm_source=sheet", "Apply")</f>
        <v>Apply</v>
      </c>
      <c r="C1376" s="10" t="s">
        <v>5318</v>
      </c>
      <c r="D1376" s="56" t="s">
        <v>5319</v>
      </c>
      <c r="E1376" s="10" t="s">
        <v>45</v>
      </c>
      <c r="F1376" s="10" t="s">
        <v>1459</v>
      </c>
      <c r="G1376" s="10" t="s">
        <v>2470</v>
      </c>
      <c r="H1376" s="10" t="s">
        <v>5320</v>
      </c>
      <c r="I1376" s="10" t="s">
        <v>48</v>
      </c>
      <c r="K1376" s="10" t="s">
        <v>5321</v>
      </c>
      <c r="L1376" s="10" t="s">
        <v>42</v>
      </c>
    </row>
    <row r="1377" ht="15.75" customHeight="1">
      <c r="A1377" s="64">
        <v>45490.0</v>
      </c>
      <c r="B1377" s="55" t="str">
        <f>HYPERLINK("https://jobright.ai/jobs/info/667c2472872f83671d648941?utm_campaign=1062&amp;utm_source=sheet", "Apply")</f>
        <v>Apply</v>
      </c>
      <c r="C1377" s="10" t="s">
        <v>5322</v>
      </c>
      <c r="D1377" s="56" t="s">
        <v>3515</v>
      </c>
      <c r="E1377" s="10" t="s">
        <v>65</v>
      </c>
      <c r="F1377" s="10" t="s">
        <v>3516</v>
      </c>
      <c r="G1377" s="10" t="s">
        <v>2448</v>
      </c>
      <c r="H1377" s="10" t="s">
        <v>168</v>
      </c>
      <c r="I1377" s="10" t="s">
        <v>55</v>
      </c>
      <c r="K1377" s="10" t="s">
        <v>5183</v>
      </c>
      <c r="L1377" s="10" t="s">
        <v>42</v>
      </c>
    </row>
    <row r="1378" ht="15.75" customHeight="1">
      <c r="A1378" s="64">
        <v>45490.0</v>
      </c>
      <c r="B1378" s="55" t="str">
        <f>HYPERLINK("https://jobright.ai/jobs/info/6677ccb274ec1a95a89ae652?utm_campaign=1062&amp;utm_source=sheet", "Apply")</f>
        <v>Apply</v>
      </c>
      <c r="C1378" s="10" t="s">
        <v>3044</v>
      </c>
      <c r="D1378" s="56" t="s">
        <v>2631</v>
      </c>
      <c r="E1378" s="10" t="s">
        <v>209</v>
      </c>
      <c r="F1378" s="10" t="s">
        <v>2632</v>
      </c>
      <c r="G1378" s="10" t="s">
        <v>2464</v>
      </c>
      <c r="H1378" s="10" t="s">
        <v>986</v>
      </c>
      <c r="I1378" s="10" t="s">
        <v>55</v>
      </c>
      <c r="K1378" s="10" t="s">
        <v>3045</v>
      </c>
      <c r="L1378" s="10" t="s">
        <v>42</v>
      </c>
    </row>
    <row r="1379" ht="15.75" customHeight="1">
      <c r="A1379" s="64">
        <v>45490.0</v>
      </c>
      <c r="B1379" s="55" t="str">
        <f>HYPERLINK("https://jobright.ai/jobs/info/667bd6dbee9a680f16839bc1?utm_campaign=1062&amp;utm_source=sheet", "Apply")</f>
        <v>Apply</v>
      </c>
      <c r="C1379" s="10" t="s">
        <v>5323</v>
      </c>
      <c r="D1379" s="56" t="s">
        <v>4996</v>
      </c>
      <c r="E1379" s="10" t="s">
        <v>65</v>
      </c>
      <c r="F1379" s="10" t="s">
        <v>4997</v>
      </c>
      <c r="G1379" s="10" t="s">
        <v>2509</v>
      </c>
      <c r="H1379" s="10" t="s">
        <v>765</v>
      </c>
      <c r="I1379" s="10" t="s">
        <v>48</v>
      </c>
      <c r="J1379" s="10" t="s">
        <v>5324</v>
      </c>
      <c r="K1379" s="10" t="s">
        <v>5325</v>
      </c>
      <c r="L1379" s="10" t="s">
        <v>42</v>
      </c>
    </row>
    <row r="1380" ht="15.75" customHeight="1">
      <c r="A1380" s="64">
        <v>45490.0</v>
      </c>
      <c r="B1380" s="55" t="str">
        <f>HYPERLINK("https://jobright.ai/jobs/info/665a5b9a95e91bdd6ecfeae8?utm_campaign=1062&amp;utm_source=sheet", "Apply")</f>
        <v>Apply</v>
      </c>
      <c r="C1380" s="10" t="s">
        <v>4972</v>
      </c>
      <c r="D1380" s="56" t="s">
        <v>2717</v>
      </c>
      <c r="E1380" s="10" t="s">
        <v>65</v>
      </c>
      <c r="F1380" s="10" t="s">
        <v>2718</v>
      </c>
      <c r="G1380" s="10" t="s">
        <v>2605</v>
      </c>
      <c r="H1380" s="10" t="s">
        <v>1263</v>
      </c>
      <c r="I1380" s="10" t="s">
        <v>55</v>
      </c>
      <c r="J1380" s="10" t="s">
        <v>1189</v>
      </c>
      <c r="K1380" s="10" t="s">
        <v>2719</v>
      </c>
      <c r="L1380" s="10" t="s">
        <v>42</v>
      </c>
    </row>
    <row r="1381" ht="15.75" customHeight="1">
      <c r="A1381" s="64">
        <v>45490.0</v>
      </c>
      <c r="B1381" s="55" t="str">
        <f>HYPERLINK("https://jobright.ai/jobs/info/665e4a9dfaf7dde6766727f3?utm_campaign=1062&amp;utm_source=sheet", "Apply")</f>
        <v>Apply</v>
      </c>
      <c r="C1381" s="10" t="s">
        <v>4403</v>
      </c>
      <c r="D1381" s="56" t="s">
        <v>4225</v>
      </c>
      <c r="E1381" s="10" t="s">
        <v>209</v>
      </c>
      <c r="F1381" s="10" t="s">
        <v>4226</v>
      </c>
      <c r="G1381" s="10" t="s">
        <v>2470</v>
      </c>
      <c r="H1381" s="10" t="s">
        <v>1352</v>
      </c>
      <c r="I1381" s="10" t="s">
        <v>55</v>
      </c>
      <c r="J1381" s="10" t="s">
        <v>1616</v>
      </c>
      <c r="K1381" s="10" t="s">
        <v>4405</v>
      </c>
      <c r="L1381" s="10" t="s">
        <v>42</v>
      </c>
    </row>
    <row r="1382" ht="15.75" customHeight="1">
      <c r="A1382" s="64">
        <v>45490.0</v>
      </c>
      <c r="B1382" s="55" t="str">
        <f>HYPERLINK("https://jobright.ai/jobs/info/667b596246c6f972c505d7a9?utm_campaign=1062&amp;utm_source=sheet", "Apply")</f>
        <v>Apply</v>
      </c>
      <c r="C1382" s="10" t="s">
        <v>5326</v>
      </c>
      <c r="D1382" s="56" t="s">
        <v>288</v>
      </c>
      <c r="E1382" s="10" t="s">
        <v>137</v>
      </c>
      <c r="F1382" s="10" t="s">
        <v>289</v>
      </c>
      <c r="G1382" s="10" t="s">
        <v>2448</v>
      </c>
      <c r="H1382" s="10" t="s">
        <v>868</v>
      </c>
      <c r="I1382" s="10" t="s">
        <v>55</v>
      </c>
      <c r="K1382" s="10" t="s">
        <v>5327</v>
      </c>
      <c r="L1382" s="10" t="s">
        <v>42</v>
      </c>
    </row>
    <row r="1383" ht="15.75" customHeight="1">
      <c r="A1383" s="64">
        <v>45490.0</v>
      </c>
      <c r="B1383" s="55" t="str">
        <f>HYPERLINK("https://jobright.ai/jobs/info/665de5f7d85067ba847b539b?utm_campaign=1062&amp;utm_source=sheet", "Apply")</f>
        <v>Apply</v>
      </c>
      <c r="C1383" s="10" t="s">
        <v>4403</v>
      </c>
      <c r="D1383" s="56" t="s">
        <v>4225</v>
      </c>
      <c r="E1383" s="10" t="s">
        <v>209</v>
      </c>
      <c r="F1383" s="10" t="s">
        <v>4226</v>
      </c>
      <c r="G1383" s="10" t="s">
        <v>2470</v>
      </c>
      <c r="H1383" s="10" t="s">
        <v>5328</v>
      </c>
      <c r="I1383" s="10" t="s">
        <v>55</v>
      </c>
      <c r="J1383" s="10" t="s">
        <v>1616</v>
      </c>
      <c r="K1383" s="10" t="s">
        <v>4405</v>
      </c>
      <c r="L1383" s="10" t="s">
        <v>42</v>
      </c>
    </row>
    <row r="1384" ht="15.75" customHeight="1">
      <c r="A1384" s="64">
        <v>45490.0</v>
      </c>
      <c r="B1384" s="55" t="str">
        <f>HYPERLINK("https://jobright.ai/jobs/info/6622fa1300b2076395f546e9?utm_campaign=1062&amp;utm_source=sheet", "Apply")</f>
        <v>Apply</v>
      </c>
      <c r="C1384" s="10" t="s">
        <v>5329</v>
      </c>
      <c r="D1384" s="56" t="s">
        <v>5330</v>
      </c>
      <c r="E1384" s="10" t="s">
        <v>65</v>
      </c>
      <c r="F1384" s="10" t="s">
        <v>3238</v>
      </c>
      <c r="G1384" s="10" t="s">
        <v>2437</v>
      </c>
      <c r="H1384" s="10" t="s">
        <v>5331</v>
      </c>
      <c r="I1384" s="10" t="s">
        <v>48</v>
      </c>
      <c r="J1384" s="10" t="s">
        <v>5332</v>
      </c>
      <c r="K1384" s="10" t="s">
        <v>5333</v>
      </c>
      <c r="L1384" s="10" t="s">
        <v>42</v>
      </c>
    </row>
    <row r="1385" ht="15.75" customHeight="1">
      <c r="A1385" s="64">
        <v>45490.0</v>
      </c>
      <c r="B1385" s="55" t="str">
        <f>HYPERLINK("https://jobright.ai/jobs/info/668bb73817dee33772925b66?utm_campaign=1062&amp;utm_source=sheet", "Apply")</f>
        <v>Apply</v>
      </c>
      <c r="C1385" s="10" t="s">
        <v>5334</v>
      </c>
      <c r="D1385" s="56" t="s">
        <v>5237</v>
      </c>
      <c r="E1385" s="10" t="s">
        <v>71</v>
      </c>
      <c r="F1385" s="10" t="s">
        <v>479</v>
      </c>
      <c r="G1385" s="10" t="s">
        <v>2484</v>
      </c>
      <c r="H1385" s="10" t="s">
        <v>5286</v>
      </c>
      <c r="I1385" s="10" t="s">
        <v>48</v>
      </c>
      <c r="J1385" s="10" t="s">
        <v>5238</v>
      </c>
      <c r="K1385" s="10" t="s">
        <v>5335</v>
      </c>
      <c r="L1385" s="10" t="s">
        <v>42</v>
      </c>
    </row>
    <row r="1386" ht="15.75" customHeight="1">
      <c r="A1386" s="64">
        <v>45490.0</v>
      </c>
      <c r="B1386" s="55" t="str">
        <f>HYPERLINK("https://jobright.ai/jobs/info/66979923a63df06e44659cad?utm_campaign=1062&amp;utm_source=sheet", "Apply")</f>
        <v>Apply</v>
      </c>
      <c r="C1386" s="10" t="s">
        <v>5336</v>
      </c>
      <c r="D1386" s="56" t="s">
        <v>4233</v>
      </c>
      <c r="E1386" s="10" t="s">
        <v>65</v>
      </c>
      <c r="F1386" s="10" t="s">
        <v>1124</v>
      </c>
      <c r="G1386" s="10" t="s">
        <v>2509</v>
      </c>
      <c r="H1386" s="10" t="s">
        <v>5337</v>
      </c>
      <c r="I1386" s="10" t="s">
        <v>55</v>
      </c>
      <c r="J1386" s="10" t="s">
        <v>4234</v>
      </c>
      <c r="K1386" s="10" t="s">
        <v>5338</v>
      </c>
      <c r="L1386" s="10" t="s">
        <v>42</v>
      </c>
    </row>
    <row r="1387" ht="15.75" customHeight="1">
      <c r="A1387" s="64">
        <v>45490.0</v>
      </c>
      <c r="B1387" s="55" t="str">
        <f>HYPERLINK("https://jobright.ai/jobs/info/664e9870f97ff61ecf83b5e6?utm_campaign=1062&amp;utm_source=sheet", "Apply")</f>
        <v>Apply</v>
      </c>
      <c r="C1387" s="10" t="s">
        <v>5339</v>
      </c>
      <c r="D1387" s="56" t="s">
        <v>5340</v>
      </c>
      <c r="E1387" s="10" t="s">
        <v>209</v>
      </c>
      <c r="F1387" s="10" t="s">
        <v>5341</v>
      </c>
      <c r="G1387" s="10" t="s">
        <v>2579</v>
      </c>
      <c r="H1387" s="10" t="s">
        <v>5342</v>
      </c>
      <c r="I1387" s="10" t="s">
        <v>55</v>
      </c>
      <c r="K1387" s="10" t="s">
        <v>5343</v>
      </c>
      <c r="L1387" s="10" t="s">
        <v>42</v>
      </c>
    </row>
    <row r="1388" ht="15.75" customHeight="1">
      <c r="A1388" s="64">
        <v>45490.0</v>
      </c>
      <c r="B1388" s="55" t="str">
        <f>HYPERLINK("https://jobright.ai/jobs/info/665128f73630da610452c08f?utm_campaign=1062&amp;utm_source=sheet", "Apply")</f>
        <v>Apply</v>
      </c>
      <c r="C1388" s="10" t="s">
        <v>5344</v>
      </c>
      <c r="D1388" s="56" t="s">
        <v>2526</v>
      </c>
      <c r="E1388" s="10" t="s">
        <v>45</v>
      </c>
      <c r="F1388" s="10" t="s">
        <v>2527</v>
      </c>
      <c r="G1388" s="10" t="s">
        <v>2495</v>
      </c>
      <c r="H1388" s="10" t="s">
        <v>906</v>
      </c>
      <c r="I1388" s="10" t="s">
        <v>55</v>
      </c>
      <c r="K1388" s="10" t="s">
        <v>5345</v>
      </c>
      <c r="L1388" s="10" t="s">
        <v>42</v>
      </c>
    </row>
    <row r="1389" ht="15.75" customHeight="1">
      <c r="A1389" s="64">
        <v>45490.0</v>
      </c>
      <c r="B1389" s="55" t="str">
        <f>HYPERLINK("https://jobright.ai/jobs/info/665fbdd3c4028d4876bf9d59?utm_campaign=1062&amp;utm_source=sheet", "Apply")</f>
        <v>Apply</v>
      </c>
      <c r="C1389" s="10" t="s">
        <v>5346</v>
      </c>
      <c r="D1389" s="56" t="s">
        <v>5047</v>
      </c>
      <c r="E1389" s="10" t="s">
        <v>45</v>
      </c>
      <c r="F1389" s="10" t="s">
        <v>5048</v>
      </c>
      <c r="G1389" s="10" t="s">
        <v>2448</v>
      </c>
      <c r="H1389" s="10" t="s">
        <v>5049</v>
      </c>
      <c r="I1389" s="10" t="s">
        <v>55</v>
      </c>
      <c r="K1389" s="10" t="s">
        <v>5347</v>
      </c>
      <c r="L1389" s="10" t="s">
        <v>42</v>
      </c>
    </row>
    <row r="1390" ht="15.75" customHeight="1">
      <c r="A1390" s="64">
        <v>45490.0</v>
      </c>
      <c r="B1390" s="55" t="str">
        <f>HYPERLINK("https://jobright.ai/jobs/info/667b594d46c6f972c505d660?utm_campaign=1062&amp;utm_source=sheet", "Apply")</f>
        <v>Apply</v>
      </c>
      <c r="C1390" s="10" t="s">
        <v>5348</v>
      </c>
      <c r="D1390" s="56" t="s">
        <v>5270</v>
      </c>
      <c r="E1390" s="10" t="s">
        <v>209</v>
      </c>
      <c r="F1390" s="10" t="s">
        <v>529</v>
      </c>
      <c r="G1390" s="10" t="s">
        <v>2455</v>
      </c>
      <c r="H1390" s="10" t="s">
        <v>898</v>
      </c>
      <c r="I1390" s="10" t="s">
        <v>48</v>
      </c>
      <c r="K1390" s="10" t="s">
        <v>5349</v>
      </c>
      <c r="L1390" s="10" t="s">
        <v>42</v>
      </c>
    </row>
    <row r="1391" ht="15.75" customHeight="1">
      <c r="A1391" s="64">
        <v>45490.0</v>
      </c>
      <c r="B1391" s="55" t="str">
        <f>HYPERLINK("https://jobright.ai/jobs/info/6660dcb675d4ec2169297a3f?utm_campaign=1062&amp;utm_source=sheet", "Apply")</f>
        <v>Apply</v>
      </c>
      <c r="C1391" s="10" t="s">
        <v>5350</v>
      </c>
      <c r="D1391" s="56" t="s">
        <v>3071</v>
      </c>
      <c r="E1391" s="10" t="s">
        <v>45</v>
      </c>
      <c r="F1391" s="10" t="s">
        <v>1234</v>
      </c>
      <c r="G1391" s="10" t="s">
        <v>2448</v>
      </c>
      <c r="H1391" s="10" t="s">
        <v>153</v>
      </c>
      <c r="I1391" s="10" t="s">
        <v>48</v>
      </c>
      <c r="K1391" s="10" t="s">
        <v>5351</v>
      </c>
      <c r="L1391" s="10" t="s">
        <v>42</v>
      </c>
    </row>
    <row r="1392" ht="15.75" customHeight="1">
      <c r="A1392" s="64">
        <v>45490.0</v>
      </c>
      <c r="B1392" s="55" t="str">
        <f>HYPERLINK("https://jobright.ai/jobs/info/665e8d65c23cb2757e22b401?utm_campaign=1062&amp;utm_source=sheet", "Apply")</f>
        <v>Apply</v>
      </c>
      <c r="C1392" s="10" t="s">
        <v>3457</v>
      </c>
      <c r="D1392" s="56" t="s">
        <v>3458</v>
      </c>
      <c r="E1392" s="10" t="s">
        <v>65</v>
      </c>
      <c r="F1392" s="10" t="s">
        <v>615</v>
      </c>
      <c r="G1392" s="10" t="s">
        <v>2437</v>
      </c>
      <c r="H1392" s="10" t="s">
        <v>146</v>
      </c>
      <c r="I1392" s="10" t="s">
        <v>55</v>
      </c>
      <c r="K1392" s="10" t="s">
        <v>5352</v>
      </c>
      <c r="L1392" s="10" t="s">
        <v>42</v>
      </c>
    </row>
    <row r="1393" ht="15.75" customHeight="1">
      <c r="A1393" s="64">
        <v>45490.0</v>
      </c>
      <c r="B1393" s="55" t="str">
        <f>HYPERLINK("https://jobright.ai/jobs/info/668bb73817dee33772925ba4?utm_campaign=1062&amp;utm_source=sheet", "Apply")</f>
        <v>Apply</v>
      </c>
      <c r="C1393" s="10" t="s">
        <v>5353</v>
      </c>
      <c r="D1393" s="56" t="s">
        <v>5340</v>
      </c>
      <c r="E1393" s="10" t="s">
        <v>209</v>
      </c>
      <c r="F1393" s="10" t="s">
        <v>5341</v>
      </c>
      <c r="G1393" s="10" t="s">
        <v>2484</v>
      </c>
      <c r="H1393" s="10" t="s">
        <v>5354</v>
      </c>
      <c r="I1393" s="10" t="s">
        <v>55</v>
      </c>
      <c r="K1393" s="10" t="s">
        <v>5355</v>
      </c>
      <c r="L1393" s="10" t="s">
        <v>42</v>
      </c>
    </row>
    <row r="1394" ht="15.75" customHeight="1">
      <c r="A1394" s="64">
        <v>45490.0</v>
      </c>
      <c r="B1394" s="55" t="str">
        <f>HYPERLINK("https://jobright.ai/jobs/info/667b6c24a28bede7688767e9?utm_campaign=1062&amp;utm_source=sheet", "Apply")</f>
        <v>Apply</v>
      </c>
      <c r="C1394" s="10" t="s">
        <v>5356</v>
      </c>
      <c r="D1394" s="56" t="s">
        <v>288</v>
      </c>
      <c r="E1394" s="10" t="s">
        <v>137</v>
      </c>
      <c r="F1394" s="10" t="s">
        <v>289</v>
      </c>
      <c r="G1394" s="10" t="s">
        <v>2437</v>
      </c>
      <c r="H1394" s="10" t="s">
        <v>868</v>
      </c>
      <c r="I1394" s="10" t="s">
        <v>55</v>
      </c>
      <c r="K1394" s="10" t="s">
        <v>5357</v>
      </c>
      <c r="L1394" s="10" t="s">
        <v>42</v>
      </c>
    </row>
    <row r="1395" ht="15.75" customHeight="1">
      <c r="A1395" s="64">
        <v>45490.0</v>
      </c>
      <c r="B1395" s="55" t="str">
        <f>HYPERLINK("https://jobright.ai/jobs/info/669761ad414745d5ba1356a7?utm_campaign=1062&amp;utm_source=sheet", "Apply")</f>
        <v>Apply</v>
      </c>
      <c r="C1395" s="10" t="s">
        <v>5358</v>
      </c>
      <c r="D1395" s="56" t="s">
        <v>5359</v>
      </c>
      <c r="E1395" s="10" t="s">
        <v>65</v>
      </c>
      <c r="F1395" s="10" t="s">
        <v>5360</v>
      </c>
      <c r="G1395" s="10" t="s">
        <v>2448</v>
      </c>
      <c r="H1395" s="10" t="s">
        <v>3019</v>
      </c>
      <c r="I1395" s="10" t="s">
        <v>48</v>
      </c>
      <c r="J1395" s="10" t="s">
        <v>5361</v>
      </c>
      <c r="K1395" s="10" t="s">
        <v>5362</v>
      </c>
      <c r="L1395" s="10" t="s">
        <v>42</v>
      </c>
    </row>
    <row r="1396" ht="15.75" customHeight="1">
      <c r="A1396" s="64">
        <v>45490.0</v>
      </c>
      <c r="B1396" s="55" t="str">
        <f>HYPERLINK("https://jobright.ai/jobs/info/66976a3b0cb55672d6b4eda0?utm_campaign=1062&amp;utm_source=sheet", "Apply")</f>
        <v>Apply</v>
      </c>
      <c r="C1396" s="10" t="s">
        <v>4613</v>
      </c>
      <c r="D1396" s="56" t="s">
        <v>567</v>
      </c>
      <c r="E1396" s="10" t="s">
        <v>65</v>
      </c>
      <c r="F1396" s="10" t="s">
        <v>568</v>
      </c>
      <c r="G1396" s="10" t="s">
        <v>2448</v>
      </c>
      <c r="H1396" s="10" t="s">
        <v>605</v>
      </c>
      <c r="I1396" s="10" t="s">
        <v>55</v>
      </c>
      <c r="K1396" s="10" t="s">
        <v>4614</v>
      </c>
      <c r="L1396" s="10" t="s">
        <v>42</v>
      </c>
    </row>
    <row r="1397" ht="15.75" customHeight="1">
      <c r="A1397" s="64">
        <v>45490.0</v>
      </c>
      <c r="B1397" s="55" t="str">
        <f>HYPERLINK("https://jobright.ai/jobs/info/66976a3b0cb55672d6b4ed9f?utm_campaign=1062&amp;utm_source=sheet", "Apply")</f>
        <v>Apply</v>
      </c>
      <c r="C1397" s="10" t="s">
        <v>4613</v>
      </c>
      <c r="D1397" s="56" t="s">
        <v>567</v>
      </c>
      <c r="E1397" s="10" t="s">
        <v>65</v>
      </c>
      <c r="F1397" s="10" t="s">
        <v>568</v>
      </c>
      <c r="G1397" s="10" t="s">
        <v>2448</v>
      </c>
      <c r="H1397" s="10" t="s">
        <v>570</v>
      </c>
      <c r="I1397" s="10" t="s">
        <v>55</v>
      </c>
      <c r="K1397" s="10" t="s">
        <v>4614</v>
      </c>
      <c r="L1397" s="10" t="s">
        <v>42</v>
      </c>
    </row>
    <row r="1398" ht="15.75" customHeight="1">
      <c r="A1398" s="64">
        <v>45490.0</v>
      </c>
      <c r="B1398" s="55" t="str">
        <f>HYPERLINK("https://jobright.ai/jobs/info/6697839c7a02488528f17ded?utm_campaign=1062&amp;utm_source=sheet", "Apply")</f>
        <v>Apply</v>
      </c>
      <c r="C1398" s="10" t="s">
        <v>5363</v>
      </c>
      <c r="D1398" s="56" t="s">
        <v>1846</v>
      </c>
      <c r="E1398" s="10" t="s">
        <v>45</v>
      </c>
      <c r="F1398" s="10" t="s">
        <v>1485</v>
      </c>
      <c r="G1398" s="10" t="s">
        <v>2509</v>
      </c>
      <c r="H1398" s="10" t="s">
        <v>628</v>
      </c>
      <c r="I1398" s="10" t="s">
        <v>55</v>
      </c>
      <c r="J1398" s="10" t="s">
        <v>5364</v>
      </c>
      <c r="K1398" s="10" t="s">
        <v>5365</v>
      </c>
      <c r="L1398" s="10" t="s">
        <v>42</v>
      </c>
    </row>
    <row r="1399" ht="15.75" customHeight="1">
      <c r="A1399" s="64">
        <v>45490.0</v>
      </c>
      <c r="B1399" s="55" t="str">
        <f>HYPERLINK("https://jobright.ai/jobs/info/669761ad414745d5ba1356fe?utm_campaign=1062&amp;utm_source=sheet", "Apply")</f>
        <v>Apply</v>
      </c>
      <c r="C1399" s="10" t="s">
        <v>4613</v>
      </c>
      <c r="D1399" s="56" t="s">
        <v>567</v>
      </c>
      <c r="E1399" s="10" t="s">
        <v>65</v>
      </c>
      <c r="F1399" s="10" t="s">
        <v>568</v>
      </c>
      <c r="G1399" s="10" t="s">
        <v>2448</v>
      </c>
      <c r="H1399" s="10" t="s">
        <v>573</v>
      </c>
      <c r="I1399" s="10" t="s">
        <v>55</v>
      </c>
      <c r="K1399" s="10" t="s">
        <v>4614</v>
      </c>
      <c r="L1399" s="10" t="s">
        <v>42</v>
      </c>
    </row>
    <row r="1400" ht="15.75" customHeight="1">
      <c r="A1400" s="64">
        <v>45490.0</v>
      </c>
      <c r="B1400" s="55" t="str">
        <f>HYPERLINK("https://jobright.ai/jobs/info/6697542d1c31daf5410d4e53?utm_campaign=1062&amp;utm_source=sheet", "Apply")</f>
        <v>Apply</v>
      </c>
      <c r="C1400" s="10" t="s">
        <v>4613</v>
      </c>
      <c r="D1400" s="56" t="s">
        <v>567</v>
      </c>
      <c r="E1400" s="10" t="s">
        <v>65</v>
      </c>
      <c r="F1400" s="10" t="s">
        <v>568</v>
      </c>
      <c r="G1400" s="10" t="s">
        <v>2448</v>
      </c>
      <c r="H1400" s="10" t="s">
        <v>574</v>
      </c>
      <c r="I1400" s="10" t="s">
        <v>55</v>
      </c>
      <c r="K1400" s="10" t="s">
        <v>4614</v>
      </c>
      <c r="L1400" s="10" t="s">
        <v>42</v>
      </c>
    </row>
    <row r="1401" ht="15.75" customHeight="1">
      <c r="A1401" s="64">
        <v>45490.0</v>
      </c>
      <c r="B1401" s="55" t="str">
        <f>HYPERLINK("https://jobright.ai/jobs/info/669751a0a25c567e77ffc339?utm_campaign=1062&amp;utm_source=sheet", "Apply")</f>
        <v>Apply</v>
      </c>
      <c r="C1401" s="10" t="s">
        <v>4613</v>
      </c>
      <c r="D1401" s="56" t="s">
        <v>567</v>
      </c>
      <c r="E1401" s="10" t="s">
        <v>65</v>
      </c>
      <c r="F1401" s="10" t="s">
        <v>568</v>
      </c>
      <c r="G1401" s="10" t="s">
        <v>2448</v>
      </c>
      <c r="H1401" s="10" t="s">
        <v>1048</v>
      </c>
      <c r="I1401" s="10" t="s">
        <v>55</v>
      </c>
      <c r="K1401" s="10" t="s">
        <v>4614</v>
      </c>
      <c r="L1401" s="10" t="s">
        <v>42</v>
      </c>
    </row>
    <row r="1402" ht="15.75" customHeight="1">
      <c r="A1402" s="64">
        <v>45490.0</v>
      </c>
      <c r="B1402" s="55" t="str">
        <f>HYPERLINK("https://jobright.ai/jobs/info/669751a0a25c567e77ffc337?utm_campaign=1062&amp;utm_source=sheet", "Apply")</f>
        <v>Apply</v>
      </c>
      <c r="C1402" s="10" t="s">
        <v>4613</v>
      </c>
      <c r="D1402" s="56" t="s">
        <v>567</v>
      </c>
      <c r="E1402" s="10" t="s">
        <v>65</v>
      </c>
      <c r="F1402" s="10" t="s">
        <v>568</v>
      </c>
      <c r="G1402" s="10" t="s">
        <v>2448</v>
      </c>
      <c r="H1402" s="10" t="s">
        <v>571</v>
      </c>
      <c r="I1402" s="10" t="s">
        <v>55</v>
      </c>
      <c r="K1402" s="10" t="s">
        <v>4614</v>
      </c>
      <c r="L1402" s="10" t="s">
        <v>42</v>
      </c>
    </row>
    <row r="1403" ht="15.75" customHeight="1">
      <c r="A1403" s="64">
        <v>45490.0</v>
      </c>
      <c r="B1403" s="55" t="str">
        <f>HYPERLINK("https://jobright.ai/jobs/info/669751a0a25c567e77ffc336?utm_campaign=1062&amp;utm_source=sheet", "Apply")</f>
        <v>Apply</v>
      </c>
      <c r="C1403" s="10" t="s">
        <v>4613</v>
      </c>
      <c r="D1403" s="56" t="s">
        <v>567</v>
      </c>
      <c r="E1403" s="10" t="s">
        <v>65</v>
      </c>
      <c r="F1403" s="10" t="s">
        <v>568</v>
      </c>
      <c r="G1403" s="10" t="s">
        <v>2448</v>
      </c>
      <c r="H1403" s="10" t="s">
        <v>411</v>
      </c>
      <c r="I1403" s="10" t="s">
        <v>55</v>
      </c>
      <c r="K1403" s="10" t="s">
        <v>4614</v>
      </c>
      <c r="L1403" s="10" t="s">
        <v>42</v>
      </c>
    </row>
    <row r="1404" ht="15.75" customHeight="1">
      <c r="A1404" s="64">
        <v>45490.0</v>
      </c>
      <c r="B1404" s="55" t="str">
        <f>HYPERLINK("https://jobright.ai/jobs/info/669751a0a25c567e77ffc335?utm_campaign=1062&amp;utm_source=sheet", "Apply")</f>
        <v>Apply</v>
      </c>
      <c r="C1404" s="10" t="s">
        <v>4613</v>
      </c>
      <c r="D1404" s="56" t="s">
        <v>567</v>
      </c>
      <c r="E1404" s="10" t="s">
        <v>65</v>
      </c>
      <c r="F1404" s="10" t="s">
        <v>568</v>
      </c>
      <c r="G1404" s="10" t="s">
        <v>2448</v>
      </c>
      <c r="H1404" s="10" t="s">
        <v>603</v>
      </c>
      <c r="I1404" s="10" t="s">
        <v>55</v>
      </c>
      <c r="K1404" s="10" t="s">
        <v>4614</v>
      </c>
      <c r="L1404" s="10" t="s">
        <v>42</v>
      </c>
    </row>
    <row r="1405" ht="15.75" customHeight="1">
      <c r="A1405" s="64">
        <v>45490.0</v>
      </c>
      <c r="B1405" s="55" t="str">
        <f>HYPERLINK("https://jobright.ai/jobs/info/669751a0a25c567e77ffc333?utm_campaign=1062&amp;utm_source=sheet", "Apply")</f>
        <v>Apply</v>
      </c>
      <c r="C1405" s="10" t="s">
        <v>4613</v>
      </c>
      <c r="D1405" s="56" t="s">
        <v>567</v>
      </c>
      <c r="E1405" s="10" t="s">
        <v>65</v>
      </c>
      <c r="F1405" s="10" t="s">
        <v>568</v>
      </c>
      <c r="G1405" s="10" t="s">
        <v>2448</v>
      </c>
      <c r="H1405" s="10" t="s">
        <v>608</v>
      </c>
      <c r="I1405" s="10" t="s">
        <v>55</v>
      </c>
      <c r="K1405" s="10" t="s">
        <v>4614</v>
      </c>
      <c r="L1405" s="10" t="s">
        <v>42</v>
      </c>
    </row>
    <row r="1406" ht="15.75" customHeight="1">
      <c r="A1406" s="64">
        <v>45490.0</v>
      </c>
      <c r="B1406" s="55" t="str">
        <f>HYPERLINK("https://jobright.ai/jobs/info/669748d9ea99e22770cc9845?utm_campaign=1062&amp;utm_source=sheet", "Apply")</f>
        <v>Apply</v>
      </c>
      <c r="C1406" s="10" t="s">
        <v>4613</v>
      </c>
      <c r="D1406" s="56" t="s">
        <v>567</v>
      </c>
      <c r="E1406" s="10" t="s">
        <v>65</v>
      </c>
      <c r="F1406" s="10" t="s">
        <v>568</v>
      </c>
      <c r="G1406" s="10" t="s">
        <v>2448</v>
      </c>
      <c r="H1406" s="10" t="s">
        <v>153</v>
      </c>
      <c r="I1406" s="10" t="s">
        <v>55</v>
      </c>
      <c r="K1406" s="10" t="s">
        <v>4614</v>
      </c>
      <c r="L1406" s="10" t="s">
        <v>42</v>
      </c>
    </row>
    <row r="1407" ht="15.75" customHeight="1">
      <c r="A1407" s="64">
        <v>45490.0</v>
      </c>
      <c r="B1407" s="55" t="str">
        <f>HYPERLINK("https://jobright.ai/jobs/info/669748d9ea99e22770cc9846?utm_campaign=1062&amp;utm_source=sheet", "Apply")</f>
        <v>Apply</v>
      </c>
      <c r="C1407" s="10" t="s">
        <v>4613</v>
      </c>
      <c r="D1407" s="56" t="s">
        <v>567</v>
      </c>
      <c r="E1407" s="10" t="s">
        <v>65</v>
      </c>
      <c r="F1407" s="10" t="s">
        <v>568</v>
      </c>
      <c r="G1407" s="10" t="s">
        <v>2448</v>
      </c>
      <c r="H1407" s="10" t="s">
        <v>607</v>
      </c>
      <c r="I1407" s="10" t="s">
        <v>55</v>
      </c>
      <c r="K1407" s="10" t="s">
        <v>4614</v>
      </c>
      <c r="L1407" s="10" t="s">
        <v>42</v>
      </c>
    </row>
    <row r="1408" ht="15.75" customHeight="1">
      <c r="A1408" s="64">
        <v>45490.0</v>
      </c>
      <c r="B1408" s="55" t="str">
        <f>HYPERLINK("https://jobright.ai/jobs/info/669748d9ea99e22770cc9847?utm_campaign=1062&amp;utm_source=sheet", "Apply")</f>
        <v>Apply</v>
      </c>
      <c r="C1408" s="10" t="s">
        <v>4613</v>
      </c>
      <c r="D1408" s="56" t="s">
        <v>567</v>
      </c>
      <c r="E1408" s="10" t="s">
        <v>65</v>
      </c>
      <c r="F1408" s="10" t="s">
        <v>568</v>
      </c>
      <c r="G1408" s="10" t="s">
        <v>2448</v>
      </c>
      <c r="H1408" s="10" t="s">
        <v>609</v>
      </c>
      <c r="I1408" s="10" t="s">
        <v>55</v>
      </c>
      <c r="K1408" s="10" t="s">
        <v>4614</v>
      </c>
      <c r="L1408" s="10" t="s">
        <v>42</v>
      </c>
    </row>
    <row r="1409" ht="15.75" customHeight="1">
      <c r="A1409" s="64">
        <v>45490.0</v>
      </c>
      <c r="B1409" s="55" t="str">
        <f>HYPERLINK("https://jobright.ai/jobs/info/66974437a9b40b9c1f1e8109?utm_campaign=1062&amp;utm_source=sheet", "Apply")</f>
        <v>Apply</v>
      </c>
      <c r="C1409" s="10" t="s">
        <v>4613</v>
      </c>
      <c r="D1409" s="56" t="s">
        <v>567</v>
      </c>
      <c r="E1409" s="10" t="s">
        <v>65</v>
      </c>
      <c r="F1409" s="10" t="s">
        <v>568</v>
      </c>
      <c r="G1409" s="10" t="s">
        <v>2448</v>
      </c>
      <c r="H1409" s="10" t="s">
        <v>606</v>
      </c>
      <c r="I1409" s="10" t="s">
        <v>55</v>
      </c>
      <c r="K1409" s="10" t="s">
        <v>4614</v>
      </c>
      <c r="L1409" s="10" t="s">
        <v>42</v>
      </c>
    </row>
    <row r="1410" ht="15.75" customHeight="1">
      <c r="A1410" s="64">
        <v>45490.0</v>
      </c>
      <c r="B1410" s="55" t="str">
        <f>HYPERLINK("https://jobright.ai/jobs/info/66974856c7826b7ca15239b5?utm_campaign=1062&amp;utm_source=sheet", "Apply")</f>
        <v>Apply</v>
      </c>
      <c r="C1410" s="10" t="s">
        <v>5363</v>
      </c>
      <c r="D1410" s="56" t="s">
        <v>1846</v>
      </c>
      <c r="E1410" s="10" t="s">
        <v>45</v>
      </c>
      <c r="F1410" s="10" t="s">
        <v>1485</v>
      </c>
      <c r="G1410" s="10" t="s">
        <v>2509</v>
      </c>
      <c r="H1410" s="10" t="s">
        <v>868</v>
      </c>
      <c r="I1410" s="10" t="s">
        <v>55</v>
      </c>
      <c r="J1410" s="10" t="s">
        <v>5366</v>
      </c>
      <c r="K1410" s="10" t="s">
        <v>5365</v>
      </c>
      <c r="L1410" s="10" t="s">
        <v>42</v>
      </c>
    </row>
    <row r="1411" ht="15.75" customHeight="1">
      <c r="A1411" s="64">
        <v>45490.0</v>
      </c>
      <c r="B1411" s="55" t="str">
        <f>HYPERLINK("https://jobright.ai/jobs/info/66974856c7826b7ca15239bc?utm_campaign=1062&amp;utm_source=sheet", "Apply")</f>
        <v>Apply</v>
      </c>
      <c r="C1411" s="10" t="s">
        <v>5363</v>
      </c>
      <c r="D1411" s="56" t="s">
        <v>1846</v>
      </c>
      <c r="E1411" s="10" t="s">
        <v>45</v>
      </c>
      <c r="F1411" s="10" t="s">
        <v>1485</v>
      </c>
      <c r="G1411" s="10" t="s">
        <v>2509</v>
      </c>
      <c r="H1411" s="10" t="s">
        <v>146</v>
      </c>
      <c r="I1411" s="10" t="s">
        <v>55</v>
      </c>
      <c r="J1411" s="10" t="s">
        <v>5364</v>
      </c>
      <c r="K1411" s="10" t="s">
        <v>5365</v>
      </c>
      <c r="L1411" s="10" t="s">
        <v>42</v>
      </c>
    </row>
    <row r="1412" ht="15.75" customHeight="1">
      <c r="A1412" s="64">
        <v>45490.0</v>
      </c>
      <c r="B1412" s="55" t="str">
        <f>HYPERLINK("https://jobright.ai/jobs/info/669744f236f7496719207b3f?utm_campaign=1062&amp;utm_source=sheet", "Apply")</f>
        <v>Apply</v>
      </c>
      <c r="C1412" s="10" t="s">
        <v>5363</v>
      </c>
      <c r="D1412" s="56" t="s">
        <v>1846</v>
      </c>
      <c r="E1412" s="10" t="s">
        <v>45</v>
      </c>
      <c r="F1412" s="10" t="s">
        <v>1485</v>
      </c>
      <c r="G1412" s="10" t="s">
        <v>2509</v>
      </c>
      <c r="H1412" s="10" t="s">
        <v>154</v>
      </c>
      <c r="I1412" s="10" t="s">
        <v>55</v>
      </c>
      <c r="J1412" s="10" t="s">
        <v>5364</v>
      </c>
      <c r="K1412" s="10" t="s">
        <v>5365</v>
      </c>
      <c r="L1412" s="10" t="s">
        <v>42</v>
      </c>
    </row>
    <row r="1413" ht="15.75" customHeight="1">
      <c r="A1413" s="64">
        <v>45490.0</v>
      </c>
      <c r="B1413" s="55" t="str">
        <f>HYPERLINK("https://jobright.ai/jobs/info/669744f236f7496719207b43?utm_campaign=1062&amp;utm_source=sheet", "Apply")</f>
        <v>Apply</v>
      </c>
      <c r="C1413" s="10" t="s">
        <v>5363</v>
      </c>
      <c r="D1413" s="56" t="s">
        <v>1846</v>
      </c>
      <c r="E1413" s="10" t="s">
        <v>45</v>
      </c>
      <c r="F1413" s="10" t="s">
        <v>1485</v>
      </c>
      <c r="G1413" s="10" t="s">
        <v>2509</v>
      </c>
      <c r="H1413" s="10" t="s">
        <v>794</v>
      </c>
      <c r="I1413" s="10" t="s">
        <v>55</v>
      </c>
      <c r="J1413" s="10" t="s">
        <v>5366</v>
      </c>
      <c r="K1413" s="10" t="s">
        <v>5365</v>
      </c>
      <c r="L1413" s="10" t="s">
        <v>42</v>
      </c>
    </row>
    <row r="1414" ht="15.75" customHeight="1">
      <c r="A1414" s="64">
        <v>45490.0</v>
      </c>
      <c r="B1414" s="55" t="str">
        <f>HYPERLINK("https://jobright.ai/jobs/info/669744f236f7496719207b3e?utm_campaign=1062&amp;utm_source=sheet", "Apply")</f>
        <v>Apply</v>
      </c>
      <c r="C1414" s="10" t="s">
        <v>5363</v>
      </c>
      <c r="D1414" s="56" t="s">
        <v>1846</v>
      </c>
      <c r="E1414" s="10" t="s">
        <v>45</v>
      </c>
      <c r="F1414" s="10" t="s">
        <v>1485</v>
      </c>
      <c r="G1414" s="10" t="s">
        <v>2509</v>
      </c>
      <c r="H1414" s="10" t="s">
        <v>688</v>
      </c>
      <c r="I1414" s="10" t="s">
        <v>55</v>
      </c>
      <c r="J1414" s="10" t="s">
        <v>5364</v>
      </c>
      <c r="K1414" s="10" t="s">
        <v>5365</v>
      </c>
      <c r="L1414" s="10" t="s">
        <v>42</v>
      </c>
    </row>
    <row r="1415" ht="15.75" customHeight="1">
      <c r="A1415" s="64">
        <v>45490.0</v>
      </c>
      <c r="B1415" s="55" t="str">
        <f>HYPERLINK("https://jobright.ai/jobs/info/669744f236f7496719207b46?utm_campaign=1062&amp;utm_source=sheet", "Apply")</f>
        <v>Apply</v>
      </c>
      <c r="C1415" s="10" t="s">
        <v>5363</v>
      </c>
      <c r="D1415" s="56" t="s">
        <v>1846</v>
      </c>
      <c r="E1415" s="10" t="s">
        <v>45</v>
      </c>
      <c r="F1415" s="10" t="s">
        <v>1485</v>
      </c>
      <c r="G1415" s="10" t="s">
        <v>2509</v>
      </c>
      <c r="H1415" s="10" t="s">
        <v>5367</v>
      </c>
      <c r="I1415" s="10" t="s">
        <v>55</v>
      </c>
      <c r="J1415" s="10" t="s">
        <v>5366</v>
      </c>
      <c r="K1415" s="10" t="s">
        <v>5365</v>
      </c>
      <c r="L1415" s="10" t="s">
        <v>42</v>
      </c>
    </row>
    <row r="1416" ht="15.75" customHeight="1">
      <c r="A1416" s="64">
        <v>45490.0</v>
      </c>
      <c r="B1416" s="55" t="str">
        <f>HYPERLINK("https://jobright.ai/jobs/info/669744f236f7496719207b45?utm_campaign=1062&amp;utm_source=sheet", "Apply")</f>
        <v>Apply</v>
      </c>
      <c r="C1416" s="10" t="s">
        <v>5363</v>
      </c>
      <c r="D1416" s="56" t="s">
        <v>1846</v>
      </c>
      <c r="E1416" s="10" t="s">
        <v>45</v>
      </c>
      <c r="F1416" s="10" t="s">
        <v>1485</v>
      </c>
      <c r="G1416" s="10" t="s">
        <v>2509</v>
      </c>
      <c r="H1416" s="10" t="s">
        <v>4484</v>
      </c>
      <c r="I1416" s="10" t="s">
        <v>55</v>
      </c>
      <c r="J1416" s="10" t="s">
        <v>5364</v>
      </c>
      <c r="K1416" s="10" t="s">
        <v>5365</v>
      </c>
      <c r="L1416" s="10" t="s">
        <v>42</v>
      </c>
    </row>
    <row r="1417" ht="15.75" customHeight="1">
      <c r="A1417" s="64">
        <v>45490.0</v>
      </c>
      <c r="B1417" s="55" t="str">
        <f>HYPERLINK("https://jobright.ai/jobs/info/669740c95b3ead73efff48cb?utm_campaign=1062&amp;utm_source=sheet", "Apply")</f>
        <v>Apply</v>
      </c>
      <c r="C1417" s="10" t="s">
        <v>5368</v>
      </c>
      <c r="D1417" s="56" t="s">
        <v>4233</v>
      </c>
      <c r="E1417" s="10" t="s">
        <v>65</v>
      </c>
      <c r="F1417" s="10" t="s">
        <v>1124</v>
      </c>
      <c r="G1417" s="10" t="s">
        <v>2437</v>
      </c>
      <c r="H1417" s="10" t="s">
        <v>1008</v>
      </c>
      <c r="I1417" s="10" t="s">
        <v>55</v>
      </c>
      <c r="J1417" s="10" t="s">
        <v>4234</v>
      </c>
      <c r="K1417" s="10" t="s">
        <v>5369</v>
      </c>
      <c r="L1417" s="10" t="s">
        <v>42</v>
      </c>
    </row>
    <row r="1418" ht="15.75" customHeight="1">
      <c r="A1418" s="64">
        <v>45490.0</v>
      </c>
      <c r="B1418" s="55" t="str">
        <f>HYPERLINK("https://jobright.ai/jobs/info/669761b2414745d5ba135780?utm_campaign=1062&amp;utm_source=sheet", "Apply")</f>
        <v>Apply</v>
      </c>
      <c r="C1418" s="10" t="s">
        <v>5370</v>
      </c>
      <c r="D1418" s="56" t="s">
        <v>5371</v>
      </c>
      <c r="E1418" s="10" t="s">
        <v>137</v>
      </c>
      <c r="F1418" s="10" t="s">
        <v>5372</v>
      </c>
      <c r="G1418" s="10" t="s">
        <v>2589</v>
      </c>
      <c r="H1418" s="10" t="s">
        <v>5373</v>
      </c>
      <c r="I1418" s="10" t="s">
        <v>55</v>
      </c>
      <c r="K1418" s="10" t="s">
        <v>5374</v>
      </c>
      <c r="L1418" s="10" t="s">
        <v>42</v>
      </c>
    </row>
    <row r="1419" ht="15.75" customHeight="1">
      <c r="A1419" s="64">
        <v>45490.0</v>
      </c>
      <c r="B1419" s="55" t="str">
        <f>HYPERLINK("https://jobright.ai/jobs/info/66974a83784f4a1197980cf0?utm_campaign=1062&amp;utm_source=sheet", "Apply")</f>
        <v>Apply</v>
      </c>
      <c r="C1419" s="10" t="s">
        <v>5375</v>
      </c>
      <c r="D1419" s="56" t="s">
        <v>2215</v>
      </c>
      <c r="E1419" s="10" t="s">
        <v>45</v>
      </c>
      <c r="F1419" s="10" t="s">
        <v>2216</v>
      </c>
      <c r="G1419" s="10" t="s">
        <v>2484</v>
      </c>
      <c r="H1419" s="10" t="s">
        <v>807</v>
      </c>
      <c r="I1419" s="10" t="s">
        <v>55</v>
      </c>
      <c r="J1419" s="10" t="s">
        <v>5376</v>
      </c>
      <c r="K1419" s="10" t="s">
        <v>5377</v>
      </c>
      <c r="L1419" s="10" t="s">
        <v>42</v>
      </c>
    </row>
    <row r="1420" ht="15.75" customHeight="1">
      <c r="A1420" s="64">
        <v>45490.0</v>
      </c>
      <c r="B1420" s="55" t="str">
        <f>HYPERLINK("https://jobright.ai/jobs/info/669740c95b3ead73efff48d4?utm_campaign=1062&amp;utm_source=sheet", "Apply")</f>
        <v>Apply</v>
      </c>
      <c r="C1420" s="10" t="s">
        <v>2630</v>
      </c>
      <c r="D1420" s="56" t="s">
        <v>5378</v>
      </c>
      <c r="E1420" s="10">
        <v>136.0</v>
      </c>
      <c r="G1420" s="10" t="s">
        <v>2464</v>
      </c>
      <c r="H1420" s="10" t="s">
        <v>174</v>
      </c>
      <c r="I1420" s="10" t="s">
        <v>55</v>
      </c>
      <c r="K1420" s="10" t="s">
        <v>5379</v>
      </c>
      <c r="L1420" s="10" t="s">
        <v>42</v>
      </c>
    </row>
    <row r="1421" ht="15.75" customHeight="1">
      <c r="A1421" s="64">
        <v>45490.0</v>
      </c>
      <c r="B1421" s="55" t="str">
        <f>HYPERLINK("https://jobright.ai/jobs/info/66973077fe78a021d03db520?utm_campaign=1062&amp;utm_source=sheet", "Apply")</f>
        <v>Apply</v>
      </c>
      <c r="C1421" s="10" t="s">
        <v>5380</v>
      </c>
      <c r="D1421" s="56" t="s">
        <v>508</v>
      </c>
      <c r="E1421" s="10" t="s">
        <v>45</v>
      </c>
      <c r="F1421" s="10" t="s">
        <v>46</v>
      </c>
      <c r="G1421" s="10" t="s">
        <v>2455</v>
      </c>
      <c r="H1421" s="10" t="s">
        <v>96</v>
      </c>
      <c r="I1421" s="10" t="s">
        <v>55</v>
      </c>
      <c r="J1421" s="10" t="s">
        <v>509</v>
      </c>
      <c r="K1421" s="10" t="s">
        <v>5381</v>
      </c>
      <c r="L1421" s="10" t="s">
        <v>42</v>
      </c>
    </row>
    <row r="1422" ht="15.75" customHeight="1">
      <c r="A1422" s="64">
        <v>45490.0</v>
      </c>
      <c r="B1422" s="55" t="str">
        <f>HYPERLINK("https://jobright.ai/jobs/info/6697308c4f77dc04809cc9a3?utm_campaign=1062&amp;utm_source=sheet", "Apply")</f>
        <v>Apply</v>
      </c>
      <c r="C1422" s="10" t="s">
        <v>5382</v>
      </c>
      <c r="D1422" s="56" t="s">
        <v>5383</v>
      </c>
      <c r="E1422" s="10" t="s">
        <v>249</v>
      </c>
      <c r="G1422" s="10" t="s">
        <v>2448</v>
      </c>
      <c r="H1422" s="10" t="s">
        <v>5384</v>
      </c>
      <c r="I1422" s="10" t="s">
        <v>55</v>
      </c>
      <c r="K1422" s="10" t="s">
        <v>5385</v>
      </c>
      <c r="L1422" s="10" t="s">
        <v>42</v>
      </c>
    </row>
    <row r="1423" ht="15.75" customHeight="1">
      <c r="A1423" s="64">
        <v>45490.0</v>
      </c>
      <c r="B1423" s="55" t="str">
        <f>HYPERLINK("https://jobright.ai/jobs/info/66972b6b06dfa812f834c4de?utm_campaign=1062&amp;utm_source=sheet", "Apply")</f>
        <v>Apply</v>
      </c>
      <c r="C1423" s="10" t="s">
        <v>5386</v>
      </c>
      <c r="D1423" s="56" t="s">
        <v>5383</v>
      </c>
      <c r="E1423" s="10" t="s">
        <v>249</v>
      </c>
      <c r="G1423" s="10" t="s">
        <v>2437</v>
      </c>
      <c r="H1423" s="10" t="s">
        <v>5384</v>
      </c>
      <c r="I1423" s="10" t="s">
        <v>55</v>
      </c>
      <c r="K1423" s="10" t="s">
        <v>5387</v>
      </c>
      <c r="L1423" s="10" t="s">
        <v>42</v>
      </c>
    </row>
    <row r="1424" ht="15.75" customHeight="1">
      <c r="A1424" s="64">
        <v>45490.0</v>
      </c>
      <c r="B1424" s="55" t="str">
        <f>HYPERLINK("https://jobright.ai/jobs/info/669840ae5abb93a84eb825a9?utm_campaign=1062&amp;utm_source=sheet", "Apply")</f>
        <v>Apply</v>
      </c>
      <c r="C1424" s="10" t="s">
        <v>3488</v>
      </c>
      <c r="D1424" s="56" t="s">
        <v>5388</v>
      </c>
      <c r="E1424" s="10" t="s">
        <v>65</v>
      </c>
      <c r="F1424" s="10" t="s">
        <v>239</v>
      </c>
      <c r="G1424" s="10" t="s">
        <v>2448</v>
      </c>
      <c r="H1424" s="10" t="s">
        <v>152</v>
      </c>
      <c r="I1424" s="10" t="s">
        <v>55</v>
      </c>
      <c r="K1424" s="10" t="s">
        <v>5389</v>
      </c>
      <c r="L1424" s="10" t="s">
        <v>42</v>
      </c>
    </row>
    <row r="1425" ht="15.75" customHeight="1">
      <c r="A1425" s="64">
        <v>45490.0</v>
      </c>
      <c r="B1425" s="55" t="str">
        <f>HYPERLINK("https://jobright.ai/jobs/info/66982b18b3e885f9679db050?utm_campaign=1062&amp;utm_source=sheet", "Apply")</f>
        <v>Apply</v>
      </c>
      <c r="C1425" s="10" t="s">
        <v>5072</v>
      </c>
      <c r="D1425" s="56" t="s">
        <v>5073</v>
      </c>
      <c r="E1425" s="10" t="s">
        <v>45</v>
      </c>
      <c r="F1425" s="10" t="s">
        <v>318</v>
      </c>
      <c r="G1425" s="10" t="s">
        <v>2484</v>
      </c>
      <c r="H1425" s="10" t="s">
        <v>5390</v>
      </c>
      <c r="I1425" s="10" t="s">
        <v>55</v>
      </c>
      <c r="J1425" s="10" t="s">
        <v>2980</v>
      </c>
      <c r="K1425" s="10" t="s">
        <v>5075</v>
      </c>
      <c r="L1425" s="10" t="s">
        <v>42</v>
      </c>
    </row>
    <row r="1426" ht="15.75" customHeight="1">
      <c r="A1426" s="64">
        <v>45489.0</v>
      </c>
      <c r="B1426" s="55" t="str">
        <f>HYPERLINK("https://jobright.ai/jobs/info/6697196718798443c42ae8bf?utm_campaign=1062&amp;utm_source=sheet", "Apply")</f>
        <v>Apply</v>
      </c>
      <c r="C1426" s="10" t="s">
        <v>5391</v>
      </c>
      <c r="D1426" s="56" t="s">
        <v>647</v>
      </c>
      <c r="E1426" s="10" t="s">
        <v>249</v>
      </c>
      <c r="F1426" s="10" t="s">
        <v>418</v>
      </c>
      <c r="G1426" s="10" t="s">
        <v>2807</v>
      </c>
      <c r="H1426" s="10" t="s">
        <v>131</v>
      </c>
      <c r="I1426" s="10" t="s">
        <v>55</v>
      </c>
      <c r="K1426" s="10" t="s">
        <v>5392</v>
      </c>
      <c r="L1426" s="10" t="s">
        <v>42</v>
      </c>
    </row>
    <row r="1427" ht="15.75" customHeight="1">
      <c r="A1427" s="64">
        <v>45489.0</v>
      </c>
      <c r="B1427" s="55" t="str">
        <f>HYPERLINK("https://jobright.ai/jobs/info/6697126cff29392ce4bfb977?utm_campaign=1062&amp;utm_source=sheet", "Apply")</f>
        <v>Apply</v>
      </c>
      <c r="C1427" s="10" t="s">
        <v>301</v>
      </c>
      <c r="D1427" s="56" t="s">
        <v>1863</v>
      </c>
      <c r="E1427" s="10" t="s">
        <v>249</v>
      </c>
      <c r="F1427" s="10" t="s">
        <v>1864</v>
      </c>
      <c r="G1427" s="10" t="s">
        <v>2448</v>
      </c>
      <c r="H1427" s="10" t="s">
        <v>1865</v>
      </c>
      <c r="I1427" s="10" t="s">
        <v>55</v>
      </c>
      <c r="K1427" s="10" t="s">
        <v>5393</v>
      </c>
      <c r="L1427" s="10" t="s">
        <v>42</v>
      </c>
    </row>
    <row r="1428" ht="15.75" customHeight="1">
      <c r="A1428" s="64">
        <v>45489.0</v>
      </c>
      <c r="B1428" s="55" t="str">
        <f>HYPERLINK("https://jobright.ai/jobs/info/66970582a7fefc347c736a15?utm_campaign=1062&amp;utm_source=sheet", "Apply")</f>
        <v>Apply</v>
      </c>
      <c r="C1428" s="10" t="s">
        <v>5394</v>
      </c>
      <c r="D1428" s="56" t="s">
        <v>5395</v>
      </c>
      <c r="E1428" s="10" t="s">
        <v>45</v>
      </c>
      <c r="F1428" s="10" t="s">
        <v>428</v>
      </c>
      <c r="G1428" s="10" t="s">
        <v>2484</v>
      </c>
      <c r="H1428" s="10" t="s">
        <v>3150</v>
      </c>
      <c r="I1428" s="10" t="s">
        <v>55</v>
      </c>
      <c r="K1428" s="10" t="s">
        <v>5396</v>
      </c>
      <c r="L1428" s="10" t="s">
        <v>42</v>
      </c>
    </row>
    <row r="1429" ht="15.75" customHeight="1">
      <c r="A1429" s="64">
        <v>45489.0</v>
      </c>
      <c r="B1429" s="55" t="str">
        <f>HYPERLINK("https://jobright.ai/jobs/info/66970bad5cae7d0519078c8f?utm_campaign=1062&amp;utm_source=sheet", "Apply")</f>
        <v>Apply</v>
      </c>
      <c r="C1429" s="10" t="s">
        <v>2689</v>
      </c>
      <c r="D1429" s="56" t="s">
        <v>5397</v>
      </c>
      <c r="E1429" s="10" t="s">
        <v>45</v>
      </c>
      <c r="G1429" s="10" t="s">
        <v>2495</v>
      </c>
      <c r="H1429" s="10" t="s">
        <v>5398</v>
      </c>
      <c r="I1429" s="10" t="s">
        <v>55</v>
      </c>
      <c r="J1429" s="10" t="s">
        <v>5399</v>
      </c>
      <c r="K1429" s="10" t="s">
        <v>5400</v>
      </c>
      <c r="L1429" s="10" t="s">
        <v>42</v>
      </c>
    </row>
    <row r="1430" ht="15.75" customHeight="1">
      <c r="A1430" s="64">
        <v>45489.0</v>
      </c>
      <c r="B1430" s="55" t="str">
        <f>HYPERLINK("https://jobright.ai/jobs/info/66970c1aac76ee9b417dab3a?utm_campaign=1062&amp;utm_source=sheet", "Apply")</f>
        <v>Apply</v>
      </c>
      <c r="C1430" s="10" t="s">
        <v>5401</v>
      </c>
      <c r="D1430" s="56" t="s">
        <v>4932</v>
      </c>
      <c r="E1430" s="10" t="s">
        <v>65</v>
      </c>
      <c r="F1430" s="10" t="s">
        <v>4547</v>
      </c>
      <c r="G1430" s="10" t="s">
        <v>2807</v>
      </c>
      <c r="H1430" s="10" t="s">
        <v>807</v>
      </c>
      <c r="I1430" s="10" t="s">
        <v>55</v>
      </c>
      <c r="K1430" s="10" t="s">
        <v>5402</v>
      </c>
      <c r="L1430" s="10" t="s">
        <v>42</v>
      </c>
    </row>
    <row r="1431" ht="15.75" customHeight="1">
      <c r="A1431" s="64">
        <v>45489.0</v>
      </c>
      <c r="B1431" s="55" t="str">
        <f>HYPERLINK("https://jobright.ai/jobs/info/6696fe8dfa5297ff7b4b119c?utm_campaign=1062&amp;utm_source=sheet", "Apply")</f>
        <v>Apply</v>
      </c>
      <c r="C1431" s="10" t="s">
        <v>5403</v>
      </c>
      <c r="D1431" s="56" t="s">
        <v>5404</v>
      </c>
      <c r="E1431" s="10" t="s">
        <v>249</v>
      </c>
      <c r="F1431" s="10" t="s">
        <v>5405</v>
      </c>
      <c r="G1431" s="10" t="s">
        <v>2509</v>
      </c>
      <c r="H1431" s="10" t="s">
        <v>1260</v>
      </c>
      <c r="I1431" s="10" t="s">
        <v>55</v>
      </c>
      <c r="K1431" s="10" t="s">
        <v>5406</v>
      </c>
      <c r="L1431" s="10" t="s">
        <v>42</v>
      </c>
    </row>
    <row r="1432" ht="15.75" customHeight="1">
      <c r="A1432" s="64">
        <v>45489.0</v>
      </c>
      <c r="B1432" s="55" t="str">
        <f>HYPERLINK("https://jobright.ai/jobs/info/669725d93ea146ae39eee241?utm_campaign=1062&amp;utm_source=sheet", "Apply")</f>
        <v>Apply</v>
      </c>
      <c r="C1432" s="10" t="s">
        <v>5407</v>
      </c>
      <c r="D1432" s="56" t="s">
        <v>311</v>
      </c>
      <c r="E1432" s="10" t="s">
        <v>45</v>
      </c>
      <c r="F1432" s="10" t="s">
        <v>312</v>
      </c>
      <c r="G1432" s="10" t="s">
        <v>2437</v>
      </c>
      <c r="H1432" s="10" t="s">
        <v>313</v>
      </c>
      <c r="I1432" s="10" t="s">
        <v>55</v>
      </c>
      <c r="J1432" s="10" t="s">
        <v>414</v>
      </c>
      <c r="K1432" s="10" t="s">
        <v>5408</v>
      </c>
      <c r="L1432" s="10" t="s">
        <v>42</v>
      </c>
    </row>
    <row r="1433" ht="15.75" customHeight="1">
      <c r="A1433" s="64">
        <v>45489.0</v>
      </c>
      <c r="B1433" s="55" t="str">
        <f>HYPERLINK("https://jobright.ai/jobs/info/6697197018798443c42ae997?utm_campaign=1062&amp;utm_source=sheet", "Apply")</f>
        <v>Apply</v>
      </c>
      <c r="C1433" s="10" t="s">
        <v>5409</v>
      </c>
      <c r="D1433" s="56" t="s">
        <v>1863</v>
      </c>
      <c r="E1433" s="10" t="s">
        <v>249</v>
      </c>
      <c r="F1433" s="10" t="s">
        <v>1864</v>
      </c>
      <c r="G1433" s="10" t="s">
        <v>2470</v>
      </c>
      <c r="H1433" s="10" t="s">
        <v>1865</v>
      </c>
      <c r="I1433" s="10" t="s">
        <v>55</v>
      </c>
      <c r="K1433" s="10" t="s">
        <v>5410</v>
      </c>
      <c r="L1433" s="10" t="s">
        <v>42</v>
      </c>
    </row>
    <row r="1434" ht="15.75" customHeight="1">
      <c r="A1434" s="64">
        <v>45489.0</v>
      </c>
      <c r="B1434" s="55" t="str">
        <f>HYPERLINK("https://jobright.ai/jobs/info/669706cc02dfa1ba1c6ea4d8?utm_campaign=1062&amp;utm_source=sheet", "Apply")</f>
        <v>Apply</v>
      </c>
      <c r="C1434" s="10" t="s">
        <v>5411</v>
      </c>
      <c r="D1434" s="56" t="s">
        <v>3515</v>
      </c>
      <c r="E1434" s="10" t="s">
        <v>65</v>
      </c>
      <c r="F1434" s="10" t="s">
        <v>3516</v>
      </c>
      <c r="G1434" s="10" t="s">
        <v>2448</v>
      </c>
      <c r="H1434" s="10" t="s">
        <v>607</v>
      </c>
      <c r="I1434" s="10" t="s">
        <v>55</v>
      </c>
      <c r="K1434" s="10" t="s">
        <v>5183</v>
      </c>
      <c r="L1434" s="10" t="s">
        <v>42</v>
      </c>
    </row>
    <row r="1435" ht="15.75" customHeight="1">
      <c r="A1435" s="64">
        <v>45489.0</v>
      </c>
      <c r="B1435" s="55" t="str">
        <f>HYPERLINK("https://jobright.ai/jobs/info/669706bb02dfa1ba1c6ea2db?utm_campaign=1062&amp;utm_source=sheet", "Apply")</f>
        <v>Apply</v>
      </c>
      <c r="C1435" s="10" t="s">
        <v>301</v>
      </c>
      <c r="D1435" s="56" t="s">
        <v>5412</v>
      </c>
      <c r="E1435" s="10">
        <v>38.0</v>
      </c>
      <c r="G1435" s="10" t="s">
        <v>2484</v>
      </c>
      <c r="H1435" s="10" t="s">
        <v>5413</v>
      </c>
      <c r="I1435" s="10" t="s">
        <v>55</v>
      </c>
      <c r="J1435" s="10" t="s">
        <v>1797</v>
      </c>
      <c r="K1435" s="10" t="s">
        <v>5414</v>
      </c>
      <c r="L1435" s="10" t="s">
        <v>42</v>
      </c>
    </row>
    <row r="1436" ht="15.75" customHeight="1">
      <c r="A1436" s="64">
        <v>45489.0</v>
      </c>
      <c r="B1436" s="55" t="str">
        <f>HYPERLINK("https://jobright.ai/jobs/info/6668ebb503ac5afee7b105e9?utm_campaign=1062&amp;utm_source=sheet", "Apply")</f>
        <v>Apply</v>
      </c>
      <c r="C1436" s="10" t="s">
        <v>5415</v>
      </c>
      <c r="D1436" s="56" t="s">
        <v>3620</v>
      </c>
      <c r="E1436" s="10" t="s">
        <v>65</v>
      </c>
      <c r="F1436" s="10" t="s">
        <v>3621</v>
      </c>
      <c r="G1436" s="10" t="s">
        <v>2470</v>
      </c>
      <c r="H1436" s="10" t="s">
        <v>3622</v>
      </c>
      <c r="I1436" s="10" t="s">
        <v>55</v>
      </c>
      <c r="K1436" s="10" t="s">
        <v>5416</v>
      </c>
      <c r="L1436" s="10" t="s">
        <v>42</v>
      </c>
    </row>
    <row r="1437" ht="15.75" customHeight="1">
      <c r="A1437" s="64">
        <v>45489.0</v>
      </c>
      <c r="B1437" s="55" t="str">
        <f>HYPERLINK("https://jobright.ai/jobs/info/669703cc02c012c979e063e5?utm_campaign=1062&amp;utm_source=sheet", "Apply")</f>
        <v>Apply</v>
      </c>
      <c r="C1437" s="10" t="s">
        <v>5380</v>
      </c>
      <c r="D1437" s="56" t="s">
        <v>1178</v>
      </c>
      <c r="E1437" s="10" t="s">
        <v>137</v>
      </c>
      <c r="F1437" s="10" t="s">
        <v>1179</v>
      </c>
      <c r="G1437" s="10" t="s">
        <v>2455</v>
      </c>
      <c r="H1437" s="10" t="s">
        <v>1254</v>
      </c>
      <c r="I1437" s="10" t="s">
        <v>55</v>
      </c>
      <c r="J1437" s="10" t="s">
        <v>509</v>
      </c>
      <c r="K1437" s="10" t="s">
        <v>5381</v>
      </c>
      <c r="L1437" s="10" t="s">
        <v>42</v>
      </c>
    </row>
    <row r="1438" ht="15.75" customHeight="1">
      <c r="A1438" s="64">
        <v>45489.0</v>
      </c>
      <c r="B1438" s="55" t="str">
        <f>HYPERLINK("https://jobright.ai/jobs/info/6690a482bde41292f4f547eb?utm_campaign=1062&amp;utm_source=sheet", "Apply")</f>
        <v>Apply</v>
      </c>
      <c r="C1438" s="10" t="s">
        <v>5417</v>
      </c>
      <c r="D1438" s="56" t="s">
        <v>5418</v>
      </c>
      <c r="E1438" s="10" t="s">
        <v>249</v>
      </c>
      <c r="F1438" s="10" t="s">
        <v>5419</v>
      </c>
      <c r="G1438" s="10" t="s">
        <v>2448</v>
      </c>
      <c r="H1438" s="10" t="s">
        <v>1020</v>
      </c>
      <c r="I1438" s="10" t="s">
        <v>55</v>
      </c>
      <c r="K1438" s="10" t="s">
        <v>5420</v>
      </c>
      <c r="L1438" s="10" t="s">
        <v>42</v>
      </c>
    </row>
    <row r="1439" ht="15.75" customHeight="1">
      <c r="A1439" s="64">
        <v>45489.0</v>
      </c>
      <c r="B1439" s="55" t="str">
        <f>HYPERLINK("https://jobright.ai/jobs/info/6697098ef69735390cd95591?utm_campaign=1062&amp;utm_source=sheet", "Apply")</f>
        <v>Apply</v>
      </c>
      <c r="C1439" s="10" t="s">
        <v>5421</v>
      </c>
      <c r="D1439" s="56" t="s">
        <v>5422</v>
      </c>
      <c r="E1439" s="10" t="s">
        <v>45</v>
      </c>
      <c r="F1439" s="10" t="s">
        <v>1695</v>
      </c>
      <c r="G1439" s="10" t="s">
        <v>2509</v>
      </c>
      <c r="H1439" s="10" t="s">
        <v>361</v>
      </c>
      <c r="I1439" s="10" t="s">
        <v>48</v>
      </c>
      <c r="K1439" s="10" t="s">
        <v>5423</v>
      </c>
      <c r="L1439" s="10" t="s">
        <v>42</v>
      </c>
    </row>
    <row r="1440" ht="15.75" customHeight="1">
      <c r="A1440" s="64">
        <v>45489.0</v>
      </c>
      <c r="B1440" s="55" t="str">
        <f>HYPERLINK("https://jobright.ai/jobs/info/6696fb6cff384bf5ba3fb142?utm_campaign=1062&amp;utm_source=sheet", "Apply")</f>
        <v>Apply</v>
      </c>
      <c r="C1440" s="10" t="s">
        <v>5424</v>
      </c>
      <c r="D1440" s="56" t="s">
        <v>5425</v>
      </c>
      <c r="E1440" s="10" t="s">
        <v>65</v>
      </c>
      <c r="F1440" s="10" t="s">
        <v>1893</v>
      </c>
      <c r="G1440" s="10" t="s">
        <v>2448</v>
      </c>
      <c r="H1440" s="10" t="s">
        <v>804</v>
      </c>
      <c r="I1440" s="10" t="s">
        <v>55</v>
      </c>
      <c r="K1440" s="10" t="s">
        <v>5426</v>
      </c>
      <c r="L1440" s="10" t="s">
        <v>42</v>
      </c>
    </row>
    <row r="1441" ht="15.75" customHeight="1">
      <c r="A1441" s="64">
        <v>45489.0</v>
      </c>
      <c r="B1441" s="55" t="str">
        <f>HYPERLINK("https://jobright.ai/jobs/info/6696f1d3fd603ea845274bfb?utm_campaign=1062&amp;utm_source=sheet", "Apply")</f>
        <v>Apply</v>
      </c>
      <c r="C1441" s="10" t="s">
        <v>5427</v>
      </c>
      <c r="D1441" s="56" t="s">
        <v>4473</v>
      </c>
      <c r="E1441" s="10" t="s">
        <v>79</v>
      </c>
      <c r="F1441" s="10" t="s">
        <v>10</v>
      </c>
      <c r="G1441" s="10" t="s">
        <v>2464</v>
      </c>
      <c r="H1441" s="10" t="s">
        <v>139</v>
      </c>
      <c r="I1441" s="10" t="s">
        <v>55</v>
      </c>
      <c r="K1441" s="10" t="s">
        <v>5428</v>
      </c>
      <c r="L1441" s="10" t="s">
        <v>42</v>
      </c>
    </row>
    <row r="1442" ht="15.75" customHeight="1">
      <c r="A1442" s="64">
        <v>45489.0</v>
      </c>
      <c r="B1442" s="55" t="str">
        <f>HYPERLINK("https://jobright.ai/jobs/info/66972d7baf38d385ca871f75?utm_campaign=1062&amp;utm_source=sheet", "Apply")</f>
        <v>Apply</v>
      </c>
      <c r="C1442" s="10" t="s">
        <v>5429</v>
      </c>
      <c r="D1442" s="56" t="s">
        <v>5430</v>
      </c>
      <c r="E1442" s="10" t="s">
        <v>65</v>
      </c>
      <c r="F1442" s="10" t="s">
        <v>5431</v>
      </c>
      <c r="G1442" s="10" t="s">
        <v>2484</v>
      </c>
      <c r="H1442" s="10" t="s">
        <v>5432</v>
      </c>
      <c r="I1442" s="10" t="s">
        <v>55</v>
      </c>
      <c r="K1442" s="10" t="s">
        <v>5433</v>
      </c>
      <c r="L1442" s="10" t="s">
        <v>42</v>
      </c>
    </row>
    <row r="1443" ht="15.75" customHeight="1">
      <c r="A1443" s="64">
        <v>45489.0</v>
      </c>
      <c r="B1443" s="55" t="str">
        <f>HYPERLINK("https://jobright.ai/jobs/info/6697038219192a0f46dd36ff?utm_campaign=1062&amp;utm_source=sheet", "Apply")</f>
        <v>Apply</v>
      </c>
      <c r="C1443" s="10" t="s">
        <v>5434</v>
      </c>
      <c r="D1443" s="56" t="s">
        <v>5435</v>
      </c>
      <c r="E1443" s="10" t="s">
        <v>45</v>
      </c>
      <c r="F1443" s="10" t="s">
        <v>2746</v>
      </c>
      <c r="G1443" s="10" t="s">
        <v>2484</v>
      </c>
      <c r="H1443" s="10" t="s">
        <v>5436</v>
      </c>
      <c r="I1443" s="10" t="s">
        <v>48</v>
      </c>
      <c r="K1443" s="10" t="s">
        <v>5437</v>
      </c>
      <c r="L1443" s="10" t="s">
        <v>42</v>
      </c>
    </row>
    <row r="1444" ht="15.75" customHeight="1">
      <c r="A1444" s="64">
        <v>45489.0</v>
      </c>
      <c r="B1444" s="55" t="str">
        <f>HYPERLINK("https://jobright.ai/jobs/info/6696f42b8fdcab953eb0a80b?utm_campaign=1062&amp;utm_source=sheet", "Apply")</f>
        <v>Apply</v>
      </c>
      <c r="C1444" s="10" t="s">
        <v>5438</v>
      </c>
      <c r="D1444" s="56" t="s">
        <v>3589</v>
      </c>
      <c r="E1444" s="10" t="s">
        <v>45</v>
      </c>
      <c r="F1444" s="10" t="s">
        <v>2554</v>
      </c>
      <c r="G1444" s="10" t="s">
        <v>2470</v>
      </c>
      <c r="H1444" s="10" t="s">
        <v>2154</v>
      </c>
      <c r="I1444" s="10" t="s">
        <v>55</v>
      </c>
      <c r="K1444" s="10" t="s">
        <v>5439</v>
      </c>
      <c r="L1444" s="10" t="s">
        <v>42</v>
      </c>
    </row>
    <row r="1445" ht="15.75" customHeight="1">
      <c r="A1445" s="64">
        <v>45489.0</v>
      </c>
      <c r="B1445" s="55" t="str">
        <f>HYPERLINK("https://jobright.ai/jobs/info/6696e01051f0163d694a9dbc?utm_campaign=1062&amp;utm_source=sheet", "Apply")</f>
        <v>Apply</v>
      </c>
      <c r="C1445" s="10" t="s">
        <v>5440</v>
      </c>
      <c r="D1445" s="56" t="s">
        <v>2925</v>
      </c>
      <c r="E1445" s="10" t="s">
        <v>45</v>
      </c>
      <c r="F1445" s="10" t="s">
        <v>2926</v>
      </c>
      <c r="G1445" s="10" t="s">
        <v>2495</v>
      </c>
      <c r="H1445" s="10" t="s">
        <v>807</v>
      </c>
      <c r="I1445" s="10" t="s">
        <v>48</v>
      </c>
      <c r="K1445" s="10" t="s">
        <v>4904</v>
      </c>
      <c r="L1445" s="10" t="s">
        <v>42</v>
      </c>
    </row>
    <row r="1446" ht="15.75" customHeight="1">
      <c r="A1446" s="64">
        <v>45489.0</v>
      </c>
      <c r="B1446" s="55" t="str">
        <f>HYPERLINK("https://jobright.ai/jobs/info/6697b4eaf369042fb172b845?utm_campaign=1062&amp;utm_source=sheet", "Apply")</f>
        <v>Apply</v>
      </c>
      <c r="C1446" s="10" t="s">
        <v>3963</v>
      </c>
      <c r="D1446" s="56" t="s">
        <v>3964</v>
      </c>
      <c r="E1446" s="10" t="s">
        <v>276</v>
      </c>
      <c r="F1446" s="10" t="s">
        <v>3965</v>
      </c>
      <c r="G1446" s="10" t="s">
        <v>2528</v>
      </c>
      <c r="H1446" s="10" t="s">
        <v>1025</v>
      </c>
      <c r="I1446" s="10" t="s">
        <v>55</v>
      </c>
      <c r="J1446" s="10" t="s">
        <v>1797</v>
      </c>
      <c r="K1446" s="10" t="s">
        <v>3966</v>
      </c>
      <c r="L1446" s="10" t="s">
        <v>42</v>
      </c>
    </row>
    <row r="1447" ht="15.75" customHeight="1">
      <c r="A1447" s="64">
        <v>45489.0</v>
      </c>
      <c r="B1447" s="55" t="str">
        <f>HYPERLINK("https://jobright.ai/jobs/info/6696d0b961a66dfe61280740?utm_campaign=1062&amp;utm_source=sheet", "Apply")</f>
        <v>Apply</v>
      </c>
      <c r="C1447" s="10" t="s">
        <v>5056</v>
      </c>
      <c r="D1447" s="56" t="s">
        <v>5441</v>
      </c>
      <c r="E1447" s="10">
        <v>766.0</v>
      </c>
      <c r="G1447" s="10" t="s">
        <v>2464</v>
      </c>
      <c r="H1447" s="10" t="s">
        <v>949</v>
      </c>
      <c r="I1447" s="10" t="s">
        <v>55</v>
      </c>
      <c r="J1447" s="10" t="s">
        <v>5059</v>
      </c>
      <c r="K1447" s="10" t="s">
        <v>5442</v>
      </c>
      <c r="L1447" s="10" t="s">
        <v>42</v>
      </c>
    </row>
    <row r="1448" ht="15.75" customHeight="1">
      <c r="A1448" s="64">
        <v>45489.0</v>
      </c>
      <c r="B1448" s="55" t="str">
        <f>HYPERLINK("https://jobright.ai/jobs/info/664e112d10b4f1df29983250?utm_campaign=1062&amp;utm_source=sheet", "Apply")</f>
        <v>Apply</v>
      </c>
      <c r="C1448" s="10" t="s">
        <v>5443</v>
      </c>
      <c r="D1448" s="56" t="s">
        <v>585</v>
      </c>
      <c r="E1448" s="10" t="s">
        <v>45</v>
      </c>
      <c r="F1448" s="10" t="s">
        <v>586</v>
      </c>
      <c r="G1448" s="10" t="s">
        <v>2443</v>
      </c>
      <c r="H1448" s="10" t="s">
        <v>587</v>
      </c>
      <c r="I1448" s="10" t="s">
        <v>55</v>
      </c>
      <c r="K1448" s="10" t="s">
        <v>588</v>
      </c>
      <c r="L1448" s="10" t="s">
        <v>42</v>
      </c>
    </row>
    <row r="1449" ht="15.75" customHeight="1">
      <c r="A1449" s="64">
        <v>45489.0</v>
      </c>
      <c r="B1449" s="55" t="str">
        <f>HYPERLINK("https://jobright.ai/jobs/info/6696b87eb16cc216073c2c35?utm_campaign=1062&amp;utm_source=sheet", "Apply")</f>
        <v>Apply</v>
      </c>
      <c r="C1449" s="10" t="s">
        <v>5444</v>
      </c>
      <c r="D1449" s="56" t="s">
        <v>5445</v>
      </c>
      <c r="E1449" s="10" t="s">
        <v>79</v>
      </c>
      <c r="F1449" s="10" t="s">
        <v>318</v>
      </c>
      <c r="G1449" s="10" t="s">
        <v>2470</v>
      </c>
      <c r="H1449" s="10" t="s">
        <v>5446</v>
      </c>
      <c r="I1449" s="10" t="s">
        <v>55</v>
      </c>
      <c r="K1449" s="10" t="s">
        <v>5447</v>
      </c>
      <c r="L1449" s="10" t="s">
        <v>42</v>
      </c>
    </row>
    <row r="1450" ht="15.75" customHeight="1">
      <c r="A1450" s="64">
        <v>45489.0</v>
      </c>
      <c r="B1450" s="55" t="str">
        <f>HYPERLINK("https://jobright.ai/jobs/info/6696b2dbdffb57e9423a6ff5?utm_campaign=1062&amp;utm_source=sheet", "Apply")</f>
        <v>Apply</v>
      </c>
      <c r="C1450" s="10" t="s">
        <v>2473</v>
      </c>
      <c r="D1450" s="56" t="s">
        <v>2384</v>
      </c>
      <c r="E1450" s="10" t="s">
        <v>249</v>
      </c>
      <c r="F1450" s="10" t="s">
        <v>2385</v>
      </c>
      <c r="G1450" s="10" t="s">
        <v>2476</v>
      </c>
      <c r="H1450" s="10" t="s">
        <v>2393</v>
      </c>
      <c r="I1450" s="10" t="s">
        <v>48</v>
      </c>
      <c r="K1450" s="10" t="s">
        <v>5116</v>
      </c>
      <c r="L1450" s="10" t="s">
        <v>42</v>
      </c>
    </row>
    <row r="1451" ht="15.75" customHeight="1">
      <c r="A1451" s="64">
        <v>45489.0</v>
      </c>
      <c r="B1451" s="55" t="str">
        <f>HYPERLINK("https://jobright.ai/jobs/info/668c7c96b17b35a9ab810fa5?utm_campaign=1062&amp;utm_source=sheet", "Apply")</f>
        <v>Apply</v>
      </c>
      <c r="C1451" s="10" t="s">
        <v>3170</v>
      </c>
      <c r="D1451" s="56" t="s">
        <v>1273</v>
      </c>
      <c r="E1451" s="10" t="s">
        <v>45</v>
      </c>
      <c r="F1451" s="10" t="s">
        <v>1274</v>
      </c>
      <c r="G1451" s="10" t="s">
        <v>2484</v>
      </c>
      <c r="H1451" s="10" t="s">
        <v>952</v>
      </c>
      <c r="I1451" s="10" t="s">
        <v>48</v>
      </c>
      <c r="K1451" s="10" t="s">
        <v>5448</v>
      </c>
      <c r="L1451" s="10" t="s">
        <v>42</v>
      </c>
    </row>
    <row r="1452" ht="15.75" customHeight="1">
      <c r="A1452" s="64">
        <v>45489.0</v>
      </c>
      <c r="B1452" s="55" t="str">
        <f>HYPERLINK("https://jobright.ai/jobs/info/6696a63041da9c48bd6c6683?utm_campaign=1062&amp;utm_source=sheet", "Apply")</f>
        <v>Apply</v>
      </c>
      <c r="C1452" s="10" t="s">
        <v>5449</v>
      </c>
      <c r="D1452" s="56" t="s">
        <v>44</v>
      </c>
      <c r="E1452" s="10" t="s">
        <v>45</v>
      </c>
      <c r="F1452" s="10" t="s">
        <v>46</v>
      </c>
      <c r="G1452" s="10" t="s">
        <v>3005</v>
      </c>
      <c r="H1452" s="10" t="s">
        <v>153</v>
      </c>
      <c r="I1452" s="10" t="s">
        <v>48</v>
      </c>
      <c r="J1452" s="10" t="s">
        <v>5450</v>
      </c>
      <c r="K1452" s="10" t="s">
        <v>5451</v>
      </c>
      <c r="L1452" s="10" t="s">
        <v>42</v>
      </c>
    </row>
    <row r="1453" ht="15.75" customHeight="1">
      <c r="A1453" s="64">
        <v>45489.0</v>
      </c>
      <c r="B1453" s="55" t="str">
        <f>HYPERLINK("https://jobright.ai/jobs/info/6696a3a41816fd44c1797ea7?utm_campaign=1062&amp;utm_source=sheet", "Apply")</f>
        <v>Apply</v>
      </c>
      <c r="C1453" s="10" t="s">
        <v>5452</v>
      </c>
      <c r="D1453" s="56" t="s">
        <v>5453</v>
      </c>
      <c r="E1453" s="59">
        <v>45301.0</v>
      </c>
      <c r="F1453" s="10" t="s">
        <v>228</v>
      </c>
      <c r="G1453" s="10" t="s">
        <v>2455</v>
      </c>
      <c r="H1453" s="10" t="s">
        <v>96</v>
      </c>
      <c r="I1453" s="10" t="s">
        <v>55</v>
      </c>
      <c r="K1453" s="10" t="s">
        <v>5454</v>
      </c>
      <c r="L1453" s="10" t="s">
        <v>42</v>
      </c>
    </row>
    <row r="1454" ht="15.75" customHeight="1">
      <c r="A1454" s="64">
        <v>45489.0</v>
      </c>
      <c r="B1454" s="55" t="str">
        <f>HYPERLINK("https://jobright.ai/jobs/info/6696a92b51859d4f4cf9802c?utm_campaign=1062&amp;utm_source=sheet", "Apply")</f>
        <v>Apply</v>
      </c>
      <c r="C1454" s="10" t="s">
        <v>5455</v>
      </c>
      <c r="D1454" s="56" t="s">
        <v>3645</v>
      </c>
      <c r="E1454" s="10" t="s">
        <v>45</v>
      </c>
      <c r="F1454" s="10" t="s">
        <v>1700</v>
      </c>
      <c r="G1454" s="10" t="s">
        <v>2437</v>
      </c>
      <c r="H1454" s="10" t="s">
        <v>5456</v>
      </c>
      <c r="I1454" s="10" t="s">
        <v>55</v>
      </c>
      <c r="L1454" s="10" t="s">
        <v>42</v>
      </c>
    </row>
    <row r="1455" ht="15.75" customHeight="1">
      <c r="A1455" s="64">
        <v>45489.0</v>
      </c>
      <c r="B1455" s="55" t="str">
        <f>HYPERLINK("https://jobright.ai/jobs/info/668fcf59228dfafddaffe81a?utm_campaign=1062&amp;utm_source=sheet", "Apply")</f>
        <v>Apply</v>
      </c>
      <c r="C1455" s="10" t="s">
        <v>5457</v>
      </c>
      <c r="D1455" s="56" t="s">
        <v>5458</v>
      </c>
      <c r="E1455" s="10" t="s">
        <v>45</v>
      </c>
      <c r="F1455" s="10" t="s">
        <v>3920</v>
      </c>
      <c r="G1455" s="10" t="s">
        <v>2437</v>
      </c>
      <c r="H1455" s="10" t="s">
        <v>106</v>
      </c>
      <c r="I1455" s="10" t="s">
        <v>55</v>
      </c>
      <c r="K1455" s="10" t="s">
        <v>5459</v>
      </c>
      <c r="L1455" s="10" t="s">
        <v>42</v>
      </c>
    </row>
    <row r="1456" ht="15.75" customHeight="1">
      <c r="A1456" s="64">
        <v>45489.0</v>
      </c>
      <c r="B1456" s="55" t="str">
        <f>HYPERLINK("https://jobright.ai/jobs/info/6696b2e3dffb57e9423a70a7?utm_campaign=1062&amp;utm_source=sheet", "Apply")</f>
        <v>Apply</v>
      </c>
      <c r="C1456" s="10" t="s">
        <v>5460</v>
      </c>
      <c r="D1456" s="56" t="s">
        <v>5461</v>
      </c>
      <c r="E1456" s="10">
        <v>25.0</v>
      </c>
      <c r="G1456" s="10" t="s">
        <v>2509</v>
      </c>
      <c r="H1456" s="10" t="s">
        <v>958</v>
      </c>
      <c r="I1456" s="10" t="s">
        <v>48</v>
      </c>
      <c r="J1456" s="10" t="s">
        <v>2590</v>
      </c>
      <c r="K1456" s="10" t="s">
        <v>5462</v>
      </c>
      <c r="L1456" s="10" t="s">
        <v>42</v>
      </c>
    </row>
    <row r="1457" ht="15.75" customHeight="1">
      <c r="A1457" s="64">
        <v>45489.0</v>
      </c>
      <c r="B1457" s="55" t="str">
        <f>HYPERLINK("https://jobright.ai/jobs/info/6696a0ea1e4c13c6a6969f7f?utm_campaign=1062&amp;utm_source=sheet", "Apply")</f>
        <v>Apply</v>
      </c>
      <c r="C1457" s="10" t="s">
        <v>5463</v>
      </c>
      <c r="D1457" s="56" t="s">
        <v>5464</v>
      </c>
      <c r="G1457" s="10" t="s">
        <v>2448</v>
      </c>
      <c r="H1457" s="10" t="s">
        <v>774</v>
      </c>
      <c r="I1457" s="10" t="s">
        <v>55</v>
      </c>
      <c r="K1457" s="10" t="s">
        <v>5465</v>
      </c>
      <c r="L1457" s="10" t="s">
        <v>42</v>
      </c>
    </row>
    <row r="1458" ht="15.75" customHeight="1">
      <c r="A1458" s="64">
        <v>45489.0</v>
      </c>
      <c r="B1458" s="55" t="str">
        <f>HYPERLINK("https://jobright.ai/jobs/info/6696b79cc03b5b865a7167d8?utm_campaign=1062&amp;utm_source=sheet", "Apply")</f>
        <v>Apply</v>
      </c>
      <c r="C1458" s="10" t="s">
        <v>5466</v>
      </c>
      <c r="D1458" s="56" t="s">
        <v>1547</v>
      </c>
      <c r="E1458" s="10">
        <v>408.0</v>
      </c>
      <c r="G1458" s="10" t="s">
        <v>2459</v>
      </c>
      <c r="H1458" s="10" t="s">
        <v>819</v>
      </c>
      <c r="I1458" s="10" t="s">
        <v>55</v>
      </c>
      <c r="K1458" s="10" t="s">
        <v>5467</v>
      </c>
      <c r="L1458" s="10" t="s">
        <v>42</v>
      </c>
    </row>
    <row r="1459" ht="15.75" customHeight="1">
      <c r="A1459" s="64">
        <v>45489.0</v>
      </c>
      <c r="B1459" s="55" t="str">
        <f>HYPERLINK("https://jobright.ai/jobs/info/669fbd1e52eff9ce93d1c835?utm_campaign=1062&amp;utm_source=sheet", "Apply")</f>
        <v>Apply</v>
      </c>
      <c r="C1459" s="10" t="s">
        <v>5468</v>
      </c>
      <c r="D1459" s="56" t="s">
        <v>5469</v>
      </c>
      <c r="E1459" s="10" t="s">
        <v>71</v>
      </c>
      <c r="F1459" s="10" t="s">
        <v>5470</v>
      </c>
      <c r="G1459" s="10" t="s">
        <v>2484</v>
      </c>
      <c r="H1459" s="10" t="s">
        <v>5471</v>
      </c>
      <c r="I1459" s="10" t="s">
        <v>55</v>
      </c>
      <c r="K1459" s="10" t="s">
        <v>5472</v>
      </c>
      <c r="L1459" s="10" t="s">
        <v>42</v>
      </c>
    </row>
    <row r="1460" ht="15.75" customHeight="1">
      <c r="A1460" s="64">
        <v>45489.0</v>
      </c>
      <c r="B1460" s="55" t="str">
        <f>HYPERLINK("https://jobright.ai/jobs/info/668bc74d882bb0e124cd4d9d?utm_campaign=1062&amp;utm_source=sheet", "Apply")</f>
        <v>Apply</v>
      </c>
      <c r="C1460" s="10" t="s">
        <v>5473</v>
      </c>
      <c r="D1460" s="56" t="s">
        <v>5474</v>
      </c>
      <c r="E1460" s="10" t="s">
        <v>137</v>
      </c>
      <c r="F1460" s="10" t="s">
        <v>4300</v>
      </c>
      <c r="G1460" s="10" t="s">
        <v>2464</v>
      </c>
      <c r="H1460" s="10" t="s">
        <v>96</v>
      </c>
      <c r="I1460" s="10" t="s">
        <v>55</v>
      </c>
      <c r="K1460" s="10" t="s">
        <v>5475</v>
      </c>
      <c r="L1460" s="10" t="s">
        <v>42</v>
      </c>
    </row>
    <row r="1461" ht="15.75" customHeight="1">
      <c r="A1461" s="64">
        <v>45489.0</v>
      </c>
      <c r="B1461" s="55" t="str">
        <f>HYPERLINK("https://jobright.ai/jobs/info/66969a796df5fce96b1b6974?utm_campaign=1062&amp;utm_source=sheet", "Apply")</f>
        <v>Apply</v>
      </c>
      <c r="C1461" s="10" t="s">
        <v>5476</v>
      </c>
      <c r="D1461" s="56" t="s">
        <v>5474</v>
      </c>
      <c r="E1461" s="10" t="s">
        <v>137</v>
      </c>
      <c r="F1461" s="10" t="s">
        <v>4300</v>
      </c>
      <c r="G1461" s="10" t="s">
        <v>2464</v>
      </c>
      <c r="H1461" s="10" t="s">
        <v>572</v>
      </c>
      <c r="I1461" s="10" t="s">
        <v>55</v>
      </c>
      <c r="K1461" s="10" t="s">
        <v>5475</v>
      </c>
      <c r="L1461" s="10" t="s">
        <v>42</v>
      </c>
    </row>
    <row r="1462" ht="15.75" customHeight="1">
      <c r="A1462" s="64">
        <v>45489.0</v>
      </c>
      <c r="B1462" s="55" t="str">
        <f>HYPERLINK("https://jobright.ai/jobs/info/66967a9233c0dda593f79872?utm_campaign=1062&amp;utm_source=sheet", "Apply")</f>
        <v>Apply</v>
      </c>
      <c r="C1462" s="10" t="s">
        <v>2630</v>
      </c>
      <c r="D1462" s="56" t="s">
        <v>5477</v>
      </c>
      <c r="E1462" s="10">
        <v>5.0</v>
      </c>
      <c r="G1462" s="10" t="s">
        <v>2464</v>
      </c>
      <c r="H1462" s="10" t="s">
        <v>5478</v>
      </c>
      <c r="I1462" s="10" t="s">
        <v>55</v>
      </c>
      <c r="K1462" s="10" t="s">
        <v>5479</v>
      </c>
      <c r="L1462" s="10" t="s">
        <v>42</v>
      </c>
    </row>
    <row r="1463" ht="15.75" customHeight="1">
      <c r="A1463" s="64">
        <v>45489.0</v>
      </c>
      <c r="B1463" s="55" t="str">
        <f>HYPERLINK("https://jobright.ai/jobs/info/667ea8efdd632a7962a6b5aa?utm_campaign=1062&amp;utm_source=sheet", "Apply")</f>
        <v>Apply</v>
      </c>
      <c r="C1463" s="10" t="s">
        <v>5480</v>
      </c>
      <c r="D1463" s="56" t="s">
        <v>5474</v>
      </c>
      <c r="E1463" s="10" t="s">
        <v>137</v>
      </c>
      <c r="F1463" s="10" t="s">
        <v>4300</v>
      </c>
      <c r="G1463" s="10" t="s">
        <v>2464</v>
      </c>
      <c r="H1463" s="10" t="s">
        <v>505</v>
      </c>
      <c r="I1463" s="10" t="s">
        <v>55</v>
      </c>
      <c r="K1463" s="10" t="s">
        <v>5475</v>
      </c>
      <c r="L1463" s="10" t="s">
        <v>42</v>
      </c>
    </row>
    <row r="1464" ht="15.75" customHeight="1">
      <c r="A1464" s="64">
        <v>45489.0</v>
      </c>
      <c r="B1464" s="55" t="str">
        <f>HYPERLINK("https://jobright.ai/jobs/info/669679a3219a7480e2568742?utm_campaign=1062&amp;utm_source=sheet", "Apply")</f>
        <v>Apply</v>
      </c>
      <c r="C1464" s="10" t="s">
        <v>4723</v>
      </c>
      <c r="D1464" s="56" t="s">
        <v>2682</v>
      </c>
      <c r="E1464" s="10" t="s">
        <v>45</v>
      </c>
      <c r="F1464" s="10" t="s">
        <v>1357</v>
      </c>
      <c r="G1464" s="10" t="s">
        <v>2589</v>
      </c>
      <c r="H1464" s="10" t="s">
        <v>5481</v>
      </c>
      <c r="I1464" s="10" t="s">
        <v>55</v>
      </c>
      <c r="K1464" s="10" t="s">
        <v>2684</v>
      </c>
      <c r="L1464" s="10" t="s">
        <v>42</v>
      </c>
    </row>
    <row r="1465" ht="15.75" customHeight="1">
      <c r="A1465" s="64">
        <v>45489.0</v>
      </c>
      <c r="B1465" s="55" t="str">
        <f>HYPERLINK("https://jobright.ai/jobs/info/667424c29634b665d7e50cb9?utm_campaign=1062&amp;utm_source=sheet", "Apply")</f>
        <v>Apply</v>
      </c>
      <c r="C1465" s="10" t="s">
        <v>5482</v>
      </c>
      <c r="D1465" s="56" t="s">
        <v>5483</v>
      </c>
      <c r="E1465" s="10">
        <v>42.0</v>
      </c>
      <c r="G1465" s="10" t="s">
        <v>2448</v>
      </c>
      <c r="H1465" s="10" t="s">
        <v>5484</v>
      </c>
      <c r="I1465" s="10" t="s">
        <v>55</v>
      </c>
      <c r="K1465" s="10" t="s">
        <v>5485</v>
      </c>
      <c r="L1465" s="10" t="s">
        <v>42</v>
      </c>
    </row>
    <row r="1466" ht="15.75" customHeight="1">
      <c r="A1466" s="64">
        <v>45489.0</v>
      </c>
      <c r="B1466" s="55" t="str">
        <f>HYPERLINK("https://jobright.ai/jobs/info/669d0ef1882781b0ee6b954e?utm_campaign=1062&amp;utm_source=sheet", "Apply")</f>
        <v>Apply</v>
      </c>
      <c r="C1466" s="10" t="s">
        <v>5486</v>
      </c>
      <c r="D1466" s="56" t="s">
        <v>5175</v>
      </c>
      <c r="E1466" s="10" t="s">
        <v>45</v>
      </c>
      <c r="F1466" s="10" t="s">
        <v>5176</v>
      </c>
      <c r="G1466" s="10" t="s">
        <v>2484</v>
      </c>
      <c r="H1466" s="10" t="s">
        <v>5177</v>
      </c>
      <c r="I1466" s="10" t="s">
        <v>55</v>
      </c>
      <c r="K1466" s="10" t="s">
        <v>5487</v>
      </c>
      <c r="L1466" s="10" t="s">
        <v>42</v>
      </c>
    </row>
    <row r="1467" ht="15.75" customHeight="1">
      <c r="A1467" s="64">
        <v>45489.0</v>
      </c>
      <c r="B1467" s="55" t="str">
        <f>HYPERLINK("https://jobright.ai/jobs/info/669faf4b409ac17305d783c6?utm_campaign=1062&amp;utm_source=sheet", "Apply")</f>
        <v>Apply</v>
      </c>
      <c r="C1467" s="10" t="s">
        <v>5488</v>
      </c>
      <c r="D1467" s="56" t="s">
        <v>5489</v>
      </c>
      <c r="E1467" s="10" t="s">
        <v>209</v>
      </c>
      <c r="F1467" s="10" t="s">
        <v>2221</v>
      </c>
      <c r="G1467" s="10" t="s">
        <v>2455</v>
      </c>
      <c r="H1467" s="10" t="s">
        <v>959</v>
      </c>
      <c r="I1467" s="10" t="s">
        <v>55</v>
      </c>
      <c r="J1467" s="10" t="s">
        <v>1984</v>
      </c>
      <c r="K1467" s="10" t="s">
        <v>5490</v>
      </c>
      <c r="L1467" s="10" t="s">
        <v>42</v>
      </c>
    </row>
    <row r="1468" ht="15.75" customHeight="1">
      <c r="A1468" s="64">
        <v>45489.0</v>
      </c>
      <c r="B1468" s="55" t="str">
        <f>HYPERLINK("https://jobright.ai/jobs/info/665b2c8747a7d31c6f9ab8d9?utm_campaign=1062&amp;utm_source=sheet", "Apply")</f>
        <v>Apply</v>
      </c>
      <c r="C1468" s="10" t="s">
        <v>5491</v>
      </c>
      <c r="D1468" s="56" t="s">
        <v>585</v>
      </c>
      <c r="E1468" s="10" t="s">
        <v>45</v>
      </c>
      <c r="F1468" s="10" t="s">
        <v>586</v>
      </c>
      <c r="G1468" s="10" t="s">
        <v>3733</v>
      </c>
      <c r="H1468" s="10" t="s">
        <v>587</v>
      </c>
      <c r="I1468" s="10" t="s">
        <v>55</v>
      </c>
      <c r="K1468" s="10" t="s">
        <v>5492</v>
      </c>
      <c r="L1468" s="10" t="s">
        <v>42</v>
      </c>
    </row>
    <row r="1469" ht="15.75" customHeight="1">
      <c r="A1469" s="64">
        <v>45489.0</v>
      </c>
      <c r="B1469" s="55" t="str">
        <f>HYPERLINK("https://jobright.ai/jobs/info/669e49921bef9e02d106cc2b?utm_campaign=1062&amp;utm_source=sheet", "Apply")</f>
        <v>Apply</v>
      </c>
      <c r="C1469" s="10" t="s">
        <v>3162</v>
      </c>
      <c r="D1469" s="56" t="s">
        <v>5175</v>
      </c>
      <c r="E1469" s="10" t="s">
        <v>45</v>
      </c>
      <c r="F1469" s="10" t="s">
        <v>5176</v>
      </c>
      <c r="G1469" s="10" t="s">
        <v>2484</v>
      </c>
      <c r="H1469" s="10" t="s">
        <v>5493</v>
      </c>
      <c r="I1469" s="10" t="s">
        <v>55</v>
      </c>
      <c r="K1469" s="10" t="s">
        <v>5494</v>
      </c>
      <c r="L1469" s="10" t="s">
        <v>42</v>
      </c>
    </row>
    <row r="1470" ht="15.75" customHeight="1">
      <c r="A1470" s="64">
        <v>45489.0</v>
      </c>
      <c r="B1470" s="55" t="str">
        <f>HYPERLINK("https://jobright.ai/jobs/info/6697ada21c55d63f4b198f02?utm_campaign=1062&amp;utm_source=sheet", "Apply")</f>
        <v>Apply</v>
      </c>
      <c r="C1470" s="10" t="s">
        <v>5495</v>
      </c>
      <c r="D1470" s="56" t="s">
        <v>5496</v>
      </c>
      <c r="E1470" s="10" t="s">
        <v>79</v>
      </c>
      <c r="F1470" s="10" t="s">
        <v>5497</v>
      </c>
      <c r="G1470" s="10" t="s">
        <v>2807</v>
      </c>
      <c r="H1470" s="10" t="s">
        <v>2562</v>
      </c>
      <c r="I1470" s="10" t="s">
        <v>55</v>
      </c>
      <c r="J1470" s="10" t="s">
        <v>5498</v>
      </c>
      <c r="K1470" s="10" t="s">
        <v>5499</v>
      </c>
      <c r="L1470" s="10" t="s">
        <v>42</v>
      </c>
    </row>
    <row r="1471" ht="15.75" customHeight="1">
      <c r="A1471" s="64">
        <v>45489.0</v>
      </c>
      <c r="B1471" s="55" t="str">
        <f>HYPERLINK("https://jobright.ai/jobs/info/669662b554be5f07e0d861df?utm_campaign=1062&amp;utm_source=sheet", "Apply")</f>
        <v>Apply</v>
      </c>
      <c r="C1471" s="10" t="s">
        <v>5500</v>
      </c>
      <c r="D1471" s="56" t="s">
        <v>311</v>
      </c>
      <c r="E1471" s="10" t="s">
        <v>45</v>
      </c>
      <c r="F1471" s="10" t="s">
        <v>312</v>
      </c>
      <c r="G1471" s="10" t="s">
        <v>2502</v>
      </c>
      <c r="H1471" s="10" t="s">
        <v>313</v>
      </c>
      <c r="I1471" s="10" t="s">
        <v>55</v>
      </c>
      <c r="J1471" s="10" t="s">
        <v>4698</v>
      </c>
      <c r="K1471" s="10" t="s">
        <v>5501</v>
      </c>
      <c r="L1471" s="10" t="s">
        <v>42</v>
      </c>
    </row>
    <row r="1472" ht="15.75" customHeight="1">
      <c r="A1472" s="64">
        <v>45489.0</v>
      </c>
      <c r="B1472" s="55" t="str">
        <f>HYPERLINK("https://jobright.ai/jobs/info/667a234df887f26d10123273?utm_campaign=1062&amp;utm_source=sheet", "Apply")</f>
        <v>Apply</v>
      </c>
      <c r="C1472" s="10" t="s">
        <v>5502</v>
      </c>
      <c r="D1472" s="56" t="s">
        <v>5503</v>
      </c>
      <c r="E1472" s="10" t="s">
        <v>45</v>
      </c>
      <c r="F1472" s="10" t="s">
        <v>5504</v>
      </c>
      <c r="G1472" s="10" t="s">
        <v>2484</v>
      </c>
      <c r="H1472" s="10" t="s">
        <v>5505</v>
      </c>
      <c r="I1472" s="10" t="s">
        <v>55</v>
      </c>
      <c r="K1472" s="10" t="s">
        <v>5506</v>
      </c>
      <c r="L1472" s="10" t="s">
        <v>42</v>
      </c>
    </row>
    <row r="1473" ht="15.75" customHeight="1">
      <c r="A1473" s="64">
        <v>45489.0</v>
      </c>
      <c r="B1473" s="55" t="str">
        <f>HYPERLINK("https://jobright.ai/jobs/info/6679fb6c7f8172ca98ae3d78?utm_campaign=1062&amp;utm_source=sheet", "Apply")</f>
        <v>Apply</v>
      </c>
      <c r="C1473" s="10" t="s">
        <v>5507</v>
      </c>
      <c r="D1473" s="56" t="s">
        <v>5508</v>
      </c>
      <c r="E1473" s="10" t="s">
        <v>71</v>
      </c>
      <c r="F1473" s="10" t="s">
        <v>5509</v>
      </c>
      <c r="G1473" s="10" t="s">
        <v>2437</v>
      </c>
      <c r="H1473" s="10" t="s">
        <v>636</v>
      </c>
      <c r="I1473" s="10" t="s">
        <v>55</v>
      </c>
      <c r="K1473" s="10" t="s">
        <v>5510</v>
      </c>
      <c r="L1473" s="10" t="s">
        <v>42</v>
      </c>
    </row>
    <row r="1474" ht="15.75" customHeight="1">
      <c r="A1474" s="64">
        <v>45489.0</v>
      </c>
      <c r="B1474" s="55" t="str">
        <f>HYPERLINK("https://jobright.ai/jobs/info/6679a405278f72d4fa97d6fa?utm_campaign=1062&amp;utm_source=sheet", "Apply")</f>
        <v>Apply</v>
      </c>
      <c r="C1474" s="10" t="s">
        <v>5511</v>
      </c>
      <c r="D1474" s="56" t="s">
        <v>5512</v>
      </c>
      <c r="E1474" s="10">
        <v>610.0</v>
      </c>
      <c r="G1474" s="10" t="s">
        <v>2484</v>
      </c>
      <c r="H1474" s="10" t="s">
        <v>5513</v>
      </c>
      <c r="I1474" s="10" t="s">
        <v>55</v>
      </c>
      <c r="K1474" s="10" t="s">
        <v>5514</v>
      </c>
      <c r="L1474" s="10" t="s">
        <v>42</v>
      </c>
    </row>
    <row r="1475" ht="15.75" customHeight="1">
      <c r="A1475" s="64">
        <v>45489.0</v>
      </c>
      <c r="B1475" s="55" t="str">
        <f>HYPERLINK("https://jobright.ai/jobs/info/667a390f030920687ecf8c5e?utm_campaign=1062&amp;utm_source=sheet", "Apply")</f>
        <v>Apply</v>
      </c>
      <c r="C1475" s="10" t="s">
        <v>5515</v>
      </c>
      <c r="D1475" s="56" t="s">
        <v>2712</v>
      </c>
      <c r="E1475" s="10" t="s">
        <v>79</v>
      </c>
      <c r="F1475" s="10" t="s">
        <v>2713</v>
      </c>
      <c r="G1475" s="10" t="s">
        <v>2502</v>
      </c>
      <c r="H1475" s="10" t="s">
        <v>698</v>
      </c>
      <c r="I1475" s="10" t="s">
        <v>55</v>
      </c>
      <c r="J1475" s="10" t="s">
        <v>2714</v>
      </c>
      <c r="K1475" s="10" t="s">
        <v>5516</v>
      </c>
      <c r="L1475" s="10" t="s">
        <v>42</v>
      </c>
    </row>
    <row r="1476" ht="15.75" customHeight="1">
      <c r="A1476" s="64">
        <v>45489.0</v>
      </c>
      <c r="B1476" s="55" t="str">
        <f>HYPERLINK("https://jobright.ai/jobs/info/668bb74b17dee33772925d66?utm_campaign=1062&amp;utm_source=sheet", "Apply")</f>
        <v>Apply</v>
      </c>
      <c r="C1476" s="10" t="s">
        <v>5517</v>
      </c>
      <c r="D1476" s="56" t="s">
        <v>5508</v>
      </c>
      <c r="E1476" s="10" t="s">
        <v>71</v>
      </c>
      <c r="F1476" s="10" t="s">
        <v>5509</v>
      </c>
      <c r="G1476" s="10" t="s">
        <v>2484</v>
      </c>
      <c r="H1476" s="10" t="s">
        <v>636</v>
      </c>
      <c r="I1476" s="10" t="s">
        <v>55</v>
      </c>
      <c r="K1476" s="10" t="s">
        <v>5518</v>
      </c>
      <c r="L1476" s="10" t="s">
        <v>42</v>
      </c>
    </row>
    <row r="1477" ht="15.75" customHeight="1">
      <c r="A1477" s="64">
        <v>45489.0</v>
      </c>
      <c r="B1477" s="55" t="str">
        <f>HYPERLINK("https://jobright.ai/jobs/info/6679fea146f5c442961e63a1?utm_campaign=1062&amp;utm_source=sheet", "Apply")</f>
        <v>Apply</v>
      </c>
      <c r="C1477" s="10" t="s">
        <v>3044</v>
      </c>
      <c r="D1477" s="56" t="s">
        <v>2631</v>
      </c>
      <c r="E1477" s="10" t="s">
        <v>209</v>
      </c>
      <c r="F1477" s="10" t="s">
        <v>2632</v>
      </c>
      <c r="G1477" s="10" t="s">
        <v>2464</v>
      </c>
      <c r="H1477" s="10" t="s">
        <v>5519</v>
      </c>
      <c r="I1477" s="10" t="s">
        <v>55</v>
      </c>
      <c r="K1477" s="10" t="s">
        <v>3045</v>
      </c>
      <c r="L1477" s="10" t="s">
        <v>42</v>
      </c>
    </row>
    <row r="1478" ht="15.75" customHeight="1">
      <c r="A1478" s="64">
        <v>45489.0</v>
      </c>
      <c r="B1478" s="55" t="str">
        <f>HYPERLINK("https://jobright.ai/jobs/info/6679feaf46f5c442961e63ea?utm_campaign=1062&amp;utm_source=sheet", "Apply")</f>
        <v>Apply</v>
      </c>
      <c r="C1478" s="10" t="s">
        <v>3044</v>
      </c>
      <c r="D1478" s="56" t="s">
        <v>2631</v>
      </c>
      <c r="E1478" s="10" t="s">
        <v>209</v>
      </c>
      <c r="F1478" s="10" t="s">
        <v>2632</v>
      </c>
      <c r="G1478" s="10" t="s">
        <v>2464</v>
      </c>
      <c r="H1478" s="10" t="s">
        <v>4623</v>
      </c>
      <c r="I1478" s="10" t="s">
        <v>55</v>
      </c>
      <c r="K1478" s="10" t="s">
        <v>3045</v>
      </c>
      <c r="L1478" s="10" t="s">
        <v>42</v>
      </c>
    </row>
    <row r="1479" ht="15.75" customHeight="1">
      <c r="A1479" s="64">
        <v>45489.0</v>
      </c>
      <c r="B1479" s="55" t="str">
        <f>HYPERLINK("https://jobright.ai/jobs/info/667a0b69a13fa11c0d39875a?utm_campaign=1062&amp;utm_source=sheet", "Apply")</f>
        <v>Apply</v>
      </c>
      <c r="C1479" s="10" t="s">
        <v>301</v>
      </c>
      <c r="D1479" s="56" t="s">
        <v>5520</v>
      </c>
      <c r="E1479" s="10" t="s">
        <v>71</v>
      </c>
      <c r="F1479" s="10" t="s">
        <v>2746</v>
      </c>
      <c r="G1479" s="10" t="s">
        <v>2464</v>
      </c>
      <c r="H1479" s="10" t="s">
        <v>131</v>
      </c>
      <c r="I1479" s="10" t="s">
        <v>55</v>
      </c>
      <c r="K1479" s="10" t="s">
        <v>5521</v>
      </c>
      <c r="L1479" s="10" t="s">
        <v>42</v>
      </c>
    </row>
    <row r="1480" ht="15.75" customHeight="1">
      <c r="A1480" s="64">
        <v>45489.0</v>
      </c>
      <c r="B1480" s="55" t="str">
        <f>HYPERLINK("https://jobright.ai/jobs/info/667a3f11b828641572663c78?utm_campaign=1062&amp;utm_source=sheet", "Apply")</f>
        <v>Apply</v>
      </c>
      <c r="C1480" s="10" t="s">
        <v>5522</v>
      </c>
      <c r="D1480" s="56" t="s">
        <v>5523</v>
      </c>
      <c r="E1480" s="10" t="s">
        <v>209</v>
      </c>
      <c r="F1480" s="10" t="s">
        <v>5524</v>
      </c>
      <c r="G1480" s="10" t="s">
        <v>2509</v>
      </c>
      <c r="H1480" s="10" t="s">
        <v>5245</v>
      </c>
      <c r="I1480" s="10" t="s">
        <v>55</v>
      </c>
      <c r="J1480" s="10" t="s">
        <v>5525</v>
      </c>
      <c r="K1480" s="10" t="s">
        <v>5526</v>
      </c>
      <c r="L1480" s="10" t="s">
        <v>42</v>
      </c>
    </row>
    <row r="1481" ht="15.75" customHeight="1">
      <c r="A1481" s="64">
        <v>45489.0</v>
      </c>
      <c r="B1481" s="55" t="str">
        <f>HYPERLINK("https://jobright.ai/jobs/info/667a59ec129f8a9178c9ffeb?utm_campaign=1062&amp;utm_source=sheet", "Apply")</f>
        <v>Apply</v>
      </c>
      <c r="C1481" s="10" t="s">
        <v>5527</v>
      </c>
      <c r="D1481" s="56" t="s">
        <v>5528</v>
      </c>
      <c r="E1481" s="10" t="s">
        <v>79</v>
      </c>
      <c r="F1481" s="10" t="s">
        <v>10</v>
      </c>
      <c r="G1481" s="10" t="s">
        <v>2464</v>
      </c>
      <c r="H1481" s="10" t="s">
        <v>5529</v>
      </c>
      <c r="I1481" s="10" t="s">
        <v>55</v>
      </c>
      <c r="K1481" s="10" t="s">
        <v>5530</v>
      </c>
      <c r="L1481" s="10" t="s">
        <v>42</v>
      </c>
    </row>
    <row r="1482" ht="15.75" customHeight="1">
      <c r="A1482" s="64">
        <v>45489.0</v>
      </c>
      <c r="B1482" s="55" t="str">
        <f>HYPERLINK("https://jobright.ai/jobs/info/667a01b5d55a22e58f614630?utm_campaign=1062&amp;utm_source=sheet", "Apply")</f>
        <v>Apply</v>
      </c>
      <c r="C1482" s="10" t="s">
        <v>3044</v>
      </c>
      <c r="D1482" s="56" t="s">
        <v>2631</v>
      </c>
      <c r="E1482" s="10" t="s">
        <v>209</v>
      </c>
      <c r="F1482" s="10" t="s">
        <v>2632</v>
      </c>
      <c r="G1482" s="10" t="s">
        <v>2464</v>
      </c>
      <c r="H1482" s="10" t="s">
        <v>152</v>
      </c>
      <c r="I1482" s="10" t="s">
        <v>55</v>
      </c>
      <c r="K1482" s="10" t="s">
        <v>3045</v>
      </c>
      <c r="L1482" s="10" t="s">
        <v>42</v>
      </c>
    </row>
    <row r="1483" ht="15.75" customHeight="1">
      <c r="A1483" s="64">
        <v>45489.0</v>
      </c>
      <c r="B1483" s="55" t="str">
        <f>HYPERLINK("https://jobright.ai/jobs/info/6679fed046f5c442961e668b?utm_campaign=1062&amp;utm_source=sheet", "Apply")</f>
        <v>Apply</v>
      </c>
      <c r="C1483" s="10" t="s">
        <v>5531</v>
      </c>
      <c r="D1483" s="56" t="s">
        <v>702</v>
      </c>
      <c r="E1483" s="10" t="s">
        <v>65</v>
      </c>
      <c r="F1483" s="10" t="s">
        <v>703</v>
      </c>
      <c r="G1483" s="10" t="s">
        <v>2443</v>
      </c>
      <c r="H1483" s="10" t="s">
        <v>1058</v>
      </c>
      <c r="I1483" s="10" t="s">
        <v>48</v>
      </c>
      <c r="J1483" s="10" t="s">
        <v>5532</v>
      </c>
      <c r="K1483" s="10" t="s">
        <v>5533</v>
      </c>
      <c r="L1483" s="10" t="s">
        <v>42</v>
      </c>
    </row>
    <row r="1484" ht="15.75" customHeight="1">
      <c r="A1484" s="64">
        <v>45489.0</v>
      </c>
      <c r="B1484" s="55" t="str">
        <f>HYPERLINK("https://jobright.ai/jobs/info/668c09e9aea348a0f4028271?utm_campaign=1062&amp;utm_source=sheet", "Apply")</f>
        <v>Apply</v>
      </c>
      <c r="C1484" s="10" t="s">
        <v>5534</v>
      </c>
      <c r="D1484" s="56" t="s">
        <v>634</v>
      </c>
      <c r="E1484" s="10" t="s">
        <v>65</v>
      </c>
      <c r="F1484" s="10" t="s">
        <v>635</v>
      </c>
      <c r="G1484" s="10" t="s">
        <v>2455</v>
      </c>
      <c r="H1484" s="10" t="s">
        <v>636</v>
      </c>
      <c r="I1484" s="10" t="s">
        <v>48</v>
      </c>
      <c r="K1484" s="10" t="s">
        <v>5535</v>
      </c>
      <c r="L1484" s="10" t="s">
        <v>42</v>
      </c>
    </row>
    <row r="1485" ht="15.75" customHeight="1">
      <c r="A1485" s="64">
        <v>45489.0</v>
      </c>
      <c r="B1485" s="55" t="str">
        <f>HYPERLINK("https://jobright.ai/jobs/info/668c2984dbe1aedcdfe00d3c?utm_campaign=1062&amp;utm_source=sheet", "Apply")</f>
        <v>Apply</v>
      </c>
      <c r="C1485" s="10" t="s">
        <v>5536</v>
      </c>
      <c r="D1485" s="56" t="s">
        <v>634</v>
      </c>
      <c r="E1485" s="10" t="s">
        <v>65</v>
      </c>
      <c r="F1485" s="10" t="s">
        <v>635</v>
      </c>
      <c r="G1485" s="10" t="s">
        <v>2476</v>
      </c>
      <c r="H1485" s="10" t="s">
        <v>636</v>
      </c>
      <c r="I1485" s="10" t="s">
        <v>48</v>
      </c>
      <c r="K1485" s="10" t="s">
        <v>5537</v>
      </c>
      <c r="L1485" s="10" t="s">
        <v>42</v>
      </c>
    </row>
    <row r="1486" ht="15.75" customHeight="1">
      <c r="A1486" s="64">
        <v>45489.0</v>
      </c>
      <c r="B1486" s="55" t="str">
        <f>HYPERLINK("https://jobright.ai/jobs/info/669630a654893db2fe4b65c8?utm_campaign=1062&amp;utm_source=sheet", "Apply")</f>
        <v>Apply</v>
      </c>
      <c r="C1486" s="10" t="s">
        <v>5538</v>
      </c>
      <c r="D1486" s="56" t="s">
        <v>4701</v>
      </c>
      <c r="E1486" s="10" t="s">
        <v>137</v>
      </c>
      <c r="F1486" s="10" t="s">
        <v>4702</v>
      </c>
      <c r="G1486" s="10" t="s">
        <v>2437</v>
      </c>
      <c r="H1486" s="10" t="s">
        <v>3306</v>
      </c>
      <c r="I1486" s="10" t="s">
        <v>55</v>
      </c>
      <c r="J1486" s="10" t="s">
        <v>1608</v>
      </c>
      <c r="K1486" s="10" t="s">
        <v>4703</v>
      </c>
      <c r="L1486" s="10" t="s">
        <v>42</v>
      </c>
    </row>
    <row r="1487" ht="15.75" customHeight="1">
      <c r="A1487" s="64">
        <v>45489.0</v>
      </c>
      <c r="B1487" s="55" t="str">
        <f>HYPERLINK("https://jobright.ai/jobs/info/669630a654893db2fe4b65e4?utm_campaign=1062&amp;utm_source=sheet", "Apply")</f>
        <v>Apply</v>
      </c>
      <c r="C1487" s="10" t="s">
        <v>5539</v>
      </c>
      <c r="D1487" s="56" t="s">
        <v>4701</v>
      </c>
      <c r="E1487" s="10" t="s">
        <v>137</v>
      </c>
      <c r="F1487" s="10" t="s">
        <v>4702</v>
      </c>
      <c r="G1487" s="10" t="s">
        <v>2437</v>
      </c>
      <c r="H1487" s="10" t="s">
        <v>3320</v>
      </c>
      <c r="I1487" s="10" t="s">
        <v>55</v>
      </c>
      <c r="J1487" s="10" t="s">
        <v>1608</v>
      </c>
      <c r="K1487" s="10" t="s">
        <v>4703</v>
      </c>
      <c r="L1487" s="10" t="s">
        <v>42</v>
      </c>
    </row>
    <row r="1488" ht="15.75" customHeight="1">
      <c r="A1488" s="64">
        <v>45489.0</v>
      </c>
      <c r="B1488" s="55" t="str">
        <f>HYPERLINK("https://jobright.ai/jobs/info/6696329dad5972b005cd3bf4?utm_campaign=1062&amp;utm_source=sheet", "Apply")</f>
        <v>Apply</v>
      </c>
      <c r="C1488" s="10" t="s">
        <v>5540</v>
      </c>
      <c r="D1488" s="56" t="s">
        <v>4701</v>
      </c>
      <c r="E1488" s="10" t="s">
        <v>137</v>
      </c>
      <c r="F1488" s="10" t="s">
        <v>4702</v>
      </c>
      <c r="G1488" s="10" t="s">
        <v>2437</v>
      </c>
      <c r="H1488" s="10" t="s">
        <v>3218</v>
      </c>
      <c r="I1488" s="10" t="s">
        <v>252</v>
      </c>
      <c r="J1488" s="10" t="s">
        <v>1608</v>
      </c>
      <c r="K1488" s="10" t="s">
        <v>4703</v>
      </c>
      <c r="L1488" s="10" t="s">
        <v>42</v>
      </c>
    </row>
    <row r="1489" ht="15.75" customHeight="1">
      <c r="A1489" s="64">
        <v>45489.0</v>
      </c>
      <c r="B1489" s="55" t="str">
        <f>HYPERLINK("https://jobright.ai/jobs/info/669607bf4b8ef8f7cd2e5886?utm_campaign=1062&amp;utm_source=sheet", "Apply")</f>
        <v>Apply</v>
      </c>
      <c r="C1489" s="10" t="s">
        <v>5541</v>
      </c>
      <c r="D1489" s="56" t="s">
        <v>5542</v>
      </c>
      <c r="E1489" s="10" t="s">
        <v>79</v>
      </c>
      <c r="F1489" s="10" t="s">
        <v>665</v>
      </c>
      <c r="G1489" s="10" t="s">
        <v>2443</v>
      </c>
      <c r="H1489" s="10" t="s">
        <v>80</v>
      </c>
      <c r="I1489" s="10" t="s">
        <v>55</v>
      </c>
      <c r="J1489" s="10" t="s">
        <v>521</v>
      </c>
      <c r="K1489" s="10" t="s">
        <v>5543</v>
      </c>
      <c r="L1489" s="10" t="s">
        <v>42</v>
      </c>
    </row>
    <row r="1490" ht="15.75" customHeight="1">
      <c r="A1490" s="64">
        <v>45489.0</v>
      </c>
      <c r="B1490" s="55" t="str">
        <f>HYPERLINK("https://jobright.ai/jobs/info/6695f73bd6c4af99ae450265?utm_campaign=1062&amp;utm_source=sheet", "Apply")</f>
        <v>Apply</v>
      </c>
      <c r="C1490" s="10" t="s">
        <v>3375</v>
      </c>
      <c r="D1490" s="56" t="s">
        <v>3376</v>
      </c>
      <c r="E1490" s="10" t="s">
        <v>45</v>
      </c>
      <c r="F1490" s="10" t="s">
        <v>3377</v>
      </c>
      <c r="G1490" s="10" t="s">
        <v>2459</v>
      </c>
      <c r="H1490" s="10" t="s">
        <v>965</v>
      </c>
      <c r="I1490" s="10" t="s">
        <v>55</v>
      </c>
      <c r="J1490" s="10" t="s">
        <v>5544</v>
      </c>
      <c r="K1490" s="10" t="s">
        <v>5545</v>
      </c>
      <c r="L1490" s="10" t="s">
        <v>42</v>
      </c>
    </row>
    <row r="1491" ht="15.75" customHeight="1">
      <c r="A1491" s="64">
        <v>45489.0</v>
      </c>
      <c r="B1491" s="55" t="str">
        <f>HYPERLINK("https://jobright.ai/jobs/info/6695fd7a380a80346c6d43a5?utm_campaign=1062&amp;utm_source=sheet", "Apply")</f>
        <v>Apply</v>
      </c>
      <c r="C1491" s="10" t="s">
        <v>2919</v>
      </c>
      <c r="D1491" s="56" t="s">
        <v>5546</v>
      </c>
      <c r="E1491" s="10" t="s">
        <v>249</v>
      </c>
      <c r="F1491" s="10" t="s">
        <v>5547</v>
      </c>
      <c r="G1491" s="10" t="s">
        <v>2484</v>
      </c>
      <c r="H1491" s="10" t="s">
        <v>2909</v>
      </c>
      <c r="I1491" s="10" t="s">
        <v>55</v>
      </c>
      <c r="K1491" s="10" t="s">
        <v>5548</v>
      </c>
      <c r="L1491" s="10" t="s">
        <v>42</v>
      </c>
    </row>
    <row r="1492" ht="15.75" customHeight="1">
      <c r="A1492" s="64">
        <v>45489.0</v>
      </c>
      <c r="B1492" s="55" t="str">
        <f>HYPERLINK("https://jobright.ai/jobs/info/669691fa319174cad340ae27?utm_campaign=1062&amp;utm_source=sheet", "Apply")</f>
        <v>Apply</v>
      </c>
      <c r="C1492" s="10" t="s">
        <v>5549</v>
      </c>
      <c r="D1492" s="56" t="s">
        <v>5001</v>
      </c>
      <c r="E1492" s="10" t="s">
        <v>209</v>
      </c>
      <c r="F1492" s="10" t="s">
        <v>3124</v>
      </c>
      <c r="G1492" s="10" t="s">
        <v>2443</v>
      </c>
      <c r="H1492" s="10" t="s">
        <v>1025</v>
      </c>
      <c r="I1492" s="10" t="s">
        <v>55</v>
      </c>
      <c r="K1492" s="10" t="s">
        <v>5550</v>
      </c>
      <c r="L1492" s="10" t="s">
        <v>42</v>
      </c>
    </row>
    <row r="1493" ht="15.75" customHeight="1">
      <c r="A1493" s="64">
        <v>45489.0</v>
      </c>
      <c r="B1493" s="55" t="str">
        <f>HYPERLINK("https://jobright.ai/jobs/info/6696572652c3c9d4b390a3bd?utm_campaign=1062&amp;utm_source=sheet", "Apply")</f>
        <v>Apply</v>
      </c>
      <c r="C1493" s="10" t="s">
        <v>5551</v>
      </c>
      <c r="D1493" s="56" t="s">
        <v>2922</v>
      </c>
      <c r="E1493" s="10" t="s">
        <v>45</v>
      </c>
      <c r="F1493" s="10" t="s">
        <v>1234</v>
      </c>
      <c r="G1493" s="10" t="s">
        <v>2448</v>
      </c>
      <c r="H1493" s="10" t="s">
        <v>965</v>
      </c>
      <c r="I1493" s="10" t="s">
        <v>55</v>
      </c>
      <c r="J1493" s="10" t="s">
        <v>4117</v>
      </c>
      <c r="K1493" s="10" t="s">
        <v>5552</v>
      </c>
      <c r="L1493" s="10" t="s">
        <v>42</v>
      </c>
    </row>
    <row r="1494" ht="15.75" customHeight="1">
      <c r="A1494" s="64">
        <v>45489.0</v>
      </c>
      <c r="B1494" s="55" t="str">
        <f>HYPERLINK("https://jobright.ai/jobs/info/6695a0d6c508bc0fadf56430?utm_campaign=1062&amp;utm_source=sheet", "Apply")</f>
        <v>Apply</v>
      </c>
      <c r="C1494" s="10" t="s">
        <v>5553</v>
      </c>
      <c r="D1494" s="56" t="s">
        <v>1576</v>
      </c>
      <c r="E1494" s="10" t="s">
        <v>45</v>
      </c>
      <c r="F1494" s="10" t="s">
        <v>1577</v>
      </c>
      <c r="G1494" s="10" t="s">
        <v>2437</v>
      </c>
      <c r="H1494" s="10" t="s">
        <v>1578</v>
      </c>
      <c r="I1494" s="10" t="s">
        <v>55</v>
      </c>
      <c r="J1494" s="10" t="s">
        <v>5554</v>
      </c>
      <c r="K1494" s="10" t="s">
        <v>5555</v>
      </c>
      <c r="L1494" s="10" t="s">
        <v>42</v>
      </c>
    </row>
    <row r="1495" ht="15.75" customHeight="1">
      <c r="A1495" s="64">
        <v>45489.0</v>
      </c>
      <c r="B1495" s="55" t="str">
        <f>HYPERLINK("https://jobright.ai/jobs/info/66987a626e29d64e8d08d366?utm_campaign=1062&amp;utm_source=sheet", "Apply")</f>
        <v>Apply</v>
      </c>
      <c r="C1495" s="10" t="s">
        <v>5556</v>
      </c>
      <c r="D1495" s="56" t="s">
        <v>5557</v>
      </c>
      <c r="E1495" s="10">
        <v>4008.0</v>
      </c>
      <c r="G1495" s="10" t="s">
        <v>2443</v>
      </c>
      <c r="H1495" s="10" t="s">
        <v>661</v>
      </c>
      <c r="I1495" s="10" t="s">
        <v>55</v>
      </c>
      <c r="K1495" s="10" t="s">
        <v>5558</v>
      </c>
      <c r="L1495" s="10" t="s">
        <v>42</v>
      </c>
    </row>
    <row r="1496" ht="15.75" customHeight="1">
      <c r="A1496" s="64">
        <v>45489.0</v>
      </c>
      <c r="B1496" s="55" t="str">
        <f>HYPERLINK("https://jobright.ai/jobs/info/66987a626e29d64e8d08d38c?utm_campaign=1062&amp;utm_source=sheet", "Apply")</f>
        <v>Apply</v>
      </c>
      <c r="C1496" s="10" t="s">
        <v>5559</v>
      </c>
      <c r="D1496" s="56" t="s">
        <v>5557</v>
      </c>
      <c r="E1496" s="10">
        <v>4008.0</v>
      </c>
      <c r="G1496" s="10" t="s">
        <v>2443</v>
      </c>
      <c r="H1496" s="10" t="s">
        <v>661</v>
      </c>
      <c r="I1496" s="10" t="s">
        <v>55</v>
      </c>
      <c r="K1496" s="10" t="s">
        <v>5558</v>
      </c>
      <c r="L1496" s="10" t="s">
        <v>42</v>
      </c>
    </row>
    <row r="1497" ht="15.75" customHeight="1">
      <c r="A1497" s="64">
        <v>45489.0</v>
      </c>
      <c r="B1497" s="55" t="str">
        <f>HYPERLINK("https://jobright.ai/jobs/info/66987a6b6e29d64e8d08d3c8?utm_campaign=1062&amp;utm_source=sheet", "Apply")</f>
        <v>Apply</v>
      </c>
      <c r="C1497" s="10" t="s">
        <v>5560</v>
      </c>
      <c r="D1497" s="56" t="s">
        <v>5557</v>
      </c>
      <c r="E1497" s="10">
        <v>4008.0</v>
      </c>
      <c r="G1497" s="10" t="s">
        <v>2443</v>
      </c>
      <c r="H1497" s="10" t="s">
        <v>661</v>
      </c>
      <c r="I1497" s="10" t="s">
        <v>55</v>
      </c>
      <c r="K1497" s="10" t="s">
        <v>5558</v>
      </c>
      <c r="L1497" s="10" t="s">
        <v>42</v>
      </c>
    </row>
    <row r="1498" ht="15.75" customHeight="1">
      <c r="A1498" s="64">
        <v>45489.0</v>
      </c>
      <c r="B1498" s="55" t="str">
        <f>HYPERLINK("https://jobright.ai/jobs/info/66987a626e29d64e8d08d382?utm_campaign=1062&amp;utm_source=sheet", "Apply")</f>
        <v>Apply</v>
      </c>
      <c r="C1498" s="10" t="s">
        <v>5561</v>
      </c>
      <c r="D1498" s="56" t="s">
        <v>5557</v>
      </c>
      <c r="E1498" s="10">
        <v>4008.0</v>
      </c>
      <c r="G1498" s="10" t="s">
        <v>2443</v>
      </c>
      <c r="H1498" s="10" t="s">
        <v>661</v>
      </c>
      <c r="I1498" s="10" t="s">
        <v>55</v>
      </c>
      <c r="K1498" s="10" t="s">
        <v>5558</v>
      </c>
      <c r="L1498" s="10" t="s">
        <v>42</v>
      </c>
    </row>
    <row r="1499" ht="15.75" customHeight="1">
      <c r="A1499" s="64">
        <v>45489.0</v>
      </c>
      <c r="B1499" s="55" t="str">
        <f>HYPERLINK("https://jobright.ai/jobs/info/66987a626e29d64e8d08d365?utm_campaign=1062&amp;utm_source=sheet", "Apply")</f>
        <v>Apply</v>
      </c>
      <c r="C1499" s="10" t="s">
        <v>5562</v>
      </c>
      <c r="D1499" s="56" t="s">
        <v>5557</v>
      </c>
      <c r="E1499" s="10">
        <v>4008.0</v>
      </c>
      <c r="G1499" s="10" t="s">
        <v>2443</v>
      </c>
      <c r="H1499" s="10" t="s">
        <v>661</v>
      </c>
      <c r="I1499" s="10" t="s">
        <v>55</v>
      </c>
      <c r="K1499" s="10" t="s">
        <v>5558</v>
      </c>
      <c r="L1499" s="10" t="s">
        <v>42</v>
      </c>
    </row>
    <row r="1500" ht="15.75" customHeight="1">
      <c r="A1500" s="64">
        <v>45489.0</v>
      </c>
      <c r="B1500" s="55" t="str">
        <f>HYPERLINK("https://jobright.ai/jobs/info/66987a626e29d64e8d08d386?utm_campaign=1062&amp;utm_source=sheet", "Apply")</f>
        <v>Apply</v>
      </c>
      <c r="C1500" s="10" t="s">
        <v>5563</v>
      </c>
      <c r="D1500" s="56" t="s">
        <v>5557</v>
      </c>
      <c r="E1500" s="10">
        <v>4008.0</v>
      </c>
      <c r="G1500" s="10" t="s">
        <v>2443</v>
      </c>
      <c r="H1500" s="10" t="s">
        <v>661</v>
      </c>
      <c r="I1500" s="10" t="s">
        <v>55</v>
      </c>
      <c r="K1500" s="10" t="s">
        <v>5558</v>
      </c>
      <c r="L1500" s="10" t="s">
        <v>42</v>
      </c>
    </row>
    <row r="1501" ht="15.75" customHeight="1">
      <c r="A1501" s="64">
        <v>45489.0</v>
      </c>
      <c r="B1501" s="55" t="str">
        <f>HYPERLINK("https://jobright.ai/jobs/info/66987a626e29d64e8d08d36b?utm_campaign=1062&amp;utm_source=sheet", "Apply")</f>
        <v>Apply</v>
      </c>
      <c r="C1501" s="10" t="s">
        <v>5564</v>
      </c>
      <c r="D1501" s="56" t="s">
        <v>5557</v>
      </c>
      <c r="E1501" s="10">
        <v>4008.0</v>
      </c>
      <c r="G1501" s="10" t="s">
        <v>2443</v>
      </c>
      <c r="H1501" s="10" t="s">
        <v>661</v>
      </c>
      <c r="I1501" s="10" t="s">
        <v>55</v>
      </c>
      <c r="K1501" s="10" t="s">
        <v>5558</v>
      </c>
      <c r="L1501" s="10" t="s">
        <v>42</v>
      </c>
    </row>
    <row r="1502" ht="15.75" customHeight="1">
      <c r="A1502" s="64">
        <v>45489.0</v>
      </c>
      <c r="B1502" s="55" t="str">
        <f>HYPERLINK("https://jobright.ai/jobs/info/66987a626e29d64e8d08d354?utm_campaign=1062&amp;utm_source=sheet", "Apply")</f>
        <v>Apply</v>
      </c>
      <c r="C1502" s="10" t="s">
        <v>5565</v>
      </c>
      <c r="D1502" s="56" t="s">
        <v>5557</v>
      </c>
      <c r="E1502" s="10">
        <v>4008.0</v>
      </c>
      <c r="G1502" s="10" t="s">
        <v>2443</v>
      </c>
      <c r="H1502" s="10" t="s">
        <v>661</v>
      </c>
      <c r="I1502" s="10" t="s">
        <v>55</v>
      </c>
      <c r="K1502" s="10" t="s">
        <v>5558</v>
      </c>
      <c r="L1502" s="10" t="s">
        <v>42</v>
      </c>
    </row>
    <row r="1503" ht="15.75" customHeight="1">
      <c r="A1503" s="64">
        <v>45489.0</v>
      </c>
      <c r="B1503" s="55" t="str">
        <f>HYPERLINK("https://jobright.ai/jobs/info/66987a6b6e29d64e8d08d393?utm_campaign=1062&amp;utm_source=sheet", "Apply")</f>
        <v>Apply</v>
      </c>
      <c r="C1503" s="10" t="s">
        <v>5566</v>
      </c>
      <c r="D1503" s="56" t="s">
        <v>5557</v>
      </c>
      <c r="E1503" s="10">
        <v>4008.0</v>
      </c>
      <c r="G1503" s="10" t="s">
        <v>2443</v>
      </c>
      <c r="H1503" s="10" t="s">
        <v>661</v>
      </c>
      <c r="I1503" s="10" t="s">
        <v>55</v>
      </c>
      <c r="K1503" s="10" t="s">
        <v>5558</v>
      </c>
      <c r="L1503" s="10" t="s">
        <v>42</v>
      </c>
    </row>
    <row r="1504" ht="15.75" customHeight="1">
      <c r="A1504" s="64">
        <v>45489.0</v>
      </c>
      <c r="B1504" s="55" t="str">
        <f>HYPERLINK("https://jobright.ai/jobs/info/66987a626e29d64e8d08d38f?utm_campaign=1062&amp;utm_source=sheet", "Apply")</f>
        <v>Apply</v>
      </c>
      <c r="C1504" s="10" t="s">
        <v>5567</v>
      </c>
      <c r="D1504" s="56" t="s">
        <v>5557</v>
      </c>
      <c r="E1504" s="10">
        <v>4008.0</v>
      </c>
      <c r="G1504" s="10" t="s">
        <v>2443</v>
      </c>
      <c r="H1504" s="10" t="s">
        <v>661</v>
      </c>
      <c r="I1504" s="10" t="s">
        <v>55</v>
      </c>
      <c r="K1504" s="10" t="s">
        <v>5558</v>
      </c>
      <c r="L1504" s="10" t="s">
        <v>42</v>
      </c>
    </row>
    <row r="1505" ht="15.75" customHeight="1">
      <c r="A1505" s="64">
        <v>45489.0</v>
      </c>
      <c r="B1505" s="55" t="str">
        <f>HYPERLINK("https://jobright.ai/jobs/info/6695d3bc934fd49f80ae6b47?utm_campaign=1062&amp;utm_source=sheet", "Apply")</f>
        <v>Apply</v>
      </c>
      <c r="C1505" s="10" t="s">
        <v>5568</v>
      </c>
      <c r="D1505" s="56" t="s">
        <v>196</v>
      </c>
      <c r="E1505" s="10" t="s">
        <v>71</v>
      </c>
      <c r="F1505" s="10" t="s">
        <v>197</v>
      </c>
      <c r="G1505" s="10" t="s">
        <v>2443</v>
      </c>
      <c r="H1505" s="10" t="s">
        <v>1963</v>
      </c>
      <c r="I1505" s="10" t="s">
        <v>55</v>
      </c>
      <c r="K1505" s="10" t="s">
        <v>5569</v>
      </c>
      <c r="L1505" s="10" t="s">
        <v>42</v>
      </c>
    </row>
    <row r="1506" ht="15.75" customHeight="1">
      <c r="A1506" s="64">
        <v>45489.0</v>
      </c>
      <c r="B1506" s="55" t="str">
        <f>HYPERLINK("https://jobright.ai/jobs/info/669706c402dfa1ba1c6ea3fd?utm_campaign=1062&amp;utm_source=sheet", "Apply")</f>
        <v>Apply</v>
      </c>
      <c r="C1506" s="10" t="s">
        <v>5570</v>
      </c>
      <c r="D1506" s="56" t="s">
        <v>567</v>
      </c>
      <c r="E1506" s="10" t="s">
        <v>65</v>
      </c>
      <c r="F1506" s="10" t="s">
        <v>568</v>
      </c>
      <c r="G1506" s="10" t="s">
        <v>2448</v>
      </c>
      <c r="H1506" s="10" t="s">
        <v>152</v>
      </c>
      <c r="I1506" s="10" t="s">
        <v>55</v>
      </c>
      <c r="K1506" s="10" t="s">
        <v>3024</v>
      </c>
      <c r="L1506" s="10" t="s">
        <v>42</v>
      </c>
    </row>
    <row r="1507" ht="15.75" customHeight="1">
      <c r="A1507" s="64">
        <v>45489.0</v>
      </c>
      <c r="B1507" s="55" t="str">
        <f>HYPERLINK("https://jobright.ai/jobs/info/6695cbbdc33a502f7719aa60?utm_campaign=1062&amp;utm_source=sheet", "Apply")</f>
        <v>Apply</v>
      </c>
      <c r="C1507" s="10" t="s">
        <v>5571</v>
      </c>
      <c r="D1507" s="56" t="s">
        <v>647</v>
      </c>
      <c r="E1507" s="10" t="s">
        <v>249</v>
      </c>
      <c r="F1507" s="10" t="s">
        <v>418</v>
      </c>
      <c r="G1507" s="10" t="s">
        <v>2807</v>
      </c>
      <c r="H1507" s="10" t="s">
        <v>131</v>
      </c>
      <c r="I1507" s="10" t="s">
        <v>55</v>
      </c>
      <c r="K1507" s="10" t="s">
        <v>5572</v>
      </c>
      <c r="L1507" s="10" t="s">
        <v>42</v>
      </c>
    </row>
    <row r="1508" ht="15.75" customHeight="1">
      <c r="A1508" s="64">
        <v>45489.0</v>
      </c>
      <c r="B1508" s="55" t="str">
        <f>HYPERLINK("https://jobright.ai/jobs/info/66958f02efa204d841559e8e?utm_campaign=1062&amp;utm_source=sheet", "Apply")</f>
        <v>Apply</v>
      </c>
      <c r="C1508" s="10" t="s">
        <v>5573</v>
      </c>
      <c r="D1508" s="56" t="s">
        <v>478</v>
      </c>
      <c r="E1508" s="10" t="s">
        <v>45</v>
      </c>
      <c r="F1508" s="10" t="s">
        <v>479</v>
      </c>
      <c r="G1508" s="10" t="s">
        <v>2437</v>
      </c>
      <c r="H1508" s="10" t="s">
        <v>255</v>
      </c>
      <c r="I1508" s="10" t="s">
        <v>55</v>
      </c>
      <c r="K1508" s="10" t="s">
        <v>5574</v>
      </c>
      <c r="L1508" s="10" t="s">
        <v>42</v>
      </c>
    </row>
    <row r="1509" ht="15.75" customHeight="1">
      <c r="A1509" s="64">
        <v>45489.0</v>
      </c>
      <c r="B1509" s="55" t="str">
        <f>HYPERLINK("https://jobright.ai/jobs/info/6696d7f52d6ec406fa4f4ff0?utm_campaign=1062&amp;utm_source=sheet", "Apply")</f>
        <v>Apply</v>
      </c>
      <c r="C1509" s="10" t="s">
        <v>5575</v>
      </c>
      <c r="D1509" s="56" t="s">
        <v>5576</v>
      </c>
      <c r="E1509" s="10" t="s">
        <v>249</v>
      </c>
      <c r="F1509" s="10" t="s">
        <v>1164</v>
      </c>
      <c r="G1509" s="10" t="s">
        <v>2455</v>
      </c>
      <c r="H1509" s="10" t="s">
        <v>73</v>
      </c>
      <c r="I1509" s="10" t="s">
        <v>55</v>
      </c>
      <c r="K1509" s="10" t="s">
        <v>5577</v>
      </c>
      <c r="L1509" s="10" t="s">
        <v>42</v>
      </c>
    </row>
    <row r="1510" ht="15.75" customHeight="1">
      <c r="A1510" s="64">
        <v>45489.0</v>
      </c>
      <c r="B1510" s="55" t="str">
        <f>HYPERLINK("https://jobright.ai/jobs/info/6696dc73ca1af25a2e084d2c?utm_campaign=1062&amp;utm_source=sheet", "Apply")</f>
        <v>Apply</v>
      </c>
      <c r="C1510" s="10" t="s">
        <v>5578</v>
      </c>
      <c r="D1510" s="56" t="s">
        <v>1496</v>
      </c>
      <c r="E1510" s="10" t="s">
        <v>45</v>
      </c>
      <c r="F1510" s="10" t="s">
        <v>1497</v>
      </c>
      <c r="G1510" s="10" t="s">
        <v>2448</v>
      </c>
      <c r="H1510" s="10" t="s">
        <v>5579</v>
      </c>
      <c r="I1510" s="10" t="s">
        <v>55</v>
      </c>
      <c r="K1510" s="10" t="s">
        <v>5580</v>
      </c>
      <c r="L1510" s="10" t="s">
        <v>42</v>
      </c>
    </row>
    <row r="1511" ht="15.75" customHeight="1">
      <c r="A1511" s="64">
        <v>45489.0</v>
      </c>
      <c r="B1511" s="55" t="str">
        <f>HYPERLINK("https://jobright.ai/jobs/info/6696d7f52d6ec406fa4f5041?utm_campaign=1062&amp;utm_source=sheet", "Apply")</f>
        <v>Apply</v>
      </c>
      <c r="C1511" s="10" t="s">
        <v>5434</v>
      </c>
      <c r="D1511" s="56" t="s">
        <v>5581</v>
      </c>
      <c r="F1511" s="10" t="s">
        <v>2828</v>
      </c>
      <c r="G1511" s="10" t="s">
        <v>2484</v>
      </c>
      <c r="H1511" s="10" t="s">
        <v>5582</v>
      </c>
      <c r="I1511" s="10" t="s">
        <v>48</v>
      </c>
      <c r="K1511" s="10" t="s">
        <v>5437</v>
      </c>
      <c r="L1511" s="10" t="s">
        <v>42</v>
      </c>
    </row>
    <row r="1512" ht="15.75" customHeight="1">
      <c r="A1512" s="64">
        <v>45489.0</v>
      </c>
      <c r="B1512" s="55" t="str">
        <f>HYPERLINK("https://jobright.ai/jobs/info/66972013784b42e8367779e8?utm_campaign=1062&amp;utm_source=sheet", "Apply")</f>
        <v>Apply</v>
      </c>
      <c r="C1512" s="10" t="s">
        <v>5368</v>
      </c>
      <c r="D1512" s="56" t="s">
        <v>4233</v>
      </c>
      <c r="E1512" s="10" t="s">
        <v>65</v>
      </c>
      <c r="F1512" s="10" t="s">
        <v>1124</v>
      </c>
      <c r="G1512" s="10" t="s">
        <v>2437</v>
      </c>
      <c r="H1512" s="10" t="s">
        <v>1008</v>
      </c>
      <c r="I1512" s="10" t="s">
        <v>55</v>
      </c>
      <c r="J1512" s="10" t="s">
        <v>4234</v>
      </c>
      <c r="K1512" s="10" t="s">
        <v>5369</v>
      </c>
      <c r="L1512" s="10" t="s">
        <v>42</v>
      </c>
    </row>
    <row r="1513" ht="15.75" customHeight="1">
      <c r="A1513" s="64">
        <v>45489.0</v>
      </c>
      <c r="B1513" s="55" t="str">
        <f>HYPERLINK("https://jobright.ai/jobs/info/66972661038461c746f05177?utm_campaign=1062&amp;utm_source=sheet", "Apply")</f>
        <v>Apply</v>
      </c>
      <c r="C1513" s="10" t="s">
        <v>5583</v>
      </c>
      <c r="D1513" s="56" t="s">
        <v>5584</v>
      </c>
      <c r="E1513" s="10" t="s">
        <v>45</v>
      </c>
      <c r="F1513" s="10" t="s">
        <v>5585</v>
      </c>
      <c r="G1513" s="10" t="s">
        <v>2437</v>
      </c>
      <c r="H1513" s="10" t="s">
        <v>5586</v>
      </c>
      <c r="I1513" s="10" t="s">
        <v>55</v>
      </c>
      <c r="K1513" s="10" t="s">
        <v>5587</v>
      </c>
      <c r="L1513" s="10" t="s">
        <v>42</v>
      </c>
    </row>
    <row r="1514" ht="15.75" customHeight="1">
      <c r="A1514" s="64">
        <v>45488.0</v>
      </c>
      <c r="B1514" s="55" t="str">
        <f>HYPERLINK("https://jobright.ai/jobs/info/6695c0d027b8d0ea6ca6f080?utm_campaign=1062&amp;utm_source=sheet", "Apply")</f>
        <v>Apply</v>
      </c>
      <c r="C1514" s="10" t="s">
        <v>5588</v>
      </c>
      <c r="D1514" s="56" t="s">
        <v>538</v>
      </c>
      <c r="E1514" s="10" t="s">
        <v>65</v>
      </c>
      <c r="F1514" s="10" t="s">
        <v>539</v>
      </c>
      <c r="G1514" s="10" t="s">
        <v>2437</v>
      </c>
      <c r="H1514" s="10" t="s">
        <v>5589</v>
      </c>
      <c r="I1514" s="10" t="s">
        <v>55</v>
      </c>
      <c r="J1514" s="10" t="s">
        <v>540</v>
      </c>
      <c r="K1514" s="10" t="s">
        <v>5590</v>
      </c>
      <c r="L1514" s="10" t="s">
        <v>42</v>
      </c>
    </row>
    <row r="1515" ht="15.75" customHeight="1">
      <c r="A1515" s="64">
        <v>45488.0</v>
      </c>
      <c r="B1515" s="55" t="str">
        <f>HYPERLINK("https://jobright.ai/jobs/info/6695bb4bb961df374871a361?utm_campaign=1062&amp;utm_source=sheet", "Apply")</f>
        <v>Apply</v>
      </c>
      <c r="C1515" s="10" t="s">
        <v>5591</v>
      </c>
      <c r="D1515" s="56" t="s">
        <v>647</v>
      </c>
      <c r="E1515" s="10" t="s">
        <v>249</v>
      </c>
      <c r="F1515" s="10" t="s">
        <v>418</v>
      </c>
      <c r="G1515" s="10" t="s">
        <v>2807</v>
      </c>
      <c r="H1515" s="10" t="s">
        <v>294</v>
      </c>
      <c r="I1515" s="10" t="s">
        <v>55</v>
      </c>
      <c r="K1515" s="10" t="s">
        <v>5592</v>
      </c>
      <c r="L1515" s="10" t="s">
        <v>42</v>
      </c>
    </row>
    <row r="1516" ht="15.75" customHeight="1">
      <c r="A1516" s="64">
        <v>45488.0</v>
      </c>
      <c r="B1516" s="55" t="str">
        <f>HYPERLINK("https://jobright.ai/jobs/info/669637b2cde053b91a02c5c4?utm_campaign=1062&amp;utm_source=sheet", "Apply")</f>
        <v>Apply</v>
      </c>
      <c r="C1516" s="10" t="s">
        <v>5593</v>
      </c>
      <c r="D1516" s="58" t="s">
        <v>5594</v>
      </c>
      <c r="E1516" s="10" t="s">
        <v>276</v>
      </c>
      <c r="F1516" s="10" t="s">
        <v>228</v>
      </c>
      <c r="G1516" s="10" t="s">
        <v>2455</v>
      </c>
      <c r="H1516" s="10" t="s">
        <v>251</v>
      </c>
      <c r="I1516" s="10" t="s">
        <v>252</v>
      </c>
      <c r="K1516" s="10" t="s">
        <v>5595</v>
      </c>
      <c r="L1516" s="10" t="s">
        <v>42</v>
      </c>
    </row>
    <row r="1517" ht="15.75" customHeight="1">
      <c r="A1517" s="64">
        <v>45488.0</v>
      </c>
      <c r="B1517" s="55" t="str">
        <f>HYPERLINK("https://jobright.ai/jobs/info/6670e4898df7870dbf9210a4?utm_campaign=1062&amp;utm_source=sheet", "Apply")</f>
        <v>Apply</v>
      </c>
      <c r="C1517" s="10" t="s">
        <v>5596</v>
      </c>
      <c r="D1517" s="56" t="s">
        <v>5597</v>
      </c>
      <c r="E1517" s="10" t="s">
        <v>45</v>
      </c>
      <c r="F1517" s="10" t="s">
        <v>486</v>
      </c>
      <c r="G1517" s="10" t="s">
        <v>2470</v>
      </c>
      <c r="H1517" s="10" t="s">
        <v>4246</v>
      </c>
      <c r="I1517" s="10" t="s">
        <v>55</v>
      </c>
      <c r="J1517" s="10" t="s">
        <v>5598</v>
      </c>
      <c r="K1517" s="10" t="s">
        <v>5599</v>
      </c>
      <c r="L1517" s="10" t="s">
        <v>42</v>
      </c>
    </row>
    <row r="1518" ht="15.75" customHeight="1">
      <c r="A1518" s="64">
        <v>45488.0</v>
      </c>
      <c r="B1518" s="55" t="str">
        <f>HYPERLINK("https://jobright.ai/jobs/info/6695b14221dec4e19a1a32a5?utm_campaign=1062&amp;utm_source=sheet", "Apply")</f>
        <v>Apply</v>
      </c>
      <c r="C1518" s="10" t="s">
        <v>5600</v>
      </c>
      <c r="D1518" s="56" t="s">
        <v>5601</v>
      </c>
      <c r="E1518" s="10" t="s">
        <v>65</v>
      </c>
      <c r="F1518" s="10" t="s">
        <v>5602</v>
      </c>
      <c r="G1518" s="10" t="s">
        <v>2459</v>
      </c>
      <c r="H1518" s="10" t="s">
        <v>299</v>
      </c>
      <c r="I1518" s="10" t="s">
        <v>55</v>
      </c>
      <c r="K1518" s="10" t="s">
        <v>5603</v>
      </c>
      <c r="L1518" s="10" t="s">
        <v>42</v>
      </c>
    </row>
    <row r="1519" ht="15.75" customHeight="1">
      <c r="A1519" s="64">
        <v>45488.0</v>
      </c>
      <c r="B1519" s="55" t="str">
        <f>HYPERLINK("https://jobright.ai/jobs/info/6677bd5a27c0e726e8f4e927?utm_campaign=1062&amp;utm_source=sheet", "Apply")</f>
        <v>Apply</v>
      </c>
      <c r="C1519" s="10" t="s">
        <v>5604</v>
      </c>
      <c r="D1519" s="56" t="s">
        <v>3620</v>
      </c>
      <c r="E1519" s="10" t="s">
        <v>65</v>
      </c>
      <c r="F1519" s="10" t="s">
        <v>3621</v>
      </c>
      <c r="G1519" s="10" t="s">
        <v>2495</v>
      </c>
      <c r="H1519" s="10" t="s">
        <v>3622</v>
      </c>
      <c r="I1519" s="10" t="s">
        <v>55</v>
      </c>
      <c r="K1519" s="10" t="s">
        <v>4622</v>
      </c>
      <c r="L1519" s="10" t="s">
        <v>42</v>
      </c>
    </row>
    <row r="1520" ht="15.75" customHeight="1">
      <c r="A1520" s="64">
        <v>45488.0</v>
      </c>
      <c r="B1520" s="55" t="str">
        <f>HYPERLINK("https://jobright.ai/jobs/info/6695b2898ab1c2f1e1d3ac0c?utm_campaign=1062&amp;utm_source=sheet", "Apply")</f>
        <v>Apply</v>
      </c>
      <c r="C1520" s="10" t="s">
        <v>5605</v>
      </c>
      <c r="D1520" s="56" t="s">
        <v>643</v>
      </c>
      <c r="E1520" s="10" t="s">
        <v>79</v>
      </c>
      <c r="F1520" s="10" t="s">
        <v>644</v>
      </c>
      <c r="G1520" s="10" t="s">
        <v>2509</v>
      </c>
      <c r="H1520" s="10" t="s">
        <v>113</v>
      </c>
      <c r="I1520" s="10" t="s">
        <v>48</v>
      </c>
      <c r="K1520" s="10" t="s">
        <v>5606</v>
      </c>
      <c r="L1520" s="10" t="s">
        <v>42</v>
      </c>
    </row>
    <row r="1521" ht="15.75" customHeight="1">
      <c r="A1521" s="64">
        <v>45488.0</v>
      </c>
      <c r="B1521" s="55" t="str">
        <f>HYPERLINK("https://jobright.ai/jobs/info/6695b2938ab1c2f1e1d3ac26?utm_campaign=1062&amp;utm_source=sheet", "Apply")</f>
        <v>Apply</v>
      </c>
      <c r="C1521" s="10" t="s">
        <v>5607</v>
      </c>
      <c r="D1521" s="56" t="s">
        <v>643</v>
      </c>
      <c r="E1521" s="10" t="s">
        <v>79</v>
      </c>
      <c r="F1521" s="10" t="s">
        <v>644</v>
      </c>
      <c r="G1521" s="10" t="s">
        <v>2448</v>
      </c>
      <c r="H1521" s="10" t="s">
        <v>113</v>
      </c>
      <c r="I1521" s="10" t="s">
        <v>48</v>
      </c>
      <c r="K1521" s="10" t="s">
        <v>5608</v>
      </c>
      <c r="L1521" s="10" t="s">
        <v>42</v>
      </c>
    </row>
    <row r="1522" ht="15.75" customHeight="1">
      <c r="A1522" s="64">
        <v>45488.0</v>
      </c>
      <c r="B1522" s="55" t="str">
        <f>HYPERLINK("https://jobright.ai/jobs/info/6695c0d027b8d0ea6ca6f030?utm_campaign=1062&amp;utm_source=sheet", "Apply")</f>
        <v>Apply</v>
      </c>
      <c r="C1522" s="10" t="s">
        <v>5609</v>
      </c>
      <c r="D1522" s="56" t="s">
        <v>643</v>
      </c>
      <c r="E1522" s="10" t="s">
        <v>79</v>
      </c>
      <c r="F1522" s="10" t="s">
        <v>644</v>
      </c>
      <c r="G1522" s="10" t="s">
        <v>3733</v>
      </c>
      <c r="H1522" s="10" t="s">
        <v>113</v>
      </c>
      <c r="I1522" s="10" t="s">
        <v>55</v>
      </c>
      <c r="K1522" s="10" t="s">
        <v>5610</v>
      </c>
      <c r="L1522" s="10" t="s">
        <v>42</v>
      </c>
    </row>
    <row r="1523" ht="15.75" customHeight="1">
      <c r="A1523" s="64">
        <v>45488.0</v>
      </c>
      <c r="B1523" s="55" t="str">
        <f>HYPERLINK("https://jobright.ai/jobs/info/6695b2ae8ab1c2f1e1d3aebe?utm_campaign=1062&amp;utm_source=sheet", "Apply")</f>
        <v>Apply</v>
      </c>
      <c r="C1523" s="10" t="s">
        <v>5611</v>
      </c>
      <c r="D1523" s="56" t="s">
        <v>567</v>
      </c>
      <c r="E1523" s="10" t="s">
        <v>65</v>
      </c>
      <c r="F1523" s="10" t="s">
        <v>568</v>
      </c>
      <c r="G1523" s="10" t="s">
        <v>2448</v>
      </c>
      <c r="H1523" s="10" t="s">
        <v>914</v>
      </c>
      <c r="I1523" s="10" t="s">
        <v>55</v>
      </c>
      <c r="K1523" s="10" t="s">
        <v>4614</v>
      </c>
      <c r="L1523" s="10" t="s">
        <v>42</v>
      </c>
    </row>
    <row r="1524" ht="15.75" customHeight="1">
      <c r="A1524" s="64">
        <v>45488.0</v>
      </c>
      <c r="B1524" s="55" t="str">
        <f>HYPERLINK("https://jobright.ai/jobs/info/6695b2ae8ab1c2f1e1d3aebf?utm_campaign=1062&amp;utm_source=sheet", "Apply")</f>
        <v>Apply</v>
      </c>
      <c r="C1524" s="10" t="s">
        <v>5611</v>
      </c>
      <c r="D1524" s="56" t="s">
        <v>567</v>
      </c>
      <c r="E1524" s="10" t="s">
        <v>65</v>
      </c>
      <c r="F1524" s="10" t="s">
        <v>568</v>
      </c>
      <c r="G1524" s="10" t="s">
        <v>2448</v>
      </c>
      <c r="H1524" s="10" t="s">
        <v>788</v>
      </c>
      <c r="I1524" s="10" t="s">
        <v>55</v>
      </c>
      <c r="K1524" s="10" t="s">
        <v>4614</v>
      </c>
      <c r="L1524" s="10" t="s">
        <v>42</v>
      </c>
    </row>
    <row r="1525" ht="15.75" customHeight="1">
      <c r="A1525" s="64">
        <v>45488.0</v>
      </c>
      <c r="B1525" s="55" t="str">
        <f>HYPERLINK("https://jobright.ai/jobs/info/6695b2ae8ab1c2f1e1d3aec1?utm_campaign=1062&amp;utm_source=sheet", "Apply")</f>
        <v>Apply</v>
      </c>
      <c r="C1525" s="10" t="s">
        <v>5611</v>
      </c>
      <c r="D1525" s="56" t="s">
        <v>567</v>
      </c>
      <c r="E1525" s="10" t="s">
        <v>65</v>
      </c>
      <c r="F1525" s="10" t="s">
        <v>568</v>
      </c>
      <c r="G1525" s="10" t="s">
        <v>2448</v>
      </c>
      <c r="H1525" s="10" t="s">
        <v>949</v>
      </c>
      <c r="I1525" s="10" t="s">
        <v>55</v>
      </c>
      <c r="K1525" s="10" t="s">
        <v>4614</v>
      </c>
      <c r="L1525" s="10" t="s">
        <v>42</v>
      </c>
    </row>
    <row r="1526" ht="15.75" customHeight="1">
      <c r="A1526" s="64">
        <v>45488.0</v>
      </c>
      <c r="B1526" s="55" t="str">
        <f>HYPERLINK("https://jobright.ai/jobs/info/6695b0dea8378444645394d9?utm_campaign=1062&amp;utm_source=sheet", "Apply")</f>
        <v>Apply</v>
      </c>
      <c r="C1526" s="10" t="s">
        <v>5612</v>
      </c>
      <c r="D1526" s="56" t="s">
        <v>567</v>
      </c>
      <c r="E1526" s="10" t="s">
        <v>65</v>
      </c>
      <c r="F1526" s="10" t="s">
        <v>568</v>
      </c>
      <c r="G1526" s="10" t="s">
        <v>2448</v>
      </c>
      <c r="H1526" s="10" t="s">
        <v>131</v>
      </c>
      <c r="I1526" s="10" t="s">
        <v>55</v>
      </c>
      <c r="K1526" s="10" t="s">
        <v>3024</v>
      </c>
      <c r="L1526" s="10" t="s">
        <v>42</v>
      </c>
    </row>
    <row r="1527" ht="15.75" customHeight="1">
      <c r="A1527" s="64">
        <v>45488.0</v>
      </c>
      <c r="B1527" s="55" t="str">
        <f>HYPERLINK("https://jobright.ai/jobs/info/6695b0dea8378444645394dc?utm_campaign=1062&amp;utm_source=sheet", "Apply")</f>
        <v>Apply</v>
      </c>
      <c r="C1527" s="10" t="s">
        <v>5611</v>
      </c>
      <c r="D1527" s="56" t="s">
        <v>567</v>
      </c>
      <c r="E1527" s="10" t="s">
        <v>65</v>
      </c>
      <c r="F1527" s="10" t="s">
        <v>568</v>
      </c>
      <c r="G1527" s="10" t="s">
        <v>2448</v>
      </c>
      <c r="H1527" s="10" t="s">
        <v>994</v>
      </c>
      <c r="I1527" s="10" t="s">
        <v>55</v>
      </c>
      <c r="K1527" s="10" t="s">
        <v>4614</v>
      </c>
      <c r="L1527" s="10" t="s">
        <v>42</v>
      </c>
    </row>
    <row r="1528" ht="15.75" customHeight="1">
      <c r="A1528" s="64">
        <v>45488.0</v>
      </c>
      <c r="B1528" s="55" t="str">
        <f>HYPERLINK("https://jobright.ai/jobs/info/6695b0dea8378444645394dd?utm_campaign=1062&amp;utm_source=sheet", "Apply")</f>
        <v>Apply</v>
      </c>
      <c r="C1528" s="10" t="s">
        <v>5611</v>
      </c>
      <c r="D1528" s="56" t="s">
        <v>567</v>
      </c>
      <c r="E1528" s="10" t="s">
        <v>65</v>
      </c>
      <c r="F1528" s="10" t="s">
        <v>568</v>
      </c>
      <c r="G1528" s="10" t="s">
        <v>2448</v>
      </c>
      <c r="H1528" s="10" t="s">
        <v>152</v>
      </c>
      <c r="I1528" s="10" t="s">
        <v>55</v>
      </c>
      <c r="K1528" s="10" t="s">
        <v>4614</v>
      </c>
      <c r="L1528" s="10" t="s">
        <v>42</v>
      </c>
    </row>
    <row r="1529" ht="15.75" customHeight="1">
      <c r="A1529" s="64">
        <v>45488.0</v>
      </c>
      <c r="B1529" s="55" t="str">
        <f>HYPERLINK("https://jobright.ai/jobs/info/6695bb66b961df374871a570?utm_campaign=1062&amp;utm_source=sheet", "Apply")</f>
        <v>Apply</v>
      </c>
      <c r="C1529" s="10" t="s">
        <v>5612</v>
      </c>
      <c r="D1529" s="56" t="s">
        <v>567</v>
      </c>
      <c r="E1529" s="10" t="s">
        <v>65</v>
      </c>
      <c r="F1529" s="10" t="s">
        <v>568</v>
      </c>
      <c r="G1529" s="10" t="s">
        <v>2448</v>
      </c>
      <c r="H1529" s="10" t="s">
        <v>810</v>
      </c>
      <c r="I1529" s="10" t="s">
        <v>55</v>
      </c>
      <c r="K1529" s="10" t="s">
        <v>3024</v>
      </c>
      <c r="L1529" s="10" t="s">
        <v>42</v>
      </c>
    </row>
    <row r="1530" ht="15.75" customHeight="1">
      <c r="A1530" s="64">
        <v>45488.0</v>
      </c>
      <c r="B1530" s="55" t="str">
        <f>HYPERLINK("https://jobright.ai/jobs/info/6695f2e35a520c9840838596?utm_campaign=1062&amp;utm_source=sheet", "Apply")</f>
        <v>Apply</v>
      </c>
      <c r="C1530" s="10" t="s">
        <v>5613</v>
      </c>
      <c r="D1530" s="56" t="s">
        <v>1576</v>
      </c>
      <c r="E1530" s="10" t="s">
        <v>45</v>
      </c>
      <c r="F1530" s="10" t="s">
        <v>1577</v>
      </c>
      <c r="G1530" s="10" t="s">
        <v>2484</v>
      </c>
      <c r="H1530" s="10" t="s">
        <v>5614</v>
      </c>
      <c r="I1530" s="10" t="s">
        <v>55</v>
      </c>
      <c r="J1530" s="10" t="s">
        <v>5615</v>
      </c>
      <c r="K1530" s="10" t="s">
        <v>5555</v>
      </c>
      <c r="L1530" s="10" t="s">
        <v>42</v>
      </c>
    </row>
    <row r="1531" ht="15.75" customHeight="1">
      <c r="A1531" s="64">
        <v>45488.0</v>
      </c>
      <c r="B1531" s="55" t="str">
        <f>HYPERLINK("https://jobright.ai/jobs/info/6695c4c92827ecd0c0056b8a?utm_campaign=1062&amp;utm_source=sheet", "Apply")</f>
        <v>Apply</v>
      </c>
      <c r="C1531" s="10" t="s">
        <v>5612</v>
      </c>
      <c r="D1531" s="56" t="s">
        <v>567</v>
      </c>
      <c r="E1531" s="10" t="s">
        <v>65</v>
      </c>
      <c r="F1531" s="10" t="s">
        <v>568</v>
      </c>
      <c r="G1531" s="10" t="s">
        <v>2448</v>
      </c>
      <c r="H1531" s="10" t="s">
        <v>5616</v>
      </c>
      <c r="I1531" s="10" t="s">
        <v>55</v>
      </c>
      <c r="K1531" s="10" t="s">
        <v>3024</v>
      </c>
      <c r="L1531" s="10" t="s">
        <v>42</v>
      </c>
    </row>
    <row r="1532" ht="15.75" customHeight="1">
      <c r="A1532" s="64">
        <v>45488.0</v>
      </c>
      <c r="B1532" s="55" t="str">
        <f>HYPERLINK("https://jobright.ai/jobs/info/6695c4c92827ecd0c0056b89?utm_campaign=1062&amp;utm_source=sheet", "Apply")</f>
        <v>Apply</v>
      </c>
      <c r="C1532" s="10" t="s">
        <v>5612</v>
      </c>
      <c r="D1532" s="56" t="s">
        <v>567</v>
      </c>
      <c r="E1532" s="10" t="s">
        <v>65</v>
      </c>
      <c r="F1532" s="10" t="s">
        <v>568</v>
      </c>
      <c r="G1532" s="10" t="s">
        <v>2448</v>
      </c>
      <c r="H1532" s="10" t="s">
        <v>1978</v>
      </c>
      <c r="I1532" s="10" t="s">
        <v>55</v>
      </c>
      <c r="K1532" s="10" t="s">
        <v>3024</v>
      </c>
      <c r="L1532" s="10" t="s">
        <v>42</v>
      </c>
    </row>
    <row r="1533" ht="15.75" customHeight="1">
      <c r="A1533" s="64">
        <v>45488.0</v>
      </c>
      <c r="B1533" s="55" t="str">
        <f>HYPERLINK("https://jobright.ai/jobs/info/6695a0cdc508bc0fadf563e3?utm_campaign=1062&amp;utm_source=sheet", "Apply")</f>
        <v>Apply</v>
      </c>
      <c r="C1533" s="10" t="s">
        <v>5612</v>
      </c>
      <c r="D1533" s="56" t="s">
        <v>567</v>
      </c>
      <c r="E1533" s="10" t="s">
        <v>65</v>
      </c>
      <c r="F1533" s="10" t="s">
        <v>568</v>
      </c>
      <c r="G1533" s="10" t="s">
        <v>2448</v>
      </c>
      <c r="H1533" s="10" t="s">
        <v>628</v>
      </c>
      <c r="I1533" s="10" t="s">
        <v>55</v>
      </c>
      <c r="K1533" s="10" t="s">
        <v>3024</v>
      </c>
      <c r="L1533" s="10" t="s">
        <v>42</v>
      </c>
    </row>
    <row r="1534" ht="15.75" customHeight="1">
      <c r="A1534" s="64">
        <v>45488.0</v>
      </c>
      <c r="B1534" s="55" t="str">
        <f>HYPERLINK("https://jobright.ai/jobs/info/6695a3741b8cfc1943fa9a16?utm_campaign=1062&amp;utm_source=sheet", "Apply")</f>
        <v>Apply</v>
      </c>
      <c r="C1534" s="10" t="s">
        <v>5611</v>
      </c>
      <c r="D1534" s="56" t="s">
        <v>567</v>
      </c>
      <c r="E1534" s="10" t="s">
        <v>65</v>
      </c>
      <c r="F1534" s="10" t="s">
        <v>568</v>
      </c>
      <c r="G1534" s="10" t="s">
        <v>2448</v>
      </c>
      <c r="H1534" s="10" t="s">
        <v>872</v>
      </c>
      <c r="I1534" s="10" t="s">
        <v>55</v>
      </c>
      <c r="K1534" s="10" t="s">
        <v>4614</v>
      </c>
      <c r="L1534" s="10" t="s">
        <v>42</v>
      </c>
    </row>
    <row r="1535" ht="15.75" customHeight="1">
      <c r="A1535" s="64">
        <v>45488.0</v>
      </c>
      <c r="B1535" s="55" t="str">
        <f>HYPERLINK("https://jobright.ai/jobs/info/6695a3861b8cfc1943fa9bc9?utm_campaign=1062&amp;utm_source=sheet", "Apply")</f>
        <v>Apply</v>
      </c>
      <c r="C1535" s="10" t="s">
        <v>5612</v>
      </c>
      <c r="D1535" s="56" t="s">
        <v>567</v>
      </c>
      <c r="E1535" s="10" t="s">
        <v>65</v>
      </c>
      <c r="F1535" s="10" t="s">
        <v>568</v>
      </c>
      <c r="G1535" s="10" t="s">
        <v>2448</v>
      </c>
      <c r="H1535" s="10" t="s">
        <v>152</v>
      </c>
      <c r="I1535" s="10" t="s">
        <v>55</v>
      </c>
      <c r="K1535" s="10" t="s">
        <v>3024</v>
      </c>
      <c r="L1535" s="10" t="s">
        <v>42</v>
      </c>
    </row>
    <row r="1536" ht="15.75" customHeight="1">
      <c r="A1536" s="64">
        <v>45488.0</v>
      </c>
      <c r="B1536" s="55" t="str">
        <f>HYPERLINK("https://jobright.ai/jobs/info/6695a67dedeaa1f1d405bcd1?utm_campaign=1062&amp;utm_source=sheet", "Apply")</f>
        <v>Apply</v>
      </c>
      <c r="C1536" s="10" t="s">
        <v>5617</v>
      </c>
      <c r="D1536" s="56" t="s">
        <v>1576</v>
      </c>
      <c r="E1536" s="10" t="s">
        <v>45</v>
      </c>
      <c r="F1536" s="10" t="s">
        <v>1577</v>
      </c>
      <c r="G1536" s="10" t="s">
        <v>2470</v>
      </c>
      <c r="H1536" s="10" t="s">
        <v>5614</v>
      </c>
      <c r="I1536" s="10" t="s">
        <v>55</v>
      </c>
      <c r="J1536" s="10" t="s">
        <v>5554</v>
      </c>
      <c r="K1536" s="10" t="s">
        <v>5618</v>
      </c>
      <c r="L1536" s="10" t="s">
        <v>42</v>
      </c>
    </row>
    <row r="1537" ht="15.75" customHeight="1">
      <c r="A1537" s="64">
        <v>45488.0</v>
      </c>
      <c r="B1537" s="55" t="str">
        <f>HYPERLINK("https://jobright.ai/jobs/info/6695b54bce96cead8e705c96?utm_campaign=1062&amp;utm_source=sheet", "Apply")</f>
        <v>Apply</v>
      </c>
      <c r="C1537" s="10" t="s">
        <v>5619</v>
      </c>
      <c r="D1537" s="56" t="s">
        <v>1576</v>
      </c>
      <c r="E1537" s="10" t="s">
        <v>45</v>
      </c>
      <c r="F1537" s="10" t="s">
        <v>1577</v>
      </c>
      <c r="G1537" s="10" t="s">
        <v>2484</v>
      </c>
      <c r="H1537" s="10" t="s">
        <v>1578</v>
      </c>
      <c r="I1537" s="10" t="s">
        <v>55</v>
      </c>
      <c r="J1537" s="10" t="s">
        <v>5554</v>
      </c>
      <c r="K1537" s="10" t="s">
        <v>5620</v>
      </c>
      <c r="L1537" s="10" t="s">
        <v>42</v>
      </c>
    </row>
    <row r="1538" ht="15.75" customHeight="1">
      <c r="A1538" s="64">
        <v>45488.0</v>
      </c>
      <c r="B1538" s="55" t="str">
        <f>HYPERLINK("https://jobright.ai/jobs/info/66959b8fa70b2fb207aed7e3?utm_campaign=1062&amp;utm_source=sheet", "Apply")</f>
        <v>Apply</v>
      </c>
      <c r="C1538" s="10" t="s">
        <v>5621</v>
      </c>
      <c r="D1538" s="56" t="s">
        <v>1576</v>
      </c>
      <c r="E1538" s="10" t="s">
        <v>45</v>
      </c>
      <c r="F1538" s="10" t="s">
        <v>1577</v>
      </c>
      <c r="G1538" s="10" t="s">
        <v>2484</v>
      </c>
      <c r="H1538" s="10" t="s">
        <v>5622</v>
      </c>
      <c r="I1538" s="10" t="s">
        <v>55</v>
      </c>
      <c r="J1538" s="10" t="s">
        <v>5623</v>
      </c>
      <c r="K1538" s="10" t="s">
        <v>5620</v>
      </c>
      <c r="L1538" s="10" t="s">
        <v>42</v>
      </c>
    </row>
    <row r="1539" ht="15.75" customHeight="1">
      <c r="A1539" s="64">
        <v>45488.0</v>
      </c>
      <c r="B1539" s="55" t="str">
        <f>HYPERLINK("https://jobright.ai/jobs/info/66959b8fa70b2fb207aed828?utm_campaign=1062&amp;utm_source=sheet", "Apply")</f>
        <v>Apply</v>
      </c>
      <c r="C1539" s="10" t="s">
        <v>5624</v>
      </c>
      <c r="D1539" s="56" t="s">
        <v>1576</v>
      </c>
      <c r="E1539" s="10" t="s">
        <v>45</v>
      </c>
      <c r="F1539" s="10" t="s">
        <v>1577</v>
      </c>
      <c r="G1539" s="10" t="s">
        <v>2484</v>
      </c>
      <c r="H1539" s="10" t="s">
        <v>1578</v>
      </c>
      <c r="I1539" s="10" t="s">
        <v>55</v>
      </c>
      <c r="J1539" s="10" t="s">
        <v>5625</v>
      </c>
      <c r="K1539" s="10" t="s">
        <v>5626</v>
      </c>
      <c r="L1539" s="10" t="s">
        <v>42</v>
      </c>
    </row>
    <row r="1540" ht="15.75" customHeight="1">
      <c r="A1540" s="64">
        <v>45488.0</v>
      </c>
      <c r="B1540" s="55" t="str">
        <f>HYPERLINK("https://jobright.ai/jobs/info/66959b8fa70b2fb207aed870?utm_campaign=1062&amp;utm_source=sheet", "Apply")</f>
        <v>Apply</v>
      </c>
      <c r="C1540" s="10" t="s">
        <v>5627</v>
      </c>
      <c r="D1540" s="56" t="s">
        <v>1576</v>
      </c>
      <c r="E1540" s="10" t="s">
        <v>45</v>
      </c>
      <c r="F1540" s="10" t="s">
        <v>1577</v>
      </c>
      <c r="G1540" s="10" t="s">
        <v>2484</v>
      </c>
      <c r="H1540" s="10" t="s">
        <v>1578</v>
      </c>
      <c r="I1540" s="10" t="s">
        <v>55</v>
      </c>
      <c r="J1540" s="10" t="s">
        <v>5628</v>
      </c>
      <c r="K1540" s="10" t="s">
        <v>5629</v>
      </c>
      <c r="L1540" s="10" t="s">
        <v>42</v>
      </c>
    </row>
    <row r="1541" ht="15.75" customHeight="1">
      <c r="A1541" s="64">
        <v>45488.0</v>
      </c>
      <c r="B1541" s="55" t="str">
        <f>HYPERLINK("https://jobright.ai/jobs/info/6695a261269fbf3bad980b10?utm_campaign=1062&amp;utm_source=sheet", "Apply")</f>
        <v>Apply</v>
      </c>
      <c r="C1541" s="10" t="s">
        <v>5630</v>
      </c>
      <c r="D1541" s="56" t="s">
        <v>5631</v>
      </c>
      <c r="E1541" s="10" t="s">
        <v>45</v>
      </c>
      <c r="F1541" s="10" t="s">
        <v>5632</v>
      </c>
      <c r="G1541" s="10" t="s">
        <v>2484</v>
      </c>
      <c r="H1541" s="10" t="s">
        <v>131</v>
      </c>
      <c r="I1541" s="10" t="s">
        <v>55</v>
      </c>
      <c r="K1541" s="10" t="s">
        <v>5633</v>
      </c>
      <c r="L1541" s="10" t="s">
        <v>42</v>
      </c>
    </row>
    <row r="1542" ht="15.75" customHeight="1">
      <c r="A1542" s="64">
        <v>45488.0</v>
      </c>
      <c r="B1542" s="55" t="str">
        <f>HYPERLINK("https://jobright.ai/jobs/info/6695a261269fbf3bad980b0a?utm_campaign=1062&amp;utm_source=sheet", "Apply")</f>
        <v>Apply</v>
      </c>
      <c r="C1542" s="10" t="s">
        <v>5634</v>
      </c>
      <c r="D1542" s="56" t="s">
        <v>4592</v>
      </c>
      <c r="E1542" s="10" t="s">
        <v>65</v>
      </c>
      <c r="F1542" s="10" t="s">
        <v>4593</v>
      </c>
      <c r="G1542" s="10" t="s">
        <v>2495</v>
      </c>
      <c r="H1542" s="10" t="s">
        <v>106</v>
      </c>
      <c r="I1542" s="10" t="s">
        <v>55</v>
      </c>
      <c r="K1542" s="10" t="s">
        <v>5635</v>
      </c>
      <c r="L1542" s="10" t="s">
        <v>42</v>
      </c>
    </row>
    <row r="1543" ht="15.75" customHeight="1">
      <c r="A1543" s="64">
        <v>45488.0</v>
      </c>
      <c r="B1543" s="55" t="str">
        <f>HYPERLINK("https://jobright.ai/jobs/info/669590f507786520386b5e7b?utm_campaign=1062&amp;utm_source=sheet", "Apply")</f>
        <v>Apply</v>
      </c>
      <c r="C1543" s="10" t="s">
        <v>5199</v>
      </c>
      <c r="D1543" s="56" t="s">
        <v>5636</v>
      </c>
      <c r="E1543" s="10" t="s">
        <v>45</v>
      </c>
      <c r="F1543" s="10" t="s">
        <v>5637</v>
      </c>
      <c r="G1543" s="10" t="s">
        <v>2448</v>
      </c>
      <c r="H1543" s="10" t="s">
        <v>159</v>
      </c>
      <c r="I1543" s="10" t="s">
        <v>55</v>
      </c>
      <c r="K1543" s="10" t="s">
        <v>5638</v>
      </c>
      <c r="L1543" s="10" t="s">
        <v>42</v>
      </c>
    </row>
    <row r="1544" ht="15.75" customHeight="1">
      <c r="A1544" s="64">
        <v>45488.0</v>
      </c>
      <c r="B1544" s="55" t="str">
        <f>HYPERLINK("https://jobright.ai/jobs/info/669597644f512a27958181af?utm_campaign=1062&amp;utm_source=sheet", "Apply")</f>
        <v>Apply</v>
      </c>
      <c r="C1544" s="10" t="s">
        <v>5639</v>
      </c>
      <c r="D1544" s="56" t="s">
        <v>5640</v>
      </c>
      <c r="E1544" s="10">
        <v>42622.0</v>
      </c>
      <c r="G1544" s="10" t="s">
        <v>2448</v>
      </c>
      <c r="H1544" s="10" t="s">
        <v>1309</v>
      </c>
      <c r="I1544" s="10" t="s">
        <v>55</v>
      </c>
      <c r="K1544" s="10" t="s">
        <v>5641</v>
      </c>
      <c r="L1544" s="10" t="s">
        <v>42</v>
      </c>
    </row>
    <row r="1545" ht="15.75" customHeight="1">
      <c r="A1545" s="64">
        <v>45488.0</v>
      </c>
      <c r="B1545" s="55" t="str">
        <f>HYPERLINK("https://jobright.ai/jobs/info/66958eb87161742708245c81?utm_campaign=1062&amp;utm_source=sheet", "Apply")</f>
        <v>Apply</v>
      </c>
      <c r="C1545" s="10" t="s">
        <v>301</v>
      </c>
      <c r="D1545" s="56" t="s">
        <v>3850</v>
      </c>
      <c r="E1545" s="10" t="s">
        <v>137</v>
      </c>
      <c r="F1545" s="10" t="s">
        <v>3851</v>
      </c>
      <c r="G1545" s="10" t="s">
        <v>2448</v>
      </c>
      <c r="H1545" s="10" t="s">
        <v>5642</v>
      </c>
      <c r="I1545" s="10" t="s">
        <v>55</v>
      </c>
      <c r="K1545" s="10" t="s">
        <v>5643</v>
      </c>
      <c r="L1545" s="10" t="s">
        <v>42</v>
      </c>
    </row>
    <row r="1546" ht="15.75" customHeight="1">
      <c r="A1546" s="64">
        <v>45488.0</v>
      </c>
      <c r="B1546" s="55" t="str">
        <f>HYPERLINK("https://jobright.ai/jobs/info/6695f61fcc2e2ca53f1ed277?utm_campaign=1062&amp;utm_source=sheet", "Apply")</f>
        <v>Apply</v>
      </c>
      <c r="C1546" s="10" t="s">
        <v>5644</v>
      </c>
      <c r="D1546" s="56" t="s">
        <v>5645</v>
      </c>
      <c r="E1546" s="10" t="s">
        <v>65</v>
      </c>
      <c r="G1546" s="10" t="s">
        <v>2448</v>
      </c>
      <c r="H1546" s="10" t="s">
        <v>5646</v>
      </c>
      <c r="I1546" s="10" t="s">
        <v>55</v>
      </c>
      <c r="J1546" s="10" t="s">
        <v>5647</v>
      </c>
      <c r="K1546" s="10" t="s">
        <v>5648</v>
      </c>
      <c r="L1546" s="10" t="s">
        <v>42</v>
      </c>
    </row>
    <row r="1547" ht="15.75" customHeight="1">
      <c r="A1547" s="64">
        <v>45488.0</v>
      </c>
      <c r="B1547" s="55" t="str">
        <f>HYPERLINK("https://jobright.ai/jobs/info/66956ecb2d649a705cfa78e4?utm_campaign=1062&amp;utm_source=sheet", "Apply")</f>
        <v>Apply</v>
      </c>
      <c r="C1547" s="10" t="s">
        <v>3991</v>
      </c>
      <c r="D1547" s="56" t="s">
        <v>1563</v>
      </c>
      <c r="E1547" s="59">
        <v>45301.0</v>
      </c>
      <c r="F1547" s="10" t="s">
        <v>1564</v>
      </c>
      <c r="G1547" s="10" t="s">
        <v>2448</v>
      </c>
      <c r="H1547" s="10" t="s">
        <v>1565</v>
      </c>
      <c r="I1547" s="10" t="s">
        <v>55</v>
      </c>
      <c r="J1547" s="10" t="s">
        <v>3992</v>
      </c>
      <c r="K1547" s="10" t="s">
        <v>5649</v>
      </c>
      <c r="L1547" s="10" t="s">
        <v>42</v>
      </c>
    </row>
    <row r="1548" ht="15.75" customHeight="1">
      <c r="A1548" s="64">
        <v>45488.0</v>
      </c>
      <c r="B1548" s="55" t="str">
        <f>HYPERLINK("https://jobright.ai/jobs/info/66956ed32d649a705cfa7953?utm_campaign=1062&amp;utm_source=sheet", "Apply")</f>
        <v>Apply</v>
      </c>
      <c r="C1548" s="10" t="s">
        <v>5650</v>
      </c>
      <c r="D1548" s="56" t="s">
        <v>5651</v>
      </c>
      <c r="E1548" s="10" t="s">
        <v>71</v>
      </c>
      <c r="F1548" s="10" t="s">
        <v>5652</v>
      </c>
      <c r="G1548" s="10" t="s">
        <v>2437</v>
      </c>
      <c r="H1548" s="10" t="s">
        <v>776</v>
      </c>
      <c r="I1548" s="10" t="s">
        <v>55</v>
      </c>
      <c r="K1548" s="10" t="s">
        <v>5653</v>
      </c>
      <c r="L1548" s="10" t="s">
        <v>42</v>
      </c>
    </row>
    <row r="1549" ht="15.75" customHeight="1">
      <c r="A1549" s="64">
        <v>45488.0</v>
      </c>
      <c r="B1549" s="55" t="str">
        <f>HYPERLINK("https://jobright.ai/jobs/info/66956edb2d649a705cfa79c5?utm_campaign=1062&amp;utm_source=sheet", "Apply")</f>
        <v>Apply</v>
      </c>
      <c r="C1549" s="10" t="s">
        <v>5654</v>
      </c>
      <c r="D1549" s="56" t="s">
        <v>5130</v>
      </c>
      <c r="E1549" s="10" t="s">
        <v>65</v>
      </c>
      <c r="F1549" s="10" t="s">
        <v>331</v>
      </c>
      <c r="G1549" s="10" t="s">
        <v>2448</v>
      </c>
      <c r="H1549" s="10" t="s">
        <v>5655</v>
      </c>
      <c r="I1549" s="10" t="s">
        <v>48</v>
      </c>
      <c r="J1549" s="10" t="s">
        <v>2609</v>
      </c>
      <c r="K1549" s="10" t="s">
        <v>5656</v>
      </c>
      <c r="L1549" s="10" t="s">
        <v>42</v>
      </c>
    </row>
    <row r="1550" ht="15.75" customHeight="1">
      <c r="A1550" s="64">
        <v>45488.0</v>
      </c>
      <c r="B1550" s="55" t="str">
        <f>HYPERLINK("https://jobright.ai/jobs/info/6695681bc727f27efd4a3ad7?utm_campaign=1062&amp;utm_source=sheet", "Apply")</f>
        <v>Apply</v>
      </c>
      <c r="C1550" s="10" t="s">
        <v>5657</v>
      </c>
      <c r="D1550" s="56" t="s">
        <v>5658</v>
      </c>
      <c r="E1550" s="10" t="s">
        <v>137</v>
      </c>
      <c r="F1550" s="10" t="s">
        <v>615</v>
      </c>
      <c r="G1550" s="10" t="s">
        <v>2579</v>
      </c>
      <c r="H1550" s="10" t="s">
        <v>922</v>
      </c>
      <c r="I1550" s="10" t="s">
        <v>48</v>
      </c>
      <c r="K1550" s="10" t="s">
        <v>5659</v>
      </c>
      <c r="L1550" s="10" t="s">
        <v>42</v>
      </c>
    </row>
    <row r="1551" ht="15.75" customHeight="1">
      <c r="A1551" s="64">
        <v>45488.0</v>
      </c>
      <c r="B1551" s="55" t="str">
        <f>HYPERLINK("https://jobright.ai/jobs/info/6675b567357894b74ff29d13?utm_campaign=1062&amp;utm_source=sheet", "Apply")</f>
        <v>Apply</v>
      </c>
      <c r="C1551" s="10" t="s">
        <v>5660</v>
      </c>
      <c r="D1551" s="56" t="s">
        <v>1368</v>
      </c>
      <c r="E1551" s="10" t="s">
        <v>65</v>
      </c>
      <c r="F1551" s="10" t="s">
        <v>1369</v>
      </c>
      <c r="G1551" s="10" t="s">
        <v>2495</v>
      </c>
      <c r="H1551" s="10" t="s">
        <v>1370</v>
      </c>
      <c r="I1551" s="10" t="s">
        <v>55</v>
      </c>
      <c r="K1551" s="10" t="s">
        <v>5661</v>
      </c>
      <c r="L1551" s="10" t="s">
        <v>42</v>
      </c>
    </row>
    <row r="1552" ht="15.75" customHeight="1">
      <c r="A1552" s="64">
        <v>45488.0</v>
      </c>
      <c r="B1552" s="55" t="str">
        <f>HYPERLINK("https://jobright.ai/jobs/info/66956079f60ae0856be2fbb6?utm_campaign=1062&amp;utm_source=sheet", "Apply")</f>
        <v>Apply</v>
      </c>
      <c r="C1552" s="10" t="s">
        <v>5662</v>
      </c>
      <c r="D1552" s="56" t="s">
        <v>196</v>
      </c>
      <c r="E1552" s="10" t="s">
        <v>71</v>
      </c>
      <c r="F1552" s="10" t="s">
        <v>197</v>
      </c>
      <c r="G1552" s="10" t="s">
        <v>2448</v>
      </c>
      <c r="H1552" s="10" t="s">
        <v>193</v>
      </c>
      <c r="I1552" s="10" t="s">
        <v>55</v>
      </c>
      <c r="K1552" s="10" t="s">
        <v>5663</v>
      </c>
      <c r="L1552" s="10" t="s">
        <v>42</v>
      </c>
    </row>
    <row r="1553" ht="15.75" customHeight="1">
      <c r="A1553" s="64">
        <v>45488.0</v>
      </c>
      <c r="B1553" s="55" t="str">
        <f>HYPERLINK("https://jobright.ai/jobs/info/6695681bc727f27efd4a3abd?utm_campaign=1062&amp;utm_source=sheet", "Apply")</f>
        <v>Apply</v>
      </c>
      <c r="C1553" s="10" t="s">
        <v>5664</v>
      </c>
      <c r="D1553" s="56" t="s">
        <v>99</v>
      </c>
      <c r="E1553" s="10" t="s">
        <v>45</v>
      </c>
      <c r="F1553" s="10" t="s">
        <v>100</v>
      </c>
      <c r="G1553" s="10" t="s">
        <v>2807</v>
      </c>
      <c r="H1553" s="10" t="s">
        <v>571</v>
      </c>
      <c r="I1553" s="10" t="s">
        <v>55</v>
      </c>
      <c r="K1553" s="10" t="s">
        <v>5665</v>
      </c>
      <c r="L1553" s="10" t="s">
        <v>42</v>
      </c>
    </row>
    <row r="1554" ht="15.75" customHeight="1">
      <c r="A1554" s="64">
        <v>45488.0</v>
      </c>
      <c r="B1554" s="55" t="str">
        <f>HYPERLINK("https://jobright.ai/jobs/info/66955e802b30e9ec4792fec5?utm_campaign=1062&amp;utm_source=sheet", "Apply")</f>
        <v>Apply</v>
      </c>
      <c r="C1554" s="10" t="s">
        <v>5666</v>
      </c>
      <c r="D1554" s="56" t="s">
        <v>99</v>
      </c>
      <c r="E1554" s="10" t="s">
        <v>45</v>
      </c>
      <c r="F1554" s="10" t="s">
        <v>100</v>
      </c>
      <c r="G1554" s="10" t="s">
        <v>2807</v>
      </c>
      <c r="H1554" s="10" t="s">
        <v>411</v>
      </c>
      <c r="I1554" s="10" t="s">
        <v>55</v>
      </c>
      <c r="K1554" s="10" t="s">
        <v>5667</v>
      </c>
      <c r="L1554" s="10" t="s">
        <v>42</v>
      </c>
    </row>
    <row r="1555" ht="15.75" customHeight="1">
      <c r="A1555" s="64">
        <v>45488.0</v>
      </c>
      <c r="B1555" s="55" t="str">
        <f>HYPERLINK("https://jobright.ai/jobs/info/66955e882b30e9ec4792ff00?utm_campaign=1062&amp;utm_source=sheet", "Apply")</f>
        <v>Apply</v>
      </c>
      <c r="C1555" s="10" t="s">
        <v>5668</v>
      </c>
      <c r="D1555" s="56" t="s">
        <v>99</v>
      </c>
      <c r="E1555" s="10" t="s">
        <v>45</v>
      </c>
      <c r="F1555" s="10" t="s">
        <v>100</v>
      </c>
      <c r="G1555" s="10" t="s">
        <v>2807</v>
      </c>
      <c r="H1555" s="10" t="s">
        <v>571</v>
      </c>
      <c r="I1555" s="10" t="s">
        <v>55</v>
      </c>
      <c r="K1555" s="10" t="s">
        <v>5669</v>
      </c>
      <c r="L1555" s="10" t="s">
        <v>42</v>
      </c>
    </row>
    <row r="1556" ht="15.75" customHeight="1">
      <c r="A1556" s="64">
        <v>45488.0</v>
      </c>
      <c r="B1556" s="55" t="str">
        <f>HYPERLINK("https://jobright.ai/jobs/info/6674eb94c182409f177f88d8?utm_campaign=1062&amp;utm_source=sheet", "Apply")</f>
        <v>Apply</v>
      </c>
      <c r="C1556" s="10" t="s">
        <v>5670</v>
      </c>
      <c r="D1556" s="56" t="s">
        <v>5077</v>
      </c>
      <c r="E1556" s="10" t="s">
        <v>45</v>
      </c>
      <c r="F1556" s="10" t="s">
        <v>2409</v>
      </c>
      <c r="G1556" s="10" t="s">
        <v>2443</v>
      </c>
      <c r="H1556" s="10" t="s">
        <v>251</v>
      </c>
      <c r="I1556" s="10" t="s">
        <v>252</v>
      </c>
      <c r="J1556" s="10" t="s">
        <v>5078</v>
      </c>
      <c r="K1556" s="10" t="s">
        <v>5671</v>
      </c>
      <c r="L1556" s="10" t="s">
        <v>42</v>
      </c>
    </row>
    <row r="1557" ht="15.75" customHeight="1">
      <c r="A1557" s="64">
        <v>45488.0</v>
      </c>
      <c r="B1557" s="55" t="str">
        <f>HYPERLINK("https://jobright.ai/jobs/info/66955e802b30e9ec4792fec3?utm_campaign=1062&amp;utm_source=sheet", "Apply")</f>
        <v>Apply</v>
      </c>
      <c r="C1557" s="10" t="s">
        <v>5672</v>
      </c>
      <c r="D1557" s="56" t="s">
        <v>5673</v>
      </c>
      <c r="E1557" s="10" t="s">
        <v>45</v>
      </c>
      <c r="F1557" s="10" t="s">
        <v>5294</v>
      </c>
      <c r="G1557" s="10" t="s">
        <v>2484</v>
      </c>
      <c r="H1557" s="10" t="s">
        <v>609</v>
      </c>
      <c r="I1557" s="10" t="s">
        <v>55</v>
      </c>
      <c r="K1557" s="10" t="s">
        <v>5674</v>
      </c>
      <c r="L1557" s="10" t="s">
        <v>42</v>
      </c>
    </row>
    <row r="1558" ht="15.75" customHeight="1">
      <c r="A1558" s="64">
        <v>45488.0</v>
      </c>
      <c r="B1558" s="55" t="str">
        <f>HYPERLINK("https://jobright.ai/jobs/info/66955ea02b30e9ec479301e3?utm_campaign=1062&amp;utm_source=sheet", "Apply")</f>
        <v>Apply</v>
      </c>
      <c r="C1558" s="10" t="s">
        <v>5120</v>
      </c>
      <c r="D1558" s="56" t="s">
        <v>567</v>
      </c>
      <c r="E1558" s="10" t="s">
        <v>65</v>
      </c>
      <c r="F1558" s="10" t="s">
        <v>568</v>
      </c>
      <c r="G1558" s="10" t="s">
        <v>2464</v>
      </c>
      <c r="H1558" s="10" t="s">
        <v>854</v>
      </c>
      <c r="I1558" s="10" t="s">
        <v>55</v>
      </c>
      <c r="J1558" s="10" t="s">
        <v>3031</v>
      </c>
      <c r="K1558" s="10" t="s">
        <v>3024</v>
      </c>
      <c r="L1558" s="10" t="s">
        <v>42</v>
      </c>
    </row>
    <row r="1559" ht="15.75" customHeight="1">
      <c r="A1559" s="64">
        <v>45488.0</v>
      </c>
      <c r="B1559" s="55" t="str">
        <f>HYPERLINK("https://jobright.ai/jobs/info/66962085d37d24688ea5b466?utm_campaign=1062&amp;utm_source=sheet", "Apply")</f>
        <v>Apply</v>
      </c>
      <c r="C1559" s="10" t="s">
        <v>5675</v>
      </c>
      <c r="D1559" s="56" t="s">
        <v>4741</v>
      </c>
      <c r="E1559" s="10" t="s">
        <v>79</v>
      </c>
      <c r="F1559" s="10" t="s">
        <v>4742</v>
      </c>
      <c r="G1559" s="10" t="s">
        <v>4046</v>
      </c>
      <c r="H1559" s="10" t="s">
        <v>2635</v>
      </c>
      <c r="I1559" s="10" t="s">
        <v>55</v>
      </c>
      <c r="K1559" s="10" t="s">
        <v>4743</v>
      </c>
      <c r="L1559" s="10" t="s">
        <v>42</v>
      </c>
    </row>
    <row r="1560" ht="15.75" customHeight="1">
      <c r="A1560" s="64">
        <v>45488.0</v>
      </c>
      <c r="B1560" s="55" t="str">
        <f>HYPERLINK("https://jobright.ai/jobs/info/66957ae8b28fd0f5b9354978?utm_campaign=1062&amp;utm_source=sheet", "Apply")</f>
        <v>Apply</v>
      </c>
      <c r="C1560" s="10" t="s">
        <v>5120</v>
      </c>
      <c r="D1560" s="56" t="s">
        <v>567</v>
      </c>
      <c r="E1560" s="10" t="s">
        <v>65</v>
      </c>
      <c r="F1560" s="10" t="s">
        <v>568</v>
      </c>
      <c r="G1560" s="10" t="s">
        <v>2464</v>
      </c>
      <c r="H1560" s="10" t="s">
        <v>245</v>
      </c>
      <c r="I1560" s="10" t="s">
        <v>55</v>
      </c>
      <c r="J1560" s="10" t="s">
        <v>3031</v>
      </c>
      <c r="K1560" s="10" t="s">
        <v>3024</v>
      </c>
      <c r="L1560" s="10" t="s">
        <v>42</v>
      </c>
    </row>
    <row r="1561" ht="15.75" customHeight="1">
      <c r="A1561" s="64">
        <v>45488.0</v>
      </c>
      <c r="B1561" s="55" t="str">
        <f>HYPERLINK("https://jobright.ai/jobs/info/66955a1dfbfbadbf06b64802?utm_campaign=1062&amp;utm_source=sheet", "Apply")</f>
        <v>Apply</v>
      </c>
      <c r="C1561" s="10" t="s">
        <v>5676</v>
      </c>
      <c r="D1561" s="56" t="s">
        <v>3855</v>
      </c>
      <c r="E1561" s="10" t="s">
        <v>45</v>
      </c>
      <c r="F1561" s="10" t="s">
        <v>3167</v>
      </c>
      <c r="G1561" s="10" t="s">
        <v>2448</v>
      </c>
      <c r="H1561" s="10" t="s">
        <v>2623</v>
      </c>
      <c r="I1561" s="10" t="s">
        <v>55</v>
      </c>
      <c r="K1561" s="10" t="s">
        <v>5677</v>
      </c>
      <c r="L1561" s="10" t="s">
        <v>42</v>
      </c>
    </row>
    <row r="1562" ht="15.75" customHeight="1">
      <c r="A1562" s="64">
        <v>45488.0</v>
      </c>
      <c r="B1562" s="55" t="str">
        <f>HYPERLINK("https://jobright.ai/jobs/info/66955a1dfbfbadbf06b64803?utm_campaign=1062&amp;utm_source=sheet", "Apply")</f>
        <v>Apply</v>
      </c>
      <c r="C1562" s="10" t="s">
        <v>5676</v>
      </c>
      <c r="D1562" s="56" t="s">
        <v>3855</v>
      </c>
      <c r="E1562" s="10" t="s">
        <v>45</v>
      </c>
      <c r="F1562" s="10" t="s">
        <v>3167</v>
      </c>
      <c r="G1562" s="10" t="s">
        <v>2448</v>
      </c>
      <c r="H1562" s="10" t="s">
        <v>3856</v>
      </c>
      <c r="I1562" s="10" t="s">
        <v>55</v>
      </c>
      <c r="K1562" s="10" t="s">
        <v>5677</v>
      </c>
      <c r="L1562" s="10" t="s">
        <v>42</v>
      </c>
    </row>
    <row r="1563" ht="15.75" customHeight="1">
      <c r="A1563" s="64">
        <v>45488.0</v>
      </c>
      <c r="B1563" s="55" t="str">
        <f>HYPERLINK("https://jobright.ai/jobs/info/66955a1dfbfbadbf06b64804?utm_campaign=1062&amp;utm_source=sheet", "Apply")</f>
        <v>Apply</v>
      </c>
      <c r="C1563" s="10" t="s">
        <v>5676</v>
      </c>
      <c r="D1563" s="56" t="s">
        <v>3855</v>
      </c>
      <c r="E1563" s="10" t="s">
        <v>45</v>
      </c>
      <c r="F1563" s="10" t="s">
        <v>3167</v>
      </c>
      <c r="G1563" s="10" t="s">
        <v>2448</v>
      </c>
      <c r="H1563" s="10" t="s">
        <v>3867</v>
      </c>
      <c r="I1563" s="10" t="s">
        <v>55</v>
      </c>
      <c r="K1563" s="10" t="s">
        <v>5677</v>
      </c>
      <c r="L1563" s="10" t="s">
        <v>42</v>
      </c>
    </row>
    <row r="1564" ht="15.75" customHeight="1">
      <c r="A1564" s="64">
        <v>45488.0</v>
      </c>
      <c r="B1564" s="55" t="str">
        <f>HYPERLINK("https://jobright.ai/jobs/info/6695e3daaddcb825509d035a?utm_campaign=1062&amp;utm_source=sheet", "Apply")</f>
        <v>Apply</v>
      </c>
      <c r="C1564" s="10" t="s">
        <v>5678</v>
      </c>
      <c r="D1564" s="56" t="s">
        <v>5679</v>
      </c>
      <c r="E1564" s="10">
        <v>1717.0</v>
      </c>
      <c r="G1564" s="10" t="s">
        <v>2448</v>
      </c>
      <c r="H1564" s="10" t="s">
        <v>938</v>
      </c>
      <c r="I1564" s="10" t="s">
        <v>55</v>
      </c>
      <c r="J1564" s="10" t="s">
        <v>1189</v>
      </c>
      <c r="K1564" s="10" t="s">
        <v>5680</v>
      </c>
      <c r="L1564" s="10" t="s">
        <v>42</v>
      </c>
    </row>
    <row r="1565" ht="15.75" customHeight="1">
      <c r="A1565" s="64">
        <v>45488.0</v>
      </c>
      <c r="B1565" s="55" t="str">
        <f>HYPERLINK("https://jobright.ai/jobs/info/669558e07731651963789e51?utm_campaign=1062&amp;utm_source=sheet", "Apply")</f>
        <v>Apply</v>
      </c>
      <c r="C1565" s="10" t="s">
        <v>5120</v>
      </c>
      <c r="D1565" s="56" t="s">
        <v>567</v>
      </c>
      <c r="E1565" s="10" t="s">
        <v>65</v>
      </c>
      <c r="F1565" s="10" t="s">
        <v>568</v>
      </c>
      <c r="G1565" s="10" t="s">
        <v>2464</v>
      </c>
      <c r="H1565" s="10" t="s">
        <v>113</v>
      </c>
      <c r="I1565" s="10" t="s">
        <v>55</v>
      </c>
      <c r="J1565" s="10" t="s">
        <v>3031</v>
      </c>
      <c r="K1565" s="10" t="s">
        <v>3024</v>
      </c>
      <c r="L1565" s="10" t="s">
        <v>42</v>
      </c>
    </row>
    <row r="1566" ht="15.75" customHeight="1">
      <c r="A1566" s="64">
        <v>45488.0</v>
      </c>
      <c r="B1566" s="55" t="str">
        <f>HYPERLINK("https://jobright.ai/jobs/info/669558e07731651963789e52?utm_campaign=1062&amp;utm_source=sheet", "Apply")</f>
        <v>Apply</v>
      </c>
      <c r="C1566" s="10" t="s">
        <v>5120</v>
      </c>
      <c r="D1566" s="56" t="s">
        <v>567</v>
      </c>
      <c r="E1566" s="10" t="s">
        <v>65</v>
      </c>
      <c r="F1566" s="10" t="s">
        <v>568</v>
      </c>
      <c r="G1566" s="10" t="s">
        <v>2464</v>
      </c>
      <c r="H1566" s="10" t="s">
        <v>3860</v>
      </c>
      <c r="I1566" s="10" t="s">
        <v>55</v>
      </c>
      <c r="J1566" s="10" t="s">
        <v>3031</v>
      </c>
      <c r="K1566" s="10" t="s">
        <v>3024</v>
      </c>
      <c r="L1566" s="10" t="s">
        <v>42</v>
      </c>
    </row>
    <row r="1567" ht="15.75" customHeight="1">
      <c r="A1567" s="64">
        <v>45488.0</v>
      </c>
      <c r="B1567" s="55" t="str">
        <f>HYPERLINK("https://jobright.ai/jobs/info/669bdf93989b58c51410df7f?utm_campaign=1062&amp;utm_source=sheet", "Apply")</f>
        <v>Apply</v>
      </c>
      <c r="C1567" s="10" t="s">
        <v>4801</v>
      </c>
      <c r="D1567" s="56" t="s">
        <v>4802</v>
      </c>
      <c r="E1567" s="10" t="s">
        <v>249</v>
      </c>
      <c r="F1567" s="10" t="s">
        <v>2470</v>
      </c>
      <c r="G1567" s="10" t="s">
        <v>2484</v>
      </c>
      <c r="H1567" s="10" t="s">
        <v>4885</v>
      </c>
      <c r="I1567" s="10" t="s">
        <v>55</v>
      </c>
      <c r="K1567" s="10" t="s">
        <v>5681</v>
      </c>
      <c r="L1567" s="10" t="s">
        <v>42</v>
      </c>
    </row>
    <row r="1568" ht="15.75" customHeight="1">
      <c r="A1568" s="64">
        <v>45488.0</v>
      </c>
      <c r="B1568" s="55" t="str">
        <f>HYPERLINK("https://jobright.ai/jobs/info/66954e96a046c7d768486f7e?utm_campaign=1062&amp;utm_source=sheet", "Apply")</f>
        <v>Apply</v>
      </c>
      <c r="C1568" s="10" t="s">
        <v>3044</v>
      </c>
      <c r="D1568" s="56" t="s">
        <v>2631</v>
      </c>
      <c r="E1568" s="10" t="s">
        <v>209</v>
      </c>
      <c r="F1568" s="10" t="s">
        <v>2632</v>
      </c>
      <c r="G1568" s="10" t="s">
        <v>2464</v>
      </c>
      <c r="H1568" s="10" t="s">
        <v>3551</v>
      </c>
      <c r="I1568" s="10" t="s">
        <v>55</v>
      </c>
      <c r="K1568" s="10" t="s">
        <v>3045</v>
      </c>
      <c r="L1568" s="10" t="s">
        <v>42</v>
      </c>
    </row>
    <row r="1569" ht="15.75" customHeight="1">
      <c r="A1569" s="64">
        <v>45488.0</v>
      </c>
      <c r="B1569" s="55" t="str">
        <f>HYPERLINK("https://jobright.ai/jobs/info/66993a9f0dea039d8433be12?utm_campaign=1062&amp;utm_source=sheet", "Apply")</f>
        <v>Apply</v>
      </c>
      <c r="C1569" s="10" t="s">
        <v>5682</v>
      </c>
      <c r="D1569" s="56" t="s">
        <v>4701</v>
      </c>
      <c r="E1569" s="10" t="s">
        <v>137</v>
      </c>
      <c r="F1569" s="10" t="s">
        <v>4702</v>
      </c>
      <c r="G1569" s="10" t="s">
        <v>2448</v>
      </c>
      <c r="H1569" s="10" t="s">
        <v>5683</v>
      </c>
      <c r="I1569" s="10" t="s">
        <v>55</v>
      </c>
      <c r="J1569" s="10" t="s">
        <v>5684</v>
      </c>
      <c r="K1569" s="10" t="s">
        <v>5685</v>
      </c>
      <c r="L1569" s="10" t="s">
        <v>42</v>
      </c>
    </row>
    <row r="1570" ht="15.75" customHeight="1">
      <c r="A1570" s="64">
        <v>45488.0</v>
      </c>
      <c r="B1570" s="55" t="str">
        <f>HYPERLINK("https://jobright.ai/jobs/info/6690f1d271973c20cb6017f2?utm_campaign=1062&amp;utm_source=sheet", "Apply")</f>
        <v>Apply</v>
      </c>
      <c r="C1570" s="10" t="s">
        <v>4867</v>
      </c>
      <c r="D1570" s="56" t="s">
        <v>4934</v>
      </c>
      <c r="E1570" s="10" t="s">
        <v>65</v>
      </c>
      <c r="F1570" s="10" t="s">
        <v>3205</v>
      </c>
      <c r="G1570" s="10" t="s">
        <v>2579</v>
      </c>
      <c r="H1570" s="10" t="s">
        <v>898</v>
      </c>
      <c r="I1570" s="10" t="s">
        <v>55</v>
      </c>
      <c r="J1570" s="10" t="s">
        <v>5686</v>
      </c>
      <c r="K1570" s="10" t="s">
        <v>5687</v>
      </c>
      <c r="L1570" s="10" t="s">
        <v>42</v>
      </c>
    </row>
    <row r="1571" ht="15.75" customHeight="1">
      <c r="A1571" s="64">
        <v>45488.0</v>
      </c>
      <c r="B1571" s="55" t="str">
        <f>HYPERLINK("https://jobright.ai/jobs/info/669546a5fc10172a3c8d3bc5?utm_campaign=1062&amp;utm_source=sheet", "Apply")</f>
        <v>Apply</v>
      </c>
      <c r="C1571" s="10" t="s">
        <v>5688</v>
      </c>
      <c r="D1571" s="56" t="s">
        <v>5689</v>
      </c>
      <c r="E1571" s="10" t="s">
        <v>137</v>
      </c>
      <c r="F1571" s="10" t="s">
        <v>5690</v>
      </c>
      <c r="G1571" s="10" t="s">
        <v>2455</v>
      </c>
      <c r="H1571" s="10" t="s">
        <v>5691</v>
      </c>
      <c r="I1571" s="10" t="s">
        <v>48</v>
      </c>
      <c r="K1571" s="10" t="s">
        <v>5692</v>
      </c>
      <c r="L1571" s="10" t="s">
        <v>42</v>
      </c>
    </row>
    <row r="1572" ht="15.75" customHeight="1">
      <c r="A1572" s="64">
        <v>45488.0</v>
      </c>
      <c r="B1572" s="55" t="str">
        <f>HYPERLINK("https://jobright.ai/jobs/info/6695540d6b7ce10077ec5caa?utm_campaign=1062&amp;utm_source=sheet", "Apply")</f>
        <v>Apply</v>
      </c>
      <c r="C1572" s="10" t="s">
        <v>5120</v>
      </c>
      <c r="D1572" s="56" t="s">
        <v>567</v>
      </c>
      <c r="E1572" s="10" t="s">
        <v>65</v>
      </c>
      <c r="F1572" s="10" t="s">
        <v>568</v>
      </c>
      <c r="G1572" s="10" t="s">
        <v>2464</v>
      </c>
      <c r="H1572" s="10" t="s">
        <v>794</v>
      </c>
      <c r="I1572" s="10" t="s">
        <v>55</v>
      </c>
      <c r="J1572" s="10" t="s">
        <v>3031</v>
      </c>
      <c r="K1572" s="10" t="s">
        <v>3024</v>
      </c>
      <c r="L1572" s="10" t="s">
        <v>42</v>
      </c>
    </row>
    <row r="1573" ht="15.75" customHeight="1">
      <c r="A1573" s="64">
        <v>45488.0</v>
      </c>
      <c r="B1573" s="55" t="str">
        <f>HYPERLINK("https://jobright.ai/jobs/info/669551c6f3e4c03b6b7e00b5?utm_campaign=1062&amp;utm_source=sheet", "Apply")</f>
        <v>Apply</v>
      </c>
      <c r="C1573" s="10" t="s">
        <v>5120</v>
      </c>
      <c r="D1573" s="56" t="s">
        <v>567</v>
      </c>
      <c r="E1573" s="10" t="s">
        <v>65</v>
      </c>
      <c r="F1573" s="10" t="s">
        <v>568</v>
      </c>
      <c r="G1573" s="10" t="s">
        <v>2464</v>
      </c>
      <c r="H1573" s="10" t="s">
        <v>4128</v>
      </c>
      <c r="I1573" s="10" t="s">
        <v>55</v>
      </c>
      <c r="J1573" s="10" t="s">
        <v>3031</v>
      </c>
      <c r="K1573" s="10" t="s">
        <v>3024</v>
      </c>
      <c r="L1573" s="10" t="s">
        <v>42</v>
      </c>
    </row>
    <row r="1574" ht="15.75" customHeight="1">
      <c r="A1574" s="64">
        <v>45488.0</v>
      </c>
      <c r="B1574" s="55" t="str">
        <f>HYPERLINK("https://jobright.ai/jobs/info/669548fe5c4dbaebf8f7c065?utm_campaign=1062&amp;utm_source=sheet", "Apply")</f>
        <v>Apply</v>
      </c>
      <c r="C1574" s="10" t="s">
        <v>5120</v>
      </c>
      <c r="D1574" s="56" t="s">
        <v>567</v>
      </c>
      <c r="E1574" s="10" t="s">
        <v>65</v>
      </c>
      <c r="F1574" s="10" t="s">
        <v>568</v>
      </c>
      <c r="G1574" s="10" t="s">
        <v>2464</v>
      </c>
      <c r="H1574" s="10" t="s">
        <v>798</v>
      </c>
      <c r="I1574" s="10" t="s">
        <v>55</v>
      </c>
      <c r="J1574" s="10" t="s">
        <v>3031</v>
      </c>
      <c r="K1574" s="10" t="s">
        <v>3024</v>
      </c>
      <c r="L1574" s="10" t="s">
        <v>42</v>
      </c>
    </row>
    <row r="1575" ht="15.75" customHeight="1">
      <c r="A1575" s="64">
        <v>45488.0</v>
      </c>
      <c r="B1575" s="55" t="str">
        <f>HYPERLINK("https://jobright.ai/jobs/info/66954b7d092dd0811e081070?utm_campaign=1062&amp;utm_source=sheet", "Apply")</f>
        <v>Apply</v>
      </c>
      <c r="C1575" s="10" t="s">
        <v>5120</v>
      </c>
      <c r="D1575" s="56" t="s">
        <v>567</v>
      </c>
      <c r="E1575" s="10" t="s">
        <v>65</v>
      </c>
      <c r="F1575" s="10" t="s">
        <v>568</v>
      </c>
      <c r="G1575" s="10" t="s">
        <v>2464</v>
      </c>
      <c r="H1575" s="10" t="s">
        <v>3863</v>
      </c>
      <c r="I1575" s="10" t="s">
        <v>55</v>
      </c>
      <c r="J1575" s="10" t="s">
        <v>3031</v>
      </c>
      <c r="K1575" s="10" t="s">
        <v>3024</v>
      </c>
      <c r="L1575" s="10" t="s">
        <v>42</v>
      </c>
    </row>
    <row r="1576" ht="15.75" customHeight="1">
      <c r="A1576" s="64">
        <v>45488.0</v>
      </c>
      <c r="B1576" s="55" t="str">
        <f>HYPERLINK("https://jobright.ai/jobs/info/66954b7d092dd0811e081071?utm_campaign=1062&amp;utm_source=sheet", "Apply")</f>
        <v>Apply</v>
      </c>
      <c r="C1576" s="10" t="s">
        <v>5120</v>
      </c>
      <c r="D1576" s="56" t="s">
        <v>567</v>
      </c>
      <c r="E1576" s="10" t="s">
        <v>65</v>
      </c>
      <c r="F1576" s="10" t="s">
        <v>568</v>
      </c>
      <c r="G1576" s="10" t="s">
        <v>2464</v>
      </c>
      <c r="H1576" s="10" t="s">
        <v>860</v>
      </c>
      <c r="I1576" s="10" t="s">
        <v>55</v>
      </c>
      <c r="J1576" s="10" t="s">
        <v>3031</v>
      </c>
      <c r="K1576" s="10" t="s">
        <v>3024</v>
      </c>
      <c r="L1576" s="10" t="s">
        <v>42</v>
      </c>
    </row>
    <row r="1577" ht="15.75" customHeight="1">
      <c r="A1577" s="64">
        <v>45488.0</v>
      </c>
      <c r="B1577" s="55" t="str">
        <f>HYPERLINK("https://jobright.ai/jobs/info/66954b7d092dd0811e081075?utm_campaign=1062&amp;utm_source=sheet", "Apply")</f>
        <v>Apply</v>
      </c>
      <c r="C1577" s="10" t="s">
        <v>5120</v>
      </c>
      <c r="D1577" s="56" t="s">
        <v>567</v>
      </c>
      <c r="E1577" s="10" t="s">
        <v>65</v>
      </c>
      <c r="F1577" s="10" t="s">
        <v>568</v>
      </c>
      <c r="G1577" s="10" t="s">
        <v>2464</v>
      </c>
      <c r="H1577" s="10" t="s">
        <v>1013</v>
      </c>
      <c r="I1577" s="10" t="s">
        <v>55</v>
      </c>
      <c r="J1577" s="10" t="s">
        <v>3031</v>
      </c>
      <c r="K1577" s="10" t="s">
        <v>3024</v>
      </c>
      <c r="L1577" s="10" t="s">
        <v>42</v>
      </c>
    </row>
    <row r="1578" ht="15.75" customHeight="1">
      <c r="A1578" s="64">
        <v>45488.0</v>
      </c>
      <c r="B1578" s="55" t="str">
        <f>HYPERLINK("https://jobright.ai/jobs/info/66954b7d092dd0811e081076?utm_campaign=1062&amp;utm_source=sheet", "Apply")</f>
        <v>Apply</v>
      </c>
      <c r="C1578" s="10" t="s">
        <v>5120</v>
      </c>
      <c r="D1578" s="56" t="s">
        <v>567</v>
      </c>
      <c r="E1578" s="10" t="s">
        <v>65</v>
      </c>
      <c r="F1578" s="10" t="s">
        <v>568</v>
      </c>
      <c r="G1578" s="10" t="s">
        <v>2464</v>
      </c>
      <c r="H1578" s="10" t="s">
        <v>3050</v>
      </c>
      <c r="I1578" s="10" t="s">
        <v>55</v>
      </c>
      <c r="J1578" s="10" t="s">
        <v>3031</v>
      </c>
      <c r="K1578" s="10" t="s">
        <v>3024</v>
      </c>
      <c r="L1578" s="10" t="s">
        <v>42</v>
      </c>
    </row>
    <row r="1579" ht="15.75" customHeight="1">
      <c r="A1579" s="64">
        <v>45488.0</v>
      </c>
      <c r="B1579" s="55" t="str">
        <f>HYPERLINK("https://jobright.ai/jobs/info/66954b7d092dd0811e081077?utm_campaign=1062&amp;utm_source=sheet", "Apply")</f>
        <v>Apply</v>
      </c>
      <c r="C1579" s="10" t="s">
        <v>5120</v>
      </c>
      <c r="D1579" s="56" t="s">
        <v>567</v>
      </c>
      <c r="E1579" s="10" t="s">
        <v>65</v>
      </c>
      <c r="F1579" s="10" t="s">
        <v>568</v>
      </c>
      <c r="G1579" s="10" t="s">
        <v>2464</v>
      </c>
      <c r="H1579" s="10" t="s">
        <v>965</v>
      </c>
      <c r="I1579" s="10" t="s">
        <v>55</v>
      </c>
      <c r="J1579" s="10" t="s">
        <v>3031</v>
      </c>
      <c r="K1579" s="10" t="s">
        <v>3024</v>
      </c>
      <c r="L1579" s="10" t="s">
        <v>42</v>
      </c>
    </row>
    <row r="1580" ht="15.75" customHeight="1">
      <c r="A1580" s="64">
        <v>45488.0</v>
      </c>
      <c r="B1580" s="55" t="str">
        <f>HYPERLINK("https://jobright.ai/jobs/info/66954b7d092dd0811e081072?utm_campaign=1062&amp;utm_source=sheet", "Apply")</f>
        <v>Apply</v>
      </c>
      <c r="C1580" s="10" t="s">
        <v>5120</v>
      </c>
      <c r="D1580" s="56" t="s">
        <v>567</v>
      </c>
      <c r="E1580" s="10" t="s">
        <v>65</v>
      </c>
      <c r="F1580" s="10" t="s">
        <v>568</v>
      </c>
      <c r="G1580" s="10" t="s">
        <v>2464</v>
      </c>
      <c r="H1580" s="10" t="s">
        <v>3049</v>
      </c>
      <c r="I1580" s="10" t="s">
        <v>55</v>
      </c>
      <c r="J1580" s="10" t="s">
        <v>3031</v>
      </c>
      <c r="K1580" s="10" t="s">
        <v>3024</v>
      </c>
      <c r="L1580" s="10" t="s">
        <v>42</v>
      </c>
    </row>
    <row r="1581" ht="15.75" customHeight="1">
      <c r="A1581" s="64">
        <v>45488.0</v>
      </c>
      <c r="B1581" s="55" t="str">
        <f>HYPERLINK("https://jobright.ai/jobs/info/66954b7d092dd0811e081074?utm_campaign=1062&amp;utm_source=sheet", "Apply")</f>
        <v>Apply</v>
      </c>
      <c r="C1581" s="10" t="s">
        <v>5120</v>
      </c>
      <c r="D1581" s="56" t="s">
        <v>567</v>
      </c>
      <c r="E1581" s="10" t="s">
        <v>65</v>
      </c>
      <c r="F1581" s="10" t="s">
        <v>568</v>
      </c>
      <c r="G1581" s="10" t="s">
        <v>2464</v>
      </c>
      <c r="H1581" s="10" t="s">
        <v>3861</v>
      </c>
      <c r="I1581" s="10" t="s">
        <v>55</v>
      </c>
      <c r="J1581" s="10" t="s">
        <v>3031</v>
      </c>
      <c r="K1581" s="10" t="s">
        <v>3024</v>
      </c>
      <c r="L1581" s="10" t="s">
        <v>42</v>
      </c>
    </row>
    <row r="1582" ht="15.75" customHeight="1">
      <c r="A1582" s="64">
        <v>45488.0</v>
      </c>
      <c r="B1582" s="55" t="str">
        <f>HYPERLINK("https://jobright.ai/jobs/info/66954b7d092dd0811e081078?utm_campaign=1062&amp;utm_source=sheet", "Apply")</f>
        <v>Apply</v>
      </c>
      <c r="C1582" s="10" t="s">
        <v>5120</v>
      </c>
      <c r="D1582" s="56" t="s">
        <v>567</v>
      </c>
      <c r="E1582" s="10" t="s">
        <v>65</v>
      </c>
      <c r="F1582" s="10" t="s">
        <v>568</v>
      </c>
      <c r="G1582" s="10" t="s">
        <v>2464</v>
      </c>
      <c r="H1582" s="10" t="s">
        <v>505</v>
      </c>
      <c r="I1582" s="10" t="s">
        <v>55</v>
      </c>
      <c r="J1582" s="10" t="s">
        <v>3031</v>
      </c>
      <c r="K1582" s="10" t="s">
        <v>3024</v>
      </c>
      <c r="L1582" s="10" t="s">
        <v>42</v>
      </c>
    </row>
    <row r="1583" ht="15.75" customHeight="1">
      <c r="A1583" s="64">
        <v>45488.0</v>
      </c>
      <c r="B1583" s="55" t="str">
        <f>HYPERLINK("https://jobright.ai/jobs/info/66954b7d092dd0811e081079?utm_campaign=1062&amp;utm_source=sheet", "Apply")</f>
        <v>Apply</v>
      </c>
      <c r="C1583" s="10" t="s">
        <v>5120</v>
      </c>
      <c r="D1583" s="56" t="s">
        <v>567</v>
      </c>
      <c r="E1583" s="10" t="s">
        <v>65</v>
      </c>
      <c r="F1583" s="10" t="s">
        <v>568</v>
      </c>
      <c r="G1583" s="10" t="s">
        <v>2464</v>
      </c>
      <c r="H1583" s="10" t="s">
        <v>843</v>
      </c>
      <c r="I1583" s="10" t="s">
        <v>55</v>
      </c>
      <c r="J1583" s="10" t="s">
        <v>3031</v>
      </c>
      <c r="K1583" s="10" t="s">
        <v>3024</v>
      </c>
      <c r="L1583" s="10" t="s">
        <v>42</v>
      </c>
    </row>
    <row r="1584" ht="15.75" customHeight="1">
      <c r="A1584" s="64">
        <v>45488.0</v>
      </c>
      <c r="B1584" s="55" t="str">
        <f>HYPERLINK("https://jobright.ai/jobs/info/66954b66092dd0811e080e72?utm_campaign=1062&amp;utm_source=sheet", "Apply")</f>
        <v>Apply</v>
      </c>
      <c r="C1584" s="10" t="s">
        <v>4801</v>
      </c>
      <c r="D1584" s="56" t="s">
        <v>4802</v>
      </c>
      <c r="E1584" s="10" t="s">
        <v>249</v>
      </c>
      <c r="F1584" s="10" t="s">
        <v>2470</v>
      </c>
      <c r="G1584" s="10" t="s">
        <v>2484</v>
      </c>
      <c r="H1584" s="10" t="s">
        <v>3371</v>
      </c>
      <c r="I1584" s="10" t="s">
        <v>55</v>
      </c>
      <c r="K1584" s="10" t="s">
        <v>5681</v>
      </c>
      <c r="L1584" s="10" t="s">
        <v>42</v>
      </c>
    </row>
    <row r="1585" ht="15.75" customHeight="1">
      <c r="A1585" s="64">
        <v>45488.0</v>
      </c>
      <c r="B1585" s="55" t="str">
        <f>HYPERLINK("https://jobright.ai/jobs/info/66954b84092dd0811e081170?utm_campaign=1062&amp;utm_source=sheet", "Apply")</f>
        <v>Apply</v>
      </c>
      <c r="C1585" s="10" t="s">
        <v>4801</v>
      </c>
      <c r="D1585" s="56" t="s">
        <v>4802</v>
      </c>
      <c r="E1585" s="10" t="s">
        <v>249</v>
      </c>
      <c r="F1585" s="10" t="s">
        <v>2470</v>
      </c>
      <c r="G1585" s="10" t="s">
        <v>2484</v>
      </c>
      <c r="H1585" s="10" t="s">
        <v>607</v>
      </c>
      <c r="I1585" s="10" t="s">
        <v>55</v>
      </c>
      <c r="K1585" s="10" t="s">
        <v>5681</v>
      </c>
      <c r="L1585" s="10" t="s">
        <v>42</v>
      </c>
    </row>
    <row r="1586" ht="15.75" customHeight="1">
      <c r="A1586" s="64">
        <v>45488.0</v>
      </c>
      <c r="B1586" s="55" t="str">
        <f>HYPERLINK("https://jobright.ai/jobs/info/669551c6f3e4c03b6b7e00b6?utm_campaign=1062&amp;utm_source=sheet", "Apply")</f>
        <v>Apply</v>
      </c>
      <c r="C1586" s="10" t="s">
        <v>5120</v>
      </c>
      <c r="D1586" s="56" t="s">
        <v>567</v>
      </c>
      <c r="E1586" s="10" t="s">
        <v>65</v>
      </c>
      <c r="F1586" s="10" t="s">
        <v>568</v>
      </c>
      <c r="G1586" s="10" t="s">
        <v>2464</v>
      </c>
      <c r="H1586" s="10" t="s">
        <v>354</v>
      </c>
      <c r="I1586" s="10" t="s">
        <v>55</v>
      </c>
      <c r="J1586" s="10" t="s">
        <v>3031</v>
      </c>
      <c r="K1586" s="10" t="s">
        <v>3024</v>
      </c>
      <c r="L1586" s="10" t="s">
        <v>42</v>
      </c>
    </row>
    <row r="1587" ht="15.75" customHeight="1">
      <c r="A1587" s="64">
        <v>45488.0</v>
      </c>
      <c r="B1587" s="55" t="str">
        <f>HYPERLINK("https://jobright.ai/jobs/info/66954dca3569beb218356a48?utm_campaign=1062&amp;utm_source=sheet", "Apply")</f>
        <v>Apply</v>
      </c>
      <c r="C1587" s="10" t="s">
        <v>5676</v>
      </c>
      <c r="D1587" s="56" t="s">
        <v>3855</v>
      </c>
      <c r="E1587" s="10" t="s">
        <v>45</v>
      </c>
      <c r="F1587" s="10" t="s">
        <v>3167</v>
      </c>
      <c r="G1587" s="10" t="s">
        <v>2448</v>
      </c>
      <c r="H1587" s="10" t="s">
        <v>3872</v>
      </c>
      <c r="I1587" s="10" t="s">
        <v>55</v>
      </c>
      <c r="K1587" s="10" t="s">
        <v>5677</v>
      </c>
      <c r="L1587" s="10" t="s">
        <v>42</v>
      </c>
    </row>
    <row r="1588" ht="15.75" customHeight="1">
      <c r="A1588" s="64">
        <v>45488.0</v>
      </c>
      <c r="B1588" s="55" t="str">
        <f>HYPERLINK("https://jobright.ai/jobs/info/669934104a18fa4d837fc2a2?utm_campaign=1062&amp;utm_source=sheet", "Apply")</f>
        <v>Apply</v>
      </c>
      <c r="C1588" s="10" t="s">
        <v>5693</v>
      </c>
      <c r="D1588" s="56" t="s">
        <v>5694</v>
      </c>
      <c r="E1588" s="10" t="s">
        <v>45</v>
      </c>
      <c r="F1588" s="10" t="s">
        <v>471</v>
      </c>
      <c r="G1588" s="10" t="s">
        <v>2484</v>
      </c>
      <c r="H1588" s="10" t="s">
        <v>5695</v>
      </c>
      <c r="I1588" s="10" t="s">
        <v>55</v>
      </c>
      <c r="K1588" s="10" t="s">
        <v>5696</v>
      </c>
      <c r="L1588" s="10" t="s">
        <v>42</v>
      </c>
    </row>
    <row r="1589" ht="15.75" customHeight="1">
      <c r="A1589" s="64">
        <v>45488.0</v>
      </c>
      <c r="B1589" s="55" t="str">
        <f>HYPERLINK("https://jobright.ai/jobs/info/6697dbc52b8ef01e31538eb7?utm_campaign=1062&amp;utm_source=sheet", "Apply")</f>
        <v>Apply</v>
      </c>
      <c r="C1589" s="10" t="s">
        <v>5697</v>
      </c>
      <c r="D1589" s="56" t="s">
        <v>5698</v>
      </c>
      <c r="E1589" s="10" t="s">
        <v>71</v>
      </c>
      <c r="F1589" s="10" t="s">
        <v>5699</v>
      </c>
      <c r="G1589" s="10" t="s">
        <v>2443</v>
      </c>
      <c r="H1589" s="10" t="s">
        <v>843</v>
      </c>
      <c r="I1589" s="10" t="s">
        <v>55</v>
      </c>
      <c r="K1589" s="10" t="s">
        <v>5700</v>
      </c>
      <c r="L1589" s="10" t="s">
        <v>42</v>
      </c>
    </row>
    <row r="1590" ht="15.75" customHeight="1">
      <c r="A1590" s="64">
        <v>45488.0</v>
      </c>
      <c r="B1590" s="55" t="str">
        <f>HYPERLINK("https://jobright.ai/jobs/info/66953a762c2e1bc0336e0adf?utm_campaign=1062&amp;utm_source=sheet", "Apply")</f>
        <v>Apply</v>
      </c>
      <c r="C1590" s="10" t="s">
        <v>5701</v>
      </c>
      <c r="D1590" s="56" t="s">
        <v>5004</v>
      </c>
      <c r="G1590" s="10" t="s">
        <v>2484</v>
      </c>
      <c r="H1590" s="10" t="s">
        <v>438</v>
      </c>
      <c r="I1590" s="10" t="s">
        <v>55</v>
      </c>
      <c r="K1590" s="10" t="s">
        <v>5702</v>
      </c>
      <c r="L1590" s="10" t="s">
        <v>42</v>
      </c>
    </row>
    <row r="1591" ht="15.75" customHeight="1">
      <c r="A1591" s="64">
        <v>45488.0</v>
      </c>
      <c r="B1591" s="55" t="str">
        <f>HYPERLINK("https://jobright.ai/jobs/info/6695433af64a8383a0485e61?utm_campaign=1062&amp;utm_source=sheet", "Apply")</f>
        <v>Apply</v>
      </c>
      <c r="C1591" s="10" t="s">
        <v>5703</v>
      </c>
      <c r="D1591" s="56" t="s">
        <v>5704</v>
      </c>
      <c r="E1591" s="10" t="s">
        <v>209</v>
      </c>
      <c r="F1591" s="10" t="s">
        <v>5705</v>
      </c>
      <c r="G1591" s="10" t="s">
        <v>2464</v>
      </c>
      <c r="H1591" s="10" t="s">
        <v>146</v>
      </c>
      <c r="I1591" s="10" t="s">
        <v>48</v>
      </c>
      <c r="K1591" s="10" t="s">
        <v>5706</v>
      </c>
      <c r="L1591" s="10" t="s">
        <v>42</v>
      </c>
    </row>
    <row r="1592" ht="15.75" customHeight="1">
      <c r="A1592" s="64">
        <v>45488.0</v>
      </c>
      <c r="B1592" s="55" t="str">
        <f>HYPERLINK("https://jobright.ai/jobs/info/66953fb08b80e051e5aea3ec?utm_campaign=1062&amp;utm_source=sheet", "Apply")</f>
        <v>Apply</v>
      </c>
      <c r="C1592" s="10" t="s">
        <v>5707</v>
      </c>
      <c r="D1592" s="56" t="s">
        <v>5159</v>
      </c>
      <c r="E1592" s="10" t="s">
        <v>45</v>
      </c>
      <c r="F1592" s="10" t="s">
        <v>1893</v>
      </c>
      <c r="G1592" s="10" t="s">
        <v>2443</v>
      </c>
      <c r="H1592" s="10" t="s">
        <v>965</v>
      </c>
      <c r="I1592" s="10" t="s">
        <v>55</v>
      </c>
      <c r="K1592" s="10" t="s">
        <v>5708</v>
      </c>
      <c r="L1592" s="10" t="s">
        <v>42</v>
      </c>
    </row>
    <row r="1593" ht="15.75" customHeight="1">
      <c r="A1593" s="64">
        <v>45488.0</v>
      </c>
      <c r="B1593" s="55" t="str">
        <f>HYPERLINK("https://jobright.ai/jobs/info/669e5878bd0f0c5d51992c82?utm_campaign=1062&amp;utm_source=sheet", "Apply")</f>
        <v>Apply</v>
      </c>
      <c r="C1593" s="10" t="s">
        <v>5709</v>
      </c>
      <c r="D1593" s="56" t="s">
        <v>2493</v>
      </c>
      <c r="E1593" s="10" t="s">
        <v>45</v>
      </c>
      <c r="F1593" s="10" t="s">
        <v>2494</v>
      </c>
      <c r="G1593" s="10" t="s">
        <v>2484</v>
      </c>
      <c r="H1593" s="10" t="s">
        <v>936</v>
      </c>
      <c r="I1593" s="10" t="s">
        <v>55</v>
      </c>
      <c r="K1593" s="10" t="s">
        <v>5710</v>
      </c>
      <c r="L1593" s="10" t="s">
        <v>42</v>
      </c>
    </row>
    <row r="1594" ht="15.75" customHeight="1">
      <c r="A1594" s="64">
        <v>45488.0</v>
      </c>
      <c r="B1594" s="55" t="str">
        <f>HYPERLINK("https://jobright.ai/jobs/info/669e5878bd0f0c5d51992c96?utm_campaign=1062&amp;utm_source=sheet", "Apply")</f>
        <v>Apply</v>
      </c>
      <c r="C1594" s="10" t="s">
        <v>5711</v>
      </c>
      <c r="D1594" s="56" t="s">
        <v>5712</v>
      </c>
      <c r="E1594" s="10" t="s">
        <v>45</v>
      </c>
      <c r="F1594" s="10" t="s">
        <v>5509</v>
      </c>
      <c r="G1594" s="10" t="s">
        <v>2437</v>
      </c>
      <c r="H1594" s="10" t="s">
        <v>3093</v>
      </c>
      <c r="I1594" s="10" t="s">
        <v>55</v>
      </c>
      <c r="K1594" s="10" t="s">
        <v>5713</v>
      </c>
      <c r="L1594" s="10" t="s">
        <v>42</v>
      </c>
    </row>
    <row r="1595" ht="15.75" customHeight="1">
      <c r="A1595" s="64">
        <v>45488.0</v>
      </c>
      <c r="B1595" s="55" t="str">
        <f>HYPERLINK("https://jobright.ai/jobs/info/66952a9eb235ba8947e72b1a?utm_campaign=1062&amp;utm_source=sheet", "Apply")</f>
        <v>Apply</v>
      </c>
      <c r="C1595" s="10" t="s">
        <v>5714</v>
      </c>
      <c r="D1595" s="56" t="s">
        <v>5715</v>
      </c>
      <c r="E1595" s="10" t="s">
        <v>65</v>
      </c>
      <c r="F1595" s="10" t="s">
        <v>1274</v>
      </c>
      <c r="G1595" s="10" t="s">
        <v>2470</v>
      </c>
      <c r="H1595" s="10" t="s">
        <v>844</v>
      </c>
      <c r="I1595" s="10" t="s">
        <v>55</v>
      </c>
      <c r="J1595" s="10" t="s">
        <v>5716</v>
      </c>
      <c r="K1595" s="10" t="s">
        <v>5717</v>
      </c>
      <c r="L1595" s="10" t="s">
        <v>42</v>
      </c>
    </row>
    <row r="1596" ht="15.75" customHeight="1">
      <c r="A1596" s="64">
        <v>45488.0</v>
      </c>
      <c r="B1596" s="55" t="str">
        <f>HYPERLINK("https://jobright.ai/jobs/info/669e5878bd0f0c5d51992ca7?utm_campaign=1062&amp;utm_source=sheet", "Apply")</f>
        <v>Apply</v>
      </c>
      <c r="C1596" s="10" t="s">
        <v>5718</v>
      </c>
      <c r="D1596" s="56" t="s">
        <v>5719</v>
      </c>
      <c r="E1596" s="10" t="s">
        <v>45</v>
      </c>
      <c r="F1596" s="10" t="s">
        <v>5690</v>
      </c>
      <c r="G1596" s="10" t="s">
        <v>2437</v>
      </c>
      <c r="H1596" s="10" t="s">
        <v>153</v>
      </c>
      <c r="I1596" s="10" t="s">
        <v>55</v>
      </c>
      <c r="K1596" s="10" t="s">
        <v>5720</v>
      </c>
      <c r="L1596" s="10" t="s">
        <v>42</v>
      </c>
    </row>
    <row r="1597" ht="15.75" customHeight="1">
      <c r="A1597" s="64">
        <v>45488.0</v>
      </c>
      <c r="B1597" s="55" t="str">
        <f>HYPERLINK("https://jobright.ai/jobs/info/669669e995acdb70e27826cb?utm_campaign=1062&amp;utm_source=sheet", "Apply")</f>
        <v>Apply</v>
      </c>
      <c r="C1597" s="10" t="s">
        <v>5682</v>
      </c>
      <c r="D1597" s="56" t="s">
        <v>4701</v>
      </c>
      <c r="E1597" s="10" t="s">
        <v>137</v>
      </c>
      <c r="F1597" s="10" t="s">
        <v>4702</v>
      </c>
      <c r="G1597" s="10" t="s">
        <v>2448</v>
      </c>
      <c r="H1597" s="10" t="s">
        <v>5721</v>
      </c>
      <c r="I1597" s="10" t="s">
        <v>55</v>
      </c>
      <c r="J1597" s="10" t="s">
        <v>5684</v>
      </c>
      <c r="K1597" s="10" t="s">
        <v>5685</v>
      </c>
      <c r="L1597" s="10" t="s">
        <v>42</v>
      </c>
    </row>
    <row r="1598" ht="15.75" customHeight="1">
      <c r="A1598" s="64">
        <v>45488.0</v>
      </c>
      <c r="B1598" s="55" t="str">
        <f>HYPERLINK("https://jobright.ai/jobs/info/669669e995acdb70e27826cc?utm_campaign=1062&amp;utm_source=sheet", "Apply")</f>
        <v>Apply</v>
      </c>
      <c r="C1598" s="10" t="s">
        <v>5682</v>
      </c>
      <c r="D1598" s="56" t="s">
        <v>4701</v>
      </c>
      <c r="E1598" s="10" t="s">
        <v>137</v>
      </c>
      <c r="F1598" s="10" t="s">
        <v>4702</v>
      </c>
      <c r="G1598" s="10" t="s">
        <v>2448</v>
      </c>
      <c r="H1598" s="10" t="s">
        <v>821</v>
      </c>
      <c r="I1598" s="10" t="s">
        <v>55</v>
      </c>
      <c r="J1598" s="10" t="s">
        <v>5684</v>
      </c>
      <c r="K1598" s="10" t="s">
        <v>5685</v>
      </c>
      <c r="L1598" s="10" t="s">
        <v>42</v>
      </c>
    </row>
    <row r="1599" ht="15.75" customHeight="1">
      <c r="A1599" s="64">
        <v>45488.0</v>
      </c>
      <c r="B1599" s="55" t="str">
        <f>HYPERLINK("https://jobright.ai/jobs/info/669e52731829144f3c797e8b?utm_campaign=1062&amp;utm_source=sheet", "Apply")</f>
        <v>Apply</v>
      </c>
      <c r="C1599" s="10" t="s">
        <v>5285</v>
      </c>
      <c r="D1599" s="56" t="s">
        <v>5722</v>
      </c>
      <c r="E1599" s="10" t="s">
        <v>65</v>
      </c>
      <c r="F1599" s="10" t="s">
        <v>620</v>
      </c>
      <c r="G1599" s="10" t="s">
        <v>2437</v>
      </c>
      <c r="H1599" s="10" t="s">
        <v>5723</v>
      </c>
      <c r="I1599" s="10" t="s">
        <v>55</v>
      </c>
      <c r="K1599" s="10" t="s">
        <v>5724</v>
      </c>
      <c r="L1599" s="10" t="s">
        <v>42</v>
      </c>
    </row>
    <row r="1600" ht="15.75" customHeight="1">
      <c r="A1600" s="64">
        <v>45488.0</v>
      </c>
      <c r="B1600" s="55" t="str">
        <f>HYPERLINK("https://jobright.ai/jobs/info/669a59a192bc939c3d7cd05c?utm_campaign=1062&amp;utm_source=sheet", "Apply")</f>
        <v>Apply</v>
      </c>
      <c r="C1600" s="10" t="s">
        <v>5725</v>
      </c>
      <c r="D1600" s="56" t="s">
        <v>4802</v>
      </c>
      <c r="E1600" s="10" t="s">
        <v>249</v>
      </c>
      <c r="F1600" s="10" t="s">
        <v>2470</v>
      </c>
      <c r="G1600" s="10" t="s">
        <v>2484</v>
      </c>
      <c r="H1600" s="10" t="s">
        <v>3532</v>
      </c>
      <c r="I1600" s="10" t="s">
        <v>55</v>
      </c>
      <c r="K1600" s="10" t="s">
        <v>4803</v>
      </c>
      <c r="L1600" s="10" t="s">
        <v>42</v>
      </c>
    </row>
    <row r="1601" ht="15.75" customHeight="1">
      <c r="A1601" s="64">
        <v>45488.0</v>
      </c>
      <c r="B1601" s="55" t="str">
        <f>HYPERLINK("https://jobright.ai/jobs/info/6695149bcd36b088d5124247?utm_campaign=1062&amp;utm_source=sheet", "Apply")</f>
        <v>Apply</v>
      </c>
      <c r="C1601" s="10" t="s">
        <v>5726</v>
      </c>
      <c r="D1601" s="56" t="s">
        <v>5727</v>
      </c>
      <c r="E1601" s="10">
        <v>9345.0</v>
      </c>
      <c r="G1601" s="10" t="s">
        <v>2443</v>
      </c>
      <c r="H1601" s="10" t="s">
        <v>5728</v>
      </c>
      <c r="I1601" s="10" t="s">
        <v>55</v>
      </c>
      <c r="K1601" s="10" t="s">
        <v>5729</v>
      </c>
      <c r="L1601" s="10" t="s">
        <v>42</v>
      </c>
    </row>
    <row r="1602" ht="15.75" customHeight="1">
      <c r="A1602" s="64">
        <v>45488.0</v>
      </c>
      <c r="B1602" s="55" t="str">
        <f>HYPERLINK("https://jobright.ai/jobs/info/669e4c33892b00836a41a46a?utm_campaign=1062&amp;utm_source=sheet", "Apply")</f>
        <v>Apply</v>
      </c>
      <c r="C1602" s="10" t="s">
        <v>5730</v>
      </c>
      <c r="D1602" s="56" t="s">
        <v>5731</v>
      </c>
      <c r="E1602" s="10">
        <v>403.0</v>
      </c>
      <c r="G1602" s="10" t="s">
        <v>2437</v>
      </c>
      <c r="H1602" s="10" t="s">
        <v>429</v>
      </c>
      <c r="I1602" s="10" t="s">
        <v>55</v>
      </c>
      <c r="K1602" s="10" t="s">
        <v>5732</v>
      </c>
      <c r="L1602" s="10" t="s">
        <v>42</v>
      </c>
    </row>
    <row r="1603" ht="15.75" customHeight="1">
      <c r="A1603" s="64">
        <v>45488.0</v>
      </c>
      <c r="B1603" s="55" t="str">
        <f>HYPERLINK("https://jobright.ai/jobs/info/669e40b84ef9507440b48608?utm_campaign=1062&amp;utm_source=sheet", "Apply")</f>
        <v>Apply</v>
      </c>
      <c r="C1603" s="10" t="s">
        <v>4348</v>
      </c>
      <c r="D1603" s="56" t="s">
        <v>2462</v>
      </c>
      <c r="E1603" s="10" t="s">
        <v>79</v>
      </c>
      <c r="F1603" s="10" t="s">
        <v>2463</v>
      </c>
      <c r="G1603" s="10" t="s">
        <v>2437</v>
      </c>
      <c r="H1603" s="10" t="s">
        <v>167</v>
      </c>
      <c r="I1603" s="10" t="s">
        <v>55</v>
      </c>
      <c r="K1603" s="10" t="s">
        <v>4349</v>
      </c>
      <c r="L1603" s="10" t="s">
        <v>42</v>
      </c>
    </row>
    <row r="1604" ht="15.75" customHeight="1">
      <c r="A1604" s="64">
        <v>45488.0</v>
      </c>
      <c r="B1604" s="55" t="str">
        <f>HYPERLINK("https://jobright.ai/jobs/info/669e40b84ef9507440b4860d?utm_campaign=1062&amp;utm_source=sheet", "Apply")</f>
        <v>Apply</v>
      </c>
      <c r="C1604" s="10" t="s">
        <v>5733</v>
      </c>
      <c r="D1604" s="56" t="s">
        <v>4708</v>
      </c>
      <c r="E1604" s="10" t="s">
        <v>71</v>
      </c>
      <c r="F1604" s="10" t="s">
        <v>4709</v>
      </c>
      <c r="G1604" s="10" t="s">
        <v>2502</v>
      </c>
      <c r="H1604" s="10" t="s">
        <v>5734</v>
      </c>
      <c r="I1604" s="10" t="s">
        <v>55</v>
      </c>
      <c r="J1604" s="10" t="s">
        <v>5735</v>
      </c>
      <c r="K1604" s="10" t="s">
        <v>5736</v>
      </c>
      <c r="L1604" s="10" t="s">
        <v>42</v>
      </c>
    </row>
    <row r="1605" ht="15.75" customHeight="1">
      <c r="A1605" s="64">
        <v>45488.0</v>
      </c>
      <c r="B1605" s="55" t="str">
        <f>HYPERLINK("https://jobright.ai/jobs/info/663e619e7b81b60fc6b96e12?utm_campaign=1062&amp;utm_source=sheet", "Apply")</f>
        <v>Apply</v>
      </c>
      <c r="C1605" s="10" t="s">
        <v>5737</v>
      </c>
      <c r="D1605" s="56" t="s">
        <v>614</v>
      </c>
      <c r="E1605" s="10" t="s">
        <v>65</v>
      </c>
      <c r="F1605" s="10" t="s">
        <v>615</v>
      </c>
      <c r="G1605" s="10" t="s">
        <v>2448</v>
      </c>
      <c r="H1605" s="10" t="s">
        <v>5738</v>
      </c>
      <c r="I1605" s="10" t="s">
        <v>55</v>
      </c>
      <c r="K1605" s="10" t="s">
        <v>5739</v>
      </c>
      <c r="L1605" s="10" t="s">
        <v>42</v>
      </c>
    </row>
    <row r="1606" ht="15.75" customHeight="1">
      <c r="A1606" s="64">
        <v>45488.0</v>
      </c>
      <c r="B1606" s="55" t="str">
        <f>HYPERLINK("https://jobright.ai/jobs/info/66910e9a5b378671cbeb1e6e?utm_campaign=1062&amp;utm_source=sheet", "Apply")</f>
        <v>Apply</v>
      </c>
      <c r="C1606" s="10" t="s">
        <v>5740</v>
      </c>
      <c r="D1606" s="56" t="s">
        <v>5741</v>
      </c>
      <c r="E1606" s="10" t="s">
        <v>45</v>
      </c>
      <c r="F1606" s="10" t="s">
        <v>665</v>
      </c>
      <c r="G1606" s="10" t="s">
        <v>2437</v>
      </c>
      <c r="H1606" s="10" t="s">
        <v>5742</v>
      </c>
      <c r="I1606" s="10" t="s">
        <v>55</v>
      </c>
      <c r="K1606" s="10" t="s">
        <v>5743</v>
      </c>
      <c r="L1606" s="10" t="s">
        <v>42</v>
      </c>
    </row>
    <row r="1607" ht="15.75" customHeight="1">
      <c r="A1607" s="64">
        <v>45488.0</v>
      </c>
      <c r="B1607" s="55" t="str">
        <f>HYPERLINK("https://jobright.ai/jobs/info/663ef26fdb0c4a12212bcd1a?utm_campaign=1062&amp;utm_source=sheet", "Apply")</f>
        <v>Apply</v>
      </c>
      <c r="C1607" s="10" t="s">
        <v>4517</v>
      </c>
      <c r="D1607" s="56" t="s">
        <v>2925</v>
      </c>
      <c r="E1607" s="10" t="s">
        <v>45</v>
      </c>
      <c r="F1607" s="10" t="s">
        <v>2926</v>
      </c>
      <c r="G1607" s="10" t="s">
        <v>2443</v>
      </c>
      <c r="H1607" s="10" t="s">
        <v>2996</v>
      </c>
      <c r="I1607" s="10" t="s">
        <v>55</v>
      </c>
      <c r="K1607" s="10" t="s">
        <v>4518</v>
      </c>
      <c r="L1607" s="10" t="s">
        <v>42</v>
      </c>
    </row>
    <row r="1608" ht="15.75" customHeight="1">
      <c r="A1608" s="64">
        <v>45488.0</v>
      </c>
      <c r="B1608" s="55" t="str">
        <f>HYPERLINK("https://jobright.ai/jobs/info/663e6d8edde6468cda177430?utm_campaign=1062&amp;utm_source=sheet", "Apply")</f>
        <v>Apply</v>
      </c>
      <c r="C1608" s="10" t="s">
        <v>5744</v>
      </c>
      <c r="D1608" s="56" t="s">
        <v>3458</v>
      </c>
      <c r="E1608" s="10" t="s">
        <v>65</v>
      </c>
      <c r="F1608" s="10" t="s">
        <v>615</v>
      </c>
      <c r="G1608" s="10" t="s">
        <v>2437</v>
      </c>
      <c r="H1608" s="10" t="s">
        <v>628</v>
      </c>
      <c r="I1608" s="10" t="s">
        <v>55</v>
      </c>
      <c r="K1608" s="10" t="s">
        <v>5745</v>
      </c>
      <c r="L1608" s="10" t="s">
        <v>42</v>
      </c>
    </row>
    <row r="1609" ht="15.75" customHeight="1">
      <c r="A1609" s="64">
        <v>45488.0</v>
      </c>
      <c r="B1609" s="55" t="str">
        <f>HYPERLINK("https://jobright.ai/jobs/info/6694d9821da80c006179b90e?utm_campaign=1062&amp;utm_source=sheet", "Apply")</f>
        <v>Apply</v>
      </c>
      <c r="C1609" s="10" t="s">
        <v>5746</v>
      </c>
      <c r="D1609" s="56" t="s">
        <v>5747</v>
      </c>
      <c r="E1609" s="10" t="s">
        <v>249</v>
      </c>
      <c r="G1609" s="10" t="s">
        <v>2437</v>
      </c>
      <c r="H1609" s="10" t="s">
        <v>251</v>
      </c>
      <c r="I1609" s="10" t="s">
        <v>252</v>
      </c>
      <c r="K1609" s="10" t="s">
        <v>5748</v>
      </c>
      <c r="L1609" s="10" t="s">
        <v>42</v>
      </c>
    </row>
    <row r="1610" ht="15.75" customHeight="1">
      <c r="A1610" s="64">
        <v>45488.0</v>
      </c>
      <c r="B1610" s="55" t="str">
        <f>HYPERLINK("https://jobright.ai/jobs/info/66975a60ab5f4878de7f82bd?utm_campaign=1062&amp;utm_source=sheet", "Apply")</f>
        <v>Apply</v>
      </c>
      <c r="C1610" s="10" t="s">
        <v>5749</v>
      </c>
      <c r="D1610" s="56" t="s">
        <v>5750</v>
      </c>
      <c r="E1610" s="10" t="s">
        <v>79</v>
      </c>
      <c r="F1610" s="10" t="s">
        <v>331</v>
      </c>
      <c r="G1610" s="10" t="s">
        <v>2448</v>
      </c>
      <c r="H1610" s="10" t="s">
        <v>807</v>
      </c>
      <c r="I1610" s="10" t="s">
        <v>55</v>
      </c>
      <c r="K1610" s="10" t="s">
        <v>5751</v>
      </c>
      <c r="L1610" s="10" t="s">
        <v>42</v>
      </c>
    </row>
    <row r="1611" ht="15.75" customHeight="1">
      <c r="A1611" s="64">
        <v>45488.0</v>
      </c>
      <c r="B1611" s="55" t="str">
        <f>HYPERLINK("https://jobright.ai/jobs/info/6694b13962a91d39f361c747?utm_campaign=1062&amp;utm_source=sheet", "Apply")</f>
        <v>Apply</v>
      </c>
      <c r="C1611" s="10" t="s">
        <v>5752</v>
      </c>
      <c r="D1611" s="56" t="s">
        <v>5753</v>
      </c>
      <c r="E1611" s="10" t="s">
        <v>45</v>
      </c>
      <c r="F1611" s="10" t="s">
        <v>660</v>
      </c>
      <c r="G1611" s="10" t="s">
        <v>2484</v>
      </c>
      <c r="H1611" s="10" t="s">
        <v>819</v>
      </c>
      <c r="I1611" s="10" t="s">
        <v>55</v>
      </c>
      <c r="K1611" s="10" t="s">
        <v>5754</v>
      </c>
      <c r="L1611" s="10" t="s">
        <v>42</v>
      </c>
    </row>
    <row r="1612" ht="15.75" customHeight="1">
      <c r="A1612" s="64">
        <v>45488.0</v>
      </c>
      <c r="B1612" s="55" t="str">
        <f>HYPERLINK("https://jobright.ai/jobs/info/6694c64d1f8c10ca78afac3e?utm_campaign=1062&amp;utm_source=sheet", "Apply")</f>
        <v>Apply</v>
      </c>
      <c r="C1612" s="10" t="s">
        <v>5755</v>
      </c>
      <c r="D1612" s="56" t="s">
        <v>5756</v>
      </c>
      <c r="E1612" s="10" t="s">
        <v>45</v>
      </c>
      <c r="F1612" s="10" t="s">
        <v>1184</v>
      </c>
      <c r="G1612" s="10" t="s">
        <v>2484</v>
      </c>
      <c r="H1612" s="10" t="s">
        <v>955</v>
      </c>
      <c r="I1612" s="10" t="s">
        <v>55</v>
      </c>
      <c r="K1612" s="10" t="s">
        <v>5757</v>
      </c>
      <c r="L1612" s="10" t="s">
        <v>42</v>
      </c>
    </row>
    <row r="1613" ht="15.75" customHeight="1">
      <c r="A1613" s="64">
        <v>45488.0</v>
      </c>
      <c r="B1613" s="55" t="str">
        <f>HYPERLINK("https://jobright.ai/jobs/info/6694b13962a91d39f361c6c7?utm_campaign=1062&amp;utm_source=sheet", "Apply")</f>
        <v>Apply</v>
      </c>
      <c r="C1613" s="10" t="s">
        <v>5758</v>
      </c>
      <c r="D1613" s="56" t="s">
        <v>5759</v>
      </c>
      <c r="E1613" s="10" t="s">
        <v>45</v>
      </c>
      <c r="F1613" s="10" t="s">
        <v>4000</v>
      </c>
      <c r="G1613" s="10" t="s">
        <v>2448</v>
      </c>
      <c r="H1613" s="10" t="s">
        <v>1047</v>
      </c>
      <c r="I1613" s="10" t="s">
        <v>55</v>
      </c>
      <c r="K1613" s="10" t="s">
        <v>5760</v>
      </c>
      <c r="L1613" s="10" t="s">
        <v>42</v>
      </c>
    </row>
    <row r="1614" ht="15.75" customHeight="1">
      <c r="A1614" s="64">
        <v>45488.0</v>
      </c>
      <c r="B1614" s="55" t="str">
        <f>HYPERLINK("https://jobright.ai/jobs/info/6695f3365a520c9840838e34?utm_campaign=1062&amp;utm_source=sheet", "Apply")</f>
        <v>Apply</v>
      </c>
      <c r="C1614" s="10" t="s">
        <v>5611</v>
      </c>
      <c r="D1614" s="56" t="s">
        <v>567</v>
      </c>
      <c r="E1614" s="10" t="s">
        <v>65</v>
      </c>
      <c r="F1614" s="10" t="s">
        <v>568</v>
      </c>
      <c r="G1614" s="10" t="s">
        <v>2448</v>
      </c>
      <c r="H1614" s="10" t="s">
        <v>5761</v>
      </c>
      <c r="I1614" s="10" t="s">
        <v>55</v>
      </c>
      <c r="K1614" s="10" t="s">
        <v>4614</v>
      </c>
      <c r="L1614" s="10" t="s">
        <v>42</v>
      </c>
    </row>
    <row r="1615" ht="15.75" customHeight="1">
      <c r="A1615" s="64">
        <v>45488.0</v>
      </c>
      <c r="B1615" s="55" t="str">
        <f>HYPERLINK("https://jobright.ai/jobs/info/6695f3365a520c9840838e35?utm_campaign=1062&amp;utm_source=sheet", "Apply")</f>
        <v>Apply</v>
      </c>
      <c r="C1615" s="10" t="s">
        <v>5611</v>
      </c>
      <c r="D1615" s="56" t="s">
        <v>567</v>
      </c>
      <c r="E1615" s="10" t="s">
        <v>65</v>
      </c>
      <c r="F1615" s="10" t="s">
        <v>568</v>
      </c>
      <c r="G1615" s="10" t="s">
        <v>2448</v>
      </c>
      <c r="H1615" s="10" t="s">
        <v>131</v>
      </c>
      <c r="I1615" s="10" t="s">
        <v>55</v>
      </c>
      <c r="K1615" s="10" t="s">
        <v>4614</v>
      </c>
      <c r="L1615" s="10" t="s">
        <v>42</v>
      </c>
    </row>
    <row r="1616" ht="15.75" customHeight="1">
      <c r="A1616" s="64">
        <v>45488.0</v>
      </c>
      <c r="B1616" s="55" t="str">
        <f>HYPERLINK("https://jobright.ai/jobs/info/6695f3405a520c9840838e38?utm_campaign=1062&amp;utm_source=sheet", "Apply")</f>
        <v>Apply</v>
      </c>
      <c r="C1616" s="10" t="s">
        <v>5612</v>
      </c>
      <c r="D1616" s="56" t="s">
        <v>567</v>
      </c>
      <c r="E1616" s="10" t="s">
        <v>65</v>
      </c>
      <c r="F1616" s="10" t="s">
        <v>568</v>
      </c>
      <c r="G1616" s="10" t="s">
        <v>2448</v>
      </c>
      <c r="H1616" s="10" t="s">
        <v>5761</v>
      </c>
      <c r="I1616" s="10" t="s">
        <v>55</v>
      </c>
      <c r="K1616" s="10" t="s">
        <v>3024</v>
      </c>
      <c r="L1616" s="10" t="s">
        <v>42</v>
      </c>
    </row>
    <row r="1617" ht="15.75" customHeight="1">
      <c r="A1617" s="64">
        <v>45488.0</v>
      </c>
      <c r="B1617" s="55" t="str">
        <f>HYPERLINK("https://jobright.ai/jobs/info/6695bb66b961df374871a5f7?utm_campaign=1062&amp;utm_source=sheet", "Apply")</f>
        <v>Apply</v>
      </c>
      <c r="C1617" s="10" t="s">
        <v>5611</v>
      </c>
      <c r="D1617" s="56" t="s">
        <v>567</v>
      </c>
      <c r="E1617" s="10" t="s">
        <v>65</v>
      </c>
      <c r="F1617" s="10" t="s">
        <v>568</v>
      </c>
      <c r="G1617" s="10" t="s">
        <v>2448</v>
      </c>
      <c r="H1617" s="10" t="s">
        <v>740</v>
      </c>
      <c r="I1617" s="10" t="s">
        <v>55</v>
      </c>
      <c r="K1617" s="10" t="s">
        <v>4614</v>
      </c>
      <c r="L1617" s="10" t="s">
        <v>42</v>
      </c>
    </row>
    <row r="1618" ht="15.75" customHeight="1">
      <c r="A1618" s="64">
        <v>45488.0</v>
      </c>
      <c r="B1618" s="55" t="str">
        <f>HYPERLINK("https://jobright.ai/jobs/info/6695bb66b961df374871a5f4?utm_campaign=1062&amp;utm_source=sheet", "Apply")</f>
        <v>Apply</v>
      </c>
      <c r="C1618" s="10" t="s">
        <v>5612</v>
      </c>
      <c r="D1618" s="56" t="s">
        <v>567</v>
      </c>
      <c r="E1618" s="10" t="s">
        <v>65</v>
      </c>
      <c r="F1618" s="10" t="s">
        <v>568</v>
      </c>
      <c r="G1618" s="10" t="s">
        <v>2448</v>
      </c>
      <c r="H1618" s="10" t="s">
        <v>816</v>
      </c>
      <c r="I1618" s="10" t="s">
        <v>55</v>
      </c>
      <c r="K1618" s="10" t="s">
        <v>3024</v>
      </c>
      <c r="L1618" s="10" t="s">
        <v>42</v>
      </c>
    </row>
    <row r="1619" ht="15.75" customHeight="1">
      <c r="A1619" s="64">
        <v>45488.0</v>
      </c>
      <c r="B1619" s="55" t="str">
        <f>HYPERLINK("https://jobright.ai/jobs/info/6695bb66b961df374871a5fb?utm_campaign=1062&amp;utm_source=sheet", "Apply")</f>
        <v>Apply</v>
      </c>
      <c r="C1619" s="10" t="s">
        <v>5611</v>
      </c>
      <c r="D1619" s="56" t="s">
        <v>567</v>
      </c>
      <c r="E1619" s="10" t="s">
        <v>65</v>
      </c>
      <c r="F1619" s="10" t="s">
        <v>568</v>
      </c>
      <c r="G1619" s="10" t="s">
        <v>2448</v>
      </c>
      <c r="H1619" s="10" t="s">
        <v>174</v>
      </c>
      <c r="I1619" s="10" t="s">
        <v>55</v>
      </c>
      <c r="K1619" s="10" t="s">
        <v>4614</v>
      </c>
      <c r="L1619" s="10" t="s">
        <v>42</v>
      </c>
    </row>
    <row r="1620" ht="15.75" customHeight="1">
      <c r="A1620" s="64">
        <v>45488.0</v>
      </c>
      <c r="B1620" s="55" t="str">
        <f>HYPERLINK("https://jobright.ai/jobs/info/6695bb66b961df374871a5f5?utm_campaign=1062&amp;utm_source=sheet", "Apply")</f>
        <v>Apply</v>
      </c>
      <c r="C1620" s="10" t="s">
        <v>5612</v>
      </c>
      <c r="D1620" s="56" t="s">
        <v>567</v>
      </c>
      <c r="E1620" s="10" t="s">
        <v>65</v>
      </c>
      <c r="F1620" s="10" t="s">
        <v>568</v>
      </c>
      <c r="G1620" s="10" t="s">
        <v>2448</v>
      </c>
      <c r="H1620" s="10" t="s">
        <v>949</v>
      </c>
      <c r="I1620" s="10" t="s">
        <v>55</v>
      </c>
      <c r="K1620" s="10" t="s">
        <v>3024</v>
      </c>
      <c r="L1620" s="10" t="s">
        <v>42</v>
      </c>
    </row>
    <row r="1621" ht="15.75" customHeight="1">
      <c r="A1621" s="64">
        <v>45488.0</v>
      </c>
      <c r="B1621" s="55" t="str">
        <f>HYPERLINK("https://jobright.ai/jobs/info/6695ad68558c652286483742?utm_campaign=1062&amp;utm_source=sheet", "Apply")</f>
        <v>Apply</v>
      </c>
      <c r="C1621" s="10" t="s">
        <v>5762</v>
      </c>
      <c r="D1621" s="56" t="s">
        <v>5763</v>
      </c>
      <c r="E1621" s="10" t="s">
        <v>276</v>
      </c>
      <c r="F1621" s="10" t="s">
        <v>3770</v>
      </c>
      <c r="G1621" s="10" t="s">
        <v>2448</v>
      </c>
      <c r="H1621" s="10" t="s">
        <v>5764</v>
      </c>
      <c r="I1621" s="10" t="s">
        <v>55</v>
      </c>
      <c r="K1621" s="10" t="s">
        <v>5765</v>
      </c>
      <c r="L1621" s="10" t="s">
        <v>42</v>
      </c>
    </row>
    <row r="1622" ht="15.75" customHeight="1">
      <c r="A1622" s="64">
        <v>45488.0</v>
      </c>
      <c r="B1622" s="55" t="str">
        <f>HYPERLINK("https://jobright.ai/jobs/info/6695ad68558c652286483704?utm_campaign=1062&amp;utm_source=sheet", "Apply")</f>
        <v>Apply</v>
      </c>
      <c r="C1622" s="10" t="s">
        <v>5766</v>
      </c>
      <c r="D1622" s="56" t="s">
        <v>5767</v>
      </c>
      <c r="E1622" s="10" t="s">
        <v>276</v>
      </c>
      <c r="F1622" s="10" t="s">
        <v>5768</v>
      </c>
      <c r="G1622" s="10" t="s">
        <v>2437</v>
      </c>
      <c r="H1622" s="10" t="s">
        <v>636</v>
      </c>
      <c r="I1622" s="10" t="s">
        <v>55</v>
      </c>
      <c r="K1622" s="10" t="s">
        <v>5769</v>
      </c>
      <c r="L1622" s="10" t="s">
        <v>42</v>
      </c>
    </row>
    <row r="1623" ht="15.75" customHeight="1">
      <c r="A1623" s="64">
        <v>45488.0</v>
      </c>
      <c r="B1623" s="55" t="str">
        <f>HYPERLINK("https://jobright.ai/jobs/info/6695c4c92827ecd0c0056b9f?utm_campaign=1062&amp;utm_source=sheet", "Apply")</f>
        <v>Apply</v>
      </c>
      <c r="C1623" s="10" t="s">
        <v>5611</v>
      </c>
      <c r="D1623" s="56" t="s">
        <v>567</v>
      </c>
      <c r="E1623" s="10" t="s">
        <v>65</v>
      </c>
      <c r="F1623" s="10" t="s">
        <v>568</v>
      </c>
      <c r="G1623" s="10" t="s">
        <v>2448</v>
      </c>
      <c r="H1623" s="10" t="s">
        <v>816</v>
      </c>
      <c r="I1623" s="10" t="s">
        <v>55</v>
      </c>
      <c r="K1623" s="10" t="s">
        <v>4614</v>
      </c>
      <c r="L1623" s="10" t="s">
        <v>42</v>
      </c>
    </row>
    <row r="1624" ht="15.75" customHeight="1">
      <c r="A1624" s="64">
        <v>45488.0</v>
      </c>
      <c r="B1624" s="55" t="str">
        <f>HYPERLINK("https://jobright.ai/jobs/info/6695c4c92827ecd0c0056ba0?utm_campaign=1062&amp;utm_source=sheet", "Apply")</f>
        <v>Apply</v>
      </c>
      <c r="C1624" s="10" t="s">
        <v>5611</v>
      </c>
      <c r="D1624" s="56" t="s">
        <v>567</v>
      </c>
      <c r="E1624" s="10" t="s">
        <v>65</v>
      </c>
      <c r="F1624" s="10" t="s">
        <v>568</v>
      </c>
      <c r="G1624" s="10" t="s">
        <v>2448</v>
      </c>
      <c r="H1624" s="10" t="s">
        <v>974</v>
      </c>
      <c r="I1624" s="10" t="s">
        <v>55</v>
      </c>
      <c r="K1624" s="10" t="s">
        <v>4614</v>
      </c>
      <c r="L1624" s="10" t="s">
        <v>42</v>
      </c>
    </row>
    <row r="1625" ht="15.75" customHeight="1">
      <c r="A1625" s="64">
        <v>45488.0</v>
      </c>
      <c r="B1625" s="55" t="str">
        <f>HYPERLINK("https://jobright.ai/jobs/info/66958af18c82d15a242a0261?utm_campaign=1062&amp;utm_source=sheet", "Apply")</f>
        <v>Apply</v>
      </c>
      <c r="C1625" s="10" t="s">
        <v>5770</v>
      </c>
      <c r="D1625" s="56" t="s">
        <v>1265</v>
      </c>
      <c r="E1625" s="10" t="s">
        <v>276</v>
      </c>
      <c r="F1625" s="10" t="s">
        <v>1266</v>
      </c>
      <c r="G1625" s="10" t="s">
        <v>2484</v>
      </c>
      <c r="H1625" s="10" t="s">
        <v>5771</v>
      </c>
      <c r="I1625" s="10" t="s">
        <v>55</v>
      </c>
      <c r="J1625" s="10" t="s">
        <v>5772</v>
      </c>
      <c r="K1625" s="10" t="s">
        <v>5773</v>
      </c>
      <c r="L1625" s="10" t="s">
        <v>42</v>
      </c>
    </row>
    <row r="1626" ht="15.75" customHeight="1">
      <c r="A1626" s="64">
        <v>45488.0</v>
      </c>
      <c r="B1626" s="55" t="str">
        <f>HYPERLINK("https://jobright.ai/jobs/info/6695b2ae8ab1c2f1e1d3af23?utm_campaign=1062&amp;utm_source=sheet", "Apply")</f>
        <v>Apply</v>
      </c>
      <c r="C1626" s="10" t="s">
        <v>5611</v>
      </c>
      <c r="D1626" s="56" t="s">
        <v>567</v>
      </c>
      <c r="E1626" s="10" t="s">
        <v>65</v>
      </c>
      <c r="F1626" s="10" t="s">
        <v>568</v>
      </c>
      <c r="G1626" s="10" t="s">
        <v>2448</v>
      </c>
      <c r="H1626" s="10" t="s">
        <v>810</v>
      </c>
      <c r="I1626" s="10" t="s">
        <v>55</v>
      </c>
      <c r="K1626" s="10" t="s">
        <v>4614</v>
      </c>
      <c r="L1626" s="10" t="s">
        <v>42</v>
      </c>
    </row>
    <row r="1627" ht="15.75" customHeight="1">
      <c r="A1627" s="64">
        <v>45488.0</v>
      </c>
      <c r="B1627" s="55" t="str">
        <f>HYPERLINK("https://jobright.ai/jobs/info/6695b2ae8ab1c2f1e1d3af24?utm_campaign=1062&amp;utm_source=sheet", "Apply")</f>
        <v>Apply</v>
      </c>
      <c r="C1627" s="10" t="s">
        <v>5611</v>
      </c>
      <c r="D1627" s="56" t="s">
        <v>567</v>
      </c>
      <c r="E1627" s="10" t="s">
        <v>65</v>
      </c>
      <c r="F1627" s="10" t="s">
        <v>568</v>
      </c>
      <c r="G1627" s="10" t="s">
        <v>2448</v>
      </c>
      <c r="H1627" s="10" t="s">
        <v>628</v>
      </c>
      <c r="I1627" s="10" t="s">
        <v>55</v>
      </c>
      <c r="K1627" s="10" t="s">
        <v>4614</v>
      </c>
      <c r="L1627" s="10" t="s">
        <v>42</v>
      </c>
    </row>
    <row r="1628" ht="15.75" customHeight="1">
      <c r="A1628" s="64">
        <v>45488.0</v>
      </c>
      <c r="B1628" s="55" t="str">
        <f>HYPERLINK("https://jobright.ai/jobs/info/6695b2ae8ab1c2f1e1d3af26?utm_campaign=1062&amp;utm_source=sheet", "Apply")</f>
        <v>Apply</v>
      </c>
      <c r="C1628" s="10" t="s">
        <v>5612</v>
      </c>
      <c r="D1628" s="56" t="s">
        <v>567</v>
      </c>
      <c r="E1628" s="10" t="s">
        <v>65</v>
      </c>
      <c r="F1628" s="10" t="s">
        <v>568</v>
      </c>
      <c r="G1628" s="10" t="s">
        <v>2448</v>
      </c>
      <c r="H1628" s="10" t="s">
        <v>872</v>
      </c>
      <c r="I1628" s="10" t="s">
        <v>55</v>
      </c>
      <c r="K1628" s="10" t="s">
        <v>3024</v>
      </c>
      <c r="L1628" s="10" t="s">
        <v>42</v>
      </c>
    </row>
    <row r="1629" ht="15.75" customHeight="1">
      <c r="A1629" s="64">
        <v>45488.0</v>
      </c>
      <c r="B1629" s="55" t="str">
        <f>HYPERLINK("https://jobright.ai/jobs/info/6695b2ae8ab1c2f1e1d3af25?utm_campaign=1062&amp;utm_source=sheet", "Apply")</f>
        <v>Apply</v>
      </c>
      <c r="C1629" s="10" t="s">
        <v>5612</v>
      </c>
      <c r="D1629" s="56" t="s">
        <v>567</v>
      </c>
      <c r="E1629" s="10" t="s">
        <v>65</v>
      </c>
      <c r="F1629" s="10" t="s">
        <v>568</v>
      </c>
      <c r="G1629" s="10" t="s">
        <v>2448</v>
      </c>
      <c r="H1629" s="10" t="s">
        <v>914</v>
      </c>
      <c r="I1629" s="10" t="s">
        <v>55</v>
      </c>
      <c r="K1629" s="10" t="s">
        <v>3024</v>
      </c>
      <c r="L1629" s="10" t="s">
        <v>42</v>
      </c>
    </row>
    <row r="1630" ht="15.75" customHeight="1">
      <c r="A1630" s="64">
        <v>45488.0</v>
      </c>
      <c r="B1630" s="55" t="str">
        <f>HYPERLINK("https://jobright.ai/jobs/info/6695b2ae8ab1c2f1e1d3af27?utm_campaign=1062&amp;utm_source=sheet", "Apply")</f>
        <v>Apply</v>
      </c>
      <c r="C1630" s="10" t="s">
        <v>5611</v>
      </c>
      <c r="D1630" s="56" t="s">
        <v>567</v>
      </c>
      <c r="E1630" s="10" t="s">
        <v>65</v>
      </c>
      <c r="F1630" s="10" t="s">
        <v>568</v>
      </c>
      <c r="G1630" s="10" t="s">
        <v>2448</v>
      </c>
      <c r="H1630" s="10" t="s">
        <v>5616</v>
      </c>
      <c r="I1630" s="10" t="s">
        <v>55</v>
      </c>
      <c r="K1630" s="10" t="s">
        <v>4614</v>
      </c>
      <c r="L1630" s="10" t="s">
        <v>42</v>
      </c>
    </row>
    <row r="1631" ht="15.75" customHeight="1">
      <c r="A1631" s="64">
        <v>45488.0</v>
      </c>
      <c r="B1631" s="55" t="str">
        <f>HYPERLINK("https://jobright.ai/jobs/info/6695b2ae8ab1c2f1e1d3af28?utm_campaign=1062&amp;utm_source=sheet", "Apply")</f>
        <v>Apply</v>
      </c>
      <c r="C1631" s="10" t="s">
        <v>5611</v>
      </c>
      <c r="D1631" s="56" t="s">
        <v>567</v>
      </c>
      <c r="E1631" s="10" t="s">
        <v>65</v>
      </c>
      <c r="F1631" s="10" t="s">
        <v>568</v>
      </c>
      <c r="G1631" s="10" t="s">
        <v>2448</v>
      </c>
      <c r="H1631" s="10" t="s">
        <v>1978</v>
      </c>
      <c r="I1631" s="10" t="s">
        <v>55</v>
      </c>
      <c r="K1631" s="10" t="s">
        <v>4614</v>
      </c>
      <c r="L1631" s="10" t="s">
        <v>42</v>
      </c>
    </row>
    <row r="1632" ht="15.75" customHeight="1">
      <c r="A1632" s="64">
        <v>45488.0</v>
      </c>
      <c r="B1632" s="55" t="str">
        <f>HYPERLINK("https://jobright.ai/jobs/info/6695b0e1a8378444645395ab?utm_campaign=1062&amp;utm_source=sheet", "Apply")</f>
        <v>Apply</v>
      </c>
      <c r="C1632" s="10" t="s">
        <v>5612</v>
      </c>
      <c r="D1632" s="56" t="s">
        <v>567</v>
      </c>
      <c r="E1632" s="10" t="s">
        <v>65</v>
      </c>
      <c r="F1632" s="10" t="s">
        <v>568</v>
      </c>
      <c r="G1632" s="10" t="s">
        <v>2448</v>
      </c>
      <c r="H1632" s="10" t="s">
        <v>788</v>
      </c>
      <c r="I1632" s="10" t="s">
        <v>55</v>
      </c>
      <c r="K1632" s="10" t="s">
        <v>3024</v>
      </c>
      <c r="L1632" s="10" t="s">
        <v>42</v>
      </c>
    </row>
    <row r="1633" ht="15.75" customHeight="1">
      <c r="A1633" s="64">
        <v>45488.0</v>
      </c>
      <c r="B1633" s="55" t="str">
        <f>HYPERLINK("https://jobright.ai/jobs/info/6695b0e1a8378444645395ac?utm_campaign=1062&amp;utm_source=sheet", "Apply")</f>
        <v>Apply</v>
      </c>
      <c r="C1633" s="10" t="s">
        <v>5612</v>
      </c>
      <c r="D1633" s="56" t="s">
        <v>567</v>
      </c>
      <c r="E1633" s="10" t="s">
        <v>65</v>
      </c>
      <c r="F1633" s="10" t="s">
        <v>568</v>
      </c>
      <c r="G1633" s="10" t="s">
        <v>2448</v>
      </c>
      <c r="H1633" s="10" t="s">
        <v>994</v>
      </c>
      <c r="I1633" s="10" t="s">
        <v>55</v>
      </c>
      <c r="K1633" s="10" t="s">
        <v>3024</v>
      </c>
      <c r="L1633" s="10" t="s">
        <v>42</v>
      </c>
    </row>
    <row r="1634" ht="15.75" customHeight="1">
      <c r="A1634" s="64">
        <v>45488.0</v>
      </c>
      <c r="B1634" s="55" t="str">
        <f>HYPERLINK("https://jobright.ai/jobs/info/6695b0e1a8378444645395ad?utm_campaign=1062&amp;utm_source=sheet", "Apply")</f>
        <v>Apply</v>
      </c>
      <c r="C1634" s="10" t="s">
        <v>5612</v>
      </c>
      <c r="D1634" s="56" t="s">
        <v>567</v>
      </c>
      <c r="E1634" s="10" t="s">
        <v>65</v>
      </c>
      <c r="F1634" s="10" t="s">
        <v>568</v>
      </c>
      <c r="G1634" s="10" t="s">
        <v>2448</v>
      </c>
      <c r="H1634" s="10" t="s">
        <v>740</v>
      </c>
      <c r="I1634" s="10" t="s">
        <v>55</v>
      </c>
      <c r="K1634" s="10" t="s">
        <v>3024</v>
      </c>
      <c r="L1634" s="10" t="s">
        <v>42</v>
      </c>
    </row>
    <row r="1635" ht="15.75" customHeight="1">
      <c r="A1635" s="64">
        <v>45488.0</v>
      </c>
      <c r="B1635" s="55" t="str">
        <f>HYPERLINK("https://jobright.ai/jobs/info/6695b0e1a8378444645395b2?utm_campaign=1062&amp;utm_source=sheet", "Apply")</f>
        <v>Apply</v>
      </c>
      <c r="C1635" s="10" t="s">
        <v>5611</v>
      </c>
      <c r="D1635" s="56" t="s">
        <v>567</v>
      </c>
      <c r="E1635" s="10" t="s">
        <v>65</v>
      </c>
      <c r="F1635" s="10" t="s">
        <v>568</v>
      </c>
      <c r="G1635" s="10" t="s">
        <v>2448</v>
      </c>
      <c r="H1635" s="10" t="s">
        <v>765</v>
      </c>
      <c r="I1635" s="10" t="s">
        <v>55</v>
      </c>
      <c r="K1635" s="10" t="s">
        <v>4614</v>
      </c>
      <c r="L1635" s="10" t="s">
        <v>42</v>
      </c>
    </row>
    <row r="1636" ht="15.75" customHeight="1">
      <c r="A1636" s="64">
        <v>45488.0</v>
      </c>
      <c r="B1636" s="55" t="str">
        <f>HYPERLINK("https://jobright.ai/jobs/info/6695b0e1a8378444645395b0?utm_campaign=1062&amp;utm_source=sheet", "Apply")</f>
        <v>Apply</v>
      </c>
      <c r="C1636" s="10" t="s">
        <v>5612</v>
      </c>
      <c r="D1636" s="56" t="s">
        <v>567</v>
      </c>
      <c r="E1636" s="10" t="s">
        <v>65</v>
      </c>
      <c r="F1636" s="10" t="s">
        <v>568</v>
      </c>
      <c r="G1636" s="10" t="s">
        <v>2448</v>
      </c>
      <c r="H1636" s="10" t="s">
        <v>174</v>
      </c>
      <c r="I1636" s="10" t="s">
        <v>55</v>
      </c>
      <c r="K1636" s="10" t="s">
        <v>3024</v>
      </c>
      <c r="L1636" s="10" t="s">
        <v>42</v>
      </c>
    </row>
    <row r="1637" ht="15.75" customHeight="1">
      <c r="A1637" s="64">
        <v>45488.0</v>
      </c>
      <c r="B1637" s="55" t="str">
        <f>HYPERLINK("https://jobright.ai/jobs/info/6695b0e1a8378444645395ae?utm_campaign=1062&amp;utm_source=sheet", "Apply")</f>
        <v>Apply</v>
      </c>
      <c r="C1637" s="10" t="s">
        <v>5612</v>
      </c>
      <c r="D1637" s="56" t="s">
        <v>567</v>
      </c>
      <c r="E1637" s="10" t="s">
        <v>65</v>
      </c>
      <c r="F1637" s="10" t="s">
        <v>568</v>
      </c>
      <c r="G1637" s="10" t="s">
        <v>2448</v>
      </c>
      <c r="H1637" s="10" t="s">
        <v>974</v>
      </c>
      <c r="I1637" s="10" t="s">
        <v>55</v>
      </c>
      <c r="K1637" s="10" t="s">
        <v>3024</v>
      </c>
      <c r="L1637" s="10" t="s">
        <v>42</v>
      </c>
    </row>
    <row r="1638" ht="15.75" customHeight="1">
      <c r="A1638" s="64">
        <v>45488.0</v>
      </c>
      <c r="B1638" s="55" t="str">
        <f>HYPERLINK("https://jobright.ai/jobs/info/6695b0e1a8378444645395b1?utm_campaign=1062&amp;utm_source=sheet", "Apply")</f>
        <v>Apply</v>
      </c>
      <c r="C1638" s="10" t="s">
        <v>5612</v>
      </c>
      <c r="D1638" s="56" t="s">
        <v>567</v>
      </c>
      <c r="E1638" s="10" t="s">
        <v>65</v>
      </c>
      <c r="F1638" s="10" t="s">
        <v>568</v>
      </c>
      <c r="G1638" s="10" t="s">
        <v>2448</v>
      </c>
      <c r="H1638" s="10" t="s">
        <v>765</v>
      </c>
      <c r="I1638" s="10" t="s">
        <v>55</v>
      </c>
      <c r="K1638" s="10" t="s">
        <v>3024</v>
      </c>
      <c r="L1638" s="10" t="s">
        <v>42</v>
      </c>
    </row>
    <row r="1639" ht="15.75" customHeight="1">
      <c r="A1639" s="64">
        <v>45488.0</v>
      </c>
      <c r="B1639" s="55" t="str">
        <f>HYPERLINK("https://jobright.ai/jobs/info/669582af32c6fea23dcc56fa?utm_campaign=1062&amp;utm_source=sheet", "Apply")</f>
        <v>Apply</v>
      </c>
      <c r="C1639" s="10" t="s">
        <v>5774</v>
      </c>
      <c r="D1639" s="56" t="s">
        <v>5775</v>
      </c>
      <c r="E1639" s="10" t="s">
        <v>276</v>
      </c>
      <c r="F1639" s="10" t="s">
        <v>5776</v>
      </c>
      <c r="G1639" s="10" t="s">
        <v>2484</v>
      </c>
      <c r="H1639" s="10" t="s">
        <v>232</v>
      </c>
      <c r="I1639" s="10" t="s">
        <v>55</v>
      </c>
      <c r="J1639" s="10" t="s">
        <v>5777</v>
      </c>
      <c r="K1639" s="10" t="s">
        <v>5778</v>
      </c>
      <c r="L1639" s="10" t="s">
        <v>42</v>
      </c>
    </row>
    <row r="1640" ht="15.75" customHeight="1">
      <c r="A1640" s="64">
        <v>45488.0</v>
      </c>
      <c r="B1640" s="55" t="str">
        <f>HYPERLINK("https://jobright.ai/jobs/info/669585c9cc0166b2468261fa?utm_campaign=1062&amp;utm_source=sheet", "Apply")</f>
        <v>Apply</v>
      </c>
      <c r="C1640" s="10" t="s">
        <v>5630</v>
      </c>
      <c r="D1640" s="56" t="s">
        <v>5631</v>
      </c>
      <c r="E1640" s="10" t="s">
        <v>45</v>
      </c>
      <c r="F1640" s="10" t="s">
        <v>5632</v>
      </c>
      <c r="G1640" s="10" t="s">
        <v>2484</v>
      </c>
      <c r="H1640" s="10" t="s">
        <v>5779</v>
      </c>
      <c r="I1640" s="10" t="s">
        <v>55</v>
      </c>
      <c r="K1640" s="10" t="s">
        <v>5633</v>
      </c>
      <c r="L1640" s="10" t="s">
        <v>42</v>
      </c>
    </row>
    <row r="1641" ht="15.75" customHeight="1">
      <c r="A1641" s="64">
        <v>45488.0</v>
      </c>
      <c r="B1641" s="55" t="str">
        <f>HYPERLINK("https://jobright.ai/jobs/info/66956b005d48ac83fc96e71d?utm_campaign=1062&amp;utm_source=sheet", "Apply")</f>
        <v>Apply</v>
      </c>
      <c r="C1641" s="10" t="s">
        <v>5770</v>
      </c>
      <c r="D1641" s="56" t="s">
        <v>1265</v>
      </c>
      <c r="E1641" s="10" t="s">
        <v>276</v>
      </c>
      <c r="F1641" s="10" t="s">
        <v>1266</v>
      </c>
      <c r="G1641" s="10" t="s">
        <v>2484</v>
      </c>
      <c r="H1641" s="10" t="s">
        <v>5780</v>
      </c>
      <c r="I1641" s="10" t="s">
        <v>55</v>
      </c>
      <c r="J1641" s="10" t="s">
        <v>5772</v>
      </c>
      <c r="K1641" s="10" t="s">
        <v>5773</v>
      </c>
      <c r="L1641" s="10" t="s">
        <v>42</v>
      </c>
    </row>
    <row r="1642" ht="15.75" customHeight="1">
      <c r="A1642" s="64">
        <v>45488.0</v>
      </c>
      <c r="B1642" s="55" t="str">
        <f>HYPERLINK("https://jobright.ai/jobs/info/66959f3e4ffe9d7a67e36066?utm_campaign=1062&amp;utm_source=sheet", "Apply")</f>
        <v>Apply</v>
      </c>
      <c r="C1642" s="10" t="s">
        <v>5781</v>
      </c>
      <c r="D1642" s="56" t="s">
        <v>1154</v>
      </c>
      <c r="E1642" s="10" t="s">
        <v>65</v>
      </c>
      <c r="G1642" s="10" t="s">
        <v>2476</v>
      </c>
      <c r="H1642" s="10" t="s">
        <v>1155</v>
      </c>
      <c r="I1642" s="10" t="s">
        <v>55</v>
      </c>
      <c r="K1642" s="10" t="s">
        <v>5782</v>
      </c>
      <c r="L1642" s="10" t="s">
        <v>42</v>
      </c>
    </row>
    <row r="1643" ht="15.75" customHeight="1">
      <c r="A1643" s="64">
        <v>45488.0</v>
      </c>
      <c r="B1643" s="55" t="str">
        <f>HYPERLINK("https://jobright.ai/jobs/info/66959f3e4ffe9d7a67e3606e?utm_campaign=1062&amp;utm_source=sheet", "Apply")</f>
        <v>Apply</v>
      </c>
      <c r="C1643" s="10" t="s">
        <v>5783</v>
      </c>
      <c r="D1643" s="56" t="s">
        <v>1154</v>
      </c>
      <c r="E1643" s="10" t="s">
        <v>65</v>
      </c>
      <c r="G1643" s="10" t="s">
        <v>2437</v>
      </c>
      <c r="H1643" s="10" t="s">
        <v>1155</v>
      </c>
      <c r="I1643" s="10" t="s">
        <v>55</v>
      </c>
      <c r="K1643" s="10" t="s">
        <v>5784</v>
      </c>
      <c r="L1643" s="10" t="s">
        <v>42</v>
      </c>
    </row>
    <row r="1644" ht="15.75" customHeight="1">
      <c r="A1644" s="64">
        <v>45488.0</v>
      </c>
      <c r="B1644" s="55" t="str">
        <f>HYPERLINK("https://jobright.ai/jobs/info/6695a673edeaa1f1d405bc76?utm_campaign=1062&amp;utm_source=sheet", "Apply")</f>
        <v>Apply</v>
      </c>
      <c r="C1644" s="10" t="s">
        <v>5460</v>
      </c>
      <c r="D1644" s="56" t="s">
        <v>5461</v>
      </c>
      <c r="E1644" s="10">
        <v>25.0</v>
      </c>
      <c r="G1644" s="10" t="s">
        <v>2509</v>
      </c>
      <c r="H1644" s="10" t="s">
        <v>958</v>
      </c>
      <c r="I1644" s="10" t="s">
        <v>48</v>
      </c>
      <c r="J1644" s="10" t="s">
        <v>2590</v>
      </c>
      <c r="K1644" s="10" t="s">
        <v>5462</v>
      </c>
      <c r="L1644" s="10" t="s">
        <v>42</v>
      </c>
    </row>
    <row r="1645" ht="15.75" customHeight="1">
      <c r="A1645" s="64">
        <v>45487.0</v>
      </c>
      <c r="B1645" s="55" t="str">
        <f>HYPERLINK("https://jobright.ai/jobs/info/669463c9acd6b2f68c2fdffd?utm_campaign=1062&amp;utm_source=sheet", "Apply")</f>
        <v>Apply</v>
      </c>
      <c r="C1645" s="10" t="s">
        <v>5785</v>
      </c>
      <c r="D1645" s="56" t="s">
        <v>4741</v>
      </c>
      <c r="E1645" s="10" t="s">
        <v>79</v>
      </c>
      <c r="F1645" s="10" t="s">
        <v>4742</v>
      </c>
      <c r="G1645" s="10" t="s">
        <v>2484</v>
      </c>
      <c r="H1645" s="10" t="s">
        <v>2635</v>
      </c>
      <c r="I1645" s="10" t="s">
        <v>55</v>
      </c>
      <c r="K1645" s="10" t="s">
        <v>5786</v>
      </c>
      <c r="L1645" s="10" t="s">
        <v>42</v>
      </c>
    </row>
    <row r="1646" ht="15.75" customHeight="1">
      <c r="A1646" s="64">
        <v>45487.0</v>
      </c>
      <c r="B1646" s="55" t="str">
        <f>HYPERLINK("https://jobright.ai/jobs/info/669453d8613c3f2c7d2acf89?utm_campaign=1062&amp;utm_source=sheet", "Apply")</f>
        <v>Apply</v>
      </c>
      <c r="C1646" s="10" t="s">
        <v>4862</v>
      </c>
      <c r="D1646" s="56" t="s">
        <v>4802</v>
      </c>
      <c r="E1646" s="10" t="s">
        <v>249</v>
      </c>
      <c r="F1646" s="10" t="s">
        <v>2470</v>
      </c>
      <c r="G1646" s="10" t="s">
        <v>2437</v>
      </c>
      <c r="H1646" s="10" t="s">
        <v>4963</v>
      </c>
      <c r="I1646" s="10" t="s">
        <v>55</v>
      </c>
      <c r="K1646" s="10" t="s">
        <v>4898</v>
      </c>
      <c r="L1646" s="10" t="s">
        <v>42</v>
      </c>
    </row>
    <row r="1647" ht="15.75" customHeight="1">
      <c r="A1647" s="64">
        <v>45487.0</v>
      </c>
      <c r="B1647" s="55" t="str">
        <f>HYPERLINK("https://jobright.ai/jobs/info/66993b379da91113a5fcff6e?utm_campaign=1062&amp;utm_source=sheet", "Apply")</f>
        <v>Apply</v>
      </c>
      <c r="C1647" s="10" t="s">
        <v>5787</v>
      </c>
      <c r="D1647" s="56" t="s">
        <v>5788</v>
      </c>
      <c r="E1647" s="10" t="s">
        <v>65</v>
      </c>
      <c r="F1647" s="10" t="s">
        <v>5789</v>
      </c>
      <c r="G1647" s="10" t="s">
        <v>2484</v>
      </c>
      <c r="H1647" s="10" t="s">
        <v>5790</v>
      </c>
      <c r="I1647" s="10" t="s">
        <v>55</v>
      </c>
      <c r="K1647" s="10" t="s">
        <v>5791</v>
      </c>
      <c r="L1647" s="10" t="s">
        <v>42</v>
      </c>
    </row>
    <row r="1648" ht="15.75" customHeight="1">
      <c r="A1648" s="64">
        <v>45487.0</v>
      </c>
      <c r="B1648" s="55" t="str">
        <f>HYPERLINK("https://jobright.ai/jobs/info/669a7f0c23cd697bcd8323ed?utm_campaign=1062&amp;utm_source=sheet", "Apply")</f>
        <v>Apply</v>
      </c>
      <c r="C1648" s="10" t="s">
        <v>2665</v>
      </c>
      <c r="D1648" s="56" t="s">
        <v>5788</v>
      </c>
      <c r="E1648" s="10" t="s">
        <v>65</v>
      </c>
      <c r="F1648" s="10" t="s">
        <v>5789</v>
      </c>
      <c r="G1648" s="10" t="s">
        <v>2464</v>
      </c>
      <c r="H1648" s="10" t="s">
        <v>898</v>
      </c>
      <c r="I1648" s="10" t="s">
        <v>55</v>
      </c>
      <c r="J1648" s="10" t="s">
        <v>3615</v>
      </c>
      <c r="K1648" s="10" t="s">
        <v>5792</v>
      </c>
      <c r="L1648" s="10" t="s">
        <v>42</v>
      </c>
    </row>
    <row r="1649" ht="15.75" customHeight="1">
      <c r="A1649" s="64">
        <v>45487.0</v>
      </c>
      <c r="B1649" s="55" t="str">
        <f>HYPERLINK("https://jobright.ai/jobs/info/669d1a9772759dfd144b8150?utm_campaign=1062&amp;utm_source=sheet", "Apply")</f>
        <v>Apply</v>
      </c>
      <c r="C1649" s="10" t="s">
        <v>5793</v>
      </c>
      <c r="D1649" s="56" t="s">
        <v>3095</v>
      </c>
      <c r="F1649" s="10" t="s">
        <v>3096</v>
      </c>
      <c r="G1649" s="10" t="s">
        <v>2448</v>
      </c>
      <c r="H1649" s="10" t="s">
        <v>5794</v>
      </c>
      <c r="I1649" s="10" t="s">
        <v>55</v>
      </c>
      <c r="K1649" s="10" t="s">
        <v>5795</v>
      </c>
      <c r="L1649" s="10" t="s">
        <v>42</v>
      </c>
    </row>
    <row r="1650" ht="15.75" customHeight="1">
      <c r="A1650" s="64">
        <v>45487.0</v>
      </c>
      <c r="B1650" s="55" t="str">
        <f>HYPERLINK("https://jobright.ai/jobs/info/6695022a83a291681bf264dc?utm_campaign=1062&amp;utm_source=sheet", "Apply")</f>
        <v>Apply</v>
      </c>
      <c r="C1650" s="10" t="s">
        <v>5796</v>
      </c>
      <c r="D1650" s="56" t="s">
        <v>5797</v>
      </c>
      <c r="E1650" s="10">
        <v>3112.0</v>
      </c>
      <c r="G1650" s="10" t="s">
        <v>2448</v>
      </c>
      <c r="H1650" s="10" t="s">
        <v>688</v>
      </c>
      <c r="I1650" s="10" t="s">
        <v>55</v>
      </c>
      <c r="K1650" s="10" t="s">
        <v>5798</v>
      </c>
      <c r="L1650" s="10" t="s">
        <v>42</v>
      </c>
    </row>
    <row r="1651" ht="15.75" customHeight="1">
      <c r="A1651" s="64">
        <v>45487.0</v>
      </c>
      <c r="B1651" s="55" t="str">
        <f>HYPERLINK("https://jobright.ai/jobs/info/6693dc3a17c207ef1879aa9b?utm_campaign=1062&amp;utm_source=sheet", "Apply")</f>
        <v>Apply</v>
      </c>
      <c r="C1651" s="10" t="s">
        <v>5796</v>
      </c>
      <c r="D1651" s="56" t="s">
        <v>5797</v>
      </c>
      <c r="E1651" s="10">
        <v>3112.0</v>
      </c>
      <c r="G1651" s="10" t="s">
        <v>2448</v>
      </c>
      <c r="H1651" s="10" t="s">
        <v>688</v>
      </c>
      <c r="I1651" s="10" t="s">
        <v>48</v>
      </c>
      <c r="K1651" s="10" t="s">
        <v>5798</v>
      </c>
      <c r="L1651" s="10" t="s">
        <v>42</v>
      </c>
    </row>
    <row r="1652" ht="15.75" customHeight="1">
      <c r="A1652" s="64">
        <v>45487.0</v>
      </c>
      <c r="B1652" s="55" t="str">
        <f>HYPERLINK("https://jobright.ai/jobs/info/669d0efd882781b0ee6b9606?utm_campaign=1062&amp;utm_source=sheet", "Apply")</f>
        <v>Apply</v>
      </c>
      <c r="C1652" s="10" t="s">
        <v>2594</v>
      </c>
      <c r="D1652" s="56" t="s">
        <v>5799</v>
      </c>
      <c r="E1652" s="10" t="s">
        <v>249</v>
      </c>
      <c r="G1652" s="10" t="s">
        <v>2484</v>
      </c>
      <c r="H1652" s="10" t="s">
        <v>106</v>
      </c>
      <c r="I1652" s="10" t="s">
        <v>55</v>
      </c>
      <c r="K1652" s="10" t="s">
        <v>5800</v>
      </c>
      <c r="L1652" s="10" t="s">
        <v>42</v>
      </c>
    </row>
    <row r="1653" ht="15.75" customHeight="1">
      <c r="A1653" s="64">
        <v>45487.0</v>
      </c>
      <c r="B1653" s="55" t="str">
        <f>HYPERLINK("https://jobright.ai/jobs/info/669d0f06882781b0ee6b9683?utm_campaign=1062&amp;utm_source=sheet", "Apply")</f>
        <v>Apply</v>
      </c>
      <c r="C1653" s="10" t="s">
        <v>5801</v>
      </c>
      <c r="D1653" s="56" t="s">
        <v>5802</v>
      </c>
      <c r="E1653" s="10" t="s">
        <v>249</v>
      </c>
      <c r="F1653" s="10" t="s">
        <v>5803</v>
      </c>
      <c r="G1653" s="10" t="s">
        <v>2437</v>
      </c>
      <c r="H1653" s="10" t="s">
        <v>154</v>
      </c>
      <c r="I1653" s="10" t="s">
        <v>55</v>
      </c>
      <c r="K1653" s="10" t="s">
        <v>5804</v>
      </c>
      <c r="L1653" s="10" t="s">
        <v>42</v>
      </c>
    </row>
    <row r="1654" ht="15.75" customHeight="1">
      <c r="A1654" s="64">
        <v>45487.0</v>
      </c>
      <c r="B1654" s="55" t="str">
        <f>HYPERLINK("https://jobright.ai/jobs/info/669d0a7c04c007d24af47de5?utm_campaign=1062&amp;utm_source=sheet", "Apply")</f>
        <v>Apply</v>
      </c>
      <c r="C1654" s="10" t="s">
        <v>5805</v>
      </c>
      <c r="D1654" s="56" t="s">
        <v>5806</v>
      </c>
      <c r="E1654" s="10" t="s">
        <v>65</v>
      </c>
      <c r="F1654" s="10" t="s">
        <v>1184</v>
      </c>
      <c r="G1654" s="10" t="s">
        <v>2437</v>
      </c>
      <c r="H1654" s="10" t="s">
        <v>5807</v>
      </c>
      <c r="I1654" s="10" t="s">
        <v>55</v>
      </c>
      <c r="K1654" s="10" t="s">
        <v>5808</v>
      </c>
      <c r="L1654" s="10" t="s">
        <v>42</v>
      </c>
    </row>
    <row r="1655" ht="15.75" customHeight="1">
      <c r="A1655" s="64">
        <v>45487.0</v>
      </c>
      <c r="B1655" s="55" t="str">
        <f>HYPERLINK("https://jobright.ai/jobs/info/669d0a7c04c007d24af47e7a?utm_campaign=1062&amp;utm_source=sheet", "Apply")</f>
        <v>Apply</v>
      </c>
      <c r="C1655" s="10" t="s">
        <v>4801</v>
      </c>
      <c r="D1655" s="56" t="s">
        <v>4802</v>
      </c>
      <c r="E1655" s="10" t="s">
        <v>249</v>
      </c>
      <c r="F1655" s="10" t="s">
        <v>2470</v>
      </c>
      <c r="G1655" s="10" t="s">
        <v>2484</v>
      </c>
      <c r="H1655" s="10" t="s">
        <v>5809</v>
      </c>
      <c r="I1655" s="10" t="s">
        <v>55</v>
      </c>
      <c r="K1655" s="10" t="s">
        <v>5681</v>
      </c>
      <c r="L1655" s="10" t="s">
        <v>42</v>
      </c>
    </row>
    <row r="1656" ht="15.75" customHeight="1">
      <c r="A1656" s="64">
        <v>45487.0</v>
      </c>
      <c r="B1656" s="55" t="str">
        <f>HYPERLINK("https://jobright.ai/jobs/info/6693d5f8c45fe78cdb21e9be?utm_campaign=1062&amp;utm_source=sheet", "Apply")</f>
        <v>Apply</v>
      </c>
      <c r="C1656" s="10" t="s">
        <v>1962</v>
      </c>
      <c r="D1656" s="56" t="s">
        <v>196</v>
      </c>
      <c r="E1656" s="10" t="s">
        <v>71</v>
      </c>
      <c r="F1656" s="10" t="s">
        <v>197</v>
      </c>
      <c r="G1656" s="10" t="s">
        <v>2443</v>
      </c>
      <c r="H1656" s="10" t="s">
        <v>1963</v>
      </c>
      <c r="I1656" s="10" t="s">
        <v>55</v>
      </c>
      <c r="K1656" s="10" t="s">
        <v>5810</v>
      </c>
      <c r="L1656" s="10" t="s">
        <v>42</v>
      </c>
    </row>
    <row r="1657" ht="15.75" customHeight="1">
      <c r="A1657" s="64">
        <v>45487.0</v>
      </c>
      <c r="B1657" s="55" t="str">
        <f>HYPERLINK("https://jobright.ai/jobs/info/669a61f963d445bd111bc7d1?utm_campaign=1062&amp;utm_source=sheet", "Apply")</f>
        <v>Apply</v>
      </c>
      <c r="C1657" s="10" t="s">
        <v>5811</v>
      </c>
      <c r="D1657" s="56" t="s">
        <v>5812</v>
      </c>
      <c r="E1657" s="10" t="s">
        <v>79</v>
      </c>
      <c r="F1657" s="10" t="s">
        <v>5813</v>
      </c>
      <c r="G1657" s="10" t="s">
        <v>2448</v>
      </c>
      <c r="H1657" s="10" t="s">
        <v>2535</v>
      </c>
      <c r="I1657" s="10" t="s">
        <v>55</v>
      </c>
      <c r="K1657" s="10" t="s">
        <v>5814</v>
      </c>
      <c r="L1657" s="10" t="s">
        <v>42</v>
      </c>
    </row>
    <row r="1658" ht="15.75" customHeight="1">
      <c r="A1658" s="64">
        <v>45487.0</v>
      </c>
      <c r="B1658" s="55" t="str">
        <f>HYPERLINK("https://jobright.ai/jobs/info/669cfeff50060c17861e13dd?utm_campaign=1062&amp;utm_source=sheet", "Apply")</f>
        <v>Apply</v>
      </c>
      <c r="C1658" s="10" t="s">
        <v>5815</v>
      </c>
      <c r="D1658" s="56" t="s">
        <v>1258</v>
      </c>
      <c r="E1658" s="10" t="s">
        <v>45</v>
      </c>
      <c r="F1658" s="10" t="s">
        <v>1259</v>
      </c>
      <c r="G1658" s="10" t="s">
        <v>2448</v>
      </c>
      <c r="H1658" s="10" t="s">
        <v>1260</v>
      </c>
      <c r="I1658" s="10" t="s">
        <v>55</v>
      </c>
      <c r="K1658" s="10" t="s">
        <v>5816</v>
      </c>
      <c r="L1658" s="10" t="s">
        <v>42</v>
      </c>
    </row>
    <row r="1659" ht="15.75" customHeight="1">
      <c r="A1659" s="64">
        <v>45487.0</v>
      </c>
      <c r="B1659" s="55" t="str">
        <f>HYPERLINK("https://jobright.ai/jobs/info/6695147b6752148357c42db9?utm_campaign=1062&amp;utm_source=sheet", "Apply")</f>
        <v>Apply</v>
      </c>
      <c r="C1659" s="10" t="s">
        <v>2681</v>
      </c>
      <c r="D1659" s="56" t="s">
        <v>2682</v>
      </c>
      <c r="E1659" s="10" t="s">
        <v>45</v>
      </c>
      <c r="F1659" s="10" t="s">
        <v>1357</v>
      </c>
      <c r="G1659" s="10" t="s">
        <v>2589</v>
      </c>
      <c r="H1659" s="10" t="s">
        <v>1688</v>
      </c>
      <c r="I1659" s="10" t="s">
        <v>55</v>
      </c>
      <c r="J1659" s="10" t="s">
        <v>2683</v>
      </c>
      <c r="K1659" s="10" t="s">
        <v>2684</v>
      </c>
      <c r="L1659" s="10" t="s">
        <v>42</v>
      </c>
    </row>
    <row r="1660" ht="15.75" customHeight="1">
      <c r="A1660" s="64">
        <v>45487.0</v>
      </c>
      <c r="B1660" s="55" t="str">
        <f>HYPERLINK("https://jobright.ai/jobs/info/669ba929b14cf70eadd8bae8?utm_campaign=1062&amp;utm_source=sheet", "Apply")</f>
        <v>Apply</v>
      </c>
      <c r="C1660" s="10" t="s">
        <v>4415</v>
      </c>
      <c r="D1660" s="56" t="s">
        <v>180</v>
      </c>
      <c r="E1660" s="10">
        <v>3092.0</v>
      </c>
      <c r="G1660" s="10" t="s">
        <v>2448</v>
      </c>
      <c r="H1660" s="10" t="s">
        <v>96</v>
      </c>
      <c r="I1660" s="10" t="s">
        <v>55</v>
      </c>
      <c r="J1660" s="10" t="s">
        <v>5817</v>
      </c>
      <c r="K1660" s="10" t="s">
        <v>4416</v>
      </c>
      <c r="L1660" s="10" t="s">
        <v>42</v>
      </c>
    </row>
    <row r="1661" ht="15.75" customHeight="1">
      <c r="A1661" s="64">
        <v>45487.0</v>
      </c>
      <c r="B1661" s="55" t="str">
        <f>HYPERLINK("https://jobright.ai/jobs/info/669900443ff35d25bbba39ff?utm_campaign=1062&amp;utm_source=sheet", "Apply")</f>
        <v>Apply</v>
      </c>
      <c r="C1661" s="10" t="s">
        <v>5818</v>
      </c>
      <c r="D1661" s="56" t="s">
        <v>5819</v>
      </c>
      <c r="E1661" s="10" t="s">
        <v>276</v>
      </c>
      <c r="F1661" s="10" t="s">
        <v>2617</v>
      </c>
      <c r="G1661" s="10" t="s">
        <v>2484</v>
      </c>
      <c r="H1661" s="10" t="s">
        <v>1023</v>
      </c>
      <c r="I1661" s="10" t="s">
        <v>55</v>
      </c>
      <c r="K1661" s="10" t="s">
        <v>5820</v>
      </c>
      <c r="L1661" s="10" t="s">
        <v>42</v>
      </c>
    </row>
    <row r="1662" ht="15.75" customHeight="1">
      <c r="A1662" s="64">
        <v>45487.0</v>
      </c>
      <c r="B1662" s="55" t="str">
        <f>HYPERLINK("https://jobright.ai/jobs/info/6694fe56bc77767952547c40?utm_campaign=1062&amp;utm_source=sheet", "Apply")</f>
        <v>Apply</v>
      </c>
      <c r="C1662" s="10" t="s">
        <v>2681</v>
      </c>
      <c r="D1662" s="56" t="s">
        <v>2682</v>
      </c>
      <c r="E1662" s="10" t="s">
        <v>45</v>
      </c>
      <c r="F1662" s="10" t="s">
        <v>1357</v>
      </c>
      <c r="G1662" s="10" t="s">
        <v>2589</v>
      </c>
      <c r="H1662" s="10" t="s">
        <v>5821</v>
      </c>
      <c r="I1662" s="10" t="s">
        <v>55</v>
      </c>
      <c r="J1662" s="10" t="s">
        <v>2683</v>
      </c>
      <c r="K1662" s="10" t="s">
        <v>2684</v>
      </c>
      <c r="L1662" s="10" t="s">
        <v>42</v>
      </c>
    </row>
    <row r="1663" ht="15.75" customHeight="1">
      <c r="A1663" s="64">
        <v>45487.0</v>
      </c>
      <c r="B1663" s="55" t="str">
        <f>HYPERLINK("https://jobright.ai/jobs/info/6676020ff1b86992c3646bc6?utm_campaign=1062&amp;utm_source=sheet", "Apply")</f>
        <v>Apply</v>
      </c>
      <c r="C1663" s="10" t="s">
        <v>5822</v>
      </c>
      <c r="D1663" s="56" t="s">
        <v>385</v>
      </c>
      <c r="E1663" s="10" t="s">
        <v>45</v>
      </c>
      <c r="F1663" s="10" t="s">
        <v>386</v>
      </c>
      <c r="G1663" s="10" t="s">
        <v>4046</v>
      </c>
      <c r="H1663" s="10" t="s">
        <v>711</v>
      </c>
      <c r="I1663" s="10" t="s">
        <v>55</v>
      </c>
      <c r="K1663" s="10" t="s">
        <v>5823</v>
      </c>
      <c r="L1663" s="10" t="s">
        <v>42</v>
      </c>
    </row>
    <row r="1664" ht="15.75" customHeight="1">
      <c r="A1664" s="64">
        <v>45487.0</v>
      </c>
      <c r="B1664" s="55" t="str">
        <f>HYPERLINK("https://jobright.ai/jobs/info/6635e39426b53f097bed694e?utm_campaign=1062&amp;utm_source=sheet", "Apply")</f>
        <v>Apply</v>
      </c>
      <c r="C1664" s="10" t="s">
        <v>5824</v>
      </c>
      <c r="D1664" s="56" t="s">
        <v>5825</v>
      </c>
      <c r="E1664" s="10" t="s">
        <v>249</v>
      </c>
      <c r="F1664" s="10" t="s">
        <v>5826</v>
      </c>
      <c r="G1664" s="10" t="s">
        <v>2437</v>
      </c>
      <c r="H1664" s="10" t="s">
        <v>2759</v>
      </c>
      <c r="I1664" s="10" t="s">
        <v>55</v>
      </c>
      <c r="J1664" s="10" t="s">
        <v>5827</v>
      </c>
      <c r="K1664" s="10" t="s">
        <v>5828</v>
      </c>
      <c r="L1664" s="10" t="s">
        <v>42</v>
      </c>
    </row>
    <row r="1665" ht="15.75" customHeight="1">
      <c r="A1665" s="64">
        <v>45487.0</v>
      </c>
      <c r="B1665" s="55" t="str">
        <f>HYPERLINK("https://jobright.ai/jobs/info/6672fdbbe88d6ae63634bfcf?utm_campaign=1062&amp;utm_source=sheet", "Apply")</f>
        <v>Apply</v>
      </c>
      <c r="C1665" s="10" t="s">
        <v>5829</v>
      </c>
      <c r="D1665" s="56" t="s">
        <v>5830</v>
      </c>
      <c r="E1665" s="10" t="s">
        <v>249</v>
      </c>
      <c r="F1665" s="10" t="s">
        <v>5470</v>
      </c>
      <c r="G1665" s="10" t="s">
        <v>2448</v>
      </c>
      <c r="H1665" s="10" t="s">
        <v>5436</v>
      </c>
      <c r="I1665" s="10" t="s">
        <v>55</v>
      </c>
      <c r="K1665" s="10" t="s">
        <v>5831</v>
      </c>
      <c r="L1665" s="10" t="s">
        <v>42</v>
      </c>
    </row>
    <row r="1666" ht="15.75" customHeight="1">
      <c r="A1666" s="64">
        <v>45487.0</v>
      </c>
      <c r="B1666" s="55" t="str">
        <f>HYPERLINK("https://jobright.ai/jobs/info/6677f2a49c81148ccaaee31e?utm_campaign=1062&amp;utm_source=sheet", "Apply")</f>
        <v>Apply</v>
      </c>
      <c r="C1666" s="10" t="s">
        <v>4723</v>
      </c>
      <c r="D1666" s="56" t="s">
        <v>2682</v>
      </c>
      <c r="E1666" s="10" t="s">
        <v>45</v>
      </c>
      <c r="F1666" s="10" t="s">
        <v>1357</v>
      </c>
      <c r="G1666" s="10" t="s">
        <v>2589</v>
      </c>
      <c r="H1666" s="10" t="s">
        <v>1006</v>
      </c>
      <c r="I1666" s="10" t="s">
        <v>55</v>
      </c>
      <c r="K1666" s="10" t="s">
        <v>2684</v>
      </c>
      <c r="L1666" s="10" t="s">
        <v>42</v>
      </c>
    </row>
    <row r="1667" ht="15.75" customHeight="1">
      <c r="A1667" s="64">
        <v>45487.0</v>
      </c>
      <c r="B1667" s="55" t="str">
        <f>HYPERLINK("https://jobright.ai/jobs/info/667859dd7c4e25df7d3e729b?utm_campaign=1062&amp;utm_source=sheet", "Apply")</f>
        <v>Apply</v>
      </c>
      <c r="C1667" s="10" t="s">
        <v>2681</v>
      </c>
      <c r="D1667" s="56" t="s">
        <v>2682</v>
      </c>
      <c r="E1667" s="10" t="s">
        <v>45</v>
      </c>
      <c r="F1667" s="10" t="s">
        <v>1357</v>
      </c>
      <c r="G1667" s="10" t="s">
        <v>2589</v>
      </c>
      <c r="H1667" s="10" t="s">
        <v>5832</v>
      </c>
      <c r="I1667" s="10" t="s">
        <v>55</v>
      </c>
      <c r="J1667" s="10" t="s">
        <v>5833</v>
      </c>
      <c r="K1667" s="10" t="s">
        <v>2684</v>
      </c>
      <c r="L1667" s="10" t="s">
        <v>42</v>
      </c>
    </row>
    <row r="1668" ht="15.75" customHeight="1">
      <c r="A1668" s="64">
        <v>45487.0</v>
      </c>
      <c r="B1668" s="55" t="str">
        <f>HYPERLINK("https://jobright.ai/jobs/info/66761b31127b183117fe8aef?utm_campaign=1062&amp;utm_source=sheet", "Apply")</f>
        <v>Apply</v>
      </c>
      <c r="C1668" s="10" t="s">
        <v>5834</v>
      </c>
      <c r="D1668" s="56" t="s">
        <v>385</v>
      </c>
      <c r="E1668" s="10" t="s">
        <v>45</v>
      </c>
      <c r="F1668" s="10" t="s">
        <v>386</v>
      </c>
      <c r="G1668" s="10" t="s">
        <v>3733</v>
      </c>
      <c r="H1668" s="10" t="s">
        <v>423</v>
      </c>
      <c r="I1668" s="10" t="s">
        <v>55</v>
      </c>
      <c r="J1668" s="10" t="s">
        <v>5835</v>
      </c>
      <c r="K1668" s="10" t="s">
        <v>5836</v>
      </c>
      <c r="L1668" s="10" t="s">
        <v>42</v>
      </c>
    </row>
    <row r="1669" ht="15.75" customHeight="1">
      <c r="A1669" s="64">
        <v>45487.0</v>
      </c>
      <c r="B1669" s="55" t="str">
        <f>HYPERLINK("https://jobright.ai/jobs/info/6677dd52fbac42152a14688a?utm_campaign=1062&amp;utm_source=sheet", "Apply")</f>
        <v>Apply</v>
      </c>
      <c r="C1669" s="10" t="s">
        <v>2681</v>
      </c>
      <c r="D1669" s="56" t="s">
        <v>2682</v>
      </c>
      <c r="E1669" s="10" t="s">
        <v>45</v>
      </c>
      <c r="F1669" s="10" t="s">
        <v>1357</v>
      </c>
      <c r="G1669" s="10" t="s">
        <v>2589</v>
      </c>
      <c r="H1669" s="10" t="s">
        <v>5837</v>
      </c>
      <c r="I1669" s="10" t="s">
        <v>55</v>
      </c>
      <c r="J1669" s="10" t="s">
        <v>2683</v>
      </c>
      <c r="K1669" s="10" t="s">
        <v>2684</v>
      </c>
      <c r="L1669" s="10" t="s">
        <v>42</v>
      </c>
    </row>
    <row r="1670" ht="15.75" customHeight="1">
      <c r="A1670" s="64">
        <v>45487.0</v>
      </c>
      <c r="B1670" s="55" t="str">
        <f>HYPERLINK("https://jobright.ai/jobs/info/66785e32dbc11ed4da55bfec?utm_campaign=1062&amp;utm_source=sheet", "Apply")</f>
        <v>Apply</v>
      </c>
      <c r="C1670" s="10" t="s">
        <v>2681</v>
      </c>
      <c r="D1670" s="56" t="s">
        <v>2682</v>
      </c>
      <c r="E1670" s="10" t="s">
        <v>45</v>
      </c>
      <c r="F1670" s="10" t="s">
        <v>1357</v>
      </c>
      <c r="G1670" s="10" t="s">
        <v>2589</v>
      </c>
      <c r="H1670" s="10" t="s">
        <v>5838</v>
      </c>
      <c r="I1670" s="10" t="s">
        <v>55</v>
      </c>
      <c r="J1670" s="10" t="s">
        <v>5839</v>
      </c>
      <c r="K1670" s="10" t="s">
        <v>2684</v>
      </c>
      <c r="L1670" s="10" t="s">
        <v>42</v>
      </c>
    </row>
    <row r="1671" ht="15.75" customHeight="1">
      <c r="A1671" s="64">
        <v>45487.0</v>
      </c>
      <c r="B1671" s="55" t="str">
        <f>HYPERLINK("https://jobright.ai/jobs/info/66785e65dbc11ed4da55c4c6?utm_campaign=1062&amp;utm_source=sheet", "Apply")</f>
        <v>Apply</v>
      </c>
      <c r="C1671" s="10" t="s">
        <v>2681</v>
      </c>
      <c r="D1671" s="56" t="s">
        <v>2682</v>
      </c>
      <c r="E1671" s="10" t="s">
        <v>45</v>
      </c>
      <c r="F1671" s="10" t="s">
        <v>1357</v>
      </c>
      <c r="G1671" s="10" t="s">
        <v>2589</v>
      </c>
      <c r="H1671" s="10" t="s">
        <v>5840</v>
      </c>
      <c r="I1671" s="10" t="s">
        <v>55</v>
      </c>
      <c r="J1671" s="10" t="s">
        <v>5841</v>
      </c>
      <c r="K1671" s="10" t="s">
        <v>2684</v>
      </c>
      <c r="L1671" s="10" t="s">
        <v>42</v>
      </c>
    </row>
    <row r="1672" ht="15.75" customHeight="1">
      <c r="A1672" s="64">
        <v>45487.0</v>
      </c>
      <c r="B1672" s="55" t="str">
        <f>HYPERLINK("https://jobright.ai/jobs/info/66573697e3d4e0f1e6a72648?utm_campaign=1062&amp;utm_source=sheet", "Apply")</f>
        <v>Apply</v>
      </c>
      <c r="C1672" s="10" t="s">
        <v>2681</v>
      </c>
      <c r="D1672" s="56" t="s">
        <v>2682</v>
      </c>
      <c r="E1672" s="10" t="s">
        <v>45</v>
      </c>
      <c r="F1672" s="10" t="s">
        <v>1357</v>
      </c>
      <c r="G1672" s="10" t="s">
        <v>2589</v>
      </c>
      <c r="H1672" s="10" t="s">
        <v>165</v>
      </c>
      <c r="I1672" s="10" t="s">
        <v>55</v>
      </c>
      <c r="J1672" s="10" t="s">
        <v>5842</v>
      </c>
      <c r="K1672" s="10" t="s">
        <v>2684</v>
      </c>
      <c r="L1672" s="10" t="s">
        <v>42</v>
      </c>
    </row>
    <row r="1673" ht="15.75" customHeight="1">
      <c r="A1673" s="64">
        <v>45487.0</v>
      </c>
      <c r="B1673" s="55" t="str">
        <f>HYPERLINK("https://jobright.ai/jobs/info/666af428167962b92b6e43fa?utm_campaign=1062&amp;utm_source=sheet", "Apply")</f>
        <v>Apply</v>
      </c>
      <c r="C1673" s="10" t="s">
        <v>5843</v>
      </c>
      <c r="D1673" s="56" t="s">
        <v>5825</v>
      </c>
      <c r="E1673" s="10" t="s">
        <v>249</v>
      </c>
      <c r="F1673" s="10" t="s">
        <v>5826</v>
      </c>
      <c r="G1673" s="10" t="s">
        <v>2807</v>
      </c>
      <c r="H1673" s="10" t="s">
        <v>2759</v>
      </c>
      <c r="I1673" s="10" t="s">
        <v>55</v>
      </c>
      <c r="J1673" s="10" t="s">
        <v>5827</v>
      </c>
      <c r="K1673" s="10" t="s">
        <v>5844</v>
      </c>
      <c r="L1673" s="10" t="s">
        <v>42</v>
      </c>
    </row>
    <row r="1674" ht="15.75" customHeight="1">
      <c r="A1674" s="64">
        <v>45487.0</v>
      </c>
      <c r="B1674" s="55" t="str">
        <f>HYPERLINK("https://jobright.ai/jobs/info/66592ba2fb1dd944df45a5cb?utm_campaign=1062&amp;utm_source=sheet", "Apply")</f>
        <v>Apply</v>
      </c>
      <c r="C1674" s="10" t="s">
        <v>4723</v>
      </c>
      <c r="D1674" s="56" t="s">
        <v>2682</v>
      </c>
      <c r="E1674" s="10" t="s">
        <v>45</v>
      </c>
      <c r="F1674" s="10" t="s">
        <v>1357</v>
      </c>
      <c r="G1674" s="10" t="s">
        <v>2589</v>
      </c>
      <c r="H1674" s="10" t="s">
        <v>5845</v>
      </c>
      <c r="I1674" s="10" t="s">
        <v>55</v>
      </c>
      <c r="J1674" s="10" t="s">
        <v>2683</v>
      </c>
      <c r="K1674" s="10" t="s">
        <v>2684</v>
      </c>
      <c r="L1674" s="10" t="s">
        <v>42</v>
      </c>
    </row>
    <row r="1675" ht="15.75" customHeight="1">
      <c r="A1675" s="64">
        <v>45487.0</v>
      </c>
      <c r="B1675" s="55" t="str">
        <f>HYPERLINK("https://jobright.ai/jobs/info/6664440a62213da165ff55a3?utm_campaign=1062&amp;utm_source=sheet", "Apply")</f>
        <v>Apply</v>
      </c>
      <c r="C1675" s="10" t="s">
        <v>1872</v>
      </c>
      <c r="D1675" s="56" t="s">
        <v>5846</v>
      </c>
      <c r="E1675" s="10" t="s">
        <v>249</v>
      </c>
      <c r="F1675" s="10" t="s">
        <v>5847</v>
      </c>
      <c r="G1675" s="10" t="s">
        <v>2448</v>
      </c>
      <c r="H1675" s="10" t="s">
        <v>251</v>
      </c>
      <c r="I1675" s="10" t="s">
        <v>252</v>
      </c>
      <c r="K1675" s="10" t="s">
        <v>5848</v>
      </c>
      <c r="L1675" s="10" t="s">
        <v>42</v>
      </c>
    </row>
    <row r="1676" ht="15.75" customHeight="1">
      <c r="A1676" s="64">
        <v>45487.0</v>
      </c>
      <c r="B1676" s="55" t="str">
        <f>HYPERLINK("https://jobright.ai/jobs/info/6677dd98fbac42152a146e29?utm_campaign=1062&amp;utm_source=sheet", "Apply")</f>
        <v>Apply</v>
      </c>
      <c r="C1676" s="10" t="s">
        <v>2681</v>
      </c>
      <c r="D1676" s="56" t="s">
        <v>2682</v>
      </c>
      <c r="E1676" s="10" t="s">
        <v>45</v>
      </c>
      <c r="F1676" s="10" t="s">
        <v>1357</v>
      </c>
      <c r="G1676" s="10" t="s">
        <v>2589</v>
      </c>
      <c r="H1676" s="10" t="s">
        <v>957</v>
      </c>
      <c r="I1676" s="10" t="s">
        <v>55</v>
      </c>
      <c r="J1676" s="10" t="s">
        <v>5833</v>
      </c>
      <c r="K1676" s="10" t="s">
        <v>2684</v>
      </c>
      <c r="L1676" s="10" t="s">
        <v>42</v>
      </c>
    </row>
    <row r="1677" ht="15.75" customHeight="1">
      <c r="A1677" s="64">
        <v>45487.0</v>
      </c>
      <c r="B1677" s="55" t="str">
        <f>HYPERLINK("https://jobright.ai/jobs/info/6657cd551463f7308380dd1a?utm_campaign=1062&amp;utm_source=sheet", "Apply")</f>
        <v>Apply</v>
      </c>
      <c r="C1677" s="10" t="s">
        <v>5849</v>
      </c>
      <c r="D1677" s="56" t="s">
        <v>4071</v>
      </c>
      <c r="E1677" s="10" t="s">
        <v>65</v>
      </c>
      <c r="F1677" s="10" t="s">
        <v>4072</v>
      </c>
      <c r="G1677" s="10" t="s">
        <v>2495</v>
      </c>
      <c r="H1677" s="10" t="s">
        <v>4073</v>
      </c>
      <c r="I1677" s="10" t="s">
        <v>55</v>
      </c>
      <c r="K1677" s="10" t="s">
        <v>5850</v>
      </c>
      <c r="L1677" s="10" t="s">
        <v>42</v>
      </c>
    </row>
    <row r="1678" ht="15.75" customHeight="1">
      <c r="A1678" s="64">
        <v>45487.0</v>
      </c>
      <c r="B1678" s="55" t="str">
        <f>HYPERLINK("https://jobright.ai/jobs/info/667859dd7c4e25df7d3e72a6?utm_campaign=1062&amp;utm_source=sheet", "Apply")</f>
        <v>Apply</v>
      </c>
      <c r="C1678" s="10" t="s">
        <v>2681</v>
      </c>
      <c r="D1678" s="56" t="s">
        <v>2682</v>
      </c>
      <c r="E1678" s="10" t="s">
        <v>45</v>
      </c>
      <c r="F1678" s="10" t="s">
        <v>1357</v>
      </c>
      <c r="G1678" s="10" t="s">
        <v>2589</v>
      </c>
      <c r="H1678" s="10" t="s">
        <v>232</v>
      </c>
      <c r="I1678" s="10" t="s">
        <v>55</v>
      </c>
      <c r="J1678" s="10" t="s">
        <v>5833</v>
      </c>
      <c r="K1678" s="10" t="s">
        <v>2684</v>
      </c>
      <c r="L1678" s="10" t="s">
        <v>42</v>
      </c>
    </row>
    <row r="1679" ht="15.75" customHeight="1">
      <c r="A1679" s="64">
        <v>45487.0</v>
      </c>
      <c r="B1679" s="55" t="str">
        <f>HYPERLINK("https://jobright.ai/jobs/info/667439744bad03f9b038a605?utm_campaign=1062&amp;utm_source=sheet", "Apply")</f>
        <v>Apply</v>
      </c>
      <c r="C1679" s="10" t="s">
        <v>2681</v>
      </c>
      <c r="D1679" s="56" t="s">
        <v>2682</v>
      </c>
      <c r="E1679" s="10" t="s">
        <v>45</v>
      </c>
      <c r="F1679" s="10" t="s">
        <v>1357</v>
      </c>
      <c r="G1679" s="10" t="s">
        <v>2589</v>
      </c>
      <c r="H1679" s="10" t="s">
        <v>2679</v>
      </c>
      <c r="I1679" s="10" t="s">
        <v>55</v>
      </c>
      <c r="J1679" s="10" t="s">
        <v>2683</v>
      </c>
      <c r="K1679" s="10" t="s">
        <v>2684</v>
      </c>
      <c r="L1679" s="10" t="s">
        <v>42</v>
      </c>
    </row>
    <row r="1680" ht="15.75" customHeight="1">
      <c r="A1680" s="64">
        <v>45487.0</v>
      </c>
      <c r="B1680" s="55" t="str">
        <f>HYPERLINK("https://jobright.ai/jobs/info/664e4084403c20224e70f1b9?utm_campaign=1062&amp;utm_source=sheet", "Apply")</f>
        <v>Apply</v>
      </c>
      <c r="C1680" s="10" t="s">
        <v>5851</v>
      </c>
      <c r="D1680" s="56" t="s">
        <v>614</v>
      </c>
      <c r="E1680" s="10" t="s">
        <v>65</v>
      </c>
      <c r="F1680" s="10" t="s">
        <v>615</v>
      </c>
      <c r="G1680" s="10" t="s">
        <v>2437</v>
      </c>
      <c r="H1680" s="10" t="s">
        <v>2687</v>
      </c>
      <c r="I1680" s="10" t="s">
        <v>48</v>
      </c>
      <c r="K1680" s="10" t="s">
        <v>5852</v>
      </c>
      <c r="L1680" s="10" t="s">
        <v>42</v>
      </c>
    </row>
    <row r="1681" ht="15.75" customHeight="1">
      <c r="A1681" s="64">
        <v>45487.0</v>
      </c>
      <c r="B1681" s="55" t="str">
        <f>HYPERLINK("https://jobright.ai/jobs/info/6642f8f4457134082c2122a9?utm_campaign=1062&amp;utm_source=sheet", "Apply")</f>
        <v>Apply</v>
      </c>
      <c r="C1681" s="10" t="s">
        <v>5853</v>
      </c>
      <c r="D1681" s="56" t="s">
        <v>5854</v>
      </c>
      <c r="E1681" s="10" t="s">
        <v>209</v>
      </c>
      <c r="F1681" s="10" t="s">
        <v>1695</v>
      </c>
      <c r="G1681" s="10" t="s">
        <v>2443</v>
      </c>
      <c r="H1681" s="10" t="s">
        <v>860</v>
      </c>
      <c r="I1681" s="10" t="s">
        <v>55</v>
      </c>
      <c r="K1681" s="10" t="s">
        <v>5855</v>
      </c>
      <c r="L1681" s="10" t="s">
        <v>42</v>
      </c>
    </row>
    <row r="1682" ht="15.75" customHeight="1">
      <c r="A1682" s="64">
        <v>45487.0</v>
      </c>
      <c r="B1682" s="55" t="str">
        <f>HYPERLINK("https://jobright.ai/jobs/info/6675f3712617111d53a44604?utm_campaign=1062&amp;utm_source=sheet", "Apply")</f>
        <v>Apply</v>
      </c>
      <c r="C1682" s="10" t="s">
        <v>2681</v>
      </c>
      <c r="D1682" s="56" t="s">
        <v>2682</v>
      </c>
      <c r="E1682" s="10" t="s">
        <v>45</v>
      </c>
      <c r="F1682" s="10" t="s">
        <v>1357</v>
      </c>
      <c r="G1682" s="10" t="s">
        <v>2589</v>
      </c>
      <c r="H1682" s="10" t="s">
        <v>5856</v>
      </c>
      <c r="I1682" s="10" t="s">
        <v>55</v>
      </c>
      <c r="J1682" s="10" t="s">
        <v>2683</v>
      </c>
      <c r="K1682" s="10" t="s">
        <v>2684</v>
      </c>
      <c r="L1682" s="10" t="s">
        <v>42</v>
      </c>
    </row>
    <row r="1683" ht="15.75" customHeight="1">
      <c r="A1683" s="64">
        <v>45487.0</v>
      </c>
      <c r="B1683" s="55" t="str">
        <f>HYPERLINK("https://jobright.ai/jobs/info/664e2b8cfd06ab529d525fd1?utm_campaign=1062&amp;utm_source=sheet", "Apply")</f>
        <v>Apply</v>
      </c>
      <c r="C1683" s="10" t="s">
        <v>5857</v>
      </c>
      <c r="D1683" s="56" t="s">
        <v>5854</v>
      </c>
      <c r="E1683" s="10" t="s">
        <v>209</v>
      </c>
      <c r="F1683" s="10" t="s">
        <v>1695</v>
      </c>
      <c r="G1683" s="10" t="s">
        <v>2443</v>
      </c>
      <c r="H1683" s="10" t="s">
        <v>860</v>
      </c>
      <c r="I1683" s="10" t="s">
        <v>55</v>
      </c>
      <c r="K1683" s="10" t="s">
        <v>5858</v>
      </c>
      <c r="L1683" s="10" t="s">
        <v>42</v>
      </c>
    </row>
    <row r="1684" ht="15.75" customHeight="1">
      <c r="A1684" s="64">
        <v>45487.0</v>
      </c>
      <c r="B1684" s="55" t="str">
        <f>HYPERLINK("https://jobright.ai/jobs/info/66786b42742ddaa1ec1cc3ea?utm_campaign=1062&amp;utm_source=sheet", "Apply")</f>
        <v>Apply</v>
      </c>
      <c r="C1684" s="10" t="s">
        <v>2681</v>
      </c>
      <c r="D1684" s="56" t="s">
        <v>2682</v>
      </c>
      <c r="E1684" s="10" t="s">
        <v>45</v>
      </c>
      <c r="F1684" s="10" t="s">
        <v>1357</v>
      </c>
      <c r="G1684" s="10" t="s">
        <v>2589</v>
      </c>
      <c r="H1684" s="10" t="s">
        <v>5481</v>
      </c>
      <c r="I1684" s="10" t="s">
        <v>55</v>
      </c>
      <c r="J1684" s="10" t="s">
        <v>5859</v>
      </c>
      <c r="K1684" s="10" t="s">
        <v>2684</v>
      </c>
      <c r="L1684" s="10" t="s">
        <v>42</v>
      </c>
    </row>
    <row r="1685" ht="15.75" customHeight="1">
      <c r="A1685" s="64">
        <v>45487.0</v>
      </c>
      <c r="B1685" s="55" t="str">
        <f>HYPERLINK("https://jobright.ai/jobs/info/667d57b4aa63cf1b275d2b37?utm_campaign=1062&amp;utm_source=sheet", "Apply")</f>
        <v>Apply</v>
      </c>
      <c r="C1685" s="10" t="s">
        <v>5860</v>
      </c>
      <c r="D1685" s="56" t="s">
        <v>5861</v>
      </c>
      <c r="E1685" s="10">
        <v>5246.0</v>
      </c>
      <c r="G1685" s="10" t="s">
        <v>2470</v>
      </c>
      <c r="H1685" s="10" t="s">
        <v>153</v>
      </c>
      <c r="I1685" s="10" t="s">
        <v>55</v>
      </c>
      <c r="K1685" s="10" t="s">
        <v>5862</v>
      </c>
      <c r="L1685" s="10" t="s">
        <v>42</v>
      </c>
    </row>
    <row r="1686" ht="15.75" customHeight="1">
      <c r="A1686" s="64">
        <v>45487.0</v>
      </c>
      <c r="B1686" s="55" t="str">
        <f>HYPERLINK("https://jobright.ai/jobs/info/667601d8f1b86992c36468ec?utm_campaign=1062&amp;utm_source=sheet", "Apply")</f>
        <v>Apply</v>
      </c>
      <c r="C1686" s="10" t="s">
        <v>2681</v>
      </c>
      <c r="D1686" s="56" t="s">
        <v>2682</v>
      </c>
      <c r="E1686" s="10" t="s">
        <v>45</v>
      </c>
      <c r="F1686" s="10" t="s">
        <v>1357</v>
      </c>
      <c r="G1686" s="10" t="s">
        <v>2589</v>
      </c>
      <c r="H1686" s="10" t="s">
        <v>5863</v>
      </c>
      <c r="I1686" s="10" t="s">
        <v>55</v>
      </c>
      <c r="J1686" s="10" t="s">
        <v>2683</v>
      </c>
      <c r="K1686" s="10" t="s">
        <v>2684</v>
      </c>
      <c r="L1686" s="10" t="s">
        <v>42</v>
      </c>
    </row>
    <row r="1687" ht="15.75" customHeight="1">
      <c r="A1687" s="64">
        <v>45487.0</v>
      </c>
      <c r="B1687" s="55" t="str">
        <f>HYPERLINK("https://jobright.ai/jobs/info/667424f49634b665d7e51076?utm_campaign=1062&amp;utm_source=sheet", "Apply")</f>
        <v>Apply</v>
      </c>
      <c r="C1687" s="10" t="s">
        <v>2681</v>
      </c>
      <c r="D1687" s="56" t="s">
        <v>2682</v>
      </c>
      <c r="E1687" s="10" t="s">
        <v>45</v>
      </c>
      <c r="F1687" s="10" t="s">
        <v>1357</v>
      </c>
      <c r="G1687" s="10" t="s">
        <v>2589</v>
      </c>
      <c r="H1687" s="10" t="s">
        <v>2006</v>
      </c>
      <c r="I1687" s="10" t="s">
        <v>55</v>
      </c>
      <c r="J1687" s="10" t="s">
        <v>5833</v>
      </c>
      <c r="K1687" s="10" t="s">
        <v>2684</v>
      </c>
      <c r="L1687" s="10" t="s">
        <v>42</v>
      </c>
    </row>
    <row r="1688" ht="15.75" customHeight="1">
      <c r="A1688" s="64">
        <v>45487.0</v>
      </c>
      <c r="B1688" s="55" t="str">
        <f>HYPERLINK("https://jobright.ai/jobs/info/6675f3712617111d53a445f1?utm_campaign=1062&amp;utm_source=sheet", "Apply")</f>
        <v>Apply</v>
      </c>
      <c r="C1688" s="10" t="s">
        <v>2681</v>
      </c>
      <c r="D1688" s="56" t="s">
        <v>2682</v>
      </c>
      <c r="E1688" s="10" t="s">
        <v>45</v>
      </c>
      <c r="F1688" s="10" t="s">
        <v>1357</v>
      </c>
      <c r="G1688" s="10" t="s">
        <v>2589</v>
      </c>
      <c r="H1688" s="10" t="s">
        <v>434</v>
      </c>
      <c r="I1688" s="10" t="s">
        <v>55</v>
      </c>
      <c r="J1688" s="10" t="s">
        <v>2778</v>
      </c>
      <c r="K1688" s="10" t="s">
        <v>2684</v>
      </c>
      <c r="L1688" s="10" t="s">
        <v>42</v>
      </c>
    </row>
    <row r="1689" ht="15.75" customHeight="1">
      <c r="A1689" s="64">
        <v>45487.0</v>
      </c>
      <c r="B1689" s="55" t="str">
        <f>HYPERLINK("https://jobright.ai/jobs/info/66229a563fabba612d2e57c8?utm_campaign=1062&amp;utm_source=sheet", "Apply")</f>
        <v>Apply</v>
      </c>
      <c r="C1689" s="10" t="s">
        <v>5864</v>
      </c>
      <c r="D1689" s="56" t="s">
        <v>5196</v>
      </c>
      <c r="E1689" s="10" t="s">
        <v>249</v>
      </c>
      <c r="F1689" s="10" t="s">
        <v>1389</v>
      </c>
      <c r="G1689" s="10" t="s">
        <v>2448</v>
      </c>
      <c r="H1689" s="10" t="s">
        <v>5865</v>
      </c>
      <c r="I1689" s="10" t="s">
        <v>55</v>
      </c>
      <c r="K1689" s="10" t="s">
        <v>5198</v>
      </c>
      <c r="L1689" s="10" t="s">
        <v>42</v>
      </c>
    </row>
    <row r="1690" ht="15.75" customHeight="1">
      <c r="A1690" s="64">
        <v>45487.0</v>
      </c>
      <c r="B1690" s="55" t="str">
        <f>HYPERLINK("https://jobright.ai/jobs/info/663eb0562bd91913184f5cfd?utm_campaign=1062&amp;utm_source=sheet", "Apply")</f>
        <v>Apply</v>
      </c>
      <c r="C1690" s="10" t="s">
        <v>5866</v>
      </c>
      <c r="D1690" s="56" t="s">
        <v>2792</v>
      </c>
      <c r="E1690" s="10" t="s">
        <v>45</v>
      </c>
      <c r="F1690" s="10" t="s">
        <v>2793</v>
      </c>
      <c r="G1690" s="10" t="s">
        <v>2470</v>
      </c>
      <c r="H1690" s="10" t="s">
        <v>411</v>
      </c>
      <c r="I1690" s="10" t="s">
        <v>55</v>
      </c>
      <c r="K1690" s="10" t="s">
        <v>5867</v>
      </c>
      <c r="L1690" s="10" t="s">
        <v>42</v>
      </c>
    </row>
    <row r="1691" ht="15.75" customHeight="1">
      <c r="A1691" s="64">
        <v>45487.0</v>
      </c>
      <c r="B1691" s="55" t="str">
        <f>HYPERLINK("https://jobright.ai/jobs/info/6618d694342a69dd5bb013bc?utm_campaign=1062&amp;utm_source=sheet", "Apply")</f>
        <v>Apply</v>
      </c>
      <c r="C1691" s="10" t="s">
        <v>5868</v>
      </c>
      <c r="D1691" s="56" t="s">
        <v>311</v>
      </c>
      <c r="E1691" s="10" t="s">
        <v>45</v>
      </c>
      <c r="F1691" s="10" t="s">
        <v>312</v>
      </c>
      <c r="G1691" s="10" t="s">
        <v>2502</v>
      </c>
      <c r="H1691" s="10" t="s">
        <v>313</v>
      </c>
      <c r="I1691" s="10" t="s">
        <v>55</v>
      </c>
      <c r="J1691" s="10" t="s">
        <v>2755</v>
      </c>
      <c r="K1691" s="10" t="s">
        <v>5869</v>
      </c>
      <c r="L1691" s="10" t="s">
        <v>42</v>
      </c>
    </row>
    <row r="1692" ht="15.75" customHeight="1">
      <c r="A1692" s="64">
        <v>45487.0</v>
      </c>
      <c r="B1692" s="55" t="str">
        <f>HYPERLINK("https://jobright.ai/jobs/info/664fd47d7934e2bc0d89e67a?utm_campaign=1062&amp;utm_source=sheet", "Apply")</f>
        <v>Apply</v>
      </c>
      <c r="C1692" s="10" t="s">
        <v>2681</v>
      </c>
      <c r="D1692" s="56" t="s">
        <v>2682</v>
      </c>
      <c r="E1692" s="10" t="s">
        <v>45</v>
      </c>
      <c r="F1692" s="10" t="s">
        <v>1357</v>
      </c>
      <c r="G1692" s="10" t="s">
        <v>2589</v>
      </c>
      <c r="H1692" s="10" t="s">
        <v>313</v>
      </c>
      <c r="I1692" s="10" t="s">
        <v>55</v>
      </c>
      <c r="J1692" s="10" t="s">
        <v>5870</v>
      </c>
      <c r="K1692" s="10" t="s">
        <v>2684</v>
      </c>
      <c r="L1692" s="10" t="s">
        <v>42</v>
      </c>
    </row>
    <row r="1693" ht="15.75" customHeight="1">
      <c r="A1693" s="64">
        <v>45487.0</v>
      </c>
      <c r="B1693" s="55" t="str">
        <f>HYPERLINK("https://jobright.ai/jobs/info/66785e46dbc11ed4da55c1bf?utm_campaign=1062&amp;utm_source=sheet", "Apply")</f>
        <v>Apply</v>
      </c>
      <c r="C1693" s="10" t="s">
        <v>2681</v>
      </c>
      <c r="D1693" s="56" t="s">
        <v>2682</v>
      </c>
      <c r="E1693" s="10" t="s">
        <v>45</v>
      </c>
      <c r="F1693" s="10" t="s">
        <v>1357</v>
      </c>
      <c r="G1693" s="10" t="s">
        <v>2589</v>
      </c>
      <c r="H1693" s="10" t="s">
        <v>165</v>
      </c>
      <c r="I1693" s="10" t="s">
        <v>55</v>
      </c>
      <c r="J1693" s="10" t="s">
        <v>5871</v>
      </c>
      <c r="K1693" s="10" t="s">
        <v>2684</v>
      </c>
      <c r="L1693" s="10" t="s">
        <v>42</v>
      </c>
    </row>
    <row r="1694" ht="15.75" customHeight="1">
      <c r="A1694" s="64">
        <v>45487.0</v>
      </c>
      <c r="B1694" s="55" t="str">
        <f>HYPERLINK("https://jobright.ai/jobs/info/6676c62d807f31af72076cfc?utm_campaign=1062&amp;utm_source=sheet", "Apply")</f>
        <v>Apply</v>
      </c>
      <c r="C1694" s="10" t="s">
        <v>5872</v>
      </c>
      <c r="D1694" s="56" t="s">
        <v>5873</v>
      </c>
      <c r="E1694" s="10" t="s">
        <v>65</v>
      </c>
      <c r="F1694" s="10" t="s">
        <v>3004</v>
      </c>
      <c r="G1694" s="10" t="s">
        <v>2437</v>
      </c>
      <c r="H1694" s="10" t="s">
        <v>232</v>
      </c>
      <c r="I1694" s="10" t="s">
        <v>55</v>
      </c>
      <c r="J1694" s="10" t="s">
        <v>1165</v>
      </c>
      <c r="K1694" s="10" t="s">
        <v>5874</v>
      </c>
      <c r="L1694" s="10" t="s">
        <v>42</v>
      </c>
    </row>
    <row r="1695" ht="15.75" customHeight="1">
      <c r="A1695" s="64">
        <v>45487.0</v>
      </c>
      <c r="B1695" s="55" t="str">
        <f>HYPERLINK("https://jobright.ai/jobs/info/66785e46dbc11ed4da55c1bb?utm_campaign=1062&amp;utm_source=sheet", "Apply")</f>
        <v>Apply</v>
      </c>
      <c r="C1695" s="10" t="s">
        <v>2681</v>
      </c>
      <c r="D1695" s="56" t="s">
        <v>2682</v>
      </c>
      <c r="E1695" s="10" t="s">
        <v>45</v>
      </c>
      <c r="F1695" s="10" t="s">
        <v>1357</v>
      </c>
      <c r="G1695" s="10" t="s">
        <v>2589</v>
      </c>
      <c r="H1695" s="10" t="s">
        <v>5875</v>
      </c>
      <c r="I1695" s="10" t="s">
        <v>55</v>
      </c>
      <c r="J1695" s="10" t="s">
        <v>2683</v>
      </c>
      <c r="K1695" s="10" t="s">
        <v>2684</v>
      </c>
      <c r="L1695" s="10" t="s">
        <v>42</v>
      </c>
    </row>
    <row r="1696" ht="15.75" customHeight="1">
      <c r="A1696" s="64">
        <v>45487.0</v>
      </c>
      <c r="B1696" s="55" t="str">
        <f>HYPERLINK("https://jobright.ai/jobs/info/66785e65dbc11ed4da55c4c5?utm_campaign=1062&amp;utm_source=sheet", "Apply")</f>
        <v>Apply</v>
      </c>
      <c r="C1696" s="10" t="s">
        <v>2681</v>
      </c>
      <c r="D1696" s="56" t="s">
        <v>2682</v>
      </c>
      <c r="E1696" s="10" t="s">
        <v>45</v>
      </c>
      <c r="F1696" s="10" t="s">
        <v>1357</v>
      </c>
      <c r="G1696" s="10" t="s">
        <v>2589</v>
      </c>
      <c r="H1696" s="10" t="s">
        <v>3796</v>
      </c>
      <c r="I1696" s="10" t="s">
        <v>55</v>
      </c>
      <c r="J1696" s="10" t="s">
        <v>5839</v>
      </c>
      <c r="K1696" s="10" t="s">
        <v>2684</v>
      </c>
      <c r="L1696" s="10" t="s">
        <v>42</v>
      </c>
    </row>
    <row r="1697" ht="15.75" customHeight="1">
      <c r="A1697" s="64">
        <v>45487.0</v>
      </c>
      <c r="B1697" s="55" t="str">
        <f>HYPERLINK("https://jobright.ai/jobs/info/66395c65ee64d96859bc32d6?utm_campaign=1062&amp;utm_source=sheet", "Apply")</f>
        <v>Apply</v>
      </c>
      <c r="C1697" s="10" t="s">
        <v>5876</v>
      </c>
      <c r="D1697" s="56" t="s">
        <v>5877</v>
      </c>
      <c r="E1697" s="10" t="s">
        <v>79</v>
      </c>
      <c r="F1697" s="10" t="s">
        <v>5878</v>
      </c>
      <c r="G1697" s="10" t="s">
        <v>2470</v>
      </c>
      <c r="H1697" s="10" t="s">
        <v>5879</v>
      </c>
      <c r="I1697" s="10" t="s">
        <v>55</v>
      </c>
      <c r="K1697" s="10" t="s">
        <v>5880</v>
      </c>
      <c r="L1697" s="10" t="s">
        <v>42</v>
      </c>
    </row>
    <row r="1698" ht="15.75" customHeight="1">
      <c r="A1698" s="64">
        <v>45487.0</v>
      </c>
      <c r="B1698" s="55" t="str">
        <f>HYPERLINK("https://jobright.ai/jobs/info/66740f7f5ff28865e7a71c4f?utm_campaign=1062&amp;utm_source=sheet", "Apply")</f>
        <v>Apply</v>
      </c>
      <c r="C1698" s="10" t="s">
        <v>4723</v>
      </c>
      <c r="D1698" s="56" t="s">
        <v>2682</v>
      </c>
      <c r="E1698" s="10" t="s">
        <v>45</v>
      </c>
      <c r="F1698" s="10" t="s">
        <v>1357</v>
      </c>
      <c r="G1698" s="10" t="s">
        <v>2589</v>
      </c>
      <c r="H1698" s="10" t="s">
        <v>5881</v>
      </c>
      <c r="I1698" s="10" t="s">
        <v>55</v>
      </c>
      <c r="J1698" s="10" t="s">
        <v>5882</v>
      </c>
      <c r="K1698" s="10" t="s">
        <v>2684</v>
      </c>
      <c r="L1698" s="10" t="s">
        <v>42</v>
      </c>
    </row>
    <row r="1699" ht="15.75" customHeight="1">
      <c r="A1699" s="64">
        <v>45487.0</v>
      </c>
      <c r="B1699" s="55" t="str">
        <f>HYPERLINK("https://jobright.ai/jobs/info/660caad22369fd368f55381b?utm_campaign=1062&amp;utm_source=sheet", "Apply")</f>
        <v>Apply</v>
      </c>
      <c r="C1699" s="10" t="s">
        <v>5883</v>
      </c>
      <c r="D1699" s="56" t="s">
        <v>1061</v>
      </c>
      <c r="E1699" s="10" t="s">
        <v>209</v>
      </c>
      <c r="G1699" s="10" t="s">
        <v>2509</v>
      </c>
      <c r="H1699" s="10" t="s">
        <v>1028</v>
      </c>
      <c r="I1699" s="10" t="s">
        <v>48</v>
      </c>
      <c r="K1699" s="10" t="s">
        <v>5884</v>
      </c>
      <c r="L1699" s="10" t="s">
        <v>42</v>
      </c>
    </row>
    <row r="1700" ht="15.75" customHeight="1">
      <c r="A1700" s="64">
        <v>45487.0</v>
      </c>
      <c r="B1700" s="55" t="str">
        <f>HYPERLINK("https://jobright.ai/jobs/info/66740f5b5ff28865e7a71a16?utm_campaign=1062&amp;utm_source=sheet", "Apply")</f>
        <v>Apply</v>
      </c>
      <c r="C1700" s="10" t="s">
        <v>2681</v>
      </c>
      <c r="D1700" s="56" t="s">
        <v>2682</v>
      </c>
      <c r="E1700" s="10" t="s">
        <v>45</v>
      </c>
      <c r="F1700" s="10" t="s">
        <v>1357</v>
      </c>
      <c r="G1700" s="10" t="s">
        <v>2589</v>
      </c>
      <c r="H1700" s="10" t="s">
        <v>795</v>
      </c>
      <c r="I1700" s="10" t="s">
        <v>55</v>
      </c>
      <c r="J1700" s="10" t="s">
        <v>5859</v>
      </c>
      <c r="K1700" s="10" t="s">
        <v>2684</v>
      </c>
      <c r="L1700" s="10" t="s">
        <v>42</v>
      </c>
    </row>
    <row r="1701" ht="15.75" customHeight="1">
      <c r="A1701" s="64">
        <v>45487.0</v>
      </c>
      <c r="B1701" s="55" t="str">
        <f>HYPERLINK("https://jobright.ai/jobs/info/66740f675ff28865e7a71aaf?utm_campaign=1062&amp;utm_source=sheet", "Apply")</f>
        <v>Apply</v>
      </c>
      <c r="C1701" s="10" t="s">
        <v>4723</v>
      </c>
      <c r="D1701" s="56" t="s">
        <v>2682</v>
      </c>
      <c r="E1701" s="10" t="s">
        <v>45</v>
      </c>
      <c r="F1701" s="10" t="s">
        <v>1357</v>
      </c>
      <c r="G1701" s="10" t="s">
        <v>2589</v>
      </c>
      <c r="H1701" s="10" t="s">
        <v>5885</v>
      </c>
      <c r="I1701" s="10" t="s">
        <v>55</v>
      </c>
      <c r="J1701" s="10" t="s">
        <v>5886</v>
      </c>
      <c r="K1701" s="10" t="s">
        <v>2684</v>
      </c>
      <c r="L1701" s="10" t="s">
        <v>42</v>
      </c>
    </row>
    <row r="1702" ht="15.75" customHeight="1">
      <c r="A1702" s="64">
        <v>45487.0</v>
      </c>
      <c r="B1702" s="55" t="str">
        <f>HYPERLINK("https://jobright.ai/jobs/info/66785e32dbc11ed4da55bffe?utm_campaign=1062&amp;utm_source=sheet", "Apply")</f>
        <v>Apply</v>
      </c>
      <c r="C1702" s="10" t="s">
        <v>2681</v>
      </c>
      <c r="D1702" s="56" t="s">
        <v>2682</v>
      </c>
      <c r="E1702" s="10" t="s">
        <v>45</v>
      </c>
      <c r="F1702" s="10" t="s">
        <v>1357</v>
      </c>
      <c r="G1702" s="10" t="s">
        <v>2589</v>
      </c>
      <c r="H1702" s="10" t="s">
        <v>898</v>
      </c>
      <c r="I1702" s="10" t="s">
        <v>55</v>
      </c>
      <c r="J1702" s="10" t="s">
        <v>5841</v>
      </c>
      <c r="K1702" s="10" t="s">
        <v>2684</v>
      </c>
      <c r="L1702" s="10" t="s">
        <v>42</v>
      </c>
    </row>
    <row r="1703" ht="15.75" customHeight="1">
      <c r="A1703" s="64">
        <v>45487.0</v>
      </c>
      <c r="B1703" s="55" t="str">
        <f>HYPERLINK("https://jobright.ai/jobs/info/66421645ed4d19127d877e57?utm_campaign=1062&amp;utm_source=sheet", "Apply")</f>
        <v>Apply</v>
      </c>
      <c r="C1703" s="10" t="s">
        <v>4723</v>
      </c>
      <c r="D1703" s="56" t="s">
        <v>2682</v>
      </c>
      <c r="E1703" s="10" t="s">
        <v>45</v>
      </c>
      <c r="F1703" s="10" t="s">
        <v>1357</v>
      </c>
      <c r="G1703" s="10" t="s">
        <v>2589</v>
      </c>
      <c r="H1703" s="10" t="s">
        <v>5887</v>
      </c>
      <c r="I1703" s="10" t="s">
        <v>55</v>
      </c>
      <c r="J1703" s="10" t="s">
        <v>2683</v>
      </c>
      <c r="K1703" s="10" t="s">
        <v>2684</v>
      </c>
      <c r="L1703" s="10" t="s">
        <v>42</v>
      </c>
    </row>
    <row r="1704" ht="15.75" customHeight="1">
      <c r="A1704" s="64">
        <v>45487.0</v>
      </c>
      <c r="B1704" s="55" t="str">
        <f>HYPERLINK("https://jobright.ai/jobs/info/667859dd7c4e25df7d3e729e?utm_campaign=1062&amp;utm_source=sheet", "Apply")</f>
        <v>Apply</v>
      </c>
      <c r="C1704" s="10" t="s">
        <v>2681</v>
      </c>
      <c r="D1704" s="56" t="s">
        <v>2682</v>
      </c>
      <c r="E1704" s="10" t="s">
        <v>45</v>
      </c>
      <c r="F1704" s="10" t="s">
        <v>1357</v>
      </c>
      <c r="G1704" s="10" t="s">
        <v>2589</v>
      </c>
      <c r="H1704" s="10" t="s">
        <v>1007</v>
      </c>
      <c r="I1704" s="10" t="s">
        <v>55</v>
      </c>
      <c r="J1704" s="10" t="s">
        <v>2683</v>
      </c>
      <c r="K1704" s="10" t="s">
        <v>2684</v>
      </c>
      <c r="L1704" s="10" t="s">
        <v>42</v>
      </c>
    </row>
    <row r="1705" ht="15.75" customHeight="1">
      <c r="A1705" s="64">
        <v>45487.0</v>
      </c>
      <c r="B1705" s="55" t="str">
        <f>HYPERLINK("https://jobright.ai/jobs/info/664fd47d7934e2bc0d89e688?utm_campaign=1062&amp;utm_source=sheet", "Apply")</f>
        <v>Apply</v>
      </c>
      <c r="C1705" s="10" t="s">
        <v>2681</v>
      </c>
      <c r="D1705" s="56" t="s">
        <v>2682</v>
      </c>
      <c r="E1705" s="10" t="s">
        <v>45</v>
      </c>
      <c r="F1705" s="10" t="s">
        <v>1357</v>
      </c>
      <c r="G1705" s="10" t="s">
        <v>2589</v>
      </c>
      <c r="H1705" s="10" t="s">
        <v>5888</v>
      </c>
      <c r="I1705" s="10" t="s">
        <v>55</v>
      </c>
      <c r="J1705" s="10" t="s">
        <v>5871</v>
      </c>
      <c r="K1705" s="10" t="s">
        <v>2684</v>
      </c>
      <c r="L1705" s="10" t="s">
        <v>42</v>
      </c>
    </row>
    <row r="1706" ht="15.75" customHeight="1">
      <c r="A1706" s="64">
        <v>45487.0</v>
      </c>
      <c r="B1706" s="55" t="str">
        <f>HYPERLINK("https://jobright.ai/jobs/info/6676dfd2c909276a3772d0cb?utm_campaign=1062&amp;utm_source=sheet", "Apply")</f>
        <v>Apply</v>
      </c>
      <c r="C1706" s="10" t="s">
        <v>3349</v>
      </c>
      <c r="D1706" s="56" t="s">
        <v>5889</v>
      </c>
      <c r="E1706" s="10" t="s">
        <v>249</v>
      </c>
      <c r="F1706" s="10" t="s">
        <v>4692</v>
      </c>
      <c r="G1706" s="10" t="s">
        <v>2484</v>
      </c>
      <c r="H1706" s="10" t="s">
        <v>505</v>
      </c>
      <c r="I1706" s="10" t="s">
        <v>48</v>
      </c>
      <c r="K1706" s="10" t="s">
        <v>5890</v>
      </c>
      <c r="L1706" s="10" t="s">
        <v>42</v>
      </c>
    </row>
    <row r="1707" ht="15.75" customHeight="1">
      <c r="A1707" s="64">
        <v>45487.0</v>
      </c>
      <c r="B1707" s="55" t="str">
        <f>HYPERLINK("https://jobright.ai/jobs/info/6623c7098bb406115620c66e?utm_campaign=1062&amp;utm_source=sheet", "Apply")</f>
        <v>Apply</v>
      </c>
      <c r="C1707" s="10" t="s">
        <v>5891</v>
      </c>
      <c r="D1707" s="56" t="s">
        <v>614</v>
      </c>
      <c r="E1707" s="10" t="s">
        <v>65</v>
      </c>
      <c r="F1707" s="10" t="s">
        <v>615</v>
      </c>
      <c r="G1707" s="10" t="s">
        <v>2464</v>
      </c>
      <c r="H1707" s="10" t="s">
        <v>2687</v>
      </c>
      <c r="I1707" s="10" t="s">
        <v>48</v>
      </c>
      <c r="K1707" s="10" t="s">
        <v>5892</v>
      </c>
      <c r="L1707" s="10" t="s">
        <v>42</v>
      </c>
    </row>
    <row r="1708" ht="15.75" customHeight="1">
      <c r="A1708" s="64">
        <v>45487.0</v>
      </c>
      <c r="B1708" s="55" t="str">
        <f>HYPERLINK("https://jobright.ai/jobs/info/6675ef833f0763b7548cfa9c?utm_campaign=1062&amp;utm_source=sheet", "Apply")</f>
        <v>Apply</v>
      </c>
      <c r="C1708" s="10" t="s">
        <v>2681</v>
      </c>
      <c r="D1708" s="56" t="s">
        <v>2682</v>
      </c>
      <c r="E1708" s="10" t="s">
        <v>45</v>
      </c>
      <c r="F1708" s="10" t="s">
        <v>1357</v>
      </c>
      <c r="G1708" s="10" t="s">
        <v>2589</v>
      </c>
      <c r="H1708" s="10" t="s">
        <v>5893</v>
      </c>
      <c r="I1708" s="10" t="s">
        <v>55</v>
      </c>
      <c r="J1708" s="10" t="s">
        <v>5859</v>
      </c>
      <c r="K1708" s="10" t="s">
        <v>2684</v>
      </c>
      <c r="L1708" s="10" t="s">
        <v>42</v>
      </c>
    </row>
    <row r="1709" ht="15.75" customHeight="1">
      <c r="A1709" s="64">
        <v>45487.0</v>
      </c>
      <c r="B1709" s="55" t="str">
        <f>HYPERLINK("https://jobright.ai/jobs/info/655c8ba827e6fd31a4f0725e?utm_campaign=1062&amp;utm_source=sheet", "Apply")</f>
        <v>Apply</v>
      </c>
      <c r="C1709" s="10" t="s">
        <v>5894</v>
      </c>
      <c r="D1709" s="56" t="s">
        <v>2741</v>
      </c>
      <c r="E1709" s="10" t="s">
        <v>79</v>
      </c>
      <c r="F1709" s="10" t="s">
        <v>568</v>
      </c>
      <c r="G1709" s="10" t="s">
        <v>2437</v>
      </c>
      <c r="H1709" s="10" t="s">
        <v>5895</v>
      </c>
      <c r="I1709" s="10" t="s">
        <v>55</v>
      </c>
      <c r="K1709" s="10" t="s">
        <v>5896</v>
      </c>
      <c r="L1709" s="10" t="s">
        <v>42</v>
      </c>
    </row>
    <row r="1710" ht="15.75" customHeight="1">
      <c r="A1710" s="64">
        <v>45487.0</v>
      </c>
      <c r="B1710" s="55" t="str">
        <f>HYPERLINK("https://jobright.ai/jobs/info/6676cf19131cc9dd67df2b96?utm_campaign=1062&amp;utm_source=sheet", "Apply")</f>
        <v>Apply</v>
      </c>
      <c r="C1710" s="10" t="s">
        <v>4346</v>
      </c>
      <c r="D1710" s="56" t="s">
        <v>2462</v>
      </c>
      <c r="E1710" s="10" t="s">
        <v>79</v>
      </c>
      <c r="F1710" s="10" t="s">
        <v>2463</v>
      </c>
      <c r="G1710" s="10" t="s">
        <v>2464</v>
      </c>
      <c r="H1710" s="10" t="s">
        <v>607</v>
      </c>
      <c r="I1710" s="10" t="s">
        <v>55</v>
      </c>
      <c r="K1710" s="10" t="s">
        <v>4347</v>
      </c>
      <c r="L1710" s="10" t="s">
        <v>42</v>
      </c>
    </row>
    <row r="1711" ht="15.75" customHeight="1">
      <c r="A1711" s="64">
        <v>45487.0</v>
      </c>
      <c r="B1711" s="55" t="str">
        <f>HYPERLINK("https://jobright.ai/jobs/info/65ec9086876a12cbdce237c7?utm_campaign=1062&amp;utm_source=sheet", "Apply")</f>
        <v>Apply</v>
      </c>
      <c r="C1711" s="10" t="s">
        <v>3303</v>
      </c>
      <c r="D1711" s="56" t="s">
        <v>2763</v>
      </c>
      <c r="E1711" s="10" t="s">
        <v>45</v>
      </c>
      <c r="F1711" s="10" t="s">
        <v>1465</v>
      </c>
      <c r="G1711" s="10" t="s">
        <v>2437</v>
      </c>
      <c r="H1711" s="10" t="s">
        <v>5897</v>
      </c>
      <c r="I1711" s="10" t="s">
        <v>55</v>
      </c>
      <c r="K1711" s="10" t="s">
        <v>3305</v>
      </c>
      <c r="L1711" s="10" t="s">
        <v>42</v>
      </c>
    </row>
    <row r="1712" ht="15.75" customHeight="1">
      <c r="A1712" s="64">
        <v>45487.0</v>
      </c>
      <c r="B1712" s="55" t="str">
        <f>HYPERLINK("https://jobright.ai/jobs/info/66573695e3d4e0f1e6a7257a?utm_campaign=1062&amp;utm_source=sheet", "Apply")</f>
        <v>Apply</v>
      </c>
      <c r="C1712" s="10" t="s">
        <v>2681</v>
      </c>
      <c r="D1712" s="56" t="s">
        <v>2682</v>
      </c>
      <c r="E1712" s="10" t="s">
        <v>45</v>
      </c>
      <c r="F1712" s="10" t="s">
        <v>1357</v>
      </c>
      <c r="G1712" s="10" t="s">
        <v>2589</v>
      </c>
      <c r="H1712" s="10" t="s">
        <v>5898</v>
      </c>
      <c r="I1712" s="10" t="s">
        <v>55</v>
      </c>
      <c r="J1712" s="10" t="s">
        <v>2683</v>
      </c>
      <c r="K1712" s="10" t="s">
        <v>2684</v>
      </c>
      <c r="L1712" s="10" t="s">
        <v>42</v>
      </c>
    </row>
    <row r="1713" ht="15.75" customHeight="1">
      <c r="A1713" s="64">
        <v>45487.0</v>
      </c>
      <c r="B1713" s="55" t="str">
        <f>HYPERLINK("https://jobright.ai/jobs/info/6659c6f799d816632052cd40?utm_campaign=1062&amp;utm_source=sheet", "Apply")</f>
        <v>Apply</v>
      </c>
      <c r="C1713" s="10" t="s">
        <v>2771</v>
      </c>
      <c r="D1713" s="56" t="s">
        <v>385</v>
      </c>
      <c r="E1713" s="10" t="s">
        <v>45</v>
      </c>
      <c r="F1713" s="10" t="s">
        <v>386</v>
      </c>
      <c r="G1713" s="10" t="s">
        <v>2448</v>
      </c>
      <c r="H1713" s="10" t="s">
        <v>1254</v>
      </c>
      <c r="I1713" s="10" t="s">
        <v>55</v>
      </c>
      <c r="J1713" s="10" t="s">
        <v>2772</v>
      </c>
      <c r="K1713" s="10" t="s">
        <v>2773</v>
      </c>
      <c r="L1713" s="10" t="s">
        <v>42</v>
      </c>
    </row>
    <row r="1714" ht="15.75" customHeight="1">
      <c r="A1714" s="64">
        <v>45487.0</v>
      </c>
      <c r="B1714" s="55" t="str">
        <f>HYPERLINK("https://jobright.ai/jobs/info/667633e4e272243dcd4f6718?utm_campaign=1062&amp;utm_source=sheet", "Apply")</f>
        <v>Apply</v>
      </c>
      <c r="C1714" s="10" t="s">
        <v>3131</v>
      </c>
      <c r="D1714" s="56" t="s">
        <v>3364</v>
      </c>
      <c r="E1714" s="10" t="s">
        <v>45</v>
      </c>
      <c r="F1714" s="10" t="s">
        <v>1274</v>
      </c>
      <c r="G1714" s="10" t="s">
        <v>2437</v>
      </c>
      <c r="H1714" s="10" t="s">
        <v>849</v>
      </c>
      <c r="I1714" s="10" t="s">
        <v>55</v>
      </c>
      <c r="K1714" s="10" t="s">
        <v>5899</v>
      </c>
      <c r="L1714" s="10" t="s">
        <v>42</v>
      </c>
    </row>
    <row r="1715" ht="15.75" customHeight="1">
      <c r="A1715" s="64">
        <v>45487.0</v>
      </c>
      <c r="B1715" s="55" t="str">
        <f>HYPERLINK("https://jobright.ai/jobs/info/66573697e3d4e0f1e6a72627?utm_campaign=1062&amp;utm_source=sheet", "Apply")</f>
        <v>Apply</v>
      </c>
      <c r="C1715" s="10" t="s">
        <v>2681</v>
      </c>
      <c r="D1715" s="56" t="s">
        <v>2682</v>
      </c>
      <c r="E1715" s="10" t="s">
        <v>45</v>
      </c>
      <c r="F1715" s="10" t="s">
        <v>1357</v>
      </c>
      <c r="G1715" s="10" t="s">
        <v>2589</v>
      </c>
      <c r="H1715" s="10" t="s">
        <v>898</v>
      </c>
      <c r="I1715" s="10" t="s">
        <v>55</v>
      </c>
      <c r="J1715" s="10" t="s">
        <v>5842</v>
      </c>
      <c r="K1715" s="10" t="s">
        <v>2684</v>
      </c>
      <c r="L1715" s="10" t="s">
        <v>42</v>
      </c>
    </row>
    <row r="1716" ht="15.75" customHeight="1">
      <c r="A1716" s="64">
        <v>45487.0</v>
      </c>
      <c r="B1716" s="55" t="str">
        <f>HYPERLINK("https://jobright.ai/jobs/info/6651400c65ca08ef23181e78?utm_campaign=1062&amp;utm_source=sheet", "Apply")</f>
        <v>Apply</v>
      </c>
      <c r="C1716" s="10" t="s">
        <v>5900</v>
      </c>
      <c r="D1716" s="56" t="s">
        <v>5901</v>
      </c>
      <c r="E1716" s="10" t="s">
        <v>45</v>
      </c>
      <c r="F1716" s="10" t="s">
        <v>5902</v>
      </c>
      <c r="G1716" s="10" t="s">
        <v>2437</v>
      </c>
      <c r="H1716" s="10" t="s">
        <v>5903</v>
      </c>
      <c r="I1716" s="10" t="s">
        <v>55</v>
      </c>
      <c r="K1716" s="10" t="s">
        <v>5904</v>
      </c>
      <c r="L1716" s="10" t="s">
        <v>42</v>
      </c>
    </row>
    <row r="1717" ht="15.75" customHeight="1">
      <c r="A1717" s="64">
        <v>45487.0</v>
      </c>
      <c r="B1717" s="55" t="str">
        <f>HYPERLINK("https://jobright.ai/jobs/info/665902b0d9f10b0b654feafd?utm_campaign=1062&amp;utm_source=sheet", "Apply")</f>
        <v>Apply</v>
      </c>
      <c r="C1717" s="10" t="s">
        <v>5905</v>
      </c>
      <c r="D1717" s="56" t="s">
        <v>5906</v>
      </c>
      <c r="E1717" s="10" t="s">
        <v>65</v>
      </c>
      <c r="F1717" s="10" t="s">
        <v>5907</v>
      </c>
      <c r="G1717" s="10" t="s">
        <v>2470</v>
      </c>
      <c r="H1717" s="10" t="s">
        <v>5908</v>
      </c>
      <c r="I1717" s="10" t="s">
        <v>55</v>
      </c>
      <c r="K1717" s="10" t="s">
        <v>5909</v>
      </c>
      <c r="L1717" s="10" t="s">
        <v>42</v>
      </c>
    </row>
    <row r="1718" ht="15.75" customHeight="1">
      <c r="A1718" s="64">
        <v>45487.0</v>
      </c>
      <c r="B1718" s="55" t="str">
        <f>HYPERLINK("https://jobright.ai/jobs/info/664dd5a017e15c8b49411d78?utm_campaign=1062&amp;utm_source=sheet", "Apply")</f>
        <v>Apply</v>
      </c>
      <c r="C1718" s="10" t="s">
        <v>5910</v>
      </c>
      <c r="D1718" s="56" t="s">
        <v>208</v>
      </c>
      <c r="E1718" s="10" t="s">
        <v>209</v>
      </c>
      <c r="F1718" s="10" t="s">
        <v>210</v>
      </c>
      <c r="G1718" s="10" t="s">
        <v>2443</v>
      </c>
      <c r="H1718" s="10" t="s">
        <v>211</v>
      </c>
      <c r="I1718" s="10" t="s">
        <v>55</v>
      </c>
      <c r="K1718" s="10" t="s">
        <v>5911</v>
      </c>
      <c r="L1718" s="10" t="s">
        <v>42</v>
      </c>
    </row>
    <row r="1719" ht="15.75" customHeight="1">
      <c r="A1719" s="64">
        <v>45487.0</v>
      </c>
      <c r="B1719" s="55" t="str">
        <f>HYPERLINK("https://jobright.ai/jobs/info/6679553d39ca2f81c4370463?utm_campaign=1062&amp;utm_source=sheet", "Apply")</f>
        <v>Apply</v>
      </c>
      <c r="C1719" s="10" t="s">
        <v>5912</v>
      </c>
      <c r="D1719" s="56" t="s">
        <v>4392</v>
      </c>
      <c r="E1719" s="10" t="s">
        <v>45</v>
      </c>
      <c r="F1719" s="10" t="s">
        <v>4393</v>
      </c>
      <c r="G1719" s="10" t="s">
        <v>2502</v>
      </c>
      <c r="H1719" s="10" t="s">
        <v>201</v>
      </c>
      <c r="I1719" s="10" t="s">
        <v>55</v>
      </c>
      <c r="J1719" s="10" t="s">
        <v>5913</v>
      </c>
      <c r="K1719" s="10" t="s">
        <v>5914</v>
      </c>
      <c r="L1719" s="10" t="s">
        <v>42</v>
      </c>
    </row>
    <row r="1720" ht="15.75" customHeight="1">
      <c r="A1720" s="64">
        <v>45487.0</v>
      </c>
      <c r="B1720" s="55" t="str">
        <f>HYPERLINK("https://jobright.ai/jobs/info/65b49145d771e69f38f5e894?utm_campaign=1062&amp;utm_source=sheet", "Apply")</f>
        <v>Apply</v>
      </c>
      <c r="C1720" s="10" t="s">
        <v>2762</v>
      </c>
      <c r="D1720" s="56" t="s">
        <v>2763</v>
      </c>
      <c r="E1720" s="10" t="s">
        <v>45</v>
      </c>
      <c r="F1720" s="10" t="s">
        <v>1465</v>
      </c>
      <c r="G1720" s="10" t="s">
        <v>2470</v>
      </c>
      <c r="H1720" s="10" t="s">
        <v>914</v>
      </c>
      <c r="I1720" s="10" t="s">
        <v>55</v>
      </c>
      <c r="J1720" s="10" t="s">
        <v>2764</v>
      </c>
      <c r="K1720" s="10" t="s">
        <v>2832</v>
      </c>
      <c r="L1720" s="10" t="s">
        <v>42</v>
      </c>
    </row>
    <row r="1721" ht="15.75" customHeight="1">
      <c r="A1721" s="64">
        <v>45487.0</v>
      </c>
      <c r="B1721" s="55" t="str">
        <f>HYPERLINK("https://jobright.ai/jobs/info/66779702417c3aa48b86e5c5?utm_campaign=1062&amp;utm_source=sheet", "Apply")</f>
        <v>Apply</v>
      </c>
      <c r="C1721" s="10" t="s">
        <v>5915</v>
      </c>
      <c r="D1721" s="56" t="s">
        <v>427</v>
      </c>
      <c r="E1721" s="10" t="s">
        <v>45</v>
      </c>
      <c r="F1721" s="10" t="s">
        <v>428</v>
      </c>
      <c r="G1721" s="10" t="s">
        <v>2484</v>
      </c>
      <c r="H1721" s="10" t="s">
        <v>438</v>
      </c>
      <c r="I1721" s="10" t="s">
        <v>55</v>
      </c>
      <c r="K1721" s="10" t="s">
        <v>5916</v>
      </c>
      <c r="L1721" s="10" t="s">
        <v>42</v>
      </c>
    </row>
    <row r="1722" ht="15.75" customHeight="1">
      <c r="A1722" s="64">
        <v>45487.0</v>
      </c>
      <c r="B1722" s="55" t="str">
        <f>HYPERLINK("https://jobright.ai/jobs/info/664e10c310b4f1df29982858?utm_campaign=1062&amp;utm_source=sheet", "Apply")</f>
        <v>Apply</v>
      </c>
      <c r="C1722" s="10" t="s">
        <v>5917</v>
      </c>
      <c r="D1722" s="56" t="s">
        <v>5918</v>
      </c>
      <c r="E1722" s="10" t="s">
        <v>45</v>
      </c>
      <c r="F1722" s="10" t="s">
        <v>5919</v>
      </c>
      <c r="G1722" s="10" t="s">
        <v>2484</v>
      </c>
      <c r="H1722" s="10" t="s">
        <v>3081</v>
      </c>
      <c r="I1722" s="10" t="s">
        <v>55</v>
      </c>
      <c r="K1722" s="10" t="s">
        <v>5920</v>
      </c>
      <c r="L1722" s="10" t="s">
        <v>42</v>
      </c>
    </row>
    <row r="1723" ht="15.75" customHeight="1">
      <c r="A1723" s="64">
        <v>45487.0</v>
      </c>
      <c r="B1723" s="55" t="str">
        <f>HYPERLINK("https://jobright.ai/jobs/info/6676cfb0131cc9dd67df3618?utm_campaign=1062&amp;utm_source=sheet", "Apply")</f>
        <v>Apply</v>
      </c>
      <c r="C1723" s="10" t="s">
        <v>5921</v>
      </c>
      <c r="D1723" s="56" t="s">
        <v>208</v>
      </c>
      <c r="E1723" s="10" t="s">
        <v>209</v>
      </c>
      <c r="F1723" s="10" t="s">
        <v>210</v>
      </c>
      <c r="G1723" s="10" t="s">
        <v>2443</v>
      </c>
      <c r="H1723" s="10" t="s">
        <v>211</v>
      </c>
      <c r="I1723" s="10" t="s">
        <v>55</v>
      </c>
      <c r="K1723" s="10" t="s">
        <v>5922</v>
      </c>
      <c r="L1723" s="10" t="s">
        <v>42</v>
      </c>
    </row>
    <row r="1724" ht="15.75" customHeight="1">
      <c r="A1724" s="64">
        <v>45487.0</v>
      </c>
      <c r="B1724" s="55" t="str">
        <f>HYPERLINK("https://jobright.ai/jobs/info/6504a93ae6d717e9c823dbed?utm_campaign=1062&amp;utm_source=sheet", "Apply")</f>
        <v>Apply</v>
      </c>
      <c r="C1724" s="10" t="s">
        <v>5923</v>
      </c>
      <c r="D1724" s="56" t="s">
        <v>2840</v>
      </c>
      <c r="E1724" s="10" t="s">
        <v>209</v>
      </c>
      <c r="F1724" s="10" t="s">
        <v>2470</v>
      </c>
      <c r="G1724" s="10" t="s">
        <v>2464</v>
      </c>
      <c r="H1724" s="10" t="s">
        <v>113</v>
      </c>
      <c r="I1724" s="10" t="s">
        <v>48</v>
      </c>
      <c r="K1724" s="10" t="s">
        <v>5924</v>
      </c>
      <c r="L1724" s="10" t="s">
        <v>42</v>
      </c>
    </row>
    <row r="1725" ht="15.75" customHeight="1">
      <c r="A1725" s="64">
        <v>45487.0</v>
      </c>
      <c r="B1725" s="55" t="str">
        <f>HYPERLINK("https://jobright.ai/jobs/info/667968dcd86d626ab8b77eb2?utm_campaign=1062&amp;utm_source=sheet", "Apply")</f>
        <v>Apply</v>
      </c>
      <c r="C1725" s="10" t="s">
        <v>5925</v>
      </c>
      <c r="D1725" s="56" t="s">
        <v>4392</v>
      </c>
      <c r="E1725" s="10" t="s">
        <v>45</v>
      </c>
      <c r="F1725" s="10" t="s">
        <v>4393</v>
      </c>
      <c r="G1725" s="10" t="s">
        <v>2502</v>
      </c>
      <c r="H1725" s="10" t="s">
        <v>201</v>
      </c>
      <c r="I1725" s="10" t="s">
        <v>55</v>
      </c>
      <c r="J1725" s="10" t="s">
        <v>5926</v>
      </c>
      <c r="K1725" s="10" t="s">
        <v>5927</v>
      </c>
      <c r="L1725" s="10" t="s">
        <v>42</v>
      </c>
    </row>
    <row r="1726" ht="15.75" customHeight="1">
      <c r="A1726" s="64">
        <v>45487.0</v>
      </c>
      <c r="B1726" s="55" t="str">
        <f>HYPERLINK("https://jobright.ai/jobs/info/6676dfdec909276a3772d143?utm_campaign=1062&amp;utm_source=sheet", "Apply")</f>
        <v>Apply</v>
      </c>
      <c r="C1726" s="10" t="s">
        <v>5928</v>
      </c>
      <c r="D1726" s="56" t="s">
        <v>5929</v>
      </c>
      <c r="E1726" s="10" t="s">
        <v>65</v>
      </c>
      <c r="F1726" s="10" t="s">
        <v>5930</v>
      </c>
      <c r="G1726" s="10" t="s">
        <v>2443</v>
      </c>
      <c r="H1726" s="10" t="s">
        <v>848</v>
      </c>
      <c r="I1726" s="10" t="s">
        <v>55</v>
      </c>
      <c r="J1726" s="10" t="s">
        <v>5931</v>
      </c>
      <c r="K1726" s="10" t="s">
        <v>5932</v>
      </c>
      <c r="L1726" s="10" t="s">
        <v>42</v>
      </c>
    </row>
    <row r="1727" ht="15.75" customHeight="1">
      <c r="A1727" s="64">
        <v>45487.0</v>
      </c>
      <c r="B1727" s="55" t="str">
        <f>HYPERLINK("https://jobright.ai/jobs/info/66785e46dbc11ed4da55c1b4?utm_campaign=1062&amp;utm_source=sheet", "Apply")</f>
        <v>Apply</v>
      </c>
      <c r="C1727" s="10" t="s">
        <v>2681</v>
      </c>
      <c r="D1727" s="56" t="s">
        <v>2682</v>
      </c>
      <c r="E1727" s="10" t="s">
        <v>45</v>
      </c>
      <c r="F1727" s="10" t="s">
        <v>1357</v>
      </c>
      <c r="G1727" s="10" t="s">
        <v>2589</v>
      </c>
      <c r="H1727" s="10" t="s">
        <v>5933</v>
      </c>
      <c r="I1727" s="10" t="s">
        <v>55</v>
      </c>
      <c r="J1727" s="10" t="s">
        <v>5833</v>
      </c>
      <c r="K1727" s="10" t="s">
        <v>2684</v>
      </c>
      <c r="L1727" s="10" t="s">
        <v>42</v>
      </c>
    </row>
    <row r="1728" ht="15.75" customHeight="1">
      <c r="A1728" s="64">
        <v>45487.0</v>
      </c>
      <c r="B1728" s="55" t="str">
        <f>HYPERLINK("https://jobright.ai/jobs/info/664e112d10b4f1df299831b7?utm_campaign=1062&amp;utm_source=sheet", "Apply")</f>
        <v>Apply</v>
      </c>
      <c r="C1728" s="10" t="s">
        <v>5934</v>
      </c>
      <c r="D1728" s="56" t="s">
        <v>2726</v>
      </c>
      <c r="E1728" s="10" t="s">
        <v>65</v>
      </c>
      <c r="F1728" s="10" t="s">
        <v>85</v>
      </c>
      <c r="G1728" s="10" t="s">
        <v>2464</v>
      </c>
      <c r="H1728" s="10" t="s">
        <v>5935</v>
      </c>
      <c r="I1728" s="10" t="s">
        <v>48</v>
      </c>
      <c r="K1728" s="10" t="s">
        <v>5936</v>
      </c>
      <c r="L1728" s="10" t="s">
        <v>42</v>
      </c>
    </row>
    <row r="1729" ht="15.75" customHeight="1">
      <c r="A1729" s="64">
        <v>45487.0</v>
      </c>
      <c r="B1729" s="55" t="str">
        <f>HYPERLINK("https://jobright.ai/jobs/info/6677dcb1fbac42152a145d16?utm_campaign=1062&amp;utm_source=sheet", "Apply")</f>
        <v>Apply</v>
      </c>
      <c r="C1729" s="10" t="s">
        <v>2681</v>
      </c>
      <c r="D1729" s="56" t="s">
        <v>2682</v>
      </c>
      <c r="E1729" s="10" t="s">
        <v>45</v>
      </c>
      <c r="F1729" s="10" t="s">
        <v>1357</v>
      </c>
      <c r="G1729" s="10" t="s">
        <v>2589</v>
      </c>
      <c r="H1729" s="10" t="s">
        <v>3423</v>
      </c>
      <c r="I1729" s="10" t="s">
        <v>55</v>
      </c>
      <c r="J1729" s="10" t="s">
        <v>2683</v>
      </c>
      <c r="K1729" s="10" t="s">
        <v>2684</v>
      </c>
      <c r="L1729" s="10" t="s">
        <v>42</v>
      </c>
    </row>
    <row r="1730" ht="15.75" customHeight="1">
      <c r="A1730" s="64">
        <v>45487.0</v>
      </c>
      <c r="B1730" s="55" t="str">
        <f>HYPERLINK("https://jobright.ai/jobs/info/6693b93d0286b1f931e9b54c?utm_campaign=1062&amp;utm_source=sheet", "Apply")</f>
        <v>Apply</v>
      </c>
      <c r="C1730" s="10" t="s">
        <v>5937</v>
      </c>
      <c r="D1730" s="56" t="s">
        <v>2763</v>
      </c>
      <c r="E1730" s="10" t="s">
        <v>45</v>
      </c>
      <c r="F1730" s="10" t="s">
        <v>1465</v>
      </c>
      <c r="G1730" s="10" t="s">
        <v>2484</v>
      </c>
      <c r="H1730" s="10" t="s">
        <v>165</v>
      </c>
      <c r="I1730" s="10" t="s">
        <v>55</v>
      </c>
      <c r="J1730" s="10" t="s">
        <v>5938</v>
      </c>
      <c r="K1730" s="10" t="s">
        <v>5939</v>
      </c>
      <c r="L1730" s="10" t="s">
        <v>42</v>
      </c>
    </row>
    <row r="1731" ht="15.75" customHeight="1">
      <c r="A1731" s="64">
        <v>45487.0</v>
      </c>
      <c r="B1731" s="55" t="str">
        <f>HYPERLINK("https://jobright.ai/jobs/info/65e5c71a8e384481947d75ed?utm_campaign=1062&amp;utm_source=sheet", "Apply")</f>
        <v>Apply</v>
      </c>
      <c r="C1731" s="10" t="s">
        <v>5940</v>
      </c>
      <c r="D1731" s="56" t="s">
        <v>5941</v>
      </c>
      <c r="E1731" s="10">
        <v>622.0</v>
      </c>
      <c r="G1731" s="10" t="s">
        <v>2464</v>
      </c>
      <c r="H1731" s="10" t="s">
        <v>914</v>
      </c>
      <c r="I1731" s="10" t="s">
        <v>48</v>
      </c>
      <c r="K1731" s="10" t="s">
        <v>5942</v>
      </c>
      <c r="L1731" s="10" t="s">
        <v>42</v>
      </c>
    </row>
    <row r="1732" ht="15.75" customHeight="1">
      <c r="A1732" s="64">
        <v>45487.0</v>
      </c>
      <c r="B1732" s="55" t="str">
        <f>HYPERLINK("https://jobright.ai/jobs/info/6677dd98fbac42152a146e03?utm_campaign=1062&amp;utm_source=sheet", "Apply")</f>
        <v>Apply</v>
      </c>
      <c r="C1732" s="10" t="s">
        <v>2681</v>
      </c>
      <c r="D1732" s="56" t="s">
        <v>2682</v>
      </c>
      <c r="E1732" s="10" t="s">
        <v>45</v>
      </c>
      <c r="F1732" s="10" t="s">
        <v>1357</v>
      </c>
      <c r="G1732" s="10" t="s">
        <v>2589</v>
      </c>
      <c r="H1732" s="10" t="s">
        <v>5887</v>
      </c>
      <c r="I1732" s="10" t="s">
        <v>55</v>
      </c>
      <c r="J1732" s="10" t="s">
        <v>2683</v>
      </c>
      <c r="K1732" s="10" t="s">
        <v>2684</v>
      </c>
      <c r="L1732" s="10" t="s">
        <v>42</v>
      </c>
    </row>
    <row r="1733" ht="15.75" customHeight="1">
      <c r="A1733" s="64">
        <v>45487.0</v>
      </c>
      <c r="B1733" s="55" t="str">
        <f>HYPERLINK("https://jobright.ai/jobs/info/663a5bbcd0e4b591a825ae47?utm_campaign=1062&amp;utm_source=sheet", "Apply")</f>
        <v>Apply</v>
      </c>
      <c r="C1733" s="10" t="s">
        <v>3349</v>
      </c>
      <c r="D1733" s="56" t="s">
        <v>5877</v>
      </c>
      <c r="E1733" s="10" t="s">
        <v>79</v>
      </c>
      <c r="F1733" s="10" t="s">
        <v>5878</v>
      </c>
      <c r="G1733" s="10" t="s">
        <v>2484</v>
      </c>
      <c r="H1733" s="10" t="s">
        <v>5879</v>
      </c>
      <c r="I1733" s="10" t="s">
        <v>55</v>
      </c>
      <c r="K1733" s="10" t="s">
        <v>5943</v>
      </c>
      <c r="L1733" s="10" t="s">
        <v>42</v>
      </c>
    </row>
    <row r="1734" ht="15.75" customHeight="1">
      <c r="A1734" s="64">
        <v>45487.0</v>
      </c>
      <c r="B1734" s="55" t="str">
        <f>HYPERLINK("https://jobright.ai/jobs/info/664e2012b45b688e7b70f2cc?utm_campaign=1062&amp;utm_source=sheet", "Apply")</f>
        <v>Apply</v>
      </c>
      <c r="C1734" s="10" t="s">
        <v>5944</v>
      </c>
      <c r="D1734" s="56" t="s">
        <v>5945</v>
      </c>
      <c r="E1734" s="10" t="s">
        <v>249</v>
      </c>
      <c r="F1734" s="10" t="s">
        <v>10</v>
      </c>
      <c r="G1734" s="10" t="s">
        <v>2464</v>
      </c>
      <c r="H1734" s="10" t="s">
        <v>5946</v>
      </c>
      <c r="I1734" s="10" t="s">
        <v>48</v>
      </c>
      <c r="K1734" s="10" t="s">
        <v>5947</v>
      </c>
      <c r="L1734" s="10" t="s">
        <v>42</v>
      </c>
    </row>
    <row r="1735" ht="15.75" customHeight="1">
      <c r="A1735" s="64">
        <v>45487.0</v>
      </c>
      <c r="B1735" s="55" t="str">
        <f>HYPERLINK("https://jobright.ai/jobs/info/655641e46cb4afff501a626c?utm_campaign=1062&amp;utm_source=sheet", "Apply")</f>
        <v>Apply</v>
      </c>
      <c r="C1735" s="10" t="s">
        <v>5948</v>
      </c>
      <c r="D1735" s="56" t="s">
        <v>4683</v>
      </c>
      <c r="E1735" s="10" t="s">
        <v>65</v>
      </c>
      <c r="F1735" s="10" t="s">
        <v>1700</v>
      </c>
      <c r="G1735" s="10" t="s">
        <v>2807</v>
      </c>
      <c r="H1735" s="10" t="s">
        <v>882</v>
      </c>
      <c r="I1735" s="10" t="s">
        <v>55</v>
      </c>
      <c r="K1735" s="10" t="s">
        <v>5949</v>
      </c>
      <c r="L1735" s="10" t="s">
        <v>42</v>
      </c>
    </row>
    <row r="1736" ht="15.75" customHeight="1">
      <c r="A1736" s="64">
        <v>45487.0</v>
      </c>
      <c r="B1736" s="55" t="str">
        <f>HYPERLINK("https://jobright.ai/jobs/info/6675efa33f0763b7548cfc8a?utm_campaign=1062&amp;utm_source=sheet", "Apply")</f>
        <v>Apply</v>
      </c>
      <c r="C1736" s="10" t="s">
        <v>301</v>
      </c>
      <c r="D1736" s="56" t="s">
        <v>5950</v>
      </c>
      <c r="E1736" s="10" t="s">
        <v>65</v>
      </c>
      <c r="F1736" s="10" t="s">
        <v>5951</v>
      </c>
      <c r="G1736" s="10" t="s">
        <v>2448</v>
      </c>
      <c r="H1736" s="10" t="s">
        <v>5952</v>
      </c>
      <c r="I1736" s="10" t="s">
        <v>55</v>
      </c>
      <c r="K1736" s="10" t="s">
        <v>5953</v>
      </c>
      <c r="L1736" s="10" t="s">
        <v>42</v>
      </c>
    </row>
    <row r="1737" ht="15.75" customHeight="1">
      <c r="A1737" s="64">
        <v>45487.0</v>
      </c>
      <c r="B1737" s="55" t="str">
        <f>HYPERLINK("https://jobright.ai/jobs/info/66786b3f742ddaa1ec1cc313?utm_campaign=1062&amp;utm_source=sheet", "Apply")</f>
        <v>Apply</v>
      </c>
      <c r="C1737" s="10" t="s">
        <v>2681</v>
      </c>
      <c r="D1737" s="56" t="s">
        <v>2682</v>
      </c>
      <c r="E1737" s="10" t="s">
        <v>45</v>
      </c>
      <c r="F1737" s="10" t="s">
        <v>1357</v>
      </c>
      <c r="G1737" s="10" t="s">
        <v>2589</v>
      </c>
      <c r="H1737" s="10" t="s">
        <v>218</v>
      </c>
      <c r="I1737" s="10" t="s">
        <v>55</v>
      </c>
      <c r="J1737" s="10" t="s">
        <v>5954</v>
      </c>
      <c r="K1737" s="10" t="s">
        <v>2684</v>
      </c>
      <c r="L1737" s="10" t="s">
        <v>42</v>
      </c>
    </row>
    <row r="1738" ht="15.75" customHeight="1">
      <c r="A1738" s="64">
        <v>45487.0</v>
      </c>
      <c r="B1738" s="55" t="str">
        <f>HYPERLINK("https://jobright.ai/jobs/info/664498c19d6b75a76c4656f1?utm_campaign=1062&amp;utm_source=sheet", "Apply")</f>
        <v>Apply</v>
      </c>
      <c r="C1738" s="10" t="s">
        <v>4981</v>
      </c>
      <c r="D1738" s="56" t="s">
        <v>4526</v>
      </c>
      <c r="E1738" s="10" t="s">
        <v>209</v>
      </c>
      <c r="F1738" s="10" t="s">
        <v>3124</v>
      </c>
      <c r="G1738" s="10" t="s">
        <v>2448</v>
      </c>
      <c r="H1738" s="10" t="s">
        <v>113</v>
      </c>
      <c r="I1738" s="10" t="s">
        <v>48</v>
      </c>
      <c r="K1738" s="10" t="s">
        <v>5955</v>
      </c>
      <c r="L1738" s="10" t="s">
        <v>42</v>
      </c>
    </row>
    <row r="1739" ht="15.75" customHeight="1">
      <c r="A1739" s="64">
        <v>45487.0</v>
      </c>
      <c r="B1739" s="55" t="str">
        <f>HYPERLINK("https://jobright.ai/jobs/info/6693ca786d555f451cd4b8d9?utm_campaign=1062&amp;utm_source=sheet", "Apply")</f>
        <v>Apply</v>
      </c>
      <c r="C1739" s="10" t="s">
        <v>5956</v>
      </c>
      <c r="D1739" s="56" t="s">
        <v>3568</v>
      </c>
      <c r="E1739" s="59">
        <v>45301.0</v>
      </c>
      <c r="F1739" s="10" t="s">
        <v>3569</v>
      </c>
      <c r="G1739" s="10" t="s">
        <v>2448</v>
      </c>
      <c r="H1739" s="10" t="s">
        <v>5957</v>
      </c>
      <c r="I1739" s="10" t="s">
        <v>55</v>
      </c>
      <c r="J1739" s="10" t="s">
        <v>3570</v>
      </c>
      <c r="K1739" s="10" t="s">
        <v>5958</v>
      </c>
      <c r="L1739" s="10" t="s">
        <v>42</v>
      </c>
    </row>
    <row r="1740" ht="15.75" customHeight="1">
      <c r="A1740" s="64">
        <v>45487.0</v>
      </c>
      <c r="B1740" s="55" t="str">
        <f>HYPERLINK("https://jobright.ai/jobs/info/6677dd8ffbac42152a146db4?utm_campaign=1062&amp;utm_source=sheet", "Apply")</f>
        <v>Apply</v>
      </c>
      <c r="C1740" s="10" t="s">
        <v>2681</v>
      </c>
      <c r="D1740" s="56" t="s">
        <v>2682</v>
      </c>
      <c r="E1740" s="10" t="s">
        <v>45</v>
      </c>
      <c r="F1740" s="10" t="s">
        <v>1357</v>
      </c>
      <c r="G1740" s="10" t="s">
        <v>2589</v>
      </c>
      <c r="H1740" s="10" t="s">
        <v>5959</v>
      </c>
      <c r="I1740" s="10" t="s">
        <v>55</v>
      </c>
      <c r="J1740" s="10" t="s">
        <v>2683</v>
      </c>
      <c r="K1740" s="10" t="s">
        <v>2684</v>
      </c>
      <c r="L1740" s="10" t="s">
        <v>42</v>
      </c>
    </row>
    <row r="1741" ht="15.75" customHeight="1">
      <c r="A1741" s="64">
        <v>45487.0</v>
      </c>
      <c r="B1741" s="55" t="str">
        <f>HYPERLINK("https://jobright.ai/jobs/info/650dc029ee6186f389e92a8c?utm_campaign=1062&amp;utm_source=sheet", "Apply")</f>
        <v>Apply</v>
      </c>
      <c r="C1741" s="10" t="s">
        <v>5960</v>
      </c>
      <c r="D1741" s="56" t="s">
        <v>311</v>
      </c>
      <c r="E1741" s="10" t="s">
        <v>45</v>
      </c>
      <c r="F1741" s="10" t="s">
        <v>312</v>
      </c>
      <c r="G1741" s="10" t="s">
        <v>2502</v>
      </c>
      <c r="H1741" s="10" t="s">
        <v>423</v>
      </c>
      <c r="I1741" s="10" t="s">
        <v>55</v>
      </c>
      <c r="J1741" s="10" t="s">
        <v>5961</v>
      </c>
      <c r="K1741" s="10" t="s">
        <v>5962</v>
      </c>
      <c r="L1741" s="10" t="s">
        <v>42</v>
      </c>
    </row>
    <row r="1742" ht="15.75" customHeight="1">
      <c r="A1742" s="64">
        <v>45487.0</v>
      </c>
      <c r="B1742" s="55" t="str">
        <f>HYPERLINK("https://jobright.ai/jobs/info/65ec5b85848aca2713fce7c3?utm_campaign=1062&amp;utm_source=sheet", "Apply")</f>
        <v>Apply</v>
      </c>
      <c r="C1742" s="10" t="s">
        <v>3303</v>
      </c>
      <c r="D1742" s="56" t="s">
        <v>2763</v>
      </c>
      <c r="E1742" s="10" t="s">
        <v>45</v>
      </c>
      <c r="F1742" s="10" t="s">
        <v>1465</v>
      </c>
      <c r="G1742" s="10" t="s">
        <v>2437</v>
      </c>
      <c r="H1742" s="10" t="s">
        <v>5963</v>
      </c>
      <c r="I1742" s="10" t="s">
        <v>55</v>
      </c>
      <c r="K1742" s="10" t="s">
        <v>3305</v>
      </c>
      <c r="L1742" s="10" t="s">
        <v>42</v>
      </c>
    </row>
    <row r="1743" ht="15.75" customHeight="1">
      <c r="A1743" s="64">
        <v>45487.0</v>
      </c>
      <c r="B1743" s="55" t="str">
        <f>HYPERLINK("https://jobright.ai/jobs/info/66749a03e2555414447e6a99?utm_campaign=1062&amp;utm_source=sheet", "Apply")</f>
        <v>Apply</v>
      </c>
      <c r="C1743" s="10" t="s">
        <v>5964</v>
      </c>
      <c r="D1743" s="56" t="s">
        <v>385</v>
      </c>
      <c r="E1743" s="10" t="s">
        <v>45</v>
      </c>
      <c r="F1743" s="10" t="s">
        <v>386</v>
      </c>
      <c r="G1743" s="10" t="s">
        <v>4046</v>
      </c>
      <c r="H1743" s="10" t="s">
        <v>1057</v>
      </c>
      <c r="I1743" s="10" t="s">
        <v>55</v>
      </c>
      <c r="K1743" s="10" t="s">
        <v>5823</v>
      </c>
      <c r="L1743" s="10" t="s">
        <v>42</v>
      </c>
    </row>
    <row r="1744" ht="15.75" customHeight="1">
      <c r="A1744" s="64">
        <v>45487.0</v>
      </c>
      <c r="B1744" s="55" t="str">
        <f>HYPERLINK("https://jobright.ai/jobs/info/6676dfebc909276a3772d2c5?utm_campaign=1062&amp;utm_source=sheet", "Apply")</f>
        <v>Apply</v>
      </c>
      <c r="C1744" s="10" t="s">
        <v>2744</v>
      </c>
      <c r="D1744" s="56" t="s">
        <v>5965</v>
      </c>
      <c r="E1744" s="10" t="s">
        <v>276</v>
      </c>
      <c r="F1744" s="10" t="s">
        <v>2828</v>
      </c>
      <c r="G1744" s="10" t="s">
        <v>2464</v>
      </c>
      <c r="H1744" s="10" t="s">
        <v>572</v>
      </c>
      <c r="I1744" s="10" t="s">
        <v>55</v>
      </c>
      <c r="K1744" s="10" t="s">
        <v>5966</v>
      </c>
      <c r="L1744" s="10" t="s">
        <v>42</v>
      </c>
    </row>
    <row r="1745" ht="15.75" customHeight="1">
      <c r="A1745" s="64">
        <v>45487.0</v>
      </c>
      <c r="B1745" s="55" t="str">
        <f>HYPERLINK("https://jobright.ai/jobs/info/65ec3e8f8ac04744af35c37f?utm_campaign=1062&amp;utm_source=sheet", "Apply")</f>
        <v>Apply</v>
      </c>
      <c r="C1745" s="10" t="s">
        <v>3303</v>
      </c>
      <c r="D1745" s="56" t="s">
        <v>2763</v>
      </c>
      <c r="E1745" s="10" t="s">
        <v>45</v>
      </c>
      <c r="F1745" s="10" t="s">
        <v>1465</v>
      </c>
      <c r="G1745" s="10" t="s">
        <v>2437</v>
      </c>
      <c r="H1745" s="10" t="s">
        <v>4848</v>
      </c>
      <c r="I1745" s="10" t="s">
        <v>55</v>
      </c>
      <c r="K1745" s="10" t="s">
        <v>3305</v>
      </c>
      <c r="L1745" s="10" t="s">
        <v>42</v>
      </c>
    </row>
    <row r="1746" ht="15.75" customHeight="1">
      <c r="A1746" s="64">
        <v>45487.0</v>
      </c>
      <c r="B1746" s="55" t="str">
        <f>HYPERLINK("https://jobright.ai/jobs/info/664defc7cf7bdc8f73b3c904?utm_campaign=1062&amp;utm_source=sheet", "Apply")</f>
        <v>Apply</v>
      </c>
      <c r="C1746" s="10" t="s">
        <v>5967</v>
      </c>
      <c r="D1746" s="56" t="s">
        <v>5968</v>
      </c>
      <c r="E1746" s="10" t="s">
        <v>65</v>
      </c>
      <c r="F1746" s="10" t="s">
        <v>2409</v>
      </c>
      <c r="G1746" s="10" t="s">
        <v>2443</v>
      </c>
      <c r="H1746" s="10" t="s">
        <v>5969</v>
      </c>
      <c r="I1746" s="10" t="s">
        <v>55</v>
      </c>
      <c r="K1746" s="10" t="s">
        <v>5970</v>
      </c>
      <c r="L1746" s="10" t="s">
        <v>42</v>
      </c>
    </row>
    <row r="1747" ht="15.75" customHeight="1">
      <c r="A1747" s="64">
        <v>45487.0</v>
      </c>
      <c r="B1747" s="55" t="str">
        <f>HYPERLINK("https://jobright.ai/jobs/info/667413d244674b0124a29027?utm_campaign=1062&amp;utm_source=sheet", "Apply")</f>
        <v>Apply</v>
      </c>
      <c r="C1747" s="10" t="s">
        <v>5158</v>
      </c>
      <c r="D1747" s="56" t="s">
        <v>208</v>
      </c>
      <c r="E1747" s="10" t="s">
        <v>209</v>
      </c>
      <c r="F1747" s="10" t="s">
        <v>210</v>
      </c>
      <c r="G1747" s="10" t="s">
        <v>2448</v>
      </c>
      <c r="H1747" s="10" t="s">
        <v>211</v>
      </c>
      <c r="I1747" s="10" t="s">
        <v>48</v>
      </c>
      <c r="K1747" s="10" t="s">
        <v>5971</v>
      </c>
      <c r="L1747" s="10" t="s">
        <v>42</v>
      </c>
    </row>
    <row r="1748" ht="15.75" customHeight="1">
      <c r="A1748" s="64">
        <v>45487.0</v>
      </c>
      <c r="B1748" s="55" t="str">
        <f>HYPERLINK("https://jobright.ai/jobs/info/666997b1856676f77dedd027?utm_campaign=1062&amp;utm_source=sheet", "Apply")</f>
        <v>Apply</v>
      </c>
      <c r="C1748" s="10" t="s">
        <v>5972</v>
      </c>
      <c r="D1748" s="56" t="s">
        <v>2763</v>
      </c>
      <c r="E1748" s="10" t="s">
        <v>45</v>
      </c>
      <c r="F1748" s="10" t="s">
        <v>1465</v>
      </c>
      <c r="G1748" s="10" t="s">
        <v>2470</v>
      </c>
      <c r="H1748" s="10" t="s">
        <v>914</v>
      </c>
      <c r="I1748" s="10" t="s">
        <v>55</v>
      </c>
      <c r="J1748" s="10" t="s">
        <v>2764</v>
      </c>
      <c r="K1748" s="10" t="s">
        <v>2832</v>
      </c>
      <c r="L1748" s="10" t="s">
        <v>42</v>
      </c>
    </row>
    <row r="1749" ht="15.75" customHeight="1">
      <c r="A1749" s="64">
        <v>45487.0</v>
      </c>
      <c r="B1749" s="55" t="str">
        <f>HYPERLINK("https://jobright.ai/jobs/info/667439744bad03f9b038a5f4?utm_campaign=1062&amp;utm_source=sheet", "Apply")</f>
        <v>Apply</v>
      </c>
      <c r="C1749" s="10" t="s">
        <v>2681</v>
      </c>
      <c r="D1749" s="56" t="s">
        <v>2682</v>
      </c>
      <c r="E1749" s="10" t="s">
        <v>45</v>
      </c>
      <c r="F1749" s="10" t="s">
        <v>1357</v>
      </c>
      <c r="G1749" s="10" t="s">
        <v>2589</v>
      </c>
      <c r="H1749" s="10" t="s">
        <v>5973</v>
      </c>
      <c r="I1749" s="10" t="s">
        <v>55</v>
      </c>
      <c r="J1749" s="10" t="s">
        <v>5859</v>
      </c>
      <c r="K1749" s="10" t="s">
        <v>2684</v>
      </c>
      <c r="L1749" s="10" t="s">
        <v>42</v>
      </c>
    </row>
    <row r="1750" ht="15.75" customHeight="1">
      <c r="A1750" s="64">
        <v>45487.0</v>
      </c>
      <c r="B1750" s="55" t="str">
        <f>HYPERLINK("https://jobright.ai/jobs/info/6676bc089b9f24e2dbdca859?utm_campaign=1062&amp;utm_source=sheet", "Apply")</f>
        <v>Apply</v>
      </c>
      <c r="C1750" s="10" t="s">
        <v>5974</v>
      </c>
      <c r="D1750" s="56" t="s">
        <v>5975</v>
      </c>
      <c r="E1750" s="10">
        <v>882.0</v>
      </c>
      <c r="G1750" s="10" t="s">
        <v>2464</v>
      </c>
      <c r="H1750" s="10" t="s">
        <v>571</v>
      </c>
      <c r="I1750" s="10" t="s">
        <v>55</v>
      </c>
      <c r="K1750" s="10" t="s">
        <v>5976</v>
      </c>
      <c r="L1750" s="10" t="s">
        <v>42</v>
      </c>
    </row>
    <row r="1751" ht="15.75" customHeight="1">
      <c r="A1751" s="64">
        <v>45487.0</v>
      </c>
      <c r="B1751" s="55" t="str">
        <f>HYPERLINK("https://jobright.ai/jobs/info/6672d432c48414916dc900c8?utm_campaign=1062&amp;utm_source=sheet", "Apply")</f>
        <v>Apply</v>
      </c>
      <c r="C1751" s="10" t="s">
        <v>5977</v>
      </c>
      <c r="D1751" s="56" t="s">
        <v>3390</v>
      </c>
      <c r="E1751" s="10" t="s">
        <v>65</v>
      </c>
      <c r="F1751" s="10" t="s">
        <v>2588</v>
      </c>
      <c r="G1751" s="10" t="s">
        <v>2470</v>
      </c>
      <c r="H1751" s="10" t="s">
        <v>4001</v>
      </c>
      <c r="I1751" s="10" t="s">
        <v>55</v>
      </c>
      <c r="K1751" s="10" t="s">
        <v>5978</v>
      </c>
      <c r="L1751" s="10" t="s">
        <v>42</v>
      </c>
    </row>
    <row r="1752" ht="15.75" customHeight="1">
      <c r="A1752" s="64">
        <v>45487.0</v>
      </c>
      <c r="B1752" s="55" t="str">
        <f>HYPERLINK("https://jobright.ai/jobs/info/6676338be272243dcd4f611e?utm_campaign=1062&amp;utm_source=sheet", "Apply")</f>
        <v>Apply</v>
      </c>
      <c r="C1752" s="10" t="s">
        <v>5979</v>
      </c>
      <c r="D1752" s="56" t="s">
        <v>5980</v>
      </c>
      <c r="E1752" s="10" t="s">
        <v>65</v>
      </c>
      <c r="F1752" s="10" t="s">
        <v>2119</v>
      </c>
      <c r="G1752" s="10" t="s">
        <v>2605</v>
      </c>
      <c r="H1752" s="10" t="s">
        <v>974</v>
      </c>
      <c r="I1752" s="10" t="s">
        <v>55</v>
      </c>
      <c r="K1752" s="10" t="s">
        <v>5981</v>
      </c>
      <c r="L1752" s="10" t="s">
        <v>42</v>
      </c>
    </row>
    <row r="1753" ht="15.75" customHeight="1">
      <c r="A1753" s="64">
        <v>45487.0</v>
      </c>
      <c r="B1753" s="55" t="str">
        <f>HYPERLINK("https://jobright.ai/jobs/info/6676280374a49bf8010a1f20?utm_campaign=1062&amp;utm_source=sheet", "Apply")</f>
        <v>Apply</v>
      </c>
      <c r="C1753" s="10" t="s">
        <v>5982</v>
      </c>
      <c r="D1753" s="56" t="s">
        <v>311</v>
      </c>
      <c r="E1753" s="10" t="s">
        <v>45</v>
      </c>
      <c r="F1753" s="10" t="s">
        <v>312</v>
      </c>
      <c r="G1753" s="10" t="s">
        <v>2502</v>
      </c>
      <c r="H1753" s="10" t="s">
        <v>313</v>
      </c>
      <c r="I1753" s="10" t="s">
        <v>55</v>
      </c>
      <c r="J1753" s="10" t="s">
        <v>314</v>
      </c>
      <c r="K1753" s="10" t="s">
        <v>5983</v>
      </c>
      <c r="L1753" s="10" t="s">
        <v>42</v>
      </c>
    </row>
    <row r="1754" ht="15.75" customHeight="1">
      <c r="A1754" s="64">
        <v>45487.0</v>
      </c>
      <c r="B1754" s="55" t="str">
        <f>HYPERLINK("https://jobright.ai/jobs/info/65bae5bae8eca4da8d896500?utm_campaign=1062&amp;utm_source=sheet", "Apply")</f>
        <v>Apply</v>
      </c>
      <c r="C1754" s="10" t="s">
        <v>5972</v>
      </c>
      <c r="D1754" s="56" t="s">
        <v>2763</v>
      </c>
      <c r="E1754" s="10" t="s">
        <v>45</v>
      </c>
      <c r="F1754" s="10" t="s">
        <v>1465</v>
      </c>
      <c r="G1754" s="10" t="s">
        <v>2470</v>
      </c>
      <c r="H1754" s="10" t="s">
        <v>886</v>
      </c>
      <c r="I1754" s="10" t="s">
        <v>55</v>
      </c>
      <c r="J1754" s="10" t="s">
        <v>5984</v>
      </c>
      <c r="K1754" s="10" t="s">
        <v>2832</v>
      </c>
      <c r="L1754" s="10" t="s">
        <v>42</v>
      </c>
    </row>
    <row r="1755" ht="15.75" customHeight="1">
      <c r="A1755" s="64">
        <v>45487.0</v>
      </c>
      <c r="B1755" s="55" t="str">
        <f>HYPERLINK("https://jobright.ai/jobs/info/6659af3f83258ff8b56706f5?utm_campaign=1062&amp;utm_source=sheet", "Apply")</f>
        <v>Apply</v>
      </c>
      <c r="C1755" s="10" t="s">
        <v>2771</v>
      </c>
      <c r="D1755" s="56" t="s">
        <v>385</v>
      </c>
      <c r="E1755" s="10" t="s">
        <v>45</v>
      </c>
      <c r="F1755" s="10" t="s">
        <v>386</v>
      </c>
      <c r="G1755" s="10" t="s">
        <v>2448</v>
      </c>
      <c r="H1755" s="10" t="s">
        <v>4922</v>
      </c>
      <c r="I1755" s="10" t="s">
        <v>55</v>
      </c>
      <c r="J1755" s="10" t="s">
        <v>2772</v>
      </c>
      <c r="K1755" s="10" t="s">
        <v>2773</v>
      </c>
      <c r="L1755" s="10" t="s">
        <v>42</v>
      </c>
    </row>
    <row r="1756" ht="15.75" customHeight="1">
      <c r="A1756" s="64">
        <v>45487.0</v>
      </c>
      <c r="B1756" s="55" t="str">
        <f>HYPERLINK("https://jobright.ai/jobs/info/664e10dd10b4f1df29982ad6?utm_campaign=1062&amp;utm_source=sheet", "Apply")</f>
        <v>Apply</v>
      </c>
      <c r="C1756" s="10" t="s">
        <v>4531</v>
      </c>
      <c r="D1756" s="56" t="s">
        <v>1780</v>
      </c>
      <c r="E1756" s="10" t="s">
        <v>45</v>
      </c>
      <c r="F1756" s="10" t="s">
        <v>1781</v>
      </c>
      <c r="G1756" s="10" t="s">
        <v>2807</v>
      </c>
      <c r="H1756" s="10" t="s">
        <v>96</v>
      </c>
      <c r="I1756" s="10" t="s">
        <v>55</v>
      </c>
      <c r="J1756" s="10" t="s">
        <v>3969</v>
      </c>
      <c r="K1756" s="10" t="s">
        <v>4532</v>
      </c>
      <c r="L1756" s="10" t="s">
        <v>42</v>
      </c>
    </row>
    <row r="1757" ht="15.75" customHeight="1">
      <c r="A1757" s="64">
        <v>45487.0</v>
      </c>
      <c r="B1757" s="55" t="str">
        <f>HYPERLINK("https://jobright.ai/jobs/info/664fd4747934e2bc0d89e5a4?utm_campaign=1062&amp;utm_source=sheet", "Apply")</f>
        <v>Apply</v>
      </c>
      <c r="C1757" s="10" t="s">
        <v>5985</v>
      </c>
      <c r="D1757" s="56" t="s">
        <v>5986</v>
      </c>
      <c r="E1757" s="10" t="s">
        <v>45</v>
      </c>
      <c r="F1757" s="10" t="s">
        <v>5987</v>
      </c>
      <c r="G1757" s="10" t="s">
        <v>2484</v>
      </c>
      <c r="H1757" s="10" t="s">
        <v>952</v>
      </c>
      <c r="I1757" s="10" t="s">
        <v>55</v>
      </c>
      <c r="K1757" s="10" t="s">
        <v>5988</v>
      </c>
      <c r="L1757" s="10" t="s">
        <v>42</v>
      </c>
    </row>
    <row r="1758" ht="15.75" customHeight="1">
      <c r="A1758" s="64">
        <v>45487.0</v>
      </c>
      <c r="B1758" s="55" t="str">
        <f>HYPERLINK("https://jobright.ai/jobs/info/667ab87c1217fcb1c5a1ace2?utm_campaign=1062&amp;utm_source=sheet", "Apply")</f>
        <v>Apply</v>
      </c>
      <c r="C1758" s="10" t="s">
        <v>301</v>
      </c>
      <c r="D1758" s="56" t="s">
        <v>5989</v>
      </c>
      <c r="E1758" s="10" t="s">
        <v>45</v>
      </c>
      <c r="F1758" s="10" t="s">
        <v>5990</v>
      </c>
      <c r="G1758" s="10" t="s">
        <v>2448</v>
      </c>
      <c r="H1758" s="10" t="s">
        <v>5991</v>
      </c>
      <c r="I1758" s="10" t="s">
        <v>55</v>
      </c>
      <c r="K1758" s="10" t="s">
        <v>5992</v>
      </c>
      <c r="L1758" s="10" t="s">
        <v>42</v>
      </c>
    </row>
    <row r="1759" ht="15.75" customHeight="1">
      <c r="A1759" s="64">
        <v>45487.0</v>
      </c>
      <c r="B1759" s="55" t="str">
        <f>HYPERLINK("https://jobright.ai/jobs/info/653a331a3bb7563ea88b3e9d?utm_campaign=1062&amp;utm_source=sheet", "Apply")</f>
        <v>Apply</v>
      </c>
      <c r="C1759" s="10" t="s">
        <v>5993</v>
      </c>
      <c r="D1759" s="56" t="s">
        <v>528</v>
      </c>
      <c r="E1759" s="10" t="s">
        <v>65</v>
      </c>
      <c r="F1759" s="10" t="s">
        <v>529</v>
      </c>
      <c r="G1759" s="10" t="s">
        <v>2437</v>
      </c>
      <c r="H1759" s="10" t="s">
        <v>530</v>
      </c>
      <c r="I1759" s="10" t="s">
        <v>55</v>
      </c>
      <c r="K1759" s="10" t="s">
        <v>5994</v>
      </c>
      <c r="L1759" s="10" t="s">
        <v>42</v>
      </c>
    </row>
    <row r="1760" ht="15.75" customHeight="1">
      <c r="A1760" s="64">
        <v>45487.0</v>
      </c>
      <c r="B1760" s="55" t="str">
        <f>HYPERLINK("https://jobright.ai/jobs/info/66785e65dbc11ed4da55c4c4?utm_campaign=1062&amp;utm_source=sheet", "Apply")</f>
        <v>Apply</v>
      </c>
      <c r="C1760" s="10" t="s">
        <v>2681</v>
      </c>
      <c r="D1760" s="56" t="s">
        <v>2682</v>
      </c>
      <c r="E1760" s="10" t="s">
        <v>45</v>
      </c>
      <c r="F1760" s="10" t="s">
        <v>1357</v>
      </c>
      <c r="G1760" s="10" t="s">
        <v>2589</v>
      </c>
      <c r="H1760" s="10" t="s">
        <v>5995</v>
      </c>
      <c r="I1760" s="10" t="s">
        <v>55</v>
      </c>
      <c r="J1760" s="10" t="s">
        <v>5839</v>
      </c>
      <c r="K1760" s="10" t="s">
        <v>2684</v>
      </c>
      <c r="L1760" s="10" t="s">
        <v>42</v>
      </c>
    </row>
    <row r="1761" ht="15.75" customHeight="1">
      <c r="A1761" s="64">
        <v>45487.0</v>
      </c>
      <c r="B1761" s="55" t="str">
        <f>HYPERLINK("https://jobright.ai/jobs/info/65ec6ee5f13ac00501c852d4?utm_campaign=1062&amp;utm_source=sheet", "Apply")</f>
        <v>Apply</v>
      </c>
      <c r="C1761" s="10" t="s">
        <v>3303</v>
      </c>
      <c r="D1761" s="56" t="s">
        <v>2763</v>
      </c>
      <c r="E1761" s="10" t="s">
        <v>45</v>
      </c>
      <c r="F1761" s="10" t="s">
        <v>1465</v>
      </c>
      <c r="G1761" s="10" t="s">
        <v>2437</v>
      </c>
      <c r="H1761" s="10" t="s">
        <v>2831</v>
      </c>
      <c r="I1761" s="10" t="s">
        <v>55</v>
      </c>
      <c r="K1761" s="10" t="s">
        <v>3305</v>
      </c>
      <c r="L1761" s="10" t="s">
        <v>42</v>
      </c>
    </row>
    <row r="1762" ht="15.75" customHeight="1">
      <c r="A1762" s="64">
        <v>45487.0</v>
      </c>
      <c r="B1762" s="55" t="str">
        <f>HYPERLINK("https://jobright.ai/jobs/info/66785e46dbc11ed4da55c1b3?utm_campaign=1062&amp;utm_source=sheet", "Apply")</f>
        <v>Apply</v>
      </c>
      <c r="C1762" s="10" t="s">
        <v>2681</v>
      </c>
      <c r="D1762" s="56" t="s">
        <v>2682</v>
      </c>
      <c r="E1762" s="10" t="s">
        <v>45</v>
      </c>
      <c r="F1762" s="10" t="s">
        <v>1357</v>
      </c>
      <c r="G1762" s="10" t="s">
        <v>2589</v>
      </c>
      <c r="H1762" s="10" t="s">
        <v>5996</v>
      </c>
      <c r="I1762" s="10" t="s">
        <v>55</v>
      </c>
      <c r="J1762" s="10" t="s">
        <v>2683</v>
      </c>
      <c r="K1762" s="10" t="s">
        <v>2684</v>
      </c>
      <c r="L1762" s="10" t="s">
        <v>42</v>
      </c>
    </row>
    <row r="1763" ht="15.75" customHeight="1">
      <c r="A1763" s="64">
        <v>45487.0</v>
      </c>
      <c r="B1763" s="55" t="str">
        <f>HYPERLINK("https://jobright.ai/jobs/info/666c5c2322d2daf784e125c6?utm_campaign=1062&amp;utm_source=sheet", "Apply")</f>
        <v>Apply</v>
      </c>
      <c r="C1763" s="10" t="s">
        <v>5997</v>
      </c>
      <c r="D1763" s="56" t="s">
        <v>5998</v>
      </c>
      <c r="E1763" s="10" t="s">
        <v>209</v>
      </c>
      <c r="F1763" s="10" t="s">
        <v>4521</v>
      </c>
      <c r="G1763" s="10" t="s">
        <v>2437</v>
      </c>
      <c r="H1763" s="10" t="s">
        <v>5999</v>
      </c>
      <c r="I1763" s="10" t="s">
        <v>55</v>
      </c>
      <c r="K1763" s="10" t="s">
        <v>6000</v>
      </c>
      <c r="L1763" s="10" t="s">
        <v>42</v>
      </c>
    </row>
    <row r="1764" ht="15.75" customHeight="1">
      <c r="A1764" s="64">
        <v>45487.0</v>
      </c>
      <c r="B1764" s="55" t="str">
        <f>HYPERLINK("https://jobright.ai/jobs/info/65bad97e44741cb7d54d6a23?utm_campaign=1062&amp;utm_source=sheet", "Apply")</f>
        <v>Apply</v>
      </c>
      <c r="C1764" s="10" t="s">
        <v>5972</v>
      </c>
      <c r="D1764" s="56" t="s">
        <v>2763</v>
      </c>
      <c r="E1764" s="10" t="s">
        <v>45</v>
      </c>
      <c r="F1764" s="10" t="s">
        <v>1465</v>
      </c>
      <c r="G1764" s="10" t="s">
        <v>2470</v>
      </c>
      <c r="H1764" s="10" t="s">
        <v>2831</v>
      </c>
      <c r="I1764" s="10" t="s">
        <v>55</v>
      </c>
      <c r="J1764" s="10" t="s">
        <v>5984</v>
      </c>
      <c r="K1764" s="10" t="s">
        <v>2832</v>
      </c>
      <c r="L1764" s="10" t="s">
        <v>42</v>
      </c>
    </row>
    <row r="1765" ht="15.75" customHeight="1">
      <c r="A1765" s="64">
        <v>45487.0</v>
      </c>
      <c r="B1765" s="55" t="str">
        <f>HYPERLINK("https://jobright.ai/jobs/info/6677908f670dad8ec82cedcf?utm_campaign=1062&amp;utm_source=sheet", "Apply")</f>
        <v>Apply</v>
      </c>
      <c r="C1765" s="10" t="s">
        <v>2754</v>
      </c>
      <c r="D1765" s="56" t="s">
        <v>2721</v>
      </c>
      <c r="E1765" s="10" t="s">
        <v>45</v>
      </c>
      <c r="F1765" s="10" t="s">
        <v>2722</v>
      </c>
      <c r="G1765" s="10" t="s">
        <v>2448</v>
      </c>
      <c r="H1765" s="10" t="s">
        <v>423</v>
      </c>
      <c r="I1765" s="10" t="s">
        <v>55</v>
      </c>
      <c r="J1765" s="10" t="s">
        <v>6001</v>
      </c>
      <c r="K1765" s="10" t="s">
        <v>2756</v>
      </c>
      <c r="L1765" s="10" t="s">
        <v>42</v>
      </c>
    </row>
    <row r="1766" ht="15.75" customHeight="1">
      <c r="A1766" s="64">
        <v>45487.0</v>
      </c>
      <c r="B1766" s="55" t="str">
        <f>HYPERLINK("https://jobright.ai/jobs/info/6676ffa22798d14ba8f6237e?utm_campaign=1062&amp;utm_source=sheet", "Apply")</f>
        <v>Apply</v>
      </c>
      <c r="C1766" s="10" t="s">
        <v>6002</v>
      </c>
      <c r="D1766" s="56" t="s">
        <v>3316</v>
      </c>
      <c r="E1766" s="10" t="s">
        <v>45</v>
      </c>
      <c r="F1766" s="10" t="s">
        <v>1790</v>
      </c>
      <c r="G1766" s="10" t="s">
        <v>2464</v>
      </c>
      <c r="H1766" s="10" t="s">
        <v>2687</v>
      </c>
      <c r="I1766" s="10" t="s">
        <v>55</v>
      </c>
      <c r="J1766" s="10" t="s">
        <v>6003</v>
      </c>
      <c r="K1766" s="10" t="s">
        <v>6004</v>
      </c>
      <c r="L1766" s="10" t="s">
        <v>42</v>
      </c>
    </row>
    <row r="1767" ht="15.75" customHeight="1">
      <c r="A1767" s="64">
        <v>45487.0</v>
      </c>
      <c r="B1767" s="55" t="str">
        <f>HYPERLINK("https://jobright.ai/jobs/info/662ac026f5e568bfe44cb253?utm_campaign=1062&amp;utm_source=sheet", "Apply")</f>
        <v>Apply</v>
      </c>
      <c r="C1767" s="10" t="s">
        <v>6005</v>
      </c>
      <c r="D1767" s="56" t="s">
        <v>6006</v>
      </c>
      <c r="E1767" s="10" t="s">
        <v>65</v>
      </c>
      <c r="F1767" s="10" t="s">
        <v>5048</v>
      </c>
      <c r="G1767" s="10" t="s">
        <v>2484</v>
      </c>
      <c r="H1767" s="10" t="s">
        <v>578</v>
      </c>
      <c r="I1767" s="10" t="s">
        <v>55</v>
      </c>
      <c r="K1767" s="10" t="s">
        <v>6007</v>
      </c>
      <c r="L1767" s="10" t="s">
        <v>42</v>
      </c>
    </row>
    <row r="1768" ht="15.75" customHeight="1">
      <c r="A1768" s="64">
        <v>45487.0</v>
      </c>
      <c r="B1768" s="55" t="str">
        <f>HYPERLINK("https://jobright.ai/jobs/info/6674948c3990c28f4c6c5403?utm_campaign=1062&amp;utm_source=sheet", "Apply")</f>
        <v>Apply</v>
      </c>
      <c r="C1768" s="10" t="s">
        <v>6008</v>
      </c>
      <c r="D1768" s="56" t="s">
        <v>385</v>
      </c>
      <c r="E1768" s="10" t="s">
        <v>45</v>
      </c>
      <c r="F1768" s="10" t="s">
        <v>386</v>
      </c>
      <c r="G1768" s="10" t="s">
        <v>4046</v>
      </c>
      <c r="H1768" s="10" t="s">
        <v>711</v>
      </c>
      <c r="I1768" s="10" t="s">
        <v>55</v>
      </c>
      <c r="K1768" s="10" t="s">
        <v>6009</v>
      </c>
      <c r="L1768" s="10" t="s">
        <v>42</v>
      </c>
    </row>
    <row r="1769" ht="15.75" customHeight="1">
      <c r="A1769" s="64">
        <v>45487.0</v>
      </c>
      <c r="B1769" s="55" t="str">
        <f>HYPERLINK("https://jobright.ai/jobs/info/664ea6824e197fc8adcf876b?utm_campaign=1062&amp;utm_source=sheet", "Apply")</f>
        <v>Apply</v>
      </c>
      <c r="C1769" s="10" t="s">
        <v>6010</v>
      </c>
      <c r="D1769" s="56" t="s">
        <v>716</v>
      </c>
      <c r="E1769" s="10" t="s">
        <v>79</v>
      </c>
      <c r="F1769" s="10" t="s">
        <v>717</v>
      </c>
      <c r="G1769" s="10" t="s">
        <v>2605</v>
      </c>
      <c r="H1769" s="10" t="s">
        <v>144</v>
      </c>
      <c r="I1769" s="10" t="s">
        <v>48</v>
      </c>
      <c r="J1769" s="10" t="s">
        <v>718</v>
      </c>
      <c r="K1769" s="10" t="s">
        <v>6011</v>
      </c>
      <c r="L1769" s="10" t="s">
        <v>42</v>
      </c>
    </row>
    <row r="1770" ht="15.75" customHeight="1">
      <c r="A1770" s="64">
        <v>45487.0</v>
      </c>
      <c r="B1770" s="55" t="str">
        <f>HYPERLINK("https://jobright.ai/jobs/info/6669908fa16615009c3690a5?utm_campaign=1062&amp;utm_source=sheet", "Apply")</f>
        <v>Apply</v>
      </c>
      <c r="C1770" s="10" t="s">
        <v>5972</v>
      </c>
      <c r="D1770" s="56" t="s">
        <v>2763</v>
      </c>
      <c r="E1770" s="10" t="s">
        <v>45</v>
      </c>
      <c r="F1770" s="10" t="s">
        <v>1465</v>
      </c>
      <c r="G1770" s="10" t="s">
        <v>2470</v>
      </c>
      <c r="H1770" s="10" t="s">
        <v>988</v>
      </c>
      <c r="I1770" s="10" t="s">
        <v>55</v>
      </c>
      <c r="J1770" s="10" t="s">
        <v>2764</v>
      </c>
      <c r="K1770" s="10" t="s">
        <v>2832</v>
      </c>
      <c r="L1770" s="10" t="s">
        <v>42</v>
      </c>
    </row>
    <row r="1771" ht="15.75" customHeight="1">
      <c r="A1771" s="64">
        <v>45487.0</v>
      </c>
      <c r="B1771" s="55" t="str">
        <f>HYPERLINK("https://jobright.ai/jobs/info/6675f3712617111d53a445e5?utm_campaign=1062&amp;utm_source=sheet", "Apply")</f>
        <v>Apply</v>
      </c>
      <c r="C1771" s="10" t="s">
        <v>2681</v>
      </c>
      <c r="D1771" s="56" t="s">
        <v>2682</v>
      </c>
      <c r="E1771" s="10" t="s">
        <v>45</v>
      </c>
      <c r="F1771" s="10" t="s">
        <v>1357</v>
      </c>
      <c r="G1771" s="10" t="s">
        <v>2589</v>
      </c>
      <c r="H1771" s="10" t="s">
        <v>6012</v>
      </c>
      <c r="I1771" s="10" t="s">
        <v>55</v>
      </c>
      <c r="J1771" s="10" t="s">
        <v>2683</v>
      </c>
      <c r="K1771" s="10" t="s">
        <v>2684</v>
      </c>
      <c r="L1771" s="10" t="s">
        <v>42</v>
      </c>
    </row>
    <row r="1772" ht="15.75" customHeight="1">
      <c r="A1772" s="64">
        <v>45487.0</v>
      </c>
      <c r="B1772" s="55" t="str">
        <f>HYPERLINK("https://jobright.ai/jobs/info/659f00bc7f1ff8147beae61b?utm_campaign=1062&amp;utm_source=sheet", "Apply")</f>
        <v>Apply</v>
      </c>
      <c r="C1772" s="10" t="s">
        <v>6013</v>
      </c>
      <c r="D1772" s="56" t="s">
        <v>5283</v>
      </c>
      <c r="E1772" s="10" t="s">
        <v>209</v>
      </c>
      <c r="F1772" s="10" t="s">
        <v>620</v>
      </c>
      <c r="G1772" s="10" t="s">
        <v>2437</v>
      </c>
      <c r="H1772" s="10" t="s">
        <v>6014</v>
      </c>
      <c r="I1772" s="10" t="s">
        <v>55</v>
      </c>
      <c r="K1772" s="10" t="s">
        <v>6015</v>
      </c>
      <c r="L1772" s="10" t="s">
        <v>42</v>
      </c>
    </row>
    <row r="1773" ht="15.75" customHeight="1">
      <c r="A1773" s="64">
        <v>45487.0</v>
      </c>
      <c r="B1773" s="55" t="str">
        <f>HYPERLINK("https://jobright.ai/jobs/info/6676b3f6a2f49d4e236dcd38?utm_campaign=1062&amp;utm_source=sheet", "Apply")</f>
        <v>Apply</v>
      </c>
      <c r="C1773" s="10" t="s">
        <v>6016</v>
      </c>
      <c r="D1773" s="56" t="s">
        <v>2726</v>
      </c>
      <c r="E1773" s="10" t="s">
        <v>65</v>
      </c>
      <c r="F1773" s="10" t="s">
        <v>85</v>
      </c>
      <c r="G1773" s="10" t="s">
        <v>2464</v>
      </c>
      <c r="H1773" s="10" t="s">
        <v>5935</v>
      </c>
      <c r="I1773" s="10" t="s">
        <v>48</v>
      </c>
      <c r="K1773" s="10" t="s">
        <v>6017</v>
      </c>
      <c r="L1773" s="10" t="s">
        <v>42</v>
      </c>
    </row>
    <row r="1774" ht="15.75" customHeight="1">
      <c r="A1774" s="64">
        <v>45487.0</v>
      </c>
      <c r="B1774" s="55" t="str">
        <f>HYPERLINK("https://jobright.ai/jobs/info/65b146ea5060b9294da16537?utm_campaign=1062&amp;utm_source=sheet", "Apply")</f>
        <v>Apply</v>
      </c>
      <c r="C1774" s="10" t="s">
        <v>6018</v>
      </c>
      <c r="D1774" s="56" t="s">
        <v>311</v>
      </c>
      <c r="E1774" s="10" t="s">
        <v>45</v>
      </c>
      <c r="F1774" s="10" t="s">
        <v>312</v>
      </c>
      <c r="G1774" s="10" t="s">
        <v>2502</v>
      </c>
      <c r="H1774" s="10" t="s">
        <v>313</v>
      </c>
      <c r="I1774" s="10" t="s">
        <v>55</v>
      </c>
      <c r="J1774" s="10" t="s">
        <v>2723</v>
      </c>
      <c r="K1774" s="10" t="s">
        <v>6019</v>
      </c>
      <c r="L1774" s="10" t="s">
        <v>42</v>
      </c>
    </row>
    <row r="1775" ht="15.75" customHeight="1">
      <c r="A1775" s="64">
        <v>45487.0</v>
      </c>
      <c r="B1775" s="55" t="str">
        <f>HYPERLINK("https://jobright.ai/jobs/info/6676a947fdeefaeb92e858da?utm_campaign=1062&amp;utm_source=sheet", "Apply")</f>
        <v>Apply</v>
      </c>
      <c r="C1775" s="10" t="s">
        <v>2630</v>
      </c>
      <c r="D1775" s="56" t="s">
        <v>2631</v>
      </c>
      <c r="E1775" s="10" t="s">
        <v>209</v>
      </c>
      <c r="F1775" s="10" t="s">
        <v>2632</v>
      </c>
      <c r="G1775" s="10" t="s">
        <v>2464</v>
      </c>
      <c r="H1775" s="10" t="s">
        <v>188</v>
      </c>
      <c r="I1775" s="10" t="s">
        <v>55</v>
      </c>
      <c r="K1775" s="10" t="s">
        <v>2633</v>
      </c>
      <c r="L1775" s="10" t="s">
        <v>42</v>
      </c>
    </row>
    <row r="1776" ht="15.75" customHeight="1">
      <c r="A1776" s="64">
        <v>45487.0</v>
      </c>
      <c r="B1776" s="55" t="str">
        <f>HYPERLINK("https://jobright.ai/jobs/info/667790a7670dad8ec82cef76?utm_campaign=1062&amp;utm_source=sheet", "Apply")</f>
        <v>Apply</v>
      </c>
      <c r="C1776" s="10" t="s">
        <v>2681</v>
      </c>
      <c r="D1776" s="56" t="s">
        <v>2682</v>
      </c>
      <c r="E1776" s="10" t="s">
        <v>45</v>
      </c>
      <c r="F1776" s="10" t="s">
        <v>1357</v>
      </c>
      <c r="G1776" s="10" t="s">
        <v>2589</v>
      </c>
      <c r="H1776" s="10" t="s">
        <v>3022</v>
      </c>
      <c r="I1776" s="10" t="s">
        <v>55</v>
      </c>
      <c r="J1776" s="10" t="s">
        <v>2683</v>
      </c>
      <c r="K1776" s="10" t="s">
        <v>2684</v>
      </c>
      <c r="L1776" s="10" t="s">
        <v>42</v>
      </c>
    </row>
    <row r="1777" ht="15.75" customHeight="1">
      <c r="A1777" s="64">
        <v>45487.0</v>
      </c>
      <c r="B1777" s="55" t="str">
        <f>HYPERLINK("https://jobright.ai/jobs/info/664e003ad79e0cf7655018bc?utm_campaign=1062&amp;utm_source=sheet", "Apply")</f>
        <v>Apply</v>
      </c>
      <c r="C1777" s="10" t="s">
        <v>6020</v>
      </c>
      <c r="D1777" s="56" t="s">
        <v>311</v>
      </c>
      <c r="E1777" s="10" t="s">
        <v>45</v>
      </c>
      <c r="F1777" s="10" t="s">
        <v>312</v>
      </c>
      <c r="G1777" s="10" t="s">
        <v>2448</v>
      </c>
      <c r="H1777" s="10" t="s">
        <v>423</v>
      </c>
      <c r="I1777" s="10" t="s">
        <v>55</v>
      </c>
      <c r="J1777" s="10" t="s">
        <v>6021</v>
      </c>
      <c r="K1777" s="10" t="s">
        <v>6022</v>
      </c>
      <c r="L1777" s="10" t="s">
        <v>42</v>
      </c>
    </row>
    <row r="1778" ht="15.75" customHeight="1">
      <c r="A1778" s="64">
        <v>45487.0</v>
      </c>
      <c r="B1778" s="55" t="str">
        <f>HYPERLINK("https://jobright.ai/jobs/info/663438e1c7e6e9fccc7ff1e6?utm_campaign=1062&amp;utm_source=sheet", "Apply")</f>
        <v>Apply</v>
      </c>
      <c r="C1778" s="10" t="s">
        <v>6023</v>
      </c>
      <c r="D1778" s="56" t="s">
        <v>4408</v>
      </c>
      <c r="E1778" s="10" t="s">
        <v>65</v>
      </c>
      <c r="F1778" s="10" t="s">
        <v>2806</v>
      </c>
      <c r="G1778" s="10" t="s">
        <v>2807</v>
      </c>
      <c r="H1778" s="10" t="s">
        <v>5856</v>
      </c>
      <c r="I1778" s="10" t="s">
        <v>55</v>
      </c>
      <c r="J1778" s="10" t="s">
        <v>4409</v>
      </c>
      <c r="K1778" s="10" t="s">
        <v>6024</v>
      </c>
      <c r="L1778" s="10" t="s">
        <v>42</v>
      </c>
    </row>
    <row r="1779" ht="15.75" customHeight="1">
      <c r="A1779" s="64">
        <v>45487.0</v>
      </c>
      <c r="B1779" s="55" t="str">
        <f>HYPERLINK("https://jobright.ai/jobs/info/666da5269065e08de089ea90?utm_campaign=1062&amp;utm_source=sheet", "Apply")</f>
        <v>Apply</v>
      </c>
      <c r="C1779" s="10" t="s">
        <v>6025</v>
      </c>
      <c r="D1779" s="56" t="s">
        <v>4708</v>
      </c>
      <c r="E1779" s="10" t="s">
        <v>71</v>
      </c>
      <c r="F1779" s="10" t="s">
        <v>4709</v>
      </c>
      <c r="G1779" s="10" t="s">
        <v>4046</v>
      </c>
      <c r="H1779" s="10" t="s">
        <v>5734</v>
      </c>
      <c r="I1779" s="10" t="s">
        <v>55</v>
      </c>
      <c r="J1779" s="10" t="s">
        <v>5017</v>
      </c>
      <c r="K1779" s="10" t="s">
        <v>6026</v>
      </c>
      <c r="L1779" s="10" t="s">
        <v>42</v>
      </c>
    </row>
    <row r="1780" ht="15.75" customHeight="1">
      <c r="A1780" s="64">
        <v>45487.0</v>
      </c>
      <c r="B1780" s="55" t="str">
        <f>HYPERLINK("https://jobright.ai/jobs/info/66795f24dd14b36e4d97ab83?utm_campaign=1062&amp;utm_source=sheet", "Apply")</f>
        <v>Apply</v>
      </c>
      <c r="C1780" s="10" t="s">
        <v>3044</v>
      </c>
      <c r="D1780" s="56" t="s">
        <v>2631</v>
      </c>
      <c r="E1780" s="10" t="s">
        <v>209</v>
      </c>
      <c r="F1780" s="10" t="s">
        <v>2632</v>
      </c>
      <c r="G1780" s="10" t="s">
        <v>2464</v>
      </c>
      <c r="H1780" s="10" t="s">
        <v>3006</v>
      </c>
      <c r="I1780" s="10" t="s">
        <v>55</v>
      </c>
      <c r="K1780" s="10" t="s">
        <v>3045</v>
      </c>
      <c r="L1780" s="10" t="s">
        <v>42</v>
      </c>
    </row>
    <row r="1781" ht="15.75" customHeight="1">
      <c r="A1781" s="64">
        <v>45487.0</v>
      </c>
      <c r="B1781" s="55" t="str">
        <f>HYPERLINK("https://jobright.ai/jobs/info/664ea6f34e197fc8adcf914f?utm_campaign=1062&amp;utm_source=sheet", "Apply")</f>
        <v>Apply</v>
      </c>
      <c r="C1781" s="10" t="s">
        <v>6027</v>
      </c>
      <c r="D1781" s="56" t="s">
        <v>6028</v>
      </c>
      <c r="E1781" s="10" t="s">
        <v>79</v>
      </c>
      <c r="F1781" s="10" t="s">
        <v>6029</v>
      </c>
      <c r="G1781" s="10" t="s">
        <v>2464</v>
      </c>
      <c r="H1781" s="10" t="s">
        <v>153</v>
      </c>
      <c r="I1781" s="10" t="s">
        <v>55</v>
      </c>
      <c r="K1781" s="10" t="s">
        <v>6030</v>
      </c>
      <c r="L1781" s="10" t="s">
        <v>42</v>
      </c>
    </row>
    <row r="1782" ht="15.75" customHeight="1">
      <c r="A1782" s="64">
        <v>45487.0</v>
      </c>
      <c r="B1782" s="55" t="str">
        <f>HYPERLINK("https://jobright.ai/jobs/info/6676a0a1573f97cc9db08de5?utm_campaign=1062&amp;utm_source=sheet", "Apply")</f>
        <v>Apply</v>
      </c>
      <c r="C1782" s="10" t="s">
        <v>5307</v>
      </c>
      <c r="D1782" s="56" t="s">
        <v>2726</v>
      </c>
      <c r="E1782" s="10" t="s">
        <v>65</v>
      </c>
      <c r="F1782" s="10" t="s">
        <v>85</v>
      </c>
      <c r="G1782" s="10" t="s">
        <v>2464</v>
      </c>
      <c r="H1782" s="10" t="s">
        <v>5935</v>
      </c>
      <c r="I1782" s="10" t="s">
        <v>48</v>
      </c>
      <c r="K1782" s="10" t="s">
        <v>6031</v>
      </c>
      <c r="L1782" s="10" t="s">
        <v>42</v>
      </c>
    </row>
    <row r="1783" ht="15.75" customHeight="1">
      <c r="A1783" s="64">
        <v>45487.0</v>
      </c>
      <c r="B1783" s="55" t="str">
        <f>HYPERLINK("https://jobright.ai/jobs/info/6676bc319b9f24e2dbdcabab?utm_campaign=1062&amp;utm_source=sheet", "Apply")</f>
        <v>Apply</v>
      </c>
      <c r="C1783" s="10" t="s">
        <v>6032</v>
      </c>
      <c r="D1783" s="56" t="s">
        <v>6033</v>
      </c>
      <c r="E1783" s="10" t="s">
        <v>45</v>
      </c>
      <c r="F1783" s="10" t="s">
        <v>1202</v>
      </c>
      <c r="G1783" s="10" t="s">
        <v>2605</v>
      </c>
      <c r="H1783" s="10" t="s">
        <v>332</v>
      </c>
      <c r="I1783" s="10" t="s">
        <v>55</v>
      </c>
      <c r="K1783" s="10" t="s">
        <v>6034</v>
      </c>
      <c r="L1783" s="10" t="s">
        <v>42</v>
      </c>
    </row>
    <row r="1784" ht="15.75" customHeight="1">
      <c r="A1784" s="64">
        <v>45487.0</v>
      </c>
      <c r="B1784" s="55" t="str">
        <f>HYPERLINK("https://jobright.ai/jobs/info/66786b42742ddaa1ec1cc3dd?utm_campaign=1062&amp;utm_source=sheet", "Apply")</f>
        <v>Apply</v>
      </c>
      <c r="C1784" s="10" t="s">
        <v>2681</v>
      </c>
      <c r="D1784" s="56" t="s">
        <v>2682</v>
      </c>
      <c r="E1784" s="10" t="s">
        <v>45</v>
      </c>
      <c r="F1784" s="10" t="s">
        <v>1357</v>
      </c>
      <c r="G1784" s="10" t="s">
        <v>2589</v>
      </c>
      <c r="H1784" s="10" t="s">
        <v>6035</v>
      </c>
      <c r="I1784" s="10" t="s">
        <v>55</v>
      </c>
      <c r="J1784" s="10" t="s">
        <v>2683</v>
      </c>
      <c r="K1784" s="10" t="s">
        <v>2684</v>
      </c>
      <c r="L1784" s="10" t="s">
        <v>42</v>
      </c>
    </row>
    <row r="1785" ht="15.75" customHeight="1">
      <c r="A1785" s="64">
        <v>45487.0</v>
      </c>
      <c r="B1785" s="55" t="str">
        <f>HYPERLINK("https://jobright.ai/jobs/info/653a08c7e86214287059cbb1?utm_campaign=1062&amp;utm_source=sheet", "Apply")</f>
        <v>Apply</v>
      </c>
      <c r="C1785" s="10" t="s">
        <v>6036</v>
      </c>
      <c r="D1785" s="56" t="s">
        <v>2721</v>
      </c>
      <c r="E1785" s="10" t="s">
        <v>45</v>
      </c>
      <c r="F1785" s="10" t="s">
        <v>2722</v>
      </c>
      <c r="G1785" s="10" t="s">
        <v>2502</v>
      </c>
      <c r="H1785" s="10" t="s">
        <v>313</v>
      </c>
      <c r="I1785" s="10" t="s">
        <v>55</v>
      </c>
      <c r="J1785" s="10" t="s">
        <v>6037</v>
      </c>
      <c r="K1785" s="10" t="s">
        <v>6038</v>
      </c>
      <c r="L1785" s="10" t="s">
        <v>42</v>
      </c>
    </row>
    <row r="1786" ht="15.75" customHeight="1">
      <c r="A1786" s="64">
        <v>45487.0</v>
      </c>
      <c r="B1786" s="55" t="str">
        <f>HYPERLINK("https://jobright.ai/jobs/info/65ba513a1dda307087bd2eaf?utm_campaign=1062&amp;utm_source=sheet", "Apply")</f>
        <v>Apply</v>
      </c>
      <c r="C1786" s="10" t="s">
        <v>6039</v>
      </c>
      <c r="D1786" s="56" t="s">
        <v>1061</v>
      </c>
      <c r="E1786" s="10" t="s">
        <v>209</v>
      </c>
      <c r="G1786" s="10" t="s">
        <v>2495</v>
      </c>
      <c r="H1786" s="10" t="s">
        <v>1097</v>
      </c>
      <c r="I1786" s="10" t="s">
        <v>55</v>
      </c>
      <c r="K1786" s="10" t="s">
        <v>6040</v>
      </c>
      <c r="L1786" s="10" t="s">
        <v>42</v>
      </c>
    </row>
    <row r="1787" ht="15.75" customHeight="1">
      <c r="A1787" s="64">
        <v>45487.0</v>
      </c>
      <c r="B1787" s="55" t="str">
        <f>HYPERLINK("https://jobright.ai/jobs/info/6622465f0049692f62a98a1c?utm_campaign=1062&amp;utm_source=sheet", "Apply")</f>
        <v>Apply</v>
      </c>
      <c r="C1787" s="10" t="s">
        <v>6041</v>
      </c>
      <c r="D1787" s="56" t="s">
        <v>614</v>
      </c>
      <c r="E1787" s="10" t="s">
        <v>65</v>
      </c>
      <c r="F1787" s="10" t="s">
        <v>615</v>
      </c>
      <c r="G1787" s="10" t="s">
        <v>2470</v>
      </c>
      <c r="H1787" s="10" t="s">
        <v>131</v>
      </c>
      <c r="I1787" s="10" t="s">
        <v>55</v>
      </c>
      <c r="K1787" s="10" t="s">
        <v>6042</v>
      </c>
      <c r="L1787" s="10" t="s">
        <v>42</v>
      </c>
    </row>
    <row r="1788" ht="15.75" customHeight="1">
      <c r="A1788" s="64">
        <v>45487.0</v>
      </c>
      <c r="B1788" s="55" t="str">
        <f>HYPERLINK("https://jobright.ai/jobs/info/6674398e4bad03f9b038a75c?utm_campaign=1062&amp;utm_source=sheet", "Apply")</f>
        <v>Apply</v>
      </c>
      <c r="C1788" s="10" t="s">
        <v>2681</v>
      </c>
      <c r="D1788" s="56" t="s">
        <v>2682</v>
      </c>
      <c r="E1788" s="10" t="s">
        <v>45</v>
      </c>
      <c r="F1788" s="10" t="s">
        <v>1357</v>
      </c>
      <c r="G1788" s="10" t="s">
        <v>2589</v>
      </c>
      <c r="H1788" s="10" t="s">
        <v>6043</v>
      </c>
      <c r="I1788" s="10" t="s">
        <v>55</v>
      </c>
      <c r="J1788" s="10" t="s">
        <v>5833</v>
      </c>
      <c r="K1788" s="10" t="s">
        <v>2684</v>
      </c>
      <c r="L1788" s="10" t="s">
        <v>42</v>
      </c>
    </row>
    <row r="1789" ht="15.75" customHeight="1">
      <c r="A1789" s="64">
        <v>45487.0</v>
      </c>
      <c r="B1789" s="55" t="str">
        <f>HYPERLINK("https://jobright.ai/jobs/info/6677dd01fbac42152a146308?utm_campaign=1062&amp;utm_source=sheet", "Apply")</f>
        <v>Apply</v>
      </c>
      <c r="C1789" s="10" t="s">
        <v>2681</v>
      </c>
      <c r="D1789" s="56" t="s">
        <v>2682</v>
      </c>
      <c r="E1789" s="10" t="s">
        <v>45</v>
      </c>
      <c r="F1789" s="10" t="s">
        <v>1357</v>
      </c>
      <c r="G1789" s="10" t="s">
        <v>2589</v>
      </c>
      <c r="H1789" s="10" t="s">
        <v>6044</v>
      </c>
      <c r="I1789" s="10" t="s">
        <v>55</v>
      </c>
      <c r="J1789" s="10" t="s">
        <v>2683</v>
      </c>
      <c r="K1789" s="10" t="s">
        <v>2684</v>
      </c>
      <c r="L1789" s="10" t="s">
        <v>42</v>
      </c>
    </row>
    <row r="1790" ht="15.75" customHeight="1">
      <c r="A1790" s="64">
        <v>45487.0</v>
      </c>
      <c r="B1790" s="55" t="str">
        <f>HYPERLINK("https://jobright.ai/jobs/info/667859dd7c4e25df7d3e72a2?utm_campaign=1062&amp;utm_source=sheet", "Apply")</f>
        <v>Apply</v>
      </c>
      <c r="C1790" s="10" t="s">
        <v>2681</v>
      </c>
      <c r="D1790" s="56" t="s">
        <v>2682</v>
      </c>
      <c r="E1790" s="10" t="s">
        <v>45</v>
      </c>
      <c r="F1790" s="10" t="s">
        <v>1357</v>
      </c>
      <c r="G1790" s="10" t="s">
        <v>2589</v>
      </c>
      <c r="H1790" s="10" t="s">
        <v>6045</v>
      </c>
      <c r="I1790" s="10" t="s">
        <v>55</v>
      </c>
      <c r="J1790" s="10" t="s">
        <v>5833</v>
      </c>
      <c r="K1790" s="10" t="s">
        <v>2684</v>
      </c>
      <c r="L1790" s="10" t="s">
        <v>42</v>
      </c>
    </row>
    <row r="1791" ht="15.75" customHeight="1">
      <c r="A1791" s="64">
        <v>45487.0</v>
      </c>
      <c r="B1791" s="55" t="str">
        <f>HYPERLINK("https://jobright.ai/jobs/info/66592b8dfb1dd944df45a454?utm_campaign=1062&amp;utm_source=sheet", "Apply")</f>
        <v>Apply</v>
      </c>
      <c r="C1791" s="10" t="s">
        <v>6046</v>
      </c>
      <c r="D1791" s="56" t="s">
        <v>6047</v>
      </c>
      <c r="E1791" s="10" t="s">
        <v>45</v>
      </c>
      <c r="F1791" s="10" t="s">
        <v>4022</v>
      </c>
      <c r="G1791" s="10" t="s">
        <v>2484</v>
      </c>
      <c r="H1791" s="10" t="s">
        <v>2623</v>
      </c>
      <c r="I1791" s="10" t="s">
        <v>55</v>
      </c>
      <c r="K1791" s="10" t="s">
        <v>6048</v>
      </c>
      <c r="L1791" s="10" t="s">
        <v>42</v>
      </c>
    </row>
    <row r="1792" ht="15.75" customHeight="1">
      <c r="A1792" s="64">
        <v>45487.0</v>
      </c>
      <c r="B1792" s="55" t="str">
        <f>HYPERLINK("https://jobright.ai/jobs/info/6528cb60f6faf5c95e6e298f?utm_campaign=1062&amp;utm_source=sheet", "Apply")</f>
        <v>Apply</v>
      </c>
      <c r="C1792" s="10" t="s">
        <v>6049</v>
      </c>
      <c r="D1792" s="56" t="s">
        <v>6050</v>
      </c>
      <c r="E1792" s="10" t="s">
        <v>65</v>
      </c>
      <c r="F1792" s="10" t="s">
        <v>2850</v>
      </c>
      <c r="G1792" s="10" t="s">
        <v>2437</v>
      </c>
      <c r="H1792" s="10" t="s">
        <v>6051</v>
      </c>
      <c r="I1792" s="10" t="s">
        <v>55</v>
      </c>
      <c r="K1792" s="10" t="s">
        <v>6052</v>
      </c>
      <c r="L1792" s="10" t="s">
        <v>42</v>
      </c>
    </row>
    <row r="1793" ht="15.75" customHeight="1">
      <c r="A1793" s="64">
        <v>45487.0</v>
      </c>
      <c r="B1793" s="55" t="str">
        <f>HYPERLINK("https://jobright.ai/jobs/info/66744192bd65a761bf01a190?utm_campaign=1062&amp;utm_source=sheet", "Apply")</f>
        <v>Apply</v>
      </c>
      <c r="C1793" s="10" t="s">
        <v>2681</v>
      </c>
      <c r="D1793" s="56" t="s">
        <v>2682</v>
      </c>
      <c r="E1793" s="10" t="s">
        <v>45</v>
      </c>
      <c r="F1793" s="10" t="s">
        <v>1357</v>
      </c>
      <c r="G1793" s="10" t="s">
        <v>2589</v>
      </c>
      <c r="H1793" s="10" t="s">
        <v>6053</v>
      </c>
      <c r="I1793" s="10" t="s">
        <v>55</v>
      </c>
      <c r="J1793" s="10" t="s">
        <v>2683</v>
      </c>
      <c r="K1793" s="10" t="s">
        <v>2684</v>
      </c>
      <c r="L1793" s="10" t="s">
        <v>42</v>
      </c>
    </row>
    <row r="1794" ht="15.75" customHeight="1">
      <c r="A1794" s="64">
        <v>45487.0</v>
      </c>
      <c r="B1794" s="55" t="str">
        <f>HYPERLINK("https://jobright.ai/jobs/info/66785e46dbc11ed4da55c1c6?utm_campaign=1062&amp;utm_source=sheet", "Apply")</f>
        <v>Apply</v>
      </c>
      <c r="C1794" s="10" t="s">
        <v>2681</v>
      </c>
      <c r="D1794" s="56" t="s">
        <v>2682</v>
      </c>
      <c r="E1794" s="10" t="s">
        <v>45</v>
      </c>
      <c r="F1794" s="10" t="s">
        <v>1357</v>
      </c>
      <c r="G1794" s="10" t="s">
        <v>2589</v>
      </c>
      <c r="H1794" s="10" t="s">
        <v>6054</v>
      </c>
      <c r="I1794" s="10" t="s">
        <v>55</v>
      </c>
      <c r="J1794" s="10" t="s">
        <v>2683</v>
      </c>
      <c r="K1794" s="10" t="s">
        <v>2684</v>
      </c>
      <c r="L1794" s="10" t="s">
        <v>42</v>
      </c>
    </row>
    <row r="1795" ht="15.75" customHeight="1">
      <c r="A1795" s="64">
        <v>45487.0</v>
      </c>
      <c r="B1795" s="55" t="str">
        <f>HYPERLINK("https://jobright.ai/jobs/info/65f345a0529630548776acf0?utm_campaign=1062&amp;utm_source=sheet", "Apply")</f>
        <v>Apply</v>
      </c>
      <c r="C1795" s="10" t="s">
        <v>6055</v>
      </c>
      <c r="D1795" s="56" t="s">
        <v>263</v>
      </c>
      <c r="E1795" s="10" t="s">
        <v>45</v>
      </c>
      <c r="F1795" s="10" t="s">
        <v>264</v>
      </c>
      <c r="G1795" s="10" t="s">
        <v>2484</v>
      </c>
      <c r="H1795" s="10" t="s">
        <v>854</v>
      </c>
      <c r="I1795" s="10" t="s">
        <v>55</v>
      </c>
      <c r="K1795" s="10" t="s">
        <v>6056</v>
      </c>
      <c r="L1795" s="10" t="s">
        <v>42</v>
      </c>
    </row>
    <row r="1796" ht="15.75" customHeight="1">
      <c r="A1796" s="64">
        <v>45487.0</v>
      </c>
      <c r="B1796" s="55" t="str">
        <f>HYPERLINK("https://jobright.ai/jobs/info/667793d3023ec2d026d3b2a2?utm_campaign=1062&amp;utm_source=sheet", "Apply")</f>
        <v>Apply</v>
      </c>
      <c r="C1796" s="10" t="s">
        <v>6057</v>
      </c>
      <c r="D1796" s="56" t="s">
        <v>2721</v>
      </c>
      <c r="E1796" s="10" t="s">
        <v>45</v>
      </c>
      <c r="F1796" s="10" t="s">
        <v>2722</v>
      </c>
      <c r="G1796" s="10" t="s">
        <v>2502</v>
      </c>
      <c r="H1796" s="10" t="s">
        <v>313</v>
      </c>
      <c r="I1796" s="10" t="s">
        <v>55</v>
      </c>
      <c r="J1796" s="10" t="s">
        <v>4688</v>
      </c>
      <c r="K1796" s="10" t="s">
        <v>6058</v>
      </c>
      <c r="L1796" s="10" t="s">
        <v>42</v>
      </c>
    </row>
    <row r="1797" ht="15.75" customHeight="1">
      <c r="A1797" s="64">
        <v>45487.0</v>
      </c>
      <c r="B1797" s="55" t="str">
        <f>HYPERLINK("https://jobright.ai/jobs/info/66785e46dbc11ed4da55c1ba?utm_campaign=1062&amp;utm_source=sheet", "Apply")</f>
        <v>Apply</v>
      </c>
      <c r="C1797" s="10" t="s">
        <v>2681</v>
      </c>
      <c r="D1797" s="56" t="s">
        <v>2682</v>
      </c>
      <c r="E1797" s="10" t="s">
        <v>45</v>
      </c>
      <c r="F1797" s="10" t="s">
        <v>1357</v>
      </c>
      <c r="G1797" s="10" t="s">
        <v>2589</v>
      </c>
      <c r="H1797" s="10" t="s">
        <v>6059</v>
      </c>
      <c r="I1797" s="10" t="s">
        <v>55</v>
      </c>
      <c r="J1797" s="10" t="s">
        <v>2683</v>
      </c>
      <c r="K1797" s="10" t="s">
        <v>2684</v>
      </c>
      <c r="L1797" s="10" t="s">
        <v>42</v>
      </c>
    </row>
    <row r="1798" ht="15.75" customHeight="1">
      <c r="A1798" s="64">
        <v>45487.0</v>
      </c>
      <c r="B1798" s="55" t="str">
        <f>HYPERLINK("https://jobright.ai/jobs/info/6659e2de117066a07b47b15b?utm_campaign=1062&amp;utm_source=sheet", "Apply")</f>
        <v>Apply</v>
      </c>
      <c r="C1798" s="10" t="s">
        <v>6060</v>
      </c>
      <c r="D1798" s="56" t="s">
        <v>52</v>
      </c>
      <c r="E1798" s="10" t="s">
        <v>45</v>
      </c>
      <c r="F1798" s="10" t="s">
        <v>53</v>
      </c>
      <c r="G1798" s="10" t="s">
        <v>3733</v>
      </c>
      <c r="H1798" s="10" t="s">
        <v>152</v>
      </c>
      <c r="I1798" s="10" t="s">
        <v>55</v>
      </c>
      <c r="J1798" s="10" t="s">
        <v>6061</v>
      </c>
      <c r="K1798" s="10" t="s">
        <v>6062</v>
      </c>
      <c r="L1798" s="10" t="s">
        <v>42</v>
      </c>
    </row>
    <row r="1799" ht="15.75" customHeight="1">
      <c r="A1799" s="64">
        <v>45487.0</v>
      </c>
      <c r="B1799" s="55" t="str">
        <f>HYPERLINK("https://jobright.ai/jobs/info/66573697e3d4e0f1e6a725f8?utm_campaign=1062&amp;utm_source=sheet", "Apply")</f>
        <v>Apply</v>
      </c>
      <c r="C1799" s="10" t="s">
        <v>2681</v>
      </c>
      <c r="D1799" s="56" t="s">
        <v>2682</v>
      </c>
      <c r="E1799" s="10" t="s">
        <v>45</v>
      </c>
      <c r="F1799" s="10" t="s">
        <v>1357</v>
      </c>
      <c r="G1799" s="10" t="s">
        <v>2589</v>
      </c>
      <c r="H1799" s="10" t="s">
        <v>6063</v>
      </c>
      <c r="I1799" s="10" t="s">
        <v>55</v>
      </c>
      <c r="J1799" s="10" t="s">
        <v>5833</v>
      </c>
      <c r="K1799" s="10" t="s">
        <v>2684</v>
      </c>
      <c r="L1799" s="10" t="s">
        <v>42</v>
      </c>
    </row>
    <row r="1800" ht="15.75" customHeight="1">
      <c r="A1800" s="64">
        <v>45487.0</v>
      </c>
      <c r="B1800" s="55" t="str">
        <f>HYPERLINK("https://jobright.ai/jobs/info/664e2050b45b688e7b70f8ca?utm_campaign=1062&amp;utm_source=sheet", "Apply")</f>
        <v>Apply</v>
      </c>
      <c r="C1800" s="10" t="s">
        <v>6064</v>
      </c>
      <c r="D1800" s="56" t="s">
        <v>5854</v>
      </c>
      <c r="E1800" s="10" t="s">
        <v>209</v>
      </c>
      <c r="F1800" s="10" t="s">
        <v>1695</v>
      </c>
      <c r="G1800" s="10" t="s">
        <v>2443</v>
      </c>
      <c r="H1800" s="10" t="s">
        <v>860</v>
      </c>
      <c r="I1800" s="10" t="s">
        <v>55</v>
      </c>
      <c r="K1800" s="10" t="s">
        <v>6065</v>
      </c>
      <c r="L1800" s="10" t="s">
        <v>42</v>
      </c>
    </row>
    <row r="1801" ht="15.75" customHeight="1">
      <c r="A1801" s="64">
        <v>45487.0</v>
      </c>
      <c r="B1801" s="55" t="str">
        <f>HYPERLINK("https://jobright.ai/jobs/info/66744192bd65a761bf01a18c?utm_campaign=1062&amp;utm_source=sheet", "Apply")</f>
        <v>Apply</v>
      </c>
      <c r="C1801" s="10" t="s">
        <v>2681</v>
      </c>
      <c r="D1801" s="56" t="s">
        <v>2682</v>
      </c>
      <c r="E1801" s="10" t="s">
        <v>45</v>
      </c>
      <c r="F1801" s="10" t="s">
        <v>1357</v>
      </c>
      <c r="G1801" s="10" t="s">
        <v>2589</v>
      </c>
      <c r="H1801" s="10" t="s">
        <v>6066</v>
      </c>
      <c r="I1801" s="10" t="s">
        <v>55</v>
      </c>
      <c r="J1801" s="10" t="s">
        <v>5859</v>
      </c>
      <c r="K1801" s="10" t="s">
        <v>2684</v>
      </c>
      <c r="L1801" s="10" t="s">
        <v>42</v>
      </c>
    </row>
    <row r="1802" ht="15.75" customHeight="1">
      <c r="A1802" s="64">
        <v>45487.0</v>
      </c>
      <c r="B1802" s="55" t="str">
        <f>HYPERLINK("https://jobright.ai/jobs/info/6676a096573f97cc9db08db2?utm_campaign=1062&amp;utm_source=sheet", "Apply")</f>
        <v>Apply</v>
      </c>
      <c r="C1802" s="10" t="s">
        <v>2725</v>
      </c>
      <c r="D1802" s="56" t="s">
        <v>2726</v>
      </c>
      <c r="E1802" s="10" t="s">
        <v>65</v>
      </c>
      <c r="F1802" s="10" t="s">
        <v>85</v>
      </c>
      <c r="G1802" s="10" t="s">
        <v>2464</v>
      </c>
      <c r="H1802" s="10" t="s">
        <v>4406</v>
      </c>
      <c r="I1802" s="10" t="s">
        <v>48</v>
      </c>
      <c r="K1802" s="10" t="s">
        <v>4431</v>
      </c>
      <c r="L1802" s="10" t="s">
        <v>42</v>
      </c>
    </row>
    <row r="1803" ht="15.75" customHeight="1">
      <c r="A1803" s="64">
        <v>45487.0</v>
      </c>
      <c r="B1803" s="55" t="str">
        <f>HYPERLINK("https://jobright.ai/jobs/info/664def6ecf7bdc8f73b3c16f?utm_campaign=1062&amp;utm_source=sheet", "Apply")</f>
        <v>Apply</v>
      </c>
      <c r="C1803" s="10" t="s">
        <v>2787</v>
      </c>
      <c r="D1803" s="56" t="s">
        <v>2699</v>
      </c>
      <c r="E1803" s="10" t="s">
        <v>249</v>
      </c>
      <c r="F1803" s="10" t="s">
        <v>722</v>
      </c>
      <c r="G1803" s="10" t="s">
        <v>2448</v>
      </c>
      <c r="H1803" s="10" t="s">
        <v>965</v>
      </c>
      <c r="I1803" s="10" t="s">
        <v>55</v>
      </c>
      <c r="K1803" s="10" t="s">
        <v>2788</v>
      </c>
      <c r="L1803" s="10" t="s">
        <v>42</v>
      </c>
    </row>
    <row r="1804" ht="15.75" customHeight="1">
      <c r="A1804" s="64">
        <v>45487.0</v>
      </c>
      <c r="B1804" s="55" t="str">
        <f>HYPERLINK("https://jobright.ai/jobs/info/6594a1907d6544599f32e0fd?utm_campaign=1062&amp;utm_source=sheet", "Apply")</f>
        <v>Apply</v>
      </c>
      <c r="C1804" s="10" t="s">
        <v>6067</v>
      </c>
      <c r="D1804" s="56" t="s">
        <v>716</v>
      </c>
      <c r="E1804" s="10" t="s">
        <v>79</v>
      </c>
      <c r="F1804" s="10" t="s">
        <v>717</v>
      </c>
      <c r="G1804" s="10" t="s">
        <v>2807</v>
      </c>
      <c r="H1804" s="10" t="s">
        <v>144</v>
      </c>
      <c r="I1804" s="10" t="s">
        <v>48</v>
      </c>
      <c r="J1804" s="10" t="s">
        <v>3290</v>
      </c>
      <c r="K1804" s="10" t="s">
        <v>6068</v>
      </c>
      <c r="L1804" s="10" t="s">
        <v>42</v>
      </c>
    </row>
    <row r="1805" ht="15.75" customHeight="1">
      <c r="A1805" s="64">
        <v>45487.0</v>
      </c>
      <c r="B1805" s="55" t="str">
        <f>HYPERLINK("https://jobright.ai/jobs/info/664e98aaf97ff61ecf83bb8d?utm_campaign=1062&amp;utm_source=sheet", "Apply")</f>
        <v>Apply</v>
      </c>
      <c r="C1805" s="10" t="s">
        <v>6069</v>
      </c>
      <c r="D1805" s="56" t="s">
        <v>6070</v>
      </c>
      <c r="E1805" s="10" t="s">
        <v>45</v>
      </c>
      <c r="F1805" s="10" t="s">
        <v>1234</v>
      </c>
      <c r="G1805" s="10" t="s">
        <v>2448</v>
      </c>
      <c r="H1805" s="10" t="s">
        <v>6071</v>
      </c>
      <c r="I1805" s="10" t="s">
        <v>55</v>
      </c>
      <c r="J1805" s="10" t="s">
        <v>6072</v>
      </c>
      <c r="K1805" s="10" t="s">
        <v>6073</v>
      </c>
      <c r="L1805" s="10" t="s">
        <v>42</v>
      </c>
    </row>
    <row r="1806" ht="15.75" customHeight="1">
      <c r="A1806" s="64">
        <v>45487.0</v>
      </c>
      <c r="B1806" s="55" t="str">
        <f>HYPERLINK("https://jobright.ai/jobs/info/667859dd7c4e25df7d3e72aa?utm_campaign=1062&amp;utm_source=sheet", "Apply")</f>
        <v>Apply</v>
      </c>
      <c r="C1806" s="10" t="s">
        <v>2681</v>
      </c>
      <c r="D1806" s="56" t="s">
        <v>2682</v>
      </c>
      <c r="E1806" s="10" t="s">
        <v>45</v>
      </c>
      <c r="F1806" s="10" t="s">
        <v>1357</v>
      </c>
      <c r="G1806" s="10" t="s">
        <v>2589</v>
      </c>
      <c r="H1806" s="10" t="s">
        <v>6074</v>
      </c>
      <c r="I1806" s="10" t="s">
        <v>55</v>
      </c>
      <c r="J1806" s="10" t="s">
        <v>5833</v>
      </c>
      <c r="K1806" s="10" t="s">
        <v>2684</v>
      </c>
      <c r="L1806" s="10" t="s">
        <v>42</v>
      </c>
    </row>
    <row r="1807" ht="15.75" customHeight="1">
      <c r="A1807" s="64">
        <v>45487.0</v>
      </c>
      <c r="B1807" s="55" t="str">
        <f>HYPERLINK("https://jobright.ai/jobs/info/6675f3b52617111d53a44a27?utm_campaign=1062&amp;utm_source=sheet", "Apply")</f>
        <v>Apply</v>
      </c>
      <c r="C1807" s="10" t="s">
        <v>6075</v>
      </c>
      <c r="D1807" s="56" t="s">
        <v>5825</v>
      </c>
      <c r="E1807" s="10" t="s">
        <v>249</v>
      </c>
      <c r="F1807" s="10" t="s">
        <v>5826</v>
      </c>
      <c r="G1807" s="10" t="s">
        <v>2484</v>
      </c>
      <c r="H1807" s="10" t="s">
        <v>2759</v>
      </c>
      <c r="I1807" s="10" t="s">
        <v>55</v>
      </c>
      <c r="J1807" s="10" t="s">
        <v>5827</v>
      </c>
      <c r="K1807" s="10" t="s">
        <v>6076</v>
      </c>
      <c r="L1807" s="10" t="s">
        <v>42</v>
      </c>
    </row>
    <row r="1808" ht="15.75" customHeight="1">
      <c r="A1808" s="64">
        <v>45487.0</v>
      </c>
      <c r="B1808" s="55" t="str">
        <f>HYPERLINK("https://jobright.ai/jobs/info/66785e32dbc11ed4da55bfeb?utm_campaign=1062&amp;utm_source=sheet", "Apply")</f>
        <v>Apply</v>
      </c>
      <c r="C1808" s="10" t="s">
        <v>2681</v>
      </c>
      <c r="D1808" s="56" t="s">
        <v>2682</v>
      </c>
      <c r="E1808" s="10" t="s">
        <v>45</v>
      </c>
      <c r="F1808" s="10" t="s">
        <v>1357</v>
      </c>
      <c r="G1808" s="10" t="s">
        <v>2589</v>
      </c>
      <c r="H1808" s="10" t="s">
        <v>6077</v>
      </c>
      <c r="I1808" s="10" t="s">
        <v>55</v>
      </c>
      <c r="J1808" s="10" t="s">
        <v>6078</v>
      </c>
      <c r="K1808" s="10" t="s">
        <v>2684</v>
      </c>
      <c r="L1808" s="10" t="s">
        <v>42</v>
      </c>
    </row>
    <row r="1809" ht="15.75" customHeight="1">
      <c r="A1809" s="64">
        <v>45487.0</v>
      </c>
      <c r="B1809" s="55" t="str">
        <f>HYPERLINK("https://jobright.ai/jobs/info/6693b195c9d6c9b2a3c32917?utm_campaign=1062&amp;utm_source=sheet", "Apply")</f>
        <v>Apply</v>
      </c>
      <c r="C1809" s="10" t="s">
        <v>5937</v>
      </c>
      <c r="D1809" s="56" t="s">
        <v>2763</v>
      </c>
      <c r="E1809" s="10" t="s">
        <v>45</v>
      </c>
      <c r="F1809" s="10" t="s">
        <v>1465</v>
      </c>
      <c r="G1809" s="10" t="s">
        <v>2484</v>
      </c>
      <c r="H1809" s="10" t="s">
        <v>4041</v>
      </c>
      <c r="I1809" s="10" t="s">
        <v>55</v>
      </c>
      <c r="J1809" s="10" t="s">
        <v>5938</v>
      </c>
      <c r="K1809" s="10" t="s">
        <v>5939</v>
      </c>
      <c r="L1809" s="10" t="s">
        <v>42</v>
      </c>
    </row>
    <row r="1810" ht="15.75" customHeight="1">
      <c r="A1810" s="64">
        <v>45487.0</v>
      </c>
      <c r="B1810" s="55" t="str">
        <f>HYPERLINK("https://jobright.ai/jobs/info/6676a096573f97cc9db08cfd?utm_campaign=1062&amp;utm_source=sheet", "Apply")</f>
        <v>Apply</v>
      </c>
      <c r="C1810" s="10" t="s">
        <v>6079</v>
      </c>
      <c r="D1810" s="56" t="s">
        <v>2726</v>
      </c>
      <c r="E1810" s="10" t="s">
        <v>65</v>
      </c>
      <c r="F1810" s="10" t="s">
        <v>85</v>
      </c>
      <c r="G1810" s="10" t="s">
        <v>2464</v>
      </c>
      <c r="H1810" s="10" t="s">
        <v>113</v>
      </c>
      <c r="I1810" s="10" t="s">
        <v>48</v>
      </c>
      <c r="K1810" s="10" t="s">
        <v>6080</v>
      </c>
      <c r="L1810" s="10" t="s">
        <v>42</v>
      </c>
    </row>
    <row r="1811" ht="15.75" customHeight="1">
      <c r="A1811" s="64">
        <v>45487.0</v>
      </c>
      <c r="B1811" s="55" t="str">
        <f>HYPERLINK("https://jobright.ai/jobs/info/664e98daf97ff61ecf83bfdd?utm_campaign=1062&amp;utm_source=sheet", "Apply")</f>
        <v>Apply</v>
      </c>
      <c r="C1811" s="10" t="s">
        <v>4723</v>
      </c>
      <c r="D1811" s="56" t="s">
        <v>2682</v>
      </c>
      <c r="E1811" s="10" t="s">
        <v>45</v>
      </c>
      <c r="F1811" s="10" t="s">
        <v>1357</v>
      </c>
      <c r="G1811" s="10" t="s">
        <v>2589</v>
      </c>
      <c r="H1811" s="10" t="s">
        <v>6081</v>
      </c>
      <c r="I1811" s="10" t="s">
        <v>55</v>
      </c>
      <c r="J1811" s="10" t="s">
        <v>5833</v>
      </c>
      <c r="K1811" s="10" t="s">
        <v>2684</v>
      </c>
      <c r="L1811" s="10" t="s">
        <v>42</v>
      </c>
    </row>
    <row r="1812" ht="15.75" customHeight="1">
      <c r="A1812" s="64">
        <v>45487.0</v>
      </c>
      <c r="B1812" s="55" t="str">
        <f>HYPERLINK("https://jobright.ai/jobs/info/6676a096573f97cc9db08d64?utm_campaign=1062&amp;utm_source=sheet", "Apply")</f>
        <v>Apply</v>
      </c>
      <c r="C1812" s="10" t="s">
        <v>6082</v>
      </c>
      <c r="D1812" s="56" t="s">
        <v>2726</v>
      </c>
      <c r="E1812" s="10" t="s">
        <v>65</v>
      </c>
      <c r="F1812" s="10" t="s">
        <v>85</v>
      </c>
      <c r="G1812" s="10" t="s">
        <v>2464</v>
      </c>
      <c r="H1812" s="10" t="s">
        <v>146</v>
      </c>
      <c r="I1812" s="10" t="s">
        <v>48</v>
      </c>
      <c r="K1812" s="10" t="s">
        <v>4088</v>
      </c>
      <c r="L1812" s="10" t="s">
        <v>42</v>
      </c>
    </row>
    <row r="1813" ht="15.75" customHeight="1">
      <c r="A1813" s="64">
        <v>45487.0</v>
      </c>
      <c r="B1813" s="55" t="str">
        <f>HYPERLINK("https://jobright.ai/jobs/info/6676e04ec909276a3772d8f7?utm_campaign=1062&amp;utm_source=sheet", "Apply")</f>
        <v>Apply</v>
      </c>
      <c r="C1813" s="10" t="s">
        <v>6083</v>
      </c>
      <c r="D1813" s="56" t="s">
        <v>6084</v>
      </c>
      <c r="E1813" s="10" t="s">
        <v>45</v>
      </c>
      <c r="F1813" s="10" t="s">
        <v>6085</v>
      </c>
      <c r="G1813" s="10" t="s">
        <v>2448</v>
      </c>
      <c r="H1813" s="10" t="s">
        <v>6086</v>
      </c>
      <c r="I1813" s="10" t="s">
        <v>55</v>
      </c>
      <c r="K1813" s="10" t="s">
        <v>6087</v>
      </c>
      <c r="L1813" s="10" t="s">
        <v>42</v>
      </c>
    </row>
    <row r="1814" ht="15.75" customHeight="1">
      <c r="A1814" s="64">
        <v>45487.0</v>
      </c>
      <c r="B1814" s="55" t="str">
        <f>HYPERLINK("https://jobright.ai/jobs/info/66766b9e93b9404f41dd51c5?utm_campaign=1062&amp;utm_source=sheet", "Apply")</f>
        <v>Apply</v>
      </c>
      <c r="C1814" s="10" t="s">
        <v>6088</v>
      </c>
      <c r="D1814" s="56" t="s">
        <v>2726</v>
      </c>
      <c r="E1814" s="10" t="s">
        <v>65</v>
      </c>
      <c r="F1814" s="10" t="s">
        <v>85</v>
      </c>
      <c r="G1814" s="10" t="s">
        <v>2464</v>
      </c>
      <c r="H1814" s="10" t="s">
        <v>2727</v>
      </c>
      <c r="I1814" s="10" t="s">
        <v>48</v>
      </c>
      <c r="J1814" s="10" t="s">
        <v>2165</v>
      </c>
      <c r="K1814" s="10" t="s">
        <v>6089</v>
      </c>
      <c r="L1814" s="10" t="s">
        <v>42</v>
      </c>
    </row>
    <row r="1815" ht="15.75" customHeight="1">
      <c r="A1815" s="64">
        <v>45487.0</v>
      </c>
      <c r="B1815" s="55" t="str">
        <f>HYPERLINK("https://jobright.ai/jobs/info/664e2047b45b688e7b70f7d1?utm_campaign=1062&amp;utm_source=sheet", "Apply")</f>
        <v>Apply</v>
      </c>
      <c r="C1815" s="10" t="s">
        <v>6090</v>
      </c>
      <c r="D1815" s="56" t="s">
        <v>6091</v>
      </c>
      <c r="E1815" s="10">
        <v>599.0</v>
      </c>
      <c r="G1815" s="10" t="s">
        <v>2605</v>
      </c>
      <c r="H1815" s="10" t="s">
        <v>152</v>
      </c>
      <c r="I1815" s="10" t="s">
        <v>55</v>
      </c>
      <c r="J1815" s="10" t="s">
        <v>6092</v>
      </c>
      <c r="K1815" s="10" t="s">
        <v>6093</v>
      </c>
      <c r="L1815" s="10" t="s">
        <v>42</v>
      </c>
    </row>
    <row r="1816" ht="15.75" customHeight="1">
      <c r="A1816" s="64">
        <v>45487.0</v>
      </c>
      <c r="B1816" s="55" t="str">
        <f>HYPERLINK("https://jobright.ai/jobs/info/66447bd4ac6e479839f1a36f?utm_campaign=1062&amp;utm_source=sheet", "Apply")</f>
        <v>Apply</v>
      </c>
      <c r="C1816" s="10" t="s">
        <v>6094</v>
      </c>
      <c r="D1816" s="56" t="s">
        <v>6095</v>
      </c>
      <c r="E1816" s="10" t="s">
        <v>209</v>
      </c>
      <c r="F1816" s="10" t="s">
        <v>2098</v>
      </c>
      <c r="G1816" s="10" t="s">
        <v>2579</v>
      </c>
      <c r="H1816" s="10" t="s">
        <v>1263</v>
      </c>
      <c r="I1816" s="10" t="s">
        <v>55</v>
      </c>
      <c r="J1816" s="10" t="s">
        <v>1189</v>
      </c>
      <c r="K1816" s="10" t="s">
        <v>6096</v>
      </c>
      <c r="L1816" s="10" t="s">
        <v>42</v>
      </c>
    </row>
    <row r="1817" ht="15.75" customHeight="1">
      <c r="A1817" s="64">
        <v>45487.0</v>
      </c>
      <c r="B1817" s="55" t="str">
        <f>HYPERLINK("https://jobright.ai/jobs/info/65bad97e44741cb7d54d6a22?utm_campaign=1062&amp;utm_source=sheet", "Apply")</f>
        <v>Apply</v>
      </c>
      <c r="C1817" s="10" t="s">
        <v>5972</v>
      </c>
      <c r="D1817" s="56" t="s">
        <v>2763</v>
      </c>
      <c r="E1817" s="10" t="s">
        <v>45</v>
      </c>
      <c r="F1817" s="10" t="s">
        <v>1465</v>
      </c>
      <c r="G1817" s="10" t="s">
        <v>2470</v>
      </c>
      <c r="H1817" s="10" t="s">
        <v>4086</v>
      </c>
      <c r="I1817" s="10" t="s">
        <v>55</v>
      </c>
      <c r="J1817" s="10" t="s">
        <v>5984</v>
      </c>
      <c r="K1817" s="10" t="s">
        <v>2832</v>
      </c>
      <c r="L1817" s="10" t="s">
        <v>42</v>
      </c>
    </row>
    <row r="1818" ht="15.75" customHeight="1">
      <c r="A1818" s="64">
        <v>45487.0</v>
      </c>
      <c r="B1818" s="55" t="str">
        <f>HYPERLINK("https://jobright.ai/jobs/info/6676cf90131cc9dd67df3353?utm_campaign=1062&amp;utm_source=sheet", "Apply")</f>
        <v>Apply</v>
      </c>
      <c r="C1818" s="10" t="s">
        <v>6097</v>
      </c>
      <c r="D1818" s="56" t="s">
        <v>5929</v>
      </c>
      <c r="E1818" s="10" t="s">
        <v>65</v>
      </c>
      <c r="F1818" s="10" t="s">
        <v>5930</v>
      </c>
      <c r="G1818" s="10" t="s">
        <v>2443</v>
      </c>
      <c r="H1818" s="10" t="s">
        <v>848</v>
      </c>
      <c r="I1818" s="10" t="s">
        <v>55</v>
      </c>
      <c r="K1818" s="10" t="s">
        <v>6098</v>
      </c>
      <c r="L1818" s="10" t="s">
        <v>42</v>
      </c>
    </row>
    <row r="1819" ht="15.75" customHeight="1">
      <c r="A1819" s="64">
        <v>45487.0</v>
      </c>
      <c r="B1819" s="55" t="str">
        <f>HYPERLINK("https://jobright.ai/jobs/info/65ec6ee5f13ac00501c85294?utm_campaign=1062&amp;utm_source=sheet", "Apply")</f>
        <v>Apply</v>
      </c>
      <c r="C1819" s="10" t="s">
        <v>3303</v>
      </c>
      <c r="D1819" s="56" t="s">
        <v>2763</v>
      </c>
      <c r="E1819" s="10" t="s">
        <v>45</v>
      </c>
      <c r="F1819" s="10" t="s">
        <v>1465</v>
      </c>
      <c r="G1819" s="10" t="s">
        <v>2437</v>
      </c>
      <c r="H1819" s="10" t="s">
        <v>4041</v>
      </c>
      <c r="I1819" s="10" t="s">
        <v>55</v>
      </c>
      <c r="K1819" s="10" t="s">
        <v>3305</v>
      </c>
      <c r="L1819" s="10" t="s">
        <v>42</v>
      </c>
    </row>
    <row r="1820" ht="15.75" customHeight="1">
      <c r="A1820" s="64">
        <v>45487.0</v>
      </c>
      <c r="B1820" s="55" t="str">
        <f>HYPERLINK("https://jobright.ai/jobs/info/65d5ab4c28c6145171fe461a?utm_campaign=1062&amp;utm_source=sheet", "Apply")</f>
        <v>Apply</v>
      </c>
      <c r="C1820" s="10" t="s">
        <v>6099</v>
      </c>
      <c r="D1820" s="56" t="s">
        <v>2810</v>
      </c>
      <c r="E1820" s="10" t="s">
        <v>209</v>
      </c>
      <c r="F1820" s="10" t="s">
        <v>2811</v>
      </c>
      <c r="G1820" s="10" t="s">
        <v>2455</v>
      </c>
      <c r="H1820" s="10" t="s">
        <v>2812</v>
      </c>
      <c r="I1820" s="10" t="s">
        <v>55</v>
      </c>
      <c r="J1820" s="10" t="s">
        <v>2165</v>
      </c>
      <c r="K1820" s="10" t="s">
        <v>6100</v>
      </c>
      <c r="L1820" s="10" t="s">
        <v>42</v>
      </c>
    </row>
    <row r="1821" ht="15.75" customHeight="1">
      <c r="A1821" s="64">
        <v>45487.0</v>
      </c>
      <c r="B1821" s="55" t="str">
        <f>HYPERLINK("https://jobright.ai/jobs/info/6676e041c909276a3772d800?utm_campaign=1062&amp;utm_source=sheet", "Apply")</f>
        <v>Apply</v>
      </c>
      <c r="C1821" s="10" t="s">
        <v>6101</v>
      </c>
      <c r="D1821" s="56" t="s">
        <v>5523</v>
      </c>
      <c r="E1821" s="10" t="s">
        <v>209</v>
      </c>
      <c r="F1821" s="10" t="s">
        <v>5524</v>
      </c>
      <c r="G1821" s="10" t="s">
        <v>2589</v>
      </c>
      <c r="H1821" s="10" t="s">
        <v>5245</v>
      </c>
      <c r="I1821" s="10" t="s">
        <v>55</v>
      </c>
      <c r="J1821" s="10" t="s">
        <v>5525</v>
      </c>
      <c r="K1821" s="10" t="s">
        <v>6102</v>
      </c>
      <c r="L1821" s="10" t="s">
        <v>42</v>
      </c>
    </row>
    <row r="1822" ht="15.75" customHeight="1">
      <c r="A1822" s="64">
        <v>45487.0</v>
      </c>
      <c r="B1822" s="55" t="str">
        <f>HYPERLINK("https://jobright.ai/jobs/info/6676c696807f31af720774e5?utm_campaign=1062&amp;utm_source=sheet", "Apply")</f>
        <v>Apply</v>
      </c>
      <c r="C1822" s="10" t="s">
        <v>4346</v>
      </c>
      <c r="D1822" s="56" t="s">
        <v>2462</v>
      </c>
      <c r="E1822" s="10" t="s">
        <v>79</v>
      </c>
      <c r="F1822" s="10" t="s">
        <v>2463</v>
      </c>
      <c r="G1822" s="10" t="s">
        <v>2464</v>
      </c>
      <c r="H1822" s="10" t="s">
        <v>4375</v>
      </c>
      <c r="I1822" s="10" t="s">
        <v>55</v>
      </c>
      <c r="K1822" s="10" t="s">
        <v>4347</v>
      </c>
      <c r="L1822" s="10" t="s">
        <v>42</v>
      </c>
    </row>
    <row r="1823" ht="15.75" customHeight="1">
      <c r="A1823" s="64">
        <v>45487.0</v>
      </c>
      <c r="B1823" s="55" t="str">
        <f>HYPERLINK("https://jobright.ai/jobs/info/6679777a22283fc0c73378f4?utm_campaign=1062&amp;utm_source=sheet", "Apply")</f>
        <v>Apply</v>
      </c>
      <c r="C1823" s="10" t="s">
        <v>484</v>
      </c>
      <c r="D1823" s="56" t="s">
        <v>3364</v>
      </c>
      <c r="E1823" s="10" t="s">
        <v>45</v>
      </c>
      <c r="F1823" s="10" t="s">
        <v>1274</v>
      </c>
      <c r="G1823" s="10" t="s">
        <v>2484</v>
      </c>
      <c r="H1823" s="10" t="s">
        <v>849</v>
      </c>
      <c r="I1823" s="10" t="s">
        <v>55</v>
      </c>
      <c r="K1823" s="10" t="s">
        <v>6103</v>
      </c>
      <c r="L1823" s="10" t="s">
        <v>42</v>
      </c>
    </row>
    <row r="1824" ht="15.75" customHeight="1">
      <c r="A1824" s="64">
        <v>45487.0</v>
      </c>
      <c r="B1824" s="55" t="str">
        <f>HYPERLINK("https://jobright.ai/jobs/info/666affe102826848dc7faf05?utm_campaign=1062&amp;utm_source=sheet", "Apply")</f>
        <v>Apply</v>
      </c>
      <c r="C1824" s="10" t="s">
        <v>6104</v>
      </c>
      <c r="D1824" s="56" t="s">
        <v>5825</v>
      </c>
      <c r="E1824" s="10" t="s">
        <v>249</v>
      </c>
      <c r="F1824" s="10" t="s">
        <v>5826</v>
      </c>
      <c r="G1824" s="10" t="s">
        <v>2807</v>
      </c>
      <c r="H1824" s="10" t="s">
        <v>2759</v>
      </c>
      <c r="I1824" s="10" t="s">
        <v>55</v>
      </c>
      <c r="J1824" s="10" t="s">
        <v>5827</v>
      </c>
      <c r="K1824" s="10" t="s">
        <v>6105</v>
      </c>
      <c r="L1824" s="10" t="s">
        <v>42</v>
      </c>
    </row>
    <row r="1825" ht="15.75" customHeight="1">
      <c r="A1825" s="64">
        <v>45487.0</v>
      </c>
      <c r="B1825" s="55" t="str">
        <f>HYPERLINK("https://jobright.ai/jobs/info/65e89bae6e7169c33064ee51?utm_campaign=1062&amp;utm_source=sheet", "Apply")</f>
        <v>Apply</v>
      </c>
      <c r="C1825" s="10" t="s">
        <v>6106</v>
      </c>
      <c r="D1825" s="56" t="s">
        <v>4399</v>
      </c>
      <c r="E1825" s="10" t="s">
        <v>45</v>
      </c>
      <c r="F1825" s="10" t="s">
        <v>660</v>
      </c>
      <c r="G1825" s="10" t="s">
        <v>2437</v>
      </c>
      <c r="H1825" s="10" t="s">
        <v>117</v>
      </c>
      <c r="I1825" s="10" t="s">
        <v>55</v>
      </c>
      <c r="J1825" s="10" t="s">
        <v>4400</v>
      </c>
      <c r="K1825" s="10" t="s">
        <v>6107</v>
      </c>
      <c r="L1825" s="10" t="s">
        <v>42</v>
      </c>
    </row>
    <row r="1826" ht="15.75" customHeight="1">
      <c r="A1826" s="64">
        <v>45487.0</v>
      </c>
      <c r="B1826" s="55" t="str">
        <f>HYPERLINK("https://jobright.ai/jobs/info/6676d49b1d12b08259382a2a?utm_campaign=1062&amp;utm_source=sheet", "Apply")</f>
        <v>Apply</v>
      </c>
      <c r="C1826" s="10" t="s">
        <v>1716</v>
      </c>
      <c r="D1826" s="56" t="s">
        <v>6108</v>
      </c>
      <c r="E1826" s="10" t="s">
        <v>45</v>
      </c>
      <c r="F1826" s="10" t="s">
        <v>1695</v>
      </c>
      <c r="G1826" s="10" t="s">
        <v>2443</v>
      </c>
      <c r="H1826" s="10" t="s">
        <v>966</v>
      </c>
      <c r="I1826" s="10" t="s">
        <v>48</v>
      </c>
      <c r="K1826" s="10" t="s">
        <v>6109</v>
      </c>
      <c r="L1826" s="10" t="s">
        <v>42</v>
      </c>
    </row>
    <row r="1827" ht="15.75" customHeight="1">
      <c r="A1827" s="64">
        <v>45487.0</v>
      </c>
      <c r="B1827" s="55" t="str">
        <f>HYPERLINK("https://jobright.ai/jobs/info/66420463385e583079b25b0f?utm_campaign=1062&amp;utm_source=sheet", "Apply")</f>
        <v>Apply</v>
      </c>
      <c r="C1827" s="10" t="s">
        <v>2921</v>
      </c>
      <c r="D1827" s="56" t="s">
        <v>2037</v>
      </c>
      <c r="E1827" s="10">
        <v>13693.0</v>
      </c>
      <c r="G1827" s="10" t="s">
        <v>2448</v>
      </c>
      <c r="H1827" s="10" t="s">
        <v>139</v>
      </c>
      <c r="I1827" s="10" t="s">
        <v>55</v>
      </c>
      <c r="K1827" s="10" t="s">
        <v>6110</v>
      </c>
      <c r="L1827" s="10" t="s">
        <v>42</v>
      </c>
    </row>
    <row r="1828" ht="15.75" customHeight="1">
      <c r="A1828" s="64">
        <v>45487.0</v>
      </c>
      <c r="B1828" s="55" t="str">
        <f>HYPERLINK("https://jobright.ai/jobs/info/66749a1ce2555414447e6ccc?utm_campaign=1062&amp;utm_source=sheet", "Apply")</f>
        <v>Apply</v>
      </c>
      <c r="C1828" s="10" t="s">
        <v>2701</v>
      </c>
      <c r="D1828" s="56" t="s">
        <v>2702</v>
      </c>
      <c r="E1828" s="10" t="s">
        <v>45</v>
      </c>
      <c r="F1828" s="10" t="s">
        <v>2703</v>
      </c>
      <c r="G1828" s="10" t="s">
        <v>2448</v>
      </c>
      <c r="H1828" s="10" t="s">
        <v>96</v>
      </c>
      <c r="I1828" s="10" t="s">
        <v>55</v>
      </c>
      <c r="J1828" s="10" t="s">
        <v>2704</v>
      </c>
      <c r="K1828" s="10" t="s">
        <v>2705</v>
      </c>
      <c r="L1828" s="10" t="s">
        <v>42</v>
      </c>
    </row>
    <row r="1829" ht="15.75" customHeight="1">
      <c r="A1829" s="64">
        <v>45487.0</v>
      </c>
      <c r="B1829" s="55" t="str">
        <f>HYPERLINK("https://jobright.ai/jobs/info/6693b23c4a877f3af7e0f11d?utm_campaign=1062&amp;utm_source=sheet", "Apply")</f>
        <v>Apply</v>
      </c>
      <c r="C1829" s="10" t="s">
        <v>6111</v>
      </c>
      <c r="D1829" s="56" t="s">
        <v>5825</v>
      </c>
      <c r="E1829" s="10" t="s">
        <v>249</v>
      </c>
      <c r="F1829" s="10" t="s">
        <v>5826</v>
      </c>
      <c r="G1829" s="10" t="s">
        <v>2484</v>
      </c>
      <c r="H1829" s="10" t="s">
        <v>2759</v>
      </c>
      <c r="I1829" s="10" t="s">
        <v>55</v>
      </c>
      <c r="J1829" s="10" t="s">
        <v>5827</v>
      </c>
      <c r="K1829" s="10" t="s">
        <v>6112</v>
      </c>
      <c r="L1829" s="10" t="s">
        <v>42</v>
      </c>
    </row>
    <row r="1830" ht="15.75" customHeight="1">
      <c r="A1830" s="64">
        <v>45487.0</v>
      </c>
      <c r="B1830" s="55" t="str">
        <f>HYPERLINK("https://jobright.ai/jobs/info/6524b87c208abefd3344ab68?utm_campaign=1062&amp;utm_source=sheet", "Apply")</f>
        <v>Apply</v>
      </c>
      <c r="C1830" s="10" t="s">
        <v>6113</v>
      </c>
      <c r="D1830" s="56" t="s">
        <v>6114</v>
      </c>
      <c r="E1830" s="10" t="s">
        <v>209</v>
      </c>
      <c r="F1830" s="10" t="s">
        <v>615</v>
      </c>
      <c r="G1830" s="10" t="s">
        <v>2437</v>
      </c>
      <c r="H1830" s="10" t="s">
        <v>6115</v>
      </c>
      <c r="I1830" s="10" t="s">
        <v>55</v>
      </c>
      <c r="J1830" s="10" t="s">
        <v>1244</v>
      </c>
      <c r="K1830" s="10" t="s">
        <v>6116</v>
      </c>
      <c r="L1830" s="10" t="s">
        <v>42</v>
      </c>
    </row>
    <row r="1831" ht="15.75" customHeight="1">
      <c r="A1831" s="64">
        <v>45487.0</v>
      </c>
      <c r="B1831" s="55" t="str">
        <f>HYPERLINK("https://jobright.ai/jobs/info/6676d8404ffdc62f7b679544?utm_campaign=1062&amp;utm_source=sheet", "Apply")</f>
        <v>Apply</v>
      </c>
      <c r="C1831" s="10" t="s">
        <v>6117</v>
      </c>
      <c r="D1831" s="56" t="s">
        <v>5975</v>
      </c>
      <c r="E1831" s="10">
        <v>882.0</v>
      </c>
      <c r="G1831" s="10" t="s">
        <v>2464</v>
      </c>
      <c r="H1831" s="10" t="s">
        <v>809</v>
      </c>
      <c r="I1831" s="10" t="s">
        <v>55</v>
      </c>
      <c r="K1831" s="10" t="s">
        <v>6118</v>
      </c>
      <c r="L1831" s="10" t="s">
        <v>42</v>
      </c>
    </row>
    <row r="1832" ht="15.75" customHeight="1">
      <c r="A1832" s="64">
        <v>45487.0</v>
      </c>
      <c r="B1832" s="55" t="str">
        <f>HYPERLINK("https://jobright.ai/jobs/info/667633c4e272243dcd4f6503?utm_campaign=1062&amp;utm_source=sheet", "Apply")</f>
        <v>Apply</v>
      </c>
      <c r="C1832" s="10" t="s">
        <v>5199</v>
      </c>
      <c r="D1832" s="56" t="s">
        <v>5636</v>
      </c>
      <c r="E1832" s="10" t="s">
        <v>45</v>
      </c>
      <c r="F1832" s="10" t="s">
        <v>5637</v>
      </c>
      <c r="G1832" s="10" t="s">
        <v>2448</v>
      </c>
      <c r="H1832" s="10" t="s">
        <v>159</v>
      </c>
      <c r="I1832" s="10" t="s">
        <v>55</v>
      </c>
      <c r="K1832" s="10" t="s">
        <v>5638</v>
      </c>
      <c r="L1832" s="10" t="s">
        <v>42</v>
      </c>
    </row>
    <row r="1833" ht="15.75" customHeight="1">
      <c r="A1833" s="64">
        <v>45487.0</v>
      </c>
      <c r="B1833" s="55" t="str">
        <f>HYPERLINK("https://jobright.ai/jobs/info/6676ff892798d14ba8f6212e?utm_campaign=1062&amp;utm_source=sheet", "Apply")</f>
        <v>Apply</v>
      </c>
      <c r="C1833" s="10" t="s">
        <v>6119</v>
      </c>
      <c r="D1833" s="56" t="s">
        <v>5929</v>
      </c>
      <c r="E1833" s="10" t="s">
        <v>65</v>
      </c>
      <c r="F1833" s="10" t="s">
        <v>5930</v>
      </c>
      <c r="G1833" s="10" t="s">
        <v>2443</v>
      </c>
      <c r="H1833" s="10" t="s">
        <v>848</v>
      </c>
      <c r="I1833" s="10" t="s">
        <v>55</v>
      </c>
      <c r="K1833" s="10" t="s">
        <v>6120</v>
      </c>
      <c r="L1833" s="10" t="s">
        <v>42</v>
      </c>
    </row>
    <row r="1834" ht="15.75" customHeight="1">
      <c r="A1834" s="64">
        <v>45487.0</v>
      </c>
      <c r="B1834" s="55" t="str">
        <f>HYPERLINK("https://jobright.ai/jobs/info/65bafd6e1f902df9f9a0713a?utm_campaign=1062&amp;utm_source=sheet", "Apply")</f>
        <v>Apply</v>
      </c>
      <c r="C1834" s="10" t="s">
        <v>5972</v>
      </c>
      <c r="D1834" s="56" t="s">
        <v>2763</v>
      </c>
      <c r="E1834" s="10" t="s">
        <v>45</v>
      </c>
      <c r="F1834" s="10" t="s">
        <v>1465</v>
      </c>
      <c r="G1834" s="10" t="s">
        <v>2470</v>
      </c>
      <c r="H1834" s="10" t="s">
        <v>4076</v>
      </c>
      <c r="I1834" s="10" t="s">
        <v>55</v>
      </c>
      <c r="J1834" s="10" t="s">
        <v>5984</v>
      </c>
      <c r="K1834" s="10" t="s">
        <v>2765</v>
      </c>
      <c r="L1834" s="10" t="s">
        <v>42</v>
      </c>
    </row>
    <row r="1835" ht="15.75" customHeight="1">
      <c r="A1835" s="64">
        <v>45487.0</v>
      </c>
      <c r="B1835" s="55" t="str">
        <f>HYPERLINK("https://jobright.ai/jobs/info/667601c9f1b86992c364680e?utm_campaign=1062&amp;utm_source=sheet", "Apply")</f>
        <v>Apply</v>
      </c>
      <c r="C1835" s="10" t="s">
        <v>6121</v>
      </c>
      <c r="D1835" s="56" t="s">
        <v>1073</v>
      </c>
      <c r="E1835" s="10" t="s">
        <v>45</v>
      </c>
      <c r="F1835" s="10" t="s">
        <v>1074</v>
      </c>
      <c r="G1835" s="10" t="s">
        <v>2476</v>
      </c>
      <c r="H1835" s="10" t="s">
        <v>201</v>
      </c>
      <c r="I1835" s="10" t="s">
        <v>48</v>
      </c>
      <c r="J1835" s="10" t="s">
        <v>6122</v>
      </c>
      <c r="K1835" s="10" t="s">
        <v>6123</v>
      </c>
      <c r="L1835" s="10" t="s">
        <v>42</v>
      </c>
    </row>
    <row r="1836" ht="15.75" customHeight="1">
      <c r="A1836" s="64">
        <v>45487.0</v>
      </c>
      <c r="B1836" s="55" t="str">
        <f>HYPERLINK("https://jobright.ai/jobs/info/6693b195c9d6c9b2a3c32925?utm_campaign=1062&amp;utm_source=sheet", "Apply")</f>
        <v>Apply</v>
      </c>
      <c r="C1836" s="10" t="s">
        <v>5937</v>
      </c>
      <c r="D1836" s="56" t="s">
        <v>2763</v>
      </c>
      <c r="E1836" s="10" t="s">
        <v>45</v>
      </c>
      <c r="F1836" s="10" t="s">
        <v>1465</v>
      </c>
      <c r="G1836" s="10" t="s">
        <v>2484</v>
      </c>
      <c r="H1836" s="10" t="s">
        <v>6124</v>
      </c>
      <c r="I1836" s="10" t="s">
        <v>55</v>
      </c>
      <c r="J1836" s="10" t="s">
        <v>5938</v>
      </c>
      <c r="K1836" s="10" t="s">
        <v>5939</v>
      </c>
      <c r="L1836" s="10" t="s">
        <v>42</v>
      </c>
    </row>
    <row r="1837" ht="15.75" customHeight="1">
      <c r="A1837" s="64">
        <v>45487.0</v>
      </c>
      <c r="B1837" s="55" t="str">
        <f>HYPERLINK("https://jobright.ai/jobs/info/6675f3712617111d53a44665?utm_campaign=1062&amp;utm_source=sheet", "Apply")</f>
        <v>Apply</v>
      </c>
      <c r="C1837" s="10" t="s">
        <v>5905</v>
      </c>
      <c r="D1837" s="56" t="s">
        <v>5906</v>
      </c>
      <c r="E1837" s="10" t="s">
        <v>65</v>
      </c>
      <c r="F1837" s="10" t="s">
        <v>5907</v>
      </c>
      <c r="G1837" s="10" t="s">
        <v>2470</v>
      </c>
      <c r="H1837" s="10" t="s">
        <v>6125</v>
      </c>
      <c r="I1837" s="10" t="s">
        <v>55</v>
      </c>
      <c r="K1837" s="10" t="s">
        <v>5909</v>
      </c>
      <c r="L1837" s="10" t="s">
        <v>42</v>
      </c>
    </row>
    <row r="1838" ht="15.75" customHeight="1">
      <c r="A1838" s="64">
        <v>45487.0</v>
      </c>
      <c r="B1838" s="55" t="str">
        <f>HYPERLINK("https://jobright.ai/jobs/info/6693b26d4a877f3af7e0f61e?utm_campaign=1062&amp;utm_source=sheet", "Apply")</f>
        <v>Apply</v>
      </c>
      <c r="C1838" s="10" t="s">
        <v>6126</v>
      </c>
      <c r="D1838" s="56" t="s">
        <v>3297</v>
      </c>
      <c r="E1838" s="10">
        <v>16521.0</v>
      </c>
      <c r="G1838" s="10" t="s">
        <v>2443</v>
      </c>
      <c r="H1838" s="10" t="s">
        <v>113</v>
      </c>
      <c r="I1838" s="10" t="s">
        <v>55</v>
      </c>
      <c r="K1838" s="10" t="s">
        <v>6127</v>
      </c>
      <c r="L1838" s="10" t="s">
        <v>42</v>
      </c>
    </row>
    <row r="1839" ht="15.75" customHeight="1">
      <c r="A1839" s="64">
        <v>45487.0</v>
      </c>
      <c r="B1839" s="55" t="str">
        <f>HYPERLINK("https://jobright.ai/jobs/info/6676d8934ffdc62f7b679ae1?utm_campaign=1062&amp;utm_source=sheet", "Apply")</f>
        <v>Apply</v>
      </c>
      <c r="C1839" s="10" t="s">
        <v>6128</v>
      </c>
      <c r="D1839" s="56" t="s">
        <v>6129</v>
      </c>
      <c r="E1839" s="10" t="s">
        <v>45</v>
      </c>
      <c r="F1839" s="10" t="s">
        <v>6130</v>
      </c>
      <c r="G1839" s="10" t="s">
        <v>2464</v>
      </c>
      <c r="H1839" s="10" t="s">
        <v>6131</v>
      </c>
      <c r="I1839" s="10" t="s">
        <v>55</v>
      </c>
      <c r="K1839" s="10" t="s">
        <v>6132</v>
      </c>
      <c r="L1839" s="10" t="s">
        <v>42</v>
      </c>
    </row>
    <row r="1840" ht="15.75" customHeight="1">
      <c r="A1840" s="64">
        <v>45487.0</v>
      </c>
      <c r="B1840" s="55" t="str">
        <f>HYPERLINK("https://jobright.ai/jobs/info/65ec5b85848aca2713fce7bd?utm_campaign=1062&amp;utm_source=sheet", "Apply")</f>
        <v>Apply</v>
      </c>
      <c r="C1840" s="10" t="s">
        <v>3303</v>
      </c>
      <c r="D1840" s="56" t="s">
        <v>2763</v>
      </c>
      <c r="E1840" s="10" t="s">
        <v>45</v>
      </c>
      <c r="F1840" s="10" t="s">
        <v>1465</v>
      </c>
      <c r="G1840" s="10" t="s">
        <v>2437</v>
      </c>
      <c r="H1840" s="10" t="s">
        <v>816</v>
      </c>
      <c r="I1840" s="10" t="s">
        <v>55</v>
      </c>
      <c r="K1840" s="10" t="s">
        <v>3305</v>
      </c>
      <c r="L1840" s="10" t="s">
        <v>42</v>
      </c>
    </row>
    <row r="1841" ht="15.75" customHeight="1">
      <c r="A1841" s="64">
        <v>45487.0</v>
      </c>
      <c r="B1841" s="55" t="str">
        <f>HYPERLINK("https://jobright.ai/jobs/info/664e2083b45b688e7b70fd95?utm_campaign=1062&amp;utm_source=sheet", "Apply")</f>
        <v>Apply</v>
      </c>
      <c r="C1841" s="10" t="s">
        <v>6133</v>
      </c>
      <c r="D1841" s="56" t="s">
        <v>2869</v>
      </c>
      <c r="E1841" s="10" t="s">
        <v>45</v>
      </c>
      <c r="F1841" s="10" t="s">
        <v>2870</v>
      </c>
      <c r="G1841" s="10" t="s">
        <v>2437</v>
      </c>
      <c r="H1841" s="10" t="s">
        <v>174</v>
      </c>
      <c r="I1841" s="10" t="s">
        <v>55</v>
      </c>
      <c r="K1841" s="10" t="s">
        <v>2871</v>
      </c>
      <c r="L1841" s="10" t="s">
        <v>42</v>
      </c>
    </row>
    <row r="1842" ht="15.75" customHeight="1">
      <c r="A1842" s="64">
        <v>45487.0</v>
      </c>
      <c r="B1842" s="55" t="str">
        <f>HYPERLINK("https://jobright.ai/jobs/info/6679553d39ca2f81c437040e?utm_campaign=1062&amp;utm_source=sheet", "Apply")</f>
        <v>Apply</v>
      </c>
      <c r="C1842" s="10" t="s">
        <v>3044</v>
      </c>
      <c r="D1842" s="56" t="s">
        <v>2631</v>
      </c>
      <c r="E1842" s="10" t="s">
        <v>209</v>
      </c>
      <c r="F1842" s="10" t="s">
        <v>2632</v>
      </c>
      <c r="G1842" s="10" t="s">
        <v>2464</v>
      </c>
      <c r="H1842" s="10" t="s">
        <v>965</v>
      </c>
      <c r="I1842" s="10" t="s">
        <v>55</v>
      </c>
      <c r="K1842" s="10" t="s">
        <v>3045</v>
      </c>
      <c r="L1842" s="10" t="s">
        <v>42</v>
      </c>
    </row>
    <row r="1843" ht="15.75" customHeight="1">
      <c r="A1843" s="64">
        <v>45487.0</v>
      </c>
      <c r="B1843" s="55" t="str">
        <f>HYPERLINK("https://jobright.ai/jobs/info/667627a774a49bf8010a1899?utm_campaign=1062&amp;utm_source=sheet", "Apply")</f>
        <v>Apply</v>
      </c>
      <c r="C1843" s="10" t="s">
        <v>6134</v>
      </c>
      <c r="D1843" s="56" t="s">
        <v>2298</v>
      </c>
      <c r="E1843" s="10" t="s">
        <v>65</v>
      </c>
      <c r="F1843" s="10" t="s">
        <v>1274</v>
      </c>
      <c r="G1843" s="10" t="s">
        <v>2484</v>
      </c>
      <c r="H1843" s="10" t="s">
        <v>1032</v>
      </c>
      <c r="I1843" s="10" t="s">
        <v>55</v>
      </c>
      <c r="K1843" s="10" t="s">
        <v>6135</v>
      </c>
      <c r="L1843" s="10" t="s">
        <v>42</v>
      </c>
    </row>
    <row r="1844" ht="15.75" customHeight="1">
      <c r="A1844" s="64">
        <v>45487.0</v>
      </c>
      <c r="B1844" s="55" t="str">
        <f>HYPERLINK("https://jobright.ai/jobs/info/6676bc129b9f24e2dbdca91f?utm_campaign=1062&amp;utm_source=sheet", "Apply")</f>
        <v>Apply</v>
      </c>
      <c r="C1844" s="10" t="s">
        <v>6136</v>
      </c>
      <c r="D1844" s="56" t="s">
        <v>2925</v>
      </c>
      <c r="E1844" s="10" t="s">
        <v>45</v>
      </c>
      <c r="F1844" s="10" t="s">
        <v>2926</v>
      </c>
      <c r="G1844" s="10" t="s">
        <v>2443</v>
      </c>
      <c r="H1844" s="10" t="s">
        <v>2996</v>
      </c>
      <c r="I1844" s="10" t="s">
        <v>48</v>
      </c>
      <c r="K1844" s="10" t="s">
        <v>4518</v>
      </c>
      <c r="L1844" s="10" t="s">
        <v>42</v>
      </c>
    </row>
    <row r="1845" ht="15.75" customHeight="1">
      <c r="A1845" s="64">
        <v>45487.0</v>
      </c>
      <c r="B1845" s="55" t="str">
        <f>HYPERLINK("https://jobright.ai/jobs/info/6675fd209592a403f10719a5?utm_campaign=1062&amp;utm_source=sheet", "Apply")</f>
        <v>Apply</v>
      </c>
      <c r="C1845" s="10" t="s">
        <v>6137</v>
      </c>
      <c r="D1845" s="56" t="s">
        <v>6138</v>
      </c>
      <c r="E1845" s="10" t="s">
        <v>65</v>
      </c>
      <c r="F1845" s="10" t="s">
        <v>6139</v>
      </c>
      <c r="G1845" s="10" t="s">
        <v>2470</v>
      </c>
      <c r="H1845" s="10" t="s">
        <v>6140</v>
      </c>
      <c r="I1845" s="10" t="s">
        <v>55</v>
      </c>
      <c r="J1845" s="10" t="s">
        <v>581</v>
      </c>
      <c r="K1845" s="10" t="s">
        <v>6141</v>
      </c>
      <c r="L1845" s="10" t="s">
        <v>42</v>
      </c>
    </row>
    <row r="1846" ht="15.75" customHeight="1">
      <c r="A1846" s="64">
        <v>45487.0</v>
      </c>
      <c r="B1846" s="55" t="str">
        <f>HYPERLINK("https://jobright.ai/jobs/info/6693b2434a877f3af7e0f18a?utm_campaign=1062&amp;utm_source=sheet", "Apply")</f>
        <v>Apply</v>
      </c>
      <c r="C1846" s="10" t="s">
        <v>6142</v>
      </c>
      <c r="D1846" s="56" t="s">
        <v>5283</v>
      </c>
      <c r="E1846" s="10" t="s">
        <v>209</v>
      </c>
      <c r="F1846" s="10" t="s">
        <v>620</v>
      </c>
      <c r="G1846" s="10" t="s">
        <v>2807</v>
      </c>
      <c r="H1846" s="10" t="s">
        <v>6014</v>
      </c>
      <c r="I1846" s="10" t="s">
        <v>48</v>
      </c>
      <c r="K1846" s="10" t="s">
        <v>6143</v>
      </c>
      <c r="L1846" s="10" t="s">
        <v>42</v>
      </c>
    </row>
    <row r="1847" ht="15.75" customHeight="1">
      <c r="A1847" s="64">
        <v>45487.0</v>
      </c>
      <c r="B1847" s="55" t="str">
        <f>HYPERLINK("https://jobright.ai/jobs/info/6693b9531c47153b9abc8eea?utm_campaign=1062&amp;utm_source=sheet", "Apply")</f>
        <v>Apply</v>
      </c>
      <c r="C1847" s="10" t="s">
        <v>3389</v>
      </c>
      <c r="D1847" s="56" t="s">
        <v>3390</v>
      </c>
      <c r="E1847" s="10" t="s">
        <v>65</v>
      </c>
      <c r="F1847" s="10" t="s">
        <v>2588</v>
      </c>
      <c r="G1847" s="10" t="s">
        <v>2484</v>
      </c>
      <c r="H1847" s="10" t="s">
        <v>153</v>
      </c>
      <c r="I1847" s="10" t="s">
        <v>55</v>
      </c>
      <c r="K1847" s="10" t="s">
        <v>3391</v>
      </c>
      <c r="L1847" s="10" t="s">
        <v>42</v>
      </c>
    </row>
    <row r="1848" ht="15.75" customHeight="1">
      <c r="A1848" s="64">
        <v>45487.0</v>
      </c>
      <c r="B1848" s="55" t="str">
        <f>HYPERLINK("https://jobright.ai/jobs/info/6676b3dea2f49d4e236dcb9e?utm_campaign=1062&amp;utm_source=sheet", "Apply")</f>
        <v>Apply</v>
      </c>
      <c r="C1848" s="10" t="s">
        <v>6144</v>
      </c>
      <c r="D1848" s="56" t="s">
        <v>6033</v>
      </c>
      <c r="E1848" s="10" t="s">
        <v>45</v>
      </c>
      <c r="F1848" s="10" t="s">
        <v>1202</v>
      </c>
      <c r="G1848" s="10" t="s">
        <v>2605</v>
      </c>
      <c r="H1848" s="10" t="s">
        <v>332</v>
      </c>
      <c r="I1848" s="10" t="s">
        <v>55</v>
      </c>
      <c r="K1848" s="10" t="s">
        <v>6034</v>
      </c>
      <c r="L1848" s="10" t="s">
        <v>42</v>
      </c>
    </row>
    <row r="1849" ht="15.75" customHeight="1">
      <c r="A1849" s="64">
        <v>45487.0</v>
      </c>
      <c r="B1849" s="55" t="str">
        <f>HYPERLINK("https://jobright.ai/jobs/info/65eca305c3a970cd2bfaa336?utm_campaign=1062&amp;utm_source=sheet", "Apply")</f>
        <v>Apply</v>
      </c>
      <c r="C1849" s="10" t="s">
        <v>3303</v>
      </c>
      <c r="D1849" s="56" t="s">
        <v>2763</v>
      </c>
      <c r="E1849" s="10" t="s">
        <v>45</v>
      </c>
      <c r="F1849" s="10" t="s">
        <v>1465</v>
      </c>
      <c r="G1849" s="10" t="s">
        <v>2437</v>
      </c>
      <c r="H1849" s="10" t="s">
        <v>165</v>
      </c>
      <c r="I1849" s="10" t="s">
        <v>55</v>
      </c>
      <c r="K1849" s="10" t="s">
        <v>3305</v>
      </c>
      <c r="L1849" s="10" t="s">
        <v>42</v>
      </c>
    </row>
    <row r="1850" ht="15.75" customHeight="1">
      <c r="A1850" s="64">
        <v>45487.0</v>
      </c>
      <c r="B1850" s="55" t="str">
        <f>HYPERLINK("https://jobright.ai/jobs/info/6693aa9169ff1fd58ac5d5ff?utm_campaign=1062&amp;utm_source=sheet", "Apply")</f>
        <v>Apply</v>
      </c>
      <c r="C1850" s="10" t="s">
        <v>6145</v>
      </c>
      <c r="D1850" s="56" t="s">
        <v>3297</v>
      </c>
      <c r="E1850" s="10">
        <v>16521.0</v>
      </c>
      <c r="G1850" s="10" t="s">
        <v>2484</v>
      </c>
      <c r="H1850" s="10" t="s">
        <v>113</v>
      </c>
      <c r="I1850" s="10" t="s">
        <v>55</v>
      </c>
      <c r="K1850" s="10" t="s">
        <v>6146</v>
      </c>
      <c r="L1850" s="10" t="s">
        <v>42</v>
      </c>
    </row>
    <row r="1851" ht="15.75" customHeight="1">
      <c r="A1851" s="64">
        <v>45487.0</v>
      </c>
      <c r="B1851" s="55" t="str">
        <f>HYPERLINK("https://jobright.ai/jobs/info/65444e4c22cc0c8d7cdc13b7?utm_campaign=1062&amp;utm_source=sheet", "Apply")</f>
        <v>Apply</v>
      </c>
      <c r="C1851" s="10" t="s">
        <v>3336</v>
      </c>
      <c r="D1851" s="56" t="s">
        <v>3337</v>
      </c>
      <c r="E1851" s="10" t="s">
        <v>209</v>
      </c>
      <c r="F1851" s="10" t="s">
        <v>2828</v>
      </c>
      <c r="G1851" s="10" t="s">
        <v>2464</v>
      </c>
      <c r="H1851" s="10" t="s">
        <v>6147</v>
      </c>
      <c r="I1851" s="10" t="s">
        <v>55</v>
      </c>
      <c r="J1851" s="10" t="s">
        <v>3339</v>
      </c>
      <c r="K1851" s="10" t="s">
        <v>6148</v>
      </c>
      <c r="L1851" s="10" t="s">
        <v>42</v>
      </c>
    </row>
    <row r="1852" ht="15.75" customHeight="1">
      <c r="A1852" s="64">
        <v>45487.0</v>
      </c>
      <c r="B1852" s="55" t="str">
        <f>HYPERLINK("https://jobright.ai/jobs/info/6676cf49131cc9dd67df2f02?utm_campaign=1062&amp;utm_source=sheet", "Apply")</f>
        <v>Apply</v>
      </c>
      <c r="C1852" s="10" t="s">
        <v>2848</v>
      </c>
      <c r="D1852" s="56" t="s">
        <v>2849</v>
      </c>
      <c r="E1852" s="10" t="s">
        <v>65</v>
      </c>
      <c r="F1852" s="10" t="s">
        <v>2850</v>
      </c>
      <c r="G1852" s="10" t="s">
        <v>2470</v>
      </c>
      <c r="H1852" s="10" t="s">
        <v>73</v>
      </c>
      <c r="I1852" s="10" t="s">
        <v>55</v>
      </c>
      <c r="K1852" s="10" t="s">
        <v>6149</v>
      </c>
      <c r="L1852" s="10" t="s">
        <v>42</v>
      </c>
    </row>
    <row r="1853" ht="15.75" customHeight="1">
      <c r="A1853" s="64">
        <v>45487.0</v>
      </c>
      <c r="B1853" s="55" t="str">
        <f>HYPERLINK("https://jobright.ai/jobs/info/661ecf43fd0e5a8e06b1de40?utm_campaign=1062&amp;utm_source=sheet", "Apply")</f>
        <v>Apply</v>
      </c>
      <c r="C1853" s="10" t="s">
        <v>3315</v>
      </c>
      <c r="D1853" s="56" t="s">
        <v>3316</v>
      </c>
      <c r="E1853" s="10" t="s">
        <v>45</v>
      </c>
      <c r="F1853" s="10" t="s">
        <v>1790</v>
      </c>
      <c r="G1853" s="10" t="s">
        <v>2579</v>
      </c>
      <c r="H1853" s="10" t="s">
        <v>6150</v>
      </c>
      <c r="I1853" s="10" t="s">
        <v>55</v>
      </c>
      <c r="J1853" s="10" t="s">
        <v>6151</v>
      </c>
      <c r="K1853" s="10" t="s">
        <v>6152</v>
      </c>
      <c r="L1853" s="10" t="s">
        <v>42</v>
      </c>
    </row>
    <row r="1854" ht="15.75" customHeight="1">
      <c r="A1854" s="64">
        <v>45487.0</v>
      </c>
      <c r="B1854" s="55" t="str">
        <f>HYPERLINK("https://jobright.ai/jobs/info/6693a0db8428f8163b1f5cca?utm_campaign=1062&amp;utm_source=sheet", "Apply")</f>
        <v>Apply</v>
      </c>
      <c r="C1854" s="10" t="s">
        <v>6153</v>
      </c>
      <c r="D1854" s="56" t="s">
        <v>4399</v>
      </c>
      <c r="E1854" s="10" t="s">
        <v>45</v>
      </c>
      <c r="F1854" s="10" t="s">
        <v>660</v>
      </c>
      <c r="G1854" s="10" t="s">
        <v>2484</v>
      </c>
      <c r="H1854" s="10" t="s">
        <v>117</v>
      </c>
      <c r="I1854" s="10" t="s">
        <v>55</v>
      </c>
      <c r="J1854" s="10" t="s">
        <v>4400</v>
      </c>
      <c r="K1854" s="10" t="s">
        <v>6154</v>
      </c>
      <c r="L1854" s="10" t="s">
        <v>42</v>
      </c>
    </row>
    <row r="1855" ht="15.75" customHeight="1">
      <c r="A1855" s="64">
        <v>45487.0</v>
      </c>
      <c r="B1855" s="55" t="str">
        <f>HYPERLINK("https://jobright.ai/jobs/info/666c4553b3b6eb3a161cb68e?utm_campaign=1062&amp;utm_source=sheet", "Apply")</f>
        <v>Apply</v>
      </c>
      <c r="C1855" s="10" t="s">
        <v>6155</v>
      </c>
      <c r="D1855" s="56" t="s">
        <v>6156</v>
      </c>
      <c r="E1855" s="10" t="s">
        <v>249</v>
      </c>
      <c r="F1855" s="10" t="s">
        <v>568</v>
      </c>
      <c r="G1855" s="10" t="s">
        <v>2464</v>
      </c>
      <c r="H1855" s="10" t="s">
        <v>4283</v>
      </c>
      <c r="I1855" s="10" t="s">
        <v>55</v>
      </c>
      <c r="K1855" s="10" t="s">
        <v>6157</v>
      </c>
      <c r="L1855" s="10" t="s">
        <v>42</v>
      </c>
    </row>
    <row r="1856" ht="15.75" customHeight="1">
      <c r="A1856" s="64">
        <v>45487.0</v>
      </c>
      <c r="B1856" s="55" t="str">
        <f>HYPERLINK("https://jobright.ai/jobs/info/662901f7b99347fd601b4675?utm_campaign=1062&amp;utm_source=sheet", "Apply")</f>
        <v>Apply</v>
      </c>
      <c r="C1856" s="10" t="s">
        <v>6158</v>
      </c>
      <c r="D1856" s="56" t="s">
        <v>508</v>
      </c>
      <c r="E1856" s="10" t="s">
        <v>45</v>
      </c>
      <c r="F1856" s="10" t="s">
        <v>46</v>
      </c>
      <c r="G1856" s="10" t="s">
        <v>2455</v>
      </c>
      <c r="H1856" s="10" t="s">
        <v>5471</v>
      </c>
      <c r="I1856" s="10" t="s">
        <v>55</v>
      </c>
      <c r="J1856" s="10" t="s">
        <v>509</v>
      </c>
      <c r="K1856" s="10" t="s">
        <v>756</v>
      </c>
      <c r="L1856" s="10" t="s">
        <v>42</v>
      </c>
    </row>
    <row r="1857" ht="15.75" customHeight="1">
      <c r="A1857" s="64">
        <v>45487.0</v>
      </c>
      <c r="B1857" s="55" t="str">
        <f>HYPERLINK("https://jobright.ai/jobs/info/6658cee161791d2e01354279?utm_campaign=1062&amp;utm_source=sheet", "Apply")</f>
        <v>Apply</v>
      </c>
      <c r="C1857" s="10" t="s">
        <v>301</v>
      </c>
      <c r="D1857" s="56" t="s">
        <v>6159</v>
      </c>
      <c r="E1857" s="10" t="s">
        <v>65</v>
      </c>
      <c r="F1857" s="10" t="s">
        <v>6160</v>
      </c>
      <c r="G1857" s="10" t="s">
        <v>2470</v>
      </c>
      <c r="H1857" s="10" t="s">
        <v>6161</v>
      </c>
      <c r="I1857" s="10" t="s">
        <v>55</v>
      </c>
      <c r="J1857" s="10" t="s">
        <v>1984</v>
      </c>
      <c r="K1857" s="10" t="s">
        <v>6162</v>
      </c>
      <c r="L1857" s="10" t="s">
        <v>42</v>
      </c>
    </row>
    <row r="1858" ht="15.75" customHeight="1">
      <c r="A1858" s="64">
        <v>45487.0</v>
      </c>
      <c r="B1858" s="55" t="str">
        <f>HYPERLINK("https://jobright.ai/jobs/info/6676a986fdeefaeb92e85c60?utm_campaign=1062&amp;utm_source=sheet", "Apply")</f>
        <v>Apply</v>
      </c>
      <c r="C1858" s="10" t="s">
        <v>2725</v>
      </c>
      <c r="D1858" s="56" t="s">
        <v>2726</v>
      </c>
      <c r="E1858" s="10" t="s">
        <v>65</v>
      </c>
      <c r="F1858" s="10" t="s">
        <v>85</v>
      </c>
      <c r="G1858" s="10" t="s">
        <v>2464</v>
      </c>
      <c r="H1858" s="10" t="s">
        <v>442</v>
      </c>
      <c r="I1858" s="10" t="s">
        <v>48</v>
      </c>
      <c r="K1858" s="10" t="s">
        <v>4431</v>
      </c>
      <c r="L1858" s="10" t="s">
        <v>42</v>
      </c>
    </row>
    <row r="1859" ht="15.75" customHeight="1">
      <c r="A1859" s="64">
        <v>45487.0</v>
      </c>
      <c r="B1859" s="55" t="str">
        <f>HYPERLINK("https://jobright.ai/jobs/info/6679775022283fc0c733766b?utm_campaign=1062&amp;utm_source=sheet", "Apply")</f>
        <v>Apply</v>
      </c>
      <c r="C1859" s="10" t="s">
        <v>6163</v>
      </c>
      <c r="D1859" s="56" t="s">
        <v>208</v>
      </c>
      <c r="E1859" s="10" t="s">
        <v>209</v>
      </c>
      <c r="F1859" s="10" t="s">
        <v>210</v>
      </c>
      <c r="G1859" s="10" t="s">
        <v>2448</v>
      </c>
      <c r="H1859" s="10" t="s">
        <v>211</v>
      </c>
      <c r="I1859" s="10" t="s">
        <v>55</v>
      </c>
      <c r="K1859" s="10" t="s">
        <v>6164</v>
      </c>
      <c r="L1859" s="10" t="s">
        <v>42</v>
      </c>
    </row>
    <row r="1860" ht="15.75" customHeight="1">
      <c r="A1860" s="64">
        <v>45487.0</v>
      </c>
      <c r="B1860" s="55" t="str">
        <f>HYPERLINK("https://jobright.ai/jobs/info/65ddc2bce9c2dc7e397dfeb8?utm_campaign=1062&amp;utm_source=sheet", "Apply")</f>
        <v>Apply</v>
      </c>
      <c r="C1860" s="10" t="s">
        <v>2799</v>
      </c>
      <c r="D1860" s="56" t="s">
        <v>2800</v>
      </c>
      <c r="E1860" s="10" t="s">
        <v>45</v>
      </c>
      <c r="F1860" s="10" t="s">
        <v>2801</v>
      </c>
      <c r="G1860" s="10" t="s">
        <v>2495</v>
      </c>
      <c r="H1860" s="10" t="s">
        <v>3968</v>
      </c>
      <c r="I1860" s="10" t="s">
        <v>48</v>
      </c>
      <c r="K1860" s="10" t="s">
        <v>2803</v>
      </c>
      <c r="L1860" s="10" t="s">
        <v>42</v>
      </c>
    </row>
    <row r="1861" ht="15.75" customHeight="1">
      <c r="A1861" s="64">
        <v>45487.0</v>
      </c>
      <c r="B1861" s="55" t="str">
        <f>HYPERLINK("https://jobright.ai/jobs/info/66939fb8d1ac13ac068e3462?utm_campaign=1062&amp;utm_source=sheet", "Apply")</f>
        <v>Apply</v>
      </c>
      <c r="C1861" s="10" t="s">
        <v>6165</v>
      </c>
      <c r="D1861" s="56" t="s">
        <v>6166</v>
      </c>
      <c r="E1861" s="10" t="s">
        <v>45</v>
      </c>
      <c r="F1861" s="10" t="s">
        <v>6167</v>
      </c>
      <c r="G1861" s="10" t="s">
        <v>2484</v>
      </c>
      <c r="H1861" s="10" t="s">
        <v>6168</v>
      </c>
      <c r="I1861" s="10" t="s">
        <v>48</v>
      </c>
      <c r="K1861" s="10" t="s">
        <v>6169</v>
      </c>
      <c r="L1861" s="10" t="s">
        <v>42</v>
      </c>
    </row>
    <row r="1862" ht="15.75" customHeight="1">
      <c r="A1862" s="64">
        <v>45487.0</v>
      </c>
      <c r="B1862" s="55" t="str">
        <f>HYPERLINK("https://jobright.ai/jobs/info/665820e2fb0009309d6570f5?utm_campaign=1062&amp;utm_source=sheet", "Apply")</f>
        <v>Apply</v>
      </c>
      <c r="C1862" s="10" t="s">
        <v>6170</v>
      </c>
      <c r="D1862" s="56" t="s">
        <v>6171</v>
      </c>
      <c r="E1862" s="10" t="s">
        <v>209</v>
      </c>
      <c r="F1862" s="10" t="s">
        <v>6172</v>
      </c>
      <c r="G1862" s="10" t="s">
        <v>3005</v>
      </c>
      <c r="H1862" s="10" t="s">
        <v>994</v>
      </c>
      <c r="I1862" s="10" t="s">
        <v>55</v>
      </c>
      <c r="J1862" s="10" t="s">
        <v>6173</v>
      </c>
      <c r="K1862" s="10" t="s">
        <v>6174</v>
      </c>
      <c r="L1862" s="10" t="s">
        <v>42</v>
      </c>
    </row>
    <row r="1863" ht="15.75" customHeight="1">
      <c r="A1863" s="64">
        <v>45487.0</v>
      </c>
      <c r="B1863" s="55" t="str">
        <f>HYPERLINK("https://jobright.ai/jobs/info/6656a93be3111392a05a87c9?utm_campaign=1062&amp;utm_source=sheet", "Apply")</f>
        <v>Apply</v>
      </c>
      <c r="C1863" s="10" t="s">
        <v>6175</v>
      </c>
      <c r="D1863" s="56" t="s">
        <v>2925</v>
      </c>
      <c r="E1863" s="10" t="s">
        <v>45</v>
      </c>
      <c r="F1863" s="10" t="s">
        <v>2926</v>
      </c>
      <c r="G1863" s="10" t="s">
        <v>2448</v>
      </c>
      <c r="H1863" s="10" t="s">
        <v>807</v>
      </c>
      <c r="I1863" s="10" t="s">
        <v>55</v>
      </c>
      <c r="K1863" s="10" t="s">
        <v>6176</v>
      </c>
      <c r="L1863" s="10" t="s">
        <v>42</v>
      </c>
    </row>
    <row r="1864" ht="15.75" customHeight="1">
      <c r="A1864" s="64">
        <v>45487.0</v>
      </c>
      <c r="B1864" s="55" t="str">
        <f>HYPERLINK("https://jobright.ai/jobs/info/6669908fa16615009c3690fc?utm_campaign=1062&amp;utm_source=sheet", "Apply")</f>
        <v>Apply</v>
      </c>
      <c r="C1864" s="10" t="s">
        <v>5972</v>
      </c>
      <c r="D1864" s="56" t="s">
        <v>2763</v>
      </c>
      <c r="E1864" s="10" t="s">
        <v>45</v>
      </c>
      <c r="F1864" s="10" t="s">
        <v>1465</v>
      </c>
      <c r="G1864" s="10" t="s">
        <v>2470</v>
      </c>
      <c r="H1864" s="10" t="s">
        <v>434</v>
      </c>
      <c r="I1864" s="10" t="s">
        <v>55</v>
      </c>
      <c r="J1864" s="10" t="s">
        <v>2764</v>
      </c>
      <c r="K1864" s="10" t="s">
        <v>2832</v>
      </c>
      <c r="L1864" s="10" t="s">
        <v>42</v>
      </c>
    </row>
    <row r="1865" ht="15.75" customHeight="1">
      <c r="A1865" s="64">
        <v>45487.0</v>
      </c>
      <c r="B1865" s="55" t="str">
        <f>HYPERLINK("https://jobright.ai/jobs/info/66779732417c3aa48b86e91c?utm_campaign=1062&amp;utm_source=sheet", "Apply")</f>
        <v>Apply</v>
      </c>
      <c r="C1865" s="10" t="s">
        <v>6177</v>
      </c>
      <c r="D1865" s="56" t="s">
        <v>6178</v>
      </c>
      <c r="E1865" s="10" t="s">
        <v>45</v>
      </c>
      <c r="F1865" s="10" t="s">
        <v>665</v>
      </c>
      <c r="G1865" s="10" t="s">
        <v>2448</v>
      </c>
      <c r="H1865" s="10" t="s">
        <v>874</v>
      </c>
      <c r="I1865" s="10" t="s">
        <v>55</v>
      </c>
      <c r="K1865" s="10" t="s">
        <v>6179</v>
      </c>
      <c r="L1865" s="10" t="s">
        <v>42</v>
      </c>
    </row>
    <row r="1866" ht="15.75" customHeight="1">
      <c r="A1866" s="64">
        <v>45487.0</v>
      </c>
      <c r="B1866" s="55" t="str">
        <f>HYPERLINK("https://jobright.ai/jobs/info/6676c67e807f31af72077266?utm_campaign=1062&amp;utm_source=sheet", "Apply")</f>
        <v>Apply</v>
      </c>
      <c r="C1866" s="10" t="s">
        <v>2822</v>
      </c>
      <c r="D1866" s="56" t="s">
        <v>2823</v>
      </c>
      <c r="E1866" s="10" t="s">
        <v>45</v>
      </c>
      <c r="F1866" s="10" t="s">
        <v>2824</v>
      </c>
      <c r="G1866" s="10" t="s">
        <v>2605</v>
      </c>
      <c r="H1866" s="10" t="s">
        <v>6180</v>
      </c>
      <c r="I1866" s="10" t="s">
        <v>55</v>
      </c>
      <c r="K1866" s="10" t="s">
        <v>2825</v>
      </c>
      <c r="L1866" s="10" t="s">
        <v>42</v>
      </c>
    </row>
    <row r="1867" ht="15.75" customHeight="1">
      <c r="A1867" s="64">
        <v>45487.0</v>
      </c>
      <c r="B1867" s="55" t="str">
        <f>HYPERLINK("https://jobright.ai/jobs/info/664deff3cf7bdc8f73b3ccec?utm_campaign=1062&amp;utm_source=sheet", "Apply")</f>
        <v>Apply</v>
      </c>
      <c r="C1867" s="10" t="s">
        <v>6181</v>
      </c>
      <c r="D1867" s="56" t="s">
        <v>2856</v>
      </c>
      <c r="E1867" s="10" t="s">
        <v>209</v>
      </c>
      <c r="F1867" s="10" t="s">
        <v>2857</v>
      </c>
      <c r="G1867" s="10" t="s">
        <v>2470</v>
      </c>
      <c r="H1867" s="10" t="s">
        <v>2858</v>
      </c>
      <c r="I1867" s="10" t="s">
        <v>55</v>
      </c>
      <c r="K1867" s="10" t="s">
        <v>6182</v>
      </c>
      <c r="L1867" s="10" t="s">
        <v>42</v>
      </c>
    </row>
    <row r="1868" ht="15.75" customHeight="1">
      <c r="A1868" s="64">
        <v>45487.0</v>
      </c>
      <c r="B1868" s="55" t="str">
        <f>HYPERLINK("https://jobright.ai/jobs/info/6676cf61131cc9dd67df3037?utm_campaign=1062&amp;utm_source=sheet", "Apply")</f>
        <v>Apply</v>
      </c>
      <c r="C1868" s="10" t="s">
        <v>6183</v>
      </c>
      <c r="D1868" s="56" t="s">
        <v>2712</v>
      </c>
      <c r="E1868" s="10" t="s">
        <v>79</v>
      </c>
      <c r="F1868" s="10" t="s">
        <v>2713</v>
      </c>
      <c r="G1868" s="10" t="s">
        <v>2502</v>
      </c>
      <c r="H1868" s="10" t="s">
        <v>698</v>
      </c>
      <c r="I1868" s="10" t="s">
        <v>55</v>
      </c>
      <c r="J1868" s="10" t="s">
        <v>2714</v>
      </c>
      <c r="K1868" s="10" t="s">
        <v>6184</v>
      </c>
      <c r="L1868" s="10" t="s">
        <v>42</v>
      </c>
    </row>
    <row r="1869" ht="15.75" customHeight="1">
      <c r="A1869" s="64">
        <v>45487.0</v>
      </c>
      <c r="B1869" s="55" t="str">
        <f>HYPERLINK("https://jobright.ai/jobs/info/6676e01dc909276a3772d5d3?utm_campaign=1062&amp;utm_source=sheet", "Apply")</f>
        <v>Apply</v>
      </c>
      <c r="C1869" s="10" t="s">
        <v>6185</v>
      </c>
      <c r="D1869" s="56" t="s">
        <v>2712</v>
      </c>
      <c r="E1869" s="10" t="s">
        <v>79</v>
      </c>
      <c r="F1869" s="10" t="s">
        <v>2713</v>
      </c>
      <c r="G1869" s="10" t="s">
        <v>2502</v>
      </c>
      <c r="H1869" s="10" t="s">
        <v>698</v>
      </c>
      <c r="I1869" s="10" t="s">
        <v>55</v>
      </c>
      <c r="J1869" s="10" t="s">
        <v>2714</v>
      </c>
      <c r="K1869" s="10" t="s">
        <v>6186</v>
      </c>
      <c r="L1869" s="10" t="s">
        <v>42</v>
      </c>
    </row>
    <row r="1870" ht="15.75" customHeight="1">
      <c r="A1870" s="64">
        <v>45487.0</v>
      </c>
      <c r="B1870" s="55" t="str">
        <f>HYPERLINK("https://jobright.ai/jobs/info/6693b195c9d6c9b2a3c32944?utm_campaign=1062&amp;utm_source=sheet", "Apply")</f>
        <v>Apply</v>
      </c>
      <c r="C1870" s="10" t="s">
        <v>5937</v>
      </c>
      <c r="D1870" s="56" t="s">
        <v>2763</v>
      </c>
      <c r="E1870" s="10" t="s">
        <v>45</v>
      </c>
      <c r="F1870" s="10" t="s">
        <v>1465</v>
      </c>
      <c r="G1870" s="10" t="s">
        <v>2484</v>
      </c>
      <c r="H1870" s="10" t="s">
        <v>6187</v>
      </c>
      <c r="I1870" s="10" t="s">
        <v>55</v>
      </c>
      <c r="J1870" s="10" t="s">
        <v>5938</v>
      </c>
      <c r="K1870" s="10" t="s">
        <v>5939</v>
      </c>
      <c r="L1870" s="10" t="s">
        <v>42</v>
      </c>
    </row>
    <row r="1871" ht="15.75" customHeight="1">
      <c r="A1871" s="64">
        <v>45487.0</v>
      </c>
      <c r="B1871" s="55" t="str">
        <f>HYPERLINK("https://jobright.ai/jobs/info/65b45b485e1a6a34f900db58?utm_campaign=1062&amp;utm_source=sheet", "Apply")</f>
        <v>Apply</v>
      </c>
      <c r="C1871" s="10" t="s">
        <v>2762</v>
      </c>
      <c r="D1871" s="56" t="s">
        <v>2763</v>
      </c>
      <c r="E1871" s="10" t="s">
        <v>45</v>
      </c>
      <c r="F1871" s="10" t="s">
        <v>1465</v>
      </c>
      <c r="G1871" s="10" t="s">
        <v>2470</v>
      </c>
      <c r="H1871" s="10" t="s">
        <v>4076</v>
      </c>
      <c r="I1871" s="10" t="s">
        <v>55</v>
      </c>
      <c r="J1871" s="10" t="s">
        <v>2764</v>
      </c>
      <c r="K1871" s="10" t="s">
        <v>2832</v>
      </c>
      <c r="L1871" s="10" t="s">
        <v>42</v>
      </c>
    </row>
    <row r="1872" ht="15.75" customHeight="1">
      <c r="A1872" s="64">
        <v>45487.0</v>
      </c>
      <c r="B1872" s="55" t="str">
        <f>HYPERLINK("https://jobright.ai/jobs/info/6693b195c9d6c9b2a3c32946?utm_campaign=1062&amp;utm_source=sheet", "Apply")</f>
        <v>Apply</v>
      </c>
      <c r="C1872" s="10" t="s">
        <v>5937</v>
      </c>
      <c r="D1872" s="56" t="s">
        <v>2763</v>
      </c>
      <c r="E1872" s="10" t="s">
        <v>45</v>
      </c>
      <c r="F1872" s="10" t="s">
        <v>1465</v>
      </c>
      <c r="G1872" s="10" t="s">
        <v>2484</v>
      </c>
      <c r="H1872" s="10" t="s">
        <v>5897</v>
      </c>
      <c r="I1872" s="10" t="s">
        <v>55</v>
      </c>
      <c r="J1872" s="10" t="s">
        <v>5938</v>
      </c>
      <c r="K1872" s="10" t="s">
        <v>5939</v>
      </c>
      <c r="L1872" s="10" t="s">
        <v>42</v>
      </c>
    </row>
    <row r="1873" ht="15.75" customHeight="1">
      <c r="A1873" s="64">
        <v>45487.0</v>
      </c>
      <c r="B1873" s="55" t="str">
        <f>HYPERLINK("https://jobright.ai/jobs/info/66796ce53f452d31d55f8959?utm_campaign=1062&amp;utm_source=sheet", "Apply")</f>
        <v>Apply</v>
      </c>
      <c r="C1873" s="10" t="s">
        <v>5912</v>
      </c>
      <c r="D1873" s="56" t="s">
        <v>4392</v>
      </c>
      <c r="E1873" s="10" t="s">
        <v>45</v>
      </c>
      <c r="F1873" s="10" t="s">
        <v>4393</v>
      </c>
      <c r="G1873" s="10" t="s">
        <v>2502</v>
      </c>
      <c r="H1873" s="10" t="s">
        <v>251</v>
      </c>
      <c r="I1873" s="10" t="s">
        <v>252</v>
      </c>
      <c r="J1873" s="10" t="s">
        <v>5913</v>
      </c>
      <c r="K1873" s="10" t="s">
        <v>5914</v>
      </c>
      <c r="L1873" s="10" t="s">
        <v>42</v>
      </c>
    </row>
    <row r="1874" ht="15.75" customHeight="1">
      <c r="A1874" s="64">
        <v>45487.0</v>
      </c>
      <c r="B1874" s="55" t="str">
        <f>HYPERLINK("https://jobright.ai/jobs/info/6676c6a5807f31af72077781?utm_campaign=1062&amp;utm_source=sheet", "Apply")</f>
        <v>Apply</v>
      </c>
      <c r="C1874" s="10" t="s">
        <v>2822</v>
      </c>
      <c r="D1874" s="56" t="s">
        <v>2823</v>
      </c>
      <c r="E1874" s="10" t="s">
        <v>45</v>
      </c>
      <c r="F1874" s="10" t="s">
        <v>2824</v>
      </c>
      <c r="G1874" s="10" t="s">
        <v>2605</v>
      </c>
      <c r="H1874" s="10" t="s">
        <v>153</v>
      </c>
      <c r="I1874" s="10" t="s">
        <v>55</v>
      </c>
      <c r="K1874" s="10" t="s">
        <v>2825</v>
      </c>
      <c r="L1874" s="10" t="s">
        <v>42</v>
      </c>
    </row>
    <row r="1875" ht="15.75" customHeight="1">
      <c r="A1875" s="64">
        <v>45487.0</v>
      </c>
      <c r="B1875" s="55" t="str">
        <f>HYPERLINK("https://jobright.ai/jobs/info/6676cf90131cc9dd67df33e8?utm_campaign=1062&amp;utm_source=sheet", "Apply")</f>
        <v>Apply</v>
      </c>
      <c r="C1875" s="10" t="s">
        <v>6188</v>
      </c>
      <c r="D1875" s="56" t="s">
        <v>6189</v>
      </c>
      <c r="E1875" s="10" t="s">
        <v>45</v>
      </c>
      <c r="F1875" s="10" t="s">
        <v>6190</v>
      </c>
      <c r="G1875" s="10" t="s">
        <v>2470</v>
      </c>
      <c r="H1875" s="10" t="s">
        <v>780</v>
      </c>
      <c r="I1875" s="10" t="s">
        <v>55</v>
      </c>
      <c r="K1875" s="10" t="s">
        <v>6191</v>
      </c>
      <c r="L1875" s="10" t="s">
        <v>42</v>
      </c>
    </row>
    <row r="1876" ht="15.75" customHeight="1">
      <c r="A1876" s="64">
        <v>45487.0</v>
      </c>
      <c r="B1876" s="55" t="str">
        <f>HYPERLINK("https://jobright.ai/jobs/info/664dd55417e15c8b49411711?utm_campaign=1062&amp;utm_source=sheet", "Apply")</f>
        <v>Apply</v>
      </c>
      <c r="C1876" s="10" t="s">
        <v>5934</v>
      </c>
      <c r="D1876" s="56" t="s">
        <v>2726</v>
      </c>
      <c r="E1876" s="10" t="s">
        <v>65</v>
      </c>
      <c r="F1876" s="10" t="s">
        <v>85</v>
      </c>
      <c r="G1876" s="10" t="s">
        <v>2464</v>
      </c>
      <c r="H1876" s="10" t="s">
        <v>4402</v>
      </c>
      <c r="I1876" s="10" t="s">
        <v>48</v>
      </c>
      <c r="K1876" s="10" t="s">
        <v>4088</v>
      </c>
      <c r="L1876" s="10" t="s">
        <v>42</v>
      </c>
    </row>
    <row r="1877" ht="15.75" customHeight="1">
      <c r="A1877" s="64">
        <v>45487.0</v>
      </c>
      <c r="B1877" s="55" t="str">
        <f>HYPERLINK("https://jobright.ai/jobs/info/666987fa01bb4d89891e18d7?utm_campaign=1062&amp;utm_source=sheet", "Apply")</f>
        <v>Apply</v>
      </c>
      <c r="C1877" s="10" t="s">
        <v>5972</v>
      </c>
      <c r="D1877" s="56" t="s">
        <v>2763</v>
      </c>
      <c r="E1877" s="10" t="s">
        <v>45</v>
      </c>
      <c r="F1877" s="10" t="s">
        <v>1465</v>
      </c>
      <c r="G1877" s="10" t="s">
        <v>2470</v>
      </c>
      <c r="H1877" s="10" t="s">
        <v>4051</v>
      </c>
      <c r="I1877" s="10" t="s">
        <v>55</v>
      </c>
      <c r="J1877" s="10" t="s">
        <v>2764</v>
      </c>
      <c r="K1877" s="10" t="s">
        <v>2832</v>
      </c>
      <c r="L1877" s="10" t="s">
        <v>42</v>
      </c>
    </row>
    <row r="1878" ht="15.75" customHeight="1">
      <c r="A1878" s="64">
        <v>45487.0</v>
      </c>
      <c r="B1878" s="55" t="str">
        <f>HYPERLINK("https://jobright.ai/jobs/info/6669aa5719644308d6bb772c?utm_campaign=1062&amp;utm_source=sheet", "Apply")</f>
        <v>Apply</v>
      </c>
      <c r="C1878" s="10" t="s">
        <v>5972</v>
      </c>
      <c r="D1878" s="56" t="s">
        <v>2763</v>
      </c>
      <c r="E1878" s="10" t="s">
        <v>45</v>
      </c>
      <c r="F1878" s="10" t="s">
        <v>1465</v>
      </c>
      <c r="G1878" s="10" t="s">
        <v>2470</v>
      </c>
      <c r="H1878" s="10" t="s">
        <v>4079</v>
      </c>
      <c r="I1878" s="10" t="s">
        <v>55</v>
      </c>
      <c r="J1878" s="10" t="s">
        <v>2764</v>
      </c>
      <c r="K1878" s="10" t="s">
        <v>2832</v>
      </c>
      <c r="L1878" s="10" t="s">
        <v>42</v>
      </c>
    </row>
    <row r="1879" ht="15.75" customHeight="1">
      <c r="A1879" s="64">
        <v>45487.0</v>
      </c>
      <c r="B1879" s="55" t="str">
        <f>HYPERLINK("https://jobright.ai/jobs/info/668d36f038255351a9d0d064?utm_campaign=1062&amp;utm_source=sheet", "Apply")</f>
        <v>Apply</v>
      </c>
      <c r="C1879" s="10" t="s">
        <v>6192</v>
      </c>
      <c r="D1879" s="56" t="s">
        <v>208</v>
      </c>
      <c r="E1879" s="10" t="s">
        <v>209</v>
      </c>
      <c r="F1879" s="10" t="s">
        <v>210</v>
      </c>
      <c r="G1879" s="10" t="s">
        <v>2448</v>
      </c>
      <c r="H1879" s="10" t="s">
        <v>211</v>
      </c>
      <c r="I1879" s="10" t="s">
        <v>55</v>
      </c>
      <c r="K1879" s="10" t="s">
        <v>6193</v>
      </c>
      <c r="L1879" s="10" t="s">
        <v>42</v>
      </c>
    </row>
    <row r="1880" ht="15.75" customHeight="1">
      <c r="A1880" s="64">
        <v>45487.0</v>
      </c>
      <c r="B1880" s="55" t="str">
        <f>HYPERLINK("https://jobright.ai/jobs/info/65bae5bae8eca4da8d8964ff?utm_campaign=1062&amp;utm_source=sheet", "Apply")</f>
        <v>Apply</v>
      </c>
      <c r="C1880" s="10" t="s">
        <v>5972</v>
      </c>
      <c r="D1880" s="56" t="s">
        <v>2763</v>
      </c>
      <c r="E1880" s="10" t="s">
        <v>45</v>
      </c>
      <c r="F1880" s="10" t="s">
        <v>1465</v>
      </c>
      <c r="G1880" s="10" t="s">
        <v>2470</v>
      </c>
      <c r="H1880" s="10" t="s">
        <v>4075</v>
      </c>
      <c r="I1880" s="10" t="s">
        <v>55</v>
      </c>
      <c r="J1880" s="10" t="s">
        <v>5984</v>
      </c>
      <c r="K1880" s="10" t="s">
        <v>2765</v>
      </c>
      <c r="L1880" s="10" t="s">
        <v>42</v>
      </c>
    </row>
    <row r="1881" ht="15.75" customHeight="1">
      <c r="A1881" s="64">
        <v>45487.0</v>
      </c>
      <c r="B1881" s="55" t="str">
        <f>HYPERLINK("https://jobright.ai/jobs/info/6669883101bb4d89891e1e45?utm_campaign=1062&amp;utm_source=sheet", "Apply")</f>
        <v>Apply</v>
      </c>
      <c r="C1881" s="10" t="s">
        <v>5972</v>
      </c>
      <c r="D1881" s="56" t="s">
        <v>2763</v>
      </c>
      <c r="E1881" s="10" t="s">
        <v>45</v>
      </c>
      <c r="F1881" s="10" t="s">
        <v>1465</v>
      </c>
      <c r="G1881" s="10" t="s">
        <v>2470</v>
      </c>
      <c r="H1881" s="10" t="s">
        <v>4041</v>
      </c>
      <c r="I1881" s="10" t="s">
        <v>55</v>
      </c>
      <c r="J1881" s="10" t="s">
        <v>2764</v>
      </c>
      <c r="K1881" s="10" t="s">
        <v>2832</v>
      </c>
      <c r="L1881" s="10" t="s">
        <v>42</v>
      </c>
    </row>
    <row r="1882" ht="15.75" customHeight="1">
      <c r="A1882" s="64">
        <v>45487.0</v>
      </c>
      <c r="B1882" s="55" t="str">
        <f>HYPERLINK("https://jobright.ai/jobs/info/66939fb8d1ac13ac068e34ba?utm_campaign=1062&amp;utm_source=sheet", "Apply")</f>
        <v>Apply</v>
      </c>
      <c r="C1882" s="10" t="s">
        <v>5937</v>
      </c>
      <c r="D1882" s="56" t="s">
        <v>2763</v>
      </c>
      <c r="E1882" s="10" t="s">
        <v>45</v>
      </c>
      <c r="F1882" s="10" t="s">
        <v>1465</v>
      </c>
      <c r="G1882" s="10" t="s">
        <v>2484</v>
      </c>
      <c r="H1882" s="10" t="s">
        <v>3304</v>
      </c>
      <c r="I1882" s="10" t="s">
        <v>55</v>
      </c>
      <c r="J1882" s="10" t="s">
        <v>5938</v>
      </c>
      <c r="K1882" s="10" t="s">
        <v>5939</v>
      </c>
      <c r="L1882" s="10" t="s">
        <v>42</v>
      </c>
    </row>
    <row r="1883" ht="15.75" customHeight="1">
      <c r="A1883" s="64">
        <v>45487.0</v>
      </c>
      <c r="B1883" s="55" t="str">
        <f>HYPERLINK("https://jobright.ai/jobs/info/66939fb8d1ac13ac068e34bb?utm_campaign=1062&amp;utm_source=sheet", "Apply")</f>
        <v>Apply</v>
      </c>
      <c r="C1883" s="10" t="s">
        <v>5937</v>
      </c>
      <c r="D1883" s="56" t="s">
        <v>2763</v>
      </c>
      <c r="E1883" s="10" t="s">
        <v>45</v>
      </c>
      <c r="F1883" s="10" t="s">
        <v>1465</v>
      </c>
      <c r="G1883" s="10" t="s">
        <v>2484</v>
      </c>
      <c r="H1883" s="10" t="s">
        <v>4848</v>
      </c>
      <c r="I1883" s="10" t="s">
        <v>55</v>
      </c>
      <c r="J1883" s="10" t="s">
        <v>5938</v>
      </c>
      <c r="K1883" s="10" t="s">
        <v>5939</v>
      </c>
      <c r="L1883" s="10" t="s">
        <v>42</v>
      </c>
    </row>
    <row r="1884" ht="15.75" customHeight="1">
      <c r="A1884" s="64">
        <v>45487.0</v>
      </c>
      <c r="B1884" s="55" t="str">
        <f>HYPERLINK("https://jobright.ai/jobs/info/66939fb8d1ac13ac068e34bc?utm_campaign=1062&amp;utm_source=sheet", "Apply")</f>
        <v>Apply</v>
      </c>
      <c r="C1884" s="10" t="s">
        <v>5937</v>
      </c>
      <c r="D1884" s="56" t="s">
        <v>2763</v>
      </c>
      <c r="E1884" s="10" t="s">
        <v>45</v>
      </c>
      <c r="F1884" s="10" t="s">
        <v>1465</v>
      </c>
      <c r="G1884" s="10" t="s">
        <v>2484</v>
      </c>
      <c r="H1884" s="10" t="s">
        <v>6194</v>
      </c>
      <c r="I1884" s="10" t="s">
        <v>55</v>
      </c>
      <c r="J1884" s="10" t="s">
        <v>5938</v>
      </c>
      <c r="K1884" s="10" t="s">
        <v>5939</v>
      </c>
      <c r="L1884" s="10" t="s">
        <v>42</v>
      </c>
    </row>
    <row r="1885" ht="15.75" customHeight="1">
      <c r="A1885" s="64">
        <v>45487.0</v>
      </c>
      <c r="B1885" s="55" t="str">
        <f>HYPERLINK("https://jobright.ai/jobs/info/66939fb8d1ac13ac068e34bd?utm_campaign=1062&amp;utm_source=sheet", "Apply")</f>
        <v>Apply</v>
      </c>
      <c r="C1885" s="10" t="s">
        <v>5937</v>
      </c>
      <c r="D1885" s="56" t="s">
        <v>2763</v>
      </c>
      <c r="E1885" s="10" t="s">
        <v>45</v>
      </c>
      <c r="F1885" s="10" t="s">
        <v>1465</v>
      </c>
      <c r="G1885" s="10" t="s">
        <v>2484</v>
      </c>
      <c r="H1885" s="10" t="s">
        <v>2831</v>
      </c>
      <c r="I1885" s="10" t="s">
        <v>55</v>
      </c>
      <c r="J1885" s="10" t="s">
        <v>5938</v>
      </c>
      <c r="K1885" s="10" t="s">
        <v>5939</v>
      </c>
      <c r="L1885" s="10" t="s">
        <v>42</v>
      </c>
    </row>
    <row r="1886" ht="15.75" customHeight="1">
      <c r="A1886" s="64">
        <v>45487.0</v>
      </c>
      <c r="B1886" s="55" t="str">
        <f>HYPERLINK("https://jobright.ai/jobs/info/6676d49b1d12b08259382a21?utm_campaign=1062&amp;utm_source=sheet", "Apply")</f>
        <v>Apply</v>
      </c>
      <c r="C1886" s="10" t="s">
        <v>4087</v>
      </c>
      <c r="D1886" s="56" t="s">
        <v>2726</v>
      </c>
      <c r="E1886" s="10" t="s">
        <v>65</v>
      </c>
      <c r="F1886" s="10" t="s">
        <v>85</v>
      </c>
      <c r="G1886" s="10" t="s">
        <v>2464</v>
      </c>
      <c r="H1886" s="10" t="s">
        <v>113</v>
      </c>
      <c r="I1886" s="10" t="s">
        <v>48</v>
      </c>
      <c r="K1886" s="10" t="s">
        <v>4088</v>
      </c>
      <c r="L1886" s="10" t="s">
        <v>42</v>
      </c>
    </row>
    <row r="1887" ht="15.75" customHeight="1">
      <c r="A1887" s="64">
        <v>45487.0</v>
      </c>
      <c r="B1887" s="55" t="str">
        <f>HYPERLINK("https://jobright.ai/jobs/info/65ec6ee5f13ac00501c852d3?utm_campaign=1062&amp;utm_source=sheet", "Apply")</f>
        <v>Apply</v>
      </c>
      <c r="C1887" s="10" t="s">
        <v>3303</v>
      </c>
      <c r="D1887" s="56" t="s">
        <v>2763</v>
      </c>
      <c r="E1887" s="10" t="s">
        <v>45</v>
      </c>
      <c r="F1887" s="10" t="s">
        <v>1465</v>
      </c>
      <c r="G1887" s="10" t="s">
        <v>2437</v>
      </c>
      <c r="H1887" s="10" t="s">
        <v>6124</v>
      </c>
      <c r="I1887" s="10" t="s">
        <v>55</v>
      </c>
      <c r="K1887" s="10" t="s">
        <v>3305</v>
      </c>
      <c r="L1887" s="10" t="s">
        <v>42</v>
      </c>
    </row>
    <row r="1888" ht="15.75" customHeight="1">
      <c r="A1888" s="64">
        <v>45487.0</v>
      </c>
      <c r="B1888" s="55" t="str">
        <f>HYPERLINK("https://jobright.ai/jobs/info/65b45b3c5e1a6a34f900dade?utm_campaign=1062&amp;utm_source=sheet", "Apply")</f>
        <v>Apply</v>
      </c>
      <c r="C1888" s="10" t="s">
        <v>2762</v>
      </c>
      <c r="D1888" s="56" t="s">
        <v>2763</v>
      </c>
      <c r="E1888" s="10" t="s">
        <v>45</v>
      </c>
      <c r="F1888" s="10" t="s">
        <v>1465</v>
      </c>
      <c r="G1888" s="10" t="s">
        <v>2470</v>
      </c>
      <c r="H1888" s="10" t="s">
        <v>4041</v>
      </c>
      <c r="I1888" s="10" t="s">
        <v>55</v>
      </c>
      <c r="J1888" s="10" t="s">
        <v>2764</v>
      </c>
      <c r="K1888" s="10" t="s">
        <v>2765</v>
      </c>
      <c r="L1888" s="10" t="s">
        <v>42</v>
      </c>
    </row>
    <row r="1889" ht="15.75" customHeight="1">
      <c r="A1889" s="64">
        <v>45487.0</v>
      </c>
      <c r="B1889" s="55" t="str">
        <f>HYPERLINK("https://jobright.ai/jobs/info/669397d0aae46fc64ec1d3cb?utm_campaign=1062&amp;utm_source=sheet", "Apply")</f>
        <v>Apply</v>
      </c>
      <c r="C1889" s="10" t="s">
        <v>5956</v>
      </c>
      <c r="D1889" s="56" t="s">
        <v>3568</v>
      </c>
      <c r="E1889" s="59">
        <v>45301.0</v>
      </c>
      <c r="F1889" s="10" t="s">
        <v>3569</v>
      </c>
      <c r="G1889" s="10" t="s">
        <v>2464</v>
      </c>
      <c r="H1889" s="10" t="s">
        <v>5957</v>
      </c>
      <c r="I1889" s="10" t="s">
        <v>55</v>
      </c>
      <c r="J1889" s="10" t="s">
        <v>3570</v>
      </c>
      <c r="K1889" s="10" t="s">
        <v>5958</v>
      </c>
      <c r="L1889" s="10" t="s">
        <v>42</v>
      </c>
    </row>
    <row r="1890" ht="15.75" customHeight="1">
      <c r="A1890" s="64">
        <v>45487.0</v>
      </c>
      <c r="B1890" s="55" t="str">
        <f>HYPERLINK("https://jobright.ai/jobs/info/6693329a2e325c338c01d712?utm_campaign=1062&amp;utm_source=sheet", "Apply")</f>
        <v>Apply</v>
      </c>
      <c r="C1890" s="10" t="s">
        <v>6195</v>
      </c>
      <c r="D1890" s="56" t="s">
        <v>4900</v>
      </c>
      <c r="E1890" s="10" t="s">
        <v>137</v>
      </c>
      <c r="F1890" s="10" t="s">
        <v>4901</v>
      </c>
      <c r="G1890" s="10" t="s">
        <v>2470</v>
      </c>
      <c r="H1890" s="10" t="s">
        <v>170</v>
      </c>
      <c r="I1890" s="10" t="s">
        <v>55</v>
      </c>
      <c r="K1890" s="10" t="s">
        <v>6196</v>
      </c>
      <c r="L1890" s="10" t="s">
        <v>42</v>
      </c>
    </row>
    <row r="1891" ht="15.75" customHeight="1">
      <c r="A1891" s="64">
        <v>45486.0</v>
      </c>
      <c r="B1891" s="55" t="str">
        <f>HYPERLINK("https://jobright.ai/jobs/info/669306395f1cc4bc736cf4cc?utm_campaign=1062&amp;utm_source=sheet", "Apply")</f>
        <v>Apply</v>
      </c>
      <c r="C1891" s="10" t="s">
        <v>6197</v>
      </c>
      <c r="D1891" s="56" t="s">
        <v>6198</v>
      </c>
      <c r="E1891" s="10" t="s">
        <v>71</v>
      </c>
      <c r="F1891" s="10" t="s">
        <v>85</v>
      </c>
      <c r="G1891" s="10" t="s">
        <v>2443</v>
      </c>
      <c r="H1891" s="10" t="s">
        <v>6199</v>
      </c>
      <c r="I1891" s="10" t="s">
        <v>55</v>
      </c>
      <c r="K1891" s="10" t="s">
        <v>6200</v>
      </c>
      <c r="L1891" s="10" t="s">
        <v>42</v>
      </c>
    </row>
    <row r="1892" ht="15.75" customHeight="1">
      <c r="A1892" s="64">
        <v>45486.0</v>
      </c>
      <c r="B1892" s="55" t="str">
        <f>HYPERLINK("https://jobright.ai/jobs/info/663bd533ff962d0177395278?utm_campaign=1062&amp;utm_source=sheet", "Apply")</f>
        <v>Apply</v>
      </c>
      <c r="C1892" s="10" t="s">
        <v>6201</v>
      </c>
      <c r="D1892" s="56" t="s">
        <v>6202</v>
      </c>
      <c r="E1892" s="10" t="s">
        <v>79</v>
      </c>
      <c r="F1892" s="10" t="s">
        <v>2811</v>
      </c>
      <c r="G1892" s="10" t="s">
        <v>2448</v>
      </c>
      <c r="H1892" s="10" t="s">
        <v>965</v>
      </c>
      <c r="I1892" s="10" t="s">
        <v>55</v>
      </c>
      <c r="J1892" s="10" t="s">
        <v>5777</v>
      </c>
      <c r="K1892" s="10" t="s">
        <v>6203</v>
      </c>
      <c r="L1892" s="10" t="s">
        <v>42</v>
      </c>
    </row>
    <row r="1893" ht="15.75" customHeight="1">
      <c r="A1893" s="64">
        <v>45486.0</v>
      </c>
      <c r="B1893" s="55" t="str">
        <f>HYPERLINK("https://jobright.ai/jobs/info/667485f11cdb1fdbb8e553ed?utm_campaign=1062&amp;utm_source=sheet", "Apply")</f>
        <v>Apply</v>
      </c>
      <c r="C1893" s="10" t="s">
        <v>6204</v>
      </c>
      <c r="D1893" s="56" t="s">
        <v>6202</v>
      </c>
      <c r="E1893" s="10" t="s">
        <v>79</v>
      </c>
      <c r="F1893" s="10" t="s">
        <v>2811</v>
      </c>
      <c r="G1893" s="10" t="s">
        <v>2464</v>
      </c>
      <c r="H1893" s="10" t="s">
        <v>965</v>
      </c>
      <c r="I1893" s="10" t="s">
        <v>55</v>
      </c>
      <c r="J1893" s="10" t="s">
        <v>5777</v>
      </c>
      <c r="K1893" s="10" t="s">
        <v>6205</v>
      </c>
      <c r="L1893" s="10" t="s">
        <v>42</v>
      </c>
    </row>
    <row r="1894" ht="15.75" customHeight="1">
      <c r="A1894" s="64">
        <v>45486.0</v>
      </c>
      <c r="B1894" s="55" t="str">
        <f>HYPERLINK("https://jobright.ai/jobs/info/6690bf45555345cb3108395c?utm_campaign=1062&amp;utm_source=sheet", "Apply")</f>
        <v>Apply</v>
      </c>
      <c r="C1894" s="10" t="s">
        <v>6206</v>
      </c>
      <c r="D1894" s="56" t="s">
        <v>2206</v>
      </c>
      <c r="E1894" s="10" t="s">
        <v>45</v>
      </c>
      <c r="F1894" s="10" t="s">
        <v>2207</v>
      </c>
      <c r="G1894" s="10" t="s">
        <v>2484</v>
      </c>
      <c r="H1894" s="10" t="s">
        <v>5384</v>
      </c>
      <c r="I1894" s="10" t="s">
        <v>48</v>
      </c>
      <c r="K1894" s="10" t="s">
        <v>6207</v>
      </c>
      <c r="L1894" s="10" t="s">
        <v>42</v>
      </c>
    </row>
    <row r="1895" ht="15.75" customHeight="1">
      <c r="A1895" s="64">
        <v>45486.0</v>
      </c>
      <c r="B1895" s="55" t="str">
        <f>HYPERLINK("https://jobright.ai/jobs/info/6692ec8603742398df639a4d?utm_campaign=1062&amp;utm_source=sheet", "Apply")</f>
        <v>Apply</v>
      </c>
      <c r="C1895" s="10" t="s">
        <v>6208</v>
      </c>
      <c r="D1895" s="56" t="s">
        <v>5130</v>
      </c>
      <c r="E1895" s="10" t="s">
        <v>65</v>
      </c>
      <c r="F1895" s="10" t="s">
        <v>331</v>
      </c>
      <c r="G1895" s="10" t="s">
        <v>2448</v>
      </c>
      <c r="H1895" s="10" t="s">
        <v>6209</v>
      </c>
      <c r="I1895" s="10" t="s">
        <v>55</v>
      </c>
      <c r="K1895" s="10" t="s">
        <v>6210</v>
      </c>
      <c r="L1895" s="10" t="s">
        <v>42</v>
      </c>
    </row>
    <row r="1896" ht="15.75" customHeight="1">
      <c r="A1896" s="64">
        <v>45486.0</v>
      </c>
      <c r="B1896" s="55" t="str">
        <f>HYPERLINK("https://jobright.ai/jobs/info/66934f9f5d386ebc07d0fece?utm_campaign=1062&amp;utm_source=sheet", "Apply")</f>
        <v>Apply</v>
      </c>
      <c r="C1896" s="10" t="s">
        <v>6211</v>
      </c>
      <c r="D1896" s="56" t="s">
        <v>6212</v>
      </c>
      <c r="E1896" s="10" t="s">
        <v>249</v>
      </c>
      <c r="F1896" s="10" t="s">
        <v>6213</v>
      </c>
      <c r="G1896" s="10" t="s">
        <v>2470</v>
      </c>
      <c r="H1896" s="10" t="s">
        <v>6214</v>
      </c>
      <c r="I1896" s="10" t="s">
        <v>55</v>
      </c>
      <c r="J1896" s="10" t="s">
        <v>2980</v>
      </c>
      <c r="K1896" s="10" t="s">
        <v>6215</v>
      </c>
      <c r="L1896" s="10" t="s">
        <v>42</v>
      </c>
    </row>
    <row r="1897" ht="15.75" customHeight="1">
      <c r="A1897" s="64">
        <v>45486.0</v>
      </c>
      <c r="B1897" s="55" t="str">
        <f>HYPERLINK("https://jobright.ai/jobs/info/669a7f8bd6a8ad59ac565499?utm_campaign=1062&amp;utm_source=sheet", "Apply")</f>
        <v>Apply</v>
      </c>
      <c r="C1897" s="10" t="s">
        <v>301</v>
      </c>
      <c r="D1897" s="56" t="s">
        <v>6216</v>
      </c>
      <c r="E1897" s="10" t="s">
        <v>45</v>
      </c>
      <c r="F1897" s="10" t="s">
        <v>6217</v>
      </c>
      <c r="G1897" s="10" t="s">
        <v>2470</v>
      </c>
      <c r="H1897" s="10" t="s">
        <v>6218</v>
      </c>
      <c r="I1897" s="10" t="s">
        <v>55</v>
      </c>
      <c r="J1897" s="10" t="s">
        <v>1984</v>
      </c>
      <c r="K1897" s="10" t="s">
        <v>6219</v>
      </c>
      <c r="L1897" s="10" t="s">
        <v>42</v>
      </c>
    </row>
    <row r="1898" ht="15.75" customHeight="1">
      <c r="A1898" s="64">
        <v>45486.0</v>
      </c>
      <c r="B1898" s="55" t="str">
        <f>HYPERLINK("https://jobright.ai/jobs/info/66992a1051cbb3cd564b44bf?utm_campaign=1062&amp;utm_source=sheet", "Apply")</f>
        <v>Apply</v>
      </c>
      <c r="C1898" s="10" t="s">
        <v>4366</v>
      </c>
      <c r="D1898" s="56" t="s">
        <v>2462</v>
      </c>
      <c r="E1898" s="10" t="s">
        <v>79</v>
      </c>
      <c r="F1898" s="10" t="s">
        <v>2463</v>
      </c>
      <c r="G1898" s="10" t="s">
        <v>2464</v>
      </c>
      <c r="H1898" s="10" t="s">
        <v>167</v>
      </c>
      <c r="I1898" s="10" t="s">
        <v>55</v>
      </c>
      <c r="K1898" s="10" t="s">
        <v>4367</v>
      </c>
      <c r="L1898" s="10" t="s">
        <v>42</v>
      </c>
    </row>
    <row r="1899" ht="15.75" customHeight="1">
      <c r="A1899" s="64">
        <v>45486.0</v>
      </c>
      <c r="B1899" s="55" t="str">
        <f>HYPERLINK("https://jobright.ai/jobs/info/669bc3fe214a483055f9ca27?utm_campaign=1062&amp;utm_source=sheet", "Apply")</f>
        <v>Apply</v>
      </c>
      <c r="C1899" s="10" t="s">
        <v>6220</v>
      </c>
      <c r="D1899" s="56" t="s">
        <v>5788</v>
      </c>
      <c r="E1899" s="10" t="s">
        <v>65</v>
      </c>
      <c r="F1899" s="10" t="s">
        <v>5789</v>
      </c>
      <c r="G1899" s="10" t="s">
        <v>2437</v>
      </c>
      <c r="H1899" s="10" t="s">
        <v>5790</v>
      </c>
      <c r="I1899" s="10" t="s">
        <v>55</v>
      </c>
      <c r="K1899" s="10" t="s">
        <v>6221</v>
      </c>
      <c r="L1899" s="10" t="s">
        <v>42</v>
      </c>
    </row>
    <row r="1900" ht="15.75" customHeight="1">
      <c r="A1900" s="64">
        <v>45486.0</v>
      </c>
      <c r="B1900" s="55" t="str">
        <f>HYPERLINK("https://jobright.ai/jobs/info/669915d7631213140cd58a0e?utm_campaign=1062&amp;utm_source=sheet", "Apply")</f>
        <v>Apply</v>
      </c>
      <c r="C1900" s="10" t="s">
        <v>4801</v>
      </c>
      <c r="D1900" s="56" t="s">
        <v>4802</v>
      </c>
      <c r="E1900" s="10" t="s">
        <v>249</v>
      </c>
      <c r="F1900" s="10" t="s">
        <v>2470</v>
      </c>
      <c r="G1900" s="10" t="s">
        <v>2484</v>
      </c>
      <c r="H1900" s="10" t="s">
        <v>5809</v>
      </c>
      <c r="I1900" s="10" t="s">
        <v>55</v>
      </c>
      <c r="K1900" s="10" t="s">
        <v>5681</v>
      </c>
      <c r="L1900" s="10" t="s">
        <v>42</v>
      </c>
    </row>
    <row r="1901" ht="15.75" customHeight="1">
      <c r="A1901" s="64">
        <v>45486.0</v>
      </c>
      <c r="B1901" s="55" t="str">
        <f>HYPERLINK("https://jobright.ai/jobs/info/669bb368713dc0db50b4ef59?utm_campaign=1062&amp;utm_source=sheet", "Apply")</f>
        <v>Apply</v>
      </c>
      <c r="C1901" s="10" t="s">
        <v>6222</v>
      </c>
      <c r="D1901" s="56" t="s">
        <v>6223</v>
      </c>
      <c r="E1901" s="10" t="s">
        <v>137</v>
      </c>
      <c r="F1901" s="10" t="s">
        <v>6224</v>
      </c>
      <c r="G1901" s="10" t="s">
        <v>2448</v>
      </c>
      <c r="H1901" s="10" t="s">
        <v>6225</v>
      </c>
      <c r="I1901" s="10" t="s">
        <v>55</v>
      </c>
      <c r="J1901" s="10" t="s">
        <v>521</v>
      </c>
      <c r="K1901" s="10" t="s">
        <v>6226</v>
      </c>
      <c r="L1901" s="10" t="s">
        <v>42</v>
      </c>
    </row>
    <row r="1902" ht="15.75" customHeight="1">
      <c r="A1902" s="64">
        <v>45486.0</v>
      </c>
      <c r="B1902" s="55" t="str">
        <f>HYPERLINK("https://jobright.ai/jobs/info/6693c2420a9f4673e316658f?utm_campaign=1062&amp;utm_source=sheet", "Apply")</f>
        <v>Apply</v>
      </c>
      <c r="C1902" s="10" t="s">
        <v>6227</v>
      </c>
      <c r="D1902" s="56" t="s">
        <v>3211</v>
      </c>
      <c r="E1902" s="10" t="s">
        <v>45</v>
      </c>
      <c r="F1902" s="10" t="s">
        <v>3212</v>
      </c>
      <c r="G1902" s="10" t="s">
        <v>2484</v>
      </c>
      <c r="H1902" s="10" t="s">
        <v>3213</v>
      </c>
      <c r="I1902" s="10" t="s">
        <v>55</v>
      </c>
      <c r="K1902" s="10" t="s">
        <v>6228</v>
      </c>
      <c r="L1902" s="10" t="s">
        <v>42</v>
      </c>
    </row>
    <row r="1903" ht="15.75" customHeight="1">
      <c r="A1903" s="64">
        <v>45486.0</v>
      </c>
      <c r="B1903" s="55" t="str">
        <f>HYPERLINK("https://jobright.ai/jobs/info/669ba929b14cf70eadd8bb10?utm_campaign=1062&amp;utm_source=sheet", "Apply")</f>
        <v>Apply</v>
      </c>
      <c r="C1903" s="10" t="s">
        <v>4801</v>
      </c>
      <c r="D1903" s="56" t="s">
        <v>4802</v>
      </c>
      <c r="E1903" s="10" t="s">
        <v>249</v>
      </c>
      <c r="F1903" s="10" t="s">
        <v>2470</v>
      </c>
      <c r="G1903" s="10" t="s">
        <v>2484</v>
      </c>
      <c r="H1903" s="10" t="s">
        <v>3532</v>
      </c>
      <c r="I1903" s="10" t="s">
        <v>55</v>
      </c>
      <c r="K1903" s="10" t="s">
        <v>4803</v>
      </c>
      <c r="L1903" s="10" t="s">
        <v>42</v>
      </c>
    </row>
    <row r="1904" ht="15.75" customHeight="1">
      <c r="A1904" s="64">
        <v>45486.0</v>
      </c>
      <c r="B1904" s="55" t="str">
        <f>HYPERLINK("https://jobright.ai/jobs/info/66965be9c8ec64ebc8ed47fc?utm_campaign=1062&amp;utm_source=sheet", "Apply")</f>
        <v>Apply</v>
      </c>
      <c r="C1904" s="10" t="s">
        <v>6229</v>
      </c>
      <c r="D1904" s="56" t="s">
        <v>6230</v>
      </c>
      <c r="E1904" s="10" t="s">
        <v>209</v>
      </c>
      <c r="F1904" s="10" t="s">
        <v>6231</v>
      </c>
      <c r="G1904" s="10" t="s">
        <v>2495</v>
      </c>
      <c r="H1904" s="10" t="s">
        <v>6232</v>
      </c>
      <c r="I1904" s="10" t="s">
        <v>55</v>
      </c>
      <c r="J1904" s="10" t="s">
        <v>521</v>
      </c>
      <c r="K1904" s="10" t="s">
        <v>6233</v>
      </c>
      <c r="L1904" s="10" t="s">
        <v>42</v>
      </c>
    </row>
    <row r="1905" ht="15.75" customHeight="1">
      <c r="A1905" s="64">
        <v>45486.0</v>
      </c>
      <c r="B1905" s="55" t="str">
        <f>HYPERLINK("https://jobright.ai/jobs/info/6697ab0eaa30cb60b00b66f8?utm_campaign=1062&amp;utm_source=sheet", "Apply")</f>
        <v>Apply</v>
      </c>
      <c r="C1905" s="10" t="s">
        <v>301</v>
      </c>
      <c r="D1905" s="56" t="s">
        <v>6234</v>
      </c>
      <c r="E1905" s="10" t="s">
        <v>65</v>
      </c>
      <c r="F1905" s="10" t="s">
        <v>2824</v>
      </c>
      <c r="G1905" s="10" t="s">
        <v>2470</v>
      </c>
      <c r="H1905" s="10" t="s">
        <v>6235</v>
      </c>
      <c r="I1905" s="10" t="s">
        <v>55</v>
      </c>
      <c r="J1905" s="10" t="s">
        <v>6236</v>
      </c>
      <c r="K1905" s="10" t="s">
        <v>6237</v>
      </c>
      <c r="L1905" s="10" t="s">
        <v>42</v>
      </c>
    </row>
    <row r="1906" ht="15.75" customHeight="1">
      <c r="A1906" s="64">
        <v>45486.0</v>
      </c>
      <c r="B1906" s="55" t="str">
        <f>HYPERLINK("https://jobright.ai/jobs/info/6698f92e9b2e8910505498bb?utm_campaign=1062&amp;utm_source=sheet", "Apply")</f>
        <v>Apply</v>
      </c>
      <c r="C1906" s="10" t="s">
        <v>6238</v>
      </c>
      <c r="D1906" s="56" t="s">
        <v>585</v>
      </c>
      <c r="E1906" s="10" t="s">
        <v>45</v>
      </c>
      <c r="F1906" s="10" t="s">
        <v>586</v>
      </c>
      <c r="G1906" s="10" t="s">
        <v>2443</v>
      </c>
      <c r="H1906" s="10" t="s">
        <v>587</v>
      </c>
      <c r="I1906" s="10" t="s">
        <v>55</v>
      </c>
      <c r="K1906" s="10" t="s">
        <v>588</v>
      </c>
      <c r="L1906" s="10" t="s">
        <v>42</v>
      </c>
    </row>
    <row r="1907" ht="15.75" customHeight="1">
      <c r="A1907" s="64">
        <v>45486.0</v>
      </c>
      <c r="B1907" s="55" t="str">
        <f>HYPERLINK("https://jobright.ai/jobs/info/669a490904ee6c4ed8197d2b?utm_campaign=1062&amp;utm_source=sheet", "Apply")</f>
        <v>Apply</v>
      </c>
      <c r="C1907" s="10" t="s">
        <v>6239</v>
      </c>
      <c r="D1907" s="56" t="s">
        <v>6240</v>
      </c>
      <c r="E1907" s="10" t="s">
        <v>45</v>
      </c>
      <c r="F1907" s="10" t="s">
        <v>6241</v>
      </c>
      <c r="G1907" s="10" t="s">
        <v>2484</v>
      </c>
      <c r="H1907" s="10" t="s">
        <v>6242</v>
      </c>
      <c r="I1907" s="10" t="s">
        <v>55</v>
      </c>
      <c r="K1907" s="10" t="s">
        <v>6243</v>
      </c>
      <c r="L1907" s="10" t="s">
        <v>42</v>
      </c>
    </row>
    <row r="1908" ht="15.75" customHeight="1">
      <c r="A1908" s="64">
        <v>45486.0</v>
      </c>
      <c r="B1908" s="55" t="str">
        <f>HYPERLINK("https://jobright.ai/jobs/info/65b9d5f818211b79e5ca738d?utm_campaign=1062&amp;utm_source=sheet", "Apply")</f>
        <v>Apply</v>
      </c>
      <c r="C1908" s="10" t="s">
        <v>6244</v>
      </c>
      <c r="D1908" s="56" t="s">
        <v>311</v>
      </c>
      <c r="E1908" s="10" t="s">
        <v>45</v>
      </c>
      <c r="F1908" s="10" t="s">
        <v>312</v>
      </c>
      <c r="G1908" s="10" t="s">
        <v>2502</v>
      </c>
      <c r="H1908" s="10" t="s">
        <v>313</v>
      </c>
      <c r="I1908" s="10" t="s">
        <v>55</v>
      </c>
      <c r="J1908" s="10" t="s">
        <v>314</v>
      </c>
      <c r="K1908" s="10" t="s">
        <v>6245</v>
      </c>
      <c r="L1908" s="10" t="s">
        <v>42</v>
      </c>
    </row>
    <row r="1909" ht="15.75" customHeight="1">
      <c r="A1909" s="64">
        <v>45486.0</v>
      </c>
      <c r="B1909" s="55" t="str">
        <f>HYPERLINK("https://jobright.ai/jobs/info/66768477c8b21811434bf21d?utm_campaign=1062&amp;utm_source=sheet", "Apply")</f>
        <v>Apply</v>
      </c>
      <c r="C1909" s="10" t="s">
        <v>2681</v>
      </c>
      <c r="D1909" s="56" t="s">
        <v>2682</v>
      </c>
      <c r="E1909" s="10" t="s">
        <v>45</v>
      </c>
      <c r="F1909" s="10" t="s">
        <v>1357</v>
      </c>
      <c r="G1909" s="10" t="s">
        <v>2589</v>
      </c>
      <c r="H1909" s="10" t="s">
        <v>918</v>
      </c>
      <c r="I1909" s="10" t="s">
        <v>55</v>
      </c>
      <c r="J1909" s="10" t="s">
        <v>6246</v>
      </c>
      <c r="K1909" s="10" t="s">
        <v>2684</v>
      </c>
      <c r="L1909" s="10" t="s">
        <v>42</v>
      </c>
    </row>
    <row r="1910" ht="15.75" customHeight="1">
      <c r="A1910" s="64">
        <v>45486.0</v>
      </c>
      <c r="B1910" s="55" t="str">
        <f>HYPERLINK("https://jobright.ai/jobs/info/6536f51884d4c3f2648f8083?utm_campaign=1062&amp;utm_source=sheet", "Apply")</f>
        <v>Apply</v>
      </c>
      <c r="C1910" s="10" t="s">
        <v>6247</v>
      </c>
      <c r="D1910" s="56" t="s">
        <v>4683</v>
      </c>
      <c r="E1910" s="10" t="s">
        <v>65</v>
      </c>
      <c r="F1910" s="10" t="s">
        <v>1700</v>
      </c>
      <c r="G1910" s="10" t="s">
        <v>2448</v>
      </c>
      <c r="H1910" s="10" t="s">
        <v>882</v>
      </c>
      <c r="I1910" s="10" t="s">
        <v>55</v>
      </c>
      <c r="K1910" s="10" t="s">
        <v>6248</v>
      </c>
      <c r="L1910" s="10" t="s">
        <v>42</v>
      </c>
    </row>
    <row r="1911" ht="15.75" customHeight="1">
      <c r="A1911" s="64">
        <v>45486.0</v>
      </c>
      <c r="B1911" s="55" t="str">
        <f>HYPERLINK("https://jobright.ai/jobs/info/664eb0ebcd9154b3e6011e7e?utm_campaign=1062&amp;utm_source=sheet", "Apply")</f>
        <v>Apply</v>
      </c>
      <c r="C1911" s="10" t="s">
        <v>6249</v>
      </c>
      <c r="D1911" s="56" t="s">
        <v>716</v>
      </c>
      <c r="E1911" s="10" t="s">
        <v>79</v>
      </c>
      <c r="F1911" s="10" t="s">
        <v>717</v>
      </c>
      <c r="G1911" s="10" t="s">
        <v>3733</v>
      </c>
      <c r="H1911" s="10" t="s">
        <v>144</v>
      </c>
      <c r="I1911" s="10" t="s">
        <v>55</v>
      </c>
      <c r="J1911" s="10" t="s">
        <v>718</v>
      </c>
      <c r="K1911" s="10" t="s">
        <v>6250</v>
      </c>
      <c r="L1911" s="10" t="s">
        <v>42</v>
      </c>
    </row>
    <row r="1912" ht="15.75" customHeight="1">
      <c r="A1912" s="64">
        <v>45486.0</v>
      </c>
      <c r="B1912" s="55" t="str">
        <f>HYPERLINK("https://jobright.ai/jobs/info/65fa48d9a05636b0f83fa77e?utm_campaign=1062&amp;utm_source=sheet", "Apply")</f>
        <v>Apply</v>
      </c>
      <c r="C1912" s="10" t="s">
        <v>6251</v>
      </c>
      <c r="D1912" s="56" t="s">
        <v>1061</v>
      </c>
      <c r="E1912" s="10" t="s">
        <v>209</v>
      </c>
      <c r="G1912" s="10" t="s">
        <v>2484</v>
      </c>
      <c r="H1912" s="10" t="s">
        <v>598</v>
      </c>
      <c r="I1912" s="10" t="s">
        <v>55</v>
      </c>
      <c r="K1912" s="10" t="s">
        <v>6252</v>
      </c>
      <c r="L1912" s="10" t="s">
        <v>42</v>
      </c>
    </row>
    <row r="1913" ht="15.75" customHeight="1">
      <c r="A1913" s="64">
        <v>45486.0</v>
      </c>
      <c r="B1913" s="55" t="str">
        <f>HYPERLINK("https://jobright.ai/jobs/info/66038ab43ccea9c86d2f7a49?utm_campaign=1062&amp;utm_source=sheet", "Apply")</f>
        <v>Apply</v>
      </c>
      <c r="C1913" s="10" t="s">
        <v>6253</v>
      </c>
      <c r="D1913" s="56" t="s">
        <v>6254</v>
      </c>
      <c r="E1913" s="10" t="s">
        <v>276</v>
      </c>
      <c r="F1913" s="10" t="s">
        <v>3180</v>
      </c>
      <c r="G1913" s="10" t="s">
        <v>2455</v>
      </c>
      <c r="H1913" s="10" t="s">
        <v>6255</v>
      </c>
      <c r="I1913" s="10" t="s">
        <v>55</v>
      </c>
      <c r="K1913" s="10" t="s">
        <v>6256</v>
      </c>
      <c r="L1913" s="10" t="s">
        <v>42</v>
      </c>
    </row>
    <row r="1914" ht="15.75" customHeight="1">
      <c r="A1914" s="64">
        <v>45486.0</v>
      </c>
      <c r="B1914" s="55" t="str">
        <f>HYPERLINK("https://jobright.ai/jobs/info/669281d5a344b2f575c6603f?utm_campaign=1062&amp;utm_source=sheet", "Apply")</f>
        <v>Apply</v>
      </c>
      <c r="C1914" s="10" t="s">
        <v>6257</v>
      </c>
      <c r="D1914" s="56" t="s">
        <v>6258</v>
      </c>
      <c r="E1914" s="10" t="s">
        <v>71</v>
      </c>
      <c r="F1914" s="10" t="s">
        <v>6259</v>
      </c>
      <c r="G1914" s="10" t="s">
        <v>2484</v>
      </c>
      <c r="H1914" s="10" t="s">
        <v>5728</v>
      </c>
      <c r="I1914" s="10" t="s">
        <v>55</v>
      </c>
      <c r="K1914" s="10" t="s">
        <v>6260</v>
      </c>
      <c r="L1914" s="10" t="s">
        <v>42</v>
      </c>
    </row>
    <row r="1915" ht="15.75" customHeight="1">
      <c r="A1915" s="64">
        <v>45486.0</v>
      </c>
      <c r="B1915" s="55" t="str">
        <f>HYPERLINK("https://jobright.ai/jobs/info/66749a2ce2555414447e6d04?utm_campaign=1062&amp;utm_source=sheet", "Apply")</f>
        <v>Apply</v>
      </c>
      <c r="C1915" s="10" t="s">
        <v>6261</v>
      </c>
      <c r="D1915" s="56" t="s">
        <v>385</v>
      </c>
      <c r="E1915" s="10" t="s">
        <v>45</v>
      </c>
      <c r="F1915" s="10" t="s">
        <v>386</v>
      </c>
      <c r="G1915" s="10" t="s">
        <v>4046</v>
      </c>
      <c r="H1915" s="10" t="s">
        <v>711</v>
      </c>
      <c r="I1915" s="10" t="s">
        <v>55</v>
      </c>
      <c r="K1915" s="10" t="s">
        <v>6262</v>
      </c>
      <c r="L1915" s="10" t="s">
        <v>42</v>
      </c>
    </row>
    <row r="1916" ht="15.75" customHeight="1">
      <c r="A1916" s="64">
        <v>45486.0</v>
      </c>
      <c r="B1916" s="55" t="str">
        <f>HYPERLINK("https://jobright.ai/jobs/info/65948e4a08c7b60ecd4e66f7?utm_campaign=1062&amp;utm_source=sheet", "Apply")</f>
        <v>Apply</v>
      </c>
      <c r="C1916" s="10" t="s">
        <v>4432</v>
      </c>
      <c r="D1916" s="56" t="s">
        <v>4433</v>
      </c>
      <c r="E1916" s="10">
        <v>235.0</v>
      </c>
      <c r="G1916" s="10" t="s">
        <v>2476</v>
      </c>
      <c r="H1916" s="10" t="s">
        <v>4808</v>
      </c>
      <c r="I1916" s="10" t="s">
        <v>48</v>
      </c>
      <c r="K1916" s="10" t="s">
        <v>4435</v>
      </c>
      <c r="L1916" s="10" t="s">
        <v>42</v>
      </c>
    </row>
    <row r="1917" ht="15.75" customHeight="1">
      <c r="A1917" s="64">
        <v>45486.0</v>
      </c>
      <c r="B1917" s="55" t="str">
        <f>HYPERLINK("https://jobright.ai/jobs/info/663d5977d93709324deaded9?utm_campaign=1062&amp;utm_source=sheet", "Apply")</f>
        <v>Apply</v>
      </c>
      <c r="C1917" s="10" t="s">
        <v>6263</v>
      </c>
      <c r="D1917" s="56" t="s">
        <v>716</v>
      </c>
      <c r="E1917" s="10" t="s">
        <v>79</v>
      </c>
      <c r="F1917" s="10" t="s">
        <v>717</v>
      </c>
      <c r="G1917" s="10" t="s">
        <v>3733</v>
      </c>
      <c r="H1917" s="10" t="s">
        <v>144</v>
      </c>
      <c r="I1917" s="10" t="s">
        <v>55</v>
      </c>
      <c r="J1917" s="10" t="s">
        <v>718</v>
      </c>
      <c r="K1917" s="10" t="s">
        <v>719</v>
      </c>
      <c r="L1917" s="10" t="s">
        <v>42</v>
      </c>
    </row>
    <row r="1918" ht="15.75" customHeight="1">
      <c r="A1918" s="64">
        <v>45486.0</v>
      </c>
      <c r="B1918" s="55" t="str">
        <f>HYPERLINK("https://jobright.ai/jobs/info/659e16ccf9ff36135152a4d5?utm_campaign=1062&amp;utm_source=sheet", "Apply")</f>
        <v>Apply</v>
      </c>
      <c r="C1918" s="10" t="s">
        <v>6264</v>
      </c>
      <c r="D1918" s="56" t="s">
        <v>2298</v>
      </c>
      <c r="E1918" s="10" t="s">
        <v>65</v>
      </c>
      <c r="F1918" s="10" t="s">
        <v>1274</v>
      </c>
      <c r="G1918" s="10" t="s">
        <v>2448</v>
      </c>
      <c r="H1918" s="10" t="s">
        <v>6265</v>
      </c>
      <c r="I1918" s="10" t="s">
        <v>55</v>
      </c>
      <c r="K1918" s="10" t="s">
        <v>6266</v>
      </c>
      <c r="L1918" s="10" t="s">
        <v>42</v>
      </c>
    </row>
    <row r="1919" ht="15.75" customHeight="1">
      <c r="A1919" s="64">
        <v>45486.0</v>
      </c>
      <c r="B1919" s="55" t="str">
        <f>HYPERLINK("https://jobright.ai/jobs/info/6637486419274e9b3008cb15?utm_campaign=1062&amp;utm_source=sheet", "Apply")</f>
        <v>Apply</v>
      </c>
      <c r="C1919" s="10" t="s">
        <v>6267</v>
      </c>
      <c r="D1919" s="56" t="s">
        <v>1127</v>
      </c>
      <c r="E1919" s="10" t="s">
        <v>209</v>
      </c>
      <c r="F1919" s="10" t="s">
        <v>239</v>
      </c>
      <c r="G1919" s="10" t="s">
        <v>2448</v>
      </c>
      <c r="H1919" s="10" t="s">
        <v>4423</v>
      </c>
      <c r="I1919" s="10" t="s">
        <v>55</v>
      </c>
      <c r="K1919" s="10" t="s">
        <v>6268</v>
      </c>
      <c r="L1919" s="10" t="s">
        <v>42</v>
      </c>
    </row>
    <row r="1920" ht="15.75" customHeight="1">
      <c r="A1920" s="64">
        <v>45486.0</v>
      </c>
      <c r="B1920" s="55" t="str">
        <f>HYPERLINK("https://jobright.ai/jobs/info/665922c0dc30f127d7d723f9?utm_campaign=1062&amp;utm_source=sheet", "Apply")</f>
        <v>Apply</v>
      </c>
      <c r="C1920" s="10" t="s">
        <v>3668</v>
      </c>
      <c r="D1920" s="56" t="s">
        <v>3669</v>
      </c>
      <c r="E1920" s="10" t="s">
        <v>65</v>
      </c>
      <c r="F1920" s="10" t="s">
        <v>3670</v>
      </c>
      <c r="G1920" s="10" t="s">
        <v>2443</v>
      </c>
      <c r="H1920" s="10" t="s">
        <v>898</v>
      </c>
      <c r="I1920" s="10" t="s">
        <v>48</v>
      </c>
      <c r="J1920" s="10" t="s">
        <v>4112</v>
      </c>
      <c r="K1920" s="10" t="s">
        <v>4113</v>
      </c>
      <c r="L1920" s="10" t="s">
        <v>42</v>
      </c>
    </row>
    <row r="1921" ht="15.75" customHeight="1">
      <c r="A1921" s="64">
        <v>45486.0</v>
      </c>
      <c r="B1921" s="55" t="str">
        <f>HYPERLINK("https://jobright.ai/jobs/info/6676dc2a52e59db0b1bd4c60?utm_campaign=1062&amp;utm_source=sheet", "Apply")</f>
        <v>Apply</v>
      </c>
      <c r="C1921" s="10" t="s">
        <v>6269</v>
      </c>
      <c r="D1921" s="56" t="s">
        <v>311</v>
      </c>
      <c r="E1921" s="10" t="s">
        <v>45</v>
      </c>
      <c r="F1921" s="10" t="s">
        <v>312</v>
      </c>
      <c r="G1921" s="10" t="s">
        <v>2502</v>
      </c>
      <c r="H1921" s="10" t="s">
        <v>313</v>
      </c>
      <c r="I1921" s="10" t="s">
        <v>55</v>
      </c>
      <c r="J1921" s="10" t="s">
        <v>2755</v>
      </c>
      <c r="K1921" s="10" t="s">
        <v>6270</v>
      </c>
      <c r="L1921" s="10" t="s">
        <v>42</v>
      </c>
    </row>
    <row r="1922" ht="15.75" customHeight="1">
      <c r="A1922" s="64">
        <v>45486.0</v>
      </c>
      <c r="B1922" s="55" t="str">
        <f>HYPERLINK("https://jobright.ai/jobs/info/6657dbefffa8396084b59443?utm_campaign=1062&amp;utm_source=sheet", "Apply")</f>
        <v>Apply</v>
      </c>
      <c r="C1922" s="10" t="s">
        <v>4346</v>
      </c>
      <c r="D1922" s="56" t="s">
        <v>2462</v>
      </c>
      <c r="E1922" s="10" t="s">
        <v>79</v>
      </c>
      <c r="F1922" s="10" t="s">
        <v>2463</v>
      </c>
      <c r="G1922" s="10" t="s">
        <v>2464</v>
      </c>
      <c r="H1922" s="10" t="s">
        <v>1008</v>
      </c>
      <c r="I1922" s="10" t="s">
        <v>55</v>
      </c>
      <c r="K1922" s="10" t="s">
        <v>4347</v>
      </c>
      <c r="L1922" s="10" t="s">
        <v>42</v>
      </c>
    </row>
    <row r="1923" ht="15.75" customHeight="1">
      <c r="A1923" s="64">
        <v>45486.0</v>
      </c>
      <c r="B1923" s="55" t="str">
        <f>HYPERLINK("https://jobright.ai/jobs/info/66749a3de2555414447e6db8?utm_campaign=1062&amp;utm_source=sheet", "Apply")</f>
        <v>Apply</v>
      </c>
      <c r="C1923" s="10" t="s">
        <v>6271</v>
      </c>
      <c r="D1923" s="56" t="s">
        <v>385</v>
      </c>
      <c r="E1923" s="10" t="s">
        <v>45</v>
      </c>
      <c r="F1923" s="10" t="s">
        <v>386</v>
      </c>
      <c r="G1923" s="10" t="s">
        <v>2502</v>
      </c>
      <c r="H1923" s="10" t="s">
        <v>1057</v>
      </c>
      <c r="I1923" s="10" t="s">
        <v>55</v>
      </c>
      <c r="K1923" s="10" t="s">
        <v>6272</v>
      </c>
      <c r="L1923" s="10" t="s">
        <v>42</v>
      </c>
    </row>
    <row r="1924" ht="15.75" customHeight="1">
      <c r="A1924" s="64">
        <v>45486.0</v>
      </c>
      <c r="B1924" s="55" t="str">
        <f>HYPERLINK("https://jobright.ai/jobs/info/667601d8f1b86992c364684b?utm_campaign=1062&amp;utm_source=sheet", "Apply")</f>
        <v>Apply</v>
      </c>
      <c r="C1924" s="10" t="s">
        <v>6273</v>
      </c>
      <c r="D1924" s="56" t="s">
        <v>385</v>
      </c>
      <c r="E1924" s="10" t="s">
        <v>45</v>
      </c>
      <c r="F1924" s="10" t="s">
        <v>386</v>
      </c>
      <c r="G1924" s="10" t="s">
        <v>2448</v>
      </c>
      <c r="H1924" s="10" t="s">
        <v>423</v>
      </c>
      <c r="I1924" s="10" t="s">
        <v>55</v>
      </c>
      <c r="J1924" s="10" t="s">
        <v>1927</v>
      </c>
      <c r="K1924" s="10" t="s">
        <v>1928</v>
      </c>
      <c r="L1924" s="10" t="s">
        <v>42</v>
      </c>
    </row>
    <row r="1925" ht="15.75" customHeight="1">
      <c r="A1925" s="64">
        <v>45486.0</v>
      </c>
      <c r="B1925" s="55" t="str">
        <f>HYPERLINK("https://jobright.ai/jobs/info/66338a16ba7673717803d7f9?utm_campaign=1062&amp;utm_source=sheet", "Apply")</f>
        <v>Apply</v>
      </c>
      <c r="C1925" s="10" t="s">
        <v>6271</v>
      </c>
      <c r="D1925" s="56" t="s">
        <v>385</v>
      </c>
      <c r="E1925" s="10" t="s">
        <v>45</v>
      </c>
      <c r="F1925" s="10" t="s">
        <v>386</v>
      </c>
      <c r="G1925" s="10" t="s">
        <v>2502</v>
      </c>
      <c r="H1925" s="10" t="s">
        <v>711</v>
      </c>
      <c r="I1925" s="10" t="s">
        <v>55</v>
      </c>
      <c r="K1925" s="10" t="s">
        <v>6272</v>
      </c>
      <c r="L1925" s="10" t="s">
        <v>42</v>
      </c>
    </row>
    <row r="1926" ht="15.75" customHeight="1">
      <c r="A1926" s="64">
        <v>45486.0</v>
      </c>
      <c r="B1926" s="55" t="str">
        <f>HYPERLINK("https://jobright.ai/jobs/info/6629277fe074d7fd950c36b3?utm_campaign=1062&amp;utm_source=sheet", "Apply")</f>
        <v>Apply</v>
      </c>
      <c r="C1926" s="10" t="s">
        <v>6274</v>
      </c>
      <c r="D1926" s="56" t="s">
        <v>6275</v>
      </c>
      <c r="E1926" s="10" t="s">
        <v>45</v>
      </c>
      <c r="F1926" s="10" t="s">
        <v>6276</v>
      </c>
      <c r="G1926" s="10" t="s">
        <v>2448</v>
      </c>
      <c r="H1926" s="10" t="s">
        <v>6277</v>
      </c>
      <c r="I1926" s="10" t="s">
        <v>48</v>
      </c>
      <c r="J1926" s="10" t="s">
        <v>6278</v>
      </c>
      <c r="K1926" s="10" t="s">
        <v>6279</v>
      </c>
      <c r="L1926" s="10" t="s">
        <v>42</v>
      </c>
    </row>
    <row r="1927" ht="15.75" customHeight="1">
      <c r="A1927" s="64">
        <v>45486.0</v>
      </c>
      <c r="B1927" s="55" t="str">
        <f>HYPERLINK("https://jobright.ai/jobs/info/667710faf278834492d8897f?utm_campaign=1062&amp;utm_source=sheet", "Apply")</f>
        <v>Apply</v>
      </c>
      <c r="C1927" s="10" t="s">
        <v>6280</v>
      </c>
      <c r="D1927" s="56" t="s">
        <v>2721</v>
      </c>
      <c r="E1927" s="10" t="s">
        <v>45</v>
      </c>
      <c r="F1927" s="10" t="s">
        <v>2722</v>
      </c>
      <c r="G1927" s="10" t="s">
        <v>2448</v>
      </c>
      <c r="H1927" s="10" t="s">
        <v>423</v>
      </c>
      <c r="I1927" s="10" t="s">
        <v>55</v>
      </c>
      <c r="J1927" s="10" t="s">
        <v>6281</v>
      </c>
      <c r="K1927" s="10" t="s">
        <v>6282</v>
      </c>
      <c r="L1927" s="10" t="s">
        <v>42</v>
      </c>
    </row>
    <row r="1928" ht="15.75" customHeight="1">
      <c r="A1928" s="64">
        <v>45486.0</v>
      </c>
      <c r="B1928" s="55" t="str">
        <f>HYPERLINK("https://jobright.ai/jobs/info/667620fd4b84ce845b7f1ed6?utm_campaign=1062&amp;utm_source=sheet", "Apply")</f>
        <v>Apply</v>
      </c>
      <c r="C1928" s="10" t="s">
        <v>2771</v>
      </c>
      <c r="D1928" s="56" t="s">
        <v>385</v>
      </c>
      <c r="E1928" s="10" t="s">
        <v>45</v>
      </c>
      <c r="F1928" s="10" t="s">
        <v>386</v>
      </c>
      <c r="G1928" s="10" t="s">
        <v>2448</v>
      </c>
      <c r="H1928" s="10" t="s">
        <v>159</v>
      </c>
      <c r="I1928" s="10" t="s">
        <v>55</v>
      </c>
      <c r="J1928" s="10" t="s">
        <v>2772</v>
      </c>
      <c r="K1928" s="10" t="s">
        <v>2773</v>
      </c>
      <c r="L1928" s="10" t="s">
        <v>42</v>
      </c>
    </row>
    <row r="1929" ht="15.75" customHeight="1">
      <c r="A1929" s="64">
        <v>45486.0</v>
      </c>
      <c r="B1929" s="55" t="str">
        <f>HYPERLINK("https://jobright.ai/jobs/info/65030ca00ec892702ded4b54?utm_campaign=1062&amp;utm_source=sheet", "Apply")</f>
        <v>Apply</v>
      </c>
      <c r="C1929" s="10" t="s">
        <v>6283</v>
      </c>
      <c r="D1929" s="56" t="s">
        <v>311</v>
      </c>
      <c r="E1929" s="10" t="s">
        <v>45</v>
      </c>
      <c r="F1929" s="10" t="s">
        <v>312</v>
      </c>
      <c r="G1929" s="10" t="s">
        <v>2502</v>
      </c>
      <c r="H1929" s="10" t="s">
        <v>423</v>
      </c>
      <c r="I1929" s="10" t="s">
        <v>55</v>
      </c>
      <c r="K1929" s="10" t="s">
        <v>6284</v>
      </c>
      <c r="L1929" s="10" t="s">
        <v>42</v>
      </c>
    </row>
    <row r="1930" ht="15.75" customHeight="1">
      <c r="A1930" s="64">
        <v>45486.0</v>
      </c>
      <c r="B1930" s="55" t="str">
        <f>HYPERLINK("https://jobright.ai/jobs/info/6687f44b0825ab5c18ac4d85?utm_campaign=1062&amp;utm_source=sheet", "Apply")</f>
        <v>Apply</v>
      </c>
      <c r="C1930" s="10" t="s">
        <v>6285</v>
      </c>
      <c r="D1930" s="56" t="s">
        <v>6286</v>
      </c>
      <c r="E1930" s="10" t="s">
        <v>249</v>
      </c>
      <c r="F1930" s="10" t="s">
        <v>2746</v>
      </c>
      <c r="G1930" s="10" t="s">
        <v>2464</v>
      </c>
      <c r="H1930" s="10" t="s">
        <v>6287</v>
      </c>
      <c r="I1930" s="10" t="s">
        <v>48</v>
      </c>
      <c r="K1930" s="10" t="s">
        <v>6288</v>
      </c>
      <c r="L1930" s="10" t="s">
        <v>42</v>
      </c>
    </row>
    <row r="1931" ht="15.75" customHeight="1">
      <c r="A1931" s="64">
        <v>45486.0</v>
      </c>
      <c r="B1931" s="55" t="str">
        <f>HYPERLINK("https://jobright.ai/jobs/info/6656727281bea9115712f535?utm_campaign=1062&amp;utm_source=sheet", "Apply")</f>
        <v>Apply</v>
      </c>
      <c r="C1931" s="10" t="s">
        <v>6289</v>
      </c>
      <c r="D1931" s="56" t="s">
        <v>6290</v>
      </c>
      <c r="E1931" s="10" t="s">
        <v>249</v>
      </c>
      <c r="F1931" s="10" t="s">
        <v>2824</v>
      </c>
      <c r="G1931" s="10" t="s">
        <v>2448</v>
      </c>
      <c r="H1931" s="10" t="s">
        <v>765</v>
      </c>
      <c r="I1931" s="10" t="s">
        <v>55</v>
      </c>
      <c r="K1931" s="10" t="s">
        <v>6291</v>
      </c>
      <c r="L1931" s="10" t="s">
        <v>42</v>
      </c>
    </row>
    <row r="1932" ht="15.75" customHeight="1">
      <c r="A1932" s="64">
        <v>45486.0</v>
      </c>
      <c r="B1932" s="55" t="str">
        <f>HYPERLINK("https://jobright.ai/jobs/info/66769317cc98b9a984e406d8?utm_campaign=1062&amp;utm_source=sheet", "Apply")</f>
        <v>Apply</v>
      </c>
      <c r="C1932" s="10" t="s">
        <v>6292</v>
      </c>
      <c r="D1932" s="56" t="s">
        <v>2721</v>
      </c>
      <c r="E1932" s="10" t="s">
        <v>45</v>
      </c>
      <c r="F1932" s="10" t="s">
        <v>2722</v>
      </c>
      <c r="G1932" s="10" t="s">
        <v>2502</v>
      </c>
      <c r="H1932" s="10" t="s">
        <v>313</v>
      </c>
      <c r="I1932" s="10" t="s">
        <v>55</v>
      </c>
      <c r="J1932" s="10" t="s">
        <v>2723</v>
      </c>
      <c r="K1932" s="10" t="s">
        <v>4361</v>
      </c>
      <c r="L1932" s="10" t="s">
        <v>42</v>
      </c>
    </row>
    <row r="1933" ht="15.75" customHeight="1">
      <c r="A1933" s="64">
        <v>45486.0</v>
      </c>
      <c r="B1933" s="55" t="str">
        <f>HYPERLINK("https://jobright.ai/jobs/info/66302a93e59919f990935b90?utm_campaign=1062&amp;utm_source=sheet", "Apply")</f>
        <v>Apply</v>
      </c>
      <c r="C1933" s="10" t="s">
        <v>6293</v>
      </c>
      <c r="D1933" s="56" t="s">
        <v>6294</v>
      </c>
      <c r="E1933" s="59">
        <v>45301.0</v>
      </c>
      <c r="F1933" s="10" t="s">
        <v>3238</v>
      </c>
      <c r="G1933" s="10" t="s">
        <v>2579</v>
      </c>
      <c r="H1933" s="10" t="s">
        <v>6295</v>
      </c>
      <c r="I1933" s="10" t="s">
        <v>48</v>
      </c>
      <c r="J1933" s="10" t="s">
        <v>1960</v>
      </c>
      <c r="K1933" s="10" t="s">
        <v>6296</v>
      </c>
      <c r="L1933" s="10" t="s">
        <v>42</v>
      </c>
    </row>
    <row r="1934" ht="15.75" customHeight="1">
      <c r="A1934" s="64">
        <v>45486.0</v>
      </c>
      <c r="B1934" s="55" t="str">
        <f>HYPERLINK("https://jobright.ai/jobs/info/664ea6014e197fc8adcf7bf9?utm_campaign=1062&amp;utm_source=sheet", "Apply")</f>
        <v>Apply</v>
      </c>
      <c r="C1934" s="10" t="s">
        <v>6297</v>
      </c>
      <c r="D1934" s="56" t="s">
        <v>6298</v>
      </c>
      <c r="E1934" s="10" t="s">
        <v>209</v>
      </c>
      <c r="F1934" s="10" t="s">
        <v>6299</v>
      </c>
      <c r="G1934" s="10" t="s">
        <v>2484</v>
      </c>
      <c r="H1934" s="10" t="s">
        <v>994</v>
      </c>
      <c r="I1934" s="10" t="s">
        <v>55</v>
      </c>
      <c r="K1934" s="10" t="s">
        <v>6300</v>
      </c>
      <c r="L1934" s="10" t="s">
        <v>42</v>
      </c>
    </row>
    <row r="1935" ht="15.75" customHeight="1">
      <c r="A1935" s="64">
        <v>45486.0</v>
      </c>
      <c r="B1935" s="55" t="str">
        <f>HYPERLINK("https://jobright.ai/jobs/info/66769317cc98b9a984e40701?utm_campaign=1062&amp;utm_source=sheet", "Apply")</f>
        <v>Apply</v>
      </c>
      <c r="C1935" s="10" t="s">
        <v>6301</v>
      </c>
      <c r="D1935" s="56" t="s">
        <v>2721</v>
      </c>
      <c r="E1935" s="10" t="s">
        <v>45</v>
      </c>
      <c r="F1935" s="10" t="s">
        <v>2722</v>
      </c>
      <c r="G1935" s="10" t="s">
        <v>2448</v>
      </c>
      <c r="H1935" s="10" t="s">
        <v>423</v>
      </c>
      <c r="I1935" s="10" t="s">
        <v>55</v>
      </c>
      <c r="J1935" s="10" t="s">
        <v>6281</v>
      </c>
      <c r="K1935" s="10" t="s">
        <v>6302</v>
      </c>
      <c r="L1935" s="10" t="s">
        <v>42</v>
      </c>
    </row>
    <row r="1936" ht="15.75" customHeight="1">
      <c r="A1936" s="64">
        <v>45486.0</v>
      </c>
      <c r="B1936" s="55" t="str">
        <f>HYPERLINK("https://jobright.ai/jobs/info/6677068eacb63b6016fb0c88?utm_campaign=1062&amp;utm_source=sheet", "Apply")</f>
        <v>Apply</v>
      </c>
      <c r="C1936" s="10" t="s">
        <v>4981</v>
      </c>
      <c r="D1936" s="56" t="s">
        <v>4526</v>
      </c>
      <c r="E1936" s="10" t="s">
        <v>209</v>
      </c>
      <c r="F1936" s="10" t="s">
        <v>3124</v>
      </c>
      <c r="G1936" s="10" t="s">
        <v>2443</v>
      </c>
      <c r="H1936" s="10" t="s">
        <v>113</v>
      </c>
      <c r="I1936" s="10" t="s">
        <v>48</v>
      </c>
      <c r="K1936" s="10" t="s">
        <v>6303</v>
      </c>
      <c r="L1936" s="10" t="s">
        <v>42</v>
      </c>
    </row>
    <row r="1937" ht="15.75" customHeight="1">
      <c r="A1937" s="64">
        <v>45486.0</v>
      </c>
      <c r="B1937" s="55" t="str">
        <f>HYPERLINK("https://jobright.ai/jobs/info/6635359c28d68ed85e91af20?utm_campaign=1062&amp;utm_source=sheet", "Apply")</f>
        <v>Apply</v>
      </c>
      <c r="C1937" s="10" t="s">
        <v>6304</v>
      </c>
      <c r="D1937" s="56" t="s">
        <v>6305</v>
      </c>
      <c r="E1937" s="10" t="s">
        <v>209</v>
      </c>
      <c r="F1937" s="10" t="s">
        <v>6306</v>
      </c>
      <c r="G1937" s="10" t="s">
        <v>2437</v>
      </c>
      <c r="H1937" s="10" t="s">
        <v>6307</v>
      </c>
      <c r="I1937" s="10" t="s">
        <v>55</v>
      </c>
      <c r="K1937" s="10" t="s">
        <v>6308</v>
      </c>
      <c r="L1937" s="10" t="s">
        <v>42</v>
      </c>
    </row>
    <row r="1938" ht="15.75" customHeight="1">
      <c r="A1938" s="64">
        <v>45486.0</v>
      </c>
      <c r="B1938" s="55" t="str">
        <f>HYPERLINK("https://jobright.ai/jobs/info/668699498255e2f2b23febbe?utm_campaign=1062&amp;utm_source=sheet", "Apply")</f>
        <v>Apply</v>
      </c>
      <c r="C1938" s="10" t="s">
        <v>6309</v>
      </c>
      <c r="D1938" s="56" t="s">
        <v>6310</v>
      </c>
      <c r="E1938" s="10" t="s">
        <v>79</v>
      </c>
      <c r="F1938" s="10" t="s">
        <v>5705</v>
      </c>
      <c r="G1938" s="10" t="s">
        <v>3005</v>
      </c>
      <c r="H1938" s="10" t="s">
        <v>774</v>
      </c>
      <c r="I1938" s="10" t="s">
        <v>55</v>
      </c>
      <c r="J1938" s="10" t="s">
        <v>6311</v>
      </c>
      <c r="K1938" s="10" t="s">
        <v>6312</v>
      </c>
      <c r="L1938" s="10" t="s">
        <v>42</v>
      </c>
    </row>
    <row r="1939" ht="15.75" customHeight="1">
      <c r="A1939" s="64">
        <v>45486.0</v>
      </c>
      <c r="B1939" s="55" t="str">
        <f>HYPERLINK("https://jobright.ai/jobs/info/650aeac1b315f235ffb414d0?utm_campaign=1062&amp;utm_source=sheet", "Apply")</f>
        <v>Apply</v>
      </c>
      <c r="C1939" s="10" t="s">
        <v>6313</v>
      </c>
      <c r="D1939" s="56" t="s">
        <v>2721</v>
      </c>
      <c r="E1939" s="10" t="s">
        <v>45</v>
      </c>
      <c r="F1939" s="10" t="s">
        <v>2722</v>
      </c>
      <c r="G1939" s="10" t="s">
        <v>2448</v>
      </c>
      <c r="H1939" s="10" t="s">
        <v>313</v>
      </c>
      <c r="I1939" s="10" t="s">
        <v>55</v>
      </c>
      <c r="J1939" s="10" t="s">
        <v>6314</v>
      </c>
      <c r="K1939" s="10" t="s">
        <v>6315</v>
      </c>
      <c r="L1939" s="10" t="s">
        <v>42</v>
      </c>
    </row>
    <row r="1940" ht="15.75" customHeight="1">
      <c r="A1940" s="64">
        <v>45486.0</v>
      </c>
      <c r="B1940" s="55" t="str">
        <f>HYPERLINK("https://jobright.ai/jobs/info/65eac5b6a88b878159058199?utm_campaign=1062&amp;utm_source=sheet", "Apply")</f>
        <v>Apply</v>
      </c>
      <c r="C1940" s="10" t="s">
        <v>5737</v>
      </c>
      <c r="D1940" s="56" t="s">
        <v>614</v>
      </c>
      <c r="E1940" s="10" t="s">
        <v>65</v>
      </c>
      <c r="F1940" s="10" t="s">
        <v>615</v>
      </c>
      <c r="G1940" s="10" t="s">
        <v>2448</v>
      </c>
      <c r="H1940" s="10" t="s">
        <v>131</v>
      </c>
      <c r="I1940" s="10" t="s">
        <v>55</v>
      </c>
      <c r="K1940" s="10" t="s">
        <v>6316</v>
      </c>
      <c r="L1940" s="10" t="s">
        <v>42</v>
      </c>
    </row>
    <row r="1941" ht="15.75" customHeight="1">
      <c r="A1941" s="64">
        <v>45486.0</v>
      </c>
      <c r="B1941" s="55" t="str">
        <f>HYPERLINK("https://jobright.ai/jobs/info/65ef4122701135d1ab844052?utm_campaign=1062&amp;utm_source=sheet", "Apply")</f>
        <v>Apply</v>
      </c>
      <c r="C1941" s="10" t="s">
        <v>6292</v>
      </c>
      <c r="D1941" s="56" t="s">
        <v>2721</v>
      </c>
      <c r="E1941" s="10" t="s">
        <v>45</v>
      </c>
      <c r="F1941" s="10" t="s">
        <v>2722</v>
      </c>
      <c r="G1941" s="10" t="s">
        <v>2502</v>
      </c>
      <c r="H1941" s="10" t="s">
        <v>423</v>
      </c>
      <c r="I1941" s="10" t="s">
        <v>55</v>
      </c>
      <c r="J1941" s="10" t="s">
        <v>2767</v>
      </c>
      <c r="K1941" s="10" t="s">
        <v>4361</v>
      </c>
      <c r="L1941" s="10" t="s">
        <v>42</v>
      </c>
    </row>
    <row r="1942" ht="15.75" customHeight="1">
      <c r="A1942" s="64">
        <v>45486.0</v>
      </c>
      <c r="B1942" s="55" t="str">
        <f>HYPERLINK("https://jobright.ai/jobs/info/66766ba993b9404f41dd52c0?utm_campaign=1062&amp;utm_source=sheet", "Apply")</f>
        <v>Apply</v>
      </c>
      <c r="C1942" s="10" t="s">
        <v>6317</v>
      </c>
      <c r="D1942" s="56" t="s">
        <v>6318</v>
      </c>
      <c r="E1942" s="10" t="s">
        <v>276</v>
      </c>
      <c r="F1942" s="10" t="s">
        <v>486</v>
      </c>
      <c r="G1942" s="10" t="s">
        <v>2484</v>
      </c>
      <c r="H1942" s="10" t="s">
        <v>6319</v>
      </c>
      <c r="I1942" s="10" t="s">
        <v>55</v>
      </c>
      <c r="K1942" s="10" t="s">
        <v>6320</v>
      </c>
      <c r="L1942" s="10" t="s">
        <v>42</v>
      </c>
    </row>
    <row r="1943" ht="15.75" customHeight="1">
      <c r="A1943" s="64">
        <v>45486.0</v>
      </c>
      <c r="B1943" s="55" t="str">
        <f>HYPERLINK("https://jobright.ai/jobs/info/66766bb693b9404f41dd5377?utm_campaign=1062&amp;utm_source=sheet", "Apply")</f>
        <v>Apply</v>
      </c>
      <c r="C1943" s="10" t="s">
        <v>6280</v>
      </c>
      <c r="D1943" s="56" t="s">
        <v>2721</v>
      </c>
      <c r="E1943" s="10" t="s">
        <v>45</v>
      </c>
      <c r="F1943" s="10" t="s">
        <v>2722</v>
      </c>
      <c r="G1943" s="10" t="s">
        <v>2448</v>
      </c>
      <c r="H1943" s="10" t="s">
        <v>898</v>
      </c>
      <c r="I1943" s="10" t="s">
        <v>55</v>
      </c>
      <c r="J1943" s="10" t="s">
        <v>6281</v>
      </c>
      <c r="K1943" s="10" t="s">
        <v>6282</v>
      </c>
      <c r="L1943" s="10" t="s">
        <v>42</v>
      </c>
    </row>
    <row r="1944" ht="15.75" customHeight="1">
      <c r="A1944" s="64">
        <v>45486.0</v>
      </c>
      <c r="B1944" s="55" t="str">
        <f>HYPERLINK("https://jobright.ai/jobs/info/65b03322c38e1197efce2b0e?utm_campaign=1062&amp;utm_source=sheet", "Apply")</f>
        <v>Apply</v>
      </c>
      <c r="C1944" s="10" t="s">
        <v>4432</v>
      </c>
      <c r="D1944" s="56" t="s">
        <v>4433</v>
      </c>
      <c r="E1944" s="10">
        <v>235.0</v>
      </c>
      <c r="G1944" s="10" t="s">
        <v>2476</v>
      </c>
      <c r="H1944" s="10" t="s">
        <v>6321</v>
      </c>
      <c r="I1944" s="10" t="s">
        <v>48</v>
      </c>
      <c r="K1944" s="10" t="s">
        <v>4435</v>
      </c>
      <c r="L1944" s="10" t="s">
        <v>42</v>
      </c>
    </row>
    <row r="1945" ht="15.75" customHeight="1">
      <c r="A1945" s="64">
        <v>45486.0</v>
      </c>
      <c r="B1945" s="55" t="str">
        <f>HYPERLINK("https://jobright.ai/jobs/info/66796379f6b36b4aa01a39ff?utm_campaign=1062&amp;utm_source=sheet", "Apply")</f>
        <v>Apply</v>
      </c>
      <c r="C1945" s="10" t="s">
        <v>6285</v>
      </c>
      <c r="D1945" s="56" t="s">
        <v>6286</v>
      </c>
      <c r="E1945" s="10" t="s">
        <v>249</v>
      </c>
      <c r="F1945" s="10" t="s">
        <v>2746</v>
      </c>
      <c r="G1945" s="10" t="s">
        <v>2464</v>
      </c>
      <c r="H1945" s="10" t="s">
        <v>914</v>
      </c>
      <c r="I1945" s="10" t="s">
        <v>48</v>
      </c>
      <c r="K1945" s="10" t="s">
        <v>6288</v>
      </c>
      <c r="L1945" s="10" t="s">
        <v>42</v>
      </c>
    </row>
    <row r="1946" ht="15.75" customHeight="1">
      <c r="A1946" s="64">
        <v>45486.0</v>
      </c>
      <c r="B1946" s="55" t="str">
        <f>HYPERLINK("https://jobright.ai/jobs/info/66852fa0feda4c1c4f796f34?utm_campaign=1062&amp;utm_source=sheet", "Apply")</f>
        <v>Apply</v>
      </c>
      <c r="C1946" s="10" t="s">
        <v>5883</v>
      </c>
      <c r="D1946" s="56" t="s">
        <v>6322</v>
      </c>
      <c r="E1946" s="10" t="s">
        <v>276</v>
      </c>
      <c r="F1946" s="10" t="s">
        <v>6323</v>
      </c>
      <c r="G1946" s="10" t="s">
        <v>2509</v>
      </c>
      <c r="H1946" s="10" t="s">
        <v>1028</v>
      </c>
      <c r="I1946" s="10" t="s">
        <v>55</v>
      </c>
      <c r="K1946" s="10" t="s">
        <v>6324</v>
      </c>
      <c r="L1946" s="10" t="s">
        <v>42</v>
      </c>
    </row>
    <row r="1947" ht="15.75" customHeight="1">
      <c r="A1947" s="64">
        <v>45486.0</v>
      </c>
      <c r="B1947" s="55" t="str">
        <f>HYPERLINK("https://jobright.ai/jobs/info/6659bb1c559821b0fd5e5957?utm_campaign=1062&amp;utm_source=sheet", "Apply")</f>
        <v>Apply</v>
      </c>
      <c r="C1947" s="10" t="s">
        <v>2771</v>
      </c>
      <c r="D1947" s="56" t="s">
        <v>385</v>
      </c>
      <c r="E1947" s="10" t="s">
        <v>45</v>
      </c>
      <c r="F1947" s="10" t="s">
        <v>386</v>
      </c>
      <c r="G1947" s="10" t="s">
        <v>2448</v>
      </c>
      <c r="H1947" s="10" t="s">
        <v>6054</v>
      </c>
      <c r="I1947" s="10" t="s">
        <v>55</v>
      </c>
      <c r="J1947" s="10" t="s">
        <v>2772</v>
      </c>
      <c r="K1947" s="10" t="s">
        <v>2773</v>
      </c>
      <c r="L1947" s="10" t="s">
        <v>42</v>
      </c>
    </row>
    <row r="1948" ht="15.75" customHeight="1">
      <c r="A1948" s="64">
        <v>45486.0</v>
      </c>
      <c r="B1948" s="55" t="str">
        <f>HYPERLINK("https://jobright.ai/jobs/info/6623ff49ae450de296fa9451?utm_campaign=1062&amp;utm_source=sheet", "Apply")</f>
        <v>Apply</v>
      </c>
      <c r="C1948" s="10" t="s">
        <v>6325</v>
      </c>
      <c r="D1948" s="56" t="s">
        <v>311</v>
      </c>
      <c r="E1948" s="10" t="s">
        <v>45</v>
      </c>
      <c r="F1948" s="10" t="s">
        <v>312</v>
      </c>
      <c r="G1948" s="10" t="s">
        <v>2502</v>
      </c>
      <c r="H1948" s="10" t="s">
        <v>313</v>
      </c>
      <c r="I1948" s="10" t="s">
        <v>55</v>
      </c>
      <c r="J1948" s="10" t="s">
        <v>6326</v>
      </c>
      <c r="K1948" s="10" t="s">
        <v>6327</v>
      </c>
      <c r="L1948" s="10" t="s">
        <v>42</v>
      </c>
    </row>
    <row r="1949" ht="15.75" customHeight="1">
      <c r="A1949" s="64">
        <v>45486.0</v>
      </c>
      <c r="B1949" s="55" t="str">
        <f>HYPERLINK("https://jobright.ai/jobs/info/6676279674a49bf8010a183e?utm_campaign=1062&amp;utm_source=sheet", "Apply")</f>
        <v>Apply</v>
      </c>
      <c r="C1949" s="10" t="s">
        <v>6328</v>
      </c>
      <c r="D1949" s="56" t="s">
        <v>6329</v>
      </c>
      <c r="E1949" s="10" t="s">
        <v>249</v>
      </c>
      <c r="F1949" s="10" t="s">
        <v>1274</v>
      </c>
      <c r="G1949" s="10" t="s">
        <v>2470</v>
      </c>
      <c r="H1949" s="10" t="s">
        <v>882</v>
      </c>
      <c r="I1949" s="10" t="s">
        <v>55</v>
      </c>
      <c r="K1949" s="10" t="s">
        <v>6330</v>
      </c>
      <c r="L1949" s="10" t="s">
        <v>42</v>
      </c>
    </row>
    <row r="1950" ht="15.75" customHeight="1">
      <c r="A1950" s="64">
        <v>45486.0</v>
      </c>
      <c r="B1950" s="55" t="str">
        <f>HYPERLINK("https://jobright.ai/jobs/info/65dff865093232d095eeec87?utm_campaign=1062&amp;utm_source=sheet", "Apply")</f>
        <v>Apply</v>
      </c>
      <c r="C1950" s="10" t="s">
        <v>6331</v>
      </c>
      <c r="D1950" s="56" t="s">
        <v>5196</v>
      </c>
      <c r="E1950" s="10" t="s">
        <v>249</v>
      </c>
      <c r="F1950" s="10" t="s">
        <v>1389</v>
      </c>
      <c r="G1950" s="10" t="s">
        <v>2448</v>
      </c>
      <c r="H1950" s="10" t="s">
        <v>1018</v>
      </c>
      <c r="I1950" s="10" t="s">
        <v>55</v>
      </c>
      <c r="K1950" s="10" t="s">
        <v>5198</v>
      </c>
      <c r="L1950" s="10" t="s">
        <v>42</v>
      </c>
    </row>
    <row r="1951" ht="15.75" customHeight="1">
      <c r="A1951" s="64">
        <v>45486.0</v>
      </c>
      <c r="B1951" s="55" t="str">
        <f>HYPERLINK("https://jobright.ai/jobs/info/664eb162cd9154b3e60128e7?utm_campaign=1062&amp;utm_source=sheet", "Apply")</f>
        <v>Apply</v>
      </c>
      <c r="C1951" s="10" t="s">
        <v>6332</v>
      </c>
      <c r="D1951" s="56" t="s">
        <v>311</v>
      </c>
      <c r="E1951" s="10" t="s">
        <v>45</v>
      </c>
      <c r="F1951" s="10" t="s">
        <v>312</v>
      </c>
      <c r="G1951" s="10" t="s">
        <v>2502</v>
      </c>
      <c r="H1951" s="10" t="s">
        <v>313</v>
      </c>
      <c r="I1951" s="10" t="s">
        <v>55</v>
      </c>
      <c r="J1951" s="10" t="s">
        <v>2723</v>
      </c>
      <c r="K1951" s="10" t="s">
        <v>6333</v>
      </c>
      <c r="L1951" s="10" t="s">
        <v>42</v>
      </c>
    </row>
    <row r="1952" ht="15.75" customHeight="1">
      <c r="A1952" s="64">
        <v>45486.0</v>
      </c>
      <c r="B1952" s="55" t="str">
        <f>HYPERLINK("https://jobright.ai/jobs/info/667620fd4b84ce845b7f1e78?utm_campaign=1062&amp;utm_source=sheet", "Apply")</f>
        <v>Apply</v>
      </c>
      <c r="C1952" s="10" t="s">
        <v>6334</v>
      </c>
      <c r="D1952" s="56" t="s">
        <v>385</v>
      </c>
      <c r="E1952" s="10" t="s">
        <v>45</v>
      </c>
      <c r="F1952" s="10" t="s">
        <v>386</v>
      </c>
      <c r="G1952" s="10" t="s">
        <v>4046</v>
      </c>
      <c r="H1952" s="10" t="s">
        <v>423</v>
      </c>
      <c r="I1952" s="10" t="s">
        <v>55</v>
      </c>
      <c r="J1952" s="10" t="s">
        <v>2772</v>
      </c>
      <c r="K1952" s="10" t="s">
        <v>6335</v>
      </c>
      <c r="L1952" s="10" t="s">
        <v>42</v>
      </c>
    </row>
    <row r="1953" ht="15.75" customHeight="1">
      <c r="A1953" s="64">
        <v>45486.0</v>
      </c>
      <c r="B1953" s="55" t="str">
        <f>HYPERLINK("https://jobright.ai/jobs/info/667684e8c8b21811434bf9d9?utm_campaign=1062&amp;utm_source=sheet", "Apply")</f>
        <v>Apply</v>
      </c>
      <c r="C1953" s="10" t="s">
        <v>301</v>
      </c>
      <c r="D1953" s="56" t="s">
        <v>6336</v>
      </c>
      <c r="E1953" s="10">
        <v>404.0</v>
      </c>
      <c r="G1953" s="10" t="s">
        <v>2448</v>
      </c>
      <c r="H1953" s="10" t="s">
        <v>4724</v>
      </c>
      <c r="I1953" s="10" t="s">
        <v>55</v>
      </c>
      <c r="K1953" s="10" t="s">
        <v>6337</v>
      </c>
      <c r="L1953" s="10" t="s">
        <v>42</v>
      </c>
    </row>
    <row r="1954" ht="15.75" customHeight="1">
      <c r="A1954" s="64">
        <v>45486.0</v>
      </c>
      <c r="B1954" s="55" t="str">
        <f>HYPERLINK("https://jobright.ai/jobs/info/6638c4a8e94a9f5fe8accee9?utm_campaign=1062&amp;utm_source=sheet", "Apply")</f>
        <v>Apply</v>
      </c>
      <c r="C1954" s="10" t="s">
        <v>6338</v>
      </c>
      <c r="D1954" s="56" t="s">
        <v>6339</v>
      </c>
      <c r="E1954" s="10" t="s">
        <v>65</v>
      </c>
      <c r="F1954" s="10" t="s">
        <v>6340</v>
      </c>
      <c r="G1954" s="10" t="s">
        <v>2528</v>
      </c>
      <c r="H1954" s="10" t="s">
        <v>434</v>
      </c>
      <c r="I1954" s="10" t="s">
        <v>55</v>
      </c>
      <c r="J1954" s="10" t="s">
        <v>1189</v>
      </c>
      <c r="K1954" s="10" t="s">
        <v>6341</v>
      </c>
      <c r="L1954" s="10" t="s">
        <v>42</v>
      </c>
    </row>
    <row r="1955" ht="15.75" customHeight="1">
      <c r="A1955" s="64">
        <v>45486.0</v>
      </c>
      <c r="B1955" s="55" t="str">
        <f>HYPERLINK("https://jobright.ai/jobs/info/660d1c5424f8fd928b9cc623?utm_campaign=1062&amp;utm_source=sheet", "Apply")</f>
        <v>Apply</v>
      </c>
      <c r="C1955" s="10" t="s">
        <v>6334</v>
      </c>
      <c r="D1955" s="56" t="s">
        <v>385</v>
      </c>
      <c r="E1955" s="10" t="s">
        <v>45</v>
      </c>
      <c r="F1955" s="10" t="s">
        <v>386</v>
      </c>
      <c r="G1955" s="10" t="s">
        <v>4046</v>
      </c>
      <c r="H1955" s="10" t="s">
        <v>711</v>
      </c>
      <c r="I1955" s="10" t="s">
        <v>55</v>
      </c>
      <c r="J1955" s="10" t="s">
        <v>2772</v>
      </c>
      <c r="K1955" s="10" t="s">
        <v>6335</v>
      </c>
      <c r="L1955" s="10" t="s">
        <v>42</v>
      </c>
    </row>
    <row r="1956" ht="15.75" customHeight="1">
      <c r="A1956" s="64">
        <v>45486.0</v>
      </c>
      <c r="B1956" s="55" t="str">
        <f>HYPERLINK("https://jobright.ai/jobs/info/66761517e5fc016086b1c388?utm_campaign=1062&amp;utm_source=sheet", "Apply")</f>
        <v>Apply</v>
      </c>
      <c r="C1956" s="10" t="s">
        <v>6008</v>
      </c>
      <c r="D1956" s="56" t="s">
        <v>385</v>
      </c>
      <c r="E1956" s="10" t="s">
        <v>45</v>
      </c>
      <c r="F1956" s="10" t="s">
        <v>386</v>
      </c>
      <c r="G1956" s="10" t="s">
        <v>4046</v>
      </c>
      <c r="H1956" s="10" t="s">
        <v>1057</v>
      </c>
      <c r="I1956" s="10" t="s">
        <v>55</v>
      </c>
      <c r="K1956" s="10" t="s">
        <v>6009</v>
      </c>
      <c r="L1956" s="10" t="s">
        <v>42</v>
      </c>
    </row>
    <row r="1957" ht="15.75" customHeight="1">
      <c r="A1957" s="64">
        <v>45486.0</v>
      </c>
      <c r="B1957" s="55" t="str">
        <f>HYPERLINK("https://jobright.ai/jobs/info/65ef26bb1b46355a5883e15a?utm_campaign=1062&amp;utm_source=sheet", "Apply")</f>
        <v>Apply</v>
      </c>
      <c r="C1957" s="10" t="s">
        <v>6342</v>
      </c>
      <c r="D1957" s="56" t="s">
        <v>716</v>
      </c>
      <c r="E1957" s="10" t="s">
        <v>79</v>
      </c>
      <c r="F1957" s="10" t="s">
        <v>717</v>
      </c>
      <c r="G1957" s="10" t="s">
        <v>2807</v>
      </c>
      <c r="H1957" s="10" t="s">
        <v>144</v>
      </c>
      <c r="I1957" s="10" t="s">
        <v>48</v>
      </c>
      <c r="J1957" s="10" t="s">
        <v>718</v>
      </c>
      <c r="K1957" s="10" t="s">
        <v>6343</v>
      </c>
      <c r="L1957" s="10" t="s">
        <v>42</v>
      </c>
    </row>
    <row r="1958" ht="15.75" customHeight="1">
      <c r="A1958" s="64">
        <v>45486.0</v>
      </c>
      <c r="B1958" s="55" t="str">
        <f>HYPERLINK("https://jobright.ai/jobs/info/65b45b3c5e1a6a34f900daeb?utm_campaign=1062&amp;utm_source=sheet", "Apply")</f>
        <v>Apply</v>
      </c>
      <c r="C1958" s="10" t="s">
        <v>2762</v>
      </c>
      <c r="D1958" s="56" t="s">
        <v>2763</v>
      </c>
      <c r="E1958" s="10" t="s">
        <v>45</v>
      </c>
      <c r="F1958" s="10" t="s">
        <v>1465</v>
      </c>
      <c r="G1958" s="10" t="s">
        <v>2470</v>
      </c>
      <c r="H1958" s="10" t="s">
        <v>988</v>
      </c>
      <c r="I1958" s="10" t="s">
        <v>55</v>
      </c>
      <c r="J1958" s="10" t="s">
        <v>2764</v>
      </c>
      <c r="K1958" s="10" t="s">
        <v>2832</v>
      </c>
      <c r="L1958" s="10" t="s">
        <v>42</v>
      </c>
    </row>
    <row r="1959" ht="15.75" customHeight="1">
      <c r="A1959" s="64">
        <v>45486.0</v>
      </c>
      <c r="B1959" s="55" t="str">
        <f>HYPERLINK("https://jobright.ai/jobs/info/6676a0a1573f97cc9db08e08?utm_campaign=1062&amp;utm_source=sheet", "Apply")</f>
        <v>Apply</v>
      </c>
      <c r="C1959" s="10" t="s">
        <v>4972</v>
      </c>
      <c r="D1959" s="56" t="s">
        <v>2717</v>
      </c>
      <c r="E1959" s="10" t="s">
        <v>65</v>
      </c>
      <c r="F1959" s="10" t="s">
        <v>2718</v>
      </c>
      <c r="G1959" s="10" t="s">
        <v>2605</v>
      </c>
      <c r="H1959" s="10" t="s">
        <v>6344</v>
      </c>
      <c r="I1959" s="10" t="s">
        <v>55</v>
      </c>
      <c r="J1959" s="10" t="s">
        <v>1189</v>
      </c>
      <c r="K1959" s="10" t="s">
        <v>2719</v>
      </c>
      <c r="L1959" s="10" t="s">
        <v>42</v>
      </c>
    </row>
    <row r="1960" ht="15.75" customHeight="1">
      <c r="A1960" s="64">
        <v>45486.0</v>
      </c>
      <c r="B1960" s="55" t="str">
        <f>HYPERLINK("https://jobright.ai/jobs/info/65ec750f0ddcb6416d0f6ce2?utm_campaign=1062&amp;utm_source=sheet", "Apply")</f>
        <v>Apply</v>
      </c>
      <c r="C1960" s="10" t="s">
        <v>3303</v>
      </c>
      <c r="D1960" s="56" t="s">
        <v>2763</v>
      </c>
      <c r="E1960" s="10" t="s">
        <v>45</v>
      </c>
      <c r="F1960" s="10" t="s">
        <v>1465</v>
      </c>
      <c r="G1960" s="10" t="s">
        <v>2437</v>
      </c>
      <c r="H1960" s="10" t="s">
        <v>6187</v>
      </c>
      <c r="I1960" s="10" t="s">
        <v>55</v>
      </c>
      <c r="K1960" s="10" t="s">
        <v>3305</v>
      </c>
      <c r="L1960" s="10" t="s">
        <v>42</v>
      </c>
    </row>
    <row r="1961" ht="15.75" customHeight="1">
      <c r="A1961" s="64">
        <v>45486.0</v>
      </c>
      <c r="B1961" s="55" t="str">
        <f>HYPERLINK("https://jobright.ai/jobs/info/66760e95ad2dd17614c49345?utm_campaign=1062&amp;utm_source=sheet", "Apply")</f>
        <v>Apply</v>
      </c>
      <c r="C1961" s="10" t="s">
        <v>5964</v>
      </c>
      <c r="D1961" s="56" t="s">
        <v>385</v>
      </c>
      <c r="E1961" s="10" t="s">
        <v>45</v>
      </c>
      <c r="F1961" s="10" t="s">
        <v>386</v>
      </c>
      <c r="G1961" s="10" t="s">
        <v>4046</v>
      </c>
      <c r="H1961" s="10" t="s">
        <v>711</v>
      </c>
      <c r="I1961" s="10" t="s">
        <v>55</v>
      </c>
      <c r="K1961" s="10" t="s">
        <v>5823</v>
      </c>
      <c r="L1961" s="10" t="s">
        <v>42</v>
      </c>
    </row>
    <row r="1962" ht="15.75" customHeight="1">
      <c r="A1962" s="64">
        <v>45486.0</v>
      </c>
      <c r="B1962" s="55" t="str">
        <f>HYPERLINK("https://jobright.ai/jobs/info/6655be300edcc7fa284b323c?utm_campaign=1062&amp;utm_source=sheet", "Apply")</f>
        <v>Apply</v>
      </c>
      <c r="C1962" s="10" t="s">
        <v>6345</v>
      </c>
      <c r="D1962" s="56" t="s">
        <v>1780</v>
      </c>
      <c r="E1962" s="10" t="s">
        <v>45</v>
      </c>
      <c r="F1962" s="10" t="s">
        <v>1781</v>
      </c>
      <c r="G1962" s="10" t="s">
        <v>2807</v>
      </c>
      <c r="H1962" s="10" t="s">
        <v>165</v>
      </c>
      <c r="I1962" s="10" t="s">
        <v>55</v>
      </c>
      <c r="J1962" s="10" t="s">
        <v>3969</v>
      </c>
      <c r="K1962" s="10" t="s">
        <v>4532</v>
      </c>
      <c r="L1962" s="10" t="s">
        <v>42</v>
      </c>
    </row>
    <row r="1963" ht="15.75" customHeight="1">
      <c r="A1963" s="64">
        <v>45486.0</v>
      </c>
      <c r="B1963" s="55" t="str">
        <f>HYPERLINK("https://jobright.ai/jobs/info/6658673d1cec6abbd9a8dbc6?utm_campaign=1062&amp;utm_source=sheet", "Apply")</f>
        <v>Apply</v>
      </c>
      <c r="C1963" s="10" t="s">
        <v>5985</v>
      </c>
      <c r="D1963" s="56" t="s">
        <v>2493</v>
      </c>
      <c r="E1963" s="10" t="s">
        <v>45</v>
      </c>
      <c r="F1963" s="10" t="s">
        <v>2494</v>
      </c>
      <c r="G1963" s="10" t="s">
        <v>2448</v>
      </c>
      <c r="H1963" s="10" t="s">
        <v>936</v>
      </c>
      <c r="I1963" s="10" t="s">
        <v>55</v>
      </c>
      <c r="K1963" s="10" t="s">
        <v>6346</v>
      </c>
      <c r="L1963" s="10" t="s">
        <v>42</v>
      </c>
    </row>
    <row r="1964" ht="15.75" customHeight="1">
      <c r="A1964" s="64">
        <v>45486.0</v>
      </c>
      <c r="B1964" s="55" t="str">
        <f>HYPERLINK("https://jobright.ai/jobs/info/65da602076768d0394e73f7a?utm_campaign=1062&amp;utm_source=sheet", "Apply")</f>
        <v>Apply</v>
      </c>
      <c r="C1964" s="10" t="s">
        <v>6347</v>
      </c>
      <c r="D1964" s="56" t="s">
        <v>311</v>
      </c>
      <c r="E1964" s="10" t="s">
        <v>45</v>
      </c>
      <c r="F1964" s="10" t="s">
        <v>312</v>
      </c>
      <c r="G1964" s="10" t="s">
        <v>2502</v>
      </c>
      <c r="H1964" s="10" t="s">
        <v>423</v>
      </c>
      <c r="I1964" s="10" t="s">
        <v>55</v>
      </c>
      <c r="J1964" s="10" t="s">
        <v>6281</v>
      </c>
      <c r="K1964" s="10" t="s">
        <v>6348</v>
      </c>
      <c r="L1964" s="10" t="s">
        <v>42</v>
      </c>
    </row>
    <row r="1965" ht="15.75" customHeight="1">
      <c r="A1965" s="64">
        <v>45486.0</v>
      </c>
      <c r="B1965" s="55" t="str">
        <f>HYPERLINK("https://jobright.ai/jobs/info/6692b549bc3997a74bb152be?utm_campaign=1062&amp;utm_source=sheet", "Apply")</f>
        <v>Apply</v>
      </c>
      <c r="C1965" s="10" t="s">
        <v>5937</v>
      </c>
      <c r="D1965" s="56" t="s">
        <v>2763</v>
      </c>
      <c r="E1965" s="10" t="s">
        <v>45</v>
      </c>
      <c r="F1965" s="10" t="s">
        <v>1465</v>
      </c>
      <c r="G1965" s="10" t="s">
        <v>2484</v>
      </c>
      <c r="H1965" s="10" t="s">
        <v>6349</v>
      </c>
      <c r="I1965" s="10" t="s">
        <v>55</v>
      </c>
      <c r="J1965" s="10" t="s">
        <v>5938</v>
      </c>
      <c r="K1965" s="10" t="s">
        <v>5939</v>
      </c>
      <c r="L1965" s="10" t="s">
        <v>42</v>
      </c>
    </row>
    <row r="1966" ht="15.75" customHeight="1">
      <c r="A1966" s="64">
        <v>45486.0</v>
      </c>
      <c r="B1966" s="55" t="str">
        <f>HYPERLINK("https://jobright.ai/jobs/info/663cbe337d058fb08c355f1c?utm_campaign=1062&amp;utm_source=sheet", "Apply")</f>
        <v>Apply</v>
      </c>
      <c r="C1966" s="10" t="s">
        <v>2771</v>
      </c>
      <c r="D1966" s="56" t="s">
        <v>385</v>
      </c>
      <c r="E1966" s="10" t="s">
        <v>45</v>
      </c>
      <c r="F1966" s="10" t="s">
        <v>386</v>
      </c>
      <c r="G1966" s="10" t="s">
        <v>2448</v>
      </c>
      <c r="H1966" s="10" t="s">
        <v>216</v>
      </c>
      <c r="I1966" s="10" t="s">
        <v>55</v>
      </c>
      <c r="J1966" s="10" t="s">
        <v>2772</v>
      </c>
      <c r="K1966" s="10" t="s">
        <v>2773</v>
      </c>
      <c r="L1966" s="10" t="s">
        <v>42</v>
      </c>
    </row>
    <row r="1967" ht="15.75" customHeight="1">
      <c r="A1967" s="64">
        <v>45486.0</v>
      </c>
      <c r="B1967" s="55" t="str">
        <f>HYPERLINK("https://jobright.ai/jobs/info/6656fc8e370b79848db8f5ff?utm_campaign=1062&amp;utm_source=sheet", "Apply")</f>
        <v>Apply</v>
      </c>
      <c r="C1967" s="10" t="s">
        <v>3037</v>
      </c>
      <c r="D1967" s="56" t="s">
        <v>6350</v>
      </c>
      <c r="E1967" s="10" t="s">
        <v>65</v>
      </c>
      <c r="F1967" s="10" t="s">
        <v>2579</v>
      </c>
      <c r="G1967" s="10" t="s">
        <v>2579</v>
      </c>
      <c r="H1967" s="10" t="s">
        <v>1212</v>
      </c>
      <c r="I1967" s="10" t="s">
        <v>55</v>
      </c>
      <c r="J1967" s="10" t="s">
        <v>6351</v>
      </c>
      <c r="K1967" s="10" t="s">
        <v>6352</v>
      </c>
      <c r="L1967" s="10" t="s">
        <v>42</v>
      </c>
    </row>
    <row r="1968" ht="15.75" customHeight="1">
      <c r="A1968" s="64">
        <v>45486.0</v>
      </c>
      <c r="B1968" s="55" t="str">
        <f>HYPERLINK("https://jobright.ai/jobs/info/667620eb4b84ce845b7f1ddb?utm_campaign=1062&amp;utm_source=sheet", "Apply")</f>
        <v>Apply</v>
      </c>
      <c r="C1968" s="10" t="s">
        <v>6353</v>
      </c>
      <c r="D1968" s="56" t="s">
        <v>385</v>
      </c>
      <c r="E1968" s="10" t="s">
        <v>45</v>
      </c>
      <c r="F1968" s="10" t="s">
        <v>386</v>
      </c>
      <c r="G1968" s="10" t="s">
        <v>4046</v>
      </c>
      <c r="H1968" s="10" t="s">
        <v>1057</v>
      </c>
      <c r="I1968" s="10" t="s">
        <v>55</v>
      </c>
      <c r="K1968" s="10" t="s">
        <v>6354</v>
      </c>
      <c r="L1968" s="10" t="s">
        <v>42</v>
      </c>
    </row>
    <row r="1969" ht="15.75" customHeight="1">
      <c r="A1969" s="64">
        <v>45486.0</v>
      </c>
      <c r="B1969" s="55" t="str">
        <f>HYPERLINK("https://jobright.ai/jobs/info/669270e1417e1cc659ba6157?utm_campaign=1062&amp;utm_source=sheet", "Apply")</f>
        <v>Apply</v>
      </c>
      <c r="C1969" s="10" t="s">
        <v>5937</v>
      </c>
      <c r="D1969" s="56" t="s">
        <v>2763</v>
      </c>
      <c r="E1969" s="10" t="s">
        <v>45</v>
      </c>
      <c r="F1969" s="10" t="s">
        <v>1465</v>
      </c>
      <c r="G1969" s="10" t="s">
        <v>2484</v>
      </c>
      <c r="H1969" s="10" t="s">
        <v>505</v>
      </c>
      <c r="I1969" s="10" t="s">
        <v>55</v>
      </c>
      <c r="J1969" s="10" t="s">
        <v>5938</v>
      </c>
      <c r="K1969" s="10" t="s">
        <v>5939</v>
      </c>
      <c r="L1969" s="10" t="s">
        <v>42</v>
      </c>
    </row>
    <row r="1970" ht="15.75" customHeight="1">
      <c r="A1970" s="64">
        <v>45486.0</v>
      </c>
      <c r="B1970" s="55" t="str">
        <f>HYPERLINK("https://jobright.ai/jobs/info/65c7a2d950e2aae8bb38e06e?utm_campaign=1062&amp;utm_source=sheet", "Apply")</f>
        <v>Apply</v>
      </c>
      <c r="C1970" s="10" t="s">
        <v>6355</v>
      </c>
      <c r="D1970" s="56" t="s">
        <v>5280</v>
      </c>
      <c r="E1970" s="10" t="s">
        <v>209</v>
      </c>
      <c r="F1970" s="10" t="s">
        <v>1512</v>
      </c>
      <c r="G1970" s="10" t="s">
        <v>2448</v>
      </c>
      <c r="H1970" s="10" t="s">
        <v>6356</v>
      </c>
      <c r="I1970" s="10" t="s">
        <v>55</v>
      </c>
      <c r="K1970" s="10" t="s">
        <v>6357</v>
      </c>
      <c r="L1970" s="10" t="s">
        <v>42</v>
      </c>
    </row>
    <row r="1971" ht="15.75" customHeight="1">
      <c r="A1971" s="64">
        <v>45486.0</v>
      </c>
      <c r="B1971" s="55" t="str">
        <f>HYPERLINK("https://jobright.ai/jobs/info/6676dd0b52e59db0b1bd5a35?utm_campaign=1062&amp;utm_source=sheet", "Apply")</f>
        <v>Apply</v>
      </c>
      <c r="C1971" s="10" t="s">
        <v>6358</v>
      </c>
      <c r="D1971" s="56" t="s">
        <v>3714</v>
      </c>
      <c r="E1971" s="10" t="s">
        <v>79</v>
      </c>
      <c r="F1971" s="10" t="s">
        <v>404</v>
      </c>
      <c r="G1971" s="10" t="s">
        <v>2455</v>
      </c>
      <c r="H1971" s="10" t="s">
        <v>914</v>
      </c>
      <c r="I1971" s="10" t="s">
        <v>48</v>
      </c>
      <c r="K1971" s="10" t="s">
        <v>3715</v>
      </c>
      <c r="L1971" s="10" t="s">
        <v>42</v>
      </c>
    </row>
    <row r="1972" ht="15.75" customHeight="1">
      <c r="A1972" s="64">
        <v>45486.0</v>
      </c>
      <c r="B1972" s="55" t="str">
        <f>HYPERLINK("https://jobright.ai/jobs/info/66767d0f37c63b2c9fc035e0?utm_campaign=1062&amp;utm_source=sheet", "Apply")</f>
        <v>Apply</v>
      </c>
      <c r="C1972" s="10" t="s">
        <v>6280</v>
      </c>
      <c r="D1972" s="56" t="s">
        <v>2721</v>
      </c>
      <c r="E1972" s="10" t="s">
        <v>45</v>
      </c>
      <c r="F1972" s="10" t="s">
        <v>2722</v>
      </c>
      <c r="G1972" s="10" t="s">
        <v>2448</v>
      </c>
      <c r="H1972" s="10" t="s">
        <v>313</v>
      </c>
      <c r="I1972" s="10" t="s">
        <v>55</v>
      </c>
      <c r="J1972" s="10" t="s">
        <v>6314</v>
      </c>
      <c r="K1972" s="10" t="s">
        <v>6282</v>
      </c>
      <c r="L1972" s="10" t="s">
        <v>42</v>
      </c>
    </row>
    <row r="1973" ht="15.75" customHeight="1">
      <c r="A1973" s="64">
        <v>45486.0</v>
      </c>
      <c r="B1973" s="55" t="str">
        <f>HYPERLINK("https://jobright.ai/jobs/info/667601bcf1b86992c36466de?utm_campaign=1062&amp;utm_source=sheet", "Apply")</f>
        <v>Apply</v>
      </c>
      <c r="C1973" s="10" t="s">
        <v>2771</v>
      </c>
      <c r="D1973" s="56" t="s">
        <v>385</v>
      </c>
      <c r="E1973" s="10" t="s">
        <v>45</v>
      </c>
      <c r="F1973" s="10" t="s">
        <v>386</v>
      </c>
      <c r="G1973" s="10" t="s">
        <v>2448</v>
      </c>
      <c r="H1973" s="10" t="s">
        <v>6359</v>
      </c>
      <c r="I1973" s="10" t="s">
        <v>55</v>
      </c>
      <c r="J1973" s="10" t="s">
        <v>2772</v>
      </c>
      <c r="K1973" s="10" t="s">
        <v>2773</v>
      </c>
      <c r="L1973" s="10" t="s">
        <v>42</v>
      </c>
    </row>
    <row r="1974" ht="15.75" customHeight="1">
      <c r="A1974" s="64">
        <v>45486.0</v>
      </c>
      <c r="B1974" s="55" t="str">
        <f>HYPERLINK("https://jobright.ai/jobs/info/661ee3f7883ca59b86f38242?utm_campaign=1062&amp;utm_source=sheet", "Apply")</f>
        <v>Apply</v>
      </c>
      <c r="C1974" s="10" t="s">
        <v>6360</v>
      </c>
      <c r="D1974" s="56" t="s">
        <v>6361</v>
      </c>
      <c r="E1974" s="10" t="s">
        <v>65</v>
      </c>
      <c r="F1974" s="10" t="s">
        <v>5470</v>
      </c>
      <c r="G1974" s="10" t="s">
        <v>2437</v>
      </c>
      <c r="H1974" s="10" t="s">
        <v>6362</v>
      </c>
      <c r="I1974" s="10" t="s">
        <v>55</v>
      </c>
      <c r="K1974" s="10" t="s">
        <v>6363</v>
      </c>
      <c r="L1974" s="10" t="s">
        <v>42</v>
      </c>
    </row>
    <row r="1975" ht="15.75" customHeight="1">
      <c r="A1975" s="64">
        <v>45486.0</v>
      </c>
      <c r="B1975" s="55" t="str">
        <f>HYPERLINK("https://jobright.ai/jobs/info/65ba4579417b19f748dcb5ce?utm_campaign=1062&amp;utm_source=sheet", "Apply")</f>
        <v>Apply</v>
      </c>
      <c r="C1975" s="10" t="s">
        <v>6364</v>
      </c>
      <c r="D1975" s="56" t="s">
        <v>1061</v>
      </c>
      <c r="E1975" s="10" t="s">
        <v>209</v>
      </c>
      <c r="G1975" s="10" t="s">
        <v>2448</v>
      </c>
      <c r="H1975" s="10" t="s">
        <v>598</v>
      </c>
      <c r="I1975" s="10" t="s">
        <v>55</v>
      </c>
      <c r="K1975" s="10" t="s">
        <v>6365</v>
      </c>
      <c r="L1975" s="10" t="s">
        <v>42</v>
      </c>
    </row>
    <row r="1976" ht="15.75" customHeight="1">
      <c r="A1976" s="64">
        <v>45486.0</v>
      </c>
      <c r="B1976" s="55" t="str">
        <f>HYPERLINK("https://jobright.ai/jobs/info/663ad88518078d103fbee1eb?utm_campaign=1062&amp;utm_source=sheet", "Apply")</f>
        <v>Apply</v>
      </c>
      <c r="C1976" s="10" t="s">
        <v>6366</v>
      </c>
      <c r="D1976" s="56" t="s">
        <v>716</v>
      </c>
      <c r="E1976" s="10" t="s">
        <v>79</v>
      </c>
      <c r="F1976" s="10" t="s">
        <v>717</v>
      </c>
      <c r="G1976" s="10" t="s">
        <v>2437</v>
      </c>
      <c r="H1976" s="10" t="s">
        <v>144</v>
      </c>
      <c r="I1976" s="10" t="s">
        <v>48</v>
      </c>
      <c r="J1976" s="10" t="s">
        <v>3290</v>
      </c>
      <c r="K1976" s="10" t="s">
        <v>6367</v>
      </c>
      <c r="L1976" s="10" t="s">
        <v>42</v>
      </c>
    </row>
    <row r="1977" ht="15.75" customHeight="1">
      <c r="A1977" s="64">
        <v>45486.0</v>
      </c>
      <c r="B1977" s="55" t="str">
        <f>HYPERLINK("https://jobright.ai/jobs/info/659ee7080256ecd9c02173f0?utm_campaign=1062&amp;utm_source=sheet", "Apply")</f>
        <v>Apply</v>
      </c>
      <c r="C1977" s="10" t="s">
        <v>6020</v>
      </c>
      <c r="D1977" s="56" t="s">
        <v>311</v>
      </c>
      <c r="E1977" s="10" t="s">
        <v>45</v>
      </c>
      <c r="F1977" s="10" t="s">
        <v>312</v>
      </c>
      <c r="G1977" s="10" t="s">
        <v>2448</v>
      </c>
      <c r="H1977" s="10" t="s">
        <v>313</v>
      </c>
      <c r="I1977" s="10" t="s">
        <v>55</v>
      </c>
      <c r="J1977" s="10" t="s">
        <v>6368</v>
      </c>
      <c r="K1977" s="10" t="s">
        <v>6369</v>
      </c>
      <c r="L1977" s="10" t="s">
        <v>42</v>
      </c>
    </row>
    <row r="1978" ht="15.75" customHeight="1">
      <c r="A1978" s="64">
        <v>45486.0</v>
      </c>
      <c r="B1978" s="55" t="str">
        <f>HYPERLINK("https://jobright.ai/jobs/info/64f7498fe9905bba86f7b246?utm_campaign=1062&amp;utm_source=sheet", "Apply")</f>
        <v>Apply</v>
      </c>
      <c r="C1978" s="10" t="s">
        <v>6370</v>
      </c>
      <c r="D1978" s="56" t="s">
        <v>311</v>
      </c>
      <c r="E1978" s="10" t="s">
        <v>45</v>
      </c>
      <c r="F1978" s="10" t="s">
        <v>312</v>
      </c>
      <c r="G1978" s="10" t="s">
        <v>2502</v>
      </c>
      <c r="H1978" s="10" t="s">
        <v>313</v>
      </c>
      <c r="I1978" s="10" t="s">
        <v>55</v>
      </c>
      <c r="J1978" s="10" t="s">
        <v>414</v>
      </c>
      <c r="K1978" s="10" t="s">
        <v>6371</v>
      </c>
      <c r="L1978" s="10" t="s">
        <v>42</v>
      </c>
    </row>
    <row r="1979" ht="15.75" customHeight="1">
      <c r="A1979" s="64">
        <v>45486.0</v>
      </c>
      <c r="B1979" s="55" t="str">
        <f>HYPERLINK("https://jobright.ai/jobs/info/664f988df745eda42c35bd3a?utm_campaign=1062&amp;utm_source=sheet", "Apply")</f>
        <v>Apply</v>
      </c>
      <c r="C1979" s="10" t="s">
        <v>6372</v>
      </c>
      <c r="D1979" s="56" t="s">
        <v>716</v>
      </c>
      <c r="E1979" s="10" t="s">
        <v>79</v>
      </c>
      <c r="F1979" s="10" t="s">
        <v>717</v>
      </c>
      <c r="G1979" s="10" t="s">
        <v>2807</v>
      </c>
      <c r="H1979" s="10" t="s">
        <v>144</v>
      </c>
      <c r="I1979" s="10" t="s">
        <v>48</v>
      </c>
      <c r="J1979" s="10" t="s">
        <v>3290</v>
      </c>
      <c r="K1979" s="10" t="s">
        <v>6373</v>
      </c>
      <c r="L1979" s="10" t="s">
        <v>42</v>
      </c>
    </row>
    <row r="1980" ht="15.75" customHeight="1">
      <c r="A1980" s="64">
        <v>45486.0</v>
      </c>
      <c r="B1980" s="55" t="str">
        <f>HYPERLINK("https://jobright.ai/jobs/info/6675fd209592a403f1071995?utm_campaign=1062&amp;utm_source=sheet", "Apply")</f>
        <v>Apply</v>
      </c>
      <c r="C1980" s="10" t="s">
        <v>6374</v>
      </c>
      <c r="D1980" s="56" t="s">
        <v>311</v>
      </c>
      <c r="E1980" s="10" t="s">
        <v>45</v>
      </c>
      <c r="F1980" s="10" t="s">
        <v>312</v>
      </c>
      <c r="G1980" s="10" t="s">
        <v>2502</v>
      </c>
      <c r="H1980" s="10" t="s">
        <v>423</v>
      </c>
      <c r="I1980" s="10" t="s">
        <v>55</v>
      </c>
      <c r="J1980" s="10" t="s">
        <v>5961</v>
      </c>
      <c r="K1980" s="10" t="s">
        <v>6375</v>
      </c>
      <c r="L1980" s="10" t="s">
        <v>42</v>
      </c>
    </row>
    <row r="1981" ht="15.75" customHeight="1">
      <c r="A1981" s="64">
        <v>45486.0</v>
      </c>
      <c r="B1981" s="55" t="str">
        <f>HYPERLINK("https://jobright.ai/jobs/info/6679630df6b36b4aa01a3238?utm_campaign=1062&amp;utm_source=sheet", "Apply")</f>
        <v>Apply</v>
      </c>
      <c r="C1981" s="10" t="s">
        <v>6376</v>
      </c>
      <c r="D1981" s="56" t="s">
        <v>716</v>
      </c>
      <c r="E1981" s="10" t="s">
        <v>79</v>
      </c>
      <c r="F1981" s="10" t="s">
        <v>717</v>
      </c>
      <c r="G1981" s="10" t="s">
        <v>2437</v>
      </c>
      <c r="H1981" s="10" t="s">
        <v>144</v>
      </c>
      <c r="I1981" s="10" t="s">
        <v>55</v>
      </c>
      <c r="J1981" s="10" t="s">
        <v>718</v>
      </c>
      <c r="K1981" s="10" t="s">
        <v>6377</v>
      </c>
      <c r="L1981" s="10" t="s">
        <v>42</v>
      </c>
    </row>
    <row r="1982" ht="15.75" customHeight="1">
      <c r="A1982" s="64">
        <v>45486.0</v>
      </c>
      <c r="B1982" s="55" t="str">
        <f>HYPERLINK("https://jobright.ai/jobs/info/66769338cc98b9a984e40918?utm_campaign=1062&amp;utm_source=sheet", "Apply")</f>
        <v>Apply</v>
      </c>
      <c r="C1982" s="10" t="s">
        <v>6378</v>
      </c>
      <c r="D1982" s="56" t="s">
        <v>2721</v>
      </c>
      <c r="E1982" s="10" t="s">
        <v>45</v>
      </c>
      <c r="F1982" s="10" t="s">
        <v>2722</v>
      </c>
      <c r="G1982" s="10" t="s">
        <v>2502</v>
      </c>
      <c r="H1982" s="10" t="s">
        <v>313</v>
      </c>
      <c r="I1982" s="10" t="s">
        <v>55</v>
      </c>
      <c r="J1982" s="10" t="s">
        <v>314</v>
      </c>
      <c r="K1982" s="10" t="s">
        <v>6379</v>
      </c>
      <c r="L1982" s="10" t="s">
        <v>42</v>
      </c>
    </row>
    <row r="1983" ht="15.75" customHeight="1">
      <c r="A1983" s="64">
        <v>45486.0</v>
      </c>
      <c r="B1983" s="55" t="str">
        <f>HYPERLINK("https://jobright.ai/jobs/info/65d9cd988b8ee6e634e556b5?utm_campaign=1062&amp;utm_source=sheet", "Apply")</f>
        <v>Apply</v>
      </c>
      <c r="C1983" s="10" t="s">
        <v>4432</v>
      </c>
      <c r="D1983" s="56" t="s">
        <v>4433</v>
      </c>
      <c r="E1983" s="10">
        <v>235.0</v>
      </c>
      <c r="G1983" s="10" t="s">
        <v>2476</v>
      </c>
      <c r="H1983" s="10" t="s">
        <v>4897</v>
      </c>
      <c r="I1983" s="10" t="s">
        <v>48</v>
      </c>
      <c r="K1983" s="10" t="s">
        <v>5163</v>
      </c>
      <c r="L1983" s="10" t="s">
        <v>42</v>
      </c>
    </row>
    <row r="1984" ht="15.75" customHeight="1">
      <c r="A1984" s="64">
        <v>45486.0</v>
      </c>
      <c r="B1984" s="55" t="str">
        <f>HYPERLINK("https://jobright.ai/jobs/info/6679775e22283fc0c7337722?utm_campaign=1062&amp;utm_source=sheet", "Apply")</f>
        <v>Apply</v>
      </c>
      <c r="C1984" s="10" t="s">
        <v>2762</v>
      </c>
      <c r="D1984" s="56" t="s">
        <v>2763</v>
      </c>
      <c r="E1984" s="10" t="s">
        <v>45</v>
      </c>
      <c r="F1984" s="10" t="s">
        <v>1465</v>
      </c>
      <c r="G1984" s="10" t="s">
        <v>2470</v>
      </c>
      <c r="H1984" s="10" t="s">
        <v>4051</v>
      </c>
      <c r="I1984" s="10" t="s">
        <v>55</v>
      </c>
      <c r="J1984" s="10" t="s">
        <v>2764</v>
      </c>
      <c r="K1984" s="10" t="s">
        <v>2832</v>
      </c>
      <c r="L1984" s="10" t="s">
        <v>42</v>
      </c>
    </row>
    <row r="1985" ht="15.75" customHeight="1">
      <c r="A1985" s="64">
        <v>45486.0</v>
      </c>
      <c r="B1985" s="55" t="str">
        <f>HYPERLINK("https://jobright.ai/jobs/info/6676d53c1d12b0825938351a?utm_campaign=1062&amp;utm_source=sheet", "Apply")</f>
        <v>Apply</v>
      </c>
      <c r="C1985" s="10" t="s">
        <v>2754</v>
      </c>
      <c r="D1985" s="56" t="s">
        <v>2721</v>
      </c>
      <c r="E1985" s="10" t="s">
        <v>45</v>
      </c>
      <c r="F1985" s="10" t="s">
        <v>2722</v>
      </c>
      <c r="G1985" s="10" t="s">
        <v>2448</v>
      </c>
      <c r="H1985" s="10" t="s">
        <v>898</v>
      </c>
      <c r="I1985" s="10" t="s">
        <v>55</v>
      </c>
      <c r="J1985" s="10" t="s">
        <v>6001</v>
      </c>
      <c r="K1985" s="10" t="s">
        <v>2756</v>
      </c>
      <c r="L1985" s="10" t="s">
        <v>42</v>
      </c>
    </row>
    <row r="1986" ht="15.75" customHeight="1">
      <c r="A1986" s="64">
        <v>45486.0</v>
      </c>
      <c r="B1986" s="55" t="str">
        <f>HYPERLINK("https://jobright.ai/jobs/info/663d63dc460082ece20ca6cd?utm_campaign=1062&amp;utm_source=sheet", "Apply")</f>
        <v>Apply</v>
      </c>
      <c r="C1986" s="10" t="s">
        <v>6380</v>
      </c>
      <c r="D1986" s="56" t="s">
        <v>716</v>
      </c>
      <c r="E1986" s="10" t="s">
        <v>79</v>
      </c>
      <c r="F1986" s="10" t="s">
        <v>717</v>
      </c>
      <c r="G1986" s="10" t="s">
        <v>3733</v>
      </c>
      <c r="H1986" s="10" t="s">
        <v>144</v>
      </c>
      <c r="I1986" s="10" t="s">
        <v>55</v>
      </c>
      <c r="J1986" s="10" t="s">
        <v>718</v>
      </c>
      <c r="K1986" s="10" t="s">
        <v>719</v>
      </c>
      <c r="L1986" s="10" t="s">
        <v>42</v>
      </c>
    </row>
    <row r="1987" ht="15.75" customHeight="1">
      <c r="A1987" s="64">
        <v>45486.0</v>
      </c>
      <c r="B1987" s="55" t="str">
        <f>HYPERLINK("https://jobright.ai/jobs/info/664e516dc0761b8d87f7cf7d?utm_campaign=1062&amp;utm_source=sheet", "Apply")</f>
        <v>Apply</v>
      </c>
      <c r="C1987" s="10" t="s">
        <v>6027</v>
      </c>
      <c r="D1987" s="56" t="s">
        <v>6028</v>
      </c>
      <c r="E1987" s="10" t="s">
        <v>79</v>
      </c>
      <c r="F1987" s="10" t="s">
        <v>6029</v>
      </c>
      <c r="G1987" s="10" t="s">
        <v>2464</v>
      </c>
      <c r="H1987" s="10" t="s">
        <v>688</v>
      </c>
      <c r="I1987" s="10" t="s">
        <v>55</v>
      </c>
      <c r="K1987" s="10" t="s">
        <v>6030</v>
      </c>
      <c r="L1987" s="10" t="s">
        <v>42</v>
      </c>
    </row>
    <row r="1988" ht="15.75" customHeight="1">
      <c r="A1988" s="64">
        <v>45486.0</v>
      </c>
      <c r="B1988" s="55" t="str">
        <f>HYPERLINK("https://jobright.ai/jobs/info/65ba51481dda307087bd2f52?utm_campaign=1062&amp;utm_source=sheet", "Apply")</f>
        <v>Apply</v>
      </c>
      <c r="C1988" s="10" t="s">
        <v>6381</v>
      </c>
      <c r="D1988" s="56" t="s">
        <v>1061</v>
      </c>
      <c r="E1988" s="10" t="s">
        <v>209</v>
      </c>
      <c r="G1988" s="10" t="s">
        <v>2455</v>
      </c>
      <c r="H1988" s="10" t="s">
        <v>2897</v>
      </c>
      <c r="I1988" s="10" t="s">
        <v>55</v>
      </c>
      <c r="K1988" s="10" t="s">
        <v>6382</v>
      </c>
      <c r="L1988" s="10" t="s">
        <v>42</v>
      </c>
    </row>
    <row r="1989" ht="15.75" customHeight="1">
      <c r="A1989" s="64">
        <v>45486.0</v>
      </c>
      <c r="B1989" s="55" t="str">
        <f>HYPERLINK("https://jobright.ai/jobs/info/668fc58dfaac50243ea71fbf?utm_campaign=1062&amp;utm_source=sheet", "Apply")</f>
        <v>Apply</v>
      </c>
      <c r="C1989" s="10" t="s">
        <v>6383</v>
      </c>
      <c r="D1989" s="56" t="s">
        <v>311</v>
      </c>
      <c r="E1989" s="10" t="s">
        <v>45</v>
      </c>
      <c r="F1989" s="10" t="s">
        <v>312</v>
      </c>
      <c r="G1989" s="10" t="s">
        <v>2502</v>
      </c>
      <c r="H1989" s="10" t="s">
        <v>313</v>
      </c>
      <c r="I1989" s="10" t="s">
        <v>55</v>
      </c>
      <c r="J1989" s="10" t="s">
        <v>6384</v>
      </c>
      <c r="K1989" s="10" t="s">
        <v>6385</v>
      </c>
      <c r="L1989" s="10" t="s">
        <v>42</v>
      </c>
    </row>
    <row r="1990" ht="15.75" customHeight="1">
      <c r="A1990" s="64">
        <v>45486.0</v>
      </c>
      <c r="B1990" s="55" t="str">
        <f>HYPERLINK("https://jobright.ai/jobs/info/6676d53c1d12b082593834d0?utm_campaign=1062&amp;utm_source=sheet", "Apply")</f>
        <v>Apply</v>
      </c>
      <c r="C1990" s="10" t="s">
        <v>6301</v>
      </c>
      <c r="D1990" s="56" t="s">
        <v>2721</v>
      </c>
      <c r="E1990" s="10" t="s">
        <v>45</v>
      </c>
      <c r="F1990" s="10" t="s">
        <v>2722</v>
      </c>
      <c r="G1990" s="10" t="s">
        <v>2448</v>
      </c>
      <c r="H1990" s="10" t="s">
        <v>313</v>
      </c>
      <c r="I1990" s="10" t="s">
        <v>55</v>
      </c>
      <c r="J1990" s="10" t="s">
        <v>6314</v>
      </c>
      <c r="K1990" s="10" t="s">
        <v>6302</v>
      </c>
      <c r="L1990" s="10" t="s">
        <v>42</v>
      </c>
    </row>
    <row r="1991" ht="15.75" customHeight="1">
      <c r="A1991" s="64">
        <v>45486.0</v>
      </c>
      <c r="B1991" s="55" t="str">
        <f>HYPERLINK("https://jobright.ai/jobs/info/663a5b97d0e4b591a825aaee?utm_campaign=1062&amp;utm_source=sheet", "Apply")</f>
        <v>Apply</v>
      </c>
      <c r="C1991" s="10" t="s">
        <v>6386</v>
      </c>
      <c r="D1991" s="56" t="s">
        <v>1073</v>
      </c>
      <c r="E1991" s="10" t="s">
        <v>45</v>
      </c>
      <c r="F1991" s="10" t="s">
        <v>1074</v>
      </c>
      <c r="G1991" s="10" t="s">
        <v>3733</v>
      </c>
      <c r="H1991" s="10" t="s">
        <v>201</v>
      </c>
      <c r="I1991" s="10" t="s">
        <v>48</v>
      </c>
      <c r="J1991" s="10" t="s">
        <v>6122</v>
      </c>
      <c r="K1991" s="10" t="s">
        <v>6387</v>
      </c>
      <c r="L1991" s="10" t="s">
        <v>42</v>
      </c>
    </row>
    <row r="1992" ht="15.75" customHeight="1">
      <c r="A1992" s="64">
        <v>45486.0</v>
      </c>
      <c r="B1992" s="55" t="str">
        <f>HYPERLINK("https://jobright.ai/jobs/info/6632ed652658e0ce7c281ff2?utm_campaign=1062&amp;utm_source=sheet", "Apply")</f>
        <v>Apply</v>
      </c>
      <c r="C1992" s="10" t="s">
        <v>6388</v>
      </c>
      <c r="D1992" s="56" t="s">
        <v>4071</v>
      </c>
      <c r="E1992" s="10" t="s">
        <v>65</v>
      </c>
      <c r="F1992" s="10" t="s">
        <v>4072</v>
      </c>
      <c r="G1992" s="10" t="s">
        <v>2579</v>
      </c>
      <c r="H1992" s="10" t="s">
        <v>1008</v>
      </c>
      <c r="I1992" s="10" t="s">
        <v>55</v>
      </c>
      <c r="K1992" s="10" t="s">
        <v>6389</v>
      </c>
      <c r="L1992" s="10" t="s">
        <v>42</v>
      </c>
    </row>
    <row r="1993" ht="15.75" customHeight="1">
      <c r="A1993" s="64">
        <v>45486.0</v>
      </c>
      <c r="B1993" s="55" t="str">
        <f>HYPERLINK("https://jobright.ai/jobs/info/669270e1417e1cc659ba615a?utm_campaign=1062&amp;utm_source=sheet", "Apply")</f>
        <v>Apply</v>
      </c>
      <c r="C1993" s="10" t="s">
        <v>5937</v>
      </c>
      <c r="D1993" s="56" t="s">
        <v>2763</v>
      </c>
      <c r="E1993" s="10" t="s">
        <v>45</v>
      </c>
      <c r="F1993" s="10" t="s">
        <v>1465</v>
      </c>
      <c r="G1993" s="10" t="s">
        <v>2484</v>
      </c>
      <c r="H1993" s="10" t="s">
        <v>3398</v>
      </c>
      <c r="I1993" s="10" t="s">
        <v>55</v>
      </c>
      <c r="J1993" s="10" t="s">
        <v>5938</v>
      </c>
      <c r="K1993" s="10" t="s">
        <v>5939</v>
      </c>
      <c r="L1993" s="10" t="s">
        <v>42</v>
      </c>
    </row>
    <row r="1994" ht="15.75" customHeight="1">
      <c r="A1994" s="64">
        <v>45486.0</v>
      </c>
      <c r="B1994" s="55" t="str">
        <f>HYPERLINK("https://jobright.ai/jobs/info/66768e533924a645d112311d?utm_campaign=1062&amp;utm_source=sheet", "Apply")</f>
        <v>Apply</v>
      </c>
      <c r="C1994" s="10" t="s">
        <v>6390</v>
      </c>
      <c r="D1994" s="56" t="s">
        <v>2721</v>
      </c>
      <c r="E1994" s="10" t="s">
        <v>45</v>
      </c>
      <c r="F1994" s="10" t="s">
        <v>2722</v>
      </c>
      <c r="G1994" s="10" t="s">
        <v>2502</v>
      </c>
      <c r="H1994" s="10" t="s">
        <v>423</v>
      </c>
      <c r="I1994" s="10" t="s">
        <v>55</v>
      </c>
      <c r="J1994" s="10" t="s">
        <v>2767</v>
      </c>
      <c r="K1994" s="10" t="s">
        <v>6391</v>
      </c>
      <c r="L1994" s="10" t="s">
        <v>42</v>
      </c>
    </row>
    <row r="1995" ht="15.75" customHeight="1">
      <c r="A1995" s="64">
        <v>45486.0</v>
      </c>
      <c r="B1995" s="55" t="str">
        <f>HYPERLINK("https://jobright.ai/jobs/info/6676e0d7c909276a3772e161?utm_campaign=1062&amp;utm_source=sheet", "Apply")</f>
        <v>Apply</v>
      </c>
      <c r="C1995" s="10" t="s">
        <v>6392</v>
      </c>
      <c r="D1995" s="56" t="s">
        <v>6393</v>
      </c>
      <c r="E1995" s="10" t="s">
        <v>45</v>
      </c>
      <c r="F1995" s="10" t="s">
        <v>6394</v>
      </c>
      <c r="G1995" s="10" t="s">
        <v>2470</v>
      </c>
      <c r="H1995" s="10" t="s">
        <v>794</v>
      </c>
      <c r="I1995" s="10" t="s">
        <v>55</v>
      </c>
      <c r="J1995" s="10" t="s">
        <v>6395</v>
      </c>
      <c r="K1995" s="10" t="s">
        <v>6396</v>
      </c>
      <c r="L1995" s="10" t="s">
        <v>42</v>
      </c>
    </row>
    <row r="1996" ht="15.75" customHeight="1">
      <c r="A1996" s="64">
        <v>45486.0</v>
      </c>
      <c r="B1996" s="55" t="str">
        <f>HYPERLINK("https://jobright.ai/jobs/info/6672fd95e88d6ae63634be63?utm_campaign=1062&amp;utm_source=sheet", "Apply")</f>
        <v>Apply</v>
      </c>
      <c r="C1996" s="10" t="s">
        <v>6397</v>
      </c>
      <c r="D1996" s="56" t="s">
        <v>6234</v>
      </c>
      <c r="E1996" s="10" t="s">
        <v>65</v>
      </c>
      <c r="F1996" s="10" t="s">
        <v>2824</v>
      </c>
      <c r="G1996" s="10" t="s">
        <v>2448</v>
      </c>
      <c r="H1996" s="10" t="s">
        <v>6398</v>
      </c>
      <c r="I1996" s="10" t="s">
        <v>55</v>
      </c>
      <c r="K1996" s="10" t="s">
        <v>6399</v>
      </c>
      <c r="L1996" s="10" t="s">
        <v>42</v>
      </c>
    </row>
    <row r="1997" ht="15.75" customHeight="1">
      <c r="A1997" s="64">
        <v>45486.0</v>
      </c>
      <c r="B1997" s="55" t="str">
        <f>HYPERLINK("https://jobright.ai/jobs/info/6675fd299592a403f10719ed?utm_campaign=1062&amp;utm_source=sheet", "Apply")</f>
        <v>Apply</v>
      </c>
      <c r="C1997" s="10" t="s">
        <v>6261</v>
      </c>
      <c r="D1997" s="56" t="s">
        <v>385</v>
      </c>
      <c r="E1997" s="10" t="s">
        <v>45</v>
      </c>
      <c r="F1997" s="10" t="s">
        <v>386</v>
      </c>
      <c r="G1997" s="10" t="s">
        <v>4046</v>
      </c>
      <c r="H1997" s="10" t="s">
        <v>1057</v>
      </c>
      <c r="I1997" s="10" t="s">
        <v>55</v>
      </c>
      <c r="K1997" s="10" t="s">
        <v>6262</v>
      </c>
      <c r="L1997" s="10" t="s">
        <v>42</v>
      </c>
    </row>
    <row r="1998" ht="15.75" customHeight="1">
      <c r="A1998" s="64">
        <v>45486.0</v>
      </c>
      <c r="B1998" s="55" t="str">
        <f>HYPERLINK("https://jobright.ai/jobs/info/6675f7d380091fbf5e3ec903?utm_campaign=1062&amp;utm_source=sheet", "Apply")</f>
        <v>Apply</v>
      </c>
      <c r="C1998" s="10" t="s">
        <v>6317</v>
      </c>
      <c r="D1998" s="56" t="s">
        <v>6400</v>
      </c>
      <c r="E1998" s="10" t="s">
        <v>65</v>
      </c>
      <c r="F1998" s="10" t="s">
        <v>6401</v>
      </c>
      <c r="G1998" s="10" t="s">
        <v>2484</v>
      </c>
      <c r="H1998" s="10" t="s">
        <v>6319</v>
      </c>
      <c r="I1998" s="10" t="s">
        <v>55</v>
      </c>
      <c r="K1998" s="10" t="s">
        <v>6320</v>
      </c>
      <c r="L1998" s="10" t="s">
        <v>42</v>
      </c>
    </row>
    <row r="1999" ht="15.75" customHeight="1">
      <c r="A1999" s="64">
        <v>45486.0</v>
      </c>
      <c r="B1999" s="55" t="str">
        <f>HYPERLINK("https://jobright.ai/jobs/info/664eb173cd9154b3e6012a8a?utm_campaign=1062&amp;utm_source=sheet", "Apply")</f>
        <v>Apply</v>
      </c>
      <c r="C1999" s="10" t="s">
        <v>6402</v>
      </c>
      <c r="D1999" s="56" t="s">
        <v>1061</v>
      </c>
      <c r="E1999" s="10" t="s">
        <v>209</v>
      </c>
      <c r="G1999" s="10" t="s">
        <v>2589</v>
      </c>
      <c r="H1999" s="10" t="s">
        <v>6403</v>
      </c>
      <c r="I1999" s="10" t="s">
        <v>55</v>
      </c>
      <c r="K1999" s="10" t="s">
        <v>6404</v>
      </c>
      <c r="L1999" s="10" t="s">
        <v>42</v>
      </c>
    </row>
    <row r="2000" ht="15.75" customHeight="1">
      <c r="A2000" s="64">
        <v>45486.0</v>
      </c>
      <c r="B2000" s="55" t="str">
        <f>HYPERLINK("https://jobright.ai/jobs/info/6659b8916a871ab4f1ee75e7?utm_campaign=1062&amp;utm_source=sheet", "Apply")</f>
        <v>Apply</v>
      </c>
      <c r="C2000" s="10" t="s">
        <v>6334</v>
      </c>
      <c r="D2000" s="56" t="s">
        <v>385</v>
      </c>
      <c r="E2000" s="10" t="s">
        <v>45</v>
      </c>
      <c r="F2000" s="10" t="s">
        <v>386</v>
      </c>
      <c r="G2000" s="10" t="s">
        <v>4046</v>
      </c>
      <c r="H2000" s="10" t="s">
        <v>1057</v>
      </c>
      <c r="I2000" s="10" t="s">
        <v>55</v>
      </c>
      <c r="J2000" s="10" t="s">
        <v>2772</v>
      </c>
      <c r="K2000" s="10" t="s">
        <v>6335</v>
      </c>
      <c r="L2000" s="10" t="s">
        <v>42</v>
      </c>
    </row>
    <row r="2001" ht="15.75" customHeight="1">
      <c r="A2001" s="64">
        <v>45486.0</v>
      </c>
      <c r="B2001" s="55" t="str">
        <f>HYPERLINK("https://jobright.ai/jobs/info/6637072c880e409e53de7e77?utm_campaign=1062&amp;utm_source=sheet", "Apply")</f>
        <v>Apply</v>
      </c>
      <c r="C2001" s="10" t="s">
        <v>6405</v>
      </c>
      <c r="D2001" s="56" t="s">
        <v>1547</v>
      </c>
      <c r="E2001" s="10">
        <v>408.0</v>
      </c>
      <c r="G2001" s="10" t="s">
        <v>2495</v>
      </c>
      <c r="H2001" s="10" t="s">
        <v>6406</v>
      </c>
      <c r="I2001" s="10" t="s">
        <v>55</v>
      </c>
      <c r="J2001" s="10" t="s">
        <v>6407</v>
      </c>
      <c r="K2001" s="10" t="s">
        <v>6408</v>
      </c>
      <c r="L2001" s="10" t="s">
        <v>42</v>
      </c>
    </row>
    <row r="2002" ht="15.75" customHeight="1">
      <c r="A2002" s="64">
        <v>45486.0</v>
      </c>
      <c r="B2002" s="55" t="str">
        <f>HYPERLINK("https://jobright.ai/jobs/info/667499d5e2555414447e68a6?utm_campaign=1062&amp;utm_source=sheet", "Apply")</f>
        <v>Apply</v>
      </c>
      <c r="C2002" s="10" t="s">
        <v>6409</v>
      </c>
      <c r="D2002" s="56" t="s">
        <v>2702</v>
      </c>
      <c r="E2002" s="10" t="s">
        <v>45</v>
      </c>
      <c r="F2002" s="10" t="s">
        <v>2703</v>
      </c>
      <c r="G2002" s="10" t="s">
        <v>2448</v>
      </c>
      <c r="H2002" s="10" t="s">
        <v>313</v>
      </c>
      <c r="I2002" s="10" t="s">
        <v>55</v>
      </c>
      <c r="J2002" s="10" t="s">
        <v>6410</v>
      </c>
      <c r="K2002" s="10" t="s">
        <v>6411</v>
      </c>
      <c r="L2002" s="10" t="s">
        <v>42</v>
      </c>
    </row>
    <row r="2003" ht="15.75" customHeight="1">
      <c r="A2003" s="64">
        <v>45486.0</v>
      </c>
      <c r="B2003" s="55" t="str">
        <f>HYPERLINK("https://jobright.ai/jobs/info/66925ccfebeb149af4b26f4c?utm_campaign=1062&amp;utm_source=sheet", "Apply")</f>
        <v>Apply</v>
      </c>
      <c r="C2003" s="10" t="s">
        <v>6412</v>
      </c>
      <c r="D2003" s="56" t="s">
        <v>716</v>
      </c>
      <c r="E2003" s="10" t="s">
        <v>79</v>
      </c>
      <c r="F2003" s="10" t="s">
        <v>717</v>
      </c>
      <c r="G2003" s="10" t="s">
        <v>2484</v>
      </c>
      <c r="H2003" s="10" t="s">
        <v>144</v>
      </c>
      <c r="I2003" s="10" t="s">
        <v>48</v>
      </c>
      <c r="J2003" s="10" t="s">
        <v>718</v>
      </c>
      <c r="K2003" s="10" t="s">
        <v>6413</v>
      </c>
      <c r="L2003" s="10" t="s">
        <v>42</v>
      </c>
    </row>
    <row r="2004" ht="15.75" customHeight="1">
      <c r="A2004" s="64">
        <v>45486.0</v>
      </c>
      <c r="B2004" s="55" t="str">
        <f>HYPERLINK("https://jobright.ai/jobs/info/668e7d7b0aefe787d0ee5d3a?utm_campaign=1062&amp;utm_source=sheet", "Apply")</f>
        <v>Apply</v>
      </c>
      <c r="C2004" s="10" t="s">
        <v>6414</v>
      </c>
      <c r="D2004" s="56" t="s">
        <v>4063</v>
      </c>
      <c r="E2004" s="10" t="s">
        <v>209</v>
      </c>
      <c r="F2004" s="10" t="s">
        <v>4064</v>
      </c>
      <c r="G2004" s="10" t="s">
        <v>2476</v>
      </c>
      <c r="H2004" s="10" t="s">
        <v>825</v>
      </c>
      <c r="I2004" s="10" t="s">
        <v>55</v>
      </c>
      <c r="K2004" s="10" t="s">
        <v>6415</v>
      </c>
      <c r="L2004" s="10" t="s">
        <v>42</v>
      </c>
    </row>
    <row r="2005" ht="15.75" customHeight="1">
      <c r="A2005" s="64">
        <v>45486.0</v>
      </c>
      <c r="B2005" s="55" t="str">
        <f>HYPERLINK("https://jobright.ai/jobs/info/667601d8f1b86992c3646897?utm_campaign=1062&amp;utm_source=sheet", "Apply")</f>
        <v>Apply</v>
      </c>
      <c r="C2005" s="10" t="s">
        <v>6416</v>
      </c>
      <c r="D2005" s="56" t="s">
        <v>311</v>
      </c>
      <c r="E2005" s="10" t="s">
        <v>45</v>
      </c>
      <c r="F2005" s="10" t="s">
        <v>312</v>
      </c>
      <c r="G2005" s="10" t="s">
        <v>2502</v>
      </c>
      <c r="H2005" s="10" t="s">
        <v>313</v>
      </c>
      <c r="I2005" s="10" t="s">
        <v>55</v>
      </c>
      <c r="J2005" s="10" t="s">
        <v>6314</v>
      </c>
      <c r="K2005" s="10" t="s">
        <v>6417</v>
      </c>
      <c r="L2005" s="10" t="s">
        <v>42</v>
      </c>
    </row>
    <row r="2006" ht="15.75" customHeight="1">
      <c r="A2006" s="64">
        <v>45486.0</v>
      </c>
      <c r="B2006" s="55" t="str">
        <f>HYPERLINK("https://jobright.ai/jobs/info/663010bac54a714337e4d335?utm_campaign=1062&amp;utm_source=sheet", "Apply")</f>
        <v>Apply</v>
      </c>
      <c r="C2006" s="10" t="s">
        <v>2771</v>
      </c>
      <c r="D2006" s="56" t="s">
        <v>385</v>
      </c>
      <c r="E2006" s="10" t="s">
        <v>45</v>
      </c>
      <c r="F2006" s="10" t="s">
        <v>386</v>
      </c>
      <c r="G2006" s="10" t="s">
        <v>2448</v>
      </c>
      <c r="H2006" s="10" t="s">
        <v>423</v>
      </c>
      <c r="I2006" s="10" t="s">
        <v>55</v>
      </c>
      <c r="J2006" s="10" t="s">
        <v>2772</v>
      </c>
      <c r="K2006" s="10" t="s">
        <v>2773</v>
      </c>
      <c r="L2006" s="10" t="s">
        <v>42</v>
      </c>
    </row>
    <row r="2007" ht="15.75" customHeight="1">
      <c r="A2007" s="64">
        <v>45486.0</v>
      </c>
      <c r="B2007" s="55" t="str">
        <f>HYPERLINK("https://jobright.ai/jobs/info/6623d471ab10dd0e914683ba?utm_campaign=1062&amp;utm_source=sheet", "Apply")</f>
        <v>Apply</v>
      </c>
      <c r="C2007" s="10" t="s">
        <v>6418</v>
      </c>
      <c r="D2007" s="56" t="s">
        <v>204</v>
      </c>
      <c r="E2007" s="10" t="s">
        <v>45</v>
      </c>
      <c r="F2007" s="10" t="s">
        <v>205</v>
      </c>
      <c r="G2007" s="10" t="s">
        <v>2455</v>
      </c>
      <c r="H2007" s="10" t="s">
        <v>153</v>
      </c>
      <c r="I2007" s="10" t="s">
        <v>48</v>
      </c>
      <c r="K2007" s="10" t="s">
        <v>6419</v>
      </c>
      <c r="L2007" s="10" t="s">
        <v>42</v>
      </c>
    </row>
    <row r="2008" ht="15.75" customHeight="1">
      <c r="A2008" s="64">
        <v>45486.0</v>
      </c>
      <c r="B2008" s="55" t="str">
        <f>HYPERLINK("https://jobright.ai/jobs/info/66795aa4dcb1db3fc098d9f9?utm_campaign=1062&amp;utm_source=sheet", "Apply")</f>
        <v>Apply</v>
      </c>
      <c r="C2008" s="10" t="s">
        <v>2762</v>
      </c>
      <c r="D2008" s="56" t="s">
        <v>2763</v>
      </c>
      <c r="E2008" s="10" t="s">
        <v>45</v>
      </c>
      <c r="F2008" s="10" t="s">
        <v>1465</v>
      </c>
      <c r="G2008" s="10" t="s">
        <v>2470</v>
      </c>
      <c r="H2008" s="10" t="s">
        <v>886</v>
      </c>
      <c r="I2008" s="10" t="s">
        <v>55</v>
      </c>
      <c r="J2008" s="10" t="s">
        <v>2764</v>
      </c>
      <c r="K2008" s="10" t="s">
        <v>2832</v>
      </c>
      <c r="L2008" s="10" t="s">
        <v>42</v>
      </c>
    </row>
    <row r="2009" ht="15.75" customHeight="1">
      <c r="A2009" s="64">
        <v>45486.0</v>
      </c>
      <c r="B2009" s="55" t="str">
        <f>HYPERLINK("https://jobright.ai/jobs/info/65bafd6e1f902df9f9a0713b?utm_campaign=1062&amp;utm_source=sheet", "Apply")</f>
        <v>Apply</v>
      </c>
      <c r="C2009" s="10" t="s">
        <v>5972</v>
      </c>
      <c r="D2009" s="56" t="s">
        <v>2763</v>
      </c>
      <c r="E2009" s="10" t="s">
        <v>45</v>
      </c>
      <c r="F2009" s="10" t="s">
        <v>1465</v>
      </c>
      <c r="G2009" s="10" t="s">
        <v>2470</v>
      </c>
      <c r="H2009" s="10" t="s">
        <v>2843</v>
      </c>
      <c r="I2009" s="10" t="s">
        <v>55</v>
      </c>
      <c r="J2009" s="10" t="s">
        <v>5984</v>
      </c>
      <c r="K2009" s="10" t="s">
        <v>2832</v>
      </c>
      <c r="L2009" s="10" t="s">
        <v>42</v>
      </c>
    </row>
    <row r="2010" ht="15.75" customHeight="1">
      <c r="A2010" s="64">
        <v>45486.0</v>
      </c>
      <c r="B2010" s="55" t="str">
        <f>HYPERLINK("https://jobright.ai/jobs/info/667963bff6b36b4aa01a3dae?utm_campaign=1062&amp;utm_source=sheet", "Apply")</f>
        <v>Apply</v>
      </c>
      <c r="C2010" s="10" t="s">
        <v>3303</v>
      </c>
      <c r="D2010" s="56" t="s">
        <v>2763</v>
      </c>
      <c r="E2010" s="10" t="s">
        <v>45</v>
      </c>
      <c r="F2010" s="10" t="s">
        <v>1465</v>
      </c>
      <c r="G2010" s="10" t="s">
        <v>2437</v>
      </c>
      <c r="H2010" s="10" t="s">
        <v>6194</v>
      </c>
      <c r="I2010" s="10" t="s">
        <v>55</v>
      </c>
      <c r="J2010" s="10" t="s">
        <v>3399</v>
      </c>
      <c r="K2010" s="10" t="s">
        <v>3400</v>
      </c>
      <c r="L2010" s="10" t="s">
        <v>42</v>
      </c>
    </row>
    <row r="2011" ht="15.75" customHeight="1">
      <c r="A2011" s="64">
        <v>45486.0</v>
      </c>
      <c r="B2011" s="55" t="str">
        <f>HYPERLINK("https://jobright.ai/jobs/info/651b0dd7b43c3d09045807b1?utm_campaign=1062&amp;utm_source=sheet", "Apply")</f>
        <v>Apply</v>
      </c>
      <c r="C2011" s="10" t="s">
        <v>6420</v>
      </c>
      <c r="D2011" s="56" t="s">
        <v>6421</v>
      </c>
      <c r="E2011" s="10" t="s">
        <v>65</v>
      </c>
      <c r="F2011" s="10" t="s">
        <v>2494</v>
      </c>
      <c r="G2011" s="10" t="s">
        <v>2495</v>
      </c>
      <c r="H2011" s="10" t="s">
        <v>6422</v>
      </c>
      <c r="I2011" s="10" t="s">
        <v>55</v>
      </c>
      <c r="K2011" s="10" t="s">
        <v>6423</v>
      </c>
      <c r="L2011" s="10" t="s">
        <v>42</v>
      </c>
    </row>
    <row r="2012" ht="15.75" customHeight="1">
      <c r="A2012" s="64">
        <v>45486.0</v>
      </c>
      <c r="B2012" s="55" t="str">
        <f>HYPERLINK("https://jobright.ai/jobs/info/6615e7cf0256874873b8b4c2?utm_campaign=1062&amp;utm_source=sheet", "Apply")</f>
        <v>Apply</v>
      </c>
      <c r="C2012" s="10" t="s">
        <v>6424</v>
      </c>
      <c r="D2012" s="56" t="s">
        <v>1061</v>
      </c>
      <c r="E2012" s="10" t="s">
        <v>209</v>
      </c>
      <c r="G2012" s="10" t="s">
        <v>2605</v>
      </c>
      <c r="H2012" s="10" t="s">
        <v>113</v>
      </c>
      <c r="I2012" s="10" t="s">
        <v>55</v>
      </c>
      <c r="K2012" s="10" t="s">
        <v>6425</v>
      </c>
      <c r="L2012" s="10" t="s">
        <v>42</v>
      </c>
    </row>
    <row r="2013" ht="15.75" customHeight="1">
      <c r="A2013" s="64">
        <v>45486.0</v>
      </c>
      <c r="B2013" s="55" t="str">
        <f>HYPERLINK("https://jobright.ai/jobs/info/6669908fa16615009c369100?utm_campaign=1062&amp;utm_source=sheet", "Apply")</f>
        <v>Apply</v>
      </c>
      <c r="C2013" s="10" t="s">
        <v>5972</v>
      </c>
      <c r="D2013" s="56" t="s">
        <v>2763</v>
      </c>
      <c r="E2013" s="10" t="s">
        <v>45</v>
      </c>
      <c r="F2013" s="10" t="s">
        <v>1465</v>
      </c>
      <c r="G2013" s="10" t="s">
        <v>2470</v>
      </c>
      <c r="H2013" s="10" t="s">
        <v>106</v>
      </c>
      <c r="I2013" s="10" t="s">
        <v>55</v>
      </c>
      <c r="J2013" s="10" t="s">
        <v>2764</v>
      </c>
      <c r="K2013" s="10" t="s">
        <v>2832</v>
      </c>
      <c r="L2013" s="10" t="s">
        <v>42</v>
      </c>
    </row>
    <row r="2014" ht="15.75" customHeight="1">
      <c r="A2014" s="64">
        <v>45486.0</v>
      </c>
      <c r="B2014" s="55" t="str">
        <f>HYPERLINK("https://jobright.ai/jobs/info/66489fbe44ddeeaa0fea856d?utm_campaign=1062&amp;utm_source=sheet", "Apply")</f>
        <v>Apply</v>
      </c>
      <c r="C2014" s="10" t="s">
        <v>6426</v>
      </c>
      <c r="D2014" s="56" t="s">
        <v>311</v>
      </c>
      <c r="E2014" s="10" t="s">
        <v>45</v>
      </c>
      <c r="F2014" s="10" t="s">
        <v>312</v>
      </c>
      <c r="G2014" s="10" t="s">
        <v>2502</v>
      </c>
      <c r="H2014" s="10" t="s">
        <v>313</v>
      </c>
      <c r="I2014" s="10" t="s">
        <v>55</v>
      </c>
      <c r="J2014" s="10" t="s">
        <v>6427</v>
      </c>
      <c r="K2014" s="10" t="s">
        <v>6428</v>
      </c>
      <c r="L2014" s="10" t="s">
        <v>42</v>
      </c>
    </row>
    <row r="2015" ht="15.75" customHeight="1">
      <c r="A2015" s="64">
        <v>45486.0</v>
      </c>
      <c r="B2015" s="55" t="str">
        <f>HYPERLINK("https://jobright.ai/jobs/info/664eb162cd9154b3e60128c9?utm_campaign=1062&amp;utm_source=sheet", "Apply")</f>
        <v>Apply</v>
      </c>
      <c r="C2015" s="10" t="s">
        <v>6429</v>
      </c>
      <c r="D2015" s="56" t="s">
        <v>716</v>
      </c>
      <c r="E2015" s="10" t="s">
        <v>79</v>
      </c>
      <c r="F2015" s="10" t="s">
        <v>717</v>
      </c>
      <c r="G2015" s="10" t="s">
        <v>2807</v>
      </c>
      <c r="H2015" s="10" t="s">
        <v>144</v>
      </c>
      <c r="I2015" s="10" t="s">
        <v>48</v>
      </c>
      <c r="J2015" s="10" t="s">
        <v>718</v>
      </c>
      <c r="K2015" s="10" t="s">
        <v>6413</v>
      </c>
      <c r="L2015" s="10" t="s">
        <v>42</v>
      </c>
    </row>
    <row r="2016" ht="15.75" customHeight="1">
      <c r="A2016" s="64">
        <v>45486.0</v>
      </c>
      <c r="B2016" s="55" t="str">
        <f>HYPERLINK("https://jobright.ai/jobs/info/667d484a175f90388ced25b8?utm_campaign=1062&amp;utm_source=sheet", "Apply")</f>
        <v>Apply</v>
      </c>
      <c r="C2016" s="10" t="s">
        <v>6285</v>
      </c>
      <c r="D2016" s="56" t="s">
        <v>6286</v>
      </c>
      <c r="E2016" s="10" t="s">
        <v>249</v>
      </c>
      <c r="F2016" s="10" t="s">
        <v>2746</v>
      </c>
      <c r="G2016" s="10" t="s">
        <v>2464</v>
      </c>
      <c r="H2016" s="10" t="s">
        <v>131</v>
      </c>
      <c r="I2016" s="10" t="s">
        <v>48</v>
      </c>
      <c r="K2016" s="10" t="s">
        <v>6288</v>
      </c>
      <c r="L2016" s="10" t="s">
        <v>42</v>
      </c>
    </row>
    <row r="2017" ht="15.75" customHeight="1">
      <c r="A2017" s="64">
        <v>45486.0</v>
      </c>
      <c r="B2017" s="55" t="str">
        <f>HYPERLINK("https://jobright.ai/jobs/info/65769497d37a5bd158fd8113?utm_campaign=1062&amp;utm_source=sheet", "Apply")</f>
        <v>Apply</v>
      </c>
      <c r="C2017" s="10" t="s">
        <v>6430</v>
      </c>
      <c r="D2017" s="56" t="s">
        <v>6431</v>
      </c>
      <c r="E2017" s="10" t="s">
        <v>209</v>
      </c>
      <c r="F2017" s="10" t="s">
        <v>6432</v>
      </c>
      <c r="G2017" s="10" t="s">
        <v>2484</v>
      </c>
      <c r="H2017" s="10" t="s">
        <v>6433</v>
      </c>
      <c r="I2017" s="10" t="s">
        <v>55</v>
      </c>
      <c r="K2017" s="10" t="s">
        <v>6434</v>
      </c>
      <c r="L2017" s="10" t="s">
        <v>42</v>
      </c>
    </row>
    <row r="2018" ht="15.75" customHeight="1">
      <c r="A2018" s="64">
        <v>45486.0</v>
      </c>
      <c r="B2018" s="55" t="str">
        <f>HYPERLINK("https://jobright.ai/jobs/info/65ec5b85848aca2713fce7b7?utm_campaign=1062&amp;utm_source=sheet", "Apply")</f>
        <v>Apply</v>
      </c>
      <c r="C2018" s="10" t="s">
        <v>3303</v>
      </c>
      <c r="D2018" s="56" t="s">
        <v>2763</v>
      </c>
      <c r="E2018" s="10" t="s">
        <v>45</v>
      </c>
      <c r="F2018" s="10" t="s">
        <v>1465</v>
      </c>
      <c r="G2018" s="10" t="s">
        <v>2437</v>
      </c>
      <c r="H2018" s="10" t="s">
        <v>505</v>
      </c>
      <c r="I2018" s="10" t="s">
        <v>55</v>
      </c>
      <c r="K2018" s="10" t="s">
        <v>3305</v>
      </c>
      <c r="L2018" s="10" t="s">
        <v>42</v>
      </c>
    </row>
    <row r="2019" ht="15.75" customHeight="1">
      <c r="A2019" s="64">
        <v>45486.0</v>
      </c>
      <c r="B2019" s="55" t="str">
        <f>HYPERLINK("https://jobright.ai/jobs/info/65fe1363d6e15c3a89650f52?utm_campaign=1062&amp;utm_source=sheet", "Apply")</f>
        <v>Apply</v>
      </c>
      <c r="C2019" s="10" t="s">
        <v>6435</v>
      </c>
      <c r="D2019" s="56" t="s">
        <v>6436</v>
      </c>
      <c r="E2019" s="10" t="s">
        <v>65</v>
      </c>
      <c r="G2019" s="10" t="s">
        <v>2448</v>
      </c>
      <c r="H2019" s="10" t="s">
        <v>5879</v>
      </c>
      <c r="I2019" s="10" t="s">
        <v>55</v>
      </c>
      <c r="K2019" s="10" t="s">
        <v>6437</v>
      </c>
      <c r="L2019" s="10" t="s">
        <v>42</v>
      </c>
    </row>
    <row r="2020" ht="15.75" customHeight="1">
      <c r="A2020" s="64">
        <v>45486.0</v>
      </c>
      <c r="B2020" s="55" t="str">
        <f>HYPERLINK("https://jobright.ai/jobs/info/66925ccfebeb149af4b26f7a?utm_campaign=1062&amp;utm_source=sheet", "Apply")</f>
        <v>Apply</v>
      </c>
      <c r="C2020" s="10" t="s">
        <v>6438</v>
      </c>
      <c r="D2020" s="56" t="s">
        <v>5802</v>
      </c>
      <c r="E2020" s="10" t="s">
        <v>249</v>
      </c>
      <c r="F2020" s="10" t="s">
        <v>5803</v>
      </c>
      <c r="G2020" s="10" t="s">
        <v>2484</v>
      </c>
      <c r="H2020" s="10" t="s">
        <v>154</v>
      </c>
      <c r="I2020" s="10" t="s">
        <v>55</v>
      </c>
      <c r="K2020" s="10" t="s">
        <v>6439</v>
      </c>
      <c r="L2020" s="10" t="s">
        <v>42</v>
      </c>
    </row>
    <row r="2021" ht="15.75" customHeight="1">
      <c r="A2021" s="64">
        <v>45486.0</v>
      </c>
      <c r="B2021" s="55" t="str">
        <f>HYPERLINK("https://jobright.ai/jobs/info/6634014899861187de86348b?utm_campaign=1062&amp;utm_source=sheet", "Apply")</f>
        <v>Apply</v>
      </c>
      <c r="C2021" s="10" t="s">
        <v>6440</v>
      </c>
      <c r="D2021" s="56" t="s">
        <v>2869</v>
      </c>
      <c r="E2021" s="10" t="s">
        <v>45</v>
      </c>
      <c r="F2021" s="10" t="s">
        <v>2870</v>
      </c>
      <c r="G2021" s="10" t="s">
        <v>2437</v>
      </c>
      <c r="H2021" s="10" t="s">
        <v>578</v>
      </c>
      <c r="I2021" s="10" t="s">
        <v>55</v>
      </c>
      <c r="K2021" s="10" t="s">
        <v>6441</v>
      </c>
      <c r="L2021" s="10" t="s">
        <v>42</v>
      </c>
    </row>
    <row r="2022" ht="15.75" customHeight="1">
      <c r="A2022" s="64">
        <v>45486.0</v>
      </c>
      <c r="B2022" s="55" t="str">
        <f>HYPERLINK("https://jobright.ai/jobs/info/6675e144e95c1a0a225b88ae?utm_campaign=1062&amp;utm_source=sheet", "Apply")</f>
        <v>Apply</v>
      </c>
      <c r="C2022" s="10" t="s">
        <v>4567</v>
      </c>
      <c r="D2022" s="56" t="s">
        <v>2823</v>
      </c>
      <c r="E2022" s="10" t="s">
        <v>45</v>
      </c>
      <c r="F2022" s="10" t="s">
        <v>2824</v>
      </c>
      <c r="G2022" s="10" t="s">
        <v>2605</v>
      </c>
      <c r="H2022" s="10" t="s">
        <v>578</v>
      </c>
      <c r="I2022" s="10" t="s">
        <v>55</v>
      </c>
      <c r="J2022" s="10" t="s">
        <v>4568</v>
      </c>
      <c r="K2022" s="10" t="s">
        <v>4569</v>
      </c>
      <c r="L2022" s="10" t="s">
        <v>42</v>
      </c>
    </row>
    <row r="2023" ht="15.75" customHeight="1">
      <c r="A2023" s="64">
        <v>45486.0</v>
      </c>
      <c r="B2023" s="55" t="str">
        <f>HYPERLINK("https://jobright.ai/jobs/info/664e6b3f35a9de44ab4132f6?utm_campaign=1062&amp;utm_source=sheet", "Apply")</f>
        <v>Apply</v>
      </c>
      <c r="C2023" s="10" t="s">
        <v>6027</v>
      </c>
      <c r="D2023" s="56" t="s">
        <v>6028</v>
      </c>
      <c r="E2023" s="10" t="s">
        <v>79</v>
      </c>
      <c r="F2023" s="10" t="s">
        <v>6029</v>
      </c>
      <c r="G2023" s="10" t="s">
        <v>2464</v>
      </c>
      <c r="H2023" s="10" t="s">
        <v>923</v>
      </c>
      <c r="I2023" s="10" t="s">
        <v>55</v>
      </c>
      <c r="K2023" s="10" t="s">
        <v>6030</v>
      </c>
      <c r="L2023" s="10" t="s">
        <v>42</v>
      </c>
    </row>
    <row r="2024" ht="15.75" customHeight="1">
      <c r="A2024" s="64">
        <v>45486.0</v>
      </c>
      <c r="B2024" s="55" t="str">
        <f>HYPERLINK("https://jobright.ai/jobs/info/66046d84de0d1066d3a07802?utm_campaign=1062&amp;utm_source=sheet", "Apply")</f>
        <v>Apply</v>
      </c>
      <c r="C2024" s="10" t="s">
        <v>6442</v>
      </c>
      <c r="D2024" s="56" t="s">
        <v>6443</v>
      </c>
      <c r="E2024" s="10" t="s">
        <v>45</v>
      </c>
      <c r="F2024" s="10" t="s">
        <v>5632</v>
      </c>
      <c r="G2024" s="10" t="s">
        <v>2437</v>
      </c>
      <c r="H2024" s="10" t="s">
        <v>6444</v>
      </c>
      <c r="I2024" s="10" t="s">
        <v>55</v>
      </c>
      <c r="K2024" s="10" t="s">
        <v>6445</v>
      </c>
      <c r="L2024" s="10" t="s">
        <v>42</v>
      </c>
    </row>
    <row r="2025" ht="15.75" customHeight="1">
      <c r="A2025" s="64">
        <v>45486.0</v>
      </c>
      <c r="B2025" s="55" t="str">
        <f>HYPERLINK("https://jobright.ai/jobs/info/65b45b485e1a6a34f900db56?utm_campaign=1062&amp;utm_source=sheet", "Apply")</f>
        <v>Apply</v>
      </c>
      <c r="C2025" s="10" t="s">
        <v>2762</v>
      </c>
      <c r="D2025" s="56" t="s">
        <v>2763</v>
      </c>
      <c r="E2025" s="10" t="s">
        <v>45</v>
      </c>
      <c r="F2025" s="10" t="s">
        <v>1465</v>
      </c>
      <c r="G2025" s="10" t="s">
        <v>2470</v>
      </c>
      <c r="H2025" s="10" t="s">
        <v>4075</v>
      </c>
      <c r="I2025" s="10" t="s">
        <v>55</v>
      </c>
      <c r="J2025" s="10" t="s">
        <v>2764</v>
      </c>
      <c r="K2025" s="10" t="s">
        <v>2832</v>
      </c>
      <c r="L2025" s="10" t="s">
        <v>42</v>
      </c>
    </row>
    <row r="2026" ht="15.75" customHeight="1">
      <c r="A2026" s="64">
        <v>45486.0</v>
      </c>
      <c r="B2026" s="55" t="str">
        <f>HYPERLINK("https://jobright.ai/jobs/info/66508d3e9c4bb661767834ea?utm_campaign=1062&amp;utm_source=sheet", "Apply")</f>
        <v>Apply</v>
      </c>
      <c r="C2026" s="10" t="s">
        <v>6041</v>
      </c>
      <c r="D2026" s="56" t="s">
        <v>6446</v>
      </c>
      <c r="E2026" s="10" t="s">
        <v>209</v>
      </c>
      <c r="F2026" s="10" t="s">
        <v>529</v>
      </c>
      <c r="G2026" s="10" t="s">
        <v>2470</v>
      </c>
      <c r="H2026" s="10" t="s">
        <v>152</v>
      </c>
      <c r="I2026" s="10" t="s">
        <v>55</v>
      </c>
      <c r="K2026" s="10" t="s">
        <v>6447</v>
      </c>
      <c r="L2026" s="10" t="s">
        <v>42</v>
      </c>
    </row>
    <row r="2027" ht="15.75" customHeight="1">
      <c r="A2027" s="64">
        <v>45486.0</v>
      </c>
      <c r="B2027" s="55" t="str">
        <f>HYPERLINK("https://jobright.ai/jobs/info/65ba513a1dda307087bd2e87?utm_campaign=1062&amp;utm_source=sheet", "Apply")</f>
        <v>Apply</v>
      </c>
      <c r="C2027" s="10" t="s">
        <v>6448</v>
      </c>
      <c r="D2027" s="56" t="s">
        <v>1061</v>
      </c>
      <c r="E2027" s="10" t="s">
        <v>209</v>
      </c>
      <c r="G2027" s="10" t="s">
        <v>2484</v>
      </c>
      <c r="H2027" s="10" t="s">
        <v>6449</v>
      </c>
      <c r="I2027" s="10" t="s">
        <v>55</v>
      </c>
      <c r="K2027" s="10" t="s">
        <v>6450</v>
      </c>
      <c r="L2027" s="10" t="s">
        <v>42</v>
      </c>
    </row>
    <row r="2028" ht="15.75" customHeight="1">
      <c r="A2028" s="64">
        <v>45486.0</v>
      </c>
      <c r="B2028" s="55" t="str">
        <f>HYPERLINK("https://jobright.ai/jobs/info/664dffddd79e0cf7655010c8?utm_campaign=1062&amp;utm_source=sheet", "Apply")</f>
        <v>Apply</v>
      </c>
      <c r="C2028" s="10" t="s">
        <v>6451</v>
      </c>
      <c r="D2028" s="56" t="s">
        <v>2869</v>
      </c>
      <c r="E2028" s="10" t="s">
        <v>45</v>
      </c>
      <c r="F2028" s="10" t="s">
        <v>2870</v>
      </c>
      <c r="G2028" s="10" t="s">
        <v>2437</v>
      </c>
      <c r="H2028" s="10" t="s">
        <v>628</v>
      </c>
      <c r="I2028" s="10" t="s">
        <v>55</v>
      </c>
      <c r="K2028" s="10" t="s">
        <v>2871</v>
      </c>
      <c r="L2028" s="10" t="s">
        <v>42</v>
      </c>
    </row>
    <row r="2029" ht="15.75" customHeight="1">
      <c r="A2029" s="64">
        <v>45486.0</v>
      </c>
      <c r="B2029" s="55" t="str">
        <f>HYPERLINK("https://jobright.ai/jobs/info/666c254c41bd8bbbc79fdacf?utm_campaign=1062&amp;utm_source=sheet", "Apply")</f>
        <v>Apply</v>
      </c>
      <c r="C2029" s="10" t="s">
        <v>6452</v>
      </c>
      <c r="D2029" s="56" t="s">
        <v>6453</v>
      </c>
      <c r="E2029" s="10" t="s">
        <v>65</v>
      </c>
      <c r="F2029" s="10" t="s">
        <v>2746</v>
      </c>
      <c r="G2029" s="10" t="s">
        <v>2464</v>
      </c>
      <c r="H2029" s="10" t="s">
        <v>3586</v>
      </c>
      <c r="I2029" s="10" t="s">
        <v>55</v>
      </c>
      <c r="K2029" s="10" t="s">
        <v>6454</v>
      </c>
      <c r="L2029" s="10" t="s">
        <v>42</v>
      </c>
    </row>
    <row r="2030" ht="15.75" customHeight="1">
      <c r="A2030" s="64">
        <v>45486.0</v>
      </c>
      <c r="B2030" s="55" t="str">
        <f>HYPERLINK("https://jobright.ai/jobs/info/66926b4f05eb04b904d0783d?utm_campaign=1062&amp;utm_source=sheet", "Apply")</f>
        <v>Apply</v>
      </c>
      <c r="C2030" s="10" t="s">
        <v>6455</v>
      </c>
      <c r="D2030" s="56" t="s">
        <v>6166</v>
      </c>
      <c r="E2030" s="10" t="s">
        <v>45</v>
      </c>
      <c r="F2030" s="10" t="s">
        <v>6167</v>
      </c>
      <c r="G2030" s="10" t="s">
        <v>2484</v>
      </c>
      <c r="H2030" s="10" t="s">
        <v>6168</v>
      </c>
      <c r="I2030" s="10" t="s">
        <v>48</v>
      </c>
      <c r="K2030" s="10" t="s">
        <v>6169</v>
      </c>
      <c r="L2030" s="10" t="s">
        <v>42</v>
      </c>
    </row>
    <row r="2031" ht="15.75" customHeight="1">
      <c r="A2031" s="64">
        <v>45486.0</v>
      </c>
      <c r="B2031" s="55" t="str">
        <f>HYPERLINK("https://jobright.ai/jobs/info/6676d8ee4ffdc62f7b67a16a?utm_campaign=1062&amp;utm_source=sheet", "Apply")</f>
        <v>Apply</v>
      </c>
      <c r="C2031" s="10" t="s">
        <v>2516</v>
      </c>
      <c r="D2031" s="56" t="s">
        <v>6456</v>
      </c>
      <c r="E2031" s="10" t="s">
        <v>65</v>
      </c>
      <c r="F2031" s="10" t="s">
        <v>1485</v>
      </c>
      <c r="G2031" s="10" t="s">
        <v>2437</v>
      </c>
      <c r="H2031" s="10" t="s">
        <v>578</v>
      </c>
      <c r="I2031" s="10" t="s">
        <v>55</v>
      </c>
      <c r="J2031" s="10" t="s">
        <v>6457</v>
      </c>
      <c r="K2031" s="10" t="s">
        <v>6458</v>
      </c>
      <c r="L2031" s="10" t="s">
        <v>42</v>
      </c>
    </row>
    <row r="2032" ht="15.75" customHeight="1">
      <c r="A2032" s="64">
        <v>45486.0</v>
      </c>
      <c r="B2032" s="55" t="str">
        <f>HYPERLINK("https://jobright.ai/jobs/info/665a52e2e44829f8e4d272cd?utm_campaign=1062&amp;utm_source=sheet", "Apply")</f>
        <v>Apply</v>
      </c>
      <c r="C2032" s="10" t="s">
        <v>6459</v>
      </c>
      <c r="D2032" s="56" t="s">
        <v>4152</v>
      </c>
      <c r="E2032" s="10" t="s">
        <v>249</v>
      </c>
      <c r="F2032" s="10" t="s">
        <v>1587</v>
      </c>
      <c r="G2032" s="10" t="s">
        <v>2448</v>
      </c>
      <c r="H2032" s="10" t="s">
        <v>113</v>
      </c>
      <c r="I2032" s="10" t="s">
        <v>55</v>
      </c>
      <c r="J2032" s="10" t="s">
        <v>6460</v>
      </c>
      <c r="K2032" s="10" t="s">
        <v>6461</v>
      </c>
      <c r="L2032" s="10" t="s">
        <v>42</v>
      </c>
    </row>
    <row r="2033" ht="15.75" customHeight="1">
      <c r="A2033" s="64">
        <v>45486.0</v>
      </c>
      <c r="B2033" s="55" t="str">
        <f>HYPERLINK("https://jobright.ai/jobs/info/663c608678a30a1d1f4f70a9?utm_campaign=1062&amp;utm_source=sheet", "Apply")</f>
        <v>Apply</v>
      </c>
      <c r="C2033" s="10" t="s">
        <v>3046</v>
      </c>
      <c r="D2033" s="56" t="s">
        <v>6462</v>
      </c>
      <c r="E2033" s="10" t="s">
        <v>79</v>
      </c>
      <c r="F2033" s="10" t="s">
        <v>6463</v>
      </c>
      <c r="G2033" s="10" t="s">
        <v>2437</v>
      </c>
      <c r="H2033" s="10" t="s">
        <v>6464</v>
      </c>
      <c r="I2033" s="10" t="s">
        <v>55</v>
      </c>
      <c r="J2033" s="10" t="s">
        <v>2165</v>
      </c>
      <c r="K2033" s="10" t="s">
        <v>6465</v>
      </c>
      <c r="L2033" s="10" t="s">
        <v>42</v>
      </c>
    </row>
    <row r="2034" ht="15.75" customHeight="1">
      <c r="A2034" s="64">
        <v>45486.0</v>
      </c>
      <c r="B2034" s="55" t="str">
        <f>HYPERLINK("https://jobright.ai/jobs/info/664dff92d79e0cf765500a2a?utm_campaign=1062&amp;utm_source=sheet", "Apply")</f>
        <v>Apply</v>
      </c>
      <c r="C2034" s="10" t="s">
        <v>6466</v>
      </c>
      <c r="D2034" s="56" t="s">
        <v>6467</v>
      </c>
      <c r="E2034" s="10" t="s">
        <v>79</v>
      </c>
      <c r="F2034" s="10" t="s">
        <v>2588</v>
      </c>
      <c r="G2034" s="10" t="s">
        <v>2464</v>
      </c>
      <c r="H2034" s="10" t="s">
        <v>96</v>
      </c>
      <c r="I2034" s="10" t="s">
        <v>55</v>
      </c>
      <c r="K2034" s="10" t="s">
        <v>6468</v>
      </c>
      <c r="L2034" s="10" t="s">
        <v>42</v>
      </c>
    </row>
    <row r="2035" ht="15.75" customHeight="1">
      <c r="A2035" s="64">
        <v>45486.0</v>
      </c>
      <c r="B2035" s="55" t="str">
        <f>HYPERLINK("https://jobright.ai/jobs/info/65ba513a1dda307087bd2e49?utm_campaign=1062&amp;utm_source=sheet", "Apply")</f>
        <v>Apply</v>
      </c>
      <c r="C2035" s="10" t="s">
        <v>6469</v>
      </c>
      <c r="D2035" s="56" t="s">
        <v>1061</v>
      </c>
      <c r="E2035" s="10" t="s">
        <v>209</v>
      </c>
      <c r="G2035" s="10" t="s">
        <v>2528</v>
      </c>
      <c r="H2035" s="10" t="s">
        <v>879</v>
      </c>
      <c r="I2035" s="10" t="s">
        <v>55</v>
      </c>
      <c r="K2035" s="10" t="s">
        <v>6470</v>
      </c>
      <c r="L2035" s="10" t="s">
        <v>42</v>
      </c>
    </row>
    <row r="2036" ht="15.75" customHeight="1">
      <c r="A2036" s="64">
        <v>45486.0</v>
      </c>
      <c r="B2036" s="55" t="str">
        <f>HYPERLINK("https://jobright.ai/jobs/info/667705d9acb63b6016fafd75?utm_campaign=1062&amp;utm_source=sheet", "Apply")</f>
        <v>Apply</v>
      </c>
      <c r="C2036" s="10" t="s">
        <v>6471</v>
      </c>
      <c r="D2036" s="56" t="s">
        <v>4063</v>
      </c>
      <c r="E2036" s="10" t="s">
        <v>209</v>
      </c>
      <c r="F2036" s="10" t="s">
        <v>4064</v>
      </c>
      <c r="G2036" s="10" t="s">
        <v>2448</v>
      </c>
      <c r="H2036" s="10" t="s">
        <v>825</v>
      </c>
      <c r="I2036" s="10" t="s">
        <v>55</v>
      </c>
      <c r="K2036" s="10" t="s">
        <v>6472</v>
      </c>
      <c r="L2036" s="10" t="s">
        <v>42</v>
      </c>
    </row>
    <row r="2037" ht="15.75" customHeight="1">
      <c r="A2037" s="64">
        <v>45486.0</v>
      </c>
      <c r="B2037" s="55" t="str">
        <f>HYPERLINK("https://jobright.ai/jobs/info/6676d59c1d12b08259383c15?utm_campaign=1062&amp;utm_source=sheet", "Apply")</f>
        <v>Apply</v>
      </c>
      <c r="C2037" s="10" t="s">
        <v>6473</v>
      </c>
      <c r="D2037" s="56" t="s">
        <v>4295</v>
      </c>
      <c r="E2037" s="10" t="s">
        <v>45</v>
      </c>
      <c r="F2037" s="10" t="s">
        <v>4296</v>
      </c>
      <c r="G2037" s="10" t="s">
        <v>2484</v>
      </c>
      <c r="H2037" s="10" t="s">
        <v>598</v>
      </c>
      <c r="I2037" s="10" t="s">
        <v>55</v>
      </c>
      <c r="K2037" s="10" t="s">
        <v>6474</v>
      </c>
      <c r="L2037" s="10" t="s">
        <v>42</v>
      </c>
    </row>
    <row r="2038" ht="15.75" customHeight="1">
      <c r="A2038" s="64">
        <v>45486.0</v>
      </c>
      <c r="B2038" s="55" t="str">
        <f>HYPERLINK("https://jobright.ai/jobs/info/667673b880545507a3747517?utm_campaign=1062&amp;utm_source=sheet", "Apply")</f>
        <v>Apply</v>
      </c>
      <c r="C2038" s="10" t="s">
        <v>6285</v>
      </c>
      <c r="D2038" s="56" t="s">
        <v>6286</v>
      </c>
      <c r="E2038" s="10" t="s">
        <v>249</v>
      </c>
      <c r="F2038" s="10" t="s">
        <v>2746</v>
      </c>
      <c r="G2038" s="10" t="s">
        <v>2464</v>
      </c>
      <c r="H2038" s="10" t="s">
        <v>152</v>
      </c>
      <c r="I2038" s="10" t="s">
        <v>48</v>
      </c>
      <c r="K2038" s="10" t="s">
        <v>6288</v>
      </c>
      <c r="L2038" s="10" t="s">
        <v>42</v>
      </c>
    </row>
    <row r="2039" ht="15.75" customHeight="1">
      <c r="A2039" s="64">
        <v>45486.0</v>
      </c>
      <c r="B2039" s="55" t="str">
        <f>HYPERLINK("https://jobright.ai/jobs/info/65ba513a1dda307087bd2e31?utm_campaign=1062&amp;utm_source=sheet", "Apply")</f>
        <v>Apply</v>
      </c>
      <c r="C2039" s="10" t="s">
        <v>6475</v>
      </c>
      <c r="D2039" s="56" t="s">
        <v>6476</v>
      </c>
      <c r="E2039" s="10" t="s">
        <v>209</v>
      </c>
      <c r="F2039" s="10" t="s">
        <v>4022</v>
      </c>
      <c r="G2039" s="10" t="s">
        <v>2470</v>
      </c>
      <c r="H2039" s="10" t="s">
        <v>6477</v>
      </c>
      <c r="I2039" s="10" t="s">
        <v>55</v>
      </c>
      <c r="K2039" s="10" t="s">
        <v>6478</v>
      </c>
      <c r="L2039" s="10" t="s">
        <v>42</v>
      </c>
    </row>
    <row r="2040" ht="15.75" customHeight="1">
      <c r="A2040" s="64">
        <v>45486.0</v>
      </c>
      <c r="B2040" s="55" t="str">
        <f>HYPERLINK("https://jobright.ai/jobs/info/660ef000dd1cd4b7454e754e?utm_campaign=1062&amp;utm_source=sheet", "Apply")</f>
        <v>Apply</v>
      </c>
      <c r="C2040" s="10" t="s">
        <v>6479</v>
      </c>
      <c r="D2040" s="56" t="s">
        <v>6480</v>
      </c>
      <c r="E2040" s="10" t="s">
        <v>249</v>
      </c>
      <c r="F2040" s="10" t="s">
        <v>6481</v>
      </c>
      <c r="G2040" s="10" t="s">
        <v>2502</v>
      </c>
      <c r="H2040" s="10" t="s">
        <v>698</v>
      </c>
      <c r="I2040" s="10" t="s">
        <v>55</v>
      </c>
      <c r="K2040" s="10" t="s">
        <v>6482</v>
      </c>
      <c r="L2040" s="10" t="s">
        <v>42</v>
      </c>
    </row>
    <row r="2041" ht="15.75" customHeight="1">
      <c r="A2041" s="64">
        <v>45486.0</v>
      </c>
      <c r="B2041" s="55" t="str">
        <f>HYPERLINK("https://jobright.ai/jobs/info/66507d73934eef107e2642c2?utm_campaign=1062&amp;utm_source=sheet", "Apply")</f>
        <v>Apply</v>
      </c>
      <c r="C2041" s="10" t="s">
        <v>3156</v>
      </c>
      <c r="D2041" s="56" t="s">
        <v>3281</v>
      </c>
      <c r="E2041" s="10" t="s">
        <v>45</v>
      </c>
      <c r="F2041" s="10" t="s">
        <v>1065</v>
      </c>
      <c r="G2041" s="10" t="s">
        <v>2448</v>
      </c>
      <c r="H2041" s="10" t="s">
        <v>354</v>
      </c>
      <c r="I2041" s="10" t="s">
        <v>55</v>
      </c>
      <c r="K2041" s="10" t="s">
        <v>3282</v>
      </c>
      <c r="L2041" s="10" t="s">
        <v>42</v>
      </c>
    </row>
    <row r="2042" ht="15.75" customHeight="1">
      <c r="A2042" s="64">
        <v>45486.0</v>
      </c>
      <c r="B2042" s="55" t="str">
        <f>HYPERLINK("https://jobright.ai/jobs/info/6676744980545507a3747f41?utm_campaign=1062&amp;utm_source=sheet", "Apply")</f>
        <v>Apply</v>
      </c>
      <c r="C2042" s="10" t="s">
        <v>6483</v>
      </c>
      <c r="D2042" s="56" t="s">
        <v>2522</v>
      </c>
      <c r="E2042" s="10" t="s">
        <v>45</v>
      </c>
      <c r="F2042" s="10" t="s">
        <v>1564</v>
      </c>
      <c r="G2042" s="10" t="s">
        <v>2448</v>
      </c>
      <c r="H2042" s="10" t="s">
        <v>6484</v>
      </c>
      <c r="I2042" s="10" t="s">
        <v>48</v>
      </c>
      <c r="J2042" s="10" t="s">
        <v>6485</v>
      </c>
      <c r="K2042" s="10" t="s">
        <v>6486</v>
      </c>
      <c r="L2042" s="10" t="s">
        <v>42</v>
      </c>
    </row>
    <row r="2043" ht="15.75" customHeight="1">
      <c r="A2043" s="64">
        <v>45486.0</v>
      </c>
      <c r="B2043" s="55" t="str">
        <f>HYPERLINK("https://jobright.ai/jobs/info/664dd50417e15c8b49411092?utm_campaign=1062&amp;utm_source=sheet", "Apply")</f>
        <v>Apply</v>
      </c>
      <c r="C2043" s="10" t="s">
        <v>6487</v>
      </c>
      <c r="D2043" s="56" t="s">
        <v>1780</v>
      </c>
      <c r="E2043" s="10" t="s">
        <v>45</v>
      </c>
      <c r="F2043" s="10" t="s">
        <v>1781</v>
      </c>
      <c r="G2043" s="10" t="s">
        <v>2807</v>
      </c>
      <c r="H2043" s="10" t="s">
        <v>96</v>
      </c>
      <c r="I2043" s="10" t="s">
        <v>55</v>
      </c>
      <c r="J2043" s="10" t="s">
        <v>3969</v>
      </c>
      <c r="K2043" s="10" t="s">
        <v>6488</v>
      </c>
      <c r="L2043" s="10" t="s">
        <v>42</v>
      </c>
    </row>
    <row r="2044" ht="15.75" customHeight="1">
      <c r="A2044" s="64">
        <v>45486.0</v>
      </c>
      <c r="B2044" s="55" t="str">
        <f>HYPERLINK("https://jobright.ai/jobs/info/663abf10bac2bf02fbc9bf89?utm_campaign=1062&amp;utm_source=sheet", "Apply")</f>
        <v>Apply</v>
      </c>
      <c r="C2044" s="10" t="s">
        <v>6489</v>
      </c>
      <c r="D2044" s="56" t="s">
        <v>6490</v>
      </c>
      <c r="E2044" s="10" t="s">
        <v>65</v>
      </c>
      <c r="F2044" s="10" t="s">
        <v>259</v>
      </c>
      <c r="G2044" s="10" t="s">
        <v>2448</v>
      </c>
      <c r="H2044" s="10" t="s">
        <v>6491</v>
      </c>
      <c r="I2044" s="10" t="s">
        <v>55</v>
      </c>
      <c r="K2044" s="10" t="s">
        <v>6492</v>
      </c>
      <c r="L2044" s="10" t="s">
        <v>42</v>
      </c>
    </row>
    <row r="2045" ht="15.75" customHeight="1">
      <c r="A2045" s="64">
        <v>45486.0</v>
      </c>
      <c r="B2045" s="55" t="str">
        <f>HYPERLINK("https://jobright.ai/jobs/info/669252da8ff5a5d2eec8fdc4?utm_campaign=1062&amp;utm_source=sheet", "Apply")</f>
        <v>Apply</v>
      </c>
      <c r="C2045" s="10" t="s">
        <v>4015</v>
      </c>
      <c r="D2045" s="56" t="s">
        <v>6493</v>
      </c>
      <c r="E2045" s="10" t="s">
        <v>249</v>
      </c>
      <c r="F2045" s="10" t="s">
        <v>6494</v>
      </c>
      <c r="G2045" s="10" t="s">
        <v>2484</v>
      </c>
      <c r="H2045" s="10" t="s">
        <v>6495</v>
      </c>
      <c r="I2045" s="10" t="s">
        <v>55</v>
      </c>
      <c r="K2045" s="10" t="s">
        <v>6496</v>
      </c>
      <c r="L2045" s="10" t="s">
        <v>42</v>
      </c>
    </row>
    <row r="2046" ht="15.75" customHeight="1">
      <c r="A2046" s="64">
        <v>45486.0</v>
      </c>
      <c r="B2046" s="55" t="str">
        <f>HYPERLINK("https://jobright.ai/jobs/info/66926b5d05eb04b904d078fb?utm_campaign=1062&amp;utm_source=sheet", "Apply")</f>
        <v>Apply</v>
      </c>
      <c r="C2046" s="10" t="s">
        <v>5937</v>
      </c>
      <c r="D2046" s="56" t="s">
        <v>2763</v>
      </c>
      <c r="E2046" s="10" t="s">
        <v>45</v>
      </c>
      <c r="F2046" s="10" t="s">
        <v>1465</v>
      </c>
      <c r="G2046" s="10" t="s">
        <v>2484</v>
      </c>
      <c r="H2046" s="10" t="s">
        <v>106</v>
      </c>
      <c r="I2046" s="10" t="s">
        <v>55</v>
      </c>
      <c r="J2046" s="10" t="s">
        <v>5938</v>
      </c>
      <c r="K2046" s="10" t="s">
        <v>5939</v>
      </c>
      <c r="L2046" s="10" t="s">
        <v>42</v>
      </c>
    </row>
    <row r="2047" ht="15.75" customHeight="1">
      <c r="A2047" s="64">
        <v>45486.0</v>
      </c>
      <c r="B2047" s="55" t="str">
        <f>HYPERLINK("https://jobright.ai/jobs/info/66926b5d05eb04b904d078fc?utm_campaign=1062&amp;utm_source=sheet", "Apply")</f>
        <v>Apply</v>
      </c>
      <c r="C2047" s="10" t="s">
        <v>5937</v>
      </c>
      <c r="D2047" s="56" t="s">
        <v>2763</v>
      </c>
      <c r="E2047" s="10" t="s">
        <v>45</v>
      </c>
      <c r="F2047" s="10" t="s">
        <v>1465</v>
      </c>
      <c r="G2047" s="10" t="s">
        <v>2484</v>
      </c>
      <c r="H2047" s="10" t="s">
        <v>816</v>
      </c>
      <c r="I2047" s="10" t="s">
        <v>55</v>
      </c>
      <c r="J2047" s="10" t="s">
        <v>5938</v>
      </c>
      <c r="K2047" s="10" t="s">
        <v>5939</v>
      </c>
      <c r="L2047" s="10" t="s">
        <v>42</v>
      </c>
    </row>
    <row r="2048" ht="15.75" customHeight="1">
      <c r="A2048" s="64">
        <v>45486.0</v>
      </c>
      <c r="B2048" s="55" t="str">
        <f>HYPERLINK("https://jobright.ai/jobs/info/65cbbc23075ce84a6c0a76af?utm_campaign=1062&amp;utm_source=sheet", "Apply")</f>
        <v>Apply</v>
      </c>
      <c r="C2048" s="10" t="s">
        <v>6497</v>
      </c>
      <c r="D2048" s="56" t="s">
        <v>2840</v>
      </c>
      <c r="E2048" s="10" t="s">
        <v>209</v>
      </c>
      <c r="F2048" s="10" t="s">
        <v>2470</v>
      </c>
      <c r="G2048" s="10" t="s">
        <v>2464</v>
      </c>
      <c r="H2048" s="10" t="s">
        <v>96</v>
      </c>
      <c r="I2048" s="10" t="s">
        <v>48</v>
      </c>
      <c r="J2048" s="10" t="s">
        <v>2841</v>
      </c>
      <c r="K2048" s="10" t="s">
        <v>6498</v>
      </c>
      <c r="L2048" s="10" t="s">
        <v>42</v>
      </c>
    </row>
    <row r="2049" ht="15.75" customHeight="1">
      <c r="A2049" s="64">
        <v>45486.0</v>
      </c>
      <c r="B2049" s="55" t="str">
        <f>HYPERLINK("https://jobright.ai/jobs/info/65b45b3c5e1a6a34f900dacd?utm_campaign=1062&amp;utm_source=sheet", "Apply")</f>
        <v>Apply</v>
      </c>
      <c r="C2049" s="10" t="s">
        <v>2762</v>
      </c>
      <c r="D2049" s="56" t="s">
        <v>2763</v>
      </c>
      <c r="E2049" s="10" t="s">
        <v>45</v>
      </c>
      <c r="F2049" s="10" t="s">
        <v>1465</v>
      </c>
      <c r="G2049" s="10" t="s">
        <v>2470</v>
      </c>
      <c r="H2049" s="10" t="s">
        <v>4079</v>
      </c>
      <c r="I2049" s="10" t="s">
        <v>55</v>
      </c>
      <c r="J2049" s="10" t="s">
        <v>2764</v>
      </c>
      <c r="K2049" s="10" t="s">
        <v>2832</v>
      </c>
      <c r="L2049" s="10" t="s">
        <v>42</v>
      </c>
    </row>
    <row r="2050" ht="15.75" customHeight="1">
      <c r="A2050" s="64">
        <v>45486.0</v>
      </c>
      <c r="B2050" s="55" t="str">
        <f>HYPERLINK("https://jobright.ai/jobs/info/661dbb317aa4fe6669f8f55a?utm_campaign=1062&amp;utm_source=sheet", "Apply")</f>
        <v>Apply</v>
      </c>
      <c r="C2050" s="10" t="s">
        <v>6499</v>
      </c>
      <c r="D2050" s="56" t="s">
        <v>1690</v>
      </c>
      <c r="E2050" s="10" t="s">
        <v>45</v>
      </c>
      <c r="F2050" s="10" t="s">
        <v>564</v>
      </c>
      <c r="G2050" s="10" t="s">
        <v>2484</v>
      </c>
      <c r="H2050" s="10" t="s">
        <v>1691</v>
      </c>
      <c r="I2050" s="10" t="s">
        <v>48</v>
      </c>
      <c r="K2050" s="10" t="s">
        <v>6500</v>
      </c>
      <c r="L2050" s="10" t="s">
        <v>42</v>
      </c>
    </row>
    <row r="2051" ht="15.75" customHeight="1">
      <c r="A2051" s="64">
        <v>45486.0</v>
      </c>
      <c r="B2051" s="55" t="str">
        <f>HYPERLINK("https://jobright.ai/jobs/info/66761b43127b183117fe8b54?utm_campaign=1062&amp;utm_source=sheet", "Apply")</f>
        <v>Apply</v>
      </c>
      <c r="C2051" s="10" t="s">
        <v>6409</v>
      </c>
      <c r="D2051" s="56" t="s">
        <v>2702</v>
      </c>
      <c r="E2051" s="10" t="s">
        <v>45</v>
      </c>
      <c r="F2051" s="10" t="s">
        <v>2703</v>
      </c>
      <c r="G2051" s="10" t="s">
        <v>2448</v>
      </c>
      <c r="H2051" s="10" t="s">
        <v>423</v>
      </c>
      <c r="I2051" s="10" t="s">
        <v>55</v>
      </c>
      <c r="J2051" s="10" t="s">
        <v>6410</v>
      </c>
      <c r="K2051" s="10" t="s">
        <v>6411</v>
      </c>
      <c r="L2051" s="10" t="s">
        <v>42</v>
      </c>
    </row>
    <row r="2052" ht="15.75" customHeight="1">
      <c r="A2052" s="64">
        <v>45486.0</v>
      </c>
      <c r="B2052" s="55" t="str">
        <f>HYPERLINK("https://jobright.ai/jobs/info/6676e0b2c909276a3772df47?utm_campaign=1062&amp;utm_source=sheet", "Apply")</f>
        <v>Apply</v>
      </c>
      <c r="C2052" s="10" t="s">
        <v>3044</v>
      </c>
      <c r="D2052" s="56" t="s">
        <v>2631</v>
      </c>
      <c r="E2052" s="10" t="s">
        <v>209</v>
      </c>
      <c r="F2052" s="10" t="s">
        <v>2632</v>
      </c>
      <c r="G2052" s="10" t="s">
        <v>2464</v>
      </c>
      <c r="H2052" s="10" t="s">
        <v>6501</v>
      </c>
      <c r="I2052" s="10" t="s">
        <v>55</v>
      </c>
      <c r="K2052" s="10" t="s">
        <v>3045</v>
      </c>
      <c r="L2052" s="10" t="s">
        <v>42</v>
      </c>
    </row>
    <row r="2053" ht="15.75" customHeight="1">
      <c r="A2053" s="64">
        <v>45486.0</v>
      </c>
      <c r="B2053" s="55" t="str">
        <f>HYPERLINK("https://jobright.ai/jobs/info/664e513bc0761b8d87f7cb09?utm_campaign=1062&amp;utm_source=sheet", "Apply")</f>
        <v>Apply</v>
      </c>
      <c r="C2053" s="10" t="s">
        <v>3044</v>
      </c>
      <c r="D2053" s="56" t="s">
        <v>308</v>
      </c>
      <c r="E2053" s="10" t="s">
        <v>45</v>
      </c>
      <c r="F2053" s="10" t="s">
        <v>239</v>
      </c>
      <c r="G2053" s="10" t="s">
        <v>2448</v>
      </c>
      <c r="H2053" s="10" t="s">
        <v>278</v>
      </c>
      <c r="I2053" s="10" t="s">
        <v>48</v>
      </c>
      <c r="K2053" s="10" t="s">
        <v>309</v>
      </c>
      <c r="L2053" s="10" t="s">
        <v>42</v>
      </c>
    </row>
    <row r="2054" ht="15.75" customHeight="1">
      <c r="A2054" s="64">
        <v>45486.0</v>
      </c>
      <c r="B2054" s="55" t="str">
        <f>HYPERLINK("https://jobright.ai/jobs/info/664dd55417e15c8b494116a1?utm_campaign=1062&amp;utm_source=sheet", "Apply")</f>
        <v>Apply</v>
      </c>
      <c r="C2054" s="10" t="s">
        <v>6502</v>
      </c>
      <c r="D2054" s="56" t="s">
        <v>2869</v>
      </c>
      <c r="E2054" s="10" t="s">
        <v>45</v>
      </c>
      <c r="F2054" s="10" t="s">
        <v>2870</v>
      </c>
      <c r="G2054" s="10" t="s">
        <v>2437</v>
      </c>
      <c r="H2054" s="10" t="s">
        <v>661</v>
      </c>
      <c r="I2054" s="10" t="s">
        <v>55</v>
      </c>
      <c r="K2054" s="10" t="s">
        <v>2871</v>
      </c>
      <c r="L2054" s="10" t="s">
        <v>42</v>
      </c>
    </row>
    <row r="2055" ht="15.75" customHeight="1">
      <c r="A2055" s="64">
        <v>45486.0</v>
      </c>
      <c r="B2055" s="55" t="str">
        <f>HYPERLINK("https://jobright.ai/jobs/info/6692523f81631f0c01eda85d?utm_campaign=1062&amp;utm_source=sheet", "Apply")</f>
        <v>Apply</v>
      </c>
      <c r="C2055" s="10" t="s">
        <v>6503</v>
      </c>
      <c r="D2055" s="56" t="s">
        <v>4399</v>
      </c>
      <c r="E2055" s="10" t="s">
        <v>45</v>
      </c>
      <c r="F2055" s="10" t="s">
        <v>660</v>
      </c>
      <c r="G2055" s="10" t="s">
        <v>2484</v>
      </c>
      <c r="H2055" s="10" t="s">
        <v>6014</v>
      </c>
      <c r="I2055" s="10" t="s">
        <v>55</v>
      </c>
      <c r="J2055" s="10" t="s">
        <v>6504</v>
      </c>
      <c r="K2055" s="10" t="s">
        <v>6505</v>
      </c>
      <c r="L2055" s="10" t="s">
        <v>42</v>
      </c>
    </row>
    <row r="2056" ht="15.75" customHeight="1">
      <c r="A2056" s="64">
        <v>45486.0</v>
      </c>
      <c r="B2056" s="55" t="str">
        <f>HYPERLINK("https://jobright.ai/jobs/info/6517aca4f9dfe575991ef1fe?utm_campaign=1062&amp;utm_source=sheet", "Apply")</f>
        <v>Apply</v>
      </c>
      <c r="C2056" s="10" t="s">
        <v>2701</v>
      </c>
      <c r="D2056" s="56" t="s">
        <v>2702</v>
      </c>
      <c r="E2056" s="10" t="s">
        <v>45</v>
      </c>
      <c r="F2056" s="10" t="s">
        <v>2703</v>
      </c>
      <c r="G2056" s="10" t="s">
        <v>2448</v>
      </c>
      <c r="H2056" s="10" t="s">
        <v>6506</v>
      </c>
      <c r="I2056" s="10" t="s">
        <v>55</v>
      </c>
      <c r="J2056" s="10" t="s">
        <v>2704</v>
      </c>
      <c r="K2056" s="10" t="s">
        <v>2705</v>
      </c>
      <c r="L2056" s="10" t="s">
        <v>42</v>
      </c>
    </row>
    <row r="2057" ht="15.75" customHeight="1">
      <c r="A2057" s="64">
        <v>45486.0</v>
      </c>
      <c r="B2057" s="55" t="str">
        <f>HYPERLINK("https://jobright.ai/jobs/info/66749997e2555414447e64d2?utm_campaign=1062&amp;utm_source=sheet", "Apply")</f>
        <v>Apply</v>
      </c>
      <c r="C2057" s="10" t="s">
        <v>6507</v>
      </c>
      <c r="D2057" s="56" t="s">
        <v>1993</v>
      </c>
      <c r="E2057" s="10" t="s">
        <v>45</v>
      </c>
      <c r="F2057" s="10" t="s">
        <v>1179</v>
      </c>
      <c r="G2057" s="10" t="s">
        <v>2502</v>
      </c>
      <c r="H2057" s="10" t="s">
        <v>216</v>
      </c>
      <c r="I2057" s="10" t="s">
        <v>55</v>
      </c>
      <c r="J2057" s="10" t="s">
        <v>6508</v>
      </c>
      <c r="K2057" s="10" t="s">
        <v>6509</v>
      </c>
      <c r="L2057" s="10" t="s">
        <v>42</v>
      </c>
    </row>
    <row r="2058" ht="15.75" customHeight="1">
      <c r="A2058" s="64">
        <v>45486.0</v>
      </c>
      <c r="B2058" s="55" t="str">
        <f>HYPERLINK("https://jobright.ai/jobs/info/65ec5b85848aca2713fce7da?utm_campaign=1062&amp;utm_source=sheet", "Apply")</f>
        <v>Apply</v>
      </c>
      <c r="C2058" s="10" t="s">
        <v>3303</v>
      </c>
      <c r="D2058" s="56" t="s">
        <v>2763</v>
      </c>
      <c r="E2058" s="10" t="s">
        <v>45</v>
      </c>
      <c r="F2058" s="10" t="s">
        <v>1465</v>
      </c>
      <c r="G2058" s="10" t="s">
        <v>2437</v>
      </c>
      <c r="H2058" s="10" t="s">
        <v>6349</v>
      </c>
      <c r="I2058" s="10" t="s">
        <v>55</v>
      </c>
      <c r="K2058" s="10" t="s">
        <v>3305</v>
      </c>
      <c r="L2058" s="10" t="s">
        <v>42</v>
      </c>
    </row>
    <row r="2059" ht="15.75" customHeight="1">
      <c r="A2059" s="64">
        <v>45486.0</v>
      </c>
      <c r="B2059" s="55" t="str">
        <f>HYPERLINK("https://jobright.ai/jobs/info/65b500675842ab810853a27f?utm_campaign=1062&amp;utm_source=sheet", "Apply")</f>
        <v>Apply</v>
      </c>
      <c r="C2059" s="10" t="s">
        <v>6507</v>
      </c>
      <c r="D2059" s="56" t="s">
        <v>1993</v>
      </c>
      <c r="E2059" s="10" t="s">
        <v>45</v>
      </c>
      <c r="F2059" s="10" t="s">
        <v>1179</v>
      </c>
      <c r="G2059" s="10" t="s">
        <v>2502</v>
      </c>
      <c r="H2059" s="10" t="s">
        <v>1994</v>
      </c>
      <c r="I2059" s="10" t="s">
        <v>55</v>
      </c>
      <c r="J2059" s="10" t="s">
        <v>6508</v>
      </c>
      <c r="K2059" s="10" t="s">
        <v>6509</v>
      </c>
      <c r="L2059" s="10" t="s">
        <v>42</v>
      </c>
    </row>
    <row r="2060" ht="15.75" customHeight="1">
      <c r="A2060" s="64">
        <v>45486.0</v>
      </c>
      <c r="B2060" s="55" t="str">
        <f>HYPERLINK("https://jobright.ai/jobs/info/667705c9acb63b6016fafcd4?utm_campaign=1062&amp;utm_source=sheet", "Apply")</f>
        <v>Apply</v>
      </c>
      <c r="C2060" s="10" t="s">
        <v>6510</v>
      </c>
      <c r="D2060" s="56" t="s">
        <v>1780</v>
      </c>
      <c r="E2060" s="10" t="s">
        <v>45</v>
      </c>
      <c r="F2060" s="10" t="s">
        <v>1781</v>
      </c>
      <c r="G2060" s="10" t="s">
        <v>2807</v>
      </c>
      <c r="H2060" s="10" t="s">
        <v>159</v>
      </c>
      <c r="I2060" s="10" t="s">
        <v>55</v>
      </c>
      <c r="J2060" s="10" t="s">
        <v>3969</v>
      </c>
      <c r="K2060" s="10" t="s">
        <v>4532</v>
      </c>
      <c r="L2060" s="10" t="s">
        <v>42</v>
      </c>
    </row>
    <row r="2061" ht="15.75" customHeight="1">
      <c r="A2061" s="64">
        <v>45486.0</v>
      </c>
      <c r="B2061" s="55" t="str">
        <f>HYPERLINK("https://jobright.ai/jobs/info/665820e2fb0009309d6570f6?utm_campaign=1062&amp;utm_source=sheet", "Apply")</f>
        <v>Apply</v>
      </c>
      <c r="C2061" s="10" t="s">
        <v>6170</v>
      </c>
      <c r="D2061" s="56" t="s">
        <v>6171</v>
      </c>
      <c r="E2061" s="10" t="s">
        <v>209</v>
      </c>
      <c r="F2061" s="10" t="s">
        <v>6172</v>
      </c>
      <c r="G2061" s="10" t="s">
        <v>3005</v>
      </c>
      <c r="H2061" s="10" t="s">
        <v>802</v>
      </c>
      <c r="I2061" s="10" t="s">
        <v>55</v>
      </c>
      <c r="J2061" s="10" t="s">
        <v>6173</v>
      </c>
      <c r="K2061" s="10" t="s">
        <v>6174</v>
      </c>
      <c r="L2061" s="10" t="s">
        <v>42</v>
      </c>
    </row>
    <row r="2062" ht="15.75" customHeight="1">
      <c r="A2062" s="64">
        <v>45486.0</v>
      </c>
      <c r="B2062" s="55" t="str">
        <f>HYPERLINK("https://jobright.ai/jobs/info/65c5b15bc69391c25b978859?utm_campaign=1062&amp;utm_source=sheet", "Apply")</f>
        <v>Apply</v>
      </c>
      <c r="C2062" s="10" t="s">
        <v>6511</v>
      </c>
      <c r="D2062" s="56" t="s">
        <v>6490</v>
      </c>
      <c r="E2062" s="10" t="s">
        <v>65</v>
      </c>
      <c r="F2062" s="10" t="s">
        <v>259</v>
      </c>
      <c r="G2062" s="10" t="s">
        <v>2448</v>
      </c>
      <c r="H2062" s="10" t="s">
        <v>6512</v>
      </c>
      <c r="I2062" s="10" t="s">
        <v>55</v>
      </c>
      <c r="K2062" s="10" t="s">
        <v>6513</v>
      </c>
      <c r="L2062" s="10" t="s">
        <v>42</v>
      </c>
    </row>
    <row r="2063" ht="15.75" customHeight="1">
      <c r="A2063" s="64">
        <v>45486.0</v>
      </c>
      <c r="B2063" s="55" t="str">
        <f>HYPERLINK("https://jobright.ai/jobs/info/66924ad8f9dc21f2239bec1d?utm_campaign=1062&amp;utm_source=sheet", "Apply")</f>
        <v>Apply</v>
      </c>
      <c r="C2063" s="10" t="s">
        <v>6514</v>
      </c>
      <c r="D2063" s="56" t="s">
        <v>702</v>
      </c>
      <c r="E2063" s="10" t="s">
        <v>65</v>
      </c>
      <c r="F2063" s="10" t="s">
        <v>703</v>
      </c>
      <c r="G2063" s="10" t="s">
        <v>2459</v>
      </c>
      <c r="H2063" s="10" t="s">
        <v>1058</v>
      </c>
      <c r="I2063" s="10" t="s">
        <v>48</v>
      </c>
      <c r="J2063" s="10" t="s">
        <v>1952</v>
      </c>
      <c r="K2063" s="10" t="s">
        <v>6515</v>
      </c>
      <c r="L2063" s="10" t="s">
        <v>42</v>
      </c>
    </row>
    <row r="2064" ht="15.75" customHeight="1">
      <c r="A2064" s="64">
        <v>45486.0</v>
      </c>
      <c r="B2064" s="55" t="str">
        <f>HYPERLINK("https://jobright.ai/jobs/info/65fd62e80e7d5d4e413b79d3?utm_campaign=1062&amp;utm_source=sheet", "Apply")</f>
        <v>Apply</v>
      </c>
      <c r="C2064" s="10" t="s">
        <v>4887</v>
      </c>
      <c r="D2064" s="56" t="s">
        <v>1993</v>
      </c>
      <c r="E2064" s="10" t="s">
        <v>45</v>
      </c>
      <c r="F2064" s="10" t="s">
        <v>1179</v>
      </c>
      <c r="G2064" s="10" t="s">
        <v>2448</v>
      </c>
      <c r="H2064" s="10" t="s">
        <v>419</v>
      </c>
      <c r="I2064" s="10" t="s">
        <v>55</v>
      </c>
      <c r="J2064" s="10" t="s">
        <v>4888</v>
      </c>
      <c r="K2064" s="10" t="s">
        <v>6516</v>
      </c>
      <c r="L2064" s="10" t="s">
        <v>42</v>
      </c>
    </row>
    <row r="2065" ht="15.75" customHeight="1">
      <c r="A2065" s="64">
        <v>45486.0</v>
      </c>
      <c r="B2065" s="55" t="str">
        <f>HYPERLINK("https://jobright.ai/jobs/info/660312cc3e08335fd2a29f9d?utm_campaign=1062&amp;utm_source=sheet", "Apply")</f>
        <v>Apply</v>
      </c>
      <c r="C2065" s="10" t="s">
        <v>6517</v>
      </c>
      <c r="D2065" s="56" t="s">
        <v>6490</v>
      </c>
      <c r="E2065" s="10" t="s">
        <v>65</v>
      </c>
      <c r="F2065" s="10" t="s">
        <v>259</v>
      </c>
      <c r="G2065" s="10" t="s">
        <v>2448</v>
      </c>
      <c r="H2065" s="10" t="s">
        <v>6518</v>
      </c>
      <c r="I2065" s="10" t="s">
        <v>55</v>
      </c>
      <c r="K2065" s="10" t="s">
        <v>6519</v>
      </c>
      <c r="L2065" s="10" t="s">
        <v>42</v>
      </c>
    </row>
    <row r="2066" ht="15.75" customHeight="1">
      <c r="A2066" s="64">
        <v>45486.0</v>
      </c>
      <c r="B2066" s="55" t="str">
        <f>HYPERLINK("https://jobright.ai/jobs/info/669252da8ff5a5d2eec8fdeb?utm_campaign=1062&amp;utm_source=sheet", "Apply")</f>
        <v>Apply</v>
      </c>
      <c r="C2066" s="10" t="s">
        <v>5937</v>
      </c>
      <c r="D2066" s="56" t="s">
        <v>2763</v>
      </c>
      <c r="E2066" s="10" t="s">
        <v>45</v>
      </c>
      <c r="F2066" s="10" t="s">
        <v>1465</v>
      </c>
      <c r="G2066" s="10" t="s">
        <v>2484</v>
      </c>
      <c r="H2066" s="10" t="s">
        <v>5963</v>
      </c>
      <c r="I2066" s="10" t="s">
        <v>55</v>
      </c>
      <c r="J2066" s="10" t="s">
        <v>5938</v>
      </c>
      <c r="K2066" s="10" t="s">
        <v>5939</v>
      </c>
      <c r="L2066" s="10" t="s">
        <v>42</v>
      </c>
    </row>
    <row r="2067" ht="15.75" customHeight="1">
      <c r="A2067" s="64">
        <v>45486.0</v>
      </c>
      <c r="B2067" s="55" t="str">
        <f>HYPERLINK("https://jobright.ai/jobs/info/6691f69ba8833196ce3c0837?utm_campaign=1062&amp;utm_source=sheet", "Apply")</f>
        <v>Apply</v>
      </c>
      <c r="C2067" s="10" t="s">
        <v>301</v>
      </c>
      <c r="D2067" s="56" t="s">
        <v>3850</v>
      </c>
      <c r="E2067" s="10" t="s">
        <v>137</v>
      </c>
      <c r="F2067" s="10" t="s">
        <v>3851</v>
      </c>
      <c r="G2067" s="10" t="s">
        <v>2448</v>
      </c>
      <c r="H2067" s="10" t="s">
        <v>3852</v>
      </c>
      <c r="I2067" s="10" t="s">
        <v>55</v>
      </c>
      <c r="K2067" s="10" t="s">
        <v>5643</v>
      </c>
      <c r="L2067" s="10" t="s">
        <v>42</v>
      </c>
    </row>
    <row r="2068" ht="15.75" customHeight="1">
      <c r="A2068" s="64">
        <v>45486.0</v>
      </c>
      <c r="B2068" s="55" t="str">
        <f>HYPERLINK("https://jobright.ai/jobs/info/6691f69ba8833196ce3c0827?utm_campaign=1062&amp;utm_source=sheet", "Apply")</f>
        <v>Apply</v>
      </c>
      <c r="C2068" s="10" t="s">
        <v>6520</v>
      </c>
      <c r="D2068" s="56" t="s">
        <v>2553</v>
      </c>
      <c r="E2068" s="10" t="s">
        <v>45</v>
      </c>
      <c r="F2068" s="10" t="s">
        <v>2554</v>
      </c>
      <c r="G2068" s="10" t="s">
        <v>2484</v>
      </c>
      <c r="H2068" s="10" t="s">
        <v>1001</v>
      </c>
      <c r="I2068" s="10" t="s">
        <v>55</v>
      </c>
      <c r="J2068" s="10" t="s">
        <v>2555</v>
      </c>
      <c r="K2068" s="10" t="s">
        <v>6521</v>
      </c>
      <c r="L2068" s="10" t="s">
        <v>42</v>
      </c>
    </row>
    <row r="2069" ht="15.75" customHeight="1">
      <c r="A2069" s="64">
        <v>45486.0</v>
      </c>
      <c r="B2069" s="55" t="str">
        <f>HYPERLINK("https://jobright.ai/jobs/info/66a45a2048b3f4775c230004?utm_campaign=1062&amp;utm_source=sheet", "Apply")</f>
        <v>Apply</v>
      </c>
      <c r="C2069" s="10" t="s">
        <v>6522</v>
      </c>
      <c r="D2069" s="56" t="s">
        <v>6523</v>
      </c>
      <c r="E2069" s="10" t="s">
        <v>45</v>
      </c>
      <c r="F2069" s="10" t="s">
        <v>1577</v>
      </c>
      <c r="G2069" s="10" t="s">
        <v>2484</v>
      </c>
      <c r="H2069" s="10" t="s">
        <v>6524</v>
      </c>
      <c r="I2069" s="10" t="s">
        <v>55</v>
      </c>
      <c r="K2069" s="10" t="s">
        <v>6525</v>
      </c>
      <c r="L2069" s="10" t="s">
        <v>42</v>
      </c>
    </row>
    <row r="2070" ht="15.75" customHeight="1">
      <c r="A2070" s="64">
        <v>45486.0</v>
      </c>
      <c r="B2070" s="55" t="str">
        <f>HYPERLINK("https://jobright.ai/jobs/info/6691cd152faf74a8ac18c5eb?utm_campaign=1062&amp;utm_source=sheet", "Apply")</f>
        <v>Apply</v>
      </c>
      <c r="C2070" s="10" t="s">
        <v>6526</v>
      </c>
      <c r="D2070" s="56" t="s">
        <v>6527</v>
      </c>
      <c r="E2070" s="10" t="s">
        <v>209</v>
      </c>
      <c r="F2070" s="10" t="s">
        <v>6528</v>
      </c>
      <c r="G2070" s="10" t="s">
        <v>2502</v>
      </c>
      <c r="H2070" s="10" t="s">
        <v>251</v>
      </c>
      <c r="I2070" s="10" t="s">
        <v>252</v>
      </c>
      <c r="J2070" s="10" t="s">
        <v>6529</v>
      </c>
      <c r="K2070" s="10" t="s">
        <v>6530</v>
      </c>
      <c r="L2070" s="10" t="s">
        <v>42</v>
      </c>
    </row>
    <row r="2071" ht="15.75" customHeight="1">
      <c r="A2071" s="64">
        <v>45486.0</v>
      </c>
      <c r="B2071" s="55" t="str">
        <f>HYPERLINK("https://jobright.ai/jobs/info/6691cd152faf74a8ac18c5ff?utm_campaign=1062&amp;utm_source=sheet", "Apply")</f>
        <v>Apply</v>
      </c>
      <c r="C2071" s="10" t="s">
        <v>6531</v>
      </c>
      <c r="D2071" s="56" t="s">
        <v>6527</v>
      </c>
      <c r="E2071" s="10" t="s">
        <v>209</v>
      </c>
      <c r="F2071" s="10" t="s">
        <v>6528</v>
      </c>
      <c r="G2071" s="10" t="s">
        <v>2502</v>
      </c>
      <c r="H2071" s="10" t="s">
        <v>251</v>
      </c>
      <c r="I2071" s="10" t="s">
        <v>252</v>
      </c>
      <c r="J2071" s="10" t="s">
        <v>551</v>
      </c>
      <c r="K2071" s="10" t="s">
        <v>6532</v>
      </c>
      <c r="L2071" s="10" t="s">
        <v>42</v>
      </c>
    </row>
    <row r="2072" ht="15.75" customHeight="1">
      <c r="A2072" s="64">
        <v>45485.0</v>
      </c>
      <c r="B2072" s="55" t="str">
        <f>HYPERLINK("https://jobright.ai/jobs/info/668f4991478c8663838f2707?utm_campaign=1062&amp;utm_source=sheet", "Apply")</f>
        <v>Apply</v>
      </c>
      <c r="C2072" s="10" t="s">
        <v>6533</v>
      </c>
      <c r="D2072" s="56" t="s">
        <v>567</v>
      </c>
      <c r="E2072" s="10" t="s">
        <v>65</v>
      </c>
      <c r="F2072" s="10" t="s">
        <v>568</v>
      </c>
      <c r="G2072" s="10" t="s">
        <v>2437</v>
      </c>
      <c r="H2072" s="10" t="s">
        <v>167</v>
      </c>
      <c r="I2072" s="10" t="s">
        <v>55</v>
      </c>
      <c r="K2072" s="10" t="s">
        <v>3024</v>
      </c>
      <c r="L2072" s="10" t="s">
        <v>42</v>
      </c>
    </row>
    <row r="2073" ht="15.75" customHeight="1">
      <c r="A2073" s="64">
        <v>45485.0</v>
      </c>
      <c r="B2073" s="55" t="str">
        <f>HYPERLINK("https://jobright.ai/jobs/info/6691c78555fdc8d51c7e4591?utm_campaign=1062&amp;utm_source=sheet", "Apply")</f>
        <v>Apply</v>
      </c>
      <c r="C2073" s="10" t="s">
        <v>6534</v>
      </c>
      <c r="D2073" s="56" t="s">
        <v>6535</v>
      </c>
      <c r="E2073" s="10" t="s">
        <v>45</v>
      </c>
      <c r="F2073" s="10" t="s">
        <v>6536</v>
      </c>
      <c r="G2073" s="10" t="s">
        <v>3733</v>
      </c>
      <c r="H2073" s="10" t="s">
        <v>698</v>
      </c>
      <c r="I2073" s="10" t="s">
        <v>48</v>
      </c>
      <c r="J2073" s="10" t="s">
        <v>6537</v>
      </c>
      <c r="K2073" s="10" t="s">
        <v>6538</v>
      </c>
      <c r="L2073" s="10" t="s">
        <v>42</v>
      </c>
    </row>
    <row r="2074" ht="15.75" customHeight="1">
      <c r="A2074" s="64">
        <v>45485.0</v>
      </c>
      <c r="B2074" s="55" t="str">
        <f>HYPERLINK("https://jobright.ai/jobs/info/6691ce06e3b2ba50fa2cea20?utm_campaign=1062&amp;utm_source=sheet", "Apply")</f>
        <v>Apply</v>
      </c>
      <c r="C2074" s="10" t="s">
        <v>5127</v>
      </c>
      <c r="D2074" s="56" t="s">
        <v>3832</v>
      </c>
      <c r="E2074" s="10" t="s">
        <v>65</v>
      </c>
      <c r="F2074" s="10" t="s">
        <v>660</v>
      </c>
      <c r="G2074" s="10" t="s">
        <v>2459</v>
      </c>
      <c r="H2074" s="10" t="s">
        <v>113</v>
      </c>
      <c r="I2074" s="10" t="s">
        <v>55</v>
      </c>
      <c r="J2074" s="10" t="s">
        <v>3615</v>
      </c>
      <c r="K2074" s="10" t="s">
        <v>5128</v>
      </c>
      <c r="L2074" s="10" t="s">
        <v>42</v>
      </c>
    </row>
    <row r="2075" ht="15.75" customHeight="1">
      <c r="A2075" s="64">
        <v>45485.0</v>
      </c>
      <c r="B2075" s="55" t="str">
        <f>HYPERLINK("https://jobright.ai/jobs/info/6691c9c2cf3c8abe59ab676c?utm_campaign=1062&amp;utm_source=sheet", "Apply")</f>
        <v>Apply</v>
      </c>
      <c r="C2075" s="10" t="s">
        <v>6539</v>
      </c>
      <c r="D2075" s="56" t="s">
        <v>2157</v>
      </c>
      <c r="E2075" s="10" t="s">
        <v>45</v>
      </c>
      <c r="F2075" s="10" t="s">
        <v>2158</v>
      </c>
      <c r="G2075" s="10" t="s">
        <v>2443</v>
      </c>
      <c r="H2075" s="10" t="s">
        <v>628</v>
      </c>
      <c r="I2075" s="10" t="s">
        <v>55</v>
      </c>
      <c r="K2075" s="10" t="s">
        <v>5027</v>
      </c>
      <c r="L2075" s="10" t="s">
        <v>42</v>
      </c>
    </row>
    <row r="2076" ht="15.75" customHeight="1">
      <c r="A2076" s="64">
        <v>45485.0</v>
      </c>
      <c r="B2076" s="55" t="str">
        <f>HYPERLINK("https://jobright.ai/jobs/info/6691c77d55fdc8d51c7e4502?utm_campaign=1062&amp;utm_source=sheet", "Apply")</f>
        <v>Apply</v>
      </c>
      <c r="C2076" s="10" t="s">
        <v>6540</v>
      </c>
      <c r="D2076" s="56" t="s">
        <v>1966</v>
      </c>
      <c r="E2076" s="10">
        <v>1209.0</v>
      </c>
      <c r="G2076" s="10" t="s">
        <v>2455</v>
      </c>
      <c r="H2076" s="10" t="s">
        <v>96</v>
      </c>
      <c r="I2076" s="10" t="s">
        <v>55</v>
      </c>
      <c r="J2076" s="10" t="s">
        <v>6541</v>
      </c>
      <c r="K2076" s="10" t="s">
        <v>6542</v>
      </c>
      <c r="L2076" s="10" t="s">
        <v>42</v>
      </c>
    </row>
    <row r="2077" ht="15.75" customHeight="1">
      <c r="A2077" s="64">
        <v>45485.0</v>
      </c>
      <c r="B2077" s="55" t="str">
        <f>HYPERLINK("https://jobright.ai/jobs/info/6691c248434cdde412c01f1a?utm_campaign=1062&amp;utm_source=sheet", "Apply")</f>
        <v>Apply</v>
      </c>
      <c r="C2077" s="10" t="s">
        <v>6543</v>
      </c>
      <c r="D2077" s="56" t="s">
        <v>6544</v>
      </c>
      <c r="E2077" s="10" t="s">
        <v>137</v>
      </c>
      <c r="F2077" s="10" t="s">
        <v>6545</v>
      </c>
      <c r="G2077" s="10" t="s">
        <v>2495</v>
      </c>
      <c r="H2077" s="10" t="s">
        <v>6546</v>
      </c>
      <c r="I2077" s="10" t="s">
        <v>55</v>
      </c>
      <c r="K2077" s="10" t="s">
        <v>6547</v>
      </c>
      <c r="L2077" s="10" t="s">
        <v>42</v>
      </c>
    </row>
    <row r="2078" ht="15.75" customHeight="1">
      <c r="A2078" s="64">
        <v>45485.0</v>
      </c>
      <c r="B2078" s="55" t="str">
        <f>HYPERLINK("https://jobright.ai/jobs/info/6691bd44fd9555930f1fd9b8?utm_campaign=1062&amp;utm_source=sheet", "Apply")</f>
        <v>Apply</v>
      </c>
      <c r="C2078" s="10" t="s">
        <v>6548</v>
      </c>
      <c r="D2078" s="56" t="s">
        <v>6549</v>
      </c>
      <c r="E2078" s="10" t="s">
        <v>276</v>
      </c>
      <c r="F2078" s="10" t="s">
        <v>10</v>
      </c>
      <c r="G2078" s="10" t="s">
        <v>2464</v>
      </c>
      <c r="H2078" s="10" t="s">
        <v>6550</v>
      </c>
      <c r="I2078" s="10" t="s">
        <v>48</v>
      </c>
      <c r="J2078" s="10" t="s">
        <v>6551</v>
      </c>
      <c r="K2078" s="10" t="s">
        <v>6552</v>
      </c>
      <c r="L2078" s="10" t="s">
        <v>42</v>
      </c>
    </row>
    <row r="2079" ht="15.75" customHeight="1">
      <c r="A2079" s="64">
        <v>45485.0</v>
      </c>
      <c r="B2079" s="55" t="str">
        <f>HYPERLINK("https://jobright.ai/jobs/info/66784b89a11e9c62a8fab05e?utm_campaign=1062&amp;utm_source=sheet", "Apply")</f>
        <v>Apply</v>
      </c>
      <c r="C2079" s="10" t="s">
        <v>6553</v>
      </c>
      <c r="D2079" s="56" t="s">
        <v>2157</v>
      </c>
      <c r="E2079" s="10" t="s">
        <v>45</v>
      </c>
      <c r="F2079" s="10" t="s">
        <v>2158</v>
      </c>
      <c r="G2079" s="10" t="s">
        <v>2443</v>
      </c>
      <c r="H2079" s="10" t="s">
        <v>628</v>
      </c>
      <c r="I2079" s="10" t="s">
        <v>55</v>
      </c>
      <c r="K2079" s="10" t="s">
        <v>6554</v>
      </c>
      <c r="L2079" s="10" t="s">
        <v>42</v>
      </c>
    </row>
    <row r="2080" ht="15.75" customHeight="1">
      <c r="A2080" s="64">
        <v>45485.0</v>
      </c>
      <c r="B2080" s="55" t="str">
        <f>HYPERLINK("https://jobright.ai/jobs/info/6691ce0ee3b2ba50fa2ceaeb?utm_campaign=1062&amp;utm_source=sheet", "Apply")</f>
        <v>Apply</v>
      </c>
      <c r="C2080" s="10" t="s">
        <v>6555</v>
      </c>
      <c r="D2080" s="56" t="s">
        <v>2157</v>
      </c>
      <c r="E2080" s="10" t="s">
        <v>45</v>
      </c>
      <c r="F2080" s="10" t="s">
        <v>2158</v>
      </c>
      <c r="G2080" s="10" t="s">
        <v>2443</v>
      </c>
      <c r="H2080" s="10" t="s">
        <v>628</v>
      </c>
      <c r="I2080" s="10" t="s">
        <v>55</v>
      </c>
      <c r="K2080" s="10" t="s">
        <v>5027</v>
      </c>
      <c r="L2080" s="10" t="s">
        <v>42</v>
      </c>
    </row>
    <row r="2081" ht="15.75" customHeight="1">
      <c r="A2081" s="64">
        <v>45485.0</v>
      </c>
      <c r="B2081" s="55" t="str">
        <f>HYPERLINK("https://jobright.ai/jobs/info/6651c33736f20287baea7c17?utm_campaign=1062&amp;utm_source=sheet", "Apply")</f>
        <v>Apply</v>
      </c>
      <c r="C2081" s="10" t="s">
        <v>6556</v>
      </c>
      <c r="D2081" s="56" t="s">
        <v>2157</v>
      </c>
      <c r="E2081" s="10" t="s">
        <v>45</v>
      </c>
      <c r="F2081" s="10" t="s">
        <v>2158</v>
      </c>
      <c r="G2081" s="10" t="s">
        <v>2443</v>
      </c>
      <c r="H2081" s="10" t="s">
        <v>628</v>
      </c>
      <c r="I2081" s="10" t="s">
        <v>55</v>
      </c>
      <c r="K2081" s="10" t="s">
        <v>6557</v>
      </c>
      <c r="L2081" s="10" t="s">
        <v>42</v>
      </c>
    </row>
    <row r="2082" ht="15.75" customHeight="1">
      <c r="A2082" s="64">
        <v>45485.0</v>
      </c>
      <c r="B2082" s="55" t="str">
        <f>HYPERLINK("https://jobright.ai/jobs/info/6691c9cbcf3c8abe59ab6806?utm_campaign=1062&amp;utm_source=sheet", "Apply")</f>
        <v>Apply</v>
      </c>
      <c r="C2082" s="10" t="s">
        <v>6558</v>
      </c>
      <c r="D2082" s="56" t="s">
        <v>6559</v>
      </c>
      <c r="E2082" s="10" t="s">
        <v>79</v>
      </c>
      <c r="F2082" s="10" t="s">
        <v>6560</v>
      </c>
      <c r="G2082" s="10" t="s">
        <v>2484</v>
      </c>
      <c r="H2082" s="10" t="s">
        <v>2123</v>
      </c>
      <c r="I2082" s="10" t="s">
        <v>55</v>
      </c>
      <c r="K2082" s="10" t="s">
        <v>6561</v>
      </c>
      <c r="L2082" s="10" t="s">
        <v>42</v>
      </c>
    </row>
    <row r="2083" ht="15.75" customHeight="1">
      <c r="A2083" s="64">
        <v>45485.0</v>
      </c>
      <c r="B2083" s="55" t="str">
        <f>HYPERLINK("https://jobright.ai/jobs/info/6691bd61fd9555930f1fdbbb?utm_campaign=1062&amp;utm_source=sheet", "Apply")</f>
        <v>Apply</v>
      </c>
      <c r="C2083" s="10" t="s">
        <v>6562</v>
      </c>
      <c r="D2083" s="56" t="s">
        <v>6563</v>
      </c>
      <c r="E2083" s="10" t="s">
        <v>65</v>
      </c>
      <c r="F2083" s="10" t="s">
        <v>318</v>
      </c>
      <c r="G2083" s="10" t="s">
        <v>2448</v>
      </c>
      <c r="H2083" s="10" t="s">
        <v>6564</v>
      </c>
      <c r="I2083" s="10" t="s">
        <v>55</v>
      </c>
      <c r="J2083" s="10" t="s">
        <v>6565</v>
      </c>
      <c r="K2083" s="10" t="s">
        <v>6566</v>
      </c>
      <c r="L2083" s="10" t="s">
        <v>42</v>
      </c>
    </row>
    <row r="2084" ht="15.75" customHeight="1">
      <c r="A2084" s="64">
        <v>45485.0</v>
      </c>
      <c r="B2084" s="55" t="str">
        <f>HYPERLINK("https://jobright.ai/jobs/info/6691b8cdcc90539b647635f1?utm_campaign=1062&amp;utm_source=sheet", "Apply")</f>
        <v>Apply</v>
      </c>
      <c r="C2084" s="10" t="s">
        <v>6567</v>
      </c>
      <c r="D2084" s="56" t="s">
        <v>6568</v>
      </c>
      <c r="E2084" s="10" t="s">
        <v>65</v>
      </c>
      <c r="F2084" s="10" t="s">
        <v>6560</v>
      </c>
      <c r="G2084" s="10" t="s">
        <v>2437</v>
      </c>
      <c r="H2084" s="10" t="s">
        <v>803</v>
      </c>
      <c r="I2084" s="10" t="s">
        <v>55</v>
      </c>
      <c r="K2084" s="10" t="s">
        <v>6569</v>
      </c>
      <c r="L2084" s="10" t="s">
        <v>42</v>
      </c>
    </row>
    <row r="2085" ht="15.75" customHeight="1">
      <c r="A2085" s="64">
        <v>45485.0</v>
      </c>
      <c r="B2085" s="55" t="str">
        <f>HYPERLINK("https://jobright.ai/jobs/info/6691b8cdcc90539b6476358c?utm_campaign=1062&amp;utm_source=sheet", "Apply")</f>
        <v>Apply</v>
      </c>
      <c r="C2085" s="10" t="s">
        <v>6570</v>
      </c>
      <c r="D2085" s="56" t="s">
        <v>6571</v>
      </c>
      <c r="E2085" s="10" t="s">
        <v>249</v>
      </c>
      <c r="F2085" s="10" t="s">
        <v>3359</v>
      </c>
      <c r="G2085" s="10" t="s">
        <v>2443</v>
      </c>
      <c r="H2085" s="10" t="s">
        <v>6572</v>
      </c>
      <c r="I2085" s="10" t="s">
        <v>55</v>
      </c>
      <c r="K2085" s="10" t="s">
        <v>6573</v>
      </c>
      <c r="L2085" s="10" t="s">
        <v>42</v>
      </c>
    </row>
    <row r="2086" ht="15.75" customHeight="1">
      <c r="A2086" s="64">
        <v>45485.0</v>
      </c>
      <c r="B2086" s="55" t="str">
        <f>HYPERLINK("https://jobright.ai/jobs/info/6691b8d5cc90539b64763696?utm_campaign=1062&amp;utm_source=sheet", "Apply")</f>
        <v>Apply</v>
      </c>
      <c r="C2086" s="10" t="s">
        <v>6574</v>
      </c>
      <c r="D2086" s="56" t="s">
        <v>6575</v>
      </c>
      <c r="E2086" s="10" t="s">
        <v>209</v>
      </c>
      <c r="F2086" s="10" t="s">
        <v>6576</v>
      </c>
      <c r="G2086" s="10" t="s">
        <v>2470</v>
      </c>
      <c r="H2086" s="10" t="s">
        <v>977</v>
      </c>
      <c r="I2086" s="10" t="s">
        <v>55</v>
      </c>
      <c r="K2086" s="10" t="s">
        <v>6577</v>
      </c>
      <c r="L2086" s="10" t="s">
        <v>42</v>
      </c>
    </row>
    <row r="2087" ht="15.75" customHeight="1">
      <c r="A2087" s="64">
        <v>45485.0</v>
      </c>
      <c r="B2087" s="55" t="str">
        <f>HYPERLINK("https://jobright.ai/jobs/info/6691b7ff13527b97fdb1b82d?utm_campaign=1062&amp;utm_source=sheet", "Apply")</f>
        <v>Apply</v>
      </c>
      <c r="C2087" s="10" t="s">
        <v>6578</v>
      </c>
      <c r="D2087" s="56" t="s">
        <v>6579</v>
      </c>
      <c r="E2087" s="10" t="s">
        <v>276</v>
      </c>
      <c r="F2087" s="10" t="s">
        <v>6580</v>
      </c>
      <c r="G2087" s="10" t="s">
        <v>2443</v>
      </c>
      <c r="H2087" s="10" t="s">
        <v>3622</v>
      </c>
      <c r="I2087" s="10" t="s">
        <v>55</v>
      </c>
      <c r="K2087" s="10" t="s">
        <v>6581</v>
      </c>
      <c r="L2087" s="10" t="s">
        <v>42</v>
      </c>
    </row>
    <row r="2088" ht="15.75" customHeight="1">
      <c r="A2088" s="64">
        <v>45485.0</v>
      </c>
      <c r="B2088" s="55" t="str">
        <f>HYPERLINK("https://jobright.ai/jobs/info/6691b902cc90539b64763a73?utm_campaign=1062&amp;utm_source=sheet", "Apply")</f>
        <v>Apply</v>
      </c>
      <c r="C2088" s="10" t="s">
        <v>3755</v>
      </c>
      <c r="D2088" s="56" t="s">
        <v>2726</v>
      </c>
      <c r="E2088" s="10" t="s">
        <v>65</v>
      </c>
      <c r="F2088" s="10" t="s">
        <v>85</v>
      </c>
      <c r="G2088" s="10" t="s">
        <v>2464</v>
      </c>
      <c r="H2088" s="10" t="s">
        <v>139</v>
      </c>
      <c r="I2088" s="10" t="s">
        <v>48</v>
      </c>
      <c r="K2088" s="10" t="s">
        <v>6582</v>
      </c>
      <c r="L2088" s="10" t="s">
        <v>42</v>
      </c>
    </row>
    <row r="2089" ht="15.75" customHeight="1">
      <c r="A2089" s="64">
        <v>45485.0</v>
      </c>
      <c r="B2089" s="55" t="str">
        <f>HYPERLINK("https://jobright.ai/jobs/info/6691b8cdcc90539b64763608?utm_campaign=1062&amp;utm_source=sheet", "Apply")</f>
        <v>Apply</v>
      </c>
      <c r="C2089" s="10" t="s">
        <v>6583</v>
      </c>
      <c r="D2089" s="56" t="s">
        <v>6563</v>
      </c>
      <c r="E2089" s="10" t="s">
        <v>65</v>
      </c>
      <c r="F2089" s="10" t="s">
        <v>318</v>
      </c>
      <c r="G2089" s="10" t="s">
        <v>2448</v>
      </c>
      <c r="H2089" s="10" t="s">
        <v>1036</v>
      </c>
      <c r="I2089" s="10" t="s">
        <v>55</v>
      </c>
      <c r="J2089" s="10" t="s">
        <v>6584</v>
      </c>
      <c r="K2089" s="10" t="s">
        <v>6585</v>
      </c>
      <c r="L2089" s="10" t="s">
        <v>42</v>
      </c>
    </row>
    <row r="2090" ht="15.75" customHeight="1">
      <c r="A2090" s="64">
        <v>45485.0</v>
      </c>
      <c r="B2090" s="55" t="str">
        <f>HYPERLINK("https://jobright.ai/jobs/info/6691b43acdd4fd0eb3caecef?utm_campaign=1062&amp;utm_source=sheet", "Apply")</f>
        <v>Apply</v>
      </c>
      <c r="C2090" s="10" t="s">
        <v>6586</v>
      </c>
      <c r="D2090" s="56" t="s">
        <v>1582</v>
      </c>
      <c r="E2090" s="10" t="s">
        <v>45</v>
      </c>
      <c r="F2090" s="10" t="s">
        <v>665</v>
      </c>
      <c r="G2090" s="10" t="s">
        <v>2443</v>
      </c>
      <c r="H2090" s="10" t="s">
        <v>1004</v>
      </c>
      <c r="I2090" s="10" t="s">
        <v>55</v>
      </c>
      <c r="K2090" s="10" t="s">
        <v>6587</v>
      </c>
      <c r="L2090" s="10" t="s">
        <v>42</v>
      </c>
    </row>
    <row r="2091" ht="15.75" customHeight="1">
      <c r="A2091" s="64">
        <v>45485.0</v>
      </c>
      <c r="B2091" s="55" t="str">
        <f>HYPERLINK("https://jobright.ai/jobs/info/6691a131950e6fd8f99140fa?utm_campaign=1062&amp;utm_source=sheet", "Apply")</f>
        <v>Apply</v>
      </c>
      <c r="C2091" s="10" t="s">
        <v>6588</v>
      </c>
      <c r="D2091" s="56" t="s">
        <v>2435</v>
      </c>
      <c r="E2091" s="10" t="s">
        <v>209</v>
      </c>
      <c r="F2091" s="10" t="s">
        <v>2436</v>
      </c>
      <c r="G2091" s="10" t="s">
        <v>2476</v>
      </c>
      <c r="H2091" s="10" t="s">
        <v>2438</v>
      </c>
      <c r="I2091" s="10" t="s">
        <v>55</v>
      </c>
      <c r="K2091" s="10" t="s">
        <v>6589</v>
      </c>
      <c r="L2091" s="10" t="s">
        <v>42</v>
      </c>
    </row>
    <row r="2092" ht="15.75" customHeight="1">
      <c r="A2092" s="64">
        <v>45485.0</v>
      </c>
      <c r="B2092" s="55" t="str">
        <f>HYPERLINK("https://jobright.ai/jobs/info/6691a131950e6fd8f9914120?utm_campaign=1062&amp;utm_source=sheet", "Apply")</f>
        <v>Apply</v>
      </c>
      <c r="C2092" s="10" t="s">
        <v>2434</v>
      </c>
      <c r="D2092" s="56" t="s">
        <v>2435</v>
      </c>
      <c r="E2092" s="10" t="s">
        <v>209</v>
      </c>
      <c r="F2092" s="10" t="s">
        <v>2436</v>
      </c>
      <c r="G2092" s="10" t="s">
        <v>2437</v>
      </c>
      <c r="H2092" s="10" t="s">
        <v>898</v>
      </c>
      <c r="I2092" s="10" t="s">
        <v>55</v>
      </c>
      <c r="J2092" s="10" t="s">
        <v>6590</v>
      </c>
      <c r="K2092" s="10" t="s">
        <v>6591</v>
      </c>
      <c r="L2092" s="10" t="s">
        <v>42</v>
      </c>
    </row>
    <row r="2093" ht="15.75" customHeight="1">
      <c r="A2093" s="64">
        <v>45485.0</v>
      </c>
      <c r="B2093" s="55" t="str">
        <f>HYPERLINK("https://jobright.ai/jobs/info/6691ae0711e1267f6f0719d6?utm_campaign=1062&amp;utm_source=sheet", "Apply")</f>
        <v>Apply</v>
      </c>
      <c r="C2093" s="10" t="s">
        <v>3170</v>
      </c>
      <c r="D2093" s="56" t="s">
        <v>2548</v>
      </c>
      <c r="E2093" s="10" t="s">
        <v>45</v>
      </c>
      <c r="F2093" s="10" t="s">
        <v>2549</v>
      </c>
      <c r="G2093" s="10" t="s">
        <v>2484</v>
      </c>
      <c r="H2093" s="10" t="s">
        <v>2550</v>
      </c>
      <c r="I2093" s="10" t="s">
        <v>55</v>
      </c>
      <c r="K2093" s="10" t="s">
        <v>6592</v>
      </c>
      <c r="L2093" s="10" t="s">
        <v>42</v>
      </c>
    </row>
    <row r="2094" ht="15.75" customHeight="1">
      <c r="A2094" s="64">
        <v>45485.0</v>
      </c>
      <c r="B2094" s="55" t="str">
        <f>HYPERLINK("https://jobright.ai/jobs/info/6691ad04f75851e2436d560f?utm_campaign=1062&amp;utm_source=sheet", "Apply")</f>
        <v>Apply</v>
      </c>
      <c r="C2094" s="10" t="s">
        <v>6593</v>
      </c>
      <c r="D2094" s="56" t="s">
        <v>2548</v>
      </c>
      <c r="E2094" s="10" t="s">
        <v>45</v>
      </c>
      <c r="F2094" s="10" t="s">
        <v>2549</v>
      </c>
      <c r="G2094" s="10" t="s">
        <v>2448</v>
      </c>
      <c r="H2094" s="10" t="s">
        <v>6594</v>
      </c>
      <c r="I2094" s="10" t="s">
        <v>55</v>
      </c>
      <c r="K2094" s="10" t="s">
        <v>6595</v>
      </c>
      <c r="L2094" s="10" t="s">
        <v>42</v>
      </c>
    </row>
    <row r="2095" ht="15.75" customHeight="1">
      <c r="A2095" s="64">
        <v>45485.0</v>
      </c>
      <c r="B2095" s="55" t="str">
        <f>HYPERLINK("https://jobright.ai/jobs/info/66928ae1b578d06e719069f1?utm_campaign=1062&amp;utm_source=sheet", "Apply")</f>
        <v>Apply</v>
      </c>
      <c r="C2095" s="10" t="s">
        <v>6596</v>
      </c>
      <c r="D2095" s="56" t="s">
        <v>2548</v>
      </c>
      <c r="E2095" s="10" t="s">
        <v>45</v>
      </c>
      <c r="F2095" s="10" t="s">
        <v>2549</v>
      </c>
      <c r="G2095" s="10" t="s">
        <v>2455</v>
      </c>
      <c r="H2095" s="10" t="s">
        <v>2550</v>
      </c>
      <c r="I2095" s="10" t="s">
        <v>48</v>
      </c>
      <c r="K2095" s="10" t="s">
        <v>6597</v>
      </c>
      <c r="L2095" s="10" t="s">
        <v>42</v>
      </c>
    </row>
    <row r="2096" ht="15.75" customHeight="1">
      <c r="A2096" s="64">
        <v>45485.0</v>
      </c>
      <c r="B2096" s="55" t="str">
        <f>HYPERLINK("https://jobright.ai/jobs/info/66919e194fd96cf1a63f1609?utm_campaign=1062&amp;utm_source=sheet", "Apply")</f>
        <v>Apply</v>
      </c>
      <c r="C2096" s="10" t="s">
        <v>1767</v>
      </c>
      <c r="D2096" s="56" t="s">
        <v>6598</v>
      </c>
      <c r="G2096" s="10" t="s">
        <v>2495</v>
      </c>
      <c r="H2096" s="10" t="s">
        <v>1044</v>
      </c>
      <c r="I2096" s="10" t="s">
        <v>55</v>
      </c>
      <c r="K2096" s="10" t="s">
        <v>6599</v>
      </c>
      <c r="L2096" s="10" t="s">
        <v>42</v>
      </c>
    </row>
    <row r="2097" ht="15.75" customHeight="1">
      <c r="A2097" s="64">
        <v>45485.0</v>
      </c>
      <c r="B2097" s="55" t="str">
        <f>HYPERLINK("https://jobright.ai/jobs/info/66916da22de9c1535529b249?utm_campaign=1062&amp;utm_source=sheet", "Apply")</f>
        <v>Apply</v>
      </c>
      <c r="C2097" s="10" t="s">
        <v>4664</v>
      </c>
      <c r="D2097" s="56" t="s">
        <v>4651</v>
      </c>
      <c r="E2097" s="10" t="s">
        <v>45</v>
      </c>
      <c r="F2097" s="10" t="s">
        <v>2527</v>
      </c>
      <c r="G2097" s="10" t="s">
        <v>2470</v>
      </c>
      <c r="H2097" s="10" t="s">
        <v>4652</v>
      </c>
      <c r="I2097" s="10" t="s">
        <v>55</v>
      </c>
      <c r="K2097" s="10" t="s">
        <v>4665</v>
      </c>
      <c r="L2097" s="10" t="s">
        <v>42</v>
      </c>
    </row>
    <row r="2098" ht="15.75" customHeight="1">
      <c r="A2098" s="64">
        <v>45485.0</v>
      </c>
      <c r="B2098" s="55" t="str">
        <f>HYPERLINK("https://jobright.ai/jobs/info/6691a3444c7d2eb620a7bc61?utm_campaign=1062&amp;utm_source=sheet", "Apply")</f>
        <v>Apply</v>
      </c>
      <c r="C2098" s="10" t="s">
        <v>6600</v>
      </c>
      <c r="D2098" s="56" t="s">
        <v>1547</v>
      </c>
      <c r="E2098" s="10">
        <v>408.0</v>
      </c>
      <c r="G2098" s="10" t="s">
        <v>2579</v>
      </c>
      <c r="H2098" s="10" t="s">
        <v>4001</v>
      </c>
      <c r="I2098" s="10" t="s">
        <v>55</v>
      </c>
      <c r="J2098" s="10" t="s">
        <v>6601</v>
      </c>
      <c r="K2098" s="10" t="s">
        <v>6602</v>
      </c>
      <c r="L2098" s="10" t="s">
        <v>42</v>
      </c>
    </row>
    <row r="2099" ht="15.75" customHeight="1">
      <c r="A2099" s="64">
        <v>45485.0</v>
      </c>
      <c r="B2099" s="55" t="str">
        <f>HYPERLINK("https://jobright.ai/jobs/info/66917ea8d48d64247375d83f?utm_campaign=1062&amp;utm_source=sheet", "Apply")</f>
        <v>Apply</v>
      </c>
      <c r="C2099" s="10" t="s">
        <v>3131</v>
      </c>
      <c r="D2099" s="56" t="s">
        <v>6603</v>
      </c>
      <c r="E2099" s="10" t="s">
        <v>137</v>
      </c>
      <c r="F2099" s="10" t="s">
        <v>3778</v>
      </c>
      <c r="G2099" s="10" t="s">
        <v>2437</v>
      </c>
      <c r="H2099" s="10" t="s">
        <v>4362</v>
      </c>
      <c r="I2099" s="10" t="s">
        <v>55</v>
      </c>
      <c r="K2099" s="10" t="s">
        <v>6604</v>
      </c>
      <c r="L2099" s="10" t="s">
        <v>42</v>
      </c>
    </row>
    <row r="2100" ht="15.75" customHeight="1">
      <c r="A2100" s="64">
        <v>45485.0</v>
      </c>
      <c r="B2100" s="55" t="str">
        <f>HYPERLINK("https://jobright.ai/jobs/info/66917ea8d48d64247375d843?utm_campaign=1062&amp;utm_source=sheet", "Apply")</f>
        <v>Apply</v>
      </c>
      <c r="C2100" s="10" t="s">
        <v>6605</v>
      </c>
      <c r="D2100" s="56" t="s">
        <v>6606</v>
      </c>
      <c r="E2100" s="10">
        <v>200.0</v>
      </c>
      <c r="G2100" s="10" t="s">
        <v>2484</v>
      </c>
      <c r="H2100" s="10" t="s">
        <v>73</v>
      </c>
      <c r="I2100" s="10" t="s">
        <v>48</v>
      </c>
      <c r="K2100" s="10" t="s">
        <v>6607</v>
      </c>
      <c r="L2100" s="10" t="s">
        <v>42</v>
      </c>
    </row>
    <row r="2101" ht="15.75" customHeight="1">
      <c r="A2101" s="64">
        <v>45485.0</v>
      </c>
      <c r="B2101" s="55" t="str">
        <f>HYPERLINK("https://jobright.ai/jobs/info/66917ea8d48d64247375d845?utm_campaign=1062&amp;utm_source=sheet", "Apply")</f>
        <v>Apply</v>
      </c>
      <c r="C2101" s="10" t="s">
        <v>6608</v>
      </c>
      <c r="D2101" s="56" t="s">
        <v>6606</v>
      </c>
      <c r="E2101" s="10">
        <v>200.0</v>
      </c>
      <c r="G2101" s="10" t="s">
        <v>2448</v>
      </c>
      <c r="H2101" s="10" t="s">
        <v>73</v>
      </c>
      <c r="I2101" s="10" t="s">
        <v>55</v>
      </c>
      <c r="K2101" s="10" t="s">
        <v>6609</v>
      </c>
      <c r="L2101" s="10" t="s">
        <v>42</v>
      </c>
    </row>
    <row r="2102" ht="15.75" customHeight="1">
      <c r="A2102" s="64">
        <v>45485.0</v>
      </c>
      <c r="B2102" s="55" t="str">
        <f>HYPERLINK("https://jobright.ai/jobs/info/669198aeb4b5a4f81c499c09?utm_campaign=1062&amp;utm_source=sheet", "Apply")</f>
        <v>Apply</v>
      </c>
      <c r="C2102" s="10" t="s">
        <v>6610</v>
      </c>
      <c r="D2102" s="56" t="s">
        <v>6611</v>
      </c>
      <c r="E2102" s="10" t="s">
        <v>79</v>
      </c>
      <c r="F2102" s="10" t="s">
        <v>564</v>
      </c>
      <c r="G2102" s="10" t="s">
        <v>2448</v>
      </c>
      <c r="H2102" s="10" t="s">
        <v>6612</v>
      </c>
      <c r="I2102" s="10" t="s">
        <v>55</v>
      </c>
      <c r="K2102" s="10" t="s">
        <v>5485</v>
      </c>
      <c r="L2102" s="10" t="s">
        <v>42</v>
      </c>
    </row>
    <row r="2103" ht="15.75" customHeight="1">
      <c r="A2103" s="64">
        <v>45485.0</v>
      </c>
      <c r="B2103" s="55" t="str">
        <f>HYPERLINK("https://jobright.ai/jobs/info/66916bb50bfd99748e33e403?utm_campaign=1062&amp;utm_source=sheet", "Apply")</f>
        <v>Apply</v>
      </c>
      <c r="C2103" s="10" t="s">
        <v>5664</v>
      </c>
      <c r="D2103" s="56" t="s">
        <v>99</v>
      </c>
      <c r="E2103" s="10" t="s">
        <v>45</v>
      </c>
      <c r="F2103" s="10" t="s">
        <v>100</v>
      </c>
      <c r="G2103" s="10" t="s">
        <v>2807</v>
      </c>
      <c r="H2103" s="10" t="s">
        <v>419</v>
      </c>
      <c r="I2103" s="10" t="s">
        <v>55</v>
      </c>
      <c r="K2103" s="10" t="s">
        <v>6613</v>
      </c>
      <c r="L2103" s="10" t="s">
        <v>42</v>
      </c>
    </row>
    <row r="2104" ht="15.75" customHeight="1">
      <c r="A2104" s="64">
        <v>45485.0</v>
      </c>
      <c r="B2104" s="55" t="str">
        <f>HYPERLINK("https://jobright.ai/jobs/info/6691bd69fd9555930f1fdc7c?utm_campaign=1062&amp;utm_source=sheet", "Apply")</f>
        <v>Apply</v>
      </c>
      <c r="C2104" s="10" t="s">
        <v>6614</v>
      </c>
      <c r="D2104" s="56" t="s">
        <v>6615</v>
      </c>
      <c r="E2104" s="10" t="s">
        <v>45</v>
      </c>
      <c r="F2104" s="10" t="s">
        <v>6616</v>
      </c>
      <c r="G2104" s="10" t="s">
        <v>2495</v>
      </c>
      <c r="H2104" s="10" t="s">
        <v>941</v>
      </c>
      <c r="I2104" s="10" t="s">
        <v>55</v>
      </c>
      <c r="K2104" s="10" t="s">
        <v>6617</v>
      </c>
      <c r="L2104" s="10" t="s">
        <v>42</v>
      </c>
    </row>
    <row r="2105" ht="15.75" customHeight="1">
      <c r="A2105" s="64">
        <v>45485.0</v>
      </c>
      <c r="B2105" s="55" t="str">
        <f>HYPERLINK("https://jobright.ai/jobs/info/660eb0cddaed97ef0b8b7de5?utm_campaign=1062&amp;utm_source=sheet", "Apply")</f>
        <v>Apply</v>
      </c>
      <c r="C2105" s="10" t="s">
        <v>6618</v>
      </c>
      <c r="D2105" s="56" t="s">
        <v>6619</v>
      </c>
      <c r="E2105" s="10">
        <v>352.0</v>
      </c>
      <c r="G2105" s="10" t="s">
        <v>2448</v>
      </c>
      <c r="H2105" s="10" t="s">
        <v>6620</v>
      </c>
      <c r="I2105" s="10" t="s">
        <v>55</v>
      </c>
      <c r="K2105" s="10" t="s">
        <v>6621</v>
      </c>
      <c r="L2105" s="10" t="s">
        <v>42</v>
      </c>
    </row>
    <row r="2106" ht="15.75" customHeight="1">
      <c r="A2106" s="64">
        <v>45485.0</v>
      </c>
      <c r="B2106" s="55" t="str">
        <f>HYPERLINK("https://jobright.ai/jobs/info/66916da22de9c1535529b219?utm_campaign=1062&amp;utm_source=sheet", "Apply")</f>
        <v>Apply</v>
      </c>
      <c r="C2106" s="10" t="s">
        <v>6622</v>
      </c>
      <c r="D2106" s="56" t="s">
        <v>6623</v>
      </c>
      <c r="E2106" s="10" t="s">
        <v>209</v>
      </c>
      <c r="F2106" s="10" t="s">
        <v>6624</v>
      </c>
      <c r="G2106" s="10" t="s">
        <v>2484</v>
      </c>
      <c r="H2106" s="10" t="s">
        <v>255</v>
      </c>
      <c r="I2106" s="10" t="s">
        <v>55</v>
      </c>
      <c r="K2106" s="10" t="s">
        <v>6625</v>
      </c>
      <c r="L2106" s="10" t="s">
        <v>42</v>
      </c>
    </row>
    <row r="2107" ht="15.75" customHeight="1">
      <c r="A2107" s="64">
        <v>45485.0</v>
      </c>
      <c r="B2107" s="55" t="str">
        <f>HYPERLINK("https://jobright.ai/jobs/info/660eb98eb6ddbfd6d4334804?utm_campaign=1062&amp;utm_source=sheet", "Apply")</f>
        <v>Apply</v>
      </c>
      <c r="C2107" s="10" t="s">
        <v>6618</v>
      </c>
      <c r="D2107" s="56" t="s">
        <v>6619</v>
      </c>
      <c r="E2107" s="10">
        <v>352.0</v>
      </c>
      <c r="G2107" s="10" t="s">
        <v>2448</v>
      </c>
      <c r="H2107" s="10" t="s">
        <v>4799</v>
      </c>
      <c r="I2107" s="10" t="s">
        <v>55</v>
      </c>
      <c r="K2107" s="10" t="s">
        <v>6621</v>
      </c>
      <c r="L2107" s="10" t="s">
        <v>42</v>
      </c>
    </row>
    <row r="2108" ht="15.75" customHeight="1">
      <c r="A2108" s="64">
        <v>45485.0</v>
      </c>
      <c r="B2108" s="55" t="str">
        <f>HYPERLINK("https://jobright.ai/jobs/info/66916060233b0959b54be0c2?utm_campaign=1062&amp;utm_source=sheet", "Apply")</f>
        <v>Apply</v>
      </c>
      <c r="C2108" s="10" t="s">
        <v>6626</v>
      </c>
      <c r="D2108" s="56" t="s">
        <v>44</v>
      </c>
      <c r="E2108" s="10" t="s">
        <v>45</v>
      </c>
      <c r="F2108" s="10" t="s">
        <v>46</v>
      </c>
      <c r="G2108" s="10" t="s">
        <v>2448</v>
      </c>
      <c r="H2108" s="10" t="s">
        <v>374</v>
      </c>
      <c r="I2108" s="10" t="s">
        <v>48</v>
      </c>
      <c r="J2108" s="10" t="s">
        <v>375</v>
      </c>
      <c r="K2108" s="10" t="s">
        <v>6627</v>
      </c>
      <c r="L2108" s="10" t="s">
        <v>42</v>
      </c>
    </row>
    <row r="2109" ht="15.75" customHeight="1">
      <c r="A2109" s="64">
        <v>45485.0</v>
      </c>
      <c r="B2109" s="55" t="str">
        <f>HYPERLINK("https://jobright.ai/jobs/info/669194eb96333ec524102ee3?utm_campaign=1062&amp;utm_source=sheet", "Apply")</f>
        <v>Apply</v>
      </c>
      <c r="C2109" s="10" t="s">
        <v>6628</v>
      </c>
      <c r="D2109" s="56" t="s">
        <v>1073</v>
      </c>
      <c r="E2109" s="10" t="s">
        <v>45</v>
      </c>
      <c r="F2109" s="10" t="s">
        <v>1074</v>
      </c>
      <c r="G2109" s="10" t="s">
        <v>2484</v>
      </c>
      <c r="H2109" s="10" t="s">
        <v>146</v>
      </c>
      <c r="I2109" s="10" t="s">
        <v>48</v>
      </c>
      <c r="K2109" s="10" t="s">
        <v>6629</v>
      </c>
      <c r="L2109" s="10" t="s">
        <v>42</v>
      </c>
    </row>
    <row r="2110" ht="15.75" customHeight="1">
      <c r="A2110" s="64">
        <v>45485.0</v>
      </c>
      <c r="B2110" s="55" t="str">
        <f>HYPERLINK("https://jobright.ai/jobs/info/6691841eb3c5781c364c25b4?utm_campaign=1062&amp;utm_source=sheet", "Apply")</f>
        <v>Apply</v>
      </c>
      <c r="C2110" s="10" t="s">
        <v>6630</v>
      </c>
      <c r="D2110" s="56" t="s">
        <v>1073</v>
      </c>
      <c r="E2110" s="10" t="s">
        <v>45</v>
      </c>
      <c r="F2110" s="10" t="s">
        <v>1074</v>
      </c>
      <c r="G2110" s="10" t="s">
        <v>2470</v>
      </c>
      <c r="H2110" s="10" t="s">
        <v>146</v>
      </c>
      <c r="I2110" s="10" t="s">
        <v>55</v>
      </c>
      <c r="K2110" s="10" t="s">
        <v>6631</v>
      </c>
      <c r="L2110" s="10" t="s">
        <v>42</v>
      </c>
    </row>
    <row r="2111" ht="15.75" customHeight="1">
      <c r="A2111" s="64">
        <v>45485.0</v>
      </c>
      <c r="B2111" s="55" t="str">
        <f>HYPERLINK("https://jobright.ai/jobs/info/6691841eb3c5781c364c25d6?utm_campaign=1062&amp;utm_source=sheet", "Apply")</f>
        <v>Apply</v>
      </c>
      <c r="C2111" s="10" t="s">
        <v>6632</v>
      </c>
      <c r="D2111" s="56" t="s">
        <v>1073</v>
      </c>
      <c r="E2111" s="10" t="s">
        <v>45</v>
      </c>
      <c r="F2111" s="10" t="s">
        <v>1074</v>
      </c>
      <c r="G2111" s="10" t="s">
        <v>2470</v>
      </c>
      <c r="H2111" s="10" t="s">
        <v>146</v>
      </c>
      <c r="I2111" s="10" t="s">
        <v>55</v>
      </c>
      <c r="K2111" s="10" t="s">
        <v>6633</v>
      </c>
      <c r="L2111" s="10" t="s">
        <v>42</v>
      </c>
    </row>
    <row r="2112" ht="15.75" customHeight="1">
      <c r="A2112" s="64">
        <v>45485.0</v>
      </c>
      <c r="B2112" s="55" t="str">
        <f>HYPERLINK("https://jobright.ai/jobs/info/669194e196333ec524102e54?utm_campaign=1062&amp;utm_source=sheet", "Apply")</f>
        <v>Apply</v>
      </c>
      <c r="C2112" s="10" t="s">
        <v>6634</v>
      </c>
      <c r="D2112" s="56" t="s">
        <v>1073</v>
      </c>
      <c r="E2112" s="10" t="s">
        <v>45</v>
      </c>
      <c r="F2112" s="10" t="s">
        <v>1074</v>
      </c>
      <c r="G2112" s="10" t="s">
        <v>2470</v>
      </c>
      <c r="H2112" s="10" t="s">
        <v>146</v>
      </c>
      <c r="I2112" s="10" t="s">
        <v>55</v>
      </c>
      <c r="K2112" s="10" t="s">
        <v>6635</v>
      </c>
      <c r="L2112" s="10" t="s">
        <v>42</v>
      </c>
    </row>
    <row r="2113" ht="15.75" customHeight="1">
      <c r="A2113" s="64">
        <v>45485.0</v>
      </c>
      <c r="B2113" s="55" t="str">
        <f>HYPERLINK("https://jobright.ai/jobs/info/669157713adb4fe5a948ea21?utm_campaign=1062&amp;utm_source=sheet", "Apply")</f>
        <v>Apply</v>
      </c>
      <c r="C2113" s="10" t="s">
        <v>6636</v>
      </c>
      <c r="D2113" s="56" t="s">
        <v>1073</v>
      </c>
      <c r="E2113" s="10" t="s">
        <v>45</v>
      </c>
      <c r="F2113" s="10" t="s">
        <v>1074</v>
      </c>
      <c r="G2113" s="10" t="s">
        <v>2470</v>
      </c>
      <c r="H2113" s="10" t="s">
        <v>146</v>
      </c>
      <c r="I2113" s="10" t="s">
        <v>55</v>
      </c>
      <c r="K2113" s="10" t="s">
        <v>6637</v>
      </c>
      <c r="L2113" s="10" t="s">
        <v>42</v>
      </c>
    </row>
    <row r="2114" ht="15.75" customHeight="1">
      <c r="A2114" s="64">
        <v>45485.0</v>
      </c>
      <c r="B2114" s="55" t="str">
        <f>HYPERLINK("https://jobright.ai/jobs/info/66915c472d2c286f89de0f9a?utm_campaign=1062&amp;utm_source=sheet", "Apply")</f>
        <v>Apply</v>
      </c>
      <c r="C2114" s="10" t="s">
        <v>6638</v>
      </c>
      <c r="D2114" s="56" t="s">
        <v>1073</v>
      </c>
      <c r="E2114" s="10" t="s">
        <v>45</v>
      </c>
      <c r="F2114" s="10" t="s">
        <v>1074</v>
      </c>
      <c r="G2114" s="10" t="s">
        <v>2495</v>
      </c>
      <c r="H2114" s="10" t="s">
        <v>146</v>
      </c>
      <c r="I2114" s="10" t="s">
        <v>48</v>
      </c>
      <c r="K2114" s="10" t="s">
        <v>6639</v>
      </c>
      <c r="L2114" s="10" t="s">
        <v>42</v>
      </c>
    </row>
    <row r="2115" ht="15.75" customHeight="1">
      <c r="A2115" s="64">
        <v>45485.0</v>
      </c>
      <c r="B2115" s="55" t="str">
        <f>HYPERLINK("https://jobright.ai/jobs/info/66a408139d6a30be4effa29c?utm_campaign=1062&amp;utm_source=sheet", "Apply")</f>
        <v>Apply</v>
      </c>
      <c r="C2115" s="10" t="s">
        <v>6640</v>
      </c>
      <c r="D2115" s="56" t="s">
        <v>2462</v>
      </c>
      <c r="E2115" s="10" t="s">
        <v>79</v>
      </c>
      <c r="F2115" s="10" t="s">
        <v>2463</v>
      </c>
      <c r="G2115" s="10" t="s">
        <v>2437</v>
      </c>
      <c r="H2115" s="10" t="s">
        <v>96</v>
      </c>
      <c r="I2115" s="10" t="s">
        <v>55</v>
      </c>
      <c r="J2115" s="10" t="s">
        <v>6641</v>
      </c>
      <c r="K2115" s="10" t="s">
        <v>6642</v>
      </c>
      <c r="L2115" s="10" t="s">
        <v>42</v>
      </c>
    </row>
    <row r="2116" ht="15.75" customHeight="1">
      <c r="A2116" s="64">
        <v>45485.0</v>
      </c>
      <c r="B2116" s="55" t="str">
        <f>HYPERLINK("https://jobright.ai/jobs/info/66926c80f0f0f9f950931a38?utm_campaign=1062&amp;utm_source=sheet", "Apply")</f>
        <v>Apply</v>
      </c>
      <c r="C2116" s="10" t="s">
        <v>6643</v>
      </c>
      <c r="D2116" s="56" t="s">
        <v>6644</v>
      </c>
      <c r="E2116" s="10" t="s">
        <v>65</v>
      </c>
      <c r="F2116" s="10" t="s">
        <v>6645</v>
      </c>
      <c r="G2116" s="10" t="s">
        <v>2464</v>
      </c>
      <c r="H2116" s="10" t="s">
        <v>872</v>
      </c>
      <c r="I2116" s="10" t="s">
        <v>55</v>
      </c>
      <c r="K2116" s="10" t="s">
        <v>6646</v>
      </c>
      <c r="L2116" s="10" t="s">
        <v>42</v>
      </c>
    </row>
    <row r="2117" ht="15.75" customHeight="1">
      <c r="A2117" s="64">
        <v>45485.0</v>
      </c>
      <c r="B2117" s="55" t="str">
        <f>HYPERLINK("https://jobright.ai/jobs/info/6693da51393f9ec0e9b655ee?utm_campaign=1062&amp;utm_source=sheet", "Apply")</f>
        <v>Apply</v>
      </c>
      <c r="C2117" s="10" t="s">
        <v>5725</v>
      </c>
      <c r="D2117" s="56" t="s">
        <v>4802</v>
      </c>
      <c r="E2117" s="10" t="s">
        <v>249</v>
      </c>
      <c r="F2117" s="10" t="s">
        <v>2470</v>
      </c>
      <c r="G2117" s="10" t="s">
        <v>2484</v>
      </c>
      <c r="H2117" s="10" t="s">
        <v>578</v>
      </c>
      <c r="I2117" s="10" t="s">
        <v>55</v>
      </c>
      <c r="K2117" s="10" t="s">
        <v>4803</v>
      </c>
      <c r="L2117" s="10" t="s">
        <v>42</v>
      </c>
    </row>
    <row r="2118" ht="15.75" customHeight="1">
      <c r="A2118" s="64">
        <v>45485.0</v>
      </c>
      <c r="B2118" s="55" t="str">
        <f>HYPERLINK("https://jobright.ai/jobs/info/6693d65a93305e3387c6ffbc?utm_campaign=1062&amp;utm_source=sheet", "Apply")</f>
        <v>Apply</v>
      </c>
      <c r="C2118" s="10" t="s">
        <v>4962</v>
      </c>
      <c r="D2118" s="56" t="s">
        <v>4802</v>
      </c>
      <c r="E2118" s="10" t="s">
        <v>249</v>
      </c>
      <c r="F2118" s="10" t="s">
        <v>2470</v>
      </c>
      <c r="G2118" s="10" t="s">
        <v>2437</v>
      </c>
      <c r="H2118" s="10" t="s">
        <v>159</v>
      </c>
      <c r="I2118" s="10" t="s">
        <v>55</v>
      </c>
      <c r="K2118" s="10" t="s">
        <v>4944</v>
      </c>
      <c r="L2118" s="10" t="s">
        <v>42</v>
      </c>
    </row>
    <row r="2119" ht="15.75" customHeight="1">
      <c r="A2119" s="64">
        <v>45485.0</v>
      </c>
      <c r="B2119" s="55" t="str">
        <f>HYPERLINK("https://jobright.ai/jobs/info/6699132916b6f5b434a487c7?utm_campaign=1062&amp;utm_source=sheet", "Apply")</f>
        <v>Apply</v>
      </c>
      <c r="C2119" s="10" t="s">
        <v>6647</v>
      </c>
      <c r="D2119" s="56" t="s">
        <v>6648</v>
      </c>
      <c r="E2119" s="10" t="s">
        <v>45</v>
      </c>
      <c r="F2119" s="10" t="s">
        <v>1454</v>
      </c>
      <c r="G2119" s="10" t="s">
        <v>2448</v>
      </c>
      <c r="H2119" s="10" t="s">
        <v>4813</v>
      </c>
      <c r="I2119" s="10" t="s">
        <v>55</v>
      </c>
      <c r="K2119" s="10" t="s">
        <v>6649</v>
      </c>
      <c r="L2119" s="10" t="s">
        <v>42</v>
      </c>
    </row>
    <row r="2120" ht="15.75" customHeight="1">
      <c r="A2120" s="64">
        <v>45485.0</v>
      </c>
      <c r="B2120" s="55" t="str">
        <f>HYPERLINK("https://jobright.ai/jobs/info/66952009fea09a332a5cc3e0?utm_campaign=1062&amp;utm_source=sheet", "Apply")</f>
        <v>Apply</v>
      </c>
      <c r="C2120" s="10" t="s">
        <v>6650</v>
      </c>
      <c r="D2120" s="56" t="s">
        <v>6651</v>
      </c>
      <c r="E2120" s="10">
        <v>1152.0</v>
      </c>
      <c r="G2120" s="10" t="s">
        <v>2484</v>
      </c>
      <c r="H2120" s="10" t="s">
        <v>255</v>
      </c>
      <c r="I2120" s="10" t="s">
        <v>55</v>
      </c>
      <c r="K2120" s="10" t="s">
        <v>6652</v>
      </c>
      <c r="L2120" s="10" t="s">
        <v>42</v>
      </c>
    </row>
    <row r="2121" ht="15.75" customHeight="1">
      <c r="A2121" s="64">
        <v>45485.0</v>
      </c>
      <c r="B2121" s="55" t="str">
        <f>HYPERLINK("https://jobright.ai/jobs/info/669a6588ccbc474c18d0b123?utm_campaign=1062&amp;utm_source=sheet", "Apply")</f>
        <v>Apply</v>
      </c>
      <c r="C2121" s="10" t="s">
        <v>6653</v>
      </c>
      <c r="D2121" s="56" t="s">
        <v>5118</v>
      </c>
      <c r="E2121" s="10">
        <v>633.0</v>
      </c>
      <c r="G2121" s="10" t="s">
        <v>2502</v>
      </c>
      <c r="H2121" s="10" t="s">
        <v>4514</v>
      </c>
      <c r="I2121" s="10" t="s">
        <v>55</v>
      </c>
      <c r="K2121" s="10" t="s">
        <v>6654</v>
      </c>
      <c r="L2121" s="10" t="s">
        <v>42</v>
      </c>
    </row>
    <row r="2122" ht="15.75" customHeight="1">
      <c r="A2122" s="64">
        <v>45485.0</v>
      </c>
      <c r="B2122" s="55" t="str">
        <f>HYPERLINK("https://jobright.ai/jobs/info/6697c24bae9bea869c6f94c9?utm_campaign=1062&amp;utm_source=sheet", "Apply")</f>
        <v>Apply</v>
      </c>
      <c r="C2122" s="10" t="s">
        <v>6655</v>
      </c>
      <c r="D2122" s="56" t="s">
        <v>5731</v>
      </c>
      <c r="E2122" s="10">
        <v>403.0</v>
      </c>
      <c r="G2122" s="10" t="s">
        <v>2484</v>
      </c>
      <c r="H2122" s="10" t="s">
        <v>429</v>
      </c>
      <c r="I2122" s="10" t="s">
        <v>55</v>
      </c>
      <c r="K2122" s="10" t="s">
        <v>6656</v>
      </c>
      <c r="L2122" s="10" t="s">
        <v>42</v>
      </c>
    </row>
    <row r="2123" ht="15.75" customHeight="1">
      <c r="A2123" s="64">
        <v>45485.0</v>
      </c>
      <c r="B2123" s="55" t="str">
        <f>HYPERLINK("https://jobright.ai/jobs/info/669a620263d445bd111bc88b?utm_campaign=1062&amp;utm_source=sheet", "Apply")</f>
        <v>Apply</v>
      </c>
      <c r="C2123" s="10" t="s">
        <v>6657</v>
      </c>
      <c r="D2123" s="56" t="s">
        <v>6658</v>
      </c>
      <c r="E2123" s="10" t="s">
        <v>65</v>
      </c>
      <c r="F2123" s="10" t="s">
        <v>6659</v>
      </c>
      <c r="G2123" s="10" t="s">
        <v>2484</v>
      </c>
      <c r="H2123" s="10" t="s">
        <v>957</v>
      </c>
      <c r="I2123" s="10" t="s">
        <v>55</v>
      </c>
      <c r="J2123" s="10" t="s">
        <v>6660</v>
      </c>
      <c r="K2123" s="10" t="s">
        <v>6661</v>
      </c>
      <c r="L2123" s="10" t="s">
        <v>42</v>
      </c>
    </row>
    <row r="2124" ht="15.75" customHeight="1">
      <c r="A2124" s="64">
        <v>45485.0</v>
      </c>
      <c r="B2124" s="55" t="str">
        <f>HYPERLINK("https://jobright.ai/jobs/info/66912586326dba66532aaeb4?utm_campaign=1062&amp;utm_source=sheet", "Apply")</f>
        <v>Apply</v>
      </c>
      <c r="C2124" s="10" t="s">
        <v>6662</v>
      </c>
      <c r="D2124" s="56" t="s">
        <v>6663</v>
      </c>
      <c r="E2124" s="10" t="s">
        <v>137</v>
      </c>
      <c r="F2124" s="10" t="s">
        <v>6664</v>
      </c>
      <c r="G2124" s="10" t="s">
        <v>2437</v>
      </c>
      <c r="H2124" s="10" t="s">
        <v>791</v>
      </c>
      <c r="I2124" s="10" t="s">
        <v>55</v>
      </c>
      <c r="K2124" s="10" t="s">
        <v>6665</v>
      </c>
      <c r="L2124" s="10" t="s">
        <v>42</v>
      </c>
    </row>
    <row r="2125" ht="15.75" customHeight="1">
      <c r="A2125" s="64">
        <v>45485.0</v>
      </c>
      <c r="B2125" s="55" t="str">
        <f>HYPERLINK("https://jobright.ai/jobs/info/66a407f99d6a30be4effa071?utm_campaign=1062&amp;utm_source=sheet", "Apply")</f>
        <v>Apply</v>
      </c>
      <c r="C2125" s="10" t="s">
        <v>6666</v>
      </c>
      <c r="D2125" s="56" t="s">
        <v>6667</v>
      </c>
      <c r="E2125" s="10" t="s">
        <v>71</v>
      </c>
      <c r="F2125" s="10" t="s">
        <v>2746</v>
      </c>
      <c r="G2125" s="10" t="s">
        <v>2605</v>
      </c>
      <c r="H2125" s="10" t="s">
        <v>6668</v>
      </c>
      <c r="I2125" s="10" t="s">
        <v>55</v>
      </c>
      <c r="K2125" s="10" t="s">
        <v>6669</v>
      </c>
      <c r="L2125" s="10" t="s">
        <v>42</v>
      </c>
    </row>
    <row r="2126" ht="15.75" customHeight="1">
      <c r="A2126" s="64">
        <v>45485.0</v>
      </c>
      <c r="B2126" s="55" t="str">
        <f>HYPERLINK("https://jobright.ai/jobs/info/6693b635a955ace455aa3bec?utm_campaign=1062&amp;utm_source=sheet", "Apply")</f>
        <v>Apply</v>
      </c>
      <c r="C2126" s="10" t="s">
        <v>6670</v>
      </c>
      <c r="D2126" s="56" t="s">
        <v>4802</v>
      </c>
      <c r="E2126" s="10" t="s">
        <v>249</v>
      </c>
      <c r="F2126" s="10" t="s">
        <v>2470</v>
      </c>
      <c r="G2126" s="10" t="s">
        <v>2484</v>
      </c>
      <c r="H2126" s="10" t="s">
        <v>636</v>
      </c>
      <c r="I2126" s="10" t="s">
        <v>55</v>
      </c>
      <c r="K2126" s="10" t="s">
        <v>4918</v>
      </c>
      <c r="L2126" s="10" t="s">
        <v>42</v>
      </c>
    </row>
    <row r="2127" ht="15.75" customHeight="1">
      <c r="A2127" s="64">
        <v>45485.0</v>
      </c>
      <c r="B2127" s="55" t="str">
        <f>HYPERLINK("https://jobright.ai/jobs/info/6698fc8b4a6cb2aa5490abe9?utm_campaign=1062&amp;utm_source=sheet", "Apply")</f>
        <v>Apply</v>
      </c>
      <c r="C2127" s="10" t="s">
        <v>3336</v>
      </c>
      <c r="D2127" s="56" t="s">
        <v>6671</v>
      </c>
      <c r="E2127" s="10" t="s">
        <v>276</v>
      </c>
      <c r="F2127" s="10" t="s">
        <v>10</v>
      </c>
      <c r="G2127" s="10" t="s">
        <v>2464</v>
      </c>
      <c r="H2127" s="10" t="s">
        <v>6672</v>
      </c>
      <c r="I2127" s="10" t="s">
        <v>55</v>
      </c>
      <c r="K2127" s="10" t="s">
        <v>6673</v>
      </c>
      <c r="L2127" s="10" t="s">
        <v>42</v>
      </c>
    </row>
    <row r="2128" ht="15.75" customHeight="1">
      <c r="A2128" s="64">
        <v>45485.0</v>
      </c>
      <c r="B2128" s="55" t="str">
        <f>HYPERLINK("https://jobright.ai/jobs/info/66892b547d5ff15d4bf78155?utm_campaign=1062&amp;utm_source=sheet", "Apply")</f>
        <v>Apply</v>
      </c>
      <c r="C2128" s="10" t="s">
        <v>6674</v>
      </c>
      <c r="D2128" s="56" t="s">
        <v>6675</v>
      </c>
      <c r="E2128" s="10" t="s">
        <v>209</v>
      </c>
      <c r="F2128" s="10" t="s">
        <v>6676</v>
      </c>
      <c r="G2128" s="10" t="s">
        <v>2579</v>
      </c>
      <c r="H2128" s="10" t="s">
        <v>6677</v>
      </c>
      <c r="I2128" s="10" t="s">
        <v>55</v>
      </c>
      <c r="K2128" s="10" t="s">
        <v>6678</v>
      </c>
      <c r="L2128" s="10" t="s">
        <v>42</v>
      </c>
    </row>
    <row r="2129" ht="15.75" customHeight="1">
      <c r="A2129" s="64">
        <v>45485.0</v>
      </c>
      <c r="B2129" s="55" t="str">
        <f>HYPERLINK("https://jobright.ai/jobs/info/66750df8c3e4400b319338a9?utm_campaign=1062&amp;utm_source=sheet", "Apply")</f>
        <v>Apply</v>
      </c>
      <c r="C2129" s="10" t="s">
        <v>6679</v>
      </c>
      <c r="D2129" s="56" t="s">
        <v>716</v>
      </c>
      <c r="E2129" s="10" t="s">
        <v>79</v>
      </c>
      <c r="F2129" s="10" t="s">
        <v>717</v>
      </c>
      <c r="G2129" s="10" t="s">
        <v>2807</v>
      </c>
      <c r="H2129" s="10" t="s">
        <v>144</v>
      </c>
      <c r="I2129" s="10" t="s">
        <v>55</v>
      </c>
      <c r="J2129" s="10" t="s">
        <v>3290</v>
      </c>
      <c r="K2129" s="10" t="s">
        <v>6680</v>
      </c>
      <c r="L2129" s="10" t="s">
        <v>42</v>
      </c>
    </row>
    <row r="2130" ht="15.75" customHeight="1">
      <c r="A2130" s="64">
        <v>45485.0</v>
      </c>
      <c r="B2130" s="55" t="str">
        <f>HYPERLINK("https://jobright.ai/jobs/info/667714013ab189f6697e962f?utm_campaign=1062&amp;utm_source=sheet", "Apply")</f>
        <v>Apply</v>
      </c>
      <c r="C2130" s="10" t="s">
        <v>3755</v>
      </c>
      <c r="D2130" s="56" t="s">
        <v>2726</v>
      </c>
      <c r="E2130" s="10" t="s">
        <v>65</v>
      </c>
      <c r="F2130" s="10" t="s">
        <v>85</v>
      </c>
      <c r="G2130" s="10" t="s">
        <v>2464</v>
      </c>
      <c r="H2130" s="10" t="s">
        <v>607</v>
      </c>
      <c r="I2130" s="10" t="s">
        <v>48</v>
      </c>
      <c r="K2130" s="10" t="s">
        <v>6582</v>
      </c>
      <c r="L2130" s="10" t="s">
        <v>42</v>
      </c>
    </row>
    <row r="2131" ht="15.75" customHeight="1">
      <c r="A2131" s="64">
        <v>45485.0</v>
      </c>
      <c r="B2131" s="55" t="str">
        <f>HYPERLINK("https://jobright.ai/jobs/info/66749dc93bb0335d41b2d142?utm_campaign=1062&amp;utm_source=sheet", "Apply")</f>
        <v>Apply</v>
      </c>
      <c r="C2131" s="10" t="s">
        <v>6681</v>
      </c>
      <c r="D2131" s="56" t="s">
        <v>4812</v>
      </c>
      <c r="E2131" s="10" t="s">
        <v>65</v>
      </c>
      <c r="F2131" s="10" t="s">
        <v>239</v>
      </c>
      <c r="G2131" s="10" t="s">
        <v>2464</v>
      </c>
      <c r="H2131" s="10" t="s">
        <v>106</v>
      </c>
      <c r="I2131" s="10" t="s">
        <v>55</v>
      </c>
      <c r="J2131" s="10" t="s">
        <v>2742</v>
      </c>
      <c r="K2131" s="10" t="s">
        <v>4814</v>
      </c>
      <c r="L2131" s="10" t="s">
        <v>42</v>
      </c>
    </row>
    <row r="2132" ht="15.75" customHeight="1">
      <c r="A2132" s="64">
        <v>45485.0</v>
      </c>
      <c r="B2132" s="55" t="str">
        <f>HYPERLINK("https://jobright.ai/jobs/info/6675ea08a266c24fd0a1510e?utm_campaign=1062&amp;utm_source=sheet", "Apply")</f>
        <v>Apply</v>
      </c>
      <c r="C2132" s="10" t="s">
        <v>6682</v>
      </c>
      <c r="D2132" s="56" t="s">
        <v>6683</v>
      </c>
      <c r="E2132" s="10" t="s">
        <v>45</v>
      </c>
      <c r="F2132" s="10" t="s">
        <v>6684</v>
      </c>
      <c r="G2132" s="10" t="s">
        <v>2448</v>
      </c>
      <c r="H2132" s="10" t="s">
        <v>113</v>
      </c>
      <c r="I2132" s="10" t="s">
        <v>55</v>
      </c>
      <c r="K2132" s="10" t="s">
        <v>6685</v>
      </c>
      <c r="L2132" s="10" t="s">
        <v>42</v>
      </c>
    </row>
    <row r="2133" ht="15.75" customHeight="1">
      <c r="A2133" s="64">
        <v>45485.0</v>
      </c>
      <c r="B2133" s="55" t="str">
        <f>HYPERLINK("https://jobright.ai/jobs/info/6674b218a6123d90cd53827f?utm_campaign=1062&amp;utm_source=sheet", "Apply")</f>
        <v>Apply</v>
      </c>
      <c r="C2133" s="10" t="s">
        <v>6681</v>
      </c>
      <c r="D2133" s="56" t="s">
        <v>4812</v>
      </c>
      <c r="E2133" s="10" t="s">
        <v>65</v>
      </c>
      <c r="F2133" s="10" t="s">
        <v>239</v>
      </c>
      <c r="G2133" s="10" t="s">
        <v>2464</v>
      </c>
      <c r="H2133" s="10" t="s">
        <v>759</v>
      </c>
      <c r="I2133" s="10" t="s">
        <v>55</v>
      </c>
      <c r="J2133" s="10" t="s">
        <v>2742</v>
      </c>
      <c r="K2133" s="10" t="s">
        <v>4814</v>
      </c>
      <c r="L2133" s="10" t="s">
        <v>42</v>
      </c>
    </row>
    <row r="2134" ht="15.75" customHeight="1">
      <c r="A2134" s="64">
        <v>45485.0</v>
      </c>
      <c r="B2134" s="55" t="str">
        <f>HYPERLINK("https://jobright.ai/jobs/info/664e0003d79e0cf7655013ac?utm_campaign=1062&amp;utm_source=sheet", "Apply")</f>
        <v>Apply</v>
      </c>
      <c r="C2134" s="10" t="s">
        <v>6686</v>
      </c>
      <c r="D2134" s="56" t="s">
        <v>2869</v>
      </c>
      <c r="E2134" s="10" t="s">
        <v>45</v>
      </c>
      <c r="F2134" s="10" t="s">
        <v>2870</v>
      </c>
      <c r="G2134" s="10" t="s">
        <v>2437</v>
      </c>
      <c r="H2134" s="10" t="s">
        <v>765</v>
      </c>
      <c r="I2134" s="10" t="s">
        <v>55</v>
      </c>
      <c r="K2134" s="10" t="s">
        <v>2871</v>
      </c>
      <c r="L2134" s="10" t="s">
        <v>42</v>
      </c>
    </row>
    <row r="2135" ht="15.75" customHeight="1">
      <c r="A2135" s="64">
        <v>45485.0</v>
      </c>
      <c r="B2135" s="55" t="str">
        <f>HYPERLINK("https://jobright.ai/jobs/info/6674a173eb9f41a843410c55?utm_campaign=1062&amp;utm_source=sheet", "Apply")</f>
        <v>Apply</v>
      </c>
      <c r="C2135" s="10" t="s">
        <v>6681</v>
      </c>
      <c r="D2135" s="56" t="s">
        <v>4812</v>
      </c>
      <c r="E2135" s="10" t="s">
        <v>65</v>
      </c>
      <c r="F2135" s="10" t="s">
        <v>239</v>
      </c>
      <c r="G2135" s="10" t="s">
        <v>2464</v>
      </c>
      <c r="H2135" s="10" t="s">
        <v>3440</v>
      </c>
      <c r="I2135" s="10" t="s">
        <v>55</v>
      </c>
      <c r="J2135" s="10" t="s">
        <v>2742</v>
      </c>
      <c r="K2135" s="10" t="s">
        <v>4814</v>
      </c>
      <c r="L2135" s="10" t="s">
        <v>42</v>
      </c>
    </row>
    <row r="2136" ht="15.75" customHeight="1">
      <c r="A2136" s="64">
        <v>45485.0</v>
      </c>
      <c r="B2136" s="55" t="str">
        <f>HYPERLINK("https://jobright.ai/jobs/info/6674a173eb9f41a843410c59?utm_campaign=1062&amp;utm_source=sheet", "Apply")</f>
        <v>Apply</v>
      </c>
      <c r="C2136" s="10" t="s">
        <v>6681</v>
      </c>
      <c r="D2136" s="56" t="s">
        <v>4812</v>
      </c>
      <c r="E2136" s="10" t="s">
        <v>65</v>
      </c>
      <c r="F2136" s="10" t="s">
        <v>239</v>
      </c>
      <c r="G2136" s="10" t="s">
        <v>2464</v>
      </c>
      <c r="H2136" s="10" t="s">
        <v>4813</v>
      </c>
      <c r="I2136" s="10" t="s">
        <v>55</v>
      </c>
      <c r="J2136" s="10" t="s">
        <v>2742</v>
      </c>
      <c r="K2136" s="10" t="s">
        <v>4814</v>
      </c>
      <c r="L2136" s="10" t="s">
        <v>42</v>
      </c>
    </row>
    <row r="2137" ht="15.75" customHeight="1">
      <c r="A2137" s="64">
        <v>45485.0</v>
      </c>
      <c r="B2137" s="55" t="str">
        <f>HYPERLINK("https://jobright.ai/jobs/info/6674a173eb9f41a843410c56?utm_campaign=1062&amp;utm_source=sheet", "Apply")</f>
        <v>Apply</v>
      </c>
      <c r="C2137" s="10" t="s">
        <v>6681</v>
      </c>
      <c r="D2137" s="56" t="s">
        <v>4812</v>
      </c>
      <c r="E2137" s="10" t="s">
        <v>65</v>
      </c>
      <c r="F2137" s="10" t="s">
        <v>239</v>
      </c>
      <c r="G2137" s="10" t="s">
        <v>2464</v>
      </c>
      <c r="H2137" s="10" t="s">
        <v>188</v>
      </c>
      <c r="I2137" s="10" t="s">
        <v>55</v>
      </c>
      <c r="J2137" s="10" t="s">
        <v>2742</v>
      </c>
      <c r="K2137" s="10" t="s">
        <v>4814</v>
      </c>
      <c r="L2137" s="10" t="s">
        <v>42</v>
      </c>
    </row>
    <row r="2138" ht="15.75" customHeight="1">
      <c r="A2138" s="64">
        <v>45485.0</v>
      </c>
      <c r="B2138" s="55" t="str">
        <f>HYPERLINK("https://jobright.ai/jobs/info/6674aec8067738ea3c92548d?utm_campaign=1062&amp;utm_source=sheet", "Apply")</f>
        <v>Apply</v>
      </c>
      <c r="C2138" s="10" t="s">
        <v>6687</v>
      </c>
      <c r="D2138" s="56" t="s">
        <v>6234</v>
      </c>
      <c r="E2138" s="10" t="s">
        <v>65</v>
      </c>
      <c r="F2138" s="10" t="s">
        <v>2824</v>
      </c>
      <c r="G2138" s="10" t="s">
        <v>2448</v>
      </c>
      <c r="H2138" s="10" t="s">
        <v>6688</v>
      </c>
      <c r="I2138" s="10" t="s">
        <v>55</v>
      </c>
      <c r="J2138" s="10" t="s">
        <v>3969</v>
      </c>
      <c r="K2138" s="10" t="s">
        <v>6689</v>
      </c>
      <c r="L2138" s="10" t="s">
        <v>42</v>
      </c>
    </row>
    <row r="2139" ht="15.75" customHeight="1">
      <c r="A2139" s="64">
        <v>45485.0</v>
      </c>
      <c r="B2139" s="55" t="str">
        <f>HYPERLINK("https://jobright.ai/jobs/info/66756fcbd6fc00345300b86f?utm_campaign=1062&amp;utm_source=sheet", "Apply")</f>
        <v>Apply</v>
      </c>
      <c r="C2139" s="10" t="s">
        <v>6690</v>
      </c>
      <c r="D2139" s="56" t="s">
        <v>6691</v>
      </c>
      <c r="E2139" s="10" t="s">
        <v>209</v>
      </c>
      <c r="F2139" s="10" t="s">
        <v>564</v>
      </c>
      <c r="G2139" s="10" t="s">
        <v>2437</v>
      </c>
      <c r="H2139" s="10" t="s">
        <v>843</v>
      </c>
      <c r="I2139" s="10" t="s">
        <v>55</v>
      </c>
      <c r="K2139" s="10" t="s">
        <v>6692</v>
      </c>
      <c r="L2139" s="10" t="s">
        <v>42</v>
      </c>
    </row>
    <row r="2140" ht="15.75" customHeight="1">
      <c r="A2140" s="64">
        <v>45485.0</v>
      </c>
      <c r="B2140" s="55" t="str">
        <f>HYPERLINK("https://jobright.ai/jobs/info/6674a173eb9f41a843410c58?utm_campaign=1062&amp;utm_source=sheet", "Apply")</f>
        <v>Apply</v>
      </c>
      <c r="C2140" s="10" t="s">
        <v>6681</v>
      </c>
      <c r="D2140" s="56" t="s">
        <v>4812</v>
      </c>
      <c r="E2140" s="10" t="s">
        <v>65</v>
      </c>
      <c r="F2140" s="10" t="s">
        <v>239</v>
      </c>
      <c r="G2140" s="10" t="s">
        <v>2464</v>
      </c>
      <c r="H2140" s="10" t="s">
        <v>4820</v>
      </c>
      <c r="I2140" s="10" t="s">
        <v>55</v>
      </c>
      <c r="J2140" s="10" t="s">
        <v>2742</v>
      </c>
      <c r="K2140" s="10" t="s">
        <v>4814</v>
      </c>
      <c r="L2140" s="10" t="s">
        <v>42</v>
      </c>
    </row>
    <row r="2141" ht="15.75" customHeight="1">
      <c r="A2141" s="64">
        <v>45485.0</v>
      </c>
      <c r="B2141" s="55" t="str">
        <f>HYPERLINK("https://jobright.ai/jobs/info/66749e733bb0335d41b2dfe3?utm_campaign=1062&amp;utm_source=sheet", "Apply")</f>
        <v>Apply</v>
      </c>
      <c r="C2141" s="10" t="s">
        <v>6681</v>
      </c>
      <c r="D2141" s="56" t="s">
        <v>4812</v>
      </c>
      <c r="E2141" s="10" t="s">
        <v>65</v>
      </c>
      <c r="F2141" s="10" t="s">
        <v>239</v>
      </c>
      <c r="G2141" s="10" t="s">
        <v>2464</v>
      </c>
      <c r="H2141" s="10" t="s">
        <v>1007</v>
      </c>
      <c r="I2141" s="10" t="s">
        <v>55</v>
      </c>
      <c r="J2141" s="10" t="s">
        <v>2742</v>
      </c>
      <c r="K2141" s="10" t="s">
        <v>4814</v>
      </c>
      <c r="L2141" s="10" t="s">
        <v>42</v>
      </c>
    </row>
    <row r="2142" ht="15.75" customHeight="1">
      <c r="A2142" s="64">
        <v>45485.0</v>
      </c>
      <c r="B2142" s="55" t="str">
        <f>HYPERLINK("https://jobright.ai/jobs/info/6674b218a6123d90cd538282?utm_campaign=1062&amp;utm_source=sheet", "Apply")</f>
        <v>Apply</v>
      </c>
      <c r="C2142" s="10" t="s">
        <v>6681</v>
      </c>
      <c r="D2142" s="56" t="s">
        <v>4812</v>
      </c>
      <c r="E2142" s="10" t="s">
        <v>65</v>
      </c>
      <c r="F2142" s="10" t="s">
        <v>239</v>
      </c>
      <c r="G2142" s="10" t="s">
        <v>2464</v>
      </c>
      <c r="H2142" s="10" t="s">
        <v>299</v>
      </c>
      <c r="I2142" s="10" t="s">
        <v>55</v>
      </c>
      <c r="J2142" s="10" t="s">
        <v>2742</v>
      </c>
      <c r="K2142" s="10" t="s">
        <v>4814</v>
      </c>
      <c r="L2142" s="10" t="s">
        <v>42</v>
      </c>
    </row>
    <row r="2143" ht="15.75" customHeight="1">
      <c r="A2143" s="64">
        <v>45485.0</v>
      </c>
      <c r="B2143" s="55" t="str">
        <f>HYPERLINK("https://jobright.ai/jobs/info/6674b218a6123d90cd53827e?utm_campaign=1062&amp;utm_source=sheet", "Apply")</f>
        <v>Apply</v>
      </c>
      <c r="C2143" s="10" t="s">
        <v>6681</v>
      </c>
      <c r="D2143" s="56" t="s">
        <v>4812</v>
      </c>
      <c r="E2143" s="10" t="s">
        <v>65</v>
      </c>
      <c r="F2143" s="10" t="s">
        <v>239</v>
      </c>
      <c r="G2143" s="10" t="s">
        <v>2464</v>
      </c>
      <c r="H2143" s="10" t="s">
        <v>859</v>
      </c>
      <c r="I2143" s="10" t="s">
        <v>55</v>
      </c>
      <c r="J2143" s="10" t="s">
        <v>2742</v>
      </c>
      <c r="K2143" s="10" t="s">
        <v>4814</v>
      </c>
      <c r="L2143" s="10" t="s">
        <v>42</v>
      </c>
    </row>
    <row r="2144" ht="15.75" customHeight="1">
      <c r="A2144" s="64">
        <v>45485.0</v>
      </c>
      <c r="B2144" s="55" t="str">
        <f>HYPERLINK("https://jobright.ai/jobs/info/6676a0c4573f97cc9db090cf?utm_campaign=1062&amp;utm_source=sheet", "Apply")</f>
        <v>Apply</v>
      </c>
      <c r="C2144" s="10" t="s">
        <v>1872</v>
      </c>
      <c r="D2144" s="56" t="s">
        <v>4947</v>
      </c>
      <c r="E2144" s="10" t="s">
        <v>79</v>
      </c>
      <c r="F2144" s="10" t="s">
        <v>4948</v>
      </c>
      <c r="G2144" s="10" t="s">
        <v>2502</v>
      </c>
      <c r="H2144" s="10" t="s">
        <v>251</v>
      </c>
      <c r="I2144" s="10" t="s">
        <v>252</v>
      </c>
      <c r="K2144" s="10" t="s">
        <v>4949</v>
      </c>
      <c r="L2144" s="10" t="s">
        <v>42</v>
      </c>
    </row>
    <row r="2145" ht="15.75" customHeight="1">
      <c r="A2145" s="64">
        <v>45485.0</v>
      </c>
      <c r="B2145" s="55" t="str">
        <f>HYPERLINK("https://jobright.ai/jobs/info/6676a0c4573f97cc9db09099?utm_campaign=1062&amp;utm_source=sheet", "Apply")</f>
        <v>Apply</v>
      </c>
      <c r="C2145" s="10" t="s">
        <v>1872</v>
      </c>
      <c r="D2145" s="56" t="s">
        <v>4947</v>
      </c>
      <c r="E2145" s="10" t="s">
        <v>79</v>
      </c>
      <c r="F2145" s="10" t="s">
        <v>4948</v>
      </c>
      <c r="G2145" s="10" t="s">
        <v>2502</v>
      </c>
      <c r="H2145" s="10" t="s">
        <v>144</v>
      </c>
      <c r="I2145" s="10" t="s">
        <v>55</v>
      </c>
      <c r="K2145" s="10" t="s">
        <v>4949</v>
      </c>
      <c r="L2145" s="10" t="s">
        <v>42</v>
      </c>
    </row>
    <row r="2146" ht="15.75" customHeight="1">
      <c r="A2146" s="64">
        <v>45485.0</v>
      </c>
      <c r="B2146" s="55" t="str">
        <f>HYPERLINK("https://jobright.ai/jobs/info/6674a173eb9f41a843410c57?utm_campaign=1062&amp;utm_source=sheet", "Apply")</f>
        <v>Apply</v>
      </c>
      <c r="C2146" s="10" t="s">
        <v>6681</v>
      </c>
      <c r="D2146" s="56" t="s">
        <v>4812</v>
      </c>
      <c r="E2146" s="10" t="s">
        <v>65</v>
      </c>
      <c r="F2146" s="10" t="s">
        <v>239</v>
      </c>
      <c r="G2146" s="10" t="s">
        <v>2464</v>
      </c>
      <c r="H2146" s="10" t="s">
        <v>898</v>
      </c>
      <c r="I2146" s="10" t="s">
        <v>55</v>
      </c>
      <c r="J2146" s="10" t="s">
        <v>2742</v>
      </c>
      <c r="K2146" s="10" t="s">
        <v>4814</v>
      </c>
      <c r="L2146" s="10" t="s">
        <v>42</v>
      </c>
    </row>
    <row r="2147" ht="15.75" customHeight="1">
      <c r="A2147" s="64">
        <v>45485.0</v>
      </c>
      <c r="B2147" s="55" t="str">
        <f>HYPERLINK("https://jobright.ai/jobs/info/6675a7516fb7d4bb72dd70a2?utm_campaign=1062&amp;utm_source=sheet", "Apply")</f>
        <v>Apply</v>
      </c>
      <c r="C2147" s="10" t="s">
        <v>4981</v>
      </c>
      <c r="D2147" s="56" t="s">
        <v>6108</v>
      </c>
      <c r="E2147" s="10" t="s">
        <v>45</v>
      </c>
      <c r="F2147" s="10" t="s">
        <v>1695</v>
      </c>
      <c r="G2147" s="10" t="s">
        <v>2495</v>
      </c>
      <c r="H2147" s="10" t="s">
        <v>966</v>
      </c>
      <c r="I2147" s="10" t="s">
        <v>55</v>
      </c>
      <c r="J2147" s="10" t="s">
        <v>6693</v>
      </c>
      <c r="K2147" s="10" t="s">
        <v>6694</v>
      </c>
      <c r="L2147" s="10" t="s">
        <v>42</v>
      </c>
    </row>
    <row r="2148" ht="15.75" customHeight="1">
      <c r="A2148" s="64">
        <v>45485.0</v>
      </c>
      <c r="B2148" s="55" t="str">
        <f>HYPERLINK("https://jobright.ai/jobs/info/66751207fccfd24c9665eb28?utm_campaign=1062&amp;utm_source=sheet", "Apply")</f>
        <v>Apply</v>
      </c>
      <c r="C2148" s="10" t="s">
        <v>6695</v>
      </c>
      <c r="D2148" s="56" t="s">
        <v>2059</v>
      </c>
      <c r="E2148" s="10" t="s">
        <v>65</v>
      </c>
      <c r="F2148" s="10" t="s">
        <v>2060</v>
      </c>
      <c r="G2148" s="10" t="s">
        <v>2502</v>
      </c>
      <c r="H2148" s="10" t="s">
        <v>387</v>
      </c>
      <c r="I2148" s="10" t="s">
        <v>48</v>
      </c>
      <c r="J2148" s="10" t="s">
        <v>6696</v>
      </c>
      <c r="K2148" s="10" t="s">
        <v>6697</v>
      </c>
      <c r="L2148" s="10" t="s">
        <v>42</v>
      </c>
    </row>
    <row r="2149" ht="15.75" customHeight="1">
      <c r="A2149" s="64">
        <v>45485.0</v>
      </c>
      <c r="B2149" s="55" t="str">
        <f>HYPERLINK("https://jobright.ai/jobs/info/6674b218a6123d90cd538280?utm_campaign=1062&amp;utm_source=sheet", "Apply")</f>
        <v>Apply</v>
      </c>
      <c r="C2149" s="10" t="s">
        <v>6681</v>
      </c>
      <c r="D2149" s="56" t="s">
        <v>4812</v>
      </c>
      <c r="E2149" s="10" t="s">
        <v>65</v>
      </c>
      <c r="F2149" s="10" t="s">
        <v>239</v>
      </c>
      <c r="G2149" s="10" t="s">
        <v>2464</v>
      </c>
      <c r="H2149" s="10" t="s">
        <v>4821</v>
      </c>
      <c r="I2149" s="10" t="s">
        <v>55</v>
      </c>
      <c r="J2149" s="10" t="s">
        <v>2742</v>
      </c>
      <c r="K2149" s="10" t="s">
        <v>4814</v>
      </c>
      <c r="L2149" s="10" t="s">
        <v>42</v>
      </c>
    </row>
    <row r="2150" ht="15.75" customHeight="1">
      <c r="A2150" s="64">
        <v>45485.0</v>
      </c>
      <c r="B2150" s="55" t="str">
        <f>HYPERLINK("https://jobright.ai/jobs/info/66751207fccfd24c9665eaf2?utm_campaign=1062&amp;utm_source=sheet", "Apply")</f>
        <v>Apply</v>
      </c>
      <c r="C2150" s="10" t="s">
        <v>6698</v>
      </c>
      <c r="D2150" s="56" t="s">
        <v>2059</v>
      </c>
      <c r="E2150" s="10" t="s">
        <v>65</v>
      </c>
      <c r="F2150" s="10" t="s">
        <v>2060</v>
      </c>
      <c r="G2150" s="10" t="s">
        <v>2502</v>
      </c>
      <c r="H2150" s="10" t="s">
        <v>387</v>
      </c>
      <c r="I2150" s="10" t="s">
        <v>48</v>
      </c>
      <c r="J2150" s="10" t="s">
        <v>6696</v>
      </c>
      <c r="K2150" s="10" t="s">
        <v>6697</v>
      </c>
      <c r="L2150" s="10" t="s">
        <v>42</v>
      </c>
    </row>
    <row r="2151" ht="15.75" customHeight="1">
      <c r="A2151" s="64">
        <v>45485.0</v>
      </c>
      <c r="B2151" s="55" t="str">
        <f>HYPERLINK("https://jobright.ai/jobs/info/6690e96b912f9e3d337953d3?utm_campaign=1062&amp;utm_source=sheet", "Apply")</f>
        <v>Apply</v>
      </c>
      <c r="C2151" s="10" t="s">
        <v>6699</v>
      </c>
      <c r="D2151" s="56" t="s">
        <v>6700</v>
      </c>
      <c r="E2151" s="10" t="s">
        <v>65</v>
      </c>
      <c r="F2151" s="10" t="s">
        <v>6701</v>
      </c>
      <c r="G2151" s="10" t="s">
        <v>2484</v>
      </c>
      <c r="H2151" s="10" t="s">
        <v>3022</v>
      </c>
      <c r="I2151" s="10" t="s">
        <v>55</v>
      </c>
      <c r="J2151" s="10" t="s">
        <v>5777</v>
      </c>
      <c r="K2151" s="10" t="s">
        <v>6702</v>
      </c>
      <c r="L2151" s="10" t="s">
        <v>42</v>
      </c>
    </row>
    <row r="2152" ht="15.75" customHeight="1">
      <c r="A2152" s="64">
        <v>45485.0</v>
      </c>
      <c r="B2152" s="55" t="str">
        <f>HYPERLINK("https://jobright.ai/jobs/info/6690d35e2ee59534c58d02b1?utm_campaign=1062&amp;utm_source=sheet", "Apply")</f>
        <v>Apply</v>
      </c>
      <c r="C2152" s="10" t="s">
        <v>6703</v>
      </c>
      <c r="D2152" s="56" t="s">
        <v>4516</v>
      </c>
      <c r="E2152" s="10">
        <v>803.0</v>
      </c>
      <c r="G2152" s="10" t="s">
        <v>2605</v>
      </c>
      <c r="H2152" s="10" t="s">
        <v>898</v>
      </c>
      <c r="I2152" s="10" t="s">
        <v>55</v>
      </c>
      <c r="J2152" s="10" t="s">
        <v>6704</v>
      </c>
      <c r="K2152" s="10" t="s">
        <v>6705</v>
      </c>
      <c r="L2152" s="10" t="s">
        <v>42</v>
      </c>
    </row>
    <row r="2153" ht="15.75" customHeight="1">
      <c r="A2153" s="64">
        <v>45485.0</v>
      </c>
      <c r="B2153" s="55" t="str">
        <f>HYPERLINK("https://jobright.ai/jobs/info/6690d4873d3678bc4a30b2a3?utm_campaign=1062&amp;utm_source=sheet", "Apply")</f>
        <v>Apply</v>
      </c>
      <c r="C2153" s="10" t="s">
        <v>4962</v>
      </c>
      <c r="D2153" s="56" t="s">
        <v>4802</v>
      </c>
      <c r="E2153" s="10" t="s">
        <v>249</v>
      </c>
      <c r="F2153" s="10" t="s">
        <v>2470</v>
      </c>
      <c r="G2153" s="10" t="s">
        <v>2437</v>
      </c>
      <c r="H2153" s="10" t="s">
        <v>3208</v>
      </c>
      <c r="I2153" s="10" t="s">
        <v>55</v>
      </c>
      <c r="K2153" s="10" t="s">
        <v>4944</v>
      </c>
      <c r="L2153" s="10" t="s">
        <v>42</v>
      </c>
    </row>
    <row r="2154" ht="15.75" customHeight="1">
      <c r="A2154" s="64">
        <v>45485.0</v>
      </c>
      <c r="B2154" s="55" t="str">
        <f>HYPERLINK("https://jobright.ai/jobs/info/6690c8b950a8322cf99b7cf0?utm_campaign=1062&amp;utm_source=sheet", "Apply")</f>
        <v>Apply</v>
      </c>
      <c r="C2154" s="10" t="s">
        <v>6703</v>
      </c>
      <c r="D2154" s="56" t="s">
        <v>4465</v>
      </c>
      <c r="E2154" s="10" t="s">
        <v>209</v>
      </c>
      <c r="F2154" s="10" t="s">
        <v>4466</v>
      </c>
      <c r="G2154" s="10" t="s">
        <v>2605</v>
      </c>
      <c r="H2154" s="10" t="s">
        <v>898</v>
      </c>
      <c r="I2154" s="10" t="s">
        <v>55</v>
      </c>
      <c r="J2154" s="10" t="s">
        <v>6704</v>
      </c>
      <c r="L2154" s="10" t="s">
        <v>42</v>
      </c>
    </row>
    <row r="2155" ht="15.75" customHeight="1">
      <c r="A2155" s="64">
        <v>45485.0</v>
      </c>
      <c r="B2155" s="55" t="str">
        <f>HYPERLINK("https://jobright.ai/jobs/info/6690d08dcff1d6c64e136f30?utm_campaign=1062&amp;utm_source=sheet", "Apply")</f>
        <v>Apply</v>
      </c>
      <c r="C2155" s="10" t="s">
        <v>6706</v>
      </c>
      <c r="D2155" s="56" t="s">
        <v>5989</v>
      </c>
      <c r="E2155" s="10" t="s">
        <v>45</v>
      </c>
      <c r="F2155" s="10" t="s">
        <v>5990</v>
      </c>
      <c r="G2155" s="10" t="s">
        <v>2605</v>
      </c>
      <c r="H2155" s="10" t="s">
        <v>3280</v>
      </c>
      <c r="I2155" s="10" t="s">
        <v>55</v>
      </c>
      <c r="K2155" s="10" t="s">
        <v>6707</v>
      </c>
      <c r="L2155" s="10" t="s">
        <v>42</v>
      </c>
    </row>
    <row r="2156" ht="15.75" customHeight="1">
      <c r="A2156" s="64">
        <v>45485.0</v>
      </c>
      <c r="B2156" s="55" t="str">
        <f>HYPERLINK("https://jobright.ai/jobs/info/6690b5364cfee4f27c861373?utm_campaign=1062&amp;utm_source=sheet", "Apply")</f>
        <v>Apply</v>
      </c>
      <c r="C2156" s="10" t="s">
        <v>6706</v>
      </c>
      <c r="D2156" s="56" t="s">
        <v>5989</v>
      </c>
      <c r="E2156" s="10" t="s">
        <v>45</v>
      </c>
      <c r="F2156" s="10" t="s">
        <v>5990</v>
      </c>
      <c r="G2156" s="10" t="s">
        <v>2605</v>
      </c>
      <c r="H2156" s="10" t="s">
        <v>3300</v>
      </c>
      <c r="I2156" s="10" t="s">
        <v>55</v>
      </c>
      <c r="K2156" s="10" t="s">
        <v>6707</v>
      </c>
      <c r="L2156" s="10" t="s">
        <v>42</v>
      </c>
    </row>
    <row r="2157" ht="15.75" customHeight="1">
      <c r="A2157" s="64">
        <v>45485.0</v>
      </c>
      <c r="B2157" s="55" t="str">
        <f>HYPERLINK("https://jobright.ai/jobs/info/6690c2395c416734cd1fae78?utm_campaign=1062&amp;utm_source=sheet", "Apply")</f>
        <v>Apply</v>
      </c>
      <c r="C2157" s="10" t="s">
        <v>6706</v>
      </c>
      <c r="D2157" s="56" t="s">
        <v>5989</v>
      </c>
      <c r="E2157" s="10" t="s">
        <v>45</v>
      </c>
      <c r="F2157" s="10" t="s">
        <v>5990</v>
      </c>
      <c r="G2157" s="10" t="s">
        <v>2605</v>
      </c>
      <c r="H2157" s="10" t="s">
        <v>3341</v>
      </c>
      <c r="I2157" s="10" t="s">
        <v>55</v>
      </c>
      <c r="K2157" s="10" t="s">
        <v>6707</v>
      </c>
      <c r="L2157" s="10" t="s">
        <v>42</v>
      </c>
    </row>
    <row r="2158" ht="15.75" customHeight="1">
      <c r="A2158" s="64">
        <v>45485.0</v>
      </c>
      <c r="B2158" s="55" t="str">
        <f>HYPERLINK("https://jobright.ai/jobs/info/669177041c5d42e9ec385eeb?utm_campaign=1062&amp;utm_source=sheet", "Apply")</f>
        <v>Apply</v>
      </c>
      <c r="C2158" s="10" t="s">
        <v>6708</v>
      </c>
      <c r="D2158" s="56" t="s">
        <v>6709</v>
      </c>
      <c r="E2158" s="10" t="s">
        <v>249</v>
      </c>
      <c r="F2158" s="10" t="s">
        <v>6645</v>
      </c>
      <c r="G2158" s="10" t="s">
        <v>2464</v>
      </c>
      <c r="H2158" s="10" t="s">
        <v>1130</v>
      </c>
      <c r="I2158" s="10" t="s">
        <v>55</v>
      </c>
      <c r="K2158" s="10" t="s">
        <v>6710</v>
      </c>
      <c r="L2158" s="10" t="s">
        <v>42</v>
      </c>
    </row>
    <row r="2159" ht="15.75" customHeight="1">
      <c r="A2159" s="64">
        <v>45484.0</v>
      </c>
      <c r="B2159" s="55" t="str">
        <f>HYPERLINK("https://jobright.ai/jobs/info/6690be3160159e119f512e4f?utm_campaign=1062&amp;utm_source=sheet", "Apply")</f>
        <v>Apply</v>
      </c>
      <c r="C2159" s="10" t="s">
        <v>6706</v>
      </c>
      <c r="D2159" s="56" t="s">
        <v>5989</v>
      </c>
      <c r="E2159" s="10" t="s">
        <v>45</v>
      </c>
      <c r="F2159" s="10" t="s">
        <v>5990</v>
      </c>
      <c r="G2159" s="10" t="s">
        <v>2605</v>
      </c>
      <c r="H2159" s="10" t="s">
        <v>520</v>
      </c>
      <c r="I2159" s="10" t="s">
        <v>55</v>
      </c>
      <c r="K2159" s="10" t="s">
        <v>6707</v>
      </c>
      <c r="L2159" s="10" t="s">
        <v>42</v>
      </c>
    </row>
    <row r="2160" ht="15.75" customHeight="1">
      <c r="A2160" s="64">
        <v>45484.0</v>
      </c>
      <c r="B2160" s="55" t="str">
        <f>HYPERLINK("https://jobright.ai/jobs/info/6690be3160159e119f512e50?utm_campaign=1062&amp;utm_source=sheet", "Apply")</f>
        <v>Apply</v>
      </c>
      <c r="C2160" s="10" t="s">
        <v>6706</v>
      </c>
      <c r="D2160" s="56" t="s">
        <v>5989</v>
      </c>
      <c r="E2160" s="10" t="s">
        <v>45</v>
      </c>
      <c r="F2160" s="10" t="s">
        <v>5990</v>
      </c>
      <c r="G2160" s="10" t="s">
        <v>2605</v>
      </c>
      <c r="H2160" s="10" t="s">
        <v>723</v>
      </c>
      <c r="I2160" s="10" t="s">
        <v>55</v>
      </c>
      <c r="K2160" s="10" t="s">
        <v>6707</v>
      </c>
      <c r="L2160" s="10" t="s">
        <v>42</v>
      </c>
    </row>
    <row r="2161" ht="15.75" customHeight="1">
      <c r="A2161" s="64">
        <v>45484.0</v>
      </c>
      <c r="B2161" s="55" t="str">
        <f>HYPERLINK("https://jobright.ai/jobs/info/6690af0b82892b382ec226b3?utm_campaign=1062&amp;utm_source=sheet", "Apply")</f>
        <v>Apply</v>
      </c>
      <c r="C2161" s="10" t="s">
        <v>6706</v>
      </c>
      <c r="D2161" s="56" t="s">
        <v>5989</v>
      </c>
      <c r="E2161" s="10" t="s">
        <v>45</v>
      </c>
      <c r="F2161" s="10" t="s">
        <v>5990</v>
      </c>
      <c r="G2161" s="10" t="s">
        <v>2605</v>
      </c>
      <c r="H2161" s="10" t="s">
        <v>3299</v>
      </c>
      <c r="I2161" s="10" t="s">
        <v>55</v>
      </c>
      <c r="K2161" s="10" t="s">
        <v>6707</v>
      </c>
      <c r="L2161" s="10" t="s">
        <v>42</v>
      </c>
    </row>
    <row r="2162" ht="15.75" customHeight="1">
      <c r="A2162" s="64">
        <v>45484.0</v>
      </c>
      <c r="B2162" s="55" t="str">
        <f>HYPERLINK("https://jobright.ai/jobs/info/6690b913d751548bd6a5caae?utm_campaign=1062&amp;utm_source=sheet", "Apply")</f>
        <v>Apply</v>
      </c>
      <c r="C2162" s="10" t="s">
        <v>6706</v>
      </c>
      <c r="D2162" s="56" t="s">
        <v>5989</v>
      </c>
      <c r="E2162" s="10" t="s">
        <v>45</v>
      </c>
      <c r="F2162" s="10" t="s">
        <v>5990</v>
      </c>
      <c r="G2162" s="10" t="s">
        <v>2605</v>
      </c>
      <c r="H2162" s="10" t="s">
        <v>3310</v>
      </c>
      <c r="I2162" s="10" t="s">
        <v>55</v>
      </c>
      <c r="K2162" s="10" t="s">
        <v>6707</v>
      </c>
      <c r="L2162" s="10" t="s">
        <v>42</v>
      </c>
    </row>
    <row r="2163" ht="15.75" customHeight="1">
      <c r="A2163" s="64">
        <v>45484.0</v>
      </c>
      <c r="B2163" s="55" t="str">
        <f>HYPERLINK("https://jobright.ai/jobs/info/6690a95e0020afd5a76d9ed8?utm_campaign=1062&amp;utm_source=sheet", "Apply")</f>
        <v>Apply</v>
      </c>
      <c r="C2163" s="10" t="s">
        <v>6711</v>
      </c>
      <c r="D2163" s="56" t="s">
        <v>3329</v>
      </c>
      <c r="E2163" s="10" t="s">
        <v>45</v>
      </c>
      <c r="F2163" s="10" t="s">
        <v>3330</v>
      </c>
      <c r="G2163" s="10" t="s">
        <v>2495</v>
      </c>
      <c r="H2163" s="10" t="s">
        <v>6712</v>
      </c>
      <c r="I2163" s="10" t="s">
        <v>55</v>
      </c>
      <c r="K2163" s="10" t="s">
        <v>6713</v>
      </c>
      <c r="L2163" s="10" t="s">
        <v>42</v>
      </c>
    </row>
    <row r="2164" ht="15.75" customHeight="1">
      <c r="A2164" s="64">
        <v>45484.0</v>
      </c>
      <c r="B2164" s="55" t="str">
        <f>HYPERLINK("https://jobright.ai/jobs/info/6690bf32555345cb310837bf?utm_campaign=1062&amp;utm_source=sheet", "Apply")</f>
        <v>Apply</v>
      </c>
      <c r="C2164" s="10" t="s">
        <v>6714</v>
      </c>
      <c r="D2164" s="56" t="s">
        <v>6715</v>
      </c>
      <c r="E2164" s="10" t="s">
        <v>137</v>
      </c>
      <c r="F2164" s="10" t="s">
        <v>6716</v>
      </c>
      <c r="G2164" s="10" t="s">
        <v>4046</v>
      </c>
      <c r="H2164" s="10" t="s">
        <v>3861</v>
      </c>
      <c r="I2164" s="10" t="s">
        <v>55</v>
      </c>
      <c r="J2164" s="10" t="s">
        <v>521</v>
      </c>
      <c r="K2164" s="10" t="s">
        <v>6717</v>
      </c>
      <c r="L2164" s="10" t="s">
        <v>42</v>
      </c>
    </row>
    <row r="2165" ht="15.75" customHeight="1">
      <c r="A2165" s="64">
        <v>45484.0</v>
      </c>
      <c r="B2165" s="55" t="str">
        <f>HYPERLINK("https://jobright.ai/jobs/info/6690c91250a8322cf99b8494?utm_campaign=1062&amp;utm_source=sheet", "Apply")</f>
        <v>Apply</v>
      </c>
      <c r="C2165" s="10" t="s">
        <v>5851</v>
      </c>
      <c r="D2165" s="56" t="s">
        <v>6718</v>
      </c>
      <c r="E2165" s="10" t="s">
        <v>65</v>
      </c>
      <c r="F2165" s="10" t="s">
        <v>285</v>
      </c>
      <c r="G2165" s="10" t="s">
        <v>2437</v>
      </c>
      <c r="H2165" s="10" t="s">
        <v>3921</v>
      </c>
      <c r="I2165" s="10" t="s">
        <v>55</v>
      </c>
      <c r="K2165" s="10" t="s">
        <v>6719</v>
      </c>
      <c r="L2165" s="10" t="s">
        <v>42</v>
      </c>
    </row>
    <row r="2166" ht="15.75" customHeight="1">
      <c r="A2166" s="64">
        <v>45484.0</v>
      </c>
      <c r="B2166" s="55" t="str">
        <f>HYPERLINK("https://jobright.ai/jobs/info/6690d4903d3678bc4a30b346?utm_campaign=1062&amp;utm_source=sheet", "Apply")</f>
        <v>Apply</v>
      </c>
      <c r="C2166" s="10" t="s">
        <v>6670</v>
      </c>
      <c r="D2166" s="56" t="s">
        <v>4802</v>
      </c>
      <c r="E2166" s="10" t="s">
        <v>249</v>
      </c>
      <c r="F2166" s="10" t="s">
        <v>2470</v>
      </c>
      <c r="G2166" s="10" t="s">
        <v>2484</v>
      </c>
      <c r="H2166" s="10" t="s">
        <v>636</v>
      </c>
      <c r="I2166" s="10" t="s">
        <v>55</v>
      </c>
      <c r="K2166" s="10" t="s">
        <v>4918</v>
      </c>
      <c r="L2166" s="10" t="s">
        <v>42</v>
      </c>
    </row>
    <row r="2167" ht="15.75" customHeight="1">
      <c r="A2167" s="64">
        <v>45484.0</v>
      </c>
      <c r="B2167" s="55" t="str">
        <f>HYPERLINK("https://jobright.ai/jobs/info/66905995f6b922c3462caeaf?utm_campaign=1062&amp;utm_source=sheet", "Apply")</f>
        <v>Apply</v>
      </c>
      <c r="C2167" s="10" t="s">
        <v>6720</v>
      </c>
      <c r="D2167" s="56" t="s">
        <v>5283</v>
      </c>
      <c r="E2167" s="10" t="s">
        <v>209</v>
      </c>
      <c r="F2167" s="10" t="s">
        <v>620</v>
      </c>
      <c r="G2167" s="10" t="s">
        <v>2448</v>
      </c>
      <c r="H2167" s="10" t="s">
        <v>73</v>
      </c>
      <c r="I2167" s="10" t="s">
        <v>55</v>
      </c>
      <c r="K2167" s="10" t="s">
        <v>6721</v>
      </c>
      <c r="L2167" s="10" t="s">
        <v>42</v>
      </c>
    </row>
    <row r="2168" ht="15.75" customHeight="1">
      <c r="A2168" s="64">
        <v>45484.0</v>
      </c>
      <c r="B2168" s="55" t="str">
        <f>HYPERLINK("https://jobright.ai/jobs/info/66905a3bf6b922c3462cbeaa?utm_campaign=1062&amp;utm_source=sheet", "Apply")</f>
        <v>Apply</v>
      </c>
      <c r="C2168" s="10" t="s">
        <v>6722</v>
      </c>
      <c r="D2168" s="56" t="s">
        <v>4802</v>
      </c>
      <c r="E2168" s="10" t="s">
        <v>249</v>
      </c>
      <c r="F2168" s="10" t="s">
        <v>2470</v>
      </c>
      <c r="G2168" s="10" t="s">
        <v>2459</v>
      </c>
      <c r="H2168" s="10" t="s">
        <v>3532</v>
      </c>
      <c r="I2168" s="10" t="s">
        <v>55</v>
      </c>
      <c r="K2168" s="10" t="s">
        <v>6723</v>
      </c>
      <c r="L2168" s="10" t="s">
        <v>42</v>
      </c>
    </row>
    <row r="2169" ht="15.75" customHeight="1">
      <c r="A2169" s="64">
        <v>45484.0</v>
      </c>
      <c r="B2169" s="55" t="str">
        <f>HYPERLINK("https://jobright.ai/jobs/info/66905a3bf6b922c3462cbeab?utm_campaign=1062&amp;utm_source=sheet", "Apply")</f>
        <v>Apply</v>
      </c>
      <c r="C2169" s="10" t="s">
        <v>6724</v>
      </c>
      <c r="D2169" s="56" t="s">
        <v>4802</v>
      </c>
      <c r="E2169" s="10" t="s">
        <v>249</v>
      </c>
      <c r="F2169" s="10" t="s">
        <v>2470</v>
      </c>
      <c r="G2169" s="10" t="s">
        <v>2459</v>
      </c>
      <c r="H2169" s="10" t="s">
        <v>3532</v>
      </c>
      <c r="I2169" s="10" t="s">
        <v>55</v>
      </c>
      <c r="K2169" s="10" t="s">
        <v>6723</v>
      </c>
      <c r="L2169" s="10" t="s">
        <v>42</v>
      </c>
    </row>
    <row r="2170" ht="15.75" customHeight="1">
      <c r="A2170" s="64">
        <v>45484.0</v>
      </c>
      <c r="B2170" s="55" t="str">
        <f>HYPERLINK("https://jobright.ai/jobs/info/6690a9710020afd5a76da085?utm_campaign=1062&amp;utm_source=sheet", "Apply")</f>
        <v>Apply</v>
      </c>
      <c r="C2170" s="10" t="s">
        <v>6725</v>
      </c>
      <c r="D2170" s="56" t="s">
        <v>1183</v>
      </c>
      <c r="E2170" s="10" t="s">
        <v>45</v>
      </c>
      <c r="F2170" s="10" t="s">
        <v>1184</v>
      </c>
      <c r="G2170" s="10" t="s">
        <v>2470</v>
      </c>
      <c r="H2170" s="10" t="s">
        <v>5354</v>
      </c>
      <c r="I2170" s="10" t="s">
        <v>55</v>
      </c>
      <c r="J2170" s="10" t="s">
        <v>3969</v>
      </c>
      <c r="K2170" s="10" t="s">
        <v>6726</v>
      </c>
      <c r="L2170" s="10" t="s">
        <v>42</v>
      </c>
    </row>
    <row r="2171" ht="15.75" customHeight="1">
      <c r="A2171" s="64">
        <v>45484.0</v>
      </c>
      <c r="B2171" s="55" t="str">
        <f>HYPERLINK("https://jobright.ai/jobs/info/6690599ef6b922c3462cafe9?utm_campaign=1062&amp;utm_source=sheet", "Apply")</f>
        <v>Apply</v>
      </c>
      <c r="C2171" s="10" t="s">
        <v>6727</v>
      </c>
      <c r="D2171" s="56" t="s">
        <v>2726</v>
      </c>
      <c r="E2171" s="10" t="s">
        <v>65</v>
      </c>
      <c r="F2171" s="10" t="s">
        <v>85</v>
      </c>
      <c r="G2171" s="10" t="s">
        <v>2464</v>
      </c>
      <c r="H2171" s="10" t="s">
        <v>139</v>
      </c>
      <c r="I2171" s="10" t="s">
        <v>48</v>
      </c>
      <c r="K2171" s="10" t="s">
        <v>4088</v>
      </c>
      <c r="L2171" s="10" t="s">
        <v>42</v>
      </c>
    </row>
    <row r="2172" ht="15.75" customHeight="1">
      <c r="A2172" s="64">
        <v>45484.0</v>
      </c>
      <c r="B2172" s="55" t="str">
        <f>HYPERLINK("https://jobright.ai/jobs/info/6690c9e150a8322cf99b9806?utm_campaign=1062&amp;utm_source=sheet", "Apply")</f>
        <v>Apply</v>
      </c>
      <c r="C2172" s="10" t="s">
        <v>5162</v>
      </c>
      <c r="D2172" s="56" t="s">
        <v>4433</v>
      </c>
      <c r="E2172" s="10">
        <v>235.0</v>
      </c>
      <c r="G2172" s="10" t="s">
        <v>2476</v>
      </c>
      <c r="H2172" s="10" t="s">
        <v>6321</v>
      </c>
      <c r="I2172" s="10" t="s">
        <v>55</v>
      </c>
      <c r="K2172" s="10" t="s">
        <v>4435</v>
      </c>
      <c r="L2172" s="10" t="s">
        <v>42</v>
      </c>
    </row>
    <row r="2173" ht="15.75" customHeight="1">
      <c r="A2173" s="64">
        <v>45484.0</v>
      </c>
      <c r="B2173" s="55" t="str">
        <f>HYPERLINK("https://jobright.ai/jobs/info/6690c9e150a8322cf99b9807?utm_campaign=1062&amp;utm_source=sheet", "Apply")</f>
        <v>Apply</v>
      </c>
      <c r="C2173" s="10" t="s">
        <v>5162</v>
      </c>
      <c r="D2173" s="56" t="s">
        <v>4433</v>
      </c>
      <c r="E2173" s="10">
        <v>235.0</v>
      </c>
      <c r="G2173" s="10" t="s">
        <v>2476</v>
      </c>
      <c r="H2173" s="10" t="s">
        <v>4808</v>
      </c>
      <c r="I2173" s="10" t="s">
        <v>55</v>
      </c>
      <c r="K2173" s="10" t="s">
        <v>4435</v>
      </c>
      <c r="L2173" s="10" t="s">
        <v>42</v>
      </c>
    </row>
    <row r="2174" ht="15.75" customHeight="1">
      <c r="A2174" s="64">
        <v>45484.0</v>
      </c>
      <c r="B2174" s="55" t="str">
        <f>HYPERLINK("https://jobright.ai/jobs/info/669059c8f6b922c3462cb40e?utm_campaign=1062&amp;utm_source=sheet", "Apply")</f>
        <v>Apply</v>
      </c>
      <c r="C2174" s="10" t="s">
        <v>6728</v>
      </c>
      <c r="D2174" s="56" t="s">
        <v>1502</v>
      </c>
      <c r="E2174" s="10">
        <v>10345.0</v>
      </c>
      <c r="G2174" s="10" t="s">
        <v>2443</v>
      </c>
      <c r="H2174" s="10" t="s">
        <v>106</v>
      </c>
      <c r="I2174" s="10" t="s">
        <v>55</v>
      </c>
      <c r="J2174" s="10" t="s">
        <v>6729</v>
      </c>
      <c r="K2174" s="10" t="s">
        <v>6730</v>
      </c>
      <c r="L2174" s="10" t="s">
        <v>42</v>
      </c>
    </row>
    <row r="2175" ht="15.75" customHeight="1">
      <c r="A2175" s="64">
        <v>45484.0</v>
      </c>
      <c r="B2175" s="55" t="str">
        <f>HYPERLINK("https://jobright.ai/jobs/info/6690d05db9480c9896c8fc56?utm_campaign=1062&amp;utm_source=sheet", "Apply")</f>
        <v>Apply</v>
      </c>
      <c r="C2175" s="10" t="s">
        <v>5162</v>
      </c>
      <c r="D2175" s="56" t="s">
        <v>4433</v>
      </c>
      <c r="E2175" s="10">
        <v>235.0</v>
      </c>
      <c r="G2175" s="10" t="s">
        <v>2476</v>
      </c>
      <c r="H2175" s="10" t="s">
        <v>6731</v>
      </c>
      <c r="I2175" s="10" t="s">
        <v>55</v>
      </c>
      <c r="K2175" s="10" t="s">
        <v>4435</v>
      </c>
      <c r="L2175" s="10" t="s">
        <v>42</v>
      </c>
    </row>
    <row r="2176" ht="15.75" customHeight="1">
      <c r="A2176" s="64">
        <v>45484.0</v>
      </c>
      <c r="B2176" s="55" t="str">
        <f>HYPERLINK("https://jobright.ai/jobs/info/6690bf45555345cb3108391a?utm_campaign=1062&amp;utm_source=sheet", "Apply")</f>
        <v>Apply</v>
      </c>
      <c r="C2176" s="10" t="s">
        <v>4984</v>
      </c>
      <c r="D2176" s="56" t="s">
        <v>6732</v>
      </c>
      <c r="E2176" s="10">
        <v>532.0</v>
      </c>
      <c r="G2176" s="10" t="s">
        <v>2484</v>
      </c>
      <c r="H2176" s="10" t="s">
        <v>6733</v>
      </c>
      <c r="I2176" s="10" t="s">
        <v>55</v>
      </c>
      <c r="K2176" s="10" t="s">
        <v>6734</v>
      </c>
      <c r="L2176" s="10" t="s">
        <v>42</v>
      </c>
    </row>
    <row r="2177" ht="15.75" customHeight="1">
      <c r="A2177" s="64">
        <v>45484.0</v>
      </c>
      <c r="B2177" s="55" t="str">
        <f>HYPERLINK("https://jobright.ai/jobs/info/6690a68ddad852160b54a6b1?utm_campaign=1062&amp;utm_source=sheet", "Apply")</f>
        <v>Apply</v>
      </c>
      <c r="C2177" s="10" t="s">
        <v>6735</v>
      </c>
      <c r="D2177" s="56" t="s">
        <v>6736</v>
      </c>
      <c r="E2177" s="10" t="s">
        <v>65</v>
      </c>
      <c r="F2177" s="10" t="s">
        <v>1234</v>
      </c>
      <c r="G2177" s="10" t="s">
        <v>2437</v>
      </c>
      <c r="H2177" s="10" t="s">
        <v>6737</v>
      </c>
      <c r="I2177" s="10" t="s">
        <v>55</v>
      </c>
      <c r="J2177" s="10" t="s">
        <v>1761</v>
      </c>
      <c r="K2177" s="10" t="s">
        <v>6738</v>
      </c>
      <c r="L2177" s="10" t="s">
        <v>42</v>
      </c>
    </row>
    <row r="2178" ht="15.75" customHeight="1">
      <c r="A2178" s="64">
        <v>45484.0</v>
      </c>
      <c r="B2178" s="55" t="str">
        <f>HYPERLINK("https://jobright.ai/jobs/info/6690a0a843cab07c25cd06d7?utm_campaign=1062&amp;utm_source=sheet", "Apply")</f>
        <v>Apply</v>
      </c>
      <c r="C2178" s="10" t="s">
        <v>5162</v>
      </c>
      <c r="D2178" s="56" t="s">
        <v>6739</v>
      </c>
      <c r="E2178" s="10" t="s">
        <v>65</v>
      </c>
      <c r="F2178" s="10" t="s">
        <v>6740</v>
      </c>
      <c r="G2178" s="10" t="s">
        <v>2476</v>
      </c>
      <c r="H2178" s="10" t="s">
        <v>4808</v>
      </c>
      <c r="I2178" s="10" t="s">
        <v>48</v>
      </c>
      <c r="K2178" s="10" t="s">
        <v>6741</v>
      </c>
      <c r="L2178" s="10" t="s">
        <v>42</v>
      </c>
    </row>
    <row r="2179" ht="15.75" customHeight="1">
      <c r="A2179" s="64">
        <v>45484.0</v>
      </c>
      <c r="B2179" s="55" t="str">
        <f>HYPERLINK("https://jobright.ai/jobs/info/6690cfd4b9480c9896c8f041?utm_campaign=1062&amp;utm_source=sheet", "Apply")</f>
        <v>Apply</v>
      </c>
      <c r="C2179" s="10" t="s">
        <v>6742</v>
      </c>
      <c r="D2179" s="56" t="s">
        <v>6743</v>
      </c>
      <c r="E2179" s="10" t="s">
        <v>276</v>
      </c>
      <c r="F2179" s="10" t="s">
        <v>1708</v>
      </c>
      <c r="G2179" s="10" t="s">
        <v>2437</v>
      </c>
      <c r="H2179" s="10" t="s">
        <v>1036</v>
      </c>
      <c r="I2179" s="10" t="s">
        <v>55</v>
      </c>
      <c r="J2179" s="10" t="s">
        <v>6744</v>
      </c>
      <c r="K2179" s="10" t="s">
        <v>6745</v>
      </c>
      <c r="L2179" s="10" t="s">
        <v>42</v>
      </c>
    </row>
    <row r="2180" ht="15.75" customHeight="1">
      <c r="A2180" s="64">
        <v>45484.0</v>
      </c>
      <c r="B2180" s="55" t="str">
        <f>HYPERLINK("https://jobright.ai/jobs/info/6690a97a0020afd5a76da1af?utm_campaign=1062&amp;utm_source=sheet", "Apply")</f>
        <v>Apply</v>
      </c>
      <c r="C2180" s="10" t="s">
        <v>6746</v>
      </c>
      <c r="D2180" s="56" t="s">
        <v>6747</v>
      </c>
      <c r="E2180" s="10" t="s">
        <v>45</v>
      </c>
      <c r="F2180" s="10" t="s">
        <v>2850</v>
      </c>
      <c r="G2180" s="10" t="s">
        <v>2470</v>
      </c>
      <c r="H2180" s="10" t="s">
        <v>5320</v>
      </c>
      <c r="I2180" s="10" t="s">
        <v>48</v>
      </c>
      <c r="K2180" s="10" t="s">
        <v>6748</v>
      </c>
      <c r="L2180" s="10" t="s">
        <v>42</v>
      </c>
    </row>
    <row r="2181" ht="15.75" customHeight="1">
      <c r="A2181" s="64">
        <v>45484.0</v>
      </c>
      <c r="B2181" s="55" t="str">
        <f>HYPERLINK("https://jobright.ai/jobs/info/6690c011555345cb31084b69?utm_campaign=1062&amp;utm_source=sheet", "Apply")</f>
        <v>Apply</v>
      </c>
      <c r="C2181" s="10" t="s">
        <v>5162</v>
      </c>
      <c r="D2181" s="56" t="s">
        <v>6739</v>
      </c>
      <c r="E2181" s="10" t="s">
        <v>65</v>
      </c>
      <c r="F2181" s="10" t="s">
        <v>6740</v>
      </c>
      <c r="G2181" s="10" t="s">
        <v>2476</v>
      </c>
      <c r="H2181" s="10" t="s">
        <v>4434</v>
      </c>
      <c r="I2181" s="10" t="s">
        <v>48</v>
      </c>
      <c r="K2181" s="10" t="s">
        <v>6741</v>
      </c>
      <c r="L2181" s="10" t="s">
        <v>42</v>
      </c>
    </row>
    <row r="2182" ht="15.75" customHeight="1">
      <c r="A2182" s="64">
        <v>45484.0</v>
      </c>
      <c r="B2182" s="55" t="str">
        <f>HYPERLINK("https://jobright.ai/jobs/info/6690b3cb77cd5c0d31df8a37?utm_campaign=1062&amp;utm_source=sheet", "Apply")</f>
        <v>Apply</v>
      </c>
      <c r="C2182" s="10" t="s">
        <v>6144</v>
      </c>
      <c r="D2182" s="56" t="s">
        <v>6033</v>
      </c>
      <c r="E2182" s="10" t="s">
        <v>45</v>
      </c>
      <c r="F2182" s="10" t="s">
        <v>1202</v>
      </c>
      <c r="G2182" s="10" t="s">
        <v>2605</v>
      </c>
      <c r="H2182" s="10" t="s">
        <v>6749</v>
      </c>
      <c r="I2182" s="10" t="s">
        <v>55</v>
      </c>
      <c r="K2182" s="10" t="s">
        <v>6034</v>
      </c>
      <c r="L2182" s="10" t="s">
        <v>42</v>
      </c>
    </row>
    <row r="2183" ht="15.75" customHeight="1">
      <c r="A2183" s="64">
        <v>45484.0</v>
      </c>
      <c r="B2183" s="55" t="str">
        <f>HYPERLINK("https://jobright.ai/jobs/info/6690e99f912f9e3d3379585b?utm_campaign=1062&amp;utm_source=sheet", "Apply")</f>
        <v>Apply</v>
      </c>
      <c r="C2183" s="10" t="s">
        <v>5162</v>
      </c>
      <c r="D2183" s="56" t="s">
        <v>6739</v>
      </c>
      <c r="E2183" s="10" t="s">
        <v>65</v>
      </c>
      <c r="F2183" s="10" t="s">
        <v>6740</v>
      </c>
      <c r="G2183" s="10" t="s">
        <v>2476</v>
      </c>
      <c r="H2183" s="10" t="s">
        <v>6321</v>
      </c>
      <c r="I2183" s="10" t="s">
        <v>48</v>
      </c>
      <c r="K2183" s="10" t="s">
        <v>6741</v>
      </c>
      <c r="L2183" s="10" t="s">
        <v>42</v>
      </c>
    </row>
    <row r="2184" ht="15.75" customHeight="1">
      <c r="A2184" s="64">
        <v>45484.0</v>
      </c>
      <c r="B2184" s="55" t="str">
        <f>HYPERLINK("https://jobright.ai/jobs/info/6690c93550a8322cf99b87e8?utm_campaign=1062&amp;utm_source=sheet", "Apply")</f>
        <v>Apply</v>
      </c>
      <c r="C2184" s="10" t="s">
        <v>5162</v>
      </c>
      <c r="D2184" s="56" t="s">
        <v>6739</v>
      </c>
      <c r="E2184" s="10" t="s">
        <v>65</v>
      </c>
      <c r="F2184" s="10" t="s">
        <v>6740</v>
      </c>
      <c r="G2184" s="10" t="s">
        <v>2476</v>
      </c>
      <c r="H2184" s="10" t="s">
        <v>4897</v>
      </c>
      <c r="I2184" s="10" t="s">
        <v>48</v>
      </c>
      <c r="K2184" s="10" t="s">
        <v>6741</v>
      </c>
      <c r="L2184" s="10" t="s">
        <v>42</v>
      </c>
    </row>
    <row r="2185" ht="15.75" customHeight="1">
      <c r="A2185" s="64">
        <v>45484.0</v>
      </c>
      <c r="B2185" s="55" t="str">
        <f>HYPERLINK("https://jobright.ai/jobs/info/6690c9e950a8322cf99b9901?utm_campaign=1062&amp;utm_source=sheet", "Apply")</f>
        <v>Apply</v>
      </c>
      <c r="C2185" s="10" t="s">
        <v>5162</v>
      </c>
      <c r="D2185" s="56" t="s">
        <v>6739</v>
      </c>
      <c r="E2185" s="10" t="s">
        <v>65</v>
      </c>
      <c r="F2185" s="10" t="s">
        <v>6740</v>
      </c>
      <c r="G2185" s="10" t="s">
        <v>2476</v>
      </c>
      <c r="H2185" s="10" t="s">
        <v>6731</v>
      </c>
      <c r="I2185" s="10" t="s">
        <v>48</v>
      </c>
      <c r="K2185" s="10" t="s">
        <v>6741</v>
      </c>
      <c r="L2185" s="10" t="s">
        <v>42</v>
      </c>
    </row>
    <row r="2186" ht="15.75" customHeight="1">
      <c r="A2186" s="64">
        <v>45484.0</v>
      </c>
      <c r="B2186" s="55" t="str">
        <f>HYPERLINK("https://jobright.ai/jobs/info/66909febbb6223b93a70a4cb?utm_campaign=1062&amp;utm_source=sheet", "Apply")</f>
        <v>Apply</v>
      </c>
      <c r="C2186" s="10" t="s">
        <v>6032</v>
      </c>
      <c r="D2186" s="56" t="s">
        <v>6033</v>
      </c>
      <c r="E2186" s="10" t="s">
        <v>45</v>
      </c>
      <c r="F2186" s="10" t="s">
        <v>1202</v>
      </c>
      <c r="G2186" s="10" t="s">
        <v>2605</v>
      </c>
      <c r="H2186" s="10" t="s">
        <v>6749</v>
      </c>
      <c r="I2186" s="10" t="s">
        <v>55</v>
      </c>
      <c r="K2186" s="10" t="s">
        <v>6034</v>
      </c>
      <c r="L2186" s="10" t="s">
        <v>42</v>
      </c>
    </row>
    <row r="2187" ht="15.75" customHeight="1">
      <c r="A2187" s="64">
        <v>45484.0</v>
      </c>
      <c r="B2187" s="55" t="str">
        <f>HYPERLINK("https://jobright.ai/jobs/info/6690abbed0a327234d9ab7bf?utm_campaign=1062&amp;utm_source=sheet", "Apply")</f>
        <v>Apply</v>
      </c>
      <c r="C2187" s="10" t="s">
        <v>6144</v>
      </c>
      <c r="D2187" s="56" t="s">
        <v>6033</v>
      </c>
      <c r="E2187" s="10" t="s">
        <v>45</v>
      </c>
      <c r="F2187" s="10" t="s">
        <v>1202</v>
      </c>
      <c r="G2187" s="10" t="s">
        <v>2605</v>
      </c>
      <c r="H2187" s="10" t="s">
        <v>902</v>
      </c>
      <c r="I2187" s="10" t="s">
        <v>55</v>
      </c>
      <c r="K2187" s="10" t="s">
        <v>6034</v>
      </c>
      <c r="L2187" s="10" t="s">
        <v>42</v>
      </c>
    </row>
    <row r="2188" ht="15.75" customHeight="1">
      <c r="A2188" s="64">
        <v>45484.0</v>
      </c>
      <c r="B2188" s="55" t="str">
        <f>HYPERLINK("https://jobright.ai/jobs/info/6690c9e950a8322cf99b9934?utm_campaign=1062&amp;utm_source=sheet", "Apply")</f>
        <v>Apply</v>
      </c>
      <c r="C2188" s="10" t="s">
        <v>6750</v>
      </c>
      <c r="D2188" s="56" t="s">
        <v>5698</v>
      </c>
      <c r="E2188" s="10" t="s">
        <v>71</v>
      </c>
      <c r="F2188" s="10" t="s">
        <v>5699</v>
      </c>
      <c r="G2188" s="10" t="s">
        <v>2443</v>
      </c>
      <c r="H2188" s="10" t="s">
        <v>843</v>
      </c>
      <c r="I2188" s="10" t="s">
        <v>55</v>
      </c>
      <c r="K2188" s="10" t="s">
        <v>6751</v>
      </c>
      <c r="L2188" s="10" t="s">
        <v>42</v>
      </c>
    </row>
    <row r="2189" ht="15.75" customHeight="1">
      <c r="A2189" s="64">
        <v>45484.0</v>
      </c>
      <c r="B2189" s="55" t="str">
        <f>HYPERLINK("https://jobright.ai/jobs/info/6675b9f3044b6b83ef0d37b2?utm_campaign=1062&amp;utm_source=sheet", "Apply")</f>
        <v>Apply</v>
      </c>
      <c r="C2189" s="10" t="s">
        <v>6752</v>
      </c>
      <c r="D2189" s="56" t="s">
        <v>311</v>
      </c>
      <c r="E2189" s="10" t="s">
        <v>45</v>
      </c>
      <c r="F2189" s="10" t="s">
        <v>312</v>
      </c>
      <c r="G2189" s="10" t="s">
        <v>2502</v>
      </c>
      <c r="H2189" s="10" t="s">
        <v>423</v>
      </c>
      <c r="I2189" s="10" t="s">
        <v>55</v>
      </c>
      <c r="J2189" s="10" t="s">
        <v>3284</v>
      </c>
      <c r="K2189" s="10" t="s">
        <v>6753</v>
      </c>
      <c r="L2189" s="10" t="s">
        <v>42</v>
      </c>
    </row>
    <row r="2190" ht="15.75" customHeight="1">
      <c r="A2190" s="64">
        <v>45484.0</v>
      </c>
      <c r="B2190" s="55" t="str">
        <f>HYPERLINK("https://jobright.ai/jobs/info/6690b198094afae690910918?utm_campaign=1062&amp;utm_source=sheet", "Apply")</f>
        <v>Apply</v>
      </c>
      <c r="C2190" s="10" t="s">
        <v>6032</v>
      </c>
      <c r="D2190" s="56" t="s">
        <v>6033</v>
      </c>
      <c r="E2190" s="10" t="s">
        <v>45</v>
      </c>
      <c r="F2190" s="10" t="s">
        <v>1202</v>
      </c>
      <c r="G2190" s="10" t="s">
        <v>2605</v>
      </c>
      <c r="H2190" s="10" t="s">
        <v>902</v>
      </c>
      <c r="I2190" s="10" t="s">
        <v>55</v>
      </c>
      <c r="K2190" s="10" t="s">
        <v>6034</v>
      </c>
      <c r="L2190" s="10" t="s">
        <v>42</v>
      </c>
    </row>
    <row r="2191" ht="15.75" customHeight="1">
      <c r="A2191" s="64">
        <v>45484.0</v>
      </c>
      <c r="B2191" s="55" t="str">
        <f>HYPERLINK("https://jobright.ai/jobs/info/6690d37f2ee59534c58d062f?utm_campaign=1062&amp;utm_source=sheet", "Apply")</f>
        <v>Apply</v>
      </c>
      <c r="C2191" s="10" t="s">
        <v>6754</v>
      </c>
      <c r="D2191" s="56" t="s">
        <v>2548</v>
      </c>
      <c r="E2191" s="10" t="s">
        <v>45</v>
      </c>
      <c r="F2191" s="10" t="s">
        <v>2549</v>
      </c>
      <c r="G2191" s="10" t="s">
        <v>2495</v>
      </c>
      <c r="H2191" s="10" t="s">
        <v>2550</v>
      </c>
      <c r="I2191" s="10" t="s">
        <v>55</v>
      </c>
      <c r="K2191" s="10" t="s">
        <v>6755</v>
      </c>
      <c r="L2191" s="10" t="s">
        <v>42</v>
      </c>
    </row>
    <row r="2192" ht="15.75" customHeight="1">
      <c r="A2192" s="64">
        <v>45484.0</v>
      </c>
      <c r="B2192" s="55" t="str">
        <f>HYPERLINK("https://jobright.ai/jobs/info/66737e9c1bd2435aab8ca521?utm_campaign=1062&amp;utm_source=sheet", "Apply")</f>
        <v>Apply</v>
      </c>
      <c r="C2192" s="10" t="s">
        <v>484</v>
      </c>
      <c r="D2192" s="56" t="s">
        <v>3364</v>
      </c>
      <c r="E2192" s="10" t="s">
        <v>45</v>
      </c>
      <c r="F2192" s="10" t="s">
        <v>1274</v>
      </c>
      <c r="G2192" s="10" t="s">
        <v>2484</v>
      </c>
      <c r="H2192" s="10" t="s">
        <v>849</v>
      </c>
      <c r="I2192" s="10" t="s">
        <v>55</v>
      </c>
      <c r="K2192" s="10" t="s">
        <v>6756</v>
      </c>
      <c r="L2192" s="10" t="s">
        <v>42</v>
      </c>
    </row>
    <row r="2193" ht="15.75" customHeight="1">
      <c r="A2193" s="64">
        <v>45484.0</v>
      </c>
      <c r="B2193" s="55" t="str">
        <f>HYPERLINK("https://jobright.ai/jobs/info/66a260c397a3a7c64f0cc827?utm_campaign=1062&amp;utm_source=sheet", "Apply")</f>
        <v>Apply</v>
      </c>
      <c r="C2193" s="10" t="s">
        <v>6757</v>
      </c>
      <c r="D2193" s="56" t="s">
        <v>6758</v>
      </c>
      <c r="E2193" s="10" t="s">
        <v>65</v>
      </c>
      <c r="F2193" s="10" t="s">
        <v>1695</v>
      </c>
      <c r="G2193" s="10" t="s">
        <v>2448</v>
      </c>
      <c r="H2193" s="10" t="s">
        <v>6759</v>
      </c>
      <c r="I2193" s="10" t="s">
        <v>55</v>
      </c>
      <c r="K2193" s="10" t="s">
        <v>6760</v>
      </c>
      <c r="L2193" s="10" t="s">
        <v>42</v>
      </c>
    </row>
    <row r="2194" ht="15.75" customHeight="1">
      <c r="A2194" s="64">
        <v>45484.0</v>
      </c>
      <c r="B2194" s="55" t="str">
        <f>HYPERLINK("https://jobright.ai/jobs/info/66a25cac0d722babd5bd16ce?utm_campaign=1062&amp;utm_source=sheet", "Apply")</f>
        <v>Apply</v>
      </c>
      <c r="C2194" s="10" t="s">
        <v>6761</v>
      </c>
      <c r="D2194" s="56" t="s">
        <v>6762</v>
      </c>
      <c r="E2194" s="10" t="s">
        <v>65</v>
      </c>
      <c r="F2194" s="10" t="s">
        <v>1248</v>
      </c>
      <c r="G2194" s="10" t="s">
        <v>2476</v>
      </c>
      <c r="H2194" s="10" t="s">
        <v>6763</v>
      </c>
      <c r="I2194" s="10" t="s">
        <v>55</v>
      </c>
      <c r="K2194" s="10" t="s">
        <v>6764</v>
      </c>
      <c r="L2194" s="10" t="s">
        <v>42</v>
      </c>
    </row>
    <row r="2195" ht="15.75" customHeight="1">
      <c r="A2195" s="64">
        <v>45484.0</v>
      </c>
      <c r="B2195" s="55" t="str">
        <f>HYPERLINK("https://jobright.ai/jobs/info/66991cedcf3e3e1ced3d83c1?utm_campaign=1062&amp;utm_source=sheet", "Apply")</f>
        <v>Apply</v>
      </c>
      <c r="C2195" s="10" t="s">
        <v>5725</v>
      </c>
      <c r="D2195" s="56" t="s">
        <v>4802</v>
      </c>
      <c r="E2195" s="10" t="s">
        <v>249</v>
      </c>
      <c r="F2195" s="10" t="s">
        <v>2470</v>
      </c>
      <c r="G2195" s="10" t="s">
        <v>2484</v>
      </c>
      <c r="H2195" s="10" t="s">
        <v>4885</v>
      </c>
      <c r="I2195" s="10" t="s">
        <v>55</v>
      </c>
      <c r="K2195" s="10" t="s">
        <v>4803</v>
      </c>
      <c r="L2195" s="10" t="s">
        <v>42</v>
      </c>
    </row>
    <row r="2196" ht="15.75" customHeight="1">
      <c r="A2196" s="64">
        <v>45484.0</v>
      </c>
      <c r="B2196" s="55" t="str">
        <f>HYPERLINK("https://jobright.ai/jobs/info/667398691e7bed294f794bb0?utm_campaign=1062&amp;utm_source=sheet", "Apply")</f>
        <v>Apply</v>
      </c>
      <c r="C2196" s="10" t="s">
        <v>6765</v>
      </c>
      <c r="D2196" s="56" t="s">
        <v>6766</v>
      </c>
      <c r="E2196" s="10" t="s">
        <v>65</v>
      </c>
      <c r="F2196" s="10" t="s">
        <v>6767</v>
      </c>
      <c r="G2196" s="10" t="s">
        <v>2807</v>
      </c>
      <c r="H2196" s="10" t="s">
        <v>914</v>
      </c>
      <c r="I2196" s="10" t="s">
        <v>55</v>
      </c>
      <c r="K2196" s="10" t="s">
        <v>6768</v>
      </c>
      <c r="L2196" s="10" t="s">
        <v>42</v>
      </c>
    </row>
    <row r="2197" ht="15.75" customHeight="1">
      <c r="A2197" s="64">
        <v>45484.0</v>
      </c>
      <c r="B2197" s="55" t="str">
        <f>HYPERLINK("https://jobright.ai/jobs/info/669281cea344b2f575c65f9d?utm_campaign=1062&amp;utm_source=sheet", "Apply")</f>
        <v>Apply</v>
      </c>
      <c r="C2197" s="10" t="s">
        <v>6769</v>
      </c>
      <c r="D2197" s="56" t="s">
        <v>6770</v>
      </c>
      <c r="G2197" s="10" t="s">
        <v>2437</v>
      </c>
      <c r="H2197" s="10" t="s">
        <v>6771</v>
      </c>
      <c r="I2197" s="10" t="s">
        <v>55</v>
      </c>
      <c r="K2197" s="10" t="s">
        <v>6772</v>
      </c>
      <c r="L2197" s="10" t="s">
        <v>42</v>
      </c>
    </row>
    <row r="2198" ht="15.75" customHeight="1">
      <c r="A2198" s="64">
        <v>45484.0</v>
      </c>
      <c r="B2198" s="55" t="str">
        <f>HYPERLINK("https://jobright.ai/jobs/info/669281cea344b2f575c65fa6?utm_campaign=1062&amp;utm_source=sheet", "Apply")</f>
        <v>Apply</v>
      </c>
      <c r="C2198" s="10" t="s">
        <v>6773</v>
      </c>
      <c r="D2198" s="56" t="s">
        <v>6770</v>
      </c>
      <c r="G2198" s="10" t="s">
        <v>2484</v>
      </c>
      <c r="H2198" s="10" t="s">
        <v>1011</v>
      </c>
      <c r="I2198" s="10" t="s">
        <v>55</v>
      </c>
      <c r="K2198" s="10" t="s">
        <v>6774</v>
      </c>
      <c r="L2198" s="10" t="s">
        <v>42</v>
      </c>
    </row>
    <row r="2199" ht="15.75" customHeight="1">
      <c r="A2199" s="64">
        <v>45484.0</v>
      </c>
      <c r="B2199" s="55" t="str">
        <f>HYPERLINK("https://jobright.ai/jobs/info/669281cea344b2f575c65f72?utm_campaign=1062&amp;utm_source=sheet", "Apply")</f>
        <v>Apply</v>
      </c>
      <c r="C2199" s="10" t="s">
        <v>6775</v>
      </c>
      <c r="D2199" s="56" t="s">
        <v>6770</v>
      </c>
      <c r="G2199" s="10" t="s">
        <v>3005</v>
      </c>
      <c r="H2199" s="10" t="s">
        <v>1011</v>
      </c>
      <c r="I2199" s="10" t="s">
        <v>55</v>
      </c>
      <c r="K2199" s="10" t="s">
        <v>6774</v>
      </c>
      <c r="L2199" s="10" t="s">
        <v>42</v>
      </c>
    </row>
    <row r="2200" ht="15.75" customHeight="1">
      <c r="A2200" s="64">
        <v>45484.0</v>
      </c>
      <c r="B2200" s="55" t="str">
        <f>HYPERLINK("https://jobright.ai/jobs/info/669281cea344b2f575c65fae?utm_campaign=1062&amp;utm_source=sheet", "Apply")</f>
        <v>Apply</v>
      </c>
      <c r="C2200" s="10" t="s">
        <v>6776</v>
      </c>
      <c r="D2200" s="56" t="s">
        <v>6770</v>
      </c>
      <c r="G2200" s="10" t="s">
        <v>2484</v>
      </c>
      <c r="H2200" s="10" t="s">
        <v>6771</v>
      </c>
      <c r="I2200" s="10" t="s">
        <v>55</v>
      </c>
      <c r="K2200" s="10" t="s">
        <v>6774</v>
      </c>
      <c r="L2200" s="10" t="s">
        <v>42</v>
      </c>
    </row>
    <row r="2201" ht="15.75" customHeight="1">
      <c r="A2201" s="64">
        <v>45484.0</v>
      </c>
      <c r="B2201" s="55" t="str">
        <f>HYPERLINK("https://jobright.ai/jobs/info/669281cea344b2f575c65fb1?utm_campaign=1062&amp;utm_source=sheet", "Apply")</f>
        <v>Apply</v>
      </c>
      <c r="C2201" s="10" t="s">
        <v>6777</v>
      </c>
      <c r="D2201" s="56" t="s">
        <v>6770</v>
      </c>
      <c r="G2201" s="10" t="s">
        <v>2437</v>
      </c>
      <c r="H2201" s="10" t="s">
        <v>1011</v>
      </c>
      <c r="I2201" s="10" t="s">
        <v>55</v>
      </c>
      <c r="K2201" s="10" t="s">
        <v>6772</v>
      </c>
      <c r="L2201" s="10" t="s">
        <v>42</v>
      </c>
    </row>
    <row r="2202" ht="15.75" customHeight="1">
      <c r="A2202" s="64">
        <v>45484.0</v>
      </c>
      <c r="B2202" s="55" t="str">
        <f>HYPERLINK("https://jobright.ai/jobs/info/66736daf21f478e9a4d0f596?utm_campaign=1062&amp;utm_source=sheet", "Apply")</f>
        <v>Apply</v>
      </c>
      <c r="C2202" s="10" t="s">
        <v>6778</v>
      </c>
      <c r="D2202" s="56" t="s">
        <v>6779</v>
      </c>
      <c r="E2202" s="10" t="s">
        <v>65</v>
      </c>
      <c r="F2202" s="10" t="s">
        <v>2718</v>
      </c>
      <c r="G2202" s="10" t="s">
        <v>2464</v>
      </c>
      <c r="H2202" s="10" t="s">
        <v>610</v>
      </c>
      <c r="I2202" s="10" t="s">
        <v>55</v>
      </c>
      <c r="K2202" s="10" t="s">
        <v>6780</v>
      </c>
      <c r="L2202" s="10" t="s">
        <v>42</v>
      </c>
    </row>
    <row r="2203" ht="15.75" customHeight="1">
      <c r="A2203" s="64">
        <v>45484.0</v>
      </c>
      <c r="B2203" s="55" t="str">
        <f>HYPERLINK("https://jobright.ai/jobs/info/6691209761b6573a52caa76d?utm_campaign=1062&amp;utm_source=sheet", "Apply")</f>
        <v>Apply</v>
      </c>
      <c r="C2203" s="10" t="s">
        <v>6781</v>
      </c>
      <c r="D2203" s="56" t="s">
        <v>6782</v>
      </c>
      <c r="E2203" s="10" t="s">
        <v>45</v>
      </c>
      <c r="F2203" s="10" t="s">
        <v>1234</v>
      </c>
      <c r="G2203" s="10" t="s">
        <v>2579</v>
      </c>
      <c r="H2203" s="10" t="s">
        <v>6783</v>
      </c>
      <c r="I2203" s="10" t="s">
        <v>55</v>
      </c>
      <c r="J2203" s="10" t="s">
        <v>1220</v>
      </c>
      <c r="K2203" s="10" t="s">
        <v>6784</v>
      </c>
      <c r="L2203" s="10" t="s">
        <v>42</v>
      </c>
    </row>
    <row r="2204" ht="15.75" customHeight="1">
      <c r="A2204" s="64">
        <v>45484.0</v>
      </c>
      <c r="B2204" s="55" t="str">
        <f>HYPERLINK("https://jobright.ai/jobs/info/6690a2e295550c95a978d2cf?utm_campaign=1062&amp;utm_source=sheet", "Apply")</f>
        <v>Apply</v>
      </c>
      <c r="C2204" s="10" t="s">
        <v>6785</v>
      </c>
      <c r="D2204" s="56" t="s">
        <v>1600</v>
      </c>
      <c r="E2204" s="10" t="s">
        <v>45</v>
      </c>
      <c r="F2204" s="10" t="s">
        <v>1601</v>
      </c>
      <c r="G2204" s="10" t="s">
        <v>2437</v>
      </c>
      <c r="H2204" s="10" t="s">
        <v>251</v>
      </c>
      <c r="I2204" s="10" t="s">
        <v>252</v>
      </c>
      <c r="K2204" s="10" t="s">
        <v>6786</v>
      </c>
      <c r="L2204" s="10" t="s">
        <v>42</v>
      </c>
    </row>
    <row r="2205" ht="15.75" customHeight="1">
      <c r="A2205" s="64">
        <v>45484.0</v>
      </c>
      <c r="B2205" s="55" t="str">
        <f>HYPERLINK("https://jobright.ai/jobs/info/669120ae00118ffa03749b24?utm_campaign=1062&amp;utm_source=sheet", "Apply")</f>
        <v>Apply</v>
      </c>
      <c r="C2205" s="10" t="s">
        <v>6787</v>
      </c>
      <c r="D2205" s="56" t="s">
        <v>1780</v>
      </c>
      <c r="E2205" s="10" t="s">
        <v>45</v>
      </c>
      <c r="F2205" s="10" t="s">
        <v>1781</v>
      </c>
      <c r="G2205" s="10" t="s">
        <v>2470</v>
      </c>
      <c r="H2205" s="10" t="s">
        <v>153</v>
      </c>
      <c r="I2205" s="10" t="s">
        <v>55</v>
      </c>
      <c r="K2205" s="10" t="s">
        <v>6788</v>
      </c>
      <c r="L2205" s="10" t="s">
        <v>42</v>
      </c>
    </row>
    <row r="2206" ht="15.75" customHeight="1">
      <c r="A2206" s="64">
        <v>45484.0</v>
      </c>
      <c r="B2206" s="55" t="str">
        <f>HYPERLINK("https://jobright.ai/jobs/info/6690ababd0a327234d9ab6e5?utm_campaign=1062&amp;utm_source=sheet", "Apply")</f>
        <v>Apply</v>
      </c>
      <c r="C2206" s="10" t="s">
        <v>6789</v>
      </c>
      <c r="D2206" s="56" t="s">
        <v>1600</v>
      </c>
      <c r="E2206" s="10" t="s">
        <v>45</v>
      </c>
      <c r="F2206" s="10" t="s">
        <v>1601</v>
      </c>
      <c r="G2206" s="10" t="s">
        <v>2437</v>
      </c>
      <c r="H2206" s="10" t="s">
        <v>251</v>
      </c>
      <c r="I2206" s="10" t="s">
        <v>252</v>
      </c>
      <c r="K2206" s="10" t="s">
        <v>6786</v>
      </c>
      <c r="L2206" s="10" t="s">
        <v>42</v>
      </c>
    </row>
    <row r="2207" ht="15.75" customHeight="1">
      <c r="A2207" s="64">
        <v>45484.0</v>
      </c>
      <c r="B2207" s="55" t="str">
        <f>HYPERLINK("https://jobright.ai/jobs/info/6677ac89dc7be138508a19b3?utm_campaign=1062&amp;utm_source=sheet", "Apply")</f>
        <v>Apply</v>
      </c>
      <c r="C2207" s="10" t="s">
        <v>2725</v>
      </c>
      <c r="D2207" s="56" t="s">
        <v>2726</v>
      </c>
      <c r="E2207" s="10" t="s">
        <v>65</v>
      </c>
      <c r="F2207" s="10" t="s">
        <v>85</v>
      </c>
      <c r="G2207" s="10" t="s">
        <v>2464</v>
      </c>
      <c r="H2207" s="10" t="s">
        <v>167</v>
      </c>
      <c r="I2207" s="10" t="s">
        <v>48</v>
      </c>
      <c r="K2207" s="10" t="s">
        <v>3760</v>
      </c>
      <c r="L2207" s="10" t="s">
        <v>42</v>
      </c>
    </row>
    <row r="2208" ht="15.75" customHeight="1">
      <c r="A2208" s="64">
        <v>45484.0</v>
      </c>
      <c r="B2208" s="55" t="str">
        <f>HYPERLINK("https://jobright.ai/jobs/info/669112d050888b752cb3de0d?utm_campaign=1062&amp;utm_source=sheet", "Apply")</f>
        <v>Apply</v>
      </c>
      <c r="C2208" s="10" t="s">
        <v>6790</v>
      </c>
      <c r="D2208" s="56" t="s">
        <v>2298</v>
      </c>
      <c r="E2208" s="10" t="s">
        <v>65</v>
      </c>
      <c r="F2208" s="10" t="s">
        <v>1274</v>
      </c>
      <c r="G2208" s="10" t="s">
        <v>2484</v>
      </c>
      <c r="H2208" s="10" t="s">
        <v>6791</v>
      </c>
      <c r="I2208" s="10" t="s">
        <v>55</v>
      </c>
      <c r="K2208" s="10" t="s">
        <v>6792</v>
      </c>
      <c r="L2208" s="10" t="s">
        <v>42</v>
      </c>
    </row>
    <row r="2209" ht="15.75" customHeight="1">
      <c r="A2209" s="64">
        <v>45484.0</v>
      </c>
      <c r="B2209" s="55" t="str">
        <f>HYPERLINK("https://jobright.ai/jobs/info/6672e6aed742a3597e9aad0f?utm_campaign=1062&amp;utm_source=sheet", "Apply")</f>
        <v>Apply</v>
      </c>
      <c r="C2209" s="10" t="s">
        <v>6793</v>
      </c>
      <c r="D2209" s="56" t="s">
        <v>6794</v>
      </c>
      <c r="E2209" s="10" t="s">
        <v>45</v>
      </c>
      <c r="F2209" s="10" t="s">
        <v>6795</v>
      </c>
      <c r="G2209" s="10" t="s">
        <v>2470</v>
      </c>
      <c r="H2209" s="10" t="s">
        <v>159</v>
      </c>
      <c r="I2209" s="10" t="s">
        <v>55</v>
      </c>
      <c r="J2209" s="10" t="s">
        <v>6796</v>
      </c>
      <c r="K2209" s="10" t="s">
        <v>6797</v>
      </c>
      <c r="L2209" s="10" t="s">
        <v>42</v>
      </c>
    </row>
    <row r="2210" ht="15.75" customHeight="1">
      <c r="A2210" s="64">
        <v>45484.0</v>
      </c>
      <c r="B2210" s="55" t="str">
        <f>HYPERLINK("https://jobright.ai/jobs/info/6691104f1275f0d7353dd227?utm_campaign=1062&amp;utm_source=sheet", "Apply")</f>
        <v>Apply</v>
      </c>
      <c r="C2210" s="10" t="s">
        <v>6798</v>
      </c>
      <c r="D2210" s="56" t="s">
        <v>6329</v>
      </c>
      <c r="E2210" s="10" t="s">
        <v>249</v>
      </c>
      <c r="F2210" s="10" t="s">
        <v>1274</v>
      </c>
      <c r="G2210" s="10" t="s">
        <v>2470</v>
      </c>
      <c r="H2210" s="10" t="s">
        <v>882</v>
      </c>
      <c r="I2210" s="10" t="s">
        <v>55</v>
      </c>
      <c r="K2210" s="10" t="s">
        <v>6799</v>
      </c>
      <c r="L2210" s="10" t="s">
        <v>42</v>
      </c>
    </row>
    <row r="2211" ht="15.75" customHeight="1">
      <c r="A2211" s="64">
        <v>45484.0</v>
      </c>
      <c r="B2211" s="55" t="str">
        <f>HYPERLINK("https://jobright.ai/jobs/info/669110351275f0d7353dcfb6?utm_campaign=1062&amp;utm_source=sheet", "Apply")</f>
        <v>Apply</v>
      </c>
      <c r="C2211" s="10" t="s">
        <v>6800</v>
      </c>
      <c r="D2211" s="56" t="s">
        <v>6801</v>
      </c>
      <c r="E2211" s="10" t="s">
        <v>276</v>
      </c>
      <c r="F2211" s="10" t="s">
        <v>1376</v>
      </c>
      <c r="G2211" s="10" t="s">
        <v>3774</v>
      </c>
      <c r="H2211" s="10" t="s">
        <v>525</v>
      </c>
      <c r="I2211" s="10" t="s">
        <v>55</v>
      </c>
      <c r="K2211" s="10" t="s">
        <v>6802</v>
      </c>
      <c r="L2211" s="10" t="s">
        <v>42</v>
      </c>
    </row>
    <row r="2212" ht="15.75" customHeight="1">
      <c r="A2212" s="64">
        <v>45484.0</v>
      </c>
      <c r="B2212" s="55" t="str">
        <f>HYPERLINK("https://jobright.ai/jobs/info/6676caf90367cb83573ccfff?utm_campaign=1062&amp;utm_source=sheet", "Apply")</f>
        <v>Apply</v>
      </c>
      <c r="C2212" s="10" t="s">
        <v>6803</v>
      </c>
      <c r="D2212" s="56" t="s">
        <v>5283</v>
      </c>
      <c r="E2212" s="10" t="s">
        <v>209</v>
      </c>
      <c r="F2212" s="10" t="s">
        <v>620</v>
      </c>
      <c r="G2212" s="10" t="s">
        <v>2437</v>
      </c>
      <c r="H2212" s="10" t="s">
        <v>6804</v>
      </c>
      <c r="I2212" s="10" t="s">
        <v>48</v>
      </c>
      <c r="K2212" s="10" t="s">
        <v>6805</v>
      </c>
      <c r="L2212" s="10" t="s">
        <v>42</v>
      </c>
    </row>
    <row r="2213" ht="15.75" customHeight="1">
      <c r="A2213" s="64">
        <v>45484.0</v>
      </c>
      <c r="B2213" s="55" t="str">
        <f>HYPERLINK("https://jobright.ai/jobs/info/667427fd2e2115fb0d03a114?utm_campaign=1062&amp;utm_source=sheet", "Apply")</f>
        <v>Apply</v>
      </c>
      <c r="C2213" s="10" t="s">
        <v>6806</v>
      </c>
      <c r="D2213" s="56" t="s">
        <v>5225</v>
      </c>
      <c r="E2213" s="10" t="s">
        <v>45</v>
      </c>
      <c r="F2213" s="10" t="s">
        <v>1833</v>
      </c>
      <c r="G2213" s="10" t="s">
        <v>2443</v>
      </c>
      <c r="H2213" s="10" t="s">
        <v>165</v>
      </c>
      <c r="I2213" s="10" t="s">
        <v>55</v>
      </c>
      <c r="K2213" s="10" t="s">
        <v>6807</v>
      </c>
      <c r="L2213" s="10" t="s">
        <v>42</v>
      </c>
    </row>
    <row r="2214" ht="15.75" customHeight="1">
      <c r="A2214" s="64">
        <v>45484.0</v>
      </c>
      <c r="B2214" s="55" t="str">
        <f>HYPERLINK("https://jobright.ai/jobs/info/66a20c1c90f3099bed7084a2?utm_campaign=1062&amp;utm_source=sheet", "Apply")</f>
        <v>Apply</v>
      </c>
      <c r="C2214" s="10" t="s">
        <v>6808</v>
      </c>
      <c r="D2214" s="56" t="s">
        <v>6809</v>
      </c>
      <c r="E2214" s="10" t="s">
        <v>79</v>
      </c>
      <c r="F2214" s="10" t="s">
        <v>4323</v>
      </c>
      <c r="G2214" s="10" t="s">
        <v>2448</v>
      </c>
      <c r="H2214" s="10" t="s">
        <v>6810</v>
      </c>
      <c r="I2214" s="10" t="s">
        <v>55</v>
      </c>
      <c r="J2214" s="10" t="s">
        <v>6811</v>
      </c>
      <c r="K2214" s="10" t="s">
        <v>6812</v>
      </c>
      <c r="L2214" s="10" t="s">
        <v>42</v>
      </c>
    </row>
    <row r="2215" ht="15.75" customHeight="1">
      <c r="A2215" s="64">
        <v>45484.0</v>
      </c>
      <c r="B2215" s="55" t="str">
        <f>HYPERLINK("https://jobright.ai/jobs/info/66756b87e2a826d24a0e0187?utm_campaign=1062&amp;utm_source=sheet", "Apply")</f>
        <v>Apply</v>
      </c>
      <c r="C2215" s="10" t="s">
        <v>6813</v>
      </c>
      <c r="D2215" s="56" t="s">
        <v>311</v>
      </c>
      <c r="E2215" s="10" t="s">
        <v>45</v>
      </c>
      <c r="F2215" s="10" t="s">
        <v>312</v>
      </c>
      <c r="G2215" s="10" t="s">
        <v>2502</v>
      </c>
      <c r="H2215" s="10" t="s">
        <v>313</v>
      </c>
      <c r="I2215" s="10" t="s">
        <v>55</v>
      </c>
      <c r="J2215" s="10" t="s">
        <v>3284</v>
      </c>
      <c r="K2215" s="10" t="s">
        <v>6814</v>
      </c>
      <c r="L2215" s="10" t="s">
        <v>42</v>
      </c>
    </row>
    <row r="2216" ht="15.75" customHeight="1">
      <c r="A2216" s="64">
        <v>45484.0</v>
      </c>
      <c r="B2216" s="55" t="str">
        <f>HYPERLINK("https://jobright.ai/jobs/info/66908885a7b100c19e1b1009?utm_campaign=1062&amp;utm_source=sheet", "Apply")</f>
        <v>Apply</v>
      </c>
      <c r="C2216" s="10" t="s">
        <v>6815</v>
      </c>
      <c r="D2216" s="56" t="s">
        <v>716</v>
      </c>
      <c r="E2216" s="10" t="s">
        <v>79</v>
      </c>
      <c r="F2216" s="10" t="s">
        <v>717</v>
      </c>
      <c r="G2216" s="10" t="s">
        <v>2807</v>
      </c>
      <c r="H2216" s="10" t="s">
        <v>144</v>
      </c>
      <c r="I2216" s="10" t="s">
        <v>55</v>
      </c>
      <c r="J2216" s="10" t="s">
        <v>718</v>
      </c>
      <c r="K2216" s="10" t="s">
        <v>6816</v>
      </c>
      <c r="L2216" s="10" t="s">
        <v>42</v>
      </c>
    </row>
    <row r="2217" ht="15.75" customHeight="1">
      <c r="A2217" s="64">
        <v>45484.0</v>
      </c>
      <c r="B2217" s="55" t="str">
        <f>HYPERLINK("https://jobright.ai/jobs/info/6690d011b9480c9896c8f65b?utm_campaign=1062&amp;utm_source=sheet", "Apply")</f>
        <v>Apply</v>
      </c>
      <c r="C2217" s="10" t="s">
        <v>6817</v>
      </c>
      <c r="D2217" s="56" t="s">
        <v>6770</v>
      </c>
      <c r="G2217" s="10" t="s">
        <v>2484</v>
      </c>
      <c r="H2217" s="10" t="s">
        <v>977</v>
      </c>
      <c r="I2217" s="10" t="s">
        <v>55</v>
      </c>
      <c r="K2217" s="10" t="s">
        <v>6774</v>
      </c>
      <c r="L2217" s="10" t="s">
        <v>42</v>
      </c>
    </row>
    <row r="2218" ht="15.75" customHeight="1">
      <c r="A2218" s="64">
        <v>45484.0</v>
      </c>
      <c r="B2218" s="55" t="str">
        <f>HYPERLINK("https://jobright.ai/jobs/info/6690d011b9480c9896c8f63f?utm_campaign=1062&amp;utm_source=sheet", "Apply")</f>
        <v>Apply</v>
      </c>
      <c r="C2218" s="10" t="s">
        <v>6818</v>
      </c>
      <c r="D2218" s="56" t="s">
        <v>6770</v>
      </c>
      <c r="G2218" s="10" t="s">
        <v>2470</v>
      </c>
      <c r="H2218" s="10" t="s">
        <v>977</v>
      </c>
      <c r="I2218" s="10" t="s">
        <v>55</v>
      </c>
      <c r="K2218" s="10" t="s">
        <v>6819</v>
      </c>
      <c r="L2218" s="10" t="s">
        <v>42</v>
      </c>
    </row>
    <row r="2219" ht="15.75" customHeight="1">
      <c r="A2219" s="64">
        <v>45484.0</v>
      </c>
      <c r="B2219" s="55" t="str">
        <f>HYPERLINK("https://jobright.ai/jobs/info/6690d011b9480c9896c8f62e?utm_campaign=1062&amp;utm_source=sheet", "Apply")</f>
        <v>Apply</v>
      </c>
      <c r="C2219" s="10" t="s">
        <v>6820</v>
      </c>
      <c r="D2219" s="56" t="s">
        <v>6770</v>
      </c>
      <c r="G2219" s="10" t="s">
        <v>2437</v>
      </c>
      <c r="H2219" s="10" t="s">
        <v>6821</v>
      </c>
      <c r="I2219" s="10" t="s">
        <v>55</v>
      </c>
      <c r="K2219" s="10" t="s">
        <v>6822</v>
      </c>
      <c r="L2219" s="10" t="s">
        <v>42</v>
      </c>
    </row>
    <row r="2220" ht="15.75" customHeight="1">
      <c r="A2220" s="64">
        <v>45484.0</v>
      </c>
      <c r="B2220" s="55" t="str">
        <f>HYPERLINK("https://jobright.ai/jobs/info/6690d011b9480c9896c8f646?utm_campaign=1062&amp;utm_source=sheet", "Apply")</f>
        <v>Apply</v>
      </c>
      <c r="C2220" s="10" t="s">
        <v>6823</v>
      </c>
      <c r="D2220" s="56" t="s">
        <v>6770</v>
      </c>
      <c r="G2220" s="10" t="s">
        <v>2484</v>
      </c>
      <c r="H2220" s="10" t="s">
        <v>6824</v>
      </c>
      <c r="I2220" s="10" t="s">
        <v>55</v>
      </c>
      <c r="K2220" s="10" t="s">
        <v>6774</v>
      </c>
      <c r="L2220" s="10" t="s">
        <v>42</v>
      </c>
    </row>
    <row r="2221" ht="15.75" customHeight="1">
      <c r="A2221" s="64">
        <v>45484.0</v>
      </c>
      <c r="B2221" s="55" t="str">
        <f>HYPERLINK("https://jobright.ai/jobs/info/6690d011b9480c9896c8f63a?utm_campaign=1062&amp;utm_source=sheet", "Apply")</f>
        <v>Apply</v>
      </c>
      <c r="C2221" s="10" t="s">
        <v>6825</v>
      </c>
      <c r="D2221" s="56" t="s">
        <v>6770</v>
      </c>
      <c r="G2221" s="10" t="s">
        <v>2437</v>
      </c>
      <c r="H2221" s="10" t="s">
        <v>977</v>
      </c>
      <c r="I2221" s="10" t="s">
        <v>55</v>
      </c>
      <c r="K2221" s="10" t="s">
        <v>6772</v>
      </c>
      <c r="L2221" s="10" t="s">
        <v>42</v>
      </c>
    </row>
    <row r="2222" ht="15.75" customHeight="1">
      <c r="A2222" s="64">
        <v>45484.0</v>
      </c>
      <c r="B2222" s="55" t="str">
        <f>HYPERLINK("https://jobright.ai/jobs/info/6690d01bb9480c9896c8f667?utm_campaign=1062&amp;utm_source=sheet", "Apply")</f>
        <v>Apply</v>
      </c>
      <c r="C2222" s="10" t="s">
        <v>6826</v>
      </c>
      <c r="D2222" s="56" t="s">
        <v>6770</v>
      </c>
      <c r="G2222" s="10" t="s">
        <v>2437</v>
      </c>
      <c r="H2222" s="10" t="s">
        <v>6824</v>
      </c>
      <c r="I2222" s="10" t="s">
        <v>55</v>
      </c>
      <c r="K2222" s="10" t="s">
        <v>6822</v>
      </c>
      <c r="L2222" s="10" t="s">
        <v>42</v>
      </c>
    </row>
    <row r="2223" ht="15.75" customHeight="1">
      <c r="A2223" s="64">
        <v>45484.0</v>
      </c>
      <c r="B2223" s="55" t="str">
        <f>HYPERLINK("https://jobright.ai/jobs/info/668f6213280b50188e6c4783?utm_campaign=1062&amp;utm_source=sheet", "Apply")</f>
        <v>Apply</v>
      </c>
      <c r="C2223" s="10" t="s">
        <v>3507</v>
      </c>
      <c r="D2223" s="56" t="s">
        <v>3508</v>
      </c>
      <c r="E2223" s="10" t="s">
        <v>209</v>
      </c>
      <c r="F2223" s="10" t="s">
        <v>2365</v>
      </c>
      <c r="G2223" s="10" t="s">
        <v>2437</v>
      </c>
      <c r="H2223" s="10" t="s">
        <v>131</v>
      </c>
      <c r="I2223" s="10" t="s">
        <v>48</v>
      </c>
      <c r="K2223" s="10" t="s">
        <v>3509</v>
      </c>
      <c r="L2223" s="10" t="s">
        <v>42</v>
      </c>
    </row>
    <row r="2224" ht="15.75" customHeight="1">
      <c r="A2224" s="64">
        <v>45484.0</v>
      </c>
      <c r="B2224" s="55" t="str">
        <f>HYPERLINK("https://jobright.ai/jobs/info/66a1badd91191f45df57dd12?utm_campaign=1062&amp;utm_source=sheet", "Apply")</f>
        <v>Apply</v>
      </c>
      <c r="C2224" s="10" t="s">
        <v>6827</v>
      </c>
      <c r="D2224" s="56" t="s">
        <v>3766</v>
      </c>
      <c r="E2224" s="10" t="s">
        <v>276</v>
      </c>
      <c r="F2224" s="10" t="s">
        <v>2588</v>
      </c>
      <c r="G2224" s="10" t="s">
        <v>2464</v>
      </c>
      <c r="H2224" s="10" t="s">
        <v>607</v>
      </c>
      <c r="I2224" s="10" t="s">
        <v>55</v>
      </c>
      <c r="K2224" s="10" t="s">
        <v>3767</v>
      </c>
      <c r="L2224" s="10" t="s">
        <v>42</v>
      </c>
    </row>
    <row r="2225" ht="15.75" customHeight="1">
      <c r="A2225" s="64">
        <v>45484.0</v>
      </c>
      <c r="B2225" s="55" t="str">
        <f>HYPERLINK("https://jobright.ai/jobs/info/66902d6c237d9163f79ec5b8?utm_campaign=1062&amp;utm_source=sheet", "Apply")</f>
        <v>Apply</v>
      </c>
      <c r="C2225" s="10" t="s">
        <v>2007</v>
      </c>
      <c r="D2225" s="56" t="s">
        <v>2318</v>
      </c>
      <c r="E2225" s="10" t="s">
        <v>45</v>
      </c>
      <c r="F2225" s="10" t="s">
        <v>2319</v>
      </c>
      <c r="G2225" s="10" t="s">
        <v>2443</v>
      </c>
      <c r="H2225" s="10" t="s">
        <v>113</v>
      </c>
      <c r="I2225" s="10" t="s">
        <v>55</v>
      </c>
      <c r="K2225" s="10" t="s">
        <v>6828</v>
      </c>
      <c r="L2225" s="10" t="s">
        <v>42</v>
      </c>
    </row>
    <row r="2226" ht="15.75" customHeight="1">
      <c r="A2226" s="64">
        <v>45484.0</v>
      </c>
      <c r="B2226" s="55" t="str">
        <f>HYPERLINK("https://jobright.ai/jobs/info/6690809d13de5f653242a9bf?utm_campaign=1062&amp;utm_source=sheet", "Apply")</f>
        <v>Apply</v>
      </c>
      <c r="C2226" s="10" t="s">
        <v>6562</v>
      </c>
      <c r="D2226" s="56" t="s">
        <v>6563</v>
      </c>
      <c r="E2226" s="10" t="s">
        <v>65</v>
      </c>
      <c r="F2226" s="10" t="s">
        <v>318</v>
      </c>
      <c r="G2226" s="10" t="s">
        <v>2448</v>
      </c>
      <c r="H2226" s="10" t="s">
        <v>6829</v>
      </c>
      <c r="I2226" s="10" t="s">
        <v>55</v>
      </c>
      <c r="J2226" s="10" t="s">
        <v>6565</v>
      </c>
      <c r="K2226" s="10" t="s">
        <v>6566</v>
      </c>
      <c r="L2226" s="10" t="s">
        <v>42</v>
      </c>
    </row>
    <row r="2227" ht="15.75" customHeight="1">
      <c r="A2227" s="64">
        <v>45484.0</v>
      </c>
      <c r="B2227" s="55" t="str">
        <f>HYPERLINK("https://jobright.ai/jobs/info/6690809d13de5f653242a9d2?utm_campaign=1062&amp;utm_source=sheet", "Apply")</f>
        <v>Apply</v>
      </c>
      <c r="C2227" s="10" t="s">
        <v>6830</v>
      </c>
      <c r="D2227" s="56" t="s">
        <v>6563</v>
      </c>
      <c r="E2227" s="10" t="s">
        <v>65</v>
      </c>
      <c r="F2227" s="10" t="s">
        <v>318</v>
      </c>
      <c r="G2227" s="10" t="s">
        <v>2448</v>
      </c>
      <c r="H2227" s="10" t="s">
        <v>6831</v>
      </c>
      <c r="I2227" s="10" t="s">
        <v>55</v>
      </c>
      <c r="J2227" s="10" t="s">
        <v>6584</v>
      </c>
      <c r="K2227" s="10" t="s">
        <v>6832</v>
      </c>
      <c r="L2227" s="10" t="s">
        <v>42</v>
      </c>
    </row>
    <row r="2228" ht="15.75" customHeight="1">
      <c r="A2228" s="64">
        <v>45484.0</v>
      </c>
      <c r="B2228" s="55" t="str">
        <f>HYPERLINK("https://jobright.ai/jobs/info/66903d8c3440919128d67bb2?utm_campaign=1062&amp;utm_source=sheet", "Apply")</f>
        <v>Apply</v>
      </c>
      <c r="C2228" s="10" t="s">
        <v>6833</v>
      </c>
      <c r="D2228" s="56" t="s">
        <v>6834</v>
      </c>
      <c r="E2228" s="10" t="s">
        <v>45</v>
      </c>
      <c r="G2228" s="10" t="s">
        <v>2455</v>
      </c>
      <c r="H2228" s="10" t="s">
        <v>6835</v>
      </c>
      <c r="I2228" s="10" t="s">
        <v>55</v>
      </c>
      <c r="K2228" s="10" t="s">
        <v>6836</v>
      </c>
      <c r="L2228" s="10" t="s">
        <v>42</v>
      </c>
    </row>
    <row r="2229" ht="15.75" customHeight="1">
      <c r="A2229" s="64">
        <v>45483.0</v>
      </c>
      <c r="B2229" s="55" t="str">
        <f>HYPERLINK("https://jobright.ai/jobs/info/668f37d668ac1b2390bf16b3?utm_campaign=1062&amp;utm_source=sheet", "Apply")</f>
        <v>Apply</v>
      </c>
      <c r="C2229" s="10" t="s">
        <v>3236</v>
      </c>
      <c r="D2229" s="56" t="s">
        <v>6837</v>
      </c>
      <c r="E2229" s="10" t="s">
        <v>65</v>
      </c>
      <c r="F2229" s="10" t="s">
        <v>6838</v>
      </c>
      <c r="G2229" s="10" t="s">
        <v>2448</v>
      </c>
      <c r="H2229" s="10" t="s">
        <v>886</v>
      </c>
      <c r="I2229" s="10" t="s">
        <v>55</v>
      </c>
      <c r="J2229" s="10" t="s">
        <v>1628</v>
      </c>
      <c r="K2229" s="10" t="s">
        <v>6839</v>
      </c>
      <c r="L2229" s="10" t="s">
        <v>42</v>
      </c>
    </row>
    <row r="2230" ht="15.75" customHeight="1">
      <c r="A2230" s="64">
        <v>45483.0</v>
      </c>
      <c r="B2230" s="55" t="str">
        <f>HYPERLINK("https://jobright.ai/jobs/info/668fcf89228dfafddaffebc8?utm_campaign=1062&amp;utm_source=sheet", "Apply")</f>
        <v>Apply</v>
      </c>
      <c r="C2230" s="10" t="s">
        <v>6840</v>
      </c>
      <c r="D2230" s="56" t="s">
        <v>5125</v>
      </c>
      <c r="E2230" s="10" t="s">
        <v>209</v>
      </c>
      <c r="F2230" s="10" t="s">
        <v>1454</v>
      </c>
      <c r="G2230" s="10" t="s">
        <v>2484</v>
      </c>
      <c r="H2230" s="10" t="s">
        <v>108</v>
      </c>
      <c r="I2230" s="10" t="s">
        <v>48</v>
      </c>
      <c r="K2230" s="10" t="s">
        <v>6841</v>
      </c>
      <c r="L2230" s="10" t="s">
        <v>42</v>
      </c>
    </row>
    <row r="2231" ht="15.75" customHeight="1">
      <c r="A2231" s="64">
        <v>45483.0</v>
      </c>
      <c r="B2231" s="55" t="str">
        <f>HYPERLINK("https://jobright.ai/jobs/info/668d1c7cc3edd97e56c820b2?utm_campaign=1062&amp;utm_source=sheet", "Apply")</f>
        <v>Apply</v>
      </c>
      <c r="C2231" s="10" t="s">
        <v>6842</v>
      </c>
      <c r="D2231" s="56" t="s">
        <v>5077</v>
      </c>
      <c r="E2231" s="10" t="s">
        <v>45</v>
      </c>
      <c r="F2231" s="10" t="s">
        <v>2409</v>
      </c>
      <c r="G2231" s="10" t="s">
        <v>2448</v>
      </c>
      <c r="H2231" s="10" t="s">
        <v>251</v>
      </c>
      <c r="I2231" s="10" t="s">
        <v>252</v>
      </c>
      <c r="J2231" s="10" t="s">
        <v>5078</v>
      </c>
      <c r="K2231" s="10" t="s">
        <v>6843</v>
      </c>
      <c r="L2231" s="10" t="s">
        <v>42</v>
      </c>
    </row>
    <row r="2232" ht="15.75" customHeight="1">
      <c r="A2232" s="64">
        <v>45483.0</v>
      </c>
      <c r="B2232" s="55" t="str">
        <f>HYPERLINK("https://jobright.ai/jobs/info/668f447a2370edaa4c5673e7?utm_campaign=1062&amp;utm_source=sheet", "Apply")</f>
        <v>Apply</v>
      </c>
      <c r="C2232" s="10" t="s">
        <v>402</v>
      </c>
      <c r="D2232" s="56" t="s">
        <v>6844</v>
      </c>
      <c r="E2232" s="10" t="s">
        <v>79</v>
      </c>
      <c r="F2232" s="10" t="s">
        <v>4022</v>
      </c>
      <c r="G2232" s="10" t="s">
        <v>2437</v>
      </c>
      <c r="H2232" s="10" t="s">
        <v>4214</v>
      </c>
      <c r="I2232" s="10" t="s">
        <v>55</v>
      </c>
      <c r="J2232" s="10" t="s">
        <v>4189</v>
      </c>
      <c r="K2232" s="10" t="s">
        <v>6845</v>
      </c>
      <c r="L2232" s="10" t="s">
        <v>42</v>
      </c>
    </row>
    <row r="2233" ht="15.75" customHeight="1">
      <c r="A2233" s="64">
        <v>45483.0</v>
      </c>
      <c r="B2233" s="55" t="str">
        <f>HYPERLINK("https://jobright.ai/jobs/info/65b42d2d6465e44b2628b7af?utm_campaign=1062&amp;utm_source=sheet", "Apply")</f>
        <v>Apply</v>
      </c>
      <c r="C2233" s="10" t="s">
        <v>6846</v>
      </c>
      <c r="D2233" s="56" t="s">
        <v>6575</v>
      </c>
      <c r="E2233" s="10" t="s">
        <v>209</v>
      </c>
      <c r="F2233" s="10" t="s">
        <v>6576</v>
      </c>
      <c r="G2233" s="10" t="s">
        <v>2470</v>
      </c>
      <c r="H2233" s="10" t="s">
        <v>977</v>
      </c>
      <c r="I2233" s="10" t="s">
        <v>55</v>
      </c>
      <c r="K2233" s="10" t="s">
        <v>6847</v>
      </c>
      <c r="L2233" s="10" t="s">
        <v>42</v>
      </c>
    </row>
    <row r="2234" ht="15.75" customHeight="1">
      <c r="A2234" s="64">
        <v>45483.0</v>
      </c>
      <c r="B2234" s="55" t="str">
        <f>HYPERLINK("https://jobright.ai/jobs/info/668c18749ed01f6719df2fc6?utm_campaign=1062&amp;utm_source=sheet", "Apply")</f>
        <v>Apply</v>
      </c>
      <c r="C2234" s="10" t="s">
        <v>6848</v>
      </c>
      <c r="D2234" s="56" t="s">
        <v>1699</v>
      </c>
      <c r="E2234" s="10" t="s">
        <v>45</v>
      </c>
      <c r="F2234" s="10" t="s">
        <v>1700</v>
      </c>
      <c r="G2234" s="10" t="s">
        <v>2448</v>
      </c>
      <c r="H2234" s="10" t="s">
        <v>6849</v>
      </c>
      <c r="I2234" s="10" t="s">
        <v>48</v>
      </c>
      <c r="K2234" s="10" t="s">
        <v>6850</v>
      </c>
      <c r="L2234" s="10" t="s">
        <v>42</v>
      </c>
    </row>
    <row r="2235" ht="15.75" customHeight="1">
      <c r="A2235" s="64">
        <v>45483.0</v>
      </c>
      <c r="B2235" s="55" t="str">
        <f>HYPERLINK("https://jobright.ai/jobs/info/667d5c00149d2a89eaaa46ed?utm_campaign=1062&amp;utm_source=sheet", "Apply")</f>
        <v>Apply</v>
      </c>
      <c r="C2235" s="10" t="s">
        <v>2620</v>
      </c>
      <c r="D2235" s="56" t="s">
        <v>5175</v>
      </c>
      <c r="E2235" s="10" t="s">
        <v>45</v>
      </c>
      <c r="F2235" s="10" t="s">
        <v>5176</v>
      </c>
      <c r="G2235" s="10" t="s">
        <v>2484</v>
      </c>
      <c r="H2235" s="10" t="s">
        <v>1978</v>
      </c>
      <c r="I2235" s="10" t="s">
        <v>55</v>
      </c>
      <c r="K2235" s="10" t="s">
        <v>6851</v>
      </c>
      <c r="L2235" s="10" t="s">
        <v>42</v>
      </c>
    </row>
    <row r="2236" ht="15.75" customHeight="1">
      <c r="A2236" s="64">
        <v>45483.0</v>
      </c>
      <c r="B2236" s="55" t="str">
        <f>HYPERLINK("https://jobright.ai/jobs/info/667d5778aa63cf1b275d2791?utm_campaign=1062&amp;utm_source=sheet", "Apply")</f>
        <v>Apply</v>
      </c>
      <c r="C2236" s="10" t="s">
        <v>6852</v>
      </c>
      <c r="D2236" s="56" t="s">
        <v>5175</v>
      </c>
      <c r="E2236" s="10" t="s">
        <v>45</v>
      </c>
      <c r="F2236" s="10" t="s">
        <v>5176</v>
      </c>
      <c r="G2236" s="10" t="s">
        <v>2484</v>
      </c>
      <c r="H2236" s="10" t="s">
        <v>1978</v>
      </c>
      <c r="I2236" s="10" t="s">
        <v>55</v>
      </c>
      <c r="L2236" s="10" t="s">
        <v>42</v>
      </c>
    </row>
    <row r="2237" ht="15.75" customHeight="1">
      <c r="A2237" s="64">
        <v>45483.0</v>
      </c>
      <c r="B2237" s="55" t="str">
        <f>HYPERLINK("https://jobright.ai/jobs/info/668fe6b6c68e592406e06bc7?utm_campaign=1062&amp;utm_source=sheet", "Apply")</f>
        <v>Apply</v>
      </c>
      <c r="C2237" s="10" t="s">
        <v>6853</v>
      </c>
      <c r="D2237" s="56" t="s">
        <v>6854</v>
      </c>
      <c r="E2237" s="10" t="s">
        <v>45</v>
      </c>
      <c r="F2237" s="10" t="s">
        <v>6855</v>
      </c>
      <c r="G2237" s="10" t="s">
        <v>2470</v>
      </c>
      <c r="H2237" s="10" t="s">
        <v>6856</v>
      </c>
      <c r="I2237" s="10" t="s">
        <v>55</v>
      </c>
      <c r="K2237" s="10" t="s">
        <v>6857</v>
      </c>
      <c r="L2237" s="10" t="s">
        <v>42</v>
      </c>
    </row>
    <row r="2238" ht="15.75" customHeight="1">
      <c r="A2238" s="64">
        <v>45483.0</v>
      </c>
      <c r="B2238" s="55" t="str">
        <f>HYPERLINK("https://jobright.ai/jobs/info/65b98970306e239553c2e850?utm_campaign=1062&amp;utm_source=sheet", "Apply")</f>
        <v>Apply</v>
      </c>
      <c r="C2238" s="10" t="s">
        <v>6858</v>
      </c>
      <c r="D2238" s="56" t="s">
        <v>6575</v>
      </c>
      <c r="E2238" s="10" t="s">
        <v>209</v>
      </c>
      <c r="F2238" s="10" t="s">
        <v>6576</v>
      </c>
      <c r="G2238" s="10" t="s">
        <v>2470</v>
      </c>
      <c r="H2238" s="10" t="s">
        <v>957</v>
      </c>
      <c r="I2238" s="10" t="s">
        <v>55</v>
      </c>
      <c r="J2238" s="10" t="s">
        <v>6859</v>
      </c>
      <c r="K2238" s="10" t="s">
        <v>6860</v>
      </c>
      <c r="L2238" s="10" t="s">
        <v>42</v>
      </c>
    </row>
    <row r="2239" ht="15.75" customHeight="1">
      <c r="A2239" s="64">
        <v>45483.0</v>
      </c>
      <c r="B2239" s="55" t="str">
        <f>HYPERLINK("https://jobright.ai/jobs/info/668f4a6e4561a80f2ff2777c?utm_campaign=1062&amp;utm_source=sheet", "Apply")</f>
        <v>Apply</v>
      </c>
      <c r="C2239" s="10" t="s">
        <v>6861</v>
      </c>
      <c r="D2239" s="56" t="s">
        <v>6862</v>
      </c>
      <c r="E2239" s="10" t="s">
        <v>45</v>
      </c>
      <c r="F2239" s="10" t="s">
        <v>2018</v>
      </c>
      <c r="G2239" s="10" t="s">
        <v>2495</v>
      </c>
      <c r="H2239" s="10" t="s">
        <v>313</v>
      </c>
      <c r="I2239" s="10" t="s">
        <v>55</v>
      </c>
      <c r="J2239" s="10" t="s">
        <v>6863</v>
      </c>
      <c r="K2239" s="10" t="s">
        <v>6864</v>
      </c>
      <c r="L2239" s="10" t="s">
        <v>42</v>
      </c>
    </row>
    <row r="2240" ht="15.75" customHeight="1">
      <c r="A2240" s="64">
        <v>45483.0</v>
      </c>
      <c r="B2240" s="55" t="str">
        <f>HYPERLINK("https://jobright.ai/jobs/info/668fdaf822cfeb6ebf4760ee?utm_campaign=1062&amp;utm_source=sheet", "Apply")</f>
        <v>Apply</v>
      </c>
      <c r="C2240" s="10" t="s">
        <v>6865</v>
      </c>
      <c r="D2240" s="56" t="s">
        <v>1650</v>
      </c>
      <c r="E2240" s="10" t="s">
        <v>209</v>
      </c>
      <c r="F2240" s="10" t="s">
        <v>1243</v>
      </c>
      <c r="G2240" s="10" t="s">
        <v>2448</v>
      </c>
      <c r="H2240" s="10" t="s">
        <v>578</v>
      </c>
      <c r="I2240" s="10" t="s">
        <v>55</v>
      </c>
      <c r="K2240" s="10" t="s">
        <v>6866</v>
      </c>
      <c r="L2240" s="10" t="s">
        <v>42</v>
      </c>
    </row>
    <row r="2241" ht="15.75" customHeight="1">
      <c r="A2241" s="64">
        <v>45483.0</v>
      </c>
      <c r="B2241" s="55" t="str">
        <f>HYPERLINK("https://jobright.ai/jobs/info/668fe9632fc5ba37662c5977?utm_campaign=1062&amp;utm_source=sheet", "Apply")</f>
        <v>Apply</v>
      </c>
      <c r="C2241" s="10" t="s">
        <v>6867</v>
      </c>
      <c r="D2241" s="56" t="s">
        <v>4708</v>
      </c>
      <c r="E2241" s="10" t="s">
        <v>71</v>
      </c>
      <c r="F2241" s="10" t="s">
        <v>4709</v>
      </c>
      <c r="G2241" s="10" t="s">
        <v>2502</v>
      </c>
      <c r="H2241" s="10" t="s">
        <v>3373</v>
      </c>
      <c r="I2241" s="10" t="s">
        <v>55</v>
      </c>
      <c r="J2241" s="10" t="s">
        <v>81</v>
      </c>
      <c r="K2241" s="10" t="s">
        <v>6868</v>
      </c>
      <c r="L2241" s="10" t="s">
        <v>42</v>
      </c>
    </row>
    <row r="2242" ht="15.75" customHeight="1">
      <c r="A2242" s="64">
        <v>45483.0</v>
      </c>
      <c r="B2242" s="55" t="str">
        <f>HYPERLINK("https://jobright.ai/jobs/info/668fe9632fc5ba37662c597b?utm_campaign=1062&amp;utm_source=sheet", "Apply")</f>
        <v>Apply</v>
      </c>
      <c r="C2242" s="10" t="s">
        <v>6867</v>
      </c>
      <c r="D2242" s="56" t="s">
        <v>4708</v>
      </c>
      <c r="E2242" s="10" t="s">
        <v>71</v>
      </c>
      <c r="F2242" s="10" t="s">
        <v>4709</v>
      </c>
      <c r="G2242" s="10" t="s">
        <v>2502</v>
      </c>
      <c r="H2242" s="10" t="s">
        <v>67</v>
      </c>
      <c r="I2242" s="10" t="s">
        <v>55</v>
      </c>
      <c r="J2242" s="10" t="s">
        <v>81</v>
      </c>
      <c r="K2242" s="10" t="s">
        <v>6868</v>
      </c>
      <c r="L2242" s="10" t="s">
        <v>42</v>
      </c>
    </row>
    <row r="2243" ht="15.75" customHeight="1">
      <c r="A2243" s="64">
        <v>45483.0</v>
      </c>
      <c r="B2243" s="55" t="str">
        <f>HYPERLINK("https://jobright.ai/jobs/info/668fe9632fc5ba37662c59a1?utm_campaign=1062&amp;utm_source=sheet", "Apply")</f>
        <v>Apply</v>
      </c>
      <c r="C2243" s="10" t="s">
        <v>6867</v>
      </c>
      <c r="D2243" s="56" t="s">
        <v>4708</v>
      </c>
      <c r="E2243" s="10" t="s">
        <v>71</v>
      </c>
      <c r="F2243" s="10" t="s">
        <v>4709</v>
      </c>
      <c r="G2243" s="10" t="s">
        <v>2502</v>
      </c>
      <c r="H2243" s="10" t="s">
        <v>313</v>
      </c>
      <c r="I2243" s="10" t="s">
        <v>55</v>
      </c>
      <c r="J2243" s="10" t="s">
        <v>81</v>
      </c>
      <c r="K2243" s="10" t="s">
        <v>6868</v>
      </c>
      <c r="L2243" s="10" t="s">
        <v>42</v>
      </c>
    </row>
    <row r="2244" ht="15.75" customHeight="1">
      <c r="A2244" s="64">
        <v>45483.0</v>
      </c>
      <c r="B2244" s="55" t="str">
        <f>HYPERLINK("https://jobright.ai/jobs/info/668fe9632fc5ba37662c59a2?utm_campaign=1062&amp;utm_source=sheet", "Apply")</f>
        <v>Apply</v>
      </c>
      <c r="C2244" s="10" t="s">
        <v>6867</v>
      </c>
      <c r="D2244" s="56" t="s">
        <v>4708</v>
      </c>
      <c r="E2244" s="10" t="s">
        <v>71</v>
      </c>
      <c r="F2244" s="10" t="s">
        <v>4709</v>
      </c>
      <c r="G2244" s="10" t="s">
        <v>2502</v>
      </c>
      <c r="H2244" s="10" t="s">
        <v>723</v>
      </c>
      <c r="I2244" s="10" t="s">
        <v>55</v>
      </c>
      <c r="J2244" s="10" t="s">
        <v>81</v>
      </c>
      <c r="K2244" s="10" t="s">
        <v>6868</v>
      </c>
      <c r="L2244" s="10" t="s">
        <v>42</v>
      </c>
    </row>
    <row r="2245" ht="15.75" customHeight="1">
      <c r="A2245" s="64">
        <v>45483.0</v>
      </c>
      <c r="B2245" s="55" t="str">
        <f>HYPERLINK("https://jobright.ai/jobs/info/668fe9632fc5ba37662c59b8?utm_campaign=1062&amp;utm_source=sheet", "Apply")</f>
        <v>Apply</v>
      </c>
      <c r="C2245" s="10" t="s">
        <v>6867</v>
      </c>
      <c r="D2245" s="56" t="s">
        <v>4708</v>
      </c>
      <c r="E2245" s="10" t="s">
        <v>71</v>
      </c>
      <c r="F2245" s="10" t="s">
        <v>4709</v>
      </c>
      <c r="G2245" s="10" t="s">
        <v>2502</v>
      </c>
      <c r="H2245" s="10" t="s">
        <v>2972</v>
      </c>
      <c r="I2245" s="10" t="s">
        <v>55</v>
      </c>
      <c r="J2245" s="10" t="s">
        <v>81</v>
      </c>
      <c r="K2245" s="10" t="s">
        <v>6868</v>
      </c>
      <c r="L2245" s="10" t="s">
        <v>42</v>
      </c>
    </row>
    <row r="2246" ht="15.75" customHeight="1">
      <c r="A2246" s="64">
        <v>45483.0</v>
      </c>
      <c r="B2246" s="55" t="str">
        <f>HYPERLINK("https://jobright.ai/jobs/info/668fe9632fc5ba37662c59c9?utm_campaign=1062&amp;utm_source=sheet", "Apply")</f>
        <v>Apply</v>
      </c>
      <c r="C2246" s="10" t="s">
        <v>6867</v>
      </c>
      <c r="D2246" s="56" t="s">
        <v>4708</v>
      </c>
      <c r="E2246" s="10" t="s">
        <v>71</v>
      </c>
      <c r="F2246" s="10" t="s">
        <v>4709</v>
      </c>
      <c r="G2246" s="10" t="s">
        <v>2502</v>
      </c>
      <c r="H2246" s="10" t="s">
        <v>1254</v>
      </c>
      <c r="I2246" s="10" t="s">
        <v>55</v>
      </c>
      <c r="J2246" s="10" t="s">
        <v>81</v>
      </c>
      <c r="K2246" s="10" t="s">
        <v>6868</v>
      </c>
      <c r="L2246" s="10" t="s">
        <v>42</v>
      </c>
    </row>
    <row r="2247" ht="15.75" customHeight="1">
      <c r="A2247" s="64">
        <v>45483.0</v>
      </c>
      <c r="B2247" s="55" t="str">
        <f>HYPERLINK("https://jobright.ai/jobs/info/6674ffac38794d4dc1cab99f?utm_campaign=1062&amp;utm_source=sheet", "Apply")</f>
        <v>Apply</v>
      </c>
      <c r="C2247" s="10" t="s">
        <v>6869</v>
      </c>
      <c r="D2247" s="56" t="s">
        <v>3589</v>
      </c>
      <c r="E2247" s="10" t="s">
        <v>45</v>
      </c>
      <c r="F2247" s="10" t="s">
        <v>2554</v>
      </c>
      <c r="G2247" s="10" t="s">
        <v>2484</v>
      </c>
      <c r="H2247" s="10" t="s">
        <v>3590</v>
      </c>
      <c r="I2247" s="10" t="s">
        <v>55</v>
      </c>
      <c r="K2247" s="10" t="s">
        <v>3591</v>
      </c>
      <c r="L2247" s="10" t="s">
        <v>42</v>
      </c>
    </row>
    <row r="2248" ht="15.75" customHeight="1">
      <c r="A2248" s="64">
        <v>45483.0</v>
      </c>
      <c r="B2248" s="55" t="str">
        <f>HYPERLINK("https://jobright.ai/jobs/info/6677cc9174ec1a95a89ae3e2?utm_campaign=1062&amp;utm_source=sheet", "Apply")</f>
        <v>Apply</v>
      </c>
      <c r="C2248" s="10" t="s">
        <v>6870</v>
      </c>
      <c r="D2248" s="56" t="s">
        <v>6871</v>
      </c>
      <c r="E2248" s="10" t="s">
        <v>65</v>
      </c>
      <c r="F2248" s="10" t="s">
        <v>6872</v>
      </c>
      <c r="G2248" s="10" t="s">
        <v>2502</v>
      </c>
      <c r="H2248" s="10" t="s">
        <v>423</v>
      </c>
      <c r="I2248" s="10" t="s">
        <v>55</v>
      </c>
      <c r="J2248" s="10" t="s">
        <v>6873</v>
      </c>
      <c r="K2248" s="10" t="s">
        <v>6874</v>
      </c>
      <c r="L2248" s="10" t="s">
        <v>42</v>
      </c>
    </row>
    <row r="2249" ht="15.75" customHeight="1">
      <c r="A2249" s="64">
        <v>45483.0</v>
      </c>
      <c r="B2249" s="55" t="str">
        <f>HYPERLINK("https://jobright.ai/jobs/info/668f4e35918f09c9f986c69f?utm_campaign=1062&amp;utm_source=sheet", "Apply")</f>
        <v>Apply</v>
      </c>
      <c r="C2249" s="10" t="s">
        <v>6875</v>
      </c>
      <c r="D2249" s="56" t="s">
        <v>1547</v>
      </c>
      <c r="E2249" s="10">
        <v>408.0</v>
      </c>
      <c r="G2249" s="10" t="s">
        <v>2448</v>
      </c>
      <c r="H2249" s="10" t="s">
        <v>6876</v>
      </c>
      <c r="I2249" s="10" t="s">
        <v>55</v>
      </c>
      <c r="K2249" s="10" t="s">
        <v>6877</v>
      </c>
      <c r="L2249" s="10" t="s">
        <v>42</v>
      </c>
    </row>
    <row r="2250" ht="15.75" customHeight="1">
      <c r="A2250" s="64">
        <v>45483.0</v>
      </c>
      <c r="B2250" s="55" t="str">
        <f>HYPERLINK("https://jobright.ai/jobs/info/668ef29e651a25f9b6aedbc5?utm_campaign=1062&amp;utm_source=sheet", "Apply")</f>
        <v>Apply</v>
      </c>
      <c r="C2250" s="10" t="s">
        <v>6878</v>
      </c>
      <c r="D2250" s="56" t="s">
        <v>1955</v>
      </c>
      <c r="E2250" s="10" t="s">
        <v>45</v>
      </c>
      <c r="F2250" s="10" t="s">
        <v>1234</v>
      </c>
      <c r="G2250" s="10" t="s">
        <v>2448</v>
      </c>
      <c r="H2250" s="10" t="s">
        <v>139</v>
      </c>
      <c r="I2250" s="10" t="s">
        <v>55</v>
      </c>
      <c r="J2250" s="10" t="s">
        <v>6879</v>
      </c>
      <c r="K2250" s="10" t="s">
        <v>6880</v>
      </c>
      <c r="L2250" s="10" t="s">
        <v>42</v>
      </c>
    </row>
    <row r="2251" ht="15.75" customHeight="1">
      <c r="A2251" s="64">
        <v>45483.0</v>
      </c>
      <c r="B2251" s="55" t="str">
        <f>HYPERLINK("https://jobright.ai/jobs/info/667ac5fc6fec2de82002ab1c?utm_campaign=1062&amp;utm_source=sheet", "Apply")</f>
        <v>Apply</v>
      </c>
      <c r="C2251" s="10" t="s">
        <v>6881</v>
      </c>
      <c r="D2251" s="56" t="s">
        <v>6882</v>
      </c>
      <c r="E2251" s="10" t="s">
        <v>276</v>
      </c>
      <c r="F2251" s="10" t="s">
        <v>2588</v>
      </c>
      <c r="G2251" s="10" t="s">
        <v>2464</v>
      </c>
      <c r="H2251" s="10" t="s">
        <v>411</v>
      </c>
      <c r="I2251" s="10" t="s">
        <v>55</v>
      </c>
      <c r="K2251" s="10" t="s">
        <v>6883</v>
      </c>
      <c r="L2251" s="10" t="s">
        <v>42</v>
      </c>
    </row>
    <row r="2252" ht="15.75" customHeight="1">
      <c r="A2252" s="64">
        <v>45483.0</v>
      </c>
      <c r="B2252" s="55" t="str">
        <f>HYPERLINK("https://jobright.ai/jobs/info/66900fe34a77721ba220ef79?utm_campaign=1062&amp;utm_source=sheet", "Apply")</f>
        <v>Apply</v>
      </c>
      <c r="C2252" s="10" t="s">
        <v>6884</v>
      </c>
      <c r="D2252" s="56" t="s">
        <v>5125</v>
      </c>
      <c r="E2252" s="10" t="s">
        <v>209</v>
      </c>
      <c r="F2252" s="10" t="s">
        <v>1454</v>
      </c>
      <c r="G2252" s="10" t="s">
        <v>2470</v>
      </c>
      <c r="H2252" s="10" t="s">
        <v>108</v>
      </c>
      <c r="I2252" s="10" t="s">
        <v>48</v>
      </c>
      <c r="K2252" s="10" t="s">
        <v>6885</v>
      </c>
      <c r="L2252" s="10" t="s">
        <v>42</v>
      </c>
    </row>
    <row r="2253" ht="15.75" customHeight="1">
      <c r="A2253" s="64">
        <v>45483.0</v>
      </c>
      <c r="B2253" s="55" t="str">
        <f>HYPERLINK("https://jobright.ai/jobs/info/668f96eb4016d30006551e84?utm_campaign=1062&amp;utm_source=sheet", "Apply")</f>
        <v>Apply</v>
      </c>
      <c r="C2253" s="10" t="s">
        <v>6886</v>
      </c>
      <c r="D2253" s="56" t="s">
        <v>4701</v>
      </c>
      <c r="E2253" s="10" t="s">
        <v>137</v>
      </c>
      <c r="F2253" s="10" t="s">
        <v>4702</v>
      </c>
      <c r="G2253" s="10" t="s">
        <v>2437</v>
      </c>
      <c r="H2253" s="10" t="s">
        <v>3266</v>
      </c>
      <c r="I2253" s="10" t="s">
        <v>55</v>
      </c>
      <c r="J2253" s="10" t="s">
        <v>1608</v>
      </c>
      <c r="K2253" s="10" t="s">
        <v>4703</v>
      </c>
      <c r="L2253" s="10" t="s">
        <v>42</v>
      </c>
    </row>
    <row r="2254" ht="15.75" customHeight="1">
      <c r="A2254" s="64">
        <v>45483.0</v>
      </c>
      <c r="B2254" s="55" t="str">
        <f>HYPERLINK("https://jobright.ai/jobs/info/668f96eb4016d30006551e70?utm_campaign=1062&amp;utm_source=sheet", "Apply")</f>
        <v>Apply</v>
      </c>
      <c r="C2254" s="10" t="s">
        <v>6887</v>
      </c>
      <c r="D2254" s="56" t="s">
        <v>4701</v>
      </c>
      <c r="E2254" s="10" t="s">
        <v>137</v>
      </c>
      <c r="F2254" s="10" t="s">
        <v>4702</v>
      </c>
      <c r="G2254" s="10" t="s">
        <v>2437</v>
      </c>
      <c r="H2254" s="10" t="s">
        <v>3302</v>
      </c>
      <c r="I2254" s="10" t="s">
        <v>55</v>
      </c>
      <c r="J2254" s="10" t="s">
        <v>1608</v>
      </c>
      <c r="K2254" s="10" t="s">
        <v>4703</v>
      </c>
      <c r="L2254" s="10" t="s">
        <v>42</v>
      </c>
    </row>
    <row r="2255" ht="15.75" customHeight="1">
      <c r="A2255" s="64">
        <v>45483.0</v>
      </c>
      <c r="B2255" s="55" t="str">
        <f>HYPERLINK("https://jobright.ai/jobs/info/6682cc4240fada45227c94af?utm_campaign=1062&amp;utm_source=sheet", "Apply")</f>
        <v>Apply</v>
      </c>
      <c r="C2255" s="10" t="s">
        <v>6888</v>
      </c>
      <c r="D2255" s="56" t="s">
        <v>6889</v>
      </c>
      <c r="E2255" s="10" t="s">
        <v>137</v>
      </c>
      <c r="F2255" s="10" t="s">
        <v>3035</v>
      </c>
      <c r="G2255" s="10" t="s">
        <v>2502</v>
      </c>
      <c r="H2255" s="10" t="s">
        <v>4501</v>
      </c>
      <c r="I2255" s="10" t="s">
        <v>55</v>
      </c>
      <c r="K2255" s="10" t="s">
        <v>6890</v>
      </c>
      <c r="L2255" s="10" t="s">
        <v>42</v>
      </c>
    </row>
    <row r="2256" ht="15.75" customHeight="1">
      <c r="A2256" s="64">
        <v>45483.0</v>
      </c>
      <c r="B2256" s="55" t="str">
        <f>HYPERLINK("https://jobright.ai/jobs/info/66720c92a02f84fd308c6df8?utm_campaign=1062&amp;utm_source=sheet", "Apply")</f>
        <v>Apply</v>
      </c>
      <c r="C2256" s="10" t="s">
        <v>6891</v>
      </c>
      <c r="D2256" s="56" t="s">
        <v>6234</v>
      </c>
      <c r="E2256" s="10" t="s">
        <v>65</v>
      </c>
      <c r="F2256" s="10" t="s">
        <v>2824</v>
      </c>
      <c r="G2256" s="10" t="s">
        <v>2470</v>
      </c>
      <c r="H2256" s="10" t="s">
        <v>6892</v>
      </c>
      <c r="I2256" s="10" t="s">
        <v>55</v>
      </c>
      <c r="J2256" s="10" t="s">
        <v>6893</v>
      </c>
      <c r="K2256" s="10" t="s">
        <v>6894</v>
      </c>
      <c r="L2256" s="10" t="s">
        <v>42</v>
      </c>
    </row>
    <row r="2257" ht="15.75" customHeight="1">
      <c r="A2257" s="64">
        <v>45483.0</v>
      </c>
      <c r="B2257" s="55" t="str">
        <f>HYPERLINK("https://jobright.ai/jobs/info/668ece228ce0244c48c55e58?utm_campaign=1062&amp;utm_source=sheet", "Apply")</f>
        <v>Apply</v>
      </c>
      <c r="C2257" s="10" t="s">
        <v>6895</v>
      </c>
      <c r="D2257" s="56" t="s">
        <v>6896</v>
      </c>
      <c r="E2257" s="10" t="s">
        <v>65</v>
      </c>
      <c r="F2257" s="10" t="s">
        <v>6897</v>
      </c>
      <c r="G2257" s="10" t="s">
        <v>2448</v>
      </c>
      <c r="H2257" s="10" t="s">
        <v>174</v>
      </c>
      <c r="I2257" s="10" t="s">
        <v>55</v>
      </c>
      <c r="K2257" s="10" t="s">
        <v>6898</v>
      </c>
      <c r="L2257" s="10" t="s">
        <v>42</v>
      </c>
    </row>
    <row r="2258" ht="15.75" customHeight="1">
      <c r="A2258" s="64">
        <v>45483.0</v>
      </c>
      <c r="B2258" s="55" t="str">
        <f>HYPERLINK("https://jobright.ai/jobs/info/6677adf2dc7be138508a353f?utm_campaign=1062&amp;utm_source=sheet", "Apply")</f>
        <v>Apply</v>
      </c>
      <c r="C2258" s="10" t="s">
        <v>6899</v>
      </c>
      <c r="D2258" s="56" t="s">
        <v>3888</v>
      </c>
      <c r="E2258" s="10" t="s">
        <v>79</v>
      </c>
      <c r="F2258" s="10" t="s">
        <v>3486</v>
      </c>
      <c r="G2258" s="10" t="s">
        <v>2464</v>
      </c>
      <c r="H2258" s="10" t="s">
        <v>993</v>
      </c>
      <c r="I2258" s="10" t="s">
        <v>48</v>
      </c>
      <c r="K2258" s="10" t="s">
        <v>6900</v>
      </c>
      <c r="L2258" s="10" t="s">
        <v>42</v>
      </c>
    </row>
    <row r="2259" ht="15.75" customHeight="1">
      <c r="A2259" s="64">
        <v>45483.0</v>
      </c>
      <c r="B2259" s="55" t="str">
        <f>HYPERLINK("https://jobright.ai/jobs/info/669001846322084f2d52ce60?utm_campaign=1062&amp;utm_source=sheet", "Apply")</f>
        <v>Apply</v>
      </c>
      <c r="C2259" s="10" t="s">
        <v>6901</v>
      </c>
      <c r="D2259" s="56" t="s">
        <v>6902</v>
      </c>
      <c r="E2259" s="10" t="s">
        <v>65</v>
      </c>
      <c r="F2259" s="10" t="s">
        <v>6903</v>
      </c>
      <c r="G2259" s="10" t="s">
        <v>2455</v>
      </c>
      <c r="H2259" s="10" t="s">
        <v>1047</v>
      </c>
      <c r="I2259" s="10" t="s">
        <v>55</v>
      </c>
      <c r="K2259" s="10" t="s">
        <v>6904</v>
      </c>
      <c r="L2259" s="10" t="s">
        <v>42</v>
      </c>
    </row>
    <row r="2260" ht="15.75" customHeight="1">
      <c r="A2260" s="64">
        <v>45483.0</v>
      </c>
      <c r="B2260" s="55" t="str">
        <f>HYPERLINK("https://jobright.ai/jobs/info/669001846322084f2d52cdea?utm_campaign=1062&amp;utm_source=sheet", "Apply")</f>
        <v>Apply</v>
      </c>
      <c r="C2260" s="10" t="s">
        <v>6905</v>
      </c>
      <c r="D2260" s="56" t="s">
        <v>6902</v>
      </c>
      <c r="E2260" s="10" t="s">
        <v>65</v>
      </c>
      <c r="F2260" s="10" t="s">
        <v>6903</v>
      </c>
      <c r="G2260" s="10" t="s">
        <v>2528</v>
      </c>
      <c r="H2260" s="10" t="s">
        <v>1047</v>
      </c>
      <c r="I2260" s="10" t="s">
        <v>55</v>
      </c>
      <c r="K2260" s="10" t="s">
        <v>6906</v>
      </c>
      <c r="L2260" s="10" t="s">
        <v>42</v>
      </c>
    </row>
    <row r="2261" ht="15.75" customHeight="1">
      <c r="A2261" s="64">
        <v>45483.0</v>
      </c>
      <c r="B2261" s="55" t="str">
        <f>HYPERLINK("https://jobright.ai/jobs/info/669001956322084f2d52ce7f?utm_campaign=1062&amp;utm_source=sheet", "Apply")</f>
        <v>Apply</v>
      </c>
      <c r="C2261" s="10" t="s">
        <v>4015</v>
      </c>
      <c r="D2261" s="56" t="s">
        <v>6907</v>
      </c>
      <c r="E2261" s="10" t="s">
        <v>137</v>
      </c>
      <c r="F2261" s="10" t="s">
        <v>2806</v>
      </c>
      <c r="G2261" s="10" t="s">
        <v>2484</v>
      </c>
      <c r="H2261" s="10" t="s">
        <v>607</v>
      </c>
      <c r="I2261" s="10" t="s">
        <v>55</v>
      </c>
      <c r="K2261" s="10" t="s">
        <v>6908</v>
      </c>
      <c r="L2261" s="10" t="s">
        <v>42</v>
      </c>
    </row>
    <row r="2262" ht="15.75" customHeight="1">
      <c r="A2262" s="64">
        <v>45483.0</v>
      </c>
      <c r="B2262" s="55" t="str">
        <f>HYPERLINK("https://jobright.ai/jobs/info/669001846322084f2d52ce6c?utm_campaign=1062&amp;utm_source=sheet", "Apply")</f>
        <v>Apply</v>
      </c>
      <c r="C2262" s="10" t="s">
        <v>6909</v>
      </c>
      <c r="D2262" s="56" t="s">
        <v>6907</v>
      </c>
      <c r="E2262" s="10" t="s">
        <v>137</v>
      </c>
      <c r="F2262" s="10" t="s">
        <v>2806</v>
      </c>
      <c r="G2262" s="10" t="s">
        <v>2807</v>
      </c>
      <c r="H2262" s="10" t="s">
        <v>607</v>
      </c>
      <c r="I2262" s="10" t="s">
        <v>55</v>
      </c>
      <c r="K2262" s="10" t="s">
        <v>6910</v>
      </c>
      <c r="L2262" s="10" t="s">
        <v>42</v>
      </c>
    </row>
    <row r="2263" ht="15.75" customHeight="1">
      <c r="A2263" s="64">
        <v>45483.0</v>
      </c>
      <c r="B2263" s="55" t="str">
        <f>HYPERLINK("https://jobright.ai/jobs/info/669001956322084f2d52cec6?utm_campaign=1062&amp;utm_source=sheet", "Apply")</f>
        <v>Apply</v>
      </c>
      <c r="C2263" s="10" t="s">
        <v>6911</v>
      </c>
      <c r="D2263" s="56" t="s">
        <v>6907</v>
      </c>
      <c r="E2263" s="10" t="s">
        <v>137</v>
      </c>
      <c r="F2263" s="10" t="s">
        <v>2806</v>
      </c>
      <c r="G2263" s="10" t="s">
        <v>2484</v>
      </c>
      <c r="H2263" s="10" t="s">
        <v>607</v>
      </c>
      <c r="I2263" s="10" t="s">
        <v>55</v>
      </c>
      <c r="K2263" s="10" t="s">
        <v>6912</v>
      </c>
      <c r="L2263" s="10" t="s">
        <v>42</v>
      </c>
    </row>
    <row r="2264" ht="15.75" customHeight="1">
      <c r="A2264" s="64">
        <v>45483.0</v>
      </c>
      <c r="B2264" s="55" t="str">
        <f>HYPERLINK("https://jobright.ai/jobs/info/668fb7c0988794981196223f?utm_campaign=1062&amp;utm_source=sheet", "Apply")</f>
        <v>Apply</v>
      </c>
      <c r="C2264" s="10" t="s">
        <v>6913</v>
      </c>
      <c r="D2264" s="56" t="s">
        <v>6914</v>
      </c>
      <c r="E2264" s="10" t="s">
        <v>249</v>
      </c>
      <c r="F2264" s="10" t="s">
        <v>6915</v>
      </c>
      <c r="G2264" s="10" t="s">
        <v>2437</v>
      </c>
      <c r="H2264" s="10" t="s">
        <v>3208</v>
      </c>
      <c r="I2264" s="10" t="s">
        <v>55</v>
      </c>
      <c r="K2264" s="10" t="s">
        <v>6916</v>
      </c>
      <c r="L2264" s="10" t="s">
        <v>42</v>
      </c>
    </row>
    <row r="2265" ht="15.75" customHeight="1">
      <c r="A2265" s="64">
        <v>45483.0</v>
      </c>
      <c r="B2265" s="55" t="str">
        <f>HYPERLINK("https://jobright.ai/jobs/info/668ffde23d0f271fc1a49d3f?utm_campaign=1062&amp;utm_source=sheet", "Apply")</f>
        <v>Apply</v>
      </c>
      <c r="C2265" s="10" t="s">
        <v>6917</v>
      </c>
      <c r="D2265" s="56" t="s">
        <v>6907</v>
      </c>
      <c r="E2265" s="10" t="s">
        <v>137</v>
      </c>
      <c r="F2265" s="10" t="s">
        <v>2806</v>
      </c>
      <c r="G2265" s="10" t="s">
        <v>2807</v>
      </c>
      <c r="H2265" s="10" t="s">
        <v>6918</v>
      </c>
      <c r="I2265" s="10" t="s">
        <v>55</v>
      </c>
      <c r="K2265" s="10" t="s">
        <v>6919</v>
      </c>
      <c r="L2265" s="10" t="s">
        <v>42</v>
      </c>
    </row>
    <row r="2266" ht="15.75" customHeight="1">
      <c r="A2266" s="64">
        <v>45483.0</v>
      </c>
      <c r="B2266" s="55" t="str">
        <f>HYPERLINK("https://jobright.ai/jobs/info/6672a36205bfcd773488bacd?utm_campaign=1062&amp;utm_source=sheet", "Apply")</f>
        <v>Apply</v>
      </c>
      <c r="C2266" s="10" t="s">
        <v>6920</v>
      </c>
      <c r="D2266" s="56" t="s">
        <v>5523</v>
      </c>
      <c r="E2266" s="10" t="s">
        <v>209</v>
      </c>
      <c r="F2266" s="10" t="s">
        <v>5524</v>
      </c>
      <c r="G2266" s="10" t="s">
        <v>2484</v>
      </c>
      <c r="H2266" s="10" t="s">
        <v>5245</v>
      </c>
      <c r="I2266" s="10" t="s">
        <v>55</v>
      </c>
      <c r="J2266" s="10" t="s">
        <v>5525</v>
      </c>
      <c r="K2266" s="10" t="s">
        <v>6921</v>
      </c>
      <c r="L2266" s="10" t="s">
        <v>42</v>
      </c>
    </row>
    <row r="2267" ht="15.75" customHeight="1">
      <c r="A2267" s="64">
        <v>45483.0</v>
      </c>
      <c r="B2267" s="55" t="str">
        <f>HYPERLINK("https://jobright.ai/jobs/info/668ffdff3d0f271fc1a49f57?utm_campaign=1062&amp;utm_source=sheet", "Apply")</f>
        <v>Apply</v>
      </c>
      <c r="C2267" s="10" t="s">
        <v>301</v>
      </c>
      <c r="D2267" s="56" t="s">
        <v>5520</v>
      </c>
      <c r="E2267" s="10" t="s">
        <v>71</v>
      </c>
      <c r="F2267" s="10" t="s">
        <v>2746</v>
      </c>
      <c r="G2267" s="10" t="s">
        <v>2579</v>
      </c>
      <c r="H2267" s="10" t="s">
        <v>994</v>
      </c>
      <c r="I2267" s="10" t="s">
        <v>55</v>
      </c>
      <c r="K2267" s="10" t="s">
        <v>6922</v>
      </c>
      <c r="L2267" s="10" t="s">
        <v>42</v>
      </c>
    </row>
    <row r="2268" ht="15.75" customHeight="1">
      <c r="A2268" s="64">
        <v>45483.0</v>
      </c>
      <c r="B2268" s="55" t="str">
        <f>HYPERLINK("https://jobright.ai/jobs/info/668ff9c50f79b533b8729abb?utm_campaign=1062&amp;utm_source=sheet", "Apply")</f>
        <v>Apply</v>
      </c>
      <c r="C2268" s="10" t="s">
        <v>6761</v>
      </c>
      <c r="D2268" s="56" t="s">
        <v>6762</v>
      </c>
      <c r="E2268" s="10" t="s">
        <v>65</v>
      </c>
      <c r="F2268" s="10" t="s">
        <v>1248</v>
      </c>
      <c r="G2268" s="10" t="s">
        <v>2476</v>
      </c>
      <c r="H2268" s="10" t="s">
        <v>6763</v>
      </c>
      <c r="I2268" s="10" t="s">
        <v>55</v>
      </c>
      <c r="K2268" s="10" t="s">
        <v>6923</v>
      </c>
      <c r="L2268" s="10" t="s">
        <v>42</v>
      </c>
    </row>
    <row r="2269" ht="15.75" customHeight="1">
      <c r="A2269" s="64">
        <v>45483.0</v>
      </c>
      <c r="B2269" s="55" t="str">
        <f>HYPERLINK("https://jobright.ai/jobs/info/66a117c83c525c05f56546ef?utm_campaign=1062&amp;utm_source=sheet", "Apply")</f>
        <v>Apply</v>
      </c>
      <c r="C2269" s="10" t="s">
        <v>6924</v>
      </c>
      <c r="D2269" s="56" t="s">
        <v>2462</v>
      </c>
      <c r="E2269" s="10" t="s">
        <v>79</v>
      </c>
      <c r="F2269" s="10" t="s">
        <v>2463</v>
      </c>
      <c r="G2269" s="10" t="s">
        <v>2437</v>
      </c>
      <c r="H2269" s="10" t="s">
        <v>144</v>
      </c>
      <c r="I2269" s="10" t="s">
        <v>55</v>
      </c>
      <c r="J2269" s="10" t="s">
        <v>6925</v>
      </c>
      <c r="K2269" s="10" t="s">
        <v>6926</v>
      </c>
      <c r="L2269" s="10" t="s">
        <v>42</v>
      </c>
    </row>
    <row r="2270" ht="15.75" customHeight="1">
      <c r="A2270" s="64">
        <v>45483.0</v>
      </c>
      <c r="B2270" s="55" t="str">
        <f>HYPERLINK("https://jobright.ai/jobs/info/668ebda9dddef695f4ea2c82?utm_campaign=1062&amp;utm_source=sheet", "Apply")</f>
        <v>Apply</v>
      </c>
      <c r="C2270" s="10" t="s">
        <v>6927</v>
      </c>
      <c r="D2270" s="56" t="s">
        <v>6928</v>
      </c>
      <c r="E2270" s="10" t="s">
        <v>249</v>
      </c>
      <c r="F2270" s="10" t="s">
        <v>6929</v>
      </c>
      <c r="G2270" s="10" t="s">
        <v>2448</v>
      </c>
      <c r="H2270" s="10" t="s">
        <v>174</v>
      </c>
      <c r="I2270" s="10" t="s">
        <v>55</v>
      </c>
      <c r="K2270" s="10" t="s">
        <v>6930</v>
      </c>
      <c r="L2270" s="10" t="s">
        <v>42</v>
      </c>
    </row>
    <row r="2271" ht="15.75" customHeight="1">
      <c r="A2271" s="64">
        <v>45483.0</v>
      </c>
      <c r="B2271" s="55" t="str">
        <f>HYPERLINK("https://jobright.ai/jobs/info/668fef834a16829a49be6ee6?utm_campaign=1062&amp;utm_source=sheet", "Apply")</f>
        <v>Apply</v>
      </c>
      <c r="C2271" s="10" t="s">
        <v>6285</v>
      </c>
      <c r="D2271" s="56" t="s">
        <v>6286</v>
      </c>
      <c r="E2271" s="10" t="s">
        <v>249</v>
      </c>
      <c r="F2271" s="10" t="s">
        <v>2746</v>
      </c>
      <c r="G2271" s="10" t="s">
        <v>2464</v>
      </c>
      <c r="H2271" s="10" t="s">
        <v>6931</v>
      </c>
      <c r="I2271" s="10" t="s">
        <v>48</v>
      </c>
      <c r="K2271" s="10" t="s">
        <v>6288</v>
      </c>
      <c r="L2271" s="10" t="s">
        <v>42</v>
      </c>
    </row>
    <row r="2272" ht="15.75" customHeight="1">
      <c r="A2272" s="64">
        <v>45483.0</v>
      </c>
      <c r="B2272" s="55" t="str">
        <f>HYPERLINK("https://jobright.ai/jobs/info/667295e27a950455a404610b?utm_campaign=1062&amp;utm_source=sheet", "Apply")</f>
        <v>Apply</v>
      </c>
      <c r="C2272" s="10" t="s">
        <v>6932</v>
      </c>
      <c r="D2272" s="56" t="s">
        <v>716</v>
      </c>
      <c r="E2272" s="10" t="s">
        <v>79</v>
      </c>
      <c r="F2272" s="10" t="s">
        <v>717</v>
      </c>
      <c r="G2272" s="10" t="s">
        <v>2437</v>
      </c>
      <c r="H2272" s="10" t="s">
        <v>144</v>
      </c>
      <c r="I2272" s="10" t="s">
        <v>55</v>
      </c>
      <c r="J2272" s="10" t="s">
        <v>718</v>
      </c>
      <c r="K2272" s="10" t="s">
        <v>6933</v>
      </c>
      <c r="L2272" s="10" t="s">
        <v>42</v>
      </c>
    </row>
    <row r="2273" ht="15.75" customHeight="1">
      <c r="A2273" s="64">
        <v>45483.0</v>
      </c>
      <c r="B2273" s="55" t="str">
        <f>HYPERLINK("https://jobright.ai/jobs/info/6675b573357894b74ff29dcb?utm_campaign=1062&amp;utm_source=sheet", "Apply")</f>
        <v>Apply</v>
      </c>
      <c r="C2273" s="10" t="s">
        <v>6285</v>
      </c>
      <c r="D2273" s="56" t="s">
        <v>6286</v>
      </c>
      <c r="E2273" s="10" t="s">
        <v>249</v>
      </c>
      <c r="F2273" s="10" t="s">
        <v>2746</v>
      </c>
      <c r="G2273" s="10" t="s">
        <v>2464</v>
      </c>
      <c r="H2273" s="10" t="s">
        <v>5761</v>
      </c>
      <c r="I2273" s="10" t="s">
        <v>48</v>
      </c>
      <c r="K2273" s="10" t="s">
        <v>6288</v>
      </c>
      <c r="L2273" s="10" t="s">
        <v>42</v>
      </c>
    </row>
    <row r="2274" ht="15.75" customHeight="1">
      <c r="A2274" s="64">
        <v>45483.0</v>
      </c>
      <c r="B2274" s="55" t="str">
        <f>HYPERLINK("https://jobright.ai/jobs/info/6672227c96df7b9790bcf3c9?utm_campaign=1062&amp;utm_source=sheet", "Apply")</f>
        <v>Apply</v>
      </c>
      <c r="C2274" s="10" t="s">
        <v>6934</v>
      </c>
      <c r="D2274" s="56" t="s">
        <v>716</v>
      </c>
      <c r="E2274" s="10" t="s">
        <v>79</v>
      </c>
      <c r="F2274" s="10" t="s">
        <v>717</v>
      </c>
      <c r="G2274" s="10" t="s">
        <v>3733</v>
      </c>
      <c r="H2274" s="10" t="s">
        <v>144</v>
      </c>
      <c r="I2274" s="10" t="s">
        <v>55</v>
      </c>
      <c r="J2274" s="10" t="s">
        <v>718</v>
      </c>
      <c r="K2274" s="10" t="s">
        <v>6935</v>
      </c>
      <c r="L2274" s="10" t="s">
        <v>42</v>
      </c>
    </row>
    <row r="2275" ht="15.75" customHeight="1">
      <c r="A2275" s="64">
        <v>45483.0</v>
      </c>
      <c r="B2275" s="55" t="str">
        <f>HYPERLINK("https://jobright.ai/jobs/info/6676b456a2f49d4e236dd430?utm_campaign=1062&amp;utm_source=sheet", "Apply")</f>
        <v>Apply</v>
      </c>
      <c r="C2275" s="10" t="s">
        <v>2516</v>
      </c>
      <c r="D2275" s="56" t="s">
        <v>6456</v>
      </c>
      <c r="E2275" s="10" t="s">
        <v>65</v>
      </c>
      <c r="F2275" s="10" t="s">
        <v>1485</v>
      </c>
      <c r="G2275" s="10" t="s">
        <v>2437</v>
      </c>
      <c r="H2275" s="10" t="s">
        <v>923</v>
      </c>
      <c r="I2275" s="10" t="s">
        <v>55</v>
      </c>
      <c r="J2275" s="10" t="s">
        <v>6457</v>
      </c>
      <c r="K2275" s="10" t="s">
        <v>6458</v>
      </c>
      <c r="L2275" s="10" t="s">
        <v>42</v>
      </c>
    </row>
    <row r="2276" ht="15.75" customHeight="1">
      <c r="A2276" s="64">
        <v>45483.0</v>
      </c>
      <c r="B2276" s="55" t="str">
        <f>HYPERLINK("https://jobright.ai/jobs/info/6697c99c9d83874e9cdaf527?utm_campaign=1062&amp;utm_source=sheet", "Apply")</f>
        <v>Apply</v>
      </c>
      <c r="C2276" s="10" t="s">
        <v>6936</v>
      </c>
      <c r="D2276" s="56" t="s">
        <v>6937</v>
      </c>
      <c r="E2276" s="10" t="s">
        <v>71</v>
      </c>
      <c r="F2276" s="10" t="s">
        <v>6938</v>
      </c>
      <c r="G2276" s="10" t="s">
        <v>2470</v>
      </c>
      <c r="H2276" s="10" t="s">
        <v>6939</v>
      </c>
      <c r="I2276" s="10" t="s">
        <v>55</v>
      </c>
      <c r="K2276" s="10" t="s">
        <v>6940</v>
      </c>
      <c r="L2276" s="10" t="s">
        <v>42</v>
      </c>
    </row>
    <row r="2277" ht="15.75" customHeight="1">
      <c r="A2277" s="64">
        <v>45483.0</v>
      </c>
      <c r="B2277" s="55" t="str">
        <f>HYPERLINK("https://jobright.ai/jobs/info/666899047cff9ea738f7ff5c?utm_campaign=1062&amp;utm_source=sheet", "Apply")</f>
        <v>Apply</v>
      </c>
      <c r="C2277" s="10" t="s">
        <v>3336</v>
      </c>
      <c r="D2277" s="56" t="s">
        <v>6941</v>
      </c>
      <c r="E2277" s="10" t="s">
        <v>65</v>
      </c>
      <c r="F2277" s="10" t="s">
        <v>3080</v>
      </c>
      <c r="G2277" s="10" t="s">
        <v>2437</v>
      </c>
      <c r="H2277" s="10" t="s">
        <v>278</v>
      </c>
      <c r="I2277" s="10" t="s">
        <v>55</v>
      </c>
      <c r="K2277" s="10" t="s">
        <v>6942</v>
      </c>
      <c r="L2277" s="10" t="s">
        <v>42</v>
      </c>
    </row>
    <row r="2278" ht="15.75" customHeight="1">
      <c r="A2278" s="64">
        <v>45483.0</v>
      </c>
      <c r="B2278" s="55" t="str">
        <f>HYPERLINK("https://jobright.ai/jobs/info/6697c9a49d83874e9cdaf582?utm_campaign=1062&amp;utm_source=sheet", "Apply")</f>
        <v>Apply</v>
      </c>
      <c r="C2278" s="10" t="s">
        <v>6943</v>
      </c>
      <c r="D2278" s="56" t="s">
        <v>6937</v>
      </c>
      <c r="E2278" s="10" t="s">
        <v>71</v>
      </c>
      <c r="F2278" s="10" t="s">
        <v>6938</v>
      </c>
      <c r="G2278" s="10" t="s">
        <v>2484</v>
      </c>
      <c r="H2278" s="10" t="s">
        <v>423</v>
      </c>
      <c r="I2278" s="10" t="s">
        <v>55</v>
      </c>
      <c r="K2278" s="10" t="s">
        <v>6944</v>
      </c>
      <c r="L2278" s="10" t="s">
        <v>42</v>
      </c>
    </row>
    <row r="2279" ht="15.75" customHeight="1">
      <c r="A2279" s="64">
        <v>45483.0</v>
      </c>
      <c r="B2279" s="55" t="str">
        <f>HYPERLINK("https://jobright.ai/jobs/info/6693d405db9b5f876426ca10?utm_campaign=1062&amp;utm_source=sheet", "Apply")</f>
        <v>Apply</v>
      </c>
      <c r="C2279" s="10" t="s">
        <v>6945</v>
      </c>
      <c r="D2279" s="56" t="s">
        <v>6946</v>
      </c>
      <c r="E2279" s="10" t="s">
        <v>45</v>
      </c>
      <c r="G2279" s="10" t="s">
        <v>2464</v>
      </c>
      <c r="H2279" s="10" t="s">
        <v>159</v>
      </c>
      <c r="I2279" s="10" t="s">
        <v>48</v>
      </c>
      <c r="J2279" s="10" t="s">
        <v>2742</v>
      </c>
      <c r="K2279" s="10" t="s">
        <v>6947</v>
      </c>
      <c r="L2279" s="10" t="s">
        <v>42</v>
      </c>
    </row>
    <row r="2280" ht="15.75" customHeight="1">
      <c r="A2280" s="64">
        <v>45483.0</v>
      </c>
      <c r="B2280" s="55" t="str">
        <f>HYPERLINK("https://jobright.ai/jobs/info/66927e6667f79cbbaf84dc57?utm_campaign=1062&amp;utm_source=sheet", "Apply")</f>
        <v>Apply</v>
      </c>
      <c r="C2280" s="10" t="s">
        <v>6948</v>
      </c>
      <c r="D2280" s="56" t="s">
        <v>6949</v>
      </c>
      <c r="E2280" s="10" t="s">
        <v>45</v>
      </c>
      <c r="F2280" s="10" t="s">
        <v>529</v>
      </c>
      <c r="G2280" s="10" t="s">
        <v>2484</v>
      </c>
      <c r="H2280" s="10" t="s">
        <v>4434</v>
      </c>
      <c r="I2280" s="10" t="s">
        <v>55</v>
      </c>
      <c r="K2280" s="10" t="s">
        <v>6950</v>
      </c>
      <c r="L2280" s="10" t="s">
        <v>42</v>
      </c>
    </row>
    <row r="2281" ht="15.75" customHeight="1">
      <c r="A2281" s="64">
        <v>45483.0</v>
      </c>
      <c r="B2281" s="55" t="str">
        <f>HYPERLINK("https://jobright.ai/jobs/info/6697c255ae9bea869c6f9553?utm_campaign=1062&amp;utm_source=sheet", "Apply")</f>
        <v>Apply</v>
      </c>
      <c r="C2281" s="10" t="s">
        <v>6951</v>
      </c>
      <c r="D2281" s="56" t="s">
        <v>6937</v>
      </c>
      <c r="E2281" s="10" t="s">
        <v>71</v>
      </c>
      <c r="F2281" s="10" t="s">
        <v>6938</v>
      </c>
      <c r="G2281" s="10" t="s">
        <v>2470</v>
      </c>
      <c r="H2281" s="10" t="s">
        <v>6939</v>
      </c>
      <c r="I2281" s="10" t="s">
        <v>55</v>
      </c>
      <c r="K2281" s="10" t="s">
        <v>6952</v>
      </c>
      <c r="L2281" s="10" t="s">
        <v>42</v>
      </c>
    </row>
    <row r="2282" ht="15.75" customHeight="1">
      <c r="A2282" s="64">
        <v>45483.0</v>
      </c>
      <c r="B2282" s="55" t="str">
        <f>HYPERLINK("https://jobright.ai/jobs/info/664cfac7e883f73e5ebb17a6?utm_campaign=1062&amp;utm_source=sheet", "Apply")</f>
        <v>Apply</v>
      </c>
      <c r="C2282" s="10" t="s">
        <v>6953</v>
      </c>
      <c r="D2282" s="56" t="s">
        <v>6954</v>
      </c>
      <c r="E2282" s="10" t="s">
        <v>209</v>
      </c>
      <c r="F2282" s="10" t="s">
        <v>620</v>
      </c>
      <c r="G2282" s="10" t="s">
        <v>2589</v>
      </c>
      <c r="H2282" s="10" t="s">
        <v>245</v>
      </c>
      <c r="I2282" s="10" t="s">
        <v>55</v>
      </c>
      <c r="K2282" s="10" t="s">
        <v>6955</v>
      </c>
      <c r="L2282" s="10" t="s">
        <v>42</v>
      </c>
    </row>
    <row r="2283" ht="15.75" customHeight="1">
      <c r="A2283" s="64">
        <v>45483.0</v>
      </c>
      <c r="B2283" s="55" t="str">
        <f>HYPERLINK("https://jobright.ai/jobs/info/668fdb2222cfeb6ebf476567?utm_campaign=1062&amp;utm_source=sheet", "Apply")</f>
        <v>Apply</v>
      </c>
      <c r="C2283" s="10" t="s">
        <v>1605</v>
      </c>
      <c r="D2283" s="56" t="s">
        <v>4555</v>
      </c>
      <c r="E2283" s="10" t="s">
        <v>65</v>
      </c>
      <c r="F2283" s="10" t="s">
        <v>2828</v>
      </c>
      <c r="G2283" s="10" t="s">
        <v>2448</v>
      </c>
      <c r="H2283" s="10" t="s">
        <v>4556</v>
      </c>
      <c r="I2283" s="10" t="s">
        <v>55</v>
      </c>
      <c r="J2283" s="10" t="s">
        <v>6956</v>
      </c>
      <c r="K2283" s="10" t="s">
        <v>6957</v>
      </c>
      <c r="L2283" s="10" t="s">
        <v>42</v>
      </c>
    </row>
    <row r="2284" ht="15.75" customHeight="1">
      <c r="A2284" s="64">
        <v>45483.0</v>
      </c>
      <c r="B2284" s="55" t="str">
        <f>HYPERLINK("https://jobright.ai/jobs/info/6697b9b72d8821ba065e6cd6?utm_campaign=1062&amp;utm_source=sheet", "Apply")</f>
        <v>Apply</v>
      </c>
      <c r="C2284" s="10" t="s">
        <v>6958</v>
      </c>
      <c r="D2284" s="56" t="s">
        <v>6959</v>
      </c>
      <c r="E2284" s="10" t="s">
        <v>45</v>
      </c>
      <c r="F2284" s="10" t="s">
        <v>1184</v>
      </c>
      <c r="G2284" s="10" t="s">
        <v>2484</v>
      </c>
      <c r="H2284" s="10" t="s">
        <v>5384</v>
      </c>
      <c r="I2284" s="10" t="s">
        <v>55</v>
      </c>
      <c r="K2284" s="10" t="s">
        <v>6960</v>
      </c>
      <c r="L2284" s="10" t="s">
        <v>42</v>
      </c>
    </row>
    <row r="2285" ht="15.75" customHeight="1">
      <c r="A2285" s="64">
        <v>45483.0</v>
      </c>
      <c r="B2285" s="55" t="str">
        <f>HYPERLINK("https://jobright.ai/jobs/info/66815c36795d299cfda340bd?utm_campaign=1062&amp;utm_source=sheet", "Apply")</f>
        <v>Apply</v>
      </c>
      <c r="C2285" s="10" t="s">
        <v>6285</v>
      </c>
      <c r="D2285" s="56" t="s">
        <v>6286</v>
      </c>
      <c r="E2285" s="10" t="s">
        <v>249</v>
      </c>
      <c r="F2285" s="10" t="s">
        <v>2746</v>
      </c>
      <c r="G2285" s="10" t="s">
        <v>2464</v>
      </c>
      <c r="H2285" s="10" t="s">
        <v>915</v>
      </c>
      <c r="I2285" s="10" t="s">
        <v>48</v>
      </c>
      <c r="K2285" s="10" t="s">
        <v>6288</v>
      </c>
      <c r="L2285" s="10" t="s">
        <v>42</v>
      </c>
    </row>
    <row r="2286" ht="15.75" customHeight="1">
      <c r="A2286" s="64">
        <v>45483.0</v>
      </c>
      <c r="B2286" s="55" t="str">
        <f>HYPERLINK("https://jobright.ai/jobs/info/667263a395c884a8a3f6b5d6?utm_campaign=1062&amp;utm_source=sheet", "Apply")</f>
        <v>Apply</v>
      </c>
      <c r="C2286" s="10" t="s">
        <v>6961</v>
      </c>
      <c r="D2286" s="56" t="s">
        <v>204</v>
      </c>
      <c r="E2286" s="10" t="s">
        <v>45</v>
      </c>
      <c r="F2286" s="10" t="s">
        <v>205</v>
      </c>
      <c r="G2286" s="10" t="s">
        <v>2437</v>
      </c>
      <c r="H2286" s="10" t="s">
        <v>487</v>
      </c>
      <c r="I2286" s="10" t="s">
        <v>48</v>
      </c>
      <c r="K2286" s="10" t="s">
        <v>6962</v>
      </c>
      <c r="L2286" s="10" t="s">
        <v>42</v>
      </c>
    </row>
    <row r="2287" ht="15.75" customHeight="1">
      <c r="A2287" s="64">
        <v>45483.0</v>
      </c>
      <c r="B2287" s="55" t="str">
        <f>HYPERLINK("https://jobright.ai/jobs/info/668fd2ca356b641823e30aba?utm_campaign=1062&amp;utm_source=sheet", "Apply")</f>
        <v>Apply</v>
      </c>
      <c r="C2287" s="10" t="s">
        <v>5153</v>
      </c>
      <c r="D2287" s="56" t="s">
        <v>5154</v>
      </c>
      <c r="E2287" s="10" t="s">
        <v>45</v>
      </c>
      <c r="F2287" s="10" t="s">
        <v>5155</v>
      </c>
      <c r="G2287" s="10" t="s">
        <v>2448</v>
      </c>
      <c r="H2287" s="10" t="s">
        <v>6963</v>
      </c>
      <c r="I2287" s="10" t="s">
        <v>55</v>
      </c>
      <c r="K2287" s="10" t="s">
        <v>6964</v>
      </c>
      <c r="L2287" s="10" t="s">
        <v>42</v>
      </c>
    </row>
    <row r="2288" ht="15.75" customHeight="1">
      <c r="A2288" s="64">
        <v>45483.0</v>
      </c>
      <c r="B2288" s="55" t="str">
        <f>HYPERLINK("https://jobright.ai/jobs/info/6691229258d7b3c61dbfc22b?utm_campaign=1062&amp;utm_source=sheet", "Apply")</f>
        <v>Apply</v>
      </c>
      <c r="C2288" s="10" t="s">
        <v>5725</v>
      </c>
      <c r="D2288" s="56" t="s">
        <v>4802</v>
      </c>
      <c r="E2288" s="10" t="s">
        <v>249</v>
      </c>
      <c r="F2288" s="10" t="s">
        <v>2470</v>
      </c>
      <c r="G2288" s="10" t="s">
        <v>2484</v>
      </c>
      <c r="H2288" s="10" t="s">
        <v>4885</v>
      </c>
      <c r="I2288" s="10" t="s">
        <v>55</v>
      </c>
      <c r="K2288" s="10" t="s">
        <v>4803</v>
      </c>
      <c r="L2288" s="10" t="s">
        <v>42</v>
      </c>
    </row>
    <row r="2289" ht="15.75" customHeight="1">
      <c r="A2289" s="64">
        <v>45483.0</v>
      </c>
      <c r="B2289" s="55" t="str">
        <f>HYPERLINK("https://jobright.ai/jobs/info/66926c8af0f0f9f950931ac8?utm_campaign=1062&amp;utm_source=sheet", "Apply")</f>
        <v>Apply</v>
      </c>
      <c r="C2289" s="10" t="s">
        <v>5725</v>
      </c>
      <c r="D2289" s="56" t="s">
        <v>4802</v>
      </c>
      <c r="E2289" s="10" t="s">
        <v>249</v>
      </c>
      <c r="F2289" s="10" t="s">
        <v>2470</v>
      </c>
      <c r="G2289" s="10" t="s">
        <v>2484</v>
      </c>
      <c r="H2289" s="10" t="s">
        <v>3371</v>
      </c>
      <c r="I2289" s="10" t="s">
        <v>55</v>
      </c>
      <c r="K2289" s="10" t="s">
        <v>5681</v>
      </c>
      <c r="L2289" s="10" t="s">
        <v>42</v>
      </c>
    </row>
    <row r="2290" ht="15.75" customHeight="1">
      <c r="A2290" s="64">
        <v>45483.0</v>
      </c>
      <c r="B2290" s="55" t="str">
        <f>HYPERLINK("https://jobright.ai/jobs/info/66a0ee48b3fb11bcb3dad41b?utm_campaign=1062&amp;utm_source=sheet", "Apply")</f>
        <v>Apply</v>
      </c>
      <c r="C2290" s="10" t="s">
        <v>6924</v>
      </c>
      <c r="D2290" s="56" t="s">
        <v>2462</v>
      </c>
      <c r="E2290" s="10" t="s">
        <v>79</v>
      </c>
      <c r="F2290" s="10" t="s">
        <v>2463</v>
      </c>
      <c r="G2290" s="10" t="s">
        <v>2437</v>
      </c>
      <c r="H2290" s="10" t="s">
        <v>1263</v>
      </c>
      <c r="I2290" s="10" t="s">
        <v>55</v>
      </c>
      <c r="J2290" s="10" t="s">
        <v>6925</v>
      </c>
      <c r="K2290" s="10" t="s">
        <v>6926</v>
      </c>
      <c r="L2290" s="10" t="s">
        <v>42</v>
      </c>
    </row>
    <row r="2291" ht="15.75" customHeight="1">
      <c r="A2291" s="64">
        <v>45483.0</v>
      </c>
      <c r="B2291" s="55" t="str">
        <f>HYPERLINK("https://jobright.ai/jobs/info/6697b2b30f3f19c85006efab?utm_campaign=1062&amp;utm_source=sheet", "Apply")</f>
        <v>Apply</v>
      </c>
      <c r="C2291" s="10" t="s">
        <v>6965</v>
      </c>
      <c r="D2291" s="56" t="s">
        <v>6937</v>
      </c>
      <c r="E2291" s="10" t="s">
        <v>71</v>
      </c>
      <c r="F2291" s="10" t="s">
        <v>6938</v>
      </c>
      <c r="G2291" s="10" t="s">
        <v>2437</v>
      </c>
      <c r="H2291" s="10" t="s">
        <v>423</v>
      </c>
      <c r="I2291" s="10" t="s">
        <v>55</v>
      </c>
      <c r="K2291" s="10" t="s">
        <v>6952</v>
      </c>
      <c r="L2291" s="10" t="s">
        <v>42</v>
      </c>
    </row>
    <row r="2292" ht="15.75" customHeight="1">
      <c r="A2292" s="64">
        <v>45483.0</v>
      </c>
      <c r="B2292" s="55" t="str">
        <f>HYPERLINK("https://jobright.ai/jobs/info/668fc56491f229c14027789c?utm_campaign=1062&amp;utm_source=sheet", "Apply")</f>
        <v>Apply</v>
      </c>
      <c r="C2292" s="10" t="s">
        <v>6966</v>
      </c>
      <c r="D2292" s="56" t="s">
        <v>6967</v>
      </c>
      <c r="E2292" s="10" t="s">
        <v>249</v>
      </c>
      <c r="F2292" s="10" t="s">
        <v>6968</v>
      </c>
      <c r="G2292" s="10" t="s">
        <v>2484</v>
      </c>
      <c r="H2292" s="10" t="s">
        <v>2837</v>
      </c>
      <c r="I2292" s="10" t="s">
        <v>55</v>
      </c>
      <c r="K2292" s="10" t="s">
        <v>6969</v>
      </c>
      <c r="L2292" s="10" t="s">
        <v>42</v>
      </c>
    </row>
    <row r="2293" ht="15.75" customHeight="1">
      <c r="A2293" s="64">
        <v>45483.0</v>
      </c>
      <c r="B2293" s="55" t="str">
        <f>HYPERLINK("https://jobright.ai/jobs/info/6697ae32267af5af9c2dcaed?utm_campaign=1062&amp;utm_source=sheet", "Apply")</f>
        <v>Apply</v>
      </c>
      <c r="C2293" s="10" t="s">
        <v>6970</v>
      </c>
      <c r="D2293" s="56" t="s">
        <v>6937</v>
      </c>
      <c r="E2293" s="10" t="s">
        <v>71</v>
      </c>
      <c r="F2293" s="10" t="s">
        <v>6938</v>
      </c>
      <c r="G2293" s="10" t="s">
        <v>2495</v>
      </c>
      <c r="H2293" s="10" t="s">
        <v>423</v>
      </c>
      <c r="I2293" s="10" t="s">
        <v>55</v>
      </c>
      <c r="K2293" s="10" t="s">
        <v>6940</v>
      </c>
      <c r="L2293" s="10" t="s">
        <v>42</v>
      </c>
    </row>
    <row r="2294" ht="15.75" customHeight="1">
      <c r="A2294" s="64">
        <v>45483.0</v>
      </c>
      <c r="B2294" s="55" t="str">
        <f>HYPERLINK("https://jobright.ai/jobs/info/6677ae26dc7be138508a3913?utm_campaign=1062&amp;utm_source=sheet", "Apply")</f>
        <v>Apply</v>
      </c>
      <c r="C2294" s="10" t="s">
        <v>3044</v>
      </c>
      <c r="D2294" s="56" t="s">
        <v>2631</v>
      </c>
      <c r="E2294" s="10" t="s">
        <v>209</v>
      </c>
      <c r="F2294" s="10" t="s">
        <v>2632</v>
      </c>
      <c r="G2294" s="10" t="s">
        <v>2464</v>
      </c>
      <c r="H2294" s="10" t="s">
        <v>886</v>
      </c>
      <c r="I2294" s="10" t="s">
        <v>55</v>
      </c>
      <c r="K2294" s="10" t="s">
        <v>3045</v>
      </c>
      <c r="L2294" s="10" t="s">
        <v>42</v>
      </c>
    </row>
    <row r="2295" ht="15.75" customHeight="1">
      <c r="A2295" s="64">
        <v>45483.0</v>
      </c>
      <c r="B2295" s="55" t="str">
        <f>HYPERLINK("https://jobright.ai/jobs/info/668fc16cd472624446c99fb9?utm_campaign=1062&amp;utm_source=sheet", "Apply")</f>
        <v>Apply</v>
      </c>
      <c r="C2295" s="10" t="s">
        <v>6971</v>
      </c>
      <c r="D2295" s="56" t="s">
        <v>6972</v>
      </c>
      <c r="E2295" s="10" t="s">
        <v>65</v>
      </c>
      <c r="F2295" s="10" t="s">
        <v>1485</v>
      </c>
      <c r="G2295" s="10" t="s">
        <v>2455</v>
      </c>
      <c r="H2295" s="10" t="s">
        <v>6973</v>
      </c>
      <c r="I2295" s="10" t="s">
        <v>55</v>
      </c>
      <c r="K2295" s="10" t="s">
        <v>6974</v>
      </c>
      <c r="L2295" s="10" t="s">
        <v>42</v>
      </c>
    </row>
    <row r="2296" ht="15.75" customHeight="1">
      <c r="A2296" s="64">
        <v>45483.0</v>
      </c>
      <c r="B2296" s="55" t="str">
        <f>HYPERLINK("https://jobright.ai/jobs/info/664e0027d79e0cf7655016da?utm_campaign=1062&amp;utm_source=sheet", "Apply")</f>
        <v>Apply</v>
      </c>
      <c r="C2296" s="10" t="s">
        <v>6975</v>
      </c>
      <c r="D2296" s="56" t="s">
        <v>2869</v>
      </c>
      <c r="E2296" s="10" t="s">
        <v>45</v>
      </c>
      <c r="F2296" s="10" t="s">
        <v>2870</v>
      </c>
      <c r="G2296" s="10" t="s">
        <v>2437</v>
      </c>
      <c r="H2296" s="10" t="s">
        <v>152</v>
      </c>
      <c r="I2296" s="10" t="s">
        <v>55</v>
      </c>
      <c r="K2296" s="10" t="s">
        <v>2871</v>
      </c>
      <c r="L2296" s="10" t="s">
        <v>42</v>
      </c>
    </row>
    <row r="2297" ht="15.75" customHeight="1">
      <c r="A2297" s="64">
        <v>45483.0</v>
      </c>
      <c r="B2297" s="55" t="str">
        <f>HYPERLINK("https://jobright.ai/jobs/info/66794f559f429da3e08e2640?utm_campaign=1062&amp;utm_source=sheet", "Apply")</f>
        <v>Apply</v>
      </c>
      <c r="C2297" s="10" t="s">
        <v>6976</v>
      </c>
      <c r="D2297" s="56" t="s">
        <v>5741</v>
      </c>
      <c r="E2297" s="10" t="s">
        <v>45</v>
      </c>
      <c r="F2297" s="10" t="s">
        <v>665</v>
      </c>
      <c r="G2297" s="10" t="s">
        <v>2437</v>
      </c>
      <c r="H2297" s="10" t="s">
        <v>5742</v>
      </c>
      <c r="I2297" s="10" t="s">
        <v>55</v>
      </c>
      <c r="K2297" s="10" t="s">
        <v>5743</v>
      </c>
      <c r="L2297" s="10" t="s">
        <v>42</v>
      </c>
    </row>
    <row r="2298" ht="15.75" customHeight="1">
      <c r="A2298" s="64">
        <v>45483.0</v>
      </c>
      <c r="B2298" s="55" t="str">
        <f>HYPERLINK("https://jobright.ai/jobs/info/669112fc50888b752cb3e217?utm_campaign=1062&amp;utm_source=sheet", "Apply")</f>
        <v>Apply</v>
      </c>
      <c r="C2298" s="10" t="s">
        <v>6977</v>
      </c>
      <c r="D2298" s="56" t="s">
        <v>6978</v>
      </c>
      <c r="E2298" s="10">
        <v>1516.0</v>
      </c>
      <c r="G2298" s="10" t="s">
        <v>2464</v>
      </c>
      <c r="H2298" s="10" t="s">
        <v>6979</v>
      </c>
      <c r="I2298" s="10" t="s">
        <v>55</v>
      </c>
      <c r="J2298" s="10" t="s">
        <v>6980</v>
      </c>
      <c r="K2298" s="10" t="s">
        <v>6981</v>
      </c>
      <c r="L2298" s="10" t="s">
        <v>42</v>
      </c>
    </row>
    <row r="2299" ht="15.75" customHeight="1">
      <c r="A2299" s="64">
        <v>45483.0</v>
      </c>
      <c r="B2299" s="55" t="str">
        <f>HYPERLINK("https://jobright.ai/jobs/info/66a0e23bb5a1f656ae2a9fba?utm_campaign=1062&amp;utm_source=sheet", "Apply")</f>
        <v>Apply</v>
      </c>
      <c r="C2299" s="10" t="s">
        <v>6982</v>
      </c>
      <c r="D2299" s="56" t="s">
        <v>6983</v>
      </c>
      <c r="E2299" s="10" t="s">
        <v>45</v>
      </c>
      <c r="F2299" s="10" t="s">
        <v>6984</v>
      </c>
      <c r="G2299" s="10" t="s">
        <v>3733</v>
      </c>
      <c r="H2299" s="10" t="s">
        <v>442</v>
      </c>
      <c r="I2299" s="10" t="s">
        <v>55</v>
      </c>
      <c r="J2299" s="10" t="s">
        <v>6985</v>
      </c>
      <c r="K2299" s="10" t="s">
        <v>6986</v>
      </c>
      <c r="L2299" s="10" t="s">
        <v>42</v>
      </c>
    </row>
    <row r="2300" ht="15.75" customHeight="1">
      <c r="A2300" s="64">
        <v>45483.0</v>
      </c>
      <c r="B2300" s="55" t="str">
        <f>HYPERLINK("https://jobright.ai/jobs/info/6697a6d0620f4ec9da97a118?utm_campaign=1062&amp;utm_source=sheet", "Apply")</f>
        <v>Apply</v>
      </c>
      <c r="C2300" s="10" t="s">
        <v>6987</v>
      </c>
      <c r="D2300" s="56" t="s">
        <v>6937</v>
      </c>
      <c r="E2300" s="10" t="s">
        <v>71</v>
      </c>
      <c r="F2300" s="10" t="s">
        <v>6938</v>
      </c>
      <c r="G2300" s="10" t="s">
        <v>2448</v>
      </c>
      <c r="H2300" s="10" t="s">
        <v>423</v>
      </c>
      <c r="I2300" s="10" t="s">
        <v>55</v>
      </c>
      <c r="K2300" s="10" t="s">
        <v>6988</v>
      </c>
      <c r="L2300" s="10" t="s">
        <v>42</v>
      </c>
    </row>
    <row r="2301" ht="15.75" customHeight="1">
      <c r="A2301" s="64">
        <v>45483.0</v>
      </c>
      <c r="B2301" s="55" t="str">
        <f>HYPERLINK("https://jobright.ai/jobs/info/66721518b169b2608057fb34?utm_campaign=1062&amp;utm_source=sheet", "Apply")</f>
        <v>Apply</v>
      </c>
      <c r="C2301" s="10" t="s">
        <v>6989</v>
      </c>
      <c r="D2301" s="56" t="s">
        <v>1780</v>
      </c>
      <c r="E2301" s="10" t="s">
        <v>45</v>
      </c>
      <c r="F2301" s="10" t="s">
        <v>1781</v>
      </c>
      <c r="G2301" s="10" t="s">
        <v>2807</v>
      </c>
      <c r="H2301" s="10" t="s">
        <v>423</v>
      </c>
      <c r="I2301" s="10" t="s">
        <v>55</v>
      </c>
      <c r="J2301" s="10" t="s">
        <v>3969</v>
      </c>
      <c r="K2301" s="10" t="s">
        <v>4532</v>
      </c>
      <c r="L2301" s="10" t="s">
        <v>42</v>
      </c>
    </row>
    <row r="2302" ht="15.75" customHeight="1">
      <c r="A2302" s="64">
        <v>45483.0</v>
      </c>
      <c r="B2302" s="55" t="str">
        <f>HYPERLINK("https://jobright.ai/jobs/info/6677adc7dc7be138508a3233?utm_campaign=1062&amp;utm_source=sheet", "Apply")</f>
        <v>Apply</v>
      </c>
      <c r="C2302" s="10" t="s">
        <v>3044</v>
      </c>
      <c r="D2302" s="56" t="s">
        <v>2631</v>
      </c>
      <c r="E2302" s="10" t="s">
        <v>209</v>
      </c>
      <c r="F2302" s="10" t="s">
        <v>2632</v>
      </c>
      <c r="G2302" s="10" t="s">
        <v>2464</v>
      </c>
      <c r="H2302" s="10" t="s">
        <v>6990</v>
      </c>
      <c r="I2302" s="10" t="s">
        <v>55</v>
      </c>
      <c r="K2302" s="10" t="s">
        <v>3045</v>
      </c>
      <c r="L2302" s="10" t="s">
        <v>42</v>
      </c>
    </row>
    <row r="2303" ht="15.75" customHeight="1">
      <c r="A2303" s="64">
        <v>45483.0</v>
      </c>
      <c r="B2303" s="55" t="str">
        <f>HYPERLINK("https://jobright.ai/jobs/info/6697a4d593620e3dc5d230fb?utm_campaign=1062&amp;utm_source=sheet", "Apply")</f>
        <v>Apply</v>
      </c>
      <c r="C2303" s="10" t="s">
        <v>6991</v>
      </c>
      <c r="D2303" s="56" t="s">
        <v>6937</v>
      </c>
      <c r="E2303" s="10" t="s">
        <v>71</v>
      </c>
      <c r="F2303" s="10" t="s">
        <v>6938</v>
      </c>
      <c r="G2303" s="10" t="s">
        <v>2484</v>
      </c>
      <c r="H2303" s="10" t="s">
        <v>423</v>
      </c>
      <c r="I2303" s="10" t="s">
        <v>55</v>
      </c>
      <c r="K2303" s="10" t="s">
        <v>6940</v>
      </c>
      <c r="L2303" s="10" t="s">
        <v>42</v>
      </c>
    </row>
    <row r="2304" ht="15.75" customHeight="1">
      <c r="A2304" s="64">
        <v>45483.0</v>
      </c>
      <c r="B2304" s="55" t="str">
        <f>HYPERLINK("https://jobright.ai/jobs/info/6691103e1275f0d7353dd00d?utm_campaign=1062&amp;utm_source=sheet", "Apply")</f>
        <v>Apply</v>
      </c>
      <c r="C2304" s="10" t="s">
        <v>6992</v>
      </c>
      <c r="D2304" s="56" t="s">
        <v>6993</v>
      </c>
      <c r="E2304" s="10" t="s">
        <v>276</v>
      </c>
      <c r="F2304" s="10" t="s">
        <v>6994</v>
      </c>
      <c r="G2304" s="10" t="s">
        <v>2484</v>
      </c>
      <c r="H2304" s="10" t="s">
        <v>1097</v>
      </c>
      <c r="I2304" s="10" t="s">
        <v>55</v>
      </c>
      <c r="K2304" s="10" t="s">
        <v>6995</v>
      </c>
      <c r="L2304" s="10" t="s">
        <v>42</v>
      </c>
    </row>
    <row r="2305" ht="15.75" customHeight="1">
      <c r="A2305" s="64">
        <v>45483.0</v>
      </c>
      <c r="B2305" s="55" t="str">
        <f>HYPERLINK("https://jobright.ai/jobs/info/667955bb39ca2f81c4370cee?utm_campaign=1062&amp;utm_source=sheet", "Apply")</f>
        <v>Apply</v>
      </c>
      <c r="C2305" s="10" t="s">
        <v>3044</v>
      </c>
      <c r="D2305" s="56" t="s">
        <v>2631</v>
      </c>
      <c r="E2305" s="10" t="s">
        <v>209</v>
      </c>
      <c r="F2305" s="10" t="s">
        <v>2632</v>
      </c>
      <c r="G2305" s="10" t="s">
        <v>2464</v>
      </c>
      <c r="H2305" s="10" t="s">
        <v>1978</v>
      </c>
      <c r="I2305" s="10" t="s">
        <v>55</v>
      </c>
      <c r="K2305" s="10" t="s">
        <v>3045</v>
      </c>
      <c r="L2305" s="10" t="s">
        <v>42</v>
      </c>
    </row>
    <row r="2306" ht="15.75" customHeight="1">
      <c r="A2306" s="64">
        <v>45483.0</v>
      </c>
      <c r="B2306" s="55" t="str">
        <f>HYPERLINK("https://jobright.ai/jobs/info/668e6a0193519db874d56b81?utm_campaign=1062&amp;utm_source=sheet", "Apply")</f>
        <v>Apply</v>
      </c>
      <c r="C2306" s="10" t="s">
        <v>6996</v>
      </c>
      <c r="D2306" s="56" t="s">
        <v>208</v>
      </c>
      <c r="E2306" s="10" t="s">
        <v>209</v>
      </c>
      <c r="F2306" s="10" t="s">
        <v>210</v>
      </c>
      <c r="G2306" s="10" t="s">
        <v>2484</v>
      </c>
      <c r="H2306" s="10" t="s">
        <v>211</v>
      </c>
      <c r="I2306" s="10" t="s">
        <v>55</v>
      </c>
      <c r="K2306" s="10" t="s">
        <v>6997</v>
      </c>
      <c r="L2306" s="10" t="s">
        <v>42</v>
      </c>
    </row>
    <row r="2307" ht="15.75" customHeight="1">
      <c r="A2307" s="64">
        <v>45483.0</v>
      </c>
      <c r="B2307" s="55" t="str">
        <f>HYPERLINK("https://jobright.ai/jobs/info/6675c37a2c5358baace99280?utm_campaign=1062&amp;utm_source=sheet", "Apply")</f>
        <v>Apply</v>
      </c>
      <c r="C2307" s="10" t="s">
        <v>3321</v>
      </c>
      <c r="D2307" s="56" t="s">
        <v>3322</v>
      </c>
      <c r="E2307" s="10" t="s">
        <v>45</v>
      </c>
      <c r="F2307" s="10" t="s">
        <v>3323</v>
      </c>
      <c r="G2307" s="10" t="s">
        <v>2484</v>
      </c>
      <c r="H2307" s="10" t="s">
        <v>6998</v>
      </c>
      <c r="I2307" s="10" t="s">
        <v>55</v>
      </c>
      <c r="K2307" s="10" t="s">
        <v>3325</v>
      </c>
      <c r="L2307" s="10" t="s">
        <v>42</v>
      </c>
    </row>
    <row r="2308" ht="15.75" customHeight="1">
      <c r="A2308" s="64">
        <v>45483.0</v>
      </c>
      <c r="B2308" s="55" t="str">
        <f>HYPERLINK("https://jobright.ai/jobs/info/6671ce5a3a5607a134ff3341?utm_campaign=1062&amp;utm_source=sheet", "Apply")</f>
        <v>Apply</v>
      </c>
      <c r="C2308" s="10" t="s">
        <v>5301</v>
      </c>
      <c r="D2308" s="56" t="s">
        <v>288</v>
      </c>
      <c r="E2308" s="10" t="s">
        <v>137</v>
      </c>
      <c r="F2308" s="10" t="s">
        <v>289</v>
      </c>
      <c r="G2308" s="10" t="s">
        <v>3733</v>
      </c>
      <c r="H2308" s="10" t="s">
        <v>152</v>
      </c>
      <c r="I2308" s="10" t="s">
        <v>48</v>
      </c>
      <c r="K2308" s="10" t="s">
        <v>5302</v>
      </c>
      <c r="L2308" s="10" t="s">
        <v>42</v>
      </c>
    </row>
    <row r="2309" ht="15.75" customHeight="1">
      <c r="A2309" s="64">
        <v>45483.0</v>
      </c>
      <c r="B2309" s="55" t="str">
        <f>HYPERLINK("https://jobright.ai/jobs/info/66757ca918f8e42094329498?utm_campaign=1062&amp;utm_source=sheet", "Apply")</f>
        <v>Apply</v>
      </c>
      <c r="C2309" s="10" t="s">
        <v>6999</v>
      </c>
      <c r="D2309" s="56" t="s">
        <v>4377</v>
      </c>
      <c r="E2309" s="10" t="s">
        <v>45</v>
      </c>
      <c r="F2309" s="10" t="s">
        <v>1695</v>
      </c>
      <c r="G2309" s="10" t="s">
        <v>2443</v>
      </c>
      <c r="H2309" s="10" t="s">
        <v>96</v>
      </c>
      <c r="I2309" s="10" t="s">
        <v>55</v>
      </c>
      <c r="J2309" s="10" t="s">
        <v>7000</v>
      </c>
      <c r="K2309" s="10" t="s">
        <v>7001</v>
      </c>
      <c r="L2309" s="10" t="s">
        <v>42</v>
      </c>
    </row>
    <row r="2310" ht="15.75" customHeight="1">
      <c r="A2310" s="64">
        <v>45483.0</v>
      </c>
      <c r="B2310" s="55" t="str">
        <f>HYPERLINK("https://jobright.ai/jobs/info/6671ca4a503a6d9448cca93f?utm_campaign=1062&amp;utm_source=sheet", "Apply")</f>
        <v>Apply</v>
      </c>
      <c r="C2310" s="10" t="s">
        <v>5356</v>
      </c>
      <c r="D2310" s="56" t="s">
        <v>288</v>
      </c>
      <c r="E2310" s="10" t="s">
        <v>137</v>
      </c>
      <c r="F2310" s="10" t="s">
        <v>289</v>
      </c>
      <c r="G2310" s="10" t="s">
        <v>2437</v>
      </c>
      <c r="H2310" s="10" t="s">
        <v>152</v>
      </c>
      <c r="I2310" s="10" t="s">
        <v>48</v>
      </c>
      <c r="K2310" s="10" t="s">
        <v>5357</v>
      </c>
      <c r="L2310" s="10" t="s">
        <v>42</v>
      </c>
    </row>
    <row r="2311" ht="15.75" customHeight="1">
      <c r="A2311" s="64">
        <v>45483.0</v>
      </c>
      <c r="B2311" s="55" t="str">
        <f>HYPERLINK("https://jobright.ai/jobs/info/6677add1dc7be138508a3252?utm_campaign=1062&amp;utm_source=sheet", "Apply")</f>
        <v>Apply</v>
      </c>
      <c r="C2311" s="10" t="s">
        <v>7002</v>
      </c>
      <c r="D2311" s="56" t="s">
        <v>6563</v>
      </c>
      <c r="E2311" s="10" t="s">
        <v>65</v>
      </c>
      <c r="F2311" s="10" t="s">
        <v>318</v>
      </c>
      <c r="G2311" s="10" t="s">
        <v>2807</v>
      </c>
      <c r="H2311" s="10" t="s">
        <v>423</v>
      </c>
      <c r="I2311" s="10" t="s">
        <v>55</v>
      </c>
      <c r="J2311" s="10" t="s">
        <v>7003</v>
      </c>
      <c r="K2311" s="10" t="s">
        <v>7004</v>
      </c>
      <c r="L2311" s="10" t="s">
        <v>42</v>
      </c>
    </row>
    <row r="2312" ht="15.75" customHeight="1">
      <c r="A2312" s="64">
        <v>45483.0</v>
      </c>
      <c r="B2312" s="55" t="str">
        <f>HYPERLINK("https://jobright.ai/jobs/info/6675be976f7095ca90c07be6?utm_campaign=1062&amp;utm_source=sheet", "Apply")</f>
        <v>Apply</v>
      </c>
      <c r="C2312" s="10" t="s">
        <v>5326</v>
      </c>
      <c r="D2312" s="56" t="s">
        <v>288</v>
      </c>
      <c r="E2312" s="10" t="s">
        <v>137</v>
      </c>
      <c r="F2312" s="10" t="s">
        <v>289</v>
      </c>
      <c r="G2312" s="10" t="s">
        <v>2448</v>
      </c>
      <c r="H2312" s="10" t="s">
        <v>152</v>
      </c>
      <c r="I2312" s="10" t="s">
        <v>55</v>
      </c>
      <c r="K2312" s="10" t="s">
        <v>5327</v>
      </c>
      <c r="L2312" s="10" t="s">
        <v>42</v>
      </c>
    </row>
    <row r="2313" ht="15.75" customHeight="1">
      <c r="A2313" s="64">
        <v>45483.0</v>
      </c>
      <c r="B2313" s="55" t="str">
        <f>HYPERLINK("https://jobright.ai/jobs/info/668e582a52b35411f37d5f26?utm_campaign=1062&amp;utm_source=sheet", "Apply")</f>
        <v>Apply</v>
      </c>
      <c r="C2313" s="10" t="s">
        <v>7005</v>
      </c>
      <c r="D2313" s="56" t="s">
        <v>6946</v>
      </c>
      <c r="E2313" s="10" t="s">
        <v>45</v>
      </c>
      <c r="G2313" s="10" t="s">
        <v>2464</v>
      </c>
      <c r="H2313" s="10" t="s">
        <v>7006</v>
      </c>
      <c r="I2313" s="10" t="s">
        <v>48</v>
      </c>
      <c r="J2313" s="10" t="s">
        <v>2742</v>
      </c>
      <c r="K2313" s="10" t="s">
        <v>6947</v>
      </c>
      <c r="L2313" s="10" t="s">
        <v>42</v>
      </c>
    </row>
    <row r="2314" ht="15.75" customHeight="1">
      <c r="A2314" s="64">
        <v>45483.0</v>
      </c>
      <c r="B2314" s="55" t="str">
        <f>HYPERLINK("https://jobright.ai/jobs/info/668e6263394cc2e566364b04?utm_campaign=1062&amp;utm_source=sheet", "Apply")</f>
        <v>Apply</v>
      </c>
      <c r="C2314" s="10" t="s">
        <v>7007</v>
      </c>
      <c r="D2314" s="56" t="s">
        <v>2925</v>
      </c>
      <c r="E2314" s="10" t="s">
        <v>45</v>
      </c>
      <c r="F2314" s="10" t="s">
        <v>2926</v>
      </c>
      <c r="G2314" s="10" t="s">
        <v>2502</v>
      </c>
      <c r="H2314" s="10" t="s">
        <v>807</v>
      </c>
      <c r="I2314" s="10" t="s">
        <v>48</v>
      </c>
      <c r="K2314" s="10" t="s">
        <v>4518</v>
      </c>
      <c r="L2314" s="10" t="s">
        <v>42</v>
      </c>
    </row>
    <row r="2315" ht="15.75" customHeight="1">
      <c r="A2315" s="64">
        <v>45483.0</v>
      </c>
      <c r="B2315" s="55" t="str">
        <f>HYPERLINK("https://jobright.ai/jobs/info/668e3ef8440fe6927bebb0e3?utm_campaign=1062&amp;utm_source=sheet", "Apply")</f>
        <v>Apply</v>
      </c>
      <c r="C2315" s="10" t="s">
        <v>7008</v>
      </c>
      <c r="D2315" s="56" t="s">
        <v>7009</v>
      </c>
      <c r="E2315" s="10" t="s">
        <v>137</v>
      </c>
      <c r="F2315" s="10" t="s">
        <v>7010</v>
      </c>
      <c r="G2315" s="10" t="s">
        <v>2502</v>
      </c>
      <c r="H2315" s="10" t="s">
        <v>144</v>
      </c>
      <c r="I2315" s="10" t="s">
        <v>55</v>
      </c>
      <c r="J2315" s="10" t="s">
        <v>7011</v>
      </c>
      <c r="K2315" s="10" t="s">
        <v>7012</v>
      </c>
      <c r="L2315" s="10" t="s">
        <v>42</v>
      </c>
    </row>
    <row r="2316" ht="15.75" customHeight="1">
      <c r="A2316" s="64">
        <v>45483.0</v>
      </c>
      <c r="B2316" s="55" t="str">
        <f>HYPERLINK("https://jobright.ai/jobs/info/668decd3c4122b0aba9af83e?utm_campaign=1062&amp;utm_source=sheet", "Apply")</f>
        <v>Apply</v>
      </c>
      <c r="C2316" s="10" t="s">
        <v>7013</v>
      </c>
      <c r="D2316" s="56" t="s">
        <v>7014</v>
      </c>
      <c r="E2316" s="10">
        <v>1670.0</v>
      </c>
      <c r="G2316" s="10" t="s">
        <v>2502</v>
      </c>
      <c r="H2316" s="10" t="s">
        <v>7015</v>
      </c>
      <c r="I2316" s="10" t="s">
        <v>55</v>
      </c>
      <c r="J2316" s="10" t="s">
        <v>1960</v>
      </c>
      <c r="K2316" s="10" t="s">
        <v>7016</v>
      </c>
      <c r="L2316" s="10" t="s">
        <v>42</v>
      </c>
    </row>
    <row r="2317" ht="15.75" customHeight="1">
      <c r="A2317" s="64">
        <v>45483.0</v>
      </c>
      <c r="B2317" s="55" t="str">
        <f>HYPERLINK("https://jobright.ai/jobs/info/668deb4c6da13c249682399e?utm_campaign=1062&amp;utm_source=sheet", "Apply")</f>
        <v>Apply</v>
      </c>
      <c r="C2317" s="10" t="s">
        <v>3099</v>
      </c>
      <c r="D2317" s="56" t="s">
        <v>7017</v>
      </c>
      <c r="E2317" s="10" t="s">
        <v>249</v>
      </c>
      <c r="F2317" s="10" t="s">
        <v>7018</v>
      </c>
      <c r="G2317" s="10" t="s">
        <v>2437</v>
      </c>
      <c r="H2317" s="10" t="s">
        <v>7019</v>
      </c>
      <c r="I2317" s="10" t="s">
        <v>55</v>
      </c>
      <c r="K2317" s="10" t="s">
        <v>7020</v>
      </c>
      <c r="L2317" s="10" t="s">
        <v>42</v>
      </c>
    </row>
    <row r="2318" ht="15.75" customHeight="1">
      <c r="A2318" s="64">
        <v>45483.0</v>
      </c>
      <c r="B2318" s="55" t="str">
        <f>HYPERLINK("https://jobright.ai/jobs/info/668e95b94dd337b915ee8494?utm_campaign=1062&amp;utm_source=sheet", "Apply")</f>
        <v>Apply</v>
      </c>
      <c r="C2318" s="10" t="s">
        <v>7021</v>
      </c>
      <c r="D2318" s="56" t="s">
        <v>7022</v>
      </c>
      <c r="E2318" s="10" t="s">
        <v>65</v>
      </c>
      <c r="F2318" s="10" t="s">
        <v>4323</v>
      </c>
      <c r="G2318" s="10" t="s">
        <v>2443</v>
      </c>
      <c r="H2318" s="10" t="s">
        <v>7023</v>
      </c>
      <c r="I2318" s="10" t="s">
        <v>55</v>
      </c>
      <c r="K2318" s="10" t="s">
        <v>7024</v>
      </c>
      <c r="L2318" s="10" t="s">
        <v>42</v>
      </c>
    </row>
    <row r="2319" ht="15.75" customHeight="1">
      <c r="A2319" s="64">
        <v>45483.0</v>
      </c>
      <c r="B2319" s="55" t="str">
        <f>HYPERLINK("https://jobright.ai/jobs/info/668fa601efed4c5e55b95b7d?utm_campaign=1062&amp;utm_source=sheet", "Apply")</f>
        <v>Apply</v>
      </c>
      <c r="C2319" s="10" t="s">
        <v>5815</v>
      </c>
      <c r="D2319" s="56" t="s">
        <v>1258</v>
      </c>
      <c r="E2319" s="10" t="s">
        <v>45</v>
      </c>
      <c r="F2319" s="10" t="s">
        <v>1259</v>
      </c>
      <c r="G2319" s="10" t="s">
        <v>2448</v>
      </c>
      <c r="H2319" s="10" t="s">
        <v>7025</v>
      </c>
      <c r="I2319" s="10" t="s">
        <v>55</v>
      </c>
      <c r="K2319" s="10" t="s">
        <v>5816</v>
      </c>
      <c r="L2319" s="10" t="s">
        <v>42</v>
      </c>
    </row>
    <row r="2320" ht="15.75" customHeight="1">
      <c r="A2320" s="64">
        <v>45483.0</v>
      </c>
      <c r="B2320" s="55" t="str">
        <f>HYPERLINK("https://jobright.ai/jobs/info/668eeee7a62fe6747cebc165?utm_campaign=1062&amp;utm_source=sheet", "Apply")</f>
        <v>Apply</v>
      </c>
      <c r="C2320" s="10" t="s">
        <v>7026</v>
      </c>
      <c r="D2320" s="56" t="s">
        <v>563</v>
      </c>
      <c r="E2320" s="10" t="s">
        <v>249</v>
      </c>
      <c r="F2320" s="10" t="s">
        <v>564</v>
      </c>
      <c r="G2320" s="10" t="s">
        <v>2502</v>
      </c>
      <c r="H2320" s="10" t="s">
        <v>3423</v>
      </c>
      <c r="I2320" s="10" t="s">
        <v>55</v>
      </c>
      <c r="J2320" s="10" t="s">
        <v>1522</v>
      </c>
      <c r="K2320" s="10" t="s">
        <v>7027</v>
      </c>
      <c r="L2320" s="10" t="s">
        <v>42</v>
      </c>
    </row>
    <row r="2321" ht="15.75" customHeight="1">
      <c r="A2321" s="64">
        <v>45482.0</v>
      </c>
      <c r="B2321" s="55" t="str">
        <f>HYPERLINK("https://jobright.ai/jobs/info/668e81f6b860a449c6f15b07?utm_campaign=1062&amp;utm_source=sheet", "Apply")</f>
        <v>Apply</v>
      </c>
      <c r="C2321" s="10" t="s">
        <v>7028</v>
      </c>
      <c r="D2321" s="56" t="s">
        <v>1941</v>
      </c>
      <c r="E2321" s="10" t="s">
        <v>65</v>
      </c>
      <c r="F2321" s="10" t="s">
        <v>1942</v>
      </c>
      <c r="G2321" s="10" t="s">
        <v>2448</v>
      </c>
      <c r="H2321" s="10" t="s">
        <v>879</v>
      </c>
      <c r="I2321" s="10" t="s">
        <v>55</v>
      </c>
      <c r="K2321" s="10" t="s">
        <v>7029</v>
      </c>
      <c r="L2321" s="10" t="s">
        <v>42</v>
      </c>
    </row>
    <row r="2322" ht="15.75" customHeight="1">
      <c r="A2322" s="64">
        <v>45482.0</v>
      </c>
      <c r="B2322" s="55" t="str">
        <f>HYPERLINK("https://jobright.ai/jobs/info/668e4756cbeee4b3b46331fc?utm_campaign=1062&amp;utm_source=sheet", "Apply")</f>
        <v>Apply</v>
      </c>
      <c r="C2322" s="10" t="s">
        <v>7030</v>
      </c>
      <c r="D2322" s="56" t="s">
        <v>2621</v>
      </c>
      <c r="E2322" s="10" t="s">
        <v>45</v>
      </c>
      <c r="F2322" s="10" t="s">
        <v>2622</v>
      </c>
      <c r="G2322" s="10" t="s">
        <v>2484</v>
      </c>
      <c r="H2322" s="10" t="s">
        <v>429</v>
      </c>
      <c r="I2322" s="10" t="s">
        <v>48</v>
      </c>
      <c r="K2322" s="10" t="s">
        <v>7031</v>
      </c>
      <c r="L2322" s="10" t="s">
        <v>42</v>
      </c>
    </row>
    <row r="2323" ht="15.75" customHeight="1">
      <c r="A2323" s="64">
        <v>45482.0</v>
      </c>
      <c r="B2323" s="55" t="str">
        <f>HYPERLINK("https://jobright.ai/jobs/info/66624a37c0bc96386839549f?utm_campaign=1062&amp;utm_source=sheet", "Apply")</f>
        <v>Apply</v>
      </c>
      <c r="C2323" s="10" t="s">
        <v>7032</v>
      </c>
      <c r="D2323" s="56" t="s">
        <v>6871</v>
      </c>
      <c r="E2323" s="10" t="s">
        <v>65</v>
      </c>
      <c r="F2323" s="10" t="s">
        <v>6872</v>
      </c>
      <c r="G2323" s="10" t="s">
        <v>2502</v>
      </c>
      <c r="H2323" s="10" t="s">
        <v>423</v>
      </c>
      <c r="I2323" s="10" t="s">
        <v>55</v>
      </c>
      <c r="J2323" s="10" t="s">
        <v>6873</v>
      </c>
      <c r="K2323" s="10" t="s">
        <v>7033</v>
      </c>
      <c r="L2323" s="10" t="s">
        <v>42</v>
      </c>
    </row>
    <row r="2324" ht="15.75" customHeight="1">
      <c r="A2324" s="64">
        <v>45482.0</v>
      </c>
      <c r="B2324" s="55" t="str">
        <f>HYPERLINK("https://jobright.ai/jobs/info/668591fae861c76931c96b0c?utm_campaign=1062&amp;utm_source=sheet", "Apply")</f>
        <v>Apply</v>
      </c>
      <c r="C2324" s="10" t="s">
        <v>7034</v>
      </c>
      <c r="D2324" s="56" t="s">
        <v>7035</v>
      </c>
      <c r="E2324" s="10" t="s">
        <v>45</v>
      </c>
      <c r="F2324" s="10" t="s">
        <v>2824</v>
      </c>
      <c r="G2324" s="10" t="s">
        <v>2464</v>
      </c>
      <c r="H2324" s="10" t="s">
        <v>7036</v>
      </c>
      <c r="I2324" s="10" t="s">
        <v>55</v>
      </c>
      <c r="J2324" s="10" t="s">
        <v>7037</v>
      </c>
      <c r="K2324" s="10" t="s">
        <v>7038</v>
      </c>
      <c r="L2324" s="10" t="s">
        <v>42</v>
      </c>
    </row>
    <row r="2325" ht="15.75" customHeight="1">
      <c r="A2325" s="64">
        <v>45482.0</v>
      </c>
      <c r="B2325" s="55" t="str">
        <f>HYPERLINK("https://jobright.ai/jobs/info/668e3b64ff127ff38d3a6d84?utm_campaign=1062&amp;utm_source=sheet", "Apply")</f>
        <v>Apply</v>
      </c>
      <c r="C2325" s="10" t="s">
        <v>7039</v>
      </c>
      <c r="D2325" s="56" t="s">
        <v>7040</v>
      </c>
      <c r="E2325" s="10" t="s">
        <v>65</v>
      </c>
      <c r="F2325" s="10" t="s">
        <v>2946</v>
      </c>
      <c r="G2325" s="10" t="s">
        <v>2464</v>
      </c>
      <c r="H2325" s="10" t="s">
        <v>935</v>
      </c>
      <c r="I2325" s="10" t="s">
        <v>55</v>
      </c>
      <c r="K2325" s="10" t="s">
        <v>7041</v>
      </c>
      <c r="L2325" s="10" t="s">
        <v>42</v>
      </c>
    </row>
    <row r="2326" ht="15.75" customHeight="1">
      <c r="A2326" s="64">
        <v>45482.0</v>
      </c>
      <c r="B2326" s="55" t="str">
        <f>HYPERLINK("https://jobright.ai/jobs/info/668e8a2006f3000f3f211f63?utm_campaign=1062&amp;utm_source=sheet", "Apply")</f>
        <v>Apply</v>
      </c>
      <c r="C2326" s="10" t="s">
        <v>7042</v>
      </c>
      <c r="D2326" s="56" t="s">
        <v>7043</v>
      </c>
      <c r="E2326" s="10" t="s">
        <v>209</v>
      </c>
      <c r="F2326" s="10" t="s">
        <v>7044</v>
      </c>
      <c r="G2326" s="10" t="s">
        <v>2495</v>
      </c>
      <c r="H2326" s="10" t="s">
        <v>96</v>
      </c>
      <c r="I2326" s="10" t="s">
        <v>55</v>
      </c>
      <c r="K2326" s="10" t="s">
        <v>7045</v>
      </c>
      <c r="L2326" s="10" t="s">
        <v>42</v>
      </c>
    </row>
    <row r="2327" ht="15.75" customHeight="1">
      <c r="A2327" s="64">
        <v>45482.0</v>
      </c>
      <c r="B2327" s="55" t="str">
        <f>HYPERLINK("https://jobright.ai/jobs/info/668e3b6dff127ff38d3a6ddc?utm_campaign=1062&amp;utm_source=sheet", "Apply")</f>
        <v>Apply</v>
      </c>
      <c r="C2327" s="10" t="s">
        <v>7046</v>
      </c>
      <c r="D2327" s="56" t="s">
        <v>7047</v>
      </c>
      <c r="E2327" s="10" t="s">
        <v>65</v>
      </c>
      <c r="F2327" s="10" t="s">
        <v>5048</v>
      </c>
      <c r="G2327" s="10" t="s">
        <v>2437</v>
      </c>
      <c r="H2327" s="10" t="s">
        <v>7048</v>
      </c>
      <c r="I2327" s="10" t="s">
        <v>55</v>
      </c>
      <c r="J2327" s="10" t="s">
        <v>2841</v>
      </c>
      <c r="K2327" s="10" t="s">
        <v>7049</v>
      </c>
      <c r="L2327" s="10" t="s">
        <v>42</v>
      </c>
    </row>
    <row r="2328" ht="15.75" customHeight="1">
      <c r="A2328" s="64">
        <v>45482.0</v>
      </c>
      <c r="B2328" s="55" t="str">
        <f>HYPERLINK("https://jobright.ai/jobs/info/668e3b6dff127ff38d3a6dcd?utm_campaign=1062&amp;utm_source=sheet", "Apply")</f>
        <v>Apply</v>
      </c>
      <c r="C2328" s="10" t="s">
        <v>7050</v>
      </c>
      <c r="D2328" s="56" t="s">
        <v>7047</v>
      </c>
      <c r="E2328" s="10" t="s">
        <v>65</v>
      </c>
      <c r="F2328" s="10" t="s">
        <v>5048</v>
      </c>
      <c r="G2328" s="10" t="s">
        <v>2484</v>
      </c>
      <c r="H2328" s="10" t="s">
        <v>7048</v>
      </c>
      <c r="I2328" s="10" t="s">
        <v>55</v>
      </c>
      <c r="J2328" s="10" t="s">
        <v>2841</v>
      </c>
      <c r="K2328" s="10" t="s">
        <v>7051</v>
      </c>
      <c r="L2328" s="10" t="s">
        <v>42</v>
      </c>
    </row>
    <row r="2329" ht="15.75" customHeight="1">
      <c r="A2329" s="64">
        <v>45482.0</v>
      </c>
      <c r="B2329" s="55" t="str">
        <f>HYPERLINK("https://jobright.ai/jobs/info/668e3b6dff127ff38d3a6e10?utm_campaign=1062&amp;utm_source=sheet", "Apply")</f>
        <v>Apply</v>
      </c>
      <c r="C2329" s="10" t="s">
        <v>7052</v>
      </c>
      <c r="D2329" s="56" t="s">
        <v>7047</v>
      </c>
      <c r="E2329" s="10" t="s">
        <v>65</v>
      </c>
      <c r="F2329" s="10" t="s">
        <v>5048</v>
      </c>
      <c r="G2329" s="10" t="s">
        <v>2484</v>
      </c>
      <c r="H2329" s="10" t="s">
        <v>7048</v>
      </c>
      <c r="I2329" s="10" t="s">
        <v>55</v>
      </c>
      <c r="K2329" s="10" t="s">
        <v>7053</v>
      </c>
      <c r="L2329" s="10" t="s">
        <v>42</v>
      </c>
    </row>
    <row r="2330" ht="15.75" customHeight="1">
      <c r="A2330" s="64">
        <v>45482.0</v>
      </c>
      <c r="B2330" s="55" t="str">
        <f>HYPERLINK("https://jobright.ai/jobs/info/668e3b6dff127ff38d3a6dfd?utm_campaign=1062&amp;utm_source=sheet", "Apply")</f>
        <v>Apply</v>
      </c>
      <c r="C2330" s="10" t="s">
        <v>7054</v>
      </c>
      <c r="D2330" s="56" t="s">
        <v>7047</v>
      </c>
      <c r="E2330" s="10" t="s">
        <v>65</v>
      </c>
      <c r="F2330" s="10" t="s">
        <v>5048</v>
      </c>
      <c r="G2330" s="10" t="s">
        <v>2484</v>
      </c>
      <c r="H2330" s="10" t="s">
        <v>7048</v>
      </c>
      <c r="I2330" s="10" t="s">
        <v>55</v>
      </c>
      <c r="J2330" s="10" t="s">
        <v>2841</v>
      </c>
      <c r="K2330" s="10" t="s">
        <v>7055</v>
      </c>
      <c r="L2330" s="10" t="s">
        <v>42</v>
      </c>
    </row>
    <row r="2331" ht="15.75" customHeight="1">
      <c r="A2331" s="64">
        <v>45482.0</v>
      </c>
      <c r="B2331" s="55" t="str">
        <f>HYPERLINK("https://jobright.ai/jobs/info/668dfe43e222ef0ee5977c3b?utm_campaign=1062&amp;utm_source=sheet", "Apply")</f>
        <v>Apply</v>
      </c>
      <c r="C2331" s="10" t="s">
        <v>7056</v>
      </c>
      <c r="D2331" s="56" t="s">
        <v>7057</v>
      </c>
      <c r="E2331" s="10" t="s">
        <v>249</v>
      </c>
      <c r="F2331" s="10" t="s">
        <v>7058</v>
      </c>
      <c r="G2331" s="10" t="s">
        <v>2464</v>
      </c>
      <c r="H2331" s="10" t="s">
        <v>7059</v>
      </c>
      <c r="I2331" s="10" t="s">
        <v>55</v>
      </c>
      <c r="K2331" s="10" t="s">
        <v>7060</v>
      </c>
      <c r="L2331" s="10" t="s">
        <v>42</v>
      </c>
    </row>
    <row r="2332" ht="15.75" customHeight="1">
      <c r="A2332" s="64">
        <v>45482.0</v>
      </c>
      <c r="B2332" s="55" t="str">
        <f>HYPERLINK("https://jobright.ai/jobs/info/668dfe43e222ef0ee5977c5f?utm_campaign=1062&amp;utm_source=sheet", "Apply")</f>
        <v>Apply</v>
      </c>
      <c r="C2332" s="10" t="s">
        <v>484</v>
      </c>
      <c r="D2332" s="56" t="s">
        <v>3364</v>
      </c>
      <c r="E2332" s="10" t="s">
        <v>45</v>
      </c>
      <c r="F2332" s="10" t="s">
        <v>1274</v>
      </c>
      <c r="G2332" s="10" t="s">
        <v>2448</v>
      </c>
      <c r="H2332" s="10" t="s">
        <v>849</v>
      </c>
      <c r="I2332" s="10" t="s">
        <v>55</v>
      </c>
      <c r="K2332" s="10" t="s">
        <v>5310</v>
      </c>
      <c r="L2332" s="10" t="s">
        <v>42</v>
      </c>
    </row>
    <row r="2333" ht="15.75" customHeight="1">
      <c r="A2333" s="64">
        <v>45482.0</v>
      </c>
      <c r="B2333" s="55" t="str">
        <f>HYPERLINK("https://jobright.ai/jobs/info/668e8d2bef4dbce708eeee72?utm_campaign=1062&amp;utm_source=sheet", "Apply")</f>
        <v>Apply</v>
      </c>
      <c r="C2333" s="10" t="s">
        <v>7061</v>
      </c>
      <c r="D2333" s="56" t="s">
        <v>3458</v>
      </c>
      <c r="E2333" s="10" t="s">
        <v>65</v>
      </c>
      <c r="F2333" s="10" t="s">
        <v>615</v>
      </c>
      <c r="G2333" s="10" t="s">
        <v>2437</v>
      </c>
      <c r="H2333" s="10" t="s">
        <v>965</v>
      </c>
      <c r="I2333" s="10" t="s">
        <v>55</v>
      </c>
      <c r="K2333" s="10" t="s">
        <v>7062</v>
      </c>
      <c r="L2333" s="10" t="s">
        <v>42</v>
      </c>
    </row>
    <row r="2334" ht="15.75" customHeight="1">
      <c r="A2334" s="64">
        <v>45482.0</v>
      </c>
      <c r="B2334" s="55" t="str">
        <f>HYPERLINK("https://jobright.ai/jobs/info/668d882da77fbe807aad34eb?utm_campaign=1062&amp;utm_source=sheet", "Apply")</f>
        <v>Apply</v>
      </c>
      <c r="C2334" s="10" t="s">
        <v>7063</v>
      </c>
      <c r="D2334" s="56" t="s">
        <v>7064</v>
      </c>
      <c r="E2334" s="10" t="s">
        <v>79</v>
      </c>
      <c r="F2334" s="10" t="s">
        <v>4022</v>
      </c>
      <c r="G2334" s="10" t="s">
        <v>2484</v>
      </c>
      <c r="H2334" s="10" t="s">
        <v>7065</v>
      </c>
      <c r="I2334" s="10" t="s">
        <v>55</v>
      </c>
      <c r="K2334" s="10" t="s">
        <v>7066</v>
      </c>
      <c r="L2334" s="10" t="s">
        <v>42</v>
      </c>
    </row>
    <row r="2335" ht="15.75" customHeight="1">
      <c r="A2335" s="64">
        <v>45482.0</v>
      </c>
      <c r="B2335" s="55" t="str">
        <f>HYPERLINK("https://jobright.ai/jobs/info/668e05c2ab5d6ea22149329e?utm_campaign=1062&amp;utm_source=sheet", "Apply")</f>
        <v>Apply</v>
      </c>
      <c r="C2335" s="10" t="s">
        <v>5318</v>
      </c>
      <c r="D2335" s="56" t="s">
        <v>7067</v>
      </c>
      <c r="F2335" s="10" t="s">
        <v>7068</v>
      </c>
      <c r="G2335" s="10" t="s">
        <v>2470</v>
      </c>
      <c r="H2335" s="10" t="s">
        <v>5320</v>
      </c>
      <c r="I2335" s="10" t="s">
        <v>55</v>
      </c>
      <c r="K2335" s="10" t="s">
        <v>5321</v>
      </c>
      <c r="L2335" s="10" t="s">
        <v>42</v>
      </c>
    </row>
    <row r="2336" ht="15.75" customHeight="1">
      <c r="A2336" s="64">
        <v>45482.0</v>
      </c>
      <c r="B2336" s="55" t="str">
        <f>HYPERLINK("https://jobright.ai/jobs/info/668d9d0a0de5c7da1e4475f0?utm_campaign=1062&amp;utm_source=sheet", "Apply")</f>
        <v>Apply</v>
      </c>
      <c r="C2336" s="10" t="s">
        <v>3530</v>
      </c>
      <c r="D2336" s="56" t="s">
        <v>3531</v>
      </c>
      <c r="E2336" s="10" t="s">
        <v>209</v>
      </c>
      <c r="F2336" s="10" t="s">
        <v>85</v>
      </c>
      <c r="G2336" s="10" t="s">
        <v>2464</v>
      </c>
      <c r="H2336" s="10" t="s">
        <v>912</v>
      </c>
      <c r="I2336" s="10" t="s">
        <v>55</v>
      </c>
      <c r="K2336" s="10" t="s">
        <v>7069</v>
      </c>
      <c r="L2336" s="10" t="s">
        <v>42</v>
      </c>
    </row>
    <row r="2337" ht="15.75" customHeight="1">
      <c r="A2337" s="64">
        <v>45482.0</v>
      </c>
      <c r="B2337" s="55" t="str">
        <f>HYPERLINK("https://jobright.ai/jobs/info/668d7d332949d64d8e447cf0?utm_campaign=1062&amp;utm_source=sheet", "Apply")</f>
        <v>Apply</v>
      </c>
      <c r="C2337" s="10" t="s">
        <v>7070</v>
      </c>
      <c r="D2337" s="56" t="s">
        <v>1163</v>
      </c>
      <c r="E2337" s="10" t="s">
        <v>137</v>
      </c>
      <c r="F2337" s="10" t="s">
        <v>1164</v>
      </c>
      <c r="G2337" s="10" t="s">
        <v>2502</v>
      </c>
      <c r="H2337" s="10" t="s">
        <v>1097</v>
      </c>
      <c r="I2337" s="10" t="s">
        <v>48</v>
      </c>
      <c r="J2337" s="10" t="s">
        <v>1165</v>
      </c>
      <c r="K2337" s="10" t="s">
        <v>7071</v>
      </c>
      <c r="L2337" s="10" t="s">
        <v>42</v>
      </c>
    </row>
    <row r="2338" ht="15.75" customHeight="1">
      <c r="A2338" s="64">
        <v>45482.0</v>
      </c>
      <c r="B2338" s="55" t="str">
        <f>HYPERLINK("https://jobright.ai/jobs/info/668d7d502949d64d8e447f28?utm_campaign=1062&amp;utm_source=sheet", "Apply")</f>
        <v>Apply</v>
      </c>
      <c r="C2338" s="10" t="s">
        <v>5905</v>
      </c>
      <c r="D2338" s="56" t="s">
        <v>1163</v>
      </c>
      <c r="E2338" s="10" t="s">
        <v>137</v>
      </c>
      <c r="F2338" s="10" t="s">
        <v>1164</v>
      </c>
      <c r="G2338" s="10" t="s">
        <v>2455</v>
      </c>
      <c r="H2338" s="10" t="s">
        <v>1097</v>
      </c>
      <c r="I2338" s="10" t="s">
        <v>55</v>
      </c>
      <c r="J2338" s="10" t="s">
        <v>1165</v>
      </c>
      <c r="K2338" s="10" t="s">
        <v>7072</v>
      </c>
      <c r="L2338" s="10" t="s">
        <v>42</v>
      </c>
    </row>
    <row r="2339" ht="15.75" customHeight="1">
      <c r="A2339" s="64">
        <v>45482.0</v>
      </c>
      <c r="B2339" s="55" t="str">
        <f>HYPERLINK("https://jobright.ai/jobs/info/668d7d3d2949d64d8e447d45?utm_campaign=1062&amp;utm_source=sheet", "Apply")</f>
        <v>Apply</v>
      </c>
      <c r="C2339" s="10" t="s">
        <v>7073</v>
      </c>
      <c r="D2339" s="56" t="s">
        <v>3531</v>
      </c>
      <c r="E2339" s="10" t="s">
        <v>209</v>
      </c>
      <c r="F2339" s="10" t="s">
        <v>85</v>
      </c>
      <c r="G2339" s="10" t="s">
        <v>2464</v>
      </c>
      <c r="H2339" s="10" t="s">
        <v>153</v>
      </c>
      <c r="I2339" s="10" t="s">
        <v>55</v>
      </c>
      <c r="K2339" s="10" t="s">
        <v>7074</v>
      </c>
      <c r="L2339" s="10" t="s">
        <v>42</v>
      </c>
    </row>
    <row r="2340" ht="15.75" customHeight="1">
      <c r="A2340" s="64">
        <v>45482.0</v>
      </c>
      <c r="B2340" s="55" t="str">
        <f>HYPERLINK("https://jobright.ai/jobs/info/668ecc77bf93d98adcfd5515?utm_campaign=1062&amp;utm_source=sheet", "Apply")</f>
        <v>Apply</v>
      </c>
      <c r="C2340" s="10" t="s">
        <v>3614</v>
      </c>
      <c r="D2340" s="56" t="s">
        <v>7075</v>
      </c>
      <c r="E2340" s="10" t="s">
        <v>45</v>
      </c>
      <c r="F2340" s="10" t="s">
        <v>7076</v>
      </c>
      <c r="G2340" s="10" t="s">
        <v>2464</v>
      </c>
      <c r="H2340" s="10" t="s">
        <v>167</v>
      </c>
      <c r="I2340" s="10" t="s">
        <v>55</v>
      </c>
      <c r="K2340" s="10" t="s">
        <v>3616</v>
      </c>
      <c r="L2340" s="10" t="s">
        <v>42</v>
      </c>
    </row>
    <row r="2341" ht="15.75" customHeight="1">
      <c r="A2341" s="64">
        <v>45482.0</v>
      </c>
      <c r="B2341" s="55" t="str">
        <f>HYPERLINK("https://jobright.ai/jobs/info/668ec466c916c3695aa7a682?utm_campaign=1062&amp;utm_source=sheet", "Apply")</f>
        <v>Apply</v>
      </c>
      <c r="C2341" s="10" t="s">
        <v>7077</v>
      </c>
      <c r="D2341" s="56" t="s">
        <v>7075</v>
      </c>
      <c r="E2341" s="10" t="s">
        <v>45</v>
      </c>
      <c r="F2341" s="10" t="s">
        <v>7076</v>
      </c>
      <c r="G2341" s="10" t="s">
        <v>3005</v>
      </c>
      <c r="H2341" s="10" t="s">
        <v>96</v>
      </c>
      <c r="I2341" s="10" t="s">
        <v>55</v>
      </c>
      <c r="J2341" s="10" t="s">
        <v>1984</v>
      </c>
      <c r="K2341" s="10" t="s">
        <v>7078</v>
      </c>
      <c r="L2341" s="10" t="s">
        <v>42</v>
      </c>
    </row>
    <row r="2342" ht="15.75" customHeight="1">
      <c r="A2342" s="64">
        <v>45482.0</v>
      </c>
      <c r="B2342" s="55" t="str">
        <f>HYPERLINK("https://jobright.ai/jobs/info/668ec477c916c3695aa7a803?utm_campaign=1062&amp;utm_source=sheet", "Apply")</f>
        <v>Apply</v>
      </c>
      <c r="C2342" s="10" t="s">
        <v>7079</v>
      </c>
      <c r="D2342" s="56" t="s">
        <v>7075</v>
      </c>
      <c r="E2342" s="10" t="s">
        <v>45</v>
      </c>
      <c r="F2342" s="10" t="s">
        <v>7076</v>
      </c>
      <c r="G2342" s="10" t="s">
        <v>2437</v>
      </c>
      <c r="H2342" s="10" t="s">
        <v>2909</v>
      </c>
      <c r="I2342" s="10" t="s">
        <v>55</v>
      </c>
      <c r="K2342" s="10" t="s">
        <v>7080</v>
      </c>
      <c r="L2342" s="10" t="s">
        <v>42</v>
      </c>
    </row>
    <row r="2343" ht="15.75" customHeight="1">
      <c r="A2343" s="64">
        <v>45482.0</v>
      </c>
      <c r="B2343" s="55" t="str">
        <f>HYPERLINK("https://jobright.ai/jobs/info/668ec490c916c3695aa7aab3?utm_campaign=1062&amp;utm_source=sheet", "Apply")</f>
        <v>Apply</v>
      </c>
      <c r="C2343" s="10" t="s">
        <v>301</v>
      </c>
      <c r="D2343" s="56" t="s">
        <v>7075</v>
      </c>
      <c r="E2343" s="10" t="s">
        <v>45</v>
      </c>
      <c r="F2343" s="10" t="s">
        <v>7076</v>
      </c>
      <c r="G2343" s="10" t="s">
        <v>2464</v>
      </c>
      <c r="H2343" s="10" t="s">
        <v>2708</v>
      </c>
      <c r="I2343" s="10" t="s">
        <v>48</v>
      </c>
      <c r="K2343" s="10" t="s">
        <v>3611</v>
      </c>
      <c r="L2343" s="10" t="s">
        <v>42</v>
      </c>
    </row>
    <row r="2344" ht="15.75" customHeight="1">
      <c r="A2344" s="64">
        <v>45482.0</v>
      </c>
      <c r="B2344" s="55" t="str">
        <f>HYPERLINK("https://jobright.ai/jobs/info/668ebb90f8776ede103d0f5d?utm_campaign=1062&amp;utm_source=sheet", "Apply")</f>
        <v>Apply</v>
      </c>
      <c r="C2344" s="10" t="s">
        <v>7081</v>
      </c>
      <c r="D2344" s="56" t="s">
        <v>7075</v>
      </c>
      <c r="E2344" s="10" t="s">
        <v>45</v>
      </c>
      <c r="F2344" s="10" t="s">
        <v>7076</v>
      </c>
      <c r="G2344" s="10" t="s">
        <v>2476</v>
      </c>
      <c r="H2344" s="10" t="s">
        <v>4922</v>
      </c>
      <c r="I2344" s="10" t="s">
        <v>55</v>
      </c>
      <c r="J2344" s="10" t="s">
        <v>521</v>
      </c>
      <c r="K2344" s="10" t="s">
        <v>7082</v>
      </c>
      <c r="L2344" s="10" t="s">
        <v>42</v>
      </c>
    </row>
    <row r="2345" ht="15.75" customHeight="1">
      <c r="A2345" s="64">
        <v>45482.0</v>
      </c>
      <c r="B2345" s="55" t="str">
        <f>HYPERLINK("https://jobright.ai/jobs/info/668d8857a77fbe807aad379f?utm_campaign=1062&amp;utm_source=sheet", "Apply")</f>
        <v>Apply</v>
      </c>
      <c r="C2345" s="10" t="s">
        <v>7083</v>
      </c>
      <c r="D2345" s="56" t="s">
        <v>3531</v>
      </c>
      <c r="E2345" s="10" t="s">
        <v>209</v>
      </c>
      <c r="F2345" s="10" t="s">
        <v>85</v>
      </c>
      <c r="G2345" s="10" t="s">
        <v>2579</v>
      </c>
      <c r="H2345" s="10" t="s">
        <v>7084</v>
      </c>
      <c r="I2345" s="10" t="s">
        <v>55</v>
      </c>
      <c r="K2345" s="10" t="s">
        <v>7085</v>
      </c>
      <c r="L2345" s="10" t="s">
        <v>42</v>
      </c>
    </row>
    <row r="2346" ht="15.75" customHeight="1">
      <c r="A2346" s="64">
        <v>45482.0</v>
      </c>
      <c r="B2346" s="55" t="str">
        <f>HYPERLINK("https://jobright.ai/jobs/info/668ebb90f8776ede103d0f4e?utm_campaign=1062&amp;utm_source=sheet", "Apply")</f>
        <v>Apply</v>
      </c>
      <c r="C2346" s="10" t="s">
        <v>7086</v>
      </c>
      <c r="D2346" s="56" t="s">
        <v>7075</v>
      </c>
      <c r="E2346" s="10" t="s">
        <v>45</v>
      </c>
      <c r="F2346" s="10" t="s">
        <v>7076</v>
      </c>
      <c r="G2346" s="10" t="s">
        <v>2464</v>
      </c>
      <c r="H2346" s="10" t="s">
        <v>819</v>
      </c>
      <c r="I2346" s="10" t="s">
        <v>55</v>
      </c>
      <c r="K2346" s="10" t="s">
        <v>7087</v>
      </c>
      <c r="L2346" s="10" t="s">
        <v>42</v>
      </c>
    </row>
    <row r="2347" ht="15.75" customHeight="1">
      <c r="A2347" s="64">
        <v>45482.0</v>
      </c>
      <c r="B2347" s="55" t="str">
        <f>HYPERLINK("https://jobright.ai/jobs/info/668ebba4f8776ede103d10bc?utm_campaign=1062&amp;utm_source=sheet", "Apply")</f>
        <v>Apply</v>
      </c>
      <c r="C2347" s="10" t="s">
        <v>7088</v>
      </c>
      <c r="D2347" s="56" t="s">
        <v>7075</v>
      </c>
      <c r="E2347" s="10" t="s">
        <v>45</v>
      </c>
      <c r="F2347" s="10" t="s">
        <v>7076</v>
      </c>
      <c r="G2347" s="10" t="s">
        <v>2464</v>
      </c>
      <c r="H2347" s="10" t="s">
        <v>819</v>
      </c>
      <c r="I2347" s="10" t="s">
        <v>55</v>
      </c>
      <c r="K2347" s="10" t="s">
        <v>7089</v>
      </c>
      <c r="L2347" s="10" t="s">
        <v>42</v>
      </c>
    </row>
    <row r="2348" ht="15.75" customHeight="1">
      <c r="A2348" s="64">
        <v>45482.0</v>
      </c>
      <c r="B2348" s="55" t="str">
        <f>HYPERLINK("https://jobright.ai/jobs/info/668ebbd2f8776ede103d1497?utm_campaign=1062&amp;utm_source=sheet", "Apply")</f>
        <v>Apply</v>
      </c>
      <c r="C2348" s="10" t="s">
        <v>7090</v>
      </c>
      <c r="D2348" s="56" t="s">
        <v>7091</v>
      </c>
      <c r="E2348" s="10">
        <v>138.0</v>
      </c>
      <c r="G2348" s="10" t="s">
        <v>2448</v>
      </c>
      <c r="H2348" s="10" t="s">
        <v>7092</v>
      </c>
      <c r="I2348" s="10" t="s">
        <v>55</v>
      </c>
      <c r="J2348" s="10" t="s">
        <v>7093</v>
      </c>
      <c r="K2348" s="10" t="s">
        <v>7094</v>
      </c>
      <c r="L2348" s="10" t="s">
        <v>42</v>
      </c>
    </row>
    <row r="2349" ht="15.75" customHeight="1">
      <c r="A2349" s="64">
        <v>45482.0</v>
      </c>
      <c r="B2349" s="55" t="str">
        <f>HYPERLINK("https://jobright.ai/jobs/info/668ffdff3d0f271fc1a49fd1?utm_campaign=1062&amp;utm_source=sheet", "Apply")</f>
        <v>Apply</v>
      </c>
      <c r="C2349" s="10" t="s">
        <v>3099</v>
      </c>
      <c r="D2349" s="56" t="s">
        <v>7017</v>
      </c>
      <c r="E2349" s="10" t="s">
        <v>249</v>
      </c>
      <c r="F2349" s="10" t="s">
        <v>7018</v>
      </c>
      <c r="G2349" s="10" t="s">
        <v>2437</v>
      </c>
      <c r="H2349" s="10" t="s">
        <v>7019</v>
      </c>
      <c r="I2349" s="10" t="s">
        <v>55</v>
      </c>
      <c r="K2349" s="10" t="s">
        <v>7020</v>
      </c>
      <c r="L2349" s="10" t="s">
        <v>42</v>
      </c>
    </row>
    <row r="2350" ht="15.75" customHeight="1">
      <c r="A2350" s="64">
        <v>45482.0</v>
      </c>
      <c r="B2350" s="55" t="str">
        <f>HYPERLINK("https://jobright.ai/jobs/info/668d6a107d76edb31743c7cb?utm_campaign=1062&amp;utm_source=sheet", "Apply")</f>
        <v>Apply</v>
      </c>
      <c r="C2350" s="10" t="s">
        <v>2906</v>
      </c>
      <c r="D2350" s="56" t="s">
        <v>5546</v>
      </c>
      <c r="E2350" s="10" t="s">
        <v>249</v>
      </c>
      <c r="F2350" s="10" t="s">
        <v>5547</v>
      </c>
      <c r="G2350" s="10" t="s">
        <v>2807</v>
      </c>
      <c r="H2350" s="10" t="s">
        <v>2909</v>
      </c>
      <c r="I2350" s="10" t="s">
        <v>55</v>
      </c>
      <c r="K2350" s="10" t="s">
        <v>2910</v>
      </c>
      <c r="L2350" s="10" t="s">
        <v>42</v>
      </c>
    </row>
    <row r="2351" ht="15.75" customHeight="1">
      <c r="A2351" s="64">
        <v>45482.0</v>
      </c>
      <c r="B2351" s="55" t="str">
        <f>HYPERLINK("https://jobright.ai/jobs/info/668ff9cf0f79b533b8729b2d?utm_campaign=1062&amp;utm_source=sheet", "Apply")</f>
        <v>Apply</v>
      </c>
      <c r="C2351" s="10" t="s">
        <v>7095</v>
      </c>
      <c r="D2351" s="56" t="s">
        <v>6937</v>
      </c>
      <c r="E2351" s="10" t="s">
        <v>71</v>
      </c>
      <c r="F2351" s="10" t="s">
        <v>6938</v>
      </c>
      <c r="G2351" s="10" t="s">
        <v>2448</v>
      </c>
      <c r="H2351" s="10" t="s">
        <v>423</v>
      </c>
      <c r="I2351" s="10" t="s">
        <v>55</v>
      </c>
      <c r="K2351" s="10" t="s">
        <v>7096</v>
      </c>
      <c r="L2351" s="10" t="s">
        <v>42</v>
      </c>
    </row>
    <row r="2352" ht="15.75" customHeight="1">
      <c r="A2352" s="64">
        <v>45482.0</v>
      </c>
      <c r="B2352" s="55" t="str">
        <f>HYPERLINK("https://jobright.ai/jobs/info/669fc85ce4084bf988794cd4?utm_campaign=1062&amp;utm_source=sheet", "Apply")</f>
        <v>Apply</v>
      </c>
      <c r="C2352" s="10" t="s">
        <v>7097</v>
      </c>
      <c r="D2352" s="56" t="s">
        <v>7098</v>
      </c>
      <c r="E2352" s="10" t="s">
        <v>45</v>
      </c>
      <c r="F2352" s="10" t="s">
        <v>5372</v>
      </c>
      <c r="G2352" s="10" t="s">
        <v>2437</v>
      </c>
      <c r="H2352" s="10" t="s">
        <v>7099</v>
      </c>
      <c r="I2352" s="10" t="s">
        <v>55</v>
      </c>
      <c r="K2352" s="10" t="s">
        <v>7100</v>
      </c>
      <c r="L2352" s="10" t="s">
        <v>42</v>
      </c>
    </row>
    <row r="2353" ht="15.75" customHeight="1">
      <c r="A2353" s="64">
        <v>45482.0</v>
      </c>
      <c r="B2353" s="55" t="str">
        <f>HYPERLINK("https://jobright.ai/jobs/info/668e970a59b1ea156b571666?utm_campaign=1062&amp;utm_source=sheet", "Apply")</f>
        <v>Apply</v>
      </c>
      <c r="C2353" s="10" t="s">
        <v>7090</v>
      </c>
      <c r="D2353" s="56" t="s">
        <v>7091</v>
      </c>
      <c r="E2353" s="10">
        <v>138.0</v>
      </c>
      <c r="G2353" s="10" t="s">
        <v>2448</v>
      </c>
      <c r="H2353" s="10" t="s">
        <v>7101</v>
      </c>
      <c r="I2353" s="10" t="s">
        <v>55</v>
      </c>
      <c r="J2353" s="10" t="s">
        <v>7093</v>
      </c>
      <c r="K2353" s="10" t="s">
        <v>7094</v>
      </c>
      <c r="L2353" s="10" t="s">
        <v>42</v>
      </c>
    </row>
    <row r="2354" ht="15.75" customHeight="1">
      <c r="A2354" s="64">
        <v>45482.0</v>
      </c>
      <c r="B2354" s="55" t="str">
        <f>HYPERLINK("https://jobright.ai/jobs/info/669fc94cfa502da7578650ab?utm_campaign=1062&amp;utm_source=sheet", "Apply")</f>
        <v>Apply</v>
      </c>
      <c r="C2354" s="10" t="s">
        <v>7102</v>
      </c>
      <c r="D2354" s="56" t="s">
        <v>7103</v>
      </c>
      <c r="E2354" s="10" t="s">
        <v>45</v>
      </c>
      <c r="F2354" s="10" t="s">
        <v>7104</v>
      </c>
      <c r="G2354" s="10" t="s">
        <v>2455</v>
      </c>
      <c r="H2354" s="10" t="s">
        <v>1254</v>
      </c>
      <c r="I2354" s="10" t="s">
        <v>55</v>
      </c>
      <c r="J2354" s="10" t="s">
        <v>1244</v>
      </c>
      <c r="K2354" s="10" t="s">
        <v>7105</v>
      </c>
      <c r="L2354" s="10" t="s">
        <v>42</v>
      </c>
    </row>
    <row r="2355" ht="15.75" customHeight="1">
      <c r="A2355" s="64">
        <v>45482.0</v>
      </c>
      <c r="B2355" s="55" t="str">
        <f>HYPERLINK("https://jobright.ai/jobs/info/6675623b42bae55a95828b8c?utm_campaign=1062&amp;utm_source=sheet", "Apply")</f>
        <v>Apply</v>
      </c>
      <c r="C2355" s="10" t="s">
        <v>6752</v>
      </c>
      <c r="D2355" s="56" t="s">
        <v>311</v>
      </c>
      <c r="E2355" s="10" t="s">
        <v>45</v>
      </c>
      <c r="F2355" s="10" t="s">
        <v>312</v>
      </c>
      <c r="G2355" s="10" t="s">
        <v>2502</v>
      </c>
      <c r="H2355" s="10" t="s">
        <v>313</v>
      </c>
      <c r="I2355" s="10" t="s">
        <v>55</v>
      </c>
      <c r="J2355" s="10" t="s">
        <v>3284</v>
      </c>
      <c r="K2355" s="10" t="s">
        <v>7106</v>
      </c>
      <c r="L2355" s="10" t="s">
        <v>42</v>
      </c>
    </row>
    <row r="2356" ht="15.75" customHeight="1">
      <c r="A2356" s="64">
        <v>45482.0</v>
      </c>
      <c r="B2356" s="55" t="str">
        <f>HYPERLINK("https://jobright.ai/jobs/info/6676cb320367cb83573cd3f4?utm_campaign=1062&amp;utm_source=sheet", "Apply")</f>
        <v>Apply</v>
      </c>
      <c r="C2356" s="10" t="s">
        <v>7107</v>
      </c>
      <c r="D2356" s="56" t="s">
        <v>2721</v>
      </c>
      <c r="E2356" s="10" t="s">
        <v>45</v>
      </c>
      <c r="F2356" s="10" t="s">
        <v>2722</v>
      </c>
      <c r="G2356" s="10" t="s">
        <v>2502</v>
      </c>
      <c r="H2356" s="10" t="s">
        <v>313</v>
      </c>
      <c r="I2356" s="10" t="s">
        <v>55</v>
      </c>
      <c r="J2356" s="10" t="s">
        <v>3312</v>
      </c>
      <c r="K2356" s="10" t="s">
        <v>7108</v>
      </c>
      <c r="L2356" s="10" t="s">
        <v>42</v>
      </c>
    </row>
    <row r="2357" ht="15.75" customHeight="1">
      <c r="A2357" s="64">
        <v>45482.0</v>
      </c>
      <c r="B2357" s="55" t="str">
        <f>HYPERLINK("https://jobright.ai/jobs/info/669fc4ca17d14f27bdfdec72?utm_campaign=1062&amp;utm_source=sheet", "Apply")</f>
        <v>Apply</v>
      </c>
      <c r="C2357" s="10" t="s">
        <v>2630</v>
      </c>
      <c r="D2357" s="56" t="s">
        <v>7075</v>
      </c>
      <c r="E2357" s="10" t="s">
        <v>45</v>
      </c>
      <c r="F2357" s="10" t="s">
        <v>7076</v>
      </c>
      <c r="G2357" s="10" t="s">
        <v>2464</v>
      </c>
      <c r="H2357" s="10" t="s">
        <v>1007</v>
      </c>
      <c r="I2357" s="10" t="s">
        <v>55</v>
      </c>
      <c r="K2357" s="10" t="s">
        <v>7109</v>
      </c>
      <c r="L2357" s="10" t="s">
        <v>42</v>
      </c>
    </row>
    <row r="2358" ht="15.75" customHeight="1">
      <c r="A2358" s="64">
        <v>45482.0</v>
      </c>
      <c r="B2358" s="55" t="str">
        <f>HYPERLINK("https://jobright.ai/jobs/info/6677b2d4d57a2b58a480d1a1?utm_campaign=1062&amp;utm_source=sheet", "Apply")</f>
        <v>Apply</v>
      </c>
      <c r="C2358" s="10" t="s">
        <v>7107</v>
      </c>
      <c r="D2358" s="56" t="s">
        <v>2721</v>
      </c>
      <c r="E2358" s="10" t="s">
        <v>45</v>
      </c>
      <c r="F2358" s="10" t="s">
        <v>2722</v>
      </c>
      <c r="G2358" s="10" t="s">
        <v>2502</v>
      </c>
      <c r="H2358" s="10" t="s">
        <v>423</v>
      </c>
      <c r="I2358" s="10" t="s">
        <v>55</v>
      </c>
      <c r="J2358" s="10" t="s">
        <v>3284</v>
      </c>
      <c r="K2358" s="10" t="s">
        <v>7108</v>
      </c>
      <c r="L2358" s="10" t="s">
        <v>42</v>
      </c>
    </row>
    <row r="2359" ht="15.75" customHeight="1">
      <c r="A2359" s="64">
        <v>45482.0</v>
      </c>
      <c r="B2359" s="55" t="str">
        <f>HYPERLINK("https://jobright.ai/jobs/info/668da16b5c4e3c8d6a5ed0bb?utm_campaign=1062&amp;utm_source=sheet", "Apply")</f>
        <v>Apply</v>
      </c>
      <c r="C2359" s="10" t="s">
        <v>7110</v>
      </c>
      <c r="D2359" s="56" t="s">
        <v>5125</v>
      </c>
      <c r="E2359" s="10" t="s">
        <v>209</v>
      </c>
      <c r="F2359" s="10" t="s">
        <v>1454</v>
      </c>
      <c r="G2359" s="10" t="s">
        <v>2484</v>
      </c>
      <c r="H2359" s="10" t="s">
        <v>7111</v>
      </c>
      <c r="I2359" s="10" t="s">
        <v>48</v>
      </c>
      <c r="K2359" s="10" t="s">
        <v>7112</v>
      </c>
      <c r="L2359" s="10" t="s">
        <v>42</v>
      </c>
    </row>
    <row r="2360" ht="15.75" customHeight="1">
      <c r="A2360" s="64">
        <v>45482.0</v>
      </c>
      <c r="B2360" s="55" t="str">
        <f>HYPERLINK("https://jobright.ai/jobs/info/667597b1ff3b4e0886ada63e?utm_campaign=1062&amp;utm_source=sheet", "Apply")</f>
        <v>Apply</v>
      </c>
      <c r="C2360" s="10" t="s">
        <v>7113</v>
      </c>
      <c r="D2360" s="56" t="s">
        <v>311</v>
      </c>
      <c r="E2360" s="10" t="s">
        <v>45</v>
      </c>
      <c r="F2360" s="10" t="s">
        <v>312</v>
      </c>
      <c r="G2360" s="10" t="s">
        <v>2502</v>
      </c>
      <c r="H2360" s="10" t="s">
        <v>313</v>
      </c>
      <c r="I2360" s="10" t="s">
        <v>55</v>
      </c>
      <c r="J2360" s="10" t="s">
        <v>7114</v>
      </c>
      <c r="K2360" s="10" t="s">
        <v>7115</v>
      </c>
      <c r="L2360" s="10" t="s">
        <v>42</v>
      </c>
    </row>
    <row r="2361" ht="15.75" customHeight="1">
      <c r="A2361" s="64">
        <v>45482.0</v>
      </c>
      <c r="B2361" s="55" t="str">
        <f>HYPERLINK("https://jobright.ai/jobs/info/65948e4a08c7b60ecd4e66f8?utm_campaign=1062&amp;utm_source=sheet", "Apply")</f>
        <v>Apply</v>
      </c>
      <c r="C2361" s="10" t="s">
        <v>4432</v>
      </c>
      <c r="D2361" s="56" t="s">
        <v>4433</v>
      </c>
      <c r="E2361" s="10">
        <v>235.0</v>
      </c>
      <c r="G2361" s="10" t="s">
        <v>2476</v>
      </c>
      <c r="H2361" s="10" t="s">
        <v>6731</v>
      </c>
      <c r="I2361" s="10" t="s">
        <v>48</v>
      </c>
      <c r="K2361" s="10" t="s">
        <v>4435</v>
      </c>
      <c r="L2361" s="10" t="s">
        <v>42</v>
      </c>
    </row>
    <row r="2362" ht="15.75" customHeight="1">
      <c r="A2362" s="64">
        <v>45482.0</v>
      </c>
      <c r="B2362" s="55" t="str">
        <f>HYPERLINK("https://jobright.ai/jobs/info/6675c8d53b408d33d5602dda?utm_campaign=1062&amp;utm_source=sheet", "Apply")</f>
        <v>Apply</v>
      </c>
      <c r="C2362" s="10" t="s">
        <v>7116</v>
      </c>
      <c r="D2362" s="56" t="s">
        <v>311</v>
      </c>
      <c r="E2362" s="10" t="s">
        <v>45</v>
      </c>
      <c r="F2362" s="10" t="s">
        <v>312</v>
      </c>
      <c r="G2362" s="10" t="s">
        <v>2455</v>
      </c>
      <c r="H2362" s="10" t="s">
        <v>313</v>
      </c>
      <c r="I2362" s="10" t="s">
        <v>55</v>
      </c>
      <c r="J2362" s="10" t="s">
        <v>414</v>
      </c>
      <c r="K2362" s="10" t="s">
        <v>7117</v>
      </c>
      <c r="L2362" s="10" t="s">
        <v>42</v>
      </c>
    </row>
    <row r="2363" ht="15.75" customHeight="1">
      <c r="A2363" s="64">
        <v>45482.0</v>
      </c>
      <c r="B2363" s="55" t="str">
        <f>HYPERLINK("https://jobright.ai/jobs/info/668fdc79b7836da1097c3a65?utm_campaign=1062&amp;utm_source=sheet", "Apply")</f>
        <v>Apply</v>
      </c>
      <c r="C2363" s="10" t="s">
        <v>3094</v>
      </c>
      <c r="D2363" s="56" t="s">
        <v>2033</v>
      </c>
      <c r="E2363" s="10" t="s">
        <v>209</v>
      </c>
      <c r="F2363" s="10" t="s">
        <v>2034</v>
      </c>
      <c r="G2363" s="10" t="s">
        <v>2443</v>
      </c>
      <c r="H2363" s="10" t="s">
        <v>86</v>
      </c>
      <c r="I2363" s="10" t="s">
        <v>55</v>
      </c>
      <c r="K2363" s="10" t="s">
        <v>7118</v>
      </c>
      <c r="L2363" s="10" t="s">
        <v>42</v>
      </c>
    </row>
    <row r="2364" ht="15.75" customHeight="1">
      <c r="A2364" s="64">
        <v>45482.0</v>
      </c>
      <c r="B2364" s="55" t="str">
        <f>HYPERLINK("https://jobright.ai/jobs/info/669faf5e409ac17305d785f9?utm_campaign=1062&amp;utm_source=sheet", "Apply")</f>
        <v>Apply</v>
      </c>
      <c r="C2364" s="10" t="s">
        <v>7119</v>
      </c>
      <c r="D2364" s="56" t="s">
        <v>7120</v>
      </c>
      <c r="E2364" s="10">
        <v>57.0</v>
      </c>
      <c r="G2364" s="10" t="s">
        <v>2448</v>
      </c>
      <c r="H2364" s="10" t="s">
        <v>949</v>
      </c>
      <c r="I2364" s="10" t="s">
        <v>55</v>
      </c>
      <c r="J2364" s="10" t="s">
        <v>1729</v>
      </c>
      <c r="K2364" s="10" t="s">
        <v>7121</v>
      </c>
      <c r="L2364" s="10" t="s">
        <v>42</v>
      </c>
    </row>
    <row r="2365" ht="15.75" customHeight="1">
      <c r="A2365" s="64">
        <v>45482.0</v>
      </c>
      <c r="B2365" s="55" t="str">
        <f>HYPERLINK("https://jobright.ai/jobs/info/664ea6f34e197fc8adcf9149?utm_campaign=1062&amp;utm_source=sheet", "Apply")</f>
        <v>Apply</v>
      </c>
      <c r="C2365" s="10" t="s">
        <v>6027</v>
      </c>
      <c r="D2365" s="56" t="s">
        <v>6028</v>
      </c>
      <c r="E2365" s="10" t="s">
        <v>79</v>
      </c>
      <c r="F2365" s="10" t="s">
        <v>6029</v>
      </c>
      <c r="G2365" s="10" t="s">
        <v>2464</v>
      </c>
      <c r="H2365" s="10" t="s">
        <v>2905</v>
      </c>
      <c r="I2365" s="10" t="s">
        <v>55</v>
      </c>
      <c r="K2365" s="10" t="s">
        <v>6030</v>
      </c>
      <c r="L2365" s="10" t="s">
        <v>42</v>
      </c>
    </row>
    <row r="2366" ht="15.75" customHeight="1">
      <c r="A2366" s="64">
        <v>45482.0</v>
      </c>
      <c r="B2366" s="55" t="str">
        <f>HYPERLINK("https://jobright.ai/jobs/info/66758a90e9630e29ff214260?utm_campaign=1062&amp;utm_source=sheet", "Apply")</f>
        <v>Apply</v>
      </c>
      <c r="C2366" s="10" t="s">
        <v>7122</v>
      </c>
      <c r="D2366" s="56" t="s">
        <v>311</v>
      </c>
      <c r="E2366" s="10" t="s">
        <v>45</v>
      </c>
      <c r="F2366" s="10" t="s">
        <v>312</v>
      </c>
      <c r="G2366" s="10" t="s">
        <v>2502</v>
      </c>
      <c r="H2366" s="10" t="s">
        <v>313</v>
      </c>
      <c r="I2366" s="10" t="s">
        <v>55</v>
      </c>
      <c r="J2366" s="10" t="s">
        <v>2755</v>
      </c>
      <c r="K2366" s="10" t="s">
        <v>7123</v>
      </c>
      <c r="L2366" s="10" t="s">
        <v>42</v>
      </c>
    </row>
    <row r="2367" ht="15.75" customHeight="1">
      <c r="A2367" s="64">
        <v>45482.0</v>
      </c>
      <c r="B2367" s="55" t="str">
        <f>HYPERLINK("https://jobright.ai/jobs/info/66966c7479c45aa4ef69c9c5?utm_campaign=1062&amp;utm_source=sheet", "Apply")</f>
        <v>Apply</v>
      </c>
      <c r="C2367" s="10" t="s">
        <v>7124</v>
      </c>
      <c r="D2367" s="56" t="s">
        <v>6937</v>
      </c>
      <c r="E2367" s="10" t="s">
        <v>71</v>
      </c>
      <c r="F2367" s="10" t="s">
        <v>6938</v>
      </c>
      <c r="G2367" s="10" t="s">
        <v>2476</v>
      </c>
      <c r="H2367" s="10" t="s">
        <v>423</v>
      </c>
      <c r="I2367" s="10" t="s">
        <v>55</v>
      </c>
      <c r="K2367" s="10" t="s">
        <v>6944</v>
      </c>
      <c r="L2367" s="10" t="s">
        <v>42</v>
      </c>
    </row>
    <row r="2368" ht="15.75" customHeight="1">
      <c r="A2368" s="64">
        <v>45482.0</v>
      </c>
      <c r="B2368" s="55" t="str">
        <f>HYPERLINK("https://jobright.ai/jobs/info/668fdb8922cfeb6ebf476eef?utm_campaign=1062&amp;utm_source=sheet", "Apply")</f>
        <v>Apply</v>
      </c>
      <c r="C2368" s="10" t="s">
        <v>7125</v>
      </c>
      <c r="D2368" s="56" t="s">
        <v>2033</v>
      </c>
      <c r="E2368" s="10" t="s">
        <v>209</v>
      </c>
      <c r="F2368" s="10" t="s">
        <v>2034</v>
      </c>
      <c r="G2368" s="10" t="s">
        <v>2443</v>
      </c>
      <c r="H2368" s="10" t="s">
        <v>86</v>
      </c>
      <c r="I2368" s="10" t="s">
        <v>55</v>
      </c>
      <c r="J2368" s="10" t="s">
        <v>1608</v>
      </c>
      <c r="K2368" s="10" t="s">
        <v>2035</v>
      </c>
      <c r="L2368" s="10" t="s">
        <v>42</v>
      </c>
    </row>
    <row r="2369" ht="15.75" customHeight="1">
      <c r="A2369" s="64">
        <v>45482.0</v>
      </c>
      <c r="B2369" s="55" t="str">
        <f>HYPERLINK("https://jobright.ai/jobs/info/667577e373c7976a8f14c0e3?utm_campaign=1062&amp;utm_source=sheet", "Apply")</f>
        <v>Apply</v>
      </c>
      <c r="C2369" s="10" t="s">
        <v>6347</v>
      </c>
      <c r="D2369" s="56" t="s">
        <v>311</v>
      </c>
      <c r="E2369" s="10" t="s">
        <v>45</v>
      </c>
      <c r="F2369" s="10" t="s">
        <v>312</v>
      </c>
      <c r="G2369" s="10" t="s">
        <v>2502</v>
      </c>
      <c r="H2369" s="10" t="s">
        <v>313</v>
      </c>
      <c r="I2369" s="10" t="s">
        <v>55</v>
      </c>
      <c r="J2369" s="10" t="s">
        <v>6314</v>
      </c>
      <c r="K2369" s="10" t="s">
        <v>6348</v>
      </c>
      <c r="L2369" s="10" t="s">
        <v>42</v>
      </c>
    </row>
    <row r="2370" ht="15.75" customHeight="1">
      <c r="A2370" s="64">
        <v>45482.0</v>
      </c>
      <c r="B2370" s="55" t="str">
        <f>HYPERLINK("https://jobright.ai/jobs/info/6676b467a2f49d4e236dd57d?utm_campaign=1062&amp;utm_source=sheet", "Apply")</f>
        <v>Apply</v>
      </c>
      <c r="C2370" s="10" t="s">
        <v>7126</v>
      </c>
      <c r="D2370" s="56" t="s">
        <v>2721</v>
      </c>
      <c r="E2370" s="10" t="s">
        <v>45</v>
      </c>
      <c r="F2370" s="10" t="s">
        <v>2722</v>
      </c>
      <c r="G2370" s="10" t="s">
        <v>2502</v>
      </c>
      <c r="H2370" s="10" t="s">
        <v>313</v>
      </c>
      <c r="I2370" s="10" t="s">
        <v>55</v>
      </c>
      <c r="J2370" s="10" t="s">
        <v>2723</v>
      </c>
      <c r="K2370" s="10" t="s">
        <v>7127</v>
      </c>
      <c r="L2370" s="10" t="s">
        <v>42</v>
      </c>
    </row>
    <row r="2371" ht="15.75" customHeight="1">
      <c r="A2371" s="64">
        <v>45482.0</v>
      </c>
      <c r="B2371" s="55" t="str">
        <f>HYPERLINK("https://jobright.ai/jobs/info/666c254c41bd8bbbc79fda9d?utm_campaign=1062&amp;utm_source=sheet", "Apply")</f>
        <v>Apply</v>
      </c>
      <c r="C2371" s="10" t="s">
        <v>7128</v>
      </c>
      <c r="D2371" s="56" t="s">
        <v>7129</v>
      </c>
      <c r="E2371" s="10" t="s">
        <v>209</v>
      </c>
      <c r="F2371" s="10" t="s">
        <v>3060</v>
      </c>
      <c r="G2371" s="10" t="s">
        <v>2579</v>
      </c>
      <c r="H2371" s="10" t="s">
        <v>7130</v>
      </c>
      <c r="I2371" s="10" t="s">
        <v>55</v>
      </c>
      <c r="K2371" s="10" t="s">
        <v>7131</v>
      </c>
      <c r="L2371" s="10" t="s">
        <v>42</v>
      </c>
    </row>
    <row r="2372" ht="15.75" customHeight="1">
      <c r="A2372" s="64">
        <v>45482.0</v>
      </c>
      <c r="B2372" s="55" t="str">
        <f>HYPERLINK("https://jobright.ai/jobs/info/66966a0895acdb70e2782917?utm_campaign=1062&amp;utm_source=sheet", "Apply")</f>
        <v>Apply</v>
      </c>
      <c r="C2372" s="10" t="s">
        <v>7132</v>
      </c>
      <c r="D2372" s="56" t="s">
        <v>6480</v>
      </c>
      <c r="E2372" s="10" t="s">
        <v>249</v>
      </c>
      <c r="F2372" s="10" t="s">
        <v>6481</v>
      </c>
      <c r="G2372" s="10" t="s">
        <v>2502</v>
      </c>
      <c r="H2372" s="10" t="s">
        <v>698</v>
      </c>
      <c r="I2372" s="10" t="s">
        <v>55</v>
      </c>
      <c r="K2372" s="10" t="s">
        <v>7133</v>
      </c>
      <c r="L2372" s="10" t="s">
        <v>42</v>
      </c>
    </row>
    <row r="2373" ht="15.75" customHeight="1">
      <c r="A2373" s="64">
        <v>45482.0</v>
      </c>
      <c r="B2373" s="55" t="str">
        <f>HYPERLINK("https://jobright.ai/jobs/info/668fd3b75bdf80a0306d811c?utm_campaign=1062&amp;utm_source=sheet", "Apply")</f>
        <v>Apply</v>
      </c>
      <c r="C2373" s="10" t="s">
        <v>7088</v>
      </c>
      <c r="D2373" s="56" t="s">
        <v>7134</v>
      </c>
      <c r="E2373" s="10" t="s">
        <v>79</v>
      </c>
      <c r="F2373" s="10" t="s">
        <v>7135</v>
      </c>
      <c r="G2373" s="10" t="s">
        <v>2464</v>
      </c>
      <c r="H2373" s="10" t="s">
        <v>819</v>
      </c>
      <c r="I2373" s="10" t="s">
        <v>55</v>
      </c>
      <c r="K2373" s="10" t="s">
        <v>7089</v>
      </c>
      <c r="L2373" s="10" t="s">
        <v>42</v>
      </c>
    </row>
    <row r="2374" ht="15.75" customHeight="1">
      <c r="A2374" s="64">
        <v>45482.0</v>
      </c>
      <c r="B2374" s="55" t="str">
        <f>HYPERLINK("https://jobright.ai/jobs/info/668fd3b75bdf80a0306d8114?utm_campaign=1062&amp;utm_source=sheet", "Apply")</f>
        <v>Apply</v>
      </c>
      <c r="C2374" s="10" t="s">
        <v>7086</v>
      </c>
      <c r="D2374" s="56" t="s">
        <v>7134</v>
      </c>
      <c r="E2374" s="10" t="s">
        <v>79</v>
      </c>
      <c r="F2374" s="10" t="s">
        <v>7135</v>
      </c>
      <c r="G2374" s="10" t="s">
        <v>2464</v>
      </c>
      <c r="H2374" s="10" t="s">
        <v>819</v>
      </c>
      <c r="I2374" s="10" t="s">
        <v>55</v>
      </c>
      <c r="K2374" s="10" t="s">
        <v>7087</v>
      </c>
      <c r="L2374" s="10" t="s">
        <v>42</v>
      </c>
    </row>
    <row r="2375" ht="15.75" customHeight="1">
      <c r="A2375" s="64">
        <v>45482.0</v>
      </c>
      <c r="B2375" s="55" t="str">
        <f>HYPERLINK("https://jobright.ai/jobs/info/66758a90e9630e29ff21425c?utm_campaign=1062&amp;utm_source=sheet", "Apply")</f>
        <v>Apply</v>
      </c>
      <c r="C2375" s="10" t="s">
        <v>7136</v>
      </c>
      <c r="D2375" s="56" t="s">
        <v>311</v>
      </c>
      <c r="E2375" s="10" t="s">
        <v>45</v>
      </c>
      <c r="F2375" s="10" t="s">
        <v>312</v>
      </c>
      <c r="G2375" s="10" t="s">
        <v>2502</v>
      </c>
      <c r="H2375" s="10" t="s">
        <v>313</v>
      </c>
      <c r="I2375" s="10" t="s">
        <v>55</v>
      </c>
      <c r="J2375" s="10" t="s">
        <v>7137</v>
      </c>
      <c r="K2375" s="10" t="s">
        <v>7138</v>
      </c>
      <c r="L2375" s="10" t="s">
        <v>42</v>
      </c>
    </row>
    <row r="2376" ht="15.75" customHeight="1">
      <c r="A2376" s="64">
        <v>45482.0</v>
      </c>
      <c r="B2376" s="55" t="str">
        <f>HYPERLINK("https://jobright.ai/jobs/info/668a7c487804bc93ed496b14?utm_campaign=1062&amp;utm_source=sheet", "Apply")</f>
        <v>Apply</v>
      </c>
      <c r="C2376" s="10" t="s">
        <v>5801</v>
      </c>
      <c r="D2376" s="56" t="s">
        <v>5802</v>
      </c>
      <c r="E2376" s="10" t="s">
        <v>249</v>
      </c>
      <c r="F2376" s="10" t="s">
        <v>5803</v>
      </c>
      <c r="G2376" s="10" t="s">
        <v>2437</v>
      </c>
      <c r="H2376" s="10" t="s">
        <v>154</v>
      </c>
      <c r="I2376" s="10" t="s">
        <v>55</v>
      </c>
      <c r="K2376" s="10" t="s">
        <v>5804</v>
      </c>
      <c r="L2376" s="10" t="s">
        <v>42</v>
      </c>
    </row>
    <row r="2377" ht="15.75" customHeight="1">
      <c r="A2377" s="64">
        <v>45482.0</v>
      </c>
      <c r="B2377" s="55" t="str">
        <f>HYPERLINK("https://jobright.ai/jobs/info/6677b22ed57a2b58a480c63a?utm_campaign=1062&amp;utm_source=sheet", "Apply")</f>
        <v>Apply</v>
      </c>
      <c r="C2377" s="10" t="s">
        <v>7139</v>
      </c>
      <c r="D2377" s="56" t="s">
        <v>5283</v>
      </c>
      <c r="E2377" s="10" t="s">
        <v>209</v>
      </c>
      <c r="F2377" s="10" t="s">
        <v>620</v>
      </c>
      <c r="G2377" s="10" t="s">
        <v>2448</v>
      </c>
      <c r="H2377" s="10" t="s">
        <v>6014</v>
      </c>
      <c r="I2377" s="10" t="s">
        <v>48</v>
      </c>
      <c r="K2377" s="10" t="s">
        <v>7140</v>
      </c>
      <c r="L2377" s="10" t="s">
        <v>42</v>
      </c>
    </row>
    <row r="2378" ht="15.75" customHeight="1">
      <c r="A2378" s="64">
        <v>45482.0</v>
      </c>
      <c r="B2378" s="55" t="str">
        <f>HYPERLINK("https://jobright.ai/jobs/info/669662509695742e8c1818cf?utm_campaign=1062&amp;utm_source=sheet", "Apply")</f>
        <v>Apply</v>
      </c>
      <c r="C2378" s="10" t="s">
        <v>7141</v>
      </c>
      <c r="D2378" s="56" t="s">
        <v>7142</v>
      </c>
      <c r="E2378" s="10" t="s">
        <v>137</v>
      </c>
      <c r="F2378" s="10" t="s">
        <v>4022</v>
      </c>
      <c r="G2378" s="10" t="s">
        <v>2470</v>
      </c>
      <c r="H2378" s="10" t="s">
        <v>7143</v>
      </c>
      <c r="I2378" s="10" t="s">
        <v>55</v>
      </c>
      <c r="K2378" s="10" t="s">
        <v>7144</v>
      </c>
      <c r="L2378" s="10" t="s">
        <v>42</v>
      </c>
    </row>
    <row r="2379" ht="15.75" customHeight="1">
      <c r="A2379" s="64">
        <v>45482.0</v>
      </c>
      <c r="B2379" s="55" t="str">
        <f>HYPERLINK("https://jobright.ai/jobs/info/668e7245cd1d2a84c3926742?utm_campaign=1062&amp;utm_source=sheet", "Apply")</f>
        <v>Apply</v>
      </c>
      <c r="C2379" s="10" t="s">
        <v>7145</v>
      </c>
      <c r="D2379" s="56" t="s">
        <v>6937</v>
      </c>
      <c r="E2379" s="10" t="s">
        <v>71</v>
      </c>
      <c r="F2379" s="10" t="s">
        <v>6938</v>
      </c>
      <c r="G2379" s="10" t="s">
        <v>2495</v>
      </c>
      <c r="H2379" s="10" t="s">
        <v>423</v>
      </c>
      <c r="I2379" s="10" t="s">
        <v>55</v>
      </c>
      <c r="K2379" s="10" t="s">
        <v>6944</v>
      </c>
      <c r="L2379" s="10" t="s">
        <v>42</v>
      </c>
    </row>
    <row r="2380" ht="15.75" customHeight="1">
      <c r="A2380" s="64">
        <v>45482.0</v>
      </c>
      <c r="B2380" s="55" t="str">
        <f>HYPERLINK("https://jobright.ai/jobs/info/66965f052893eb6900734683?utm_campaign=1062&amp;utm_source=sheet", "Apply")</f>
        <v>Apply</v>
      </c>
      <c r="C2380" s="10" t="s">
        <v>7146</v>
      </c>
      <c r="D2380" s="56" t="s">
        <v>196</v>
      </c>
      <c r="E2380" s="10" t="s">
        <v>71</v>
      </c>
      <c r="F2380" s="10" t="s">
        <v>197</v>
      </c>
      <c r="G2380" s="10" t="s">
        <v>2484</v>
      </c>
      <c r="H2380" s="10" t="s">
        <v>193</v>
      </c>
      <c r="I2380" s="10" t="s">
        <v>55</v>
      </c>
      <c r="K2380" s="10" t="s">
        <v>7147</v>
      </c>
      <c r="L2380" s="10" t="s">
        <v>42</v>
      </c>
    </row>
    <row r="2381" ht="15.75" customHeight="1">
      <c r="A2381" s="64">
        <v>45482.0</v>
      </c>
      <c r="B2381" s="55" t="str">
        <f>HYPERLINK("https://jobright.ai/jobs/info/66965bf2c8ec64ebc8ed4925?utm_campaign=1062&amp;utm_source=sheet", "Apply")</f>
        <v>Apply</v>
      </c>
      <c r="C2381" s="10" t="s">
        <v>7148</v>
      </c>
      <c r="D2381" s="56" t="s">
        <v>6937</v>
      </c>
      <c r="E2381" s="10" t="s">
        <v>71</v>
      </c>
      <c r="F2381" s="10" t="s">
        <v>6938</v>
      </c>
      <c r="G2381" s="10" t="s">
        <v>2437</v>
      </c>
      <c r="H2381" s="10" t="s">
        <v>423</v>
      </c>
      <c r="I2381" s="10" t="s">
        <v>55</v>
      </c>
      <c r="K2381" s="10" t="s">
        <v>6940</v>
      </c>
      <c r="L2381" s="10" t="s">
        <v>42</v>
      </c>
    </row>
    <row r="2382" ht="15.75" customHeight="1">
      <c r="A2382" s="64">
        <v>45482.0</v>
      </c>
      <c r="B2382" s="55" t="str">
        <f>HYPERLINK("https://jobright.ai/jobs/info/66744704fa2e16b323fa4402?utm_campaign=1062&amp;utm_source=sheet", "Apply")</f>
        <v>Apply</v>
      </c>
      <c r="C2382" s="10" t="s">
        <v>6409</v>
      </c>
      <c r="D2382" s="56" t="s">
        <v>2702</v>
      </c>
      <c r="E2382" s="10" t="s">
        <v>45</v>
      </c>
      <c r="F2382" s="10" t="s">
        <v>2703</v>
      </c>
      <c r="G2382" s="10" t="s">
        <v>2448</v>
      </c>
      <c r="H2382" s="10" t="s">
        <v>144</v>
      </c>
      <c r="I2382" s="10" t="s">
        <v>55</v>
      </c>
      <c r="J2382" s="10" t="s">
        <v>6410</v>
      </c>
      <c r="K2382" s="10" t="s">
        <v>6411</v>
      </c>
      <c r="L2382" s="10" t="s">
        <v>42</v>
      </c>
    </row>
    <row r="2383" ht="15.75" customHeight="1">
      <c r="A2383" s="64">
        <v>45482.0</v>
      </c>
      <c r="B2383" s="55" t="str">
        <f>HYPERLINK("https://jobright.ai/jobs/info/667713ec3ab189f6697e9413?utm_campaign=1062&amp;utm_source=sheet", "Apply")</f>
        <v>Apply</v>
      </c>
      <c r="C2383" s="10" t="s">
        <v>7149</v>
      </c>
      <c r="D2383" s="56" t="s">
        <v>7150</v>
      </c>
      <c r="E2383" s="10" t="s">
        <v>65</v>
      </c>
      <c r="F2383" s="10" t="s">
        <v>3382</v>
      </c>
      <c r="G2383" s="10" t="s">
        <v>2448</v>
      </c>
      <c r="H2383" s="10" t="s">
        <v>153</v>
      </c>
      <c r="I2383" s="10" t="s">
        <v>55</v>
      </c>
      <c r="L2383" s="10" t="s">
        <v>42</v>
      </c>
    </row>
    <row r="2384" ht="15.75" customHeight="1">
      <c r="A2384" s="64">
        <v>45482.0</v>
      </c>
      <c r="B2384" s="55" t="str">
        <f>HYPERLINK("https://jobright.ai/jobs/info/669110671275f0d7353dd440?utm_campaign=1062&amp;utm_source=sheet", "Apply")</f>
        <v>Apply</v>
      </c>
      <c r="C2384" s="10" t="s">
        <v>7151</v>
      </c>
      <c r="D2384" s="56" t="s">
        <v>2849</v>
      </c>
      <c r="E2384" s="10" t="s">
        <v>65</v>
      </c>
      <c r="F2384" s="10" t="s">
        <v>2850</v>
      </c>
      <c r="G2384" s="10" t="s">
        <v>2437</v>
      </c>
      <c r="H2384" s="10" t="s">
        <v>73</v>
      </c>
      <c r="I2384" s="10" t="s">
        <v>55</v>
      </c>
      <c r="K2384" s="10" t="s">
        <v>7152</v>
      </c>
      <c r="L2384" s="10" t="s">
        <v>42</v>
      </c>
    </row>
    <row r="2385" ht="15.75" customHeight="1">
      <c r="A2385" s="64">
        <v>45482.0</v>
      </c>
      <c r="B2385" s="55" t="str">
        <f>HYPERLINK("https://jobright.ai/jobs/info/668d2295e99837e100f91685?utm_campaign=1062&amp;utm_source=sheet", "Apply")</f>
        <v>Apply</v>
      </c>
      <c r="C2385" s="10" t="s">
        <v>7153</v>
      </c>
      <c r="D2385" s="56" t="s">
        <v>2712</v>
      </c>
      <c r="E2385" s="10" t="s">
        <v>79</v>
      </c>
      <c r="F2385" s="10" t="s">
        <v>2713</v>
      </c>
      <c r="G2385" s="10" t="s">
        <v>2502</v>
      </c>
      <c r="H2385" s="10" t="s">
        <v>698</v>
      </c>
      <c r="I2385" s="10" t="s">
        <v>55</v>
      </c>
      <c r="J2385" s="10" t="s">
        <v>2714</v>
      </c>
      <c r="K2385" s="10" t="s">
        <v>7154</v>
      </c>
      <c r="L2385" s="10" t="s">
        <v>42</v>
      </c>
    </row>
    <row r="2386" ht="15.75" customHeight="1">
      <c r="A2386" s="64">
        <v>45482.0</v>
      </c>
      <c r="B2386" s="55" t="str">
        <f>HYPERLINK("https://jobright.ai/jobs/info/666311d03782c3ffe6553e98?utm_campaign=1062&amp;utm_source=sheet", "Apply")</f>
        <v>Apply</v>
      </c>
      <c r="C2386" s="10" t="s">
        <v>7155</v>
      </c>
      <c r="D2386" s="56" t="s">
        <v>7156</v>
      </c>
      <c r="E2386" s="10" t="s">
        <v>65</v>
      </c>
      <c r="F2386" s="10" t="s">
        <v>85</v>
      </c>
      <c r="G2386" s="10" t="s">
        <v>2470</v>
      </c>
      <c r="H2386" s="10" t="s">
        <v>935</v>
      </c>
      <c r="I2386" s="10" t="s">
        <v>55</v>
      </c>
      <c r="K2386" s="10" t="s">
        <v>7157</v>
      </c>
      <c r="L2386" s="10" t="s">
        <v>42</v>
      </c>
    </row>
    <row r="2387" ht="15.75" customHeight="1">
      <c r="A2387" s="64">
        <v>45482.0</v>
      </c>
      <c r="B2387" s="55" t="str">
        <f>HYPERLINK("https://jobright.ai/jobs/info/6670c2ada524d10c2c75e47d?utm_campaign=1062&amp;utm_source=sheet", "Apply")</f>
        <v>Apply</v>
      </c>
      <c r="C2387" s="10" t="s">
        <v>3046</v>
      </c>
      <c r="D2387" s="56" t="s">
        <v>7158</v>
      </c>
      <c r="E2387" s="10" t="s">
        <v>209</v>
      </c>
      <c r="F2387" s="10" t="s">
        <v>2946</v>
      </c>
      <c r="G2387" s="10" t="s">
        <v>2437</v>
      </c>
      <c r="H2387" s="10" t="s">
        <v>159</v>
      </c>
      <c r="I2387" s="10" t="s">
        <v>55</v>
      </c>
      <c r="K2387" s="10" t="s">
        <v>7159</v>
      </c>
      <c r="L2387" s="10" t="s">
        <v>42</v>
      </c>
    </row>
    <row r="2388" ht="15.75" customHeight="1">
      <c r="A2388" s="64">
        <v>45482.0</v>
      </c>
      <c r="B2388" s="55" t="str">
        <f>HYPERLINK("https://jobright.ai/jobs/info/668cae9e6f68874267987b22?utm_campaign=1062&amp;utm_source=sheet", "Apply")</f>
        <v>Apply</v>
      </c>
      <c r="C2388" s="10" t="s">
        <v>7160</v>
      </c>
      <c r="D2388" s="56" t="s">
        <v>7161</v>
      </c>
      <c r="E2388" s="10" t="s">
        <v>249</v>
      </c>
      <c r="F2388" s="10" t="s">
        <v>3027</v>
      </c>
      <c r="G2388" s="10" t="s">
        <v>2443</v>
      </c>
      <c r="H2388" s="10" t="s">
        <v>5289</v>
      </c>
      <c r="I2388" s="10" t="s">
        <v>55</v>
      </c>
      <c r="J2388" s="10" t="s">
        <v>7162</v>
      </c>
      <c r="K2388" s="10" t="s">
        <v>7163</v>
      </c>
      <c r="L2388" s="10" t="s">
        <v>42</v>
      </c>
    </row>
    <row r="2389" ht="15.75" customHeight="1">
      <c r="A2389" s="64">
        <v>45482.0</v>
      </c>
      <c r="B2389" s="55" t="str">
        <f>HYPERLINK("https://jobright.ai/jobs/info/668d227de99837e100f914f7?utm_campaign=1062&amp;utm_source=sheet", "Apply")</f>
        <v>Apply</v>
      </c>
      <c r="C2389" s="10" t="s">
        <v>1767</v>
      </c>
      <c r="D2389" s="56" t="s">
        <v>2103</v>
      </c>
      <c r="E2389" s="10" t="s">
        <v>209</v>
      </c>
      <c r="F2389" s="10" t="s">
        <v>2104</v>
      </c>
      <c r="G2389" s="10" t="s">
        <v>2443</v>
      </c>
      <c r="H2389" s="10" t="s">
        <v>170</v>
      </c>
      <c r="I2389" s="10" t="s">
        <v>55</v>
      </c>
      <c r="K2389" s="10" t="s">
        <v>7164</v>
      </c>
      <c r="L2389" s="10" t="s">
        <v>42</v>
      </c>
    </row>
    <row r="2390" ht="15.75" customHeight="1">
      <c r="A2390" s="64">
        <v>45482.0</v>
      </c>
      <c r="B2390" s="55" t="str">
        <f>HYPERLINK("https://jobright.ai/jobs/info/6675623b42bae55a95828b49?utm_campaign=1062&amp;utm_source=sheet", "Apply")</f>
        <v>Apply</v>
      </c>
      <c r="C2390" s="10" t="s">
        <v>7165</v>
      </c>
      <c r="D2390" s="56" t="s">
        <v>7166</v>
      </c>
      <c r="E2390" s="10" t="s">
        <v>249</v>
      </c>
      <c r="F2390" s="10" t="s">
        <v>7167</v>
      </c>
      <c r="G2390" s="10" t="s">
        <v>2484</v>
      </c>
      <c r="H2390" s="10" t="s">
        <v>914</v>
      </c>
      <c r="I2390" s="10" t="s">
        <v>55</v>
      </c>
      <c r="K2390" s="10" t="s">
        <v>7168</v>
      </c>
      <c r="L2390" s="10" t="s">
        <v>42</v>
      </c>
    </row>
    <row r="2391" ht="15.75" customHeight="1">
      <c r="A2391" s="64">
        <v>45482.0</v>
      </c>
      <c r="B2391" s="55" t="str">
        <f>HYPERLINK("https://jobright.ai/jobs/info/668d227de99837e100f9151e?utm_campaign=1062&amp;utm_source=sheet", "Apply")</f>
        <v>Apply</v>
      </c>
      <c r="C2391" s="10" t="s">
        <v>7169</v>
      </c>
      <c r="D2391" s="56" t="s">
        <v>7170</v>
      </c>
      <c r="E2391" s="10" t="s">
        <v>276</v>
      </c>
      <c r="F2391" s="10" t="s">
        <v>4948</v>
      </c>
      <c r="G2391" s="10" t="s">
        <v>2502</v>
      </c>
      <c r="H2391" s="10" t="s">
        <v>251</v>
      </c>
      <c r="I2391" s="10" t="s">
        <v>252</v>
      </c>
      <c r="K2391" s="10" t="s">
        <v>7171</v>
      </c>
      <c r="L2391" s="10" t="s">
        <v>42</v>
      </c>
    </row>
    <row r="2392" ht="15.75" customHeight="1">
      <c r="A2392" s="64">
        <v>45482.0</v>
      </c>
      <c r="B2392" s="55" t="str">
        <f>HYPERLINK("https://jobright.ai/jobs/info/65e66ea31e62a481fa31c71b?utm_campaign=1062&amp;utm_source=sheet", "Apply")</f>
        <v>Apply</v>
      </c>
      <c r="C2392" s="10" t="s">
        <v>7172</v>
      </c>
      <c r="D2392" s="56" t="s">
        <v>5989</v>
      </c>
      <c r="E2392" s="10" t="s">
        <v>45</v>
      </c>
      <c r="F2392" s="10" t="s">
        <v>5990</v>
      </c>
      <c r="G2392" s="10" t="s">
        <v>2502</v>
      </c>
      <c r="H2392" s="10" t="s">
        <v>7173</v>
      </c>
      <c r="I2392" s="10" t="s">
        <v>55</v>
      </c>
      <c r="J2392" s="10" t="s">
        <v>6873</v>
      </c>
      <c r="K2392" s="10" t="s">
        <v>7174</v>
      </c>
      <c r="L2392" s="10" t="s">
        <v>42</v>
      </c>
    </row>
    <row r="2393" ht="15.75" customHeight="1">
      <c r="A2393" s="64">
        <v>45482.0</v>
      </c>
      <c r="B2393" s="55" t="str">
        <f>HYPERLINK("https://jobright.ai/jobs/info/65de342244d13458c75e5e38?utm_campaign=1062&amp;utm_source=sheet", "Apply")</f>
        <v>Apply</v>
      </c>
      <c r="C2393" s="10" t="s">
        <v>7175</v>
      </c>
      <c r="D2393" s="56" t="s">
        <v>2840</v>
      </c>
      <c r="E2393" s="10" t="s">
        <v>209</v>
      </c>
      <c r="F2393" s="10" t="s">
        <v>2470</v>
      </c>
      <c r="G2393" s="10" t="s">
        <v>2464</v>
      </c>
      <c r="H2393" s="10" t="s">
        <v>96</v>
      </c>
      <c r="I2393" s="10" t="s">
        <v>48</v>
      </c>
      <c r="J2393" s="10" t="s">
        <v>2841</v>
      </c>
      <c r="K2393" s="10" t="s">
        <v>7176</v>
      </c>
      <c r="L2393" s="10" t="s">
        <v>42</v>
      </c>
    </row>
    <row r="2394" ht="15.75" customHeight="1">
      <c r="A2394" s="64">
        <v>45482.0</v>
      </c>
      <c r="B2394" s="55" t="str">
        <f>HYPERLINK("https://jobright.ai/jobs/info/6677b316d57a2b58a480d655?utm_campaign=1062&amp;utm_source=sheet", "Apply")</f>
        <v>Apply</v>
      </c>
      <c r="C2394" s="10" t="s">
        <v>2725</v>
      </c>
      <c r="D2394" s="56" t="s">
        <v>2726</v>
      </c>
      <c r="E2394" s="10" t="s">
        <v>65</v>
      </c>
      <c r="F2394" s="10" t="s">
        <v>85</v>
      </c>
      <c r="G2394" s="10" t="s">
        <v>2464</v>
      </c>
      <c r="H2394" s="10" t="s">
        <v>5935</v>
      </c>
      <c r="I2394" s="10" t="s">
        <v>48</v>
      </c>
      <c r="K2394" s="10" t="s">
        <v>4431</v>
      </c>
      <c r="L2394" s="10" t="s">
        <v>42</v>
      </c>
    </row>
    <row r="2395" ht="15.75" customHeight="1">
      <c r="A2395" s="64">
        <v>45482.0</v>
      </c>
      <c r="B2395" s="55" t="str">
        <f>HYPERLINK("https://jobright.ai/jobs/info/668d0ecb5c1b1ddc8b193867?utm_campaign=1062&amp;utm_source=sheet", "Apply")</f>
        <v>Apply</v>
      </c>
      <c r="C2395" s="10" t="s">
        <v>3389</v>
      </c>
      <c r="D2395" s="56" t="s">
        <v>3390</v>
      </c>
      <c r="E2395" s="10" t="s">
        <v>65</v>
      </c>
      <c r="F2395" s="10" t="s">
        <v>2588</v>
      </c>
      <c r="G2395" s="10" t="s">
        <v>2484</v>
      </c>
      <c r="H2395" s="10" t="s">
        <v>3374</v>
      </c>
      <c r="I2395" s="10" t="s">
        <v>48</v>
      </c>
      <c r="K2395" s="10" t="s">
        <v>3391</v>
      </c>
      <c r="L2395" s="10" t="s">
        <v>42</v>
      </c>
    </row>
    <row r="2396" ht="15.75" customHeight="1">
      <c r="A2396" s="64">
        <v>45482.0</v>
      </c>
      <c r="B2396" s="55" t="str">
        <f>HYPERLINK("https://jobright.ai/jobs/info/6696021489e4133167106edc?utm_campaign=1062&amp;utm_source=sheet", "Apply")</f>
        <v>Apply</v>
      </c>
      <c r="C2396" s="10" t="s">
        <v>7177</v>
      </c>
      <c r="D2396" s="56" t="s">
        <v>7178</v>
      </c>
      <c r="E2396" s="10" t="s">
        <v>65</v>
      </c>
      <c r="F2396" s="10" t="s">
        <v>7179</v>
      </c>
      <c r="G2396" s="10" t="s">
        <v>2464</v>
      </c>
      <c r="H2396" s="10" t="s">
        <v>991</v>
      </c>
      <c r="I2396" s="10" t="s">
        <v>55</v>
      </c>
      <c r="K2396" s="10" t="s">
        <v>7180</v>
      </c>
      <c r="L2396" s="10" t="s">
        <v>42</v>
      </c>
    </row>
    <row r="2397" ht="15.75" customHeight="1">
      <c r="A2397" s="64">
        <v>45482.0</v>
      </c>
      <c r="B2397" s="55" t="str">
        <f>HYPERLINK("https://jobright.ai/jobs/info/668ce077dd30cc550de032d9?utm_campaign=1062&amp;utm_source=sheet", "Apply")</f>
        <v>Apply</v>
      </c>
      <c r="C2397" s="10" t="s">
        <v>7181</v>
      </c>
      <c r="D2397" s="56" t="s">
        <v>311</v>
      </c>
      <c r="E2397" s="10" t="s">
        <v>45</v>
      </c>
      <c r="F2397" s="10" t="s">
        <v>312</v>
      </c>
      <c r="G2397" s="10" t="s">
        <v>2502</v>
      </c>
      <c r="H2397" s="10" t="s">
        <v>423</v>
      </c>
      <c r="I2397" s="10" t="s">
        <v>55</v>
      </c>
      <c r="J2397" s="10" t="s">
        <v>2767</v>
      </c>
      <c r="K2397" s="10" t="s">
        <v>4440</v>
      </c>
      <c r="L2397" s="10" t="s">
        <v>42</v>
      </c>
    </row>
    <row r="2398" ht="15.75" customHeight="1">
      <c r="A2398" s="64">
        <v>45482.0</v>
      </c>
      <c r="B2398" s="55" t="str">
        <f>HYPERLINK("https://jobright.ai/jobs/info/668c2947dbe1aedcdfe008b6?utm_campaign=1062&amp;utm_source=sheet", "Apply")</f>
        <v>Apply</v>
      </c>
      <c r="C2398" s="10" t="s">
        <v>7182</v>
      </c>
      <c r="D2398" s="56" t="s">
        <v>7183</v>
      </c>
      <c r="E2398" s="10" t="s">
        <v>71</v>
      </c>
      <c r="F2398" s="10" t="s">
        <v>1893</v>
      </c>
      <c r="G2398" s="10" t="s">
        <v>2448</v>
      </c>
      <c r="H2398" s="10" t="s">
        <v>251</v>
      </c>
      <c r="I2398" s="10" t="s">
        <v>252</v>
      </c>
      <c r="K2398" s="10" t="s">
        <v>7184</v>
      </c>
      <c r="L2398" s="10" t="s">
        <v>42</v>
      </c>
    </row>
    <row r="2399" ht="15.75" customHeight="1">
      <c r="A2399" s="64">
        <v>45482.0</v>
      </c>
      <c r="B2399" s="55" t="str">
        <f>HYPERLINK("https://jobright.ai/jobs/info/668cc7f7a1023a7b515b5437?utm_campaign=1062&amp;utm_source=sheet", "Apply")</f>
        <v>Apply</v>
      </c>
      <c r="C2399" s="10" t="s">
        <v>7185</v>
      </c>
      <c r="D2399" s="56" t="s">
        <v>702</v>
      </c>
      <c r="E2399" s="10" t="s">
        <v>65</v>
      </c>
      <c r="F2399" s="10" t="s">
        <v>703</v>
      </c>
      <c r="G2399" s="10" t="s">
        <v>2459</v>
      </c>
      <c r="H2399" s="10" t="s">
        <v>1058</v>
      </c>
      <c r="I2399" s="10" t="s">
        <v>48</v>
      </c>
      <c r="J2399" s="10" t="s">
        <v>1952</v>
      </c>
      <c r="K2399" s="10" t="s">
        <v>7186</v>
      </c>
      <c r="L2399" s="10" t="s">
        <v>42</v>
      </c>
    </row>
    <row r="2400" ht="15.75" customHeight="1">
      <c r="A2400" s="64">
        <v>45482.0</v>
      </c>
      <c r="B2400" s="55" t="str">
        <f>HYPERLINK("https://jobright.ai/jobs/info/668cc85ca1023a7b515b5f6e?utm_campaign=1062&amp;utm_source=sheet", "Apply")</f>
        <v>Apply</v>
      </c>
      <c r="C2400" s="10" t="s">
        <v>7185</v>
      </c>
      <c r="D2400" s="56" t="s">
        <v>702</v>
      </c>
      <c r="E2400" s="10" t="s">
        <v>65</v>
      </c>
      <c r="F2400" s="10" t="s">
        <v>703</v>
      </c>
      <c r="G2400" s="10" t="s">
        <v>2459</v>
      </c>
      <c r="H2400" s="10" t="s">
        <v>251</v>
      </c>
      <c r="I2400" s="10" t="s">
        <v>48</v>
      </c>
      <c r="J2400" s="10" t="s">
        <v>1952</v>
      </c>
      <c r="K2400" s="10" t="s">
        <v>7186</v>
      </c>
      <c r="L2400" s="10" t="s">
        <v>42</v>
      </c>
    </row>
    <row r="2401" ht="15.75" customHeight="1">
      <c r="A2401" s="64">
        <v>45482.0</v>
      </c>
      <c r="B2401" s="55" t="str">
        <f>HYPERLINK("https://jobright.ai/jobs/info/668363851c528914733c0667?utm_campaign=1062&amp;utm_source=sheet", "Apply")</f>
        <v>Apply</v>
      </c>
      <c r="C2401" s="10" t="s">
        <v>7187</v>
      </c>
      <c r="D2401" s="56" t="s">
        <v>3211</v>
      </c>
      <c r="E2401" s="10" t="s">
        <v>45</v>
      </c>
      <c r="F2401" s="10" t="s">
        <v>3212</v>
      </c>
      <c r="G2401" s="10" t="s">
        <v>2484</v>
      </c>
      <c r="H2401" s="10" t="s">
        <v>3213</v>
      </c>
      <c r="I2401" s="10" t="s">
        <v>55</v>
      </c>
      <c r="K2401" s="10" t="s">
        <v>7188</v>
      </c>
      <c r="L2401" s="10" t="s">
        <v>42</v>
      </c>
    </row>
    <row r="2402" ht="15.75" customHeight="1">
      <c r="A2402" s="64">
        <v>45482.0</v>
      </c>
      <c r="B2402" s="55" t="str">
        <f>HYPERLINK("https://jobright.ai/jobs/info/668cc3113bf213b2cc3c7af7?utm_campaign=1062&amp;utm_source=sheet", "Apply")</f>
        <v>Apply</v>
      </c>
      <c r="C2402" s="10" t="s">
        <v>7189</v>
      </c>
      <c r="D2402" s="56" t="s">
        <v>1183</v>
      </c>
      <c r="E2402" s="10" t="s">
        <v>45</v>
      </c>
      <c r="F2402" s="10" t="s">
        <v>1184</v>
      </c>
      <c r="G2402" s="10" t="s">
        <v>2484</v>
      </c>
      <c r="H2402" s="10" t="s">
        <v>1263</v>
      </c>
      <c r="I2402" s="10" t="s">
        <v>55</v>
      </c>
      <c r="J2402" s="10" t="s">
        <v>7190</v>
      </c>
      <c r="K2402" s="10" t="s">
        <v>7191</v>
      </c>
      <c r="L2402" s="10" t="s">
        <v>42</v>
      </c>
    </row>
    <row r="2403" ht="15.75" customHeight="1">
      <c r="A2403" s="64">
        <v>45482.0</v>
      </c>
      <c r="B2403" s="55" t="str">
        <f>HYPERLINK("https://jobright.ai/jobs/info/668cbbbe0ee1d530012130b8?utm_campaign=1062&amp;utm_source=sheet", "Apply")</f>
        <v>Apply</v>
      </c>
      <c r="C2403" s="10" t="s">
        <v>2911</v>
      </c>
      <c r="D2403" s="56" t="s">
        <v>5546</v>
      </c>
      <c r="E2403" s="10" t="s">
        <v>249</v>
      </c>
      <c r="F2403" s="10" t="s">
        <v>5547</v>
      </c>
      <c r="G2403" s="10" t="s">
        <v>2484</v>
      </c>
      <c r="H2403" s="10" t="s">
        <v>2909</v>
      </c>
      <c r="I2403" s="10" t="s">
        <v>55</v>
      </c>
      <c r="K2403" s="10" t="s">
        <v>7192</v>
      </c>
      <c r="L2403" s="10" t="s">
        <v>42</v>
      </c>
    </row>
    <row r="2404" ht="15.75" customHeight="1">
      <c r="A2404" s="64">
        <v>45482.0</v>
      </c>
      <c r="B2404" s="55" t="str">
        <f>HYPERLINK("https://jobright.ai/jobs/info/668cbbd20ee1d53001213239?utm_campaign=1062&amp;utm_source=sheet", "Apply")</f>
        <v>Apply</v>
      </c>
      <c r="C2404" s="10" t="s">
        <v>7193</v>
      </c>
      <c r="D2404" s="56" t="s">
        <v>7194</v>
      </c>
      <c r="E2404" s="10" t="s">
        <v>249</v>
      </c>
      <c r="F2404" s="10" t="s">
        <v>2588</v>
      </c>
      <c r="G2404" s="10" t="s">
        <v>2464</v>
      </c>
      <c r="H2404" s="10" t="s">
        <v>7195</v>
      </c>
      <c r="I2404" s="10" t="s">
        <v>55</v>
      </c>
      <c r="K2404" s="10" t="s">
        <v>7196</v>
      </c>
      <c r="L2404" s="10" t="s">
        <v>42</v>
      </c>
    </row>
    <row r="2405" ht="15.75" customHeight="1">
      <c r="A2405" s="64">
        <v>45482.0</v>
      </c>
      <c r="B2405" s="55" t="str">
        <f>HYPERLINK("https://jobright.ai/jobs/info/668cb6f5c5aa0957f9001b37?utm_campaign=1062&amp;utm_source=sheet", "Apply")</f>
        <v>Apply</v>
      </c>
      <c r="C2405" s="10" t="s">
        <v>7197</v>
      </c>
      <c r="D2405" s="56" t="s">
        <v>7198</v>
      </c>
      <c r="E2405" s="10" t="s">
        <v>276</v>
      </c>
      <c r="F2405" s="10" t="s">
        <v>2632</v>
      </c>
      <c r="G2405" s="10" t="s">
        <v>2464</v>
      </c>
      <c r="H2405" s="10" t="s">
        <v>168</v>
      </c>
      <c r="I2405" s="10" t="s">
        <v>55</v>
      </c>
      <c r="K2405" s="10" t="s">
        <v>7199</v>
      </c>
      <c r="L2405" s="10" t="s">
        <v>42</v>
      </c>
    </row>
    <row r="2406" ht="15.75" customHeight="1">
      <c r="A2406" s="64">
        <v>45482.0</v>
      </c>
      <c r="B2406" s="55" t="str">
        <f>HYPERLINK("https://jobright.ai/jobs/info/668cb709c5aa0957f9001ce1?utm_campaign=1062&amp;utm_source=sheet", "Apply")</f>
        <v>Apply</v>
      </c>
      <c r="C2406" s="10" t="s">
        <v>3336</v>
      </c>
      <c r="D2406" s="56" t="s">
        <v>7200</v>
      </c>
      <c r="E2406" s="10" t="s">
        <v>276</v>
      </c>
      <c r="F2406" s="10" t="s">
        <v>7201</v>
      </c>
      <c r="G2406" s="10" t="s">
        <v>2464</v>
      </c>
      <c r="H2406" s="10" t="s">
        <v>610</v>
      </c>
      <c r="I2406" s="10" t="s">
        <v>55</v>
      </c>
      <c r="K2406" s="10" t="s">
        <v>7202</v>
      </c>
      <c r="L2406" s="10" t="s">
        <v>42</v>
      </c>
    </row>
    <row r="2407" ht="15.75" customHeight="1">
      <c r="A2407" s="64">
        <v>45482.0</v>
      </c>
      <c r="B2407" s="55" t="str">
        <f>HYPERLINK("https://jobright.ai/jobs/info/668cb2d0b771a5bfb21da840?utm_campaign=1062&amp;utm_source=sheet", "Apply")</f>
        <v>Apply</v>
      </c>
      <c r="C2407" s="10" t="s">
        <v>3336</v>
      </c>
      <c r="D2407" s="56" t="s">
        <v>7200</v>
      </c>
      <c r="E2407" s="10" t="s">
        <v>276</v>
      </c>
      <c r="F2407" s="10" t="s">
        <v>7201</v>
      </c>
      <c r="G2407" s="10" t="s">
        <v>2464</v>
      </c>
      <c r="H2407" s="10" t="s">
        <v>603</v>
      </c>
      <c r="I2407" s="10" t="s">
        <v>55</v>
      </c>
      <c r="K2407" s="10" t="s">
        <v>7202</v>
      </c>
      <c r="L2407" s="10" t="s">
        <v>42</v>
      </c>
    </row>
    <row r="2408" ht="15.75" customHeight="1">
      <c r="A2408" s="64">
        <v>45482.0</v>
      </c>
      <c r="B2408" s="55" t="str">
        <f>HYPERLINK("https://jobright.ai/jobs/info/668ca4e4c48b9c982f49b2a8?utm_campaign=1062&amp;utm_source=sheet", "Apply")</f>
        <v>Apply</v>
      </c>
      <c r="C2408" s="10" t="s">
        <v>3336</v>
      </c>
      <c r="D2408" s="56" t="s">
        <v>7200</v>
      </c>
      <c r="E2408" s="10" t="s">
        <v>276</v>
      </c>
      <c r="F2408" s="10" t="s">
        <v>7201</v>
      </c>
      <c r="G2408" s="10" t="s">
        <v>2464</v>
      </c>
      <c r="H2408" s="10" t="s">
        <v>609</v>
      </c>
      <c r="I2408" s="10" t="s">
        <v>55</v>
      </c>
      <c r="K2408" s="10" t="s">
        <v>7202</v>
      </c>
      <c r="L2408" s="10" t="s">
        <v>42</v>
      </c>
    </row>
    <row r="2409" ht="15.75" customHeight="1">
      <c r="A2409" s="64">
        <v>45482.0</v>
      </c>
      <c r="B2409" s="55" t="str">
        <f>HYPERLINK("https://jobright.ai/jobs/info/668caeb46f68874267987cb8?utm_campaign=1062&amp;utm_source=sheet", "Apply")</f>
        <v>Apply</v>
      </c>
      <c r="C2409" s="10" t="s">
        <v>3336</v>
      </c>
      <c r="D2409" s="56" t="s">
        <v>7200</v>
      </c>
      <c r="E2409" s="10" t="s">
        <v>276</v>
      </c>
      <c r="F2409" s="10" t="s">
        <v>7201</v>
      </c>
      <c r="G2409" s="10" t="s">
        <v>2464</v>
      </c>
      <c r="H2409" s="10" t="s">
        <v>411</v>
      </c>
      <c r="I2409" s="10" t="s">
        <v>55</v>
      </c>
      <c r="K2409" s="10" t="s">
        <v>7202</v>
      </c>
      <c r="L2409" s="10" t="s">
        <v>42</v>
      </c>
    </row>
    <row r="2410" ht="15.75" customHeight="1">
      <c r="A2410" s="64">
        <v>45482.0</v>
      </c>
      <c r="B2410" s="55" t="str">
        <f>HYPERLINK("https://jobright.ai/jobs/info/668caeb46f68874267987cb9?utm_campaign=1062&amp;utm_source=sheet", "Apply")</f>
        <v>Apply</v>
      </c>
      <c r="C2410" s="10" t="s">
        <v>3336</v>
      </c>
      <c r="D2410" s="56" t="s">
        <v>7200</v>
      </c>
      <c r="E2410" s="10" t="s">
        <v>276</v>
      </c>
      <c r="F2410" s="10" t="s">
        <v>7201</v>
      </c>
      <c r="G2410" s="10" t="s">
        <v>2464</v>
      </c>
      <c r="H2410" s="10" t="s">
        <v>2988</v>
      </c>
      <c r="I2410" s="10" t="s">
        <v>55</v>
      </c>
      <c r="K2410" s="10" t="s">
        <v>7202</v>
      </c>
      <c r="L2410" s="10" t="s">
        <v>42</v>
      </c>
    </row>
    <row r="2411" ht="15.75" customHeight="1">
      <c r="A2411" s="64">
        <v>45482.0</v>
      </c>
      <c r="B2411" s="55" t="str">
        <f>HYPERLINK("https://jobright.ai/jobs/info/668caeb46f68874267987cb7?utm_campaign=1062&amp;utm_source=sheet", "Apply")</f>
        <v>Apply</v>
      </c>
      <c r="C2411" s="10" t="s">
        <v>3336</v>
      </c>
      <c r="D2411" s="56" t="s">
        <v>7200</v>
      </c>
      <c r="E2411" s="10" t="s">
        <v>276</v>
      </c>
      <c r="F2411" s="10" t="s">
        <v>7201</v>
      </c>
      <c r="G2411" s="10" t="s">
        <v>2464</v>
      </c>
      <c r="H2411" s="10" t="s">
        <v>7203</v>
      </c>
      <c r="I2411" s="10" t="s">
        <v>55</v>
      </c>
      <c r="K2411" s="10" t="s">
        <v>7202</v>
      </c>
      <c r="L2411" s="10" t="s">
        <v>42</v>
      </c>
    </row>
    <row r="2412" ht="15.75" customHeight="1">
      <c r="A2412" s="64">
        <v>45482.0</v>
      </c>
      <c r="B2412" s="55" t="str">
        <f>HYPERLINK("https://jobright.ai/jobs/info/668caeb46f68874267987cba?utm_campaign=1062&amp;utm_source=sheet", "Apply")</f>
        <v>Apply</v>
      </c>
      <c r="C2412" s="10" t="s">
        <v>3336</v>
      </c>
      <c r="D2412" s="56" t="s">
        <v>7200</v>
      </c>
      <c r="E2412" s="10" t="s">
        <v>276</v>
      </c>
      <c r="F2412" s="10" t="s">
        <v>7201</v>
      </c>
      <c r="G2412" s="10" t="s">
        <v>2464</v>
      </c>
      <c r="H2412" s="10" t="s">
        <v>572</v>
      </c>
      <c r="I2412" s="10" t="s">
        <v>55</v>
      </c>
      <c r="K2412" s="10" t="s">
        <v>7202</v>
      </c>
      <c r="L2412" s="10" t="s">
        <v>42</v>
      </c>
    </row>
    <row r="2413" ht="15.75" customHeight="1">
      <c r="A2413" s="64">
        <v>45482.0</v>
      </c>
      <c r="B2413" s="55" t="str">
        <f>HYPERLINK("https://jobright.ai/jobs/info/668c979a737e8e3f1501e470?utm_campaign=1062&amp;utm_source=sheet", "Apply")</f>
        <v>Apply</v>
      </c>
      <c r="C2413" s="10" t="s">
        <v>7204</v>
      </c>
      <c r="D2413" s="56" t="s">
        <v>6937</v>
      </c>
      <c r="E2413" s="10" t="s">
        <v>71</v>
      </c>
      <c r="F2413" s="10" t="s">
        <v>6938</v>
      </c>
      <c r="G2413" s="10" t="s">
        <v>2448</v>
      </c>
      <c r="H2413" s="10" t="s">
        <v>423</v>
      </c>
      <c r="I2413" s="10" t="s">
        <v>55</v>
      </c>
      <c r="K2413" s="10" t="s">
        <v>6940</v>
      </c>
      <c r="L2413" s="10" t="s">
        <v>42</v>
      </c>
    </row>
    <row r="2414" ht="15.75" customHeight="1">
      <c r="A2414" s="64">
        <v>45482.0</v>
      </c>
      <c r="B2414" s="55" t="str">
        <f>HYPERLINK("https://jobright.ai/jobs/info/668c979a737e8e3f1501e471?utm_campaign=1062&amp;utm_source=sheet", "Apply")</f>
        <v>Apply</v>
      </c>
      <c r="C2414" s="10" t="s">
        <v>7205</v>
      </c>
      <c r="D2414" s="56" t="s">
        <v>6937</v>
      </c>
      <c r="E2414" s="10" t="s">
        <v>71</v>
      </c>
      <c r="F2414" s="10" t="s">
        <v>6938</v>
      </c>
      <c r="G2414" s="10" t="s">
        <v>2807</v>
      </c>
      <c r="H2414" s="10" t="s">
        <v>423</v>
      </c>
      <c r="I2414" s="10" t="s">
        <v>55</v>
      </c>
      <c r="K2414" s="10" t="s">
        <v>6944</v>
      </c>
      <c r="L2414" s="10" t="s">
        <v>42</v>
      </c>
    </row>
    <row r="2415" ht="15.75" customHeight="1">
      <c r="A2415" s="64">
        <v>45482.0</v>
      </c>
      <c r="B2415" s="55" t="str">
        <f>HYPERLINK("https://jobright.ai/jobs/info/668d93417574eb7eb60c69aa?utm_campaign=1062&amp;utm_source=sheet", "Apply")</f>
        <v>Apply</v>
      </c>
      <c r="C2415" s="10" t="s">
        <v>1605</v>
      </c>
      <c r="D2415" s="56" t="s">
        <v>4555</v>
      </c>
      <c r="E2415" s="10" t="s">
        <v>65</v>
      </c>
      <c r="F2415" s="10" t="s">
        <v>2828</v>
      </c>
      <c r="G2415" s="10" t="s">
        <v>2448</v>
      </c>
      <c r="H2415" s="10" t="s">
        <v>4556</v>
      </c>
      <c r="I2415" s="10" t="s">
        <v>55</v>
      </c>
      <c r="J2415" s="10" t="s">
        <v>7206</v>
      </c>
      <c r="K2415" s="10" t="s">
        <v>6957</v>
      </c>
      <c r="L2415" s="10" t="s">
        <v>42</v>
      </c>
    </row>
    <row r="2416" ht="15.75" customHeight="1">
      <c r="A2416" s="64">
        <v>45482.0</v>
      </c>
      <c r="B2416" s="55" t="str">
        <f>HYPERLINK("https://jobright.ai/jobs/info/668c824713559ef0ffb61d56?utm_campaign=1062&amp;utm_source=sheet", "Apply")</f>
        <v>Apply</v>
      </c>
      <c r="C2416" s="10" t="s">
        <v>3336</v>
      </c>
      <c r="D2416" s="56" t="s">
        <v>7200</v>
      </c>
      <c r="E2416" s="10" t="s">
        <v>276</v>
      </c>
      <c r="F2416" s="10" t="s">
        <v>7201</v>
      </c>
      <c r="G2416" s="10" t="s">
        <v>2464</v>
      </c>
      <c r="H2416" s="10" t="s">
        <v>7207</v>
      </c>
      <c r="I2416" s="10" t="s">
        <v>55</v>
      </c>
      <c r="K2416" s="10" t="s">
        <v>7202</v>
      </c>
      <c r="L2416" s="10" t="s">
        <v>42</v>
      </c>
    </row>
    <row r="2417" ht="15.75" customHeight="1">
      <c r="A2417" s="64">
        <v>45482.0</v>
      </c>
      <c r="B2417" s="55" t="str">
        <f>HYPERLINK("https://jobright.ai/jobs/info/668d8dfc6abc78b21c1dca38?utm_campaign=1062&amp;utm_source=sheet", "Apply")</f>
        <v>Apply</v>
      </c>
      <c r="C2417" s="10" t="s">
        <v>7208</v>
      </c>
      <c r="D2417" s="56" t="s">
        <v>7209</v>
      </c>
      <c r="E2417" s="10" t="s">
        <v>45</v>
      </c>
      <c r="F2417" s="10" t="s">
        <v>7210</v>
      </c>
      <c r="G2417" s="10" t="s">
        <v>2437</v>
      </c>
      <c r="H2417" s="10" t="s">
        <v>7211</v>
      </c>
      <c r="I2417" s="10" t="s">
        <v>55</v>
      </c>
      <c r="K2417" s="10" t="s">
        <v>7212</v>
      </c>
      <c r="L2417" s="10" t="s">
        <v>42</v>
      </c>
    </row>
    <row r="2418" ht="15.75" customHeight="1">
      <c r="A2418" s="64">
        <v>45482.0</v>
      </c>
      <c r="B2418" s="55" t="str">
        <f>HYPERLINK("https://jobright.ai/jobs/info/668dbdd57c2398fe40218793?utm_campaign=1062&amp;utm_source=sheet", "Apply")</f>
        <v>Apply</v>
      </c>
      <c r="C2418" s="10" t="s">
        <v>7213</v>
      </c>
      <c r="D2418" s="56" t="s">
        <v>7009</v>
      </c>
      <c r="E2418" s="10" t="s">
        <v>137</v>
      </c>
      <c r="F2418" s="10" t="s">
        <v>7010</v>
      </c>
      <c r="G2418" s="10" t="s">
        <v>2502</v>
      </c>
      <c r="H2418" s="10" t="s">
        <v>144</v>
      </c>
      <c r="I2418" s="10" t="s">
        <v>55</v>
      </c>
      <c r="J2418" s="10" t="s">
        <v>7011</v>
      </c>
      <c r="K2418" s="10" t="s">
        <v>7012</v>
      </c>
      <c r="L2418" s="10" t="s">
        <v>42</v>
      </c>
    </row>
    <row r="2419" ht="15.75" customHeight="1">
      <c r="A2419" s="64">
        <v>45482.0</v>
      </c>
      <c r="B2419" s="55" t="str">
        <f>HYPERLINK("https://jobright.ai/jobs/info/668d93417574eb7eb60c69a9?utm_campaign=1062&amp;utm_source=sheet", "Apply")</f>
        <v>Apply</v>
      </c>
      <c r="C2419" s="10" t="s">
        <v>3210</v>
      </c>
      <c r="D2419" s="56" t="s">
        <v>3211</v>
      </c>
      <c r="E2419" s="10" t="s">
        <v>45</v>
      </c>
      <c r="F2419" s="10" t="s">
        <v>3212</v>
      </c>
      <c r="G2419" s="10" t="s">
        <v>2495</v>
      </c>
      <c r="H2419" s="10" t="s">
        <v>7214</v>
      </c>
      <c r="I2419" s="10" t="s">
        <v>55</v>
      </c>
      <c r="K2419" s="10" t="s">
        <v>3214</v>
      </c>
      <c r="L2419" s="10" t="s">
        <v>42</v>
      </c>
    </row>
    <row r="2420" ht="15.75" customHeight="1">
      <c r="A2420" s="64">
        <v>45481.0</v>
      </c>
      <c r="B2420" s="55" t="str">
        <f>HYPERLINK("https://jobright.ai/jobs/info/668c8682be2c6384db57e142?utm_campaign=1062&amp;utm_source=sheet", "Apply")</f>
        <v>Apply</v>
      </c>
      <c r="C2420" s="10" t="s">
        <v>6750</v>
      </c>
      <c r="D2420" s="56" t="s">
        <v>7215</v>
      </c>
      <c r="E2420" s="10" t="s">
        <v>45</v>
      </c>
      <c r="F2420" s="10" t="s">
        <v>665</v>
      </c>
      <c r="G2420" s="10" t="s">
        <v>2443</v>
      </c>
      <c r="H2420" s="10" t="s">
        <v>843</v>
      </c>
      <c r="I2420" s="10" t="s">
        <v>55</v>
      </c>
      <c r="K2420" s="10" t="s">
        <v>6751</v>
      </c>
      <c r="L2420" s="10" t="s">
        <v>42</v>
      </c>
    </row>
    <row r="2421" ht="15.75" customHeight="1">
      <c r="A2421" s="64">
        <v>45481.0</v>
      </c>
      <c r="B2421" s="55" t="str">
        <f>HYPERLINK("https://jobright.ai/jobs/info/668ca4efc48b9c982f49b36b?utm_campaign=1062&amp;utm_source=sheet", "Apply")</f>
        <v>Apply</v>
      </c>
      <c r="C2421" s="10" t="s">
        <v>7216</v>
      </c>
      <c r="D2421" s="56" t="s">
        <v>2073</v>
      </c>
      <c r="G2421" s="10" t="s">
        <v>2443</v>
      </c>
      <c r="H2421" s="10" t="s">
        <v>1263</v>
      </c>
      <c r="I2421" s="10" t="s">
        <v>55</v>
      </c>
      <c r="J2421" s="10" t="s">
        <v>3562</v>
      </c>
      <c r="K2421" s="10" t="s">
        <v>7217</v>
      </c>
      <c r="L2421" s="10" t="s">
        <v>42</v>
      </c>
    </row>
    <row r="2422" ht="15.75" customHeight="1">
      <c r="A2422" s="64">
        <v>45481.0</v>
      </c>
      <c r="B2422" s="55" t="str">
        <f>HYPERLINK("https://jobright.ai/jobs/info/668c7c96b17b35a9ab810f64?utm_campaign=1062&amp;utm_source=sheet", "Apply")</f>
        <v>Apply</v>
      </c>
      <c r="C2422" s="10" t="s">
        <v>7218</v>
      </c>
      <c r="D2422" s="56" t="s">
        <v>7219</v>
      </c>
      <c r="E2422" s="10" t="s">
        <v>79</v>
      </c>
      <c r="F2422" s="10" t="s">
        <v>1790</v>
      </c>
      <c r="G2422" s="10" t="s">
        <v>2464</v>
      </c>
      <c r="H2422" s="10" t="s">
        <v>7220</v>
      </c>
      <c r="I2422" s="10" t="s">
        <v>55</v>
      </c>
      <c r="K2422" s="10" t="s">
        <v>7221</v>
      </c>
      <c r="L2422" s="10" t="s">
        <v>42</v>
      </c>
    </row>
    <row r="2423" ht="15.75" customHeight="1">
      <c r="A2423" s="64">
        <v>45481.0</v>
      </c>
      <c r="B2423" s="55" t="str">
        <f>HYPERLINK("https://jobright.ai/jobs/info/66833823b5752eff96c79ea7?utm_campaign=1062&amp;utm_source=sheet", "Apply")</f>
        <v>Apply</v>
      </c>
      <c r="C2423" s="10" t="s">
        <v>7222</v>
      </c>
      <c r="D2423" s="56" t="s">
        <v>3211</v>
      </c>
      <c r="E2423" s="10" t="s">
        <v>45</v>
      </c>
      <c r="F2423" s="10" t="s">
        <v>3212</v>
      </c>
      <c r="G2423" s="10" t="s">
        <v>2437</v>
      </c>
      <c r="H2423" s="10" t="s">
        <v>3213</v>
      </c>
      <c r="I2423" s="10" t="s">
        <v>55</v>
      </c>
      <c r="K2423" s="10" t="s">
        <v>7223</v>
      </c>
      <c r="L2423" s="10" t="s">
        <v>42</v>
      </c>
    </row>
    <row r="2424" ht="15.75" customHeight="1">
      <c r="A2424" s="64">
        <v>45481.0</v>
      </c>
      <c r="B2424" s="55" t="str">
        <f>HYPERLINK("https://jobright.ai/jobs/info/6675e15ce95c1a0a225b89d2?utm_campaign=1062&amp;utm_source=sheet", "Apply")</f>
        <v>Apply</v>
      </c>
      <c r="C2424" s="10" t="s">
        <v>7224</v>
      </c>
      <c r="D2424" s="56" t="s">
        <v>7225</v>
      </c>
      <c r="E2424" s="10" t="s">
        <v>71</v>
      </c>
      <c r="F2424" s="10" t="s">
        <v>1587</v>
      </c>
      <c r="G2424" s="10" t="s">
        <v>2448</v>
      </c>
      <c r="H2424" s="10" t="s">
        <v>146</v>
      </c>
      <c r="I2424" s="10" t="s">
        <v>48</v>
      </c>
      <c r="K2424" s="10" t="s">
        <v>7226</v>
      </c>
      <c r="L2424" s="10" t="s">
        <v>42</v>
      </c>
    </row>
    <row r="2425" ht="15.75" customHeight="1">
      <c r="A2425" s="64">
        <v>45481.0</v>
      </c>
      <c r="B2425" s="55" t="str">
        <f>HYPERLINK("https://jobright.ai/jobs/info/6688744ac75a6e7e29dd21aa?utm_campaign=1062&amp;utm_source=sheet", "Apply")</f>
        <v>Apply</v>
      </c>
      <c r="C2425" s="10" t="s">
        <v>2954</v>
      </c>
      <c r="D2425" s="56" t="s">
        <v>4236</v>
      </c>
      <c r="E2425" s="10" t="s">
        <v>65</v>
      </c>
      <c r="F2425" s="10" t="s">
        <v>4237</v>
      </c>
      <c r="G2425" s="10" t="s">
        <v>2464</v>
      </c>
      <c r="H2425" s="10" t="s">
        <v>3022</v>
      </c>
      <c r="I2425" s="10" t="s">
        <v>55</v>
      </c>
      <c r="J2425" s="10" t="s">
        <v>1189</v>
      </c>
      <c r="K2425" s="10" t="s">
        <v>7227</v>
      </c>
      <c r="L2425" s="10" t="s">
        <v>42</v>
      </c>
    </row>
    <row r="2426" ht="15.75" customHeight="1">
      <c r="A2426" s="64">
        <v>45481.0</v>
      </c>
      <c r="B2426" s="55" t="str">
        <f>HYPERLINK("https://jobright.ai/jobs/info/668cdccc6aa80870838313e8?utm_campaign=1062&amp;utm_source=sheet", "Apply")</f>
        <v>Apply</v>
      </c>
      <c r="C2426" s="10" t="s">
        <v>7228</v>
      </c>
      <c r="D2426" s="56" t="s">
        <v>7229</v>
      </c>
      <c r="E2426" s="10" t="s">
        <v>137</v>
      </c>
      <c r="F2426" s="10" t="s">
        <v>7230</v>
      </c>
      <c r="G2426" s="10" t="s">
        <v>3005</v>
      </c>
      <c r="H2426" s="10" t="s">
        <v>251</v>
      </c>
      <c r="I2426" s="10" t="s">
        <v>252</v>
      </c>
      <c r="K2426" s="10" t="s">
        <v>7231</v>
      </c>
      <c r="L2426" s="10" t="s">
        <v>42</v>
      </c>
    </row>
    <row r="2427" ht="15.75" customHeight="1">
      <c r="A2427" s="64">
        <v>45481.0</v>
      </c>
      <c r="B2427" s="55" t="str">
        <f>HYPERLINK("https://jobright.ai/jobs/info/668c6f53722799dac2280490?utm_campaign=1062&amp;utm_source=sheet", "Apply")</f>
        <v>Apply</v>
      </c>
      <c r="C2427" s="10" t="s">
        <v>7232</v>
      </c>
      <c r="D2427" s="56" t="s">
        <v>2548</v>
      </c>
      <c r="E2427" s="10" t="s">
        <v>45</v>
      </c>
      <c r="F2427" s="10" t="s">
        <v>2549</v>
      </c>
      <c r="G2427" s="10" t="s">
        <v>2484</v>
      </c>
      <c r="H2427" s="10" t="s">
        <v>1097</v>
      </c>
      <c r="I2427" s="10" t="s">
        <v>55</v>
      </c>
      <c r="K2427" s="10" t="s">
        <v>7233</v>
      </c>
      <c r="L2427" s="10" t="s">
        <v>42</v>
      </c>
    </row>
    <row r="2428" ht="15.75" customHeight="1">
      <c r="A2428" s="64">
        <v>45481.0</v>
      </c>
      <c r="B2428" s="55" t="str">
        <f>HYPERLINK("https://jobright.ai/jobs/info/668c59dfd12005586108e7a5?utm_campaign=1062&amp;utm_source=sheet", "Apply")</f>
        <v>Apply</v>
      </c>
      <c r="C2428" s="10" t="s">
        <v>7234</v>
      </c>
      <c r="D2428" s="56" t="s">
        <v>204</v>
      </c>
      <c r="E2428" s="10" t="s">
        <v>45</v>
      </c>
      <c r="F2428" s="10" t="s">
        <v>205</v>
      </c>
      <c r="G2428" s="10" t="s">
        <v>2476</v>
      </c>
      <c r="H2428" s="10" t="s">
        <v>229</v>
      </c>
      <c r="I2428" s="10" t="s">
        <v>55</v>
      </c>
      <c r="K2428" s="10" t="s">
        <v>7235</v>
      </c>
      <c r="L2428" s="10" t="s">
        <v>42</v>
      </c>
    </row>
    <row r="2429" ht="15.75" customHeight="1">
      <c r="A2429" s="64">
        <v>45481.0</v>
      </c>
      <c r="B2429" s="55" t="str">
        <f>HYPERLINK("https://jobright.ai/jobs/info/668c59fdd12005586108ea0f?utm_campaign=1062&amp;utm_source=sheet", "Apply")</f>
        <v>Apply</v>
      </c>
      <c r="C2429" s="10" t="s">
        <v>2681</v>
      </c>
      <c r="D2429" s="56" t="s">
        <v>2682</v>
      </c>
      <c r="E2429" s="10" t="s">
        <v>45</v>
      </c>
      <c r="F2429" s="10" t="s">
        <v>1357</v>
      </c>
      <c r="G2429" s="10" t="s">
        <v>2589</v>
      </c>
      <c r="H2429" s="10" t="s">
        <v>7236</v>
      </c>
      <c r="I2429" s="10" t="s">
        <v>55</v>
      </c>
      <c r="J2429" s="10" t="s">
        <v>2683</v>
      </c>
      <c r="K2429" s="10" t="s">
        <v>2684</v>
      </c>
      <c r="L2429" s="10" t="s">
        <v>42</v>
      </c>
    </row>
    <row r="2430" ht="15.75" customHeight="1">
      <c r="A2430" s="64">
        <v>45481.0</v>
      </c>
      <c r="B2430" s="55" t="str">
        <f>HYPERLINK("https://jobright.ai/jobs/info/668c59fdd12005586108e972?utm_campaign=1062&amp;utm_source=sheet", "Apply")</f>
        <v>Apply</v>
      </c>
      <c r="C2430" s="10" t="s">
        <v>7237</v>
      </c>
      <c r="D2430" s="56" t="s">
        <v>1789</v>
      </c>
      <c r="E2430" s="10" t="s">
        <v>45</v>
      </c>
      <c r="F2430" s="10" t="s">
        <v>1790</v>
      </c>
      <c r="G2430" s="10" t="s">
        <v>2484</v>
      </c>
      <c r="H2430" s="10" t="s">
        <v>159</v>
      </c>
      <c r="I2430" s="10" t="s">
        <v>55</v>
      </c>
      <c r="J2430" s="10" t="s">
        <v>7238</v>
      </c>
      <c r="K2430" s="10" t="s">
        <v>7239</v>
      </c>
      <c r="L2430" s="10" t="s">
        <v>42</v>
      </c>
    </row>
    <row r="2431" ht="15.75" customHeight="1">
      <c r="A2431" s="64">
        <v>45481.0</v>
      </c>
      <c r="B2431" s="55" t="str">
        <f>HYPERLINK("https://jobright.ai/jobs/info/668d0eb75c1b1ddc8b193667?utm_campaign=1062&amp;utm_source=sheet", "Apply")</f>
        <v>Apply</v>
      </c>
      <c r="C2431" s="10" t="s">
        <v>7240</v>
      </c>
      <c r="D2431" s="56" t="s">
        <v>2033</v>
      </c>
      <c r="E2431" s="10" t="s">
        <v>209</v>
      </c>
      <c r="F2431" s="10" t="s">
        <v>2034</v>
      </c>
      <c r="G2431" s="10" t="s">
        <v>2443</v>
      </c>
      <c r="H2431" s="10" t="s">
        <v>86</v>
      </c>
      <c r="I2431" s="10" t="s">
        <v>55</v>
      </c>
      <c r="J2431" s="10" t="s">
        <v>1608</v>
      </c>
      <c r="K2431" s="10" t="s">
        <v>2052</v>
      </c>
      <c r="L2431" s="10" t="s">
        <v>42</v>
      </c>
    </row>
    <row r="2432" ht="15.75" customHeight="1">
      <c r="A2432" s="64">
        <v>45481.0</v>
      </c>
      <c r="B2432" s="55" t="str">
        <f>HYPERLINK("https://jobright.ai/jobs/info/668d0eb75c1b1ddc8b193692?utm_campaign=1062&amp;utm_source=sheet", "Apply")</f>
        <v>Apply</v>
      </c>
      <c r="C2432" s="10" t="s">
        <v>7241</v>
      </c>
      <c r="D2432" s="56" t="s">
        <v>2033</v>
      </c>
      <c r="E2432" s="10" t="s">
        <v>209</v>
      </c>
      <c r="F2432" s="10" t="s">
        <v>2034</v>
      </c>
      <c r="G2432" s="10" t="s">
        <v>2443</v>
      </c>
      <c r="H2432" s="10" t="s">
        <v>86</v>
      </c>
      <c r="I2432" s="10" t="s">
        <v>55</v>
      </c>
      <c r="J2432" s="10" t="s">
        <v>1608</v>
      </c>
      <c r="K2432" s="10" t="s">
        <v>2035</v>
      </c>
      <c r="L2432" s="10" t="s">
        <v>42</v>
      </c>
    </row>
    <row r="2433" ht="15.75" customHeight="1">
      <c r="A2433" s="64">
        <v>45481.0</v>
      </c>
      <c r="B2433" s="55" t="str">
        <f>HYPERLINK("https://jobright.ai/jobs/info/668d0eb75c1b1ddc8b193680?utm_campaign=1062&amp;utm_source=sheet", "Apply")</f>
        <v>Apply</v>
      </c>
      <c r="C2433" s="10" t="s">
        <v>7242</v>
      </c>
      <c r="D2433" s="56" t="s">
        <v>2033</v>
      </c>
      <c r="E2433" s="10" t="s">
        <v>209</v>
      </c>
      <c r="F2433" s="10" t="s">
        <v>2034</v>
      </c>
      <c r="G2433" s="10" t="s">
        <v>2448</v>
      </c>
      <c r="H2433" s="10" t="s">
        <v>86</v>
      </c>
      <c r="I2433" s="10" t="s">
        <v>55</v>
      </c>
      <c r="J2433" s="10" t="s">
        <v>1608</v>
      </c>
      <c r="K2433" s="10" t="s">
        <v>2035</v>
      </c>
      <c r="L2433" s="10" t="s">
        <v>42</v>
      </c>
    </row>
    <row r="2434" ht="15.75" customHeight="1">
      <c r="A2434" s="64">
        <v>45481.0</v>
      </c>
      <c r="B2434" s="55" t="str">
        <f>HYPERLINK("https://jobright.ai/jobs/info/668d0ebf5c1b1ddc8b19372d?utm_campaign=1062&amp;utm_source=sheet", "Apply")</f>
        <v>Apply</v>
      </c>
      <c r="C2434" s="10" t="s">
        <v>7125</v>
      </c>
      <c r="D2434" s="56" t="s">
        <v>2033</v>
      </c>
      <c r="E2434" s="10" t="s">
        <v>209</v>
      </c>
      <c r="F2434" s="10" t="s">
        <v>2034</v>
      </c>
      <c r="G2434" s="10" t="s">
        <v>2443</v>
      </c>
      <c r="H2434" s="10" t="s">
        <v>86</v>
      </c>
      <c r="I2434" s="10" t="s">
        <v>55</v>
      </c>
      <c r="J2434" s="10" t="s">
        <v>1608</v>
      </c>
      <c r="K2434" s="10" t="s">
        <v>2035</v>
      </c>
      <c r="L2434" s="10" t="s">
        <v>42</v>
      </c>
    </row>
    <row r="2435" ht="15.75" customHeight="1">
      <c r="A2435" s="64">
        <v>45481.0</v>
      </c>
      <c r="B2435" s="55" t="str">
        <f>HYPERLINK("https://jobright.ai/jobs/info/668d0ebf5c1b1ddc8b1936f6?utm_campaign=1062&amp;utm_source=sheet", "Apply")</f>
        <v>Apply</v>
      </c>
      <c r="C2435" s="10" t="s">
        <v>7243</v>
      </c>
      <c r="D2435" s="56" t="s">
        <v>2033</v>
      </c>
      <c r="E2435" s="10" t="s">
        <v>209</v>
      </c>
      <c r="F2435" s="10" t="s">
        <v>2034</v>
      </c>
      <c r="G2435" s="10" t="s">
        <v>2448</v>
      </c>
      <c r="H2435" s="10" t="s">
        <v>86</v>
      </c>
      <c r="I2435" s="10" t="s">
        <v>55</v>
      </c>
      <c r="J2435" s="10" t="s">
        <v>1608</v>
      </c>
      <c r="K2435" s="10" t="s">
        <v>2035</v>
      </c>
      <c r="L2435" s="10" t="s">
        <v>42</v>
      </c>
    </row>
    <row r="2436" ht="15.75" customHeight="1">
      <c r="A2436" s="64">
        <v>45481.0</v>
      </c>
      <c r="B2436" s="55" t="str">
        <f>HYPERLINK("https://jobright.ai/jobs/info/668d0ebf5c1b1ddc8b193764?utm_campaign=1062&amp;utm_source=sheet", "Apply")</f>
        <v>Apply</v>
      </c>
      <c r="C2436" s="10" t="s">
        <v>7244</v>
      </c>
      <c r="D2436" s="56" t="s">
        <v>2033</v>
      </c>
      <c r="E2436" s="10" t="s">
        <v>209</v>
      </c>
      <c r="F2436" s="10" t="s">
        <v>2034</v>
      </c>
      <c r="G2436" s="10" t="s">
        <v>2448</v>
      </c>
      <c r="H2436" s="10" t="s">
        <v>86</v>
      </c>
      <c r="I2436" s="10" t="s">
        <v>55</v>
      </c>
      <c r="J2436" s="10" t="s">
        <v>1608</v>
      </c>
      <c r="K2436" s="10" t="s">
        <v>2035</v>
      </c>
      <c r="L2436" s="10" t="s">
        <v>42</v>
      </c>
    </row>
    <row r="2437" ht="15.75" customHeight="1">
      <c r="A2437" s="64">
        <v>45481.0</v>
      </c>
      <c r="B2437" s="55" t="str">
        <f>HYPERLINK("https://jobright.ai/jobs/info/668c3d31ec00cd2e71bd1bb4?utm_campaign=1062&amp;utm_source=sheet", "Apply")</f>
        <v>Apply</v>
      </c>
      <c r="C2437" s="10" t="s">
        <v>7245</v>
      </c>
      <c r="D2437" s="56" t="s">
        <v>7246</v>
      </c>
      <c r="E2437" s="10" t="s">
        <v>79</v>
      </c>
      <c r="F2437" s="10" t="s">
        <v>7247</v>
      </c>
      <c r="G2437" s="10" t="s">
        <v>2528</v>
      </c>
      <c r="H2437" s="10" t="s">
        <v>7248</v>
      </c>
      <c r="I2437" s="10" t="s">
        <v>55</v>
      </c>
      <c r="K2437" s="10" t="s">
        <v>7249</v>
      </c>
      <c r="L2437" s="10" t="s">
        <v>42</v>
      </c>
    </row>
    <row r="2438" ht="15.75" customHeight="1">
      <c r="A2438" s="64">
        <v>45481.0</v>
      </c>
      <c r="B2438" s="55" t="str">
        <f>HYPERLINK("https://jobright.ai/jobs/info/668c22af42557af01ff61218?utm_campaign=1062&amp;utm_source=sheet", "Apply")</f>
        <v>Apply</v>
      </c>
      <c r="C2438" s="10" t="s">
        <v>7250</v>
      </c>
      <c r="D2438" s="56" t="s">
        <v>7251</v>
      </c>
      <c r="E2438" s="10" t="s">
        <v>137</v>
      </c>
      <c r="F2438" s="10" t="s">
        <v>2274</v>
      </c>
      <c r="G2438" s="10" t="s">
        <v>2589</v>
      </c>
      <c r="H2438" s="10" t="s">
        <v>1013</v>
      </c>
      <c r="I2438" s="10" t="s">
        <v>55</v>
      </c>
      <c r="K2438" s="10" t="s">
        <v>7252</v>
      </c>
      <c r="L2438" s="10" t="s">
        <v>42</v>
      </c>
    </row>
    <row r="2439" ht="15.75" customHeight="1">
      <c r="A2439" s="64">
        <v>45481.0</v>
      </c>
      <c r="B2439" s="55" t="str">
        <f>HYPERLINK("https://jobright.ai/jobs/info/668c2960dbe1aedcdfe009f8?utm_campaign=1062&amp;utm_source=sheet", "Apply")</f>
        <v>Apply</v>
      </c>
      <c r="C2439" s="10" t="s">
        <v>7253</v>
      </c>
      <c r="D2439" s="56" t="s">
        <v>1061</v>
      </c>
      <c r="E2439" s="10" t="s">
        <v>209</v>
      </c>
      <c r="G2439" s="10" t="s">
        <v>2448</v>
      </c>
      <c r="H2439" s="10" t="s">
        <v>898</v>
      </c>
      <c r="I2439" s="10" t="s">
        <v>55</v>
      </c>
      <c r="K2439" s="10" t="s">
        <v>7254</v>
      </c>
      <c r="L2439" s="10" t="s">
        <v>42</v>
      </c>
    </row>
    <row r="2440" ht="15.75" customHeight="1">
      <c r="A2440" s="64">
        <v>45481.0</v>
      </c>
      <c r="B2440" s="55" t="str">
        <f>HYPERLINK("https://jobright.ai/jobs/info/668c13e99156a36052676d84?utm_campaign=1062&amp;utm_source=sheet", "Apply")</f>
        <v>Apply</v>
      </c>
      <c r="C2440" s="10" t="s">
        <v>7255</v>
      </c>
      <c r="D2440" s="56" t="s">
        <v>1311</v>
      </c>
      <c r="E2440" s="10" t="s">
        <v>65</v>
      </c>
      <c r="F2440" s="10" t="s">
        <v>1312</v>
      </c>
      <c r="G2440" s="10" t="s">
        <v>2502</v>
      </c>
      <c r="H2440" s="10" t="s">
        <v>113</v>
      </c>
      <c r="I2440" s="10" t="s">
        <v>55</v>
      </c>
      <c r="K2440" s="10" t="s">
        <v>7256</v>
      </c>
      <c r="L2440" s="10" t="s">
        <v>42</v>
      </c>
    </row>
    <row r="2441" ht="15.75" customHeight="1">
      <c r="A2441" s="64">
        <v>45481.0</v>
      </c>
      <c r="B2441" s="55" t="str">
        <f>HYPERLINK("https://jobright.ai/jobs/info/668c05408044ac76a5c827bc?utm_campaign=1062&amp;utm_source=sheet", "Apply")</f>
        <v>Apply</v>
      </c>
      <c r="C2441" s="10" t="s">
        <v>4380</v>
      </c>
      <c r="D2441" s="56" t="s">
        <v>3902</v>
      </c>
      <c r="E2441" s="10" t="s">
        <v>249</v>
      </c>
      <c r="F2441" s="10" t="s">
        <v>1274</v>
      </c>
      <c r="G2441" s="10" t="s">
        <v>2484</v>
      </c>
      <c r="H2441" s="10" t="s">
        <v>7257</v>
      </c>
      <c r="I2441" s="10" t="s">
        <v>55</v>
      </c>
      <c r="K2441" s="10" t="s">
        <v>7258</v>
      </c>
      <c r="L2441" s="10" t="s">
        <v>42</v>
      </c>
    </row>
    <row r="2442" ht="15.75" customHeight="1">
      <c r="A2442" s="64">
        <v>45481.0</v>
      </c>
      <c r="B2442" s="55" t="str">
        <f>HYPERLINK("https://jobright.ai/jobs/info/669e60d497d87febbccc6510?utm_campaign=1062&amp;utm_source=sheet", "Apply")</f>
        <v>Apply</v>
      </c>
      <c r="C2442" s="10" t="s">
        <v>4229</v>
      </c>
      <c r="D2442" s="56" t="s">
        <v>2856</v>
      </c>
      <c r="E2442" s="10" t="s">
        <v>209</v>
      </c>
      <c r="F2442" s="10" t="s">
        <v>2857</v>
      </c>
      <c r="G2442" s="10" t="s">
        <v>2470</v>
      </c>
      <c r="H2442" s="10" t="s">
        <v>2858</v>
      </c>
      <c r="I2442" s="10" t="s">
        <v>55</v>
      </c>
      <c r="K2442" s="10" t="s">
        <v>2859</v>
      </c>
      <c r="L2442" s="10" t="s">
        <v>42</v>
      </c>
    </row>
    <row r="2443" ht="15.75" customHeight="1">
      <c r="A2443" s="64">
        <v>45481.0</v>
      </c>
      <c r="B2443" s="55" t="str">
        <f>HYPERLINK("https://jobright.ai/jobs/info/6688a83e060a173f1dd64f44?utm_campaign=1062&amp;utm_source=sheet", "Apply")</f>
        <v>Apply</v>
      </c>
      <c r="C2443" s="10" t="s">
        <v>7259</v>
      </c>
      <c r="D2443" s="56" t="s">
        <v>2929</v>
      </c>
      <c r="E2443" s="10" t="s">
        <v>276</v>
      </c>
      <c r="F2443" s="10" t="s">
        <v>2930</v>
      </c>
      <c r="G2443" s="10" t="s">
        <v>2579</v>
      </c>
      <c r="H2443" s="10" t="s">
        <v>7260</v>
      </c>
      <c r="I2443" s="10" t="s">
        <v>55</v>
      </c>
      <c r="K2443" s="10" t="s">
        <v>7261</v>
      </c>
      <c r="L2443" s="10" t="s">
        <v>42</v>
      </c>
    </row>
    <row r="2444" ht="15.75" customHeight="1">
      <c r="A2444" s="64">
        <v>45481.0</v>
      </c>
      <c r="B2444" s="55" t="str">
        <f>HYPERLINK("https://jobright.ai/jobs/info/668d07dfb9491475384cbc2b?utm_campaign=1062&amp;utm_source=sheet", "Apply")</f>
        <v>Apply</v>
      </c>
      <c r="C2444" s="10" t="s">
        <v>7262</v>
      </c>
      <c r="D2444" s="56" t="s">
        <v>7263</v>
      </c>
      <c r="E2444" s="10" t="s">
        <v>79</v>
      </c>
      <c r="F2444" s="10" t="s">
        <v>7264</v>
      </c>
      <c r="G2444" s="10" t="s">
        <v>2448</v>
      </c>
      <c r="H2444" s="10" t="s">
        <v>7265</v>
      </c>
      <c r="I2444" s="10" t="s">
        <v>55</v>
      </c>
      <c r="J2444" s="10" t="s">
        <v>2450</v>
      </c>
      <c r="K2444" s="10" t="s">
        <v>7266</v>
      </c>
      <c r="L2444" s="10" t="s">
        <v>42</v>
      </c>
    </row>
    <row r="2445" ht="15.75" customHeight="1">
      <c r="A2445" s="64">
        <v>45481.0</v>
      </c>
      <c r="B2445" s="55" t="str">
        <f>HYPERLINK("https://jobright.ai/jobs/info/668bb8aae0325a0c51512108?utm_campaign=1062&amp;utm_source=sheet", "Apply")</f>
        <v>Apply</v>
      </c>
      <c r="C2445" s="10" t="s">
        <v>7267</v>
      </c>
      <c r="D2445" s="56" t="s">
        <v>7268</v>
      </c>
      <c r="E2445" s="10" t="s">
        <v>249</v>
      </c>
      <c r="F2445" s="10" t="s">
        <v>2746</v>
      </c>
      <c r="G2445" s="10" t="s">
        <v>2464</v>
      </c>
      <c r="H2445" s="10" t="s">
        <v>146</v>
      </c>
      <c r="I2445" s="10" t="s">
        <v>55</v>
      </c>
      <c r="J2445" s="10" t="s">
        <v>7269</v>
      </c>
      <c r="K2445" s="10" t="s">
        <v>7270</v>
      </c>
      <c r="L2445" s="10" t="s">
        <v>42</v>
      </c>
    </row>
    <row r="2446" ht="15.75" customHeight="1">
      <c r="A2446" s="64">
        <v>45481.0</v>
      </c>
      <c r="B2446" s="55" t="str">
        <f>HYPERLINK("https://jobright.ai/jobs/info/668bbf0ce16f971d9710779b?utm_campaign=1062&amp;utm_source=sheet", "Apply")</f>
        <v>Apply</v>
      </c>
      <c r="C2446" s="10" t="s">
        <v>7271</v>
      </c>
      <c r="D2446" s="56" t="s">
        <v>7268</v>
      </c>
      <c r="E2446" s="10" t="s">
        <v>249</v>
      </c>
      <c r="F2446" s="10" t="s">
        <v>2746</v>
      </c>
      <c r="G2446" s="10" t="s">
        <v>2464</v>
      </c>
      <c r="H2446" s="10" t="s">
        <v>907</v>
      </c>
      <c r="I2446" s="10" t="s">
        <v>55</v>
      </c>
      <c r="J2446" s="10" t="s">
        <v>7272</v>
      </c>
      <c r="K2446" s="10" t="s">
        <v>7273</v>
      </c>
      <c r="L2446" s="10" t="s">
        <v>42</v>
      </c>
    </row>
    <row r="2447" ht="15.75" customHeight="1">
      <c r="A2447" s="64">
        <v>45481.0</v>
      </c>
      <c r="B2447" s="55" t="str">
        <f>HYPERLINK("https://jobright.ai/jobs/info/668d07e8b9491475384cbc4a?utm_campaign=1062&amp;utm_source=sheet", "Apply")</f>
        <v>Apply</v>
      </c>
      <c r="C2447" s="10" t="s">
        <v>4155</v>
      </c>
      <c r="D2447" s="56" t="s">
        <v>7274</v>
      </c>
      <c r="E2447" s="10" t="s">
        <v>249</v>
      </c>
      <c r="F2447" s="10" t="s">
        <v>7275</v>
      </c>
      <c r="G2447" s="10" t="s">
        <v>2484</v>
      </c>
      <c r="H2447" s="10" t="s">
        <v>1613</v>
      </c>
      <c r="I2447" s="10" t="s">
        <v>55</v>
      </c>
      <c r="K2447" s="10" t="s">
        <v>7276</v>
      </c>
      <c r="L2447" s="10" t="s">
        <v>42</v>
      </c>
    </row>
    <row r="2448" ht="15.75" customHeight="1">
      <c r="A2448" s="64">
        <v>45481.0</v>
      </c>
      <c r="B2448" s="55" t="str">
        <f>HYPERLINK("https://jobright.ai/jobs/info/66936118170a1de3f96fbd00?utm_campaign=1062&amp;utm_source=sheet", "Apply")</f>
        <v>Apply</v>
      </c>
      <c r="C2448" s="10" t="s">
        <v>7177</v>
      </c>
      <c r="D2448" s="56" t="s">
        <v>7178</v>
      </c>
      <c r="E2448" s="10" t="s">
        <v>65</v>
      </c>
      <c r="F2448" s="10" t="s">
        <v>7179</v>
      </c>
      <c r="G2448" s="10" t="s">
        <v>2464</v>
      </c>
      <c r="H2448" s="10" t="s">
        <v>2380</v>
      </c>
      <c r="I2448" s="10" t="s">
        <v>55</v>
      </c>
      <c r="K2448" s="10" t="s">
        <v>7180</v>
      </c>
      <c r="L2448" s="10" t="s">
        <v>42</v>
      </c>
    </row>
    <row r="2449" ht="15.75" customHeight="1">
      <c r="A2449" s="64">
        <v>45481.0</v>
      </c>
      <c r="B2449" s="55" t="str">
        <f>HYPERLINK("https://jobright.ai/jobs/info/668c563a6d9edb82d509e6bf?utm_campaign=1062&amp;utm_source=sheet", "Apply")</f>
        <v>Apply</v>
      </c>
      <c r="C2449" s="10" t="s">
        <v>7277</v>
      </c>
      <c r="D2449" s="56" t="s">
        <v>7278</v>
      </c>
      <c r="E2449" s="10" t="s">
        <v>65</v>
      </c>
      <c r="F2449" s="10" t="s">
        <v>2632</v>
      </c>
      <c r="G2449" s="10" t="s">
        <v>2464</v>
      </c>
      <c r="H2449" s="10" t="s">
        <v>168</v>
      </c>
      <c r="I2449" s="10" t="s">
        <v>55</v>
      </c>
      <c r="K2449" s="10" t="s">
        <v>7279</v>
      </c>
      <c r="L2449" s="10" t="s">
        <v>42</v>
      </c>
    </row>
    <row r="2450" ht="15.75" customHeight="1">
      <c r="A2450" s="64">
        <v>45481.0</v>
      </c>
      <c r="B2450" s="55" t="str">
        <f>HYPERLINK("https://jobright.ai/jobs/info/668c563a6d9edb82d509e6be?utm_campaign=1062&amp;utm_source=sheet", "Apply")</f>
        <v>Apply</v>
      </c>
      <c r="C2450" s="10" t="s">
        <v>7280</v>
      </c>
      <c r="D2450" s="56" t="s">
        <v>7278</v>
      </c>
      <c r="E2450" s="10" t="s">
        <v>65</v>
      </c>
      <c r="F2450" s="10" t="s">
        <v>2632</v>
      </c>
      <c r="G2450" s="10" t="s">
        <v>2464</v>
      </c>
      <c r="H2450" s="10" t="s">
        <v>411</v>
      </c>
      <c r="I2450" s="10" t="s">
        <v>55</v>
      </c>
      <c r="K2450" s="10" t="s">
        <v>7281</v>
      </c>
      <c r="L2450" s="10" t="s">
        <v>42</v>
      </c>
    </row>
    <row r="2451" ht="15.75" customHeight="1">
      <c r="A2451" s="64">
        <v>45481.0</v>
      </c>
      <c r="B2451" s="55" t="str">
        <f>HYPERLINK("https://jobright.ai/jobs/info/668c7cbab17b35a9ab8111ec?utm_campaign=1062&amp;utm_source=sheet", "Apply")</f>
        <v>Apply</v>
      </c>
      <c r="C2451" s="10" t="s">
        <v>7282</v>
      </c>
      <c r="D2451" s="56" t="s">
        <v>7283</v>
      </c>
      <c r="E2451" s="10" t="s">
        <v>65</v>
      </c>
      <c r="F2451" s="10" t="s">
        <v>2758</v>
      </c>
      <c r="G2451" s="10" t="s">
        <v>2448</v>
      </c>
      <c r="H2451" s="10" t="s">
        <v>898</v>
      </c>
      <c r="I2451" s="10" t="s">
        <v>48</v>
      </c>
      <c r="J2451" s="10" t="s">
        <v>7284</v>
      </c>
      <c r="K2451" s="10" t="s">
        <v>7285</v>
      </c>
      <c r="L2451" s="10" t="s">
        <v>42</v>
      </c>
    </row>
    <row r="2452" ht="15.75" customHeight="1">
      <c r="A2452" s="64">
        <v>45481.0</v>
      </c>
      <c r="B2452" s="55" t="str">
        <f>HYPERLINK("https://jobright.ai/jobs/info/668bfc02256f0fd3689d1622?utm_campaign=1062&amp;utm_source=sheet", "Apply")</f>
        <v>Apply</v>
      </c>
      <c r="C2452" s="10" t="s">
        <v>7286</v>
      </c>
      <c r="D2452" s="56" t="s">
        <v>7287</v>
      </c>
      <c r="E2452" s="10" t="s">
        <v>45</v>
      </c>
      <c r="F2452" s="10" t="s">
        <v>7288</v>
      </c>
      <c r="G2452" s="10" t="s">
        <v>2484</v>
      </c>
      <c r="H2452" s="10" t="s">
        <v>7289</v>
      </c>
      <c r="I2452" s="10" t="s">
        <v>55</v>
      </c>
      <c r="K2452" s="10" t="s">
        <v>7290</v>
      </c>
      <c r="L2452" s="10" t="s">
        <v>42</v>
      </c>
    </row>
    <row r="2453" ht="15.75" customHeight="1">
      <c r="A2453" s="64">
        <v>45481.0</v>
      </c>
      <c r="B2453" s="55" t="str">
        <f>HYPERLINK("https://jobright.ai/jobs/info/668c40fe6d815327bc02d6f0?utm_campaign=1062&amp;utm_source=sheet", "Apply")</f>
        <v>Apply</v>
      </c>
      <c r="C2453" s="10" t="s">
        <v>5248</v>
      </c>
      <c r="D2453" s="56" t="s">
        <v>3211</v>
      </c>
      <c r="E2453" s="10" t="s">
        <v>45</v>
      </c>
      <c r="F2453" s="10" t="s">
        <v>3212</v>
      </c>
      <c r="G2453" s="10" t="s">
        <v>2448</v>
      </c>
      <c r="H2453" s="10" t="s">
        <v>7291</v>
      </c>
      <c r="I2453" s="10" t="s">
        <v>55</v>
      </c>
      <c r="J2453" s="10" t="s">
        <v>5249</v>
      </c>
      <c r="K2453" s="10" t="s">
        <v>5250</v>
      </c>
      <c r="L2453" s="10" t="s">
        <v>42</v>
      </c>
    </row>
    <row r="2454" ht="15.75" customHeight="1">
      <c r="A2454" s="64">
        <v>45480.0</v>
      </c>
      <c r="B2454" s="55" t="str">
        <f>HYPERLINK("https://jobright.ai/jobs/info/66768ecf3924a645d1123917?utm_campaign=1062&amp;utm_source=sheet", "Apply")</f>
        <v>Apply</v>
      </c>
      <c r="C2454" s="10" t="s">
        <v>7292</v>
      </c>
      <c r="D2454" s="56" t="s">
        <v>7293</v>
      </c>
      <c r="E2454" s="10" t="s">
        <v>79</v>
      </c>
      <c r="F2454" s="10" t="s">
        <v>6684</v>
      </c>
      <c r="G2454" s="10" t="s">
        <v>2448</v>
      </c>
      <c r="H2454" s="10" t="s">
        <v>7294</v>
      </c>
      <c r="I2454" s="10" t="s">
        <v>55</v>
      </c>
      <c r="J2454" s="10" t="s">
        <v>521</v>
      </c>
      <c r="K2454" s="10" t="s">
        <v>7295</v>
      </c>
      <c r="L2454" s="10" t="s">
        <v>42</v>
      </c>
    </row>
    <row r="2455" ht="15.75" customHeight="1">
      <c r="A2455" s="64">
        <v>45480.0</v>
      </c>
      <c r="B2455" s="55" t="str">
        <f>HYPERLINK("https://jobright.ai/jobs/info/669d1733cc2913c69c0f3e85?utm_campaign=1062&amp;utm_source=sheet", "Apply")</f>
        <v>Apply</v>
      </c>
      <c r="C2455" s="10" t="s">
        <v>4457</v>
      </c>
      <c r="D2455" s="56" t="s">
        <v>4448</v>
      </c>
      <c r="E2455" s="10" t="s">
        <v>71</v>
      </c>
      <c r="F2455" s="10" t="s">
        <v>4449</v>
      </c>
      <c r="G2455" s="10" t="s">
        <v>2448</v>
      </c>
      <c r="H2455" s="10" t="s">
        <v>7296</v>
      </c>
      <c r="I2455" s="10" t="s">
        <v>55</v>
      </c>
      <c r="K2455" s="10" t="s">
        <v>4450</v>
      </c>
      <c r="L2455" s="10" t="s">
        <v>42</v>
      </c>
    </row>
    <row r="2456" ht="15.75" customHeight="1">
      <c r="A2456" s="64">
        <v>45480.0</v>
      </c>
      <c r="B2456" s="55" t="str">
        <f>HYPERLINK("https://jobright.ai/jobs/info/669d17c3c5aabccbfcbf078d?utm_campaign=1062&amp;utm_source=sheet", "Apply")</f>
        <v>Apply</v>
      </c>
      <c r="C2456" s="10" t="s">
        <v>6982</v>
      </c>
      <c r="D2456" s="56" t="s">
        <v>6983</v>
      </c>
      <c r="E2456" s="10" t="s">
        <v>45</v>
      </c>
      <c r="F2456" s="10" t="s">
        <v>6984</v>
      </c>
      <c r="G2456" s="10" t="s">
        <v>3733</v>
      </c>
      <c r="H2456" s="10" t="s">
        <v>442</v>
      </c>
      <c r="I2456" s="10" t="s">
        <v>55</v>
      </c>
      <c r="J2456" s="10" t="s">
        <v>7297</v>
      </c>
      <c r="K2456" s="10" t="s">
        <v>7298</v>
      </c>
      <c r="L2456" s="10" t="s">
        <v>42</v>
      </c>
    </row>
    <row r="2457" ht="15.75" customHeight="1">
      <c r="A2457" s="64">
        <v>45480.0</v>
      </c>
      <c r="B2457" s="55" t="str">
        <f>HYPERLINK("https://jobright.ai/jobs/info/669d0a8204c007d24af47ee8?utm_campaign=1062&amp;utm_source=sheet", "Apply")</f>
        <v>Apply</v>
      </c>
      <c r="C2457" s="10" t="s">
        <v>7299</v>
      </c>
      <c r="D2457" s="56" t="s">
        <v>5799</v>
      </c>
      <c r="E2457" s="10" t="s">
        <v>249</v>
      </c>
      <c r="G2457" s="10" t="s">
        <v>2579</v>
      </c>
      <c r="H2457" s="10" t="s">
        <v>106</v>
      </c>
      <c r="I2457" s="10" t="s">
        <v>48</v>
      </c>
      <c r="K2457" s="10" t="s">
        <v>7300</v>
      </c>
      <c r="L2457" s="10" t="s">
        <v>42</v>
      </c>
    </row>
    <row r="2458" ht="15.75" customHeight="1">
      <c r="A2458" s="64">
        <v>45480.0</v>
      </c>
      <c r="B2458" s="55" t="str">
        <f>HYPERLINK("https://jobright.ai/jobs/info/668bb6ec17dee33772925538?utm_campaign=1062&amp;utm_source=sheet", "Apply")</f>
        <v>Apply</v>
      </c>
      <c r="C2458" s="10" t="s">
        <v>7301</v>
      </c>
      <c r="D2458" s="56" t="s">
        <v>6715</v>
      </c>
      <c r="E2458" s="10" t="s">
        <v>137</v>
      </c>
      <c r="F2458" s="10" t="s">
        <v>6716</v>
      </c>
      <c r="G2458" s="10" t="s">
        <v>4046</v>
      </c>
      <c r="H2458" s="10" t="s">
        <v>3861</v>
      </c>
      <c r="I2458" s="10" t="s">
        <v>55</v>
      </c>
      <c r="K2458" s="10" t="s">
        <v>7302</v>
      </c>
      <c r="L2458" s="10" t="s">
        <v>42</v>
      </c>
    </row>
    <row r="2459" ht="15.75" customHeight="1">
      <c r="A2459" s="64">
        <v>45480.0</v>
      </c>
      <c r="B2459" s="55" t="str">
        <f>HYPERLINK("https://jobright.ai/jobs/info/668d294be9464a99e8cac5af?utm_campaign=1062&amp;utm_source=sheet", "Apply")</f>
        <v>Apply</v>
      </c>
      <c r="C2459" s="10" t="s">
        <v>7303</v>
      </c>
      <c r="D2459" s="56" t="s">
        <v>7304</v>
      </c>
      <c r="E2459" s="10" t="s">
        <v>276</v>
      </c>
      <c r="F2459" s="10" t="s">
        <v>10</v>
      </c>
      <c r="G2459" s="10" t="s">
        <v>2579</v>
      </c>
      <c r="H2459" s="10" t="s">
        <v>7305</v>
      </c>
      <c r="I2459" s="10" t="s">
        <v>55</v>
      </c>
      <c r="K2459" s="10" t="s">
        <v>7306</v>
      </c>
      <c r="L2459" s="10" t="s">
        <v>42</v>
      </c>
    </row>
    <row r="2460" ht="15.75" customHeight="1">
      <c r="A2460" s="64">
        <v>45480.0</v>
      </c>
      <c r="B2460" s="55" t="str">
        <f>HYPERLINK("https://jobright.ai/jobs/info/668e6c2bde66e4b65999f595?utm_campaign=1062&amp;utm_source=sheet", "Apply")</f>
        <v>Apply</v>
      </c>
      <c r="C2460" s="10" t="s">
        <v>7307</v>
      </c>
      <c r="D2460" s="56" t="s">
        <v>5941</v>
      </c>
      <c r="E2460" s="10">
        <v>622.0</v>
      </c>
      <c r="G2460" s="10" t="s">
        <v>2464</v>
      </c>
      <c r="H2460" s="10" t="s">
        <v>7308</v>
      </c>
      <c r="I2460" s="10" t="s">
        <v>55</v>
      </c>
      <c r="K2460" s="10" t="s">
        <v>7309</v>
      </c>
      <c r="L2460" s="10" t="s">
        <v>42</v>
      </c>
    </row>
    <row r="2461" ht="15.75" customHeight="1">
      <c r="A2461" s="64">
        <v>45480.0</v>
      </c>
      <c r="B2461" s="55" t="str">
        <f>HYPERLINK("https://jobright.ai/jobs/info/668337f5b5752eff96c79bf1?utm_campaign=1062&amp;utm_source=sheet", "Apply")</f>
        <v>Apply</v>
      </c>
      <c r="C2461" s="10" t="s">
        <v>7310</v>
      </c>
      <c r="D2461" s="56" t="s">
        <v>7311</v>
      </c>
      <c r="E2461" s="10" t="s">
        <v>276</v>
      </c>
      <c r="F2461" s="10" t="s">
        <v>331</v>
      </c>
      <c r="G2461" s="10" t="s">
        <v>2807</v>
      </c>
      <c r="H2461" s="10" t="s">
        <v>986</v>
      </c>
      <c r="I2461" s="10" t="s">
        <v>55</v>
      </c>
      <c r="K2461" s="10" t="s">
        <v>7312</v>
      </c>
      <c r="L2461" s="10" t="s">
        <v>42</v>
      </c>
    </row>
    <row r="2462" ht="15.75" customHeight="1">
      <c r="A2462" s="64">
        <v>45480.0</v>
      </c>
      <c r="B2462" s="55" t="str">
        <f>HYPERLINK("https://jobright.ai/jobs/info/668a5cb8e378244948cf80d9?utm_campaign=1062&amp;utm_source=sheet", "Apply")</f>
        <v>Apply</v>
      </c>
      <c r="C2462" s="10" t="s">
        <v>7313</v>
      </c>
      <c r="D2462" s="56" t="s">
        <v>3071</v>
      </c>
      <c r="E2462" s="10" t="s">
        <v>45</v>
      </c>
      <c r="F2462" s="10" t="s">
        <v>1234</v>
      </c>
      <c r="G2462" s="10" t="s">
        <v>2448</v>
      </c>
      <c r="H2462" s="10" t="s">
        <v>153</v>
      </c>
      <c r="I2462" s="10" t="s">
        <v>48</v>
      </c>
      <c r="K2462" s="10" t="s">
        <v>7314</v>
      </c>
      <c r="L2462" s="10" t="s">
        <v>42</v>
      </c>
    </row>
    <row r="2463" ht="15.75" customHeight="1">
      <c r="A2463" s="64">
        <v>45480.0</v>
      </c>
      <c r="B2463" s="55" t="str">
        <f>HYPERLINK("https://jobright.ai/jobs/info/667dd59a49161264b2727c79?utm_campaign=1062&amp;utm_source=sheet", "Apply")</f>
        <v>Apply</v>
      </c>
      <c r="C2463" s="10" t="s">
        <v>7315</v>
      </c>
      <c r="D2463" s="56" t="s">
        <v>7316</v>
      </c>
      <c r="E2463" s="10" t="s">
        <v>249</v>
      </c>
      <c r="F2463" s="10" t="s">
        <v>85</v>
      </c>
      <c r="G2463" s="10" t="s">
        <v>2455</v>
      </c>
      <c r="H2463" s="10" t="s">
        <v>7317</v>
      </c>
      <c r="I2463" s="10" t="s">
        <v>55</v>
      </c>
      <c r="K2463" s="10" t="s">
        <v>7318</v>
      </c>
      <c r="L2463" s="10" t="s">
        <v>42</v>
      </c>
    </row>
    <row r="2464" ht="15.75" customHeight="1">
      <c r="A2464" s="64">
        <v>45480.0</v>
      </c>
      <c r="B2464" s="55" t="str">
        <f>HYPERLINK("https://jobright.ai/jobs/info/668a2c292897ccca9f48ac2b?utm_campaign=1062&amp;utm_source=sheet", "Apply")</f>
        <v>Apply</v>
      </c>
      <c r="C2464" s="10" t="s">
        <v>7319</v>
      </c>
      <c r="D2464" s="56" t="s">
        <v>4184</v>
      </c>
      <c r="E2464" s="10">
        <v>83.0</v>
      </c>
      <c r="G2464" s="10" t="s">
        <v>2484</v>
      </c>
      <c r="H2464" s="10" t="s">
        <v>4185</v>
      </c>
      <c r="I2464" s="10" t="s">
        <v>55</v>
      </c>
      <c r="K2464" s="10" t="s">
        <v>7320</v>
      </c>
      <c r="L2464" s="10" t="s">
        <v>42</v>
      </c>
    </row>
    <row r="2465" ht="15.75" customHeight="1">
      <c r="A2465" s="64">
        <v>45479.0</v>
      </c>
      <c r="B2465" s="55" t="str">
        <f>HYPERLINK("https://jobright.ai/jobs/info/65f52c0b58717415dde4b272?utm_campaign=1062&amp;utm_source=sheet", "Apply")</f>
        <v>Apply</v>
      </c>
      <c r="C2465" s="10" t="s">
        <v>301</v>
      </c>
      <c r="D2465" s="56" t="s">
        <v>5073</v>
      </c>
      <c r="E2465" s="10" t="s">
        <v>45</v>
      </c>
      <c r="F2465" s="10" t="s">
        <v>318</v>
      </c>
      <c r="G2465" s="10" t="s">
        <v>2495</v>
      </c>
      <c r="H2465" s="10" t="s">
        <v>2654</v>
      </c>
      <c r="I2465" s="10" t="s">
        <v>55</v>
      </c>
      <c r="K2465" s="10" t="s">
        <v>7321</v>
      </c>
      <c r="L2465" s="10" t="s">
        <v>42</v>
      </c>
    </row>
    <row r="2466" ht="15.75" customHeight="1">
      <c r="A2466" s="64">
        <v>45479.0</v>
      </c>
      <c r="B2466" s="55" t="str">
        <f>HYPERLINK("https://jobright.ai/jobs/info/666cdf8c5892391fdc5fb191?utm_campaign=1062&amp;utm_source=sheet", "Apply")</f>
        <v>Apply</v>
      </c>
      <c r="C2466" s="10" t="s">
        <v>7322</v>
      </c>
      <c r="D2466" s="56" t="s">
        <v>4071</v>
      </c>
      <c r="E2466" s="10" t="s">
        <v>65</v>
      </c>
      <c r="F2466" s="10" t="s">
        <v>4072</v>
      </c>
      <c r="G2466" s="10" t="s">
        <v>2448</v>
      </c>
      <c r="H2466" s="10" t="s">
        <v>4073</v>
      </c>
      <c r="I2466" s="10" t="s">
        <v>55</v>
      </c>
      <c r="K2466" s="10" t="s">
        <v>7323</v>
      </c>
      <c r="L2466" s="10" t="s">
        <v>42</v>
      </c>
    </row>
    <row r="2467" ht="15.75" customHeight="1">
      <c r="A2467" s="64">
        <v>45479.0</v>
      </c>
      <c r="B2467" s="55" t="str">
        <f>HYPERLINK("https://jobright.ai/jobs/info/66894d71be2d62dd92c50c97?utm_campaign=1062&amp;utm_source=sheet", "Apply")</f>
        <v>Apply</v>
      </c>
      <c r="C2467" s="10" t="s">
        <v>2681</v>
      </c>
      <c r="D2467" s="56" t="s">
        <v>2682</v>
      </c>
      <c r="E2467" s="10" t="s">
        <v>45</v>
      </c>
      <c r="F2467" s="10" t="s">
        <v>1357</v>
      </c>
      <c r="G2467" s="10" t="s">
        <v>2589</v>
      </c>
      <c r="H2467" s="10" t="s">
        <v>7324</v>
      </c>
      <c r="I2467" s="10" t="s">
        <v>55</v>
      </c>
      <c r="J2467" s="10" t="s">
        <v>2683</v>
      </c>
      <c r="K2467" s="10" t="s">
        <v>2684</v>
      </c>
      <c r="L2467" s="10" t="s">
        <v>42</v>
      </c>
    </row>
    <row r="2468" ht="15.75" customHeight="1">
      <c r="A2468" s="64">
        <v>45479.0</v>
      </c>
      <c r="B2468" s="55" t="str">
        <f>HYPERLINK("https://jobright.ai/jobs/info/66421676ed4d19127d878462?utm_campaign=1062&amp;utm_source=sheet", "Apply")</f>
        <v>Apply</v>
      </c>
      <c r="C2468" s="10" t="s">
        <v>7325</v>
      </c>
      <c r="D2468" s="56" t="s">
        <v>7326</v>
      </c>
      <c r="E2468" s="10">
        <v>40.0</v>
      </c>
      <c r="G2468" s="10" t="s">
        <v>2484</v>
      </c>
      <c r="H2468" s="10" t="s">
        <v>174</v>
      </c>
      <c r="I2468" s="10" t="s">
        <v>55</v>
      </c>
      <c r="K2468" s="10" t="s">
        <v>7327</v>
      </c>
      <c r="L2468" s="10" t="s">
        <v>42</v>
      </c>
    </row>
    <row r="2469" ht="15.75" customHeight="1">
      <c r="A2469" s="64">
        <v>45479.0</v>
      </c>
      <c r="B2469" s="55" t="str">
        <f>HYPERLINK("https://jobright.ai/jobs/info/668bdda162e0ee789c7844ab?utm_campaign=1062&amp;utm_source=sheet", "Apply")</f>
        <v>Apply</v>
      </c>
      <c r="C2469" s="10" t="s">
        <v>3115</v>
      </c>
      <c r="D2469" s="56" t="s">
        <v>5073</v>
      </c>
      <c r="E2469" s="10" t="s">
        <v>45</v>
      </c>
      <c r="F2469" s="10" t="s">
        <v>318</v>
      </c>
      <c r="G2469" s="10" t="s">
        <v>2455</v>
      </c>
      <c r="H2469" s="10" t="s">
        <v>2654</v>
      </c>
      <c r="I2469" s="10" t="s">
        <v>55</v>
      </c>
      <c r="K2469" s="10" t="s">
        <v>7328</v>
      </c>
      <c r="L2469" s="10" t="s">
        <v>42</v>
      </c>
    </row>
    <row r="2470" ht="15.75" customHeight="1">
      <c r="A2470" s="64">
        <v>45479.0</v>
      </c>
      <c r="B2470" s="55" t="str">
        <f>HYPERLINK("https://jobright.ai/jobs/info/6692725d4513eee4ec006d6a?utm_campaign=1062&amp;utm_source=sheet", "Apply")</f>
        <v>Apply</v>
      </c>
      <c r="C2470" s="10" t="s">
        <v>7329</v>
      </c>
      <c r="D2470" s="56" t="s">
        <v>196</v>
      </c>
      <c r="E2470" s="10" t="s">
        <v>71</v>
      </c>
      <c r="F2470" s="10" t="s">
        <v>197</v>
      </c>
      <c r="G2470" s="10" t="s">
        <v>2443</v>
      </c>
      <c r="H2470" s="10" t="s">
        <v>1963</v>
      </c>
      <c r="I2470" s="10" t="s">
        <v>55</v>
      </c>
      <c r="K2470" s="10" t="s">
        <v>7330</v>
      </c>
      <c r="L2470" s="10" t="s">
        <v>42</v>
      </c>
    </row>
    <row r="2471" ht="15.75" customHeight="1">
      <c r="A2471" s="64">
        <v>45479.0</v>
      </c>
      <c r="B2471" s="55" t="str">
        <f>HYPERLINK("https://jobright.ai/jobs/info/668d2f336cbb6889454a4772?utm_campaign=1062&amp;utm_source=sheet", "Apply")</f>
        <v>Apply</v>
      </c>
      <c r="C2471" s="10" t="s">
        <v>7331</v>
      </c>
      <c r="D2471" s="56" t="s">
        <v>7332</v>
      </c>
      <c r="E2471" s="10" t="s">
        <v>137</v>
      </c>
      <c r="F2471" s="10" t="s">
        <v>2454</v>
      </c>
      <c r="G2471" s="10" t="s">
        <v>2437</v>
      </c>
      <c r="H2471" s="10" t="s">
        <v>5049</v>
      </c>
      <c r="I2471" s="10" t="s">
        <v>55</v>
      </c>
      <c r="K2471" s="10" t="s">
        <v>7333</v>
      </c>
      <c r="L2471" s="10" t="s">
        <v>42</v>
      </c>
    </row>
    <row r="2472" ht="15.75" customHeight="1">
      <c r="A2472" s="64">
        <v>45479.0</v>
      </c>
      <c r="B2472" s="55" t="str">
        <f>HYPERLINK("https://jobright.ai/jobs/info/66421676ed4d19127d878460?utm_campaign=1062&amp;utm_source=sheet", "Apply")</f>
        <v>Apply</v>
      </c>
      <c r="C2472" s="10" t="s">
        <v>7325</v>
      </c>
      <c r="D2472" s="56" t="s">
        <v>7326</v>
      </c>
      <c r="E2472" s="10">
        <v>40.0</v>
      </c>
      <c r="G2472" s="10" t="s">
        <v>2484</v>
      </c>
      <c r="H2472" s="10" t="s">
        <v>7334</v>
      </c>
      <c r="I2472" s="10" t="s">
        <v>55</v>
      </c>
      <c r="K2472" s="10" t="s">
        <v>7327</v>
      </c>
      <c r="L2472" s="10" t="s">
        <v>42</v>
      </c>
    </row>
    <row r="2473" ht="15.75" customHeight="1">
      <c r="A2473" s="64">
        <v>45479.0</v>
      </c>
      <c r="B2473" s="55" t="str">
        <f>HYPERLINK("https://jobright.ai/jobs/info/665f9cba7c51eca580a96986?utm_campaign=1062&amp;utm_source=sheet", "Apply")</f>
        <v>Apply</v>
      </c>
      <c r="C2473" s="10" t="s">
        <v>4380</v>
      </c>
      <c r="D2473" s="56" t="s">
        <v>5073</v>
      </c>
      <c r="E2473" s="10" t="s">
        <v>45</v>
      </c>
      <c r="F2473" s="10" t="s">
        <v>318</v>
      </c>
      <c r="G2473" s="10" t="s">
        <v>2484</v>
      </c>
      <c r="H2473" s="10" t="s">
        <v>5074</v>
      </c>
      <c r="I2473" s="10" t="s">
        <v>55</v>
      </c>
      <c r="J2473" s="10" t="s">
        <v>2980</v>
      </c>
      <c r="K2473" s="10" t="s">
        <v>7335</v>
      </c>
      <c r="L2473" s="10" t="s">
        <v>42</v>
      </c>
    </row>
    <row r="2474" ht="15.75" customHeight="1">
      <c r="A2474" s="64">
        <v>45479.0</v>
      </c>
      <c r="B2474" s="55" t="str">
        <f>HYPERLINK("https://jobright.ai/jobs/info/666d34587a5fb8e4c9da93b0?utm_campaign=1062&amp;utm_source=sheet", "Apply")</f>
        <v>Apply</v>
      </c>
      <c r="C2474" s="10" t="s">
        <v>7336</v>
      </c>
      <c r="D2474" s="56" t="s">
        <v>6535</v>
      </c>
      <c r="E2474" s="10" t="s">
        <v>45</v>
      </c>
      <c r="F2474" s="10" t="s">
        <v>6536</v>
      </c>
      <c r="G2474" s="10" t="s">
        <v>2502</v>
      </c>
      <c r="H2474" s="10" t="s">
        <v>698</v>
      </c>
      <c r="I2474" s="10" t="s">
        <v>55</v>
      </c>
      <c r="J2474" s="10" t="s">
        <v>7337</v>
      </c>
      <c r="K2474" s="10" t="s">
        <v>7338</v>
      </c>
      <c r="L2474" s="10" t="s">
        <v>42</v>
      </c>
    </row>
    <row r="2475" ht="15.75" customHeight="1">
      <c r="A2475" s="64">
        <v>45479.0</v>
      </c>
      <c r="B2475" s="55" t="str">
        <f>HYPERLINK("https://jobright.ai/jobs/info/6677b7639c2d9fa5bf087ac6?utm_campaign=1062&amp;utm_source=sheet", "Apply")</f>
        <v>Apply</v>
      </c>
      <c r="C2475" s="10" t="s">
        <v>7339</v>
      </c>
      <c r="D2475" s="56" t="s">
        <v>5270</v>
      </c>
      <c r="E2475" s="10" t="s">
        <v>209</v>
      </c>
      <c r="F2475" s="10" t="s">
        <v>529</v>
      </c>
      <c r="G2475" s="10" t="s">
        <v>2495</v>
      </c>
      <c r="H2475" s="10" t="s">
        <v>232</v>
      </c>
      <c r="I2475" s="10" t="s">
        <v>55</v>
      </c>
      <c r="J2475" s="10" t="s">
        <v>7340</v>
      </c>
      <c r="K2475" s="10" t="s">
        <v>7341</v>
      </c>
      <c r="L2475" s="10" t="s">
        <v>42</v>
      </c>
    </row>
    <row r="2476" ht="15.75" customHeight="1">
      <c r="A2476" s="64">
        <v>45479.0</v>
      </c>
      <c r="B2476" s="55" t="str">
        <f>HYPERLINK("https://jobright.ai/jobs/info/666d2c6100e2f71a5889f32d?utm_campaign=1062&amp;utm_source=sheet", "Apply")</f>
        <v>Apply</v>
      </c>
      <c r="C2476" s="10" t="s">
        <v>7342</v>
      </c>
      <c r="D2476" s="56" t="s">
        <v>3413</v>
      </c>
      <c r="E2476" s="10" t="s">
        <v>45</v>
      </c>
      <c r="F2476" s="10" t="s">
        <v>3414</v>
      </c>
      <c r="G2476" s="10" t="s">
        <v>2470</v>
      </c>
      <c r="H2476" s="10" t="s">
        <v>7343</v>
      </c>
      <c r="I2476" s="10" t="s">
        <v>55</v>
      </c>
      <c r="K2476" s="10" t="s">
        <v>7344</v>
      </c>
      <c r="L2476" s="10" t="s">
        <v>42</v>
      </c>
    </row>
    <row r="2477" ht="15.75" customHeight="1">
      <c r="A2477" s="64">
        <v>45479.0</v>
      </c>
      <c r="B2477" s="55" t="str">
        <f>HYPERLINK("https://jobright.ai/jobs/info/666c93d1302a2fe99b51d30b?utm_campaign=1062&amp;utm_source=sheet", "Apply")</f>
        <v>Apply</v>
      </c>
      <c r="C2477" s="10" t="s">
        <v>5697</v>
      </c>
      <c r="D2477" s="56" t="s">
        <v>7215</v>
      </c>
      <c r="E2477" s="10" t="s">
        <v>45</v>
      </c>
      <c r="F2477" s="10" t="s">
        <v>665</v>
      </c>
      <c r="G2477" s="10" t="s">
        <v>2443</v>
      </c>
      <c r="H2477" s="10" t="s">
        <v>843</v>
      </c>
      <c r="I2477" s="10" t="s">
        <v>55</v>
      </c>
      <c r="K2477" s="10" t="s">
        <v>5700</v>
      </c>
      <c r="L2477" s="10" t="s">
        <v>42</v>
      </c>
    </row>
    <row r="2478" ht="15.75" customHeight="1">
      <c r="A2478" s="64">
        <v>45479.0</v>
      </c>
      <c r="B2478" s="55" t="str">
        <f>HYPERLINK("https://jobright.ai/jobs/info/666cd0cdd0199f0ff0f10973?utm_campaign=1062&amp;utm_source=sheet", "Apply")</f>
        <v>Apply</v>
      </c>
      <c r="C2478" s="10" t="s">
        <v>5403</v>
      </c>
      <c r="D2478" s="56" t="s">
        <v>7345</v>
      </c>
      <c r="E2478" s="10" t="s">
        <v>45</v>
      </c>
      <c r="F2478" s="10" t="s">
        <v>7346</v>
      </c>
      <c r="G2478" s="10" t="s">
        <v>2509</v>
      </c>
      <c r="H2478" s="10" t="s">
        <v>7347</v>
      </c>
      <c r="I2478" s="10" t="s">
        <v>48</v>
      </c>
      <c r="J2478" s="10" t="s">
        <v>7348</v>
      </c>
      <c r="K2478" s="10" t="s">
        <v>7349</v>
      </c>
      <c r="L2478" s="10" t="s">
        <v>42</v>
      </c>
    </row>
    <row r="2479" ht="15.75" customHeight="1">
      <c r="A2479" s="64">
        <v>45479.0</v>
      </c>
      <c r="B2479" s="55" t="str">
        <f>HYPERLINK("https://jobright.ai/jobs/info/669b8148946b8aff86279cdf?utm_campaign=1062&amp;utm_source=sheet", "Apply")</f>
        <v>Apply</v>
      </c>
      <c r="C2479" s="10" t="s">
        <v>4661</v>
      </c>
      <c r="D2479" s="56" t="s">
        <v>4662</v>
      </c>
      <c r="E2479" s="10" t="s">
        <v>79</v>
      </c>
      <c r="F2479" s="10" t="s">
        <v>3205</v>
      </c>
      <c r="G2479" s="10" t="s">
        <v>2464</v>
      </c>
      <c r="H2479" s="10" t="s">
        <v>154</v>
      </c>
      <c r="I2479" s="10" t="s">
        <v>55</v>
      </c>
      <c r="K2479" s="10" t="s">
        <v>4663</v>
      </c>
      <c r="L2479" s="10" t="s">
        <v>42</v>
      </c>
    </row>
    <row r="2480" ht="15.75" customHeight="1">
      <c r="A2480" s="64">
        <v>45478.0</v>
      </c>
      <c r="B2480" s="55" t="str">
        <f>HYPERLINK("https://jobright.ai/jobs/info/6688875e060c796bfbb93a8e?utm_campaign=1062&amp;utm_source=sheet", "Apply")</f>
        <v>Apply</v>
      </c>
      <c r="C2480" s="10" t="s">
        <v>7350</v>
      </c>
      <c r="D2480" s="56" t="s">
        <v>1368</v>
      </c>
      <c r="E2480" s="10" t="s">
        <v>65</v>
      </c>
      <c r="F2480" s="10" t="s">
        <v>1369</v>
      </c>
      <c r="G2480" s="10" t="s">
        <v>2437</v>
      </c>
      <c r="H2480" s="10" t="s">
        <v>1370</v>
      </c>
      <c r="I2480" s="10" t="s">
        <v>48</v>
      </c>
      <c r="K2480" s="10" t="s">
        <v>7351</v>
      </c>
      <c r="L2480" s="10" t="s">
        <v>42</v>
      </c>
    </row>
    <row r="2481" ht="15.75" customHeight="1">
      <c r="A2481" s="64">
        <v>45478.0</v>
      </c>
      <c r="B2481" s="55" t="str">
        <f>HYPERLINK("https://jobright.ai/jobs/info/6630cd40bb7bd6189cb1d8f8?utm_campaign=1062&amp;utm_source=sheet", "Apply")</f>
        <v>Apply</v>
      </c>
      <c r="C2481" s="10" t="s">
        <v>7352</v>
      </c>
      <c r="D2481" s="56" t="s">
        <v>7353</v>
      </c>
      <c r="E2481" s="10" t="s">
        <v>45</v>
      </c>
      <c r="F2481" s="10" t="s">
        <v>2850</v>
      </c>
      <c r="G2481" s="10" t="s">
        <v>2448</v>
      </c>
      <c r="H2481" s="10" t="s">
        <v>7354</v>
      </c>
      <c r="I2481" s="10" t="s">
        <v>55</v>
      </c>
      <c r="K2481" s="10" t="s">
        <v>7355</v>
      </c>
      <c r="L2481" s="10" t="s">
        <v>42</v>
      </c>
    </row>
    <row r="2482" ht="15.75" customHeight="1">
      <c r="A2482" s="64">
        <v>45478.0</v>
      </c>
      <c r="B2482" s="55" t="str">
        <f>HYPERLINK("https://jobright.ai/jobs/info/66888769060c796bfbb93b68?utm_campaign=1062&amp;utm_source=sheet", "Apply")</f>
        <v>Apply</v>
      </c>
      <c r="C2482" s="10" t="s">
        <v>7356</v>
      </c>
      <c r="D2482" s="56" t="s">
        <v>7357</v>
      </c>
      <c r="E2482" s="10" t="s">
        <v>45</v>
      </c>
      <c r="F2482" s="10" t="s">
        <v>665</v>
      </c>
      <c r="G2482" s="10" t="s">
        <v>2443</v>
      </c>
      <c r="H2482" s="10" t="s">
        <v>845</v>
      </c>
      <c r="I2482" s="10" t="s">
        <v>55</v>
      </c>
      <c r="J2482" s="10" t="s">
        <v>7358</v>
      </c>
      <c r="K2482" s="10" t="s">
        <v>7359</v>
      </c>
      <c r="L2482" s="10" t="s">
        <v>42</v>
      </c>
    </row>
    <row r="2483" ht="15.75" customHeight="1">
      <c r="A2483" s="64">
        <v>45478.0</v>
      </c>
      <c r="B2483" s="55" t="str">
        <f>HYPERLINK("https://jobright.ai/jobs/info/668879d7adbb085532cf952d?utm_campaign=1062&amp;utm_source=sheet", "Apply")</f>
        <v>Apply</v>
      </c>
      <c r="C2483" s="10" t="s">
        <v>7360</v>
      </c>
      <c r="D2483" s="56" t="s">
        <v>7361</v>
      </c>
      <c r="E2483" s="10">
        <v>3097.0</v>
      </c>
      <c r="G2483" s="10" t="s">
        <v>2470</v>
      </c>
      <c r="H2483" s="10" t="s">
        <v>7362</v>
      </c>
      <c r="I2483" s="10" t="s">
        <v>55</v>
      </c>
      <c r="J2483" s="10" t="s">
        <v>7363</v>
      </c>
      <c r="K2483" s="10" t="s">
        <v>7364</v>
      </c>
      <c r="L2483" s="10" t="s">
        <v>42</v>
      </c>
    </row>
    <row r="2484" ht="15.75" customHeight="1">
      <c r="A2484" s="64">
        <v>45478.0</v>
      </c>
      <c r="B2484" s="55" t="str">
        <f>HYPERLINK("https://jobright.ai/jobs/info/6688832e8782f8290ad5912a?utm_campaign=1062&amp;utm_source=sheet", "Apply")</f>
        <v>Apply</v>
      </c>
      <c r="C2484" s="10" t="s">
        <v>7365</v>
      </c>
      <c r="D2484" s="56" t="s">
        <v>1780</v>
      </c>
      <c r="E2484" s="10" t="s">
        <v>45</v>
      </c>
      <c r="F2484" s="10" t="s">
        <v>1781</v>
      </c>
      <c r="G2484" s="10" t="s">
        <v>3733</v>
      </c>
      <c r="H2484" s="10" t="s">
        <v>153</v>
      </c>
      <c r="I2484" s="10" t="s">
        <v>48</v>
      </c>
      <c r="K2484" s="10" t="s">
        <v>7366</v>
      </c>
      <c r="L2484" s="10" t="s">
        <v>42</v>
      </c>
    </row>
    <row r="2485" ht="15.75" customHeight="1">
      <c r="A2485" s="64">
        <v>45478.0</v>
      </c>
      <c r="B2485" s="55" t="str">
        <f>HYPERLINK("https://jobright.ai/jobs/info/66886cc7dc41ac17c470f06b?utm_campaign=1062&amp;utm_source=sheet", "Apply")</f>
        <v>Apply</v>
      </c>
      <c r="C2485" s="10" t="s">
        <v>7367</v>
      </c>
      <c r="D2485" s="56" t="s">
        <v>394</v>
      </c>
      <c r="E2485" s="10" t="s">
        <v>249</v>
      </c>
      <c r="F2485" s="10" t="s">
        <v>395</v>
      </c>
      <c r="G2485" s="10" t="s">
        <v>2448</v>
      </c>
      <c r="H2485" s="10" t="s">
        <v>113</v>
      </c>
      <c r="I2485" s="10" t="s">
        <v>55</v>
      </c>
      <c r="K2485" s="10" t="s">
        <v>7368</v>
      </c>
      <c r="L2485" s="10" t="s">
        <v>42</v>
      </c>
    </row>
    <row r="2486" ht="15.75" customHeight="1">
      <c r="A2486" s="64">
        <v>45478.0</v>
      </c>
      <c r="B2486" s="55" t="str">
        <f>HYPERLINK("https://jobright.ai/jobs/info/668394603852d4df8b5e82c5?utm_campaign=1062&amp;utm_source=sheet", "Apply")</f>
        <v>Apply</v>
      </c>
      <c r="C2486" s="10" t="s">
        <v>7369</v>
      </c>
      <c r="D2486" s="56" t="s">
        <v>7370</v>
      </c>
      <c r="E2486" s="10">
        <v>63418.0</v>
      </c>
      <c r="G2486" s="10" t="s">
        <v>2448</v>
      </c>
      <c r="H2486" s="10" t="s">
        <v>4329</v>
      </c>
      <c r="I2486" s="10" t="s">
        <v>55</v>
      </c>
      <c r="K2486" s="10" t="s">
        <v>7371</v>
      </c>
      <c r="L2486" s="10" t="s">
        <v>42</v>
      </c>
    </row>
    <row r="2487" ht="15.75" customHeight="1">
      <c r="A2487" s="64">
        <v>45478.0</v>
      </c>
      <c r="B2487" s="55" t="str">
        <f>HYPERLINK("https://jobright.ai/jobs/info/668bb6a217dee33772924f4e?utm_campaign=1062&amp;utm_source=sheet", "Apply")</f>
        <v>Apply</v>
      </c>
      <c r="C2487" s="10" t="s">
        <v>7372</v>
      </c>
      <c r="D2487" s="56" t="s">
        <v>7373</v>
      </c>
      <c r="E2487" s="10" t="s">
        <v>45</v>
      </c>
      <c r="F2487" s="10" t="s">
        <v>7374</v>
      </c>
      <c r="G2487" s="10" t="s">
        <v>2484</v>
      </c>
      <c r="H2487" s="10" t="s">
        <v>848</v>
      </c>
      <c r="I2487" s="10" t="s">
        <v>55</v>
      </c>
      <c r="K2487" s="10" t="s">
        <v>7375</v>
      </c>
      <c r="L2487" s="10" t="s">
        <v>42</v>
      </c>
    </row>
    <row r="2488" ht="15.75" customHeight="1">
      <c r="A2488" s="64">
        <v>45478.0</v>
      </c>
      <c r="B2488" s="55" t="str">
        <f>HYPERLINK("https://jobright.ai/jobs/info/6688222376fa2ac71305f0fb?utm_campaign=1062&amp;utm_source=sheet", "Apply")</f>
        <v>Apply</v>
      </c>
      <c r="C2488" s="10" t="s">
        <v>7376</v>
      </c>
      <c r="D2488" s="56" t="s">
        <v>7377</v>
      </c>
      <c r="E2488" s="10" t="s">
        <v>276</v>
      </c>
      <c r="F2488" s="10" t="s">
        <v>665</v>
      </c>
      <c r="G2488" s="10" t="s">
        <v>2443</v>
      </c>
      <c r="H2488" s="10" t="s">
        <v>7378</v>
      </c>
      <c r="I2488" s="10" t="s">
        <v>55</v>
      </c>
      <c r="K2488" s="10" t="s">
        <v>7379</v>
      </c>
      <c r="L2488" s="10" t="s">
        <v>42</v>
      </c>
    </row>
    <row r="2489" ht="15.75" customHeight="1">
      <c r="A2489" s="64">
        <v>45478.0</v>
      </c>
      <c r="B2489" s="55" t="str">
        <f>HYPERLINK("https://jobright.ai/jobs/info/669a844a9923480de0ec93ba?utm_campaign=1062&amp;utm_source=sheet", "Apply")</f>
        <v>Apply</v>
      </c>
      <c r="C2489" s="10" t="s">
        <v>4454</v>
      </c>
      <c r="D2489" s="56" t="s">
        <v>4448</v>
      </c>
      <c r="E2489" s="10" t="s">
        <v>71</v>
      </c>
      <c r="F2489" s="10" t="s">
        <v>4449</v>
      </c>
      <c r="G2489" s="10" t="s">
        <v>2448</v>
      </c>
      <c r="H2489" s="10" t="s">
        <v>7380</v>
      </c>
      <c r="I2489" s="10" t="s">
        <v>55</v>
      </c>
      <c r="K2489" s="10" t="s">
        <v>4450</v>
      </c>
      <c r="L2489" s="10" t="s">
        <v>42</v>
      </c>
    </row>
    <row r="2490" ht="15.75" customHeight="1">
      <c r="A2490" s="64">
        <v>45478.0</v>
      </c>
      <c r="B2490" s="55" t="str">
        <f>HYPERLINK("https://jobright.ai/jobs/info/66881e4cc5ee055d6138c9e3?utm_campaign=1062&amp;utm_source=sheet", "Apply")</f>
        <v>Apply</v>
      </c>
      <c r="C2490" s="10" t="s">
        <v>7381</v>
      </c>
      <c r="D2490" s="56" t="s">
        <v>1183</v>
      </c>
      <c r="E2490" s="10" t="s">
        <v>45</v>
      </c>
      <c r="F2490" s="10" t="s">
        <v>1184</v>
      </c>
      <c r="G2490" s="10" t="s">
        <v>2484</v>
      </c>
      <c r="H2490" s="10" t="s">
        <v>7382</v>
      </c>
      <c r="I2490" s="10" t="s">
        <v>55</v>
      </c>
      <c r="K2490" s="10" t="s">
        <v>7383</v>
      </c>
      <c r="L2490" s="10" t="s">
        <v>42</v>
      </c>
    </row>
    <row r="2491" ht="15.75" customHeight="1">
      <c r="A2491" s="64">
        <v>45478.0</v>
      </c>
      <c r="B2491" s="55" t="str">
        <f>HYPERLINK("https://jobright.ai/jobs/info/66881e4cc5ee055d6138c9df?utm_campaign=1062&amp;utm_source=sheet", "Apply")</f>
        <v>Apply</v>
      </c>
      <c r="C2491" s="10" t="s">
        <v>7384</v>
      </c>
      <c r="D2491" s="56" t="s">
        <v>1183</v>
      </c>
      <c r="E2491" s="10" t="s">
        <v>45</v>
      </c>
      <c r="F2491" s="10" t="s">
        <v>1184</v>
      </c>
      <c r="G2491" s="10" t="s">
        <v>2495</v>
      </c>
      <c r="H2491" s="10" t="s">
        <v>7382</v>
      </c>
      <c r="I2491" s="10" t="s">
        <v>55</v>
      </c>
      <c r="K2491" s="10" t="s">
        <v>7385</v>
      </c>
      <c r="L2491" s="10" t="s">
        <v>42</v>
      </c>
    </row>
    <row r="2492" ht="15.75" customHeight="1">
      <c r="A2492" s="64">
        <v>45478.0</v>
      </c>
      <c r="B2492" s="55" t="str">
        <f>HYPERLINK("https://jobright.ai/jobs/info/6675ac196d8340c59f8e45c8?utm_campaign=1062&amp;utm_source=sheet", "Apply")</f>
        <v>Apply</v>
      </c>
      <c r="C2492" s="10" t="s">
        <v>7386</v>
      </c>
      <c r="D2492" s="56" t="s">
        <v>7387</v>
      </c>
      <c r="E2492" s="10" t="s">
        <v>65</v>
      </c>
      <c r="F2492" s="10" t="s">
        <v>7388</v>
      </c>
      <c r="G2492" s="10" t="s">
        <v>2437</v>
      </c>
      <c r="H2492" s="10" t="s">
        <v>829</v>
      </c>
      <c r="I2492" s="10" t="s">
        <v>55</v>
      </c>
      <c r="K2492" s="10" t="s">
        <v>7389</v>
      </c>
      <c r="L2492" s="10" t="s">
        <v>42</v>
      </c>
    </row>
    <row r="2493" ht="15.75" customHeight="1">
      <c r="A2493" s="64">
        <v>45478.0</v>
      </c>
      <c r="B2493" s="55" t="str">
        <f>HYPERLINK("https://jobright.ai/jobs/info/668e9c0155881ec1c87f5027?utm_campaign=1062&amp;utm_source=sheet", "Apply")</f>
        <v>Apply</v>
      </c>
      <c r="C2493" s="10" t="s">
        <v>7390</v>
      </c>
      <c r="D2493" s="56" t="s">
        <v>4063</v>
      </c>
      <c r="E2493" s="10" t="s">
        <v>209</v>
      </c>
      <c r="F2493" s="10" t="s">
        <v>4064</v>
      </c>
      <c r="G2493" s="10" t="s">
        <v>2448</v>
      </c>
      <c r="H2493" s="10" t="s">
        <v>825</v>
      </c>
      <c r="I2493" s="10" t="s">
        <v>55</v>
      </c>
      <c r="K2493" s="10" t="s">
        <v>7391</v>
      </c>
      <c r="L2493" s="10" t="s">
        <v>42</v>
      </c>
    </row>
    <row r="2494" ht="15.75" customHeight="1">
      <c r="A2494" s="64">
        <v>45478.0</v>
      </c>
      <c r="B2494" s="55" t="str">
        <f>HYPERLINK("https://jobright.ai/jobs/info/668805f50c041b83fd893d60?utm_campaign=1062&amp;utm_source=sheet", "Apply")</f>
        <v>Apply</v>
      </c>
      <c r="C2494" s="10" t="s">
        <v>7392</v>
      </c>
      <c r="D2494" s="56" t="s">
        <v>1547</v>
      </c>
      <c r="E2494" s="10">
        <v>408.0</v>
      </c>
      <c r="G2494" s="10" t="s">
        <v>2589</v>
      </c>
      <c r="H2494" s="10" t="s">
        <v>7393</v>
      </c>
      <c r="I2494" s="10" t="s">
        <v>55</v>
      </c>
      <c r="K2494" s="10" t="s">
        <v>7394</v>
      </c>
      <c r="L2494" s="10" t="s">
        <v>42</v>
      </c>
    </row>
    <row r="2495" ht="15.75" customHeight="1">
      <c r="A2495" s="64">
        <v>45478.0</v>
      </c>
      <c r="B2495" s="55" t="str">
        <f>HYPERLINK("https://jobright.ai/jobs/info/666b69587fd6068197f9b5b4?utm_campaign=1062&amp;utm_source=sheet", "Apply")</f>
        <v>Apply</v>
      </c>
      <c r="C2495" s="10" t="s">
        <v>7395</v>
      </c>
      <c r="D2495" s="56" t="s">
        <v>7387</v>
      </c>
      <c r="E2495" s="10" t="s">
        <v>65</v>
      </c>
      <c r="F2495" s="10" t="s">
        <v>7388</v>
      </c>
      <c r="G2495" s="10" t="s">
        <v>2589</v>
      </c>
      <c r="H2495" s="10" t="s">
        <v>965</v>
      </c>
      <c r="I2495" s="10" t="s">
        <v>55</v>
      </c>
      <c r="K2495" s="10" t="s">
        <v>7396</v>
      </c>
      <c r="L2495" s="10" t="s">
        <v>42</v>
      </c>
    </row>
    <row r="2496" ht="15.75" customHeight="1">
      <c r="A2496" s="64">
        <v>45478.0</v>
      </c>
      <c r="B2496" s="55" t="str">
        <f>HYPERLINK("https://jobright.ai/jobs/info/669a7533608a5562480ae2c5?utm_campaign=1062&amp;utm_source=sheet", "Apply")</f>
        <v>Apply</v>
      </c>
      <c r="C2496" s="10" t="s">
        <v>7397</v>
      </c>
      <c r="D2496" s="56" t="s">
        <v>4448</v>
      </c>
      <c r="E2496" s="10" t="s">
        <v>71</v>
      </c>
      <c r="F2496" s="10" t="s">
        <v>4449</v>
      </c>
      <c r="G2496" s="10" t="s">
        <v>2448</v>
      </c>
      <c r="H2496" s="10" t="s">
        <v>7398</v>
      </c>
      <c r="I2496" s="10" t="s">
        <v>55</v>
      </c>
      <c r="K2496" s="10" t="s">
        <v>4450</v>
      </c>
      <c r="L2496" s="10" t="s">
        <v>42</v>
      </c>
    </row>
    <row r="2497" ht="15.75" customHeight="1">
      <c r="A2497" s="64">
        <v>45478.0</v>
      </c>
      <c r="B2497" s="55" t="str">
        <f>HYPERLINK("https://jobright.ai/jobs/info/6675dc6cd40a616e23782247?utm_campaign=1062&amp;utm_source=sheet", "Apply")</f>
        <v>Apply</v>
      </c>
      <c r="C2497" s="10" t="s">
        <v>7399</v>
      </c>
      <c r="D2497" s="56" t="s">
        <v>7400</v>
      </c>
      <c r="E2497" s="10">
        <v>138.0</v>
      </c>
      <c r="G2497" s="10" t="s">
        <v>2437</v>
      </c>
      <c r="H2497" s="10" t="s">
        <v>346</v>
      </c>
      <c r="I2497" s="10" t="s">
        <v>48</v>
      </c>
      <c r="K2497" s="10" t="s">
        <v>7401</v>
      </c>
      <c r="L2497" s="10" t="s">
        <v>42</v>
      </c>
    </row>
    <row r="2498" ht="15.75" customHeight="1">
      <c r="A2498" s="64">
        <v>45478.0</v>
      </c>
      <c r="B2498" s="55" t="str">
        <f>HYPERLINK("https://jobright.ai/jobs/info/666b727f80b0510a62c7ea75?utm_campaign=1062&amp;utm_source=sheet", "Apply")</f>
        <v>Apply</v>
      </c>
      <c r="C2498" s="10" t="s">
        <v>7395</v>
      </c>
      <c r="D2498" s="56" t="s">
        <v>7387</v>
      </c>
      <c r="E2498" s="10" t="s">
        <v>65</v>
      </c>
      <c r="F2498" s="10" t="s">
        <v>7388</v>
      </c>
      <c r="G2498" s="10" t="s">
        <v>2589</v>
      </c>
      <c r="H2498" s="10" t="s">
        <v>4079</v>
      </c>
      <c r="I2498" s="10" t="s">
        <v>55</v>
      </c>
      <c r="K2498" s="10" t="s">
        <v>7396</v>
      </c>
      <c r="L2498" s="10" t="s">
        <v>42</v>
      </c>
    </row>
    <row r="2499" ht="15.75" customHeight="1">
      <c r="A2499" s="64">
        <v>45478.0</v>
      </c>
      <c r="B2499" s="55" t="str">
        <f>HYPERLINK("https://jobright.ai/jobs/info/666b69587fd6068197f9b5ad?utm_campaign=1062&amp;utm_source=sheet", "Apply")</f>
        <v>Apply</v>
      </c>
      <c r="C2499" s="10" t="s">
        <v>7402</v>
      </c>
      <c r="D2499" s="56" t="s">
        <v>7387</v>
      </c>
      <c r="E2499" s="10" t="s">
        <v>65</v>
      </c>
      <c r="F2499" s="10" t="s">
        <v>7388</v>
      </c>
      <c r="G2499" s="10" t="s">
        <v>2437</v>
      </c>
      <c r="H2499" s="10" t="s">
        <v>4079</v>
      </c>
      <c r="I2499" s="10" t="s">
        <v>55</v>
      </c>
      <c r="K2499" s="10" t="s">
        <v>7403</v>
      </c>
      <c r="L2499" s="10" t="s">
        <v>42</v>
      </c>
    </row>
    <row r="2500" ht="15.75" customHeight="1">
      <c r="A2500" s="64">
        <v>45478.0</v>
      </c>
      <c r="B2500" s="55" t="str">
        <f>HYPERLINK("https://jobright.ai/jobs/info/666b727580b0510a62c7e9a2?utm_campaign=1062&amp;utm_source=sheet", "Apply")</f>
        <v>Apply</v>
      </c>
      <c r="C2500" s="10" t="s">
        <v>7404</v>
      </c>
      <c r="D2500" s="56" t="s">
        <v>7387</v>
      </c>
      <c r="E2500" s="10" t="s">
        <v>65</v>
      </c>
      <c r="F2500" s="10" t="s">
        <v>7388</v>
      </c>
      <c r="G2500" s="10" t="s">
        <v>2579</v>
      </c>
      <c r="H2500" s="10" t="s">
        <v>965</v>
      </c>
      <c r="I2500" s="10" t="s">
        <v>55</v>
      </c>
      <c r="K2500" s="10" t="s">
        <v>7405</v>
      </c>
      <c r="L2500" s="10" t="s">
        <v>42</v>
      </c>
    </row>
    <row r="2501" ht="15.75" customHeight="1">
      <c r="A2501" s="64">
        <v>45478.0</v>
      </c>
      <c r="B2501" s="55" t="str">
        <f>HYPERLINK("https://jobright.ai/jobs/info/669a6d4dd0b5f76ddffc2407?utm_campaign=1062&amp;utm_source=sheet", "Apply")</f>
        <v>Apply</v>
      </c>
      <c r="C2501" s="10" t="s">
        <v>4454</v>
      </c>
      <c r="D2501" s="56" t="s">
        <v>4448</v>
      </c>
      <c r="E2501" s="10" t="s">
        <v>71</v>
      </c>
      <c r="F2501" s="10" t="s">
        <v>4449</v>
      </c>
      <c r="G2501" s="10" t="s">
        <v>2448</v>
      </c>
      <c r="H2501" s="10" t="s">
        <v>7406</v>
      </c>
      <c r="I2501" s="10" t="s">
        <v>55</v>
      </c>
      <c r="K2501" s="10" t="s">
        <v>4450</v>
      </c>
      <c r="L2501" s="10" t="s">
        <v>42</v>
      </c>
    </row>
    <row r="2502" ht="15.75" customHeight="1">
      <c r="A2502" s="64">
        <v>45478.0</v>
      </c>
      <c r="B2502" s="55" t="str">
        <f>HYPERLINK("https://jobright.ai/jobs/info/666b727f80b0510a62c7ea76?utm_campaign=1062&amp;utm_source=sheet", "Apply")</f>
        <v>Apply</v>
      </c>
      <c r="C2502" s="10" t="s">
        <v>7395</v>
      </c>
      <c r="D2502" s="56" t="s">
        <v>7387</v>
      </c>
      <c r="E2502" s="10" t="s">
        <v>65</v>
      </c>
      <c r="F2502" s="10" t="s">
        <v>7388</v>
      </c>
      <c r="G2502" s="10" t="s">
        <v>2589</v>
      </c>
      <c r="H2502" s="10" t="s">
        <v>829</v>
      </c>
      <c r="I2502" s="10" t="s">
        <v>55</v>
      </c>
      <c r="K2502" s="10" t="s">
        <v>7396</v>
      </c>
      <c r="L2502" s="10" t="s">
        <v>42</v>
      </c>
    </row>
    <row r="2503" ht="15.75" customHeight="1">
      <c r="A2503" s="64">
        <v>45478.0</v>
      </c>
      <c r="B2503" s="55" t="str">
        <f>HYPERLINK("https://jobright.ai/jobs/info/666b723d80b0510a62c7e5db?utm_campaign=1062&amp;utm_source=sheet", "Apply")</f>
        <v>Apply</v>
      </c>
      <c r="C2503" s="10" t="s">
        <v>7407</v>
      </c>
      <c r="D2503" s="56" t="s">
        <v>7387</v>
      </c>
      <c r="E2503" s="10" t="s">
        <v>65</v>
      </c>
      <c r="F2503" s="10" t="s">
        <v>7388</v>
      </c>
      <c r="G2503" s="10" t="s">
        <v>2464</v>
      </c>
      <c r="H2503" s="10" t="s">
        <v>829</v>
      </c>
      <c r="I2503" s="10" t="s">
        <v>55</v>
      </c>
      <c r="K2503" s="10" t="s">
        <v>7405</v>
      </c>
      <c r="L2503" s="10" t="s">
        <v>42</v>
      </c>
    </row>
    <row r="2504" ht="15.75" customHeight="1">
      <c r="A2504" s="64">
        <v>45478.0</v>
      </c>
      <c r="B2504" s="55" t="str">
        <f>HYPERLINK("https://jobright.ai/jobs/info/666b7a8666a6b9b65997bb3f?utm_campaign=1062&amp;utm_source=sheet", "Apply")</f>
        <v>Apply</v>
      </c>
      <c r="C2504" s="10" t="s">
        <v>7408</v>
      </c>
      <c r="D2504" s="56" t="s">
        <v>7387</v>
      </c>
      <c r="E2504" s="10" t="s">
        <v>65</v>
      </c>
      <c r="F2504" s="10" t="s">
        <v>7388</v>
      </c>
      <c r="G2504" s="10" t="s">
        <v>2464</v>
      </c>
      <c r="H2504" s="10" t="s">
        <v>7409</v>
      </c>
      <c r="I2504" s="10" t="s">
        <v>55</v>
      </c>
      <c r="K2504" s="10" t="s">
        <v>7405</v>
      </c>
      <c r="L2504" s="10" t="s">
        <v>42</v>
      </c>
    </row>
    <row r="2505" ht="15.75" customHeight="1">
      <c r="A2505" s="64">
        <v>45478.0</v>
      </c>
      <c r="B2505" s="55" t="str">
        <f>HYPERLINK("https://jobright.ai/jobs/info/668bb6ac17dee33772924fab?utm_campaign=1062&amp;utm_source=sheet", "Apply")</f>
        <v>Apply</v>
      </c>
      <c r="C2505" s="10" t="s">
        <v>7410</v>
      </c>
      <c r="D2505" s="56" t="s">
        <v>7387</v>
      </c>
      <c r="E2505" s="10" t="s">
        <v>65</v>
      </c>
      <c r="F2505" s="10" t="s">
        <v>7388</v>
      </c>
      <c r="G2505" s="10" t="s">
        <v>2484</v>
      </c>
      <c r="H2505" s="10" t="s">
        <v>4079</v>
      </c>
      <c r="I2505" s="10" t="s">
        <v>55</v>
      </c>
      <c r="K2505" s="10" t="s">
        <v>7411</v>
      </c>
      <c r="L2505" s="10" t="s">
        <v>42</v>
      </c>
    </row>
    <row r="2506" ht="15.75" customHeight="1">
      <c r="A2506" s="64">
        <v>45478.0</v>
      </c>
      <c r="B2506" s="55" t="str">
        <f>HYPERLINK("https://jobright.ai/jobs/info/669a658dccbc474c18d0b191?utm_campaign=1062&amp;utm_source=sheet", "Apply")</f>
        <v>Apply</v>
      </c>
      <c r="C2506" s="10" t="s">
        <v>4454</v>
      </c>
      <c r="D2506" s="56" t="s">
        <v>4448</v>
      </c>
      <c r="E2506" s="10" t="s">
        <v>71</v>
      </c>
      <c r="F2506" s="10" t="s">
        <v>4449</v>
      </c>
      <c r="G2506" s="10" t="s">
        <v>2448</v>
      </c>
      <c r="H2506" s="10" t="s">
        <v>7412</v>
      </c>
      <c r="I2506" s="10" t="s">
        <v>55</v>
      </c>
      <c r="K2506" s="10" t="s">
        <v>4450</v>
      </c>
      <c r="L2506" s="10" t="s">
        <v>42</v>
      </c>
    </row>
    <row r="2507" ht="15.75" customHeight="1">
      <c r="A2507" s="64">
        <v>45478.0</v>
      </c>
      <c r="B2507" s="55" t="str">
        <f>HYPERLINK("https://jobright.ai/jobs/info/666bd5d0cf309ffb07c0bc59?utm_campaign=1062&amp;utm_source=sheet", "Apply")</f>
        <v>Apply</v>
      </c>
      <c r="C2507" s="10" t="s">
        <v>7413</v>
      </c>
      <c r="D2507" s="56" t="s">
        <v>5542</v>
      </c>
      <c r="E2507" s="10" t="s">
        <v>79</v>
      </c>
      <c r="F2507" s="10" t="s">
        <v>665</v>
      </c>
      <c r="G2507" s="10" t="s">
        <v>2443</v>
      </c>
      <c r="H2507" s="10" t="s">
        <v>80</v>
      </c>
      <c r="I2507" s="10" t="s">
        <v>55</v>
      </c>
      <c r="J2507" s="10" t="s">
        <v>7414</v>
      </c>
      <c r="K2507" s="10" t="s">
        <v>7415</v>
      </c>
      <c r="L2507" s="10" t="s">
        <v>42</v>
      </c>
    </row>
    <row r="2508" ht="15.75" customHeight="1">
      <c r="A2508" s="64">
        <v>45478.0</v>
      </c>
      <c r="B2508" s="55" t="str">
        <f>HYPERLINK("https://jobright.ai/jobs/info/666b727f80b0510a62c7ea74?utm_campaign=1062&amp;utm_source=sheet", "Apply")</f>
        <v>Apply</v>
      </c>
      <c r="C2508" s="10" t="s">
        <v>7404</v>
      </c>
      <c r="D2508" s="56" t="s">
        <v>7387</v>
      </c>
      <c r="E2508" s="10" t="s">
        <v>65</v>
      </c>
      <c r="F2508" s="10" t="s">
        <v>7388</v>
      </c>
      <c r="G2508" s="10" t="s">
        <v>2579</v>
      </c>
      <c r="H2508" s="10" t="s">
        <v>829</v>
      </c>
      <c r="I2508" s="10" t="s">
        <v>55</v>
      </c>
      <c r="K2508" s="10" t="s">
        <v>7405</v>
      </c>
      <c r="L2508" s="10" t="s">
        <v>42</v>
      </c>
    </row>
    <row r="2509" ht="15.75" customHeight="1">
      <c r="A2509" s="64">
        <v>45478.0</v>
      </c>
      <c r="B2509" s="55" t="str">
        <f>HYPERLINK("https://jobright.ai/jobs/info/66420947189dd3dac74726ab?utm_campaign=1062&amp;utm_source=sheet", "Apply")</f>
        <v>Apply</v>
      </c>
      <c r="C2509" s="10" t="s">
        <v>6881</v>
      </c>
      <c r="D2509" s="56" t="s">
        <v>6882</v>
      </c>
      <c r="E2509" s="10" t="s">
        <v>276</v>
      </c>
      <c r="F2509" s="10" t="s">
        <v>2588</v>
      </c>
      <c r="G2509" s="10" t="s">
        <v>2464</v>
      </c>
      <c r="H2509" s="10" t="s">
        <v>605</v>
      </c>
      <c r="I2509" s="10" t="s">
        <v>55</v>
      </c>
      <c r="K2509" s="10" t="s">
        <v>6883</v>
      </c>
      <c r="L2509" s="10" t="s">
        <v>42</v>
      </c>
    </row>
    <row r="2510" ht="15.75" customHeight="1">
      <c r="A2510" s="64">
        <v>45478.0</v>
      </c>
      <c r="B2510" s="55" t="str">
        <f>HYPERLINK("https://jobright.ai/jobs/info/666b69587fd6068197f9b5b0?utm_campaign=1062&amp;utm_source=sheet", "Apply")</f>
        <v>Apply</v>
      </c>
      <c r="C2510" s="10" t="s">
        <v>7416</v>
      </c>
      <c r="D2510" s="56" t="s">
        <v>7387</v>
      </c>
      <c r="E2510" s="10" t="s">
        <v>65</v>
      </c>
      <c r="F2510" s="10" t="s">
        <v>7388</v>
      </c>
      <c r="G2510" s="10" t="s">
        <v>2470</v>
      </c>
      <c r="H2510" s="10" t="s">
        <v>4079</v>
      </c>
      <c r="I2510" s="10" t="s">
        <v>55</v>
      </c>
      <c r="K2510" s="10" t="s">
        <v>7405</v>
      </c>
      <c r="L2510" s="10" t="s">
        <v>42</v>
      </c>
    </row>
    <row r="2511" ht="15.75" customHeight="1">
      <c r="A2511" s="64">
        <v>45478.0</v>
      </c>
      <c r="B2511" s="55" t="str">
        <f>HYPERLINK("https://jobright.ai/jobs/info/666b7a8666a6b9b65997bb5e?utm_campaign=1062&amp;utm_source=sheet", "Apply")</f>
        <v>Apply</v>
      </c>
      <c r="C2511" s="10" t="s">
        <v>7417</v>
      </c>
      <c r="D2511" s="56" t="s">
        <v>7387</v>
      </c>
      <c r="E2511" s="10" t="s">
        <v>65</v>
      </c>
      <c r="F2511" s="10" t="s">
        <v>7388</v>
      </c>
      <c r="G2511" s="10" t="s">
        <v>2470</v>
      </c>
      <c r="H2511" s="10" t="s">
        <v>829</v>
      </c>
      <c r="I2511" s="10" t="s">
        <v>55</v>
      </c>
      <c r="K2511" s="10" t="s">
        <v>7405</v>
      </c>
      <c r="L2511" s="10" t="s">
        <v>42</v>
      </c>
    </row>
    <row r="2512" ht="15.75" customHeight="1">
      <c r="A2512" s="64">
        <v>45478.0</v>
      </c>
      <c r="B2512" s="55" t="str">
        <f>HYPERLINK("https://jobright.ai/jobs/info/666b727f80b0510a62c7ea73?utm_campaign=1062&amp;utm_source=sheet", "Apply")</f>
        <v>Apply</v>
      </c>
      <c r="C2512" s="10" t="s">
        <v>7404</v>
      </c>
      <c r="D2512" s="56" t="s">
        <v>7387</v>
      </c>
      <c r="E2512" s="10" t="s">
        <v>65</v>
      </c>
      <c r="F2512" s="10" t="s">
        <v>7388</v>
      </c>
      <c r="G2512" s="10" t="s">
        <v>2579</v>
      </c>
      <c r="H2512" s="10" t="s">
        <v>4079</v>
      </c>
      <c r="I2512" s="10" t="s">
        <v>55</v>
      </c>
      <c r="K2512" s="10" t="s">
        <v>7405</v>
      </c>
      <c r="L2512" s="10" t="s">
        <v>42</v>
      </c>
    </row>
    <row r="2513" ht="15.75" customHeight="1">
      <c r="A2513" s="64">
        <v>45478.0</v>
      </c>
      <c r="B2513" s="55" t="str">
        <f>HYPERLINK("https://jobright.ai/jobs/info/66796432f6b36b4aa01a4602?utm_campaign=1062&amp;utm_source=sheet", "Apply")</f>
        <v>Apply</v>
      </c>
      <c r="C2513" s="10" t="s">
        <v>7418</v>
      </c>
      <c r="D2513" s="56" t="s">
        <v>7419</v>
      </c>
      <c r="E2513" s="10" t="s">
        <v>276</v>
      </c>
      <c r="F2513" s="10" t="s">
        <v>7420</v>
      </c>
      <c r="G2513" s="10" t="s">
        <v>2437</v>
      </c>
      <c r="H2513" s="10" t="s">
        <v>2222</v>
      </c>
      <c r="I2513" s="10" t="s">
        <v>55</v>
      </c>
      <c r="J2513" s="10" t="s">
        <v>7414</v>
      </c>
      <c r="K2513" s="10" t="s">
        <v>7421</v>
      </c>
      <c r="L2513" s="10" t="s">
        <v>42</v>
      </c>
    </row>
    <row r="2514" ht="15.75" customHeight="1">
      <c r="A2514" s="64">
        <v>45478.0</v>
      </c>
      <c r="B2514" s="55" t="str">
        <f>HYPERLINK("https://jobright.ai/jobs/info/6675626242bae55a95828e5e?utm_campaign=1062&amp;utm_source=sheet", "Apply")</f>
        <v>Apply</v>
      </c>
      <c r="C2514" s="10" t="s">
        <v>7422</v>
      </c>
      <c r="D2514" s="56" t="s">
        <v>478</v>
      </c>
      <c r="E2514" s="10" t="s">
        <v>45</v>
      </c>
      <c r="F2514" s="10" t="s">
        <v>479</v>
      </c>
      <c r="G2514" s="10" t="s">
        <v>2448</v>
      </c>
      <c r="H2514" s="10" t="s">
        <v>6277</v>
      </c>
      <c r="I2514" s="10" t="s">
        <v>55</v>
      </c>
      <c r="K2514" s="10" t="s">
        <v>7423</v>
      </c>
      <c r="L2514" s="10" t="s">
        <v>42</v>
      </c>
    </row>
    <row r="2515" ht="15.75" customHeight="1">
      <c r="A2515" s="64">
        <v>45478.0</v>
      </c>
      <c r="B2515" s="55" t="str">
        <f>HYPERLINK("https://jobright.ai/jobs/info/666b9813c3fa44e9aec1f1ac?utm_campaign=1062&amp;utm_source=sheet", "Apply")</f>
        <v>Apply</v>
      </c>
      <c r="C2515" s="10" t="s">
        <v>7424</v>
      </c>
      <c r="D2515" s="56" t="s">
        <v>5395</v>
      </c>
      <c r="E2515" s="10" t="s">
        <v>45</v>
      </c>
      <c r="F2515" s="10" t="s">
        <v>428</v>
      </c>
      <c r="G2515" s="10" t="s">
        <v>2437</v>
      </c>
      <c r="H2515" s="10" t="s">
        <v>3150</v>
      </c>
      <c r="I2515" s="10" t="s">
        <v>55</v>
      </c>
      <c r="K2515" s="10" t="s">
        <v>7425</v>
      </c>
      <c r="L2515" s="10" t="s">
        <v>42</v>
      </c>
    </row>
    <row r="2516" ht="15.75" customHeight="1">
      <c r="A2516" s="64">
        <v>45478.0</v>
      </c>
      <c r="B2516" s="55" t="str">
        <f>HYPERLINK("https://jobright.ai/jobs/info/6675625942bae55a95828dee?utm_campaign=1062&amp;utm_source=sheet", "Apply")</f>
        <v>Apply</v>
      </c>
      <c r="C2516" s="10" t="s">
        <v>7426</v>
      </c>
      <c r="D2516" s="56" t="s">
        <v>204</v>
      </c>
      <c r="E2516" s="10" t="s">
        <v>45</v>
      </c>
      <c r="F2516" s="10" t="s">
        <v>205</v>
      </c>
      <c r="G2516" s="10" t="s">
        <v>2807</v>
      </c>
      <c r="H2516" s="10" t="s">
        <v>7427</v>
      </c>
      <c r="I2516" s="10" t="s">
        <v>55</v>
      </c>
      <c r="K2516" s="10" t="s">
        <v>7428</v>
      </c>
      <c r="L2516" s="10" t="s">
        <v>42</v>
      </c>
    </row>
    <row r="2517" ht="15.75" customHeight="1">
      <c r="A2517" s="64">
        <v>45478.0</v>
      </c>
      <c r="B2517" s="55" t="str">
        <f>HYPERLINK("https://jobright.ai/jobs/info/6686ac00114345e05a6c51e7?utm_campaign=1062&amp;utm_source=sheet", "Apply")</f>
        <v>Apply</v>
      </c>
      <c r="C2517" s="10" t="s">
        <v>7429</v>
      </c>
      <c r="D2517" s="56" t="s">
        <v>5209</v>
      </c>
      <c r="E2517" s="10" t="s">
        <v>79</v>
      </c>
      <c r="F2517" s="10" t="s">
        <v>5210</v>
      </c>
      <c r="G2517" s="10" t="s">
        <v>2437</v>
      </c>
      <c r="H2517" s="10" t="s">
        <v>4623</v>
      </c>
      <c r="I2517" s="10" t="s">
        <v>55</v>
      </c>
      <c r="J2517" s="10" t="s">
        <v>5211</v>
      </c>
      <c r="K2517" s="10" t="s">
        <v>7430</v>
      </c>
      <c r="L2517" s="10" t="s">
        <v>42</v>
      </c>
    </row>
    <row r="2518" ht="15.75" customHeight="1">
      <c r="A2518" s="64">
        <v>45478.0</v>
      </c>
      <c r="B2518" s="55" t="str">
        <f>HYPERLINK("https://jobright.ai/jobs/info/666b87f2a3997e294a033102?utm_campaign=1062&amp;utm_source=sheet", "Apply")</f>
        <v>Apply</v>
      </c>
      <c r="C2518" s="10" t="s">
        <v>7431</v>
      </c>
      <c r="D2518" s="56" t="s">
        <v>2059</v>
      </c>
      <c r="E2518" s="10" t="s">
        <v>65</v>
      </c>
      <c r="F2518" s="10" t="s">
        <v>2060</v>
      </c>
      <c r="G2518" s="10" t="s">
        <v>2448</v>
      </c>
      <c r="H2518" s="10" t="s">
        <v>387</v>
      </c>
      <c r="I2518" s="10" t="s">
        <v>55</v>
      </c>
      <c r="J2518" s="10" t="s">
        <v>2061</v>
      </c>
      <c r="K2518" s="10" t="s">
        <v>7432</v>
      </c>
      <c r="L2518" s="10" t="s">
        <v>42</v>
      </c>
    </row>
    <row r="2519" ht="15.75" customHeight="1">
      <c r="A2519" s="64">
        <v>45478.0</v>
      </c>
      <c r="B2519" s="55" t="str">
        <f>HYPERLINK("https://jobright.ai/jobs/info/66911c7c5b4027d2df25705d?utm_campaign=1062&amp;utm_source=sheet", "Apply")</f>
        <v>Apply</v>
      </c>
      <c r="C2519" s="10" t="s">
        <v>7433</v>
      </c>
      <c r="D2519" s="56" t="s">
        <v>7434</v>
      </c>
      <c r="E2519" s="10" t="s">
        <v>79</v>
      </c>
      <c r="F2519" s="10" t="s">
        <v>2632</v>
      </c>
      <c r="G2519" s="10" t="s">
        <v>2464</v>
      </c>
      <c r="H2519" s="10" t="s">
        <v>7435</v>
      </c>
      <c r="I2519" s="10" t="s">
        <v>55</v>
      </c>
      <c r="K2519" s="10" t="s">
        <v>7436</v>
      </c>
      <c r="L2519" s="10" t="s">
        <v>42</v>
      </c>
    </row>
    <row r="2520" ht="15.75" customHeight="1">
      <c r="A2520" s="64">
        <v>45478.0</v>
      </c>
      <c r="B2520" s="55" t="str">
        <f>HYPERLINK("https://jobright.ai/jobs/info/666bcdadc330b9e2aeba49db?utm_campaign=1062&amp;utm_source=sheet", "Apply")</f>
        <v>Apply</v>
      </c>
      <c r="C2520" s="10" t="s">
        <v>7437</v>
      </c>
      <c r="D2520" s="56" t="s">
        <v>2059</v>
      </c>
      <c r="E2520" s="10" t="s">
        <v>65</v>
      </c>
      <c r="F2520" s="10" t="s">
        <v>2060</v>
      </c>
      <c r="G2520" s="10" t="s">
        <v>2448</v>
      </c>
      <c r="H2520" s="10" t="s">
        <v>387</v>
      </c>
      <c r="I2520" s="10" t="s">
        <v>55</v>
      </c>
      <c r="J2520" s="10" t="s">
        <v>2061</v>
      </c>
      <c r="K2520" s="10" t="s">
        <v>7438</v>
      </c>
      <c r="L2520" s="10" t="s">
        <v>42</v>
      </c>
    </row>
    <row r="2521" ht="15.75" customHeight="1">
      <c r="A2521" s="64">
        <v>45478.0</v>
      </c>
      <c r="B2521" s="55" t="str">
        <f>HYPERLINK("https://jobright.ai/jobs/info/662aca7ba994cd8ada2b787e?utm_campaign=1062&amp;utm_source=sheet", "Apply")</f>
        <v>Apply</v>
      </c>
      <c r="C2521" s="10" t="s">
        <v>4229</v>
      </c>
      <c r="D2521" s="56" t="s">
        <v>2856</v>
      </c>
      <c r="E2521" s="10" t="s">
        <v>209</v>
      </c>
      <c r="F2521" s="10" t="s">
        <v>2857</v>
      </c>
      <c r="G2521" s="10" t="s">
        <v>2470</v>
      </c>
      <c r="H2521" s="10" t="s">
        <v>7439</v>
      </c>
      <c r="I2521" s="10" t="s">
        <v>55</v>
      </c>
      <c r="K2521" s="10" t="s">
        <v>7440</v>
      </c>
      <c r="L2521" s="10" t="s">
        <v>42</v>
      </c>
    </row>
    <row r="2522" ht="15.75" customHeight="1">
      <c r="A2522" s="64">
        <v>45478.0</v>
      </c>
      <c r="B2522" s="55" t="str">
        <f>HYPERLINK("https://jobright.ai/jobs/info/666b93f494837c0167c40993?utm_campaign=1062&amp;utm_source=sheet", "Apply")</f>
        <v>Apply</v>
      </c>
      <c r="C2522" s="10" t="s">
        <v>7441</v>
      </c>
      <c r="D2522" s="56" t="s">
        <v>2059</v>
      </c>
      <c r="E2522" s="10" t="s">
        <v>65</v>
      </c>
      <c r="F2522" s="10" t="s">
        <v>2060</v>
      </c>
      <c r="G2522" s="10" t="s">
        <v>2502</v>
      </c>
      <c r="H2522" s="10" t="s">
        <v>387</v>
      </c>
      <c r="I2522" s="10" t="s">
        <v>55</v>
      </c>
      <c r="J2522" s="10" t="s">
        <v>2061</v>
      </c>
      <c r="K2522" s="10" t="s">
        <v>7442</v>
      </c>
      <c r="L2522" s="10" t="s">
        <v>42</v>
      </c>
    </row>
    <row r="2523" ht="15.75" customHeight="1">
      <c r="A2523" s="64">
        <v>45478.0</v>
      </c>
      <c r="B2523" s="55" t="str">
        <f>HYPERLINK("https://jobright.ai/jobs/info/6677bd9727c0e726e8f4edf3?utm_campaign=1062&amp;utm_source=sheet", "Apply")</f>
        <v>Apply</v>
      </c>
      <c r="C2523" s="10" t="s">
        <v>7443</v>
      </c>
      <c r="D2523" s="56" t="s">
        <v>5636</v>
      </c>
      <c r="E2523" s="10" t="s">
        <v>45</v>
      </c>
      <c r="F2523" s="10" t="s">
        <v>5637</v>
      </c>
      <c r="G2523" s="10" t="s">
        <v>2443</v>
      </c>
      <c r="H2523" s="10" t="s">
        <v>159</v>
      </c>
      <c r="I2523" s="10" t="s">
        <v>55</v>
      </c>
      <c r="K2523" s="10" t="s">
        <v>5638</v>
      </c>
      <c r="L2523" s="10" t="s">
        <v>42</v>
      </c>
    </row>
    <row r="2524" ht="15.75" customHeight="1">
      <c r="A2524" s="64">
        <v>45478.0</v>
      </c>
      <c r="B2524" s="55" t="str">
        <f>HYPERLINK("https://jobright.ai/jobs/info/666b5e78214b773feaf82d78?utm_campaign=1062&amp;utm_source=sheet", "Apply")</f>
        <v>Apply</v>
      </c>
      <c r="C2524" s="10" t="s">
        <v>7444</v>
      </c>
      <c r="D2524" s="56" t="s">
        <v>7156</v>
      </c>
      <c r="E2524" s="10" t="s">
        <v>65</v>
      </c>
      <c r="F2524" s="10" t="s">
        <v>85</v>
      </c>
      <c r="G2524" s="10" t="s">
        <v>2464</v>
      </c>
      <c r="H2524" s="10" t="s">
        <v>7445</v>
      </c>
      <c r="I2524" s="10" t="s">
        <v>55</v>
      </c>
      <c r="K2524" s="10" t="s">
        <v>7446</v>
      </c>
      <c r="L2524" s="10" t="s">
        <v>42</v>
      </c>
    </row>
    <row r="2525" ht="15.75" customHeight="1">
      <c r="A2525" s="64">
        <v>45478.0</v>
      </c>
      <c r="B2525" s="55" t="str">
        <f>HYPERLINK("https://jobright.ai/jobs/info/666b7a9e66a6b9b65997bca9?utm_campaign=1062&amp;utm_source=sheet", "Apply")</f>
        <v>Apply</v>
      </c>
      <c r="C2525" s="10" t="s">
        <v>7447</v>
      </c>
      <c r="D2525" s="56" t="s">
        <v>2869</v>
      </c>
      <c r="E2525" s="10" t="s">
        <v>45</v>
      </c>
      <c r="F2525" s="10" t="s">
        <v>2870</v>
      </c>
      <c r="G2525" s="10" t="s">
        <v>2437</v>
      </c>
      <c r="H2525" s="10" t="s">
        <v>1013</v>
      </c>
      <c r="I2525" s="10" t="s">
        <v>55</v>
      </c>
      <c r="K2525" s="10" t="s">
        <v>2871</v>
      </c>
      <c r="L2525" s="10" t="s">
        <v>42</v>
      </c>
    </row>
    <row r="2526" ht="15.75" customHeight="1">
      <c r="A2526" s="64">
        <v>45478.0</v>
      </c>
      <c r="B2526" s="55" t="str">
        <f>HYPERLINK("https://jobright.ai/jobs/info/667955d239ca2f81c4370e89?utm_campaign=1062&amp;utm_source=sheet", "Apply")</f>
        <v>Apply</v>
      </c>
      <c r="C2526" s="10" t="s">
        <v>7448</v>
      </c>
      <c r="D2526" s="56" t="s">
        <v>2059</v>
      </c>
      <c r="E2526" s="10" t="s">
        <v>65</v>
      </c>
      <c r="F2526" s="10" t="s">
        <v>2060</v>
      </c>
      <c r="G2526" s="10" t="s">
        <v>2502</v>
      </c>
      <c r="H2526" s="10" t="s">
        <v>387</v>
      </c>
      <c r="I2526" s="10" t="s">
        <v>55</v>
      </c>
      <c r="J2526" s="10" t="s">
        <v>2061</v>
      </c>
      <c r="K2526" s="10" t="s">
        <v>7449</v>
      </c>
      <c r="L2526" s="10" t="s">
        <v>42</v>
      </c>
    </row>
    <row r="2527" ht="15.75" customHeight="1">
      <c r="A2527" s="64">
        <v>45478.0</v>
      </c>
      <c r="B2527" s="55" t="str">
        <f>HYPERLINK("https://jobright.ai/jobs/info/666b87f2a3997e294a0330f9?utm_campaign=1062&amp;utm_source=sheet", "Apply")</f>
        <v>Apply</v>
      </c>
      <c r="C2527" s="10" t="s">
        <v>1605</v>
      </c>
      <c r="D2527" s="56" t="s">
        <v>2059</v>
      </c>
      <c r="E2527" s="10" t="s">
        <v>65</v>
      </c>
      <c r="F2527" s="10" t="s">
        <v>2060</v>
      </c>
      <c r="G2527" s="10" t="s">
        <v>2502</v>
      </c>
      <c r="H2527" s="10" t="s">
        <v>144</v>
      </c>
      <c r="I2527" s="10" t="s">
        <v>55</v>
      </c>
      <c r="J2527" s="10" t="s">
        <v>2061</v>
      </c>
      <c r="K2527" s="10" t="s">
        <v>7450</v>
      </c>
      <c r="L2527" s="10" t="s">
        <v>42</v>
      </c>
    </row>
    <row r="2528" ht="15.75" customHeight="1">
      <c r="A2528" s="64">
        <v>45478.0</v>
      </c>
      <c r="B2528" s="55" t="str">
        <f>HYPERLINK("https://jobright.ai/jobs/info/666b10abd5867fe4053350ca?utm_campaign=1062&amp;utm_source=sheet", "Apply")</f>
        <v>Apply</v>
      </c>
      <c r="C2528" s="10" t="s">
        <v>7451</v>
      </c>
      <c r="D2528" s="56" t="s">
        <v>204</v>
      </c>
      <c r="E2528" s="10" t="s">
        <v>45</v>
      </c>
      <c r="F2528" s="10" t="s">
        <v>205</v>
      </c>
      <c r="G2528" s="10" t="s">
        <v>2605</v>
      </c>
      <c r="H2528" s="10" t="s">
        <v>487</v>
      </c>
      <c r="I2528" s="10" t="s">
        <v>48</v>
      </c>
      <c r="K2528" s="10" t="s">
        <v>7452</v>
      </c>
      <c r="L2528" s="10" t="s">
        <v>42</v>
      </c>
    </row>
    <row r="2529" ht="15.75" customHeight="1">
      <c r="A2529" s="64">
        <v>45478.0</v>
      </c>
      <c r="B2529" s="55" t="str">
        <f>HYPERLINK("https://jobright.ai/jobs/info/666b8aadb07a5efb8b260376?utm_campaign=1062&amp;utm_source=sheet", "Apply")</f>
        <v>Apply</v>
      </c>
      <c r="C2529" s="10" t="s">
        <v>7453</v>
      </c>
      <c r="D2529" s="56" t="s">
        <v>2059</v>
      </c>
      <c r="E2529" s="10" t="s">
        <v>65</v>
      </c>
      <c r="F2529" s="10" t="s">
        <v>2060</v>
      </c>
      <c r="G2529" s="10" t="s">
        <v>2502</v>
      </c>
      <c r="H2529" s="10" t="s">
        <v>387</v>
      </c>
      <c r="I2529" s="10" t="s">
        <v>55</v>
      </c>
      <c r="J2529" s="10" t="s">
        <v>2061</v>
      </c>
      <c r="K2529" s="10" t="s">
        <v>7454</v>
      </c>
      <c r="L2529" s="10" t="s">
        <v>42</v>
      </c>
    </row>
    <row r="2530" ht="15.75" customHeight="1">
      <c r="A2530" s="64">
        <v>45478.0</v>
      </c>
      <c r="B2530" s="55" t="str">
        <f>HYPERLINK("https://jobright.ai/jobs/info/666b727f80b0510a62c7ea35?utm_campaign=1062&amp;utm_source=sheet", "Apply")</f>
        <v>Apply</v>
      </c>
      <c r="C2530" s="10" t="s">
        <v>7455</v>
      </c>
      <c r="D2530" s="56" t="s">
        <v>2869</v>
      </c>
      <c r="E2530" s="10" t="s">
        <v>45</v>
      </c>
      <c r="F2530" s="10" t="s">
        <v>2870</v>
      </c>
      <c r="G2530" s="10" t="s">
        <v>2437</v>
      </c>
      <c r="H2530" s="10" t="s">
        <v>965</v>
      </c>
      <c r="I2530" s="10" t="s">
        <v>55</v>
      </c>
      <c r="K2530" s="10" t="s">
        <v>2871</v>
      </c>
      <c r="L2530" s="10" t="s">
        <v>42</v>
      </c>
    </row>
    <row r="2531" ht="15.75" customHeight="1">
      <c r="A2531" s="64">
        <v>45478.0</v>
      </c>
      <c r="B2531" s="55" t="str">
        <f>HYPERLINK("https://jobright.ai/jobs/info/6687ae969e64dd7d50c10642?utm_campaign=1062&amp;utm_source=sheet", "Apply")</f>
        <v>Apply</v>
      </c>
      <c r="C2531" s="10" t="s">
        <v>7331</v>
      </c>
      <c r="D2531" s="56" t="s">
        <v>7456</v>
      </c>
      <c r="E2531" s="10" t="s">
        <v>249</v>
      </c>
      <c r="F2531" s="10" t="s">
        <v>7457</v>
      </c>
      <c r="G2531" s="10" t="s">
        <v>2437</v>
      </c>
      <c r="H2531" s="10" t="s">
        <v>5049</v>
      </c>
      <c r="I2531" s="10" t="s">
        <v>55</v>
      </c>
      <c r="K2531" s="10" t="s">
        <v>7333</v>
      </c>
      <c r="L2531" s="10" t="s">
        <v>42</v>
      </c>
    </row>
    <row r="2532" ht="15.75" customHeight="1">
      <c r="A2532" s="64">
        <v>45478.0</v>
      </c>
      <c r="B2532" s="55" t="str">
        <f>HYPERLINK("https://jobright.ai/jobs/info/6687ab20c927439a8685876b?utm_campaign=1062&amp;utm_source=sheet", "Apply")</f>
        <v>Apply</v>
      </c>
      <c r="C2532" s="10" t="s">
        <v>7458</v>
      </c>
      <c r="D2532" s="56" t="s">
        <v>1444</v>
      </c>
      <c r="E2532" s="10" t="s">
        <v>45</v>
      </c>
      <c r="F2532" s="10" t="s">
        <v>1445</v>
      </c>
      <c r="G2532" s="10" t="s">
        <v>2605</v>
      </c>
      <c r="H2532" s="10" t="s">
        <v>7459</v>
      </c>
      <c r="I2532" s="10" t="s">
        <v>55</v>
      </c>
      <c r="J2532" s="10" t="s">
        <v>7460</v>
      </c>
      <c r="K2532" s="10" t="s">
        <v>7461</v>
      </c>
      <c r="L2532" s="10" t="s">
        <v>42</v>
      </c>
    </row>
    <row r="2533" ht="15.75" customHeight="1">
      <c r="A2533" s="64">
        <v>45478.0</v>
      </c>
      <c r="B2533" s="55" t="str">
        <f>HYPERLINK("https://jobright.ai/jobs/info/6688a3f4121b2d03a3037e2e?utm_campaign=1062&amp;utm_source=sheet", "Apply")</f>
        <v>Apply</v>
      </c>
      <c r="C2533" s="10" t="s">
        <v>7303</v>
      </c>
      <c r="D2533" s="56" t="s">
        <v>7304</v>
      </c>
      <c r="E2533" s="10" t="s">
        <v>276</v>
      </c>
      <c r="F2533" s="10" t="s">
        <v>10</v>
      </c>
      <c r="G2533" s="10" t="s">
        <v>2579</v>
      </c>
      <c r="H2533" s="10" t="s">
        <v>7462</v>
      </c>
      <c r="I2533" s="10" t="s">
        <v>55</v>
      </c>
      <c r="K2533" s="10" t="s">
        <v>7306</v>
      </c>
      <c r="L2533" s="10" t="s">
        <v>42</v>
      </c>
    </row>
    <row r="2534" ht="15.75" customHeight="1">
      <c r="A2534" s="64">
        <v>45478.0</v>
      </c>
      <c r="B2534" s="55" t="str">
        <f>HYPERLINK("https://jobright.ai/jobs/info/6688442c332fa18800f3f9f5?utm_campaign=1062&amp;utm_source=sheet", "Apply")</f>
        <v>Apply</v>
      </c>
      <c r="C2534" s="10" t="s">
        <v>7463</v>
      </c>
      <c r="D2534" s="56" t="s">
        <v>7464</v>
      </c>
      <c r="E2534" s="10" t="s">
        <v>65</v>
      </c>
      <c r="F2534" s="10" t="s">
        <v>7465</v>
      </c>
      <c r="G2534" s="10" t="s">
        <v>2464</v>
      </c>
      <c r="H2534" s="10" t="s">
        <v>113</v>
      </c>
      <c r="I2534" s="10" t="s">
        <v>55</v>
      </c>
      <c r="K2534" s="10" t="s">
        <v>7466</v>
      </c>
      <c r="L2534" s="10" t="s">
        <v>42</v>
      </c>
    </row>
    <row r="2535" ht="15.75" customHeight="1">
      <c r="A2535" s="64">
        <v>45478.0</v>
      </c>
      <c r="B2535" s="55" t="str">
        <f>HYPERLINK("https://jobright.ai/jobs/info/6687fdb091d12b5974c703b4?utm_campaign=1062&amp;utm_source=sheet", "Apply")</f>
        <v>Apply</v>
      </c>
      <c r="C2535" s="10" t="s">
        <v>7467</v>
      </c>
      <c r="D2535" s="56" t="s">
        <v>2110</v>
      </c>
      <c r="E2535" s="10" t="s">
        <v>45</v>
      </c>
      <c r="F2535" s="10" t="s">
        <v>1224</v>
      </c>
      <c r="G2535" s="10" t="s">
        <v>2448</v>
      </c>
      <c r="H2535" s="10" t="s">
        <v>2111</v>
      </c>
      <c r="I2535" s="10" t="s">
        <v>48</v>
      </c>
      <c r="K2535" s="10" t="s">
        <v>7468</v>
      </c>
      <c r="L2535" s="10" t="s">
        <v>42</v>
      </c>
    </row>
    <row r="2536" ht="15.75" customHeight="1">
      <c r="A2536" s="64">
        <v>45477.0</v>
      </c>
      <c r="B2536" s="55" t="str">
        <f>HYPERLINK("https://jobright.ai/jobs/info/6686eae2eb5c1e2a2d337798?utm_campaign=1062&amp;utm_source=sheet", "Apply")</f>
        <v>Apply</v>
      </c>
      <c r="C2536" s="10" t="s">
        <v>7469</v>
      </c>
      <c r="D2536" s="56" t="s">
        <v>7470</v>
      </c>
      <c r="E2536" s="10" t="s">
        <v>249</v>
      </c>
      <c r="F2536" s="10" t="s">
        <v>7471</v>
      </c>
      <c r="G2536" s="10" t="s">
        <v>2448</v>
      </c>
      <c r="H2536" s="10" t="s">
        <v>153</v>
      </c>
      <c r="I2536" s="10" t="s">
        <v>55</v>
      </c>
      <c r="K2536" s="10" t="s">
        <v>7472</v>
      </c>
      <c r="L2536" s="10" t="s">
        <v>42</v>
      </c>
    </row>
    <row r="2537" ht="15.75" customHeight="1">
      <c r="A2537" s="64">
        <v>45477.0</v>
      </c>
      <c r="B2537" s="55" t="str">
        <f>HYPERLINK("https://jobright.ai/jobs/info/66993f892b9c65a3e5eb8dae?utm_campaign=1062&amp;utm_source=sheet", "Apply")</f>
        <v>Apply</v>
      </c>
      <c r="C2537" s="10" t="s">
        <v>7397</v>
      </c>
      <c r="D2537" s="56" t="s">
        <v>4448</v>
      </c>
      <c r="E2537" s="10" t="s">
        <v>71</v>
      </c>
      <c r="F2537" s="10" t="s">
        <v>4449</v>
      </c>
      <c r="G2537" s="10" t="s">
        <v>2448</v>
      </c>
      <c r="H2537" s="10" t="s">
        <v>7473</v>
      </c>
      <c r="I2537" s="10" t="s">
        <v>55</v>
      </c>
      <c r="K2537" s="10" t="s">
        <v>4450</v>
      </c>
      <c r="L2537" s="10" t="s">
        <v>42</v>
      </c>
    </row>
    <row r="2538" ht="15.75" customHeight="1">
      <c r="A2538" s="64">
        <v>45477.0</v>
      </c>
      <c r="B2538" s="55" t="str">
        <f>HYPERLINK("https://jobright.ai/jobs/info/669934324a18fa4d837fc569?utm_campaign=1062&amp;utm_source=sheet", "Apply")</f>
        <v>Apply</v>
      </c>
      <c r="C2538" s="10" t="s">
        <v>4454</v>
      </c>
      <c r="D2538" s="56" t="s">
        <v>4448</v>
      </c>
      <c r="E2538" s="10" t="s">
        <v>71</v>
      </c>
      <c r="F2538" s="10" t="s">
        <v>4449</v>
      </c>
      <c r="G2538" s="10" t="s">
        <v>2448</v>
      </c>
      <c r="H2538" s="10" t="s">
        <v>7474</v>
      </c>
      <c r="I2538" s="10" t="s">
        <v>55</v>
      </c>
      <c r="K2538" s="10" t="s">
        <v>4450</v>
      </c>
      <c r="L2538" s="10" t="s">
        <v>42</v>
      </c>
    </row>
    <row r="2539" ht="15.75" customHeight="1">
      <c r="A2539" s="64">
        <v>45477.0</v>
      </c>
      <c r="B2539" s="55" t="str">
        <f>HYPERLINK("https://jobright.ai/jobs/info/66992a2451cbb3cd564b4667?utm_campaign=1062&amp;utm_source=sheet", "Apply")</f>
        <v>Apply</v>
      </c>
      <c r="C2539" s="10" t="s">
        <v>4454</v>
      </c>
      <c r="D2539" s="56" t="s">
        <v>4448</v>
      </c>
      <c r="E2539" s="10" t="s">
        <v>71</v>
      </c>
      <c r="F2539" s="10" t="s">
        <v>4449</v>
      </c>
      <c r="G2539" s="10" t="s">
        <v>2448</v>
      </c>
      <c r="H2539" s="10" t="s">
        <v>6668</v>
      </c>
      <c r="I2539" s="10" t="s">
        <v>55</v>
      </c>
      <c r="K2539" s="10" t="s">
        <v>4450</v>
      </c>
      <c r="L2539" s="10" t="s">
        <v>42</v>
      </c>
    </row>
    <row r="2540" ht="15.75" customHeight="1">
      <c r="A2540" s="64">
        <v>45477.0</v>
      </c>
      <c r="B2540" s="55" t="str">
        <f>HYPERLINK("https://jobright.ai/jobs/info/66992a2451cbb3cd564b4682?utm_campaign=1062&amp;utm_source=sheet", "Apply")</f>
        <v>Apply</v>
      </c>
      <c r="C2540" s="10" t="s">
        <v>4447</v>
      </c>
      <c r="D2540" s="56" t="s">
        <v>4448</v>
      </c>
      <c r="E2540" s="10" t="s">
        <v>71</v>
      </c>
      <c r="F2540" s="10" t="s">
        <v>4449</v>
      </c>
      <c r="G2540" s="10" t="s">
        <v>2448</v>
      </c>
      <c r="H2540" s="10" t="s">
        <v>7475</v>
      </c>
      <c r="I2540" s="10" t="s">
        <v>55</v>
      </c>
      <c r="K2540" s="10" t="s">
        <v>4450</v>
      </c>
      <c r="L2540" s="10" t="s">
        <v>42</v>
      </c>
    </row>
    <row r="2541" ht="15.75" customHeight="1">
      <c r="A2541" s="64">
        <v>45477.0</v>
      </c>
      <c r="B2541" s="55" t="str">
        <f>HYPERLINK("https://jobright.ai/jobs/info/66992a2451cbb3cd564b46ae?utm_campaign=1062&amp;utm_source=sheet", "Apply")</f>
        <v>Apply</v>
      </c>
      <c r="C2541" s="10" t="s">
        <v>4454</v>
      </c>
      <c r="D2541" s="56" t="s">
        <v>4448</v>
      </c>
      <c r="E2541" s="10" t="s">
        <v>71</v>
      </c>
      <c r="F2541" s="10" t="s">
        <v>4449</v>
      </c>
      <c r="G2541" s="10" t="s">
        <v>2448</v>
      </c>
      <c r="H2541" s="10" t="s">
        <v>7476</v>
      </c>
      <c r="I2541" s="10" t="s">
        <v>55</v>
      </c>
      <c r="K2541" s="10" t="s">
        <v>4450</v>
      </c>
      <c r="L2541" s="10" t="s">
        <v>42</v>
      </c>
    </row>
    <row r="2542" ht="15.75" customHeight="1">
      <c r="A2542" s="64">
        <v>45477.0</v>
      </c>
      <c r="B2542" s="55" t="str">
        <f>HYPERLINK("https://jobright.ai/jobs/info/6699227410e3fec36b685f5e?utm_campaign=1062&amp;utm_source=sheet", "Apply")</f>
        <v>Apply</v>
      </c>
      <c r="C2542" s="10" t="s">
        <v>4454</v>
      </c>
      <c r="D2542" s="56" t="s">
        <v>4448</v>
      </c>
      <c r="E2542" s="10" t="s">
        <v>71</v>
      </c>
      <c r="F2542" s="10" t="s">
        <v>4449</v>
      </c>
      <c r="G2542" s="10" t="s">
        <v>2448</v>
      </c>
      <c r="H2542" s="10" t="s">
        <v>7477</v>
      </c>
      <c r="I2542" s="10" t="s">
        <v>55</v>
      </c>
      <c r="K2542" s="10" t="s">
        <v>4450</v>
      </c>
      <c r="L2542" s="10" t="s">
        <v>42</v>
      </c>
    </row>
    <row r="2543" ht="15.75" customHeight="1">
      <c r="A2543" s="64">
        <v>45477.0</v>
      </c>
      <c r="B2543" s="55" t="str">
        <f>HYPERLINK("https://jobright.ai/jobs/info/6699227b10e3fec36b685ffd?utm_campaign=1062&amp;utm_source=sheet", "Apply")</f>
        <v>Apply</v>
      </c>
      <c r="C2543" s="10" t="s">
        <v>4454</v>
      </c>
      <c r="D2543" s="56" t="s">
        <v>4448</v>
      </c>
      <c r="E2543" s="10" t="s">
        <v>71</v>
      </c>
      <c r="F2543" s="10" t="s">
        <v>4449</v>
      </c>
      <c r="G2543" s="10" t="s">
        <v>2448</v>
      </c>
      <c r="H2543" s="10" t="s">
        <v>7478</v>
      </c>
      <c r="I2543" s="10" t="s">
        <v>55</v>
      </c>
      <c r="K2543" s="10" t="s">
        <v>4450</v>
      </c>
      <c r="L2543" s="10" t="s">
        <v>42</v>
      </c>
    </row>
    <row r="2544" ht="15.75" customHeight="1">
      <c r="A2544" s="64">
        <v>45477.0</v>
      </c>
      <c r="B2544" s="55" t="str">
        <f>HYPERLINK("https://jobright.ai/jobs/info/66991cedcf3e3e1ced3d8477?utm_campaign=1062&amp;utm_source=sheet", "Apply")</f>
        <v>Apply</v>
      </c>
      <c r="C2544" s="10" t="s">
        <v>4454</v>
      </c>
      <c r="D2544" s="56" t="s">
        <v>4448</v>
      </c>
      <c r="E2544" s="10" t="s">
        <v>71</v>
      </c>
      <c r="F2544" s="10" t="s">
        <v>4449</v>
      </c>
      <c r="G2544" s="10" t="s">
        <v>2448</v>
      </c>
      <c r="H2544" s="10" t="s">
        <v>7479</v>
      </c>
      <c r="I2544" s="10" t="s">
        <v>55</v>
      </c>
      <c r="K2544" s="10" t="s">
        <v>4450</v>
      </c>
      <c r="L2544" s="10" t="s">
        <v>42</v>
      </c>
    </row>
    <row r="2545" ht="15.75" customHeight="1">
      <c r="A2545" s="64">
        <v>45477.0</v>
      </c>
      <c r="B2545" s="55" t="str">
        <f>HYPERLINK("https://jobright.ai/jobs/info/669918f2f68d49a9355a2261?utm_campaign=1062&amp;utm_source=sheet", "Apply")</f>
        <v>Apply</v>
      </c>
      <c r="C2545" s="10" t="s">
        <v>4454</v>
      </c>
      <c r="D2545" s="56" t="s">
        <v>4448</v>
      </c>
      <c r="E2545" s="10" t="s">
        <v>71</v>
      </c>
      <c r="F2545" s="10" t="s">
        <v>4449</v>
      </c>
      <c r="G2545" s="10" t="s">
        <v>2448</v>
      </c>
      <c r="H2545" s="10" t="s">
        <v>7480</v>
      </c>
      <c r="I2545" s="10" t="s">
        <v>55</v>
      </c>
      <c r="K2545" s="10" t="s">
        <v>4450</v>
      </c>
      <c r="L2545" s="10" t="s">
        <v>42</v>
      </c>
    </row>
    <row r="2546" ht="15.75" customHeight="1">
      <c r="A2546" s="64">
        <v>45477.0</v>
      </c>
      <c r="B2546" s="55" t="str">
        <f>HYPERLINK("https://jobright.ai/jobs/info/6675a36ea05c85bb25afa877?utm_campaign=1062&amp;utm_source=sheet", "Apply")</f>
        <v>Apply</v>
      </c>
      <c r="C2546" s="10" t="s">
        <v>7481</v>
      </c>
      <c r="D2546" s="56" t="s">
        <v>311</v>
      </c>
      <c r="E2546" s="10" t="s">
        <v>45</v>
      </c>
      <c r="F2546" s="10" t="s">
        <v>312</v>
      </c>
      <c r="G2546" s="10" t="s">
        <v>2502</v>
      </c>
      <c r="H2546" s="10" t="s">
        <v>313</v>
      </c>
      <c r="I2546" s="10" t="s">
        <v>55</v>
      </c>
      <c r="J2546" s="10" t="s">
        <v>6314</v>
      </c>
      <c r="K2546" s="10" t="s">
        <v>7482</v>
      </c>
      <c r="L2546" s="10" t="s">
        <v>42</v>
      </c>
    </row>
    <row r="2547" ht="15.75" customHeight="1">
      <c r="A2547" s="64">
        <v>45477.0</v>
      </c>
      <c r="B2547" s="55" t="str">
        <f>HYPERLINK("https://jobright.ai/jobs/info/6675748031f584ec486261f0?utm_campaign=1062&amp;utm_source=sheet", "Apply")</f>
        <v>Apply</v>
      </c>
      <c r="C2547" s="10" t="s">
        <v>6271</v>
      </c>
      <c r="D2547" s="56" t="s">
        <v>385</v>
      </c>
      <c r="E2547" s="10" t="s">
        <v>45</v>
      </c>
      <c r="F2547" s="10" t="s">
        <v>386</v>
      </c>
      <c r="G2547" s="10" t="s">
        <v>2502</v>
      </c>
      <c r="H2547" s="10" t="s">
        <v>159</v>
      </c>
      <c r="I2547" s="10" t="s">
        <v>55</v>
      </c>
      <c r="K2547" s="10" t="s">
        <v>6272</v>
      </c>
      <c r="L2547" s="10" t="s">
        <v>42</v>
      </c>
    </row>
    <row r="2548" ht="15.75" customHeight="1">
      <c r="A2548" s="64">
        <v>45477.0</v>
      </c>
      <c r="B2548" s="55" t="str">
        <f>HYPERLINK("https://jobright.ai/jobs/info/669915e9631213140cd58b61?utm_campaign=1062&amp;utm_source=sheet", "Apply")</f>
        <v>Apply</v>
      </c>
      <c r="C2548" s="10" t="s">
        <v>4454</v>
      </c>
      <c r="D2548" s="56" t="s">
        <v>4448</v>
      </c>
      <c r="E2548" s="10" t="s">
        <v>71</v>
      </c>
      <c r="F2548" s="10" t="s">
        <v>4449</v>
      </c>
      <c r="G2548" s="10" t="s">
        <v>2448</v>
      </c>
      <c r="H2548" s="10" t="s">
        <v>7483</v>
      </c>
      <c r="I2548" s="10" t="s">
        <v>55</v>
      </c>
      <c r="K2548" s="10" t="s">
        <v>4450</v>
      </c>
      <c r="L2548" s="10" t="s">
        <v>42</v>
      </c>
    </row>
    <row r="2549" ht="15.75" customHeight="1">
      <c r="A2549" s="64">
        <v>45477.0</v>
      </c>
      <c r="B2549" s="55" t="str">
        <f>HYPERLINK("https://jobright.ai/jobs/info/6677be5927c0e726e8f4fd50?utm_campaign=1062&amp;utm_source=sheet", "Apply")</f>
        <v>Apply</v>
      </c>
      <c r="C2549" s="10" t="s">
        <v>7484</v>
      </c>
      <c r="D2549" s="56" t="s">
        <v>2721</v>
      </c>
      <c r="E2549" s="10" t="s">
        <v>45</v>
      </c>
      <c r="F2549" s="10" t="s">
        <v>2722</v>
      </c>
      <c r="G2549" s="10" t="s">
        <v>2502</v>
      </c>
      <c r="H2549" s="10" t="s">
        <v>313</v>
      </c>
      <c r="I2549" s="10" t="s">
        <v>55</v>
      </c>
      <c r="J2549" s="10" t="s">
        <v>2723</v>
      </c>
      <c r="K2549" s="10" t="s">
        <v>4007</v>
      </c>
      <c r="L2549" s="10" t="s">
        <v>42</v>
      </c>
    </row>
    <row r="2550" ht="15.75" customHeight="1">
      <c r="A2550" s="64">
        <v>45477.0</v>
      </c>
      <c r="B2550" s="55" t="str">
        <f>HYPERLINK("https://jobright.ai/jobs/info/6677c70264f2e472ffd6290e?utm_campaign=1062&amp;utm_source=sheet", "Apply")</f>
        <v>Apply</v>
      </c>
      <c r="C2550" s="10" t="s">
        <v>2720</v>
      </c>
      <c r="D2550" s="56" t="s">
        <v>2721</v>
      </c>
      <c r="E2550" s="10" t="s">
        <v>45</v>
      </c>
      <c r="F2550" s="10" t="s">
        <v>2722</v>
      </c>
      <c r="G2550" s="10" t="s">
        <v>2502</v>
      </c>
      <c r="H2550" s="10" t="s">
        <v>423</v>
      </c>
      <c r="I2550" s="10" t="s">
        <v>55</v>
      </c>
      <c r="J2550" s="10" t="s">
        <v>2767</v>
      </c>
      <c r="K2550" s="10" t="s">
        <v>2724</v>
      </c>
      <c r="L2550" s="10" t="s">
        <v>42</v>
      </c>
    </row>
    <row r="2551" ht="15.75" customHeight="1">
      <c r="A2551" s="64">
        <v>45477.0</v>
      </c>
      <c r="B2551" s="55" t="str">
        <f>HYPERLINK("https://jobright.ai/jobs/info/6676b839022d43fb7b688e23?utm_campaign=1062&amp;utm_source=sheet", "Apply")</f>
        <v>Apply</v>
      </c>
      <c r="C2551" s="10" t="s">
        <v>7484</v>
      </c>
      <c r="D2551" s="56" t="s">
        <v>2721</v>
      </c>
      <c r="E2551" s="10" t="s">
        <v>45</v>
      </c>
      <c r="F2551" s="10" t="s">
        <v>2722</v>
      </c>
      <c r="G2551" s="10" t="s">
        <v>2502</v>
      </c>
      <c r="H2551" s="10" t="s">
        <v>423</v>
      </c>
      <c r="I2551" s="10" t="s">
        <v>55</v>
      </c>
      <c r="J2551" s="10" t="s">
        <v>2767</v>
      </c>
      <c r="K2551" s="10" t="s">
        <v>4007</v>
      </c>
      <c r="L2551" s="10" t="s">
        <v>42</v>
      </c>
    </row>
    <row r="2552" ht="15.75" customHeight="1">
      <c r="A2552" s="64">
        <v>45477.0</v>
      </c>
      <c r="B2552" s="55" t="str">
        <f>HYPERLINK("https://jobright.ai/jobs/info/65073f8b16217d022dbac7f3?utm_campaign=1062&amp;utm_source=sheet", "Apply")</f>
        <v>Apply</v>
      </c>
      <c r="C2552" s="10" t="s">
        <v>6301</v>
      </c>
      <c r="D2552" s="56" t="s">
        <v>2721</v>
      </c>
      <c r="E2552" s="10" t="s">
        <v>45</v>
      </c>
      <c r="F2552" s="10" t="s">
        <v>2722</v>
      </c>
      <c r="G2552" s="10" t="s">
        <v>2448</v>
      </c>
      <c r="H2552" s="10" t="s">
        <v>898</v>
      </c>
      <c r="I2552" s="10" t="s">
        <v>55</v>
      </c>
      <c r="J2552" s="10" t="s">
        <v>6281</v>
      </c>
      <c r="K2552" s="10" t="s">
        <v>6302</v>
      </c>
      <c r="L2552" s="10" t="s">
        <v>42</v>
      </c>
    </row>
    <row r="2553" ht="15.75" customHeight="1">
      <c r="A2553" s="64">
        <v>45477.0</v>
      </c>
      <c r="B2553" s="55" t="str">
        <f>HYPERLINK("https://jobright.ai/jobs/info/66990bd6c8a59dc96df53ca4?utm_campaign=1062&amp;utm_source=sheet", "Apply")</f>
        <v>Apply</v>
      </c>
      <c r="C2553" s="10" t="s">
        <v>4454</v>
      </c>
      <c r="D2553" s="56" t="s">
        <v>4448</v>
      </c>
      <c r="E2553" s="10" t="s">
        <v>71</v>
      </c>
      <c r="F2553" s="10" t="s">
        <v>4449</v>
      </c>
      <c r="G2553" s="10" t="s">
        <v>2448</v>
      </c>
      <c r="H2553" s="10" t="s">
        <v>7485</v>
      </c>
      <c r="I2553" s="10" t="s">
        <v>55</v>
      </c>
      <c r="K2553" s="10" t="s">
        <v>4450</v>
      </c>
      <c r="L2553" s="10" t="s">
        <v>42</v>
      </c>
    </row>
    <row r="2554" ht="15.75" customHeight="1">
      <c r="A2554" s="64">
        <v>45477.0</v>
      </c>
      <c r="B2554" s="55" t="str">
        <f>HYPERLINK("https://jobright.ai/jobs/info/66990bd6c8a59dc96df53d33?utm_campaign=1062&amp;utm_source=sheet", "Apply")</f>
        <v>Apply</v>
      </c>
      <c r="C2554" s="10" t="s">
        <v>4454</v>
      </c>
      <c r="D2554" s="56" t="s">
        <v>4448</v>
      </c>
      <c r="E2554" s="10" t="s">
        <v>71</v>
      </c>
      <c r="F2554" s="10" t="s">
        <v>4449</v>
      </c>
      <c r="G2554" s="10" t="s">
        <v>2448</v>
      </c>
      <c r="H2554" s="10" t="s">
        <v>7486</v>
      </c>
      <c r="I2554" s="10" t="s">
        <v>55</v>
      </c>
      <c r="K2554" s="10" t="s">
        <v>4450</v>
      </c>
      <c r="L2554" s="10" t="s">
        <v>42</v>
      </c>
    </row>
    <row r="2555" ht="15.75" customHeight="1">
      <c r="A2555" s="64">
        <v>45477.0</v>
      </c>
      <c r="B2555" s="55" t="str">
        <f>HYPERLINK("https://jobright.ai/jobs/info/668fca9b144e48d2af2c5321?utm_campaign=1062&amp;utm_source=sheet", "Apply")</f>
        <v>Apply</v>
      </c>
      <c r="C2555" s="10" t="s">
        <v>7487</v>
      </c>
      <c r="D2555" s="56" t="s">
        <v>7488</v>
      </c>
      <c r="E2555" s="10" t="s">
        <v>276</v>
      </c>
      <c r="F2555" s="10" t="s">
        <v>7489</v>
      </c>
      <c r="G2555" s="10" t="s">
        <v>2448</v>
      </c>
      <c r="H2555" s="10" t="s">
        <v>7490</v>
      </c>
      <c r="I2555" s="10" t="s">
        <v>55</v>
      </c>
      <c r="K2555" s="10" t="s">
        <v>7491</v>
      </c>
      <c r="L2555" s="10" t="s">
        <v>42</v>
      </c>
    </row>
    <row r="2556" ht="15.75" customHeight="1">
      <c r="A2556" s="64">
        <v>45477.0</v>
      </c>
      <c r="B2556" s="55" t="str">
        <f>HYPERLINK("https://jobright.ai/jobs/info/65c3f3b569daa65333c55801?utm_campaign=1062&amp;utm_source=sheet", "Apply")</f>
        <v>Apply</v>
      </c>
      <c r="C2556" s="10" t="s">
        <v>7492</v>
      </c>
      <c r="D2556" s="56" t="s">
        <v>7493</v>
      </c>
      <c r="E2556" s="10" t="s">
        <v>65</v>
      </c>
      <c r="F2556" s="10" t="s">
        <v>7494</v>
      </c>
      <c r="G2556" s="10" t="s">
        <v>2455</v>
      </c>
      <c r="H2556" s="10" t="s">
        <v>7495</v>
      </c>
      <c r="I2556" s="10" t="s">
        <v>55</v>
      </c>
      <c r="K2556" s="10" t="s">
        <v>7496</v>
      </c>
      <c r="L2556" s="10" t="s">
        <v>42</v>
      </c>
    </row>
    <row r="2557" ht="15.75" customHeight="1">
      <c r="A2557" s="64">
        <v>45477.0</v>
      </c>
      <c r="B2557" s="55" t="str">
        <f>HYPERLINK("https://jobright.ai/jobs/info/669900613ff35d25bbba3c70?utm_campaign=1062&amp;utm_source=sheet", "Apply")</f>
        <v>Apply</v>
      </c>
      <c r="C2557" s="10" t="s">
        <v>7397</v>
      </c>
      <c r="D2557" s="56" t="s">
        <v>4448</v>
      </c>
      <c r="E2557" s="10" t="s">
        <v>71</v>
      </c>
      <c r="F2557" s="10" t="s">
        <v>4449</v>
      </c>
      <c r="G2557" s="10" t="s">
        <v>2448</v>
      </c>
      <c r="H2557" s="10" t="s">
        <v>7296</v>
      </c>
      <c r="I2557" s="10" t="s">
        <v>55</v>
      </c>
      <c r="K2557" s="10" t="s">
        <v>4450</v>
      </c>
      <c r="L2557" s="10" t="s">
        <v>42</v>
      </c>
    </row>
    <row r="2558" ht="15.75" customHeight="1">
      <c r="A2558" s="64">
        <v>45477.0</v>
      </c>
      <c r="B2558" s="55" t="str">
        <f>HYPERLINK("https://jobright.ai/jobs/info/6698fc924a6cb2aa5490ac7f?utm_campaign=1062&amp;utm_source=sheet", "Apply")</f>
        <v>Apply</v>
      </c>
      <c r="C2558" s="10" t="s">
        <v>4454</v>
      </c>
      <c r="D2558" s="56" t="s">
        <v>4448</v>
      </c>
      <c r="E2558" s="10" t="s">
        <v>71</v>
      </c>
      <c r="F2558" s="10" t="s">
        <v>4449</v>
      </c>
      <c r="G2558" s="10" t="s">
        <v>2448</v>
      </c>
      <c r="H2558" s="10" t="s">
        <v>7497</v>
      </c>
      <c r="I2558" s="10" t="s">
        <v>55</v>
      </c>
      <c r="K2558" s="10" t="s">
        <v>4450</v>
      </c>
      <c r="L2558" s="10" t="s">
        <v>42</v>
      </c>
    </row>
    <row r="2559" ht="15.75" customHeight="1">
      <c r="A2559" s="64">
        <v>45477.0</v>
      </c>
      <c r="B2559" s="55" t="str">
        <f>HYPERLINK("https://jobright.ai/jobs/info/6698fc924a6cb2aa5490ac83?utm_campaign=1062&amp;utm_source=sheet", "Apply")</f>
        <v>Apply</v>
      </c>
      <c r="C2559" s="10" t="s">
        <v>4454</v>
      </c>
      <c r="D2559" s="56" t="s">
        <v>4448</v>
      </c>
      <c r="E2559" s="10" t="s">
        <v>71</v>
      </c>
      <c r="F2559" s="10" t="s">
        <v>4449</v>
      </c>
      <c r="G2559" s="10" t="s">
        <v>2448</v>
      </c>
      <c r="H2559" s="10" t="s">
        <v>7498</v>
      </c>
      <c r="I2559" s="10" t="s">
        <v>55</v>
      </c>
      <c r="K2559" s="10" t="s">
        <v>4450</v>
      </c>
      <c r="L2559" s="10" t="s">
        <v>42</v>
      </c>
    </row>
    <row r="2560" ht="15.75" customHeight="1">
      <c r="A2560" s="64">
        <v>45477.0</v>
      </c>
      <c r="B2560" s="55" t="str">
        <f>HYPERLINK("https://jobright.ai/jobs/info/6698fc924a6cb2aa5490ac93?utm_campaign=1062&amp;utm_source=sheet", "Apply")</f>
        <v>Apply</v>
      </c>
      <c r="C2560" s="10" t="s">
        <v>7397</v>
      </c>
      <c r="D2560" s="56" t="s">
        <v>4448</v>
      </c>
      <c r="E2560" s="10" t="s">
        <v>71</v>
      </c>
      <c r="F2560" s="10" t="s">
        <v>4449</v>
      </c>
      <c r="G2560" s="10" t="s">
        <v>2448</v>
      </c>
      <c r="H2560" s="10" t="s">
        <v>7499</v>
      </c>
      <c r="I2560" s="10" t="s">
        <v>55</v>
      </c>
      <c r="K2560" s="10" t="s">
        <v>4450</v>
      </c>
      <c r="L2560" s="10" t="s">
        <v>42</v>
      </c>
    </row>
    <row r="2561" ht="15.75" customHeight="1">
      <c r="A2561" s="64">
        <v>45477.0</v>
      </c>
      <c r="B2561" s="55" t="str">
        <f>HYPERLINK("https://jobright.ai/jobs/info/6698f908d83e60337ee6866a?utm_campaign=1062&amp;utm_source=sheet", "Apply")</f>
        <v>Apply</v>
      </c>
      <c r="C2561" s="10" t="s">
        <v>4454</v>
      </c>
      <c r="D2561" s="56" t="s">
        <v>4448</v>
      </c>
      <c r="E2561" s="10" t="s">
        <v>71</v>
      </c>
      <c r="F2561" s="10" t="s">
        <v>4449</v>
      </c>
      <c r="G2561" s="10" t="s">
        <v>2448</v>
      </c>
      <c r="H2561" s="10" t="s">
        <v>7500</v>
      </c>
      <c r="I2561" s="10" t="s">
        <v>55</v>
      </c>
      <c r="K2561" s="10" t="s">
        <v>4450</v>
      </c>
      <c r="L2561" s="10" t="s">
        <v>42</v>
      </c>
    </row>
    <row r="2562" ht="15.75" customHeight="1">
      <c r="A2562" s="64">
        <v>45477.0</v>
      </c>
      <c r="B2562" s="55" t="str">
        <f>HYPERLINK("https://jobright.ai/jobs/info/6698f908d83e60337ee686f3?utm_campaign=1062&amp;utm_source=sheet", "Apply")</f>
        <v>Apply</v>
      </c>
      <c r="C2562" s="10" t="s">
        <v>4454</v>
      </c>
      <c r="D2562" s="56" t="s">
        <v>4448</v>
      </c>
      <c r="E2562" s="10" t="s">
        <v>71</v>
      </c>
      <c r="F2562" s="10" t="s">
        <v>4449</v>
      </c>
      <c r="G2562" s="10" t="s">
        <v>2448</v>
      </c>
      <c r="H2562" s="10" t="s">
        <v>7501</v>
      </c>
      <c r="I2562" s="10" t="s">
        <v>55</v>
      </c>
      <c r="K2562" s="10" t="s">
        <v>4450</v>
      </c>
      <c r="L2562" s="10" t="s">
        <v>42</v>
      </c>
    </row>
    <row r="2563" ht="15.75" customHeight="1">
      <c r="A2563" s="64">
        <v>45477.0</v>
      </c>
      <c r="B2563" s="55" t="str">
        <f>HYPERLINK("https://jobright.ai/jobs/info/6659c69f99d816632052c628?utm_campaign=1062&amp;utm_source=sheet", "Apply")</f>
        <v>Apply</v>
      </c>
      <c r="C2563" s="10" t="s">
        <v>6060</v>
      </c>
      <c r="D2563" s="56" t="s">
        <v>52</v>
      </c>
      <c r="E2563" s="10" t="s">
        <v>45</v>
      </c>
      <c r="F2563" s="10" t="s">
        <v>53</v>
      </c>
      <c r="G2563" s="10" t="s">
        <v>3733</v>
      </c>
      <c r="H2563" s="10" t="s">
        <v>54</v>
      </c>
      <c r="I2563" s="10" t="s">
        <v>55</v>
      </c>
      <c r="J2563" s="10" t="s">
        <v>6061</v>
      </c>
      <c r="K2563" s="10" t="s">
        <v>6062</v>
      </c>
      <c r="L2563" s="10" t="s">
        <v>42</v>
      </c>
    </row>
    <row r="2564" ht="15.75" customHeight="1">
      <c r="A2564" s="64">
        <v>45477.0</v>
      </c>
      <c r="B2564" s="55" t="str">
        <f>HYPERLINK("https://jobright.ai/jobs/info/6677bcaa27c0e726e8f4dc4e?utm_campaign=1062&amp;utm_source=sheet", "Apply")</f>
        <v>Apply</v>
      </c>
      <c r="C2564" s="10" t="s">
        <v>7502</v>
      </c>
      <c r="D2564" s="56" t="s">
        <v>5929</v>
      </c>
      <c r="E2564" s="10" t="s">
        <v>65</v>
      </c>
      <c r="F2564" s="10" t="s">
        <v>5930</v>
      </c>
      <c r="G2564" s="10" t="s">
        <v>2443</v>
      </c>
      <c r="H2564" s="10" t="s">
        <v>848</v>
      </c>
      <c r="I2564" s="10" t="s">
        <v>55</v>
      </c>
      <c r="K2564" s="10" t="s">
        <v>7503</v>
      </c>
      <c r="L2564" s="10" t="s">
        <v>42</v>
      </c>
    </row>
    <row r="2565" ht="15.75" customHeight="1">
      <c r="A2565" s="64">
        <v>45477.0</v>
      </c>
      <c r="B2565" s="55" t="str">
        <f>HYPERLINK("https://jobright.ai/jobs/info/6698f111185b1e72c5d7a738?utm_campaign=1062&amp;utm_source=sheet", "Apply")</f>
        <v>Apply</v>
      </c>
      <c r="C2565" s="10" t="s">
        <v>4454</v>
      </c>
      <c r="D2565" s="56" t="s">
        <v>4448</v>
      </c>
      <c r="E2565" s="10" t="s">
        <v>71</v>
      </c>
      <c r="F2565" s="10" t="s">
        <v>4449</v>
      </c>
      <c r="G2565" s="10" t="s">
        <v>2448</v>
      </c>
      <c r="H2565" s="10" t="s">
        <v>7504</v>
      </c>
      <c r="I2565" s="10" t="s">
        <v>55</v>
      </c>
      <c r="K2565" s="10" t="s">
        <v>4450</v>
      </c>
      <c r="L2565" s="10" t="s">
        <v>42</v>
      </c>
    </row>
    <row r="2566" ht="15.75" customHeight="1">
      <c r="A2566" s="64">
        <v>45477.0</v>
      </c>
      <c r="B2566" s="55" t="str">
        <f>HYPERLINK("https://jobright.ai/jobs/info/66796d9a3f452d31d55f95ee?utm_campaign=1062&amp;utm_source=sheet", "Apply")</f>
        <v>Apply</v>
      </c>
      <c r="C2566" s="10" t="s">
        <v>3303</v>
      </c>
      <c r="D2566" s="56" t="s">
        <v>2763</v>
      </c>
      <c r="E2566" s="10" t="s">
        <v>45</v>
      </c>
      <c r="F2566" s="10" t="s">
        <v>1465</v>
      </c>
      <c r="G2566" s="10" t="s">
        <v>2437</v>
      </c>
      <c r="H2566" s="10" t="s">
        <v>106</v>
      </c>
      <c r="I2566" s="10" t="s">
        <v>55</v>
      </c>
      <c r="J2566" s="10" t="s">
        <v>3399</v>
      </c>
      <c r="K2566" s="10" t="s">
        <v>3400</v>
      </c>
      <c r="L2566" s="10" t="s">
        <v>42</v>
      </c>
    </row>
    <row r="2567" ht="15.75" customHeight="1">
      <c r="A2567" s="64">
        <v>45477.0</v>
      </c>
      <c r="B2567" s="55" t="str">
        <f>HYPERLINK("https://jobright.ai/jobs/info/65c36f18872e4abb1e90e88b?utm_campaign=1062&amp;utm_source=sheet", "Apply")</f>
        <v>Apply</v>
      </c>
      <c r="C2567" s="10" t="s">
        <v>7505</v>
      </c>
      <c r="D2567" s="56" t="s">
        <v>5901</v>
      </c>
      <c r="E2567" s="10" t="s">
        <v>45</v>
      </c>
      <c r="F2567" s="10" t="s">
        <v>5902</v>
      </c>
      <c r="G2567" s="10" t="s">
        <v>2470</v>
      </c>
      <c r="H2567" s="10" t="s">
        <v>843</v>
      </c>
      <c r="I2567" s="10" t="s">
        <v>55</v>
      </c>
      <c r="K2567" s="10" t="s">
        <v>7506</v>
      </c>
      <c r="L2567" s="10" t="s">
        <v>42</v>
      </c>
    </row>
    <row r="2568" ht="15.75" customHeight="1">
      <c r="A2568" s="64">
        <v>45477.0</v>
      </c>
      <c r="B2568" s="55" t="str">
        <f>HYPERLINK("https://jobright.ai/jobs/info/65b451ee57b3ba6e4fa1494a?utm_campaign=1062&amp;utm_source=sheet", "Apply")</f>
        <v>Apply</v>
      </c>
      <c r="C2568" s="10" t="s">
        <v>2762</v>
      </c>
      <c r="D2568" s="56" t="s">
        <v>2763</v>
      </c>
      <c r="E2568" s="10" t="s">
        <v>45</v>
      </c>
      <c r="F2568" s="10" t="s">
        <v>1465</v>
      </c>
      <c r="G2568" s="10" t="s">
        <v>2470</v>
      </c>
      <c r="H2568" s="10" t="s">
        <v>4086</v>
      </c>
      <c r="I2568" s="10" t="s">
        <v>55</v>
      </c>
      <c r="J2568" s="10" t="s">
        <v>2764</v>
      </c>
      <c r="K2568" s="10" t="s">
        <v>2765</v>
      </c>
      <c r="L2568" s="10" t="s">
        <v>42</v>
      </c>
    </row>
    <row r="2569" ht="15.75" customHeight="1">
      <c r="A2569" s="64">
        <v>45477.0</v>
      </c>
      <c r="B2569" s="55" t="str">
        <f>HYPERLINK("https://jobright.ai/jobs/info/668613e82f02a10a93d18ccd?utm_campaign=1062&amp;utm_source=sheet", "Apply")</f>
        <v>Apply</v>
      </c>
      <c r="C2569" s="10" t="s">
        <v>3156</v>
      </c>
      <c r="D2569" s="56" t="s">
        <v>7507</v>
      </c>
      <c r="E2569" s="10" t="s">
        <v>79</v>
      </c>
      <c r="F2569" s="10" t="s">
        <v>7508</v>
      </c>
      <c r="G2569" s="10" t="s">
        <v>2437</v>
      </c>
      <c r="H2569" s="10" t="s">
        <v>668</v>
      </c>
      <c r="I2569" s="10" t="s">
        <v>55</v>
      </c>
      <c r="K2569" s="10" t="s">
        <v>7509</v>
      </c>
      <c r="L2569" s="10" t="s">
        <v>42</v>
      </c>
    </row>
    <row r="2570" ht="15.75" customHeight="1">
      <c r="A2570" s="64">
        <v>45476.0</v>
      </c>
      <c r="B2570" s="55" t="str">
        <f>HYPERLINK("https://jobright.ai/jobs/info/6685f937de0c26c0b6cceb98?utm_campaign=1062&amp;utm_source=sheet", "Apply")</f>
        <v>Apply</v>
      </c>
      <c r="C2570" s="10" t="s">
        <v>7510</v>
      </c>
      <c r="D2570" s="56" t="s">
        <v>7511</v>
      </c>
      <c r="E2570" s="10">
        <v>2365.0</v>
      </c>
      <c r="G2570" s="10" t="s">
        <v>2443</v>
      </c>
      <c r="H2570" s="10" t="s">
        <v>1028</v>
      </c>
      <c r="I2570" s="10" t="s">
        <v>55</v>
      </c>
      <c r="K2570" s="10" t="s">
        <v>7512</v>
      </c>
      <c r="L2570" s="10" t="s">
        <v>42</v>
      </c>
    </row>
    <row r="2571" ht="15.75" customHeight="1">
      <c r="A2571" s="64">
        <v>45476.0</v>
      </c>
      <c r="B2571" s="55" t="str">
        <f>HYPERLINK("https://jobright.ai/jobs/info/6685e1e5adbfe96e189b70b4?utm_campaign=1062&amp;utm_source=sheet", "Apply")</f>
        <v>Apply</v>
      </c>
      <c r="C2571" s="10" t="s">
        <v>7513</v>
      </c>
      <c r="D2571" s="56" t="s">
        <v>7514</v>
      </c>
      <c r="E2571" s="10" t="s">
        <v>276</v>
      </c>
      <c r="F2571" s="10" t="s">
        <v>7515</v>
      </c>
      <c r="G2571" s="10" t="s">
        <v>2579</v>
      </c>
      <c r="H2571" s="10" t="s">
        <v>131</v>
      </c>
      <c r="I2571" s="10" t="s">
        <v>55</v>
      </c>
      <c r="K2571" s="10" t="s">
        <v>7516</v>
      </c>
      <c r="L2571" s="10" t="s">
        <v>42</v>
      </c>
    </row>
    <row r="2572" ht="15.75" customHeight="1">
      <c r="A2572" s="64">
        <v>45476.0</v>
      </c>
      <c r="B2572" s="55" t="str">
        <f>HYPERLINK("https://jobright.ai/jobs/info/6685d8e43aae3c4b011ad5de?utm_campaign=1062&amp;utm_source=sheet", "Apply")</f>
        <v>Apply</v>
      </c>
      <c r="C2572" s="10" t="s">
        <v>3156</v>
      </c>
      <c r="D2572" s="56" t="s">
        <v>7517</v>
      </c>
      <c r="E2572" s="10" t="s">
        <v>79</v>
      </c>
      <c r="F2572" s="10" t="s">
        <v>2746</v>
      </c>
      <c r="G2572" s="10" t="s">
        <v>2464</v>
      </c>
      <c r="H2572" s="10" t="s">
        <v>4292</v>
      </c>
      <c r="I2572" s="10" t="s">
        <v>55</v>
      </c>
      <c r="K2572" s="10" t="s">
        <v>7518</v>
      </c>
      <c r="L2572" s="10" t="s">
        <v>42</v>
      </c>
    </row>
    <row r="2573" ht="15.75" customHeight="1">
      <c r="A2573" s="64">
        <v>45476.0</v>
      </c>
      <c r="B2573" s="55" t="str">
        <f>HYPERLINK("https://jobright.ai/jobs/info/6685d8e43aae3c4b011ad622?utm_campaign=1062&amp;utm_source=sheet", "Apply")</f>
        <v>Apply</v>
      </c>
      <c r="C2573" s="10" t="s">
        <v>7519</v>
      </c>
      <c r="D2573" s="56" t="s">
        <v>2548</v>
      </c>
      <c r="E2573" s="10" t="s">
        <v>45</v>
      </c>
      <c r="F2573" s="10" t="s">
        <v>2549</v>
      </c>
      <c r="G2573" s="10" t="s">
        <v>2589</v>
      </c>
      <c r="H2573" s="10" t="s">
        <v>2550</v>
      </c>
      <c r="I2573" s="10" t="s">
        <v>48</v>
      </c>
      <c r="K2573" s="10" t="s">
        <v>7520</v>
      </c>
      <c r="L2573" s="10" t="s">
        <v>42</v>
      </c>
    </row>
    <row r="2574" ht="15.75" customHeight="1">
      <c r="A2574" s="64">
        <v>45476.0</v>
      </c>
      <c r="B2574" s="55" t="str">
        <f>HYPERLINK("https://jobright.ai/jobs/info/6685c5a0f7b0cec5c1b136d6?utm_campaign=1062&amp;utm_source=sheet", "Apply")</f>
        <v>Apply</v>
      </c>
      <c r="C2574" s="10" t="s">
        <v>7521</v>
      </c>
      <c r="D2574" s="56" t="s">
        <v>1547</v>
      </c>
      <c r="E2574" s="10">
        <v>408.0</v>
      </c>
      <c r="G2574" s="10" t="s">
        <v>2459</v>
      </c>
      <c r="H2574" s="10" t="s">
        <v>170</v>
      </c>
      <c r="I2574" s="10" t="s">
        <v>55</v>
      </c>
      <c r="K2574" s="10" t="s">
        <v>7522</v>
      </c>
      <c r="L2574" s="10" t="s">
        <v>42</v>
      </c>
    </row>
    <row r="2575" ht="15.75" customHeight="1">
      <c r="A2575" s="64">
        <v>45476.0</v>
      </c>
      <c r="B2575" s="55" t="str">
        <f>HYPERLINK("https://jobright.ai/jobs/info/666a6536ca7ce031c1c1058e?utm_campaign=1062&amp;utm_source=sheet", "Apply")</f>
        <v>Apply</v>
      </c>
      <c r="C2575" s="10" t="s">
        <v>3156</v>
      </c>
      <c r="D2575" s="56" t="s">
        <v>1989</v>
      </c>
      <c r="E2575" s="10">
        <v>11491.0</v>
      </c>
      <c r="G2575" s="10" t="s">
        <v>2448</v>
      </c>
      <c r="H2575" s="10" t="s">
        <v>106</v>
      </c>
      <c r="I2575" s="10" t="s">
        <v>55</v>
      </c>
      <c r="K2575" s="10" t="s">
        <v>7523</v>
      </c>
      <c r="L2575" s="10" t="s">
        <v>42</v>
      </c>
    </row>
    <row r="2576" ht="15.75" customHeight="1">
      <c r="A2576" s="64">
        <v>45476.0</v>
      </c>
      <c r="B2576" s="55" t="str">
        <f>HYPERLINK("https://jobright.ai/jobs/info/6685a4488e86a0cdfea6221f?utm_campaign=1062&amp;utm_source=sheet", "Apply")</f>
        <v>Apply</v>
      </c>
      <c r="C2576" s="10" t="s">
        <v>7524</v>
      </c>
      <c r="D2576" s="56" t="s">
        <v>7525</v>
      </c>
      <c r="E2576" s="10" t="s">
        <v>137</v>
      </c>
      <c r="F2576" s="10" t="s">
        <v>7526</v>
      </c>
      <c r="G2576" s="10" t="s">
        <v>2579</v>
      </c>
      <c r="H2576" s="10" t="s">
        <v>96</v>
      </c>
      <c r="I2576" s="10" t="s">
        <v>55</v>
      </c>
      <c r="K2576" s="10" t="s">
        <v>7527</v>
      </c>
      <c r="L2576" s="10" t="s">
        <v>42</v>
      </c>
    </row>
    <row r="2577" ht="15.75" customHeight="1">
      <c r="A2577" s="64">
        <v>45476.0</v>
      </c>
      <c r="B2577" s="55" t="str">
        <f>HYPERLINK("https://jobright.ai/jobs/info/66859c0004d7e7f0936fd528?utm_campaign=1062&amp;utm_source=sheet", "Apply")</f>
        <v>Apply</v>
      </c>
      <c r="C2577" s="10" t="s">
        <v>7528</v>
      </c>
      <c r="D2577" s="56" t="s">
        <v>7529</v>
      </c>
      <c r="E2577" s="10" t="s">
        <v>137</v>
      </c>
      <c r="F2577" s="10" t="s">
        <v>7530</v>
      </c>
      <c r="G2577" s="10" t="s">
        <v>2484</v>
      </c>
      <c r="H2577" s="10" t="s">
        <v>7531</v>
      </c>
      <c r="I2577" s="10" t="s">
        <v>55</v>
      </c>
      <c r="K2577" s="10" t="s">
        <v>7532</v>
      </c>
      <c r="L2577" s="10" t="s">
        <v>42</v>
      </c>
    </row>
    <row r="2578" ht="15.75" customHeight="1">
      <c r="A2578" s="64">
        <v>45476.0</v>
      </c>
      <c r="B2578" s="55" t="str">
        <f>HYPERLINK("https://jobright.ai/jobs/info/6685976e8bf03a11b5c793eb?utm_campaign=1062&amp;utm_source=sheet", "Apply")</f>
        <v>Apply</v>
      </c>
      <c r="C2578" s="10" t="s">
        <v>7533</v>
      </c>
      <c r="D2578" s="56" t="s">
        <v>5130</v>
      </c>
      <c r="E2578" s="10" t="s">
        <v>65</v>
      </c>
      <c r="F2578" s="10" t="s">
        <v>331</v>
      </c>
      <c r="G2578" s="10" t="s">
        <v>2589</v>
      </c>
      <c r="H2578" s="10" t="s">
        <v>3176</v>
      </c>
      <c r="I2578" s="10" t="s">
        <v>55</v>
      </c>
      <c r="K2578" s="10" t="s">
        <v>7534</v>
      </c>
      <c r="L2578" s="10" t="s">
        <v>42</v>
      </c>
    </row>
    <row r="2579" ht="15.75" customHeight="1">
      <c r="A2579" s="64">
        <v>45476.0</v>
      </c>
      <c r="B2579" s="55" t="str">
        <f>HYPERLINK("https://jobright.ai/jobs/info/66859e232b7c322c94200d04?utm_campaign=1062&amp;utm_source=sheet", "Apply")</f>
        <v>Apply</v>
      </c>
      <c r="C2579" s="10" t="s">
        <v>7535</v>
      </c>
      <c r="D2579" s="56" t="s">
        <v>7536</v>
      </c>
      <c r="E2579" s="10">
        <v>29.0</v>
      </c>
      <c r="G2579" s="10" t="s">
        <v>2437</v>
      </c>
      <c r="H2579" s="10" t="s">
        <v>1263</v>
      </c>
      <c r="I2579" s="10" t="s">
        <v>55</v>
      </c>
      <c r="K2579" s="10" t="s">
        <v>7537</v>
      </c>
      <c r="L2579" s="10" t="s">
        <v>42</v>
      </c>
    </row>
    <row r="2580" ht="15.75" customHeight="1">
      <c r="A2580" s="64">
        <v>45476.0</v>
      </c>
      <c r="B2580" s="55" t="str">
        <f>HYPERLINK("https://jobright.ai/jobs/info/66858393798cca6c381734ba?utm_campaign=1062&amp;utm_source=sheet", "Apply")</f>
        <v>Apply</v>
      </c>
      <c r="C2580" s="10" t="s">
        <v>7538</v>
      </c>
      <c r="D2580" s="56" t="s">
        <v>7539</v>
      </c>
      <c r="E2580" s="10" t="s">
        <v>137</v>
      </c>
      <c r="F2580" s="10" t="s">
        <v>4948</v>
      </c>
      <c r="G2580" s="10" t="s">
        <v>2502</v>
      </c>
      <c r="H2580" s="10" t="s">
        <v>3674</v>
      </c>
      <c r="I2580" s="10" t="s">
        <v>55</v>
      </c>
      <c r="K2580" s="10" t="s">
        <v>7540</v>
      </c>
      <c r="L2580" s="10" t="s">
        <v>42</v>
      </c>
    </row>
    <row r="2581" ht="15.75" customHeight="1">
      <c r="A2581" s="64">
        <v>45476.0</v>
      </c>
      <c r="B2581" s="55" t="str">
        <f>HYPERLINK("https://jobright.ai/jobs/info/668583b0798cca6c38173699?utm_campaign=1062&amp;utm_source=sheet", "Apply")</f>
        <v>Apply</v>
      </c>
      <c r="C2581" s="10" t="s">
        <v>5299</v>
      </c>
      <c r="D2581" s="56" t="s">
        <v>5222</v>
      </c>
      <c r="E2581" s="10" t="s">
        <v>79</v>
      </c>
      <c r="F2581" s="10" t="s">
        <v>10</v>
      </c>
      <c r="G2581" s="10" t="s">
        <v>2464</v>
      </c>
      <c r="H2581" s="10" t="s">
        <v>168</v>
      </c>
      <c r="I2581" s="10" t="s">
        <v>55</v>
      </c>
      <c r="K2581" s="10" t="s">
        <v>5300</v>
      </c>
      <c r="L2581" s="10" t="s">
        <v>42</v>
      </c>
    </row>
    <row r="2582" ht="15.75" customHeight="1">
      <c r="A2582" s="64">
        <v>45476.0</v>
      </c>
      <c r="B2582" s="55" t="str">
        <f>HYPERLINK("https://jobright.ai/jobs/info/667ee30d37a8015679a538cf?utm_campaign=1062&amp;utm_source=sheet", "Apply")</f>
        <v>Apply</v>
      </c>
      <c r="C2582" s="10" t="s">
        <v>7541</v>
      </c>
      <c r="D2582" s="56" t="s">
        <v>1662</v>
      </c>
      <c r="E2582" s="10" t="s">
        <v>209</v>
      </c>
      <c r="F2582" s="10" t="s">
        <v>1663</v>
      </c>
      <c r="G2582" s="10" t="s">
        <v>2448</v>
      </c>
      <c r="H2582" s="10" t="s">
        <v>167</v>
      </c>
      <c r="I2582" s="10" t="s">
        <v>55</v>
      </c>
      <c r="J2582" s="10" t="s">
        <v>7542</v>
      </c>
      <c r="K2582" s="10" t="s">
        <v>7543</v>
      </c>
      <c r="L2582" s="10" t="s">
        <v>42</v>
      </c>
    </row>
    <row r="2583" ht="15.75" customHeight="1">
      <c r="A2583" s="64">
        <v>45476.0</v>
      </c>
      <c r="B2583" s="55" t="str">
        <f>HYPERLINK("https://jobright.ai/jobs/info/668589ee0ae1f988330dffe9?utm_campaign=1062&amp;utm_source=sheet", "Apply")</f>
        <v>Apply</v>
      </c>
      <c r="C2583" s="10" t="s">
        <v>3156</v>
      </c>
      <c r="D2583" s="56" t="s">
        <v>7544</v>
      </c>
      <c r="E2583" s="10" t="s">
        <v>249</v>
      </c>
      <c r="F2583" s="10" t="s">
        <v>7545</v>
      </c>
      <c r="G2583" s="10" t="s">
        <v>2437</v>
      </c>
      <c r="H2583" s="10" t="s">
        <v>668</v>
      </c>
      <c r="I2583" s="10" t="s">
        <v>55</v>
      </c>
      <c r="K2583" s="10" t="s">
        <v>7509</v>
      </c>
      <c r="L2583" s="10" t="s">
        <v>42</v>
      </c>
    </row>
    <row r="2584" ht="15.75" customHeight="1">
      <c r="A2584" s="64">
        <v>45476.0</v>
      </c>
      <c r="B2584" s="55" t="str">
        <f>HYPERLINK("https://jobright.ai/jobs/info/667dd59a49161264b2727cda?utm_campaign=1062&amp;utm_source=sheet", "Apply")</f>
        <v>Apply</v>
      </c>
      <c r="C2584" s="10" t="s">
        <v>7546</v>
      </c>
      <c r="D2584" s="56" t="s">
        <v>7547</v>
      </c>
      <c r="E2584" s="10" t="s">
        <v>209</v>
      </c>
      <c r="F2584" s="10" t="s">
        <v>7548</v>
      </c>
      <c r="G2584" s="10" t="s">
        <v>2484</v>
      </c>
      <c r="H2584" s="10" t="s">
        <v>3056</v>
      </c>
      <c r="I2584" s="10" t="s">
        <v>55</v>
      </c>
      <c r="K2584" s="10" t="s">
        <v>7549</v>
      </c>
      <c r="L2584" s="10" t="s">
        <v>42</v>
      </c>
    </row>
    <row r="2585" ht="15.75" customHeight="1">
      <c r="A2585" s="64">
        <v>45476.0</v>
      </c>
      <c r="B2585" s="55" t="str">
        <f>HYPERLINK("https://jobright.ai/jobs/info/66855f0fc86324fc35ac5afa?utm_campaign=1062&amp;utm_source=sheet", "Apply")</f>
        <v>Apply</v>
      </c>
      <c r="C2585" s="10" t="s">
        <v>3183</v>
      </c>
      <c r="D2585" s="56" t="s">
        <v>3119</v>
      </c>
      <c r="E2585" s="10" t="s">
        <v>45</v>
      </c>
      <c r="F2585" s="10" t="s">
        <v>3120</v>
      </c>
      <c r="G2585" s="10" t="s">
        <v>2448</v>
      </c>
      <c r="H2585" s="10" t="s">
        <v>340</v>
      </c>
      <c r="I2585" s="10" t="s">
        <v>55</v>
      </c>
      <c r="J2585" s="10" t="s">
        <v>7550</v>
      </c>
      <c r="K2585" s="10" t="s">
        <v>7551</v>
      </c>
      <c r="L2585" s="10" t="s">
        <v>42</v>
      </c>
    </row>
    <row r="2586" ht="15.75" customHeight="1">
      <c r="A2586" s="64">
        <v>45476.0</v>
      </c>
      <c r="B2586" s="55" t="str">
        <f>HYPERLINK("https://jobright.ai/jobs/info/66855cde3bcb9414902c92ad?utm_campaign=1062&amp;utm_source=sheet", "Apply")</f>
        <v>Apply</v>
      </c>
      <c r="C2586" s="10" t="s">
        <v>7552</v>
      </c>
      <c r="D2586" s="56" t="s">
        <v>3119</v>
      </c>
      <c r="E2586" s="10" t="s">
        <v>45</v>
      </c>
      <c r="F2586" s="10" t="s">
        <v>3120</v>
      </c>
      <c r="G2586" s="10" t="s">
        <v>2443</v>
      </c>
      <c r="H2586" s="10" t="s">
        <v>340</v>
      </c>
      <c r="I2586" s="10" t="s">
        <v>55</v>
      </c>
      <c r="K2586" s="10" t="s">
        <v>7553</v>
      </c>
      <c r="L2586" s="10" t="s">
        <v>42</v>
      </c>
    </row>
    <row r="2587" ht="15.75" customHeight="1">
      <c r="A2587" s="64">
        <v>45476.0</v>
      </c>
      <c r="B2587" s="55" t="str">
        <f>HYPERLINK("https://jobright.ai/jobs/info/66855cde3bcb9414902c9244?utm_campaign=1062&amp;utm_source=sheet", "Apply")</f>
        <v>Apply</v>
      </c>
      <c r="C2587" s="10" t="s">
        <v>7554</v>
      </c>
      <c r="D2587" s="56" t="s">
        <v>1684</v>
      </c>
      <c r="E2587" s="10" t="s">
        <v>209</v>
      </c>
      <c r="F2587" s="10" t="s">
        <v>1685</v>
      </c>
      <c r="G2587" s="10" t="s">
        <v>2437</v>
      </c>
      <c r="H2587" s="10" t="s">
        <v>7555</v>
      </c>
      <c r="I2587" s="10" t="s">
        <v>55</v>
      </c>
      <c r="J2587" s="10" t="s">
        <v>7556</v>
      </c>
      <c r="K2587" s="10" t="s">
        <v>7557</v>
      </c>
      <c r="L2587" s="10" t="s">
        <v>42</v>
      </c>
    </row>
    <row r="2588" ht="15.75" customHeight="1">
      <c r="A2588" s="64">
        <v>45476.0</v>
      </c>
      <c r="B2588" s="55" t="str">
        <f>HYPERLINK("https://jobright.ai/jobs/info/66854a369799f1a00a2444cf?utm_campaign=1062&amp;utm_source=sheet", "Apply")</f>
        <v>Apply</v>
      </c>
      <c r="C2588" s="10" t="s">
        <v>2630</v>
      </c>
      <c r="D2588" s="56" t="s">
        <v>7558</v>
      </c>
      <c r="E2588" s="10">
        <v>2.0</v>
      </c>
      <c r="G2588" s="10" t="s">
        <v>2464</v>
      </c>
      <c r="H2588" s="10" t="s">
        <v>7559</v>
      </c>
      <c r="I2588" s="10" t="s">
        <v>48</v>
      </c>
      <c r="K2588" s="10" t="s">
        <v>7560</v>
      </c>
      <c r="L2588" s="10" t="s">
        <v>42</v>
      </c>
    </row>
    <row r="2589" ht="15.75" customHeight="1">
      <c r="A2589" s="64">
        <v>45476.0</v>
      </c>
      <c r="B2589" s="55" t="str">
        <f>HYPERLINK("https://jobright.ai/jobs/info/668d150d56c9b5680bca09dc?utm_campaign=1062&amp;utm_source=sheet", "Apply")</f>
        <v>Apply</v>
      </c>
      <c r="C2589" s="10" t="s">
        <v>2630</v>
      </c>
      <c r="D2589" s="56" t="s">
        <v>7561</v>
      </c>
      <c r="E2589" s="10" t="s">
        <v>79</v>
      </c>
      <c r="F2589" s="10" t="s">
        <v>3486</v>
      </c>
      <c r="G2589" s="10" t="s">
        <v>2464</v>
      </c>
      <c r="H2589" s="10" t="s">
        <v>965</v>
      </c>
      <c r="I2589" s="10" t="s">
        <v>55</v>
      </c>
      <c r="K2589" s="10" t="s">
        <v>7562</v>
      </c>
      <c r="L2589" s="10" t="s">
        <v>42</v>
      </c>
    </row>
    <row r="2590" ht="15.75" customHeight="1">
      <c r="A2590" s="64">
        <v>45476.0</v>
      </c>
      <c r="B2590" s="55" t="str">
        <f>HYPERLINK("https://jobright.ai/jobs/info/66879d969aadc139f552d941?utm_campaign=1062&amp;utm_source=sheet", "Apply")</f>
        <v>Apply</v>
      </c>
      <c r="C2590" s="10" t="s">
        <v>7563</v>
      </c>
      <c r="D2590" s="56" t="s">
        <v>7564</v>
      </c>
      <c r="E2590" s="10" t="s">
        <v>249</v>
      </c>
      <c r="F2590" s="10" t="s">
        <v>7565</v>
      </c>
      <c r="G2590" s="10" t="s">
        <v>2484</v>
      </c>
      <c r="H2590" s="10" t="s">
        <v>7566</v>
      </c>
      <c r="I2590" s="10" t="s">
        <v>55</v>
      </c>
      <c r="J2590" s="10" t="s">
        <v>366</v>
      </c>
      <c r="K2590" s="10" t="s">
        <v>7567</v>
      </c>
      <c r="L2590" s="10" t="s">
        <v>42</v>
      </c>
    </row>
    <row r="2591" ht="15.75" customHeight="1">
      <c r="A2591" s="64">
        <v>45476.0</v>
      </c>
      <c r="B2591" s="55" t="str">
        <f>HYPERLINK("https://jobright.ai/jobs/info/66860345d5cea498aec299c9?utm_campaign=1062&amp;utm_source=sheet", "Apply")</f>
        <v>Apply</v>
      </c>
      <c r="C2591" s="10" t="s">
        <v>7568</v>
      </c>
      <c r="D2591" s="56" t="s">
        <v>7304</v>
      </c>
      <c r="E2591" s="10" t="s">
        <v>276</v>
      </c>
      <c r="F2591" s="10" t="s">
        <v>10</v>
      </c>
      <c r="G2591" s="10" t="s">
        <v>2464</v>
      </c>
      <c r="H2591" s="10" t="s">
        <v>7569</v>
      </c>
      <c r="I2591" s="10" t="s">
        <v>55</v>
      </c>
      <c r="K2591" s="10" t="s">
        <v>7306</v>
      </c>
      <c r="L2591" s="10" t="s">
        <v>42</v>
      </c>
    </row>
    <row r="2592" ht="15.75" customHeight="1">
      <c r="A2592" s="64">
        <v>45476.0</v>
      </c>
      <c r="B2592" s="55" t="str">
        <f>HYPERLINK("https://jobright.ai/jobs/info/6684b1f108081ff3293a1816?utm_campaign=1062&amp;utm_source=sheet", "Apply")</f>
        <v>Apply</v>
      </c>
      <c r="C2592" s="10" t="s">
        <v>7570</v>
      </c>
      <c r="D2592" s="56" t="s">
        <v>7571</v>
      </c>
      <c r="E2592" s="10" t="s">
        <v>45</v>
      </c>
      <c r="F2592" s="10" t="s">
        <v>7572</v>
      </c>
      <c r="G2592" s="10" t="s">
        <v>2448</v>
      </c>
      <c r="H2592" s="10" t="s">
        <v>7573</v>
      </c>
      <c r="I2592" s="10" t="s">
        <v>55</v>
      </c>
      <c r="K2592" s="10" t="s">
        <v>7574</v>
      </c>
      <c r="L2592" s="10" t="s">
        <v>42</v>
      </c>
    </row>
    <row r="2593" ht="15.75" customHeight="1">
      <c r="A2593" s="64">
        <v>45476.0</v>
      </c>
      <c r="B2593" s="55" t="str">
        <f>HYPERLINK("https://jobright.ai/jobs/info/6685b032281ecddae5d3053d?utm_campaign=1062&amp;utm_source=sheet", "Apply")</f>
        <v>Apply</v>
      </c>
      <c r="C2593" s="10" t="s">
        <v>301</v>
      </c>
      <c r="D2593" s="56" t="s">
        <v>7575</v>
      </c>
      <c r="E2593" s="10" t="s">
        <v>276</v>
      </c>
      <c r="F2593" s="10" t="s">
        <v>7576</v>
      </c>
      <c r="G2593" s="10" t="s">
        <v>2448</v>
      </c>
      <c r="H2593" s="10" t="s">
        <v>96</v>
      </c>
      <c r="I2593" s="10" t="s">
        <v>55</v>
      </c>
      <c r="J2593" s="10" t="s">
        <v>1189</v>
      </c>
      <c r="K2593" s="10" t="s">
        <v>7577</v>
      </c>
      <c r="L2593" s="10" t="s">
        <v>42</v>
      </c>
    </row>
    <row r="2594" ht="15.75" customHeight="1">
      <c r="A2594" s="64">
        <v>45476.0</v>
      </c>
      <c r="B2594" s="55" t="str">
        <f>HYPERLINK("https://jobright.ai/jobs/info/6684ae13c9f4c1037d70252f?utm_campaign=1062&amp;utm_source=sheet", "Apply")</f>
        <v>Apply</v>
      </c>
      <c r="C2594" s="10" t="s">
        <v>7578</v>
      </c>
      <c r="D2594" s="56" t="s">
        <v>7579</v>
      </c>
      <c r="E2594" s="10">
        <v>18.0</v>
      </c>
      <c r="G2594" s="10" t="s">
        <v>2437</v>
      </c>
      <c r="H2594" s="10" t="s">
        <v>6344</v>
      </c>
      <c r="I2594" s="10" t="s">
        <v>55</v>
      </c>
      <c r="J2594" s="10" t="s">
        <v>7580</v>
      </c>
      <c r="K2594" s="10" t="s">
        <v>7581</v>
      </c>
      <c r="L2594" s="10" t="s">
        <v>42</v>
      </c>
    </row>
    <row r="2595" ht="15.75" customHeight="1">
      <c r="A2595" s="64">
        <v>45476.0</v>
      </c>
      <c r="B2595" s="55" t="str">
        <f>HYPERLINK("https://jobright.ai/jobs/info/668605af52ed6c65a2a27487?utm_campaign=1062&amp;utm_source=sheet", "Apply")</f>
        <v>Apply</v>
      </c>
      <c r="C2595" s="10" t="s">
        <v>3260</v>
      </c>
      <c r="D2595" s="56" t="s">
        <v>3261</v>
      </c>
      <c r="E2595" s="10" t="s">
        <v>65</v>
      </c>
      <c r="F2595" s="10" t="s">
        <v>1084</v>
      </c>
      <c r="G2595" s="10" t="s">
        <v>2455</v>
      </c>
      <c r="H2595" s="10" t="s">
        <v>914</v>
      </c>
      <c r="I2595" s="10" t="s">
        <v>55</v>
      </c>
      <c r="K2595" s="10" t="s">
        <v>3262</v>
      </c>
      <c r="L2595" s="10" t="s">
        <v>42</v>
      </c>
    </row>
    <row r="2596" ht="15.75" customHeight="1">
      <c r="A2596" s="64">
        <v>45476.0</v>
      </c>
      <c r="B2596" s="55" t="str">
        <f>HYPERLINK("https://jobright.ai/jobs/info/668bafcb636eb0b10922abe5?utm_campaign=1062&amp;utm_source=sheet", "Apply")</f>
        <v>Apply</v>
      </c>
      <c r="C2596" s="10" t="s">
        <v>7582</v>
      </c>
      <c r="D2596" s="56" t="s">
        <v>7583</v>
      </c>
      <c r="E2596" s="10" t="s">
        <v>209</v>
      </c>
      <c r="F2596" s="10" t="s">
        <v>486</v>
      </c>
      <c r="G2596" s="10" t="s">
        <v>2484</v>
      </c>
      <c r="H2596" s="10" t="s">
        <v>7584</v>
      </c>
      <c r="I2596" s="10" t="s">
        <v>55</v>
      </c>
      <c r="K2596" s="10" t="s">
        <v>7585</v>
      </c>
      <c r="L2596" s="10" t="s">
        <v>42</v>
      </c>
    </row>
    <row r="2597" ht="15.75" customHeight="1">
      <c r="A2597" s="64">
        <v>45476.0</v>
      </c>
      <c r="B2597" s="55" t="str">
        <f>HYPERLINK("https://jobright.ai/jobs/info/6685b6ffe56710447091aa85?utm_campaign=1062&amp;utm_source=sheet", "Apply")</f>
        <v>Apply</v>
      </c>
      <c r="C2597" s="10" t="s">
        <v>7586</v>
      </c>
      <c r="D2597" s="56" t="s">
        <v>4152</v>
      </c>
      <c r="E2597" s="10" t="s">
        <v>249</v>
      </c>
      <c r="F2597" s="10" t="s">
        <v>1587</v>
      </c>
      <c r="G2597" s="10" t="s">
        <v>2448</v>
      </c>
      <c r="H2597" s="10" t="s">
        <v>3392</v>
      </c>
      <c r="I2597" s="10" t="s">
        <v>55</v>
      </c>
      <c r="J2597" s="10" t="s">
        <v>1409</v>
      </c>
      <c r="K2597" s="10" t="s">
        <v>7587</v>
      </c>
      <c r="L2597" s="10" t="s">
        <v>42</v>
      </c>
    </row>
    <row r="2598" ht="15.75" customHeight="1">
      <c r="A2598" s="64">
        <v>45476.0</v>
      </c>
      <c r="B2598" s="55" t="str">
        <f>HYPERLINK("https://jobright.ai/jobs/info/66855cea3bcb9414902c92fc?utm_campaign=1062&amp;utm_source=sheet", "Apply")</f>
        <v>Apply</v>
      </c>
      <c r="C2598" s="10" t="s">
        <v>7588</v>
      </c>
      <c r="D2598" s="56" t="s">
        <v>2110</v>
      </c>
      <c r="E2598" s="10" t="s">
        <v>45</v>
      </c>
      <c r="F2598" s="10" t="s">
        <v>1224</v>
      </c>
      <c r="G2598" s="10" t="s">
        <v>2509</v>
      </c>
      <c r="H2598" s="10" t="s">
        <v>2111</v>
      </c>
      <c r="I2598" s="10" t="s">
        <v>48</v>
      </c>
      <c r="K2598" s="10" t="s">
        <v>7589</v>
      </c>
      <c r="L2598" s="10" t="s">
        <v>42</v>
      </c>
    </row>
    <row r="2599" ht="15.75" customHeight="1">
      <c r="A2599" s="64">
        <v>45475.0</v>
      </c>
      <c r="B2599" s="55" t="str">
        <f>HYPERLINK("https://jobright.ai/jobs/info/6684a288593e5fdf1309c665?utm_campaign=1062&amp;utm_source=sheet", "Apply")</f>
        <v>Apply</v>
      </c>
      <c r="C2599" s="10" t="s">
        <v>7570</v>
      </c>
      <c r="D2599" s="56" t="s">
        <v>7571</v>
      </c>
      <c r="E2599" s="10" t="s">
        <v>45</v>
      </c>
      <c r="F2599" s="10" t="s">
        <v>7572</v>
      </c>
      <c r="G2599" s="10" t="s">
        <v>2448</v>
      </c>
      <c r="H2599" s="10" t="s">
        <v>7590</v>
      </c>
      <c r="I2599" s="10" t="s">
        <v>55</v>
      </c>
      <c r="K2599" s="10" t="s">
        <v>7574</v>
      </c>
      <c r="L2599" s="10" t="s">
        <v>42</v>
      </c>
    </row>
    <row r="2600" ht="15.75" customHeight="1">
      <c r="A2600" s="64">
        <v>45475.0</v>
      </c>
      <c r="B2600" s="55" t="str">
        <f>HYPERLINK("https://jobright.ai/jobs/info/668490f223fbc70f728b9f78?utm_campaign=1062&amp;utm_source=sheet", "Apply")</f>
        <v>Apply</v>
      </c>
      <c r="C2600" s="10" t="s">
        <v>7591</v>
      </c>
      <c r="D2600" s="56" t="s">
        <v>7592</v>
      </c>
      <c r="E2600" s="10" t="s">
        <v>65</v>
      </c>
      <c r="F2600" s="10" t="s">
        <v>620</v>
      </c>
      <c r="G2600" s="10" t="s">
        <v>2502</v>
      </c>
      <c r="H2600" s="10" t="s">
        <v>525</v>
      </c>
      <c r="I2600" s="10" t="s">
        <v>55</v>
      </c>
      <c r="K2600" s="10" t="s">
        <v>7593</v>
      </c>
      <c r="L2600" s="10" t="s">
        <v>42</v>
      </c>
    </row>
    <row r="2601" ht="15.75" customHeight="1">
      <c r="A2601" s="64">
        <v>45475.0</v>
      </c>
      <c r="B2601" s="55" t="str">
        <f>HYPERLINK("https://jobright.ai/jobs/info/66848e07f77b2c8f7053f981?utm_campaign=1062&amp;utm_source=sheet", "Apply")</f>
        <v>Apply</v>
      </c>
      <c r="C2601" s="10" t="s">
        <v>7594</v>
      </c>
      <c r="D2601" s="56" t="s">
        <v>7595</v>
      </c>
      <c r="E2601" s="10" t="s">
        <v>65</v>
      </c>
      <c r="F2601" s="10" t="s">
        <v>205</v>
      </c>
      <c r="G2601" s="10" t="s">
        <v>2443</v>
      </c>
      <c r="H2601" s="10" t="s">
        <v>354</v>
      </c>
      <c r="I2601" s="10" t="s">
        <v>55</v>
      </c>
      <c r="K2601" s="10" t="s">
        <v>7596</v>
      </c>
      <c r="L2601" s="10" t="s">
        <v>42</v>
      </c>
    </row>
    <row r="2602" ht="15.75" customHeight="1">
      <c r="A2602" s="64">
        <v>45475.0</v>
      </c>
      <c r="B2602" s="55" t="str">
        <f>HYPERLINK("https://jobright.ai/jobs/info/66848dc5f77b2c8f7053f517?utm_campaign=1062&amp;utm_source=sheet", "Apply")</f>
        <v>Apply</v>
      </c>
      <c r="C2602" s="10" t="s">
        <v>7597</v>
      </c>
      <c r="D2602" s="56" t="s">
        <v>7598</v>
      </c>
      <c r="E2602" s="10" t="s">
        <v>137</v>
      </c>
      <c r="F2602" s="10" t="s">
        <v>2447</v>
      </c>
      <c r="G2602" s="10" t="s">
        <v>2448</v>
      </c>
      <c r="H2602" s="10" t="s">
        <v>768</v>
      </c>
      <c r="I2602" s="10" t="s">
        <v>55</v>
      </c>
      <c r="J2602" s="10" t="s">
        <v>4189</v>
      </c>
      <c r="K2602" s="10" t="s">
        <v>7599</v>
      </c>
      <c r="L2602" s="10" t="s">
        <v>42</v>
      </c>
    </row>
    <row r="2603" ht="15.75" customHeight="1">
      <c r="A2603" s="64">
        <v>45475.0</v>
      </c>
      <c r="B2603" s="55" t="str">
        <f>HYPERLINK("https://jobright.ai/jobs/info/668496e989906a0228a897e4?utm_campaign=1062&amp;utm_source=sheet", "Apply")</f>
        <v>Apply</v>
      </c>
      <c r="C2603" s="10" t="s">
        <v>7600</v>
      </c>
      <c r="D2603" s="56" t="s">
        <v>2073</v>
      </c>
      <c r="G2603" s="10" t="s">
        <v>2495</v>
      </c>
      <c r="H2603" s="10" t="s">
        <v>1263</v>
      </c>
      <c r="I2603" s="10" t="s">
        <v>55</v>
      </c>
      <c r="J2603" s="10" t="s">
        <v>3562</v>
      </c>
      <c r="K2603" s="10" t="s">
        <v>7601</v>
      </c>
      <c r="L2603" s="10" t="s">
        <v>42</v>
      </c>
    </row>
    <row r="2604" ht="15.75" customHeight="1">
      <c r="A2604" s="64">
        <v>45475.0</v>
      </c>
      <c r="B2604" s="55" t="str">
        <f>HYPERLINK("https://jobright.ai/jobs/info/6684740a97b325197e94878f?utm_campaign=1062&amp;utm_source=sheet", "Apply")</f>
        <v>Apply</v>
      </c>
      <c r="C2604" s="10" t="s">
        <v>7602</v>
      </c>
      <c r="D2604" s="56" t="s">
        <v>1547</v>
      </c>
      <c r="E2604" s="10">
        <v>408.0</v>
      </c>
      <c r="G2604" s="10" t="s">
        <v>2579</v>
      </c>
      <c r="H2604" s="10" t="s">
        <v>7603</v>
      </c>
      <c r="I2604" s="10" t="s">
        <v>55</v>
      </c>
      <c r="K2604" s="10" t="s">
        <v>7604</v>
      </c>
      <c r="L2604" s="10" t="s">
        <v>42</v>
      </c>
    </row>
    <row r="2605" ht="15.75" customHeight="1">
      <c r="A2605" s="64">
        <v>45475.0</v>
      </c>
      <c r="B2605" s="55" t="str">
        <f>HYPERLINK("https://jobright.ai/jobs/info/668511902a26deec6470b0ea?utm_campaign=1062&amp;utm_source=sheet", "Apply")</f>
        <v>Apply</v>
      </c>
      <c r="C2605" s="10" t="s">
        <v>7605</v>
      </c>
      <c r="D2605" s="56" t="s">
        <v>7606</v>
      </c>
      <c r="E2605" s="10" t="s">
        <v>45</v>
      </c>
      <c r="F2605" s="10" t="s">
        <v>1893</v>
      </c>
      <c r="G2605" s="10" t="s">
        <v>2448</v>
      </c>
      <c r="H2605" s="10" t="s">
        <v>605</v>
      </c>
      <c r="I2605" s="10" t="s">
        <v>55</v>
      </c>
      <c r="K2605" s="10" t="s">
        <v>7607</v>
      </c>
      <c r="L2605" s="10" t="s">
        <v>42</v>
      </c>
    </row>
    <row r="2606" ht="15.75" customHeight="1">
      <c r="A2606" s="64">
        <v>45475.0</v>
      </c>
      <c r="B2606" s="55" t="str">
        <f>HYPERLINK("https://jobright.ai/jobs/info/667cbc4e6c03d6aa6d804c2b?utm_campaign=1062&amp;utm_source=sheet", "Apply")</f>
        <v>Apply</v>
      </c>
      <c r="C2606" s="10" t="s">
        <v>7608</v>
      </c>
      <c r="D2606" s="56" t="s">
        <v>7609</v>
      </c>
      <c r="E2606" s="10">
        <v>5090.0</v>
      </c>
      <c r="G2606" s="10" t="s">
        <v>2448</v>
      </c>
      <c r="H2606" s="10" t="s">
        <v>7610</v>
      </c>
      <c r="I2606" s="10" t="s">
        <v>55</v>
      </c>
      <c r="K2606" s="10" t="s">
        <v>7611</v>
      </c>
      <c r="L2606" s="10" t="s">
        <v>42</v>
      </c>
    </row>
    <row r="2607" ht="15.75" customHeight="1">
      <c r="A2607" s="64">
        <v>45475.0</v>
      </c>
      <c r="B2607" s="55" t="str">
        <f>HYPERLINK("https://jobright.ai/jobs/info/66843bf028541b6ce54b5bbe?utm_campaign=1062&amp;utm_source=sheet", "Apply")</f>
        <v>Apply</v>
      </c>
      <c r="C2607" s="10" t="s">
        <v>7612</v>
      </c>
      <c r="D2607" s="56" t="s">
        <v>2220</v>
      </c>
      <c r="E2607" s="10" t="s">
        <v>45</v>
      </c>
      <c r="F2607" s="10" t="s">
        <v>2221</v>
      </c>
      <c r="G2607" s="10" t="s">
        <v>2484</v>
      </c>
      <c r="H2607" s="10" t="s">
        <v>7613</v>
      </c>
      <c r="I2607" s="10" t="s">
        <v>55</v>
      </c>
      <c r="K2607" s="10" t="s">
        <v>7614</v>
      </c>
      <c r="L2607" s="10" t="s">
        <v>42</v>
      </c>
    </row>
    <row r="2608" ht="15.75" customHeight="1">
      <c r="A2608" s="64">
        <v>45475.0</v>
      </c>
      <c r="B2608" s="55" t="str">
        <f>HYPERLINK("https://jobright.ai/jobs/info/66893c0d4b43176f6b990f66?utm_campaign=1062&amp;utm_source=sheet", "Apply")</f>
        <v>Apply</v>
      </c>
      <c r="C2608" s="10" t="s">
        <v>7615</v>
      </c>
      <c r="D2608" s="56" t="s">
        <v>1258</v>
      </c>
      <c r="E2608" s="10" t="s">
        <v>45</v>
      </c>
      <c r="F2608" s="10" t="s">
        <v>1259</v>
      </c>
      <c r="G2608" s="10" t="s">
        <v>2502</v>
      </c>
      <c r="H2608" s="10" t="s">
        <v>216</v>
      </c>
      <c r="I2608" s="10" t="s">
        <v>55</v>
      </c>
      <c r="K2608" s="10" t="s">
        <v>7616</v>
      </c>
      <c r="L2608" s="10" t="s">
        <v>42</v>
      </c>
    </row>
    <row r="2609" ht="15.75" customHeight="1">
      <c r="A2609" s="64">
        <v>45475.0</v>
      </c>
      <c r="B2609" s="55" t="str">
        <f>HYPERLINK("https://jobright.ai/jobs/info/668d29a1e9464a99e8cacc19?utm_campaign=1062&amp;utm_source=sheet", "Apply")</f>
        <v>Apply</v>
      </c>
      <c r="C2609" s="10" t="s">
        <v>7617</v>
      </c>
      <c r="D2609" s="56" t="s">
        <v>7618</v>
      </c>
      <c r="E2609" s="10" t="s">
        <v>65</v>
      </c>
      <c r="F2609" s="10" t="s">
        <v>627</v>
      </c>
      <c r="G2609" s="10" t="s">
        <v>2455</v>
      </c>
      <c r="H2609" s="10" t="s">
        <v>1565</v>
      </c>
      <c r="I2609" s="10" t="s">
        <v>55</v>
      </c>
      <c r="K2609" s="10" t="s">
        <v>7619</v>
      </c>
      <c r="L2609" s="10" t="s">
        <v>42</v>
      </c>
    </row>
    <row r="2610" ht="15.75" customHeight="1">
      <c r="A2610" s="64">
        <v>45475.0</v>
      </c>
      <c r="B2610" s="55" t="str">
        <f>HYPERLINK("https://jobright.ai/jobs/info/668a7813dfbe564b9b904976?utm_campaign=1062&amp;utm_source=sheet", "Apply")</f>
        <v>Apply</v>
      </c>
      <c r="C2610" s="10" t="s">
        <v>6647</v>
      </c>
      <c r="D2610" s="56" t="s">
        <v>6648</v>
      </c>
      <c r="E2610" s="10" t="s">
        <v>45</v>
      </c>
      <c r="F2610" s="10" t="s">
        <v>1454</v>
      </c>
      <c r="G2610" s="10" t="s">
        <v>2448</v>
      </c>
      <c r="H2610" s="10" t="s">
        <v>4813</v>
      </c>
      <c r="I2610" s="10" t="s">
        <v>55</v>
      </c>
      <c r="K2610" s="10" t="s">
        <v>6649</v>
      </c>
      <c r="L2610" s="10" t="s">
        <v>42</v>
      </c>
    </row>
    <row r="2611" ht="15.75" customHeight="1">
      <c r="A2611" s="64">
        <v>45475.0</v>
      </c>
      <c r="B2611" s="55" t="str">
        <f>HYPERLINK("https://jobright.ai/jobs/info/6683ebfe0980a1d175d1214c?utm_campaign=1062&amp;utm_source=sheet", "Apply")</f>
        <v>Apply</v>
      </c>
      <c r="C2611" s="10" t="s">
        <v>7620</v>
      </c>
      <c r="D2611" s="56" t="s">
        <v>7621</v>
      </c>
      <c r="E2611" s="10" t="s">
        <v>79</v>
      </c>
      <c r="F2611" s="10" t="s">
        <v>7622</v>
      </c>
      <c r="G2611" s="10" t="s">
        <v>2484</v>
      </c>
      <c r="H2611" s="10" t="s">
        <v>636</v>
      </c>
      <c r="I2611" s="10" t="s">
        <v>55</v>
      </c>
      <c r="K2611" s="10" t="s">
        <v>7623</v>
      </c>
      <c r="L2611" s="10" t="s">
        <v>42</v>
      </c>
    </row>
    <row r="2612" ht="15.75" customHeight="1">
      <c r="A2612" s="64">
        <v>45475.0</v>
      </c>
      <c r="B2612" s="55" t="str">
        <f>HYPERLINK("https://jobright.ai/jobs/info/6683ebfe0980a1d175d120e0?utm_campaign=1062&amp;utm_source=sheet", "Apply")</f>
        <v>Apply</v>
      </c>
      <c r="C2612" s="10" t="s">
        <v>7624</v>
      </c>
      <c r="D2612" s="56" t="s">
        <v>7621</v>
      </c>
      <c r="E2612" s="10" t="s">
        <v>79</v>
      </c>
      <c r="F2612" s="10" t="s">
        <v>7622</v>
      </c>
      <c r="G2612" s="10" t="s">
        <v>2470</v>
      </c>
      <c r="H2612" s="10" t="s">
        <v>636</v>
      </c>
      <c r="I2612" s="10" t="s">
        <v>55</v>
      </c>
      <c r="K2612" s="10" t="s">
        <v>7625</v>
      </c>
      <c r="L2612" s="10" t="s">
        <v>42</v>
      </c>
    </row>
    <row r="2613" ht="15.75" customHeight="1">
      <c r="A2613" s="64">
        <v>45475.0</v>
      </c>
      <c r="B2613" s="55" t="str">
        <f>HYPERLINK("https://jobright.ai/jobs/info/6683b415133b4858b0e8c90f?utm_campaign=1062&amp;utm_source=sheet", "Apply")</f>
        <v>Apply</v>
      </c>
      <c r="C2613" s="10" t="s">
        <v>7626</v>
      </c>
      <c r="D2613" s="56" t="s">
        <v>7627</v>
      </c>
      <c r="E2613" s="10">
        <v>18.0</v>
      </c>
      <c r="G2613" s="10" t="s">
        <v>2502</v>
      </c>
      <c r="H2613" s="10" t="s">
        <v>7173</v>
      </c>
      <c r="I2613" s="10" t="s">
        <v>55</v>
      </c>
      <c r="K2613" s="10" t="s">
        <v>7628</v>
      </c>
      <c r="L2613" s="10" t="s">
        <v>42</v>
      </c>
    </row>
    <row r="2614" ht="15.75" customHeight="1">
      <c r="A2614" s="64">
        <v>45475.0</v>
      </c>
      <c r="B2614" s="55" t="str">
        <f>HYPERLINK("https://jobright.ai/jobs/info/6684deb505d49fabee741689?utm_campaign=1062&amp;utm_source=sheet", "Apply")</f>
        <v>Apply</v>
      </c>
      <c r="C2614" s="10" t="s">
        <v>7629</v>
      </c>
      <c r="D2614" s="56" t="s">
        <v>7630</v>
      </c>
      <c r="E2614" s="10" t="s">
        <v>79</v>
      </c>
      <c r="F2614" s="10" t="s">
        <v>6560</v>
      </c>
      <c r="G2614" s="10" t="s">
        <v>2448</v>
      </c>
      <c r="H2614" s="10" t="s">
        <v>2732</v>
      </c>
      <c r="I2614" s="10" t="s">
        <v>55</v>
      </c>
      <c r="K2614" s="10" t="s">
        <v>7631</v>
      </c>
      <c r="L2614" s="10" t="s">
        <v>42</v>
      </c>
    </row>
    <row r="2615" ht="15.75" customHeight="1">
      <c r="A2615" s="64">
        <v>45475.0</v>
      </c>
      <c r="B2615" s="55" t="str">
        <f>HYPERLINK("https://jobright.ai/jobs/info/6683a5d32858e264224703d4?utm_campaign=1062&amp;utm_source=sheet", "Apply")</f>
        <v>Apply</v>
      </c>
      <c r="C2615" s="10" t="s">
        <v>7632</v>
      </c>
      <c r="D2615" s="56" t="s">
        <v>2091</v>
      </c>
      <c r="E2615" s="10" t="s">
        <v>249</v>
      </c>
      <c r="F2615" s="10" t="s">
        <v>192</v>
      </c>
      <c r="G2615" s="10" t="s">
        <v>2448</v>
      </c>
      <c r="H2615" s="10" t="s">
        <v>2092</v>
      </c>
      <c r="I2615" s="10" t="s">
        <v>55</v>
      </c>
      <c r="K2615" s="10" t="s">
        <v>7633</v>
      </c>
      <c r="L2615" s="10" t="s">
        <v>42</v>
      </c>
    </row>
    <row r="2616" ht="15.75" customHeight="1">
      <c r="A2616" s="64">
        <v>45475.0</v>
      </c>
      <c r="B2616" s="55" t="str">
        <f>HYPERLINK("https://jobright.ai/jobs/info/6683946b3852d4df8b5e83b5?utm_campaign=1062&amp;utm_source=sheet", "Apply")</f>
        <v>Apply</v>
      </c>
      <c r="C2616" s="10" t="s">
        <v>7634</v>
      </c>
      <c r="D2616" s="56" t="s">
        <v>2091</v>
      </c>
      <c r="E2616" s="10" t="s">
        <v>249</v>
      </c>
      <c r="F2616" s="10" t="s">
        <v>192</v>
      </c>
      <c r="G2616" s="10" t="s">
        <v>2807</v>
      </c>
      <c r="H2616" s="10" t="s">
        <v>1013</v>
      </c>
      <c r="I2616" s="10" t="s">
        <v>55</v>
      </c>
      <c r="K2616" s="10" t="s">
        <v>7635</v>
      </c>
      <c r="L2616" s="10" t="s">
        <v>42</v>
      </c>
    </row>
    <row r="2617" ht="15.75" customHeight="1">
      <c r="A2617" s="64">
        <v>45475.0</v>
      </c>
      <c r="B2617" s="55" t="str">
        <f>HYPERLINK("https://jobright.ai/jobs/info/6683946b3852d4df8b5e838d?utm_campaign=1062&amp;utm_source=sheet", "Apply")</f>
        <v>Apply</v>
      </c>
      <c r="C2617" s="10" t="s">
        <v>7636</v>
      </c>
      <c r="D2617" s="56" t="s">
        <v>2091</v>
      </c>
      <c r="E2617" s="10" t="s">
        <v>249</v>
      </c>
      <c r="F2617" s="10" t="s">
        <v>192</v>
      </c>
      <c r="G2617" s="10" t="s">
        <v>2807</v>
      </c>
      <c r="H2617" s="10" t="s">
        <v>6344</v>
      </c>
      <c r="I2617" s="10" t="s">
        <v>55</v>
      </c>
      <c r="K2617" s="10" t="s">
        <v>7633</v>
      </c>
      <c r="L2617" s="10" t="s">
        <v>42</v>
      </c>
    </row>
    <row r="2618" ht="15.75" customHeight="1">
      <c r="A2618" s="64">
        <v>45475.0</v>
      </c>
      <c r="B2618" s="55" t="str">
        <f>HYPERLINK("https://jobright.ai/jobs/info/6683946b3852d4df8b5e83cf?utm_campaign=1062&amp;utm_source=sheet", "Apply")</f>
        <v>Apply</v>
      </c>
      <c r="C2618" s="10" t="s">
        <v>7637</v>
      </c>
      <c r="D2618" s="56" t="s">
        <v>2091</v>
      </c>
      <c r="E2618" s="10" t="s">
        <v>249</v>
      </c>
      <c r="F2618" s="10" t="s">
        <v>192</v>
      </c>
      <c r="G2618" s="10" t="s">
        <v>2448</v>
      </c>
      <c r="H2618" s="10" t="s">
        <v>229</v>
      </c>
      <c r="I2618" s="10" t="s">
        <v>55</v>
      </c>
      <c r="K2618" s="10" t="s">
        <v>7633</v>
      </c>
      <c r="L2618" s="10" t="s">
        <v>42</v>
      </c>
    </row>
    <row r="2619" ht="15.75" customHeight="1">
      <c r="A2619" s="64">
        <v>45475.0</v>
      </c>
      <c r="B2619" s="55" t="str">
        <f>HYPERLINK("https://jobright.ai/jobs/info/6683946b3852d4df8b5e83ee?utm_campaign=1062&amp;utm_source=sheet", "Apply")</f>
        <v>Apply</v>
      </c>
      <c r="C2619" s="10" t="s">
        <v>7638</v>
      </c>
      <c r="D2619" s="56" t="s">
        <v>2091</v>
      </c>
      <c r="E2619" s="10" t="s">
        <v>249</v>
      </c>
      <c r="F2619" s="10" t="s">
        <v>192</v>
      </c>
      <c r="G2619" s="10" t="s">
        <v>2448</v>
      </c>
      <c r="H2619" s="10" t="s">
        <v>2092</v>
      </c>
      <c r="I2619" s="10" t="s">
        <v>55</v>
      </c>
      <c r="K2619" s="10" t="s">
        <v>7633</v>
      </c>
      <c r="L2619" s="10" t="s">
        <v>42</v>
      </c>
    </row>
    <row r="2620" ht="15.75" customHeight="1">
      <c r="A2620" s="64">
        <v>45475.0</v>
      </c>
      <c r="B2620" s="55" t="str">
        <f>HYPERLINK("https://jobright.ai/jobs/info/6683927512c00be519a72a68?utm_campaign=1062&amp;utm_source=sheet", "Apply")</f>
        <v>Apply</v>
      </c>
      <c r="C2620" s="10" t="s">
        <v>7639</v>
      </c>
      <c r="D2620" s="56" t="s">
        <v>7640</v>
      </c>
      <c r="E2620" s="10" t="s">
        <v>276</v>
      </c>
      <c r="F2620" s="10" t="s">
        <v>85</v>
      </c>
      <c r="G2620" s="10" t="s">
        <v>2476</v>
      </c>
      <c r="H2620" s="10" t="s">
        <v>7641</v>
      </c>
      <c r="I2620" s="10" t="s">
        <v>55</v>
      </c>
      <c r="J2620" s="10" t="s">
        <v>7642</v>
      </c>
      <c r="K2620" s="10" t="s">
        <v>7643</v>
      </c>
      <c r="L2620" s="10" t="s">
        <v>42</v>
      </c>
    </row>
    <row r="2621" ht="15.75" customHeight="1">
      <c r="A2621" s="64">
        <v>45475.0</v>
      </c>
      <c r="B2621" s="55" t="str">
        <f>HYPERLINK("https://jobright.ai/jobs/info/6683927512c00be519a72a4d?utm_campaign=1062&amp;utm_source=sheet", "Apply")</f>
        <v>Apply</v>
      </c>
      <c r="C2621" s="10" t="s">
        <v>7644</v>
      </c>
      <c r="D2621" s="56" t="s">
        <v>2091</v>
      </c>
      <c r="E2621" s="10" t="s">
        <v>249</v>
      </c>
      <c r="F2621" s="10" t="s">
        <v>192</v>
      </c>
      <c r="G2621" s="10" t="s">
        <v>2448</v>
      </c>
      <c r="H2621" s="10" t="s">
        <v>2092</v>
      </c>
      <c r="I2621" s="10" t="s">
        <v>55</v>
      </c>
      <c r="K2621" s="10" t="s">
        <v>7633</v>
      </c>
      <c r="L2621" s="10" t="s">
        <v>42</v>
      </c>
    </row>
    <row r="2622" ht="15.75" customHeight="1">
      <c r="A2622" s="64">
        <v>45475.0</v>
      </c>
      <c r="B2622" s="55" t="str">
        <f>HYPERLINK("https://jobright.ai/jobs/info/66839d9584f17aa9184d2db6?utm_campaign=1062&amp;utm_source=sheet", "Apply")</f>
        <v>Apply</v>
      </c>
      <c r="C2622" s="10" t="s">
        <v>7645</v>
      </c>
      <c r="D2622" s="56" t="s">
        <v>2091</v>
      </c>
      <c r="E2622" s="10" t="s">
        <v>249</v>
      </c>
      <c r="F2622" s="10" t="s">
        <v>192</v>
      </c>
      <c r="G2622" s="10" t="s">
        <v>2807</v>
      </c>
      <c r="H2622" s="10" t="s">
        <v>7646</v>
      </c>
      <c r="I2622" s="10" t="s">
        <v>55</v>
      </c>
      <c r="K2622" s="10" t="s">
        <v>7633</v>
      </c>
      <c r="L2622" s="10" t="s">
        <v>42</v>
      </c>
    </row>
    <row r="2623" ht="15.75" customHeight="1">
      <c r="A2623" s="64">
        <v>45475.0</v>
      </c>
      <c r="B2623" s="55" t="str">
        <f>HYPERLINK("https://jobright.ai/jobs/info/66848df2f77b2c8f7053f85e?utm_campaign=1062&amp;utm_source=sheet", "Apply")</f>
        <v>Apply</v>
      </c>
      <c r="C2623" s="10" t="s">
        <v>7647</v>
      </c>
      <c r="D2623" s="56" t="s">
        <v>7648</v>
      </c>
      <c r="E2623" s="10" t="s">
        <v>249</v>
      </c>
      <c r="F2623" s="10" t="s">
        <v>7649</v>
      </c>
      <c r="G2623" s="10" t="s">
        <v>2470</v>
      </c>
      <c r="H2623" s="10" t="s">
        <v>7650</v>
      </c>
      <c r="I2623" s="10" t="s">
        <v>55</v>
      </c>
      <c r="K2623" s="10" t="s">
        <v>7651</v>
      </c>
      <c r="L2623" s="10" t="s">
        <v>42</v>
      </c>
    </row>
    <row r="2624" ht="15.75" customHeight="1">
      <c r="A2624" s="64">
        <v>45475.0</v>
      </c>
      <c r="B2624" s="55" t="str">
        <f>HYPERLINK("https://jobright.ai/jobs/info/6684b1fd08081ff3293a18f2?utm_campaign=1062&amp;utm_source=sheet", "Apply")</f>
        <v>Apply</v>
      </c>
      <c r="C2624" s="10" t="s">
        <v>7570</v>
      </c>
      <c r="D2624" s="56" t="s">
        <v>7571</v>
      </c>
      <c r="E2624" s="10" t="s">
        <v>45</v>
      </c>
      <c r="F2624" s="10" t="s">
        <v>7572</v>
      </c>
      <c r="G2624" s="10" t="s">
        <v>2448</v>
      </c>
      <c r="H2624" s="10" t="s">
        <v>7652</v>
      </c>
      <c r="I2624" s="10" t="s">
        <v>55</v>
      </c>
      <c r="K2624" s="10" t="s">
        <v>7574</v>
      </c>
      <c r="L2624" s="10" t="s">
        <v>42</v>
      </c>
    </row>
    <row r="2625" ht="15.75" customHeight="1">
      <c r="A2625" s="64">
        <v>45475.0</v>
      </c>
      <c r="B2625" s="55" t="str">
        <f>HYPERLINK("https://jobright.ai/jobs/info/6684acc6cd3f9c6e54b7640c?utm_campaign=1062&amp;utm_source=sheet", "Apply")</f>
        <v>Apply</v>
      </c>
      <c r="C2625" s="10" t="s">
        <v>7597</v>
      </c>
      <c r="D2625" s="56" t="s">
        <v>7598</v>
      </c>
      <c r="E2625" s="10" t="s">
        <v>137</v>
      </c>
      <c r="F2625" s="10" t="s">
        <v>2447</v>
      </c>
      <c r="G2625" s="10" t="s">
        <v>2448</v>
      </c>
      <c r="H2625" s="10" t="s">
        <v>768</v>
      </c>
      <c r="I2625" s="10" t="s">
        <v>55</v>
      </c>
      <c r="J2625" s="10" t="s">
        <v>4189</v>
      </c>
      <c r="K2625" s="10" t="s">
        <v>7599</v>
      </c>
      <c r="L2625" s="10" t="s">
        <v>42</v>
      </c>
    </row>
    <row r="2626" ht="15.75" customHeight="1">
      <c r="A2626" s="64">
        <v>45474.0</v>
      </c>
      <c r="B2626" s="55" t="str">
        <f>HYPERLINK("https://jobright.ai/jobs/info/66833b0a60002e71662cdb2d?utm_campaign=1062&amp;utm_source=sheet", "Apply")</f>
        <v>Apply</v>
      </c>
      <c r="C2626" s="10" t="s">
        <v>4981</v>
      </c>
      <c r="D2626" s="56" t="s">
        <v>2073</v>
      </c>
      <c r="G2626" s="10" t="s">
        <v>2448</v>
      </c>
      <c r="H2626" s="10" t="s">
        <v>1263</v>
      </c>
      <c r="I2626" s="10" t="s">
        <v>55</v>
      </c>
      <c r="J2626" s="10" t="s">
        <v>3562</v>
      </c>
      <c r="K2626" s="10" t="s">
        <v>7653</v>
      </c>
      <c r="L2626" s="10" t="s">
        <v>42</v>
      </c>
    </row>
    <row r="2627" ht="15.75" customHeight="1">
      <c r="A2627" s="64">
        <v>45474.0</v>
      </c>
      <c r="B2627" s="55" t="str">
        <f>HYPERLINK("https://jobright.ai/jobs/info/66833b0a60002e71662cdb50?utm_campaign=1062&amp;utm_source=sheet", "Apply")</f>
        <v>Apply</v>
      </c>
      <c r="C2627" s="10" t="s">
        <v>7654</v>
      </c>
      <c r="D2627" s="56" t="s">
        <v>2073</v>
      </c>
      <c r="G2627" s="10" t="s">
        <v>2448</v>
      </c>
      <c r="H2627" s="10" t="s">
        <v>1263</v>
      </c>
      <c r="I2627" s="10" t="s">
        <v>55</v>
      </c>
      <c r="J2627" s="10" t="s">
        <v>7655</v>
      </c>
      <c r="K2627" s="10" t="s">
        <v>7656</v>
      </c>
      <c r="L2627" s="10" t="s">
        <v>42</v>
      </c>
    </row>
    <row r="2628" ht="15.75" customHeight="1">
      <c r="A2628" s="64">
        <v>45474.0</v>
      </c>
      <c r="B2628" s="55" t="str">
        <f>HYPERLINK("https://jobright.ai/jobs/info/6683215fa46d7cc415a6df32?utm_campaign=1062&amp;utm_source=sheet", "Apply")</f>
        <v>Apply</v>
      </c>
      <c r="C2628" s="10" t="s">
        <v>7657</v>
      </c>
      <c r="D2628" s="56" t="s">
        <v>1582</v>
      </c>
      <c r="E2628" s="10" t="s">
        <v>45</v>
      </c>
      <c r="F2628" s="10" t="s">
        <v>665</v>
      </c>
      <c r="G2628" s="10" t="s">
        <v>2443</v>
      </c>
      <c r="H2628" s="10" t="s">
        <v>852</v>
      </c>
      <c r="I2628" s="10" t="s">
        <v>55</v>
      </c>
      <c r="J2628" s="10" t="s">
        <v>5095</v>
      </c>
      <c r="K2628" s="10" t="s">
        <v>5096</v>
      </c>
      <c r="L2628" s="10" t="s">
        <v>42</v>
      </c>
    </row>
    <row r="2629" ht="15.75" customHeight="1">
      <c r="A2629" s="64">
        <v>45474.0</v>
      </c>
      <c r="B2629" s="55" t="str">
        <f>HYPERLINK("https://jobright.ai/jobs/info/66832174a46d7cc415a6e0cc?utm_campaign=1062&amp;utm_source=sheet", "Apply")</f>
        <v>Apply</v>
      </c>
      <c r="C2629" s="10" t="s">
        <v>7658</v>
      </c>
      <c r="D2629" s="56" t="s">
        <v>1547</v>
      </c>
      <c r="E2629" s="10">
        <v>408.0</v>
      </c>
      <c r="G2629" s="10" t="s">
        <v>2443</v>
      </c>
      <c r="H2629" s="10" t="s">
        <v>7659</v>
      </c>
      <c r="I2629" s="10" t="s">
        <v>55</v>
      </c>
      <c r="J2629" s="10" t="s">
        <v>7660</v>
      </c>
      <c r="K2629" s="10" t="s">
        <v>7661</v>
      </c>
      <c r="L2629" s="10" t="s">
        <v>42</v>
      </c>
    </row>
    <row r="2630" ht="15.75" customHeight="1">
      <c r="A2630" s="64">
        <v>45474.0</v>
      </c>
      <c r="B2630" s="55" t="str">
        <f>HYPERLINK("https://jobright.ai/jobs/info/668bb6ec17dee33772925546?utm_campaign=1062&amp;utm_source=sheet", "Apply")</f>
        <v>Apply</v>
      </c>
      <c r="C2630" s="10" t="s">
        <v>2594</v>
      </c>
      <c r="D2630" s="56" t="s">
        <v>4016</v>
      </c>
      <c r="E2630" s="10" t="s">
        <v>45</v>
      </c>
      <c r="F2630" s="10" t="s">
        <v>4017</v>
      </c>
      <c r="G2630" s="10" t="s">
        <v>2484</v>
      </c>
      <c r="H2630" s="10" t="s">
        <v>7662</v>
      </c>
      <c r="I2630" s="10" t="s">
        <v>55</v>
      </c>
      <c r="K2630" s="10" t="s">
        <v>4019</v>
      </c>
      <c r="L2630" s="10" t="s">
        <v>42</v>
      </c>
    </row>
    <row r="2631" ht="15.75" customHeight="1">
      <c r="A2631" s="64">
        <v>45474.0</v>
      </c>
      <c r="B2631" s="55" t="str">
        <f>HYPERLINK("https://jobright.ai/jobs/info/667bc0ce99e3d0c8c6fd1d4e?utm_campaign=1062&amp;utm_source=sheet", "Apply")</f>
        <v>Apply</v>
      </c>
      <c r="C2631" s="10" t="s">
        <v>7663</v>
      </c>
      <c r="D2631" s="56" t="s">
        <v>7664</v>
      </c>
      <c r="E2631" s="10">
        <v>40989.0</v>
      </c>
      <c r="G2631" s="10" t="s">
        <v>2448</v>
      </c>
      <c r="H2631" s="10" t="s">
        <v>96</v>
      </c>
      <c r="I2631" s="10" t="s">
        <v>55</v>
      </c>
      <c r="J2631" s="10" t="s">
        <v>7665</v>
      </c>
      <c r="K2631" s="10" t="s">
        <v>7666</v>
      </c>
      <c r="L2631" s="10" t="s">
        <v>42</v>
      </c>
    </row>
    <row r="2632" ht="15.75" customHeight="1">
      <c r="A2632" s="64">
        <v>45474.0</v>
      </c>
      <c r="B2632" s="55" t="str">
        <f>HYPERLINK("https://jobright.ai/jobs/info/66747ecad8033409f2da35c9?utm_campaign=1062&amp;utm_source=sheet", "Apply")</f>
        <v>Apply</v>
      </c>
      <c r="C2632" s="10" t="s">
        <v>7667</v>
      </c>
      <c r="D2632" s="56" t="s">
        <v>1368</v>
      </c>
      <c r="E2632" s="10" t="s">
        <v>65</v>
      </c>
      <c r="F2632" s="10" t="s">
        <v>1369</v>
      </c>
      <c r="G2632" s="10" t="s">
        <v>2484</v>
      </c>
      <c r="H2632" s="10" t="s">
        <v>1370</v>
      </c>
      <c r="I2632" s="10" t="s">
        <v>55</v>
      </c>
      <c r="K2632" s="10" t="s">
        <v>7668</v>
      </c>
      <c r="L2632" s="10" t="s">
        <v>42</v>
      </c>
    </row>
    <row r="2633" ht="15.75" customHeight="1">
      <c r="A2633" s="64">
        <v>45474.0</v>
      </c>
      <c r="B2633" s="55" t="str">
        <f>HYPERLINK("https://jobright.ai/jobs/info/6682eea1d0cb3bcfb06e4d4a?utm_campaign=1062&amp;utm_source=sheet", "Apply")</f>
        <v>Apply</v>
      </c>
      <c r="C2633" s="10" t="s">
        <v>5662</v>
      </c>
      <c r="D2633" s="56" t="s">
        <v>196</v>
      </c>
      <c r="E2633" s="10" t="s">
        <v>71</v>
      </c>
      <c r="F2633" s="10" t="s">
        <v>197</v>
      </c>
      <c r="G2633" s="10" t="s">
        <v>2448</v>
      </c>
      <c r="H2633" s="10" t="s">
        <v>193</v>
      </c>
      <c r="I2633" s="10" t="s">
        <v>55</v>
      </c>
      <c r="K2633" s="10" t="s">
        <v>7669</v>
      </c>
      <c r="L2633" s="10" t="s">
        <v>42</v>
      </c>
    </row>
    <row r="2634" ht="15.75" customHeight="1">
      <c r="A2634" s="64">
        <v>45474.0</v>
      </c>
      <c r="B2634" s="55" t="str">
        <f>HYPERLINK("https://jobright.ai/jobs/info/667a4908f26c35092978d2bc?utm_campaign=1062&amp;utm_source=sheet", "Apply")</f>
        <v>Apply</v>
      </c>
      <c r="C2634" s="10" t="s">
        <v>3046</v>
      </c>
      <c r="D2634" s="56" t="s">
        <v>7670</v>
      </c>
      <c r="E2634" s="10" t="s">
        <v>45</v>
      </c>
      <c r="G2634" s="10" t="s">
        <v>2437</v>
      </c>
      <c r="H2634" s="10" t="s">
        <v>7671</v>
      </c>
      <c r="I2634" s="10" t="s">
        <v>55</v>
      </c>
      <c r="K2634" s="10" t="s">
        <v>7672</v>
      </c>
      <c r="L2634" s="10" t="s">
        <v>42</v>
      </c>
    </row>
    <row r="2635" ht="15.75" customHeight="1">
      <c r="A2635" s="64">
        <v>45474.0</v>
      </c>
      <c r="B2635" s="55" t="str">
        <f>HYPERLINK("https://jobright.ai/jobs/info/6682cef3ac1ecadd06f38f47?utm_campaign=1062&amp;utm_source=sheet", "Apply")</f>
        <v>Apply</v>
      </c>
      <c r="C2635" s="10" t="s">
        <v>7673</v>
      </c>
      <c r="D2635" s="56" t="s">
        <v>7674</v>
      </c>
      <c r="E2635" s="10">
        <v>499.0</v>
      </c>
      <c r="G2635" s="10" t="s">
        <v>2605</v>
      </c>
      <c r="H2635" s="10" t="s">
        <v>251</v>
      </c>
      <c r="I2635" s="10" t="s">
        <v>252</v>
      </c>
      <c r="K2635" s="10" t="s">
        <v>7675</v>
      </c>
      <c r="L2635" s="10" t="s">
        <v>42</v>
      </c>
    </row>
    <row r="2636" ht="15.75" customHeight="1">
      <c r="A2636" s="64">
        <v>45474.0</v>
      </c>
      <c r="B2636" s="55" t="str">
        <f>HYPERLINK("https://jobright.ai/jobs/info/667aaac0a579680bce918de1?utm_campaign=1062&amp;utm_source=sheet", "Apply")</f>
        <v>Apply</v>
      </c>
      <c r="C2636" s="10" t="s">
        <v>6158</v>
      </c>
      <c r="D2636" s="56" t="s">
        <v>1178</v>
      </c>
      <c r="E2636" s="10" t="s">
        <v>137</v>
      </c>
      <c r="F2636" s="10" t="s">
        <v>1179</v>
      </c>
      <c r="G2636" s="10" t="s">
        <v>2455</v>
      </c>
      <c r="H2636" s="10" t="s">
        <v>5471</v>
      </c>
      <c r="I2636" s="10" t="s">
        <v>55</v>
      </c>
      <c r="J2636" s="10" t="s">
        <v>509</v>
      </c>
      <c r="K2636" s="10" t="s">
        <v>756</v>
      </c>
      <c r="L2636" s="10" t="s">
        <v>42</v>
      </c>
    </row>
    <row r="2637" ht="15.75" customHeight="1">
      <c r="A2637" s="64">
        <v>45474.0</v>
      </c>
      <c r="B2637" s="55" t="str">
        <f>HYPERLINK("https://jobright.ai/jobs/info/668290e880444982f0ddb952?utm_campaign=1062&amp;utm_source=sheet", "Apply")</f>
        <v>Apply</v>
      </c>
      <c r="C2637" s="10" t="s">
        <v>7676</v>
      </c>
      <c r="D2637" s="56" t="s">
        <v>1178</v>
      </c>
      <c r="E2637" s="10" t="s">
        <v>137</v>
      </c>
      <c r="F2637" s="10" t="s">
        <v>1179</v>
      </c>
      <c r="G2637" s="10" t="s">
        <v>4046</v>
      </c>
      <c r="H2637" s="10" t="s">
        <v>168</v>
      </c>
      <c r="I2637" s="10" t="s">
        <v>55</v>
      </c>
      <c r="K2637" s="10" t="s">
        <v>7677</v>
      </c>
      <c r="L2637" s="10" t="s">
        <v>42</v>
      </c>
    </row>
    <row r="2638" ht="15.75" customHeight="1">
      <c r="A2638" s="64">
        <v>45474.0</v>
      </c>
      <c r="B2638" s="55" t="str">
        <f>HYPERLINK("https://jobright.ai/jobs/info/6682aa9d23bfe2fd2f64a01c?utm_campaign=1062&amp;utm_source=sheet", "Apply")</f>
        <v>Apply</v>
      </c>
      <c r="C2638" s="10" t="s">
        <v>7678</v>
      </c>
      <c r="D2638" s="56" t="s">
        <v>2073</v>
      </c>
      <c r="G2638" s="10" t="s">
        <v>2448</v>
      </c>
      <c r="H2638" s="10" t="s">
        <v>1263</v>
      </c>
      <c r="I2638" s="10" t="s">
        <v>55</v>
      </c>
      <c r="J2638" s="10" t="s">
        <v>7679</v>
      </c>
      <c r="K2638" s="10" t="s">
        <v>7680</v>
      </c>
      <c r="L2638" s="10" t="s">
        <v>42</v>
      </c>
    </row>
    <row r="2639" ht="15.75" customHeight="1">
      <c r="A2639" s="64">
        <v>45474.0</v>
      </c>
      <c r="B2639" s="55" t="str">
        <f>HYPERLINK("https://jobright.ai/jobs/info/66829fad0b7fd75a37142274?utm_campaign=1062&amp;utm_source=sheet", "Apply")</f>
        <v>Apply</v>
      </c>
      <c r="C2639" s="10" t="s">
        <v>7554</v>
      </c>
      <c r="D2639" s="56" t="s">
        <v>1684</v>
      </c>
      <c r="E2639" s="10" t="s">
        <v>209</v>
      </c>
      <c r="F2639" s="10" t="s">
        <v>1685</v>
      </c>
      <c r="G2639" s="10" t="s">
        <v>2437</v>
      </c>
      <c r="H2639" s="10" t="s">
        <v>993</v>
      </c>
      <c r="I2639" s="10" t="s">
        <v>55</v>
      </c>
      <c r="J2639" s="10" t="s">
        <v>7681</v>
      </c>
      <c r="K2639" s="10" t="s">
        <v>7682</v>
      </c>
      <c r="L2639" s="10" t="s">
        <v>42</v>
      </c>
    </row>
    <row r="2640" ht="15.75" customHeight="1">
      <c r="A2640" s="64">
        <v>45474.0</v>
      </c>
      <c r="B2640" s="55" t="str">
        <f>HYPERLINK("https://jobright.ai/jobs/info/668261c5c28c9c5ef7be02b6?utm_campaign=1062&amp;utm_source=sheet", "Apply")</f>
        <v>Apply</v>
      </c>
      <c r="C2640" s="10" t="s">
        <v>7554</v>
      </c>
      <c r="D2640" s="56" t="s">
        <v>1684</v>
      </c>
      <c r="E2640" s="10" t="s">
        <v>209</v>
      </c>
      <c r="F2640" s="10" t="s">
        <v>1685</v>
      </c>
      <c r="G2640" s="10" t="s">
        <v>2437</v>
      </c>
      <c r="H2640" s="10" t="s">
        <v>2972</v>
      </c>
      <c r="I2640" s="10" t="s">
        <v>55</v>
      </c>
      <c r="J2640" s="10" t="s">
        <v>7681</v>
      </c>
      <c r="K2640" s="10" t="s">
        <v>7682</v>
      </c>
      <c r="L2640" s="10" t="s">
        <v>42</v>
      </c>
    </row>
    <row r="2641" ht="15.75" customHeight="1">
      <c r="A2641" s="64">
        <v>45474.0</v>
      </c>
      <c r="B2641" s="55" t="str">
        <f>HYPERLINK("https://jobright.ai/jobs/info/66825d660e470e92225c2ccd?utm_campaign=1062&amp;utm_source=sheet", "Apply")</f>
        <v>Apply</v>
      </c>
      <c r="C2641" s="10" t="s">
        <v>7554</v>
      </c>
      <c r="D2641" s="56" t="s">
        <v>1684</v>
      </c>
      <c r="E2641" s="10" t="s">
        <v>209</v>
      </c>
      <c r="F2641" s="10" t="s">
        <v>1685</v>
      </c>
      <c r="G2641" s="10" t="s">
        <v>2437</v>
      </c>
      <c r="H2641" s="10" t="s">
        <v>4501</v>
      </c>
      <c r="I2641" s="10" t="s">
        <v>55</v>
      </c>
      <c r="J2641" s="10" t="s">
        <v>7681</v>
      </c>
      <c r="K2641" s="10" t="s">
        <v>7682</v>
      </c>
      <c r="L2641" s="10" t="s">
        <v>42</v>
      </c>
    </row>
    <row r="2642" ht="15.75" customHeight="1">
      <c r="A2642" s="64">
        <v>45474.0</v>
      </c>
      <c r="B2642" s="55" t="str">
        <f>HYPERLINK("https://jobright.ai/jobs/info/668261c5c28c9c5ef7be02bc?utm_campaign=1062&amp;utm_source=sheet", "Apply")</f>
        <v>Apply</v>
      </c>
      <c r="C2642" s="10" t="s">
        <v>7554</v>
      </c>
      <c r="D2642" s="56" t="s">
        <v>1684</v>
      </c>
      <c r="E2642" s="10" t="s">
        <v>209</v>
      </c>
      <c r="F2642" s="10" t="s">
        <v>1685</v>
      </c>
      <c r="G2642" s="10" t="s">
        <v>2437</v>
      </c>
      <c r="H2642" s="10" t="s">
        <v>167</v>
      </c>
      <c r="I2642" s="10" t="s">
        <v>55</v>
      </c>
      <c r="J2642" s="10" t="s">
        <v>7681</v>
      </c>
      <c r="K2642" s="10" t="s">
        <v>7682</v>
      </c>
      <c r="L2642" s="10" t="s">
        <v>42</v>
      </c>
    </row>
    <row r="2643" ht="15.75" customHeight="1">
      <c r="A2643" s="64">
        <v>45474.0</v>
      </c>
      <c r="B2643" s="55" t="str">
        <f>HYPERLINK("https://jobright.ai/jobs/info/66825d710e470e92225c2cdd?utm_campaign=1062&amp;utm_source=sheet", "Apply")</f>
        <v>Apply</v>
      </c>
      <c r="C2643" s="10" t="s">
        <v>7554</v>
      </c>
      <c r="D2643" s="56" t="s">
        <v>1684</v>
      </c>
      <c r="E2643" s="10" t="s">
        <v>209</v>
      </c>
      <c r="F2643" s="10" t="s">
        <v>1685</v>
      </c>
      <c r="G2643" s="10" t="s">
        <v>2437</v>
      </c>
      <c r="H2643" s="10" t="s">
        <v>3218</v>
      </c>
      <c r="I2643" s="10" t="s">
        <v>55</v>
      </c>
      <c r="J2643" s="10" t="s">
        <v>7681</v>
      </c>
      <c r="K2643" s="10" t="s">
        <v>7682</v>
      </c>
      <c r="L2643" s="10" t="s">
        <v>42</v>
      </c>
    </row>
    <row r="2644" ht="15.75" customHeight="1">
      <c r="A2644" s="64">
        <v>45474.0</v>
      </c>
      <c r="B2644" s="55" t="str">
        <f>HYPERLINK("https://jobright.ai/jobs/info/66825d710e470e92225c2ce2?utm_campaign=1062&amp;utm_source=sheet", "Apply")</f>
        <v>Apply</v>
      </c>
      <c r="C2644" s="10" t="s">
        <v>7554</v>
      </c>
      <c r="D2644" s="56" t="s">
        <v>1684</v>
      </c>
      <c r="E2644" s="10" t="s">
        <v>209</v>
      </c>
      <c r="F2644" s="10" t="s">
        <v>1685</v>
      </c>
      <c r="G2644" s="10" t="s">
        <v>2437</v>
      </c>
      <c r="H2644" s="10" t="s">
        <v>3302</v>
      </c>
      <c r="I2644" s="10" t="s">
        <v>55</v>
      </c>
      <c r="J2644" s="10" t="s">
        <v>7681</v>
      </c>
      <c r="K2644" s="10" t="s">
        <v>7682</v>
      </c>
      <c r="L2644" s="10" t="s">
        <v>42</v>
      </c>
    </row>
    <row r="2645" ht="15.75" customHeight="1">
      <c r="A2645" s="64">
        <v>45474.0</v>
      </c>
      <c r="B2645" s="55" t="str">
        <f>HYPERLINK("https://jobright.ai/jobs/info/6682594da137bf07ff204371?utm_campaign=1062&amp;utm_source=sheet", "Apply")</f>
        <v>Apply</v>
      </c>
      <c r="C2645" s="10" t="s">
        <v>7554</v>
      </c>
      <c r="D2645" s="56" t="s">
        <v>1684</v>
      </c>
      <c r="E2645" s="10" t="s">
        <v>209</v>
      </c>
      <c r="F2645" s="10" t="s">
        <v>1685</v>
      </c>
      <c r="G2645" s="10" t="s">
        <v>2437</v>
      </c>
      <c r="H2645" s="10" t="s">
        <v>67</v>
      </c>
      <c r="I2645" s="10" t="s">
        <v>55</v>
      </c>
      <c r="J2645" s="10" t="s">
        <v>7681</v>
      </c>
      <c r="K2645" s="10" t="s">
        <v>7682</v>
      </c>
      <c r="L2645" s="10" t="s">
        <v>42</v>
      </c>
    </row>
    <row r="2646" ht="15.75" customHeight="1">
      <c r="A2646" s="64">
        <v>45474.0</v>
      </c>
      <c r="B2646" s="55" t="str">
        <f>HYPERLINK("https://jobright.ai/jobs/info/6682594da137bf07ff20437b?utm_campaign=1062&amp;utm_source=sheet", "Apply")</f>
        <v>Apply</v>
      </c>
      <c r="C2646" s="10" t="s">
        <v>7554</v>
      </c>
      <c r="D2646" s="56" t="s">
        <v>1684</v>
      </c>
      <c r="E2646" s="10" t="s">
        <v>209</v>
      </c>
      <c r="F2646" s="10" t="s">
        <v>1685</v>
      </c>
      <c r="G2646" s="10" t="s">
        <v>2437</v>
      </c>
      <c r="H2646" s="10" t="s">
        <v>803</v>
      </c>
      <c r="I2646" s="10" t="s">
        <v>55</v>
      </c>
      <c r="J2646" s="10" t="s">
        <v>7681</v>
      </c>
      <c r="K2646" s="10" t="s">
        <v>7682</v>
      </c>
      <c r="L2646" s="10" t="s">
        <v>42</v>
      </c>
    </row>
    <row r="2647" ht="15.75" customHeight="1">
      <c r="A2647" s="64">
        <v>45474.0</v>
      </c>
      <c r="B2647" s="55" t="str">
        <f>HYPERLINK("https://jobright.ai/jobs/info/6682594da137bf07ff204389?utm_campaign=1062&amp;utm_source=sheet", "Apply")</f>
        <v>Apply</v>
      </c>
      <c r="C2647" s="10" t="s">
        <v>7554</v>
      </c>
      <c r="D2647" s="56" t="s">
        <v>1684</v>
      </c>
      <c r="E2647" s="10" t="s">
        <v>209</v>
      </c>
      <c r="F2647" s="10" t="s">
        <v>1685</v>
      </c>
      <c r="G2647" s="10" t="s">
        <v>2437</v>
      </c>
      <c r="H2647" s="10" t="s">
        <v>2635</v>
      </c>
      <c r="I2647" s="10" t="s">
        <v>55</v>
      </c>
      <c r="J2647" s="10" t="s">
        <v>7681</v>
      </c>
      <c r="K2647" s="10" t="s">
        <v>7682</v>
      </c>
      <c r="L2647" s="10" t="s">
        <v>42</v>
      </c>
    </row>
    <row r="2648" ht="15.75" customHeight="1">
      <c r="A2648" s="64">
        <v>45474.0</v>
      </c>
      <c r="B2648" s="55" t="str">
        <f>HYPERLINK("https://jobright.ai/jobs/info/66832b9a57eb512f576b7b8b?utm_campaign=1062&amp;utm_source=sheet", "Apply")</f>
        <v>Apply</v>
      </c>
      <c r="C2648" s="10" t="s">
        <v>7683</v>
      </c>
      <c r="D2648" s="56" t="s">
        <v>7684</v>
      </c>
      <c r="E2648" s="10">
        <v>62.0</v>
      </c>
      <c r="G2648" s="10" t="s">
        <v>2437</v>
      </c>
      <c r="H2648" s="10" t="s">
        <v>898</v>
      </c>
      <c r="I2648" s="10" t="s">
        <v>55</v>
      </c>
      <c r="K2648" s="10" t="s">
        <v>7685</v>
      </c>
      <c r="L2648" s="10" t="s">
        <v>42</v>
      </c>
    </row>
    <row r="2649" ht="15.75" customHeight="1">
      <c r="A2649" s="64">
        <v>45474.0</v>
      </c>
      <c r="B2649" s="55" t="str">
        <f>HYPERLINK("https://jobright.ai/jobs/info/66833837b5752eff96c7a083?utm_campaign=1062&amp;utm_source=sheet", "Apply")</f>
        <v>Apply</v>
      </c>
      <c r="C2649" s="10" t="s">
        <v>7686</v>
      </c>
      <c r="D2649" s="56" t="s">
        <v>7311</v>
      </c>
      <c r="E2649" s="10" t="s">
        <v>276</v>
      </c>
      <c r="F2649" s="10" t="s">
        <v>331</v>
      </c>
      <c r="G2649" s="10" t="s">
        <v>2807</v>
      </c>
      <c r="H2649" s="10" t="s">
        <v>986</v>
      </c>
      <c r="I2649" s="10" t="s">
        <v>55</v>
      </c>
      <c r="K2649" s="10" t="s">
        <v>7312</v>
      </c>
      <c r="L2649" s="10" t="s">
        <v>42</v>
      </c>
    </row>
    <row r="2650" ht="15.75" customHeight="1">
      <c r="A2650" s="64">
        <v>45474.0</v>
      </c>
      <c r="B2650" s="55" t="str">
        <f>HYPERLINK("https://jobright.ai/jobs/info/6682f76522639d59203a115a?utm_campaign=1062&amp;utm_source=sheet", "Apply")</f>
        <v>Apply</v>
      </c>
      <c r="C2650" s="10" t="s">
        <v>7687</v>
      </c>
      <c r="D2650" s="56" t="s">
        <v>563</v>
      </c>
      <c r="E2650" s="10" t="s">
        <v>249</v>
      </c>
      <c r="F2650" s="10" t="s">
        <v>564</v>
      </c>
      <c r="G2650" s="10" t="s">
        <v>2448</v>
      </c>
      <c r="H2650" s="10" t="s">
        <v>1319</v>
      </c>
      <c r="I2650" s="10" t="s">
        <v>55</v>
      </c>
      <c r="K2650" s="10" t="s">
        <v>7688</v>
      </c>
      <c r="L2650" s="10" t="s">
        <v>42</v>
      </c>
    </row>
    <row r="2651" ht="15.75" customHeight="1">
      <c r="A2651" s="64">
        <v>45474.0</v>
      </c>
      <c r="B2651" s="55" t="str">
        <f>HYPERLINK("https://jobright.ai/jobs/info/668304c2c2504edb3edaf1d4?utm_campaign=1062&amp;utm_source=sheet", "Apply")</f>
        <v>Apply</v>
      </c>
      <c r="C2651" s="10" t="s">
        <v>7222</v>
      </c>
      <c r="D2651" s="56" t="s">
        <v>3211</v>
      </c>
      <c r="E2651" s="10" t="s">
        <v>45</v>
      </c>
      <c r="F2651" s="10" t="s">
        <v>3212</v>
      </c>
      <c r="G2651" s="10" t="s">
        <v>2484</v>
      </c>
      <c r="H2651" s="10" t="s">
        <v>7214</v>
      </c>
      <c r="I2651" s="10" t="s">
        <v>55</v>
      </c>
      <c r="K2651" s="10" t="s">
        <v>7223</v>
      </c>
      <c r="L2651" s="10" t="s">
        <v>42</v>
      </c>
    </row>
    <row r="2652" ht="15.75" customHeight="1">
      <c r="A2652" s="64">
        <v>45474.0</v>
      </c>
      <c r="B2652" s="55" t="str">
        <f>HYPERLINK("https://jobright.ai/jobs/info/668304c2c2504edb3edaf155?utm_campaign=1062&amp;utm_source=sheet", "Apply")</f>
        <v>Apply</v>
      </c>
      <c r="C2652" s="10" t="s">
        <v>7187</v>
      </c>
      <c r="D2652" s="56" t="s">
        <v>3211</v>
      </c>
      <c r="E2652" s="10" t="s">
        <v>45</v>
      </c>
      <c r="F2652" s="10" t="s">
        <v>3212</v>
      </c>
      <c r="G2652" s="10" t="s">
        <v>2448</v>
      </c>
      <c r="H2652" s="10" t="s">
        <v>7214</v>
      </c>
      <c r="I2652" s="10" t="s">
        <v>55</v>
      </c>
      <c r="K2652" s="10" t="s">
        <v>7689</v>
      </c>
      <c r="L2652" s="10" t="s">
        <v>42</v>
      </c>
    </row>
    <row r="2653" ht="15.75" customHeight="1">
      <c r="A2653" s="64">
        <v>45473.0</v>
      </c>
      <c r="B2653" s="55" t="str">
        <f>HYPERLINK("https://jobright.ai/jobs/info/6681bc1e344ad833f9e042c2?utm_campaign=1062&amp;utm_source=sheet", "Apply")</f>
        <v>Apply</v>
      </c>
      <c r="C2653" s="10" t="s">
        <v>7524</v>
      </c>
      <c r="D2653" s="56" t="s">
        <v>7525</v>
      </c>
      <c r="E2653" s="10" t="s">
        <v>137</v>
      </c>
      <c r="F2653" s="10" t="s">
        <v>7526</v>
      </c>
      <c r="G2653" s="10" t="s">
        <v>2579</v>
      </c>
      <c r="H2653" s="10" t="s">
        <v>1016</v>
      </c>
      <c r="I2653" s="10" t="s">
        <v>55</v>
      </c>
      <c r="K2653" s="10" t="s">
        <v>7527</v>
      </c>
      <c r="L2653" s="10" t="s">
        <v>42</v>
      </c>
    </row>
    <row r="2654" ht="15.75" customHeight="1">
      <c r="A2654" s="64">
        <v>45473.0</v>
      </c>
      <c r="B2654" s="55" t="str">
        <f>HYPERLINK("https://jobright.ai/jobs/info/6681bc1e344ad833f9e042c4?utm_campaign=1062&amp;utm_source=sheet", "Apply")</f>
        <v>Apply</v>
      </c>
      <c r="C2654" s="10" t="s">
        <v>7524</v>
      </c>
      <c r="D2654" s="56" t="s">
        <v>7525</v>
      </c>
      <c r="E2654" s="10" t="s">
        <v>137</v>
      </c>
      <c r="F2654" s="10" t="s">
        <v>7526</v>
      </c>
      <c r="G2654" s="10" t="s">
        <v>2579</v>
      </c>
      <c r="H2654" s="10" t="s">
        <v>168</v>
      </c>
      <c r="I2654" s="10" t="s">
        <v>55</v>
      </c>
      <c r="K2654" s="10" t="s">
        <v>7527</v>
      </c>
      <c r="L2654" s="10" t="s">
        <v>42</v>
      </c>
    </row>
    <row r="2655" ht="15.75" customHeight="1">
      <c r="A2655" s="64">
        <v>45473.0</v>
      </c>
      <c r="B2655" s="55" t="str">
        <f>HYPERLINK("https://jobright.ai/jobs/info/6681bc1e344ad833f9e042c5?utm_campaign=1062&amp;utm_source=sheet", "Apply")</f>
        <v>Apply</v>
      </c>
      <c r="C2655" s="10" t="s">
        <v>7524</v>
      </c>
      <c r="D2655" s="56" t="s">
        <v>7525</v>
      </c>
      <c r="E2655" s="10" t="s">
        <v>137</v>
      </c>
      <c r="F2655" s="10" t="s">
        <v>7526</v>
      </c>
      <c r="G2655" s="10" t="s">
        <v>2579</v>
      </c>
      <c r="H2655" s="10" t="s">
        <v>808</v>
      </c>
      <c r="I2655" s="10" t="s">
        <v>55</v>
      </c>
      <c r="K2655" s="10" t="s">
        <v>7527</v>
      </c>
      <c r="L2655" s="10" t="s">
        <v>42</v>
      </c>
    </row>
    <row r="2656" ht="15.75" customHeight="1">
      <c r="A2656" s="64">
        <v>45473.0</v>
      </c>
      <c r="B2656" s="55" t="str">
        <f>HYPERLINK("https://jobright.ai/jobs/info/6681bc1e344ad833f9e042c3?utm_campaign=1062&amp;utm_source=sheet", "Apply")</f>
        <v>Apply</v>
      </c>
      <c r="C2656" s="10" t="s">
        <v>7524</v>
      </c>
      <c r="D2656" s="56" t="s">
        <v>7525</v>
      </c>
      <c r="E2656" s="10" t="s">
        <v>137</v>
      </c>
      <c r="F2656" s="10" t="s">
        <v>7526</v>
      </c>
      <c r="G2656" s="10" t="s">
        <v>2579</v>
      </c>
      <c r="H2656" s="10" t="s">
        <v>791</v>
      </c>
      <c r="I2656" s="10" t="s">
        <v>55</v>
      </c>
      <c r="K2656" s="10" t="s">
        <v>7527</v>
      </c>
      <c r="L2656" s="10" t="s">
        <v>42</v>
      </c>
    </row>
    <row r="2657" ht="15.75" customHeight="1">
      <c r="A2657" s="64">
        <v>45473.0</v>
      </c>
      <c r="B2657" s="55" t="str">
        <f>HYPERLINK("https://jobright.ai/jobs/info/6681bc1e344ad833f9e042c9?utm_campaign=1062&amp;utm_source=sheet", "Apply")</f>
        <v>Apply</v>
      </c>
      <c r="C2657" s="10" t="s">
        <v>7524</v>
      </c>
      <c r="D2657" s="56" t="s">
        <v>7525</v>
      </c>
      <c r="E2657" s="10" t="s">
        <v>137</v>
      </c>
      <c r="F2657" s="10" t="s">
        <v>7526</v>
      </c>
      <c r="G2657" s="10" t="s">
        <v>2579</v>
      </c>
      <c r="H2657" s="10" t="s">
        <v>814</v>
      </c>
      <c r="I2657" s="10" t="s">
        <v>55</v>
      </c>
      <c r="K2657" s="10" t="s">
        <v>7527</v>
      </c>
      <c r="L2657" s="10" t="s">
        <v>42</v>
      </c>
    </row>
    <row r="2658" ht="15.75" customHeight="1">
      <c r="A2658" s="64">
        <v>45473.0</v>
      </c>
      <c r="B2658" s="55" t="str">
        <f>HYPERLINK("https://jobright.ai/jobs/info/6681bc1e344ad833f9e042cc?utm_campaign=1062&amp;utm_source=sheet", "Apply")</f>
        <v>Apply</v>
      </c>
      <c r="C2658" s="10" t="s">
        <v>7524</v>
      </c>
      <c r="D2658" s="56" t="s">
        <v>7525</v>
      </c>
      <c r="E2658" s="10" t="s">
        <v>137</v>
      </c>
      <c r="F2658" s="10" t="s">
        <v>7526</v>
      </c>
      <c r="G2658" s="10" t="s">
        <v>2579</v>
      </c>
      <c r="H2658" s="10" t="s">
        <v>1042</v>
      </c>
      <c r="I2658" s="10" t="s">
        <v>55</v>
      </c>
      <c r="K2658" s="10" t="s">
        <v>7527</v>
      </c>
      <c r="L2658" s="10" t="s">
        <v>42</v>
      </c>
    </row>
    <row r="2659" ht="15.75" customHeight="1">
      <c r="A2659" s="64">
        <v>45473.0</v>
      </c>
      <c r="B2659" s="55" t="str">
        <f>HYPERLINK("https://jobright.ai/jobs/info/6681bc1e344ad833f9e042c8?utm_campaign=1062&amp;utm_source=sheet", "Apply")</f>
        <v>Apply</v>
      </c>
      <c r="C2659" s="10" t="s">
        <v>7524</v>
      </c>
      <c r="D2659" s="56" t="s">
        <v>7525</v>
      </c>
      <c r="E2659" s="10" t="s">
        <v>137</v>
      </c>
      <c r="F2659" s="10" t="s">
        <v>7526</v>
      </c>
      <c r="G2659" s="10" t="s">
        <v>2579</v>
      </c>
      <c r="H2659" s="10" t="s">
        <v>807</v>
      </c>
      <c r="I2659" s="10" t="s">
        <v>55</v>
      </c>
      <c r="K2659" s="10" t="s">
        <v>7527</v>
      </c>
      <c r="L2659" s="10" t="s">
        <v>42</v>
      </c>
    </row>
    <row r="2660" ht="15.75" customHeight="1">
      <c r="A2660" s="64">
        <v>45473.0</v>
      </c>
      <c r="B2660" s="55" t="str">
        <f>HYPERLINK("https://jobright.ai/jobs/info/6681bc1e344ad833f9e042c7?utm_campaign=1062&amp;utm_source=sheet", "Apply")</f>
        <v>Apply</v>
      </c>
      <c r="C2660" s="10" t="s">
        <v>7524</v>
      </c>
      <c r="D2660" s="56" t="s">
        <v>7525</v>
      </c>
      <c r="E2660" s="10" t="s">
        <v>137</v>
      </c>
      <c r="F2660" s="10" t="s">
        <v>7526</v>
      </c>
      <c r="G2660" s="10" t="s">
        <v>2579</v>
      </c>
      <c r="H2660" s="10" t="s">
        <v>763</v>
      </c>
      <c r="I2660" s="10" t="s">
        <v>55</v>
      </c>
      <c r="K2660" s="10" t="s">
        <v>7527</v>
      </c>
      <c r="L2660" s="10" t="s">
        <v>42</v>
      </c>
    </row>
    <row r="2661" ht="15.75" customHeight="1">
      <c r="A2661" s="64">
        <v>45473.0</v>
      </c>
      <c r="B2661" s="55" t="str">
        <f>HYPERLINK("https://jobright.ai/jobs/info/6681bc1e344ad833f9e042c6?utm_campaign=1062&amp;utm_source=sheet", "Apply")</f>
        <v>Apply</v>
      </c>
      <c r="C2661" s="10" t="s">
        <v>7524</v>
      </c>
      <c r="D2661" s="56" t="s">
        <v>7525</v>
      </c>
      <c r="E2661" s="10" t="s">
        <v>137</v>
      </c>
      <c r="F2661" s="10" t="s">
        <v>7526</v>
      </c>
      <c r="G2661" s="10" t="s">
        <v>2579</v>
      </c>
      <c r="H2661" s="10" t="s">
        <v>825</v>
      </c>
      <c r="I2661" s="10" t="s">
        <v>55</v>
      </c>
      <c r="K2661" s="10" t="s">
        <v>7527</v>
      </c>
      <c r="L2661" s="10" t="s">
        <v>42</v>
      </c>
    </row>
    <row r="2662" ht="15.75" customHeight="1">
      <c r="A2662" s="64">
        <v>45473.0</v>
      </c>
      <c r="B2662" s="55" t="str">
        <f>HYPERLINK("https://jobright.ai/jobs/info/6681bc1e344ad833f9e042cb?utm_campaign=1062&amp;utm_source=sheet", "Apply")</f>
        <v>Apply</v>
      </c>
      <c r="C2662" s="10" t="s">
        <v>7524</v>
      </c>
      <c r="D2662" s="56" t="s">
        <v>7525</v>
      </c>
      <c r="E2662" s="10" t="s">
        <v>137</v>
      </c>
      <c r="F2662" s="10" t="s">
        <v>7526</v>
      </c>
      <c r="G2662" s="10" t="s">
        <v>2579</v>
      </c>
      <c r="H2662" s="10" t="s">
        <v>607</v>
      </c>
      <c r="I2662" s="10" t="s">
        <v>55</v>
      </c>
      <c r="K2662" s="10" t="s">
        <v>7527</v>
      </c>
      <c r="L2662" s="10" t="s">
        <v>42</v>
      </c>
    </row>
    <row r="2663" ht="15.75" customHeight="1">
      <c r="A2663" s="64">
        <v>45473.0</v>
      </c>
      <c r="B2663" s="55" t="str">
        <f>HYPERLINK("https://jobright.ai/jobs/info/6681bc1e344ad833f9e042cd?utm_campaign=1062&amp;utm_source=sheet", "Apply")</f>
        <v>Apply</v>
      </c>
      <c r="C2663" s="10" t="s">
        <v>7524</v>
      </c>
      <c r="D2663" s="56" t="s">
        <v>7525</v>
      </c>
      <c r="E2663" s="10" t="s">
        <v>137</v>
      </c>
      <c r="F2663" s="10" t="s">
        <v>7526</v>
      </c>
      <c r="G2663" s="10" t="s">
        <v>2579</v>
      </c>
      <c r="H2663" s="10" t="s">
        <v>434</v>
      </c>
      <c r="I2663" s="10" t="s">
        <v>55</v>
      </c>
      <c r="K2663" s="10" t="s">
        <v>7527</v>
      </c>
      <c r="L2663" s="10" t="s">
        <v>42</v>
      </c>
    </row>
    <row r="2664" ht="15.75" customHeight="1">
      <c r="A2664" s="64">
        <v>45473.0</v>
      </c>
      <c r="B2664" s="55" t="str">
        <f>HYPERLINK("https://jobright.ai/jobs/info/6681bc1e344ad833f9e042ca?utm_campaign=1062&amp;utm_source=sheet", "Apply")</f>
        <v>Apply</v>
      </c>
      <c r="C2664" s="10" t="s">
        <v>7524</v>
      </c>
      <c r="D2664" s="56" t="s">
        <v>7525</v>
      </c>
      <c r="E2664" s="10" t="s">
        <v>137</v>
      </c>
      <c r="F2664" s="10" t="s">
        <v>7526</v>
      </c>
      <c r="G2664" s="10" t="s">
        <v>2579</v>
      </c>
      <c r="H2664" s="10" t="s">
        <v>824</v>
      </c>
      <c r="I2664" s="10" t="s">
        <v>55</v>
      </c>
      <c r="K2664" s="10" t="s">
        <v>7527</v>
      </c>
      <c r="L2664" s="10" t="s">
        <v>42</v>
      </c>
    </row>
    <row r="2665" ht="15.75" customHeight="1">
      <c r="A2665" s="64">
        <v>45473.0</v>
      </c>
      <c r="B2665" s="55" t="str">
        <f>HYPERLINK("https://jobright.ai/jobs/info/6681bc1e344ad833f9e042d1?utm_campaign=1062&amp;utm_source=sheet", "Apply")</f>
        <v>Apply</v>
      </c>
      <c r="C2665" s="10" t="s">
        <v>7524</v>
      </c>
      <c r="D2665" s="56" t="s">
        <v>7525</v>
      </c>
      <c r="E2665" s="10" t="s">
        <v>137</v>
      </c>
      <c r="F2665" s="10" t="s">
        <v>7526</v>
      </c>
      <c r="G2665" s="10" t="s">
        <v>2579</v>
      </c>
      <c r="H2665" s="10" t="s">
        <v>916</v>
      </c>
      <c r="I2665" s="10" t="s">
        <v>55</v>
      </c>
      <c r="K2665" s="10" t="s">
        <v>7527</v>
      </c>
      <c r="L2665" s="10" t="s">
        <v>42</v>
      </c>
    </row>
    <row r="2666" ht="15.75" customHeight="1">
      <c r="A2666" s="64">
        <v>45473.0</v>
      </c>
      <c r="B2666" s="55" t="str">
        <f>HYPERLINK("https://jobright.ai/jobs/info/6681bc1e344ad833f9e042d0?utm_campaign=1062&amp;utm_source=sheet", "Apply")</f>
        <v>Apply</v>
      </c>
      <c r="C2666" s="10" t="s">
        <v>7524</v>
      </c>
      <c r="D2666" s="56" t="s">
        <v>7525</v>
      </c>
      <c r="E2666" s="10" t="s">
        <v>137</v>
      </c>
      <c r="F2666" s="10" t="s">
        <v>7526</v>
      </c>
      <c r="G2666" s="10" t="s">
        <v>2579</v>
      </c>
      <c r="H2666" s="10" t="s">
        <v>792</v>
      </c>
      <c r="I2666" s="10" t="s">
        <v>55</v>
      </c>
      <c r="K2666" s="10" t="s">
        <v>7527</v>
      </c>
      <c r="L2666" s="10" t="s">
        <v>42</v>
      </c>
    </row>
    <row r="2667" ht="15.75" customHeight="1">
      <c r="A2667" s="64">
        <v>45473.0</v>
      </c>
      <c r="B2667" s="55" t="str">
        <f>HYPERLINK("https://jobright.ai/jobs/info/6681bc1e344ad833f9e042ce?utm_campaign=1062&amp;utm_source=sheet", "Apply")</f>
        <v>Apply</v>
      </c>
      <c r="C2667" s="10" t="s">
        <v>7524</v>
      </c>
      <c r="D2667" s="56" t="s">
        <v>7525</v>
      </c>
      <c r="E2667" s="10" t="s">
        <v>137</v>
      </c>
      <c r="F2667" s="10" t="s">
        <v>7526</v>
      </c>
      <c r="G2667" s="10" t="s">
        <v>2579</v>
      </c>
      <c r="H2667" s="10" t="s">
        <v>764</v>
      </c>
      <c r="I2667" s="10" t="s">
        <v>55</v>
      </c>
      <c r="K2667" s="10" t="s">
        <v>7527</v>
      </c>
      <c r="L2667" s="10" t="s">
        <v>42</v>
      </c>
    </row>
    <row r="2668" ht="15.75" customHeight="1">
      <c r="A2668" s="64">
        <v>45473.0</v>
      </c>
      <c r="B2668" s="55" t="str">
        <f>HYPERLINK("https://jobright.ai/jobs/info/6681bc1e344ad833f9e042cf?utm_campaign=1062&amp;utm_source=sheet", "Apply")</f>
        <v>Apply</v>
      </c>
      <c r="C2668" s="10" t="s">
        <v>7524</v>
      </c>
      <c r="D2668" s="56" t="s">
        <v>7525</v>
      </c>
      <c r="E2668" s="10" t="s">
        <v>137</v>
      </c>
      <c r="F2668" s="10" t="s">
        <v>7526</v>
      </c>
      <c r="G2668" s="10" t="s">
        <v>2579</v>
      </c>
      <c r="H2668" s="10" t="s">
        <v>921</v>
      </c>
      <c r="I2668" s="10" t="s">
        <v>55</v>
      </c>
      <c r="K2668" s="10" t="s">
        <v>7527</v>
      </c>
      <c r="L2668" s="10" t="s">
        <v>42</v>
      </c>
    </row>
    <row r="2669" ht="15.75" customHeight="1">
      <c r="A2669" s="64">
        <v>45473.0</v>
      </c>
      <c r="B2669" s="55" t="str">
        <f>HYPERLINK("https://jobright.ai/jobs/info/6681bc1e344ad833f9e042d2?utm_campaign=1062&amp;utm_source=sheet", "Apply")</f>
        <v>Apply</v>
      </c>
      <c r="C2669" s="10" t="s">
        <v>7524</v>
      </c>
      <c r="D2669" s="56" t="s">
        <v>7525</v>
      </c>
      <c r="E2669" s="10" t="s">
        <v>137</v>
      </c>
      <c r="F2669" s="10" t="s">
        <v>7526</v>
      </c>
      <c r="G2669" s="10" t="s">
        <v>2579</v>
      </c>
      <c r="H2669" s="10" t="s">
        <v>934</v>
      </c>
      <c r="I2669" s="10" t="s">
        <v>55</v>
      </c>
      <c r="K2669" s="10" t="s">
        <v>7527</v>
      </c>
      <c r="L2669" s="10" t="s">
        <v>42</v>
      </c>
    </row>
    <row r="2670" ht="15.75" customHeight="1">
      <c r="A2670" s="64">
        <v>45473.0</v>
      </c>
      <c r="B2670" s="55" t="str">
        <f>HYPERLINK("https://jobright.ai/jobs/info/6681d819049173fa673dd2fa?utm_campaign=1062&amp;utm_source=sheet", "Apply")</f>
        <v>Apply</v>
      </c>
      <c r="C2670" s="10" t="s">
        <v>7524</v>
      </c>
      <c r="D2670" s="56" t="s">
        <v>7525</v>
      </c>
      <c r="E2670" s="10" t="s">
        <v>137</v>
      </c>
      <c r="F2670" s="10" t="s">
        <v>7526</v>
      </c>
      <c r="G2670" s="10" t="s">
        <v>2579</v>
      </c>
      <c r="H2670" s="10" t="s">
        <v>974</v>
      </c>
      <c r="I2670" s="10" t="s">
        <v>55</v>
      </c>
      <c r="K2670" s="10" t="s">
        <v>7527</v>
      </c>
      <c r="L2670" s="10" t="s">
        <v>42</v>
      </c>
    </row>
    <row r="2671" ht="15.75" customHeight="1">
      <c r="A2671" s="64">
        <v>45473.0</v>
      </c>
      <c r="B2671" s="55" t="str">
        <f>HYPERLINK("https://jobright.ai/jobs/info/6681bc1e344ad833f9e042e2?utm_campaign=1062&amp;utm_source=sheet", "Apply")</f>
        <v>Apply</v>
      </c>
      <c r="C2671" s="10" t="s">
        <v>7524</v>
      </c>
      <c r="D2671" s="56" t="s">
        <v>7525</v>
      </c>
      <c r="E2671" s="10" t="s">
        <v>137</v>
      </c>
      <c r="F2671" s="10" t="s">
        <v>7526</v>
      </c>
      <c r="G2671" s="10" t="s">
        <v>2579</v>
      </c>
      <c r="H2671" s="10" t="s">
        <v>831</v>
      </c>
      <c r="I2671" s="10" t="s">
        <v>55</v>
      </c>
      <c r="K2671" s="10" t="s">
        <v>7527</v>
      </c>
      <c r="L2671" s="10" t="s">
        <v>42</v>
      </c>
    </row>
    <row r="2672" ht="15.75" customHeight="1">
      <c r="A2672" s="64">
        <v>45473.0</v>
      </c>
      <c r="B2672" s="55" t="str">
        <f>HYPERLINK("https://jobright.ai/jobs/info/6681bc1e344ad833f9e042e3?utm_campaign=1062&amp;utm_source=sheet", "Apply")</f>
        <v>Apply</v>
      </c>
      <c r="C2672" s="10" t="s">
        <v>7524</v>
      </c>
      <c r="D2672" s="56" t="s">
        <v>7525</v>
      </c>
      <c r="E2672" s="10" t="s">
        <v>137</v>
      </c>
      <c r="F2672" s="10" t="s">
        <v>7526</v>
      </c>
      <c r="G2672" s="10" t="s">
        <v>2579</v>
      </c>
      <c r="H2672" s="10" t="s">
        <v>927</v>
      </c>
      <c r="I2672" s="10" t="s">
        <v>55</v>
      </c>
      <c r="K2672" s="10" t="s">
        <v>7527</v>
      </c>
      <c r="L2672" s="10" t="s">
        <v>42</v>
      </c>
    </row>
    <row r="2673" ht="15.75" customHeight="1">
      <c r="A2673" s="64">
        <v>45473.0</v>
      </c>
      <c r="B2673" s="55" t="str">
        <f>HYPERLINK("https://jobright.ai/jobs/info/6681bc1e344ad833f9e042e0?utm_campaign=1062&amp;utm_source=sheet", "Apply")</f>
        <v>Apply</v>
      </c>
      <c r="C2673" s="10" t="s">
        <v>7524</v>
      </c>
      <c r="D2673" s="56" t="s">
        <v>7525</v>
      </c>
      <c r="E2673" s="10" t="s">
        <v>137</v>
      </c>
      <c r="F2673" s="10" t="s">
        <v>7526</v>
      </c>
      <c r="G2673" s="10" t="s">
        <v>2579</v>
      </c>
      <c r="H2673" s="10" t="s">
        <v>1005</v>
      </c>
      <c r="I2673" s="10" t="s">
        <v>55</v>
      </c>
      <c r="K2673" s="10" t="s">
        <v>7527</v>
      </c>
      <c r="L2673" s="10" t="s">
        <v>42</v>
      </c>
    </row>
    <row r="2674" ht="15.75" customHeight="1">
      <c r="A2674" s="64">
        <v>45473.0</v>
      </c>
      <c r="B2674" s="55" t="str">
        <f>HYPERLINK("https://jobright.ai/jobs/info/6681bc1e344ad833f9e042e1?utm_campaign=1062&amp;utm_source=sheet", "Apply")</f>
        <v>Apply</v>
      </c>
      <c r="C2674" s="10" t="s">
        <v>7524</v>
      </c>
      <c r="D2674" s="56" t="s">
        <v>7525</v>
      </c>
      <c r="E2674" s="10" t="s">
        <v>137</v>
      </c>
      <c r="F2674" s="10" t="s">
        <v>7526</v>
      </c>
      <c r="G2674" s="10" t="s">
        <v>2579</v>
      </c>
      <c r="H2674" s="10" t="s">
        <v>886</v>
      </c>
      <c r="I2674" s="10" t="s">
        <v>55</v>
      </c>
      <c r="K2674" s="10" t="s">
        <v>7527</v>
      </c>
      <c r="L2674" s="10" t="s">
        <v>42</v>
      </c>
    </row>
    <row r="2675" ht="15.75" customHeight="1">
      <c r="A2675" s="64">
        <v>45473.0</v>
      </c>
      <c r="B2675" s="55" t="str">
        <f>HYPERLINK("https://jobright.ai/jobs/info/6681bc1e344ad833f9e042df?utm_campaign=1062&amp;utm_source=sheet", "Apply")</f>
        <v>Apply</v>
      </c>
      <c r="C2675" s="10" t="s">
        <v>7524</v>
      </c>
      <c r="D2675" s="56" t="s">
        <v>7525</v>
      </c>
      <c r="E2675" s="10" t="s">
        <v>137</v>
      </c>
      <c r="F2675" s="10" t="s">
        <v>7526</v>
      </c>
      <c r="G2675" s="10" t="s">
        <v>2579</v>
      </c>
      <c r="H2675" s="10" t="s">
        <v>984</v>
      </c>
      <c r="I2675" s="10" t="s">
        <v>55</v>
      </c>
      <c r="K2675" s="10" t="s">
        <v>7527</v>
      </c>
      <c r="L2675" s="10" t="s">
        <v>42</v>
      </c>
    </row>
    <row r="2676" ht="15.75" customHeight="1">
      <c r="A2676" s="64">
        <v>45473.0</v>
      </c>
      <c r="B2676" s="55" t="str">
        <f>HYPERLINK("https://jobright.ai/jobs/info/6681bc1e344ad833f9e042e4?utm_campaign=1062&amp;utm_source=sheet", "Apply")</f>
        <v>Apply</v>
      </c>
      <c r="C2676" s="10" t="s">
        <v>7524</v>
      </c>
      <c r="D2676" s="56" t="s">
        <v>7525</v>
      </c>
      <c r="E2676" s="10" t="s">
        <v>137</v>
      </c>
      <c r="F2676" s="10" t="s">
        <v>7526</v>
      </c>
      <c r="G2676" s="10" t="s">
        <v>2579</v>
      </c>
      <c r="H2676" s="10" t="s">
        <v>884</v>
      </c>
      <c r="I2676" s="10" t="s">
        <v>55</v>
      </c>
      <c r="K2676" s="10" t="s">
        <v>7527</v>
      </c>
      <c r="L2676" s="10" t="s">
        <v>42</v>
      </c>
    </row>
    <row r="2677" ht="15.75" customHeight="1">
      <c r="A2677" s="64">
        <v>45473.0</v>
      </c>
      <c r="B2677" s="55" t="str">
        <f>HYPERLINK("https://jobright.ai/jobs/info/6681bc1e344ad833f9e042e5?utm_campaign=1062&amp;utm_source=sheet", "Apply")</f>
        <v>Apply</v>
      </c>
      <c r="C2677" s="10" t="s">
        <v>7524</v>
      </c>
      <c r="D2677" s="56" t="s">
        <v>7525</v>
      </c>
      <c r="E2677" s="10" t="s">
        <v>137</v>
      </c>
      <c r="F2677" s="10" t="s">
        <v>7526</v>
      </c>
      <c r="G2677" s="10" t="s">
        <v>2579</v>
      </c>
      <c r="H2677" s="10" t="s">
        <v>1001</v>
      </c>
      <c r="I2677" s="10" t="s">
        <v>55</v>
      </c>
      <c r="K2677" s="10" t="s">
        <v>7527</v>
      </c>
      <c r="L2677" s="10" t="s">
        <v>42</v>
      </c>
    </row>
    <row r="2678" ht="15.75" customHeight="1">
      <c r="A2678" s="64">
        <v>45473.0</v>
      </c>
      <c r="B2678" s="55" t="str">
        <f>HYPERLINK("https://jobright.ai/jobs/info/6681bc1e344ad833f9e042e9?utm_campaign=1062&amp;utm_source=sheet", "Apply")</f>
        <v>Apply</v>
      </c>
      <c r="C2678" s="10" t="s">
        <v>7524</v>
      </c>
      <c r="D2678" s="56" t="s">
        <v>7525</v>
      </c>
      <c r="E2678" s="10" t="s">
        <v>137</v>
      </c>
      <c r="F2678" s="10" t="s">
        <v>7526</v>
      </c>
      <c r="G2678" s="10" t="s">
        <v>2579</v>
      </c>
      <c r="H2678" s="10" t="s">
        <v>837</v>
      </c>
      <c r="I2678" s="10" t="s">
        <v>55</v>
      </c>
      <c r="K2678" s="10" t="s">
        <v>7527</v>
      </c>
      <c r="L2678" s="10" t="s">
        <v>42</v>
      </c>
    </row>
    <row r="2679" ht="15.75" customHeight="1">
      <c r="A2679" s="64">
        <v>45473.0</v>
      </c>
      <c r="B2679" s="55" t="str">
        <f>HYPERLINK("https://jobright.ai/jobs/info/6681bc1e344ad833f9e042ed?utm_campaign=1062&amp;utm_source=sheet", "Apply")</f>
        <v>Apply</v>
      </c>
      <c r="C2679" s="10" t="s">
        <v>7524</v>
      </c>
      <c r="D2679" s="56" t="s">
        <v>7525</v>
      </c>
      <c r="E2679" s="10" t="s">
        <v>137</v>
      </c>
      <c r="F2679" s="10" t="s">
        <v>7526</v>
      </c>
      <c r="G2679" s="10" t="s">
        <v>2579</v>
      </c>
      <c r="H2679" s="10" t="s">
        <v>86</v>
      </c>
      <c r="I2679" s="10" t="s">
        <v>55</v>
      </c>
      <c r="K2679" s="10" t="s">
        <v>7527</v>
      </c>
      <c r="L2679" s="10" t="s">
        <v>42</v>
      </c>
    </row>
    <row r="2680" ht="15.75" customHeight="1">
      <c r="A2680" s="64">
        <v>45473.0</v>
      </c>
      <c r="B2680" s="55" t="str">
        <f>HYPERLINK("https://jobright.ai/jobs/info/6681bc1e344ad833f9e042e7?utm_campaign=1062&amp;utm_source=sheet", "Apply")</f>
        <v>Apply</v>
      </c>
      <c r="C2680" s="10" t="s">
        <v>7524</v>
      </c>
      <c r="D2680" s="56" t="s">
        <v>7525</v>
      </c>
      <c r="E2680" s="10" t="s">
        <v>137</v>
      </c>
      <c r="F2680" s="10" t="s">
        <v>7526</v>
      </c>
      <c r="G2680" s="10" t="s">
        <v>2579</v>
      </c>
      <c r="H2680" s="10" t="s">
        <v>941</v>
      </c>
      <c r="I2680" s="10" t="s">
        <v>55</v>
      </c>
      <c r="K2680" s="10" t="s">
        <v>7527</v>
      </c>
      <c r="L2680" s="10" t="s">
        <v>42</v>
      </c>
    </row>
    <row r="2681" ht="15.75" customHeight="1">
      <c r="A2681" s="64">
        <v>45473.0</v>
      </c>
      <c r="B2681" s="55" t="str">
        <f>HYPERLINK("https://jobright.ai/jobs/info/6681bc1e344ad833f9e042ef?utm_campaign=1062&amp;utm_source=sheet", "Apply")</f>
        <v>Apply</v>
      </c>
      <c r="C2681" s="10" t="s">
        <v>7524</v>
      </c>
      <c r="D2681" s="56" t="s">
        <v>7525</v>
      </c>
      <c r="E2681" s="10" t="s">
        <v>137</v>
      </c>
      <c r="F2681" s="10" t="s">
        <v>7526</v>
      </c>
      <c r="G2681" s="10" t="s">
        <v>2579</v>
      </c>
      <c r="H2681" s="10" t="s">
        <v>992</v>
      </c>
      <c r="I2681" s="10" t="s">
        <v>55</v>
      </c>
      <c r="K2681" s="10" t="s">
        <v>7527</v>
      </c>
      <c r="L2681" s="10" t="s">
        <v>42</v>
      </c>
    </row>
    <row r="2682" ht="15.75" customHeight="1">
      <c r="A2682" s="64">
        <v>45473.0</v>
      </c>
      <c r="B2682" s="55" t="str">
        <f>HYPERLINK("https://jobright.ai/jobs/info/6681bc1e344ad833f9e042ee?utm_campaign=1062&amp;utm_source=sheet", "Apply")</f>
        <v>Apply</v>
      </c>
      <c r="C2682" s="10" t="s">
        <v>7524</v>
      </c>
      <c r="D2682" s="56" t="s">
        <v>7525</v>
      </c>
      <c r="E2682" s="10" t="s">
        <v>137</v>
      </c>
      <c r="F2682" s="10" t="s">
        <v>7526</v>
      </c>
      <c r="G2682" s="10" t="s">
        <v>2579</v>
      </c>
      <c r="H2682" s="10" t="s">
        <v>993</v>
      </c>
      <c r="I2682" s="10" t="s">
        <v>55</v>
      </c>
      <c r="K2682" s="10" t="s">
        <v>7527</v>
      </c>
      <c r="L2682" s="10" t="s">
        <v>42</v>
      </c>
    </row>
    <row r="2683" ht="15.75" customHeight="1">
      <c r="A2683" s="64">
        <v>45473.0</v>
      </c>
      <c r="B2683" s="55" t="str">
        <f>HYPERLINK("https://jobright.ai/jobs/info/6681bc1e344ad833f9e042e8?utm_campaign=1062&amp;utm_source=sheet", "Apply")</f>
        <v>Apply</v>
      </c>
      <c r="C2683" s="10" t="s">
        <v>7524</v>
      </c>
      <c r="D2683" s="56" t="s">
        <v>7525</v>
      </c>
      <c r="E2683" s="10" t="s">
        <v>137</v>
      </c>
      <c r="F2683" s="10" t="s">
        <v>7526</v>
      </c>
      <c r="G2683" s="10" t="s">
        <v>2579</v>
      </c>
      <c r="H2683" s="10" t="s">
        <v>931</v>
      </c>
      <c r="I2683" s="10" t="s">
        <v>55</v>
      </c>
      <c r="K2683" s="10" t="s">
        <v>7527</v>
      </c>
      <c r="L2683" s="10" t="s">
        <v>42</v>
      </c>
    </row>
    <row r="2684" ht="15.75" customHeight="1">
      <c r="A2684" s="64">
        <v>45473.0</v>
      </c>
      <c r="B2684" s="55" t="str">
        <f>HYPERLINK("https://jobright.ai/jobs/info/6681bc1e344ad833f9e042ec?utm_campaign=1062&amp;utm_source=sheet", "Apply")</f>
        <v>Apply</v>
      </c>
      <c r="C2684" s="10" t="s">
        <v>7524</v>
      </c>
      <c r="D2684" s="56" t="s">
        <v>7525</v>
      </c>
      <c r="E2684" s="10" t="s">
        <v>137</v>
      </c>
      <c r="F2684" s="10" t="s">
        <v>7526</v>
      </c>
      <c r="G2684" s="10" t="s">
        <v>2579</v>
      </c>
      <c r="H2684" s="10" t="s">
        <v>1011</v>
      </c>
      <c r="I2684" s="10" t="s">
        <v>55</v>
      </c>
      <c r="K2684" s="10" t="s">
        <v>7527</v>
      </c>
      <c r="L2684" s="10" t="s">
        <v>42</v>
      </c>
    </row>
    <row r="2685" ht="15.75" customHeight="1">
      <c r="A2685" s="64">
        <v>45473.0</v>
      </c>
      <c r="B2685" s="55" t="str">
        <f>HYPERLINK("https://jobright.ai/jobs/info/6681bc1e344ad833f9e042e6?utm_campaign=1062&amp;utm_source=sheet", "Apply")</f>
        <v>Apply</v>
      </c>
      <c r="C2685" s="10" t="s">
        <v>7524</v>
      </c>
      <c r="D2685" s="56" t="s">
        <v>7525</v>
      </c>
      <c r="E2685" s="10" t="s">
        <v>137</v>
      </c>
      <c r="F2685" s="10" t="s">
        <v>7526</v>
      </c>
      <c r="G2685" s="10" t="s">
        <v>2579</v>
      </c>
      <c r="H2685" s="10" t="s">
        <v>1032</v>
      </c>
      <c r="I2685" s="10" t="s">
        <v>55</v>
      </c>
      <c r="K2685" s="10" t="s">
        <v>7527</v>
      </c>
      <c r="L2685" s="10" t="s">
        <v>42</v>
      </c>
    </row>
    <row r="2686" ht="15.75" customHeight="1">
      <c r="A2686" s="64">
        <v>45473.0</v>
      </c>
      <c r="B2686" s="55" t="str">
        <f>HYPERLINK("https://jobright.ai/jobs/info/6681bc1e344ad833f9e042eb?utm_campaign=1062&amp;utm_source=sheet", "Apply")</f>
        <v>Apply</v>
      </c>
      <c r="C2686" s="10" t="s">
        <v>7524</v>
      </c>
      <c r="D2686" s="56" t="s">
        <v>7525</v>
      </c>
      <c r="E2686" s="10" t="s">
        <v>137</v>
      </c>
      <c r="F2686" s="10" t="s">
        <v>7526</v>
      </c>
      <c r="G2686" s="10" t="s">
        <v>2579</v>
      </c>
      <c r="H2686" s="10" t="s">
        <v>861</v>
      </c>
      <c r="I2686" s="10" t="s">
        <v>55</v>
      </c>
      <c r="K2686" s="10" t="s">
        <v>7527</v>
      </c>
      <c r="L2686" s="10" t="s">
        <v>42</v>
      </c>
    </row>
    <row r="2687" ht="15.75" customHeight="1">
      <c r="A2687" s="64">
        <v>45473.0</v>
      </c>
      <c r="B2687" s="55" t="str">
        <f>HYPERLINK("https://jobright.ai/jobs/info/6681bc1e344ad833f9e042ea?utm_campaign=1062&amp;utm_source=sheet", "Apply")</f>
        <v>Apply</v>
      </c>
      <c r="C2687" s="10" t="s">
        <v>7524</v>
      </c>
      <c r="D2687" s="56" t="s">
        <v>7525</v>
      </c>
      <c r="E2687" s="10" t="s">
        <v>137</v>
      </c>
      <c r="F2687" s="10" t="s">
        <v>7526</v>
      </c>
      <c r="G2687" s="10" t="s">
        <v>2579</v>
      </c>
      <c r="H2687" s="10" t="s">
        <v>1047</v>
      </c>
      <c r="I2687" s="10" t="s">
        <v>55</v>
      </c>
      <c r="K2687" s="10" t="s">
        <v>7527</v>
      </c>
      <c r="L2687" s="10" t="s">
        <v>42</v>
      </c>
    </row>
    <row r="2688" ht="15.75" customHeight="1">
      <c r="A2688" s="64">
        <v>45473.0</v>
      </c>
      <c r="B2688" s="55" t="str">
        <f>HYPERLINK("https://jobright.ai/jobs/info/6681bc1e344ad833f9e042f3?utm_campaign=1062&amp;utm_source=sheet", "Apply")</f>
        <v>Apply</v>
      </c>
      <c r="C2688" s="10" t="s">
        <v>7524</v>
      </c>
      <c r="D2688" s="56" t="s">
        <v>7525</v>
      </c>
      <c r="E2688" s="10" t="s">
        <v>137</v>
      </c>
      <c r="F2688" s="10" t="s">
        <v>7526</v>
      </c>
      <c r="G2688" s="10" t="s">
        <v>2579</v>
      </c>
      <c r="H2688" s="10" t="s">
        <v>987</v>
      </c>
      <c r="I2688" s="10" t="s">
        <v>55</v>
      </c>
      <c r="K2688" s="10" t="s">
        <v>7527</v>
      </c>
      <c r="L2688" s="10" t="s">
        <v>42</v>
      </c>
    </row>
    <row r="2689" ht="15.75" customHeight="1">
      <c r="A2689" s="64">
        <v>45473.0</v>
      </c>
      <c r="B2689" s="55" t="str">
        <f>HYPERLINK("https://jobright.ai/jobs/info/6681bc1e344ad833f9e042f0?utm_campaign=1062&amp;utm_source=sheet", "Apply")</f>
        <v>Apply</v>
      </c>
      <c r="C2689" s="10" t="s">
        <v>7524</v>
      </c>
      <c r="D2689" s="56" t="s">
        <v>7525</v>
      </c>
      <c r="E2689" s="10" t="s">
        <v>137</v>
      </c>
      <c r="F2689" s="10" t="s">
        <v>7526</v>
      </c>
      <c r="G2689" s="10" t="s">
        <v>2579</v>
      </c>
      <c r="H2689" s="10" t="s">
        <v>903</v>
      </c>
      <c r="I2689" s="10" t="s">
        <v>55</v>
      </c>
      <c r="K2689" s="10" t="s">
        <v>7527</v>
      </c>
      <c r="L2689" s="10" t="s">
        <v>42</v>
      </c>
    </row>
    <row r="2690" ht="15.75" customHeight="1">
      <c r="A2690" s="64">
        <v>45473.0</v>
      </c>
      <c r="B2690" s="55" t="str">
        <f>HYPERLINK("https://jobright.ai/jobs/info/6681bc1e344ad833f9e042f4?utm_campaign=1062&amp;utm_source=sheet", "Apply")</f>
        <v>Apply</v>
      </c>
      <c r="C2690" s="10" t="s">
        <v>7524</v>
      </c>
      <c r="D2690" s="56" t="s">
        <v>7525</v>
      </c>
      <c r="E2690" s="10" t="s">
        <v>137</v>
      </c>
      <c r="F2690" s="10" t="s">
        <v>7526</v>
      </c>
      <c r="G2690" s="10" t="s">
        <v>2579</v>
      </c>
      <c r="H2690" s="10" t="s">
        <v>988</v>
      </c>
      <c r="I2690" s="10" t="s">
        <v>55</v>
      </c>
      <c r="K2690" s="10" t="s">
        <v>7527</v>
      </c>
      <c r="L2690" s="10" t="s">
        <v>42</v>
      </c>
    </row>
    <row r="2691" ht="15.75" customHeight="1">
      <c r="A2691" s="64">
        <v>45473.0</v>
      </c>
      <c r="B2691" s="55" t="str">
        <f>HYPERLINK("https://jobright.ai/jobs/info/6681ca4d07c0ecf02ffcfca1?utm_campaign=1062&amp;utm_source=sheet", "Apply")</f>
        <v>Apply</v>
      </c>
      <c r="C2691" s="10" t="s">
        <v>7524</v>
      </c>
      <c r="D2691" s="56" t="s">
        <v>7525</v>
      </c>
      <c r="E2691" s="10" t="s">
        <v>137</v>
      </c>
      <c r="F2691" s="10" t="s">
        <v>7526</v>
      </c>
      <c r="G2691" s="10" t="s">
        <v>2579</v>
      </c>
      <c r="H2691" s="10" t="s">
        <v>768</v>
      </c>
      <c r="I2691" s="10" t="s">
        <v>55</v>
      </c>
      <c r="K2691" s="10" t="s">
        <v>7527</v>
      </c>
      <c r="L2691" s="10" t="s">
        <v>42</v>
      </c>
    </row>
    <row r="2692" ht="15.75" customHeight="1">
      <c r="A2692" s="64">
        <v>45473.0</v>
      </c>
      <c r="B2692" s="55" t="str">
        <f>HYPERLINK("https://jobright.ai/jobs/info/6681ca4d07c0ecf02ffcfca2?utm_campaign=1062&amp;utm_source=sheet", "Apply")</f>
        <v>Apply</v>
      </c>
      <c r="C2692" s="10" t="s">
        <v>7524</v>
      </c>
      <c r="D2692" s="56" t="s">
        <v>7525</v>
      </c>
      <c r="E2692" s="10" t="s">
        <v>137</v>
      </c>
      <c r="F2692" s="10" t="s">
        <v>7526</v>
      </c>
      <c r="G2692" s="10" t="s">
        <v>2579</v>
      </c>
      <c r="H2692" s="10" t="s">
        <v>787</v>
      </c>
      <c r="I2692" s="10" t="s">
        <v>55</v>
      </c>
      <c r="K2692" s="10" t="s">
        <v>7527</v>
      </c>
      <c r="L2692" s="10" t="s">
        <v>42</v>
      </c>
    </row>
    <row r="2693" ht="15.75" customHeight="1">
      <c r="A2693" s="64">
        <v>45473.0</v>
      </c>
      <c r="B2693" s="55" t="str">
        <f>HYPERLINK("https://jobright.ai/jobs/info/6681ca4d07c0ecf02ffcfca3?utm_campaign=1062&amp;utm_source=sheet", "Apply")</f>
        <v>Apply</v>
      </c>
      <c r="C2693" s="10" t="s">
        <v>7524</v>
      </c>
      <c r="D2693" s="56" t="s">
        <v>7525</v>
      </c>
      <c r="E2693" s="10" t="s">
        <v>137</v>
      </c>
      <c r="F2693" s="10" t="s">
        <v>7526</v>
      </c>
      <c r="G2693" s="10" t="s">
        <v>2579</v>
      </c>
      <c r="H2693" s="10" t="s">
        <v>1050</v>
      </c>
      <c r="I2693" s="10" t="s">
        <v>55</v>
      </c>
      <c r="K2693" s="10" t="s">
        <v>7527</v>
      </c>
      <c r="L2693" s="10" t="s">
        <v>42</v>
      </c>
    </row>
    <row r="2694" ht="15.75" customHeight="1">
      <c r="A2694" s="64">
        <v>45473.0</v>
      </c>
      <c r="B2694" s="55" t="str">
        <f>HYPERLINK("https://jobright.ai/jobs/info/6681ca4d07c0ecf02ffcfca5?utm_campaign=1062&amp;utm_source=sheet", "Apply")</f>
        <v>Apply</v>
      </c>
      <c r="C2694" s="10" t="s">
        <v>7524</v>
      </c>
      <c r="D2694" s="56" t="s">
        <v>7525</v>
      </c>
      <c r="E2694" s="10" t="s">
        <v>137</v>
      </c>
      <c r="F2694" s="10" t="s">
        <v>7526</v>
      </c>
      <c r="G2694" s="10" t="s">
        <v>2579</v>
      </c>
      <c r="H2694" s="10" t="s">
        <v>915</v>
      </c>
      <c r="I2694" s="10" t="s">
        <v>55</v>
      </c>
      <c r="K2694" s="10" t="s">
        <v>7527</v>
      </c>
      <c r="L2694" s="10" t="s">
        <v>42</v>
      </c>
    </row>
    <row r="2695" ht="15.75" customHeight="1">
      <c r="A2695" s="64">
        <v>45473.0</v>
      </c>
      <c r="B2695" s="55" t="str">
        <f>HYPERLINK("https://jobright.ai/jobs/info/6681ca4d07c0ecf02ffcfca4?utm_campaign=1062&amp;utm_source=sheet", "Apply")</f>
        <v>Apply</v>
      </c>
      <c r="C2695" s="10" t="s">
        <v>7524</v>
      </c>
      <c r="D2695" s="56" t="s">
        <v>7525</v>
      </c>
      <c r="E2695" s="10" t="s">
        <v>137</v>
      </c>
      <c r="F2695" s="10" t="s">
        <v>7526</v>
      </c>
      <c r="G2695" s="10" t="s">
        <v>2579</v>
      </c>
      <c r="H2695" s="10" t="s">
        <v>991</v>
      </c>
      <c r="I2695" s="10" t="s">
        <v>55</v>
      </c>
      <c r="K2695" s="10" t="s">
        <v>7527</v>
      </c>
      <c r="L2695" s="10" t="s">
        <v>42</v>
      </c>
    </row>
    <row r="2696" ht="15.75" customHeight="1">
      <c r="A2696" s="64">
        <v>45473.0</v>
      </c>
      <c r="B2696" s="55" t="str">
        <f>HYPERLINK("https://jobright.ai/jobs/info/6681ca4d07c0ecf02ffcfca6?utm_campaign=1062&amp;utm_source=sheet", "Apply")</f>
        <v>Apply</v>
      </c>
      <c r="C2696" s="10" t="s">
        <v>7524</v>
      </c>
      <c r="D2696" s="56" t="s">
        <v>7525</v>
      </c>
      <c r="E2696" s="10" t="s">
        <v>137</v>
      </c>
      <c r="F2696" s="10" t="s">
        <v>7526</v>
      </c>
      <c r="G2696" s="10" t="s">
        <v>2579</v>
      </c>
      <c r="H2696" s="10" t="s">
        <v>930</v>
      </c>
      <c r="I2696" s="10" t="s">
        <v>55</v>
      </c>
      <c r="K2696" s="10" t="s">
        <v>7527</v>
      </c>
      <c r="L2696" s="10" t="s">
        <v>42</v>
      </c>
    </row>
    <row r="2697" ht="15.75" customHeight="1">
      <c r="A2697" s="64">
        <v>45473.0</v>
      </c>
      <c r="B2697" s="55" t="str">
        <f>HYPERLINK("https://jobright.ai/jobs/info/6681ca4d07c0ecf02ffcfca7?utm_campaign=1062&amp;utm_source=sheet", "Apply")</f>
        <v>Apply</v>
      </c>
      <c r="C2697" s="10" t="s">
        <v>7524</v>
      </c>
      <c r="D2697" s="56" t="s">
        <v>7525</v>
      </c>
      <c r="E2697" s="10" t="s">
        <v>137</v>
      </c>
      <c r="F2697" s="10" t="s">
        <v>7526</v>
      </c>
      <c r="G2697" s="10" t="s">
        <v>2579</v>
      </c>
      <c r="H2697" s="10" t="s">
        <v>889</v>
      </c>
      <c r="I2697" s="10" t="s">
        <v>55</v>
      </c>
      <c r="K2697" s="10" t="s">
        <v>7527</v>
      </c>
      <c r="L2697" s="10" t="s">
        <v>42</v>
      </c>
    </row>
    <row r="2698" ht="15.75" customHeight="1">
      <c r="A2698" s="64">
        <v>45473.0</v>
      </c>
      <c r="B2698" s="55" t="str">
        <f>HYPERLINK("https://jobright.ai/jobs/info/6681ca4d07c0ecf02ffcfca8?utm_campaign=1062&amp;utm_source=sheet", "Apply")</f>
        <v>Apply</v>
      </c>
      <c r="C2698" s="10" t="s">
        <v>7524</v>
      </c>
      <c r="D2698" s="56" t="s">
        <v>7525</v>
      </c>
      <c r="E2698" s="10" t="s">
        <v>137</v>
      </c>
      <c r="F2698" s="10" t="s">
        <v>7526</v>
      </c>
      <c r="G2698" s="10" t="s">
        <v>2579</v>
      </c>
      <c r="H2698" s="10" t="s">
        <v>1008</v>
      </c>
      <c r="I2698" s="10" t="s">
        <v>55</v>
      </c>
      <c r="K2698" s="10" t="s">
        <v>7527</v>
      </c>
      <c r="L2698" s="10" t="s">
        <v>42</v>
      </c>
    </row>
    <row r="2699" ht="15.75" customHeight="1">
      <c r="A2699" s="64">
        <v>45473.0</v>
      </c>
      <c r="B2699" s="55" t="str">
        <f>HYPERLINK("https://jobright.ai/jobs/info/6681b8063a7b90a95b358169?utm_campaign=1062&amp;utm_source=sheet", "Apply")</f>
        <v>Apply</v>
      </c>
      <c r="C2699" s="10" t="s">
        <v>7524</v>
      </c>
      <c r="D2699" s="56" t="s">
        <v>7525</v>
      </c>
      <c r="E2699" s="10" t="s">
        <v>137</v>
      </c>
      <c r="F2699" s="10" t="s">
        <v>7526</v>
      </c>
      <c r="G2699" s="10" t="s">
        <v>2579</v>
      </c>
      <c r="H2699" s="10" t="s">
        <v>933</v>
      </c>
      <c r="I2699" s="10" t="s">
        <v>55</v>
      </c>
      <c r="K2699" s="10" t="s">
        <v>7527</v>
      </c>
      <c r="L2699" s="10" t="s">
        <v>42</v>
      </c>
    </row>
    <row r="2700" ht="15.75" customHeight="1">
      <c r="A2700" s="64">
        <v>45473.0</v>
      </c>
      <c r="B2700" s="55" t="str">
        <f>HYPERLINK("https://jobright.ai/jobs/info/6681b8063a7b90a95b35816a?utm_campaign=1062&amp;utm_source=sheet", "Apply")</f>
        <v>Apply</v>
      </c>
      <c r="C2700" s="10" t="s">
        <v>7524</v>
      </c>
      <c r="D2700" s="56" t="s">
        <v>7525</v>
      </c>
      <c r="E2700" s="10" t="s">
        <v>137</v>
      </c>
      <c r="F2700" s="10" t="s">
        <v>7526</v>
      </c>
      <c r="G2700" s="10" t="s">
        <v>2579</v>
      </c>
      <c r="H2700" s="10" t="s">
        <v>854</v>
      </c>
      <c r="I2700" s="10" t="s">
        <v>55</v>
      </c>
      <c r="K2700" s="10" t="s">
        <v>7527</v>
      </c>
      <c r="L2700" s="10" t="s">
        <v>42</v>
      </c>
    </row>
    <row r="2701" ht="15.75" customHeight="1">
      <c r="A2701" s="64">
        <v>45473.0</v>
      </c>
      <c r="B2701" s="55" t="str">
        <f>HYPERLINK("https://jobright.ai/jobs/info/6681b80a3a7b90a95b358184?utm_campaign=1062&amp;utm_source=sheet", "Apply")</f>
        <v>Apply</v>
      </c>
      <c r="C2701" s="10" t="s">
        <v>7524</v>
      </c>
      <c r="D2701" s="56" t="s">
        <v>7525</v>
      </c>
      <c r="E2701" s="10" t="s">
        <v>137</v>
      </c>
      <c r="F2701" s="10" t="s">
        <v>7526</v>
      </c>
      <c r="G2701" s="10" t="s">
        <v>2579</v>
      </c>
      <c r="H2701" s="10" t="s">
        <v>759</v>
      </c>
      <c r="I2701" s="10" t="s">
        <v>55</v>
      </c>
      <c r="K2701" s="10" t="s">
        <v>7527</v>
      </c>
      <c r="L2701" s="10" t="s">
        <v>42</v>
      </c>
    </row>
    <row r="2702" ht="15.75" customHeight="1">
      <c r="A2702" s="64">
        <v>45473.0</v>
      </c>
      <c r="B2702" s="55" t="str">
        <f>HYPERLINK("https://jobright.ai/jobs/info/6681b8063a7b90a95b358181?utm_campaign=1062&amp;utm_source=sheet", "Apply")</f>
        <v>Apply</v>
      </c>
      <c r="C2702" s="10" t="s">
        <v>7524</v>
      </c>
      <c r="D2702" s="56" t="s">
        <v>7525</v>
      </c>
      <c r="E2702" s="10" t="s">
        <v>137</v>
      </c>
      <c r="F2702" s="10" t="s">
        <v>7526</v>
      </c>
      <c r="G2702" s="10" t="s">
        <v>2579</v>
      </c>
      <c r="H2702" s="10" t="s">
        <v>864</v>
      </c>
      <c r="I2702" s="10" t="s">
        <v>55</v>
      </c>
      <c r="K2702" s="10" t="s">
        <v>7527</v>
      </c>
      <c r="L2702" s="10" t="s">
        <v>42</v>
      </c>
    </row>
    <row r="2703" ht="15.75" customHeight="1">
      <c r="A2703" s="64">
        <v>45473.0</v>
      </c>
      <c r="B2703" s="55" t="str">
        <f>HYPERLINK("https://jobright.ai/jobs/info/6681b8063a7b90a95b358170?utm_campaign=1062&amp;utm_source=sheet", "Apply")</f>
        <v>Apply</v>
      </c>
      <c r="C2703" s="10" t="s">
        <v>7524</v>
      </c>
      <c r="D2703" s="56" t="s">
        <v>7525</v>
      </c>
      <c r="E2703" s="10" t="s">
        <v>137</v>
      </c>
      <c r="F2703" s="10" t="s">
        <v>7526</v>
      </c>
      <c r="G2703" s="10" t="s">
        <v>2579</v>
      </c>
      <c r="H2703" s="10" t="s">
        <v>877</v>
      </c>
      <c r="I2703" s="10" t="s">
        <v>55</v>
      </c>
      <c r="K2703" s="10" t="s">
        <v>7527</v>
      </c>
      <c r="L2703" s="10" t="s">
        <v>42</v>
      </c>
    </row>
    <row r="2704" ht="15.75" customHeight="1">
      <c r="A2704" s="64">
        <v>45473.0</v>
      </c>
      <c r="B2704" s="55" t="str">
        <f>HYPERLINK("https://jobright.ai/jobs/info/6681b8063a7b90a95b35817b?utm_campaign=1062&amp;utm_source=sheet", "Apply")</f>
        <v>Apply</v>
      </c>
      <c r="C2704" s="10" t="s">
        <v>7524</v>
      </c>
      <c r="D2704" s="56" t="s">
        <v>7525</v>
      </c>
      <c r="E2704" s="10" t="s">
        <v>137</v>
      </c>
      <c r="F2704" s="10" t="s">
        <v>7526</v>
      </c>
      <c r="G2704" s="10" t="s">
        <v>2579</v>
      </c>
      <c r="H2704" s="10" t="s">
        <v>806</v>
      </c>
      <c r="I2704" s="10" t="s">
        <v>55</v>
      </c>
      <c r="K2704" s="10" t="s">
        <v>7527</v>
      </c>
      <c r="L2704" s="10" t="s">
        <v>42</v>
      </c>
    </row>
    <row r="2705" ht="15.75" customHeight="1">
      <c r="A2705" s="64">
        <v>45473.0</v>
      </c>
      <c r="B2705" s="55" t="str">
        <f>HYPERLINK("https://jobright.ai/jobs/info/6681b80a3a7b90a95b358188?utm_campaign=1062&amp;utm_source=sheet", "Apply")</f>
        <v>Apply</v>
      </c>
      <c r="C2705" s="10" t="s">
        <v>7524</v>
      </c>
      <c r="D2705" s="56" t="s">
        <v>7525</v>
      </c>
      <c r="E2705" s="10" t="s">
        <v>137</v>
      </c>
      <c r="F2705" s="10" t="s">
        <v>7526</v>
      </c>
      <c r="G2705" s="10" t="s">
        <v>2579</v>
      </c>
      <c r="H2705" s="10" t="s">
        <v>983</v>
      </c>
      <c r="I2705" s="10" t="s">
        <v>55</v>
      </c>
      <c r="K2705" s="10" t="s">
        <v>7527</v>
      </c>
      <c r="L2705" s="10" t="s">
        <v>42</v>
      </c>
    </row>
    <row r="2706" ht="15.75" customHeight="1">
      <c r="A2706" s="64">
        <v>45473.0</v>
      </c>
      <c r="B2706" s="55" t="str">
        <f>HYPERLINK("https://jobright.ai/jobs/info/6681b80a3a7b90a95b358189?utm_campaign=1062&amp;utm_source=sheet", "Apply")</f>
        <v>Apply</v>
      </c>
      <c r="C2706" s="10" t="s">
        <v>7524</v>
      </c>
      <c r="D2706" s="56" t="s">
        <v>7525</v>
      </c>
      <c r="E2706" s="10" t="s">
        <v>137</v>
      </c>
      <c r="F2706" s="10" t="s">
        <v>7526</v>
      </c>
      <c r="G2706" s="10" t="s">
        <v>2579</v>
      </c>
      <c r="H2706" s="10" t="s">
        <v>967</v>
      </c>
      <c r="I2706" s="10" t="s">
        <v>55</v>
      </c>
      <c r="K2706" s="10" t="s">
        <v>7527</v>
      </c>
      <c r="L2706" s="10" t="s">
        <v>42</v>
      </c>
    </row>
    <row r="2707" ht="15.75" customHeight="1">
      <c r="A2707" s="64">
        <v>45473.0</v>
      </c>
      <c r="B2707" s="55" t="str">
        <f>HYPERLINK("https://jobright.ai/jobs/info/6681b8063a7b90a95b35816c?utm_campaign=1062&amp;utm_source=sheet", "Apply")</f>
        <v>Apply</v>
      </c>
      <c r="C2707" s="10" t="s">
        <v>7524</v>
      </c>
      <c r="D2707" s="56" t="s">
        <v>7525</v>
      </c>
      <c r="E2707" s="10" t="s">
        <v>137</v>
      </c>
      <c r="F2707" s="10" t="s">
        <v>7526</v>
      </c>
      <c r="G2707" s="10" t="s">
        <v>2579</v>
      </c>
      <c r="H2707" s="10" t="s">
        <v>890</v>
      </c>
      <c r="I2707" s="10" t="s">
        <v>55</v>
      </c>
      <c r="K2707" s="10" t="s">
        <v>7527</v>
      </c>
      <c r="L2707" s="10" t="s">
        <v>42</v>
      </c>
    </row>
    <row r="2708" ht="15.75" customHeight="1">
      <c r="A2708" s="64">
        <v>45473.0</v>
      </c>
      <c r="B2708" s="55" t="str">
        <f>HYPERLINK("https://jobright.ai/jobs/info/6681b8063a7b90a95b35817a?utm_campaign=1062&amp;utm_source=sheet", "Apply")</f>
        <v>Apply</v>
      </c>
      <c r="C2708" s="10" t="s">
        <v>7524</v>
      </c>
      <c r="D2708" s="56" t="s">
        <v>7525</v>
      </c>
      <c r="E2708" s="10" t="s">
        <v>137</v>
      </c>
      <c r="F2708" s="10" t="s">
        <v>7526</v>
      </c>
      <c r="G2708" s="10" t="s">
        <v>2579</v>
      </c>
      <c r="H2708" s="10" t="s">
        <v>772</v>
      </c>
      <c r="I2708" s="10" t="s">
        <v>55</v>
      </c>
      <c r="K2708" s="10" t="s">
        <v>7527</v>
      </c>
      <c r="L2708" s="10" t="s">
        <v>42</v>
      </c>
    </row>
    <row r="2709" ht="15.75" customHeight="1">
      <c r="A2709" s="64">
        <v>45473.0</v>
      </c>
      <c r="B2709" s="55" t="str">
        <f>HYPERLINK("https://jobright.ai/jobs/info/6681b8063a7b90a95b35817d?utm_campaign=1062&amp;utm_source=sheet", "Apply")</f>
        <v>Apply</v>
      </c>
      <c r="C2709" s="10" t="s">
        <v>7524</v>
      </c>
      <c r="D2709" s="56" t="s">
        <v>7525</v>
      </c>
      <c r="E2709" s="10" t="s">
        <v>137</v>
      </c>
      <c r="F2709" s="10" t="s">
        <v>7526</v>
      </c>
      <c r="G2709" s="10" t="s">
        <v>2579</v>
      </c>
      <c r="H2709" s="10" t="s">
        <v>1023</v>
      </c>
      <c r="I2709" s="10" t="s">
        <v>55</v>
      </c>
      <c r="K2709" s="10" t="s">
        <v>7527</v>
      </c>
      <c r="L2709" s="10" t="s">
        <v>42</v>
      </c>
    </row>
    <row r="2710" ht="15.75" customHeight="1">
      <c r="A2710" s="64">
        <v>45473.0</v>
      </c>
      <c r="B2710" s="55" t="str">
        <f>HYPERLINK("https://jobright.ai/jobs/info/6681b8063a7b90a95b358175?utm_campaign=1062&amp;utm_source=sheet", "Apply")</f>
        <v>Apply</v>
      </c>
      <c r="C2710" s="10" t="s">
        <v>7524</v>
      </c>
      <c r="D2710" s="56" t="s">
        <v>7525</v>
      </c>
      <c r="E2710" s="10" t="s">
        <v>137</v>
      </c>
      <c r="F2710" s="10" t="s">
        <v>7526</v>
      </c>
      <c r="G2710" s="10" t="s">
        <v>2579</v>
      </c>
      <c r="H2710" s="10" t="s">
        <v>229</v>
      </c>
      <c r="I2710" s="10" t="s">
        <v>55</v>
      </c>
      <c r="K2710" s="10" t="s">
        <v>7527</v>
      </c>
      <c r="L2710" s="10" t="s">
        <v>42</v>
      </c>
    </row>
    <row r="2711" ht="15.75" customHeight="1">
      <c r="A2711" s="64">
        <v>45473.0</v>
      </c>
      <c r="B2711" s="55" t="str">
        <f>HYPERLINK("https://jobright.ai/jobs/info/6681b8063a7b90a95b358180?utm_campaign=1062&amp;utm_source=sheet", "Apply")</f>
        <v>Apply</v>
      </c>
      <c r="C2711" s="10" t="s">
        <v>7524</v>
      </c>
      <c r="D2711" s="56" t="s">
        <v>7525</v>
      </c>
      <c r="E2711" s="10" t="s">
        <v>137</v>
      </c>
      <c r="F2711" s="10" t="s">
        <v>7526</v>
      </c>
      <c r="G2711" s="10" t="s">
        <v>2579</v>
      </c>
      <c r="H2711" s="10" t="s">
        <v>1007</v>
      </c>
      <c r="I2711" s="10" t="s">
        <v>55</v>
      </c>
      <c r="K2711" s="10" t="s">
        <v>7527</v>
      </c>
      <c r="L2711" s="10" t="s">
        <v>42</v>
      </c>
    </row>
    <row r="2712" ht="15.75" customHeight="1">
      <c r="A2712" s="64">
        <v>45473.0</v>
      </c>
      <c r="B2712" s="55" t="str">
        <f>HYPERLINK("https://jobright.ai/jobs/info/6681b8063a7b90a95b358174?utm_campaign=1062&amp;utm_source=sheet", "Apply")</f>
        <v>Apply</v>
      </c>
      <c r="C2712" s="10" t="s">
        <v>7524</v>
      </c>
      <c r="D2712" s="56" t="s">
        <v>7525</v>
      </c>
      <c r="E2712" s="10" t="s">
        <v>137</v>
      </c>
      <c r="F2712" s="10" t="s">
        <v>7526</v>
      </c>
      <c r="G2712" s="10" t="s">
        <v>2579</v>
      </c>
      <c r="H2712" s="10" t="s">
        <v>980</v>
      </c>
      <c r="I2712" s="10" t="s">
        <v>55</v>
      </c>
      <c r="K2712" s="10" t="s">
        <v>7527</v>
      </c>
      <c r="L2712" s="10" t="s">
        <v>42</v>
      </c>
    </row>
    <row r="2713" ht="15.75" customHeight="1">
      <c r="A2713" s="64">
        <v>45473.0</v>
      </c>
      <c r="B2713" s="55" t="str">
        <f>HYPERLINK("https://jobright.ai/jobs/info/6681b80a3a7b90a95b358187?utm_campaign=1062&amp;utm_source=sheet", "Apply")</f>
        <v>Apply</v>
      </c>
      <c r="C2713" s="10" t="s">
        <v>7524</v>
      </c>
      <c r="D2713" s="56" t="s">
        <v>7525</v>
      </c>
      <c r="E2713" s="10" t="s">
        <v>137</v>
      </c>
      <c r="F2713" s="10" t="s">
        <v>7526</v>
      </c>
      <c r="G2713" s="10" t="s">
        <v>2579</v>
      </c>
      <c r="H2713" s="10" t="s">
        <v>999</v>
      </c>
      <c r="I2713" s="10" t="s">
        <v>55</v>
      </c>
      <c r="K2713" s="10" t="s">
        <v>7527</v>
      </c>
      <c r="L2713" s="10" t="s">
        <v>42</v>
      </c>
    </row>
    <row r="2714" ht="15.75" customHeight="1">
      <c r="A2714" s="64">
        <v>45473.0</v>
      </c>
      <c r="B2714" s="55" t="str">
        <f>HYPERLINK("https://jobright.ai/jobs/info/6681b8063a7b90a95b35817e?utm_campaign=1062&amp;utm_source=sheet", "Apply")</f>
        <v>Apply</v>
      </c>
      <c r="C2714" s="10" t="s">
        <v>7524</v>
      </c>
      <c r="D2714" s="56" t="s">
        <v>7525</v>
      </c>
      <c r="E2714" s="10" t="s">
        <v>137</v>
      </c>
      <c r="F2714" s="10" t="s">
        <v>7526</v>
      </c>
      <c r="G2714" s="10" t="s">
        <v>2579</v>
      </c>
      <c r="H2714" s="10" t="s">
        <v>843</v>
      </c>
      <c r="I2714" s="10" t="s">
        <v>55</v>
      </c>
      <c r="K2714" s="10" t="s">
        <v>7527</v>
      </c>
      <c r="L2714" s="10" t="s">
        <v>42</v>
      </c>
    </row>
    <row r="2715" ht="15.75" customHeight="1">
      <c r="A2715" s="64">
        <v>45473.0</v>
      </c>
      <c r="B2715" s="55" t="str">
        <f>HYPERLINK("https://jobright.ai/jobs/info/6681b80a3a7b90a95b358186?utm_campaign=1062&amp;utm_source=sheet", "Apply")</f>
        <v>Apply</v>
      </c>
      <c r="C2715" s="10" t="s">
        <v>7524</v>
      </c>
      <c r="D2715" s="56" t="s">
        <v>7525</v>
      </c>
      <c r="E2715" s="10" t="s">
        <v>137</v>
      </c>
      <c r="F2715" s="10" t="s">
        <v>7526</v>
      </c>
      <c r="G2715" s="10" t="s">
        <v>2579</v>
      </c>
      <c r="H2715" s="10" t="s">
        <v>918</v>
      </c>
      <c r="I2715" s="10" t="s">
        <v>55</v>
      </c>
      <c r="K2715" s="10" t="s">
        <v>7527</v>
      </c>
      <c r="L2715" s="10" t="s">
        <v>42</v>
      </c>
    </row>
    <row r="2716" ht="15.75" customHeight="1">
      <c r="A2716" s="64">
        <v>45473.0</v>
      </c>
      <c r="B2716" s="55" t="str">
        <f>HYPERLINK("https://jobright.ai/jobs/info/6681b8063a7b90a95b358177?utm_campaign=1062&amp;utm_source=sheet", "Apply")</f>
        <v>Apply</v>
      </c>
      <c r="C2716" s="10" t="s">
        <v>7524</v>
      </c>
      <c r="D2716" s="56" t="s">
        <v>7525</v>
      </c>
      <c r="E2716" s="10" t="s">
        <v>137</v>
      </c>
      <c r="F2716" s="10" t="s">
        <v>7526</v>
      </c>
      <c r="G2716" s="10" t="s">
        <v>2579</v>
      </c>
      <c r="H2716" s="10" t="s">
        <v>770</v>
      </c>
      <c r="I2716" s="10" t="s">
        <v>55</v>
      </c>
      <c r="K2716" s="10" t="s">
        <v>7527</v>
      </c>
      <c r="L2716" s="10" t="s">
        <v>42</v>
      </c>
    </row>
    <row r="2717" ht="15.75" customHeight="1">
      <c r="A2717" s="64">
        <v>45473.0</v>
      </c>
      <c r="B2717" s="55" t="str">
        <f>HYPERLINK("https://jobright.ai/jobs/info/6681b8063a7b90a95b358178?utm_campaign=1062&amp;utm_source=sheet", "Apply")</f>
        <v>Apply</v>
      </c>
      <c r="C2717" s="10" t="s">
        <v>7524</v>
      </c>
      <c r="D2717" s="56" t="s">
        <v>7525</v>
      </c>
      <c r="E2717" s="10" t="s">
        <v>137</v>
      </c>
      <c r="F2717" s="10" t="s">
        <v>7526</v>
      </c>
      <c r="G2717" s="10" t="s">
        <v>2579</v>
      </c>
      <c r="H2717" s="10" t="s">
        <v>907</v>
      </c>
      <c r="I2717" s="10" t="s">
        <v>55</v>
      </c>
      <c r="K2717" s="10" t="s">
        <v>7527</v>
      </c>
      <c r="L2717" s="10" t="s">
        <v>42</v>
      </c>
    </row>
    <row r="2718" ht="15.75" customHeight="1">
      <c r="A2718" s="64">
        <v>45473.0</v>
      </c>
      <c r="B2718" s="55" t="str">
        <f>HYPERLINK("https://jobright.ai/jobs/info/6681b8063a7b90a95b35816d?utm_campaign=1062&amp;utm_source=sheet", "Apply")</f>
        <v>Apply</v>
      </c>
      <c r="C2718" s="10" t="s">
        <v>7524</v>
      </c>
      <c r="D2718" s="56" t="s">
        <v>7525</v>
      </c>
      <c r="E2718" s="10" t="s">
        <v>137</v>
      </c>
      <c r="F2718" s="10" t="s">
        <v>7526</v>
      </c>
      <c r="G2718" s="10" t="s">
        <v>2579</v>
      </c>
      <c r="H2718" s="10" t="s">
        <v>885</v>
      </c>
      <c r="I2718" s="10" t="s">
        <v>55</v>
      </c>
      <c r="K2718" s="10" t="s">
        <v>7527</v>
      </c>
      <c r="L2718" s="10" t="s">
        <v>42</v>
      </c>
    </row>
    <row r="2719" ht="15.75" customHeight="1">
      <c r="A2719" s="64">
        <v>45473.0</v>
      </c>
      <c r="B2719" s="55" t="str">
        <f>HYPERLINK("https://jobright.ai/jobs/info/6681b8063a7b90a95b358183?utm_campaign=1062&amp;utm_source=sheet", "Apply")</f>
        <v>Apply</v>
      </c>
      <c r="C2719" s="10" t="s">
        <v>7524</v>
      </c>
      <c r="D2719" s="56" t="s">
        <v>7525</v>
      </c>
      <c r="E2719" s="10" t="s">
        <v>137</v>
      </c>
      <c r="F2719" s="10" t="s">
        <v>7526</v>
      </c>
      <c r="G2719" s="10" t="s">
        <v>2579</v>
      </c>
      <c r="H2719" s="10" t="s">
        <v>361</v>
      </c>
      <c r="I2719" s="10" t="s">
        <v>55</v>
      </c>
      <c r="K2719" s="10" t="s">
        <v>7527</v>
      </c>
      <c r="L2719" s="10" t="s">
        <v>42</v>
      </c>
    </row>
    <row r="2720" ht="15.75" customHeight="1">
      <c r="A2720" s="64">
        <v>45473.0</v>
      </c>
      <c r="B2720" s="55" t="str">
        <f>HYPERLINK("https://jobright.ai/jobs/info/6681b8063a7b90a95b358182?utm_campaign=1062&amp;utm_source=sheet", "Apply")</f>
        <v>Apply</v>
      </c>
      <c r="C2720" s="10" t="s">
        <v>7524</v>
      </c>
      <c r="D2720" s="56" t="s">
        <v>7525</v>
      </c>
      <c r="E2720" s="10" t="s">
        <v>137</v>
      </c>
      <c r="F2720" s="10" t="s">
        <v>7526</v>
      </c>
      <c r="G2720" s="10" t="s">
        <v>2579</v>
      </c>
      <c r="H2720" s="10" t="s">
        <v>866</v>
      </c>
      <c r="I2720" s="10" t="s">
        <v>55</v>
      </c>
      <c r="K2720" s="10" t="s">
        <v>7527</v>
      </c>
      <c r="L2720" s="10" t="s">
        <v>42</v>
      </c>
    </row>
    <row r="2721" ht="15.75" customHeight="1">
      <c r="A2721" s="64">
        <v>45473.0</v>
      </c>
      <c r="B2721" s="55" t="str">
        <f>HYPERLINK("https://jobright.ai/jobs/info/6681b8063a7b90a95b35817f?utm_campaign=1062&amp;utm_source=sheet", "Apply")</f>
        <v>Apply</v>
      </c>
      <c r="C2721" s="10" t="s">
        <v>7524</v>
      </c>
      <c r="D2721" s="56" t="s">
        <v>7525</v>
      </c>
      <c r="E2721" s="10" t="s">
        <v>137</v>
      </c>
      <c r="F2721" s="10" t="s">
        <v>7526</v>
      </c>
      <c r="G2721" s="10" t="s">
        <v>2579</v>
      </c>
      <c r="H2721" s="10" t="s">
        <v>117</v>
      </c>
      <c r="I2721" s="10" t="s">
        <v>55</v>
      </c>
      <c r="K2721" s="10" t="s">
        <v>7527</v>
      </c>
      <c r="L2721" s="10" t="s">
        <v>42</v>
      </c>
    </row>
    <row r="2722" ht="15.75" customHeight="1">
      <c r="A2722" s="64">
        <v>45473.0</v>
      </c>
      <c r="B2722" s="55" t="str">
        <f>HYPERLINK("https://jobright.ai/jobs/info/6681b8063a7b90a95b35816e?utm_campaign=1062&amp;utm_source=sheet", "Apply")</f>
        <v>Apply</v>
      </c>
      <c r="C2722" s="10" t="s">
        <v>7524</v>
      </c>
      <c r="D2722" s="56" t="s">
        <v>7525</v>
      </c>
      <c r="E2722" s="10" t="s">
        <v>137</v>
      </c>
      <c r="F2722" s="10" t="s">
        <v>7526</v>
      </c>
      <c r="G2722" s="10" t="s">
        <v>2579</v>
      </c>
      <c r="H2722" s="10" t="s">
        <v>1024</v>
      </c>
      <c r="I2722" s="10" t="s">
        <v>55</v>
      </c>
      <c r="K2722" s="10" t="s">
        <v>7527</v>
      </c>
      <c r="L2722" s="10" t="s">
        <v>42</v>
      </c>
    </row>
    <row r="2723" ht="15.75" customHeight="1">
      <c r="A2723" s="64">
        <v>45473.0</v>
      </c>
      <c r="B2723" s="55" t="str">
        <f>HYPERLINK("https://jobright.ai/jobs/info/6681b8063a7b90a95b358179?utm_campaign=1062&amp;utm_source=sheet", "Apply")</f>
        <v>Apply</v>
      </c>
      <c r="C2723" s="10" t="s">
        <v>7524</v>
      </c>
      <c r="D2723" s="56" t="s">
        <v>7525</v>
      </c>
      <c r="E2723" s="10" t="s">
        <v>137</v>
      </c>
      <c r="F2723" s="10" t="s">
        <v>7526</v>
      </c>
      <c r="G2723" s="10" t="s">
        <v>2579</v>
      </c>
      <c r="H2723" s="10" t="s">
        <v>786</v>
      </c>
      <c r="I2723" s="10" t="s">
        <v>55</v>
      </c>
      <c r="K2723" s="10" t="s">
        <v>7527</v>
      </c>
      <c r="L2723" s="10" t="s">
        <v>42</v>
      </c>
    </row>
    <row r="2724" ht="15.75" customHeight="1">
      <c r="A2724" s="64">
        <v>45473.0</v>
      </c>
      <c r="B2724" s="55" t="str">
        <f>HYPERLINK("https://jobright.ai/jobs/info/6681b80a3a7b90a95b358185?utm_campaign=1062&amp;utm_source=sheet", "Apply")</f>
        <v>Apply</v>
      </c>
      <c r="C2724" s="10" t="s">
        <v>7524</v>
      </c>
      <c r="D2724" s="56" t="s">
        <v>7525</v>
      </c>
      <c r="E2724" s="10" t="s">
        <v>137</v>
      </c>
      <c r="F2724" s="10" t="s">
        <v>7526</v>
      </c>
      <c r="G2724" s="10" t="s">
        <v>2579</v>
      </c>
      <c r="H2724" s="10" t="s">
        <v>818</v>
      </c>
      <c r="I2724" s="10" t="s">
        <v>55</v>
      </c>
      <c r="K2724" s="10" t="s">
        <v>7527</v>
      </c>
      <c r="L2724" s="10" t="s">
        <v>42</v>
      </c>
    </row>
    <row r="2725" ht="15.75" customHeight="1">
      <c r="A2725" s="64">
        <v>45473.0</v>
      </c>
      <c r="B2725" s="55" t="str">
        <f>HYPERLINK("https://jobright.ai/jobs/info/6681b8063a7b90a95b35817c?utm_campaign=1062&amp;utm_source=sheet", "Apply")</f>
        <v>Apply</v>
      </c>
      <c r="C2725" s="10" t="s">
        <v>7524</v>
      </c>
      <c r="D2725" s="56" t="s">
        <v>7525</v>
      </c>
      <c r="E2725" s="10" t="s">
        <v>137</v>
      </c>
      <c r="F2725" s="10" t="s">
        <v>7526</v>
      </c>
      <c r="G2725" s="10" t="s">
        <v>2579</v>
      </c>
      <c r="H2725" s="10" t="s">
        <v>888</v>
      </c>
      <c r="I2725" s="10" t="s">
        <v>55</v>
      </c>
      <c r="K2725" s="10" t="s">
        <v>7527</v>
      </c>
      <c r="L2725" s="10" t="s">
        <v>42</v>
      </c>
    </row>
    <row r="2726" ht="15.75" customHeight="1">
      <c r="A2726" s="64">
        <v>45473.0</v>
      </c>
      <c r="B2726" s="55" t="str">
        <f>HYPERLINK("https://jobright.ai/jobs/info/6681b8063a7b90a95b358176?utm_campaign=1062&amp;utm_source=sheet", "Apply")</f>
        <v>Apply</v>
      </c>
      <c r="C2726" s="10" t="s">
        <v>7524</v>
      </c>
      <c r="D2726" s="56" t="s">
        <v>7525</v>
      </c>
      <c r="E2726" s="10" t="s">
        <v>137</v>
      </c>
      <c r="F2726" s="10" t="s">
        <v>7526</v>
      </c>
      <c r="G2726" s="10" t="s">
        <v>2579</v>
      </c>
      <c r="H2726" s="10" t="s">
        <v>131</v>
      </c>
      <c r="I2726" s="10" t="s">
        <v>55</v>
      </c>
      <c r="K2726" s="10" t="s">
        <v>7527</v>
      </c>
      <c r="L2726" s="10" t="s">
        <v>42</v>
      </c>
    </row>
    <row r="2727" ht="15.75" customHeight="1">
      <c r="A2727" s="64">
        <v>45473.0</v>
      </c>
      <c r="B2727" s="55" t="str">
        <f>HYPERLINK("https://jobright.ai/jobs/info/6681b8063a7b90a95b35816f?utm_campaign=1062&amp;utm_source=sheet", "Apply")</f>
        <v>Apply</v>
      </c>
      <c r="C2727" s="10" t="s">
        <v>7524</v>
      </c>
      <c r="D2727" s="56" t="s">
        <v>7525</v>
      </c>
      <c r="E2727" s="10" t="s">
        <v>137</v>
      </c>
      <c r="F2727" s="10" t="s">
        <v>7526</v>
      </c>
      <c r="G2727" s="10" t="s">
        <v>2579</v>
      </c>
      <c r="H2727" s="10" t="s">
        <v>841</v>
      </c>
      <c r="I2727" s="10" t="s">
        <v>55</v>
      </c>
      <c r="K2727" s="10" t="s">
        <v>7527</v>
      </c>
      <c r="L2727" s="10" t="s">
        <v>42</v>
      </c>
    </row>
    <row r="2728" ht="15.75" customHeight="1">
      <c r="A2728" s="64">
        <v>45473.0</v>
      </c>
      <c r="B2728" s="55" t="str">
        <f>HYPERLINK("https://jobright.ai/jobs/info/6681b8063a7b90a95b358172?utm_campaign=1062&amp;utm_source=sheet", "Apply")</f>
        <v>Apply</v>
      </c>
      <c r="C2728" s="10" t="s">
        <v>7524</v>
      </c>
      <c r="D2728" s="56" t="s">
        <v>7525</v>
      </c>
      <c r="E2728" s="10" t="s">
        <v>137</v>
      </c>
      <c r="F2728" s="10" t="s">
        <v>7526</v>
      </c>
      <c r="G2728" s="10" t="s">
        <v>2579</v>
      </c>
      <c r="H2728" s="10" t="s">
        <v>957</v>
      </c>
      <c r="I2728" s="10" t="s">
        <v>55</v>
      </c>
      <c r="K2728" s="10" t="s">
        <v>7527</v>
      </c>
      <c r="L2728" s="10" t="s">
        <v>42</v>
      </c>
    </row>
    <row r="2729" ht="15.75" customHeight="1">
      <c r="A2729" s="64">
        <v>45473.0</v>
      </c>
      <c r="B2729" s="55" t="str">
        <f>HYPERLINK("https://jobright.ai/jobs/info/6681b8063a7b90a95b358171?utm_campaign=1062&amp;utm_source=sheet", "Apply")</f>
        <v>Apply</v>
      </c>
      <c r="C2729" s="10" t="s">
        <v>7524</v>
      </c>
      <c r="D2729" s="56" t="s">
        <v>7525</v>
      </c>
      <c r="E2729" s="10" t="s">
        <v>137</v>
      </c>
      <c r="F2729" s="10" t="s">
        <v>7526</v>
      </c>
      <c r="G2729" s="10" t="s">
        <v>2579</v>
      </c>
      <c r="H2729" s="10" t="s">
        <v>245</v>
      </c>
      <c r="I2729" s="10" t="s">
        <v>55</v>
      </c>
      <c r="K2729" s="10" t="s">
        <v>7527</v>
      </c>
      <c r="L2729" s="10" t="s">
        <v>42</v>
      </c>
    </row>
    <row r="2730" ht="15.75" customHeight="1">
      <c r="A2730" s="64">
        <v>45473.0</v>
      </c>
      <c r="B2730" s="55" t="str">
        <f>HYPERLINK("https://jobright.ai/jobs/info/6681b8063a7b90a95b358173?utm_campaign=1062&amp;utm_source=sheet", "Apply")</f>
        <v>Apply</v>
      </c>
      <c r="C2730" s="10" t="s">
        <v>7524</v>
      </c>
      <c r="D2730" s="56" t="s">
        <v>7525</v>
      </c>
      <c r="E2730" s="10" t="s">
        <v>137</v>
      </c>
      <c r="F2730" s="10" t="s">
        <v>7526</v>
      </c>
      <c r="G2730" s="10" t="s">
        <v>2579</v>
      </c>
      <c r="H2730" s="10" t="s">
        <v>146</v>
      </c>
      <c r="I2730" s="10" t="s">
        <v>55</v>
      </c>
      <c r="K2730" s="10" t="s">
        <v>7527</v>
      </c>
      <c r="L2730" s="10" t="s">
        <v>42</v>
      </c>
    </row>
    <row r="2731" ht="15.75" customHeight="1">
      <c r="A2731" s="64">
        <v>45473.0</v>
      </c>
      <c r="B2731" s="55" t="str">
        <f>HYPERLINK("https://jobright.ai/jobs/info/6681b80a3a7b90a95b358192?utm_campaign=1062&amp;utm_source=sheet", "Apply")</f>
        <v>Apply</v>
      </c>
      <c r="C2731" s="10" t="s">
        <v>7524</v>
      </c>
      <c r="D2731" s="56" t="s">
        <v>7525</v>
      </c>
      <c r="E2731" s="10" t="s">
        <v>137</v>
      </c>
      <c r="F2731" s="10" t="s">
        <v>7526</v>
      </c>
      <c r="G2731" s="10" t="s">
        <v>2579</v>
      </c>
      <c r="H2731" s="10" t="s">
        <v>848</v>
      </c>
      <c r="I2731" s="10" t="s">
        <v>55</v>
      </c>
      <c r="K2731" s="10" t="s">
        <v>7527</v>
      </c>
      <c r="L2731" s="10" t="s">
        <v>42</v>
      </c>
    </row>
    <row r="2732" ht="15.75" customHeight="1">
      <c r="A2732" s="64">
        <v>45473.0</v>
      </c>
      <c r="B2732" s="55" t="str">
        <f>HYPERLINK("https://jobright.ai/jobs/info/6681b80a3a7b90a95b35818f?utm_campaign=1062&amp;utm_source=sheet", "Apply")</f>
        <v>Apply</v>
      </c>
      <c r="C2732" s="10" t="s">
        <v>7524</v>
      </c>
      <c r="D2732" s="56" t="s">
        <v>7525</v>
      </c>
      <c r="E2732" s="10" t="s">
        <v>137</v>
      </c>
      <c r="F2732" s="10" t="s">
        <v>7526</v>
      </c>
      <c r="G2732" s="10" t="s">
        <v>2579</v>
      </c>
      <c r="H2732" s="10" t="s">
        <v>845</v>
      </c>
      <c r="I2732" s="10" t="s">
        <v>55</v>
      </c>
      <c r="K2732" s="10" t="s">
        <v>7527</v>
      </c>
      <c r="L2732" s="10" t="s">
        <v>42</v>
      </c>
    </row>
    <row r="2733" ht="15.75" customHeight="1">
      <c r="A2733" s="64">
        <v>45473.0</v>
      </c>
      <c r="B2733" s="55" t="str">
        <f>HYPERLINK("https://jobright.ai/jobs/info/6681b80a3a7b90a95b358193?utm_campaign=1062&amp;utm_source=sheet", "Apply")</f>
        <v>Apply</v>
      </c>
      <c r="C2733" s="10" t="s">
        <v>7524</v>
      </c>
      <c r="D2733" s="56" t="s">
        <v>7525</v>
      </c>
      <c r="E2733" s="10" t="s">
        <v>137</v>
      </c>
      <c r="F2733" s="10" t="s">
        <v>7526</v>
      </c>
      <c r="G2733" s="10" t="s">
        <v>2579</v>
      </c>
      <c r="H2733" s="10" t="s">
        <v>823</v>
      </c>
      <c r="I2733" s="10" t="s">
        <v>55</v>
      </c>
      <c r="K2733" s="10" t="s">
        <v>7527</v>
      </c>
      <c r="L2733" s="10" t="s">
        <v>42</v>
      </c>
    </row>
    <row r="2734" ht="15.75" customHeight="1">
      <c r="A2734" s="64">
        <v>45473.0</v>
      </c>
      <c r="B2734" s="55" t="str">
        <f>HYPERLINK("https://jobright.ai/jobs/info/6681b80a3a7b90a95b358190?utm_campaign=1062&amp;utm_source=sheet", "Apply")</f>
        <v>Apply</v>
      </c>
      <c r="C2734" s="10" t="s">
        <v>7524</v>
      </c>
      <c r="D2734" s="56" t="s">
        <v>7525</v>
      </c>
      <c r="E2734" s="10" t="s">
        <v>137</v>
      </c>
      <c r="F2734" s="10" t="s">
        <v>7526</v>
      </c>
      <c r="G2734" s="10" t="s">
        <v>2579</v>
      </c>
      <c r="H2734" s="10" t="s">
        <v>853</v>
      </c>
      <c r="I2734" s="10" t="s">
        <v>55</v>
      </c>
      <c r="K2734" s="10" t="s">
        <v>7527</v>
      </c>
      <c r="L2734" s="10" t="s">
        <v>42</v>
      </c>
    </row>
    <row r="2735" ht="15.75" customHeight="1">
      <c r="A2735" s="64">
        <v>45473.0</v>
      </c>
      <c r="B2735" s="55" t="str">
        <f>HYPERLINK("https://jobright.ai/jobs/info/6681b80a3a7b90a95b35818c?utm_campaign=1062&amp;utm_source=sheet", "Apply")</f>
        <v>Apply</v>
      </c>
      <c r="C2735" s="10" t="s">
        <v>7524</v>
      </c>
      <c r="D2735" s="56" t="s">
        <v>7525</v>
      </c>
      <c r="E2735" s="10" t="s">
        <v>137</v>
      </c>
      <c r="F2735" s="10" t="s">
        <v>7526</v>
      </c>
      <c r="G2735" s="10" t="s">
        <v>2579</v>
      </c>
      <c r="H2735" s="10" t="s">
        <v>802</v>
      </c>
      <c r="I2735" s="10" t="s">
        <v>55</v>
      </c>
      <c r="K2735" s="10" t="s">
        <v>7527</v>
      </c>
      <c r="L2735" s="10" t="s">
        <v>42</v>
      </c>
    </row>
    <row r="2736" ht="15.75" customHeight="1">
      <c r="A2736" s="64">
        <v>45473.0</v>
      </c>
      <c r="B2736" s="55" t="str">
        <f>HYPERLINK("https://jobright.ai/jobs/info/6681b80a3a7b90a95b35818e?utm_campaign=1062&amp;utm_source=sheet", "Apply")</f>
        <v>Apply</v>
      </c>
      <c r="C2736" s="10" t="s">
        <v>7524</v>
      </c>
      <c r="D2736" s="56" t="s">
        <v>7525</v>
      </c>
      <c r="E2736" s="10" t="s">
        <v>137</v>
      </c>
      <c r="F2736" s="10" t="s">
        <v>7526</v>
      </c>
      <c r="G2736" s="10" t="s">
        <v>2579</v>
      </c>
      <c r="H2736" s="10" t="s">
        <v>873</v>
      </c>
      <c r="I2736" s="10" t="s">
        <v>55</v>
      </c>
      <c r="K2736" s="10" t="s">
        <v>7527</v>
      </c>
      <c r="L2736" s="10" t="s">
        <v>42</v>
      </c>
    </row>
    <row r="2737" ht="15.75" customHeight="1">
      <c r="A2737" s="64">
        <v>45473.0</v>
      </c>
      <c r="B2737" s="55" t="str">
        <f>HYPERLINK("https://jobright.ai/jobs/info/6681b80a3a7b90a95b358191?utm_campaign=1062&amp;utm_source=sheet", "Apply")</f>
        <v>Apply</v>
      </c>
      <c r="C2737" s="10" t="s">
        <v>7524</v>
      </c>
      <c r="D2737" s="56" t="s">
        <v>7525</v>
      </c>
      <c r="E2737" s="10" t="s">
        <v>137</v>
      </c>
      <c r="F2737" s="10" t="s">
        <v>7526</v>
      </c>
      <c r="G2737" s="10" t="s">
        <v>2579</v>
      </c>
      <c r="H2737" s="10" t="s">
        <v>954</v>
      </c>
      <c r="I2737" s="10" t="s">
        <v>55</v>
      </c>
      <c r="K2737" s="10" t="s">
        <v>7527</v>
      </c>
      <c r="L2737" s="10" t="s">
        <v>42</v>
      </c>
    </row>
    <row r="2738" ht="15.75" customHeight="1">
      <c r="A2738" s="64">
        <v>45473.0</v>
      </c>
      <c r="B2738" s="55" t="str">
        <f>HYPERLINK("https://jobright.ai/jobs/info/6681b80a3a7b90a95b35818b?utm_campaign=1062&amp;utm_source=sheet", "Apply")</f>
        <v>Apply</v>
      </c>
      <c r="C2738" s="10" t="s">
        <v>7524</v>
      </c>
      <c r="D2738" s="56" t="s">
        <v>7525</v>
      </c>
      <c r="E2738" s="10" t="s">
        <v>137</v>
      </c>
      <c r="F2738" s="10" t="s">
        <v>7526</v>
      </c>
      <c r="G2738" s="10" t="s">
        <v>2579</v>
      </c>
      <c r="H2738" s="10" t="s">
        <v>852</v>
      </c>
      <c r="I2738" s="10" t="s">
        <v>55</v>
      </c>
      <c r="K2738" s="10" t="s">
        <v>7527</v>
      </c>
      <c r="L2738" s="10" t="s">
        <v>42</v>
      </c>
    </row>
    <row r="2739" ht="15.75" customHeight="1">
      <c r="A2739" s="64">
        <v>45473.0</v>
      </c>
      <c r="B2739" s="55" t="str">
        <f>HYPERLINK("https://jobright.ai/jobs/info/6681b80a3a7b90a95b35818a?utm_campaign=1062&amp;utm_source=sheet", "Apply")</f>
        <v>Apply</v>
      </c>
      <c r="C2739" s="10" t="s">
        <v>7524</v>
      </c>
      <c r="D2739" s="56" t="s">
        <v>7525</v>
      </c>
      <c r="E2739" s="10" t="s">
        <v>137</v>
      </c>
      <c r="F2739" s="10" t="s">
        <v>7526</v>
      </c>
      <c r="G2739" s="10" t="s">
        <v>2579</v>
      </c>
      <c r="H2739" s="10" t="s">
        <v>774</v>
      </c>
      <c r="I2739" s="10" t="s">
        <v>55</v>
      </c>
      <c r="K2739" s="10" t="s">
        <v>7527</v>
      </c>
      <c r="L2739" s="10" t="s">
        <v>42</v>
      </c>
    </row>
    <row r="2740" ht="15.75" customHeight="1">
      <c r="A2740" s="64">
        <v>45473.0</v>
      </c>
      <c r="B2740" s="55" t="str">
        <f>HYPERLINK("https://jobright.ai/jobs/info/6681b80a3a7b90a95b35818d?utm_campaign=1062&amp;utm_source=sheet", "Apply")</f>
        <v>Apply</v>
      </c>
      <c r="C2740" s="10" t="s">
        <v>7524</v>
      </c>
      <c r="D2740" s="56" t="s">
        <v>7525</v>
      </c>
      <c r="E2740" s="10" t="s">
        <v>137</v>
      </c>
      <c r="F2740" s="10" t="s">
        <v>7526</v>
      </c>
      <c r="G2740" s="10" t="s">
        <v>2579</v>
      </c>
      <c r="H2740" s="10" t="s">
        <v>881</v>
      </c>
      <c r="I2740" s="10" t="s">
        <v>55</v>
      </c>
      <c r="K2740" s="10" t="s">
        <v>7527</v>
      </c>
      <c r="L2740" s="10" t="s">
        <v>42</v>
      </c>
    </row>
    <row r="2741" ht="15.75" customHeight="1">
      <c r="A2741" s="64">
        <v>45473.0</v>
      </c>
      <c r="B2741" s="55" t="str">
        <f>HYPERLINK("https://jobright.ai/jobs/info/6681b80a3a7b90a95b358194?utm_campaign=1062&amp;utm_source=sheet", "Apply")</f>
        <v>Apply</v>
      </c>
      <c r="C2741" s="10" t="s">
        <v>7524</v>
      </c>
      <c r="D2741" s="56" t="s">
        <v>7525</v>
      </c>
      <c r="E2741" s="10" t="s">
        <v>137</v>
      </c>
      <c r="F2741" s="10" t="s">
        <v>7526</v>
      </c>
      <c r="G2741" s="10" t="s">
        <v>2579</v>
      </c>
      <c r="H2741" s="10" t="s">
        <v>847</v>
      </c>
      <c r="I2741" s="10" t="s">
        <v>55</v>
      </c>
      <c r="K2741" s="10" t="s">
        <v>7527</v>
      </c>
      <c r="L2741" s="10" t="s">
        <v>42</v>
      </c>
    </row>
    <row r="2742" ht="15.75" customHeight="1">
      <c r="A2742" s="64">
        <v>45473.0</v>
      </c>
      <c r="B2742" s="55" t="str">
        <f>HYPERLINK("https://jobright.ai/jobs/info/6681b80a3a7b90a95b358196?utm_campaign=1062&amp;utm_source=sheet", "Apply")</f>
        <v>Apply</v>
      </c>
      <c r="C2742" s="10" t="s">
        <v>7524</v>
      </c>
      <c r="D2742" s="56" t="s">
        <v>7525</v>
      </c>
      <c r="E2742" s="10" t="s">
        <v>137</v>
      </c>
      <c r="F2742" s="10" t="s">
        <v>7526</v>
      </c>
      <c r="G2742" s="10" t="s">
        <v>2579</v>
      </c>
      <c r="H2742" s="10" t="s">
        <v>605</v>
      </c>
      <c r="I2742" s="10" t="s">
        <v>55</v>
      </c>
      <c r="K2742" s="10" t="s">
        <v>7527</v>
      </c>
      <c r="L2742" s="10" t="s">
        <v>42</v>
      </c>
    </row>
    <row r="2743" ht="15.75" customHeight="1">
      <c r="A2743" s="64">
        <v>45473.0</v>
      </c>
      <c r="B2743" s="55" t="str">
        <f>HYPERLINK("https://jobright.ai/jobs/info/6681b80a3a7b90a95b358198?utm_campaign=1062&amp;utm_source=sheet", "Apply")</f>
        <v>Apply</v>
      </c>
      <c r="C2743" s="10" t="s">
        <v>7524</v>
      </c>
      <c r="D2743" s="56" t="s">
        <v>7525</v>
      </c>
      <c r="E2743" s="10" t="s">
        <v>137</v>
      </c>
      <c r="F2743" s="10" t="s">
        <v>7526</v>
      </c>
      <c r="G2743" s="10" t="s">
        <v>2579</v>
      </c>
      <c r="H2743" s="10" t="s">
        <v>621</v>
      </c>
      <c r="I2743" s="10" t="s">
        <v>55</v>
      </c>
      <c r="K2743" s="10" t="s">
        <v>7527</v>
      </c>
      <c r="L2743" s="10" t="s">
        <v>42</v>
      </c>
    </row>
    <row r="2744" ht="15.75" customHeight="1">
      <c r="A2744" s="64">
        <v>45473.0</v>
      </c>
      <c r="B2744" s="55" t="str">
        <f>HYPERLINK("https://jobright.ai/jobs/info/6681b80a3a7b90a95b358195?utm_campaign=1062&amp;utm_source=sheet", "Apply")</f>
        <v>Apply</v>
      </c>
      <c r="C2744" s="10" t="s">
        <v>7524</v>
      </c>
      <c r="D2744" s="56" t="s">
        <v>7525</v>
      </c>
      <c r="E2744" s="10" t="s">
        <v>137</v>
      </c>
      <c r="F2744" s="10" t="s">
        <v>7526</v>
      </c>
      <c r="G2744" s="10" t="s">
        <v>2579</v>
      </c>
      <c r="H2744" s="10" t="s">
        <v>936</v>
      </c>
      <c r="I2744" s="10" t="s">
        <v>55</v>
      </c>
      <c r="K2744" s="10" t="s">
        <v>7527</v>
      </c>
      <c r="L2744" s="10" t="s">
        <v>42</v>
      </c>
    </row>
    <row r="2745" ht="15.75" customHeight="1">
      <c r="A2745" s="64">
        <v>45473.0</v>
      </c>
      <c r="B2745" s="55" t="str">
        <f>HYPERLINK("https://jobright.ai/jobs/info/6681b80a3a7b90a95b358197?utm_campaign=1062&amp;utm_source=sheet", "Apply")</f>
        <v>Apply</v>
      </c>
      <c r="C2745" s="10" t="s">
        <v>7524</v>
      </c>
      <c r="D2745" s="56" t="s">
        <v>7525</v>
      </c>
      <c r="E2745" s="10" t="s">
        <v>137</v>
      </c>
      <c r="F2745" s="10" t="s">
        <v>7526</v>
      </c>
      <c r="G2745" s="10" t="s">
        <v>2579</v>
      </c>
      <c r="H2745" s="10" t="s">
        <v>779</v>
      </c>
      <c r="I2745" s="10" t="s">
        <v>55</v>
      </c>
      <c r="K2745" s="10" t="s">
        <v>7527</v>
      </c>
      <c r="L2745" s="10" t="s">
        <v>42</v>
      </c>
    </row>
    <row r="2746" ht="15.75" customHeight="1">
      <c r="A2746" s="64">
        <v>45473.0</v>
      </c>
      <c r="B2746" s="55" t="str">
        <f>HYPERLINK("https://jobright.ai/jobs/info/6681d145c41f5e36684d5990?utm_campaign=1062&amp;utm_source=sheet", "Apply")</f>
        <v>Apply</v>
      </c>
      <c r="C2746" s="10" t="s">
        <v>7524</v>
      </c>
      <c r="D2746" s="56" t="s">
        <v>7525</v>
      </c>
      <c r="E2746" s="10" t="s">
        <v>137</v>
      </c>
      <c r="F2746" s="10" t="s">
        <v>7526</v>
      </c>
      <c r="G2746" s="10" t="s">
        <v>2579</v>
      </c>
      <c r="H2746" s="10" t="s">
        <v>1037</v>
      </c>
      <c r="I2746" s="10" t="s">
        <v>55</v>
      </c>
      <c r="K2746" s="10" t="s">
        <v>7527</v>
      </c>
      <c r="L2746" s="10" t="s">
        <v>42</v>
      </c>
    </row>
    <row r="2747" ht="15.75" customHeight="1">
      <c r="A2747" s="64">
        <v>45473.0</v>
      </c>
      <c r="B2747" s="55" t="str">
        <f>HYPERLINK("https://jobright.ai/jobs/info/6681d145c41f5e36684d5993?utm_campaign=1062&amp;utm_source=sheet", "Apply")</f>
        <v>Apply</v>
      </c>
      <c r="C2747" s="10" t="s">
        <v>7524</v>
      </c>
      <c r="D2747" s="56" t="s">
        <v>7525</v>
      </c>
      <c r="E2747" s="10" t="s">
        <v>137</v>
      </c>
      <c r="F2747" s="10" t="s">
        <v>7526</v>
      </c>
      <c r="G2747" s="10" t="s">
        <v>2579</v>
      </c>
      <c r="H2747" s="10" t="s">
        <v>851</v>
      </c>
      <c r="I2747" s="10" t="s">
        <v>55</v>
      </c>
      <c r="K2747" s="10" t="s">
        <v>7527</v>
      </c>
      <c r="L2747" s="10" t="s">
        <v>42</v>
      </c>
    </row>
    <row r="2748" ht="15.75" customHeight="1">
      <c r="A2748" s="64">
        <v>45473.0</v>
      </c>
      <c r="B2748" s="55" t="str">
        <f>HYPERLINK("https://jobright.ai/jobs/info/6681d145c41f5e36684d5992?utm_campaign=1062&amp;utm_source=sheet", "Apply")</f>
        <v>Apply</v>
      </c>
      <c r="C2748" s="10" t="s">
        <v>7524</v>
      </c>
      <c r="D2748" s="56" t="s">
        <v>7525</v>
      </c>
      <c r="E2748" s="10" t="s">
        <v>137</v>
      </c>
      <c r="F2748" s="10" t="s">
        <v>7526</v>
      </c>
      <c r="G2748" s="10" t="s">
        <v>2579</v>
      </c>
      <c r="H2748" s="10" t="s">
        <v>1022</v>
      </c>
      <c r="I2748" s="10" t="s">
        <v>55</v>
      </c>
      <c r="K2748" s="10" t="s">
        <v>7527</v>
      </c>
      <c r="L2748" s="10" t="s">
        <v>42</v>
      </c>
    </row>
    <row r="2749" ht="15.75" customHeight="1">
      <c r="A2749" s="64">
        <v>45473.0</v>
      </c>
      <c r="B2749" s="55" t="str">
        <f>HYPERLINK("https://jobright.ai/jobs/info/6681c672cefd2910140188fc?utm_campaign=1062&amp;utm_source=sheet", "Apply")</f>
        <v>Apply</v>
      </c>
      <c r="C2749" s="10" t="s">
        <v>7524</v>
      </c>
      <c r="D2749" s="56" t="s">
        <v>7525</v>
      </c>
      <c r="E2749" s="10" t="s">
        <v>137</v>
      </c>
      <c r="F2749" s="10" t="s">
        <v>7526</v>
      </c>
      <c r="G2749" s="10" t="s">
        <v>2579</v>
      </c>
      <c r="H2749" s="10" t="s">
        <v>945</v>
      </c>
      <c r="I2749" s="10" t="s">
        <v>55</v>
      </c>
      <c r="K2749" s="10" t="s">
        <v>7527</v>
      </c>
      <c r="L2749" s="10" t="s">
        <v>42</v>
      </c>
    </row>
    <row r="2750" ht="15.75" customHeight="1">
      <c r="A2750" s="64">
        <v>45473.0</v>
      </c>
      <c r="B2750" s="55" t="str">
        <f>HYPERLINK("https://jobright.ai/jobs/info/6681c672cefd2910140188fd?utm_campaign=1062&amp;utm_source=sheet", "Apply")</f>
        <v>Apply</v>
      </c>
      <c r="C2750" s="10" t="s">
        <v>7524</v>
      </c>
      <c r="D2750" s="56" t="s">
        <v>7525</v>
      </c>
      <c r="E2750" s="10" t="s">
        <v>137</v>
      </c>
      <c r="F2750" s="10" t="s">
        <v>7526</v>
      </c>
      <c r="G2750" s="10" t="s">
        <v>2579</v>
      </c>
      <c r="H2750" s="10" t="s">
        <v>949</v>
      </c>
      <c r="I2750" s="10" t="s">
        <v>55</v>
      </c>
      <c r="K2750" s="10" t="s">
        <v>7527</v>
      </c>
      <c r="L2750" s="10" t="s">
        <v>42</v>
      </c>
    </row>
    <row r="2751" ht="15.75" customHeight="1">
      <c r="A2751" s="64">
        <v>45473.0</v>
      </c>
      <c r="B2751" s="55" t="str">
        <f>HYPERLINK("https://jobright.ai/jobs/info/6681c672cefd2910140188fe?utm_campaign=1062&amp;utm_source=sheet", "Apply")</f>
        <v>Apply</v>
      </c>
      <c r="C2751" s="10" t="s">
        <v>7524</v>
      </c>
      <c r="D2751" s="56" t="s">
        <v>7525</v>
      </c>
      <c r="E2751" s="10" t="s">
        <v>137</v>
      </c>
      <c r="F2751" s="10" t="s">
        <v>7526</v>
      </c>
      <c r="G2751" s="10" t="s">
        <v>2579</v>
      </c>
      <c r="H2751" s="10" t="s">
        <v>857</v>
      </c>
      <c r="I2751" s="10" t="s">
        <v>55</v>
      </c>
      <c r="K2751" s="10" t="s">
        <v>7527</v>
      </c>
      <c r="L2751" s="10" t="s">
        <v>42</v>
      </c>
    </row>
    <row r="2752" ht="15.75" customHeight="1">
      <c r="A2752" s="64">
        <v>45473.0</v>
      </c>
      <c r="B2752" s="55" t="str">
        <f>HYPERLINK("https://jobright.ai/jobs/info/6681c672cefd2910140188ff?utm_campaign=1062&amp;utm_source=sheet", "Apply")</f>
        <v>Apply</v>
      </c>
      <c r="C2752" s="10" t="s">
        <v>7524</v>
      </c>
      <c r="D2752" s="56" t="s">
        <v>7525</v>
      </c>
      <c r="E2752" s="10" t="s">
        <v>137</v>
      </c>
      <c r="F2752" s="10" t="s">
        <v>7526</v>
      </c>
      <c r="G2752" s="10" t="s">
        <v>2579</v>
      </c>
      <c r="H2752" s="10" t="s">
        <v>405</v>
      </c>
      <c r="I2752" s="10" t="s">
        <v>55</v>
      </c>
      <c r="K2752" s="10" t="s">
        <v>7527</v>
      </c>
      <c r="L2752" s="10" t="s">
        <v>42</v>
      </c>
    </row>
    <row r="2753" ht="15.75" customHeight="1">
      <c r="A2753" s="64">
        <v>45473.0</v>
      </c>
      <c r="B2753" s="55" t="str">
        <f>HYPERLINK("https://jobright.ai/jobs/info/6681c672cefd291014018900?utm_campaign=1062&amp;utm_source=sheet", "Apply")</f>
        <v>Apply</v>
      </c>
      <c r="C2753" s="10" t="s">
        <v>7524</v>
      </c>
      <c r="D2753" s="56" t="s">
        <v>7525</v>
      </c>
      <c r="E2753" s="10" t="s">
        <v>137</v>
      </c>
      <c r="F2753" s="10" t="s">
        <v>7526</v>
      </c>
      <c r="G2753" s="10" t="s">
        <v>2579</v>
      </c>
      <c r="H2753" s="10" t="s">
        <v>167</v>
      </c>
      <c r="I2753" s="10" t="s">
        <v>55</v>
      </c>
      <c r="K2753" s="10" t="s">
        <v>7527</v>
      </c>
      <c r="L2753" s="10" t="s">
        <v>42</v>
      </c>
    </row>
    <row r="2754" ht="15.75" customHeight="1">
      <c r="A2754" s="64">
        <v>45473.0</v>
      </c>
      <c r="B2754" s="55" t="str">
        <f>HYPERLINK("https://jobright.ai/jobs/info/6681c672cefd291014018901?utm_campaign=1062&amp;utm_source=sheet", "Apply")</f>
        <v>Apply</v>
      </c>
      <c r="C2754" s="10" t="s">
        <v>7524</v>
      </c>
      <c r="D2754" s="56" t="s">
        <v>7525</v>
      </c>
      <c r="E2754" s="10" t="s">
        <v>137</v>
      </c>
      <c r="F2754" s="10" t="s">
        <v>7526</v>
      </c>
      <c r="G2754" s="10" t="s">
        <v>2579</v>
      </c>
      <c r="H2754" s="10" t="s">
        <v>978</v>
      </c>
      <c r="I2754" s="10" t="s">
        <v>55</v>
      </c>
      <c r="K2754" s="10" t="s">
        <v>7527</v>
      </c>
      <c r="L2754" s="10" t="s">
        <v>42</v>
      </c>
    </row>
    <row r="2755" ht="15.75" customHeight="1">
      <c r="A2755" s="64">
        <v>45473.0</v>
      </c>
      <c r="B2755" s="55" t="str">
        <f>HYPERLINK("https://jobright.ai/jobs/info/6681c672cefd291014018905?utm_campaign=1062&amp;utm_source=sheet", "Apply")</f>
        <v>Apply</v>
      </c>
      <c r="C2755" s="10" t="s">
        <v>7524</v>
      </c>
      <c r="D2755" s="56" t="s">
        <v>7525</v>
      </c>
      <c r="E2755" s="10" t="s">
        <v>137</v>
      </c>
      <c r="F2755" s="10" t="s">
        <v>7526</v>
      </c>
      <c r="G2755" s="10" t="s">
        <v>2579</v>
      </c>
      <c r="H2755" s="10" t="s">
        <v>803</v>
      </c>
      <c r="I2755" s="10" t="s">
        <v>55</v>
      </c>
      <c r="K2755" s="10" t="s">
        <v>7527</v>
      </c>
      <c r="L2755" s="10" t="s">
        <v>42</v>
      </c>
    </row>
    <row r="2756" ht="15.75" customHeight="1">
      <c r="A2756" s="64">
        <v>45473.0</v>
      </c>
      <c r="B2756" s="55" t="str">
        <f>HYPERLINK("https://jobright.ai/jobs/info/6681c672cefd291014018902?utm_campaign=1062&amp;utm_source=sheet", "Apply")</f>
        <v>Apply</v>
      </c>
      <c r="C2756" s="10" t="s">
        <v>7524</v>
      </c>
      <c r="D2756" s="56" t="s">
        <v>7525</v>
      </c>
      <c r="E2756" s="10" t="s">
        <v>137</v>
      </c>
      <c r="F2756" s="10" t="s">
        <v>7526</v>
      </c>
      <c r="G2756" s="10" t="s">
        <v>2579</v>
      </c>
      <c r="H2756" s="10" t="s">
        <v>354</v>
      </c>
      <c r="I2756" s="10" t="s">
        <v>55</v>
      </c>
      <c r="K2756" s="10" t="s">
        <v>7527</v>
      </c>
      <c r="L2756" s="10" t="s">
        <v>42</v>
      </c>
    </row>
    <row r="2757" ht="15.75" customHeight="1">
      <c r="A2757" s="64">
        <v>45473.0</v>
      </c>
      <c r="B2757" s="55" t="str">
        <f>HYPERLINK("https://jobright.ai/jobs/info/6681c672cefd291014018904?utm_campaign=1062&amp;utm_source=sheet", "Apply")</f>
        <v>Apply</v>
      </c>
      <c r="C2757" s="10" t="s">
        <v>7524</v>
      </c>
      <c r="D2757" s="56" t="s">
        <v>7525</v>
      </c>
      <c r="E2757" s="10" t="s">
        <v>137</v>
      </c>
      <c r="F2757" s="10" t="s">
        <v>7526</v>
      </c>
      <c r="G2757" s="10" t="s">
        <v>2579</v>
      </c>
      <c r="H2757" s="10" t="s">
        <v>799</v>
      </c>
      <c r="I2757" s="10" t="s">
        <v>55</v>
      </c>
      <c r="K2757" s="10" t="s">
        <v>7527</v>
      </c>
      <c r="L2757" s="10" t="s">
        <v>42</v>
      </c>
    </row>
    <row r="2758" ht="15.75" customHeight="1">
      <c r="A2758" s="64">
        <v>45473.0</v>
      </c>
      <c r="B2758" s="55" t="str">
        <f>HYPERLINK("https://jobright.ai/jobs/info/6681c672cefd291014018903?utm_campaign=1062&amp;utm_source=sheet", "Apply")</f>
        <v>Apply</v>
      </c>
      <c r="C2758" s="10" t="s">
        <v>7524</v>
      </c>
      <c r="D2758" s="56" t="s">
        <v>7525</v>
      </c>
      <c r="E2758" s="10" t="s">
        <v>137</v>
      </c>
      <c r="F2758" s="10" t="s">
        <v>7526</v>
      </c>
      <c r="G2758" s="10" t="s">
        <v>2579</v>
      </c>
      <c r="H2758" s="10" t="s">
        <v>970</v>
      </c>
      <c r="I2758" s="10" t="s">
        <v>55</v>
      </c>
      <c r="K2758" s="10" t="s">
        <v>7527</v>
      </c>
      <c r="L2758" s="10" t="s">
        <v>42</v>
      </c>
    </row>
    <row r="2759" ht="15.75" customHeight="1">
      <c r="A2759" s="64">
        <v>45473.0</v>
      </c>
      <c r="B2759" s="55" t="str">
        <f>HYPERLINK("https://jobright.ai/jobs/info/6681b70af2baaad53af9bc17?utm_campaign=1062&amp;utm_source=sheet", "Apply")</f>
        <v>Apply</v>
      </c>
      <c r="C2759" s="10" t="s">
        <v>7524</v>
      </c>
      <c r="D2759" s="56" t="s">
        <v>7525</v>
      </c>
      <c r="E2759" s="10" t="s">
        <v>137</v>
      </c>
      <c r="F2759" s="10" t="s">
        <v>7526</v>
      </c>
      <c r="G2759" s="10" t="s">
        <v>2579</v>
      </c>
      <c r="H2759" s="10" t="s">
        <v>661</v>
      </c>
      <c r="I2759" s="10" t="s">
        <v>55</v>
      </c>
      <c r="K2759" s="10" t="s">
        <v>7527</v>
      </c>
      <c r="L2759" s="10" t="s">
        <v>42</v>
      </c>
    </row>
    <row r="2760" ht="15.75" customHeight="1">
      <c r="A2760" s="64">
        <v>45473.0</v>
      </c>
      <c r="B2760" s="55" t="str">
        <f>HYPERLINK("https://jobright.ai/jobs/info/6681b70af2baaad53af9bc1d?utm_campaign=1062&amp;utm_source=sheet", "Apply")</f>
        <v>Apply</v>
      </c>
      <c r="C2760" s="10" t="s">
        <v>7524</v>
      </c>
      <c r="D2760" s="56" t="s">
        <v>7525</v>
      </c>
      <c r="E2760" s="10" t="s">
        <v>137</v>
      </c>
      <c r="F2760" s="10" t="s">
        <v>7526</v>
      </c>
      <c r="G2760" s="10" t="s">
        <v>2579</v>
      </c>
      <c r="H2760" s="10" t="s">
        <v>973</v>
      </c>
      <c r="I2760" s="10" t="s">
        <v>55</v>
      </c>
      <c r="K2760" s="10" t="s">
        <v>7527</v>
      </c>
      <c r="L2760" s="10" t="s">
        <v>42</v>
      </c>
    </row>
    <row r="2761" ht="15.75" customHeight="1">
      <c r="A2761" s="64">
        <v>45473.0</v>
      </c>
      <c r="B2761" s="55" t="str">
        <f>HYPERLINK("https://jobright.ai/jobs/info/6681b70af2baaad53af9bc19?utm_campaign=1062&amp;utm_source=sheet", "Apply")</f>
        <v>Apply</v>
      </c>
      <c r="C2761" s="10" t="s">
        <v>7524</v>
      </c>
      <c r="D2761" s="56" t="s">
        <v>7525</v>
      </c>
      <c r="E2761" s="10" t="s">
        <v>137</v>
      </c>
      <c r="F2761" s="10" t="s">
        <v>7526</v>
      </c>
      <c r="G2761" s="10" t="s">
        <v>2579</v>
      </c>
      <c r="H2761" s="10" t="s">
        <v>1020</v>
      </c>
      <c r="I2761" s="10" t="s">
        <v>55</v>
      </c>
      <c r="K2761" s="10" t="s">
        <v>7527</v>
      </c>
      <c r="L2761" s="10" t="s">
        <v>42</v>
      </c>
    </row>
    <row r="2762" ht="15.75" customHeight="1">
      <c r="A2762" s="64">
        <v>45473.0</v>
      </c>
      <c r="B2762" s="55" t="str">
        <f>HYPERLINK("https://jobright.ai/jobs/info/6681b70af2baaad53af9bc16?utm_campaign=1062&amp;utm_source=sheet", "Apply")</f>
        <v>Apply</v>
      </c>
      <c r="C2762" s="10" t="s">
        <v>7524</v>
      </c>
      <c r="D2762" s="56" t="s">
        <v>7525</v>
      </c>
      <c r="E2762" s="10" t="s">
        <v>137</v>
      </c>
      <c r="F2762" s="10" t="s">
        <v>7526</v>
      </c>
      <c r="G2762" s="10" t="s">
        <v>2579</v>
      </c>
      <c r="H2762" s="10" t="s">
        <v>960</v>
      </c>
      <c r="I2762" s="10" t="s">
        <v>55</v>
      </c>
      <c r="K2762" s="10" t="s">
        <v>7527</v>
      </c>
      <c r="L2762" s="10" t="s">
        <v>42</v>
      </c>
    </row>
    <row r="2763" ht="15.75" customHeight="1">
      <c r="A2763" s="64">
        <v>45473.0</v>
      </c>
      <c r="B2763" s="55" t="str">
        <f>HYPERLINK("https://jobright.ai/jobs/info/6681b70af2baaad53af9bc1a?utm_campaign=1062&amp;utm_source=sheet", "Apply")</f>
        <v>Apply</v>
      </c>
      <c r="C2763" s="10" t="s">
        <v>7524</v>
      </c>
      <c r="D2763" s="56" t="s">
        <v>7525</v>
      </c>
      <c r="E2763" s="10" t="s">
        <v>137</v>
      </c>
      <c r="F2763" s="10" t="s">
        <v>7526</v>
      </c>
      <c r="G2763" s="10" t="s">
        <v>2579</v>
      </c>
      <c r="H2763" s="10" t="s">
        <v>1012</v>
      </c>
      <c r="I2763" s="10" t="s">
        <v>55</v>
      </c>
      <c r="K2763" s="10" t="s">
        <v>7527</v>
      </c>
      <c r="L2763" s="10" t="s">
        <v>42</v>
      </c>
    </row>
    <row r="2764" ht="15.75" customHeight="1">
      <c r="A2764" s="64">
        <v>45473.0</v>
      </c>
      <c r="B2764" s="55" t="str">
        <f>HYPERLINK("https://jobright.ai/jobs/info/6681b70af2baaad53af9bc20?utm_campaign=1062&amp;utm_source=sheet", "Apply")</f>
        <v>Apply</v>
      </c>
      <c r="C2764" s="10" t="s">
        <v>7524</v>
      </c>
      <c r="D2764" s="56" t="s">
        <v>7525</v>
      </c>
      <c r="E2764" s="10" t="s">
        <v>137</v>
      </c>
      <c r="F2764" s="10" t="s">
        <v>7526</v>
      </c>
      <c r="G2764" s="10" t="s">
        <v>2579</v>
      </c>
      <c r="H2764" s="10" t="s">
        <v>951</v>
      </c>
      <c r="I2764" s="10" t="s">
        <v>55</v>
      </c>
      <c r="K2764" s="10" t="s">
        <v>7527</v>
      </c>
      <c r="L2764" s="10" t="s">
        <v>42</v>
      </c>
    </row>
    <row r="2765" ht="15.75" customHeight="1">
      <c r="A2765" s="64">
        <v>45473.0</v>
      </c>
      <c r="B2765" s="55" t="str">
        <f>HYPERLINK("https://jobright.ai/jobs/info/6681b70af2baaad53af9bc21?utm_campaign=1062&amp;utm_source=sheet", "Apply")</f>
        <v>Apply</v>
      </c>
      <c r="C2765" s="10" t="s">
        <v>7524</v>
      </c>
      <c r="D2765" s="56" t="s">
        <v>7525</v>
      </c>
      <c r="E2765" s="10" t="s">
        <v>137</v>
      </c>
      <c r="F2765" s="10" t="s">
        <v>7526</v>
      </c>
      <c r="G2765" s="10" t="s">
        <v>2579</v>
      </c>
      <c r="H2765" s="10" t="s">
        <v>819</v>
      </c>
      <c r="I2765" s="10" t="s">
        <v>55</v>
      </c>
      <c r="K2765" s="10" t="s">
        <v>7527</v>
      </c>
      <c r="L2765" s="10" t="s">
        <v>42</v>
      </c>
    </row>
    <row r="2766" ht="15.75" customHeight="1">
      <c r="A2766" s="64">
        <v>45473.0</v>
      </c>
      <c r="B2766" s="55" t="str">
        <f>HYPERLINK("https://jobright.ai/jobs/info/6681b712f2baaad53af9bc25?utm_campaign=1062&amp;utm_source=sheet", "Apply")</f>
        <v>Apply</v>
      </c>
      <c r="C2766" s="10" t="s">
        <v>7524</v>
      </c>
      <c r="D2766" s="56" t="s">
        <v>7525</v>
      </c>
      <c r="E2766" s="10" t="s">
        <v>137</v>
      </c>
      <c r="F2766" s="10" t="s">
        <v>7526</v>
      </c>
      <c r="G2766" s="10" t="s">
        <v>2579</v>
      </c>
      <c r="H2766" s="10" t="s">
        <v>947</v>
      </c>
      <c r="I2766" s="10" t="s">
        <v>55</v>
      </c>
      <c r="K2766" s="10" t="s">
        <v>7527</v>
      </c>
      <c r="L2766" s="10" t="s">
        <v>42</v>
      </c>
    </row>
    <row r="2767" ht="15.75" customHeight="1">
      <c r="A2767" s="64">
        <v>45473.0</v>
      </c>
      <c r="B2767" s="55" t="str">
        <f>HYPERLINK("https://jobright.ai/jobs/info/6681b712f2baaad53af9bc26?utm_campaign=1062&amp;utm_source=sheet", "Apply")</f>
        <v>Apply</v>
      </c>
      <c r="C2767" s="10" t="s">
        <v>7524</v>
      </c>
      <c r="D2767" s="56" t="s">
        <v>7525</v>
      </c>
      <c r="E2767" s="10" t="s">
        <v>137</v>
      </c>
      <c r="F2767" s="10" t="s">
        <v>7526</v>
      </c>
      <c r="G2767" s="10" t="s">
        <v>2579</v>
      </c>
      <c r="H2767" s="10" t="s">
        <v>911</v>
      </c>
      <c r="I2767" s="10" t="s">
        <v>55</v>
      </c>
      <c r="K2767" s="10" t="s">
        <v>7527</v>
      </c>
      <c r="L2767" s="10" t="s">
        <v>42</v>
      </c>
    </row>
    <row r="2768" ht="15.75" customHeight="1">
      <c r="A2768" s="64">
        <v>45473.0</v>
      </c>
      <c r="B2768" s="55" t="str">
        <f>HYPERLINK("https://jobright.ai/jobs/info/6681b70af2baaad53af9bc23?utm_campaign=1062&amp;utm_source=sheet", "Apply")</f>
        <v>Apply</v>
      </c>
      <c r="C2768" s="10" t="s">
        <v>7524</v>
      </c>
      <c r="D2768" s="56" t="s">
        <v>7525</v>
      </c>
      <c r="E2768" s="10" t="s">
        <v>137</v>
      </c>
      <c r="F2768" s="10" t="s">
        <v>7526</v>
      </c>
      <c r="G2768" s="10" t="s">
        <v>2579</v>
      </c>
      <c r="H2768" s="10" t="s">
        <v>899</v>
      </c>
      <c r="I2768" s="10" t="s">
        <v>55</v>
      </c>
      <c r="K2768" s="10" t="s">
        <v>7527</v>
      </c>
      <c r="L2768" s="10" t="s">
        <v>42</v>
      </c>
    </row>
    <row r="2769" ht="15.75" customHeight="1">
      <c r="A2769" s="64">
        <v>45473.0</v>
      </c>
      <c r="B2769" s="55" t="str">
        <f>HYPERLINK("https://jobright.ai/jobs/info/6681b70af2baaad53af9bc24?utm_campaign=1062&amp;utm_source=sheet", "Apply")</f>
        <v>Apply</v>
      </c>
      <c r="C2769" s="10" t="s">
        <v>7524</v>
      </c>
      <c r="D2769" s="56" t="s">
        <v>7525</v>
      </c>
      <c r="E2769" s="10" t="s">
        <v>137</v>
      </c>
      <c r="F2769" s="10" t="s">
        <v>7526</v>
      </c>
      <c r="G2769" s="10" t="s">
        <v>2579</v>
      </c>
      <c r="H2769" s="10" t="s">
        <v>761</v>
      </c>
      <c r="I2769" s="10" t="s">
        <v>55</v>
      </c>
      <c r="K2769" s="10" t="s">
        <v>7527</v>
      </c>
      <c r="L2769" s="10" t="s">
        <v>42</v>
      </c>
    </row>
    <row r="2770" ht="15.75" customHeight="1">
      <c r="A2770" s="64">
        <v>45473.0</v>
      </c>
      <c r="B2770" s="55" t="str">
        <f>HYPERLINK("https://jobright.ai/jobs/info/6681b70af2baaad53af9bc22?utm_campaign=1062&amp;utm_source=sheet", "Apply")</f>
        <v>Apply</v>
      </c>
      <c r="C2770" s="10" t="s">
        <v>7524</v>
      </c>
      <c r="D2770" s="56" t="s">
        <v>7525</v>
      </c>
      <c r="E2770" s="10" t="s">
        <v>137</v>
      </c>
      <c r="F2770" s="10" t="s">
        <v>7526</v>
      </c>
      <c r="G2770" s="10" t="s">
        <v>2579</v>
      </c>
      <c r="H2770" s="10" t="s">
        <v>922</v>
      </c>
      <c r="I2770" s="10" t="s">
        <v>55</v>
      </c>
      <c r="K2770" s="10" t="s">
        <v>7527</v>
      </c>
      <c r="L2770" s="10" t="s">
        <v>42</v>
      </c>
    </row>
    <row r="2771" ht="15.75" customHeight="1">
      <c r="A2771" s="64">
        <v>45473.0</v>
      </c>
      <c r="B2771" s="55" t="str">
        <f>HYPERLINK("https://jobright.ai/jobs/info/6681b712f2baaad53af9bc2a?utm_campaign=1062&amp;utm_source=sheet", "Apply")</f>
        <v>Apply</v>
      </c>
      <c r="C2771" s="10" t="s">
        <v>7524</v>
      </c>
      <c r="D2771" s="56" t="s">
        <v>7525</v>
      </c>
      <c r="E2771" s="10" t="s">
        <v>137</v>
      </c>
      <c r="F2771" s="10" t="s">
        <v>7526</v>
      </c>
      <c r="G2771" s="10" t="s">
        <v>2579</v>
      </c>
      <c r="H2771" s="10" t="s">
        <v>805</v>
      </c>
      <c r="I2771" s="10" t="s">
        <v>55</v>
      </c>
      <c r="K2771" s="10" t="s">
        <v>7527</v>
      </c>
      <c r="L2771" s="10" t="s">
        <v>42</v>
      </c>
    </row>
    <row r="2772" ht="15.75" customHeight="1">
      <c r="A2772" s="64">
        <v>45473.0</v>
      </c>
      <c r="B2772" s="55" t="str">
        <f>HYPERLINK("https://jobright.ai/jobs/info/6681b712f2baaad53af9bc2c?utm_campaign=1062&amp;utm_source=sheet", "Apply")</f>
        <v>Apply</v>
      </c>
      <c r="C2772" s="10" t="s">
        <v>7524</v>
      </c>
      <c r="D2772" s="56" t="s">
        <v>7525</v>
      </c>
      <c r="E2772" s="10" t="s">
        <v>137</v>
      </c>
      <c r="F2772" s="10" t="s">
        <v>7526</v>
      </c>
      <c r="G2772" s="10" t="s">
        <v>2579</v>
      </c>
      <c r="H2772" s="10" t="s">
        <v>891</v>
      </c>
      <c r="I2772" s="10" t="s">
        <v>55</v>
      </c>
      <c r="K2772" s="10" t="s">
        <v>7527</v>
      </c>
      <c r="L2772" s="10" t="s">
        <v>42</v>
      </c>
    </row>
    <row r="2773" ht="15.75" customHeight="1">
      <c r="A2773" s="64">
        <v>45473.0</v>
      </c>
      <c r="B2773" s="55" t="str">
        <f>HYPERLINK("https://jobright.ai/jobs/info/6681b712f2baaad53af9bc2d?utm_campaign=1062&amp;utm_source=sheet", "Apply")</f>
        <v>Apply</v>
      </c>
      <c r="C2773" s="10" t="s">
        <v>7524</v>
      </c>
      <c r="D2773" s="56" t="s">
        <v>7525</v>
      </c>
      <c r="E2773" s="10" t="s">
        <v>137</v>
      </c>
      <c r="F2773" s="10" t="s">
        <v>7526</v>
      </c>
      <c r="G2773" s="10" t="s">
        <v>2579</v>
      </c>
      <c r="H2773" s="10" t="s">
        <v>757</v>
      </c>
      <c r="I2773" s="10" t="s">
        <v>55</v>
      </c>
      <c r="K2773" s="10" t="s">
        <v>7527</v>
      </c>
      <c r="L2773" s="10" t="s">
        <v>42</v>
      </c>
    </row>
    <row r="2774" ht="15.75" customHeight="1">
      <c r="A2774" s="64">
        <v>45473.0</v>
      </c>
      <c r="B2774" s="55" t="str">
        <f>HYPERLINK("https://jobright.ai/jobs/info/6681b712f2baaad53af9bc36?utm_campaign=1062&amp;utm_source=sheet", "Apply")</f>
        <v>Apply</v>
      </c>
      <c r="C2774" s="10" t="s">
        <v>7524</v>
      </c>
      <c r="D2774" s="56" t="s">
        <v>7525</v>
      </c>
      <c r="E2774" s="10" t="s">
        <v>137</v>
      </c>
      <c r="F2774" s="10" t="s">
        <v>7526</v>
      </c>
      <c r="G2774" s="10" t="s">
        <v>2579</v>
      </c>
      <c r="H2774" s="10" t="s">
        <v>858</v>
      </c>
      <c r="I2774" s="10" t="s">
        <v>55</v>
      </c>
      <c r="K2774" s="10" t="s">
        <v>7527</v>
      </c>
      <c r="L2774" s="10" t="s">
        <v>42</v>
      </c>
    </row>
    <row r="2775" ht="15.75" customHeight="1">
      <c r="A2775" s="64">
        <v>45473.0</v>
      </c>
      <c r="B2775" s="55" t="str">
        <f>HYPERLINK("https://jobright.ai/jobs/info/6681b712f2baaad53af9bc32?utm_campaign=1062&amp;utm_source=sheet", "Apply")</f>
        <v>Apply</v>
      </c>
      <c r="C2775" s="10" t="s">
        <v>7524</v>
      </c>
      <c r="D2775" s="56" t="s">
        <v>7525</v>
      </c>
      <c r="E2775" s="10" t="s">
        <v>137</v>
      </c>
      <c r="F2775" s="10" t="s">
        <v>7526</v>
      </c>
      <c r="G2775" s="10" t="s">
        <v>2579</v>
      </c>
      <c r="H2775" s="10" t="s">
        <v>919</v>
      </c>
      <c r="I2775" s="10" t="s">
        <v>55</v>
      </c>
      <c r="K2775" s="10" t="s">
        <v>7527</v>
      </c>
      <c r="L2775" s="10" t="s">
        <v>42</v>
      </c>
    </row>
    <row r="2776" ht="15.75" customHeight="1">
      <c r="A2776" s="64">
        <v>45473.0</v>
      </c>
      <c r="B2776" s="55" t="str">
        <f>HYPERLINK("https://jobright.ai/jobs/info/6681b712f2baaad53af9bc28?utm_campaign=1062&amp;utm_source=sheet", "Apply")</f>
        <v>Apply</v>
      </c>
      <c r="C2776" s="10" t="s">
        <v>7524</v>
      </c>
      <c r="D2776" s="56" t="s">
        <v>7525</v>
      </c>
      <c r="E2776" s="10" t="s">
        <v>137</v>
      </c>
      <c r="F2776" s="10" t="s">
        <v>7526</v>
      </c>
      <c r="G2776" s="10" t="s">
        <v>2579</v>
      </c>
      <c r="H2776" s="10" t="s">
        <v>833</v>
      </c>
      <c r="I2776" s="10" t="s">
        <v>55</v>
      </c>
      <c r="K2776" s="10" t="s">
        <v>7527</v>
      </c>
      <c r="L2776" s="10" t="s">
        <v>42</v>
      </c>
    </row>
    <row r="2777" ht="15.75" customHeight="1">
      <c r="A2777" s="64">
        <v>45473.0</v>
      </c>
      <c r="B2777" s="55" t="str">
        <f>HYPERLINK("https://jobright.ai/jobs/info/6681b712f2baaad53af9bc27?utm_campaign=1062&amp;utm_source=sheet", "Apply")</f>
        <v>Apply</v>
      </c>
      <c r="C2777" s="10" t="s">
        <v>7524</v>
      </c>
      <c r="D2777" s="56" t="s">
        <v>7525</v>
      </c>
      <c r="E2777" s="10" t="s">
        <v>137</v>
      </c>
      <c r="F2777" s="10" t="s">
        <v>7526</v>
      </c>
      <c r="G2777" s="10" t="s">
        <v>2579</v>
      </c>
      <c r="H2777" s="10" t="s">
        <v>505</v>
      </c>
      <c r="I2777" s="10" t="s">
        <v>55</v>
      </c>
      <c r="K2777" s="10" t="s">
        <v>7527</v>
      </c>
      <c r="L2777" s="10" t="s">
        <v>42</v>
      </c>
    </row>
    <row r="2778" ht="15.75" customHeight="1">
      <c r="A2778" s="64">
        <v>45473.0</v>
      </c>
      <c r="B2778" s="55" t="str">
        <f>HYPERLINK("https://jobright.ai/jobs/info/6681b712f2baaad53af9bc2b?utm_campaign=1062&amp;utm_source=sheet", "Apply")</f>
        <v>Apply</v>
      </c>
      <c r="C2778" s="10" t="s">
        <v>7524</v>
      </c>
      <c r="D2778" s="56" t="s">
        <v>7525</v>
      </c>
      <c r="E2778" s="10" t="s">
        <v>137</v>
      </c>
      <c r="F2778" s="10" t="s">
        <v>7526</v>
      </c>
      <c r="G2778" s="10" t="s">
        <v>2579</v>
      </c>
      <c r="H2778" s="10" t="s">
        <v>1033</v>
      </c>
      <c r="I2778" s="10" t="s">
        <v>55</v>
      </c>
      <c r="K2778" s="10" t="s">
        <v>7527</v>
      </c>
      <c r="L2778" s="10" t="s">
        <v>42</v>
      </c>
    </row>
    <row r="2779" ht="15.75" customHeight="1">
      <c r="A2779" s="64">
        <v>45473.0</v>
      </c>
      <c r="B2779" s="55" t="str">
        <f>HYPERLINK("https://jobright.ai/jobs/info/6681b712f2baaad53af9bc34?utm_campaign=1062&amp;utm_source=sheet", "Apply")</f>
        <v>Apply</v>
      </c>
      <c r="C2779" s="10" t="s">
        <v>7524</v>
      </c>
      <c r="D2779" s="56" t="s">
        <v>7525</v>
      </c>
      <c r="E2779" s="10" t="s">
        <v>137</v>
      </c>
      <c r="F2779" s="10" t="s">
        <v>7526</v>
      </c>
      <c r="G2779" s="10" t="s">
        <v>2579</v>
      </c>
      <c r="H2779" s="10" t="s">
        <v>900</v>
      </c>
      <c r="I2779" s="10" t="s">
        <v>55</v>
      </c>
      <c r="K2779" s="10" t="s">
        <v>7527</v>
      </c>
      <c r="L2779" s="10" t="s">
        <v>42</v>
      </c>
    </row>
    <row r="2780" ht="15.75" customHeight="1">
      <c r="A2780" s="64">
        <v>45473.0</v>
      </c>
      <c r="B2780" s="55" t="str">
        <f>HYPERLINK("https://jobright.ai/jobs/info/6681b712f2baaad53af9bc31?utm_campaign=1062&amp;utm_source=sheet", "Apply")</f>
        <v>Apply</v>
      </c>
      <c r="C2780" s="10" t="s">
        <v>7524</v>
      </c>
      <c r="D2780" s="56" t="s">
        <v>7525</v>
      </c>
      <c r="E2780" s="10" t="s">
        <v>137</v>
      </c>
      <c r="F2780" s="10" t="s">
        <v>7526</v>
      </c>
      <c r="G2780" s="10" t="s">
        <v>2579</v>
      </c>
      <c r="H2780" s="10" t="s">
        <v>986</v>
      </c>
      <c r="I2780" s="10" t="s">
        <v>55</v>
      </c>
      <c r="K2780" s="10" t="s">
        <v>7527</v>
      </c>
      <c r="L2780" s="10" t="s">
        <v>42</v>
      </c>
    </row>
    <row r="2781" ht="15.75" customHeight="1">
      <c r="A2781" s="64">
        <v>45473.0</v>
      </c>
      <c r="B2781" s="55" t="str">
        <f>HYPERLINK("https://jobright.ai/jobs/info/6681b712f2baaad53af9bc33?utm_campaign=1062&amp;utm_source=sheet", "Apply")</f>
        <v>Apply</v>
      </c>
      <c r="C2781" s="10" t="s">
        <v>7524</v>
      </c>
      <c r="D2781" s="56" t="s">
        <v>7525</v>
      </c>
      <c r="E2781" s="10" t="s">
        <v>137</v>
      </c>
      <c r="F2781" s="10" t="s">
        <v>7526</v>
      </c>
      <c r="G2781" s="10" t="s">
        <v>2579</v>
      </c>
      <c r="H2781" s="10" t="s">
        <v>844</v>
      </c>
      <c r="I2781" s="10" t="s">
        <v>55</v>
      </c>
      <c r="K2781" s="10" t="s">
        <v>7527</v>
      </c>
      <c r="L2781" s="10" t="s">
        <v>42</v>
      </c>
    </row>
    <row r="2782" ht="15.75" customHeight="1">
      <c r="A2782" s="64">
        <v>45473.0</v>
      </c>
      <c r="B2782" s="55" t="str">
        <f>HYPERLINK("https://jobright.ai/jobs/info/6681b712f2baaad53af9bc29?utm_campaign=1062&amp;utm_source=sheet", "Apply")</f>
        <v>Apply</v>
      </c>
      <c r="C2782" s="10" t="s">
        <v>7524</v>
      </c>
      <c r="D2782" s="56" t="s">
        <v>7525</v>
      </c>
      <c r="E2782" s="10" t="s">
        <v>137</v>
      </c>
      <c r="F2782" s="10" t="s">
        <v>7526</v>
      </c>
      <c r="G2782" s="10" t="s">
        <v>2579</v>
      </c>
      <c r="H2782" s="10" t="s">
        <v>879</v>
      </c>
      <c r="I2782" s="10" t="s">
        <v>55</v>
      </c>
      <c r="K2782" s="10" t="s">
        <v>7527</v>
      </c>
      <c r="L2782" s="10" t="s">
        <v>42</v>
      </c>
    </row>
    <row r="2783" ht="15.75" customHeight="1">
      <c r="A2783" s="64">
        <v>45473.0</v>
      </c>
      <c r="B2783" s="55" t="str">
        <f>HYPERLINK("https://jobright.ai/jobs/info/6681b712f2baaad53af9bc2e?utm_campaign=1062&amp;utm_source=sheet", "Apply")</f>
        <v>Apply</v>
      </c>
      <c r="C2783" s="10" t="s">
        <v>7524</v>
      </c>
      <c r="D2783" s="56" t="s">
        <v>7525</v>
      </c>
      <c r="E2783" s="10" t="s">
        <v>137</v>
      </c>
      <c r="F2783" s="10" t="s">
        <v>7526</v>
      </c>
      <c r="G2783" s="10" t="s">
        <v>2579</v>
      </c>
      <c r="H2783" s="10" t="s">
        <v>738</v>
      </c>
      <c r="I2783" s="10" t="s">
        <v>55</v>
      </c>
      <c r="K2783" s="10" t="s">
        <v>7527</v>
      </c>
      <c r="L2783" s="10" t="s">
        <v>42</v>
      </c>
    </row>
    <row r="2784" ht="15.75" customHeight="1">
      <c r="A2784" s="64">
        <v>45473.0</v>
      </c>
      <c r="B2784" s="55" t="str">
        <f>HYPERLINK("https://jobright.ai/jobs/info/6681b712f2baaad53af9bc35?utm_campaign=1062&amp;utm_source=sheet", "Apply")</f>
        <v>Apply</v>
      </c>
      <c r="C2784" s="10" t="s">
        <v>7524</v>
      </c>
      <c r="D2784" s="56" t="s">
        <v>7525</v>
      </c>
      <c r="E2784" s="10" t="s">
        <v>137</v>
      </c>
      <c r="F2784" s="10" t="s">
        <v>7526</v>
      </c>
      <c r="G2784" s="10" t="s">
        <v>2579</v>
      </c>
      <c r="H2784" s="10" t="s">
        <v>985</v>
      </c>
      <c r="I2784" s="10" t="s">
        <v>55</v>
      </c>
      <c r="K2784" s="10" t="s">
        <v>7527</v>
      </c>
      <c r="L2784" s="10" t="s">
        <v>42</v>
      </c>
    </row>
    <row r="2785" ht="15.75" customHeight="1">
      <c r="A2785" s="64">
        <v>45473.0</v>
      </c>
      <c r="B2785" s="55" t="str">
        <f>HYPERLINK("https://jobright.ai/jobs/info/6681b712f2baaad53af9bc30?utm_campaign=1062&amp;utm_source=sheet", "Apply")</f>
        <v>Apply</v>
      </c>
      <c r="C2785" s="10" t="s">
        <v>7524</v>
      </c>
      <c r="D2785" s="56" t="s">
        <v>7525</v>
      </c>
      <c r="E2785" s="10" t="s">
        <v>137</v>
      </c>
      <c r="F2785" s="10" t="s">
        <v>7526</v>
      </c>
      <c r="G2785" s="10" t="s">
        <v>2579</v>
      </c>
      <c r="H2785" s="10" t="s">
        <v>1000</v>
      </c>
      <c r="I2785" s="10" t="s">
        <v>55</v>
      </c>
      <c r="K2785" s="10" t="s">
        <v>7527</v>
      </c>
      <c r="L2785" s="10" t="s">
        <v>42</v>
      </c>
    </row>
    <row r="2786" ht="15.75" customHeight="1">
      <c r="A2786" s="64">
        <v>45473.0</v>
      </c>
      <c r="B2786" s="55" t="str">
        <f>HYPERLINK("https://jobright.ai/jobs/info/6681b712f2baaad53af9bc2f?utm_campaign=1062&amp;utm_source=sheet", "Apply")</f>
        <v>Apply</v>
      </c>
      <c r="C2786" s="10" t="s">
        <v>7524</v>
      </c>
      <c r="D2786" s="56" t="s">
        <v>7525</v>
      </c>
      <c r="E2786" s="10" t="s">
        <v>137</v>
      </c>
      <c r="F2786" s="10" t="s">
        <v>7526</v>
      </c>
      <c r="G2786" s="10" t="s">
        <v>2579</v>
      </c>
      <c r="H2786" s="10" t="s">
        <v>765</v>
      </c>
      <c r="I2786" s="10" t="s">
        <v>55</v>
      </c>
      <c r="K2786" s="10" t="s">
        <v>7527</v>
      </c>
      <c r="L2786" s="10" t="s">
        <v>42</v>
      </c>
    </row>
    <row r="2787" ht="15.75" customHeight="1">
      <c r="A2787" s="64">
        <v>45473.0</v>
      </c>
      <c r="B2787" s="55" t="str">
        <f>HYPERLINK("https://jobright.ai/jobs/info/6681b712f2baaad53af9bc39?utm_campaign=1062&amp;utm_source=sheet", "Apply")</f>
        <v>Apply</v>
      </c>
      <c r="C2787" s="10" t="s">
        <v>7524</v>
      </c>
      <c r="D2787" s="56" t="s">
        <v>7525</v>
      </c>
      <c r="E2787" s="10" t="s">
        <v>137</v>
      </c>
      <c r="F2787" s="10" t="s">
        <v>7526</v>
      </c>
      <c r="G2787" s="10" t="s">
        <v>2579</v>
      </c>
      <c r="H2787" s="10" t="s">
        <v>1048</v>
      </c>
      <c r="I2787" s="10" t="s">
        <v>55</v>
      </c>
      <c r="K2787" s="10" t="s">
        <v>7527</v>
      </c>
      <c r="L2787" s="10" t="s">
        <v>42</v>
      </c>
    </row>
    <row r="2788" ht="15.75" customHeight="1">
      <c r="A2788" s="64">
        <v>45473.0</v>
      </c>
      <c r="B2788" s="55" t="str">
        <f>HYPERLINK("https://jobright.ai/jobs/info/6681b712f2baaad53af9bc37?utm_campaign=1062&amp;utm_source=sheet", "Apply")</f>
        <v>Apply</v>
      </c>
      <c r="C2788" s="10" t="s">
        <v>7524</v>
      </c>
      <c r="D2788" s="56" t="s">
        <v>7525</v>
      </c>
      <c r="E2788" s="10" t="s">
        <v>137</v>
      </c>
      <c r="F2788" s="10" t="s">
        <v>7526</v>
      </c>
      <c r="G2788" s="10" t="s">
        <v>2579</v>
      </c>
      <c r="H2788" s="10" t="s">
        <v>839</v>
      </c>
      <c r="I2788" s="10" t="s">
        <v>55</v>
      </c>
      <c r="K2788" s="10" t="s">
        <v>7527</v>
      </c>
      <c r="L2788" s="10" t="s">
        <v>42</v>
      </c>
    </row>
    <row r="2789" ht="15.75" customHeight="1">
      <c r="A2789" s="64">
        <v>45473.0</v>
      </c>
      <c r="B2789" s="55" t="str">
        <f>HYPERLINK("https://jobright.ai/jobs/info/6681b712f2baaad53af9bc3a?utm_campaign=1062&amp;utm_source=sheet", "Apply")</f>
        <v>Apply</v>
      </c>
      <c r="C2789" s="10" t="s">
        <v>7524</v>
      </c>
      <c r="D2789" s="56" t="s">
        <v>7525</v>
      </c>
      <c r="E2789" s="10" t="s">
        <v>137</v>
      </c>
      <c r="F2789" s="10" t="s">
        <v>7526</v>
      </c>
      <c r="G2789" s="10" t="s">
        <v>2579</v>
      </c>
      <c r="H2789" s="10" t="s">
        <v>812</v>
      </c>
      <c r="I2789" s="10" t="s">
        <v>55</v>
      </c>
      <c r="K2789" s="10" t="s">
        <v>7527</v>
      </c>
      <c r="L2789" s="10" t="s">
        <v>42</v>
      </c>
    </row>
    <row r="2790" ht="15.75" customHeight="1">
      <c r="A2790" s="64">
        <v>45473.0</v>
      </c>
      <c r="B2790" s="55" t="str">
        <f>HYPERLINK("https://jobright.ai/jobs/info/6681b712f2baaad53af9bc40?utm_campaign=1062&amp;utm_source=sheet", "Apply")</f>
        <v>Apply</v>
      </c>
      <c r="C2790" s="10" t="s">
        <v>7524</v>
      </c>
      <c r="D2790" s="56" t="s">
        <v>7525</v>
      </c>
      <c r="E2790" s="10" t="s">
        <v>137</v>
      </c>
      <c r="F2790" s="10" t="s">
        <v>7526</v>
      </c>
      <c r="G2790" s="10" t="s">
        <v>2579</v>
      </c>
      <c r="H2790" s="10" t="s">
        <v>929</v>
      </c>
      <c r="I2790" s="10" t="s">
        <v>55</v>
      </c>
      <c r="K2790" s="10" t="s">
        <v>7527</v>
      </c>
      <c r="L2790" s="10" t="s">
        <v>42</v>
      </c>
    </row>
    <row r="2791" ht="15.75" customHeight="1">
      <c r="A2791" s="64">
        <v>45473.0</v>
      </c>
      <c r="B2791" s="55" t="str">
        <f>HYPERLINK("https://jobright.ai/jobs/info/6681b712f2baaad53af9bc44?utm_campaign=1062&amp;utm_source=sheet", "Apply")</f>
        <v>Apply</v>
      </c>
      <c r="C2791" s="10" t="s">
        <v>7524</v>
      </c>
      <c r="D2791" s="56" t="s">
        <v>7525</v>
      </c>
      <c r="E2791" s="10" t="s">
        <v>137</v>
      </c>
      <c r="F2791" s="10" t="s">
        <v>7526</v>
      </c>
      <c r="G2791" s="10" t="s">
        <v>2579</v>
      </c>
      <c r="H2791" s="10" t="s">
        <v>883</v>
      </c>
      <c r="I2791" s="10" t="s">
        <v>55</v>
      </c>
      <c r="K2791" s="10" t="s">
        <v>7527</v>
      </c>
      <c r="L2791" s="10" t="s">
        <v>42</v>
      </c>
    </row>
    <row r="2792" ht="15.75" customHeight="1">
      <c r="A2792" s="64">
        <v>45473.0</v>
      </c>
      <c r="B2792" s="55" t="str">
        <f>HYPERLINK("https://jobright.ai/jobs/info/6681b712f2baaad53af9bc3c?utm_campaign=1062&amp;utm_source=sheet", "Apply")</f>
        <v>Apply</v>
      </c>
      <c r="C2792" s="10" t="s">
        <v>7524</v>
      </c>
      <c r="D2792" s="56" t="s">
        <v>7525</v>
      </c>
      <c r="E2792" s="10" t="s">
        <v>137</v>
      </c>
      <c r="F2792" s="10" t="s">
        <v>7526</v>
      </c>
      <c r="G2792" s="10" t="s">
        <v>2579</v>
      </c>
      <c r="H2792" s="10" t="s">
        <v>784</v>
      </c>
      <c r="I2792" s="10" t="s">
        <v>55</v>
      </c>
      <c r="K2792" s="10" t="s">
        <v>7527</v>
      </c>
      <c r="L2792" s="10" t="s">
        <v>42</v>
      </c>
    </row>
    <row r="2793" ht="15.75" customHeight="1">
      <c r="A2793" s="64">
        <v>45473.0</v>
      </c>
      <c r="B2793" s="55" t="str">
        <f>HYPERLINK("https://jobright.ai/jobs/info/6681b712f2baaad53af9bc3d?utm_campaign=1062&amp;utm_source=sheet", "Apply")</f>
        <v>Apply</v>
      </c>
      <c r="C2793" s="10" t="s">
        <v>7524</v>
      </c>
      <c r="D2793" s="56" t="s">
        <v>7525</v>
      </c>
      <c r="E2793" s="10" t="s">
        <v>137</v>
      </c>
      <c r="F2793" s="10" t="s">
        <v>7526</v>
      </c>
      <c r="G2793" s="10" t="s">
        <v>2579</v>
      </c>
      <c r="H2793" s="10" t="s">
        <v>1049</v>
      </c>
      <c r="I2793" s="10" t="s">
        <v>55</v>
      </c>
      <c r="K2793" s="10" t="s">
        <v>7527</v>
      </c>
      <c r="L2793" s="10" t="s">
        <v>42</v>
      </c>
    </row>
    <row r="2794" ht="15.75" customHeight="1">
      <c r="A2794" s="64">
        <v>45473.0</v>
      </c>
      <c r="B2794" s="55" t="str">
        <f>HYPERLINK("https://jobright.ai/jobs/info/6681b712f2baaad53af9bc43?utm_campaign=1062&amp;utm_source=sheet", "Apply")</f>
        <v>Apply</v>
      </c>
      <c r="C2794" s="10" t="s">
        <v>7524</v>
      </c>
      <c r="D2794" s="56" t="s">
        <v>7525</v>
      </c>
      <c r="E2794" s="10" t="s">
        <v>137</v>
      </c>
      <c r="F2794" s="10" t="s">
        <v>7526</v>
      </c>
      <c r="G2794" s="10" t="s">
        <v>2579</v>
      </c>
      <c r="H2794" s="10" t="s">
        <v>572</v>
      </c>
      <c r="I2794" s="10" t="s">
        <v>55</v>
      </c>
      <c r="K2794" s="10" t="s">
        <v>7527</v>
      </c>
      <c r="L2794" s="10" t="s">
        <v>42</v>
      </c>
    </row>
    <row r="2795" ht="15.75" customHeight="1">
      <c r="A2795" s="64">
        <v>45473.0</v>
      </c>
      <c r="B2795" s="55" t="str">
        <f>HYPERLINK("https://jobright.ai/jobs/info/6681b712f2baaad53af9bc41?utm_campaign=1062&amp;utm_source=sheet", "Apply")</f>
        <v>Apply</v>
      </c>
      <c r="C2795" s="10" t="s">
        <v>7524</v>
      </c>
      <c r="D2795" s="56" t="s">
        <v>7525</v>
      </c>
      <c r="E2795" s="10" t="s">
        <v>137</v>
      </c>
      <c r="F2795" s="10" t="s">
        <v>7526</v>
      </c>
      <c r="G2795" s="10" t="s">
        <v>2579</v>
      </c>
      <c r="H2795" s="10" t="s">
        <v>1043</v>
      </c>
      <c r="I2795" s="10" t="s">
        <v>55</v>
      </c>
      <c r="K2795" s="10" t="s">
        <v>7527</v>
      </c>
      <c r="L2795" s="10" t="s">
        <v>42</v>
      </c>
    </row>
    <row r="2796" ht="15.75" customHeight="1">
      <c r="A2796" s="64">
        <v>45473.0</v>
      </c>
      <c r="B2796" s="55" t="str">
        <f>HYPERLINK("https://jobright.ai/jobs/info/6681b712f2baaad53af9bc3f?utm_campaign=1062&amp;utm_source=sheet", "Apply")</f>
        <v>Apply</v>
      </c>
      <c r="C2796" s="10" t="s">
        <v>7524</v>
      </c>
      <c r="D2796" s="56" t="s">
        <v>7525</v>
      </c>
      <c r="E2796" s="10" t="s">
        <v>137</v>
      </c>
      <c r="F2796" s="10" t="s">
        <v>7526</v>
      </c>
      <c r="G2796" s="10" t="s">
        <v>2579</v>
      </c>
      <c r="H2796" s="10" t="s">
        <v>1044</v>
      </c>
      <c r="I2796" s="10" t="s">
        <v>55</v>
      </c>
      <c r="K2796" s="10" t="s">
        <v>7527</v>
      </c>
      <c r="L2796" s="10" t="s">
        <v>42</v>
      </c>
    </row>
    <row r="2797" ht="15.75" customHeight="1">
      <c r="A2797" s="64">
        <v>45473.0</v>
      </c>
      <c r="B2797" s="55" t="str">
        <f>HYPERLINK("https://jobright.ai/jobs/info/6681b712f2baaad53af9bc38?utm_campaign=1062&amp;utm_source=sheet", "Apply")</f>
        <v>Apply</v>
      </c>
      <c r="C2797" s="10" t="s">
        <v>7524</v>
      </c>
      <c r="D2797" s="56" t="s">
        <v>7525</v>
      </c>
      <c r="E2797" s="10" t="s">
        <v>137</v>
      </c>
      <c r="F2797" s="10" t="s">
        <v>7526</v>
      </c>
      <c r="G2797" s="10" t="s">
        <v>2579</v>
      </c>
      <c r="H2797" s="10" t="s">
        <v>859</v>
      </c>
      <c r="I2797" s="10" t="s">
        <v>55</v>
      </c>
      <c r="K2797" s="10" t="s">
        <v>7527</v>
      </c>
      <c r="L2797" s="10" t="s">
        <v>42</v>
      </c>
    </row>
    <row r="2798" ht="15.75" customHeight="1">
      <c r="A2798" s="64">
        <v>45473.0</v>
      </c>
      <c r="B2798" s="55" t="str">
        <f>HYPERLINK("https://jobright.ai/jobs/info/6681b712f2baaad53af9bc42?utm_campaign=1062&amp;utm_source=sheet", "Apply")</f>
        <v>Apply</v>
      </c>
      <c r="C2798" s="10" t="s">
        <v>7524</v>
      </c>
      <c r="D2798" s="56" t="s">
        <v>7525</v>
      </c>
      <c r="E2798" s="10" t="s">
        <v>137</v>
      </c>
      <c r="F2798" s="10" t="s">
        <v>7526</v>
      </c>
      <c r="G2798" s="10" t="s">
        <v>2579</v>
      </c>
      <c r="H2798" s="10" t="s">
        <v>834</v>
      </c>
      <c r="I2798" s="10" t="s">
        <v>55</v>
      </c>
      <c r="K2798" s="10" t="s">
        <v>7527</v>
      </c>
      <c r="L2798" s="10" t="s">
        <v>42</v>
      </c>
    </row>
    <row r="2799" ht="15.75" customHeight="1">
      <c r="A2799" s="64">
        <v>45473.0</v>
      </c>
      <c r="B2799" s="55" t="str">
        <f>HYPERLINK("https://jobright.ai/jobs/info/6681b712f2baaad53af9bc3e?utm_campaign=1062&amp;utm_source=sheet", "Apply")</f>
        <v>Apply</v>
      </c>
      <c r="C2799" s="10" t="s">
        <v>7524</v>
      </c>
      <c r="D2799" s="56" t="s">
        <v>7525</v>
      </c>
      <c r="E2799" s="10" t="s">
        <v>137</v>
      </c>
      <c r="F2799" s="10" t="s">
        <v>7526</v>
      </c>
      <c r="G2799" s="10" t="s">
        <v>2579</v>
      </c>
      <c r="H2799" s="10" t="s">
        <v>850</v>
      </c>
      <c r="I2799" s="10" t="s">
        <v>55</v>
      </c>
      <c r="K2799" s="10" t="s">
        <v>7527</v>
      </c>
      <c r="L2799" s="10" t="s">
        <v>42</v>
      </c>
    </row>
    <row r="2800" ht="15.75" customHeight="1">
      <c r="A2800" s="64">
        <v>45473.0</v>
      </c>
      <c r="B2800" s="55" t="str">
        <f>HYPERLINK("https://jobright.ai/jobs/info/6681b712f2baaad53af9bc45?utm_campaign=1062&amp;utm_source=sheet", "Apply")</f>
        <v>Apply</v>
      </c>
      <c r="C2800" s="10" t="s">
        <v>7524</v>
      </c>
      <c r="D2800" s="56" t="s">
        <v>7525</v>
      </c>
      <c r="E2800" s="10" t="s">
        <v>137</v>
      </c>
      <c r="F2800" s="10" t="s">
        <v>7526</v>
      </c>
      <c r="G2800" s="10" t="s">
        <v>2579</v>
      </c>
      <c r="H2800" s="10" t="s">
        <v>1029</v>
      </c>
      <c r="I2800" s="10" t="s">
        <v>55</v>
      </c>
      <c r="K2800" s="10" t="s">
        <v>7527</v>
      </c>
      <c r="L2800" s="10" t="s">
        <v>42</v>
      </c>
    </row>
    <row r="2801" ht="15.75" customHeight="1">
      <c r="A2801" s="64">
        <v>45473.0</v>
      </c>
      <c r="B2801" s="55" t="str">
        <f>HYPERLINK("https://jobright.ai/jobs/info/6681b712f2baaad53af9bc47?utm_campaign=1062&amp;utm_source=sheet", "Apply")</f>
        <v>Apply</v>
      </c>
      <c r="C2801" s="10" t="s">
        <v>7524</v>
      </c>
      <c r="D2801" s="56" t="s">
        <v>7525</v>
      </c>
      <c r="E2801" s="10" t="s">
        <v>137</v>
      </c>
      <c r="F2801" s="10" t="s">
        <v>7526</v>
      </c>
      <c r="G2801" s="10" t="s">
        <v>2579</v>
      </c>
      <c r="H2801" s="10" t="s">
        <v>1013</v>
      </c>
      <c r="I2801" s="10" t="s">
        <v>55</v>
      </c>
      <c r="K2801" s="10" t="s">
        <v>7527</v>
      </c>
      <c r="L2801" s="10" t="s">
        <v>42</v>
      </c>
    </row>
    <row r="2802" ht="15.75" customHeight="1">
      <c r="A2802" s="64">
        <v>45473.0</v>
      </c>
      <c r="B2802" s="55" t="str">
        <f>HYPERLINK("https://jobright.ai/jobs/info/6681b712f2baaad53af9bc46?utm_campaign=1062&amp;utm_source=sheet", "Apply")</f>
        <v>Apply</v>
      </c>
      <c r="C2802" s="10" t="s">
        <v>7524</v>
      </c>
      <c r="D2802" s="56" t="s">
        <v>7525</v>
      </c>
      <c r="E2802" s="10" t="s">
        <v>137</v>
      </c>
      <c r="F2802" s="10" t="s">
        <v>7526</v>
      </c>
      <c r="G2802" s="10" t="s">
        <v>2579</v>
      </c>
      <c r="H2802" s="10" t="s">
        <v>829</v>
      </c>
      <c r="I2802" s="10" t="s">
        <v>55</v>
      </c>
      <c r="K2802" s="10" t="s">
        <v>7527</v>
      </c>
      <c r="L2802" s="10" t="s">
        <v>42</v>
      </c>
    </row>
    <row r="2803" ht="15.75" customHeight="1">
      <c r="A2803" s="64">
        <v>45473.0</v>
      </c>
      <c r="B2803" s="55" t="str">
        <f>HYPERLINK("https://jobright.ai/jobs/info/6681b712f2baaad53af9bc3b?utm_campaign=1062&amp;utm_source=sheet", "Apply")</f>
        <v>Apply</v>
      </c>
      <c r="C2803" s="10" t="s">
        <v>7524</v>
      </c>
      <c r="D2803" s="56" t="s">
        <v>7525</v>
      </c>
      <c r="E2803" s="10" t="s">
        <v>137</v>
      </c>
      <c r="F2803" s="10" t="s">
        <v>7526</v>
      </c>
      <c r="G2803" s="10" t="s">
        <v>2579</v>
      </c>
      <c r="H2803" s="10" t="s">
        <v>108</v>
      </c>
      <c r="I2803" s="10" t="s">
        <v>55</v>
      </c>
      <c r="K2803" s="10" t="s">
        <v>7527</v>
      </c>
      <c r="L2803" s="10" t="s">
        <v>42</v>
      </c>
    </row>
    <row r="2804" ht="15.75" customHeight="1">
      <c r="A2804" s="64">
        <v>45473.0</v>
      </c>
      <c r="B2804" s="55" t="str">
        <f>HYPERLINK("https://jobright.ai/jobs/info/6681b712f2baaad53af9bc53?utm_campaign=1062&amp;utm_source=sheet", "Apply")</f>
        <v>Apply</v>
      </c>
      <c r="C2804" s="10" t="s">
        <v>7524</v>
      </c>
      <c r="D2804" s="56" t="s">
        <v>7525</v>
      </c>
      <c r="E2804" s="10" t="s">
        <v>137</v>
      </c>
      <c r="F2804" s="10" t="s">
        <v>7526</v>
      </c>
      <c r="G2804" s="10" t="s">
        <v>2579</v>
      </c>
      <c r="H2804" s="10" t="s">
        <v>966</v>
      </c>
      <c r="I2804" s="10" t="s">
        <v>55</v>
      </c>
      <c r="K2804" s="10" t="s">
        <v>7527</v>
      </c>
      <c r="L2804" s="10" t="s">
        <v>42</v>
      </c>
    </row>
    <row r="2805" ht="15.75" customHeight="1">
      <c r="A2805" s="64">
        <v>45473.0</v>
      </c>
      <c r="B2805" s="55" t="str">
        <f>HYPERLINK("https://jobright.ai/jobs/info/6681b712f2baaad53af9bc50?utm_campaign=1062&amp;utm_source=sheet", "Apply")</f>
        <v>Apply</v>
      </c>
      <c r="C2805" s="10" t="s">
        <v>7524</v>
      </c>
      <c r="D2805" s="56" t="s">
        <v>7525</v>
      </c>
      <c r="E2805" s="10" t="s">
        <v>137</v>
      </c>
      <c r="F2805" s="10" t="s">
        <v>7526</v>
      </c>
      <c r="G2805" s="10" t="s">
        <v>2579</v>
      </c>
      <c r="H2805" s="10" t="s">
        <v>835</v>
      </c>
      <c r="I2805" s="10" t="s">
        <v>55</v>
      </c>
      <c r="K2805" s="10" t="s">
        <v>7527</v>
      </c>
      <c r="L2805" s="10" t="s">
        <v>42</v>
      </c>
    </row>
    <row r="2806" ht="15.75" customHeight="1">
      <c r="A2806" s="64">
        <v>45473.0</v>
      </c>
      <c r="B2806" s="55" t="str">
        <f>HYPERLINK("https://jobright.ai/jobs/info/6681b712f2baaad53af9bc49?utm_campaign=1062&amp;utm_source=sheet", "Apply")</f>
        <v>Apply</v>
      </c>
      <c r="C2806" s="10" t="s">
        <v>7524</v>
      </c>
      <c r="D2806" s="56" t="s">
        <v>7525</v>
      </c>
      <c r="E2806" s="10" t="s">
        <v>137</v>
      </c>
      <c r="F2806" s="10" t="s">
        <v>7526</v>
      </c>
      <c r="G2806" s="10" t="s">
        <v>2579</v>
      </c>
      <c r="H2806" s="10" t="s">
        <v>982</v>
      </c>
      <c r="I2806" s="10" t="s">
        <v>55</v>
      </c>
      <c r="K2806" s="10" t="s">
        <v>7527</v>
      </c>
      <c r="L2806" s="10" t="s">
        <v>42</v>
      </c>
    </row>
    <row r="2807" ht="15.75" customHeight="1">
      <c r="A2807" s="64">
        <v>45473.0</v>
      </c>
      <c r="B2807" s="55" t="str">
        <f>HYPERLINK("https://jobright.ai/jobs/info/6681b712f2baaad53af9bc4e?utm_campaign=1062&amp;utm_source=sheet", "Apply")</f>
        <v>Apply</v>
      </c>
      <c r="C2807" s="10" t="s">
        <v>7524</v>
      </c>
      <c r="D2807" s="56" t="s">
        <v>7525</v>
      </c>
      <c r="E2807" s="10" t="s">
        <v>137</v>
      </c>
      <c r="F2807" s="10" t="s">
        <v>7526</v>
      </c>
      <c r="G2807" s="10" t="s">
        <v>2579</v>
      </c>
      <c r="H2807" s="10" t="s">
        <v>856</v>
      </c>
      <c r="I2807" s="10" t="s">
        <v>55</v>
      </c>
      <c r="K2807" s="10" t="s">
        <v>7527</v>
      </c>
      <c r="L2807" s="10" t="s">
        <v>42</v>
      </c>
    </row>
    <row r="2808" ht="15.75" customHeight="1">
      <c r="A2808" s="64">
        <v>45473.0</v>
      </c>
      <c r="B2808" s="55" t="str">
        <f>HYPERLINK("https://jobright.ai/jobs/info/6681b712f2baaad53af9bc52?utm_campaign=1062&amp;utm_source=sheet", "Apply")</f>
        <v>Apply</v>
      </c>
      <c r="C2808" s="10" t="s">
        <v>7524</v>
      </c>
      <c r="D2808" s="56" t="s">
        <v>7525</v>
      </c>
      <c r="E2808" s="10" t="s">
        <v>137</v>
      </c>
      <c r="F2808" s="10" t="s">
        <v>7526</v>
      </c>
      <c r="G2808" s="10" t="s">
        <v>2579</v>
      </c>
      <c r="H2808" s="10" t="s">
        <v>840</v>
      </c>
      <c r="I2808" s="10" t="s">
        <v>55</v>
      </c>
      <c r="K2808" s="10" t="s">
        <v>7527</v>
      </c>
      <c r="L2808" s="10" t="s">
        <v>42</v>
      </c>
    </row>
    <row r="2809" ht="15.75" customHeight="1">
      <c r="A2809" s="64">
        <v>45473.0</v>
      </c>
      <c r="B2809" s="55" t="str">
        <f>HYPERLINK("https://jobright.ai/jobs/info/6681b712f2baaad53af9bc4a?utm_campaign=1062&amp;utm_source=sheet", "Apply")</f>
        <v>Apply</v>
      </c>
      <c r="C2809" s="10" t="s">
        <v>7524</v>
      </c>
      <c r="D2809" s="56" t="s">
        <v>7525</v>
      </c>
      <c r="E2809" s="10" t="s">
        <v>137</v>
      </c>
      <c r="F2809" s="10" t="s">
        <v>7526</v>
      </c>
      <c r="G2809" s="10" t="s">
        <v>2579</v>
      </c>
      <c r="H2809" s="10" t="s">
        <v>912</v>
      </c>
      <c r="I2809" s="10" t="s">
        <v>55</v>
      </c>
      <c r="K2809" s="10" t="s">
        <v>7527</v>
      </c>
      <c r="L2809" s="10" t="s">
        <v>42</v>
      </c>
    </row>
    <row r="2810" ht="15.75" customHeight="1">
      <c r="A2810" s="64">
        <v>45473.0</v>
      </c>
      <c r="B2810" s="55" t="str">
        <f>HYPERLINK("https://jobright.ai/jobs/info/6681b712f2baaad53af9bc4c?utm_campaign=1062&amp;utm_source=sheet", "Apply")</f>
        <v>Apply</v>
      </c>
      <c r="C2810" s="10" t="s">
        <v>7524</v>
      </c>
      <c r="D2810" s="56" t="s">
        <v>7525</v>
      </c>
      <c r="E2810" s="10" t="s">
        <v>137</v>
      </c>
      <c r="F2810" s="10" t="s">
        <v>7526</v>
      </c>
      <c r="G2810" s="10" t="s">
        <v>2579</v>
      </c>
      <c r="H2810" s="10" t="s">
        <v>868</v>
      </c>
      <c r="I2810" s="10" t="s">
        <v>55</v>
      </c>
      <c r="K2810" s="10" t="s">
        <v>7527</v>
      </c>
      <c r="L2810" s="10" t="s">
        <v>42</v>
      </c>
    </row>
    <row r="2811" ht="15.75" customHeight="1">
      <c r="A2811" s="64">
        <v>45473.0</v>
      </c>
      <c r="B2811" s="55" t="str">
        <f>HYPERLINK("https://jobright.ai/jobs/info/6681b712f2baaad53af9bc4b?utm_campaign=1062&amp;utm_source=sheet", "Apply")</f>
        <v>Apply</v>
      </c>
      <c r="C2811" s="10" t="s">
        <v>7524</v>
      </c>
      <c r="D2811" s="56" t="s">
        <v>7525</v>
      </c>
      <c r="E2811" s="10" t="s">
        <v>137</v>
      </c>
      <c r="F2811" s="10" t="s">
        <v>7526</v>
      </c>
      <c r="G2811" s="10" t="s">
        <v>2579</v>
      </c>
      <c r="H2811" s="10" t="s">
        <v>935</v>
      </c>
      <c r="I2811" s="10" t="s">
        <v>55</v>
      </c>
      <c r="K2811" s="10" t="s">
        <v>7527</v>
      </c>
      <c r="L2811" s="10" t="s">
        <v>42</v>
      </c>
    </row>
    <row r="2812" ht="15.75" customHeight="1">
      <c r="A2812" s="64">
        <v>45473.0</v>
      </c>
      <c r="B2812" s="55" t="str">
        <f>HYPERLINK("https://jobright.ai/jobs/info/6681b712f2baaad53af9bc4f?utm_campaign=1062&amp;utm_source=sheet", "Apply")</f>
        <v>Apply</v>
      </c>
      <c r="C2812" s="10" t="s">
        <v>7524</v>
      </c>
      <c r="D2812" s="56" t="s">
        <v>7525</v>
      </c>
      <c r="E2812" s="10" t="s">
        <v>137</v>
      </c>
      <c r="F2812" s="10" t="s">
        <v>7526</v>
      </c>
      <c r="G2812" s="10" t="s">
        <v>2579</v>
      </c>
      <c r="H2812" s="10" t="s">
        <v>996</v>
      </c>
      <c r="I2812" s="10" t="s">
        <v>55</v>
      </c>
      <c r="K2812" s="10" t="s">
        <v>7527</v>
      </c>
      <c r="L2812" s="10" t="s">
        <v>42</v>
      </c>
    </row>
    <row r="2813" ht="15.75" customHeight="1">
      <c r="A2813" s="64">
        <v>45473.0</v>
      </c>
      <c r="B2813" s="55" t="str">
        <f>HYPERLINK("https://jobright.ai/jobs/info/6681b712f2baaad53af9bc4d?utm_campaign=1062&amp;utm_source=sheet", "Apply")</f>
        <v>Apply</v>
      </c>
      <c r="C2813" s="10" t="s">
        <v>7524</v>
      </c>
      <c r="D2813" s="56" t="s">
        <v>7525</v>
      </c>
      <c r="E2813" s="10" t="s">
        <v>137</v>
      </c>
      <c r="F2813" s="10" t="s">
        <v>7526</v>
      </c>
      <c r="G2813" s="10" t="s">
        <v>2579</v>
      </c>
      <c r="H2813" s="10" t="s">
        <v>994</v>
      </c>
      <c r="I2813" s="10" t="s">
        <v>55</v>
      </c>
      <c r="K2813" s="10" t="s">
        <v>7527</v>
      </c>
      <c r="L2813" s="10" t="s">
        <v>42</v>
      </c>
    </row>
    <row r="2814" ht="15.75" customHeight="1">
      <c r="A2814" s="64">
        <v>45473.0</v>
      </c>
      <c r="B2814" s="55" t="str">
        <f>HYPERLINK("https://jobright.ai/jobs/info/6681b712f2baaad53af9bc48?utm_campaign=1062&amp;utm_source=sheet", "Apply")</f>
        <v>Apply</v>
      </c>
      <c r="C2814" s="10" t="s">
        <v>7524</v>
      </c>
      <c r="D2814" s="56" t="s">
        <v>7525</v>
      </c>
      <c r="E2814" s="10" t="s">
        <v>137</v>
      </c>
      <c r="F2814" s="10" t="s">
        <v>7526</v>
      </c>
      <c r="G2814" s="10" t="s">
        <v>2579</v>
      </c>
      <c r="H2814" s="10" t="s">
        <v>959</v>
      </c>
      <c r="I2814" s="10" t="s">
        <v>55</v>
      </c>
      <c r="K2814" s="10" t="s">
        <v>7527</v>
      </c>
      <c r="L2814" s="10" t="s">
        <v>42</v>
      </c>
    </row>
    <row r="2815" ht="15.75" customHeight="1">
      <c r="A2815" s="64">
        <v>45473.0</v>
      </c>
      <c r="B2815" s="55" t="str">
        <f>HYPERLINK("https://jobright.ai/jobs/info/6681b712f2baaad53af9bc51?utm_campaign=1062&amp;utm_source=sheet", "Apply")</f>
        <v>Apply</v>
      </c>
      <c r="C2815" s="10" t="s">
        <v>7524</v>
      </c>
      <c r="D2815" s="56" t="s">
        <v>7525</v>
      </c>
      <c r="E2815" s="10" t="s">
        <v>137</v>
      </c>
      <c r="F2815" s="10" t="s">
        <v>7526</v>
      </c>
      <c r="G2815" s="10" t="s">
        <v>2579</v>
      </c>
      <c r="H2815" s="10" t="s">
        <v>990</v>
      </c>
      <c r="I2815" s="10" t="s">
        <v>55</v>
      </c>
      <c r="K2815" s="10" t="s">
        <v>7527</v>
      </c>
      <c r="L2815" s="10" t="s">
        <v>42</v>
      </c>
    </row>
    <row r="2816" ht="15.75" customHeight="1">
      <c r="A2816" s="64">
        <v>45473.0</v>
      </c>
      <c r="B2816" s="55" t="str">
        <f>HYPERLINK("https://jobright.ai/jobs/info/6681b712f2baaad53af9bc57?utm_campaign=1062&amp;utm_source=sheet", "Apply")</f>
        <v>Apply</v>
      </c>
      <c r="C2816" s="10" t="s">
        <v>7524</v>
      </c>
      <c r="D2816" s="56" t="s">
        <v>7525</v>
      </c>
      <c r="E2816" s="10" t="s">
        <v>137</v>
      </c>
      <c r="F2816" s="10" t="s">
        <v>7526</v>
      </c>
      <c r="G2816" s="10" t="s">
        <v>2579</v>
      </c>
      <c r="H2816" s="10" t="s">
        <v>1014</v>
      </c>
      <c r="I2816" s="10" t="s">
        <v>55</v>
      </c>
      <c r="K2816" s="10" t="s">
        <v>7527</v>
      </c>
      <c r="L2816" s="10" t="s">
        <v>42</v>
      </c>
    </row>
    <row r="2817" ht="15.75" customHeight="1">
      <c r="A2817" s="64">
        <v>45473.0</v>
      </c>
      <c r="B2817" s="55" t="str">
        <f>HYPERLINK("https://jobright.ai/jobs/info/6681b712f2baaad53af9bc5a?utm_campaign=1062&amp;utm_source=sheet", "Apply")</f>
        <v>Apply</v>
      </c>
      <c r="C2817" s="10" t="s">
        <v>7524</v>
      </c>
      <c r="D2817" s="56" t="s">
        <v>7525</v>
      </c>
      <c r="E2817" s="10" t="s">
        <v>137</v>
      </c>
      <c r="F2817" s="10" t="s">
        <v>7526</v>
      </c>
      <c r="G2817" s="10" t="s">
        <v>2579</v>
      </c>
      <c r="H2817" s="10" t="s">
        <v>790</v>
      </c>
      <c r="I2817" s="10" t="s">
        <v>55</v>
      </c>
      <c r="K2817" s="10" t="s">
        <v>7527</v>
      </c>
      <c r="L2817" s="10" t="s">
        <v>42</v>
      </c>
    </row>
    <row r="2818" ht="15.75" customHeight="1">
      <c r="A2818" s="64">
        <v>45473.0</v>
      </c>
      <c r="B2818" s="55" t="str">
        <f>HYPERLINK("https://jobright.ai/jobs/info/6681b712f2baaad53af9bc5d?utm_campaign=1062&amp;utm_source=sheet", "Apply")</f>
        <v>Apply</v>
      </c>
      <c r="C2818" s="10" t="s">
        <v>7524</v>
      </c>
      <c r="D2818" s="56" t="s">
        <v>7525</v>
      </c>
      <c r="E2818" s="10" t="s">
        <v>137</v>
      </c>
      <c r="F2818" s="10" t="s">
        <v>7526</v>
      </c>
      <c r="G2818" s="10" t="s">
        <v>2579</v>
      </c>
      <c r="H2818" s="10" t="s">
        <v>139</v>
      </c>
      <c r="I2818" s="10" t="s">
        <v>55</v>
      </c>
      <c r="K2818" s="10" t="s">
        <v>7527</v>
      </c>
      <c r="L2818" s="10" t="s">
        <v>42</v>
      </c>
    </row>
    <row r="2819" ht="15.75" customHeight="1">
      <c r="A2819" s="64">
        <v>45473.0</v>
      </c>
      <c r="B2819" s="55" t="str">
        <f>HYPERLINK("https://jobright.ai/jobs/info/6681b712f2baaad53af9bc58?utm_campaign=1062&amp;utm_source=sheet", "Apply")</f>
        <v>Apply</v>
      </c>
      <c r="C2819" s="10" t="s">
        <v>7524</v>
      </c>
      <c r="D2819" s="56" t="s">
        <v>7525</v>
      </c>
      <c r="E2819" s="10" t="s">
        <v>137</v>
      </c>
      <c r="F2819" s="10" t="s">
        <v>7526</v>
      </c>
      <c r="G2819" s="10" t="s">
        <v>2579</v>
      </c>
      <c r="H2819" s="10" t="s">
        <v>188</v>
      </c>
      <c r="I2819" s="10" t="s">
        <v>55</v>
      </c>
      <c r="K2819" s="10" t="s">
        <v>7527</v>
      </c>
      <c r="L2819" s="10" t="s">
        <v>42</v>
      </c>
    </row>
    <row r="2820" ht="15.75" customHeight="1">
      <c r="A2820" s="64">
        <v>45473.0</v>
      </c>
      <c r="B2820" s="55" t="str">
        <f>HYPERLINK("https://jobright.ai/jobs/info/6681b712f2baaad53af9bc5c?utm_campaign=1062&amp;utm_source=sheet", "Apply")</f>
        <v>Apply</v>
      </c>
      <c r="C2820" s="10" t="s">
        <v>7524</v>
      </c>
      <c r="D2820" s="56" t="s">
        <v>7525</v>
      </c>
      <c r="E2820" s="10" t="s">
        <v>137</v>
      </c>
      <c r="F2820" s="10" t="s">
        <v>7526</v>
      </c>
      <c r="G2820" s="10" t="s">
        <v>2579</v>
      </c>
      <c r="H2820" s="10" t="s">
        <v>953</v>
      </c>
      <c r="I2820" s="10" t="s">
        <v>55</v>
      </c>
      <c r="K2820" s="10" t="s">
        <v>7527</v>
      </c>
      <c r="L2820" s="10" t="s">
        <v>42</v>
      </c>
    </row>
    <row r="2821" ht="15.75" customHeight="1">
      <c r="A2821" s="64">
        <v>45473.0</v>
      </c>
      <c r="B2821" s="55" t="str">
        <f>HYPERLINK("https://jobright.ai/jobs/info/6681b712f2baaad53af9bc5b?utm_campaign=1062&amp;utm_source=sheet", "Apply")</f>
        <v>Apply</v>
      </c>
      <c r="C2821" s="10" t="s">
        <v>7524</v>
      </c>
      <c r="D2821" s="56" t="s">
        <v>7525</v>
      </c>
      <c r="E2821" s="10" t="s">
        <v>137</v>
      </c>
      <c r="F2821" s="10" t="s">
        <v>7526</v>
      </c>
      <c r="G2821" s="10" t="s">
        <v>2579</v>
      </c>
      <c r="H2821" s="10" t="s">
        <v>880</v>
      </c>
      <c r="I2821" s="10" t="s">
        <v>55</v>
      </c>
      <c r="K2821" s="10" t="s">
        <v>7527</v>
      </c>
      <c r="L2821" s="10" t="s">
        <v>42</v>
      </c>
    </row>
    <row r="2822" ht="15.75" customHeight="1">
      <c r="A2822" s="64">
        <v>45473.0</v>
      </c>
      <c r="B2822" s="55" t="str">
        <f>HYPERLINK("https://jobright.ai/jobs/info/6681b712f2baaad53af9bc59?utm_campaign=1062&amp;utm_source=sheet", "Apply")</f>
        <v>Apply</v>
      </c>
      <c r="C2822" s="10" t="s">
        <v>7524</v>
      </c>
      <c r="D2822" s="56" t="s">
        <v>7525</v>
      </c>
      <c r="E2822" s="10" t="s">
        <v>137</v>
      </c>
      <c r="F2822" s="10" t="s">
        <v>7526</v>
      </c>
      <c r="G2822" s="10" t="s">
        <v>2579</v>
      </c>
      <c r="H2822" s="10" t="s">
        <v>976</v>
      </c>
      <c r="I2822" s="10" t="s">
        <v>55</v>
      </c>
      <c r="K2822" s="10" t="s">
        <v>7527</v>
      </c>
      <c r="L2822" s="10" t="s">
        <v>42</v>
      </c>
    </row>
    <row r="2823" ht="15.75" customHeight="1">
      <c r="A2823" s="64">
        <v>45473.0</v>
      </c>
      <c r="B2823" s="55" t="str">
        <f>HYPERLINK("https://jobright.ai/jobs/info/6681b712f2baaad53af9bc55?utm_campaign=1062&amp;utm_source=sheet", "Apply")</f>
        <v>Apply</v>
      </c>
      <c r="C2823" s="10" t="s">
        <v>7524</v>
      </c>
      <c r="D2823" s="56" t="s">
        <v>7525</v>
      </c>
      <c r="E2823" s="10" t="s">
        <v>137</v>
      </c>
      <c r="F2823" s="10" t="s">
        <v>7526</v>
      </c>
      <c r="G2823" s="10" t="s">
        <v>2579</v>
      </c>
      <c r="H2823" s="10" t="s">
        <v>920</v>
      </c>
      <c r="I2823" s="10" t="s">
        <v>55</v>
      </c>
      <c r="K2823" s="10" t="s">
        <v>7527</v>
      </c>
      <c r="L2823" s="10" t="s">
        <v>42</v>
      </c>
    </row>
    <row r="2824" ht="15.75" customHeight="1">
      <c r="A2824" s="64">
        <v>45473.0</v>
      </c>
      <c r="B2824" s="55" t="str">
        <f>HYPERLINK("https://jobright.ai/jobs/info/6681b712f2baaad53af9bc56?utm_campaign=1062&amp;utm_source=sheet", "Apply")</f>
        <v>Apply</v>
      </c>
      <c r="C2824" s="10" t="s">
        <v>7524</v>
      </c>
      <c r="D2824" s="56" t="s">
        <v>7525</v>
      </c>
      <c r="E2824" s="10" t="s">
        <v>137</v>
      </c>
      <c r="F2824" s="10" t="s">
        <v>7526</v>
      </c>
      <c r="G2824" s="10" t="s">
        <v>2579</v>
      </c>
      <c r="H2824" s="10" t="s">
        <v>813</v>
      </c>
      <c r="I2824" s="10" t="s">
        <v>55</v>
      </c>
      <c r="K2824" s="10" t="s">
        <v>7527</v>
      </c>
      <c r="L2824" s="10" t="s">
        <v>42</v>
      </c>
    </row>
    <row r="2825" ht="15.75" customHeight="1">
      <c r="A2825" s="64">
        <v>45473.0</v>
      </c>
      <c r="B2825" s="55" t="str">
        <f>HYPERLINK("https://jobright.ai/jobs/info/6681b712f2baaad53af9bc54?utm_campaign=1062&amp;utm_source=sheet", "Apply")</f>
        <v>Apply</v>
      </c>
      <c r="C2825" s="10" t="s">
        <v>7524</v>
      </c>
      <c r="D2825" s="56" t="s">
        <v>7525</v>
      </c>
      <c r="E2825" s="10" t="s">
        <v>137</v>
      </c>
      <c r="F2825" s="10" t="s">
        <v>7526</v>
      </c>
      <c r="G2825" s="10" t="s">
        <v>2579</v>
      </c>
      <c r="H2825" s="10" t="s">
        <v>152</v>
      </c>
      <c r="I2825" s="10" t="s">
        <v>55</v>
      </c>
      <c r="K2825" s="10" t="s">
        <v>7527</v>
      </c>
      <c r="L2825" s="10" t="s">
        <v>42</v>
      </c>
    </row>
    <row r="2826" ht="15.75" customHeight="1">
      <c r="A2826" s="64">
        <v>45473.0</v>
      </c>
      <c r="B2826" s="55" t="str">
        <f>HYPERLINK("https://jobright.ai/jobs/info/6681d145c41f5e36684d5998?utm_campaign=1062&amp;utm_source=sheet", "Apply")</f>
        <v>Apply</v>
      </c>
      <c r="C2826" s="10" t="s">
        <v>7524</v>
      </c>
      <c r="D2826" s="56" t="s">
        <v>7525</v>
      </c>
      <c r="E2826" s="10" t="s">
        <v>137</v>
      </c>
      <c r="F2826" s="10" t="s">
        <v>7526</v>
      </c>
      <c r="G2826" s="10" t="s">
        <v>2579</v>
      </c>
      <c r="H2826" s="10" t="s">
        <v>906</v>
      </c>
      <c r="I2826" s="10" t="s">
        <v>55</v>
      </c>
      <c r="K2826" s="10" t="s">
        <v>7527</v>
      </c>
      <c r="L2826" s="10" t="s">
        <v>42</v>
      </c>
    </row>
    <row r="2827" ht="15.75" customHeight="1">
      <c r="A2827" s="64">
        <v>45473.0</v>
      </c>
      <c r="B2827" s="55" t="str">
        <f>HYPERLINK("https://jobright.ai/jobs/info/6681bfc07a4a73ce111e235a?utm_campaign=1062&amp;utm_source=sheet", "Apply")</f>
        <v>Apply</v>
      </c>
      <c r="C2827" s="10" t="s">
        <v>7524</v>
      </c>
      <c r="D2827" s="56" t="s">
        <v>7525</v>
      </c>
      <c r="E2827" s="10" t="s">
        <v>137</v>
      </c>
      <c r="F2827" s="10" t="s">
        <v>7526</v>
      </c>
      <c r="G2827" s="10" t="s">
        <v>2579</v>
      </c>
      <c r="H2827" s="10" t="s">
        <v>979</v>
      </c>
      <c r="I2827" s="10" t="s">
        <v>55</v>
      </c>
      <c r="K2827" s="10" t="s">
        <v>7527</v>
      </c>
      <c r="L2827" s="10" t="s">
        <v>42</v>
      </c>
    </row>
    <row r="2828" ht="15.75" customHeight="1">
      <c r="A2828" s="64">
        <v>45473.0</v>
      </c>
      <c r="B2828" s="55" t="str">
        <f>HYPERLINK("https://jobright.ai/jobs/info/6681bfc07a4a73ce111e235d?utm_campaign=1062&amp;utm_source=sheet", "Apply")</f>
        <v>Apply</v>
      </c>
      <c r="C2828" s="10" t="s">
        <v>7524</v>
      </c>
      <c r="D2828" s="56" t="s">
        <v>7525</v>
      </c>
      <c r="E2828" s="10" t="s">
        <v>137</v>
      </c>
      <c r="F2828" s="10" t="s">
        <v>7526</v>
      </c>
      <c r="G2828" s="10" t="s">
        <v>2579</v>
      </c>
      <c r="H2828" s="10" t="s">
        <v>781</v>
      </c>
      <c r="I2828" s="10" t="s">
        <v>55</v>
      </c>
      <c r="K2828" s="10" t="s">
        <v>7527</v>
      </c>
      <c r="L2828" s="10" t="s">
        <v>42</v>
      </c>
    </row>
    <row r="2829" ht="15.75" customHeight="1">
      <c r="A2829" s="64">
        <v>45473.0</v>
      </c>
      <c r="B2829" s="55" t="str">
        <f>HYPERLINK("https://jobright.ai/jobs/info/6681bfc07a4a73ce111e235b?utm_campaign=1062&amp;utm_source=sheet", "Apply")</f>
        <v>Apply</v>
      </c>
      <c r="C2829" s="10" t="s">
        <v>7524</v>
      </c>
      <c r="D2829" s="56" t="s">
        <v>7525</v>
      </c>
      <c r="E2829" s="10" t="s">
        <v>137</v>
      </c>
      <c r="F2829" s="10" t="s">
        <v>7526</v>
      </c>
      <c r="G2829" s="10" t="s">
        <v>2579</v>
      </c>
      <c r="H2829" s="10" t="s">
        <v>865</v>
      </c>
      <c r="I2829" s="10" t="s">
        <v>55</v>
      </c>
      <c r="K2829" s="10" t="s">
        <v>7527</v>
      </c>
      <c r="L2829" s="10" t="s">
        <v>42</v>
      </c>
    </row>
    <row r="2830" ht="15.75" customHeight="1">
      <c r="A2830" s="64">
        <v>45473.0</v>
      </c>
      <c r="B2830" s="55" t="str">
        <f>HYPERLINK("https://jobright.ai/jobs/info/6681bfc07a4a73ce111e2361?utm_campaign=1062&amp;utm_source=sheet", "Apply")</f>
        <v>Apply</v>
      </c>
      <c r="C2830" s="10" t="s">
        <v>7524</v>
      </c>
      <c r="D2830" s="56" t="s">
        <v>7525</v>
      </c>
      <c r="E2830" s="10" t="s">
        <v>137</v>
      </c>
      <c r="F2830" s="10" t="s">
        <v>7526</v>
      </c>
      <c r="G2830" s="10" t="s">
        <v>2579</v>
      </c>
      <c r="H2830" s="10" t="s">
        <v>800</v>
      </c>
      <c r="I2830" s="10" t="s">
        <v>55</v>
      </c>
      <c r="K2830" s="10" t="s">
        <v>7527</v>
      </c>
      <c r="L2830" s="10" t="s">
        <v>42</v>
      </c>
    </row>
    <row r="2831" ht="15.75" customHeight="1">
      <c r="A2831" s="64">
        <v>45473.0</v>
      </c>
      <c r="B2831" s="55" t="str">
        <f>HYPERLINK("https://jobright.ai/jobs/info/6681bfc07a4a73ce111e235e?utm_campaign=1062&amp;utm_source=sheet", "Apply")</f>
        <v>Apply</v>
      </c>
      <c r="C2831" s="10" t="s">
        <v>7524</v>
      </c>
      <c r="D2831" s="56" t="s">
        <v>7525</v>
      </c>
      <c r="E2831" s="10" t="s">
        <v>137</v>
      </c>
      <c r="F2831" s="10" t="s">
        <v>7526</v>
      </c>
      <c r="G2831" s="10" t="s">
        <v>2579</v>
      </c>
      <c r="H2831" s="10" t="s">
        <v>817</v>
      </c>
      <c r="I2831" s="10" t="s">
        <v>55</v>
      </c>
      <c r="K2831" s="10" t="s">
        <v>7527</v>
      </c>
      <c r="L2831" s="10" t="s">
        <v>42</v>
      </c>
    </row>
    <row r="2832" ht="15.75" customHeight="1">
      <c r="A2832" s="64">
        <v>45473.0</v>
      </c>
      <c r="B2832" s="55" t="str">
        <f>HYPERLINK("https://jobright.ai/jobs/info/6681bfc07a4a73ce111e2358?utm_campaign=1062&amp;utm_source=sheet", "Apply")</f>
        <v>Apply</v>
      </c>
      <c r="C2832" s="10" t="s">
        <v>7524</v>
      </c>
      <c r="D2832" s="56" t="s">
        <v>7525</v>
      </c>
      <c r="E2832" s="10" t="s">
        <v>137</v>
      </c>
      <c r="F2832" s="10" t="s">
        <v>7526</v>
      </c>
      <c r="G2832" s="10" t="s">
        <v>2579</v>
      </c>
      <c r="H2832" s="10" t="s">
        <v>810</v>
      </c>
      <c r="I2832" s="10" t="s">
        <v>55</v>
      </c>
      <c r="K2832" s="10" t="s">
        <v>7527</v>
      </c>
      <c r="L2832" s="10" t="s">
        <v>42</v>
      </c>
    </row>
    <row r="2833" ht="15.75" customHeight="1">
      <c r="A2833" s="64">
        <v>45473.0</v>
      </c>
      <c r="B2833" s="55" t="str">
        <f>HYPERLINK("https://jobright.ai/jobs/info/6681bfc07a4a73ce111e235f?utm_campaign=1062&amp;utm_source=sheet", "Apply")</f>
        <v>Apply</v>
      </c>
      <c r="C2833" s="10" t="s">
        <v>7524</v>
      </c>
      <c r="D2833" s="56" t="s">
        <v>7525</v>
      </c>
      <c r="E2833" s="10" t="s">
        <v>137</v>
      </c>
      <c r="F2833" s="10" t="s">
        <v>7526</v>
      </c>
      <c r="G2833" s="10" t="s">
        <v>2579</v>
      </c>
      <c r="H2833" s="10" t="s">
        <v>1021</v>
      </c>
      <c r="I2833" s="10" t="s">
        <v>55</v>
      </c>
      <c r="K2833" s="10" t="s">
        <v>7527</v>
      </c>
      <c r="L2833" s="10" t="s">
        <v>42</v>
      </c>
    </row>
    <row r="2834" ht="15.75" customHeight="1">
      <c r="A2834" s="64">
        <v>45473.0</v>
      </c>
      <c r="B2834" s="55" t="str">
        <f>HYPERLINK("https://jobright.ai/jobs/info/6681bfc07a4a73ce111e2360?utm_campaign=1062&amp;utm_source=sheet", "Apply")</f>
        <v>Apply</v>
      </c>
      <c r="C2834" s="10" t="s">
        <v>7524</v>
      </c>
      <c r="D2834" s="56" t="s">
        <v>7525</v>
      </c>
      <c r="E2834" s="10" t="s">
        <v>137</v>
      </c>
      <c r="F2834" s="10" t="s">
        <v>7526</v>
      </c>
      <c r="G2834" s="10" t="s">
        <v>2579</v>
      </c>
      <c r="H2834" s="10" t="s">
        <v>940</v>
      </c>
      <c r="I2834" s="10" t="s">
        <v>55</v>
      </c>
      <c r="K2834" s="10" t="s">
        <v>7527</v>
      </c>
      <c r="L2834" s="10" t="s">
        <v>42</v>
      </c>
    </row>
    <row r="2835" ht="15.75" customHeight="1">
      <c r="A2835" s="64">
        <v>45473.0</v>
      </c>
      <c r="B2835" s="55" t="str">
        <f>HYPERLINK("https://jobright.ai/jobs/info/6681bfc07a4a73ce111e2357?utm_campaign=1062&amp;utm_source=sheet", "Apply")</f>
        <v>Apply</v>
      </c>
      <c r="C2835" s="10" t="s">
        <v>7524</v>
      </c>
      <c r="D2835" s="56" t="s">
        <v>7525</v>
      </c>
      <c r="E2835" s="10" t="s">
        <v>137</v>
      </c>
      <c r="F2835" s="10" t="s">
        <v>7526</v>
      </c>
      <c r="G2835" s="10" t="s">
        <v>2579</v>
      </c>
      <c r="H2835" s="10" t="s">
        <v>827</v>
      </c>
      <c r="I2835" s="10" t="s">
        <v>55</v>
      </c>
      <c r="K2835" s="10" t="s">
        <v>7527</v>
      </c>
      <c r="L2835" s="10" t="s">
        <v>42</v>
      </c>
    </row>
    <row r="2836" ht="15.75" customHeight="1">
      <c r="A2836" s="64">
        <v>45473.0</v>
      </c>
      <c r="B2836" s="55" t="str">
        <f>HYPERLINK("https://jobright.ai/jobs/info/6681bfc07a4a73ce111e235c?utm_campaign=1062&amp;utm_source=sheet", "Apply")</f>
        <v>Apply</v>
      </c>
      <c r="C2836" s="10" t="s">
        <v>7524</v>
      </c>
      <c r="D2836" s="56" t="s">
        <v>7525</v>
      </c>
      <c r="E2836" s="10" t="s">
        <v>137</v>
      </c>
      <c r="F2836" s="10" t="s">
        <v>7526</v>
      </c>
      <c r="G2836" s="10" t="s">
        <v>2579</v>
      </c>
      <c r="H2836" s="10" t="s">
        <v>113</v>
      </c>
      <c r="I2836" s="10" t="s">
        <v>55</v>
      </c>
      <c r="K2836" s="10" t="s">
        <v>7527</v>
      </c>
      <c r="L2836" s="10" t="s">
        <v>42</v>
      </c>
    </row>
    <row r="2837" ht="15.75" customHeight="1">
      <c r="A2837" s="64">
        <v>45473.0</v>
      </c>
      <c r="B2837" s="55" t="str">
        <f>HYPERLINK("https://jobright.ai/jobs/info/6681bfc07a4a73ce111e2359?utm_campaign=1062&amp;utm_source=sheet", "Apply")</f>
        <v>Apply</v>
      </c>
      <c r="C2837" s="10" t="s">
        <v>7524</v>
      </c>
      <c r="D2837" s="56" t="s">
        <v>7525</v>
      </c>
      <c r="E2837" s="10" t="s">
        <v>137</v>
      </c>
      <c r="F2837" s="10" t="s">
        <v>7526</v>
      </c>
      <c r="G2837" s="10" t="s">
        <v>2579</v>
      </c>
      <c r="H2837" s="10" t="s">
        <v>785</v>
      </c>
      <c r="I2837" s="10" t="s">
        <v>55</v>
      </c>
      <c r="K2837" s="10" t="s">
        <v>7527</v>
      </c>
      <c r="L2837" s="10" t="s">
        <v>42</v>
      </c>
    </row>
    <row r="2838" ht="15.75" customHeight="1">
      <c r="A2838" s="64">
        <v>45473.0</v>
      </c>
      <c r="B2838" s="55" t="str">
        <f>HYPERLINK("https://jobright.ai/jobs/info/6681bfc07a4a73ce111e2356?utm_campaign=1062&amp;utm_source=sheet", "Apply")</f>
        <v>Apply</v>
      </c>
      <c r="C2838" s="10" t="s">
        <v>7524</v>
      </c>
      <c r="D2838" s="56" t="s">
        <v>7525</v>
      </c>
      <c r="E2838" s="10" t="s">
        <v>137</v>
      </c>
      <c r="F2838" s="10" t="s">
        <v>7526</v>
      </c>
      <c r="G2838" s="10" t="s">
        <v>2579</v>
      </c>
      <c r="H2838" s="10" t="s">
        <v>872</v>
      </c>
      <c r="I2838" s="10" t="s">
        <v>55</v>
      </c>
      <c r="K2838" s="10" t="s">
        <v>7527</v>
      </c>
      <c r="L2838" s="10" t="s">
        <v>42</v>
      </c>
    </row>
    <row r="2839" ht="15.75" customHeight="1">
      <c r="A2839" s="64">
        <v>45473.0</v>
      </c>
      <c r="B2839" s="55" t="str">
        <f>HYPERLINK("https://jobright.ai/jobs/info/6681bfc07a4a73ce111e2367?utm_campaign=1062&amp;utm_source=sheet", "Apply")</f>
        <v>Apply</v>
      </c>
      <c r="C2839" s="10" t="s">
        <v>7524</v>
      </c>
      <c r="D2839" s="56" t="s">
        <v>7525</v>
      </c>
      <c r="E2839" s="10" t="s">
        <v>137</v>
      </c>
      <c r="F2839" s="10" t="s">
        <v>7526</v>
      </c>
      <c r="G2839" s="10" t="s">
        <v>2579</v>
      </c>
      <c r="H2839" s="10" t="s">
        <v>963</v>
      </c>
      <c r="I2839" s="10" t="s">
        <v>55</v>
      </c>
      <c r="K2839" s="10" t="s">
        <v>7527</v>
      </c>
      <c r="L2839" s="10" t="s">
        <v>42</v>
      </c>
    </row>
    <row r="2840" ht="15.75" customHeight="1">
      <c r="A2840" s="64">
        <v>45473.0</v>
      </c>
      <c r="B2840" s="55" t="str">
        <f>HYPERLINK("https://jobright.ai/jobs/info/6681bfc07a4a73ce111e2365?utm_campaign=1062&amp;utm_source=sheet", "Apply")</f>
        <v>Apply</v>
      </c>
      <c r="C2840" s="10" t="s">
        <v>7524</v>
      </c>
      <c r="D2840" s="56" t="s">
        <v>7525</v>
      </c>
      <c r="E2840" s="10" t="s">
        <v>137</v>
      </c>
      <c r="F2840" s="10" t="s">
        <v>7526</v>
      </c>
      <c r="G2840" s="10" t="s">
        <v>2579</v>
      </c>
      <c r="H2840" s="10" t="s">
        <v>965</v>
      </c>
      <c r="I2840" s="10" t="s">
        <v>55</v>
      </c>
      <c r="K2840" s="10" t="s">
        <v>7527</v>
      </c>
      <c r="L2840" s="10" t="s">
        <v>42</v>
      </c>
    </row>
    <row r="2841" ht="15.75" customHeight="1">
      <c r="A2841" s="64">
        <v>45473.0</v>
      </c>
      <c r="B2841" s="55" t="str">
        <f>HYPERLINK("https://jobright.ai/jobs/info/6681bfc07a4a73ce111e236b?utm_campaign=1062&amp;utm_source=sheet", "Apply")</f>
        <v>Apply</v>
      </c>
      <c r="C2841" s="10" t="s">
        <v>7524</v>
      </c>
      <c r="D2841" s="56" t="s">
        <v>7525</v>
      </c>
      <c r="E2841" s="10" t="s">
        <v>137</v>
      </c>
      <c r="F2841" s="10" t="s">
        <v>7526</v>
      </c>
      <c r="G2841" s="10" t="s">
        <v>2579</v>
      </c>
      <c r="H2841" s="10" t="s">
        <v>794</v>
      </c>
      <c r="I2841" s="10" t="s">
        <v>55</v>
      </c>
      <c r="K2841" s="10" t="s">
        <v>7527</v>
      </c>
      <c r="L2841" s="10" t="s">
        <v>42</v>
      </c>
    </row>
    <row r="2842" ht="15.75" customHeight="1">
      <c r="A2842" s="64">
        <v>45473.0</v>
      </c>
      <c r="B2842" s="55" t="str">
        <f>HYPERLINK("https://jobright.ai/jobs/info/6681bfc07a4a73ce111e2369?utm_campaign=1062&amp;utm_source=sheet", "Apply")</f>
        <v>Apply</v>
      </c>
      <c r="C2842" s="10" t="s">
        <v>7524</v>
      </c>
      <c r="D2842" s="56" t="s">
        <v>7525</v>
      </c>
      <c r="E2842" s="10" t="s">
        <v>137</v>
      </c>
      <c r="F2842" s="10" t="s">
        <v>7526</v>
      </c>
      <c r="G2842" s="10" t="s">
        <v>2579</v>
      </c>
      <c r="H2842" s="10" t="s">
        <v>313</v>
      </c>
      <c r="I2842" s="10" t="s">
        <v>55</v>
      </c>
      <c r="K2842" s="10" t="s">
        <v>7527</v>
      </c>
      <c r="L2842" s="10" t="s">
        <v>42</v>
      </c>
    </row>
    <row r="2843" ht="15.75" customHeight="1">
      <c r="A2843" s="64">
        <v>45473.0</v>
      </c>
      <c r="B2843" s="55" t="str">
        <f>HYPERLINK("https://jobright.ai/jobs/info/6681bfc07a4a73ce111e2366?utm_campaign=1062&amp;utm_source=sheet", "Apply")</f>
        <v>Apply</v>
      </c>
      <c r="C2843" s="10" t="s">
        <v>7524</v>
      </c>
      <c r="D2843" s="56" t="s">
        <v>7525</v>
      </c>
      <c r="E2843" s="10" t="s">
        <v>137</v>
      </c>
      <c r="F2843" s="10" t="s">
        <v>7526</v>
      </c>
      <c r="G2843" s="10" t="s">
        <v>2579</v>
      </c>
      <c r="H2843" s="10" t="s">
        <v>1003</v>
      </c>
      <c r="I2843" s="10" t="s">
        <v>55</v>
      </c>
      <c r="K2843" s="10" t="s">
        <v>7527</v>
      </c>
      <c r="L2843" s="10" t="s">
        <v>42</v>
      </c>
    </row>
    <row r="2844" ht="15.75" customHeight="1">
      <c r="A2844" s="64">
        <v>45473.0</v>
      </c>
      <c r="B2844" s="55" t="str">
        <f>HYPERLINK("https://jobright.ai/jobs/info/6681bfc07a4a73ce111e2368?utm_campaign=1062&amp;utm_source=sheet", "Apply")</f>
        <v>Apply</v>
      </c>
      <c r="C2844" s="10" t="s">
        <v>7524</v>
      </c>
      <c r="D2844" s="56" t="s">
        <v>7525</v>
      </c>
      <c r="E2844" s="10" t="s">
        <v>137</v>
      </c>
      <c r="F2844" s="10" t="s">
        <v>7526</v>
      </c>
      <c r="G2844" s="10" t="s">
        <v>2579</v>
      </c>
      <c r="H2844" s="10" t="s">
        <v>908</v>
      </c>
      <c r="I2844" s="10" t="s">
        <v>55</v>
      </c>
      <c r="K2844" s="10" t="s">
        <v>7527</v>
      </c>
      <c r="L2844" s="10" t="s">
        <v>42</v>
      </c>
    </row>
    <row r="2845" ht="15.75" customHeight="1">
      <c r="A2845" s="64">
        <v>45473.0</v>
      </c>
      <c r="B2845" s="55" t="str">
        <f>HYPERLINK("https://jobright.ai/jobs/info/6681bfc07a4a73ce111e236c?utm_campaign=1062&amp;utm_source=sheet", "Apply")</f>
        <v>Apply</v>
      </c>
      <c r="C2845" s="10" t="s">
        <v>7524</v>
      </c>
      <c r="D2845" s="56" t="s">
        <v>7525</v>
      </c>
      <c r="E2845" s="10" t="s">
        <v>137</v>
      </c>
      <c r="F2845" s="10" t="s">
        <v>7526</v>
      </c>
      <c r="G2845" s="10" t="s">
        <v>2579</v>
      </c>
      <c r="H2845" s="10" t="s">
        <v>955</v>
      </c>
      <c r="I2845" s="10" t="s">
        <v>55</v>
      </c>
      <c r="K2845" s="10" t="s">
        <v>7527</v>
      </c>
      <c r="L2845" s="10" t="s">
        <v>42</v>
      </c>
    </row>
    <row r="2846" ht="15.75" customHeight="1">
      <c r="A2846" s="64">
        <v>45473.0</v>
      </c>
      <c r="B2846" s="55" t="str">
        <f>HYPERLINK("https://jobright.ai/jobs/info/6681bfc07a4a73ce111e2362?utm_campaign=1062&amp;utm_source=sheet", "Apply")</f>
        <v>Apply</v>
      </c>
      <c r="C2846" s="10" t="s">
        <v>7524</v>
      </c>
      <c r="D2846" s="56" t="s">
        <v>7525</v>
      </c>
      <c r="E2846" s="10" t="s">
        <v>137</v>
      </c>
      <c r="F2846" s="10" t="s">
        <v>7526</v>
      </c>
      <c r="G2846" s="10" t="s">
        <v>2579</v>
      </c>
      <c r="H2846" s="10" t="s">
        <v>1040</v>
      </c>
      <c r="I2846" s="10" t="s">
        <v>55</v>
      </c>
      <c r="K2846" s="10" t="s">
        <v>7527</v>
      </c>
      <c r="L2846" s="10" t="s">
        <v>42</v>
      </c>
    </row>
    <row r="2847" ht="15.75" customHeight="1">
      <c r="A2847" s="64">
        <v>45473.0</v>
      </c>
      <c r="B2847" s="55" t="str">
        <f>HYPERLINK("https://jobright.ai/jobs/info/6681bfc07a4a73ce111e2364?utm_campaign=1062&amp;utm_source=sheet", "Apply")</f>
        <v>Apply</v>
      </c>
      <c r="C2847" s="10" t="s">
        <v>7524</v>
      </c>
      <c r="D2847" s="56" t="s">
        <v>7525</v>
      </c>
      <c r="E2847" s="10" t="s">
        <v>137</v>
      </c>
      <c r="F2847" s="10" t="s">
        <v>7526</v>
      </c>
      <c r="G2847" s="10" t="s">
        <v>2579</v>
      </c>
      <c r="H2847" s="10" t="s">
        <v>154</v>
      </c>
      <c r="I2847" s="10" t="s">
        <v>55</v>
      </c>
      <c r="K2847" s="10" t="s">
        <v>7527</v>
      </c>
      <c r="L2847" s="10" t="s">
        <v>42</v>
      </c>
    </row>
    <row r="2848" ht="15.75" customHeight="1">
      <c r="A2848" s="64">
        <v>45473.0</v>
      </c>
      <c r="B2848" s="55" t="str">
        <f>HYPERLINK("https://jobright.ai/jobs/info/6681bfc07a4a73ce111e236a?utm_campaign=1062&amp;utm_source=sheet", "Apply")</f>
        <v>Apply</v>
      </c>
      <c r="C2848" s="10" t="s">
        <v>7524</v>
      </c>
      <c r="D2848" s="56" t="s">
        <v>7525</v>
      </c>
      <c r="E2848" s="10" t="s">
        <v>137</v>
      </c>
      <c r="F2848" s="10" t="s">
        <v>7526</v>
      </c>
      <c r="G2848" s="10" t="s">
        <v>2579</v>
      </c>
      <c r="H2848" s="10" t="s">
        <v>944</v>
      </c>
      <c r="I2848" s="10" t="s">
        <v>55</v>
      </c>
      <c r="K2848" s="10" t="s">
        <v>7527</v>
      </c>
      <c r="L2848" s="10" t="s">
        <v>42</v>
      </c>
    </row>
    <row r="2849" ht="15.75" customHeight="1">
      <c r="A2849" s="64">
        <v>45473.0</v>
      </c>
      <c r="B2849" s="55" t="str">
        <f>HYPERLINK("https://jobright.ai/jobs/info/6681cdbf92c2859d243aeee2?utm_campaign=1062&amp;utm_source=sheet", "Apply")</f>
        <v>Apply</v>
      </c>
      <c r="C2849" s="10" t="s">
        <v>7524</v>
      </c>
      <c r="D2849" s="56" t="s">
        <v>7525</v>
      </c>
      <c r="E2849" s="10" t="s">
        <v>137</v>
      </c>
      <c r="F2849" s="10" t="s">
        <v>7526</v>
      </c>
      <c r="G2849" s="10" t="s">
        <v>2579</v>
      </c>
      <c r="H2849" s="10" t="s">
        <v>708</v>
      </c>
      <c r="I2849" s="10" t="s">
        <v>55</v>
      </c>
      <c r="K2849" s="10" t="s">
        <v>7527</v>
      </c>
      <c r="L2849" s="10" t="s">
        <v>42</v>
      </c>
    </row>
    <row r="2850" ht="15.75" customHeight="1">
      <c r="A2850" s="64">
        <v>45473.0</v>
      </c>
      <c r="B2850" s="55" t="str">
        <f>HYPERLINK("https://jobright.ai/jobs/info/6681cdbf92c2859d243aeee3?utm_campaign=1062&amp;utm_source=sheet", "Apply")</f>
        <v>Apply</v>
      </c>
      <c r="C2850" s="10" t="s">
        <v>7524</v>
      </c>
      <c r="D2850" s="56" t="s">
        <v>7525</v>
      </c>
      <c r="E2850" s="10" t="s">
        <v>137</v>
      </c>
      <c r="F2850" s="10" t="s">
        <v>7526</v>
      </c>
      <c r="G2850" s="10" t="s">
        <v>2579</v>
      </c>
      <c r="H2850" s="10" t="s">
        <v>904</v>
      </c>
      <c r="I2850" s="10" t="s">
        <v>55</v>
      </c>
      <c r="K2850" s="10" t="s">
        <v>7527</v>
      </c>
      <c r="L2850" s="10" t="s">
        <v>42</v>
      </c>
    </row>
    <row r="2851" ht="15.75" customHeight="1">
      <c r="A2851" s="64">
        <v>45473.0</v>
      </c>
      <c r="B2851" s="55" t="str">
        <f>HYPERLINK("https://jobright.ai/jobs/info/6681b1b8a8ba421aa220fd59?utm_campaign=1062&amp;utm_source=sheet", "Apply")</f>
        <v>Apply</v>
      </c>
      <c r="C2851" s="10" t="s">
        <v>7524</v>
      </c>
      <c r="D2851" s="56" t="s">
        <v>7525</v>
      </c>
      <c r="E2851" s="10" t="s">
        <v>137</v>
      </c>
      <c r="F2851" s="10" t="s">
        <v>7526</v>
      </c>
      <c r="G2851" s="10" t="s">
        <v>2579</v>
      </c>
      <c r="H2851" s="10" t="s">
        <v>943</v>
      </c>
      <c r="I2851" s="10" t="s">
        <v>55</v>
      </c>
      <c r="K2851" s="10" t="s">
        <v>7527</v>
      </c>
      <c r="L2851" s="10" t="s">
        <v>42</v>
      </c>
    </row>
    <row r="2852" ht="15.75" customHeight="1">
      <c r="A2852" s="64">
        <v>45473.0</v>
      </c>
      <c r="B2852" s="55" t="str">
        <f>HYPERLINK("https://jobright.ai/jobs/info/6681b1b8a8ba421aa220fd58?utm_campaign=1062&amp;utm_source=sheet", "Apply")</f>
        <v>Apply</v>
      </c>
      <c r="C2852" s="10" t="s">
        <v>7524</v>
      </c>
      <c r="D2852" s="56" t="s">
        <v>7525</v>
      </c>
      <c r="E2852" s="10" t="s">
        <v>137</v>
      </c>
      <c r="F2852" s="10" t="s">
        <v>7526</v>
      </c>
      <c r="G2852" s="10" t="s">
        <v>2579</v>
      </c>
      <c r="H2852" s="10" t="s">
        <v>278</v>
      </c>
      <c r="I2852" s="10" t="s">
        <v>55</v>
      </c>
      <c r="K2852" s="10" t="s">
        <v>7527</v>
      </c>
      <c r="L2852" s="10" t="s">
        <v>42</v>
      </c>
    </row>
    <row r="2853" ht="15.75" customHeight="1">
      <c r="A2853" s="64">
        <v>45473.0</v>
      </c>
      <c r="B2853" s="55" t="str">
        <f>HYPERLINK("https://jobright.ai/jobs/info/6681b1b8a8ba421aa220fd5a?utm_campaign=1062&amp;utm_source=sheet", "Apply")</f>
        <v>Apply</v>
      </c>
      <c r="C2853" s="10" t="s">
        <v>7524</v>
      </c>
      <c r="D2853" s="56" t="s">
        <v>7525</v>
      </c>
      <c r="E2853" s="10" t="s">
        <v>137</v>
      </c>
      <c r="F2853" s="10" t="s">
        <v>7526</v>
      </c>
      <c r="G2853" s="10" t="s">
        <v>2579</v>
      </c>
      <c r="H2853" s="10" t="s">
        <v>797</v>
      </c>
      <c r="I2853" s="10" t="s">
        <v>55</v>
      </c>
      <c r="K2853" s="10" t="s">
        <v>7527</v>
      </c>
      <c r="L2853" s="10" t="s">
        <v>42</v>
      </c>
    </row>
    <row r="2854" ht="15.75" customHeight="1">
      <c r="A2854" s="64">
        <v>45473.0</v>
      </c>
      <c r="B2854" s="55" t="str">
        <f>HYPERLINK("https://jobright.ai/jobs/info/6681b1b8a8ba421aa220fd61?utm_campaign=1062&amp;utm_source=sheet", "Apply")</f>
        <v>Apply</v>
      </c>
      <c r="C2854" s="10" t="s">
        <v>7524</v>
      </c>
      <c r="D2854" s="56" t="s">
        <v>7525</v>
      </c>
      <c r="E2854" s="10" t="s">
        <v>137</v>
      </c>
      <c r="F2854" s="10" t="s">
        <v>7526</v>
      </c>
      <c r="G2854" s="10" t="s">
        <v>2579</v>
      </c>
      <c r="H2854" s="10" t="s">
        <v>1030</v>
      </c>
      <c r="I2854" s="10" t="s">
        <v>55</v>
      </c>
      <c r="K2854" s="10" t="s">
        <v>7527</v>
      </c>
      <c r="L2854" s="10" t="s">
        <v>42</v>
      </c>
    </row>
    <row r="2855" ht="15.75" customHeight="1">
      <c r="A2855" s="64">
        <v>45473.0</v>
      </c>
      <c r="B2855" s="55" t="str">
        <f>HYPERLINK("https://jobright.ai/jobs/info/6681b1b8a8ba421aa220fd65?utm_campaign=1062&amp;utm_source=sheet", "Apply")</f>
        <v>Apply</v>
      </c>
      <c r="C2855" s="10" t="s">
        <v>7524</v>
      </c>
      <c r="D2855" s="56" t="s">
        <v>7525</v>
      </c>
      <c r="E2855" s="10" t="s">
        <v>137</v>
      </c>
      <c r="F2855" s="10" t="s">
        <v>7526</v>
      </c>
      <c r="G2855" s="10" t="s">
        <v>2579</v>
      </c>
      <c r="H2855" s="10" t="s">
        <v>578</v>
      </c>
      <c r="I2855" s="10" t="s">
        <v>55</v>
      </c>
      <c r="K2855" s="10" t="s">
        <v>7527</v>
      </c>
      <c r="L2855" s="10" t="s">
        <v>42</v>
      </c>
    </row>
    <row r="2856" ht="15.75" customHeight="1">
      <c r="A2856" s="64">
        <v>45473.0</v>
      </c>
      <c r="B2856" s="55" t="str">
        <f>HYPERLINK("https://jobright.ai/jobs/info/6681b1b8a8ba421aa220fd5b?utm_campaign=1062&amp;utm_source=sheet", "Apply")</f>
        <v>Apply</v>
      </c>
      <c r="C2856" s="10" t="s">
        <v>7524</v>
      </c>
      <c r="D2856" s="56" t="s">
        <v>7525</v>
      </c>
      <c r="E2856" s="10" t="s">
        <v>137</v>
      </c>
      <c r="F2856" s="10" t="s">
        <v>7526</v>
      </c>
      <c r="G2856" s="10" t="s">
        <v>2579</v>
      </c>
      <c r="H2856" s="10" t="s">
        <v>874</v>
      </c>
      <c r="I2856" s="10" t="s">
        <v>55</v>
      </c>
      <c r="K2856" s="10" t="s">
        <v>7527</v>
      </c>
      <c r="L2856" s="10" t="s">
        <v>42</v>
      </c>
    </row>
    <row r="2857" ht="15.75" customHeight="1">
      <c r="A2857" s="64">
        <v>45473.0</v>
      </c>
      <c r="B2857" s="55" t="str">
        <f>HYPERLINK("https://jobright.ai/jobs/info/6681b1b8a8ba421aa220fd67?utm_campaign=1062&amp;utm_source=sheet", "Apply")</f>
        <v>Apply</v>
      </c>
      <c r="C2857" s="10" t="s">
        <v>7524</v>
      </c>
      <c r="D2857" s="56" t="s">
        <v>7525</v>
      </c>
      <c r="E2857" s="10" t="s">
        <v>137</v>
      </c>
      <c r="F2857" s="10" t="s">
        <v>7526</v>
      </c>
      <c r="G2857" s="10" t="s">
        <v>2579</v>
      </c>
      <c r="H2857" s="10" t="s">
        <v>997</v>
      </c>
      <c r="I2857" s="10" t="s">
        <v>55</v>
      </c>
      <c r="K2857" s="10" t="s">
        <v>7527</v>
      </c>
      <c r="L2857" s="10" t="s">
        <v>42</v>
      </c>
    </row>
    <row r="2858" ht="15.75" customHeight="1">
      <c r="A2858" s="64">
        <v>45473.0</v>
      </c>
      <c r="B2858" s="55" t="str">
        <f>HYPERLINK("https://jobright.ai/jobs/info/6681b1b8a8ba421aa220fd5d?utm_campaign=1062&amp;utm_source=sheet", "Apply")</f>
        <v>Apply</v>
      </c>
      <c r="C2858" s="10" t="s">
        <v>7524</v>
      </c>
      <c r="D2858" s="56" t="s">
        <v>7525</v>
      </c>
      <c r="E2858" s="10" t="s">
        <v>137</v>
      </c>
      <c r="F2858" s="10" t="s">
        <v>7526</v>
      </c>
      <c r="G2858" s="10" t="s">
        <v>2579</v>
      </c>
      <c r="H2858" s="10" t="s">
        <v>1045</v>
      </c>
      <c r="I2858" s="10" t="s">
        <v>55</v>
      </c>
      <c r="K2858" s="10" t="s">
        <v>7527</v>
      </c>
      <c r="L2858" s="10" t="s">
        <v>42</v>
      </c>
    </row>
    <row r="2859" ht="15.75" customHeight="1">
      <c r="A2859" s="64">
        <v>45473.0</v>
      </c>
      <c r="B2859" s="55" t="str">
        <f>HYPERLINK("https://jobright.ai/jobs/info/6681b1b8a8ba421aa220fd64?utm_campaign=1062&amp;utm_source=sheet", "Apply")</f>
        <v>Apply</v>
      </c>
      <c r="C2859" s="10" t="s">
        <v>7524</v>
      </c>
      <c r="D2859" s="56" t="s">
        <v>7525</v>
      </c>
      <c r="E2859" s="10" t="s">
        <v>137</v>
      </c>
      <c r="F2859" s="10" t="s">
        <v>7526</v>
      </c>
      <c r="G2859" s="10" t="s">
        <v>2579</v>
      </c>
      <c r="H2859" s="10" t="s">
        <v>804</v>
      </c>
      <c r="I2859" s="10" t="s">
        <v>55</v>
      </c>
      <c r="K2859" s="10" t="s">
        <v>7527</v>
      </c>
      <c r="L2859" s="10" t="s">
        <v>42</v>
      </c>
    </row>
    <row r="2860" ht="15.75" customHeight="1">
      <c r="A2860" s="64">
        <v>45473.0</v>
      </c>
      <c r="B2860" s="55" t="str">
        <f>HYPERLINK("https://jobright.ai/jobs/info/6681b1b8a8ba421aa220fd66?utm_campaign=1062&amp;utm_source=sheet", "Apply")</f>
        <v>Apply</v>
      </c>
      <c r="C2860" s="10" t="s">
        <v>7524</v>
      </c>
      <c r="D2860" s="56" t="s">
        <v>7525</v>
      </c>
      <c r="E2860" s="10" t="s">
        <v>137</v>
      </c>
      <c r="F2860" s="10" t="s">
        <v>7526</v>
      </c>
      <c r="G2860" s="10" t="s">
        <v>2579</v>
      </c>
      <c r="H2860" s="10" t="s">
        <v>971</v>
      </c>
      <c r="I2860" s="10" t="s">
        <v>55</v>
      </c>
      <c r="K2860" s="10" t="s">
        <v>7527</v>
      </c>
      <c r="L2860" s="10" t="s">
        <v>42</v>
      </c>
    </row>
    <row r="2861" ht="15.75" customHeight="1">
      <c r="A2861" s="64">
        <v>45473.0</v>
      </c>
      <c r="B2861" s="55" t="str">
        <f>HYPERLINK("https://jobright.ai/jobs/info/6681b1b8a8ba421aa220fd60?utm_campaign=1062&amp;utm_source=sheet", "Apply")</f>
        <v>Apply</v>
      </c>
      <c r="C2861" s="10" t="s">
        <v>7524</v>
      </c>
      <c r="D2861" s="56" t="s">
        <v>7525</v>
      </c>
      <c r="E2861" s="10" t="s">
        <v>137</v>
      </c>
      <c r="F2861" s="10" t="s">
        <v>7526</v>
      </c>
      <c r="G2861" s="10" t="s">
        <v>2579</v>
      </c>
      <c r="H2861" s="10" t="s">
        <v>773</v>
      </c>
      <c r="I2861" s="10" t="s">
        <v>55</v>
      </c>
      <c r="K2861" s="10" t="s">
        <v>7527</v>
      </c>
      <c r="L2861" s="10" t="s">
        <v>42</v>
      </c>
    </row>
    <row r="2862" ht="15.75" customHeight="1">
      <c r="A2862" s="64">
        <v>45473.0</v>
      </c>
      <c r="B2862" s="55" t="str">
        <f>HYPERLINK("https://jobright.ai/jobs/info/6681b1b8a8ba421aa220fd63?utm_campaign=1062&amp;utm_source=sheet", "Apply")</f>
        <v>Apply</v>
      </c>
      <c r="C2862" s="10" t="s">
        <v>7524</v>
      </c>
      <c r="D2862" s="56" t="s">
        <v>7525</v>
      </c>
      <c r="E2862" s="10" t="s">
        <v>137</v>
      </c>
      <c r="F2862" s="10" t="s">
        <v>7526</v>
      </c>
      <c r="G2862" s="10" t="s">
        <v>2579</v>
      </c>
      <c r="H2862" s="10" t="s">
        <v>909</v>
      </c>
      <c r="I2862" s="10" t="s">
        <v>55</v>
      </c>
      <c r="K2862" s="10" t="s">
        <v>7527</v>
      </c>
      <c r="L2862" s="10" t="s">
        <v>42</v>
      </c>
    </row>
    <row r="2863" ht="15.75" customHeight="1">
      <c r="A2863" s="64">
        <v>45473.0</v>
      </c>
      <c r="B2863" s="55" t="str">
        <f>HYPERLINK("https://jobright.ai/jobs/info/6681b1b8a8ba421aa220fd5f?utm_campaign=1062&amp;utm_source=sheet", "Apply")</f>
        <v>Apply</v>
      </c>
      <c r="C2863" s="10" t="s">
        <v>7524</v>
      </c>
      <c r="D2863" s="56" t="s">
        <v>7525</v>
      </c>
      <c r="E2863" s="10" t="s">
        <v>137</v>
      </c>
      <c r="F2863" s="10" t="s">
        <v>7526</v>
      </c>
      <c r="G2863" s="10" t="s">
        <v>2579</v>
      </c>
      <c r="H2863" s="10" t="s">
        <v>969</v>
      </c>
      <c r="I2863" s="10" t="s">
        <v>55</v>
      </c>
      <c r="K2863" s="10" t="s">
        <v>7527</v>
      </c>
      <c r="L2863" s="10" t="s">
        <v>42</v>
      </c>
    </row>
    <row r="2864" ht="15.75" customHeight="1">
      <c r="A2864" s="64">
        <v>45473.0</v>
      </c>
      <c r="B2864" s="55" t="str">
        <f>HYPERLINK("https://jobright.ai/jobs/info/6681b1b8a8ba421aa220fd68?utm_campaign=1062&amp;utm_source=sheet", "Apply")</f>
        <v>Apply</v>
      </c>
      <c r="C2864" s="10" t="s">
        <v>7524</v>
      </c>
      <c r="D2864" s="56" t="s">
        <v>7525</v>
      </c>
      <c r="E2864" s="10" t="s">
        <v>137</v>
      </c>
      <c r="F2864" s="10" t="s">
        <v>7526</v>
      </c>
      <c r="G2864" s="10" t="s">
        <v>2579</v>
      </c>
      <c r="H2864" s="10" t="s">
        <v>896</v>
      </c>
      <c r="I2864" s="10" t="s">
        <v>55</v>
      </c>
      <c r="K2864" s="10" t="s">
        <v>7527</v>
      </c>
      <c r="L2864" s="10" t="s">
        <v>42</v>
      </c>
    </row>
    <row r="2865" ht="15.75" customHeight="1">
      <c r="A2865" s="64">
        <v>45473.0</v>
      </c>
      <c r="B2865" s="55" t="str">
        <f>HYPERLINK("https://jobright.ai/jobs/info/6681b1b8a8ba421aa220fd69?utm_campaign=1062&amp;utm_source=sheet", "Apply")</f>
        <v>Apply</v>
      </c>
      <c r="C2865" s="10" t="s">
        <v>7524</v>
      </c>
      <c r="D2865" s="56" t="s">
        <v>7525</v>
      </c>
      <c r="E2865" s="10" t="s">
        <v>137</v>
      </c>
      <c r="F2865" s="10" t="s">
        <v>7526</v>
      </c>
      <c r="G2865" s="10" t="s">
        <v>2579</v>
      </c>
      <c r="H2865" s="10" t="s">
        <v>1018</v>
      </c>
      <c r="I2865" s="10" t="s">
        <v>55</v>
      </c>
      <c r="K2865" s="10" t="s">
        <v>7527</v>
      </c>
      <c r="L2865" s="10" t="s">
        <v>42</v>
      </c>
    </row>
    <row r="2866" ht="15.75" customHeight="1">
      <c r="A2866" s="64">
        <v>45473.0</v>
      </c>
      <c r="B2866" s="55" t="str">
        <f>HYPERLINK("https://jobright.ai/jobs/info/6681b1b8a8ba421aa220fd5c?utm_campaign=1062&amp;utm_source=sheet", "Apply")</f>
        <v>Apply</v>
      </c>
      <c r="C2866" s="10" t="s">
        <v>7524</v>
      </c>
      <c r="D2866" s="56" t="s">
        <v>7525</v>
      </c>
      <c r="E2866" s="10" t="s">
        <v>137</v>
      </c>
      <c r="F2866" s="10" t="s">
        <v>7526</v>
      </c>
      <c r="G2866" s="10" t="s">
        <v>2579</v>
      </c>
      <c r="H2866" s="10" t="s">
        <v>938</v>
      </c>
      <c r="I2866" s="10" t="s">
        <v>55</v>
      </c>
      <c r="K2866" s="10" t="s">
        <v>7527</v>
      </c>
      <c r="L2866" s="10" t="s">
        <v>42</v>
      </c>
    </row>
    <row r="2867" ht="15.75" customHeight="1">
      <c r="A2867" s="64">
        <v>45473.0</v>
      </c>
      <c r="B2867" s="55" t="str">
        <f>HYPERLINK("https://jobright.ai/jobs/info/6681b1b8a8ba421aa220fd5e?utm_campaign=1062&amp;utm_source=sheet", "Apply")</f>
        <v>Apply</v>
      </c>
      <c r="C2867" s="10" t="s">
        <v>7524</v>
      </c>
      <c r="D2867" s="56" t="s">
        <v>7525</v>
      </c>
      <c r="E2867" s="10" t="s">
        <v>137</v>
      </c>
      <c r="F2867" s="10" t="s">
        <v>7526</v>
      </c>
      <c r="G2867" s="10" t="s">
        <v>2579</v>
      </c>
      <c r="H2867" s="10" t="s">
        <v>1034</v>
      </c>
      <c r="I2867" s="10" t="s">
        <v>55</v>
      </c>
      <c r="K2867" s="10" t="s">
        <v>7527</v>
      </c>
      <c r="L2867" s="10" t="s">
        <v>42</v>
      </c>
    </row>
    <row r="2868" ht="15.75" customHeight="1">
      <c r="A2868" s="64">
        <v>45473.0</v>
      </c>
      <c r="B2868" s="55" t="str">
        <f>HYPERLINK("https://jobright.ai/jobs/info/6681b1b8a8ba421aa220fd62?utm_campaign=1062&amp;utm_source=sheet", "Apply")</f>
        <v>Apply</v>
      </c>
      <c r="C2868" s="10" t="s">
        <v>7524</v>
      </c>
      <c r="D2868" s="56" t="s">
        <v>7525</v>
      </c>
      <c r="E2868" s="10" t="s">
        <v>137</v>
      </c>
      <c r="F2868" s="10" t="s">
        <v>7526</v>
      </c>
      <c r="G2868" s="10" t="s">
        <v>2579</v>
      </c>
      <c r="H2868" s="10" t="s">
        <v>962</v>
      </c>
      <c r="I2868" s="10" t="s">
        <v>55</v>
      </c>
      <c r="K2868" s="10" t="s">
        <v>7527</v>
      </c>
      <c r="L2868" s="10" t="s">
        <v>42</v>
      </c>
    </row>
    <row r="2869" ht="15.75" customHeight="1">
      <c r="A2869" s="64">
        <v>45473.0</v>
      </c>
      <c r="B2869" s="55" t="str">
        <f>HYPERLINK("https://jobright.ai/jobs/info/6681b1b8a8ba421aa220fd76?utm_campaign=1062&amp;utm_source=sheet", "Apply")</f>
        <v>Apply</v>
      </c>
      <c r="C2869" s="10" t="s">
        <v>7524</v>
      </c>
      <c r="D2869" s="56" t="s">
        <v>7525</v>
      </c>
      <c r="E2869" s="10" t="s">
        <v>137</v>
      </c>
      <c r="F2869" s="10" t="s">
        <v>7526</v>
      </c>
      <c r="G2869" s="10" t="s">
        <v>2579</v>
      </c>
      <c r="H2869" s="10" t="s">
        <v>942</v>
      </c>
      <c r="I2869" s="10" t="s">
        <v>55</v>
      </c>
      <c r="K2869" s="10" t="s">
        <v>7527</v>
      </c>
      <c r="L2869" s="10" t="s">
        <v>42</v>
      </c>
    </row>
    <row r="2870" ht="15.75" customHeight="1">
      <c r="A2870" s="64">
        <v>45473.0</v>
      </c>
      <c r="B2870" s="55" t="str">
        <f>HYPERLINK("https://jobright.ai/jobs/info/6681b1b8a8ba421aa220fd6e?utm_campaign=1062&amp;utm_source=sheet", "Apply")</f>
        <v>Apply</v>
      </c>
      <c r="C2870" s="10" t="s">
        <v>7524</v>
      </c>
      <c r="D2870" s="56" t="s">
        <v>7525</v>
      </c>
      <c r="E2870" s="10" t="s">
        <v>137</v>
      </c>
      <c r="F2870" s="10" t="s">
        <v>7526</v>
      </c>
      <c r="G2870" s="10" t="s">
        <v>2579</v>
      </c>
      <c r="H2870" s="10" t="s">
        <v>887</v>
      </c>
      <c r="I2870" s="10" t="s">
        <v>55</v>
      </c>
      <c r="K2870" s="10" t="s">
        <v>7527</v>
      </c>
      <c r="L2870" s="10" t="s">
        <v>42</v>
      </c>
    </row>
    <row r="2871" ht="15.75" customHeight="1">
      <c r="A2871" s="64">
        <v>45473.0</v>
      </c>
      <c r="B2871" s="55" t="str">
        <f>HYPERLINK("https://jobright.ai/jobs/info/6681b1b8a8ba421aa220fd6c?utm_campaign=1062&amp;utm_source=sheet", "Apply")</f>
        <v>Apply</v>
      </c>
      <c r="C2871" s="10" t="s">
        <v>7524</v>
      </c>
      <c r="D2871" s="56" t="s">
        <v>7525</v>
      </c>
      <c r="E2871" s="10" t="s">
        <v>137</v>
      </c>
      <c r="F2871" s="10" t="s">
        <v>7526</v>
      </c>
      <c r="G2871" s="10" t="s">
        <v>2579</v>
      </c>
      <c r="H2871" s="10" t="s">
        <v>842</v>
      </c>
      <c r="I2871" s="10" t="s">
        <v>55</v>
      </c>
      <c r="K2871" s="10" t="s">
        <v>7527</v>
      </c>
      <c r="L2871" s="10" t="s">
        <v>42</v>
      </c>
    </row>
    <row r="2872" ht="15.75" customHeight="1">
      <c r="A2872" s="64">
        <v>45473.0</v>
      </c>
      <c r="B2872" s="55" t="str">
        <f>HYPERLINK("https://jobright.ai/jobs/info/6681b1b8a8ba421aa220fd73?utm_campaign=1062&amp;utm_source=sheet", "Apply")</f>
        <v>Apply</v>
      </c>
      <c r="C2872" s="10" t="s">
        <v>7524</v>
      </c>
      <c r="D2872" s="56" t="s">
        <v>7525</v>
      </c>
      <c r="E2872" s="10" t="s">
        <v>137</v>
      </c>
      <c r="F2872" s="10" t="s">
        <v>7526</v>
      </c>
      <c r="G2872" s="10" t="s">
        <v>2579</v>
      </c>
      <c r="H2872" s="10" t="s">
        <v>1031</v>
      </c>
      <c r="I2872" s="10" t="s">
        <v>55</v>
      </c>
      <c r="K2872" s="10" t="s">
        <v>7527</v>
      </c>
      <c r="L2872" s="10" t="s">
        <v>42</v>
      </c>
    </row>
    <row r="2873" ht="15.75" customHeight="1">
      <c r="A2873" s="64">
        <v>45473.0</v>
      </c>
      <c r="B2873" s="55" t="str">
        <f>HYPERLINK("https://jobright.ai/jobs/info/6681b1b8a8ba421aa220fd6a?utm_campaign=1062&amp;utm_source=sheet", "Apply")</f>
        <v>Apply</v>
      </c>
      <c r="C2873" s="10" t="s">
        <v>7524</v>
      </c>
      <c r="D2873" s="56" t="s">
        <v>7525</v>
      </c>
      <c r="E2873" s="10" t="s">
        <v>137</v>
      </c>
      <c r="F2873" s="10" t="s">
        <v>7526</v>
      </c>
      <c r="G2873" s="10" t="s">
        <v>2579</v>
      </c>
      <c r="H2873" s="10" t="s">
        <v>975</v>
      </c>
      <c r="I2873" s="10" t="s">
        <v>55</v>
      </c>
      <c r="K2873" s="10" t="s">
        <v>7527</v>
      </c>
      <c r="L2873" s="10" t="s">
        <v>42</v>
      </c>
    </row>
    <row r="2874" ht="15.75" customHeight="1">
      <c r="A2874" s="64">
        <v>45473.0</v>
      </c>
      <c r="B2874" s="55" t="str">
        <f>HYPERLINK("https://jobright.ai/jobs/info/6681b1b8a8ba421aa220fd70?utm_campaign=1062&amp;utm_source=sheet", "Apply")</f>
        <v>Apply</v>
      </c>
      <c r="C2874" s="10" t="s">
        <v>7524</v>
      </c>
      <c r="D2874" s="56" t="s">
        <v>7525</v>
      </c>
      <c r="E2874" s="10" t="s">
        <v>137</v>
      </c>
      <c r="F2874" s="10" t="s">
        <v>7526</v>
      </c>
      <c r="G2874" s="10" t="s">
        <v>2579</v>
      </c>
      <c r="H2874" s="10" t="s">
        <v>937</v>
      </c>
      <c r="I2874" s="10" t="s">
        <v>55</v>
      </c>
      <c r="K2874" s="10" t="s">
        <v>7527</v>
      </c>
      <c r="L2874" s="10" t="s">
        <v>42</v>
      </c>
    </row>
    <row r="2875" ht="15.75" customHeight="1">
      <c r="A2875" s="64">
        <v>45473.0</v>
      </c>
      <c r="B2875" s="55" t="str">
        <f>HYPERLINK("https://jobright.ai/jobs/info/6681b1b8a8ba421aa220fd6d?utm_campaign=1062&amp;utm_source=sheet", "Apply")</f>
        <v>Apply</v>
      </c>
      <c r="C2875" s="10" t="s">
        <v>7524</v>
      </c>
      <c r="D2875" s="56" t="s">
        <v>7525</v>
      </c>
      <c r="E2875" s="10" t="s">
        <v>137</v>
      </c>
      <c r="F2875" s="10" t="s">
        <v>7526</v>
      </c>
      <c r="G2875" s="10" t="s">
        <v>2579</v>
      </c>
      <c r="H2875" s="10" t="s">
        <v>901</v>
      </c>
      <c r="I2875" s="10" t="s">
        <v>55</v>
      </c>
      <c r="K2875" s="10" t="s">
        <v>7527</v>
      </c>
      <c r="L2875" s="10" t="s">
        <v>42</v>
      </c>
    </row>
    <row r="2876" ht="15.75" customHeight="1">
      <c r="A2876" s="64">
        <v>45473.0</v>
      </c>
      <c r="B2876" s="55" t="str">
        <f>HYPERLINK("https://jobright.ai/jobs/info/6681b1b8a8ba421aa220fd79?utm_campaign=1062&amp;utm_source=sheet", "Apply")</f>
        <v>Apply</v>
      </c>
      <c r="C2876" s="10" t="s">
        <v>7524</v>
      </c>
      <c r="D2876" s="56" t="s">
        <v>7525</v>
      </c>
      <c r="E2876" s="10" t="s">
        <v>137</v>
      </c>
      <c r="F2876" s="10" t="s">
        <v>7526</v>
      </c>
      <c r="G2876" s="10" t="s">
        <v>2579</v>
      </c>
      <c r="H2876" s="10" t="s">
        <v>668</v>
      </c>
      <c r="I2876" s="10" t="s">
        <v>55</v>
      </c>
      <c r="K2876" s="10" t="s">
        <v>7527</v>
      </c>
      <c r="L2876" s="10" t="s">
        <v>42</v>
      </c>
    </row>
    <row r="2877" ht="15.75" customHeight="1">
      <c r="A2877" s="64">
        <v>45473.0</v>
      </c>
      <c r="B2877" s="55" t="str">
        <f>HYPERLINK("https://jobright.ai/jobs/info/6681b1b8a8ba421aa220fd72?utm_campaign=1062&amp;utm_source=sheet", "Apply")</f>
        <v>Apply</v>
      </c>
      <c r="C2877" s="10" t="s">
        <v>7524</v>
      </c>
      <c r="D2877" s="56" t="s">
        <v>7525</v>
      </c>
      <c r="E2877" s="10" t="s">
        <v>137</v>
      </c>
      <c r="F2877" s="10" t="s">
        <v>7526</v>
      </c>
      <c r="G2877" s="10" t="s">
        <v>2579</v>
      </c>
      <c r="H2877" s="10" t="s">
        <v>1041</v>
      </c>
      <c r="I2877" s="10" t="s">
        <v>55</v>
      </c>
      <c r="K2877" s="10" t="s">
        <v>7527</v>
      </c>
      <c r="L2877" s="10" t="s">
        <v>42</v>
      </c>
    </row>
    <row r="2878" ht="15.75" customHeight="1">
      <c r="A2878" s="64">
        <v>45473.0</v>
      </c>
      <c r="B2878" s="55" t="str">
        <f>HYPERLINK("https://jobright.ai/jobs/info/6681b1b8a8ba421aa220fd6f?utm_campaign=1062&amp;utm_source=sheet", "Apply")</f>
        <v>Apply</v>
      </c>
      <c r="C2878" s="10" t="s">
        <v>7524</v>
      </c>
      <c r="D2878" s="56" t="s">
        <v>7525</v>
      </c>
      <c r="E2878" s="10" t="s">
        <v>137</v>
      </c>
      <c r="F2878" s="10" t="s">
        <v>7526</v>
      </c>
      <c r="G2878" s="10" t="s">
        <v>2579</v>
      </c>
      <c r="H2878" s="10" t="s">
        <v>1052</v>
      </c>
      <c r="I2878" s="10" t="s">
        <v>55</v>
      </c>
      <c r="K2878" s="10" t="s">
        <v>7527</v>
      </c>
      <c r="L2878" s="10" t="s">
        <v>42</v>
      </c>
    </row>
    <row r="2879" ht="15.75" customHeight="1">
      <c r="A2879" s="64">
        <v>45473.0</v>
      </c>
      <c r="B2879" s="55" t="str">
        <f>HYPERLINK("https://jobright.ai/jobs/info/6681b1b8a8ba421aa220fd74?utm_campaign=1062&amp;utm_source=sheet", "Apply")</f>
        <v>Apply</v>
      </c>
      <c r="C2879" s="10" t="s">
        <v>7524</v>
      </c>
      <c r="D2879" s="56" t="s">
        <v>7525</v>
      </c>
      <c r="E2879" s="10" t="s">
        <v>137</v>
      </c>
      <c r="F2879" s="10" t="s">
        <v>7526</v>
      </c>
      <c r="G2879" s="10" t="s">
        <v>2579</v>
      </c>
      <c r="H2879" s="10" t="s">
        <v>798</v>
      </c>
      <c r="I2879" s="10" t="s">
        <v>55</v>
      </c>
      <c r="K2879" s="10" t="s">
        <v>7527</v>
      </c>
      <c r="L2879" s="10" t="s">
        <v>42</v>
      </c>
    </row>
    <row r="2880" ht="15.75" customHeight="1">
      <c r="A2880" s="64">
        <v>45473.0</v>
      </c>
      <c r="B2880" s="55" t="str">
        <f>HYPERLINK("https://jobright.ai/jobs/info/6681b1b8a8ba421aa220fd77?utm_campaign=1062&amp;utm_source=sheet", "Apply")</f>
        <v>Apply</v>
      </c>
      <c r="C2880" s="10" t="s">
        <v>7524</v>
      </c>
      <c r="D2880" s="56" t="s">
        <v>7525</v>
      </c>
      <c r="E2880" s="10" t="s">
        <v>137</v>
      </c>
      <c r="F2880" s="10" t="s">
        <v>7526</v>
      </c>
      <c r="G2880" s="10" t="s">
        <v>2579</v>
      </c>
      <c r="H2880" s="10" t="s">
        <v>780</v>
      </c>
      <c r="I2880" s="10" t="s">
        <v>55</v>
      </c>
      <c r="K2880" s="10" t="s">
        <v>7527</v>
      </c>
      <c r="L2880" s="10" t="s">
        <v>42</v>
      </c>
    </row>
    <row r="2881" ht="15.75" customHeight="1">
      <c r="A2881" s="64">
        <v>45473.0</v>
      </c>
      <c r="B2881" s="55" t="str">
        <f>HYPERLINK("https://jobright.ai/jobs/info/6681b1b8a8ba421aa220fd75?utm_campaign=1062&amp;utm_source=sheet", "Apply")</f>
        <v>Apply</v>
      </c>
      <c r="C2881" s="10" t="s">
        <v>7524</v>
      </c>
      <c r="D2881" s="56" t="s">
        <v>7525</v>
      </c>
      <c r="E2881" s="10" t="s">
        <v>137</v>
      </c>
      <c r="F2881" s="10" t="s">
        <v>7526</v>
      </c>
      <c r="G2881" s="10" t="s">
        <v>2579</v>
      </c>
      <c r="H2881" s="10" t="s">
        <v>822</v>
      </c>
      <c r="I2881" s="10" t="s">
        <v>55</v>
      </c>
      <c r="K2881" s="10" t="s">
        <v>7527</v>
      </c>
      <c r="L2881" s="10" t="s">
        <v>42</v>
      </c>
    </row>
    <row r="2882" ht="15.75" customHeight="1">
      <c r="A2882" s="64">
        <v>45473.0</v>
      </c>
      <c r="B2882" s="55" t="str">
        <f>HYPERLINK("https://jobright.ai/jobs/info/6681b1b8a8ba421aa220fd6b?utm_campaign=1062&amp;utm_source=sheet", "Apply")</f>
        <v>Apply</v>
      </c>
      <c r="C2882" s="10" t="s">
        <v>7524</v>
      </c>
      <c r="D2882" s="56" t="s">
        <v>7525</v>
      </c>
      <c r="E2882" s="10" t="s">
        <v>137</v>
      </c>
      <c r="F2882" s="10" t="s">
        <v>7526</v>
      </c>
      <c r="G2882" s="10" t="s">
        <v>2579</v>
      </c>
      <c r="H2882" s="10" t="s">
        <v>875</v>
      </c>
      <c r="I2882" s="10" t="s">
        <v>55</v>
      </c>
      <c r="K2882" s="10" t="s">
        <v>7527</v>
      </c>
      <c r="L2882" s="10" t="s">
        <v>42</v>
      </c>
    </row>
    <row r="2883" ht="15.75" customHeight="1">
      <c r="A2883" s="64">
        <v>45473.0</v>
      </c>
      <c r="B2883" s="55" t="str">
        <f>HYPERLINK("https://jobright.ai/jobs/info/6681b1b8a8ba421aa220fd78?utm_campaign=1062&amp;utm_source=sheet", "Apply")</f>
        <v>Apply</v>
      </c>
      <c r="C2883" s="10" t="s">
        <v>7524</v>
      </c>
      <c r="D2883" s="56" t="s">
        <v>7525</v>
      </c>
      <c r="E2883" s="10" t="s">
        <v>137</v>
      </c>
      <c r="F2883" s="10" t="s">
        <v>7526</v>
      </c>
      <c r="G2883" s="10" t="s">
        <v>2579</v>
      </c>
      <c r="H2883" s="10" t="s">
        <v>1017</v>
      </c>
      <c r="I2883" s="10" t="s">
        <v>55</v>
      </c>
      <c r="K2883" s="10" t="s">
        <v>7527</v>
      </c>
      <c r="L2883" s="10" t="s">
        <v>42</v>
      </c>
    </row>
    <row r="2884" ht="15.75" customHeight="1">
      <c r="A2884" s="64">
        <v>45473.0</v>
      </c>
      <c r="B2884" s="55" t="str">
        <f>HYPERLINK("https://jobright.ai/jobs/info/6681b1b8a8ba421aa220fd71?utm_campaign=1062&amp;utm_source=sheet", "Apply")</f>
        <v>Apply</v>
      </c>
      <c r="C2884" s="10" t="s">
        <v>7524</v>
      </c>
      <c r="D2884" s="56" t="s">
        <v>7525</v>
      </c>
      <c r="E2884" s="10" t="s">
        <v>137</v>
      </c>
      <c r="F2884" s="10" t="s">
        <v>7526</v>
      </c>
      <c r="G2884" s="10" t="s">
        <v>2579</v>
      </c>
      <c r="H2884" s="10" t="s">
        <v>1046</v>
      </c>
      <c r="I2884" s="10" t="s">
        <v>55</v>
      </c>
      <c r="K2884" s="10" t="s">
        <v>7527</v>
      </c>
      <c r="L2884" s="10" t="s">
        <v>42</v>
      </c>
    </row>
    <row r="2885" ht="15.75" customHeight="1">
      <c r="A2885" s="64">
        <v>45473.0</v>
      </c>
      <c r="B2885" s="55" t="str">
        <f>HYPERLINK("https://jobright.ai/jobs/info/6681b1b8a8ba421aa220fd80?utm_campaign=1062&amp;utm_source=sheet", "Apply")</f>
        <v>Apply</v>
      </c>
      <c r="C2885" s="10" t="s">
        <v>7524</v>
      </c>
      <c r="D2885" s="56" t="s">
        <v>7525</v>
      </c>
      <c r="E2885" s="10" t="s">
        <v>137</v>
      </c>
      <c r="F2885" s="10" t="s">
        <v>7526</v>
      </c>
      <c r="G2885" s="10" t="s">
        <v>2579</v>
      </c>
      <c r="H2885" s="10" t="s">
        <v>788</v>
      </c>
      <c r="I2885" s="10" t="s">
        <v>55</v>
      </c>
      <c r="K2885" s="10" t="s">
        <v>7527</v>
      </c>
      <c r="L2885" s="10" t="s">
        <v>42</v>
      </c>
    </row>
    <row r="2886" ht="15.75" customHeight="1">
      <c r="A2886" s="64">
        <v>45473.0</v>
      </c>
      <c r="B2886" s="55" t="str">
        <f>HYPERLINK("https://jobright.ai/jobs/info/6681b1b8a8ba421aa220fd7b?utm_campaign=1062&amp;utm_source=sheet", "Apply")</f>
        <v>Apply</v>
      </c>
      <c r="C2886" s="10" t="s">
        <v>7524</v>
      </c>
      <c r="D2886" s="56" t="s">
        <v>7525</v>
      </c>
      <c r="E2886" s="10" t="s">
        <v>137</v>
      </c>
      <c r="F2886" s="10" t="s">
        <v>7526</v>
      </c>
      <c r="G2886" s="10" t="s">
        <v>2579</v>
      </c>
      <c r="H2886" s="10" t="s">
        <v>828</v>
      </c>
      <c r="I2886" s="10" t="s">
        <v>55</v>
      </c>
      <c r="K2886" s="10" t="s">
        <v>7527</v>
      </c>
      <c r="L2886" s="10" t="s">
        <v>42</v>
      </c>
    </row>
    <row r="2887" ht="15.75" customHeight="1">
      <c r="A2887" s="64">
        <v>45473.0</v>
      </c>
      <c r="B2887" s="55" t="str">
        <f>HYPERLINK("https://jobright.ai/jobs/info/6681b1b8a8ba421aa220fd7c?utm_campaign=1062&amp;utm_source=sheet", "Apply")</f>
        <v>Apply</v>
      </c>
      <c r="C2887" s="10" t="s">
        <v>7524</v>
      </c>
      <c r="D2887" s="56" t="s">
        <v>7525</v>
      </c>
      <c r="E2887" s="10" t="s">
        <v>137</v>
      </c>
      <c r="F2887" s="10" t="s">
        <v>7526</v>
      </c>
      <c r="G2887" s="10" t="s">
        <v>2579</v>
      </c>
      <c r="H2887" s="10" t="s">
        <v>924</v>
      </c>
      <c r="I2887" s="10" t="s">
        <v>55</v>
      </c>
      <c r="K2887" s="10" t="s">
        <v>7527</v>
      </c>
      <c r="L2887" s="10" t="s">
        <v>42</v>
      </c>
    </row>
    <row r="2888" ht="15.75" customHeight="1">
      <c r="A2888" s="64">
        <v>45473.0</v>
      </c>
      <c r="B2888" s="55" t="str">
        <f>HYPERLINK("https://jobright.ai/jobs/info/6681b1b8a8ba421aa220fd7d?utm_campaign=1062&amp;utm_source=sheet", "Apply")</f>
        <v>Apply</v>
      </c>
      <c r="C2888" s="10" t="s">
        <v>7524</v>
      </c>
      <c r="D2888" s="56" t="s">
        <v>7525</v>
      </c>
      <c r="E2888" s="10" t="s">
        <v>137</v>
      </c>
      <c r="F2888" s="10" t="s">
        <v>7526</v>
      </c>
      <c r="G2888" s="10" t="s">
        <v>2579</v>
      </c>
      <c r="H2888" s="10" t="s">
        <v>760</v>
      </c>
      <c r="I2888" s="10" t="s">
        <v>55</v>
      </c>
      <c r="K2888" s="10" t="s">
        <v>7527</v>
      </c>
      <c r="L2888" s="10" t="s">
        <v>42</v>
      </c>
    </row>
    <row r="2889" ht="15.75" customHeight="1">
      <c r="A2889" s="64">
        <v>45473.0</v>
      </c>
      <c r="B2889" s="55" t="str">
        <f>HYPERLINK("https://jobright.ai/jobs/info/6681b1b8a8ba421aa220fd7a?utm_campaign=1062&amp;utm_source=sheet", "Apply")</f>
        <v>Apply</v>
      </c>
      <c r="C2889" s="10" t="s">
        <v>7524</v>
      </c>
      <c r="D2889" s="56" t="s">
        <v>7525</v>
      </c>
      <c r="E2889" s="10" t="s">
        <v>137</v>
      </c>
      <c r="F2889" s="10" t="s">
        <v>7526</v>
      </c>
      <c r="G2889" s="10" t="s">
        <v>2579</v>
      </c>
      <c r="H2889" s="10" t="s">
        <v>1028</v>
      </c>
      <c r="I2889" s="10" t="s">
        <v>55</v>
      </c>
      <c r="K2889" s="10" t="s">
        <v>7527</v>
      </c>
      <c r="L2889" s="10" t="s">
        <v>42</v>
      </c>
    </row>
    <row r="2890" ht="15.75" customHeight="1">
      <c r="A2890" s="64">
        <v>45473.0</v>
      </c>
      <c r="B2890" s="55" t="str">
        <f>HYPERLINK("https://jobright.ai/jobs/info/6681b1b8a8ba421aa220fd7f?utm_campaign=1062&amp;utm_source=sheet", "Apply")</f>
        <v>Apply</v>
      </c>
      <c r="C2890" s="10" t="s">
        <v>7524</v>
      </c>
      <c r="D2890" s="56" t="s">
        <v>7525</v>
      </c>
      <c r="E2890" s="10" t="s">
        <v>137</v>
      </c>
      <c r="F2890" s="10" t="s">
        <v>7526</v>
      </c>
      <c r="G2890" s="10" t="s">
        <v>2579</v>
      </c>
      <c r="H2890" s="10" t="s">
        <v>767</v>
      </c>
      <c r="I2890" s="10" t="s">
        <v>55</v>
      </c>
      <c r="K2890" s="10" t="s">
        <v>7527</v>
      </c>
      <c r="L2890" s="10" t="s">
        <v>42</v>
      </c>
    </row>
    <row r="2891" ht="15.75" customHeight="1">
      <c r="A2891" s="64">
        <v>45473.0</v>
      </c>
      <c r="B2891" s="55" t="str">
        <f>HYPERLINK("https://jobright.ai/jobs/info/6681b1b8a8ba421aa220fd84?utm_campaign=1062&amp;utm_source=sheet", "Apply")</f>
        <v>Apply</v>
      </c>
      <c r="C2891" s="10" t="s">
        <v>7524</v>
      </c>
      <c r="D2891" s="56" t="s">
        <v>7525</v>
      </c>
      <c r="E2891" s="10" t="s">
        <v>137</v>
      </c>
      <c r="F2891" s="10" t="s">
        <v>7526</v>
      </c>
      <c r="G2891" s="10" t="s">
        <v>2579</v>
      </c>
      <c r="H2891" s="10" t="s">
        <v>882</v>
      </c>
      <c r="I2891" s="10" t="s">
        <v>55</v>
      </c>
      <c r="K2891" s="10" t="s">
        <v>7527</v>
      </c>
      <c r="L2891" s="10" t="s">
        <v>42</v>
      </c>
    </row>
    <row r="2892" ht="15.75" customHeight="1">
      <c r="A2892" s="64">
        <v>45473.0</v>
      </c>
      <c r="B2892" s="55" t="str">
        <f>HYPERLINK("https://jobright.ai/jobs/info/6681b1b8a8ba421aa220fd81?utm_campaign=1062&amp;utm_source=sheet", "Apply")</f>
        <v>Apply</v>
      </c>
      <c r="C2892" s="10" t="s">
        <v>7524</v>
      </c>
      <c r="D2892" s="56" t="s">
        <v>7525</v>
      </c>
      <c r="E2892" s="10" t="s">
        <v>137</v>
      </c>
      <c r="F2892" s="10" t="s">
        <v>7526</v>
      </c>
      <c r="G2892" s="10" t="s">
        <v>2579</v>
      </c>
      <c r="H2892" s="10" t="s">
        <v>952</v>
      </c>
      <c r="I2892" s="10" t="s">
        <v>55</v>
      </c>
      <c r="K2892" s="10" t="s">
        <v>7527</v>
      </c>
      <c r="L2892" s="10" t="s">
        <v>42</v>
      </c>
    </row>
    <row r="2893" ht="15.75" customHeight="1">
      <c r="A2893" s="64">
        <v>45473.0</v>
      </c>
      <c r="B2893" s="55" t="str">
        <f>HYPERLINK("https://jobright.ai/jobs/info/6681b1b8a8ba421aa220fd83?utm_campaign=1062&amp;utm_source=sheet", "Apply")</f>
        <v>Apply</v>
      </c>
      <c r="C2893" s="10" t="s">
        <v>7524</v>
      </c>
      <c r="D2893" s="56" t="s">
        <v>7525</v>
      </c>
      <c r="E2893" s="10" t="s">
        <v>137</v>
      </c>
      <c r="F2893" s="10" t="s">
        <v>7526</v>
      </c>
      <c r="G2893" s="10" t="s">
        <v>2579</v>
      </c>
      <c r="H2893" s="10" t="s">
        <v>981</v>
      </c>
      <c r="I2893" s="10" t="s">
        <v>55</v>
      </c>
      <c r="K2893" s="10" t="s">
        <v>7527</v>
      </c>
      <c r="L2893" s="10" t="s">
        <v>42</v>
      </c>
    </row>
    <row r="2894" ht="15.75" customHeight="1">
      <c r="A2894" s="64">
        <v>45473.0</v>
      </c>
      <c r="B2894" s="55" t="str">
        <f>HYPERLINK("https://jobright.ai/jobs/info/6681b1b8a8ba421aa220fd85?utm_campaign=1062&amp;utm_source=sheet", "Apply")</f>
        <v>Apply</v>
      </c>
      <c r="C2894" s="10" t="s">
        <v>7524</v>
      </c>
      <c r="D2894" s="56" t="s">
        <v>7525</v>
      </c>
      <c r="E2894" s="10" t="s">
        <v>137</v>
      </c>
      <c r="F2894" s="10" t="s">
        <v>7526</v>
      </c>
      <c r="G2894" s="10" t="s">
        <v>2579</v>
      </c>
      <c r="H2894" s="10" t="s">
        <v>950</v>
      </c>
      <c r="I2894" s="10" t="s">
        <v>55</v>
      </c>
      <c r="K2894" s="10" t="s">
        <v>7527</v>
      </c>
      <c r="L2894" s="10" t="s">
        <v>42</v>
      </c>
    </row>
    <row r="2895" ht="15.75" customHeight="1">
      <c r="A2895" s="64">
        <v>45473.0</v>
      </c>
      <c r="B2895" s="55" t="str">
        <f>HYPERLINK("https://jobright.ai/jobs/info/6681b1b8a8ba421aa220fd7e?utm_campaign=1062&amp;utm_source=sheet", "Apply")</f>
        <v>Apply</v>
      </c>
      <c r="C2895" s="10" t="s">
        <v>7524</v>
      </c>
      <c r="D2895" s="56" t="s">
        <v>7525</v>
      </c>
      <c r="E2895" s="10" t="s">
        <v>137</v>
      </c>
      <c r="F2895" s="10" t="s">
        <v>7526</v>
      </c>
      <c r="G2895" s="10" t="s">
        <v>2579</v>
      </c>
      <c r="H2895" s="10" t="s">
        <v>811</v>
      </c>
      <c r="I2895" s="10" t="s">
        <v>55</v>
      </c>
      <c r="K2895" s="10" t="s">
        <v>7527</v>
      </c>
      <c r="L2895" s="10" t="s">
        <v>42</v>
      </c>
    </row>
    <row r="2896" ht="15.75" customHeight="1">
      <c r="A2896" s="64">
        <v>45473.0</v>
      </c>
      <c r="B2896" s="55" t="str">
        <f>HYPERLINK("https://jobright.ai/jobs/info/6681b1b8a8ba421aa220fd82?utm_campaign=1062&amp;utm_source=sheet", "Apply")</f>
        <v>Apply</v>
      </c>
      <c r="C2896" s="10" t="s">
        <v>7524</v>
      </c>
      <c r="D2896" s="56" t="s">
        <v>7525</v>
      </c>
      <c r="E2896" s="10" t="s">
        <v>137</v>
      </c>
      <c r="F2896" s="10" t="s">
        <v>7526</v>
      </c>
      <c r="G2896" s="10" t="s">
        <v>2579</v>
      </c>
      <c r="H2896" s="10" t="s">
        <v>809</v>
      </c>
      <c r="I2896" s="10" t="s">
        <v>55</v>
      </c>
      <c r="K2896" s="10" t="s">
        <v>7527</v>
      </c>
      <c r="L2896" s="10" t="s">
        <v>42</v>
      </c>
    </row>
    <row r="2897" ht="15.75" customHeight="1">
      <c r="A2897" s="64">
        <v>45473.0</v>
      </c>
      <c r="B2897" s="55" t="str">
        <f>HYPERLINK("https://jobright.ai/jobs/info/6681a96d127400923c6620ac?utm_campaign=1062&amp;utm_source=sheet", "Apply")</f>
        <v>Apply</v>
      </c>
      <c r="C2897" s="10" t="s">
        <v>7524</v>
      </c>
      <c r="D2897" s="56" t="s">
        <v>7525</v>
      </c>
      <c r="E2897" s="10" t="s">
        <v>137</v>
      </c>
      <c r="F2897" s="10" t="s">
        <v>7526</v>
      </c>
      <c r="G2897" s="10" t="s">
        <v>2579</v>
      </c>
      <c r="H2897" s="10" t="s">
        <v>905</v>
      </c>
      <c r="I2897" s="10" t="s">
        <v>55</v>
      </c>
      <c r="K2897" s="10" t="s">
        <v>7527</v>
      </c>
      <c r="L2897" s="10" t="s">
        <v>42</v>
      </c>
    </row>
    <row r="2898" ht="15.75" customHeight="1">
      <c r="A2898" s="64">
        <v>45473.0</v>
      </c>
      <c r="B2898" s="55" t="str">
        <f>HYPERLINK("https://jobright.ai/jobs/info/6681adc3f81a97b0515c4689?utm_campaign=1062&amp;utm_source=sheet", "Apply")</f>
        <v>Apply</v>
      </c>
      <c r="C2898" s="10" t="s">
        <v>7524</v>
      </c>
      <c r="D2898" s="56" t="s">
        <v>7525</v>
      </c>
      <c r="E2898" s="10" t="s">
        <v>137</v>
      </c>
      <c r="F2898" s="10" t="s">
        <v>7526</v>
      </c>
      <c r="G2898" s="10" t="s">
        <v>2579</v>
      </c>
      <c r="H2898" s="10" t="s">
        <v>783</v>
      </c>
      <c r="I2898" s="10" t="s">
        <v>55</v>
      </c>
      <c r="K2898" s="10" t="s">
        <v>7527</v>
      </c>
      <c r="L2898" s="10" t="s">
        <v>42</v>
      </c>
    </row>
    <row r="2899" ht="15.75" customHeight="1">
      <c r="A2899" s="64">
        <v>45473.0</v>
      </c>
      <c r="B2899" s="55" t="str">
        <f>HYPERLINK("https://jobright.ai/jobs/info/6681adc3f81a97b0515c468a?utm_campaign=1062&amp;utm_source=sheet", "Apply")</f>
        <v>Apply</v>
      </c>
      <c r="C2899" s="10" t="s">
        <v>7524</v>
      </c>
      <c r="D2899" s="56" t="s">
        <v>7525</v>
      </c>
      <c r="E2899" s="10" t="s">
        <v>137</v>
      </c>
      <c r="F2899" s="10" t="s">
        <v>7526</v>
      </c>
      <c r="G2899" s="10" t="s">
        <v>2579</v>
      </c>
      <c r="H2899" s="10" t="s">
        <v>769</v>
      </c>
      <c r="I2899" s="10" t="s">
        <v>55</v>
      </c>
      <c r="K2899" s="10" t="s">
        <v>7527</v>
      </c>
      <c r="L2899" s="10" t="s">
        <v>42</v>
      </c>
    </row>
    <row r="2900" ht="15.75" customHeight="1">
      <c r="A2900" s="64">
        <v>45473.0</v>
      </c>
      <c r="B2900" s="55" t="str">
        <f>HYPERLINK("https://jobright.ai/jobs/info/6681adc3f81a97b0515c468b?utm_campaign=1062&amp;utm_source=sheet", "Apply")</f>
        <v>Apply</v>
      </c>
      <c r="C2900" s="10" t="s">
        <v>7524</v>
      </c>
      <c r="D2900" s="56" t="s">
        <v>7525</v>
      </c>
      <c r="E2900" s="10" t="s">
        <v>137</v>
      </c>
      <c r="F2900" s="10" t="s">
        <v>7526</v>
      </c>
      <c r="G2900" s="10" t="s">
        <v>2579</v>
      </c>
      <c r="H2900" s="10" t="s">
        <v>893</v>
      </c>
      <c r="I2900" s="10" t="s">
        <v>55</v>
      </c>
      <c r="K2900" s="10" t="s">
        <v>7527</v>
      </c>
      <c r="L2900" s="10" t="s">
        <v>42</v>
      </c>
    </row>
    <row r="2901" ht="15.75" customHeight="1">
      <c r="A2901" s="64">
        <v>45473.0</v>
      </c>
      <c r="B2901" s="55" t="str">
        <f>HYPERLINK("https://jobright.ai/jobs/info/6681adc3f81a97b0515c468c?utm_campaign=1062&amp;utm_source=sheet", "Apply")</f>
        <v>Apply</v>
      </c>
      <c r="C2901" s="10" t="s">
        <v>7524</v>
      </c>
      <c r="D2901" s="56" t="s">
        <v>7525</v>
      </c>
      <c r="E2901" s="10" t="s">
        <v>137</v>
      </c>
      <c r="F2901" s="10" t="s">
        <v>7526</v>
      </c>
      <c r="G2901" s="10" t="s">
        <v>2579</v>
      </c>
      <c r="H2901" s="10" t="s">
        <v>923</v>
      </c>
      <c r="I2901" s="10" t="s">
        <v>55</v>
      </c>
      <c r="K2901" s="10" t="s">
        <v>7527</v>
      </c>
      <c r="L2901" s="10" t="s">
        <v>42</v>
      </c>
    </row>
    <row r="2902" ht="15.75" customHeight="1">
      <c r="A2902" s="64">
        <v>45473.0</v>
      </c>
      <c r="B2902" s="55" t="str">
        <f>HYPERLINK("https://jobright.ai/jobs/info/6681a96d127400923c6620ad?utm_campaign=1062&amp;utm_source=sheet", "Apply")</f>
        <v>Apply</v>
      </c>
      <c r="C2902" s="10" t="s">
        <v>7524</v>
      </c>
      <c r="D2902" s="56" t="s">
        <v>7525</v>
      </c>
      <c r="E2902" s="10" t="s">
        <v>137</v>
      </c>
      <c r="F2902" s="10" t="s">
        <v>7526</v>
      </c>
      <c r="G2902" s="10" t="s">
        <v>2579</v>
      </c>
      <c r="H2902" s="10" t="s">
        <v>932</v>
      </c>
      <c r="I2902" s="10" t="s">
        <v>55</v>
      </c>
      <c r="K2902" s="10" t="s">
        <v>7527</v>
      </c>
      <c r="L2902" s="10" t="s">
        <v>42</v>
      </c>
    </row>
    <row r="2903" ht="15.75" customHeight="1">
      <c r="A2903" s="64">
        <v>45473.0</v>
      </c>
      <c r="B2903" s="55" t="str">
        <f>HYPERLINK("https://jobright.ai/jobs/info/6681a5a0e2513bb044b9d06b?utm_campaign=1062&amp;utm_source=sheet", "Apply")</f>
        <v>Apply</v>
      </c>
      <c r="C2903" s="10" t="s">
        <v>7524</v>
      </c>
      <c r="D2903" s="56" t="s">
        <v>7525</v>
      </c>
      <c r="E2903" s="10" t="s">
        <v>137</v>
      </c>
      <c r="F2903" s="10" t="s">
        <v>7526</v>
      </c>
      <c r="G2903" s="10" t="s">
        <v>2579</v>
      </c>
      <c r="H2903" s="10" t="s">
        <v>628</v>
      </c>
      <c r="I2903" s="10" t="s">
        <v>55</v>
      </c>
      <c r="K2903" s="10" t="s">
        <v>7527</v>
      </c>
      <c r="L2903" s="10" t="s">
        <v>42</v>
      </c>
    </row>
    <row r="2904" ht="15.75" customHeight="1">
      <c r="A2904" s="64">
        <v>45473.0</v>
      </c>
      <c r="B2904" s="55" t="str">
        <f>HYPERLINK("https://jobright.ai/jobs/info/6681a5a0e2513bb044b9d06c?utm_campaign=1062&amp;utm_source=sheet", "Apply")</f>
        <v>Apply</v>
      </c>
      <c r="C2904" s="10" t="s">
        <v>7524</v>
      </c>
      <c r="D2904" s="56" t="s">
        <v>7525</v>
      </c>
      <c r="E2904" s="10" t="s">
        <v>137</v>
      </c>
      <c r="F2904" s="10" t="s">
        <v>7526</v>
      </c>
      <c r="G2904" s="10" t="s">
        <v>2579</v>
      </c>
      <c r="H2904" s="10" t="s">
        <v>1004</v>
      </c>
      <c r="I2904" s="10" t="s">
        <v>55</v>
      </c>
      <c r="K2904" s="10" t="s">
        <v>7527</v>
      </c>
      <c r="L2904" s="10" t="s">
        <v>42</v>
      </c>
    </row>
    <row r="2905" ht="15.75" customHeight="1">
      <c r="A2905" s="64">
        <v>45473.0</v>
      </c>
      <c r="B2905" s="55" t="str">
        <f>HYPERLINK("https://jobright.ai/jobs/info/6681a5a0e2513bb044b9d070?utm_campaign=1062&amp;utm_source=sheet", "Apply")</f>
        <v>Apply</v>
      </c>
      <c r="C2905" s="10" t="s">
        <v>7524</v>
      </c>
      <c r="D2905" s="56" t="s">
        <v>7525</v>
      </c>
      <c r="E2905" s="10" t="s">
        <v>137</v>
      </c>
      <c r="F2905" s="10" t="s">
        <v>7526</v>
      </c>
      <c r="G2905" s="10" t="s">
        <v>2579</v>
      </c>
      <c r="H2905" s="10" t="s">
        <v>174</v>
      </c>
      <c r="I2905" s="10" t="s">
        <v>55</v>
      </c>
      <c r="K2905" s="10" t="s">
        <v>7527</v>
      </c>
      <c r="L2905" s="10" t="s">
        <v>42</v>
      </c>
    </row>
    <row r="2906" ht="15.75" customHeight="1">
      <c r="A2906" s="64">
        <v>45473.0</v>
      </c>
      <c r="B2906" s="55" t="str">
        <f>HYPERLINK("https://jobright.ai/jobs/info/6681a5a0e2513bb044b9d06f?utm_campaign=1062&amp;utm_source=sheet", "Apply")</f>
        <v>Apply</v>
      </c>
      <c r="C2906" s="10" t="s">
        <v>7524</v>
      </c>
      <c r="D2906" s="56" t="s">
        <v>7525</v>
      </c>
      <c r="E2906" s="10" t="s">
        <v>137</v>
      </c>
      <c r="F2906" s="10" t="s">
        <v>7526</v>
      </c>
      <c r="G2906" s="10" t="s">
        <v>2579</v>
      </c>
      <c r="H2906" s="10" t="s">
        <v>1009</v>
      </c>
      <c r="I2906" s="10" t="s">
        <v>55</v>
      </c>
      <c r="K2906" s="10" t="s">
        <v>7527</v>
      </c>
      <c r="L2906" s="10" t="s">
        <v>42</v>
      </c>
    </row>
    <row r="2907" ht="15.75" customHeight="1">
      <c r="A2907" s="64">
        <v>45473.0</v>
      </c>
      <c r="B2907" s="55" t="str">
        <f>HYPERLINK("https://jobright.ai/jobs/info/6681a5a0e2513bb044b9d06d?utm_campaign=1062&amp;utm_source=sheet", "Apply")</f>
        <v>Apply</v>
      </c>
      <c r="C2907" s="10" t="s">
        <v>7524</v>
      </c>
      <c r="D2907" s="56" t="s">
        <v>7525</v>
      </c>
      <c r="E2907" s="10" t="s">
        <v>137</v>
      </c>
      <c r="F2907" s="10" t="s">
        <v>7526</v>
      </c>
      <c r="G2907" s="10" t="s">
        <v>2579</v>
      </c>
      <c r="H2907" s="10" t="s">
        <v>862</v>
      </c>
      <c r="I2907" s="10" t="s">
        <v>55</v>
      </c>
      <c r="K2907" s="10" t="s">
        <v>7527</v>
      </c>
      <c r="L2907" s="10" t="s">
        <v>42</v>
      </c>
    </row>
    <row r="2908" ht="15.75" customHeight="1">
      <c r="A2908" s="64">
        <v>45473.0</v>
      </c>
      <c r="B2908" s="55" t="str">
        <f>HYPERLINK("https://jobright.ai/jobs/info/6681a5a0e2513bb044b9d06e?utm_campaign=1062&amp;utm_source=sheet", "Apply")</f>
        <v>Apply</v>
      </c>
      <c r="C2908" s="10" t="s">
        <v>7524</v>
      </c>
      <c r="D2908" s="56" t="s">
        <v>7525</v>
      </c>
      <c r="E2908" s="10" t="s">
        <v>137</v>
      </c>
      <c r="F2908" s="10" t="s">
        <v>7526</v>
      </c>
      <c r="G2908" s="10" t="s">
        <v>2579</v>
      </c>
      <c r="H2908" s="10" t="s">
        <v>153</v>
      </c>
      <c r="I2908" s="10" t="s">
        <v>55</v>
      </c>
      <c r="K2908" s="10" t="s">
        <v>7527</v>
      </c>
      <c r="L2908" s="10" t="s">
        <v>42</v>
      </c>
    </row>
    <row r="2909" ht="15.75" customHeight="1">
      <c r="A2909" s="64">
        <v>45473.0</v>
      </c>
      <c r="B2909" s="55" t="str">
        <f>HYPERLINK("https://jobright.ai/jobs/info/6681adc3f81a97b0515c4697?utm_campaign=1062&amp;utm_source=sheet", "Apply")</f>
        <v>Apply</v>
      </c>
      <c r="C2909" s="10" t="s">
        <v>7524</v>
      </c>
      <c r="D2909" s="56" t="s">
        <v>7525</v>
      </c>
      <c r="E2909" s="10" t="s">
        <v>137</v>
      </c>
      <c r="F2909" s="10" t="s">
        <v>7526</v>
      </c>
      <c r="G2909" s="10" t="s">
        <v>2579</v>
      </c>
      <c r="H2909" s="10" t="s">
        <v>609</v>
      </c>
      <c r="I2909" s="10" t="s">
        <v>55</v>
      </c>
      <c r="K2909" s="10" t="s">
        <v>7527</v>
      </c>
      <c r="L2909" s="10" t="s">
        <v>42</v>
      </c>
    </row>
    <row r="2910" ht="15.75" customHeight="1">
      <c r="A2910" s="64">
        <v>45473.0</v>
      </c>
      <c r="B2910" s="55" t="str">
        <f>HYPERLINK("https://jobright.ai/jobs/info/6681a96d127400923c6620b5?utm_campaign=1062&amp;utm_source=sheet", "Apply")</f>
        <v>Apply</v>
      </c>
      <c r="C2910" s="10" t="s">
        <v>7524</v>
      </c>
      <c r="D2910" s="56" t="s">
        <v>7525</v>
      </c>
      <c r="E2910" s="10" t="s">
        <v>137</v>
      </c>
      <c r="F2910" s="10" t="s">
        <v>7526</v>
      </c>
      <c r="G2910" s="10" t="s">
        <v>2579</v>
      </c>
      <c r="H2910" s="10" t="s">
        <v>816</v>
      </c>
      <c r="I2910" s="10" t="s">
        <v>55</v>
      </c>
      <c r="K2910" s="10" t="s">
        <v>7527</v>
      </c>
      <c r="L2910" s="10" t="s">
        <v>42</v>
      </c>
    </row>
    <row r="2911" ht="15.75" customHeight="1">
      <c r="A2911" s="64">
        <v>45473.0</v>
      </c>
      <c r="B2911" s="55" t="str">
        <f>HYPERLINK("https://jobright.ai/jobs/info/6681adc3f81a97b0515c4699?utm_campaign=1062&amp;utm_source=sheet", "Apply")</f>
        <v>Apply</v>
      </c>
      <c r="C2911" s="10" t="s">
        <v>7524</v>
      </c>
      <c r="D2911" s="56" t="s">
        <v>7525</v>
      </c>
      <c r="E2911" s="10" t="s">
        <v>137</v>
      </c>
      <c r="F2911" s="10" t="s">
        <v>7526</v>
      </c>
      <c r="G2911" s="10" t="s">
        <v>2579</v>
      </c>
      <c r="H2911" s="10" t="s">
        <v>995</v>
      </c>
      <c r="I2911" s="10" t="s">
        <v>55</v>
      </c>
      <c r="K2911" s="10" t="s">
        <v>7527</v>
      </c>
      <c r="L2911" s="10" t="s">
        <v>42</v>
      </c>
    </row>
    <row r="2912" ht="15.75" customHeight="1">
      <c r="A2912" s="64">
        <v>45473.0</v>
      </c>
      <c r="B2912" s="55" t="str">
        <f>HYPERLINK("https://jobright.ai/jobs/info/6681adc3f81a97b0515c4698?utm_campaign=1062&amp;utm_source=sheet", "Apply")</f>
        <v>Apply</v>
      </c>
      <c r="C2912" s="10" t="s">
        <v>7524</v>
      </c>
      <c r="D2912" s="56" t="s">
        <v>7525</v>
      </c>
      <c r="E2912" s="10" t="s">
        <v>137</v>
      </c>
      <c r="F2912" s="10" t="s">
        <v>7526</v>
      </c>
      <c r="G2912" s="10" t="s">
        <v>2579</v>
      </c>
      <c r="H2912" s="10" t="s">
        <v>216</v>
      </c>
      <c r="I2912" s="10" t="s">
        <v>55</v>
      </c>
      <c r="K2912" s="10" t="s">
        <v>7527</v>
      </c>
      <c r="L2912" s="10" t="s">
        <v>42</v>
      </c>
    </row>
    <row r="2913" ht="15.75" customHeight="1">
      <c r="A2913" s="64">
        <v>45473.0</v>
      </c>
      <c r="B2913" s="55" t="str">
        <f>HYPERLINK("https://jobright.ai/jobs/info/6681a96d127400923c6620b7?utm_campaign=1062&amp;utm_source=sheet", "Apply")</f>
        <v>Apply</v>
      </c>
      <c r="C2913" s="10" t="s">
        <v>7524</v>
      </c>
      <c r="D2913" s="56" t="s">
        <v>7525</v>
      </c>
      <c r="E2913" s="10" t="s">
        <v>137</v>
      </c>
      <c r="F2913" s="10" t="s">
        <v>7526</v>
      </c>
      <c r="G2913" s="10" t="s">
        <v>2579</v>
      </c>
      <c r="H2913" s="10" t="s">
        <v>1006</v>
      </c>
      <c r="I2913" s="10" t="s">
        <v>55</v>
      </c>
      <c r="K2913" s="10" t="s">
        <v>7527</v>
      </c>
      <c r="L2913" s="10" t="s">
        <v>42</v>
      </c>
    </row>
    <row r="2914" ht="15.75" customHeight="1">
      <c r="A2914" s="64">
        <v>45473.0</v>
      </c>
      <c r="B2914" s="55" t="str">
        <f>HYPERLINK("https://jobright.ai/jobs/info/6681a96d127400923c6620b8?utm_campaign=1062&amp;utm_source=sheet", "Apply")</f>
        <v>Apply</v>
      </c>
      <c r="C2914" s="10" t="s">
        <v>7524</v>
      </c>
      <c r="D2914" s="56" t="s">
        <v>7525</v>
      </c>
      <c r="E2914" s="10" t="s">
        <v>137</v>
      </c>
      <c r="F2914" s="10" t="s">
        <v>7526</v>
      </c>
      <c r="G2914" s="10" t="s">
        <v>2579</v>
      </c>
      <c r="H2914" s="10" t="s">
        <v>782</v>
      </c>
      <c r="I2914" s="10" t="s">
        <v>55</v>
      </c>
      <c r="K2914" s="10" t="s">
        <v>7527</v>
      </c>
      <c r="L2914" s="10" t="s">
        <v>42</v>
      </c>
    </row>
    <row r="2915" ht="15.75" customHeight="1">
      <c r="A2915" s="64">
        <v>45473.0</v>
      </c>
      <c r="B2915" s="55" t="str">
        <f>HYPERLINK("https://jobright.ai/jobs/info/6681adc3f81a97b0515c469a?utm_campaign=1062&amp;utm_source=sheet", "Apply")</f>
        <v>Apply</v>
      </c>
      <c r="C2915" s="10" t="s">
        <v>7524</v>
      </c>
      <c r="D2915" s="56" t="s">
        <v>7525</v>
      </c>
      <c r="E2915" s="10" t="s">
        <v>137</v>
      </c>
      <c r="F2915" s="10" t="s">
        <v>7526</v>
      </c>
      <c r="G2915" s="10" t="s">
        <v>2579</v>
      </c>
      <c r="H2915" s="10" t="s">
        <v>928</v>
      </c>
      <c r="I2915" s="10" t="s">
        <v>55</v>
      </c>
      <c r="K2915" s="10" t="s">
        <v>7527</v>
      </c>
      <c r="L2915" s="10" t="s">
        <v>42</v>
      </c>
    </row>
    <row r="2916" ht="15.75" customHeight="1">
      <c r="A2916" s="64">
        <v>45473.0</v>
      </c>
      <c r="B2916" s="55" t="str">
        <f>HYPERLINK("https://jobright.ai/jobs/info/6681adc3f81a97b0515c469c?utm_campaign=1062&amp;utm_source=sheet", "Apply")</f>
        <v>Apply</v>
      </c>
      <c r="C2916" s="10" t="s">
        <v>7524</v>
      </c>
      <c r="D2916" s="56" t="s">
        <v>7525</v>
      </c>
      <c r="E2916" s="10" t="s">
        <v>137</v>
      </c>
      <c r="F2916" s="10" t="s">
        <v>7526</v>
      </c>
      <c r="G2916" s="10" t="s">
        <v>2579</v>
      </c>
      <c r="H2916" s="10" t="s">
        <v>165</v>
      </c>
      <c r="I2916" s="10" t="s">
        <v>55</v>
      </c>
      <c r="K2916" s="10" t="s">
        <v>7527</v>
      </c>
      <c r="L2916" s="10" t="s">
        <v>42</v>
      </c>
    </row>
    <row r="2917" ht="15.75" customHeight="1">
      <c r="A2917" s="64">
        <v>45473.0</v>
      </c>
      <c r="B2917" s="55" t="str">
        <f>HYPERLINK("https://jobright.ai/jobs/info/6681adc3f81a97b0515c469b?utm_campaign=1062&amp;utm_source=sheet", "Apply")</f>
        <v>Apply</v>
      </c>
      <c r="C2917" s="10" t="s">
        <v>7524</v>
      </c>
      <c r="D2917" s="56" t="s">
        <v>7525</v>
      </c>
      <c r="E2917" s="10" t="s">
        <v>137</v>
      </c>
      <c r="F2917" s="10" t="s">
        <v>7526</v>
      </c>
      <c r="G2917" s="10" t="s">
        <v>2579</v>
      </c>
      <c r="H2917" s="10" t="s">
        <v>776</v>
      </c>
      <c r="I2917" s="10" t="s">
        <v>55</v>
      </c>
      <c r="K2917" s="10" t="s">
        <v>7527</v>
      </c>
      <c r="L2917" s="10" t="s">
        <v>42</v>
      </c>
    </row>
    <row r="2918" ht="15.75" customHeight="1">
      <c r="A2918" s="64">
        <v>45473.0</v>
      </c>
      <c r="B2918" s="55" t="str">
        <f>HYPERLINK("https://jobright.ai/jobs/info/6681a96d127400923c6620bb?utm_campaign=1062&amp;utm_source=sheet", "Apply")</f>
        <v>Apply</v>
      </c>
      <c r="C2918" s="10" t="s">
        <v>7524</v>
      </c>
      <c r="D2918" s="56" t="s">
        <v>7525</v>
      </c>
      <c r="E2918" s="10" t="s">
        <v>137</v>
      </c>
      <c r="F2918" s="10" t="s">
        <v>7526</v>
      </c>
      <c r="G2918" s="10" t="s">
        <v>2579</v>
      </c>
      <c r="H2918" s="10" t="s">
        <v>917</v>
      </c>
      <c r="I2918" s="10" t="s">
        <v>55</v>
      </c>
      <c r="K2918" s="10" t="s">
        <v>7527</v>
      </c>
      <c r="L2918" s="10" t="s">
        <v>42</v>
      </c>
    </row>
    <row r="2919" ht="15.75" customHeight="1">
      <c r="A2919" s="64">
        <v>45473.0</v>
      </c>
      <c r="B2919" s="55" t="str">
        <f>HYPERLINK("https://jobright.ai/jobs/info/6681a96d127400923c6620ba?utm_campaign=1062&amp;utm_source=sheet", "Apply")</f>
        <v>Apply</v>
      </c>
      <c r="C2919" s="10" t="s">
        <v>7524</v>
      </c>
      <c r="D2919" s="56" t="s">
        <v>7525</v>
      </c>
      <c r="E2919" s="10" t="s">
        <v>137</v>
      </c>
      <c r="F2919" s="10" t="s">
        <v>7526</v>
      </c>
      <c r="G2919" s="10" t="s">
        <v>2579</v>
      </c>
      <c r="H2919" s="10" t="s">
        <v>795</v>
      </c>
      <c r="I2919" s="10" t="s">
        <v>55</v>
      </c>
      <c r="K2919" s="10" t="s">
        <v>7527</v>
      </c>
      <c r="L2919" s="10" t="s">
        <v>42</v>
      </c>
    </row>
    <row r="2920" ht="15.75" customHeight="1">
      <c r="A2920" s="64">
        <v>45473.0</v>
      </c>
      <c r="B2920" s="55" t="str">
        <f>HYPERLINK("https://jobright.ai/jobs/info/6681a96d127400923c6620b9?utm_campaign=1062&amp;utm_source=sheet", "Apply")</f>
        <v>Apply</v>
      </c>
      <c r="C2920" s="10" t="s">
        <v>7524</v>
      </c>
      <c r="D2920" s="56" t="s">
        <v>7525</v>
      </c>
      <c r="E2920" s="10" t="s">
        <v>137</v>
      </c>
      <c r="F2920" s="10" t="s">
        <v>7526</v>
      </c>
      <c r="G2920" s="10" t="s">
        <v>2579</v>
      </c>
      <c r="H2920" s="10" t="s">
        <v>766</v>
      </c>
      <c r="I2920" s="10" t="s">
        <v>55</v>
      </c>
      <c r="K2920" s="10" t="s">
        <v>7527</v>
      </c>
      <c r="L2920" s="10" t="s">
        <v>42</v>
      </c>
    </row>
    <row r="2921" ht="15.75" customHeight="1">
      <c r="A2921" s="64">
        <v>45473.0</v>
      </c>
      <c r="B2921" s="55" t="str">
        <f>HYPERLINK("https://jobright.ai/jobs/info/6681adc3f81a97b0515c469e?utm_campaign=1062&amp;utm_source=sheet", "Apply")</f>
        <v>Apply</v>
      </c>
      <c r="C2921" s="10" t="s">
        <v>7524</v>
      </c>
      <c r="D2921" s="56" t="s">
        <v>7525</v>
      </c>
      <c r="E2921" s="10" t="s">
        <v>137</v>
      </c>
      <c r="F2921" s="10" t="s">
        <v>7526</v>
      </c>
      <c r="G2921" s="10" t="s">
        <v>2579</v>
      </c>
      <c r="H2921" s="10" t="s">
        <v>1039</v>
      </c>
      <c r="I2921" s="10" t="s">
        <v>55</v>
      </c>
      <c r="K2921" s="10" t="s">
        <v>7527</v>
      </c>
      <c r="L2921" s="10" t="s">
        <v>42</v>
      </c>
    </row>
    <row r="2922" ht="15.75" customHeight="1">
      <c r="A2922" s="64">
        <v>45473.0</v>
      </c>
      <c r="B2922" s="55" t="str">
        <f>HYPERLINK("https://jobright.ai/jobs/info/6681adc3f81a97b0515c469d?utm_campaign=1062&amp;utm_source=sheet", "Apply")</f>
        <v>Apply</v>
      </c>
      <c r="C2922" s="10" t="s">
        <v>7524</v>
      </c>
      <c r="D2922" s="56" t="s">
        <v>7525</v>
      </c>
      <c r="E2922" s="10" t="s">
        <v>137</v>
      </c>
      <c r="F2922" s="10" t="s">
        <v>7526</v>
      </c>
      <c r="G2922" s="10" t="s">
        <v>2579</v>
      </c>
      <c r="H2922" s="10" t="s">
        <v>423</v>
      </c>
      <c r="I2922" s="10" t="s">
        <v>55</v>
      </c>
      <c r="K2922" s="10" t="s">
        <v>7527</v>
      </c>
      <c r="L2922" s="10" t="s">
        <v>42</v>
      </c>
    </row>
    <row r="2923" ht="15.75" customHeight="1">
      <c r="A2923" s="64">
        <v>45473.0</v>
      </c>
      <c r="B2923" s="55" t="str">
        <f>HYPERLINK("https://jobright.ai/jobs/info/6681adc3f81a97b0515c469f?utm_campaign=1062&amp;utm_source=sheet", "Apply")</f>
        <v>Apply</v>
      </c>
      <c r="C2923" s="10" t="s">
        <v>7524</v>
      </c>
      <c r="D2923" s="56" t="s">
        <v>7525</v>
      </c>
      <c r="E2923" s="10" t="s">
        <v>137</v>
      </c>
      <c r="F2923" s="10" t="s">
        <v>7526</v>
      </c>
      <c r="G2923" s="10" t="s">
        <v>2579</v>
      </c>
      <c r="H2923" s="10" t="s">
        <v>1026</v>
      </c>
      <c r="I2923" s="10" t="s">
        <v>55</v>
      </c>
      <c r="K2923" s="10" t="s">
        <v>7527</v>
      </c>
      <c r="L2923" s="10" t="s">
        <v>42</v>
      </c>
    </row>
    <row r="2924" ht="15.75" customHeight="1">
      <c r="A2924" s="64">
        <v>45473.0</v>
      </c>
      <c r="B2924" s="55" t="str">
        <f>HYPERLINK("https://jobright.ai/jobs/info/6681a96d127400923c6620bd?utm_campaign=1062&amp;utm_source=sheet", "Apply")</f>
        <v>Apply</v>
      </c>
      <c r="C2924" s="10" t="s">
        <v>7524</v>
      </c>
      <c r="D2924" s="56" t="s">
        <v>7525</v>
      </c>
      <c r="E2924" s="10" t="s">
        <v>137</v>
      </c>
      <c r="F2924" s="10" t="s">
        <v>7526</v>
      </c>
      <c r="G2924" s="10" t="s">
        <v>2579</v>
      </c>
      <c r="H2924" s="10" t="s">
        <v>998</v>
      </c>
      <c r="I2924" s="10" t="s">
        <v>55</v>
      </c>
      <c r="K2924" s="10" t="s">
        <v>7527</v>
      </c>
      <c r="L2924" s="10" t="s">
        <v>42</v>
      </c>
    </row>
    <row r="2925" ht="15.75" customHeight="1">
      <c r="A2925" s="64">
        <v>45473.0</v>
      </c>
      <c r="B2925" s="55" t="str">
        <f>HYPERLINK("https://jobright.ai/jobs/info/6681adc3f81a97b0515c46a0?utm_campaign=1062&amp;utm_source=sheet", "Apply")</f>
        <v>Apply</v>
      </c>
      <c r="C2925" s="10" t="s">
        <v>7524</v>
      </c>
      <c r="D2925" s="56" t="s">
        <v>7525</v>
      </c>
      <c r="E2925" s="10" t="s">
        <v>137</v>
      </c>
      <c r="F2925" s="10" t="s">
        <v>7526</v>
      </c>
      <c r="G2925" s="10" t="s">
        <v>2579</v>
      </c>
      <c r="H2925" s="10" t="s">
        <v>1019</v>
      </c>
      <c r="I2925" s="10" t="s">
        <v>55</v>
      </c>
      <c r="K2925" s="10" t="s">
        <v>7527</v>
      </c>
      <c r="L2925" s="10" t="s">
        <v>42</v>
      </c>
    </row>
    <row r="2926" ht="15.75" customHeight="1">
      <c r="A2926" s="64">
        <v>45473.0</v>
      </c>
      <c r="B2926" s="55" t="str">
        <f>HYPERLINK("https://jobright.ai/jobs/info/6681a96d127400923c6620be?utm_campaign=1062&amp;utm_source=sheet", "Apply")</f>
        <v>Apply</v>
      </c>
      <c r="C2926" s="10" t="s">
        <v>7524</v>
      </c>
      <c r="D2926" s="56" t="s">
        <v>7525</v>
      </c>
      <c r="E2926" s="10" t="s">
        <v>137</v>
      </c>
      <c r="F2926" s="10" t="s">
        <v>7526</v>
      </c>
      <c r="G2926" s="10" t="s">
        <v>2579</v>
      </c>
      <c r="H2926" s="10" t="s">
        <v>411</v>
      </c>
      <c r="I2926" s="10" t="s">
        <v>55</v>
      </c>
      <c r="K2926" s="10" t="s">
        <v>7527</v>
      </c>
      <c r="L2926" s="10" t="s">
        <v>42</v>
      </c>
    </row>
    <row r="2927" ht="15.75" customHeight="1">
      <c r="A2927" s="64">
        <v>45473.0</v>
      </c>
      <c r="B2927" s="55" t="str">
        <f>HYPERLINK("https://jobright.ai/jobs/info/6681a96d127400923c6620c2?utm_campaign=1062&amp;utm_source=sheet", "Apply")</f>
        <v>Apply</v>
      </c>
      <c r="C2927" s="10" t="s">
        <v>7524</v>
      </c>
      <c r="D2927" s="56" t="s">
        <v>7525</v>
      </c>
      <c r="E2927" s="10" t="s">
        <v>137</v>
      </c>
      <c r="F2927" s="10" t="s">
        <v>7526</v>
      </c>
      <c r="G2927" s="10" t="s">
        <v>2579</v>
      </c>
      <c r="H2927" s="10" t="s">
        <v>989</v>
      </c>
      <c r="I2927" s="10" t="s">
        <v>55</v>
      </c>
      <c r="K2927" s="10" t="s">
        <v>7527</v>
      </c>
      <c r="L2927" s="10" t="s">
        <v>42</v>
      </c>
    </row>
    <row r="2928" ht="15.75" customHeight="1">
      <c r="A2928" s="64">
        <v>45473.0</v>
      </c>
      <c r="B2928" s="55" t="str">
        <f>HYPERLINK("https://jobright.ai/jobs/info/6681a96d127400923c6620d7?utm_campaign=1062&amp;utm_source=sheet", "Apply")</f>
        <v>Apply</v>
      </c>
      <c r="C2928" s="10" t="s">
        <v>7524</v>
      </c>
      <c r="D2928" s="56" t="s">
        <v>7525</v>
      </c>
      <c r="E2928" s="10" t="s">
        <v>137</v>
      </c>
      <c r="F2928" s="10" t="s">
        <v>7526</v>
      </c>
      <c r="G2928" s="10" t="s">
        <v>2579</v>
      </c>
      <c r="H2928" s="10" t="s">
        <v>7690</v>
      </c>
      <c r="I2928" s="10" t="s">
        <v>55</v>
      </c>
      <c r="K2928" s="10" t="s">
        <v>7527</v>
      </c>
      <c r="L2928" s="10" t="s">
        <v>42</v>
      </c>
    </row>
    <row r="2929" ht="15.75" customHeight="1">
      <c r="A2929" s="64">
        <v>45473.0</v>
      </c>
      <c r="B2929" s="55" t="str">
        <f>HYPERLINK("https://jobright.ai/jobs/info/6681adc3f81a97b0515c46a6?utm_campaign=1062&amp;utm_source=sheet", "Apply")</f>
        <v>Apply</v>
      </c>
      <c r="C2929" s="10" t="s">
        <v>7524</v>
      </c>
      <c r="D2929" s="56" t="s">
        <v>7525</v>
      </c>
      <c r="E2929" s="10" t="s">
        <v>137</v>
      </c>
      <c r="F2929" s="10" t="s">
        <v>7526</v>
      </c>
      <c r="G2929" s="10" t="s">
        <v>2579</v>
      </c>
      <c r="H2929" s="10" t="s">
        <v>948</v>
      </c>
      <c r="I2929" s="10" t="s">
        <v>55</v>
      </c>
      <c r="K2929" s="10" t="s">
        <v>7527</v>
      </c>
      <c r="L2929" s="10" t="s">
        <v>42</v>
      </c>
    </row>
    <row r="2930" ht="15.75" customHeight="1">
      <c r="A2930" s="64">
        <v>45473.0</v>
      </c>
      <c r="B2930" s="55" t="str">
        <f>HYPERLINK("https://jobright.ai/jobs/info/6681adc3f81a97b0515c46a9?utm_campaign=1062&amp;utm_source=sheet", "Apply")</f>
        <v>Apply</v>
      </c>
      <c r="C2930" s="10" t="s">
        <v>7524</v>
      </c>
      <c r="D2930" s="56" t="s">
        <v>7525</v>
      </c>
      <c r="E2930" s="10" t="s">
        <v>137</v>
      </c>
      <c r="F2930" s="10" t="s">
        <v>7526</v>
      </c>
      <c r="G2930" s="10" t="s">
        <v>2579</v>
      </c>
      <c r="H2930" s="10" t="s">
        <v>902</v>
      </c>
      <c r="I2930" s="10" t="s">
        <v>55</v>
      </c>
      <c r="K2930" s="10" t="s">
        <v>7527</v>
      </c>
      <c r="L2930" s="10" t="s">
        <v>42</v>
      </c>
    </row>
    <row r="2931" ht="15.75" customHeight="1">
      <c r="A2931" s="64">
        <v>45473.0</v>
      </c>
      <c r="B2931" s="55" t="str">
        <f>HYPERLINK("https://jobright.ai/jobs/info/6681a96d127400923c6620d2?utm_campaign=1062&amp;utm_source=sheet", "Apply")</f>
        <v>Apply</v>
      </c>
      <c r="C2931" s="10" t="s">
        <v>7524</v>
      </c>
      <c r="D2931" s="56" t="s">
        <v>7525</v>
      </c>
      <c r="E2931" s="10" t="s">
        <v>137</v>
      </c>
      <c r="F2931" s="10" t="s">
        <v>7526</v>
      </c>
      <c r="G2931" s="10" t="s">
        <v>2579</v>
      </c>
      <c r="H2931" s="10" t="s">
        <v>801</v>
      </c>
      <c r="I2931" s="10" t="s">
        <v>55</v>
      </c>
      <c r="K2931" s="10" t="s">
        <v>7527</v>
      </c>
      <c r="L2931" s="10" t="s">
        <v>42</v>
      </c>
    </row>
    <row r="2932" ht="15.75" customHeight="1">
      <c r="A2932" s="64">
        <v>45473.0</v>
      </c>
      <c r="B2932" s="55" t="str">
        <f>HYPERLINK("https://jobright.ai/jobs/info/6681adc3f81a97b0515c46a4?utm_campaign=1062&amp;utm_source=sheet", "Apply")</f>
        <v>Apply</v>
      </c>
      <c r="C2932" s="10" t="s">
        <v>7524</v>
      </c>
      <c r="D2932" s="56" t="s">
        <v>7525</v>
      </c>
      <c r="E2932" s="10" t="s">
        <v>137</v>
      </c>
      <c r="F2932" s="10" t="s">
        <v>7526</v>
      </c>
      <c r="G2932" s="10" t="s">
        <v>2579</v>
      </c>
      <c r="H2932" s="10" t="s">
        <v>815</v>
      </c>
      <c r="I2932" s="10" t="s">
        <v>55</v>
      </c>
      <c r="K2932" s="10" t="s">
        <v>7527</v>
      </c>
      <c r="L2932" s="10" t="s">
        <v>42</v>
      </c>
    </row>
    <row r="2933" ht="15.75" customHeight="1">
      <c r="A2933" s="64">
        <v>45473.0</v>
      </c>
      <c r="B2933" s="55" t="str">
        <f>HYPERLINK("https://jobright.ai/jobs/info/6681a96d127400923c6620bf?utm_campaign=1062&amp;utm_source=sheet", "Apply")</f>
        <v>Apply</v>
      </c>
      <c r="C2933" s="10" t="s">
        <v>7524</v>
      </c>
      <c r="D2933" s="56" t="s">
        <v>7525</v>
      </c>
      <c r="E2933" s="10" t="s">
        <v>137</v>
      </c>
      <c r="F2933" s="10" t="s">
        <v>7526</v>
      </c>
      <c r="G2933" s="10" t="s">
        <v>2579</v>
      </c>
      <c r="H2933" s="10" t="s">
        <v>1036</v>
      </c>
      <c r="I2933" s="10" t="s">
        <v>55</v>
      </c>
      <c r="K2933" s="10" t="s">
        <v>7527</v>
      </c>
      <c r="L2933" s="10" t="s">
        <v>42</v>
      </c>
    </row>
    <row r="2934" ht="15.75" customHeight="1">
      <c r="A2934" s="64">
        <v>45473.0</v>
      </c>
      <c r="B2934" s="55" t="str">
        <f>HYPERLINK("https://jobright.ai/jobs/info/6681a96d127400923c6620ce?utm_campaign=1062&amp;utm_source=sheet", "Apply")</f>
        <v>Apply</v>
      </c>
      <c r="C2934" s="10" t="s">
        <v>7524</v>
      </c>
      <c r="D2934" s="56" t="s">
        <v>7525</v>
      </c>
      <c r="E2934" s="10" t="s">
        <v>137</v>
      </c>
      <c r="F2934" s="10" t="s">
        <v>7526</v>
      </c>
      <c r="G2934" s="10" t="s">
        <v>2579</v>
      </c>
      <c r="H2934" s="10" t="s">
        <v>977</v>
      </c>
      <c r="I2934" s="10" t="s">
        <v>55</v>
      </c>
      <c r="K2934" s="10" t="s">
        <v>7527</v>
      </c>
      <c r="L2934" s="10" t="s">
        <v>42</v>
      </c>
    </row>
    <row r="2935" ht="15.75" customHeight="1">
      <c r="A2935" s="64">
        <v>45473.0</v>
      </c>
      <c r="B2935" s="55" t="str">
        <f>HYPERLINK("https://jobright.ai/jobs/info/6681a96d127400923c6620d6?utm_campaign=1062&amp;utm_source=sheet", "Apply")</f>
        <v>Apply</v>
      </c>
      <c r="C2935" s="10" t="s">
        <v>7524</v>
      </c>
      <c r="D2935" s="56" t="s">
        <v>7525</v>
      </c>
      <c r="E2935" s="10" t="s">
        <v>137</v>
      </c>
      <c r="F2935" s="10" t="s">
        <v>7526</v>
      </c>
      <c r="G2935" s="10" t="s">
        <v>2579</v>
      </c>
      <c r="H2935" s="10" t="s">
        <v>1038</v>
      </c>
      <c r="I2935" s="10" t="s">
        <v>55</v>
      </c>
      <c r="K2935" s="10" t="s">
        <v>7527</v>
      </c>
      <c r="L2935" s="10" t="s">
        <v>42</v>
      </c>
    </row>
    <row r="2936" ht="15.75" customHeight="1">
      <c r="A2936" s="64">
        <v>45473.0</v>
      </c>
      <c r="B2936" s="55" t="str">
        <f>HYPERLINK("https://jobright.ai/jobs/info/6681adc3f81a97b0515c46a2?utm_campaign=1062&amp;utm_source=sheet", "Apply")</f>
        <v>Apply</v>
      </c>
      <c r="C2936" s="10" t="s">
        <v>7524</v>
      </c>
      <c r="D2936" s="56" t="s">
        <v>7525</v>
      </c>
      <c r="E2936" s="10" t="s">
        <v>137</v>
      </c>
      <c r="F2936" s="10" t="s">
        <v>7526</v>
      </c>
      <c r="G2936" s="10" t="s">
        <v>2579</v>
      </c>
      <c r="H2936" s="10" t="s">
        <v>836</v>
      </c>
      <c r="I2936" s="10" t="s">
        <v>55</v>
      </c>
      <c r="K2936" s="10" t="s">
        <v>7527</v>
      </c>
      <c r="L2936" s="10" t="s">
        <v>42</v>
      </c>
    </row>
    <row r="2937" ht="15.75" customHeight="1">
      <c r="A2937" s="64">
        <v>45473.0</v>
      </c>
      <c r="B2937" s="55" t="str">
        <f>HYPERLINK("https://jobright.ai/jobs/info/6681a96d127400923c6620d3?utm_campaign=1062&amp;utm_source=sheet", "Apply")</f>
        <v>Apply</v>
      </c>
      <c r="C2937" s="10" t="s">
        <v>7524</v>
      </c>
      <c r="D2937" s="56" t="s">
        <v>7525</v>
      </c>
      <c r="E2937" s="10" t="s">
        <v>137</v>
      </c>
      <c r="F2937" s="10" t="s">
        <v>7526</v>
      </c>
      <c r="G2937" s="10" t="s">
        <v>2579</v>
      </c>
      <c r="H2937" s="10" t="s">
        <v>793</v>
      </c>
      <c r="I2937" s="10" t="s">
        <v>55</v>
      </c>
      <c r="K2937" s="10" t="s">
        <v>7527</v>
      </c>
      <c r="L2937" s="10" t="s">
        <v>42</v>
      </c>
    </row>
    <row r="2938" ht="15.75" customHeight="1">
      <c r="A2938" s="64">
        <v>45473.0</v>
      </c>
      <c r="B2938" s="55" t="str">
        <f>HYPERLINK("https://jobright.ai/jobs/info/6681a96d127400923c6620cc?utm_campaign=1062&amp;utm_source=sheet", "Apply")</f>
        <v>Apply</v>
      </c>
      <c r="C2938" s="10" t="s">
        <v>7524</v>
      </c>
      <c r="D2938" s="56" t="s">
        <v>7525</v>
      </c>
      <c r="E2938" s="10" t="s">
        <v>137</v>
      </c>
      <c r="F2938" s="10" t="s">
        <v>7526</v>
      </c>
      <c r="G2938" s="10" t="s">
        <v>2579</v>
      </c>
      <c r="H2938" s="10" t="s">
        <v>869</v>
      </c>
      <c r="I2938" s="10" t="s">
        <v>55</v>
      </c>
      <c r="K2938" s="10" t="s">
        <v>7527</v>
      </c>
      <c r="L2938" s="10" t="s">
        <v>42</v>
      </c>
    </row>
    <row r="2939" ht="15.75" customHeight="1">
      <c r="A2939" s="64">
        <v>45473.0</v>
      </c>
      <c r="B2939" s="55" t="str">
        <f>HYPERLINK("https://jobright.ai/jobs/info/6681a96d127400923c6620ca?utm_campaign=1062&amp;utm_source=sheet", "Apply")</f>
        <v>Apply</v>
      </c>
      <c r="C2939" s="10" t="s">
        <v>7524</v>
      </c>
      <c r="D2939" s="56" t="s">
        <v>7525</v>
      </c>
      <c r="E2939" s="10" t="s">
        <v>137</v>
      </c>
      <c r="F2939" s="10" t="s">
        <v>7526</v>
      </c>
      <c r="G2939" s="10" t="s">
        <v>2579</v>
      </c>
      <c r="H2939" s="10" t="s">
        <v>846</v>
      </c>
      <c r="I2939" s="10" t="s">
        <v>55</v>
      </c>
      <c r="K2939" s="10" t="s">
        <v>7527</v>
      </c>
      <c r="L2939" s="10" t="s">
        <v>42</v>
      </c>
    </row>
    <row r="2940" ht="15.75" customHeight="1">
      <c r="A2940" s="64">
        <v>45473.0</v>
      </c>
      <c r="B2940" s="55" t="str">
        <f>HYPERLINK("https://jobright.ai/jobs/info/6681a96d127400923c6620d0?utm_campaign=1062&amp;utm_source=sheet", "Apply")</f>
        <v>Apply</v>
      </c>
      <c r="C2940" s="10" t="s">
        <v>7524</v>
      </c>
      <c r="D2940" s="56" t="s">
        <v>7525</v>
      </c>
      <c r="E2940" s="10" t="s">
        <v>137</v>
      </c>
      <c r="F2940" s="10" t="s">
        <v>7526</v>
      </c>
      <c r="G2940" s="10" t="s">
        <v>2579</v>
      </c>
      <c r="H2940" s="10" t="s">
        <v>789</v>
      </c>
      <c r="I2940" s="10" t="s">
        <v>55</v>
      </c>
      <c r="K2940" s="10" t="s">
        <v>7527</v>
      </c>
      <c r="L2940" s="10" t="s">
        <v>42</v>
      </c>
    </row>
    <row r="2941" ht="15.75" customHeight="1">
      <c r="A2941" s="64">
        <v>45473.0</v>
      </c>
      <c r="B2941" s="55" t="str">
        <f>HYPERLINK("https://jobright.ai/jobs/info/6681adc3f81a97b0515c46a8?utm_campaign=1062&amp;utm_source=sheet", "Apply")</f>
        <v>Apply</v>
      </c>
      <c r="C2941" s="10" t="s">
        <v>7524</v>
      </c>
      <c r="D2941" s="56" t="s">
        <v>7525</v>
      </c>
      <c r="E2941" s="10" t="s">
        <v>137</v>
      </c>
      <c r="F2941" s="10" t="s">
        <v>7526</v>
      </c>
      <c r="G2941" s="10" t="s">
        <v>2579</v>
      </c>
      <c r="H2941" s="10" t="s">
        <v>897</v>
      </c>
      <c r="I2941" s="10" t="s">
        <v>55</v>
      </c>
      <c r="K2941" s="10" t="s">
        <v>7527</v>
      </c>
      <c r="L2941" s="10" t="s">
        <v>42</v>
      </c>
    </row>
    <row r="2942" ht="15.75" customHeight="1">
      <c r="A2942" s="64">
        <v>45473.0</v>
      </c>
      <c r="B2942" s="55" t="str">
        <f>HYPERLINK("https://jobright.ai/jobs/info/6681a96d127400923c6620c8?utm_campaign=1062&amp;utm_source=sheet", "Apply")</f>
        <v>Apply</v>
      </c>
      <c r="C2942" s="10" t="s">
        <v>7524</v>
      </c>
      <c r="D2942" s="56" t="s">
        <v>7525</v>
      </c>
      <c r="E2942" s="10" t="s">
        <v>137</v>
      </c>
      <c r="F2942" s="10" t="s">
        <v>7526</v>
      </c>
      <c r="G2942" s="10" t="s">
        <v>2579</v>
      </c>
      <c r="H2942" s="10" t="s">
        <v>972</v>
      </c>
      <c r="I2942" s="10" t="s">
        <v>55</v>
      </c>
      <c r="K2942" s="10" t="s">
        <v>7527</v>
      </c>
      <c r="L2942" s="10" t="s">
        <v>42</v>
      </c>
    </row>
    <row r="2943" ht="15.75" customHeight="1">
      <c r="A2943" s="64">
        <v>45473.0</v>
      </c>
      <c r="B2943" s="55" t="str">
        <f>HYPERLINK("https://jobright.ai/jobs/info/6681a96d127400923c6620c6?utm_campaign=1062&amp;utm_source=sheet", "Apply")</f>
        <v>Apply</v>
      </c>
      <c r="C2943" s="10" t="s">
        <v>7524</v>
      </c>
      <c r="D2943" s="56" t="s">
        <v>7525</v>
      </c>
      <c r="E2943" s="10" t="s">
        <v>137</v>
      </c>
      <c r="F2943" s="10" t="s">
        <v>7526</v>
      </c>
      <c r="G2943" s="10" t="s">
        <v>2579</v>
      </c>
      <c r="H2943" s="10" t="s">
        <v>860</v>
      </c>
      <c r="I2943" s="10" t="s">
        <v>55</v>
      </c>
      <c r="K2943" s="10" t="s">
        <v>7527</v>
      </c>
      <c r="L2943" s="10" t="s">
        <v>42</v>
      </c>
    </row>
    <row r="2944" ht="15.75" customHeight="1">
      <c r="A2944" s="64">
        <v>45473.0</v>
      </c>
      <c r="B2944" s="55" t="str">
        <f>HYPERLINK("https://jobright.ai/jobs/info/6681a96d127400923c6620c9?utm_campaign=1062&amp;utm_source=sheet", "Apply")</f>
        <v>Apply</v>
      </c>
      <c r="C2944" s="10" t="s">
        <v>7524</v>
      </c>
      <c r="D2944" s="56" t="s">
        <v>7525</v>
      </c>
      <c r="E2944" s="10" t="s">
        <v>137</v>
      </c>
      <c r="F2944" s="10" t="s">
        <v>7526</v>
      </c>
      <c r="G2944" s="10" t="s">
        <v>2579</v>
      </c>
      <c r="H2944" s="10" t="s">
        <v>830</v>
      </c>
      <c r="I2944" s="10" t="s">
        <v>55</v>
      </c>
      <c r="K2944" s="10" t="s">
        <v>7527</v>
      </c>
      <c r="L2944" s="10" t="s">
        <v>42</v>
      </c>
    </row>
    <row r="2945" ht="15.75" customHeight="1">
      <c r="A2945" s="64">
        <v>45473.0</v>
      </c>
      <c r="B2945" s="55" t="str">
        <f>HYPERLINK("https://jobright.ai/jobs/info/6681adc3f81a97b0515c46a1?utm_campaign=1062&amp;utm_source=sheet", "Apply")</f>
        <v>Apply</v>
      </c>
      <c r="C2945" s="10" t="s">
        <v>7524</v>
      </c>
      <c r="D2945" s="56" t="s">
        <v>7525</v>
      </c>
      <c r="E2945" s="10" t="s">
        <v>137</v>
      </c>
      <c r="F2945" s="10" t="s">
        <v>7526</v>
      </c>
      <c r="G2945" s="10" t="s">
        <v>2579</v>
      </c>
      <c r="H2945" s="10" t="s">
        <v>820</v>
      </c>
      <c r="I2945" s="10" t="s">
        <v>55</v>
      </c>
      <c r="K2945" s="10" t="s">
        <v>7527</v>
      </c>
      <c r="L2945" s="10" t="s">
        <v>42</v>
      </c>
    </row>
    <row r="2946" ht="15.75" customHeight="1">
      <c r="A2946" s="64">
        <v>45473.0</v>
      </c>
      <c r="B2946" s="55" t="str">
        <f>HYPERLINK("https://jobright.ai/jobs/info/6681a96d127400923c6620cf?utm_campaign=1062&amp;utm_source=sheet", "Apply")</f>
        <v>Apply</v>
      </c>
      <c r="C2946" s="10" t="s">
        <v>7524</v>
      </c>
      <c r="D2946" s="56" t="s">
        <v>7525</v>
      </c>
      <c r="E2946" s="10" t="s">
        <v>137</v>
      </c>
      <c r="F2946" s="10" t="s">
        <v>7526</v>
      </c>
      <c r="G2946" s="10" t="s">
        <v>2579</v>
      </c>
      <c r="H2946" s="10" t="s">
        <v>777</v>
      </c>
      <c r="I2946" s="10" t="s">
        <v>55</v>
      </c>
      <c r="K2946" s="10" t="s">
        <v>7527</v>
      </c>
      <c r="L2946" s="10" t="s">
        <v>42</v>
      </c>
    </row>
    <row r="2947" ht="15.75" customHeight="1">
      <c r="A2947" s="64">
        <v>45473.0</v>
      </c>
      <c r="B2947" s="55" t="str">
        <f>HYPERLINK("https://jobright.ai/jobs/info/6681a96d127400923c6620c4?utm_campaign=1062&amp;utm_source=sheet", "Apply")</f>
        <v>Apply</v>
      </c>
      <c r="C2947" s="10" t="s">
        <v>7524</v>
      </c>
      <c r="D2947" s="56" t="s">
        <v>7525</v>
      </c>
      <c r="E2947" s="10" t="s">
        <v>137</v>
      </c>
      <c r="F2947" s="10" t="s">
        <v>7526</v>
      </c>
      <c r="G2947" s="10" t="s">
        <v>2579</v>
      </c>
      <c r="H2947" s="10" t="s">
        <v>871</v>
      </c>
      <c r="I2947" s="10" t="s">
        <v>55</v>
      </c>
      <c r="K2947" s="10" t="s">
        <v>7527</v>
      </c>
      <c r="L2947" s="10" t="s">
        <v>42</v>
      </c>
    </row>
    <row r="2948" ht="15.75" customHeight="1">
      <c r="A2948" s="64">
        <v>45473.0</v>
      </c>
      <c r="B2948" s="55" t="str">
        <f>HYPERLINK("https://jobright.ai/jobs/info/6681adc3f81a97b0515c46a3?utm_campaign=1062&amp;utm_source=sheet", "Apply")</f>
        <v>Apply</v>
      </c>
      <c r="C2948" s="10" t="s">
        <v>7524</v>
      </c>
      <c r="D2948" s="56" t="s">
        <v>7525</v>
      </c>
      <c r="E2948" s="10" t="s">
        <v>137</v>
      </c>
      <c r="F2948" s="10" t="s">
        <v>7526</v>
      </c>
      <c r="G2948" s="10" t="s">
        <v>2579</v>
      </c>
      <c r="H2948" s="10" t="s">
        <v>1015</v>
      </c>
      <c r="I2948" s="10" t="s">
        <v>55</v>
      </c>
      <c r="K2948" s="10" t="s">
        <v>7527</v>
      </c>
      <c r="L2948" s="10" t="s">
        <v>42</v>
      </c>
    </row>
    <row r="2949" ht="15.75" customHeight="1">
      <c r="A2949" s="64">
        <v>45473.0</v>
      </c>
      <c r="B2949" s="55" t="str">
        <f>HYPERLINK("https://jobright.ai/jobs/info/6681a96d127400923c6620cb?utm_campaign=1062&amp;utm_source=sheet", "Apply")</f>
        <v>Apply</v>
      </c>
      <c r="C2949" s="10" t="s">
        <v>7524</v>
      </c>
      <c r="D2949" s="56" t="s">
        <v>7525</v>
      </c>
      <c r="E2949" s="10" t="s">
        <v>137</v>
      </c>
      <c r="F2949" s="10" t="s">
        <v>7526</v>
      </c>
      <c r="G2949" s="10" t="s">
        <v>2579</v>
      </c>
      <c r="H2949" s="10" t="s">
        <v>73</v>
      </c>
      <c r="I2949" s="10" t="s">
        <v>55</v>
      </c>
      <c r="K2949" s="10" t="s">
        <v>7527</v>
      </c>
      <c r="L2949" s="10" t="s">
        <v>42</v>
      </c>
    </row>
    <row r="2950" ht="15.75" customHeight="1">
      <c r="A2950" s="64">
        <v>45473.0</v>
      </c>
      <c r="B2950" s="55" t="str">
        <f>HYPERLINK("https://jobright.ai/jobs/info/6681a96d127400923c6620d4?utm_campaign=1062&amp;utm_source=sheet", "Apply")</f>
        <v>Apply</v>
      </c>
      <c r="C2950" s="10" t="s">
        <v>7524</v>
      </c>
      <c r="D2950" s="56" t="s">
        <v>7525</v>
      </c>
      <c r="E2950" s="10" t="s">
        <v>137</v>
      </c>
      <c r="F2950" s="10" t="s">
        <v>7526</v>
      </c>
      <c r="G2950" s="10" t="s">
        <v>2579</v>
      </c>
      <c r="H2950" s="10" t="s">
        <v>956</v>
      </c>
      <c r="I2950" s="10" t="s">
        <v>55</v>
      </c>
      <c r="K2950" s="10" t="s">
        <v>7527</v>
      </c>
      <c r="L2950" s="10" t="s">
        <v>42</v>
      </c>
    </row>
    <row r="2951" ht="15.75" customHeight="1">
      <c r="A2951" s="64">
        <v>45473.0</v>
      </c>
      <c r="B2951" s="55" t="str">
        <f>HYPERLINK("https://jobright.ai/jobs/info/6681a96d127400923c6620cd?utm_campaign=1062&amp;utm_source=sheet", "Apply")</f>
        <v>Apply</v>
      </c>
      <c r="C2951" s="10" t="s">
        <v>7524</v>
      </c>
      <c r="D2951" s="56" t="s">
        <v>7525</v>
      </c>
      <c r="E2951" s="10" t="s">
        <v>137</v>
      </c>
      <c r="F2951" s="10" t="s">
        <v>7526</v>
      </c>
      <c r="G2951" s="10" t="s">
        <v>2579</v>
      </c>
      <c r="H2951" s="10" t="s">
        <v>892</v>
      </c>
      <c r="I2951" s="10" t="s">
        <v>55</v>
      </c>
      <c r="K2951" s="10" t="s">
        <v>7527</v>
      </c>
      <c r="L2951" s="10" t="s">
        <v>42</v>
      </c>
    </row>
    <row r="2952" ht="15.75" customHeight="1">
      <c r="A2952" s="64">
        <v>45473.0</v>
      </c>
      <c r="B2952" s="55" t="str">
        <f>HYPERLINK("https://jobright.ai/jobs/info/6681a96d127400923c6620c1?utm_campaign=1062&amp;utm_source=sheet", "Apply")</f>
        <v>Apply</v>
      </c>
      <c r="C2952" s="10" t="s">
        <v>7524</v>
      </c>
      <c r="D2952" s="56" t="s">
        <v>7525</v>
      </c>
      <c r="E2952" s="10" t="s">
        <v>137</v>
      </c>
      <c r="F2952" s="10" t="s">
        <v>7526</v>
      </c>
      <c r="G2952" s="10" t="s">
        <v>2579</v>
      </c>
      <c r="H2952" s="10" t="s">
        <v>863</v>
      </c>
      <c r="I2952" s="10" t="s">
        <v>55</v>
      </c>
      <c r="K2952" s="10" t="s">
        <v>7527</v>
      </c>
      <c r="L2952" s="10" t="s">
        <v>42</v>
      </c>
    </row>
    <row r="2953" ht="15.75" customHeight="1">
      <c r="A2953" s="64">
        <v>45473.0</v>
      </c>
      <c r="B2953" s="55" t="str">
        <f>HYPERLINK("https://jobright.ai/jobs/info/6681adc3f81a97b0515c46a5?utm_campaign=1062&amp;utm_source=sheet", "Apply")</f>
        <v>Apply</v>
      </c>
      <c r="C2953" s="10" t="s">
        <v>7524</v>
      </c>
      <c r="D2953" s="56" t="s">
        <v>7525</v>
      </c>
      <c r="E2953" s="10" t="s">
        <v>137</v>
      </c>
      <c r="F2953" s="10" t="s">
        <v>7526</v>
      </c>
      <c r="G2953" s="10" t="s">
        <v>2579</v>
      </c>
      <c r="H2953" s="10" t="s">
        <v>778</v>
      </c>
      <c r="I2953" s="10" t="s">
        <v>55</v>
      </c>
      <c r="K2953" s="10" t="s">
        <v>7527</v>
      </c>
      <c r="L2953" s="10" t="s">
        <v>42</v>
      </c>
    </row>
    <row r="2954" ht="15.75" customHeight="1">
      <c r="A2954" s="64">
        <v>45473.0</v>
      </c>
      <c r="B2954" s="55" t="str">
        <f>HYPERLINK("https://jobright.ai/jobs/info/6681a96d127400923c6620c7?utm_campaign=1062&amp;utm_source=sheet", "Apply")</f>
        <v>Apply</v>
      </c>
      <c r="C2954" s="10" t="s">
        <v>7524</v>
      </c>
      <c r="D2954" s="56" t="s">
        <v>7525</v>
      </c>
      <c r="E2954" s="10" t="s">
        <v>137</v>
      </c>
      <c r="F2954" s="10" t="s">
        <v>7526</v>
      </c>
      <c r="G2954" s="10" t="s">
        <v>2579</v>
      </c>
      <c r="H2954" s="10" t="s">
        <v>106</v>
      </c>
      <c r="I2954" s="10" t="s">
        <v>55</v>
      </c>
      <c r="K2954" s="10" t="s">
        <v>7527</v>
      </c>
      <c r="L2954" s="10" t="s">
        <v>42</v>
      </c>
    </row>
    <row r="2955" ht="15.75" customHeight="1">
      <c r="A2955" s="64">
        <v>45473.0</v>
      </c>
      <c r="B2955" s="55" t="str">
        <f>HYPERLINK("https://jobright.ai/jobs/info/6681adc3f81a97b0515c46a7?utm_campaign=1062&amp;utm_source=sheet", "Apply")</f>
        <v>Apply</v>
      </c>
      <c r="C2955" s="10" t="s">
        <v>7524</v>
      </c>
      <c r="D2955" s="56" t="s">
        <v>7525</v>
      </c>
      <c r="E2955" s="10" t="s">
        <v>137</v>
      </c>
      <c r="F2955" s="10" t="s">
        <v>7526</v>
      </c>
      <c r="G2955" s="10" t="s">
        <v>2579</v>
      </c>
      <c r="H2955" s="10" t="s">
        <v>771</v>
      </c>
      <c r="I2955" s="10" t="s">
        <v>55</v>
      </c>
      <c r="K2955" s="10" t="s">
        <v>7527</v>
      </c>
      <c r="L2955" s="10" t="s">
        <v>42</v>
      </c>
    </row>
    <row r="2956" ht="15.75" customHeight="1">
      <c r="A2956" s="64">
        <v>45473.0</v>
      </c>
      <c r="B2956" s="55" t="str">
        <f>HYPERLINK("https://jobright.ai/jobs/info/6681a96d127400923c6620c3?utm_campaign=1062&amp;utm_source=sheet", "Apply")</f>
        <v>Apply</v>
      </c>
      <c r="C2956" s="10" t="s">
        <v>7524</v>
      </c>
      <c r="D2956" s="56" t="s">
        <v>7525</v>
      </c>
      <c r="E2956" s="10" t="s">
        <v>137</v>
      </c>
      <c r="F2956" s="10" t="s">
        <v>7526</v>
      </c>
      <c r="G2956" s="10" t="s">
        <v>2579</v>
      </c>
      <c r="H2956" s="10" t="s">
        <v>1027</v>
      </c>
      <c r="I2956" s="10" t="s">
        <v>55</v>
      </c>
      <c r="K2956" s="10" t="s">
        <v>7527</v>
      </c>
      <c r="L2956" s="10" t="s">
        <v>42</v>
      </c>
    </row>
    <row r="2957" ht="15.75" customHeight="1">
      <c r="A2957" s="64">
        <v>45473.0</v>
      </c>
      <c r="B2957" s="55" t="str">
        <f>HYPERLINK("https://jobright.ai/jobs/info/6681a96d127400923c6620c0?utm_campaign=1062&amp;utm_source=sheet", "Apply")</f>
        <v>Apply</v>
      </c>
      <c r="C2957" s="10" t="s">
        <v>7524</v>
      </c>
      <c r="D2957" s="56" t="s">
        <v>7525</v>
      </c>
      <c r="E2957" s="10" t="s">
        <v>137</v>
      </c>
      <c r="F2957" s="10" t="s">
        <v>7526</v>
      </c>
      <c r="G2957" s="10" t="s">
        <v>2579</v>
      </c>
      <c r="H2957" s="10" t="s">
        <v>894</v>
      </c>
      <c r="I2957" s="10" t="s">
        <v>55</v>
      </c>
      <c r="K2957" s="10" t="s">
        <v>7527</v>
      </c>
      <c r="L2957" s="10" t="s">
        <v>42</v>
      </c>
    </row>
    <row r="2958" ht="15.75" customHeight="1">
      <c r="A2958" s="64">
        <v>45473.0</v>
      </c>
      <c r="B2958" s="55" t="str">
        <f>HYPERLINK("https://jobright.ai/jobs/info/6681a96d127400923c6620c5?utm_campaign=1062&amp;utm_source=sheet", "Apply")</f>
        <v>Apply</v>
      </c>
      <c r="C2958" s="10" t="s">
        <v>7524</v>
      </c>
      <c r="D2958" s="56" t="s">
        <v>7525</v>
      </c>
      <c r="E2958" s="10" t="s">
        <v>137</v>
      </c>
      <c r="F2958" s="10" t="s">
        <v>7526</v>
      </c>
      <c r="G2958" s="10" t="s">
        <v>2579</v>
      </c>
      <c r="H2958" s="10" t="s">
        <v>232</v>
      </c>
      <c r="I2958" s="10" t="s">
        <v>55</v>
      </c>
      <c r="K2958" s="10" t="s">
        <v>7527</v>
      </c>
      <c r="L2958" s="10" t="s">
        <v>42</v>
      </c>
    </row>
    <row r="2959" ht="15.75" customHeight="1">
      <c r="A2959" s="64">
        <v>45473.0</v>
      </c>
      <c r="B2959" s="55" t="str">
        <f>HYPERLINK("https://jobright.ai/jobs/info/6681a96d127400923c6620d5?utm_campaign=1062&amp;utm_source=sheet", "Apply")</f>
        <v>Apply</v>
      </c>
      <c r="C2959" s="10" t="s">
        <v>7524</v>
      </c>
      <c r="D2959" s="56" t="s">
        <v>7525</v>
      </c>
      <c r="E2959" s="10" t="s">
        <v>137</v>
      </c>
      <c r="F2959" s="10" t="s">
        <v>7526</v>
      </c>
      <c r="G2959" s="10" t="s">
        <v>2579</v>
      </c>
      <c r="H2959" s="10" t="s">
        <v>968</v>
      </c>
      <c r="I2959" s="10" t="s">
        <v>55</v>
      </c>
      <c r="K2959" s="10" t="s">
        <v>7527</v>
      </c>
      <c r="L2959" s="10" t="s">
        <v>42</v>
      </c>
    </row>
    <row r="2960" ht="15.75" customHeight="1">
      <c r="A2960" s="64">
        <v>45473.0</v>
      </c>
      <c r="B2960" s="55" t="str">
        <f>HYPERLINK("https://jobright.ai/jobs/info/6681a96d127400923c6620dc?utm_campaign=1062&amp;utm_source=sheet", "Apply")</f>
        <v>Apply</v>
      </c>
      <c r="C2960" s="10" t="s">
        <v>7524</v>
      </c>
      <c r="D2960" s="56" t="s">
        <v>7525</v>
      </c>
      <c r="E2960" s="10" t="s">
        <v>137</v>
      </c>
      <c r="F2960" s="10" t="s">
        <v>7526</v>
      </c>
      <c r="G2960" s="10" t="s">
        <v>2579</v>
      </c>
      <c r="H2960" s="10" t="s">
        <v>1010</v>
      </c>
      <c r="I2960" s="10" t="s">
        <v>55</v>
      </c>
      <c r="K2960" s="10" t="s">
        <v>7527</v>
      </c>
      <c r="L2960" s="10" t="s">
        <v>42</v>
      </c>
    </row>
    <row r="2961" ht="15.75" customHeight="1">
      <c r="A2961" s="64">
        <v>45473.0</v>
      </c>
      <c r="B2961" s="55" t="str">
        <f>HYPERLINK("https://jobright.ai/jobs/info/6681adc3f81a97b0515c46b1?utm_campaign=1062&amp;utm_source=sheet", "Apply")</f>
        <v>Apply</v>
      </c>
      <c r="C2961" s="10" t="s">
        <v>7524</v>
      </c>
      <c r="D2961" s="56" t="s">
        <v>7525</v>
      </c>
      <c r="E2961" s="10" t="s">
        <v>137</v>
      </c>
      <c r="F2961" s="10" t="s">
        <v>7526</v>
      </c>
      <c r="G2961" s="10" t="s">
        <v>2579</v>
      </c>
      <c r="H2961" s="10" t="s">
        <v>796</v>
      </c>
      <c r="I2961" s="10" t="s">
        <v>55</v>
      </c>
      <c r="K2961" s="10" t="s">
        <v>7527</v>
      </c>
      <c r="L2961" s="10" t="s">
        <v>42</v>
      </c>
    </row>
    <row r="2962" ht="15.75" customHeight="1">
      <c r="A2962" s="64">
        <v>45473.0</v>
      </c>
      <c r="B2962" s="55" t="str">
        <f>HYPERLINK("https://jobright.ai/jobs/info/6681a96d127400923c6620e3?utm_campaign=1062&amp;utm_source=sheet", "Apply")</f>
        <v>Apply</v>
      </c>
      <c r="C2962" s="10" t="s">
        <v>7524</v>
      </c>
      <c r="D2962" s="56" t="s">
        <v>7525</v>
      </c>
      <c r="E2962" s="10" t="s">
        <v>137</v>
      </c>
      <c r="F2962" s="10" t="s">
        <v>7526</v>
      </c>
      <c r="G2962" s="10" t="s">
        <v>2579</v>
      </c>
      <c r="H2962" s="10" t="s">
        <v>913</v>
      </c>
      <c r="I2962" s="10" t="s">
        <v>55</v>
      </c>
      <c r="K2962" s="10" t="s">
        <v>7527</v>
      </c>
      <c r="L2962" s="10" t="s">
        <v>42</v>
      </c>
    </row>
    <row r="2963" ht="15.75" customHeight="1">
      <c r="A2963" s="64">
        <v>45473.0</v>
      </c>
      <c r="B2963" s="55" t="str">
        <f>HYPERLINK("https://jobright.ai/jobs/info/6681a96d127400923c6620e7?utm_campaign=1062&amp;utm_source=sheet", "Apply")</f>
        <v>Apply</v>
      </c>
      <c r="C2963" s="10" t="s">
        <v>7524</v>
      </c>
      <c r="D2963" s="56" t="s">
        <v>7525</v>
      </c>
      <c r="E2963" s="10" t="s">
        <v>137</v>
      </c>
      <c r="F2963" s="10" t="s">
        <v>7526</v>
      </c>
      <c r="G2963" s="10" t="s">
        <v>2579</v>
      </c>
      <c r="H2963" s="10" t="s">
        <v>961</v>
      </c>
      <c r="I2963" s="10" t="s">
        <v>55</v>
      </c>
      <c r="K2963" s="10" t="s">
        <v>7527</v>
      </c>
      <c r="L2963" s="10" t="s">
        <v>42</v>
      </c>
    </row>
    <row r="2964" ht="15.75" customHeight="1">
      <c r="A2964" s="64">
        <v>45473.0</v>
      </c>
      <c r="B2964" s="55" t="str">
        <f>HYPERLINK("https://jobright.ai/jobs/info/6681a96d127400923c6620db?utm_campaign=1062&amp;utm_source=sheet", "Apply")</f>
        <v>Apply</v>
      </c>
      <c r="C2964" s="10" t="s">
        <v>7524</v>
      </c>
      <c r="D2964" s="56" t="s">
        <v>7525</v>
      </c>
      <c r="E2964" s="10" t="s">
        <v>137</v>
      </c>
      <c r="F2964" s="10" t="s">
        <v>7526</v>
      </c>
      <c r="G2964" s="10" t="s">
        <v>2579</v>
      </c>
      <c r="H2964" s="10" t="s">
        <v>391</v>
      </c>
      <c r="I2964" s="10" t="s">
        <v>55</v>
      </c>
      <c r="K2964" s="10" t="s">
        <v>7527</v>
      </c>
      <c r="L2964" s="10" t="s">
        <v>42</v>
      </c>
    </row>
    <row r="2965" ht="15.75" customHeight="1">
      <c r="A2965" s="64">
        <v>45473.0</v>
      </c>
      <c r="B2965" s="55" t="str">
        <f>HYPERLINK("https://jobright.ai/jobs/info/6681adc3f81a97b0515c46ac?utm_campaign=1062&amp;utm_source=sheet", "Apply")</f>
        <v>Apply</v>
      </c>
      <c r="C2965" s="10" t="s">
        <v>7524</v>
      </c>
      <c r="D2965" s="56" t="s">
        <v>7525</v>
      </c>
      <c r="E2965" s="10" t="s">
        <v>137</v>
      </c>
      <c r="F2965" s="10" t="s">
        <v>7526</v>
      </c>
      <c r="G2965" s="10" t="s">
        <v>2579</v>
      </c>
      <c r="H2965" s="10" t="s">
        <v>939</v>
      </c>
      <c r="I2965" s="10" t="s">
        <v>55</v>
      </c>
      <c r="K2965" s="10" t="s">
        <v>7527</v>
      </c>
      <c r="L2965" s="10" t="s">
        <v>42</v>
      </c>
    </row>
    <row r="2966" ht="15.75" customHeight="1">
      <c r="A2966" s="64">
        <v>45473.0</v>
      </c>
      <c r="B2966" s="55" t="str">
        <f>HYPERLINK("https://jobright.ai/jobs/info/6681adc3f81a97b0515c46ad?utm_campaign=1062&amp;utm_source=sheet", "Apply")</f>
        <v>Apply</v>
      </c>
      <c r="C2966" s="10" t="s">
        <v>7524</v>
      </c>
      <c r="D2966" s="56" t="s">
        <v>7525</v>
      </c>
      <c r="E2966" s="10" t="s">
        <v>137</v>
      </c>
      <c r="F2966" s="10" t="s">
        <v>7526</v>
      </c>
      <c r="G2966" s="10" t="s">
        <v>2579</v>
      </c>
      <c r="H2966" s="10" t="s">
        <v>867</v>
      </c>
      <c r="I2966" s="10" t="s">
        <v>55</v>
      </c>
      <c r="K2966" s="10" t="s">
        <v>7527</v>
      </c>
      <c r="L2966" s="10" t="s">
        <v>42</v>
      </c>
    </row>
    <row r="2967" ht="15.75" customHeight="1">
      <c r="A2967" s="64">
        <v>45473.0</v>
      </c>
      <c r="B2967" s="55" t="str">
        <f>HYPERLINK("https://jobright.ai/jobs/info/6681a96d127400923c6620e6?utm_campaign=1062&amp;utm_source=sheet", "Apply")</f>
        <v>Apply</v>
      </c>
      <c r="C2967" s="10" t="s">
        <v>7524</v>
      </c>
      <c r="D2967" s="56" t="s">
        <v>7525</v>
      </c>
      <c r="E2967" s="10" t="s">
        <v>137</v>
      </c>
      <c r="F2967" s="10" t="s">
        <v>7526</v>
      </c>
      <c r="G2967" s="10" t="s">
        <v>2579</v>
      </c>
      <c r="H2967" s="10" t="s">
        <v>898</v>
      </c>
      <c r="I2967" s="10" t="s">
        <v>55</v>
      </c>
      <c r="K2967" s="10" t="s">
        <v>7527</v>
      </c>
      <c r="L2967" s="10" t="s">
        <v>42</v>
      </c>
    </row>
    <row r="2968" ht="15.75" customHeight="1">
      <c r="A2968" s="64">
        <v>45473.0</v>
      </c>
      <c r="B2968" s="55" t="str">
        <f>HYPERLINK("https://jobright.ai/jobs/info/6681a96d127400923c6620df?utm_campaign=1062&amp;utm_source=sheet", "Apply")</f>
        <v>Apply</v>
      </c>
      <c r="C2968" s="10" t="s">
        <v>7524</v>
      </c>
      <c r="D2968" s="56" t="s">
        <v>7525</v>
      </c>
      <c r="E2968" s="10" t="s">
        <v>137</v>
      </c>
      <c r="F2968" s="10" t="s">
        <v>7526</v>
      </c>
      <c r="G2968" s="10" t="s">
        <v>2579</v>
      </c>
      <c r="H2968" s="10" t="s">
        <v>946</v>
      </c>
      <c r="I2968" s="10" t="s">
        <v>55</v>
      </c>
      <c r="K2968" s="10" t="s">
        <v>7527</v>
      </c>
      <c r="L2968" s="10" t="s">
        <v>42</v>
      </c>
    </row>
    <row r="2969" ht="15.75" customHeight="1">
      <c r="A2969" s="64">
        <v>45473.0</v>
      </c>
      <c r="B2969" s="55" t="str">
        <f>HYPERLINK("https://jobright.ai/jobs/info/6681adc3f81a97b0515c46ae?utm_campaign=1062&amp;utm_source=sheet", "Apply")</f>
        <v>Apply</v>
      </c>
      <c r="C2969" s="10" t="s">
        <v>7524</v>
      </c>
      <c r="D2969" s="56" t="s">
        <v>7525</v>
      </c>
      <c r="E2969" s="10" t="s">
        <v>137</v>
      </c>
      <c r="F2969" s="10" t="s">
        <v>7526</v>
      </c>
      <c r="G2969" s="10" t="s">
        <v>2579</v>
      </c>
      <c r="H2969" s="10" t="s">
        <v>895</v>
      </c>
      <c r="I2969" s="10" t="s">
        <v>55</v>
      </c>
      <c r="K2969" s="10" t="s">
        <v>7527</v>
      </c>
      <c r="L2969" s="10" t="s">
        <v>42</v>
      </c>
    </row>
    <row r="2970" ht="15.75" customHeight="1">
      <c r="A2970" s="64">
        <v>45473.0</v>
      </c>
      <c r="B2970" s="55" t="str">
        <f>HYPERLINK("https://jobright.ai/jobs/info/6681adc3f81a97b0515c46ab?utm_campaign=1062&amp;utm_source=sheet", "Apply")</f>
        <v>Apply</v>
      </c>
      <c r="C2970" s="10" t="s">
        <v>7524</v>
      </c>
      <c r="D2970" s="56" t="s">
        <v>7525</v>
      </c>
      <c r="E2970" s="10" t="s">
        <v>137</v>
      </c>
      <c r="F2970" s="10" t="s">
        <v>7526</v>
      </c>
      <c r="G2970" s="10" t="s">
        <v>2579</v>
      </c>
      <c r="H2970" s="10" t="s">
        <v>1051</v>
      </c>
      <c r="I2970" s="10" t="s">
        <v>55</v>
      </c>
      <c r="K2970" s="10" t="s">
        <v>7527</v>
      </c>
      <c r="L2970" s="10" t="s">
        <v>42</v>
      </c>
    </row>
    <row r="2971" ht="15.75" customHeight="1">
      <c r="A2971" s="64">
        <v>45473.0</v>
      </c>
      <c r="B2971" s="55" t="str">
        <f>HYPERLINK("https://jobright.ai/jobs/info/6681a96d127400923c6620e2?utm_campaign=1062&amp;utm_source=sheet", "Apply")</f>
        <v>Apply</v>
      </c>
      <c r="C2971" s="10" t="s">
        <v>7524</v>
      </c>
      <c r="D2971" s="56" t="s">
        <v>7525</v>
      </c>
      <c r="E2971" s="10" t="s">
        <v>137</v>
      </c>
      <c r="F2971" s="10" t="s">
        <v>7526</v>
      </c>
      <c r="G2971" s="10" t="s">
        <v>2579</v>
      </c>
      <c r="H2971" s="10" t="s">
        <v>914</v>
      </c>
      <c r="I2971" s="10" t="s">
        <v>55</v>
      </c>
      <c r="K2971" s="10" t="s">
        <v>7527</v>
      </c>
      <c r="L2971" s="10" t="s">
        <v>42</v>
      </c>
    </row>
    <row r="2972" ht="15.75" customHeight="1">
      <c r="A2972" s="64">
        <v>45473.0</v>
      </c>
      <c r="B2972" s="55" t="str">
        <f>HYPERLINK("https://jobright.ai/jobs/info/6681adc3f81a97b0515c46b0?utm_campaign=1062&amp;utm_source=sheet", "Apply")</f>
        <v>Apply</v>
      </c>
      <c r="C2972" s="10" t="s">
        <v>7524</v>
      </c>
      <c r="D2972" s="56" t="s">
        <v>7525</v>
      </c>
      <c r="E2972" s="10" t="s">
        <v>137</v>
      </c>
      <c r="F2972" s="10" t="s">
        <v>7526</v>
      </c>
      <c r="G2972" s="10" t="s">
        <v>2579</v>
      </c>
      <c r="H2972" s="10" t="s">
        <v>876</v>
      </c>
      <c r="I2972" s="10" t="s">
        <v>55</v>
      </c>
      <c r="K2972" s="10" t="s">
        <v>7527</v>
      </c>
      <c r="L2972" s="10" t="s">
        <v>42</v>
      </c>
    </row>
    <row r="2973" ht="15.75" customHeight="1">
      <c r="A2973" s="64">
        <v>45473.0</v>
      </c>
      <c r="B2973" s="55" t="str">
        <f>HYPERLINK("https://jobright.ai/jobs/info/6681a96d127400923c6620e0?utm_campaign=1062&amp;utm_source=sheet", "Apply")</f>
        <v>Apply</v>
      </c>
      <c r="C2973" s="10" t="s">
        <v>7524</v>
      </c>
      <c r="D2973" s="56" t="s">
        <v>7525</v>
      </c>
      <c r="E2973" s="10" t="s">
        <v>137</v>
      </c>
      <c r="F2973" s="10" t="s">
        <v>7526</v>
      </c>
      <c r="G2973" s="10" t="s">
        <v>2579</v>
      </c>
      <c r="H2973" s="10" t="s">
        <v>271</v>
      </c>
      <c r="I2973" s="10" t="s">
        <v>55</v>
      </c>
      <c r="K2973" s="10" t="s">
        <v>7527</v>
      </c>
      <c r="L2973" s="10" t="s">
        <v>42</v>
      </c>
    </row>
    <row r="2974" ht="15.75" customHeight="1">
      <c r="A2974" s="64">
        <v>45473.0</v>
      </c>
      <c r="B2974" s="55" t="str">
        <f>HYPERLINK("https://jobright.ai/jobs/info/6681a96d127400923c6620d8?utm_campaign=1062&amp;utm_source=sheet", "Apply")</f>
        <v>Apply</v>
      </c>
      <c r="C2974" s="10" t="s">
        <v>7524</v>
      </c>
      <c r="D2974" s="56" t="s">
        <v>7525</v>
      </c>
      <c r="E2974" s="10" t="s">
        <v>137</v>
      </c>
      <c r="F2974" s="10" t="s">
        <v>7526</v>
      </c>
      <c r="G2974" s="10" t="s">
        <v>2579</v>
      </c>
      <c r="H2974" s="10" t="s">
        <v>925</v>
      </c>
      <c r="I2974" s="10" t="s">
        <v>55</v>
      </c>
      <c r="K2974" s="10" t="s">
        <v>7527</v>
      </c>
      <c r="L2974" s="10" t="s">
        <v>42</v>
      </c>
    </row>
    <row r="2975" ht="15.75" customHeight="1">
      <c r="A2975" s="64">
        <v>45473.0</v>
      </c>
      <c r="B2975" s="55" t="str">
        <f>HYPERLINK("https://jobright.ai/jobs/info/6681a96d127400923c6620e5?utm_campaign=1062&amp;utm_source=sheet", "Apply")</f>
        <v>Apply</v>
      </c>
      <c r="C2975" s="10" t="s">
        <v>7524</v>
      </c>
      <c r="D2975" s="56" t="s">
        <v>7525</v>
      </c>
      <c r="E2975" s="10" t="s">
        <v>137</v>
      </c>
      <c r="F2975" s="10" t="s">
        <v>7526</v>
      </c>
      <c r="G2975" s="10" t="s">
        <v>2579</v>
      </c>
      <c r="H2975" s="10" t="s">
        <v>832</v>
      </c>
      <c r="I2975" s="10" t="s">
        <v>55</v>
      </c>
      <c r="K2975" s="10" t="s">
        <v>7527</v>
      </c>
      <c r="L2975" s="10" t="s">
        <v>42</v>
      </c>
    </row>
    <row r="2976" ht="15.75" customHeight="1">
      <c r="A2976" s="64">
        <v>45473.0</v>
      </c>
      <c r="B2976" s="55" t="str">
        <f>HYPERLINK("https://jobright.ai/jobs/info/6681a96d127400923c6620d9?utm_campaign=1062&amp;utm_source=sheet", "Apply")</f>
        <v>Apply</v>
      </c>
      <c r="C2976" s="10" t="s">
        <v>7524</v>
      </c>
      <c r="D2976" s="56" t="s">
        <v>7525</v>
      </c>
      <c r="E2976" s="10" t="s">
        <v>137</v>
      </c>
      <c r="F2976" s="10" t="s">
        <v>7526</v>
      </c>
      <c r="G2976" s="10" t="s">
        <v>2579</v>
      </c>
      <c r="H2976" s="10" t="s">
        <v>870</v>
      </c>
      <c r="I2976" s="10" t="s">
        <v>55</v>
      </c>
      <c r="K2976" s="10" t="s">
        <v>7527</v>
      </c>
      <c r="L2976" s="10" t="s">
        <v>42</v>
      </c>
    </row>
    <row r="2977" ht="15.75" customHeight="1">
      <c r="A2977" s="64">
        <v>45473.0</v>
      </c>
      <c r="B2977" s="55" t="str">
        <f>HYPERLINK("https://jobright.ai/jobs/info/6681a96d127400923c6620e4?utm_campaign=1062&amp;utm_source=sheet", "Apply")</f>
        <v>Apply</v>
      </c>
      <c r="C2977" s="10" t="s">
        <v>7524</v>
      </c>
      <c r="D2977" s="56" t="s">
        <v>7525</v>
      </c>
      <c r="E2977" s="10" t="s">
        <v>137</v>
      </c>
      <c r="F2977" s="10" t="s">
        <v>7526</v>
      </c>
      <c r="G2977" s="10" t="s">
        <v>2579</v>
      </c>
      <c r="H2977" s="10" t="s">
        <v>762</v>
      </c>
      <c r="I2977" s="10" t="s">
        <v>55</v>
      </c>
      <c r="K2977" s="10" t="s">
        <v>7527</v>
      </c>
      <c r="L2977" s="10" t="s">
        <v>42</v>
      </c>
    </row>
    <row r="2978" ht="15.75" customHeight="1">
      <c r="A2978" s="64">
        <v>45473.0</v>
      </c>
      <c r="B2978" s="55" t="str">
        <f>HYPERLINK("https://jobright.ai/jobs/info/6681a96d127400923c6620dd?utm_campaign=1062&amp;utm_source=sheet", "Apply")</f>
        <v>Apply</v>
      </c>
      <c r="C2978" s="10" t="s">
        <v>7524</v>
      </c>
      <c r="D2978" s="56" t="s">
        <v>7525</v>
      </c>
      <c r="E2978" s="10" t="s">
        <v>137</v>
      </c>
      <c r="F2978" s="10" t="s">
        <v>7526</v>
      </c>
      <c r="G2978" s="10" t="s">
        <v>2579</v>
      </c>
      <c r="H2978" s="10" t="s">
        <v>958</v>
      </c>
      <c r="I2978" s="10" t="s">
        <v>55</v>
      </c>
      <c r="K2978" s="10" t="s">
        <v>7527</v>
      </c>
      <c r="L2978" s="10" t="s">
        <v>42</v>
      </c>
    </row>
    <row r="2979" ht="15.75" customHeight="1">
      <c r="A2979" s="64">
        <v>45473.0</v>
      </c>
      <c r="B2979" s="55" t="str">
        <f>HYPERLINK("https://jobright.ai/jobs/info/6681a96d127400923c6620e1?utm_campaign=1062&amp;utm_source=sheet", "Apply")</f>
        <v>Apply</v>
      </c>
      <c r="C2979" s="10" t="s">
        <v>7524</v>
      </c>
      <c r="D2979" s="56" t="s">
        <v>7525</v>
      </c>
      <c r="E2979" s="10" t="s">
        <v>137</v>
      </c>
      <c r="F2979" s="10" t="s">
        <v>7526</v>
      </c>
      <c r="G2979" s="10" t="s">
        <v>2579</v>
      </c>
      <c r="H2979" s="10" t="s">
        <v>1002</v>
      </c>
      <c r="I2979" s="10" t="s">
        <v>55</v>
      </c>
      <c r="K2979" s="10" t="s">
        <v>7527</v>
      </c>
      <c r="L2979" s="10" t="s">
        <v>42</v>
      </c>
    </row>
    <row r="2980" ht="15.75" customHeight="1">
      <c r="A2980" s="64">
        <v>45473.0</v>
      </c>
      <c r="B2980" s="55" t="str">
        <f>HYPERLINK("https://jobright.ai/jobs/info/6681adc3f81a97b0515c46aa?utm_campaign=1062&amp;utm_source=sheet", "Apply")</f>
        <v>Apply</v>
      </c>
      <c r="C2980" s="10" t="s">
        <v>7524</v>
      </c>
      <c r="D2980" s="56" t="s">
        <v>7525</v>
      </c>
      <c r="E2980" s="10" t="s">
        <v>137</v>
      </c>
      <c r="F2980" s="10" t="s">
        <v>7526</v>
      </c>
      <c r="G2980" s="10" t="s">
        <v>2579</v>
      </c>
      <c r="H2980" s="10" t="s">
        <v>775</v>
      </c>
      <c r="I2980" s="10" t="s">
        <v>55</v>
      </c>
      <c r="K2980" s="10" t="s">
        <v>7527</v>
      </c>
      <c r="L2980" s="10" t="s">
        <v>42</v>
      </c>
    </row>
    <row r="2981" ht="15.75" customHeight="1">
      <c r="A2981" s="64">
        <v>45473.0</v>
      </c>
      <c r="B2981" s="55" t="str">
        <f>HYPERLINK("https://jobright.ai/jobs/info/6681adc3f81a97b0515c46b2?utm_campaign=1062&amp;utm_source=sheet", "Apply")</f>
        <v>Apply</v>
      </c>
      <c r="C2981" s="10" t="s">
        <v>7524</v>
      </c>
      <c r="D2981" s="56" t="s">
        <v>7525</v>
      </c>
      <c r="E2981" s="10" t="s">
        <v>137</v>
      </c>
      <c r="F2981" s="10" t="s">
        <v>7526</v>
      </c>
      <c r="G2981" s="10" t="s">
        <v>2579</v>
      </c>
      <c r="H2981" s="10" t="s">
        <v>849</v>
      </c>
      <c r="I2981" s="10" t="s">
        <v>55</v>
      </c>
      <c r="K2981" s="10" t="s">
        <v>7527</v>
      </c>
      <c r="L2981" s="10" t="s">
        <v>42</v>
      </c>
    </row>
    <row r="2982" ht="15.75" customHeight="1">
      <c r="A2982" s="64">
        <v>45473.0</v>
      </c>
      <c r="B2982" s="55" t="str">
        <f>HYPERLINK("https://jobright.ai/jobs/info/6681adc3f81a97b0515c46af?utm_campaign=1062&amp;utm_source=sheet", "Apply")</f>
        <v>Apply</v>
      </c>
      <c r="C2982" s="10" t="s">
        <v>7524</v>
      </c>
      <c r="D2982" s="56" t="s">
        <v>7525</v>
      </c>
      <c r="E2982" s="10" t="s">
        <v>137</v>
      </c>
      <c r="F2982" s="10" t="s">
        <v>7526</v>
      </c>
      <c r="G2982" s="10" t="s">
        <v>2579</v>
      </c>
      <c r="H2982" s="10" t="s">
        <v>910</v>
      </c>
      <c r="I2982" s="10" t="s">
        <v>55</v>
      </c>
      <c r="K2982" s="10" t="s">
        <v>7527</v>
      </c>
      <c r="L2982" s="10" t="s">
        <v>42</v>
      </c>
    </row>
    <row r="2983" ht="15.75" customHeight="1">
      <c r="A2983" s="64">
        <v>45473.0</v>
      </c>
      <c r="B2983" s="55" t="str">
        <f>HYPERLINK("https://jobright.ai/jobs/info/6681a96d127400923c6620de?utm_campaign=1062&amp;utm_source=sheet", "Apply")</f>
        <v>Apply</v>
      </c>
      <c r="C2983" s="10" t="s">
        <v>7524</v>
      </c>
      <c r="D2983" s="56" t="s">
        <v>7525</v>
      </c>
      <c r="E2983" s="10" t="s">
        <v>137</v>
      </c>
      <c r="F2983" s="10" t="s">
        <v>7526</v>
      </c>
      <c r="G2983" s="10" t="s">
        <v>2579</v>
      </c>
      <c r="H2983" s="10" t="s">
        <v>1035</v>
      </c>
      <c r="I2983" s="10" t="s">
        <v>55</v>
      </c>
      <c r="K2983" s="10" t="s">
        <v>7527</v>
      </c>
      <c r="L2983" s="10" t="s">
        <v>42</v>
      </c>
    </row>
    <row r="2984" ht="15.75" customHeight="1">
      <c r="A2984" s="64">
        <v>45473.0</v>
      </c>
      <c r="B2984" s="55" t="str">
        <f>HYPERLINK("https://jobright.ai/jobs/info/6681a5a0e2513bb044b9d079?utm_campaign=1062&amp;utm_source=sheet", "Apply")</f>
        <v>Apply</v>
      </c>
      <c r="C2984" s="10" t="s">
        <v>7524</v>
      </c>
      <c r="D2984" s="56" t="s">
        <v>7525</v>
      </c>
      <c r="E2984" s="10" t="s">
        <v>137</v>
      </c>
      <c r="F2984" s="10" t="s">
        <v>7526</v>
      </c>
      <c r="G2984" s="10" t="s">
        <v>2579</v>
      </c>
      <c r="H2984" s="10" t="s">
        <v>964</v>
      </c>
      <c r="I2984" s="10" t="s">
        <v>55</v>
      </c>
      <c r="K2984" s="10" t="s">
        <v>7527</v>
      </c>
      <c r="L2984" s="10" t="s">
        <v>42</v>
      </c>
    </row>
    <row r="2985" ht="15.75" customHeight="1">
      <c r="A2985" s="64">
        <v>45473.0</v>
      </c>
      <c r="B2985" s="55" t="str">
        <f>HYPERLINK("https://jobright.ai/jobs/info/6681a5a0e2513bb044b9d077?utm_campaign=1062&amp;utm_source=sheet", "Apply")</f>
        <v>Apply</v>
      </c>
      <c r="C2985" s="10" t="s">
        <v>7524</v>
      </c>
      <c r="D2985" s="56" t="s">
        <v>7525</v>
      </c>
      <c r="E2985" s="10" t="s">
        <v>137</v>
      </c>
      <c r="F2985" s="10" t="s">
        <v>7526</v>
      </c>
      <c r="G2985" s="10" t="s">
        <v>2579</v>
      </c>
      <c r="H2985" s="10" t="s">
        <v>838</v>
      </c>
      <c r="I2985" s="10" t="s">
        <v>55</v>
      </c>
      <c r="K2985" s="10" t="s">
        <v>7527</v>
      </c>
      <c r="L2985" s="10" t="s">
        <v>42</v>
      </c>
    </row>
    <row r="2986" ht="15.75" customHeight="1">
      <c r="A2986" s="64">
        <v>45473.0</v>
      </c>
      <c r="B2986" s="55" t="str">
        <f>HYPERLINK("https://jobright.ai/jobs/info/6681a5a0e2513bb044b9d078?utm_campaign=1062&amp;utm_source=sheet", "Apply")</f>
        <v>Apply</v>
      </c>
      <c r="C2986" s="10" t="s">
        <v>7524</v>
      </c>
      <c r="D2986" s="56" t="s">
        <v>7525</v>
      </c>
      <c r="E2986" s="10" t="s">
        <v>137</v>
      </c>
      <c r="F2986" s="10" t="s">
        <v>7526</v>
      </c>
      <c r="G2986" s="10" t="s">
        <v>2579</v>
      </c>
      <c r="H2986" s="10" t="s">
        <v>1025</v>
      </c>
      <c r="I2986" s="10" t="s">
        <v>55</v>
      </c>
      <c r="K2986" s="10" t="s">
        <v>7527</v>
      </c>
      <c r="L2986" s="10" t="s">
        <v>42</v>
      </c>
    </row>
    <row r="2987" ht="15.75" customHeight="1">
      <c r="A2987" s="64">
        <v>45473.0</v>
      </c>
      <c r="B2987" s="55" t="str">
        <f>HYPERLINK("https://jobright.ai/jobs/info/6681a5a0e2513bb044b9d07a?utm_campaign=1062&amp;utm_source=sheet", "Apply")</f>
        <v>Apply</v>
      </c>
      <c r="C2987" s="10" t="s">
        <v>7524</v>
      </c>
      <c r="D2987" s="56" t="s">
        <v>7525</v>
      </c>
      <c r="E2987" s="10" t="s">
        <v>137</v>
      </c>
      <c r="F2987" s="10" t="s">
        <v>7526</v>
      </c>
      <c r="G2987" s="10" t="s">
        <v>2579</v>
      </c>
      <c r="H2987" s="10" t="s">
        <v>926</v>
      </c>
      <c r="I2987" s="10" t="s">
        <v>55</v>
      </c>
      <c r="K2987" s="10" t="s">
        <v>7527</v>
      </c>
      <c r="L2987" s="10" t="s">
        <v>42</v>
      </c>
    </row>
    <row r="2988" ht="15.75" customHeight="1">
      <c r="A2988" s="64">
        <v>45473.0</v>
      </c>
      <c r="B2988" s="55" t="str">
        <f>HYPERLINK("https://jobright.ai/jobs/info/6693bc7fd2f2e1e43db22bae?utm_campaign=1062&amp;utm_source=sheet", "Apply")</f>
        <v>Apply</v>
      </c>
      <c r="C2988" s="10" t="s">
        <v>7691</v>
      </c>
      <c r="D2988" s="56" t="s">
        <v>7692</v>
      </c>
      <c r="E2988" s="10" t="s">
        <v>249</v>
      </c>
      <c r="F2988" s="10" t="s">
        <v>7693</v>
      </c>
      <c r="G2988" s="10" t="s">
        <v>2455</v>
      </c>
      <c r="H2988" s="10" t="s">
        <v>159</v>
      </c>
      <c r="I2988" s="10" t="s">
        <v>55</v>
      </c>
      <c r="K2988" s="10" t="s">
        <v>7694</v>
      </c>
      <c r="L2988" s="10" t="s">
        <v>42</v>
      </c>
    </row>
    <row r="2989" ht="15.75" customHeight="1">
      <c r="A2989" s="64">
        <v>45473.0</v>
      </c>
      <c r="B2989" s="55" t="str">
        <f>HYPERLINK("https://jobright.ai/jobs/info/668a781bdfbe564b9b904a81?utm_campaign=1062&amp;utm_source=sheet", "Apply")</f>
        <v>Apply</v>
      </c>
      <c r="C2989" s="10" t="s">
        <v>7695</v>
      </c>
      <c r="D2989" s="56" t="s">
        <v>2922</v>
      </c>
      <c r="E2989" s="10" t="s">
        <v>45</v>
      </c>
      <c r="F2989" s="10" t="s">
        <v>1234</v>
      </c>
      <c r="G2989" s="10" t="s">
        <v>2448</v>
      </c>
      <c r="H2989" s="10" t="s">
        <v>965</v>
      </c>
      <c r="I2989" s="10" t="s">
        <v>55</v>
      </c>
      <c r="K2989" s="10" t="s">
        <v>7696</v>
      </c>
      <c r="L2989" s="10" t="s">
        <v>42</v>
      </c>
    </row>
    <row r="2990" ht="15.75" customHeight="1">
      <c r="A2990" s="64">
        <v>45473.0</v>
      </c>
      <c r="B2990" s="55" t="str">
        <f>HYPERLINK("https://jobright.ai/jobs/info/668bb6f517dee33772925610?utm_campaign=1062&amp;utm_source=sheet", "Apply")</f>
        <v>Apply</v>
      </c>
      <c r="C2990" s="10" t="s">
        <v>3102</v>
      </c>
      <c r="D2990" s="56" t="s">
        <v>7697</v>
      </c>
      <c r="E2990" s="10" t="s">
        <v>65</v>
      </c>
      <c r="F2990" s="10" t="s">
        <v>7698</v>
      </c>
      <c r="G2990" s="10" t="s">
        <v>2484</v>
      </c>
      <c r="H2990" s="10" t="s">
        <v>7699</v>
      </c>
      <c r="I2990" s="10" t="s">
        <v>55</v>
      </c>
      <c r="K2990" s="10" t="s">
        <v>7700</v>
      </c>
      <c r="L2990" s="10" t="s">
        <v>42</v>
      </c>
    </row>
    <row r="2991" ht="15.75" customHeight="1">
      <c r="A2991" s="64">
        <v>45472.0</v>
      </c>
      <c r="B2991" s="55" t="str">
        <f>HYPERLINK("https://jobright.ai/jobs/info/66802bd53b2e728dc3b273cd?utm_campaign=1062&amp;utm_source=sheet", "Apply")</f>
        <v>Apply</v>
      </c>
      <c r="C2991" s="10" t="s">
        <v>7701</v>
      </c>
      <c r="D2991" s="56" t="s">
        <v>1582</v>
      </c>
      <c r="E2991" s="10" t="s">
        <v>45</v>
      </c>
      <c r="F2991" s="10" t="s">
        <v>665</v>
      </c>
      <c r="G2991" s="10" t="s">
        <v>2448</v>
      </c>
      <c r="H2991" s="10" t="s">
        <v>852</v>
      </c>
      <c r="I2991" s="10" t="s">
        <v>55</v>
      </c>
      <c r="L2991" s="10" t="s">
        <v>42</v>
      </c>
    </row>
    <row r="2992" ht="15.75" customHeight="1">
      <c r="A2992" s="64">
        <v>45472.0</v>
      </c>
      <c r="B2992" s="55" t="str">
        <f>HYPERLINK("https://jobright.ai/jobs/info/6680020081383b3906b3173e?utm_campaign=1062&amp;utm_source=sheet", "Apply")</f>
        <v>Apply</v>
      </c>
      <c r="C2992" s="10" t="s">
        <v>7702</v>
      </c>
      <c r="D2992" s="56" t="s">
        <v>7703</v>
      </c>
      <c r="E2992" s="10" t="s">
        <v>137</v>
      </c>
      <c r="F2992" s="10" t="s">
        <v>339</v>
      </c>
      <c r="G2992" s="10" t="s">
        <v>2807</v>
      </c>
      <c r="H2992" s="10" t="s">
        <v>7704</v>
      </c>
      <c r="I2992" s="10" t="s">
        <v>55</v>
      </c>
      <c r="K2992" s="10" t="s">
        <v>7705</v>
      </c>
      <c r="L2992" s="10" t="s">
        <v>42</v>
      </c>
    </row>
    <row r="2993" ht="15.75" customHeight="1">
      <c r="A2993" s="64">
        <v>45472.0</v>
      </c>
      <c r="B2993" s="55" t="str">
        <f>HYPERLINK("https://jobright.ai/jobs/info/667fa9df676548f56bf9480a?utm_campaign=1062&amp;utm_source=sheet", "Apply")</f>
        <v>Apply</v>
      </c>
      <c r="C2993" s="10" t="s">
        <v>7706</v>
      </c>
      <c r="D2993" s="56" t="s">
        <v>7707</v>
      </c>
      <c r="E2993" s="10" t="s">
        <v>249</v>
      </c>
      <c r="F2993" s="10" t="s">
        <v>2968</v>
      </c>
      <c r="G2993" s="10" t="s">
        <v>2807</v>
      </c>
      <c r="H2993" s="10" t="s">
        <v>7195</v>
      </c>
      <c r="I2993" s="10" t="s">
        <v>55</v>
      </c>
      <c r="K2993" s="10" t="s">
        <v>7708</v>
      </c>
      <c r="L2993" s="10" t="s">
        <v>42</v>
      </c>
    </row>
    <row r="2994" ht="15.75" customHeight="1">
      <c r="A2994" s="64">
        <v>45472.0</v>
      </c>
      <c r="B2994" s="55" t="str">
        <f>HYPERLINK("https://jobright.ai/jobs/info/667f85a085a547428ab7cd85?utm_campaign=1062&amp;utm_source=sheet", "Apply")</f>
        <v>Apply</v>
      </c>
      <c r="C2994" s="10" t="s">
        <v>7709</v>
      </c>
      <c r="D2994" s="56" t="s">
        <v>1547</v>
      </c>
      <c r="E2994" s="10">
        <v>408.0</v>
      </c>
      <c r="G2994" s="10" t="s">
        <v>2443</v>
      </c>
      <c r="H2994" s="10" t="s">
        <v>7659</v>
      </c>
      <c r="I2994" s="10" t="s">
        <v>55</v>
      </c>
      <c r="K2994" s="10" t="s">
        <v>7710</v>
      </c>
      <c r="L2994" s="10" t="s">
        <v>42</v>
      </c>
    </row>
    <row r="2995" ht="15.75" customHeight="1">
      <c r="A2995" s="64">
        <v>45471.0</v>
      </c>
      <c r="B2995" s="55" t="str">
        <f>HYPERLINK("https://jobright.ai/jobs/info/667caa6dbddde2bdd60cd1a6?utm_campaign=1062&amp;utm_source=sheet", "Apply")</f>
        <v>Apply</v>
      </c>
      <c r="C2995" s="10" t="s">
        <v>7711</v>
      </c>
      <c r="D2995" s="56" t="s">
        <v>2986</v>
      </c>
      <c r="E2995" s="10" t="s">
        <v>45</v>
      </c>
      <c r="F2995" s="10" t="s">
        <v>2987</v>
      </c>
      <c r="G2995" s="10" t="s">
        <v>2579</v>
      </c>
      <c r="H2995" s="10" t="s">
        <v>1263</v>
      </c>
      <c r="I2995" s="10" t="s">
        <v>55</v>
      </c>
      <c r="J2995" s="10" t="s">
        <v>4189</v>
      </c>
      <c r="K2995" s="10" t="s">
        <v>7712</v>
      </c>
      <c r="L2995" s="10" t="s">
        <v>42</v>
      </c>
    </row>
    <row r="2996" ht="15.75" customHeight="1">
      <c r="A2996" s="64">
        <v>45471.0</v>
      </c>
      <c r="B2996" s="55" t="str">
        <f>HYPERLINK("https://jobright.ai/jobs/info/667f520d783e54dc254e7ac1?utm_campaign=1062&amp;utm_source=sheet", "Apply")</f>
        <v>Apply</v>
      </c>
      <c r="C2996" s="10" t="s">
        <v>7713</v>
      </c>
      <c r="D2996" s="56" t="s">
        <v>5098</v>
      </c>
      <c r="E2996" s="10" t="s">
        <v>209</v>
      </c>
      <c r="F2996" s="10" t="s">
        <v>259</v>
      </c>
      <c r="G2996" s="10" t="s">
        <v>3005</v>
      </c>
      <c r="H2996" s="10" t="s">
        <v>636</v>
      </c>
      <c r="I2996" s="10" t="s">
        <v>55</v>
      </c>
      <c r="K2996" s="10" t="s">
        <v>7714</v>
      </c>
      <c r="L2996" s="10" t="s">
        <v>42</v>
      </c>
    </row>
    <row r="2997" ht="15.75" customHeight="1">
      <c r="A2997" s="64">
        <v>45471.0</v>
      </c>
      <c r="B2997" s="55" t="str">
        <f>HYPERLINK("https://jobright.ai/jobs/info/667f43fde13a4c45f01dea93?utm_campaign=1062&amp;utm_source=sheet", "Apply")</f>
        <v>Apply</v>
      </c>
      <c r="C2997" s="10" t="s">
        <v>3572</v>
      </c>
      <c r="D2997" s="56" t="s">
        <v>3573</v>
      </c>
      <c r="E2997" s="10">
        <v>4015.0</v>
      </c>
      <c r="G2997" s="10" t="s">
        <v>2437</v>
      </c>
      <c r="H2997" s="10" t="s">
        <v>7715</v>
      </c>
      <c r="I2997" s="10" t="s">
        <v>55</v>
      </c>
      <c r="J2997" s="10" t="s">
        <v>7716</v>
      </c>
      <c r="K2997" s="10" t="s">
        <v>7717</v>
      </c>
      <c r="L2997" s="10" t="s">
        <v>42</v>
      </c>
    </row>
    <row r="2998" ht="15.75" customHeight="1">
      <c r="A2998" s="64">
        <v>45471.0</v>
      </c>
      <c r="B2998" s="55" t="str">
        <f>HYPERLINK("https://jobright.ai/jobs/info/668bb6fe17dee33772925731?utm_campaign=1062&amp;utm_source=sheet", "Apply")</f>
        <v>Apply</v>
      </c>
      <c r="C2998" s="10" t="s">
        <v>7718</v>
      </c>
      <c r="D2998" s="56" t="s">
        <v>3573</v>
      </c>
      <c r="E2998" s="10">
        <v>4015.0</v>
      </c>
      <c r="G2998" s="10" t="s">
        <v>2484</v>
      </c>
      <c r="H2998" s="10" t="s">
        <v>7715</v>
      </c>
      <c r="I2998" s="10" t="s">
        <v>55</v>
      </c>
      <c r="J2998" s="10" t="s">
        <v>3574</v>
      </c>
      <c r="K2998" s="10" t="s">
        <v>3575</v>
      </c>
      <c r="L2998" s="10" t="s">
        <v>42</v>
      </c>
    </row>
    <row r="2999" ht="15.75" customHeight="1">
      <c r="A2999" s="64">
        <v>45471.0</v>
      </c>
      <c r="B2999" s="55" t="str">
        <f>HYPERLINK("https://jobright.ai/jobs/info/667f2d4e26819fa820f74ebc?utm_campaign=1062&amp;utm_source=sheet", "Apply")</f>
        <v>Apply</v>
      </c>
      <c r="C2999" s="10" t="s">
        <v>7719</v>
      </c>
      <c r="D2999" s="56" t="s">
        <v>7720</v>
      </c>
      <c r="G2999" s="10" t="s">
        <v>2470</v>
      </c>
      <c r="H2999" s="10" t="s">
        <v>7721</v>
      </c>
      <c r="I2999" s="10" t="s">
        <v>55</v>
      </c>
      <c r="K2999" s="10" t="s">
        <v>7722</v>
      </c>
      <c r="L2999" s="10" t="s">
        <v>42</v>
      </c>
    </row>
    <row r="3000" ht="15.75" customHeight="1">
      <c r="A3000" s="64">
        <v>45471.0</v>
      </c>
      <c r="B3000" s="55" t="str">
        <f>HYPERLINK("https://jobright.ai/jobs/info/66744740fa2e16b323fa48da?utm_campaign=1062&amp;utm_source=sheet", "Apply")</f>
        <v>Apply</v>
      </c>
      <c r="C3000" s="10" t="s">
        <v>7723</v>
      </c>
      <c r="D3000" s="56" t="s">
        <v>1576</v>
      </c>
      <c r="E3000" s="10" t="s">
        <v>45</v>
      </c>
      <c r="F3000" s="10" t="s">
        <v>1577</v>
      </c>
      <c r="G3000" s="10" t="s">
        <v>2484</v>
      </c>
      <c r="H3000" s="10" t="s">
        <v>1578</v>
      </c>
      <c r="I3000" s="10" t="s">
        <v>55</v>
      </c>
      <c r="J3000" s="10" t="s">
        <v>5554</v>
      </c>
      <c r="K3000" s="10" t="s">
        <v>7724</v>
      </c>
      <c r="L3000" s="10" t="s">
        <v>42</v>
      </c>
    </row>
    <row r="3001" ht="15.75" customHeight="1">
      <c r="A3001" s="64">
        <v>45471.0</v>
      </c>
      <c r="B3001" s="55" t="str">
        <f>HYPERLINK("https://jobright.ai/jobs/info/667f15551074e518685cdf33?utm_campaign=1062&amp;utm_source=sheet", "Apply")</f>
        <v>Apply</v>
      </c>
      <c r="C3001" s="10" t="s">
        <v>7725</v>
      </c>
      <c r="D3001" s="56" t="s">
        <v>7726</v>
      </c>
      <c r="E3001" s="10" t="s">
        <v>276</v>
      </c>
      <c r="F3001" s="10" t="s">
        <v>1274</v>
      </c>
      <c r="G3001" s="10" t="s">
        <v>2448</v>
      </c>
      <c r="H3001" s="10" t="s">
        <v>7727</v>
      </c>
      <c r="I3001" s="10" t="s">
        <v>55</v>
      </c>
      <c r="J3001" s="10" t="s">
        <v>3969</v>
      </c>
      <c r="K3001" s="10" t="s">
        <v>7728</v>
      </c>
      <c r="L3001" s="10" t="s">
        <v>42</v>
      </c>
    </row>
    <row r="3002" ht="15.75" customHeight="1">
      <c r="A3002" s="64">
        <v>45471.0</v>
      </c>
      <c r="B3002" s="55" t="str">
        <f>HYPERLINK("https://jobright.ai/jobs/info/667f155e1074e518685cdfd7?utm_campaign=1062&amp;utm_source=sheet", "Apply")</f>
        <v>Apply</v>
      </c>
      <c r="C3002" s="10" t="s">
        <v>7729</v>
      </c>
      <c r="D3002" s="56" t="s">
        <v>1283</v>
      </c>
      <c r="E3002" s="10" t="s">
        <v>137</v>
      </c>
      <c r="F3002" s="10" t="s">
        <v>1284</v>
      </c>
      <c r="G3002" s="10" t="s">
        <v>2455</v>
      </c>
      <c r="H3002" s="10" t="s">
        <v>1285</v>
      </c>
      <c r="I3002" s="10" t="s">
        <v>55</v>
      </c>
      <c r="K3002" s="10" t="s">
        <v>7730</v>
      </c>
      <c r="L3002" s="10" t="s">
        <v>42</v>
      </c>
    </row>
    <row r="3003" ht="15.75" customHeight="1">
      <c r="A3003" s="64">
        <v>45471.0</v>
      </c>
      <c r="B3003" s="55" t="str">
        <f>HYPERLINK("https://jobright.ai/jobs/info/667f05585e8254896a9adcc5?utm_campaign=1062&amp;utm_source=sheet", "Apply")</f>
        <v>Apply</v>
      </c>
      <c r="C3003" s="10" t="s">
        <v>7725</v>
      </c>
      <c r="D3003" s="56" t="s">
        <v>7726</v>
      </c>
      <c r="E3003" s="10" t="s">
        <v>276</v>
      </c>
      <c r="F3003" s="10" t="s">
        <v>1274</v>
      </c>
      <c r="G3003" s="10" t="s">
        <v>2448</v>
      </c>
      <c r="H3003" s="10" t="s">
        <v>7727</v>
      </c>
      <c r="I3003" s="10" t="s">
        <v>55</v>
      </c>
      <c r="J3003" s="10" t="s">
        <v>3969</v>
      </c>
      <c r="K3003" s="10" t="s">
        <v>7731</v>
      </c>
      <c r="L3003" s="10" t="s">
        <v>42</v>
      </c>
    </row>
    <row r="3004" ht="15.75" customHeight="1">
      <c r="A3004" s="64">
        <v>45471.0</v>
      </c>
      <c r="B3004" s="55" t="str">
        <f>HYPERLINK("https://jobright.ai/jobs/info/667efbe736ad47ed17be1cfb?utm_campaign=1062&amp;utm_source=sheet", "Apply")</f>
        <v>Apply</v>
      </c>
      <c r="C3004" s="10" t="s">
        <v>7732</v>
      </c>
      <c r="D3004" s="56" t="s">
        <v>3187</v>
      </c>
      <c r="E3004" s="10" t="s">
        <v>45</v>
      </c>
      <c r="F3004" s="10" t="s">
        <v>3188</v>
      </c>
      <c r="G3004" s="10" t="s">
        <v>2495</v>
      </c>
      <c r="H3004" s="10" t="s">
        <v>3189</v>
      </c>
      <c r="I3004" s="10" t="s">
        <v>55</v>
      </c>
      <c r="K3004" s="10" t="s">
        <v>7733</v>
      </c>
      <c r="L3004" s="10" t="s">
        <v>42</v>
      </c>
    </row>
    <row r="3005" ht="15.75" customHeight="1">
      <c r="A3005" s="64">
        <v>45471.0</v>
      </c>
      <c r="B3005" s="55" t="str">
        <f>HYPERLINK("https://jobright.ai/jobs/info/667ef2edc494c660b6019914?utm_campaign=1062&amp;utm_source=sheet", "Apply")</f>
        <v>Apply</v>
      </c>
      <c r="C3005" s="10" t="s">
        <v>7734</v>
      </c>
      <c r="D3005" s="56" t="s">
        <v>3174</v>
      </c>
      <c r="E3005" s="10" t="s">
        <v>71</v>
      </c>
      <c r="F3005" s="10" t="s">
        <v>3175</v>
      </c>
      <c r="G3005" s="10" t="s">
        <v>2495</v>
      </c>
      <c r="H3005" s="10" t="s">
        <v>3176</v>
      </c>
      <c r="I3005" s="10" t="s">
        <v>55</v>
      </c>
      <c r="K3005" s="10" t="s">
        <v>7735</v>
      </c>
      <c r="L3005" s="10" t="s">
        <v>42</v>
      </c>
    </row>
    <row r="3006" ht="15.75" customHeight="1">
      <c r="A3006" s="64">
        <v>45471.0</v>
      </c>
      <c r="B3006" s="55" t="str">
        <f>HYPERLINK("https://jobright.ai/jobs/info/667eed7c902640ea6bdff458?utm_campaign=1062&amp;utm_source=sheet", "Apply")</f>
        <v>Apply</v>
      </c>
      <c r="C3006" s="10" t="s">
        <v>7736</v>
      </c>
      <c r="D3006" s="56" t="s">
        <v>3174</v>
      </c>
      <c r="E3006" s="10" t="s">
        <v>71</v>
      </c>
      <c r="F3006" s="10" t="s">
        <v>3175</v>
      </c>
      <c r="G3006" s="10" t="s">
        <v>2437</v>
      </c>
      <c r="H3006" s="10" t="s">
        <v>3176</v>
      </c>
      <c r="I3006" s="10" t="s">
        <v>55</v>
      </c>
      <c r="K3006" s="10" t="s">
        <v>7737</v>
      </c>
      <c r="L3006" s="10" t="s">
        <v>42</v>
      </c>
    </row>
    <row r="3007" ht="15.75" customHeight="1">
      <c r="A3007" s="64">
        <v>45471.0</v>
      </c>
      <c r="B3007" s="55" t="str">
        <f>HYPERLINK("https://jobright.ai/jobs/info/667f22fc0dd968ff61cf1fc6?utm_campaign=1062&amp;utm_source=sheet", "Apply")</f>
        <v>Apply</v>
      </c>
      <c r="C3007" s="10" t="s">
        <v>7554</v>
      </c>
      <c r="D3007" s="56" t="s">
        <v>1684</v>
      </c>
      <c r="E3007" s="10" t="s">
        <v>209</v>
      </c>
      <c r="F3007" s="10" t="s">
        <v>1685</v>
      </c>
      <c r="G3007" s="10" t="s">
        <v>2437</v>
      </c>
      <c r="H3007" s="10" t="s">
        <v>578</v>
      </c>
      <c r="I3007" s="10" t="s">
        <v>55</v>
      </c>
      <c r="J3007" s="10" t="s">
        <v>7681</v>
      </c>
      <c r="K3007" s="10" t="s">
        <v>7682</v>
      </c>
      <c r="L3007" s="10" t="s">
        <v>42</v>
      </c>
    </row>
    <row r="3008" ht="15.75" customHeight="1">
      <c r="A3008" s="64">
        <v>45471.0</v>
      </c>
      <c r="B3008" s="55" t="str">
        <f>HYPERLINK("https://jobright.ai/jobs/info/667ee829279a2f751e24f548?utm_campaign=1062&amp;utm_source=sheet", "Apply")</f>
        <v>Apply</v>
      </c>
      <c r="C3008" s="10" t="s">
        <v>7738</v>
      </c>
      <c r="D3008" s="56" t="s">
        <v>7739</v>
      </c>
      <c r="E3008" s="10" t="s">
        <v>45</v>
      </c>
      <c r="F3008" s="10" t="s">
        <v>2409</v>
      </c>
      <c r="G3008" s="10" t="s">
        <v>2443</v>
      </c>
      <c r="H3008" s="10" t="s">
        <v>7740</v>
      </c>
      <c r="I3008" s="10" t="s">
        <v>55</v>
      </c>
      <c r="K3008" s="10" t="s">
        <v>7741</v>
      </c>
      <c r="L3008" s="10" t="s">
        <v>42</v>
      </c>
    </row>
    <row r="3009" ht="15.75" customHeight="1">
      <c r="A3009" s="64">
        <v>45471.0</v>
      </c>
      <c r="B3009" s="55" t="str">
        <f>HYPERLINK("https://jobright.ai/jobs/info/667ed83431f9110acbfb06dd?utm_campaign=1062&amp;utm_source=sheet", "Apply")</f>
        <v>Apply</v>
      </c>
      <c r="C3009" s="10" t="s">
        <v>7554</v>
      </c>
      <c r="D3009" s="56" t="s">
        <v>1684</v>
      </c>
      <c r="E3009" s="10" t="s">
        <v>209</v>
      </c>
      <c r="F3009" s="10" t="s">
        <v>1685</v>
      </c>
      <c r="G3009" s="10" t="s">
        <v>2437</v>
      </c>
      <c r="H3009" s="10" t="s">
        <v>799</v>
      </c>
      <c r="I3009" s="10" t="s">
        <v>55</v>
      </c>
      <c r="J3009" s="10" t="s">
        <v>7681</v>
      </c>
      <c r="K3009" s="10" t="s">
        <v>7682</v>
      </c>
      <c r="L3009" s="10" t="s">
        <v>42</v>
      </c>
    </row>
    <row r="3010" ht="15.75" customHeight="1">
      <c r="A3010" s="64">
        <v>45471.0</v>
      </c>
      <c r="B3010" s="55" t="str">
        <f>HYPERLINK("https://jobright.ai/jobs/info/667ed606f58237ff4d16950e?utm_campaign=1062&amp;utm_source=sheet", "Apply")</f>
        <v>Apply</v>
      </c>
      <c r="C3010" s="10" t="s">
        <v>7742</v>
      </c>
      <c r="D3010" s="56" t="s">
        <v>5441</v>
      </c>
      <c r="E3010" s="10">
        <v>766.0</v>
      </c>
      <c r="G3010" s="10" t="s">
        <v>2484</v>
      </c>
      <c r="H3010" s="10" t="s">
        <v>7743</v>
      </c>
      <c r="I3010" s="10" t="s">
        <v>55</v>
      </c>
      <c r="K3010" s="10" t="s">
        <v>7744</v>
      </c>
      <c r="L3010" s="10" t="s">
        <v>42</v>
      </c>
    </row>
    <row r="3011" ht="15.75" customHeight="1">
      <c r="A3011" s="64">
        <v>45471.0</v>
      </c>
      <c r="B3011" s="55" t="str">
        <f>HYPERLINK("https://jobright.ai/jobs/info/668536fe051ccec1a1d992d6?utm_campaign=1062&amp;utm_source=sheet", "Apply")</f>
        <v>Apply</v>
      </c>
      <c r="C3011" s="10" t="s">
        <v>7745</v>
      </c>
      <c r="D3011" s="56" t="s">
        <v>7746</v>
      </c>
      <c r="E3011" s="10" t="s">
        <v>137</v>
      </c>
      <c r="F3011" s="10" t="s">
        <v>5789</v>
      </c>
      <c r="G3011" s="10" t="s">
        <v>2464</v>
      </c>
      <c r="H3011" s="10" t="s">
        <v>7747</v>
      </c>
      <c r="I3011" s="10" t="s">
        <v>55</v>
      </c>
      <c r="K3011" s="10" t="s">
        <v>7748</v>
      </c>
      <c r="L3011" s="10" t="s">
        <v>42</v>
      </c>
    </row>
    <row r="3012" ht="15.75" customHeight="1">
      <c r="A3012" s="64">
        <v>45471.0</v>
      </c>
      <c r="B3012" s="55" t="str">
        <f>HYPERLINK("https://jobright.ai/jobs/info/666bcac81638e3c00ea5b550?utm_campaign=1062&amp;utm_source=sheet", "Apply")</f>
        <v>Apply</v>
      </c>
      <c r="C3012" s="10" t="s">
        <v>7749</v>
      </c>
      <c r="D3012" s="56" t="s">
        <v>1576</v>
      </c>
      <c r="E3012" s="10" t="s">
        <v>45</v>
      </c>
      <c r="F3012" s="10" t="s">
        <v>1577</v>
      </c>
      <c r="G3012" s="10" t="s">
        <v>2470</v>
      </c>
      <c r="H3012" s="10" t="s">
        <v>5614</v>
      </c>
      <c r="I3012" s="10" t="s">
        <v>55</v>
      </c>
      <c r="J3012" s="10" t="s">
        <v>5554</v>
      </c>
      <c r="K3012" s="10" t="s">
        <v>5618</v>
      </c>
      <c r="L3012" s="10" t="s">
        <v>42</v>
      </c>
    </row>
    <row r="3013" ht="15.75" customHeight="1">
      <c r="A3013" s="64">
        <v>45471.0</v>
      </c>
      <c r="B3013" s="55" t="str">
        <f>HYPERLINK("https://jobright.ai/jobs/info/667e4f04286b7b7aea2847d5?utm_campaign=1062&amp;utm_source=sheet", "Apply")</f>
        <v>Apply</v>
      </c>
      <c r="C3013" s="10" t="s">
        <v>7750</v>
      </c>
      <c r="D3013" s="56" t="s">
        <v>7751</v>
      </c>
      <c r="F3013" s="10" t="s">
        <v>1506</v>
      </c>
      <c r="G3013" s="10" t="s">
        <v>2443</v>
      </c>
      <c r="H3013" s="10" t="s">
        <v>848</v>
      </c>
      <c r="I3013" s="10" t="s">
        <v>55</v>
      </c>
      <c r="K3013" s="10" t="s">
        <v>7752</v>
      </c>
      <c r="L3013" s="10" t="s">
        <v>42</v>
      </c>
    </row>
    <row r="3014" ht="15.75" customHeight="1">
      <c r="A3014" s="64">
        <v>45471.0</v>
      </c>
      <c r="B3014" s="55" t="str">
        <f>HYPERLINK("https://jobright.ai/jobs/info/667df612d01f1b50f25ca1ed?utm_campaign=1062&amp;utm_source=sheet", "Apply")</f>
        <v>Apply</v>
      </c>
      <c r="C3014" s="10" t="s">
        <v>7753</v>
      </c>
      <c r="D3014" s="56" t="s">
        <v>7754</v>
      </c>
      <c r="E3014" s="59">
        <v>45301.0</v>
      </c>
      <c r="F3014" s="10" t="s">
        <v>10</v>
      </c>
      <c r="G3014" s="10" t="s">
        <v>2484</v>
      </c>
      <c r="H3014" s="10" t="s">
        <v>255</v>
      </c>
      <c r="I3014" s="10" t="s">
        <v>55</v>
      </c>
      <c r="J3014" s="10" t="s">
        <v>1608</v>
      </c>
      <c r="K3014" s="10" t="s">
        <v>7755</v>
      </c>
      <c r="L3014" s="10" t="s">
        <v>42</v>
      </c>
    </row>
    <row r="3015" ht="15.75" customHeight="1">
      <c r="A3015" s="64">
        <v>45471.0</v>
      </c>
      <c r="B3015" s="55" t="str">
        <f>HYPERLINK("https://jobright.ai/jobs/info/667f044907f4078611005760?utm_campaign=1062&amp;utm_source=sheet", "Apply")</f>
        <v>Apply</v>
      </c>
      <c r="C3015" s="10" t="s">
        <v>301</v>
      </c>
      <c r="D3015" s="56" t="s">
        <v>7756</v>
      </c>
      <c r="E3015" s="10">
        <v>65.0</v>
      </c>
      <c r="G3015" s="10" t="s">
        <v>2484</v>
      </c>
      <c r="H3015" s="10" t="s">
        <v>1013</v>
      </c>
      <c r="I3015" s="10" t="s">
        <v>55</v>
      </c>
      <c r="K3015" s="10" t="s">
        <v>7757</v>
      </c>
      <c r="L3015" s="10" t="s">
        <v>42</v>
      </c>
    </row>
    <row r="3016" ht="15.75" customHeight="1">
      <c r="A3016" s="64">
        <v>45471.0</v>
      </c>
      <c r="B3016" s="55" t="str">
        <f>HYPERLINK("https://jobright.ai/jobs/info/667dffd9ab9b33e061703be4?utm_campaign=1062&amp;utm_source=sheet", "Apply")</f>
        <v>Apply</v>
      </c>
      <c r="C3016" s="10" t="s">
        <v>7758</v>
      </c>
      <c r="D3016" s="56" t="s">
        <v>7759</v>
      </c>
      <c r="E3016" s="10" t="s">
        <v>65</v>
      </c>
      <c r="F3016" s="10" t="s">
        <v>7760</v>
      </c>
      <c r="G3016" s="10" t="s">
        <v>2579</v>
      </c>
      <c r="H3016" s="10" t="s">
        <v>146</v>
      </c>
      <c r="I3016" s="10" t="s">
        <v>55</v>
      </c>
      <c r="J3016" s="10" t="s">
        <v>7761</v>
      </c>
      <c r="K3016" s="10" t="s">
        <v>7762</v>
      </c>
      <c r="L3016" s="10" t="s">
        <v>42</v>
      </c>
    </row>
    <row r="3017" ht="15.75" customHeight="1">
      <c r="A3017" s="64">
        <v>45471.0</v>
      </c>
      <c r="B3017" s="55" t="str">
        <f>HYPERLINK("https://jobright.ai/jobs/info/667f15721074e518685ce106?utm_campaign=1062&amp;utm_source=sheet", "Apply")</f>
        <v>Apply</v>
      </c>
      <c r="C3017" s="10" t="s">
        <v>7713</v>
      </c>
      <c r="D3017" s="56" t="s">
        <v>5098</v>
      </c>
      <c r="E3017" s="10" t="s">
        <v>209</v>
      </c>
      <c r="F3017" s="10" t="s">
        <v>259</v>
      </c>
      <c r="G3017" s="10" t="s">
        <v>3005</v>
      </c>
      <c r="H3017" s="10" t="s">
        <v>7763</v>
      </c>
      <c r="I3017" s="10" t="s">
        <v>48</v>
      </c>
      <c r="K3017" s="10" t="s">
        <v>7714</v>
      </c>
      <c r="L3017" s="10" t="s">
        <v>42</v>
      </c>
    </row>
    <row r="3018" ht="15.75" customHeight="1">
      <c r="A3018" s="64">
        <v>45471.0</v>
      </c>
      <c r="B3018" s="55" t="str">
        <f>HYPERLINK("https://jobright.ai/jobs/info/667ecc84d4650cbda99167cb?utm_campaign=1062&amp;utm_source=sheet", "Apply")</f>
        <v>Apply</v>
      </c>
      <c r="C3018" s="10" t="s">
        <v>7736</v>
      </c>
      <c r="D3018" s="56" t="s">
        <v>3174</v>
      </c>
      <c r="E3018" s="10" t="s">
        <v>71</v>
      </c>
      <c r="F3018" s="10" t="s">
        <v>3175</v>
      </c>
      <c r="G3018" s="10" t="s">
        <v>2437</v>
      </c>
      <c r="H3018" s="10" t="s">
        <v>3176</v>
      </c>
      <c r="I3018" s="10" t="s">
        <v>55</v>
      </c>
      <c r="K3018" s="10" t="s">
        <v>7737</v>
      </c>
      <c r="L3018" s="10" t="s">
        <v>42</v>
      </c>
    </row>
    <row r="3019" ht="15.75" customHeight="1">
      <c r="A3019" s="64">
        <v>45471.0</v>
      </c>
      <c r="B3019" s="55" t="str">
        <f>HYPERLINK("https://jobright.ai/jobs/info/667ecc84d4650cbda99167be?utm_campaign=1062&amp;utm_source=sheet", "Apply")</f>
        <v>Apply</v>
      </c>
      <c r="C3019" s="10" t="s">
        <v>7764</v>
      </c>
      <c r="D3019" s="56" t="s">
        <v>3174</v>
      </c>
      <c r="E3019" s="10" t="s">
        <v>71</v>
      </c>
      <c r="F3019" s="10" t="s">
        <v>3175</v>
      </c>
      <c r="G3019" s="10" t="s">
        <v>2437</v>
      </c>
      <c r="H3019" s="10" t="s">
        <v>3176</v>
      </c>
      <c r="I3019" s="10" t="s">
        <v>55</v>
      </c>
      <c r="K3019" s="10" t="s">
        <v>7765</v>
      </c>
      <c r="L3019" s="10" t="s">
        <v>42</v>
      </c>
    </row>
    <row r="3020" ht="15.75" customHeight="1">
      <c r="A3020" s="64">
        <v>45470.0</v>
      </c>
      <c r="B3020" s="55" t="str">
        <f>HYPERLINK("https://jobright.ai/jobs/info/667d3255389378dda0f4df5f?utm_campaign=1062&amp;utm_source=sheet", "Apply")</f>
        <v>Apply</v>
      </c>
      <c r="C3020" s="10" t="s">
        <v>7766</v>
      </c>
      <c r="D3020" s="56" t="s">
        <v>7767</v>
      </c>
      <c r="E3020" s="10">
        <v>42.0</v>
      </c>
      <c r="G3020" s="10" t="s">
        <v>2448</v>
      </c>
      <c r="H3020" s="10" t="s">
        <v>7768</v>
      </c>
      <c r="I3020" s="10" t="s">
        <v>55</v>
      </c>
      <c r="J3020" s="10" t="s">
        <v>7769</v>
      </c>
      <c r="K3020" s="10" t="s">
        <v>7770</v>
      </c>
      <c r="L3020" s="10" t="s">
        <v>42</v>
      </c>
    </row>
    <row r="3021" ht="15.75" customHeight="1">
      <c r="A3021" s="64">
        <v>45470.0</v>
      </c>
      <c r="B3021" s="55" t="str">
        <f>HYPERLINK("https://jobright.ai/jobs/info/667e4fdc7ca685f4b1f7bcf0?utm_campaign=1062&amp;utm_source=sheet", "Apply")</f>
        <v>Apply</v>
      </c>
      <c r="C3021" s="10" t="s">
        <v>7771</v>
      </c>
      <c r="D3021" s="56" t="s">
        <v>7772</v>
      </c>
      <c r="E3021" s="10" t="s">
        <v>65</v>
      </c>
      <c r="F3021" s="10" t="s">
        <v>1274</v>
      </c>
      <c r="G3021" s="10" t="s">
        <v>2484</v>
      </c>
      <c r="H3021" s="10" t="s">
        <v>354</v>
      </c>
      <c r="I3021" s="10" t="s">
        <v>55</v>
      </c>
      <c r="K3021" s="10" t="s">
        <v>7773</v>
      </c>
      <c r="L3021" s="10" t="s">
        <v>42</v>
      </c>
    </row>
    <row r="3022" ht="15.75" customHeight="1">
      <c r="A3022" s="64">
        <v>45470.0</v>
      </c>
      <c r="B3022" s="55" t="str">
        <f>HYPERLINK("https://jobright.ai/jobs/info/661ed6581adb4e26892b2a12?utm_campaign=1062&amp;utm_source=sheet", "Apply")</f>
        <v>Apply</v>
      </c>
      <c r="C3022" s="10" t="s">
        <v>7774</v>
      </c>
      <c r="D3022" s="56" t="s">
        <v>1273</v>
      </c>
      <c r="E3022" s="10" t="s">
        <v>45</v>
      </c>
      <c r="F3022" s="10" t="s">
        <v>1274</v>
      </c>
      <c r="G3022" s="10" t="s">
        <v>2495</v>
      </c>
      <c r="H3022" s="10" t="s">
        <v>7775</v>
      </c>
      <c r="I3022" s="10" t="s">
        <v>55</v>
      </c>
      <c r="K3022" s="10" t="s">
        <v>7776</v>
      </c>
      <c r="L3022" s="10" t="s">
        <v>42</v>
      </c>
    </row>
    <row r="3023" ht="15.75" customHeight="1">
      <c r="A3023" s="64">
        <v>45470.0</v>
      </c>
      <c r="B3023" s="55" t="str">
        <f>HYPERLINK("https://jobright.ai/jobs/info/66740a8ad454c29f16cf80fc?utm_campaign=1062&amp;utm_source=sheet", "Apply")</f>
        <v>Apply</v>
      </c>
      <c r="C3023" s="10" t="s">
        <v>7777</v>
      </c>
      <c r="D3023" s="56" t="s">
        <v>1576</v>
      </c>
      <c r="E3023" s="10" t="s">
        <v>45</v>
      </c>
      <c r="F3023" s="10" t="s">
        <v>1577</v>
      </c>
      <c r="G3023" s="10" t="s">
        <v>2437</v>
      </c>
      <c r="H3023" s="10" t="s">
        <v>1578</v>
      </c>
      <c r="I3023" s="10" t="s">
        <v>55</v>
      </c>
      <c r="J3023" s="10" t="s">
        <v>5554</v>
      </c>
      <c r="K3023" s="10" t="s">
        <v>7778</v>
      </c>
      <c r="L3023" s="10" t="s">
        <v>42</v>
      </c>
    </row>
    <row r="3024" ht="15.75" customHeight="1">
      <c r="A3024" s="64">
        <v>45470.0</v>
      </c>
      <c r="B3024" s="55" t="str">
        <f>HYPERLINK("https://jobright.ai/jobs/info/668bb71117dee3377292586d?utm_campaign=1062&amp;utm_source=sheet", "Apply")</f>
        <v>Apply</v>
      </c>
      <c r="C3024" s="10" t="s">
        <v>7779</v>
      </c>
      <c r="D3024" s="56" t="s">
        <v>1576</v>
      </c>
      <c r="E3024" s="10" t="s">
        <v>45</v>
      </c>
      <c r="F3024" s="10" t="s">
        <v>1577</v>
      </c>
      <c r="G3024" s="10" t="s">
        <v>2484</v>
      </c>
      <c r="H3024" s="10" t="s">
        <v>5614</v>
      </c>
      <c r="I3024" s="10" t="s">
        <v>55</v>
      </c>
      <c r="J3024" s="10" t="s">
        <v>5615</v>
      </c>
      <c r="K3024" s="10" t="s">
        <v>7778</v>
      </c>
      <c r="L3024" s="10" t="s">
        <v>42</v>
      </c>
    </row>
    <row r="3025" ht="15.75" customHeight="1">
      <c r="A3025" s="64">
        <v>45470.0</v>
      </c>
      <c r="B3025" s="55" t="str">
        <f>HYPERLINK("https://jobright.ai/jobs/info/667deb9af842246558489646?utm_campaign=1062&amp;utm_source=sheet", "Apply")</f>
        <v>Apply</v>
      </c>
      <c r="C3025" s="10" t="s">
        <v>7780</v>
      </c>
      <c r="D3025" s="56" t="s">
        <v>2091</v>
      </c>
      <c r="E3025" s="10" t="s">
        <v>249</v>
      </c>
      <c r="F3025" s="10" t="s">
        <v>192</v>
      </c>
      <c r="G3025" s="10" t="s">
        <v>2605</v>
      </c>
      <c r="H3025" s="10" t="s">
        <v>789</v>
      </c>
      <c r="I3025" s="10" t="s">
        <v>55</v>
      </c>
      <c r="K3025" s="10" t="s">
        <v>7781</v>
      </c>
      <c r="L3025" s="10" t="s">
        <v>42</v>
      </c>
    </row>
    <row r="3026" ht="15.75" customHeight="1">
      <c r="A3026" s="64">
        <v>45470.0</v>
      </c>
      <c r="B3026" s="55" t="str">
        <f>HYPERLINK("https://jobright.ai/jobs/info/66755212140e36496f904cdb?utm_campaign=1062&amp;utm_source=sheet", "Apply")</f>
        <v>Apply</v>
      </c>
      <c r="C3026" s="10" t="s">
        <v>7782</v>
      </c>
      <c r="D3026" s="56" t="s">
        <v>3589</v>
      </c>
      <c r="E3026" s="10" t="s">
        <v>45</v>
      </c>
      <c r="F3026" s="10" t="s">
        <v>2554</v>
      </c>
      <c r="G3026" s="10" t="s">
        <v>2484</v>
      </c>
      <c r="H3026" s="10" t="s">
        <v>7783</v>
      </c>
      <c r="I3026" s="10" t="s">
        <v>55</v>
      </c>
      <c r="K3026" s="10" t="s">
        <v>7784</v>
      </c>
      <c r="L3026" s="10" t="s">
        <v>42</v>
      </c>
    </row>
    <row r="3027" ht="15.75" customHeight="1">
      <c r="A3027" s="64">
        <v>45470.0</v>
      </c>
      <c r="B3027" s="55" t="str">
        <f>HYPERLINK("https://jobright.ai/jobs/info/668bb71117dee33772925865?utm_campaign=1062&amp;utm_source=sheet", "Apply")</f>
        <v>Apply</v>
      </c>
      <c r="C3027" s="10" t="s">
        <v>7785</v>
      </c>
      <c r="D3027" s="56" t="s">
        <v>7786</v>
      </c>
      <c r="E3027" s="10" t="s">
        <v>249</v>
      </c>
      <c r="F3027" s="10" t="s">
        <v>7787</v>
      </c>
      <c r="G3027" s="10" t="s">
        <v>2484</v>
      </c>
      <c r="H3027" s="10" t="s">
        <v>7788</v>
      </c>
      <c r="I3027" s="10" t="s">
        <v>55</v>
      </c>
      <c r="K3027" s="10" t="s">
        <v>7789</v>
      </c>
      <c r="L3027" s="10" t="s">
        <v>42</v>
      </c>
    </row>
    <row r="3028" ht="15.75" customHeight="1">
      <c r="A3028" s="64">
        <v>45470.0</v>
      </c>
      <c r="B3028" s="55" t="str">
        <f>HYPERLINK("https://jobright.ai/jobs/info/667de2d3fe5da1320ba80792?utm_campaign=1062&amp;utm_source=sheet", "Apply")</f>
        <v>Apply</v>
      </c>
      <c r="C3028" s="10" t="s">
        <v>7790</v>
      </c>
      <c r="D3028" s="56" t="s">
        <v>7791</v>
      </c>
      <c r="E3028" s="10" t="s">
        <v>249</v>
      </c>
      <c r="F3028" s="10" t="s">
        <v>7792</v>
      </c>
      <c r="G3028" s="10" t="s">
        <v>2443</v>
      </c>
      <c r="H3028" s="10" t="s">
        <v>7793</v>
      </c>
      <c r="I3028" s="10" t="s">
        <v>55</v>
      </c>
      <c r="J3028" s="10" t="s">
        <v>7794</v>
      </c>
      <c r="K3028" s="10" t="s">
        <v>7795</v>
      </c>
      <c r="L3028" s="10" t="s">
        <v>42</v>
      </c>
    </row>
    <row r="3029" ht="15.75" customHeight="1">
      <c r="A3029" s="64">
        <v>45470.0</v>
      </c>
      <c r="B3029" s="55" t="str">
        <f>HYPERLINK("https://jobright.ai/jobs/info/668bb71117dee33772925879?utm_campaign=1062&amp;utm_source=sheet", "Apply")</f>
        <v>Apply</v>
      </c>
      <c r="C3029" s="10" t="s">
        <v>7796</v>
      </c>
      <c r="D3029" s="56" t="s">
        <v>2548</v>
      </c>
      <c r="E3029" s="10" t="s">
        <v>45</v>
      </c>
      <c r="F3029" s="10" t="s">
        <v>2549</v>
      </c>
      <c r="G3029" s="10" t="s">
        <v>2484</v>
      </c>
      <c r="H3029" s="10" t="s">
        <v>2550</v>
      </c>
      <c r="I3029" s="10" t="s">
        <v>55</v>
      </c>
      <c r="K3029" s="10" t="s">
        <v>7797</v>
      </c>
      <c r="L3029" s="10" t="s">
        <v>42</v>
      </c>
    </row>
    <row r="3030" ht="15.75" customHeight="1">
      <c r="A3030" s="64">
        <v>45470.0</v>
      </c>
      <c r="B3030" s="55" t="str">
        <f>HYPERLINK("https://jobright.ai/jobs/info/663abf53bac2bf02fbc9c53b?utm_campaign=1062&amp;utm_source=sheet", "Apply")</f>
        <v>Apply</v>
      </c>
      <c r="C3030" s="10" t="s">
        <v>7280</v>
      </c>
      <c r="D3030" s="56" t="s">
        <v>7278</v>
      </c>
      <c r="E3030" s="10" t="s">
        <v>65</v>
      </c>
      <c r="F3030" s="10" t="s">
        <v>2632</v>
      </c>
      <c r="G3030" s="10" t="s">
        <v>2464</v>
      </c>
      <c r="H3030" s="10" t="s">
        <v>7798</v>
      </c>
      <c r="I3030" s="10" t="s">
        <v>55</v>
      </c>
      <c r="K3030" s="10" t="s">
        <v>7281</v>
      </c>
      <c r="L3030" s="10" t="s">
        <v>42</v>
      </c>
    </row>
    <row r="3031" ht="15.75" customHeight="1">
      <c r="A3031" s="64">
        <v>45470.0</v>
      </c>
      <c r="B3031" s="55" t="str">
        <f>HYPERLINK("https://jobright.ai/jobs/info/666a040a0561b1d069fccff1?utm_campaign=1062&amp;utm_source=sheet", "Apply")</f>
        <v>Apply</v>
      </c>
      <c r="C3031" s="10" t="s">
        <v>7799</v>
      </c>
      <c r="D3031" s="56" t="s">
        <v>7278</v>
      </c>
      <c r="E3031" s="10" t="s">
        <v>65</v>
      </c>
      <c r="F3031" s="10" t="s">
        <v>2632</v>
      </c>
      <c r="G3031" s="10" t="s">
        <v>2464</v>
      </c>
      <c r="H3031" s="10" t="s">
        <v>7798</v>
      </c>
      <c r="I3031" s="10" t="s">
        <v>55</v>
      </c>
      <c r="K3031" s="10" t="s">
        <v>7800</v>
      </c>
      <c r="L3031" s="10" t="s">
        <v>42</v>
      </c>
    </row>
    <row r="3032" ht="15.75" customHeight="1">
      <c r="A3032" s="64">
        <v>45470.0</v>
      </c>
      <c r="B3032" s="55" t="str">
        <f>HYPERLINK("https://jobright.ai/jobs/info/668bb71117dee337729258ab?utm_campaign=1062&amp;utm_source=sheet", "Apply")</f>
        <v>Apply</v>
      </c>
      <c r="C3032" s="10" t="s">
        <v>7785</v>
      </c>
      <c r="D3032" s="56" t="s">
        <v>7801</v>
      </c>
      <c r="E3032" s="10">
        <v>827.0</v>
      </c>
      <c r="G3032" s="10" t="s">
        <v>2484</v>
      </c>
      <c r="H3032" s="10" t="s">
        <v>7788</v>
      </c>
      <c r="I3032" s="10" t="s">
        <v>55</v>
      </c>
      <c r="K3032" s="10" t="s">
        <v>7802</v>
      </c>
      <c r="L3032" s="10" t="s">
        <v>42</v>
      </c>
    </row>
    <row r="3033" ht="15.75" customHeight="1">
      <c r="A3033" s="64">
        <v>45470.0</v>
      </c>
      <c r="B3033" s="55" t="str">
        <f>HYPERLINK("https://jobright.ai/jobs/info/667dac83a59aa08a6b4d3e7b?utm_campaign=1062&amp;utm_source=sheet", "Apply")</f>
        <v>Apply</v>
      </c>
      <c r="C3033" s="10" t="s">
        <v>7803</v>
      </c>
      <c r="D3033" s="56" t="s">
        <v>2220</v>
      </c>
      <c r="E3033" s="10" t="s">
        <v>45</v>
      </c>
      <c r="F3033" s="10" t="s">
        <v>2221</v>
      </c>
      <c r="G3033" s="10" t="s">
        <v>2448</v>
      </c>
      <c r="H3033" s="10" t="s">
        <v>956</v>
      </c>
      <c r="I3033" s="10" t="s">
        <v>55</v>
      </c>
      <c r="K3033" s="10" t="s">
        <v>7804</v>
      </c>
      <c r="L3033" s="10" t="s">
        <v>42</v>
      </c>
    </row>
    <row r="3034" ht="15.75" customHeight="1">
      <c r="A3034" s="64">
        <v>45470.0</v>
      </c>
      <c r="B3034" s="55" t="str">
        <f>HYPERLINK("https://jobright.ai/jobs/info/667d9d3c36f412392903f002?utm_campaign=1062&amp;utm_source=sheet", "Apply")</f>
        <v>Apply</v>
      </c>
      <c r="C3034" s="10" t="s">
        <v>7554</v>
      </c>
      <c r="D3034" s="56" t="s">
        <v>1684</v>
      </c>
      <c r="E3034" s="10" t="s">
        <v>209</v>
      </c>
      <c r="F3034" s="10" t="s">
        <v>1685</v>
      </c>
      <c r="G3034" s="10" t="s">
        <v>2437</v>
      </c>
      <c r="H3034" s="10" t="s">
        <v>810</v>
      </c>
      <c r="I3034" s="10" t="s">
        <v>55</v>
      </c>
      <c r="J3034" s="10" t="s">
        <v>7681</v>
      </c>
      <c r="K3034" s="10" t="s">
        <v>7682</v>
      </c>
      <c r="L3034" s="10" t="s">
        <v>42</v>
      </c>
    </row>
    <row r="3035" ht="15.75" customHeight="1">
      <c r="A3035" s="64">
        <v>45470.0</v>
      </c>
      <c r="B3035" s="55" t="str">
        <f>HYPERLINK("https://jobright.ai/jobs/info/667d5a0ba148ea3de3173954?utm_campaign=1062&amp;utm_source=sheet", "Apply")</f>
        <v>Apply</v>
      </c>
      <c r="C3035" s="10" t="s">
        <v>7554</v>
      </c>
      <c r="D3035" s="56" t="s">
        <v>1684</v>
      </c>
      <c r="E3035" s="10" t="s">
        <v>209</v>
      </c>
      <c r="F3035" s="10" t="s">
        <v>1685</v>
      </c>
      <c r="G3035" s="10" t="s">
        <v>2437</v>
      </c>
      <c r="H3035" s="10" t="s">
        <v>1097</v>
      </c>
      <c r="I3035" s="10" t="s">
        <v>55</v>
      </c>
      <c r="J3035" s="10" t="s">
        <v>7681</v>
      </c>
      <c r="K3035" s="10" t="s">
        <v>7682</v>
      </c>
      <c r="L3035" s="10" t="s">
        <v>42</v>
      </c>
    </row>
    <row r="3036" ht="15.75" customHeight="1">
      <c r="A3036" s="64">
        <v>45470.0</v>
      </c>
      <c r="B3036" s="55" t="str">
        <f>HYPERLINK("https://jobright.ai/jobs/info/667d5a0ba148ea3de3173963?utm_campaign=1062&amp;utm_source=sheet", "Apply")</f>
        <v>Apply</v>
      </c>
      <c r="C3036" s="10" t="s">
        <v>7554</v>
      </c>
      <c r="D3036" s="56" t="s">
        <v>1684</v>
      </c>
      <c r="E3036" s="10" t="s">
        <v>209</v>
      </c>
      <c r="F3036" s="10" t="s">
        <v>1685</v>
      </c>
      <c r="G3036" s="10" t="s">
        <v>2437</v>
      </c>
      <c r="H3036" s="10" t="s">
        <v>1013</v>
      </c>
      <c r="I3036" s="10" t="s">
        <v>55</v>
      </c>
      <c r="J3036" s="10" t="s">
        <v>7681</v>
      </c>
      <c r="K3036" s="10" t="s">
        <v>7682</v>
      </c>
      <c r="L3036" s="10" t="s">
        <v>42</v>
      </c>
    </row>
    <row r="3037" ht="15.75" customHeight="1">
      <c r="A3037" s="64">
        <v>45470.0</v>
      </c>
      <c r="B3037" s="55" t="str">
        <f>HYPERLINK("https://jobright.ai/jobs/info/667d5a0ba148ea3de317396a?utm_campaign=1062&amp;utm_source=sheet", "Apply")</f>
        <v>Apply</v>
      </c>
      <c r="C3037" s="10" t="s">
        <v>7554</v>
      </c>
      <c r="D3037" s="56" t="s">
        <v>1684</v>
      </c>
      <c r="E3037" s="10" t="s">
        <v>209</v>
      </c>
      <c r="F3037" s="10" t="s">
        <v>1685</v>
      </c>
      <c r="G3037" s="10" t="s">
        <v>2437</v>
      </c>
      <c r="H3037" s="10" t="s">
        <v>7805</v>
      </c>
      <c r="I3037" s="10" t="s">
        <v>55</v>
      </c>
      <c r="J3037" s="10" t="s">
        <v>7681</v>
      </c>
      <c r="K3037" s="10" t="s">
        <v>7682</v>
      </c>
      <c r="L3037" s="10" t="s">
        <v>42</v>
      </c>
    </row>
    <row r="3038" ht="15.75" customHeight="1">
      <c r="A3038" s="64">
        <v>45470.0</v>
      </c>
      <c r="B3038" s="55" t="str">
        <f>HYPERLINK("https://jobright.ai/jobs/info/667d5a14a148ea3de3173a0a?utm_campaign=1062&amp;utm_source=sheet", "Apply")</f>
        <v>Apply</v>
      </c>
      <c r="C3038" s="10" t="s">
        <v>7554</v>
      </c>
      <c r="D3038" s="56" t="s">
        <v>1684</v>
      </c>
      <c r="E3038" s="10" t="s">
        <v>209</v>
      </c>
      <c r="F3038" s="10" t="s">
        <v>1685</v>
      </c>
      <c r="G3038" s="10" t="s">
        <v>2437</v>
      </c>
      <c r="H3038" s="10" t="s">
        <v>843</v>
      </c>
      <c r="I3038" s="10" t="s">
        <v>55</v>
      </c>
      <c r="J3038" s="10" t="s">
        <v>7681</v>
      </c>
      <c r="K3038" s="10" t="s">
        <v>7682</v>
      </c>
      <c r="L3038" s="10" t="s">
        <v>42</v>
      </c>
    </row>
    <row r="3039" ht="15.75" customHeight="1">
      <c r="A3039" s="64">
        <v>45470.0</v>
      </c>
      <c r="B3039" s="55" t="str">
        <f>HYPERLINK("https://jobright.ai/jobs/info/667d4e40205769d09114ea36?utm_campaign=1062&amp;utm_source=sheet", "Apply")</f>
        <v>Apply</v>
      </c>
      <c r="C3039" s="10" t="s">
        <v>7554</v>
      </c>
      <c r="D3039" s="56" t="s">
        <v>1684</v>
      </c>
      <c r="E3039" s="10" t="s">
        <v>209</v>
      </c>
      <c r="F3039" s="10" t="s">
        <v>1685</v>
      </c>
      <c r="G3039" s="10" t="s">
        <v>2437</v>
      </c>
      <c r="H3039" s="10" t="s">
        <v>7806</v>
      </c>
      <c r="I3039" s="10" t="s">
        <v>55</v>
      </c>
      <c r="J3039" s="10" t="s">
        <v>7681</v>
      </c>
      <c r="K3039" s="10" t="s">
        <v>7682</v>
      </c>
      <c r="L3039" s="10" t="s">
        <v>42</v>
      </c>
    </row>
    <row r="3040" ht="15.75" customHeight="1">
      <c r="A3040" s="64">
        <v>45470.0</v>
      </c>
      <c r="B3040" s="55" t="str">
        <f>HYPERLINK("https://jobright.ai/jobs/info/667d4e40205769d09114ea6f?utm_campaign=1062&amp;utm_source=sheet", "Apply")</f>
        <v>Apply</v>
      </c>
      <c r="C3040" s="10" t="s">
        <v>7554</v>
      </c>
      <c r="D3040" s="56" t="s">
        <v>1684</v>
      </c>
      <c r="E3040" s="10" t="s">
        <v>209</v>
      </c>
      <c r="F3040" s="10" t="s">
        <v>1685</v>
      </c>
      <c r="G3040" s="10" t="s">
        <v>2437</v>
      </c>
      <c r="H3040" s="10" t="s">
        <v>7807</v>
      </c>
      <c r="I3040" s="10" t="s">
        <v>55</v>
      </c>
      <c r="J3040" s="10" t="s">
        <v>7681</v>
      </c>
      <c r="K3040" s="10" t="s">
        <v>7682</v>
      </c>
      <c r="L3040" s="10" t="s">
        <v>42</v>
      </c>
    </row>
    <row r="3041" ht="15.75" customHeight="1">
      <c r="A3041" s="64">
        <v>45470.0</v>
      </c>
      <c r="B3041" s="55" t="str">
        <f>HYPERLINK("https://jobright.ai/jobs/info/667d4e46205769d09114eac6?utm_campaign=1062&amp;utm_source=sheet", "Apply")</f>
        <v>Apply</v>
      </c>
      <c r="C3041" s="10" t="s">
        <v>7554</v>
      </c>
      <c r="D3041" s="56" t="s">
        <v>1684</v>
      </c>
      <c r="E3041" s="10" t="s">
        <v>209</v>
      </c>
      <c r="F3041" s="10" t="s">
        <v>1685</v>
      </c>
      <c r="G3041" s="10" t="s">
        <v>2437</v>
      </c>
      <c r="H3041" s="10" t="s">
        <v>159</v>
      </c>
      <c r="I3041" s="10" t="s">
        <v>55</v>
      </c>
      <c r="J3041" s="10" t="s">
        <v>7681</v>
      </c>
      <c r="K3041" s="10" t="s">
        <v>7682</v>
      </c>
      <c r="L3041" s="10" t="s">
        <v>42</v>
      </c>
    </row>
    <row r="3042" ht="15.75" customHeight="1">
      <c r="A3042" s="64">
        <v>45470.0</v>
      </c>
      <c r="B3042" s="55" t="str">
        <f>HYPERLINK("https://jobright.ai/jobs/info/667d41e4018edf2ee85c1f8f?utm_campaign=1062&amp;utm_source=sheet", "Apply")</f>
        <v>Apply</v>
      </c>
      <c r="C3042" s="10" t="s">
        <v>7808</v>
      </c>
      <c r="D3042" s="56" t="s">
        <v>7809</v>
      </c>
      <c r="E3042" s="10">
        <v>300.0</v>
      </c>
      <c r="G3042" s="10" t="s">
        <v>2437</v>
      </c>
      <c r="H3042" s="10" t="s">
        <v>4214</v>
      </c>
      <c r="I3042" s="10" t="s">
        <v>55</v>
      </c>
      <c r="J3042" s="10" t="s">
        <v>1797</v>
      </c>
      <c r="K3042" s="10" t="s">
        <v>7810</v>
      </c>
      <c r="L3042" s="10" t="s">
        <v>42</v>
      </c>
    </row>
    <row r="3043" ht="15.75" customHeight="1">
      <c r="A3043" s="64">
        <v>45470.0</v>
      </c>
      <c r="B3043" s="55" t="str">
        <f>HYPERLINK("https://jobright.ai/jobs/info/667d3255389378dda0f4deeb?utm_campaign=1062&amp;utm_source=sheet", "Apply")</f>
        <v>Apply</v>
      </c>
      <c r="C3043" s="10" t="s">
        <v>7811</v>
      </c>
      <c r="D3043" s="56" t="s">
        <v>1373</v>
      </c>
      <c r="E3043" s="59">
        <v>45301.0</v>
      </c>
      <c r="F3043" s="10" t="s">
        <v>1184</v>
      </c>
      <c r="G3043" s="10" t="s">
        <v>2484</v>
      </c>
      <c r="H3043" s="10" t="s">
        <v>144</v>
      </c>
      <c r="I3043" s="10" t="s">
        <v>55</v>
      </c>
      <c r="K3043" s="10" t="s">
        <v>7812</v>
      </c>
      <c r="L3043" s="10" t="s">
        <v>42</v>
      </c>
    </row>
    <row r="3044" ht="15.75" customHeight="1">
      <c r="A3044" s="64">
        <v>45470.0</v>
      </c>
      <c r="B3044" s="55" t="str">
        <f>HYPERLINK("https://jobright.ai/jobs/info/667fb79f61baf0073634fe07?utm_campaign=1062&amp;utm_source=sheet", "Apply")</f>
        <v>Apply</v>
      </c>
      <c r="C3044" s="10" t="s">
        <v>7813</v>
      </c>
      <c r="D3044" s="56" t="s">
        <v>7814</v>
      </c>
      <c r="E3044" s="10" t="s">
        <v>79</v>
      </c>
      <c r="F3044" s="10" t="s">
        <v>2098</v>
      </c>
      <c r="G3044" s="10" t="s">
        <v>2502</v>
      </c>
      <c r="H3044" s="10" t="s">
        <v>740</v>
      </c>
      <c r="I3044" s="10" t="s">
        <v>48</v>
      </c>
      <c r="K3044" s="10" t="s">
        <v>7815</v>
      </c>
      <c r="L3044" s="10" t="s">
        <v>42</v>
      </c>
    </row>
    <row r="3045" ht="15.75" customHeight="1">
      <c r="A3045" s="64">
        <v>45470.0</v>
      </c>
      <c r="B3045" s="55" t="str">
        <f>HYPERLINK("https://jobright.ai/jobs/info/667fb2fcc53d26f2744b06b6?utm_campaign=1062&amp;utm_source=sheet", "Apply")</f>
        <v>Apply</v>
      </c>
      <c r="C3045" s="10" t="s">
        <v>7816</v>
      </c>
      <c r="D3045" s="56" t="s">
        <v>1836</v>
      </c>
      <c r="E3045" s="10" t="s">
        <v>45</v>
      </c>
      <c r="F3045" s="10" t="s">
        <v>1266</v>
      </c>
      <c r="G3045" s="10" t="s">
        <v>2443</v>
      </c>
      <c r="H3045" s="10" t="s">
        <v>2107</v>
      </c>
      <c r="I3045" s="10" t="s">
        <v>55</v>
      </c>
      <c r="J3045" s="10" t="s">
        <v>1837</v>
      </c>
      <c r="K3045" s="10" t="s">
        <v>7817</v>
      </c>
      <c r="L3045" s="10" t="s">
        <v>42</v>
      </c>
    </row>
    <row r="3046" ht="15.75" customHeight="1">
      <c r="A3046" s="64">
        <v>45470.0</v>
      </c>
      <c r="B3046" s="55" t="str">
        <f>HYPERLINK("https://jobright.ai/jobs/info/667d631324cad70b7cedeb2f?utm_campaign=1062&amp;utm_source=sheet", "Apply")</f>
        <v>Apply</v>
      </c>
      <c r="C3046" s="10" t="s">
        <v>7818</v>
      </c>
      <c r="D3046" s="56" t="s">
        <v>4516</v>
      </c>
      <c r="E3046" s="10">
        <v>803.0</v>
      </c>
      <c r="G3046" s="10" t="s">
        <v>2579</v>
      </c>
      <c r="H3046" s="10" t="s">
        <v>898</v>
      </c>
      <c r="I3046" s="10" t="s">
        <v>55</v>
      </c>
      <c r="K3046" s="10" t="s">
        <v>7819</v>
      </c>
      <c r="L3046" s="10" t="s">
        <v>42</v>
      </c>
    </row>
    <row r="3047" ht="15.75" customHeight="1">
      <c r="A3047" s="64">
        <v>45470.0</v>
      </c>
      <c r="B3047" s="55" t="str">
        <f>HYPERLINK("https://jobright.ai/jobs/info/65b1a665960b784a14c53d1e?utm_campaign=1062&amp;utm_source=sheet", "Apply")</f>
        <v>Apply</v>
      </c>
      <c r="C3047" s="10" t="s">
        <v>7820</v>
      </c>
      <c r="D3047" s="56" t="s">
        <v>6575</v>
      </c>
      <c r="E3047" s="10" t="s">
        <v>209</v>
      </c>
      <c r="F3047" s="10" t="s">
        <v>6576</v>
      </c>
      <c r="G3047" s="10" t="s">
        <v>2470</v>
      </c>
      <c r="H3047" s="10" t="s">
        <v>7821</v>
      </c>
      <c r="I3047" s="10" t="s">
        <v>55</v>
      </c>
      <c r="K3047" s="10" t="s">
        <v>6847</v>
      </c>
      <c r="L3047" s="10" t="s">
        <v>42</v>
      </c>
    </row>
    <row r="3048" ht="15.75" customHeight="1">
      <c r="A3048" s="64">
        <v>45470.0</v>
      </c>
      <c r="B3048" s="55" t="str">
        <f>HYPERLINK("https://jobright.ai/jobs/info/667cfa8adfea4cf625833c06?utm_campaign=1062&amp;utm_source=sheet", "Apply")</f>
        <v>Apply</v>
      </c>
      <c r="C3048" s="10" t="s">
        <v>7818</v>
      </c>
      <c r="D3048" s="56" t="s">
        <v>4516</v>
      </c>
      <c r="E3048" s="10">
        <v>803.0</v>
      </c>
      <c r="G3048" s="10" t="s">
        <v>2579</v>
      </c>
      <c r="H3048" s="10" t="s">
        <v>898</v>
      </c>
      <c r="I3048" s="10" t="s">
        <v>48</v>
      </c>
      <c r="K3048" s="10" t="s">
        <v>7819</v>
      </c>
      <c r="L3048" s="10" t="s">
        <v>42</v>
      </c>
    </row>
    <row r="3049" ht="15.75" customHeight="1">
      <c r="A3049" s="64">
        <v>45470.0</v>
      </c>
      <c r="B3049" s="55" t="str">
        <f>HYPERLINK("https://jobright.ai/jobs/info/667cfa8adfea4cf625833c3d?utm_campaign=1062&amp;utm_source=sheet", "Apply")</f>
        <v>Apply</v>
      </c>
      <c r="C3049" s="10" t="s">
        <v>7822</v>
      </c>
      <c r="D3049" s="56" t="s">
        <v>7823</v>
      </c>
      <c r="E3049" s="10" t="s">
        <v>45</v>
      </c>
      <c r="F3049" s="10" t="s">
        <v>2409</v>
      </c>
      <c r="G3049" s="10" t="s">
        <v>2443</v>
      </c>
      <c r="H3049" s="10" t="s">
        <v>7824</v>
      </c>
      <c r="I3049" s="10" t="s">
        <v>55</v>
      </c>
      <c r="J3049" s="10" t="s">
        <v>7825</v>
      </c>
      <c r="K3049" s="10" t="s">
        <v>7826</v>
      </c>
      <c r="L3049" s="10" t="s">
        <v>42</v>
      </c>
    </row>
    <row r="3050" ht="15.75" customHeight="1">
      <c r="A3050" s="64">
        <v>45470.0</v>
      </c>
      <c r="B3050" s="55" t="str">
        <f>HYPERLINK("https://jobright.ai/jobs/info/667a3ee9b82864157266394b?utm_campaign=1062&amp;utm_source=sheet", "Apply")</f>
        <v>Apply</v>
      </c>
      <c r="C3050" s="10" t="s">
        <v>7827</v>
      </c>
      <c r="D3050" s="56" t="s">
        <v>4236</v>
      </c>
      <c r="E3050" s="10" t="s">
        <v>65</v>
      </c>
      <c r="F3050" s="10" t="s">
        <v>4237</v>
      </c>
      <c r="G3050" s="10" t="s">
        <v>2464</v>
      </c>
      <c r="H3050" s="10" t="s">
        <v>1978</v>
      </c>
      <c r="I3050" s="10" t="s">
        <v>55</v>
      </c>
      <c r="K3050" s="10" t="s">
        <v>7828</v>
      </c>
      <c r="L3050" s="10" t="s">
        <v>42</v>
      </c>
    </row>
    <row r="3051" ht="15.75" customHeight="1">
      <c r="A3051" s="64">
        <v>45470.0</v>
      </c>
      <c r="B3051" s="55" t="str">
        <f>HYPERLINK("https://jobright.ai/jobs/info/667cd053d42fb3b2b180c1b6?utm_campaign=1062&amp;utm_source=sheet", "Apply")</f>
        <v>Apply</v>
      </c>
      <c r="C3051" s="10" t="s">
        <v>7829</v>
      </c>
      <c r="D3051" s="56" t="s">
        <v>7830</v>
      </c>
      <c r="E3051" s="10" t="s">
        <v>249</v>
      </c>
      <c r="F3051" s="10" t="s">
        <v>3906</v>
      </c>
      <c r="G3051" s="10" t="s">
        <v>2437</v>
      </c>
      <c r="H3051" s="10" t="s">
        <v>96</v>
      </c>
      <c r="I3051" s="10" t="s">
        <v>55</v>
      </c>
      <c r="J3051" s="10" t="s">
        <v>3979</v>
      </c>
      <c r="K3051" s="10" t="s">
        <v>7831</v>
      </c>
      <c r="L3051" s="10" t="s">
        <v>42</v>
      </c>
    </row>
    <row r="3052" ht="15.75" customHeight="1">
      <c r="A3052" s="64">
        <v>45470.0</v>
      </c>
      <c r="B3052" s="55" t="str">
        <f>HYPERLINK("https://jobright.ai/jobs/info/667d9febcbd7b9ae87c70f2e?utm_campaign=1062&amp;utm_source=sheet", "Apply")</f>
        <v>Apply</v>
      </c>
      <c r="C3052" s="10" t="s">
        <v>7832</v>
      </c>
      <c r="D3052" s="56" t="s">
        <v>7833</v>
      </c>
      <c r="E3052" s="10" t="s">
        <v>276</v>
      </c>
      <c r="F3052" s="10" t="s">
        <v>7834</v>
      </c>
      <c r="G3052" s="10" t="s">
        <v>2455</v>
      </c>
      <c r="H3052" s="10" t="s">
        <v>152</v>
      </c>
      <c r="I3052" s="10" t="s">
        <v>55</v>
      </c>
      <c r="K3052" s="10" t="s">
        <v>7835</v>
      </c>
      <c r="L3052" s="10" t="s">
        <v>42</v>
      </c>
    </row>
    <row r="3053" ht="15.75" customHeight="1">
      <c r="A3053" s="64">
        <v>45470.0</v>
      </c>
      <c r="B3053" s="55" t="str">
        <f>HYPERLINK("https://jobright.ai/jobs/info/667d9febcbd7b9ae87c70f2b?utm_campaign=1062&amp;utm_source=sheet", "Apply")</f>
        <v>Apply</v>
      </c>
      <c r="C3053" s="10" t="s">
        <v>7836</v>
      </c>
      <c r="D3053" s="56" t="s">
        <v>7833</v>
      </c>
      <c r="E3053" s="10" t="s">
        <v>276</v>
      </c>
      <c r="F3053" s="10" t="s">
        <v>7834</v>
      </c>
      <c r="G3053" s="10" t="s">
        <v>2455</v>
      </c>
      <c r="H3053" s="10" t="s">
        <v>152</v>
      </c>
      <c r="I3053" s="10" t="s">
        <v>55</v>
      </c>
      <c r="K3053" s="10" t="s">
        <v>7835</v>
      </c>
      <c r="L3053" s="10" t="s">
        <v>42</v>
      </c>
    </row>
    <row r="3054" ht="15.75" customHeight="1">
      <c r="A3054" s="64">
        <v>45470.0</v>
      </c>
      <c r="B3054" s="55" t="str">
        <f>HYPERLINK("https://jobright.ai/jobs/info/667da5fdf7d63fcb0d13f3ae?utm_campaign=1062&amp;utm_source=sheet", "Apply")</f>
        <v>Apply</v>
      </c>
      <c r="C3054" s="10" t="s">
        <v>7837</v>
      </c>
      <c r="D3054" s="56" t="s">
        <v>7833</v>
      </c>
      <c r="E3054" s="10" t="s">
        <v>276</v>
      </c>
      <c r="F3054" s="10" t="s">
        <v>7834</v>
      </c>
      <c r="G3054" s="10" t="s">
        <v>2455</v>
      </c>
      <c r="H3054" s="10" t="s">
        <v>152</v>
      </c>
      <c r="I3054" s="10" t="s">
        <v>55</v>
      </c>
      <c r="K3054" s="10" t="s">
        <v>7835</v>
      </c>
      <c r="L3054" s="10" t="s">
        <v>42</v>
      </c>
    </row>
    <row r="3055" ht="15.75" customHeight="1">
      <c r="A3055" s="64">
        <v>45470.0</v>
      </c>
      <c r="B3055" s="55" t="str">
        <f>HYPERLINK("https://jobright.ai/jobs/info/667cece4d22aee88a5efc8e3?utm_campaign=1062&amp;utm_source=sheet", "Apply")</f>
        <v>Apply</v>
      </c>
      <c r="C3055" s="10" t="s">
        <v>7838</v>
      </c>
      <c r="D3055" s="56" t="s">
        <v>5200</v>
      </c>
      <c r="E3055" s="10" t="s">
        <v>45</v>
      </c>
      <c r="F3055" s="10" t="s">
        <v>2617</v>
      </c>
      <c r="G3055" s="10" t="s">
        <v>2443</v>
      </c>
      <c r="H3055" s="10" t="s">
        <v>7824</v>
      </c>
      <c r="I3055" s="10" t="s">
        <v>55</v>
      </c>
      <c r="J3055" s="10" t="s">
        <v>7825</v>
      </c>
      <c r="K3055" s="10" t="s">
        <v>7826</v>
      </c>
      <c r="L3055" s="10" t="s">
        <v>42</v>
      </c>
    </row>
    <row r="3056" ht="15.75" customHeight="1">
      <c r="A3056" s="64">
        <v>45470.0</v>
      </c>
      <c r="B3056" s="55" t="str">
        <f>HYPERLINK("https://jobright.ai/jobs/info/667dd5a549161264b2727dd0?utm_campaign=1062&amp;utm_source=sheet", "Apply")</f>
        <v>Apply</v>
      </c>
      <c r="C3056" s="10" t="s">
        <v>7839</v>
      </c>
      <c r="D3056" s="56" t="s">
        <v>7840</v>
      </c>
      <c r="E3056" s="10" t="s">
        <v>45</v>
      </c>
      <c r="F3056" s="10" t="s">
        <v>7841</v>
      </c>
      <c r="G3056" s="10" t="s">
        <v>2437</v>
      </c>
      <c r="H3056" s="10" t="s">
        <v>7842</v>
      </c>
      <c r="I3056" s="10" t="s">
        <v>55</v>
      </c>
      <c r="K3056" s="10" t="s">
        <v>7843</v>
      </c>
      <c r="L3056" s="10" t="s">
        <v>42</v>
      </c>
    </row>
    <row r="3057" ht="15.75" customHeight="1">
      <c r="A3057" s="64">
        <v>45470.0</v>
      </c>
      <c r="B3057" s="55" t="str">
        <f>HYPERLINK("https://jobright.ai/jobs/info/667ecc84d4650cbda99167c5?utm_campaign=1062&amp;utm_source=sheet", "Apply")</f>
        <v>Apply</v>
      </c>
      <c r="C3057" s="10" t="s">
        <v>7844</v>
      </c>
      <c r="D3057" s="56" t="s">
        <v>3174</v>
      </c>
      <c r="E3057" s="10" t="s">
        <v>71</v>
      </c>
      <c r="F3057" s="10" t="s">
        <v>3175</v>
      </c>
      <c r="G3057" s="10" t="s">
        <v>2484</v>
      </c>
      <c r="H3057" s="10" t="s">
        <v>3176</v>
      </c>
      <c r="I3057" s="10" t="s">
        <v>55</v>
      </c>
      <c r="K3057" s="10" t="s">
        <v>7845</v>
      </c>
      <c r="L3057" s="10" t="s">
        <v>42</v>
      </c>
    </row>
    <row r="3058" ht="15.75" customHeight="1">
      <c r="A3058" s="64">
        <v>45470.0</v>
      </c>
      <c r="B3058" s="55" t="str">
        <f>HYPERLINK("https://jobright.ai/jobs/info/667ecc84d4650cbda99167cd?utm_campaign=1062&amp;utm_source=sheet", "Apply")</f>
        <v>Apply</v>
      </c>
      <c r="C3058" s="10" t="s">
        <v>7734</v>
      </c>
      <c r="D3058" s="56" t="s">
        <v>3174</v>
      </c>
      <c r="E3058" s="10" t="s">
        <v>71</v>
      </c>
      <c r="F3058" s="10" t="s">
        <v>3175</v>
      </c>
      <c r="G3058" s="10" t="s">
        <v>2495</v>
      </c>
      <c r="H3058" s="10" t="s">
        <v>3176</v>
      </c>
      <c r="I3058" s="10" t="s">
        <v>55</v>
      </c>
      <c r="K3058" s="10" t="s">
        <v>7735</v>
      </c>
      <c r="L3058" s="10" t="s">
        <v>42</v>
      </c>
    </row>
    <row r="3059" ht="15.75" customHeight="1">
      <c r="A3059" s="64">
        <v>45469.0</v>
      </c>
      <c r="B3059" s="55" t="str">
        <f>HYPERLINK("https://jobright.ai/jobs/info/667cbc6e6c03d6aa6d804e45?utm_campaign=1062&amp;utm_source=sheet", "Apply")</f>
        <v>Apply</v>
      </c>
      <c r="C3059" s="10" t="s">
        <v>7846</v>
      </c>
      <c r="D3059" s="56" t="s">
        <v>1525</v>
      </c>
      <c r="E3059" s="10" t="s">
        <v>71</v>
      </c>
      <c r="G3059" s="10" t="s">
        <v>2455</v>
      </c>
      <c r="H3059" s="10" t="s">
        <v>807</v>
      </c>
      <c r="I3059" s="10" t="s">
        <v>55</v>
      </c>
      <c r="K3059" s="10" t="s">
        <v>7847</v>
      </c>
      <c r="L3059" s="10" t="s">
        <v>42</v>
      </c>
    </row>
    <row r="3060" ht="15.75" customHeight="1">
      <c r="A3060" s="64">
        <v>45469.0</v>
      </c>
      <c r="B3060" s="55" t="str">
        <f>HYPERLINK("https://jobright.ai/jobs/info/667cad75d9af9dd1ef5d7f46?utm_campaign=1062&amp;utm_source=sheet", "Apply")</f>
        <v>Apply</v>
      </c>
      <c r="C3060" s="10" t="s">
        <v>7848</v>
      </c>
      <c r="D3060" s="56" t="s">
        <v>7849</v>
      </c>
      <c r="E3060" s="10" t="s">
        <v>137</v>
      </c>
      <c r="F3060" s="10" t="s">
        <v>7850</v>
      </c>
      <c r="G3060" s="10" t="s">
        <v>2502</v>
      </c>
      <c r="H3060" s="10" t="s">
        <v>994</v>
      </c>
      <c r="I3060" s="10" t="s">
        <v>55</v>
      </c>
      <c r="K3060" s="10" t="s">
        <v>7851</v>
      </c>
      <c r="L3060" s="10" t="s">
        <v>42</v>
      </c>
    </row>
    <row r="3061" ht="15.75" customHeight="1">
      <c r="A3061" s="64">
        <v>45469.0</v>
      </c>
      <c r="B3061" s="55" t="str">
        <f>HYPERLINK("https://jobright.ai/jobs/info/667d4e59205769d09114ecd5?utm_campaign=1062&amp;utm_source=sheet", "Apply")</f>
        <v>Apply</v>
      </c>
      <c r="C3061" s="10" t="s">
        <v>3336</v>
      </c>
      <c r="D3061" s="56" t="s">
        <v>7852</v>
      </c>
      <c r="E3061" s="10" t="s">
        <v>79</v>
      </c>
      <c r="F3061" s="10" t="s">
        <v>5705</v>
      </c>
      <c r="G3061" s="10" t="s">
        <v>2448</v>
      </c>
      <c r="H3061" s="10" t="s">
        <v>7853</v>
      </c>
      <c r="I3061" s="10" t="s">
        <v>55</v>
      </c>
      <c r="K3061" s="10" t="s">
        <v>7854</v>
      </c>
      <c r="L3061" s="10" t="s">
        <v>42</v>
      </c>
    </row>
    <row r="3062" ht="15.75" customHeight="1">
      <c r="A3062" s="64">
        <v>45469.0</v>
      </c>
      <c r="B3062" s="55" t="str">
        <f>HYPERLINK("https://jobright.ai/jobs/info/667d4e59205769d09114ecd8?utm_campaign=1062&amp;utm_source=sheet", "Apply")</f>
        <v>Apply</v>
      </c>
      <c r="C3062" s="10" t="s">
        <v>7855</v>
      </c>
      <c r="D3062" s="56" t="s">
        <v>7856</v>
      </c>
      <c r="E3062" s="10" t="s">
        <v>276</v>
      </c>
      <c r="F3062" s="10" t="s">
        <v>7857</v>
      </c>
      <c r="G3062" s="10" t="s">
        <v>2484</v>
      </c>
      <c r="H3062" s="10" t="s">
        <v>7858</v>
      </c>
      <c r="I3062" s="10" t="s">
        <v>55</v>
      </c>
      <c r="J3062" s="10" t="s">
        <v>260</v>
      </c>
      <c r="K3062" s="10" t="s">
        <v>7859</v>
      </c>
      <c r="L3062" s="10" t="s">
        <v>42</v>
      </c>
    </row>
    <row r="3063" ht="15.75" customHeight="1">
      <c r="A3063" s="64">
        <v>45469.0</v>
      </c>
      <c r="B3063" s="55" t="str">
        <f>HYPERLINK("https://jobright.ai/jobs/info/667ca3457b6b9db4746b1c8c?utm_campaign=1062&amp;utm_source=sheet", "Apply")</f>
        <v>Apply</v>
      </c>
      <c r="C3063" s="10" t="s">
        <v>7860</v>
      </c>
      <c r="D3063" s="56" t="s">
        <v>7861</v>
      </c>
      <c r="E3063" s="10" t="s">
        <v>65</v>
      </c>
      <c r="F3063" s="10" t="s">
        <v>2409</v>
      </c>
      <c r="G3063" s="10" t="s">
        <v>2443</v>
      </c>
      <c r="H3063" s="10" t="s">
        <v>7862</v>
      </c>
      <c r="I3063" s="10" t="s">
        <v>55</v>
      </c>
      <c r="K3063" s="10" t="s">
        <v>7863</v>
      </c>
      <c r="L3063" s="10" t="s">
        <v>42</v>
      </c>
    </row>
    <row r="3064" ht="15.75" customHeight="1">
      <c r="A3064" s="64">
        <v>45469.0</v>
      </c>
      <c r="B3064" s="55" t="str">
        <f>HYPERLINK("https://jobright.ai/jobs/info/667ca30b7b6b9db4746b17a4?utm_campaign=1062&amp;utm_source=sheet", "Apply")</f>
        <v>Apply</v>
      </c>
      <c r="C3064" s="10" t="s">
        <v>7864</v>
      </c>
      <c r="D3064" s="56" t="s">
        <v>7865</v>
      </c>
      <c r="E3064" s="10" t="s">
        <v>71</v>
      </c>
      <c r="F3064" s="10" t="s">
        <v>7866</v>
      </c>
      <c r="G3064" s="10" t="s">
        <v>2437</v>
      </c>
      <c r="H3064" s="10" t="s">
        <v>159</v>
      </c>
      <c r="I3064" s="10" t="s">
        <v>55</v>
      </c>
      <c r="K3064" s="10" t="s">
        <v>7867</v>
      </c>
      <c r="L3064" s="10" t="s">
        <v>42</v>
      </c>
    </row>
    <row r="3065" ht="15.75" customHeight="1">
      <c r="A3065" s="64">
        <v>45469.0</v>
      </c>
      <c r="B3065" s="55" t="str">
        <f>HYPERLINK("https://jobright.ai/jobs/info/667cb2ca93f123f8bc4b6a66?utm_campaign=1062&amp;utm_source=sheet", "Apply")</f>
        <v>Apply</v>
      </c>
      <c r="C3065" s="10" t="s">
        <v>7868</v>
      </c>
      <c r="D3065" s="56" t="s">
        <v>1794</v>
      </c>
      <c r="E3065" s="10" t="s">
        <v>65</v>
      </c>
      <c r="F3065" s="10" t="s">
        <v>1795</v>
      </c>
      <c r="G3065" s="10" t="s">
        <v>2807</v>
      </c>
      <c r="H3065" s="10" t="s">
        <v>1796</v>
      </c>
      <c r="I3065" s="10" t="s">
        <v>55</v>
      </c>
      <c r="J3065" s="10" t="s">
        <v>3651</v>
      </c>
      <c r="K3065" s="10" t="s">
        <v>7869</v>
      </c>
      <c r="L3065" s="10" t="s">
        <v>42</v>
      </c>
    </row>
    <row r="3066" ht="15.75" customHeight="1">
      <c r="A3066" s="64">
        <v>45469.0</v>
      </c>
      <c r="B3066" s="55" t="str">
        <f>HYPERLINK("https://jobright.ai/jobs/info/668bb72317dee33772925a21?utm_campaign=1062&amp;utm_source=sheet", "Apply")</f>
        <v>Apply</v>
      </c>
      <c r="C3066" s="10" t="s">
        <v>5334</v>
      </c>
      <c r="D3066" s="56" t="s">
        <v>1295</v>
      </c>
      <c r="E3066" s="10" t="s">
        <v>71</v>
      </c>
      <c r="F3066" s="10" t="s">
        <v>1296</v>
      </c>
      <c r="G3066" s="10" t="s">
        <v>2484</v>
      </c>
      <c r="H3066" s="10" t="s">
        <v>1298</v>
      </c>
      <c r="I3066" s="10" t="s">
        <v>55</v>
      </c>
      <c r="K3066" s="10" t="s">
        <v>7870</v>
      </c>
      <c r="L3066" s="10" t="s">
        <v>42</v>
      </c>
    </row>
    <row r="3067" ht="15.75" customHeight="1">
      <c r="A3067" s="64">
        <v>45469.0</v>
      </c>
      <c r="B3067" s="55" t="str">
        <f>HYPERLINK("https://jobright.ai/jobs/info/667cbc7e6c03d6aa6d804f99?utm_campaign=1062&amp;utm_source=sheet", "Apply")</f>
        <v>Apply</v>
      </c>
      <c r="C3067" s="10" t="s">
        <v>7871</v>
      </c>
      <c r="D3067" s="56" t="s">
        <v>7872</v>
      </c>
      <c r="E3067" s="10" t="s">
        <v>79</v>
      </c>
      <c r="F3067" s="10" t="s">
        <v>7873</v>
      </c>
      <c r="G3067" s="10" t="s">
        <v>2484</v>
      </c>
      <c r="H3067" s="10" t="s">
        <v>966</v>
      </c>
      <c r="I3067" s="10" t="s">
        <v>55</v>
      </c>
      <c r="K3067" s="10" t="s">
        <v>7874</v>
      </c>
      <c r="L3067" s="10" t="s">
        <v>42</v>
      </c>
    </row>
    <row r="3068" ht="15.75" customHeight="1">
      <c r="A3068" s="64">
        <v>45469.0</v>
      </c>
      <c r="B3068" s="55" t="str">
        <f>HYPERLINK("https://jobright.ai/jobs/info/667d631d24cad70b7cedec3e?utm_campaign=1062&amp;utm_source=sheet", "Apply")</f>
        <v>Apply</v>
      </c>
      <c r="C3068" s="10" t="s">
        <v>7875</v>
      </c>
      <c r="D3068" s="56" t="s">
        <v>7876</v>
      </c>
      <c r="E3068" s="10" t="s">
        <v>276</v>
      </c>
      <c r="F3068" s="10" t="s">
        <v>7877</v>
      </c>
      <c r="G3068" s="10" t="s">
        <v>2437</v>
      </c>
      <c r="H3068" s="10" t="s">
        <v>159</v>
      </c>
      <c r="I3068" s="10" t="s">
        <v>55</v>
      </c>
      <c r="K3068" s="10" t="s">
        <v>7878</v>
      </c>
      <c r="L3068" s="10" t="s">
        <v>42</v>
      </c>
    </row>
    <row r="3069" ht="15.75" customHeight="1">
      <c r="A3069" s="64">
        <v>45469.0</v>
      </c>
      <c r="B3069" s="55" t="str">
        <f>HYPERLINK("https://jobright.ai/jobs/info/667ca06bc08973d614a46fd8?utm_campaign=1062&amp;utm_source=sheet", "Apply")</f>
        <v>Apply</v>
      </c>
      <c r="C3069" s="10" t="s">
        <v>7855</v>
      </c>
      <c r="D3069" s="56" t="s">
        <v>7856</v>
      </c>
      <c r="E3069" s="10" t="s">
        <v>276</v>
      </c>
      <c r="F3069" s="10" t="s">
        <v>7857</v>
      </c>
      <c r="G3069" s="10" t="s">
        <v>2484</v>
      </c>
      <c r="H3069" s="10" t="s">
        <v>7858</v>
      </c>
      <c r="I3069" s="10" t="s">
        <v>48</v>
      </c>
      <c r="J3069" s="10" t="s">
        <v>260</v>
      </c>
      <c r="K3069" s="10" t="s">
        <v>7859</v>
      </c>
      <c r="L3069" s="10" t="s">
        <v>42</v>
      </c>
    </row>
    <row r="3070" ht="15.75" customHeight="1">
      <c r="A3070" s="64">
        <v>45469.0</v>
      </c>
      <c r="B3070" s="55" t="str">
        <f>HYPERLINK("https://jobright.ai/jobs/info/667d56e1aa63cf1b275d18e8?utm_campaign=1062&amp;utm_source=sheet", "Apply")</f>
        <v>Apply</v>
      </c>
      <c r="C3070" s="10" t="s">
        <v>7879</v>
      </c>
      <c r="D3070" s="56" t="s">
        <v>7876</v>
      </c>
      <c r="E3070" s="10" t="s">
        <v>276</v>
      </c>
      <c r="F3070" s="10" t="s">
        <v>7877</v>
      </c>
      <c r="G3070" s="10" t="s">
        <v>2437</v>
      </c>
      <c r="H3070" s="10" t="s">
        <v>802</v>
      </c>
      <c r="I3070" s="10" t="s">
        <v>55</v>
      </c>
      <c r="K3070" s="10" t="s">
        <v>7880</v>
      </c>
      <c r="L3070" s="10" t="s">
        <v>42</v>
      </c>
    </row>
    <row r="3071" ht="15.75" customHeight="1">
      <c r="A3071" s="64">
        <v>45469.0</v>
      </c>
      <c r="B3071" s="55" t="str">
        <f>HYPERLINK("https://jobright.ai/jobs/info/667ca074c08973d614a470d2?utm_campaign=1062&amp;utm_source=sheet", "Apply")</f>
        <v>Apply</v>
      </c>
      <c r="C3071" s="10" t="s">
        <v>7881</v>
      </c>
      <c r="D3071" s="56" t="s">
        <v>1794</v>
      </c>
      <c r="E3071" s="10" t="s">
        <v>65</v>
      </c>
      <c r="F3071" s="10" t="s">
        <v>1795</v>
      </c>
      <c r="G3071" s="10" t="s">
        <v>2464</v>
      </c>
      <c r="H3071" s="10" t="s">
        <v>1796</v>
      </c>
      <c r="I3071" s="10" t="s">
        <v>55</v>
      </c>
      <c r="J3071" s="10" t="s">
        <v>7882</v>
      </c>
      <c r="K3071" s="10" t="s">
        <v>7883</v>
      </c>
      <c r="L3071" s="10" t="s">
        <v>42</v>
      </c>
    </row>
    <row r="3072" ht="15.75" customHeight="1">
      <c r="A3072" s="64">
        <v>45469.0</v>
      </c>
      <c r="B3072" s="55" t="str">
        <f>HYPERLINK("https://jobright.ai/jobs/info/667ca022c08973d614a46b1b?utm_campaign=1062&amp;utm_source=sheet", "Apply")</f>
        <v>Apply</v>
      </c>
      <c r="C3072" s="10" t="s">
        <v>7884</v>
      </c>
      <c r="D3072" s="56" t="s">
        <v>1794</v>
      </c>
      <c r="E3072" s="10" t="s">
        <v>65</v>
      </c>
      <c r="F3072" s="10" t="s">
        <v>1795</v>
      </c>
      <c r="G3072" s="10" t="s">
        <v>2443</v>
      </c>
      <c r="H3072" s="10" t="s">
        <v>1796</v>
      </c>
      <c r="I3072" s="10" t="s">
        <v>55</v>
      </c>
      <c r="J3072" s="10" t="s">
        <v>7882</v>
      </c>
      <c r="K3072" s="10" t="s">
        <v>7885</v>
      </c>
      <c r="L3072" s="10" t="s">
        <v>42</v>
      </c>
    </row>
    <row r="3073" ht="15.75" customHeight="1">
      <c r="A3073" s="64">
        <v>45469.0</v>
      </c>
      <c r="B3073" s="55" t="str">
        <f>HYPERLINK("https://jobright.ai/jobs/info/667ca074c08973d614a470e7?utm_campaign=1062&amp;utm_source=sheet", "Apply")</f>
        <v>Apply</v>
      </c>
      <c r="C3073" s="10" t="s">
        <v>7879</v>
      </c>
      <c r="D3073" s="56" t="s">
        <v>7876</v>
      </c>
      <c r="E3073" s="10" t="s">
        <v>276</v>
      </c>
      <c r="F3073" s="10" t="s">
        <v>7877</v>
      </c>
      <c r="G3073" s="10" t="s">
        <v>2437</v>
      </c>
      <c r="H3073" s="10" t="s">
        <v>802</v>
      </c>
      <c r="I3073" s="10" t="s">
        <v>48</v>
      </c>
      <c r="K3073" s="10" t="s">
        <v>7880</v>
      </c>
      <c r="L3073" s="10" t="s">
        <v>42</v>
      </c>
    </row>
    <row r="3074" ht="15.75" customHeight="1">
      <c r="A3074" s="64">
        <v>45469.0</v>
      </c>
      <c r="B3074" s="55" t="str">
        <f>HYPERLINK("https://jobright.ai/jobs/info/666bcdc3c330b9e2aeba4bda?utm_campaign=1062&amp;utm_source=sheet", "Apply")</f>
        <v>Apply</v>
      </c>
      <c r="C3074" s="10" t="s">
        <v>7886</v>
      </c>
      <c r="D3074" s="56" t="s">
        <v>1576</v>
      </c>
      <c r="E3074" s="10" t="s">
        <v>45</v>
      </c>
      <c r="F3074" s="10" t="s">
        <v>1577</v>
      </c>
      <c r="G3074" s="10" t="s">
        <v>2484</v>
      </c>
      <c r="H3074" s="10" t="s">
        <v>2659</v>
      </c>
      <c r="I3074" s="10" t="s">
        <v>55</v>
      </c>
      <c r="J3074" s="10" t="s">
        <v>5623</v>
      </c>
      <c r="K3074" s="10" t="s">
        <v>5620</v>
      </c>
      <c r="L3074" s="10" t="s">
        <v>42</v>
      </c>
    </row>
    <row r="3075" ht="15.75" customHeight="1">
      <c r="A3075" s="64">
        <v>45469.0</v>
      </c>
      <c r="B3075" s="55" t="str">
        <f>HYPERLINK("https://jobright.ai/jobs/info/667c95988b79c077c3ac214b?utm_campaign=1062&amp;utm_source=sheet", "Apply")</f>
        <v>Apply</v>
      </c>
      <c r="C3075" s="10" t="s">
        <v>7875</v>
      </c>
      <c r="D3075" s="56" t="s">
        <v>7876</v>
      </c>
      <c r="E3075" s="10" t="s">
        <v>276</v>
      </c>
      <c r="F3075" s="10" t="s">
        <v>7877</v>
      </c>
      <c r="G3075" s="10" t="s">
        <v>2437</v>
      </c>
      <c r="H3075" s="10" t="s">
        <v>159</v>
      </c>
      <c r="I3075" s="10" t="s">
        <v>48</v>
      </c>
      <c r="K3075" s="10" t="s">
        <v>7878</v>
      </c>
      <c r="L3075" s="10" t="s">
        <v>42</v>
      </c>
    </row>
    <row r="3076" ht="15.75" customHeight="1">
      <c r="A3076" s="64">
        <v>45469.0</v>
      </c>
      <c r="B3076" s="55" t="str">
        <f>HYPERLINK("https://jobright.ai/jobs/info/667c83e172fe6297b8f5e4c7?utm_campaign=1062&amp;utm_source=sheet", "Apply")</f>
        <v>Apply</v>
      </c>
      <c r="C3076" s="10" t="s">
        <v>1767</v>
      </c>
      <c r="D3076" s="56" t="s">
        <v>2103</v>
      </c>
      <c r="E3076" s="10" t="s">
        <v>209</v>
      </c>
      <c r="F3076" s="10" t="s">
        <v>2104</v>
      </c>
      <c r="G3076" s="10" t="s">
        <v>2448</v>
      </c>
      <c r="H3076" s="10" t="s">
        <v>170</v>
      </c>
      <c r="I3076" s="10" t="s">
        <v>55</v>
      </c>
      <c r="K3076" s="10" t="s">
        <v>7887</v>
      </c>
      <c r="L3076" s="10" t="s">
        <v>42</v>
      </c>
    </row>
    <row r="3077" ht="15.75" customHeight="1">
      <c r="A3077" s="64">
        <v>45469.0</v>
      </c>
      <c r="B3077" s="55" t="str">
        <f>HYPERLINK("https://jobright.ai/jobs/info/6676a0b9573f97cc9db08fb6?utm_campaign=1062&amp;utm_source=sheet", "Apply")</f>
        <v>Apply</v>
      </c>
      <c r="C3077" s="10" t="s">
        <v>7888</v>
      </c>
      <c r="D3077" s="56" t="s">
        <v>2469</v>
      </c>
      <c r="E3077" s="10">
        <v>12529.0</v>
      </c>
      <c r="G3077" s="10" t="s">
        <v>2448</v>
      </c>
      <c r="H3077" s="10" t="s">
        <v>782</v>
      </c>
      <c r="I3077" s="10" t="s">
        <v>55</v>
      </c>
      <c r="J3077" s="10" t="s">
        <v>7889</v>
      </c>
      <c r="K3077" s="10" t="s">
        <v>7890</v>
      </c>
      <c r="L3077" s="10" t="s">
        <v>42</v>
      </c>
    </row>
    <row r="3078" ht="15.75" customHeight="1">
      <c r="A3078" s="64">
        <v>45469.0</v>
      </c>
      <c r="B3078" s="55" t="str">
        <f>HYPERLINK("https://jobright.ai/jobs/info/666bcabe1638e3c00ea5b532?utm_campaign=1062&amp;utm_source=sheet", "Apply")</f>
        <v>Apply</v>
      </c>
      <c r="C3078" s="10" t="s">
        <v>7891</v>
      </c>
      <c r="D3078" s="56" t="s">
        <v>1576</v>
      </c>
      <c r="E3078" s="10" t="s">
        <v>45</v>
      </c>
      <c r="F3078" s="10" t="s">
        <v>1577</v>
      </c>
      <c r="G3078" s="10" t="s">
        <v>2484</v>
      </c>
      <c r="H3078" s="10" t="s">
        <v>7892</v>
      </c>
      <c r="I3078" s="10" t="s">
        <v>55</v>
      </c>
      <c r="J3078" s="10" t="s">
        <v>7893</v>
      </c>
      <c r="K3078" s="10" t="s">
        <v>5626</v>
      </c>
      <c r="L3078" s="10" t="s">
        <v>42</v>
      </c>
    </row>
    <row r="3079" ht="15.75" customHeight="1">
      <c r="A3079" s="64">
        <v>45469.0</v>
      </c>
      <c r="B3079" s="55" t="str">
        <f>HYPERLINK("https://jobright.ai/jobs/info/667c50c7fc279489db4ebfb8?utm_campaign=1062&amp;utm_source=sheet", "Apply")</f>
        <v>Apply</v>
      </c>
      <c r="C3079" s="10" t="s">
        <v>7894</v>
      </c>
      <c r="D3079" s="56" t="s">
        <v>7895</v>
      </c>
      <c r="E3079" s="10" t="s">
        <v>71</v>
      </c>
      <c r="F3079" s="10" t="s">
        <v>7896</v>
      </c>
      <c r="G3079" s="10" t="s">
        <v>2502</v>
      </c>
      <c r="H3079" s="10" t="s">
        <v>144</v>
      </c>
      <c r="I3079" s="10" t="s">
        <v>55</v>
      </c>
      <c r="K3079" s="10" t="s">
        <v>7897</v>
      </c>
      <c r="L3079" s="10" t="s">
        <v>42</v>
      </c>
    </row>
    <row r="3080" ht="15.75" customHeight="1">
      <c r="A3080" s="64">
        <v>45469.0</v>
      </c>
      <c r="B3080" s="55" t="str">
        <f>HYPERLINK("https://jobright.ai/jobs/info/666c2d61e7a9453112c0ea0e?utm_campaign=1062&amp;utm_source=sheet", "Apply")</f>
        <v>Apply</v>
      </c>
      <c r="C3080" s="10" t="s">
        <v>7898</v>
      </c>
      <c r="D3080" s="56" t="s">
        <v>3211</v>
      </c>
      <c r="E3080" s="10" t="s">
        <v>45</v>
      </c>
      <c r="F3080" s="10" t="s">
        <v>3212</v>
      </c>
      <c r="G3080" s="10" t="s">
        <v>2484</v>
      </c>
      <c r="H3080" s="10" t="s">
        <v>5148</v>
      </c>
      <c r="I3080" s="10" t="s">
        <v>55</v>
      </c>
      <c r="K3080" s="10" t="s">
        <v>7899</v>
      </c>
      <c r="L3080" s="10" t="s">
        <v>42</v>
      </c>
    </row>
    <row r="3081" ht="15.75" customHeight="1">
      <c r="A3081" s="64">
        <v>45469.0</v>
      </c>
      <c r="B3081" s="55" t="str">
        <f>HYPERLINK("https://jobright.ai/jobs/info/667bebc40e83388656e2ee0b?utm_campaign=1062&amp;utm_source=sheet", "Apply")</f>
        <v>Apply</v>
      </c>
      <c r="C3081" s="10" t="s">
        <v>7900</v>
      </c>
      <c r="D3081" s="56" t="s">
        <v>1502</v>
      </c>
      <c r="E3081" s="10">
        <v>10345.0</v>
      </c>
      <c r="G3081" s="10" t="s">
        <v>2443</v>
      </c>
      <c r="H3081" s="10" t="s">
        <v>106</v>
      </c>
      <c r="I3081" s="10" t="s">
        <v>55</v>
      </c>
      <c r="J3081" s="10" t="s">
        <v>3125</v>
      </c>
      <c r="K3081" s="10" t="s">
        <v>7901</v>
      </c>
      <c r="L3081" s="10" t="s">
        <v>42</v>
      </c>
    </row>
    <row r="3082" ht="15.75" customHeight="1">
      <c r="A3082" s="64">
        <v>45469.0</v>
      </c>
      <c r="B3082" s="55" t="str">
        <f>HYPERLINK("https://jobright.ai/jobs/info/667c0ce9963e2f7d1037303a?utm_campaign=1062&amp;utm_source=sheet", "Apply")</f>
        <v>Apply</v>
      </c>
      <c r="C3082" s="10" t="s">
        <v>7902</v>
      </c>
      <c r="D3082" s="56" t="s">
        <v>2721</v>
      </c>
      <c r="E3082" s="10" t="s">
        <v>45</v>
      </c>
      <c r="F3082" s="10" t="s">
        <v>2722</v>
      </c>
      <c r="G3082" s="10" t="s">
        <v>2502</v>
      </c>
      <c r="H3082" s="10" t="s">
        <v>313</v>
      </c>
      <c r="I3082" s="10" t="s">
        <v>55</v>
      </c>
      <c r="K3082" s="10" t="s">
        <v>7903</v>
      </c>
      <c r="L3082" s="10" t="s">
        <v>42</v>
      </c>
    </row>
    <row r="3083" ht="15.75" customHeight="1">
      <c r="A3083" s="64">
        <v>45469.0</v>
      </c>
      <c r="B3083" s="55" t="str">
        <f>HYPERLINK("https://jobright.ai/jobs/info/667c3b600a9146e54461fa74?utm_campaign=1062&amp;utm_source=sheet", "Apply")</f>
        <v>Apply</v>
      </c>
      <c r="C3083" s="10" t="s">
        <v>7904</v>
      </c>
      <c r="D3083" s="56" t="s">
        <v>7905</v>
      </c>
      <c r="E3083" s="10" t="s">
        <v>45</v>
      </c>
      <c r="F3083" s="10" t="s">
        <v>1942</v>
      </c>
      <c r="G3083" s="10" t="s">
        <v>2528</v>
      </c>
      <c r="H3083" s="10" t="s">
        <v>7906</v>
      </c>
      <c r="I3083" s="10" t="s">
        <v>48</v>
      </c>
      <c r="K3083" s="10" t="s">
        <v>7907</v>
      </c>
      <c r="L3083" s="10" t="s">
        <v>42</v>
      </c>
    </row>
    <row r="3084" ht="15.75" customHeight="1">
      <c r="A3084" s="64">
        <v>45469.0</v>
      </c>
      <c r="B3084" s="55" t="str">
        <f>HYPERLINK("https://jobright.ai/jobs/info/667b9add111bb22c5147cdd7?utm_campaign=1062&amp;utm_source=sheet", "Apply")</f>
        <v>Apply</v>
      </c>
      <c r="C3084" s="10" t="s">
        <v>3046</v>
      </c>
      <c r="D3084" s="56" t="s">
        <v>1123</v>
      </c>
      <c r="E3084" s="10" t="s">
        <v>209</v>
      </c>
      <c r="F3084" s="10" t="s">
        <v>1124</v>
      </c>
      <c r="G3084" s="10" t="s">
        <v>2437</v>
      </c>
      <c r="H3084" s="10" t="s">
        <v>299</v>
      </c>
      <c r="I3084" s="10" t="s">
        <v>55</v>
      </c>
      <c r="K3084" s="10" t="s">
        <v>7908</v>
      </c>
      <c r="L3084" s="10" t="s">
        <v>42</v>
      </c>
    </row>
    <row r="3085" ht="15.75" customHeight="1">
      <c r="A3085" s="64">
        <v>45469.0</v>
      </c>
      <c r="B3085" s="55" t="str">
        <f>HYPERLINK("https://jobright.ai/jobs/info/667b4f9d269329a8d9289046?utm_campaign=1062&amp;utm_source=sheet", "Apply")</f>
        <v>Apply</v>
      </c>
      <c r="C3085" s="10" t="s">
        <v>6137</v>
      </c>
      <c r="D3085" s="56" t="s">
        <v>7754</v>
      </c>
      <c r="E3085" s="59">
        <v>45301.0</v>
      </c>
      <c r="F3085" s="10" t="s">
        <v>10</v>
      </c>
      <c r="G3085" s="10" t="s">
        <v>2484</v>
      </c>
      <c r="H3085" s="10" t="s">
        <v>255</v>
      </c>
      <c r="I3085" s="10" t="s">
        <v>55</v>
      </c>
      <c r="K3085" s="10" t="s">
        <v>7909</v>
      </c>
      <c r="L3085" s="10" t="s">
        <v>42</v>
      </c>
    </row>
    <row r="3086" ht="15.75" customHeight="1">
      <c r="A3086" s="64">
        <v>45469.0</v>
      </c>
      <c r="B3086" s="55" t="str">
        <f>HYPERLINK("https://jobright.ai/jobs/info/667b71e720cdb15491e3ea7d?utm_campaign=1062&amp;utm_source=sheet", "Apply")</f>
        <v>Apply</v>
      </c>
      <c r="C3086" s="10" t="s">
        <v>484</v>
      </c>
      <c r="D3086" s="56" t="s">
        <v>3364</v>
      </c>
      <c r="E3086" s="10" t="s">
        <v>45</v>
      </c>
      <c r="F3086" s="10" t="s">
        <v>1274</v>
      </c>
      <c r="G3086" s="10" t="s">
        <v>2448</v>
      </c>
      <c r="H3086" s="10" t="s">
        <v>849</v>
      </c>
      <c r="I3086" s="10" t="s">
        <v>55</v>
      </c>
      <c r="K3086" s="10" t="s">
        <v>7910</v>
      </c>
      <c r="L3086" s="10" t="s">
        <v>42</v>
      </c>
    </row>
    <row r="3087" ht="15.75" customHeight="1">
      <c r="A3087" s="64">
        <v>45469.0</v>
      </c>
      <c r="B3087" s="55" t="str">
        <f>HYPERLINK("https://jobright.ai/jobs/info/667c139ba3f6c1af6aff0dac?utm_campaign=1062&amp;utm_source=sheet", "Apply")</f>
        <v>Apply</v>
      </c>
      <c r="C3087" s="10" t="s">
        <v>3131</v>
      </c>
      <c r="D3087" s="56" t="s">
        <v>6603</v>
      </c>
      <c r="E3087" s="10" t="s">
        <v>137</v>
      </c>
      <c r="F3087" s="10" t="s">
        <v>3778</v>
      </c>
      <c r="G3087" s="10" t="s">
        <v>2437</v>
      </c>
      <c r="H3087" s="10" t="s">
        <v>4362</v>
      </c>
      <c r="I3087" s="10" t="s">
        <v>55</v>
      </c>
      <c r="K3087" s="10" t="s">
        <v>7911</v>
      </c>
      <c r="L3087" s="10" t="s">
        <v>42</v>
      </c>
    </row>
    <row r="3088" ht="15.75" customHeight="1">
      <c r="A3088" s="64">
        <v>45469.0</v>
      </c>
      <c r="B3088" s="55" t="str">
        <f>HYPERLINK("https://jobright.ai/jobs/info/667c6a57527d97d72edb3224?utm_campaign=1062&amp;utm_source=sheet", "Apply")</f>
        <v>Apply</v>
      </c>
      <c r="C3088" s="10" t="s">
        <v>4968</v>
      </c>
      <c r="D3088" s="56" t="s">
        <v>4969</v>
      </c>
      <c r="E3088" s="10" t="s">
        <v>209</v>
      </c>
      <c r="G3088" s="10" t="s">
        <v>2448</v>
      </c>
      <c r="H3088" s="10" t="s">
        <v>7912</v>
      </c>
      <c r="I3088" s="10" t="s">
        <v>55</v>
      </c>
      <c r="K3088" s="10" t="s">
        <v>4971</v>
      </c>
      <c r="L3088" s="10" t="s">
        <v>42</v>
      </c>
    </row>
    <row r="3089" ht="15.75" customHeight="1">
      <c r="A3089" s="64">
        <v>45469.0</v>
      </c>
      <c r="B3089" s="55" t="str">
        <f>HYPERLINK("https://jobright.ai/jobs/info/668baff4636eb0b10922b04c?utm_campaign=1062&amp;utm_source=sheet", "Apply")</f>
        <v>Apply</v>
      </c>
      <c r="C3089" s="10" t="s">
        <v>7913</v>
      </c>
      <c r="D3089" s="56" t="s">
        <v>1631</v>
      </c>
      <c r="E3089" s="10" t="s">
        <v>45</v>
      </c>
      <c r="F3089" s="10" t="s">
        <v>1632</v>
      </c>
      <c r="G3089" s="10" t="s">
        <v>2484</v>
      </c>
      <c r="H3089" s="10" t="s">
        <v>7914</v>
      </c>
      <c r="I3089" s="10" t="s">
        <v>55</v>
      </c>
      <c r="K3089" s="10" t="s">
        <v>7915</v>
      </c>
      <c r="L3089" s="10" t="s">
        <v>42</v>
      </c>
    </row>
    <row r="3090" ht="15.75" customHeight="1">
      <c r="A3090" s="64">
        <v>45469.0</v>
      </c>
      <c r="B3090" s="55" t="str">
        <f>HYPERLINK("https://jobright.ai/jobs/info/667cb2a793f123f8bc4b67ec?utm_campaign=1062&amp;utm_source=sheet", "Apply")</f>
        <v>Apply</v>
      </c>
      <c r="C3090" s="10" t="s">
        <v>7811</v>
      </c>
      <c r="D3090" s="56" t="s">
        <v>1373</v>
      </c>
      <c r="E3090" s="59">
        <v>45301.0</v>
      </c>
      <c r="F3090" s="10" t="s">
        <v>1184</v>
      </c>
      <c r="G3090" s="10" t="s">
        <v>2484</v>
      </c>
      <c r="H3090" s="10" t="s">
        <v>7916</v>
      </c>
      <c r="I3090" s="10" t="s">
        <v>55</v>
      </c>
      <c r="K3090" s="10" t="s">
        <v>7812</v>
      </c>
      <c r="L3090" s="10" t="s">
        <v>42</v>
      </c>
    </row>
    <row r="3091" ht="15.75" customHeight="1">
      <c r="A3091" s="64">
        <v>45468.0</v>
      </c>
      <c r="B3091" s="55" t="str">
        <f>HYPERLINK("https://jobright.ai/jobs/info/667b5c3d144544f4c57b54a7?utm_campaign=1062&amp;utm_source=sheet", "Apply")</f>
        <v>Apply</v>
      </c>
      <c r="C3091" s="10" t="s">
        <v>7917</v>
      </c>
      <c r="D3091" s="56" t="s">
        <v>1908</v>
      </c>
      <c r="E3091" s="10" t="s">
        <v>45</v>
      </c>
      <c r="F3091" s="10" t="s">
        <v>1909</v>
      </c>
      <c r="G3091" s="10" t="s">
        <v>2443</v>
      </c>
      <c r="H3091" s="10" t="s">
        <v>153</v>
      </c>
      <c r="I3091" s="10" t="s">
        <v>55</v>
      </c>
      <c r="K3091" s="10" t="s">
        <v>7918</v>
      </c>
      <c r="L3091" s="10" t="s">
        <v>42</v>
      </c>
    </row>
    <row r="3092" ht="15.75" customHeight="1">
      <c r="A3092" s="64">
        <v>45468.0</v>
      </c>
      <c r="B3092" s="55" t="str">
        <f>HYPERLINK("https://jobright.ai/jobs/info/667b5c49144544f4c57b553b?utm_campaign=1062&amp;utm_source=sheet", "Apply")</f>
        <v>Apply</v>
      </c>
      <c r="C3092" s="10" t="s">
        <v>3641</v>
      </c>
      <c r="D3092" s="56" t="s">
        <v>3192</v>
      </c>
      <c r="E3092" s="10" t="s">
        <v>209</v>
      </c>
      <c r="F3092" s="10" t="s">
        <v>1207</v>
      </c>
      <c r="G3092" s="10" t="s">
        <v>2437</v>
      </c>
      <c r="H3092" s="10" t="s">
        <v>966</v>
      </c>
      <c r="I3092" s="10" t="s">
        <v>55</v>
      </c>
      <c r="J3092" s="10" t="s">
        <v>3193</v>
      </c>
      <c r="K3092" s="10" t="s">
        <v>3194</v>
      </c>
      <c r="L3092" s="10" t="s">
        <v>42</v>
      </c>
    </row>
    <row r="3093" ht="15.75" customHeight="1">
      <c r="A3093" s="64">
        <v>45468.0</v>
      </c>
      <c r="B3093" s="55" t="str">
        <f>HYPERLINK("https://jobright.ai/jobs/info/667b52c6777bd4167efd1be1?utm_campaign=1062&amp;utm_source=sheet", "Apply")</f>
        <v>Apply</v>
      </c>
      <c r="C3093" s="10" t="s">
        <v>3094</v>
      </c>
      <c r="D3093" s="56" t="s">
        <v>7919</v>
      </c>
      <c r="E3093" s="10" t="s">
        <v>45</v>
      </c>
      <c r="F3093" s="10" t="s">
        <v>1234</v>
      </c>
      <c r="G3093" s="10" t="s">
        <v>2448</v>
      </c>
      <c r="H3093" s="10" t="s">
        <v>131</v>
      </c>
      <c r="I3093" s="10" t="s">
        <v>55</v>
      </c>
      <c r="K3093" s="10" t="s">
        <v>7920</v>
      </c>
      <c r="L3093" s="10" t="s">
        <v>42</v>
      </c>
    </row>
    <row r="3094" ht="15.75" customHeight="1">
      <c r="A3094" s="64">
        <v>45468.0</v>
      </c>
      <c r="B3094" s="55" t="str">
        <f>HYPERLINK("https://jobright.ai/jobs/info/667b4fa7269329a8d92890cf?utm_campaign=1062&amp;utm_source=sheet", "Apply")</f>
        <v>Apply</v>
      </c>
      <c r="C3094" s="10" t="s">
        <v>7921</v>
      </c>
      <c r="D3094" s="56" t="s">
        <v>7922</v>
      </c>
      <c r="E3094" s="10" t="s">
        <v>45</v>
      </c>
      <c r="F3094" s="10" t="s">
        <v>1893</v>
      </c>
      <c r="G3094" s="10" t="s">
        <v>2448</v>
      </c>
      <c r="H3094" s="10" t="s">
        <v>144</v>
      </c>
      <c r="I3094" s="10" t="s">
        <v>55</v>
      </c>
      <c r="J3094" s="10" t="s">
        <v>7923</v>
      </c>
      <c r="K3094" s="10" t="s">
        <v>7924</v>
      </c>
      <c r="L3094" s="10" t="s">
        <v>42</v>
      </c>
    </row>
    <row r="3095" ht="15.75" customHeight="1">
      <c r="A3095" s="64">
        <v>45468.0</v>
      </c>
      <c r="B3095" s="55" t="str">
        <f>HYPERLINK("https://jobright.ai/jobs/info/667b448eee2eb7122d35c378?utm_campaign=1062&amp;utm_source=sheet", "Apply")</f>
        <v>Apply</v>
      </c>
      <c r="C3095" s="10" t="s">
        <v>7925</v>
      </c>
      <c r="D3095" s="56" t="s">
        <v>7926</v>
      </c>
      <c r="E3095" s="10" t="s">
        <v>137</v>
      </c>
      <c r="F3095" s="10" t="s">
        <v>6190</v>
      </c>
      <c r="G3095" s="10" t="s">
        <v>4046</v>
      </c>
      <c r="H3095" s="10" t="s">
        <v>7927</v>
      </c>
      <c r="I3095" s="10" t="s">
        <v>55</v>
      </c>
      <c r="K3095" s="10" t="s">
        <v>7928</v>
      </c>
      <c r="L3095" s="10" t="s">
        <v>42</v>
      </c>
    </row>
    <row r="3096" ht="15.75" customHeight="1">
      <c r="A3096" s="64">
        <v>45468.0</v>
      </c>
      <c r="B3096" s="55" t="str">
        <f>HYPERLINK("https://jobright.ai/jobs/info/668baffd636eb0b10922b07b?utm_campaign=1062&amp;utm_source=sheet", "Apply")</f>
        <v>Apply</v>
      </c>
      <c r="C3096" s="10" t="s">
        <v>3102</v>
      </c>
      <c r="D3096" s="56" t="s">
        <v>7017</v>
      </c>
      <c r="E3096" s="10" t="s">
        <v>249</v>
      </c>
      <c r="F3096" s="10" t="s">
        <v>7018</v>
      </c>
      <c r="G3096" s="10" t="s">
        <v>2484</v>
      </c>
      <c r="H3096" s="10" t="s">
        <v>636</v>
      </c>
      <c r="I3096" s="10" t="s">
        <v>55</v>
      </c>
      <c r="K3096" s="10" t="s">
        <v>7020</v>
      </c>
      <c r="L3096" s="10" t="s">
        <v>42</v>
      </c>
    </row>
    <row r="3097" ht="15.75" customHeight="1">
      <c r="A3097" s="64">
        <v>45468.0</v>
      </c>
      <c r="B3097" s="55" t="str">
        <f>HYPERLINK("https://jobright.ai/jobs/info/667b341c612a07722323d719?utm_campaign=1062&amp;utm_source=sheet", "Apply")</f>
        <v>Apply</v>
      </c>
      <c r="C3097" s="10" t="s">
        <v>7929</v>
      </c>
      <c r="D3097" s="56" t="s">
        <v>7930</v>
      </c>
      <c r="E3097" s="10" t="s">
        <v>249</v>
      </c>
      <c r="F3097" s="10" t="s">
        <v>2588</v>
      </c>
      <c r="G3097" s="10" t="s">
        <v>2605</v>
      </c>
      <c r="H3097" s="10" t="s">
        <v>7931</v>
      </c>
      <c r="I3097" s="10" t="s">
        <v>55</v>
      </c>
      <c r="K3097" s="10" t="s">
        <v>7932</v>
      </c>
      <c r="L3097" s="10" t="s">
        <v>42</v>
      </c>
    </row>
    <row r="3098" ht="15.75" customHeight="1">
      <c r="A3098" s="64">
        <v>45468.0</v>
      </c>
      <c r="B3098" s="55" t="str">
        <f>HYPERLINK("https://jobright.ai/jobs/info/667b4b6df56b0bb7c8155516?utm_campaign=1062&amp;utm_source=sheet", "Apply")</f>
        <v>Apply</v>
      </c>
      <c r="C3098" s="10" t="s">
        <v>7933</v>
      </c>
      <c r="D3098" s="56" t="s">
        <v>7934</v>
      </c>
      <c r="E3098" s="10" t="s">
        <v>45</v>
      </c>
      <c r="F3098" s="10" t="s">
        <v>7935</v>
      </c>
      <c r="G3098" s="10" t="s">
        <v>2448</v>
      </c>
      <c r="H3098" s="10" t="s">
        <v>96</v>
      </c>
      <c r="I3098" s="10" t="s">
        <v>55</v>
      </c>
      <c r="J3098" s="10" t="s">
        <v>7936</v>
      </c>
      <c r="K3098" s="10" t="s">
        <v>7937</v>
      </c>
      <c r="L3098" s="10" t="s">
        <v>42</v>
      </c>
    </row>
    <row r="3099" ht="15.75" customHeight="1">
      <c r="A3099" s="64">
        <v>45468.0</v>
      </c>
      <c r="B3099" s="55" t="str">
        <f>HYPERLINK("https://jobright.ai/jobs/info/667b2b4d1b02ac33e0d75971?utm_campaign=1062&amp;utm_source=sheet", "Apply")</f>
        <v>Apply</v>
      </c>
      <c r="C3099" s="10" t="s">
        <v>7938</v>
      </c>
      <c r="D3099" s="56" t="s">
        <v>7934</v>
      </c>
      <c r="E3099" s="10" t="s">
        <v>45</v>
      </c>
      <c r="F3099" s="10" t="s">
        <v>7935</v>
      </c>
      <c r="G3099" s="10" t="s">
        <v>2448</v>
      </c>
      <c r="H3099" s="10" t="s">
        <v>169</v>
      </c>
      <c r="I3099" s="10" t="s">
        <v>55</v>
      </c>
      <c r="J3099" s="10" t="s">
        <v>7939</v>
      </c>
      <c r="K3099" s="10" t="s">
        <v>7940</v>
      </c>
      <c r="L3099" s="10" t="s">
        <v>42</v>
      </c>
    </row>
    <row r="3100" ht="15.75" customHeight="1">
      <c r="A3100" s="64">
        <v>45468.0</v>
      </c>
      <c r="B3100" s="55" t="str">
        <f>HYPERLINK("https://jobright.ai/jobs/info/667b2b4d1b02ac33e0d75972?utm_campaign=1062&amp;utm_source=sheet", "Apply")</f>
        <v>Apply</v>
      </c>
      <c r="C3100" s="10" t="s">
        <v>7933</v>
      </c>
      <c r="D3100" s="56" t="s">
        <v>7934</v>
      </c>
      <c r="E3100" s="10" t="s">
        <v>45</v>
      </c>
      <c r="F3100" s="10" t="s">
        <v>7935</v>
      </c>
      <c r="G3100" s="10" t="s">
        <v>2448</v>
      </c>
      <c r="H3100" s="10" t="s">
        <v>7941</v>
      </c>
      <c r="I3100" s="10" t="s">
        <v>55</v>
      </c>
      <c r="J3100" s="10" t="s">
        <v>7936</v>
      </c>
      <c r="K3100" s="10" t="s">
        <v>7937</v>
      </c>
      <c r="L3100" s="10" t="s">
        <v>42</v>
      </c>
    </row>
    <row r="3101" ht="15.75" customHeight="1">
      <c r="A3101" s="64">
        <v>45468.0</v>
      </c>
      <c r="B3101" s="55" t="str">
        <f>HYPERLINK("https://jobright.ai/jobs/info/667b3b3ebbd383089817f9de?utm_campaign=1062&amp;utm_source=sheet", "Apply")</f>
        <v>Apply</v>
      </c>
      <c r="C3101" s="10" t="s">
        <v>7933</v>
      </c>
      <c r="D3101" s="56" t="s">
        <v>7934</v>
      </c>
      <c r="E3101" s="10" t="s">
        <v>45</v>
      </c>
      <c r="F3101" s="10" t="s">
        <v>7935</v>
      </c>
      <c r="G3101" s="10" t="s">
        <v>2448</v>
      </c>
      <c r="H3101" s="10" t="s">
        <v>1025</v>
      </c>
      <c r="I3101" s="10" t="s">
        <v>55</v>
      </c>
      <c r="J3101" s="10" t="s">
        <v>7936</v>
      </c>
      <c r="K3101" s="10" t="s">
        <v>7937</v>
      </c>
      <c r="L3101" s="10" t="s">
        <v>42</v>
      </c>
    </row>
    <row r="3102" ht="15.75" customHeight="1">
      <c r="A3102" s="64">
        <v>45468.0</v>
      </c>
      <c r="B3102" s="55" t="str">
        <f>HYPERLINK("https://jobright.ai/jobs/info/667b1ad47660e72714b3b1b5?utm_campaign=1062&amp;utm_source=sheet", "Apply")</f>
        <v>Apply</v>
      </c>
      <c r="C3102" s="10" t="s">
        <v>7933</v>
      </c>
      <c r="D3102" s="56" t="s">
        <v>7934</v>
      </c>
      <c r="E3102" s="10" t="s">
        <v>45</v>
      </c>
      <c r="F3102" s="10" t="s">
        <v>7935</v>
      </c>
      <c r="G3102" s="10" t="s">
        <v>2448</v>
      </c>
      <c r="H3102" s="10" t="s">
        <v>387</v>
      </c>
      <c r="I3102" s="10" t="s">
        <v>55</v>
      </c>
      <c r="J3102" s="10" t="s">
        <v>7936</v>
      </c>
      <c r="K3102" s="10" t="s">
        <v>7937</v>
      </c>
      <c r="L3102" s="10" t="s">
        <v>42</v>
      </c>
    </row>
    <row r="3103" ht="15.75" customHeight="1">
      <c r="A3103" s="64">
        <v>45468.0</v>
      </c>
      <c r="B3103" s="55" t="str">
        <f>HYPERLINK("https://jobright.ai/jobs/info/667b1ad47660e72714b3b1b6?utm_campaign=1062&amp;utm_source=sheet", "Apply")</f>
        <v>Apply</v>
      </c>
      <c r="C3103" s="10" t="s">
        <v>7933</v>
      </c>
      <c r="D3103" s="56" t="s">
        <v>7934</v>
      </c>
      <c r="E3103" s="10" t="s">
        <v>45</v>
      </c>
      <c r="F3103" s="10" t="s">
        <v>7935</v>
      </c>
      <c r="G3103" s="10" t="s">
        <v>2448</v>
      </c>
      <c r="H3103" s="10" t="s">
        <v>152</v>
      </c>
      <c r="I3103" s="10" t="s">
        <v>55</v>
      </c>
      <c r="J3103" s="10" t="s">
        <v>7936</v>
      </c>
      <c r="K3103" s="10" t="s">
        <v>7937</v>
      </c>
      <c r="L3103" s="10" t="s">
        <v>42</v>
      </c>
    </row>
    <row r="3104" ht="15.75" customHeight="1">
      <c r="A3104" s="64">
        <v>45468.0</v>
      </c>
      <c r="B3104" s="55" t="str">
        <f>HYPERLINK("https://jobright.ai/jobs/info/667b1ad47660e72714b3b1b7?utm_campaign=1062&amp;utm_source=sheet", "Apply")</f>
        <v>Apply</v>
      </c>
      <c r="C3104" s="10" t="s">
        <v>7938</v>
      </c>
      <c r="D3104" s="56" t="s">
        <v>7934</v>
      </c>
      <c r="E3104" s="10" t="s">
        <v>45</v>
      </c>
      <c r="F3104" s="10" t="s">
        <v>7935</v>
      </c>
      <c r="G3104" s="10" t="s">
        <v>2448</v>
      </c>
      <c r="H3104" s="10" t="s">
        <v>2241</v>
      </c>
      <c r="I3104" s="10" t="s">
        <v>55</v>
      </c>
      <c r="J3104" s="10" t="s">
        <v>7939</v>
      </c>
      <c r="K3104" s="10" t="s">
        <v>7940</v>
      </c>
      <c r="L3104" s="10" t="s">
        <v>42</v>
      </c>
    </row>
    <row r="3105" ht="15.75" customHeight="1">
      <c r="A3105" s="64">
        <v>45468.0</v>
      </c>
      <c r="B3105" s="55" t="str">
        <f>HYPERLINK("https://jobright.ai/jobs/info/667b1ad47660e72714b3b1b8?utm_campaign=1062&amp;utm_source=sheet", "Apply")</f>
        <v>Apply</v>
      </c>
      <c r="C3105" s="10" t="s">
        <v>7933</v>
      </c>
      <c r="D3105" s="56" t="s">
        <v>7934</v>
      </c>
      <c r="E3105" s="10" t="s">
        <v>45</v>
      </c>
      <c r="F3105" s="10" t="s">
        <v>7935</v>
      </c>
      <c r="G3105" s="10" t="s">
        <v>2448</v>
      </c>
      <c r="H3105" s="10" t="s">
        <v>73</v>
      </c>
      <c r="I3105" s="10" t="s">
        <v>55</v>
      </c>
      <c r="J3105" s="10" t="s">
        <v>7936</v>
      </c>
      <c r="K3105" s="10" t="s">
        <v>7937</v>
      </c>
      <c r="L3105" s="10" t="s">
        <v>42</v>
      </c>
    </row>
    <row r="3106" ht="15.75" customHeight="1">
      <c r="A3106" s="64">
        <v>45468.0</v>
      </c>
      <c r="B3106" s="55" t="str">
        <f>HYPERLINK("https://jobright.ai/jobs/info/667b0aa8b4d737a87d6e827c?utm_campaign=1062&amp;utm_source=sheet", "Apply")</f>
        <v>Apply</v>
      </c>
      <c r="C3106" s="10" t="s">
        <v>7938</v>
      </c>
      <c r="D3106" s="56" t="s">
        <v>7934</v>
      </c>
      <c r="E3106" s="10" t="s">
        <v>45</v>
      </c>
      <c r="F3106" s="10" t="s">
        <v>7935</v>
      </c>
      <c r="G3106" s="10" t="s">
        <v>2448</v>
      </c>
      <c r="H3106" s="10" t="s">
        <v>898</v>
      </c>
      <c r="I3106" s="10" t="s">
        <v>55</v>
      </c>
      <c r="J3106" s="10" t="s">
        <v>7939</v>
      </c>
      <c r="K3106" s="10" t="s">
        <v>7940</v>
      </c>
      <c r="L3106" s="10" t="s">
        <v>42</v>
      </c>
    </row>
    <row r="3107" ht="15.75" customHeight="1">
      <c r="A3107" s="64">
        <v>45468.0</v>
      </c>
      <c r="B3107" s="55" t="str">
        <f>HYPERLINK("https://jobright.ai/jobs/info/667b0aa8b4d737a87d6e827e?utm_campaign=1062&amp;utm_source=sheet", "Apply")</f>
        <v>Apply</v>
      </c>
      <c r="C3107" s="10" t="s">
        <v>7933</v>
      </c>
      <c r="D3107" s="56" t="s">
        <v>7934</v>
      </c>
      <c r="E3107" s="10" t="s">
        <v>45</v>
      </c>
      <c r="F3107" s="10" t="s">
        <v>7935</v>
      </c>
      <c r="G3107" s="10" t="s">
        <v>2448</v>
      </c>
      <c r="H3107" s="10" t="s">
        <v>153</v>
      </c>
      <c r="I3107" s="10" t="s">
        <v>55</v>
      </c>
      <c r="J3107" s="10" t="s">
        <v>7936</v>
      </c>
      <c r="K3107" s="10" t="s">
        <v>7937</v>
      </c>
      <c r="L3107" s="10" t="s">
        <v>42</v>
      </c>
    </row>
    <row r="3108" ht="15.75" customHeight="1">
      <c r="A3108" s="64">
        <v>45468.0</v>
      </c>
      <c r="B3108" s="55" t="str">
        <f>HYPERLINK("https://jobright.ai/jobs/info/667b0aa8b4d737a87d6e827d?utm_campaign=1062&amp;utm_source=sheet", "Apply")</f>
        <v>Apply</v>
      </c>
      <c r="C3108" s="10" t="s">
        <v>7938</v>
      </c>
      <c r="D3108" s="56" t="s">
        <v>7934</v>
      </c>
      <c r="E3108" s="10" t="s">
        <v>45</v>
      </c>
      <c r="F3108" s="10" t="s">
        <v>7935</v>
      </c>
      <c r="G3108" s="10" t="s">
        <v>2448</v>
      </c>
      <c r="H3108" s="10" t="s">
        <v>144</v>
      </c>
      <c r="I3108" s="10" t="s">
        <v>55</v>
      </c>
      <c r="J3108" s="10" t="s">
        <v>7939</v>
      </c>
      <c r="K3108" s="10" t="s">
        <v>7940</v>
      </c>
      <c r="L3108" s="10" t="s">
        <v>42</v>
      </c>
    </row>
    <row r="3109" ht="15.75" customHeight="1">
      <c r="A3109" s="64">
        <v>45468.0</v>
      </c>
      <c r="B3109" s="55" t="str">
        <f>HYPERLINK("https://jobright.ai/jobs/info/667b0aa8b4d737a87d6e8284?utm_campaign=1062&amp;utm_source=sheet", "Apply")</f>
        <v>Apply</v>
      </c>
      <c r="C3109" s="10" t="s">
        <v>7933</v>
      </c>
      <c r="D3109" s="56" t="s">
        <v>7934</v>
      </c>
      <c r="E3109" s="10" t="s">
        <v>45</v>
      </c>
      <c r="F3109" s="10" t="s">
        <v>7935</v>
      </c>
      <c r="G3109" s="10" t="s">
        <v>2448</v>
      </c>
      <c r="H3109" s="10" t="s">
        <v>168</v>
      </c>
      <c r="I3109" s="10" t="s">
        <v>55</v>
      </c>
      <c r="J3109" s="10" t="s">
        <v>7936</v>
      </c>
      <c r="K3109" s="10" t="s">
        <v>7937</v>
      </c>
      <c r="L3109" s="10" t="s">
        <v>42</v>
      </c>
    </row>
    <row r="3110" ht="15.75" customHeight="1">
      <c r="A3110" s="64">
        <v>45468.0</v>
      </c>
      <c r="B3110" s="55" t="str">
        <f>HYPERLINK("https://jobright.ai/jobs/info/667b0aa8b4d737a87d6e8285?utm_campaign=1062&amp;utm_source=sheet", "Apply")</f>
        <v>Apply</v>
      </c>
      <c r="C3110" s="10" t="s">
        <v>7938</v>
      </c>
      <c r="D3110" s="56" t="s">
        <v>7934</v>
      </c>
      <c r="E3110" s="10" t="s">
        <v>45</v>
      </c>
      <c r="F3110" s="10" t="s">
        <v>7935</v>
      </c>
      <c r="G3110" s="10" t="s">
        <v>2448</v>
      </c>
      <c r="H3110" s="10" t="s">
        <v>96</v>
      </c>
      <c r="I3110" s="10" t="s">
        <v>55</v>
      </c>
      <c r="J3110" s="10" t="s">
        <v>7939</v>
      </c>
      <c r="K3110" s="10" t="s">
        <v>7940</v>
      </c>
      <c r="L3110" s="10" t="s">
        <v>42</v>
      </c>
    </row>
    <row r="3111" ht="15.75" customHeight="1">
      <c r="A3111" s="64">
        <v>45468.0</v>
      </c>
      <c r="B3111" s="55" t="str">
        <f>HYPERLINK("https://jobright.ai/jobs/info/667b0aa8b4d737a87d6e827f?utm_campaign=1062&amp;utm_source=sheet", "Apply")</f>
        <v>Apply</v>
      </c>
      <c r="C3111" s="10" t="s">
        <v>7938</v>
      </c>
      <c r="D3111" s="56" t="s">
        <v>7934</v>
      </c>
      <c r="E3111" s="10" t="s">
        <v>45</v>
      </c>
      <c r="F3111" s="10" t="s">
        <v>7935</v>
      </c>
      <c r="G3111" s="10" t="s">
        <v>2448</v>
      </c>
      <c r="H3111" s="10" t="s">
        <v>845</v>
      </c>
      <c r="I3111" s="10" t="s">
        <v>55</v>
      </c>
      <c r="J3111" s="10" t="s">
        <v>7939</v>
      </c>
      <c r="K3111" s="10" t="s">
        <v>7940</v>
      </c>
      <c r="L3111" s="10" t="s">
        <v>42</v>
      </c>
    </row>
    <row r="3112" ht="15.75" customHeight="1">
      <c r="A3112" s="64">
        <v>45468.0</v>
      </c>
      <c r="B3112" s="55" t="str">
        <f>HYPERLINK("https://jobright.ai/jobs/info/667b0aa8b4d737a87d6e8282?utm_campaign=1062&amp;utm_source=sheet", "Apply")</f>
        <v>Apply</v>
      </c>
      <c r="C3112" s="10" t="s">
        <v>7933</v>
      </c>
      <c r="D3112" s="56" t="s">
        <v>7934</v>
      </c>
      <c r="E3112" s="10" t="s">
        <v>45</v>
      </c>
      <c r="F3112" s="10" t="s">
        <v>7935</v>
      </c>
      <c r="G3112" s="10" t="s">
        <v>2448</v>
      </c>
      <c r="H3112" s="10" t="s">
        <v>169</v>
      </c>
      <c r="I3112" s="10" t="s">
        <v>55</v>
      </c>
      <c r="J3112" s="10" t="s">
        <v>7936</v>
      </c>
      <c r="K3112" s="10" t="s">
        <v>7937</v>
      </c>
      <c r="L3112" s="10" t="s">
        <v>42</v>
      </c>
    </row>
    <row r="3113" ht="15.75" customHeight="1">
      <c r="A3113" s="64">
        <v>45468.0</v>
      </c>
      <c r="B3113" s="55" t="str">
        <f>HYPERLINK("https://jobright.ai/jobs/info/667b0aa8b4d737a87d6e8281?utm_campaign=1062&amp;utm_source=sheet", "Apply")</f>
        <v>Apply</v>
      </c>
      <c r="C3113" s="10" t="s">
        <v>7938</v>
      </c>
      <c r="D3113" s="56" t="s">
        <v>7934</v>
      </c>
      <c r="E3113" s="10" t="s">
        <v>45</v>
      </c>
      <c r="F3113" s="10" t="s">
        <v>7935</v>
      </c>
      <c r="G3113" s="10" t="s">
        <v>2448</v>
      </c>
      <c r="H3113" s="10" t="s">
        <v>7942</v>
      </c>
      <c r="I3113" s="10" t="s">
        <v>55</v>
      </c>
      <c r="J3113" s="10" t="s">
        <v>7939</v>
      </c>
      <c r="K3113" s="10" t="s">
        <v>7940</v>
      </c>
      <c r="L3113" s="10" t="s">
        <v>42</v>
      </c>
    </row>
    <row r="3114" ht="15.75" customHeight="1">
      <c r="A3114" s="64">
        <v>45468.0</v>
      </c>
      <c r="B3114" s="55" t="str">
        <f>HYPERLINK("https://jobright.ai/jobs/info/667b1926ced231a4649d98d2?utm_campaign=1062&amp;utm_source=sheet", "Apply")</f>
        <v>Apply</v>
      </c>
      <c r="C3114" s="10" t="s">
        <v>7933</v>
      </c>
      <c r="D3114" s="56" t="s">
        <v>7934</v>
      </c>
      <c r="E3114" s="10" t="s">
        <v>45</v>
      </c>
      <c r="F3114" s="10" t="s">
        <v>7935</v>
      </c>
      <c r="G3114" s="10" t="s">
        <v>2448</v>
      </c>
      <c r="H3114" s="10" t="s">
        <v>165</v>
      </c>
      <c r="I3114" s="10" t="s">
        <v>55</v>
      </c>
      <c r="J3114" s="10" t="s">
        <v>7936</v>
      </c>
      <c r="K3114" s="10" t="s">
        <v>7937</v>
      </c>
      <c r="L3114" s="10" t="s">
        <v>42</v>
      </c>
    </row>
    <row r="3115" ht="15.75" customHeight="1">
      <c r="A3115" s="64">
        <v>45468.0</v>
      </c>
      <c r="B3115" s="55" t="str">
        <f>HYPERLINK("https://jobright.ai/jobs/info/667b0ab3b4d737a87d6e834d?utm_campaign=1062&amp;utm_source=sheet", "Apply")</f>
        <v>Apply</v>
      </c>
      <c r="C3115" s="10" t="s">
        <v>7938</v>
      </c>
      <c r="D3115" s="56" t="s">
        <v>7934</v>
      </c>
      <c r="E3115" s="10" t="s">
        <v>45</v>
      </c>
      <c r="F3115" s="10" t="s">
        <v>7935</v>
      </c>
      <c r="G3115" s="10" t="s">
        <v>2448</v>
      </c>
      <c r="H3115" s="10" t="s">
        <v>860</v>
      </c>
      <c r="I3115" s="10" t="s">
        <v>55</v>
      </c>
      <c r="J3115" s="10" t="s">
        <v>7939</v>
      </c>
      <c r="K3115" s="10" t="s">
        <v>7940</v>
      </c>
      <c r="L3115" s="10" t="s">
        <v>42</v>
      </c>
    </row>
    <row r="3116" ht="15.75" customHeight="1">
      <c r="A3116" s="64">
        <v>45468.0</v>
      </c>
      <c r="B3116" s="55" t="str">
        <f>HYPERLINK("https://jobright.ai/jobs/info/667b0ab3b4d737a87d6e8347?utm_campaign=1062&amp;utm_source=sheet", "Apply")</f>
        <v>Apply</v>
      </c>
      <c r="C3116" s="10" t="s">
        <v>7938</v>
      </c>
      <c r="D3116" s="56" t="s">
        <v>7934</v>
      </c>
      <c r="E3116" s="10" t="s">
        <v>45</v>
      </c>
      <c r="F3116" s="10" t="s">
        <v>7935</v>
      </c>
      <c r="G3116" s="10" t="s">
        <v>2448</v>
      </c>
      <c r="H3116" s="10" t="s">
        <v>7943</v>
      </c>
      <c r="I3116" s="10" t="s">
        <v>55</v>
      </c>
      <c r="J3116" s="10" t="s">
        <v>7939</v>
      </c>
      <c r="K3116" s="10" t="s">
        <v>7940</v>
      </c>
      <c r="L3116" s="10" t="s">
        <v>42</v>
      </c>
    </row>
    <row r="3117" ht="15.75" customHeight="1">
      <c r="A3117" s="64">
        <v>45468.0</v>
      </c>
      <c r="B3117" s="55" t="str">
        <f>HYPERLINK("https://jobright.ai/jobs/info/667b0ab3b4d737a87d6e8349?utm_campaign=1062&amp;utm_source=sheet", "Apply")</f>
        <v>Apply</v>
      </c>
      <c r="C3117" s="10" t="s">
        <v>7933</v>
      </c>
      <c r="D3117" s="56" t="s">
        <v>7934</v>
      </c>
      <c r="E3117" s="10" t="s">
        <v>45</v>
      </c>
      <c r="F3117" s="10" t="s">
        <v>7935</v>
      </c>
      <c r="G3117" s="10" t="s">
        <v>2448</v>
      </c>
      <c r="H3117" s="10" t="s">
        <v>144</v>
      </c>
      <c r="I3117" s="10" t="s">
        <v>55</v>
      </c>
      <c r="J3117" s="10" t="s">
        <v>7936</v>
      </c>
      <c r="K3117" s="10" t="s">
        <v>7937</v>
      </c>
      <c r="L3117" s="10" t="s">
        <v>42</v>
      </c>
    </row>
    <row r="3118" ht="15.75" customHeight="1">
      <c r="A3118" s="64">
        <v>45468.0</v>
      </c>
      <c r="B3118" s="55" t="str">
        <f>HYPERLINK("https://jobright.ai/jobs/info/667b0aa8b4d737a87d6e8342?utm_campaign=1062&amp;utm_source=sheet", "Apply")</f>
        <v>Apply</v>
      </c>
      <c r="C3118" s="10" t="s">
        <v>7933</v>
      </c>
      <c r="D3118" s="56" t="s">
        <v>7934</v>
      </c>
      <c r="E3118" s="10" t="s">
        <v>45</v>
      </c>
      <c r="F3118" s="10" t="s">
        <v>7935</v>
      </c>
      <c r="G3118" s="10" t="s">
        <v>2448</v>
      </c>
      <c r="H3118" s="10" t="s">
        <v>361</v>
      </c>
      <c r="I3118" s="10" t="s">
        <v>55</v>
      </c>
      <c r="J3118" s="10" t="s">
        <v>7936</v>
      </c>
      <c r="K3118" s="10" t="s">
        <v>7937</v>
      </c>
      <c r="L3118" s="10" t="s">
        <v>42</v>
      </c>
    </row>
    <row r="3119" ht="15.75" customHeight="1">
      <c r="A3119" s="64">
        <v>45468.0</v>
      </c>
      <c r="B3119" s="55" t="str">
        <f>HYPERLINK("https://jobright.ai/jobs/info/667b0ab3b4d737a87d6e8343?utm_campaign=1062&amp;utm_source=sheet", "Apply")</f>
        <v>Apply</v>
      </c>
      <c r="C3119" s="10" t="s">
        <v>7933</v>
      </c>
      <c r="D3119" s="56" t="s">
        <v>7934</v>
      </c>
      <c r="E3119" s="10" t="s">
        <v>45</v>
      </c>
      <c r="F3119" s="10" t="s">
        <v>7935</v>
      </c>
      <c r="G3119" s="10" t="s">
        <v>2448</v>
      </c>
      <c r="H3119" s="10" t="s">
        <v>423</v>
      </c>
      <c r="I3119" s="10" t="s">
        <v>55</v>
      </c>
      <c r="J3119" s="10" t="s">
        <v>7936</v>
      </c>
      <c r="K3119" s="10" t="s">
        <v>7937</v>
      </c>
      <c r="L3119" s="10" t="s">
        <v>42</v>
      </c>
    </row>
    <row r="3120" ht="15.75" customHeight="1">
      <c r="A3120" s="64">
        <v>45468.0</v>
      </c>
      <c r="B3120" s="55" t="str">
        <f>HYPERLINK("https://jobright.ai/jobs/info/667b0ab3b4d737a87d6e834a?utm_campaign=1062&amp;utm_source=sheet", "Apply")</f>
        <v>Apply</v>
      </c>
      <c r="C3120" s="10" t="s">
        <v>7938</v>
      </c>
      <c r="D3120" s="56" t="s">
        <v>7934</v>
      </c>
      <c r="E3120" s="10" t="s">
        <v>45</v>
      </c>
      <c r="F3120" s="10" t="s">
        <v>7935</v>
      </c>
      <c r="G3120" s="10" t="s">
        <v>2448</v>
      </c>
      <c r="H3120" s="10" t="s">
        <v>113</v>
      </c>
      <c r="I3120" s="10" t="s">
        <v>55</v>
      </c>
      <c r="J3120" s="10" t="s">
        <v>7939</v>
      </c>
      <c r="K3120" s="10" t="s">
        <v>7940</v>
      </c>
      <c r="L3120" s="10" t="s">
        <v>42</v>
      </c>
    </row>
    <row r="3121" ht="15.75" customHeight="1">
      <c r="A3121" s="64">
        <v>45468.0</v>
      </c>
      <c r="B3121" s="55" t="str">
        <f>HYPERLINK("https://jobright.ai/jobs/info/667b0ab3b4d737a87d6e8350?utm_campaign=1062&amp;utm_source=sheet", "Apply")</f>
        <v>Apply</v>
      </c>
      <c r="C3121" s="10" t="s">
        <v>7938</v>
      </c>
      <c r="D3121" s="56" t="s">
        <v>7934</v>
      </c>
      <c r="E3121" s="10" t="s">
        <v>45</v>
      </c>
      <c r="F3121" s="10" t="s">
        <v>7935</v>
      </c>
      <c r="G3121" s="10" t="s">
        <v>2448</v>
      </c>
      <c r="H3121" s="10" t="s">
        <v>153</v>
      </c>
      <c r="I3121" s="10" t="s">
        <v>55</v>
      </c>
      <c r="J3121" s="10" t="s">
        <v>7939</v>
      </c>
      <c r="K3121" s="10" t="s">
        <v>7940</v>
      </c>
      <c r="L3121" s="10" t="s">
        <v>42</v>
      </c>
    </row>
    <row r="3122" ht="15.75" customHeight="1">
      <c r="A3122" s="64">
        <v>45468.0</v>
      </c>
      <c r="B3122" s="55" t="str">
        <f>HYPERLINK("https://jobright.ai/jobs/info/667b0ab3b4d737a87d6e8351?utm_campaign=1062&amp;utm_source=sheet", "Apply")</f>
        <v>Apply</v>
      </c>
      <c r="C3122" s="10" t="s">
        <v>7938</v>
      </c>
      <c r="D3122" s="56" t="s">
        <v>7934</v>
      </c>
      <c r="E3122" s="10" t="s">
        <v>45</v>
      </c>
      <c r="F3122" s="10" t="s">
        <v>7935</v>
      </c>
      <c r="G3122" s="10" t="s">
        <v>2448</v>
      </c>
      <c r="H3122" s="10" t="s">
        <v>423</v>
      </c>
      <c r="I3122" s="10" t="s">
        <v>55</v>
      </c>
      <c r="J3122" s="10" t="s">
        <v>7939</v>
      </c>
      <c r="K3122" s="10" t="s">
        <v>7940</v>
      </c>
      <c r="L3122" s="10" t="s">
        <v>42</v>
      </c>
    </row>
    <row r="3123" ht="15.75" customHeight="1">
      <c r="A3123" s="64">
        <v>45468.0</v>
      </c>
      <c r="B3123" s="55" t="str">
        <f>HYPERLINK("https://jobright.ai/jobs/info/667b0ab3b4d737a87d6e8353?utm_campaign=1062&amp;utm_source=sheet", "Apply")</f>
        <v>Apply</v>
      </c>
      <c r="C3123" s="10" t="s">
        <v>7933</v>
      </c>
      <c r="D3123" s="56" t="s">
        <v>7934</v>
      </c>
      <c r="E3123" s="10" t="s">
        <v>45</v>
      </c>
      <c r="F3123" s="10" t="s">
        <v>7935</v>
      </c>
      <c r="G3123" s="10" t="s">
        <v>2448</v>
      </c>
      <c r="H3123" s="10" t="s">
        <v>860</v>
      </c>
      <c r="I3123" s="10" t="s">
        <v>55</v>
      </c>
      <c r="J3123" s="10" t="s">
        <v>7936</v>
      </c>
      <c r="K3123" s="10" t="s">
        <v>7937</v>
      </c>
      <c r="L3123" s="10" t="s">
        <v>42</v>
      </c>
    </row>
    <row r="3124" ht="15.75" customHeight="1">
      <c r="A3124" s="64">
        <v>45468.0</v>
      </c>
      <c r="B3124" s="55" t="str">
        <f>HYPERLINK("https://jobright.ai/jobs/info/667b0ab3b4d737a87d6e8354?utm_campaign=1062&amp;utm_source=sheet", "Apply")</f>
        <v>Apply</v>
      </c>
      <c r="C3124" s="10" t="s">
        <v>7938</v>
      </c>
      <c r="D3124" s="56" t="s">
        <v>7934</v>
      </c>
      <c r="E3124" s="10" t="s">
        <v>45</v>
      </c>
      <c r="F3124" s="10" t="s">
        <v>7935</v>
      </c>
      <c r="G3124" s="10" t="s">
        <v>2448</v>
      </c>
      <c r="H3124" s="10" t="s">
        <v>73</v>
      </c>
      <c r="I3124" s="10" t="s">
        <v>55</v>
      </c>
      <c r="J3124" s="10" t="s">
        <v>7939</v>
      </c>
      <c r="K3124" s="10" t="s">
        <v>7940</v>
      </c>
      <c r="L3124" s="10" t="s">
        <v>42</v>
      </c>
    </row>
    <row r="3125" ht="15.75" customHeight="1">
      <c r="A3125" s="64">
        <v>45468.0</v>
      </c>
      <c r="B3125" s="55" t="str">
        <f>HYPERLINK("https://jobright.ai/jobs/info/667b1926ced231a4649d9911?utm_campaign=1062&amp;utm_source=sheet", "Apply")</f>
        <v>Apply</v>
      </c>
      <c r="C3125" s="10" t="s">
        <v>7933</v>
      </c>
      <c r="D3125" s="56" t="s">
        <v>7934</v>
      </c>
      <c r="E3125" s="10" t="s">
        <v>45</v>
      </c>
      <c r="F3125" s="10" t="s">
        <v>7935</v>
      </c>
      <c r="G3125" s="10" t="s">
        <v>2448</v>
      </c>
      <c r="H3125" s="10" t="s">
        <v>216</v>
      </c>
      <c r="I3125" s="10" t="s">
        <v>55</v>
      </c>
      <c r="J3125" s="10" t="s">
        <v>7936</v>
      </c>
      <c r="K3125" s="10" t="s">
        <v>7937</v>
      </c>
      <c r="L3125" s="10" t="s">
        <v>42</v>
      </c>
    </row>
    <row r="3126" ht="15.75" customHeight="1">
      <c r="A3126" s="64">
        <v>45468.0</v>
      </c>
      <c r="B3126" s="55" t="str">
        <f>HYPERLINK("https://jobright.ai/jobs/info/667b1926ced231a4649d9913?utm_campaign=1062&amp;utm_source=sheet", "Apply")</f>
        <v>Apply</v>
      </c>
      <c r="C3126" s="10" t="s">
        <v>7933</v>
      </c>
      <c r="D3126" s="56" t="s">
        <v>7934</v>
      </c>
      <c r="E3126" s="10" t="s">
        <v>45</v>
      </c>
      <c r="F3126" s="10" t="s">
        <v>7935</v>
      </c>
      <c r="G3126" s="10" t="s">
        <v>2448</v>
      </c>
      <c r="H3126" s="10" t="s">
        <v>170</v>
      </c>
      <c r="I3126" s="10" t="s">
        <v>55</v>
      </c>
      <c r="J3126" s="10" t="s">
        <v>7936</v>
      </c>
      <c r="K3126" s="10" t="s">
        <v>7937</v>
      </c>
      <c r="L3126" s="10" t="s">
        <v>42</v>
      </c>
    </row>
    <row r="3127" ht="15.75" customHeight="1">
      <c r="A3127" s="64">
        <v>45468.0</v>
      </c>
      <c r="B3127" s="55" t="str">
        <f>HYPERLINK("https://jobright.ai/jobs/info/667b1926ced231a4649d9914?utm_campaign=1062&amp;utm_source=sheet", "Apply")</f>
        <v>Apply</v>
      </c>
      <c r="C3127" s="10" t="s">
        <v>7933</v>
      </c>
      <c r="D3127" s="56" t="s">
        <v>7934</v>
      </c>
      <c r="E3127" s="10" t="s">
        <v>45</v>
      </c>
      <c r="F3127" s="10" t="s">
        <v>7935</v>
      </c>
      <c r="G3127" s="10" t="s">
        <v>2448</v>
      </c>
      <c r="H3127" s="10" t="s">
        <v>7942</v>
      </c>
      <c r="I3127" s="10" t="s">
        <v>55</v>
      </c>
      <c r="J3127" s="10" t="s">
        <v>7936</v>
      </c>
      <c r="K3127" s="10" t="s">
        <v>7937</v>
      </c>
      <c r="L3127" s="10" t="s">
        <v>42</v>
      </c>
    </row>
    <row r="3128" ht="15.75" customHeight="1">
      <c r="A3128" s="64">
        <v>45468.0</v>
      </c>
      <c r="B3128" s="55" t="str">
        <f>HYPERLINK("https://jobright.ai/jobs/info/667b2e7be24347abeb42455d?utm_campaign=1062&amp;utm_source=sheet", "Apply")</f>
        <v>Apply</v>
      </c>
      <c r="C3128" s="10" t="s">
        <v>7933</v>
      </c>
      <c r="D3128" s="56" t="s">
        <v>7934</v>
      </c>
      <c r="E3128" s="10" t="s">
        <v>45</v>
      </c>
      <c r="F3128" s="10" t="s">
        <v>7935</v>
      </c>
      <c r="G3128" s="10" t="s">
        <v>2448</v>
      </c>
      <c r="H3128" s="10" t="s">
        <v>1263</v>
      </c>
      <c r="I3128" s="10" t="s">
        <v>55</v>
      </c>
      <c r="J3128" s="10" t="s">
        <v>7936</v>
      </c>
      <c r="K3128" s="10" t="s">
        <v>7937</v>
      </c>
      <c r="L3128" s="10" t="s">
        <v>42</v>
      </c>
    </row>
    <row r="3129" ht="15.75" customHeight="1">
      <c r="A3129" s="64">
        <v>45468.0</v>
      </c>
      <c r="B3129" s="55" t="str">
        <f>HYPERLINK("https://jobright.ai/jobs/info/667b062fafa22422d18a9728?utm_campaign=1062&amp;utm_source=sheet", "Apply")</f>
        <v>Apply</v>
      </c>
      <c r="C3129" s="10" t="s">
        <v>7938</v>
      </c>
      <c r="D3129" s="56" t="s">
        <v>7934</v>
      </c>
      <c r="E3129" s="10" t="s">
        <v>45</v>
      </c>
      <c r="F3129" s="10" t="s">
        <v>7935</v>
      </c>
      <c r="G3129" s="10" t="s">
        <v>2448</v>
      </c>
      <c r="H3129" s="10" t="s">
        <v>170</v>
      </c>
      <c r="I3129" s="10" t="s">
        <v>55</v>
      </c>
      <c r="J3129" s="10" t="s">
        <v>7939</v>
      </c>
      <c r="K3129" s="10" t="s">
        <v>7940</v>
      </c>
      <c r="L3129" s="10" t="s">
        <v>42</v>
      </c>
    </row>
    <row r="3130" ht="15.75" customHeight="1">
      <c r="A3130" s="64">
        <v>45468.0</v>
      </c>
      <c r="B3130" s="55" t="str">
        <f>HYPERLINK("https://jobright.ai/jobs/info/667b062fafa22422d18a9731?utm_campaign=1062&amp;utm_source=sheet", "Apply")</f>
        <v>Apply</v>
      </c>
      <c r="C3130" s="10" t="s">
        <v>7938</v>
      </c>
      <c r="D3130" s="56" t="s">
        <v>7934</v>
      </c>
      <c r="E3130" s="10" t="s">
        <v>45</v>
      </c>
      <c r="F3130" s="10" t="s">
        <v>7935</v>
      </c>
      <c r="G3130" s="10" t="s">
        <v>2448</v>
      </c>
      <c r="H3130" s="10" t="s">
        <v>966</v>
      </c>
      <c r="I3130" s="10" t="s">
        <v>55</v>
      </c>
      <c r="J3130" s="10" t="s">
        <v>7939</v>
      </c>
      <c r="K3130" s="10" t="s">
        <v>7940</v>
      </c>
      <c r="L3130" s="10" t="s">
        <v>42</v>
      </c>
    </row>
    <row r="3131" ht="15.75" customHeight="1">
      <c r="A3131" s="64">
        <v>45468.0</v>
      </c>
      <c r="B3131" s="55" t="str">
        <f>HYPERLINK("https://jobright.ai/jobs/info/667b062fafa22422d18a972c?utm_campaign=1062&amp;utm_source=sheet", "Apply")</f>
        <v>Apply</v>
      </c>
      <c r="C3131" s="10" t="s">
        <v>7938</v>
      </c>
      <c r="D3131" s="56" t="s">
        <v>7934</v>
      </c>
      <c r="E3131" s="10" t="s">
        <v>45</v>
      </c>
      <c r="F3131" s="10" t="s">
        <v>7935</v>
      </c>
      <c r="G3131" s="10" t="s">
        <v>2448</v>
      </c>
      <c r="H3131" s="10" t="s">
        <v>1025</v>
      </c>
      <c r="I3131" s="10" t="s">
        <v>55</v>
      </c>
      <c r="J3131" s="10" t="s">
        <v>7939</v>
      </c>
      <c r="K3131" s="10" t="s">
        <v>7940</v>
      </c>
      <c r="L3131" s="10" t="s">
        <v>42</v>
      </c>
    </row>
    <row r="3132" ht="15.75" customHeight="1">
      <c r="A3132" s="64">
        <v>45468.0</v>
      </c>
      <c r="B3132" s="55" t="str">
        <f>HYPERLINK("https://jobright.ai/jobs/info/667b062fafa22422d18a9729?utm_campaign=1062&amp;utm_source=sheet", "Apply")</f>
        <v>Apply</v>
      </c>
      <c r="C3132" s="10" t="s">
        <v>7938</v>
      </c>
      <c r="D3132" s="56" t="s">
        <v>7934</v>
      </c>
      <c r="E3132" s="10" t="s">
        <v>45</v>
      </c>
      <c r="F3132" s="10" t="s">
        <v>7935</v>
      </c>
      <c r="G3132" s="10" t="s">
        <v>2448</v>
      </c>
      <c r="H3132" s="10" t="s">
        <v>419</v>
      </c>
      <c r="I3132" s="10" t="s">
        <v>55</v>
      </c>
      <c r="J3132" s="10" t="s">
        <v>7939</v>
      </c>
      <c r="K3132" s="10" t="s">
        <v>7940</v>
      </c>
      <c r="L3132" s="10" t="s">
        <v>42</v>
      </c>
    </row>
    <row r="3133" ht="15.75" customHeight="1">
      <c r="A3133" s="64">
        <v>45468.0</v>
      </c>
      <c r="B3133" s="55" t="str">
        <f>HYPERLINK("https://jobright.ai/jobs/info/667b062fafa22422d18a972d?utm_campaign=1062&amp;utm_source=sheet", "Apply")</f>
        <v>Apply</v>
      </c>
      <c r="C3133" s="10" t="s">
        <v>7933</v>
      </c>
      <c r="D3133" s="56" t="s">
        <v>7934</v>
      </c>
      <c r="E3133" s="10" t="s">
        <v>45</v>
      </c>
      <c r="F3133" s="10" t="s">
        <v>7935</v>
      </c>
      <c r="G3133" s="10" t="s">
        <v>2448</v>
      </c>
      <c r="H3133" s="10" t="s">
        <v>698</v>
      </c>
      <c r="I3133" s="10" t="s">
        <v>55</v>
      </c>
      <c r="J3133" s="10" t="s">
        <v>7936</v>
      </c>
      <c r="K3133" s="10" t="s">
        <v>7937</v>
      </c>
      <c r="L3133" s="10" t="s">
        <v>42</v>
      </c>
    </row>
    <row r="3134" ht="15.75" customHeight="1">
      <c r="A3134" s="64">
        <v>45468.0</v>
      </c>
      <c r="B3134" s="55" t="str">
        <f>HYPERLINK("https://jobright.ai/jobs/info/667b062fafa22422d18a972e?utm_campaign=1062&amp;utm_source=sheet", "Apply")</f>
        <v>Apply</v>
      </c>
      <c r="C3134" s="10" t="s">
        <v>7938</v>
      </c>
      <c r="D3134" s="56" t="s">
        <v>7934</v>
      </c>
      <c r="E3134" s="10" t="s">
        <v>45</v>
      </c>
      <c r="F3134" s="10" t="s">
        <v>7935</v>
      </c>
      <c r="G3134" s="10" t="s">
        <v>2448</v>
      </c>
      <c r="H3134" s="10" t="s">
        <v>361</v>
      </c>
      <c r="I3134" s="10" t="s">
        <v>55</v>
      </c>
      <c r="J3134" s="10" t="s">
        <v>7939</v>
      </c>
      <c r="K3134" s="10" t="s">
        <v>7940</v>
      </c>
      <c r="L3134" s="10" t="s">
        <v>42</v>
      </c>
    </row>
    <row r="3135" ht="15.75" customHeight="1">
      <c r="A3135" s="64">
        <v>45468.0</v>
      </c>
      <c r="B3135" s="55" t="str">
        <f>HYPERLINK("https://jobright.ai/jobs/info/667b062fafa22422d18a972a?utm_campaign=1062&amp;utm_source=sheet", "Apply")</f>
        <v>Apply</v>
      </c>
      <c r="C3135" s="10" t="s">
        <v>7933</v>
      </c>
      <c r="D3135" s="56" t="s">
        <v>7934</v>
      </c>
      <c r="E3135" s="10" t="s">
        <v>45</v>
      </c>
      <c r="F3135" s="10" t="s">
        <v>7935</v>
      </c>
      <c r="G3135" s="10" t="s">
        <v>2448</v>
      </c>
      <c r="H3135" s="10" t="s">
        <v>1260</v>
      </c>
      <c r="I3135" s="10" t="s">
        <v>55</v>
      </c>
      <c r="J3135" s="10" t="s">
        <v>7936</v>
      </c>
      <c r="K3135" s="10" t="s">
        <v>7937</v>
      </c>
      <c r="L3135" s="10" t="s">
        <v>42</v>
      </c>
    </row>
    <row r="3136" ht="15.75" customHeight="1">
      <c r="A3136" s="64">
        <v>45468.0</v>
      </c>
      <c r="B3136" s="55" t="str">
        <f>HYPERLINK("https://jobright.ai/jobs/info/667b062fafa22422d18a9732?utm_campaign=1062&amp;utm_source=sheet", "Apply")</f>
        <v>Apply</v>
      </c>
      <c r="C3136" s="10" t="s">
        <v>7933</v>
      </c>
      <c r="D3136" s="56" t="s">
        <v>7934</v>
      </c>
      <c r="E3136" s="10" t="s">
        <v>45</v>
      </c>
      <c r="F3136" s="10" t="s">
        <v>7935</v>
      </c>
      <c r="G3136" s="10" t="s">
        <v>2448</v>
      </c>
      <c r="H3136" s="10" t="s">
        <v>845</v>
      </c>
      <c r="I3136" s="10" t="s">
        <v>55</v>
      </c>
      <c r="J3136" s="10" t="s">
        <v>7936</v>
      </c>
      <c r="K3136" s="10" t="s">
        <v>7937</v>
      </c>
      <c r="L3136" s="10" t="s">
        <v>42</v>
      </c>
    </row>
    <row r="3137" ht="15.75" customHeight="1">
      <c r="A3137" s="64">
        <v>45468.0</v>
      </c>
      <c r="B3137" s="55" t="str">
        <f>HYPERLINK("https://jobright.ai/jobs/info/667b062fafa22422d18a9730?utm_campaign=1062&amp;utm_source=sheet", "Apply")</f>
        <v>Apply</v>
      </c>
      <c r="C3137" s="10" t="s">
        <v>7938</v>
      </c>
      <c r="D3137" s="56" t="s">
        <v>7934</v>
      </c>
      <c r="E3137" s="10" t="s">
        <v>45</v>
      </c>
      <c r="F3137" s="10" t="s">
        <v>7935</v>
      </c>
      <c r="G3137" s="10" t="s">
        <v>2448</v>
      </c>
      <c r="H3137" s="10" t="s">
        <v>7941</v>
      </c>
      <c r="I3137" s="10" t="s">
        <v>55</v>
      </c>
      <c r="J3137" s="10" t="s">
        <v>7939</v>
      </c>
      <c r="K3137" s="10" t="s">
        <v>7940</v>
      </c>
      <c r="L3137" s="10" t="s">
        <v>42</v>
      </c>
    </row>
    <row r="3138" ht="15.75" customHeight="1">
      <c r="A3138" s="64">
        <v>45468.0</v>
      </c>
      <c r="B3138" s="55" t="str">
        <f>HYPERLINK("https://jobright.ai/jobs/info/667b062fafa22422d18a972f?utm_campaign=1062&amp;utm_source=sheet", "Apply")</f>
        <v>Apply</v>
      </c>
      <c r="C3138" s="10" t="s">
        <v>7938</v>
      </c>
      <c r="D3138" s="56" t="s">
        <v>7934</v>
      </c>
      <c r="E3138" s="10" t="s">
        <v>45</v>
      </c>
      <c r="F3138" s="10" t="s">
        <v>7935</v>
      </c>
      <c r="G3138" s="10" t="s">
        <v>2448</v>
      </c>
      <c r="H3138" s="10" t="s">
        <v>698</v>
      </c>
      <c r="I3138" s="10" t="s">
        <v>55</v>
      </c>
      <c r="J3138" s="10" t="s">
        <v>7939</v>
      </c>
      <c r="K3138" s="10" t="s">
        <v>7940</v>
      </c>
      <c r="L3138" s="10" t="s">
        <v>42</v>
      </c>
    </row>
    <row r="3139" ht="15.75" customHeight="1">
      <c r="A3139" s="64">
        <v>45468.0</v>
      </c>
      <c r="B3139" s="55" t="str">
        <f>HYPERLINK("https://jobright.ai/jobs/info/667b062fafa22422d18a972b?utm_campaign=1062&amp;utm_source=sheet", "Apply")</f>
        <v>Apply</v>
      </c>
      <c r="C3139" s="10" t="s">
        <v>7938</v>
      </c>
      <c r="D3139" s="56" t="s">
        <v>7934</v>
      </c>
      <c r="E3139" s="10" t="s">
        <v>45</v>
      </c>
      <c r="F3139" s="10" t="s">
        <v>7935</v>
      </c>
      <c r="G3139" s="10" t="s">
        <v>2448</v>
      </c>
      <c r="H3139" s="10" t="s">
        <v>168</v>
      </c>
      <c r="I3139" s="10" t="s">
        <v>55</v>
      </c>
      <c r="J3139" s="10" t="s">
        <v>7939</v>
      </c>
      <c r="K3139" s="10" t="s">
        <v>7940</v>
      </c>
      <c r="L3139" s="10" t="s">
        <v>42</v>
      </c>
    </row>
    <row r="3140" ht="15.75" customHeight="1">
      <c r="A3140" s="64">
        <v>45468.0</v>
      </c>
      <c r="B3140" s="55" t="str">
        <f>HYPERLINK("https://jobright.ai/jobs/info/667b062fafa22422d18a9738?utm_campaign=1062&amp;utm_source=sheet", "Apply")</f>
        <v>Apply</v>
      </c>
      <c r="C3140" s="10" t="s">
        <v>7933</v>
      </c>
      <c r="D3140" s="56" t="s">
        <v>7934</v>
      </c>
      <c r="E3140" s="10" t="s">
        <v>45</v>
      </c>
      <c r="F3140" s="10" t="s">
        <v>7935</v>
      </c>
      <c r="G3140" s="10" t="s">
        <v>2448</v>
      </c>
      <c r="H3140" s="10" t="s">
        <v>2241</v>
      </c>
      <c r="I3140" s="10" t="s">
        <v>55</v>
      </c>
      <c r="J3140" s="10" t="s">
        <v>7936</v>
      </c>
      <c r="K3140" s="10" t="s">
        <v>7937</v>
      </c>
      <c r="L3140" s="10" t="s">
        <v>42</v>
      </c>
    </row>
    <row r="3141" ht="15.75" customHeight="1">
      <c r="A3141" s="64">
        <v>45468.0</v>
      </c>
      <c r="B3141" s="55" t="str">
        <f>HYPERLINK("https://jobright.ai/jobs/info/667b062fafa22422d18a9737?utm_campaign=1062&amp;utm_source=sheet", "Apply")</f>
        <v>Apply</v>
      </c>
      <c r="C3141" s="10" t="s">
        <v>7933</v>
      </c>
      <c r="D3141" s="56" t="s">
        <v>7934</v>
      </c>
      <c r="E3141" s="10" t="s">
        <v>45</v>
      </c>
      <c r="F3141" s="10" t="s">
        <v>7935</v>
      </c>
      <c r="G3141" s="10" t="s">
        <v>2448</v>
      </c>
      <c r="H3141" s="10" t="s">
        <v>7943</v>
      </c>
      <c r="I3141" s="10" t="s">
        <v>55</v>
      </c>
      <c r="J3141" s="10" t="s">
        <v>7936</v>
      </c>
      <c r="K3141" s="10" t="s">
        <v>7937</v>
      </c>
      <c r="L3141" s="10" t="s">
        <v>42</v>
      </c>
    </row>
    <row r="3142" ht="15.75" customHeight="1">
      <c r="A3142" s="64">
        <v>45468.0</v>
      </c>
      <c r="B3142" s="55" t="str">
        <f>HYPERLINK("https://jobright.ai/jobs/info/667b062fafa22422d18a9733?utm_campaign=1062&amp;utm_source=sheet", "Apply")</f>
        <v>Apply</v>
      </c>
      <c r="C3142" s="10" t="s">
        <v>7933</v>
      </c>
      <c r="D3142" s="56" t="s">
        <v>7934</v>
      </c>
      <c r="E3142" s="10" t="s">
        <v>45</v>
      </c>
      <c r="F3142" s="10" t="s">
        <v>7935</v>
      </c>
      <c r="G3142" s="10" t="s">
        <v>2448</v>
      </c>
      <c r="H3142" s="10" t="s">
        <v>898</v>
      </c>
      <c r="I3142" s="10" t="s">
        <v>55</v>
      </c>
      <c r="J3142" s="10" t="s">
        <v>7936</v>
      </c>
      <c r="K3142" s="10" t="s">
        <v>7937</v>
      </c>
      <c r="L3142" s="10" t="s">
        <v>42</v>
      </c>
    </row>
    <row r="3143" ht="15.75" customHeight="1">
      <c r="A3143" s="64">
        <v>45468.0</v>
      </c>
      <c r="B3143" s="55" t="str">
        <f>HYPERLINK("https://jobright.ai/jobs/info/667b062fafa22422d18a9735?utm_campaign=1062&amp;utm_source=sheet", "Apply")</f>
        <v>Apply</v>
      </c>
      <c r="C3143" s="10" t="s">
        <v>7933</v>
      </c>
      <c r="D3143" s="56" t="s">
        <v>7934</v>
      </c>
      <c r="E3143" s="10" t="s">
        <v>45</v>
      </c>
      <c r="F3143" s="10" t="s">
        <v>7935</v>
      </c>
      <c r="G3143" s="10" t="s">
        <v>2448</v>
      </c>
      <c r="H3143" s="10" t="s">
        <v>313</v>
      </c>
      <c r="I3143" s="10" t="s">
        <v>55</v>
      </c>
      <c r="J3143" s="10" t="s">
        <v>7936</v>
      </c>
      <c r="K3143" s="10" t="s">
        <v>7937</v>
      </c>
      <c r="L3143" s="10" t="s">
        <v>42</v>
      </c>
    </row>
    <row r="3144" ht="15.75" customHeight="1">
      <c r="A3144" s="64">
        <v>45468.0</v>
      </c>
      <c r="B3144" s="55" t="str">
        <f>HYPERLINK("https://jobright.ai/jobs/info/667b062fafa22422d18a9734?utm_campaign=1062&amp;utm_source=sheet", "Apply")</f>
        <v>Apply</v>
      </c>
      <c r="C3144" s="10" t="s">
        <v>7938</v>
      </c>
      <c r="D3144" s="56" t="s">
        <v>7934</v>
      </c>
      <c r="E3144" s="10" t="s">
        <v>45</v>
      </c>
      <c r="F3144" s="10" t="s">
        <v>7935</v>
      </c>
      <c r="G3144" s="10" t="s">
        <v>2448</v>
      </c>
      <c r="H3144" s="10" t="s">
        <v>216</v>
      </c>
      <c r="I3144" s="10" t="s">
        <v>55</v>
      </c>
      <c r="J3144" s="10" t="s">
        <v>7939</v>
      </c>
      <c r="K3144" s="10" t="s">
        <v>7940</v>
      </c>
      <c r="L3144" s="10" t="s">
        <v>42</v>
      </c>
    </row>
    <row r="3145" ht="15.75" customHeight="1">
      <c r="A3145" s="64">
        <v>45468.0</v>
      </c>
      <c r="B3145" s="55" t="str">
        <f>HYPERLINK("https://jobright.ai/jobs/info/667affca03d2be2d7bf83c7a?utm_campaign=1062&amp;utm_source=sheet", "Apply")</f>
        <v>Apply</v>
      </c>
      <c r="C3145" s="10" t="s">
        <v>7938</v>
      </c>
      <c r="D3145" s="56" t="s">
        <v>7934</v>
      </c>
      <c r="E3145" s="10" t="s">
        <v>45</v>
      </c>
      <c r="F3145" s="10" t="s">
        <v>7935</v>
      </c>
      <c r="G3145" s="10" t="s">
        <v>2448</v>
      </c>
      <c r="H3145" s="10" t="s">
        <v>152</v>
      </c>
      <c r="I3145" s="10" t="s">
        <v>55</v>
      </c>
      <c r="J3145" s="10" t="s">
        <v>7939</v>
      </c>
      <c r="K3145" s="10" t="s">
        <v>7940</v>
      </c>
      <c r="L3145" s="10" t="s">
        <v>42</v>
      </c>
    </row>
    <row r="3146" ht="15.75" customHeight="1">
      <c r="A3146" s="64">
        <v>45468.0</v>
      </c>
      <c r="B3146" s="55" t="str">
        <f>HYPERLINK("https://jobright.ai/jobs/info/667aff6903d2be2d7bf833d8?utm_campaign=1062&amp;utm_source=sheet", "Apply")</f>
        <v>Apply</v>
      </c>
      <c r="C3146" s="10" t="s">
        <v>7938</v>
      </c>
      <c r="D3146" s="56" t="s">
        <v>7934</v>
      </c>
      <c r="E3146" s="10" t="s">
        <v>45</v>
      </c>
      <c r="F3146" s="10" t="s">
        <v>7935</v>
      </c>
      <c r="G3146" s="10" t="s">
        <v>2448</v>
      </c>
      <c r="H3146" s="10" t="s">
        <v>1263</v>
      </c>
      <c r="I3146" s="10" t="s">
        <v>55</v>
      </c>
      <c r="J3146" s="10" t="s">
        <v>7939</v>
      </c>
      <c r="K3146" s="10" t="s">
        <v>7940</v>
      </c>
      <c r="L3146" s="10" t="s">
        <v>42</v>
      </c>
    </row>
    <row r="3147" ht="15.75" customHeight="1">
      <c r="A3147" s="64">
        <v>45468.0</v>
      </c>
      <c r="B3147" s="55" t="str">
        <f>HYPERLINK("https://jobright.ai/jobs/info/667affca03d2be2d7bf83c7b?utm_campaign=1062&amp;utm_source=sheet", "Apply")</f>
        <v>Apply</v>
      </c>
      <c r="C3147" s="10" t="s">
        <v>7938</v>
      </c>
      <c r="D3147" s="56" t="s">
        <v>7934</v>
      </c>
      <c r="E3147" s="10" t="s">
        <v>45</v>
      </c>
      <c r="F3147" s="10" t="s">
        <v>7935</v>
      </c>
      <c r="G3147" s="10" t="s">
        <v>2448</v>
      </c>
      <c r="H3147" s="10" t="s">
        <v>313</v>
      </c>
      <c r="I3147" s="10" t="s">
        <v>55</v>
      </c>
      <c r="J3147" s="10" t="s">
        <v>7939</v>
      </c>
      <c r="K3147" s="10" t="s">
        <v>7940</v>
      </c>
      <c r="L3147" s="10" t="s">
        <v>42</v>
      </c>
    </row>
    <row r="3148" ht="15.75" customHeight="1">
      <c r="A3148" s="64">
        <v>45468.0</v>
      </c>
      <c r="B3148" s="55" t="str">
        <f>HYPERLINK("https://jobright.ai/jobs/info/667affca03d2be2d7bf83c7c?utm_campaign=1062&amp;utm_source=sheet", "Apply")</f>
        <v>Apply</v>
      </c>
      <c r="C3148" s="10" t="s">
        <v>7938</v>
      </c>
      <c r="D3148" s="56" t="s">
        <v>7934</v>
      </c>
      <c r="E3148" s="10" t="s">
        <v>45</v>
      </c>
      <c r="F3148" s="10" t="s">
        <v>7935</v>
      </c>
      <c r="G3148" s="10" t="s">
        <v>2448</v>
      </c>
      <c r="H3148" s="10" t="s">
        <v>387</v>
      </c>
      <c r="I3148" s="10" t="s">
        <v>55</v>
      </c>
      <c r="J3148" s="10" t="s">
        <v>7939</v>
      </c>
      <c r="K3148" s="10" t="s">
        <v>7940</v>
      </c>
      <c r="L3148" s="10" t="s">
        <v>42</v>
      </c>
    </row>
    <row r="3149" ht="15.75" customHeight="1">
      <c r="A3149" s="64">
        <v>45468.0</v>
      </c>
      <c r="B3149" s="55" t="str">
        <f>HYPERLINK("https://jobright.ai/jobs/info/667affca03d2be2d7bf83c7d?utm_campaign=1062&amp;utm_source=sheet", "Apply")</f>
        <v>Apply</v>
      </c>
      <c r="C3149" s="10" t="s">
        <v>7938</v>
      </c>
      <c r="D3149" s="56" t="s">
        <v>7934</v>
      </c>
      <c r="E3149" s="10" t="s">
        <v>45</v>
      </c>
      <c r="F3149" s="10" t="s">
        <v>7935</v>
      </c>
      <c r="G3149" s="10" t="s">
        <v>2448</v>
      </c>
      <c r="H3149" s="10" t="s">
        <v>165</v>
      </c>
      <c r="I3149" s="10" t="s">
        <v>55</v>
      </c>
      <c r="J3149" s="10" t="s">
        <v>7939</v>
      </c>
      <c r="K3149" s="10" t="s">
        <v>7940</v>
      </c>
      <c r="L3149" s="10" t="s">
        <v>42</v>
      </c>
    </row>
    <row r="3150" ht="15.75" customHeight="1">
      <c r="A3150" s="64">
        <v>45468.0</v>
      </c>
      <c r="B3150" s="55" t="str">
        <f>HYPERLINK("https://jobright.ai/jobs/info/667aff6903d2be2d7bf8341f?utm_campaign=1062&amp;utm_source=sheet", "Apply")</f>
        <v>Apply</v>
      </c>
      <c r="C3150" s="10" t="s">
        <v>7933</v>
      </c>
      <c r="D3150" s="56" t="s">
        <v>7934</v>
      </c>
      <c r="E3150" s="10" t="s">
        <v>45</v>
      </c>
      <c r="F3150" s="10" t="s">
        <v>7935</v>
      </c>
      <c r="G3150" s="10" t="s">
        <v>2448</v>
      </c>
      <c r="H3150" s="10" t="s">
        <v>419</v>
      </c>
      <c r="I3150" s="10" t="s">
        <v>55</v>
      </c>
      <c r="J3150" s="10" t="s">
        <v>7936</v>
      </c>
      <c r="K3150" s="10" t="s">
        <v>7937</v>
      </c>
      <c r="L3150" s="10" t="s">
        <v>42</v>
      </c>
    </row>
    <row r="3151" ht="15.75" customHeight="1">
      <c r="A3151" s="64">
        <v>45468.0</v>
      </c>
      <c r="B3151" s="55" t="str">
        <f>HYPERLINK("https://jobright.ai/jobs/info/667affca03d2be2d7bf83c7f?utm_campaign=1062&amp;utm_source=sheet", "Apply")</f>
        <v>Apply</v>
      </c>
      <c r="C3151" s="10" t="s">
        <v>7933</v>
      </c>
      <c r="D3151" s="56" t="s">
        <v>7934</v>
      </c>
      <c r="E3151" s="10" t="s">
        <v>45</v>
      </c>
      <c r="F3151" s="10" t="s">
        <v>7935</v>
      </c>
      <c r="G3151" s="10" t="s">
        <v>2448</v>
      </c>
      <c r="H3151" s="10" t="s">
        <v>966</v>
      </c>
      <c r="I3151" s="10" t="s">
        <v>55</v>
      </c>
      <c r="J3151" s="10" t="s">
        <v>7936</v>
      </c>
      <c r="K3151" s="10" t="s">
        <v>7937</v>
      </c>
      <c r="L3151" s="10" t="s">
        <v>42</v>
      </c>
    </row>
    <row r="3152" ht="15.75" customHeight="1">
      <c r="A3152" s="64">
        <v>45468.0</v>
      </c>
      <c r="B3152" s="55" t="str">
        <f>HYPERLINK("https://jobright.ai/jobs/info/667affca03d2be2d7bf83c7e?utm_campaign=1062&amp;utm_source=sheet", "Apply")</f>
        <v>Apply</v>
      </c>
      <c r="C3152" s="10" t="s">
        <v>7938</v>
      </c>
      <c r="D3152" s="56" t="s">
        <v>7934</v>
      </c>
      <c r="E3152" s="10" t="s">
        <v>45</v>
      </c>
      <c r="F3152" s="10" t="s">
        <v>7935</v>
      </c>
      <c r="G3152" s="10" t="s">
        <v>2448</v>
      </c>
      <c r="H3152" s="10" t="s">
        <v>1260</v>
      </c>
      <c r="I3152" s="10" t="s">
        <v>55</v>
      </c>
      <c r="J3152" s="10" t="s">
        <v>7939</v>
      </c>
      <c r="K3152" s="10" t="s">
        <v>7940</v>
      </c>
      <c r="L3152" s="10" t="s">
        <v>42</v>
      </c>
    </row>
    <row r="3153" ht="15.75" customHeight="1">
      <c r="A3153" s="64">
        <v>45468.0</v>
      </c>
      <c r="B3153" s="55" t="str">
        <f>HYPERLINK("https://jobright.ai/jobs/info/667affca03d2be2d7bf83c80?utm_campaign=1062&amp;utm_source=sheet", "Apply")</f>
        <v>Apply</v>
      </c>
      <c r="C3153" s="10" t="s">
        <v>7933</v>
      </c>
      <c r="D3153" s="56" t="s">
        <v>7934</v>
      </c>
      <c r="E3153" s="10" t="s">
        <v>45</v>
      </c>
      <c r="F3153" s="10" t="s">
        <v>7935</v>
      </c>
      <c r="G3153" s="10" t="s">
        <v>2448</v>
      </c>
      <c r="H3153" s="10" t="s">
        <v>113</v>
      </c>
      <c r="I3153" s="10" t="s">
        <v>55</v>
      </c>
      <c r="J3153" s="10" t="s">
        <v>7936</v>
      </c>
      <c r="K3153" s="10" t="s">
        <v>7937</v>
      </c>
      <c r="L3153" s="10" t="s">
        <v>42</v>
      </c>
    </row>
    <row r="3154" ht="15.75" customHeight="1">
      <c r="A3154" s="64">
        <v>45468.0</v>
      </c>
      <c r="B3154" s="55" t="str">
        <f>HYPERLINK("https://jobright.ai/jobs/info/66761a87127b183117fe7e67?utm_campaign=1062&amp;utm_source=sheet", "Apply")</f>
        <v>Apply</v>
      </c>
      <c r="C3154" s="10" t="s">
        <v>301</v>
      </c>
      <c r="D3154" s="56" t="s">
        <v>7944</v>
      </c>
      <c r="E3154" s="10" t="s">
        <v>45</v>
      </c>
      <c r="F3154" s="10" t="s">
        <v>3403</v>
      </c>
      <c r="G3154" s="10" t="s">
        <v>2470</v>
      </c>
      <c r="H3154" s="10" t="s">
        <v>829</v>
      </c>
      <c r="I3154" s="10" t="s">
        <v>55</v>
      </c>
      <c r="K3154" s="10" t="s">
        <v>7945</v>
      </c>
      <c r="L3154" s="10" t="s">
        <v>42</v>
      </c>
    </row>
    <row r="3155" ht="15.75" customHeight="1">
      <c r="A3155" s="64">
        <v>45468.0</v>
      </c>
      <c r="B3155" s="55" t="str">
        <f>HYPERLINK("https://jobright.ai/jobs/info/667b05faafa22422d18a9321?utm_campaign=1062&amp;utm_source=sheet", "Apply")</f>
        <v>Apply</v>
      </c>
      <c r="C3155" s="10" t="s">
        <v>7946</v>
      </c>
      <c r="D3155" s="56" t="s">
        <v>7947</v>
      </c>
      <c r="E3155" s="10" t="s">
        <v>65</v>
      </c>
      <c r="F3155" s="10" t="s">
        <v>3060</v>
      </c>
      <c r="G3155" s="10" t="s">
        <v>2484</v>
      </c>
      <c r="H3155" s="10" t="s">
        <v>131</v>
      </c>
      <c r="I3155" s="10" t="s">
        <v>55</v>
      </c>
      <c r="K3155" s="10" t="s">
        <v>7948</v>
      </c>
      <c r="L3155" s="10" t="s">
        <v>42</v>
      </c>
    </row>
    <row r="3156" ht="15.75" customHeight="1">
      <c r="A3156" s="64">
        <v>45468.0</v>
      </c>
      <c r="B3156" s="55" t="str">
        <f>HYPERLINK("https://jobright.ai/jobs/info/65c127114807eafcb148b8b4?utm_campaign=1062&amp;utm_source=sheet", "Apply")</f>
        <v>Apply</v>
      </c>
      <c r="C3156" s="10" t="s">
        <v>7949</v>
      </c>
      <c r="D3156" s="56" t="s">
        <v>7950</v>
      </c>
      <c r="E3156" s="10" t="s">
        <v>249</v>
      </c>
      <c r="F3156" s="10" t="s">
        <v>7951</v>
      </c>
      <c r="G3156" s="10" t="s">
        <v>2437</v>
      </c>
      <c r="H3156" s="10" t="s">
        <v>3019</v>
      </c>
      <c r="I3156" s="10" t="s">
        <v>48</v>
      </c>
      <c r="J3156" s="10" t="s">
        <v>7952</v>
      </c>
      <c r="K3156" s="10" t="s">
        <v>7953</v>
      </c>
      <c r="L3156" s="10" t="s">
        <v>42</v>
      </c>
    </row>
    <row r="3157" ht="15.75" customHeight="1">
      <c r="A3157" s="64">
        <v>45468.0</v>
      </c>
      <c r="B3157" s="55" t="str">
        <f>HYPERLINK("https://jobright.ai/jobs/info/668bb74117dee33772925c73?utm_campaign=1062&amp;utm_source=sheet", "Apply")</f>
        <v>Apply</v>
      </c>
      <c r="C3157" s="10" t="s">
        <v>7954</v>
      </c>
      <c r="D3157" s="56" t="s">
        <v>2252</v>
      </c>
      <c r="E3157" s="10" t="s">
        <v>249</v>
      </c>
      <c r="F3157" s="10" t="s">
        <v>2253</v>
      </c>
      <c r="G3157" s="10" t="s">
        <v>2484</v>
      </c>
      <c r="H3157" s="10" t="s">
        <v>996</v>
      </c>
      <c r="I3157" s="10" t="s">
        <v>55</v>
      </c>
      <c r="K3157" s="10" t="s">
        <v>7955</v>
      </c>
      <c r="L3157" s="10" t="s">
        <v>42</v>
      </c>
    </row>
    <row r="3158" ht="15.75" customHeight="1">
      <c r="A3158" s="64">
        <v>45468.0</v>
      </c>
      <c r="B3158" s="55" t="str">
        <f>HYPERLINK("https://jobright.ai/jobs/info/6683ff8c29646ce4f98c55c6?utm_campaign=1062&amp;utm_source=sheet", "Apply")</f>
        <v>Apply</v>
      </c>
      <c r="C3158" s="10" t="s">
        <v>7956</v>
      </c>
      <c r="D3158" s="56" t="s">
        <v>567</v>
      </c>
      <c r="E3158" s="10" t="s">
        <v>65</v>
      </c>
      <c r="F3158" s="10" t="s">
        <v>568</v>
      </c>
      <c r="G3158" s="10" t="s">
        <v>2448</v>
      </c>
      <c r="H3158" s="10" t="s">
        <v>794</v>
      </c>
      <c r="I3158" s="10" t="s">
        <v>55</v>
      </c>
      <c r="J3158" s="10" t="s">
        <v>3031</v>
      </c>
      <c r="K3158" s="10" t="s">
        <v>3024</v>
      </c>
      <c r="L3158" s="10" t="s">
        <v>42</v>
      </c>
    </row>
    <row r="3159" ht="15.75" customHeight="1">
      <c r="A3159" s="64">
        <v>45468.0</v>
      </c>
      <c r="B3159" s="55" t="str">
        <f>HYPERLINK("https://jobright.ai/jobs/info/6683f8ace84f587dd5633d13?utm_campaign=1062&amp;utm_source=sheet", "Apply")</f>
        <v>Apply</v>
      </c>
      <c r="C3159" s="10" t="s">
        <v>7956</v>
      </c>
      <c r="D3159" s="56" t="s">
        <v>567</v>
      </c>
      <c r="E3159" s="10" t="s">
        <v>65</v>
      </c>
      <c r="F3159" s="10" t="s">
        <v>568</v>
      </c>
      <c r="G3159" s="10" t="s">
        <v>2448</v>
      </c>
      <c r="H3159" s="10" t="s">
        <v>3860</v>
      </c>
      <c r="I3159" s="10" t="s">
        <v>55</v>
      </c>
      <c r="J3159" s="10" t="s">
        <v>3031</v>
      </c>
      <c r="K3159" s="10" t="s">
        <v>3024</v>
      </c>
      <c r="L3159" s="10" t="s">
        <v>42</v>
      </c>
    </row>
    <row r="3160" ht="15.75" customHeight="1">
      <c r="A3160" s="64">
        <v>45468.0</v>
      </c>
      <c r="B3160" s="55" t="str">
        <f>HYPERLINK("https://jobright.ai/jobs/info/6683f2b63277bfbb22b493d4?utm_campaign=1062&amp;utm_source=sheet", "Apply")</f>
        <v>Apply</v>
      </c>
      <c r="C3160" s="10" t="s">
        <v>7956</v>
      </c>
      <c r="D3160" s="56" t="s">
        <v>567</v>
      </c>
      <c r="E3160" s="10" t="s">
        <v>65</v>
      </c>
      <c r="F3160" s="10" t="s">
        <v>568</v>
      </c>
      <c r="G3160" s="10" t="s">
        <v>2448</v>
      </c>
      <c r="H3160" s="10" t="s">
        <v>843</v>
      </c>
      <c r="I3160" s="10" t="s">
        <v>55</v>
      </c>
      <c r="J3160" s="10" t="s">
        <v>3031</v>
      </c>
      <c r="K3160" s="10" t="s">
        <v>3024</v>
      </c>
      <c r="L3160" s="10" t="s">
        <v>42</v>
      </c>
    </row>
    <row r="3161" ht="15.75" customHeight="1">
      <c r="A3161" s="64">
        <v>45468.0</v>
      </c>
      <c r="B3161" s="55" t="str">
        <f>HYPERLINK("https://jobright.ai/jobs/info/6683e1c5bae33281754f44da?utm_campaign=1062&amp;utm_source=sheet", "Apply")</f>
        <v>Apply</v>
      </c>
      <c r="C3161" s="10" t="s">
        <v>7957</v>
      </c>
      <c r="D3161" s="56" t="s">
        <v>567</v>
      </c>
      <c r="E3161" s="10" t="s">
        <v>65</v>
      </c>
      <c r="F3161" s="10" t="s">
        <v>568</v>
      </c>
      <c r="G3161" s="10" t="s">
        <v>2464</v>
      </c>
      <c r="H3161" s="10" t="s">
        <v>167</v>
      </c>
      <c r="I3161" s="10" t="s">
        <v>55</v>
      </c>
      <c r="K3161" s="10" t="s">
        <v>3024</v>
      </c>
      <c r="L3161" s="10" t="s">
        <v>42</v>
      </c>
    </row>
    <row r="3162" ht="15.75" customHeight="1">
      <c r="A3162" s="64">
        <v>45468.0</v>
      </c>
      <c r="B3162" s="55" t="str">
        <f>HYPERLINK("https://jobright.ai/jobs/info/667d1dcae8782c7e35723264?utm_campaign=1062&amp;utm_source=sheet", "Apply")</f>
        <v>Apply</v>
      </c>
      <c r="C3162" s="10" t="s">
        <v>7958</v>
      </c>
      <c r="D3162" s="56" t="s">
        <v>7959</v>
      </c>
      <c r="E3162" s="10">
        <v>175.0</v>
      </c>
      <c r="G3162" s="10" t="s">
        <v>2448</v>
      </c>
      <c r="H3162" s="10" t="s">
        <v>7960</v>
      </c>
      <c r="I3162" s="10" t="s">
        <v>55</v>
      </c>
      <c r="J3162" s="10" t="s">
        <v>7961</v>
      </c>
      <c r="K3162" s="10" t="s">
        <v>7962</v>
      </c>
      <c r="L3162" s="10" t="s">
        <v>42</v>
      </c>
    </row>
    <row r="3163" ht="15.75" customHeight="1">
      <c r="A3163" s="64">
        <v>45468.0</v>
      </c>
      <c r="B3163" s="55" t="str">
        <f>HYPERLINK("https://jobright.ai/jobs/info/667a76cce0cfd94e23a0e97f?utm_campaign=1062&amp;utm_source=sheet", "Apply")</f>
        <v>Apply</v>
      </c>
      <c r="C3163" s="10" t="s">
        <v>5199</v>
      </c>
      <c r="D3163" s="56" t="s">
        <v>7823</v>
      </c>
      <c r="E3163" s="10" t="s">
        <v>45</v>
      </c>
      <c r="F3163" s="10" t="s">
        <v>2409</v>
      </c>
      <c r="G3163" s="10" t="s">
        <v>2443</v>
      </c>
      <c r="H3163" s="10" t="s">
        <v>966</v>
      </c>
      <c r="I3163" s="10" t="s">
        <v>55</v>
      </c>
      <c r="J3163" s="10" t="s">
        <v>5201</v>
      </c>
      <c r="K3163" s="10" t="s">
        <v>7963</v>
      </c>
      <c r="L3163" s="10" t="s">
        <v>42</v>
      </c>
    </row>
    <row r="3164" ht="15.75" customHeight="1">
      <c r="A3164" s="64">
        <v>45468.0</v>
      </c>
      <c r="B3164" s="55" t="str">
        <f>HYPERLINK("https://jobright.ai/jobs/info/667a3efdb828641572663b0e?utm_campaign=1062&amp;utm_source=sheet", "Apply")</f>
        <v>Apply</v>
      </c>
      <c r="C3164" s="10" t="s">
        <v>7964</v>
      </c>
      <c r="D3164" s="56" t="s">
        <v>1547</v>
      </c>
      <c r="E3164" s="10">
        <v>408.0</v>
      </c>
      <c r="G3164" s="10" t="s">
        <v>2448</v>
      </c>
      <c r="H3164" s="10" t="s">
        <v>795</v>
      </c>
      <c r="I3164" s="10" t="s">
        <v>55</v>
      </c>
      <c r="K3164" s="10" t="s">
        <v>7965</v>
      </c>
      <c r="L3164" s="10" t="s">
        <v>42</v>
      </c>
    </row>
    <row r="3165" ht="15.75" customHeight="1">
      <c r="A3165" s="64">
        <v>45468.0</v>
      </c>
      <c r="B3165" s="55" t="str">
        <f>HYPERLINK("https://jobright.ai/jobs/info/667a1b7c30a37849eb7b173f?utm_campaign=1062&amp;utm_source=sheet", "Apply")</f>
        <v>Apply</v>
      </c>
      <c r="C3165" s="10" t="s">
        <v>7966</v>
      </c>
      <c r="D3165" s="56" t="s">
        <v>7967</v>
      </c>
      <c r="E3165" s="10" t="s">
        <v>71</v>
      </c>
      <c r="F3165" s="10" t="s">
        <v>318</v>
      </c>
      <c r="G3165" s="10" t="s">
        <v>2484</v>
      </c>
      <c r="H3165" s="10" t="s">
        <v>3266</v>
      </c>
      <c r="I3165" s="10" t="s">
        <v>55</v>
      </c>
      <c r="K3165" s="10" t="s">
        <v>7968</v>
      </c>
      <c r="L3165" s="10" t="s">
        <v>42</v>
      </c>
    </row>
    <row r="3166" ht="15.75" customHeight="1">
      <c r="A3166" s="64">
        <v>45468.0</v>
      </c>
      <c r="B3166" s="55" t="str">
        <f>HYPERLINK("https://jobright.ai/jobs/info/667a305b58b1170d61dbf383?utm_campaign=1062&amp;utm_source=sheet", "Apply")</f>
        <v>Apply</v>
      </c>
      <c r="C3166" s="10" t="s">
        <v>7969</v>
      </c>
      <c r="D3166" s="56" t="s">
        <v>1547</v>
      </c>
      <c r="E3166" s="10">
        <v>408.0</v>
      </c>
      <c r="G3166" s="10" t="s">
        <v>2443</v>
      </c>
      <c r="H3166" s="10" t="s">
        <v>796</v>
      </c>
      <c r="I3166" s="10" t="s">
        <v>55</v>
      </c>
      <c r="K3166" s="10" t="s">
        <v>7970</v>
      </c>
      <c r="L3166" s="10" t="s">
        <v>42</v>
      </c>
    </row>
    <row r="3167" ht="15.75" customHeight="1">
      <c r="A3167" s="64">
        <v>45468.0</v>
      </c>
      <c r="B3167" s="55" t="str">
        <f>HYPERLINK("https://jobright.ai/jobs/info/667a27b5f15c12b56b88d8c7?utm_campaign=1062&amp;utm_source=sheet", "Apply")</f>
        <v>Apply</v>
      </c>
      <c r="C3167" s="10" t="s">
        <v>7971</v>
      </c>
      <c r="D3167" s="56" t="s">
        <v>7972</v>
      </c>
      <c r="E3167" s="10" t="s">
        <v>249</v>
      </c>
      <c r="F3167" s="10" t="s">
        <v>7973</v>
      </c>
      <c r="G3167" s="10" t="s">
        <v>2589</v>
      </c>
      <c r="H3167" s="10" t="s">
        <v>7974</v>
      </c>
      <c r="I3167" s="10" t="s">
        <v>55</v>
      </c>
      <c r="J3167" s="10" t="s">
        <v>5777</v>
      </c>
      <c r="K3167" s="10" t="s">
        <v>7975</v>
      </c>
      <c r="L3167" s="10" t="s">
        <v>42</v>
      </c>
    </row>
    <row r="3168" ht="15.75" customHeight="1">
      <c r="A3168" s="64">
        <v>45468.0</v>
      </c>
      <c r="B3168" s="55" t="str">
        <f>HYPERLINK("https://jobright.ai/jobs/info/667b0c6ec63dfba3804cb7c0?utm_campaign=1062&amp;utm_source=sheet", "Apply")</f>
        <v>Apply</v>
      </c>
      <c r="C3168" s="10" t="s">
        <v>5269</v>
      </c>
      <c r="D3168" s="56" t="s">
        <v>5270</v>
      </c>
      <c r="E3168" s="10" t="s">
        <v>209</v>
      </c>
      <c r="F3168" s="10" t="s">
        <v>529</v>
      </c>
      <c r="G3168" s="10" t="s">
        <v>2455</v>
      </c>
      <c r="H3168" s="10" t="s">
        <v>7976</v>
      </c>
      <c r="I3168" s="10" t="s">
        <v>48</v>
      </c>
      <c r="K3168" s="10" t="s">
        <v>5271</v>
      </c>
      <c r="L3168" s="10" t="s">
        <v>42</v>
      </c>
    </row>
    <row r="3169" ht="15.75" customHeight="1">
      <c r="A3169" s="64">
        <v>45468.0</v>
      </c>
      <c r="B3169" s="55" t="str">
        <f>HYPERLINK("https://jobright.ai/jobs/info/667b217cf3bd63d2680de082?utm_campaign=1062&amp;utm_source=sheet", "Apply")</f>
        <v>Apply</v>
      </c>
      <c r="C3169" s="10" t="s">
        <v>7977</v>
      </c>
      <c r="D3169" s="56" t="s">
        <v>4233</v>
      </c>
      <c r="E3169" s="10" t="s">
        <v>65</v>
      </c>
      <c r="F3169" s="10" t="s">
        <v>1124</v>
      </c>
      <c r="G3169" s="10" t="s">
        <v>2437</v>
      </c>
      <c r="H3169" s="10" t="s">
        <v>1008</v>
      </c>
      <c r="I3169" s="10" t="s">
        <v>55</v>
      </c>
      <c r="J3169" s="10" t="s">
        <v>5216</v>
      </c>
      <c r="K3169" s="10" t="s">
        <v>5217</v>
      </c>
      <c r="L3169" s="10" t="s">
        <v>42</v>
      </c>
    </row>
    <row r="3170" ht="15.75" customHeight="1">
      <c r="A3170" s="64">
        <v>45467.0</v>
      </c>
      <c r="B3170" s="55" t="str">
        <f>HYPERLINK("https://jobright.ai/jobs/info/667a20769cb00e489c8f508f?utm_campaign=1062&amp;utm_source=sheet", "Apply")</f>
        <v>Apply</v>
      </c>
      <c r="C3170" s="10" t="s">
        <v>5515</v>
      </c>
      <c r="D3170" s="56" t="s">
        <v>7978</v>
      </c>
      <c r="E3170" s="10" t="s">
        <v>276</v>
      </c>
      <c r="F3170" s="10" t="s">
        <v>7979</v>
      </c>
      <c r="G3170" s="10" t="s">
        <v>2502</v>
      </c>
      <c r="H3170" s="10" t="s">
        <v>698</v>
      </c>
      <c r="I3170" s="10" t="s">
        <v>55</v>
      </c>
      <c r="J3170" s="10" t="s">
        <v>7980</v>
      </c>
      <c r="K3170" s="10" t="s">
        <v>5516</v>
      </c>
      <c r="L3170" s="10" t="s">
        <v>42</v>
      </c>
    </row>
    <row r="3171" ht="15.75" customHeight="1">
      <c r="A3171" s="64">
        <v>45467.0</v>
      </c>
      <c r="B3171" s="55" t="str">
        <f>HYPERLINK("https://jobright.ai/jobs/info/66674732c4e1db34c68eeab1?utm_campaign=1062&amp;utm_source=sheet", "Apply")</f>
        <v>Apply</v>
      </c>
      <c r="C3171" s="10" t="s">
        <v>7981</v>
      </c>
      <c r="D3171" s="56" t="s">
        <v>7982</v>
      </c>
      <c r="E3171" s="10" t="s">
        <v>45</v>
      </c>
      <c r="F3171" s="10" t="s">
        <v>486</v>
      </c>
      <c r="G3171" s="10" t="s">
        <v>2495</v>
      </c>
      <c r="H3171" s="10" t="s">
        <v>7983</v>
      </c>
      <c r="I3171" s="10" t="s">
        <v>55</v>
      </c>
      <c r="J3171" s="10" t="s">
        <v>7984</v>
      </c>
      <c r="K3171" s="10" t="s">
        <v>7985</v>
      </c>
      <c r="L3171" s="10" t="s">
        <v>42</v>
      </c>
    </row>
    <row r="3172" ht="15.75" customHeight="1">
      <c r="A3172" s="64">
        <v>45467.0</v>
      </c>
      <c r="B3172" s="55" t="str">
        <f>HYPERLINK("https://jobright.ai/jobs/info/667a0b3ba13fa11c0d398401?utm_campaign=1062&amp;utm_source=sheet", "Apply")</f>
        <v>Apply</v>
      </c>
      <c r="C3172" s="10" t="s">
        <v>2961</v>
      </c>
      <c r="D3172" s="56" t="s">
        <v>196</v>
      </c>
      <c r="E3172" s="10" t="s">
        <v>71</v>
      </c>
      <c r="F3172" s="10" t="s">
        <v>197</v>
      </c>
      <c r="G3172" s="10" t="s">
        <v>2448</v>
      </c>
      <c r="H3172" s="10" t="s">
        <v>193</v>
      </c>
      <c r="I3172" s="10" t="s">
        <v>55</v>
      </c>
      <c r="K3172" s="10" t="s">
        <v>7986</v>
      </c>
      <c r="L3172" s="10" t="s">
        <v>42</v>
      </c>
    </row>
    <row r="3173" ht="15.75" customHeight="1">
      <c r="A3173" s="64">
        <v>45467.0</v>
      </c>
      <c r="B3173" s="55" t="str">
        <f>HYPERLINK("https://jobright.ai/jobs/info/667a0190d55a22e58f6143de?utm_campaign=1062&amp;utm_source=sheet", "Apply")</f>
        <v>Apply</v>
      </c>
      <c r="C3173" s="10" t="s">
        <v>301</v>
      </c>
      <c r="D3173" s="56" t="s">
        <v>7987</v>
      </c>
      <c r="E3173" s="10" t="s">
        <v>79</v>
      </c>
      <c r="F3173" s="10" t="s">
        <v>1274</v>
      </c>
      <c r="G3173" s="10" t="s">
        <v>2484</v>
      </c>
      <c r="H3173" s="10" t="s">
        <v>952</v>
      </c>
      <c r="I3173" s="10" t="s">
        <v>55</v>
      </c>
      <c r="K3173" s="10" t="s">
        <v>7988</v>
      </c>
      <c r="L3173" s="10" t="s">
        <v>42</v>
      </c>
    </row>
    <row r="3174" ht="15.75" customHeight="1">
      <c r="A3174" s="64">
        <v>45467.0</v>
      </c>
      <c r="B3174" s="55" t="str">
        <f>HYPERLINK("https://jobright.ai/jobs/info/65b1a665960b784a14c53d1f?utm_campaign=1062&amp;utm_source=sheet", "Apply")</f>
        <v>Apply</v>
      </c>
      <c r="C3174" s="10" t="s">
        <v>7989</v>
      </c>
      <c r="D3174" s="56" t="s">
        <v>6575</v>
      </c>
      <c r="E3174" s="10" t="s">
        <v>209</v>
      </c>
      <c r="F3174" s="10" t="s">
        <v>6576</v>
      </c>
      <c r="G3174" s="10" t="s">
        <v>2470</v>
      </c>
      <c r="H3174" s="10" t="s">
        <v>7821</v>
      </c>
      <c r="I3174" s="10" t="s">
        <v>55</v>
      </c>
      <c r="K3174" s="10" t="s">
        <v>6847</v>
      </c>
      <c r="L3174" s="10" t="s">
        <v>42</v>
      </c>
    </row>
    <row r="3175" ht="15.75" customHeight="1">
      <c r="A3175" s="64">
        <v>45467.0</v>
      </c>
      <c r="B3175" s="55" t="str">
        <f>HYPERLINK("https://jobright.ai/jobs/info/65e12f1f538dc68afd241f55?utm_campaign=1062&amp;utm_source=sheet", "Apply")</f>
        <v>Apply</v>
      </c>
      <c r="C3175" s="10" t="s">
        <v>7990</v>
      </c>
      <c r="D3175" s="56" t="s">
        <v>6575</v>
      </c>
      <c r="E3175" s="10" t="s">
        <v>209</v>
      </c>
      <c r="F3175" s="10" t="s">
        <v>6576</v>
      </c>
      <c r="G3175" s="10" t="s">
        <v>2470</v>
      </c>
      <c r="H3175" s="10" t="s">
        <v>957</v>
      </c>
      <c r="I3175" s="10" t="s">
        <v>55</v>
      </c>
      <c r="J3175" s="10" t="s">
        <v>7991</v>
      </c>
      <c r="K3175" s="10" t="s">
        <v>6847</v>
      </c>
      <c r="L3175" s="10" t="s">
        <v>42</v>
      </c>
    </row>
    <row r="3176" ht="15.75" customHeight="1">
      <c r="A3176" s="64">
        <v>45467.0</v>
      </c>
      <c r="B3176" s="55" t="str">
        <f>HYPERLINK("https://jobright.ai/jobs/info/668bb75217dee33772925dd0?utm_campaign=1062&amp;utm_source=sheet", "Apply")</f>
        <v>Apply</v>
      </c>
      <c r="C3176" s="10" t="s">
        <v>7992</v>
      </c>
      <c r="D3176" s="56" t="s">
        <v>3084</v>
      </c>
      <c r="E3176" s="10" t="s">
        <v>65</v>
      </c>
      <c r="F3176" s="10" t="s">
        <v>1296</v>
      </c>
      <c r="G3176" s="10" t="s">
        <v>2484</v>
      </c>
      <c r="H3176" s="10" t="s">
        <v>7993</v>
      </c>
      <c r="I3176" s="10" t="s">
        <v>48</v>
      </c>
      <c r="K3176" s="10" t="s">
        <v>7994</v>
      </c>
      <c r="L3176" s="10" t="s">
        <v>42</v>
      </c>
    </row>
    <row r="3177" ht="15.75" customHeight="1">
      <c r="A3177" s="64">
        <v>45467.0</v>
      </c>
      <c r="B3177" s="55" t="str">
        <f>HYPERLINK("https://jobright.ai/jobs/info/6679d1b3bb56bb71470f5d1e?utm_campaign=1062&amp;utm_source=sheet", "Apply")</f>
        <v>Apply</v>
      </c>
      <c r="C3177" s="10" t="s">
        <v>2457</v>
      </c>
      <c r="D3177" s="56" t="s">
        <v>2458</v>
      </c>
      <c r="E3177" s="10">
        <v>24.0</v>
      </c>
      <c r="G3177" s="10" t="s">
        <v>2459</v>
      </c>
      <c r="H3177" s="10" t="s">
        <v>636</v>
      </c>
      <c r="I3177" s="10" t="s">
        <v>55</v>
      </c>
      <c r="K3177" s="10" t="s">
        <v>7995</v>
      </c>
      <c r="L3177" s="10" t="s">
        <v>42</v>
      </c>
    </row>
    <row r="3178" ht="15.75" customHeight="1">
      <c r="A3178" s="64">
        <v>45467.0</v>
      </c>
      <c r="B3178" s="55" t="str">
        <f>HYPERLINK("https://jobright.ai/jobs/info/667aaa58a579680bce91859f?utm_campaign=1062&amp;utm_source=sheet", "Apply")</f>
        <v>Apply</v>
      </c>
      <c r="C3178" s="10" t="s">
        <v>7996</v>
      </c>
      <c r="D3178" s="56" t="s">
        <v>1908</v>
      </c>
      <c r="E3178" s="10" t="s">
        <v>45</v>
      </c>
      <c r="F3178" s="10" t="s">
        <v>1909</v>
      </c>
      <c r="G3178" s="10" t="s">
        <v>2448</v>
      </c>
      <c r="H3178" s="10" t="s">
        <v>153</v>
      </c>
      <c r="I3178" s="10" t="s">
        <v>55</v>
      </c>
      <c r="K3178" s="10" t="s">
        <v>7997</v>
      </c>
      <c r="L3178" s="10" t="s">
        <v>42</v>
      </c>
    </row>
    <row r="3179" ht="15.75" customHeight="1">
      <c r="A3179" s="64">
        <v>45467.0</v>
      </c>
      <c r="B3179" s="55" t="str">
        <f>HYPERLINK("https://jobright.ai/jobs/info/66722839b8b768c427841673?utm_campaign=1062&amp;utm_source=sheet", "Apply")</f>
        <v>Apply</v>
      </c>
      <c r="C3179" s="10" t="s">
        <v>7998</v>
      </c>
      <c r="D3179" s="56" t="s">
        <v>2626</v>
      </c>
      <c r="E3179" s="10" t="s">
        <v>45</v>
      </c>
      <c r="F3179" s="10" t="s">
        <v>2627</v>
      </c>
      <c r="G3179" s="10" t="s">
        <v>2455</v>
      </c>
      <c r="H3179" s="10" t="s">
        <v>864</v>
      </c>
      <c r="I3179" s="10" t="s">
        <v>48</v>
      </c>
      <c r="K3179" s="10" t="s">
        <v>2629</v>
      </c>
      <c r="L3179" s="10" t="s">
        <v>42</v>
      </c>
    </row>
    <row r="3180" ht="15.75" customHeight="1">
      <c r="A3180" s="64">
        <v>45467.0</v>
      </c>
      <c r="B3180" s="55" t="str">
        <f>HYPERLINK("https://jobright.ai/jobs/info/65b1c7483ad7240b7c7bda04?utm_campaign=1062&amp;utm_source=sheet", "Apply")</f>
        <v>Apply</v>
      </c>
      <c r="C3180" s="10" t="s">
        <v>7999</v>
      </c>
      <c r="D3180" s="56" t="s">
        <v>6575</v>
      </c>
      <c r="E3180" s="10" t="s">
        <v>209</v>
      </c>
      <c r="F3180" s="10" t="s">
        <v>6576</v>
      </c>
      <c r="G3180" s="10" t="s">
        <v>2470</v>
      </c>
      <c r="H3180" s="10" t="s">
        <v>8000</v>
      </c>
      <c r="I3180" s="10" t="s">
        <v>55</v>
      </c>
      <c r="K3180" s="10" t="s">
        <v>6847</v>
      </c>
      <c r="L3180" s="10" t="s">
        <v>42</v>
      </c>
    </row>
    <row r="3181" ht="15.75" customHeight="1">
      <c r="A3181" s="64">
        <v>45467.0</v>
      </c>
      <c r="B3181" s="55" t="str">
        <f>HYPERLINK("https://jobright.ai/jobs/info/6679a8fea1bce31f213612dd?utm_campaign=1062&amp;utm_source=sheet", "Apply")</f>
        <v>Apply</v>
      </c>
      <c r="C3181" s="10" t="s">
        <v>8001</v>
      </c>
      <c r="D3181" s="56" t="s">
        <v>8002</v>
      </c>
      <c r="E3181" s="10">
        <v>12.0</v>
      </c>
      <c r="G3181" s="10" t="s">
        <v>2448</v>
      </c>
      <c r="H3181" s="10" t="s">
        <v>319</v>
      </c>
      <c r="I3181" s="10" t="s">
        <v>55</v>
      </c>
      <c r="K3181" s="10" t="s">
        <v>8003</v>
      </c>
      <c r="L3181" s="10" t="s">
        <v>42</v>
      </c>
    </row>
    <row r="3182" ht="15.75" customHeight="1">
      <c r="A3182" s="64">
        <v>45467.0</v>
      </c>
      <c r="B3182" s="55" t="str">
        <f>HYPERLINK("https://jobright.ai/jobs/info/65b1c7483ad7240b7c7bda11?utm_campaign=1062&amp;utm_source=sheet", "Apply")</f>
        <v>Apply</v>
      </c>
      <c r="C3182" s="10" t="s">
        <v>8004</v>
      </c>
      <c r="D3182" s="56" t="s">
        <v>6575</v>
      </c>
      <c r="E3182" s="10" t="s">
        <v>209</v>
      </c>
      <c r="F3182" s="10" t="s">
        <v>6576</v>
      </c>
      <c r="G3182" s="10" t="s">
        <v>2470</v>
      </c>
      <c r="H3182" s="10" t="s">
        <v>848</v>
      </c>
      <c r="I3182" s="10" t="s">
        <v>55</v>
      </c>
      <c r="K3182" s="10" t="s">
        <v>6847</v>
      </c>
      <c r="L3182" s="10" t="s">
        <v>42</v>
      </c>
    </row>
    <row r="3183" ht="15.75" customHeight="1">
      <c r="A3183" s="64">
        <v>45467.0</v>
      </c>
      <c r="B3183" s="55" t="str">
        <f>HYPERLINK("https://jobright.ai/jobs/info/667991d6ad88394743db3ac9?utm_campaign=1062&amp;utm_source=sheet", "Apply")</f>
        <v>Apply</v>
      </c>
      <c r="C3183" s="10" t="s">
        <v>301</v>
      </c>
      <c r="D3183" s="56" t="s">
        <v>8005</v>
      </c>
      <c r="E3183" s="10" t="s">
        <v>137</v>
      </c>
      <c r="F3183" s="10" t="s">
        <v>2554</v>
      </c>
      <c r="G3183" s="10" t="s">
        <v>2484</v>
      </c>
      <c r="H3183" s="10" t="s">
        <v>952</v>
      </c>
      <c r="I3183" s="10" t="s">
        <v>55</v>
      </c>
      <c r="K3183" s="10" t="s">
        <v>7988</v>
      </c>
      <c r="L3183" s="10" t="s">
        <v>42</v>
      </c>
    </row>
    <row r="3184" ht="15.75" customHeight="1">
      <c r="A3184" s="64">
        <v>45467.0</v>
      </c>
      <c r="B3184" s="55" t="str">
        <f>HYPERLINK("https://jobright.ai/jobs/info/666a316790feb1bdec571d4f?utm_campaign=1062&amp;utm_source=sheet", "Apply")</f>
        <v>Apply</v>
      </c>
      <c r="C3184" s="10" t="s">
        <v>8006</v>
      </c>
      <c r="D3184" s="56" t="s">
        <v>2157</v>
      </c>
      <c r="E3184" s="10" t="s">
        <v>45</v>
      </c>
      <c r="F3184" s="10" t="s">
        <v>2158</v>
      </c>
      <c r="G3184" s="10" t="s">
        <v>2443</v>
      </c>
      <c r="H3184" s="10" t="s">
        <v>628</v>
      </c>
      <c r="I3184" s="10" t="s">
        <v>55</v>
      </c>
      <c r="K3184" s="10" t="s">
        <v>2159</v>
      </c>
      <c r="L3184" s="10" t="s">
        <v>42</v>
      </c>
    </row>
    <row r="3185" ht="15.75" customHeight="1">
      <c r="A3185" s="64">
        <v>45467.0</v>
      </c>
      <c r="B3185" s="55" t="str">
        <f>HYPERLINK("https://jobright.ai/jobs/info/66756f8dd6fc00345300b3f3?utm_campaign=1062&amp;utm_source=sheet", "Apply")</f>
        <v>Apply</v>
      </c>
      <c r="C3185" s="10" t="s">
        <v>8007</v>
      </c>
      <c r="D3185" s="56" t="s">
        <v>2677</v>
      </c>
      <c r="E3185" s="10" t="s">
        <v>79</v>
      </c>
      <c r="F3185" s="10" t="s">
        <v>2678</v>
      </c>
      <c r="G3185" s="10" t="s">
        <v>2448</v>
      </c>
      <c r="H3185" s="10" t="s">
        <v>2679</v>
      </c>
      <c r="I3185" s="10" t="s">
        <v>48</v>
      </c>
      <c r="K3185" s="10" t="s">
        <v>8008</v>
      </c>
      <c r="L3185" s="10" t="s">
        <v>42</v>
      </c>
    </row>
    <row r="3186" ht="15.75" customHeight="1">
      <c r="A3186" s="64">
        <v>45467.0</v>
      </c>
      <c r="B3186" s="55" t="str">
        <f>HYPERLINK("https://jobright.ai/jobs/info/6663a6471fcd0b606a5b4b38?utm_campaign=1062&amp;utm_source=sheet", "Apply")</f>
        <v>Apply</v>
      </c>
      <c r="C3186" s="10" t="s">
        <v>8009</v>
      </c>
      <c r="D3186" s="56" t="s">
        <v>2157</v>
      </c>
      <c r="E3186" s="10" t="s">
        <v>45</v>
      </c>
      <c r="F3186" s="10" t="s">
        <v>2158</v>
      </c>
      <c r="G3186" s="10" t="s">
        <v>2443</v>
      </c>
      <c r="H3186" s="10" t="s">
        <v>628</v>
      </c>
      <c r="I3186" s="10" t="s">
        <v>55</v>
      </c>
      <c r="K3186" s="10" t="s">
        <v>8010</v>
      </c>
      <c r="L3186" s="10" t="s">
        <v>42</v>
      </c>
    </row>
    <row r="3187" ht="15.75" customHeight="1">
      <c r="A3187" s="64">
        <v>45467.0</v>
      </c>
      <c r="B3187" s="55" t="str">
        <f>HYPERLINK("https://jobright.ai/jobs/info/663135af0ffd380f785e2c13?utm_campaign=1062&amp;utm_source=sheet", "Apply")</f>
        <v>Apply</v>
      </c>
      <c r="C3187" s="10" t="s">
        <v>8011</v>
      </c>
      <c r="D3187" s="56" t="s">
        <v>8012</v>
      </c>
      <c r="E3187" s="10" t="s">
        <v>79</v>
      </c>
      <c r="F3187" s="10" t="s">
        <v>8013</v>
      </c>
      <c r="G3187" s="10" t="s">
        <v>2448</v>
      </c>
      <c r="H3187" s="10" t="s">
        <v>8014</v>
      </c>
      <c r="I3187" s="10" t="s">
        <v>55</v>
      </c>
      <c r="K3187" s="10" t="s">
        <v>8015</v>
      </c>
      <c r="L3187" s="10" t="s">
        <v>42</v>
      </c>
    </row>
    <row r="3188" ht="15.75" customHeight="1">
      <c r="A3188" s="64">
        <v>45467.0</v>
      </c>
      <c r="B3188" s="55" t="str">
        <f>HYPERLINK("https://jobright.ai/jobs/info/663135af0ffd380f785e2c1d?utm_campaign=1062&amp;utm_source=sheet", "Apply")</f>
        <v>Apply</v>
      </c>
      <c r="C3188" s="10" t="s">
        <v>8011</v>
      </c>
      <c r="D3188" s="56" t="s">
        <v>8012</v>
      </c>
      <c r="E3188" s="10" t="s">
        <v>79</v>
      </c>
      <c r="F3188" s="10" t="s">
        <v>8013</v>
      </c>
      <c r="G3188" s="10" t="s">
        <v>2448</v>
      </c>
      <c r="H3188" s="10" t="s">
        <v>8016</v>
      </c>
      <c r="I3188" s="10" t="s">
        <v>55</v>
      </c>
      <c r="K3188" s="10" t="s">
        <v>8015</v>
      </c>
      <c r="L3188" s="10" t="s">
        <v>42</v>
      </c>
    </row>
    <row r="3189" ht="15.75" customHeight="1">
      <c r="A3189" s="64">
        <v>45467.0</v>
      </c>
      <c r="B3189" s="55" t="str">
        <f>HYPERLINK("https://jobright.ai/jobs/info/66795ec8dd14b36e4d97a3eb?utm_campaign=1062&amp;utm_source=sheet", "Apply")</f>
        <v>Apply</v>
      </c>
      <c r="C3189" s="10" t="s">
        <v>8011</v>
      </c>
      <c r="D3189" s="56" t="s">
        <v>8012</v>
      </c>
      <c r="E3189" s="10" t="s">
        <v>79</v>
      </c>
      <c r="F3189" s="10" t="s">
        <v>8013</v>
      </c>
      <c r="G3189" s="10" t="s">
        <v>2448</v>
      </c>
      <c r="H3189" s="10" t="s">
        <v>8017</v>
      </c>
      <c r="I3189" s="10" t="s">
        <v>55</v>
      </c>
      <c r="K3189" s="10" t="s">
        <v>8015</v>
      </c>
      <c r="L3189" s="10" t="s">
        <v>42</v>
      </c>
    </row>
    <row r="3190" ht="15.75" customHeight="1">
      <c r="A3190" s="64">
        <v>45467.0</v>
      </c>
      <c r="B3190" s="55" t="str">
        <f>HYPERLINK("https://jobright.ai/jobs/info/66795ec8dd14b36e4d97a3ed?utm_campaign=1062&amp;utm_source=sheet", "Apply")</f>
        <v>Apply</v>
      </c>
      <c r="C3190" s="10" t="s">
        <v>8011</v>
      </c>
      <c r="D3190" s="56" t="s">
        <v>8012</v>
      </c>
      <c r="E3190" s="10" t="s">
        <v>79</v>
      </c>
      <c r="F3190" s="10" t="s">
        <v>8013</v>
      </c>
      <c r="G3190" s="10" t="s">
        <v>2448</v>
      </c>
      <c r="H3190" s="10" t="s">
        <v>8018</v>
      </c>
      <c r="I3190" s="10" t="s">
        <v>55</v>
      </c>
      <c r="K3190" s="10" t="s">
        <v>8015</v>
      </c>
      <c r="L3190" s="10" t="s">
        <v>42</v>
      </c>
    </row>
    <row r="3191" ht="15.75" customHeight="1">
      <c r="A3191" s="64">
        <v>45467.0</v>
      </c>
      <c r="B3191" s="55" t="str">
        <f>HYPERLINK("https://jobright.ai/jobs/info/66795ff8dd14b36e4d97bc65?utm_campaign=1062&amp;utm_source=sheet", "Apply")</f>
        <v>Apply</v>
      </c>
      <c r="C3191" s="10" t="s">
        <v>8011</v>
      </c>
      <c r="D3191" s="56" t="s">
        <v>8012</v>
      </c>
      <c r="E3191" s="10" t="s">
        <v>79</v>
      </c>
      <c r="F3191" s="10" t="s">
        <v>8013</v>
      </c>
      <c r="G3191" s="10" t="s">
        <v>2448</v>
      </c>
      <c r="H3191" s="10" t="s">
        <v>8019</v>
      </c>
      <c r="I3191" s="10" t="s">
        <v>55</v>
      </c>
      <c r="K3191" s="10" t="s">
        <v>8015</v>
      </c>
      <c r="L3191" s="10" t="s">
        <v>42</v>
      </c>
    </row>
    <row r="3192" ht="15.75" customHeight="1">
      <c r="A3192" s="64">
        <v>45467.0</v>
      </c>
      <c r="B3192" s="55" t="str">
        <f>HYPERLINK("https://jobright.ai/jobs/info/66795e8edd14b36e4d979f25?utm_campaign=1062&amp;utm_source=sheet", "Apply")</f>
        <v>Apply</v>
      </c>
      <c r="C3192" s="10" t="s">
        <v>8011</v>
      </c>
      <c r="D3192" s="56" t="s">
        <v>8012</v>
      </c>
      <c r="E3192" s="10" t="s">
        <v>79</v>
      </c>
      <c r="F3192" s="10" t="s">
        <v>8013</v>
      </c>
      <c r="G3192" s="10" t="s">
        <v>2448</v>
      </c>
      <c r="H3192" s="10" t="s">
        <v>8020</v>
      </c>
      <c r="I3192" s="10" t="s">
        <v>55</v>
      </c>
      <c r="K3192" s="10" t="s">
        <v>8015</v>
      </c>
      <c r="L3192" s="10" t="s">
        <v>42</v>
      </c>
    </row>
    <row r="3193" ht="15.75" customHeight="1">
      <c r="A3193" s="64">
        <v>45467.0</v>
      </c>
      <c r="B3193" s="55" t="str">
        <f>HYPERLINK("https://jobright.ai/jobs/info/66795ff8dd14b36e4d97bc64?utm_campaign=1062&amp;utm_source=sheet", "Apply")</f>
        <v>Apply</v>
      </c>
      <c r="C3193" s="10" t="s">
        <v>8011</v>
      </c>
      <c r="D3193" s="56" t="s">
        <v>8012</v>
      </c>
      <c r="E3193" s="10" t="s">
        <v>79</v>
      </c>
      <c r="F3193" s="10" t="s">
        <v>8013</v>
      </c>
      <c r="G3193" s="10" t="s">
        <v>2448</v>
      </c>
      <c r="H3193" s="10" t="s">
        <v>8021</v>
      </c>
      <c r="I3193" s="10" t="s">
        <v>55</v>
      </c>
      <c r="K3193" s="10" t="s">
        <v>8015</v>
      </c>
      <c r="L3193" s="10" t="s">
        <v>42</v>
      </c>
    </row>
    <row r="3194" ht="15.75" customHeight="1">
      <c r="A3194" s="64">
        <v>45467.0</v>
      </c>
      <c r="B3194" s="55" t="str">
        <f>HYPERLINK("https://jobright.ai/jobs/info/663135af0ffd380f785e2c1a?utm_campaign=1062&amp;utm_source=sheet", "Apply")</f>
        <v>Apply</v>
      </c>
      <c r="C3194" s="10" t="s">
        <v>8011</v>
      </c>
      <c r="D3194" s="56" t="s">
        <v>8012</v>
      </c>
      <c r="E3194" s="10" t="s">
        <v>79</v>
      </c>
      <c r="F3194" s="10" t="s">
        <v>8013</v>
      </c>
      <c r="G3194" s="10" t="s">
        <v>2448</v>
      </c>
      <c r="H3194" s="10" t="s">
        <v>8022</v>
      </c>
      <c r="I3194" s="10" t="s">
        <v>55</v>
      </c>
      <c r="K3194" s="10" t="s">
        <v>8015</v>
      </c>
      <c r="L3194" s="10" t="s">
        <v>42</v>
      </c>
    </row>
    <row r="3195" ht="15.75" customHeight="1">
      <c r="A3195" s="64">
        <v>45467.0</v>
      </c>
      <c r="B3195" s="55" t="str">
        <f>HYPERLINK("https://jobright.ai/jobs/info/66796c9a3f452d31d55f84d1?utm_campaign=1062&amp;utm_source=sheet", "Apply")</f>
        <v>Apply</v>
      </c>
      <c r="C3195" s="10" t="s">
        <v>8011</v>
      </c>
      <c r="D3195" s="56" t="s">
        <v>8012</v>
      </c>
      <c r="E3195" s="10" t="s">
        <v>79</v>
      </c>
      <c r="F3195" s="10" t="s">
        <v>8013</v>
      </c>
      <c r="G3195" s="10" t="s">
        <v>2448</v>
      </c>
      <c r="H3195" s="10" t="s">
        <v>4963</v>
      </c>
      <c r="I3195" s="10" t="s">
        <v>55</v>
      </c>
      <c r="K3195" s="10" t="s">
        <v>8015</v>
      </c>
      <c r="L3195" s="10" t="s">
        <v>42</v>
      </c>
    </row>
    <row r="3196" ht="15.75" customHeight="1">
      <c r="A3196" s="64">
        <v>45467.0</v>
      </c>
      <c r="B3196" s="55" t="str">
        <f>HYPERLINK("https://jobright.ai/jobs/info/66795ed8dd14b36e4d97a553?utm_campaign=1062&amp;utm_source=sheet", "Apply")</f>
        <v>Apply</v>
      </c>
      <c r="C3196" s="10" t="s">
        <v>8023</v>
      </c>
      <c r="D3196" s="56" t="s">
        <v>8024</v>
      </c>
      <c r="E3196" s="10" t="s">
        <v>71</v>
      </c>
      <c r="F3196" s="10" t="s">
        <v>8025</v>
      </c>
      <c r="G3196" s="10" t="s">
        <v>2455</v>
      </c>
      <c r="H3196" s="10" t="s">
        <v>864</v>
      </c>
      <c r="I3196" s="10" t="s">
        <v>55</v>
      </c>
      <c r="K3196" s="10" t="s">
        <v>8026</v>
      </c>
      <c r="L3196" s="10" t="s">
        <v>42</v>
      </c>
    </row>
    <row r="3197" ht="15.75" customHeight="1">
      <c r="A3197" s="64">
        <v>45467.0</v>
      </c>
      <c r="B3197" s="55" t="str">
        <f>HYPERLINK("https://jobright.ai/jobs/info/66314367de17fe29ce641b5e?utm_campaign=1062&amp;utm_source=sheet", "Apply")</f>
        <v>Apply</v>
      </c>
      <c r="C3197" s="10" t="s">
        <v>8011</v>
      </c>
      <c r="D3197" s="56" t="s">
        <v>8012</v>
      </c>
      <c r="E3197" s="10" t="s">
        <v>79</v>
      </c>
      <c r="F3197" s="10" t="s">
        <v>8013</v>
      </c>
      <c r="G3197" s="10" t="s">
        <v>2448</v>
      </c>
      <c r="H3197" s="10" t="s">
        <v>8027</v>
      </c>
      <c r="I3197" s="10" t="s">
        <v>55</v>
      </c>
      <c r="K3197" s="10" t="s">
        <v>8015</v>
      </c>
      <c r="L3197" s="10" t="s">
        <v>42</v>
      </c>
    </row>
    <row r="3198" ht="15.75" customHeight="1">
      <c r="A3198" s="64">
        <v>45467.0</v>
      </c>
      <c r="B3198" s="55" t="str">
        <f>HYPERLINK("https://jobright.ai/jobs/info/6679581e5d9e5909f9a550f9?utm_campaign=1062&amp;utm_source=sheet", "Apply")</f>
        <v>Apply</v>
      </c>
      <c r="C3198" s="10" t="s">
        <v>8028</v>
      </c>
      <c r="D3198" s="56" t="s">
        <v>8029</v>
      </c>
      <c r="E3198" s="10" t="s">
        <v>276</v>
      </c>
      <c r="F3198" s="10" t="s">
        <v>7866</v>
      </c>
      <c r="G3198" s="10" t="s">
        <v>2437</v>
      </c>
      <c r="H3198" s="10" t="s">
        <v>698</v>
      </c>
      <c r="I3198" s="10" t="s">
        <v>55</v>
      </c>
      <c r="K3198" s="10" t="s">
        <v>8030</v>
      </c>
      <c r="L3198" s="10" t="s">
        <v>42</v>
      </c>
    </row>
    <row r="3199" ht="15.75" customHeight="1">
      <c r="A3199" s="64">
        <v>45467.0</v>
      </c>
      <c r="B3199" s="55" t="str">
        <f>HYPERLINK("https://jobright.ai/jobs/info/662210d62ce839d051d1db8e?utm_campaign=1062&amp;utm_source=sheet", "Apply")</f>
        <v>Apply</v>
      </c>
      <c r="C3199" s="10" t="s">
        <v>8031</v>
      </c>
      <c r="D3199" s="56" t="s">
        <v>8029</v>
      </c>
      <c r="E3199" s="10" t="s">
        <v>276</v>
      </c>
      <c r="F3199" s="10" t="s">
        <v>7866</v>
      </c>
      <c r="G3199" s="10" t="s">
        <v>2502</v>
      </c>
      <c r="H3199" s="10" t="s">
        <v>698</v>
      </c>
      <c r="I3199" s="10" t="s">
        <v>55</v>
      </c>
      <c r="K3199" s="10" t="s">
        <v>8032</v>
      </c>
      <c r="L3199" s="10" t="s">
        <v>42</v>
      </c>
    </row>
    <row r="3200" ht="15.75" customHeight="1">
      <c r="A3200" s="64">
        <v>45467.0</v>
      </c>
      <c r="B3200" s="55" t="str">
        <f>HYPERLINK("https://jobright.ai/jobs/info/663135af0ffd380f785e2c16?utm_campaign=1062&amp;utm_source=sheet", "Apply")</f>
        <v>Apply</v>
      </c>
      <c r="C3200" s="10" t="s">
        <v>8011</v>
      </c>
      <c r="D3200" s="56" t="s">
        <v>8012</v>
      </c>
      <c r="E3200" s="10" t="s">
        <v>79</v>
      </c>
      <c r="F3200" s="10" t="s">
        <v>8013</v>
      </c>
      <c r="G3200" s="10" t="s">
        <v>2448</v>
      </c>
      <c r="H3200" s="10" t="s">
        <v>936</v>
      </c>
      <c r="I3200" s="10" t="s">
        <v>55</v>
      </c>
      <c r="K3200" s="10" t="s">
        <v>8015</v>
      </c>
      <c r="L3200" s="10" t="s">
        <v>42</v>
      </c>
    </row>
    <row r="3201" ht="15.75" customHeight="1">
      <c r="A3201" s="64">
        <v>45467.0</v>
      </c>
      <c r="B3201" s="55" t="str">
        <f>HYPERLINK("https://jobright.ai/jobs/info/667958395d9e5909f9a552ae?utm_campaign=1062&amp;utm_source=sheet", "Apply")</f>
        <v>Apply</v>
      </c>
      <c r="C3201" s="10" t="s">
        <v>8011</v>
      </c>
      <c r="D3201" s="56" t="s">
        <v>8012</v>
      </c>
      <c r="E3201" s="10" t="s">
        <v>79</v>
      </c>
      <c r="F3201" s="10" t="s">
        <v>8013</v>
      </c>
      <c r="G3201" s="10" t="s">
        <v>2448</v>
      </c>
      <c r="H3201" s="10" t="s">
        <v>8033</v>
      </c>
      <c r="I3201" s="10" t="s">
        <v>55</v>
      </c>
      <c r="K3201" s="10" t="s">
        <v>8015</v>
      </c>
      <c r="L3201" s="10" t="s">
        <v>42</v>
      </c>
    </row>
    <row r="3202" ht="15.75" customHeight="1">
      <c r="A3202" s="64">
        <v>45467.0</v>
      </c>
      <c r="B3202" s="55" t="str">
        <f>HYPERLINK("https://jobright.ai/jobs/info/667958395d9e5909f9a552ac?utm_campaign=1062&amp;utm_source=sheet", "Apply")</f>
        <v>Apply</v>
      </c>
      <c r="C3202" s="10" t="s">
        <v>8011</v>
      </c>
      <c r="D3202" s="56" t="s">
        <v>8012</v>
      </c>
      <c r="E3202" s="10" t="s">
        <v>79</v>
      </c>
      <c r="F3202" s="10" t="s">
        <v>8013</v>
      </c>
      <c r="G3202" s="10" t="s">
        <v>2448</v>
      </c>
      <c r="H3202" s="10" t="s">
        <v>8034</v>
      </c>
      <c r="I3202" s="10" t="s">
        <v>55</v>
      </c>
      <c r="K3202" s="10" t="s">
        <v>8015</v>
      </c>
      <c r="L3202" s="10" t="s">
        <v>42</v>
      </c>
    </row>
    <row r="3203" ht="15.75" customHeight="1">
      <c r="A3203" s="64">
        <v>45467.0</v>
      </c>
      <c r="B3203" s="55" t="str">
        <f>HYPERLINK("https://jobright.ai/jobs/info/668bb75a17dee33772925e9a?utm_campaign=1062&amp;utm_source=sheet", "Apply")</f>
        <v>Apply</v>
      </c>
      <c r="C3203" s="10" t="s">
        <v>4015</v>
      </c>
      <c r="D3203" s="56" t="s">
        <v>8035</v>
      </c>
      <c r="E3203" s="10" t="s">
        <v>137</v>
      </c>
      <c r="F3203" s="10" t="s">
        <v>8036</v>
      </c>
      <c r="G3203" s="10" t="s">
        <v>2484</v>
      </c>
      <c r="H3203" s="10" t="s">
        <v>144</v>
      </c>
      <c r="I3203" s="10" t="s">
        <v>55</v>
      </c>
      <c r="K3203" s="10" t="s">
        <v>8037</v>
      </c>
      <c r="L3203" s="10" t="s">
        <v>42</v>
      </c>
    </row>
    <row r="3204" ht="15.75" customHeight="1">
      <c r="A3204" s="64">
        <v>45467.0</v>
      </c>
      <c r="B3204" s="55" t="str">
        <f>HYPERLINK("https://jobright.ai/jobs/info/66794f619f429da3e08e2739?utm_campaign=1062&amp;utm_source=sheet", "Apply")</f>
        <v>Apply</v>
      </c>
      <c r="C3204" s="10" t="s">
        <v>8011</v>
      </c>
      <c r="D3204" s="56" t="s">
        <v>8012</v>
      </c>
      <c r="E3204" s="10" t="s">
        <v>79</v>
      </c>
      <c r="F3204" s="10" t="s">
        <v>8013</v>
      </c>
      <c r="G3204" s="10" t="s">
        <v>2448</v>
      </c>
      <c r="H3204" s="10" t="s">
        <v>8038</v>
      </c>
      <c r="I3204" s="10" t="s">
        <v>55</v>
      </c>
      <c r="K3204" s="10" t="s">
        <v>8015</v>
      </c>
      <c r="L3204" s="10" t="s">
        <v>42</v>
      </c>
    </row>
    <row r="3205" ht="15.75" customHeight="1">
      <c r="A3205" s="64">
        <v>45467.0</v>
      </c>
      <c r="B3205" s="55" t="str">
        <f>HYPERLINK("https://jobright.ai/jobs/info/667be6138bfb8d2339885159?utm_campaign=1062&amp;utm_source=sheet", "Apply")</f>
        <v>Apply</v>
      </c>
      <c r="C3205" s="10" t="s">
        <v>8039</v>
      </c>
      <c r="D3205" s="56" t="s">
        <v>7959</v>
      </c>
      <c r="E3205" s="10">
        <v>175.0</v>
      </c>
      <c r="G3205" s="10" t="s">
        <v>2448</v>
      </c>
      <c r="H3205" s="10" t="s">
        <v>8040</v>
      </c>
      <c r="I3205" s="10" t="s">
        <v>55</v>
      </c>
      <c r="J3205" s="10" t="s">
        <v>8041</v>
      </c>
      <c r="K3205" s="10" t="s">
        <v>8042</v>
      </c>
      <c r="L3205" s="10" t="s">
        <v>42</v>
      </c>
    </row>
    <row r="3206" ht="15.75" customHeight="1">
      <c r="A3206" s="64">
        <v>45467.0</v>
      </c>
      <c r="B3206" s="55" t="str">
        <f>HYPERLINK("https://jobright.ai/jobs/info/668bb75a17dee33772925ece?utm_campaign=1062&amp;utm_source=sheet", "Apply")</f>
        <v>Apply</v>
      </c>
      <c r="C3206" s="10" t="s">
        <v>8043</v>
      </c>
      <c r="D3206" s="56" t="s">
        <v>8044</v>
      </c>
      <c r="E3206" s="10" t="s">
        <v>276</v>
      </c>
      <c r="F3206" s="10" t="s">
        <v>85</v>
      </c>
      <c r="G3206" s="10" t="s">
        <v>2484</v>
      </c>
      <c r="H3206" s="10" t="s">
        <v>8045</v>
      </c>
      <c r="I3206" s="10" t="s">
        <v>55</v>
      </c>
      <c r="K3206" s="10" t="s">
        <v>8046</v>
      </c>
      <c r="L3206" s="10" t="s">
        <v>42</v>
      </c>
    </row>
    <row r="3207" ht="15.75" customHeight="1">
      <c r="A3207" s="64">
        <v>45467.0</v>
      </c>
      <c r="B3207" s="55" t="str">
        <f>HYPERLINK("https://jobright.ai/jobs/info/667b77f56d67dd6e98a66ef3?utm_campaign=1062&amp;utm_source=sheet", "Apply")</f>
        <v>Apply</v>
      </c>
      <c r="C3207" s="10" t="s">
        <v>8047</v>
      </c>
      <c r="D3207" s="56" t="s">
        <v>5557</v>
      </c>
      <c r="E3207" s="10">
        <v>4008.0</v>
      </c>
      <c r="G3207" s="10" t="s">
        <v>2443</v>
      </c>
      <c r="H3207" s="10" t="s">
        <v>661</v>
      </c>
      <c r="I3207" s="10" t="s">
        <v>55</v>
      </c>
      <c r="K3207" s="10" t="s">
        <v>5558</v>
      </c>
      <c r="L3207" s="10" t="s">
        <v>42</v>
      </c>
    </row>
    <row r="3208" ht="15.75" customHeight="1">
      <c r="A3208" s="64">
        <v>45466.0</v>
      </c>
      <c r="B3208" s="55" t="str">
        <f>HYPERLINK("https://jobright.ai/jobs/info/6678982c6198a57192fac3ce?utm_campaign=1062&amp;utm_source=sheet", "Apply")</f>
        <v>Apply</v>
      </c>
      <c r="C3208" s="10" t="s">
        <v>6600</v>
      </c>
      <c r="D3208" s="56" t="s">
        <v>1547</v>
      </c>
      <c r="E3208" s="10">
        <v>408.0</v>
      </c>
      <c r="G3208" s="10" t="s">
        <v>2579</v>
      </c>
      <c r="H3208" s="10" t="s">
        <v>4001</v>
      </c>
      <c r="I3208" s="10" t="s">
        <v>55</v>
      </c>
      <c r="J3208" s="10" t="s">
        <v>6601</v>
      </c>
      <c r="K3208" s="10" t="s">
        <v>8048</v>
      </c>
      <c r="L3208" s="10" t="s">
        <v>42</v>
      </c>
    </row>
    <row r="3209" ht="15.75" customHeight="1">
      <c r="A3209" s="64">
        <v>45466.0</v>
      </c>
      <c r="B3209" s="55" t="str">
        <f>HYPERLINK("https://jobright.ai/jobs/info/66786b3f742ddaa1ec1cc2f1?utm_campaign=1062&amp;utm_source=sheet", "Apply")</f>
        <v>Apply</v>
      </c>
      <c r="C3209" s="10" t="s">
        <v>8049</v>
      </c>
      <c r="D3209" s="56" t="s">
        <v>8050</v>
      </c>
      <c r="E3209" s="10">
        <v>420.0</v>
      </c>
      <c r="G3209" s="10" t="s">
        <v>2437</v>
      </c>
      <c r="H3209" s="10" t="s">
        <v>8051</v>
      </c>
      <c r="I3209" s="10" t="s">
        <v>55</v>
      </c>
      <c r="K3209" s="10" t="s">
        <v>8052</v>
      </c>
      <c r="L3209" s="10" t="s">
        <v>42</v>
      </c>
    </row>
    <row r="3210" ht="15.75" customHeight="1">
      <c r="A3210" s="64">
        <v>45465.0</v>
      </c>
      <c r="B3210" s="55" t="str">
        <f>HYPERLINK("https://jobright.ai/jobs/info/665820d8fb0009309d65701a?utm_campaign=1062&amp;utm_source=sheet", "Apply")</f>
        <v>Apply</v>
      </c>
      <c r="C3210" s="10" t="s">
        <v>8053</v>
      </c>
      <c r="D3210" s="56" t="s">
        <v>243</v>
      </c>
      <c r="E3210" s="10" t="s">
        <v>45</v>
      </c>
      <c r="F3210" s="10" t="s">
        <v>244</v>
      </c>
      <c r="G3210" s="10" t="s">
        <v>2470</v>
      </c>
      <c r="H3210" s="10" t="s">
        <v>8054</v>
      </c>
      <c r="I3210" s="10" t="s">
        <v>55</v>
      </c>
      <c r="K3210" s="10" t="s">
        <v>8055</v>
      </c>
      <c r="L3210" s="10" t="s">
        <v>42</v>
      </c>
    </row>
    <row r="3211" ht="15.75" customHeight="1">
      <c r="A3211" s="64">
        <v>45465.0</v>
      </c>
      <c r="B3211" s="55" t="str">
        <f>HYPERLINK("https://jobright.ai/jobs/info/667793de023ec2d026d3b338?utm_campaign=1062&amp;utm_source=sheet", "Apply")</f>
        <v>Apply</v>
      </c>
      <c r="C3211" s="10" t="s">
        <v>8056</v>
      </c>
      <c r="D3211" s="56" t="s">
        <v>8057</v>
      </c>
      <c r="E3211" s="10" t="s">
        <v>65</v>
      </c>
      <c r="F3211" s="10" t="s">
        <v>8058</v>
      </c>
      <c r="G3211" s="10" t="s">
        <v>2579</v>
      </c>
      <c r="H3211" s="10" t="s">
        <v>3385</v>
      </c>
      <c r="I3211" s="10" t="s">
        <v>48</v>
      </c>
      <c r="K3211" s="10" t="s">
        <v>8059</v>
      </c>
      <c r="L3211" s="10" t="s">
        <v>42</v>
      </c>
    </row>
    <row r="3212" ht="15.75" customHeight="1">
      <c r="A3212" s="64">
        <v>45465.0</v>
      </c>
      <c r="B3212" s="55" t="str">
        <f>HYPERLINK("https://jobright.ai/jobs/info/665c76dd2dd105823dc0e36c?utm_campaign=1062&amp;utm_source=sheet", "Apply")</f>
        <v>Apply</v>
      </c>
      <c r="C3212" s="10" t="s">
        <v>8060</v>
      </c>
      <c r="D3212" s="56" t="s">
        <v>1331</v>
      </c>
      <c r="E3212" s="10" t="s">
        <v>45</v>
      </c>
      <c r="F3212" s="10" t="s">
        <v>1332</v>
      </c>
      <c r="G3212" s="10" t="s">
        <v>2502</v>
      </c>
      <c r="H3212" s="10" t="s">
        <v>419</v>
      </c>
      <c r="I3212" s="10" t="s">
        <v>55</v>
      </c>
      <c r="J3212" s="10" t="s">
        <v>1336</v>
      </c>
      <c r="K3212" s="10" t="s">
        <v>8061</v>
      </c>
      <c r="L3212" s="10" t="s">
        <v>42</v>
      </c>
    </row>
    <row r="3213" ht="15.75" customHeight="1">
      <c r="A3213" s="64">
        <v>45465.0</v>
      </c>
      <c r="B3213" s="55" t="str">
        <f>HYPERLINK("https://jobright.ai/jobs/info/6676cf3c131cc9dd67df2dfa?utm_campaign=1062&amp;utm_source=sheet", "Apply")</f>
        <v>Apply</v>
      </c>
      <c r="C3213" s="10" t="s">
        <v>8062</v>
      </c>
      <c r="D3213" s="56" t="s">
        <v>8063</v>
      </c>
      <c r="E3213" s="10" t="s">
        <v>45</v>
      </c>
      <c r="F3213" s="10" t="s">
        <v>8064</v>
      </c>
      <c r="G3213" s="10" t="s">
        <v>2484</v>
      </c>
      <c r="H3213" s="10" t="s">
        <v>1013</v>
      </c>
      <c r="I3213" s="10" t="s">
        <v>55</v>
      </c>
      <c r="K3213" s="10" t="s">
        <v>8065</v>
      </c>
      <c r="L3213" s="10" t="s">
        <v>42</v>
      </c>
    </row>
    <row r="3214" ht="15.75" customHeight="1">
      <c r="A3214" s="64">
        <v>45465.0</v>
      </c>
      <c r="B3214" s="55" t="str">
        <f>HYPERLINK("https://jobright.ai/jobs/info/66701f1a4ebe061c234403a6?utm_campaign=1062&amp;utm_source=sheet", "Apply")</f>
        <v>Apply</v>
      </c>
      <c r="C3214" s="10" t="s">
        <v>8066</v>
      </c>
      <c r="D3214" s="56" t="s">
        <v>8067</v>
      </c>
      <c r="E3214" s="10" t="s">
        <v>79</v>
      </c>
      <c r="F3214" s="10" t="s">
        <v>665</v>
      </c>
      <c r="G3214" s="10" t="s">
        <v>2502</v>
      </c>
      <c r="H3214" s="10" t="s">
        <v>845</v>
      </c>
      <c r="I3214" s="10" t="s">
        <v>55</v>
      </c>
      <c r="K3214" s="10" t="s">
        <v>8068</v>
      </c>
      <c r="L3214" s="10" t="s">
        <v>42</v>
      </c>
    </row>
    <row r="3215" ht="15.75" customHeight="1">
      <c r="A3215" s="64">
        <v>45465.0</v>
      </c>
      <c r="B3215" s="55" t="str">
        <f>HYPERLINK("https://jobright.ai/jobs/info/6676bc089b9f24e2dbdca82b?utm_campaign=1062&amp;utm_source=sheet", "Apply")</f>
        <v>Apply</v>
      </c>
      <c r="C3215" s="10" t="s">
        <v>8069</v>
      </c>
      <c r="D3215" s="56" t="s">
        <v>2157</v>
      </c>
      <c r="E3215" s="10" t="s">
        <v>45</v>
      </c>
      <c r="F3215" s="10" t="s">
        <v>2158</v>
      </c>
      <c r="G3215" s="10" t="s">
        <v>2443</v>
      </c>
      <c r="H3215" s="10" t="s">
        <v>628</v>
      </c>
      <c r="I3215" s="10" t="s">
        <v>55</v>
      </c>
      <c r="K3215" s="10" t="s">
        <v>5027</v>
      </c>
      <c r="L3215" s="10" t="s">
        <v>42</v>
      </c>
    </row>
    <row r="3216" ht="15.75" customHeight="1">
      <c r="A3216" s="64">
        <v>45465.0</v>
      </c>
      <c r="B3216" s="55" t="str">
        <f>HYPERLINK("https://jobright.ai/jobs/info/66756b10e2a826d24a0df96f?utm_campaign=1062&amp;utm_source=sheet", "Apply")</f>
        <v>Apply</v>
      </c>
      <c r="C3216" s="10" t="s">
        <v>8070</v>
      </c>
      <c r="D3216" s="56" t="s">
        <v>1582</v>
      </c>
      <c r="E3216" s="10" t="s">
        <v>45</v>
      </c>
      <c r="F3216" s="10" t="s">
        <v>665</v>
      </c>
      <c r="G3216" s="10" t="s">
        <v>2443</v>
      </c>
      <c r="H3216" s="10" t="s">
        <v>852</v>
      </c>
      <c r="I3216" s="10" t="s">
        <v>55</v>
      </c>
      <c r="K3216" s="10" t="s">
        <v>8071</v>
      </c>
      <c r="L3216" s="10" t="s">
        <v>42</v>
      </c>
    </row>
    <row r="3217" ht="15.75" customHeight="1">
      <c r="A3217" s="64">
        <v>45465.0</v>
      </c>
      <c r="B3217" s="55" t="str">
        <f>HYPERLINK("https://jobright.ai/jobs/info/6676b3d2a2f49d4e236dcb04?utm_campaign=1062&amp;utm_source=sheet", "Apply")</f>
        <v>Apply</v>
      </c>
      <c r="C3217" s="10" t="s">
        <v>8072</v>
      </c>
      <c r="D3217" s="56" t="s">
        <v>8073</v>
      </c>
      <c r="E3217" s="10" t="s">
        <v>209</v>
      </c>
      <c r="G3217" s="10" t="s">
        <v>2448</v>
      </c>
      <c r="H3217" s="10" t="s">
        <v>1048</v>
      </c>
      <c r="I3217" s="10" t="s">
        <v>55</v>
      </c>
      <c r="K3217" s="10" t="s">
        <v>8074</v>
      </c>
      <c r="L3217" s="10" t="s">
        <v>42</v>
      </c>
    </row>
    <row r="3218" ht="15.75" customHeight="1">
      <c r="A3218" s="64">
        <v>45465.0</v>
      </c>
      <c r="B3218" s="55" t="str">
        <f>HYPERLINK("https://jobright.ai/jobs/info/666c5c3122d2daf784e1268a?utm_campaign=1062&amp;utm_source=sheet", "Apply")</f>
        <v>Apply</v>
      </c>
      <c r="C3218" s="10" t="s">
        <v>8075</v>
      </c>
      <c r="D3218" s="56" t="s">
        <v>1331</v>
      </c>
      <c r="E3218" s="10" t="s">
        <v>45</v>
      </c>
      <c r="F3218" s="10" t="s">
        <v>1332</v>
      </c>
      <c r="G3218" s="10" t="s">
        <v>2502</v>
      </c>
      <c r="H3218" s="10" t="s">
        <v>419</v>
      </c>
      <c r="I3218" s="10" t="s">
        <v>55</v>
      </c>
      <c r="J3218" s="10" t="s">
        <v>1336</v>
      </c>
      <c r="K3218" s="10" t="s">
        <v>8076</v>
      </c>
      <c r="L3218" s="10" t="s">
        <v>42</v>
      </c>
    </row>
    <row r="3219" ht="15.75" customHeight="1">
      <c r="A3219" s="64">
        <v>45465.0</v>
      </c>
      <c r="B3219" s="55" t="str">
        <f>HYPERLINK("https://jobright.ai/jobs/info/666443f362213da165ff54a1?utm_campaign=1062&amp;utm_source=sheet", "Apply")</f>
        <v>Apply</v>
      </c>
      <c r="C3219" s="10" t="s">
        <v>8077</v>
      </c>
      <c r="D3219" s="56" t="s">
        <v>1331</v>
      </c>
      <c r="E3219" s="10" t="s">
        <v>45</v>
      </c>
      <c r="F3219" s="10" t="s">
        <v>1332</v>
      </c>
      <c r="G3219" s="10" t="s">
        <v>2502</v>
      </c>
      <c r="H3219" s="10" t="s">
        <v>419</v>
      </c>
      <c r="I3219" s="10" t="s">
        <v>55</v>
      </c>
      <c r="J3219" s="10" t="s">
        <v>1336</v>
      </c>
      <c r="K3219" s="10" t="s">
        <v>8078</v>
      </c>
      <c r="L3219" s="10" t="s">
        <v>42</v>
      </c>
    </row>
    <row r="3220" ht="15.75" customHeight="1">
      <c r="A3220" s="64">
        <v>45465.0</v>
      </c>
      <c r="B3220" s="55" t="str">
        <f>HYPERLINK("https://jobright.ai/jobs/info/667686ca9233f535350a42f3?utm_campaign=1062&amp;utm_source=sheet", "Apply")</f>
        <v>Apply</v>
      </c>
      <c r="C3220" s="10" t="s">
        <v>8079</v>
      </c>
      <c r="D3220" s="56" t="s">
        <v>1993</v>
      </c>
      <c r="E3220" s="10" t="s">
        <v>45</v>
      </c>
      <c r="F3220" s="10" t="s">
        <v>1179</v>
      </c>
      <c r="G3220" s="10" t="s">
        <v>2484</v>
      </c>
      <c r="H3220" s="10" t="s">
        <v>216</v>
      </c>
      <c r="I3220" s="10" t="s">
        <v>55</v>
      </c>
      <c r="K3220" s="10" t="s">
        <v>8080</v>
      </c>
      <c r="L3220" s="10" t="s">
        <v>42</v>
      </c>
    </row>
    <row r="3221" ht="15.75" customHeight="1">
      <c r="A3221" s="64">
        <v>45465.0</v>
      </c>
      <c r="B3221" s="55" t="str">
        <f>HYPERLINK("https://jobright.ai/jobs/info/666d9c026e5114c557afd675?utm_campaign=1062&amp;utm_source=sheet", "Apply")</f>
        <v>Apply</v>
      </c>
      <c r="C3221" s="10" t="s">
        <v>8081</v>
      </c>
      <c r="D3221" s="56" t="s">
        <v>1331</v>
      </c>
      <c r="E3221" s="10" t="s">
        <v>45</v>
      </c>
      <c r="F3221" s="10" t="s">
        <v>1332</v>
      </c>
      <c r="G3221" s="10" t="s">
        <v>2502</v>
      </c>
      <c r="H3221" s="10" t="s">
        <v>419</v>
      </c>
      <c r="I3221" s="10" t="s">
        <v>55</v>
      </c>
      <c r="J3221" s="10" t="s">
        <v>1336</v>
      </c>
      <c r="K3221" s="10" t="s">
        <v>8082</v>
      </c>
      <c r="L3221" s="10" t="s">
        <v>42</v>
      </c>
    </row>
    <row r="3222" ht="15.75" customHeight="1">
      <c r="A3222" s="64">
        <v>45465.0</v>
      </c>
      <c r="B3222" s="55" t="str">
        <f>HYPERLINK("https://jobright.ai/jobs/info/6668798833709360ffdc9987?utm_campaign=1062&amp;utm_source=sheet", "Apply")</f>
        <v>Apply</v>
      </c>
      <c r="C3222" s="10" t="s">
        <v>8083</v>
      </c>
      <c r="D3222" s="56" t="s">
        <v>1331</v>
      </c>
      <c r="E3222" s="10" t="s">
        <v>45</v>
      </c>
      <c r="F3222" s="10" t="s">
        <v>1332</v>
      </c>
      <c r="G3222" s="10" t="s">
        <v>2502</v>
      </c>
      <c r="H3222" s="10" t="s">
        <v>419</v>
      </c>
      <c r="I3222" s="10" t="s">
        <v>55</v>
      </c>
      <c r="J3222" s="10" t="s">
        <v>1336</v>
      </c>
      <c r="K3222" s="10" t="s">
        <v>8084</v>
      </c>
      <c r="L3222" s="10" t="s">
        <v>42</v>
      </c>
    </row>
    <row r="3223" ht="15.75" customHeight="1">
      <c r="A3223" s="64">
        <v>45465.0</v>
      </c>
      <c r="B3223" s="55" t="str">
        <f>HYPERLINK("https://jobright.ai/jobs/info/66767d2837c63b2c9fc036f9?utm_campaign=1062&amp;utm_source=sheet", "Apply")</f>
        <v>Apply</v>
      </c>
      <c r="C3223" s="10" t="s">
        <v>6608</v>
      </c>
      <c r="D3223" s="56" t="s">
        <v>6606</v>
      </c>
      <c r="E3223" s="10">
        <v>200.0</v>
      </c>
      <c r="G3223" s="10" t="s">
        <v>2448</v>
      </c>
      <c r="H3223" s="10" t="s">
        <v>73</v>
      </c>
      <c r="I3223" s="10" t="s">
        <v>55</v>
      </c>
      <c r="K3223" s="10" t="s">
        <v>6609</v>
      </c>
      <c r="L3223" s="10" t="s">
        <v>42</v>
      </c>
    </row>
    <row r="3224" ht="15.75" customHeight="1">
      <c r="A3224" s="64">
        <v>45465.0</v>
      </c>
      <c r="B3224" s="55" t="str">
        <f>HYPERLINK("https://jobright.ai/jobs/info/667499d5e2555414447e6853?utm_campaign=1062&amp;utm_source=sheet", "Apply")</f>
        <v>Apply</v>
      </c>
      <c r="C3224" s="10" t="s">
        <v>8085</v>
      </c>
      <c r="D3224" s="56" t="s">
        <v>1331</v>
      </c>
      <c r="E3224" s="10" t="s">
        <v>45</v>
      </c>
      <c r="F3224" s="10" t="s">
        <v>1332</v>
      </c>
      <c r="G3224" s="10" t="s">
        <v>2455</v>
      </c>
      <c r="H3224" s="10" t="s">
        <v>419</v>
      </c>
      <c r="I3224" s="10" t="s">
        <v>55</v>
      </c>
      <c r="J3224" s="10" t="s">
        <v>8086</v>
      </c>
      <c r="K3224" s="10" t="s">
        <v>8087</v>
      </c>
      <c r="L3224" s="10" t="s">
        <v>42</v>
      </c>
    </row>
    <row r="3225" ht="15.75" customHeight="1">
      <c r="A3225" s="64">
        <v>45465.0</v>
      </c>
      <c r="B3225" s="55" t="str">
        <f>HYPERLINK("https://jobright.ai/jobs/info/6675d3615e546ebdd783a327?utm_campaign=1062&amp;utm_source=sheet", "Apply")</f>
        <v>Apply</v>
      </c>
      <c r="C3225" s="10" t="s">
        <v>6285</v>
      </c>
      <c r="D3225" s="56" t="s">
        <v>6286</v>
      </c>
      <c r="E3225" s="10" t="s">
        <v>249</v>
      </c>
      <c r="F3225" s="10" t="s">
        <v>2746</v>
      </c>
      <c r="G3225" s="10" t="s">
        <v>2464</v>
      </c>
      <c r="H3225" s="10" t="s">
        <v>152</v>
      </c>
      <c r="I3225" s="10" t="s">
        <v>55</v>
      </c>
      <c r="K3225" s="10" t="s">
        <v>6288</v>
      </c>
      <c r="L3225" s="10" t="s">
        <v>42</v>
      </c>
    </row>
    <row r="3226" ht="15.75" customHeight="1">
      <c r="A3226" s="64">
        <v>45465.0</v>
      </c>
      <c r="B3226" s="55" t="str">
        <f>HYPERLINK("https://jobright.ai/jobs/info/66767d4e37c63b2c9fc039e8?utm_campaign=1062&amp;utm_source=sheet", "Apply")</f>
        <v>Apply</v>
      </c>
      <c r="C3226" s="10" t="s">
        <v>6285</v>
      </c>
      <c r="D3226" s="56" t="s">
        <v>6286</v>
      </c>
      <c r="E3226" s="10" t="s">
        <v>249</v>
      </c>
      <c r="F3226" s="10" t="s">
        <v>2746</v>
      </c>
      <c r="G3226" s="10" t="s">
        <v>2464</v>
      </c>
      <c r="H3226" s="10" t="s">
        <v>6287</v>
      </c>
      <c r="I3226" s="10" t="s">
        <v>48</v>
      </c>
      <c r="K3226" s="10" t="s">
        <v>6288</v>
      </c>
      <c r="L3226" s="10" t="s">
        <v>42</v>
      </c>
    </row>
    <row r="3227" ht="15.75" customHeight="1">
      <c r="A3227" s="64">
        <v>45465.0</v>
      </c>
      <c r="B3227" s="55" t="str">
        <f>HYPERLINK("https://jobright.ai/jobs/info/663cf89ac66a2f8935f1c171?utm_campaign=1062&amp;utm_source=sheet", "Apply")</f>
        <v>Apply</v>
      </c>
      <c r="C3227" s="10" t="s">
        <v>8088</v>
      </c>
      <c r="D3227" s="56" t="s">
        <v>1073</v>
      </c>
      <c r="E3227" s="10" t="s">
        <v>45</v>
      </c>
      <c r="F3227" s="10" t="s">
        <v>1074</v>
      </c>
      <c r="G3227" s="10" t="s">
        <v>3733</v>
      </c>
      <c r="H3227" s="10" t="s">
        <v>1075</v>
      </c>
      <c r="I3227" s="10" t="s">
        <v>48</v>
      </c>
      <c r="J3227" s="10" t="s">
        <v>8089</v>
      </c>
      <c r="K3227" s="10" t="s">
        <v>8090</v>
      </c>
      <c r="L3227" s="10" t="s">
        <v>42</v>
      </c>
    </row>
    <row r="3228" ht="15.75" customHeight="1">
      <c r="A3228" s="64">
        <v>45465.0</v>
      </c>
      <c r="B3228" s="55" t="str">
        <f>HYPERLINK("https://jobright.ai/jobs/info/667021e87fdde7a5e2b2d774?utm_campaign=1062&amp;utm_source=sheet", "Apply")</f>
        <v>Apply</v>
      </c>
      <c r="C3228" s="10" t="s">
        <v>8091</v>
      </c>
      <c r="D3228" s="56" t="s">
        <v>1331</v>
      </c>
      <c r="E3228" s="10" t="s">
        <v>45</v>
      </c>
      <c r="F3228" s="10" t="s">
        <v>1332</v>
      </c>
      <c r="G3228" s="10" t="s">
        <v>2448</v>
      </c>
      <c r="H3228" s="10" t="s">
        <v>387</v>
      </c>
      <c r="I3228" s="10" t="s">
        <v>55</v>
      </c>
      <c r="J3228" s="10" t="s">
        <v>1333</v>
      </c>
      <c r="K3228" s="10" t="s">
        <v>8092</v>
      </c>
      <c r="L3228" s="10" t="s">
        <v>42</v>
      </c>
    </row>
    <row r="3229" ht="15.75" customHeight="1">
      <c r="A3229" s="64">
        <v>45465.0</v>
      </c>
      <c r="B3229" s="55" t="str">
        <f>HYPERLINK("https://jobright.ai/jobs/info/65fb971f17af441165056441?utm_campaign=1062&amp;utm_source=sheet", "Apply")</f>
        <v>Apply</v>
      </c>
      <c r="C3229" s="10" t="s">
        <v>8093</v>
      </c>
      <c r="D3229" s="56" t="s">
        <v>2493</v>
      </c>
      <c r="E3229" s="10" t="s">
        <v>45</v>
      </c>
      <c r="F3229" s="10" t="s">
        <v>2494</v>
      </c>
      <c r="G3229" s="10" t="s">
        <v>2437</v>
      </c>
      <c r="H3229" s="10" t="s">
        <v>578</v>
      </c>
      <c r="I3229" s="10" t="s">
        <v>55</v>
      </c>
      <c r="K3229" s="10" t="s">
        <v>8094</v>
      </c>
      <c r="L3229" s="10" t="s">
        <v>42</v>
      </c>
    </row>
    <row r="3230" ht="15.75" customHeight="1">
      <c r="A3230" s="64">
        <v>45465.0</v>
      </c>
      <c r="B3230" s="55" t="str">
        <f>HYPERLINK("https://jobright.ai/jobs/info/665c68ae84c4cece2face7ea?utm_campaign=1062&amp;utm_source=sheet", "Apply")</f>
        <v>Apply</v>
      </c>
      <c r="C3230" s="10" t="s">
        <v>8095</v>
      </c>
      <c r="D3230" s="56" t="s">
        <v>1331</v>
      </c>
      <c r="E3230" s="10" t="s">
        <v>45</v>
      </c>
      <c r="F3230" s="10" t="s">
        <v>1332</v>
      </c>
      <c r="G3230" s="10" t="s">
        <v>2502</v>
      </c>
      <c r="H3230" s="10" t="s">
        <v>419</v>
      </c>
      <c r="I3230" s="10" t="s">
        <v>55</v>
      </c>
      <c r="J3230" s="10" t="s">
        <v>8096</v>
      </c>
      <c r="K3230" s="10" t="s">
        <v>8097</v>
      </c>
      <c r="L3230" s="10" t="s">
        <v>42</v>
      </c>
    </row>
    <row r="3231" ht="15.75" customHeight="1">
      <c r="A3231" s="64">
        <v>45465.0</v>
      </c>
      <c r="B3231" s="55" t="str">
        <f>HYPERLINK("https://jobright.ai/jobs/info/663aeec312d0466bb090c7b4?utm_campaign=1062&amp;utm_source=sheet", "Apply")</f>
        <v>Apply</v>
      </c>
      <c r="C3231" s="10" t="s">
        <v>8098</v>
      </c>
      <c r="D3231" s="56" t="s">
        <v>6490</v>
      </c>
      <c r="E3231" s="10" t="s">
        <v>65</v>
      </c>
      <c r="F3231" s="10" t="s">
        <v>259</v>
      </c>
      <c r="G3231" s="10" t="s">
        <v>2448</v>
      </c>
      <c r="H3231" s="10" t="s">
        <v>6491</v>
      </c>
      <c r="I3231" s="10" t="s">
        <v>55</v>
      </c>
      <c r="K3231" s="10" t="s">
        <v>8099</v>
      </c>
      <c r="L3231" s="10" t="s">
        <v>42</v>
      </c>
    </row>
    <row r="3232" ht="15.75" customHeight="1">
      <c r="A3232" s="64">
        <v>45465.0</v>
      </c>
      <c r="B3232" s="55" t="str">
        <f>HYPERLINK("https://jobright.ai/jobs/info/6677060cacb63b6016fb0173?utm_campaign=1062&amp;utm_source=sheet", "Apply")</f>
        <v>Apply</v>
      </c>
      <c r="C3232" s="10" t="s">
        <v>8100</v>
      </c>
      <c r="D3232" s="56" t="s">
        <v>8101</v>
      </c>
      <c r="E3232" s="59">
        <v>45301.0</v>
      </c>
      <c r="G3232" s="10" t="s">
        <v>2470</v>
      </c>
      <c r="H3232" s="10" t="s">
        <v>5622</v>
      </c>
      <c r="I3232" s="10" t="s">
        <v>55</v>
      </c>
      <c r="J3232" s="10" t="s">
        <v>8102</v>
      </c>
      <c r="K3232" s="10" t="s">
        <v>8103</v>
      </c>
      <c r="L3232" s="10" t="s">
        <v>42</v>
      </c>
    </row>
    <row r="3233" ht="15.75" customHeight="1">
      <c r="A3233" s="64">
        <v>45464.0</v>
      </c>
      <c r="B3233" s="55" t="str">
        <f>HYPERLINK("https://jobright.ai/jobs/info/6676274474a49bf8010a1288?utm_campaign=1062&amp;utm_source=sheet", "Apply")</f>
        <v>Apply</v>
      </c>
      <c r="C3233" s="10" t="s">
        <v>2689</v>
      </c>
      <c r="D3233" s="56" t="s">
        <v>3187</v>
      </c>
      <c r="E3233" s="10" t="s">
        <v>45</v>
      </c>
      <c r="F3233" s="10" t="s">
        <v>3188</v>
      </c>
      <c r="G3233" s="10" t="s">
        <v>2495</v>
      </c>
      <c r="H3233" s="10" t="s">
        <v>3189</v>
      </c>
      <c r="I3233" s="10" t="s">
        <v>48</v>
      </c>
      <c r="K3233" s="10" t="s">
        <v>7733</v>
      </c>
      <c r="L3233" s="10" t="s">
        <v>42</v>
      </c>
    </row>
    <row r="3234" ht="15.75" customHeight="1">
      <c r="A3234" s="64">
        <v>45464.0</v>
      </c>
      <c r="B3234" s="55" t="str">
        <f>HYPERLINK("https://jobright.ai/jobs/info/667637d65a93920dc6d82a65?utm_campaign=1062&amp;utm_source=sheet", "Apply")</f>
        <v>Apply</v>
      </c>
      <c r="C3234" s="10" t="s">
        <v>8104</v>
      </c>
      <c r="D3234" s="56" t="s">
        <v>2991</v>
      </c>
      <c r="E3234" s="10" t="s">
        <v>65</v>
      </c>
      <c r="F3234" s="10" t="s">
        <v>1893</v>
      </c>
      <c r="G3234" s="10" t="s">
        <v>2443</v>
      </c>
      <c r="H3234" s="10" t="s">
        <v>159</v>
      </c>
      <c r="I3234" s="10" t="s">
        <v>55</v>
      </c>
      <c r="K3234" s="10" t="s">
        <v>8105</v>
      </c>
      <c r="L3234" s="10" t="s">
        <v>42</v>
      </c>
    </row>
    <row r="3235" ht="15.75" customHeight="1">
      <c r="A3235" s="64">
        <v>45464.0</v>
      </c>
      <c r="B3235" s="55" t="str">
        <f>HYPERLINK("https://jobright.ai/jobs/info/6632d22f173158cb8cf70eb3?utm_campaign=1062&amp;utm_source=sheet", "Apply")</f>
        <v>Apply</v>
      </c>
      <c r="C3235" s="10" t="s">
        <v>8106</v>
      </c>
      <c r="D3235" s="56" t="s">
        <v>8107</v>
      </c>
      <c r="E3235" s="10" t="s">
        <v>209</v>
      </c>
      <c r="F3235" s="10" t="s">
        <v>8108</v>
      </c>
      <c r="G3235" s="10" t="s">
        <v>2605</v>
      </c>
      <c r="H3235" s="10" t="s">
        <v>1290</v>
      </c>
      <c r="I3235" s="10" t="s">
        <v>55</v>
      </c>
      <c r="K3235" s="10" t="s">
        <v>8109</v>
      </c>
      <c r="L3235" s="10" t="s">
        <v>42</v>
      </c>
    </row>
    <row r="3236" ht="15.75" customHeight="1">
      <c r="A3236" s="64">
        <v>45464.0</v>
      </c>
      <c r="B3236" s="55" t="str">
        <f>HYPERLINK("https://jobright.ai/jobs/info/6676276a74a49bf8010a1493?utm_campaign=1062&amp;utm_source=sheet", "Apply")</f>
        <v>Apply</v>
      </c>
      <c r="C3236" s="10" t="s">
        <v>8110</v>
      </c>
      <c r="D3236" s="56" t="s">
        <v>6568</v>
      </c>
      <c r="E3236" s="10" t="s">
        <v>65</v>
      </c>
      <c r="F3236" s="10" t="s">
        <v>6560</v>
      </c>
      <c r="G3236" s="10" t="s">
        <v>2448</v>
      </c>
      <c r="H3236" s="10" t="s">
        <v>405</v>
      </c>
      <c r="I3236" s="10" t="s">
        <v>55</v>
      </c>
      <c r="J3236" s="10" t="s">
        <v>581</v>
      </c>
      <c r="K3236" s="10" t="s">
        <v>8111</v>
      </c>
      <c r="L3236" s="10" t="s">
        <v>42</v>
      </c>
    </row>
    <row r="3237" ht="15.75" customHeight="1">
      <c r="A3237" s="64">
        <v>45464.0</v>
      </c>
      <c r="B3237" s="55" t="str">
        <f>HYPERLINK("https://jobright.ai/jobs/info/6671c6efeb6109503aa3ae35?utm_campaign=1062&amp;utm_source=sheet", "Apply")</f>
        <v>Apply</v>
      </c>
      <c r="C3237" s="10" t="s">
        <v>8070</v>
      </c>
      <c r="D3237" s="56" t="s">
        <v>1582</v>
      </c>
      <c r="E3237" s="10" t="s">
        <v>45</v>
      </c>
      <c r="F3237" s="10" t="s">
        <v>665</v>
      </c>
      <c r="G3237" s="10" t="s">
        <v>2443</v>
      </c>
      <c r="H3237" s="10" t="s">
        <v>852</v>
      </c>
      <c r="I3237" s="10" t="s">
        <v>55</v>
      </c>
      <c r="K3237" s="10" t="s">
        <v>8071</v>
      </c>
      <c r="L3237" s="10" t="s">
        <v>42</v>
      </c>
    </row>
    <row r="3238" ht="15.75" customHeight="1">
      <c r="A3238" s="64">
        <v>45464.0</v>
      </c>
      <c r="B3238" s="55" t="str">
        <f>HYPERLINK("https://jobright.ai/jobs/info/66767d6e37c63b2c9fc03c32?utm_campaign=1062&amp;utm_source=sheet", "Apply")</f>
        <v>Apply</v>
      </c>
      <c r="C3238" s="10" t="s">
        <v>8112</v>
      </c>
      <c r="D3238" s="56" t="s">
        <v>2677</v>
      </c>
      <c r="E3238" s="10" t="s">
        <v>79</v>
      </c>
      <c r="F3238" s="10" t="s">
        <v>2678</v>
      </c>
      <c r="G3238" s="10" t="s">
        <v>2495</v>
      </c>
      <c r="H3238" s="10" t="s">
        <v>2679</v>
      </c>
      <c r="I3238" s="10" t="s">
        <v>48</v>
      </c>
      <c r="K3238" s="10" t="s">
        <v>8113</v>
      </c>
      <c r="L3238" s="10" t="s">
        <v>42</v>
      </c>
    </row>
    <row r="3239" ht="15.75" customHeight="1">
      <c r="A3239" s="64">
        <v>45464.0</v>
      </c>
      <c r="B3239" s="55" t="str">
        <f>HYPERLINK("https://jobright.ai/jobs/info/667211517de1e75a0e1b50b3?utm_campaign=1062&amp;utm_source=sheet", "Apply")</f>
        <v>Apply</v>
      </c>
      <c r="C3239" s="10" t="s">
        <v>7956</v>
      </c>
      <c r="D3239" s="56" t="s">
        <v>567</v>
      </c>
      <c r="E3239" s="10" t="s">
        <v>65</v>
      </c>
      <c r="F3239" s="10" t="s">
        <v>568</v>
      </c>
      <c r="G3239" s="10" t="s">
        <v>2448</v>
      </c>
      <c r="H3239" s="10" t="s">
        <v>860</v>
      </c>
      <c r="I3239" s="10" t="s">
        <v>55</v>
      </c>
      <c r="J3239" s="10" t="s">
        <v>3031</v>
      </c>
      <c r="K3239" s="10" t="s">
        <v>3024</v>
      </c>
      <c r="L3239" s="10" t="s">
        <v>42</v>
      </c>
    </row>
    <row r="3240" ht="15.75" customHeight="1">
      <c r="A3240" s="64">
        <v>45464.0</v>
      </c>
      <c r="B3240" s="55" t="str">
        <f>HYPERLINK("https://jobright.ai/jobs/info/6672186c47d0a67405d0f951?utm_campaign=1062&amp;utm_source=sheet", "Apply")</f>
        <v>Apply</v>
      </c>
      <c r="C3240" s="10" t="s">
        <v>7956</v>
      </c>
      <c r="D3240" s="56" t="s">
        <v>567</v>
      </c>
      <c r="E3240" s="10" t="s">
        <v>65</v>
      </c>
      <c r="F3240" s="10" t="s">
        <v>568</v>
      </c>
      <c r="G3240" s="10" t="s">
        <v>2448</v>
      </c>
      <c r="H3240" s="10" t="s">
        <v>965</v>
      </c>
      <c r="I3240" s="10" t="s">
        <v>55</v>
      </c>
      <c r="J3240" s="10" t="s">
        <v>3031</v>
      </c>
      <c r="K3240" s="10" t="s">
        <v>3024</v>
      </c>
      <c r="L3240" s="10" t="s">
        <v>42</v>
      </c>
    </row>
    <row r="3241" ht="15.75" customHeight="1">
      <c r="A3241" s="64">
        <v>45464.0</v>
      </c>
      <c r="B3241" s="55" t="str">
        <f>HYPERLINK("https://jobright.ai/jobs/info/665ff05ad6873af1aef69ac6?utm_campaign=1062&amp;utm_source=sheet", "Apply")</f>
        <v>Apply</v>
      </c>
      <c r="C3241" s="10" t="s">
        <v>7957</v>
      </c>
      <c r="D3241" s="56" t="s">
        <v>567</v>
      </c>
      <c r="E3241" s="10" t="s">
        <v>65</v>
      </c>
      <c r="F3241" s="10" t="s">
        <v>568</v>
      </c>
      <c r="G3241" s="10" t="s">
        <v>2464</v>
      </c>
      <c r="H3241" s="10" t="s">
        <v>738</v>
      </c>
      <c r="I3241" s="10" t="s">
        <v>55</v>
      </c>
      <c r="K3241" s="10" t="s">
        <v>3024</v>
      </c>
      <c r="L3241" s="10" t="s">
        <v>42</v>
      </c>
    </row>
    <row r="3242" ht="15.75" customHeight="1">
      <c r="A3242" s="64">
        <v>45464.0</v>
      </c>
      <c r="B3242" s="55" t="str">
        <f>HYPERLINK("https://jobright.ai/jobs/info/6676747480545507a374825e?utm_campaign=1062&amp;utm_source=sheet", "Apply")</f>
        <v>Apply</v>
      </c>
      <c r="C3242" s="10" t="s">
        <v>8114</v>
      </c>
      <c r="D3242" s="56" t="s">
        <v>196</v>
      </c>
      <c r="E3242" s="10" t="s">
        <v>71</v>
      </c>
      <c r="F3242" s="10" t="s">
        <v>197</v>
      </c>
      <c r="G3242" s="10" t="s">
        <v>2443</v>
      </c>
      <c r="H3242" s="10" t="s">
        <v>1963</v>
      </c>
      <c r="I3242" s="10" t="s">
        <v>55</v>
      </c>
      <c r="K3242" s="10" t="s">
        <v>8115</v>
      </c>
      <c r="L3242" s="10" t="s">
        <v>42</v>
      </c>
    </row>
    <row r="3243" ht="15.75" customHeight="1">
      <c r="A3243" s="64">
        <v>45464.0</v>
      </c>
      <c r="B3243" s="55" t="str">
        <f>HYPERLINK("https://jobright.ai/jobs/info/667681f38bac83e5cc4341eb?utm_campaign=1062&amp;utm_source=sheet", "Apply")</f>
        <v>Apply</v>
      </c>
      <c r="C3243" s="10" t="s">
        <v>8116</v>
      </c>
      <c r="D3243" s="56" t="s">
        <v>196</v>
      </c>
      <c r="E3243" s="10" t="s">
        <v>71</v>
      </c>
      <c r="F3243" s="10" t="s">
        <v>197</v>
      </c>
      <c r="G3243" s="10" t="s">
        <v>2443</v>
      </c>
      <c r="H3243" s="10" t="s">
        <v>1963</v>
      </c>
      <c r="I3243" s="10" t="s">
        <v>55</v>
      </c>
      <c r="K3243" s="10" t="s">
        <v>8117</v>
      </c>
      <c r="L3243" s="10" t="s">
        <v>42</v>
      </c>
    </row>
    <row r="3244" ht="15.75" customHeight="1">
      <c r="A3244" s="64">
        <v>45464.0</v>
      </c>
      <c r="B3244" s="55" t="str">
        <f>HYPERLINK("https://jobright.ai/jobs/info/667710dff278834492d886b6?utm_campaign=1062&amp;utm_source=sheet", "Apply")</f>
        <v>Apply</v>
      </c>
      <c r="C3244" s="10" t="s">
        <v>8118</v>
      </c>
      <c r="D3244" s="56" t="s">
        <v>8119</v>
      </c>
      <c r="E3244" s="10" t="s">
        <v>276</v>
      </c>
      <c r="F3244" s="10" t="s">
        <v>3124</v>
      </c>
      <c r="G3244" s="10" t="s">
        <v>2448</v>
      </c>
      <c r="H3244" s="10" t="s">
        <v>1047</v>
      </c>
      <c r="I3244" s="10" t="s">
        <v>55</v>
      </c>
      <c r="K3244" s="10" t="s">
        <v>8120</v>
      </c>
      <c r="L3244" s="10" t="s">
        <v>42</v>
      </c>
    </row>
    <row r="3245" ht="15.75" customHeight="1">
      <c r="A3245" s="64">
        <v>45464.0</v>
      </c>
      <c r="B3245" s="55" t="str">
        <f>HYPERLINK("https://jobright.ai/jobs/info/6675ce33fde6a7756c635eb5?utm_campaign=1062&amp;utm_source=sheet", "Apply")</f>
        <v>Apply</v>
      </c>
      <c r="C3245" s="10" t="s">
        <v>8121</v>
      </c>
      <c r="D3245" s="56" t="s">
        <v>196</v>
      </c>
      <c r="E3245" s="10" t="s">
        <v>71</v>
      </c>
      <c r="F3245" s="10" t="s">
        <v>197</v>
      </c>
      <c r="G3245" s="10" t="s">
        <v>2443</v>
      </c>
      <c r="H3245" s="10" t="s">
        <v>1963</v>
      </c>
      <c r="I3245" s="10" t="s">
        <v>55</v>
      </c>
      <c r="J3245" s="10" t="s">
        <v>8122</v>
      </c>
      <c r="K3245" s="10" t="s">
        <v>8123</v>
      </c>
      <c r="L3245" s="10" t="s">
        <v>42</v>
      </c>
    </row>
    <row r="3246" ht="15.75" customHeight="1">
      <c r="A3246" s="64">
        <v>45464.0</v>
      </c>
      <c r="B3246" s="55" t="str">
        <f>HYPERLINK("https://jobright.ai/jobs/info/6672186c47d0a67405d0f94f?utm_campaign=1062&amp;utm_source=sheet", "Apply")</f>
        <v>Apply</v>
      </c>
      <c r="C3246" s="10" t="s">
        <v>7956</v>
      </c>
      <c r="D3246" s="56" t="s">
        <v>567</v>
      </c>
      <c r="E3246" s="10" t="s">
        <v>65</v>
      </c>
      <c r="F3246" s="10" t="s">
        <v>568</v>
      </c>
      <c r="G3246" s="10" t="s">
        <v>2448</v>
      </c>
      <c r="H3246" s="10" t="s">
        <v>1013</v>
      </c>
      <c r="I3246" s="10" t="s">
        <v>55</v>
      </c>
      <c r="J3246" s="10" t="s">
        <v>3031</v>
      </c>
      <c r="K3246" s="10" t="s">
        <v>3024</v>
      </c>
      <c r="L3246" s="10" t="s">
        <v>42</v>
      </c>
    </row>
    <row r="3247" ht="15.75" customHeight="1">
      <c r="A3247" s="64">
        <v>45464.0</v>
      </c>
      <c r="B3247" s="55" t="str">
        <f>HYPERLINK("https://jobright.ai/jobs/info/66759f2f86a9490f868ba9fe?utm_campaign=1062&amp;utm_source=sheet", "Apply")</f>
        <v>Apply</v>
      </c>
      <c r="C3247" s="10" t="s">
        <v>8124</v>
      </c>
      <c r="D3247" s="56" t="s">
        <v>8125</v>
      </c>
      <c r="E3247" s="10" t="s">
        <v>209</v>
      </c>
      <c r="F3247" s="10" t="s">
        <v>2824</v>
      </c>
      <c r="G3247" s="10" t="s">
        <v>2448</v>
      </c>
      <c r="H3247" s="10" t="s">
        <v>6398</v>
      </c>
      <c r="I3247" s="10" t="s">
        <v>48</v>
      </c>
      <c r="J3247" s="10" t="s">
        <v>8126</v>
      </c>
      <c r="K3247" s="10" t="s">
        <v>8127</v>
      </c>
      <c r="L3247" s="10" t="s">
        <v>42</v>
      </c>
    </row>
    <row r="3248" ht="15.75" customHeight="1">
      <c r="A3248" s="64">
        <v>45464.0</v>
      </c>
      <c r="B3248" s="55" t="str">
        <f>HYPERLINK("https://jobright.ai/jobs/info/65f3d9050a9dca00a46289a7?utm_campaign=1062&amp;utm_source=sheet", "Apply")</f>
        <v>Apply</v>
      </c>
      <c r="C3248" s="10" t="s">
        <v>8124</v>
      </c>
      <c r="D3248" s="56" t="s">
        <v>8125</v>
      </c>
      <c r="E3248" s="10" t="s">
        <v>209</v>
      </c>
      <c r="F3248" s="10" t="s">
        <v>2824</v>
      </c>
      <c r="G3248" s="10" t="s">
        <v>2448</v>
      </c>
      <c r="H3248" s="10" t="s">
        <v>6398</v>
      </c>
      <c r="I3248" s="10" t="s">
        <v>48</v>
      </c>
      <c r="K3248" s="10" t="s">
        <v>8128</v>
      </c>
      <c r="L3248" s="10" t="s">
        <v>42</v>
      </c>
    </row>
    <row r="3249" ht="15.75" customHeight="1">
      <c r="A3249" s="64">
        <v>45464.0</v>
      </c>
      <c r="B3249" s="55" t="str">
        <f>HYPERLINK("https://jobright.ai/jobs/info/6675b53e357894b74ff29a67?utm_campaign=1062&amp;utm_source=sheet", "Apply")</f>
        <v>Apply</v>
      </c>
      <c r="C3249" s="10" t="s">
        <v>8129</v>
      </c>
      <c r="D3249" s="56" t="s">
        <v>3850</v>
      </c>
      <c r="E3249" s="10" t="s">
        <v>137</v>
      </c>
      <c r="F3249" s="10" t="s">
        <v>3851</v>
      </c>
      <c r="G3249" s="10" t="s">
        <v>2579</v>
      </c>
      <c r="H3249" s="10" t="s">
        <v>354</v>
      </c>
      <c r="I3249" s="10" t="s">
        <v>55</v>
      </c>
      <c r="K3249" s="10" t="s">
        <v>8130</v>
      </c>
      <c r="L3249" s="10" t="s">
        <v>42</v>
      </c>
    </row>
    <row r="3250" ht="15.75" customHeight="1">
      <c r="A3250" s="64">
        <v>45464.0</v>
      </c>
      <c r="B3250" s="55" t="str">
        <f>HYPERLINK("https://jobright.ai/jobs/info/667678f371e80dcf60e48504?utm_campaign=1062&amp;utm_source=sheet", "Apply")</f>
        <v>Apply</v>
      </c>
      <c r="C3250" s="10" t="s">
        <v>8131</v>
      </c>
      <c r="D3250" s="56" t="s">
        <v>8132</v>
      </c>
      <c r="G3250" s="10" t="s">
        <v>2448</v>
      </c>
      <c r="H3250" s="10" t="s">
        <v>5245</v>
      </c>
      <c r="I3250" s="10" t="s">
        <v>55</v>
      </c>
      <c r="K3250" s="10" t="s">
        <v>8133</v>
      </c>
      <c r="L3250" s="10" t="s">
        <v>42</v>
      </c>
    </row>
    <row r="3251" ht="15.75" customHeight="1">
      <c r="A3251" s="64">
        <v>45464.0</v>
      </c>
      <c r="B3251" s="55" t="str">
        <f>HYPERLINK("https://jobright.ai/jobs/info/664e2050b45b688e7b70f8c0?utm_campaign=1062&amp;utm_source=sheet", "Apply")</f>
        <v>Apply</v>
      </c>
      <c r="C3251" s="10" t="s">
        <v>2921</v>
      </c>
      <c r="D3251" s="56" t="s">
        <v>2037</v>
      </c>
      <c r="E3251" s="10">
        <v>13693.0</v>
      </c>
      <c r="G3251" s="10" t="s">
        <v>2448</v>
      </c>
      <c r="H3251" s="10" t="s">
        <v>139</v>
      </c>
      <c r="I3251" s="10" t="s">
        <v>55</v>
      </c>
      <c r="K3251" s="10" t="s">
        <v>8134</v>
      </c>
      <c r="L3251" s="10" t="s">
        <v>42</v>
      </c>
    </row>
    <row r="3252" ht="15.75" customHeight="1">
      <c r="A3252" s="64">
        <v>45464.0</v>
      </c>
      <c r="B3252" s="55" t="str">
        <f>HYPERLINK("https://jobright.ai/jobs/info/6674f225c03c8a493e8d9f54?utm_campaign=1062&amp;utm_source=sheet", "Apply")</f>
        <v>Apply</v>
      </c>
      <c r="C3252" s="10" t="s">
        <v>8135</v>
      </c>
      <c r="D3252" s="56" t="s">
        <v>8136</v>
      </c>
      <c r="E3252" s="10" t="s">
        <v>276</v>
      </c>
      <c r="F3252" s="10" t="s">
        <v>515</v>
      </c>
      <c r="G3252" s="10" t="s">
        <v>2448</v>
      </c>
      <c r="H3252" s="10" t="s">
        <v>216</v>
      </c>
      <c r="I3252" s="10" t="s">
        <v>55</v>
      </c>
      <c r="J3252" s="10" t="s">
        <v>8137</v>
      </c>
      <c r="K3252" s="10" t="s">
        <v>8138</v>
      </c>
      <c r="L3252" s="10" t="s">
        <v>42</v>
      </c>
    </row>
    <row r="3253" ht="15.75" customHeight="1">
      <c r="A3253" s="64">
        <v>45464.0</v>
      </c>
      <c r="B3253" s="55" t="str">
        <f>HYPERLINK("https://jobright.ai/jobs/info/6674eb88c182409f177f8802?utm_campaign=1062&amp;utm_source=sheet", "Apply")</f>
        <v>Apply</v>
      </c>
      <c r="C3253" s="10" t="s">
        <v>8139</v>
      </c>
      <c r="D3253" s="56" t="s">
        <v>8140</v>
      </c>
      <c r="E3253" s="10" t="s">
        <v>65</v>
      </c>
      <c r="F3253" s="10" t="s">
        <v>8141</v>
      </c>
      <c r="G3253" s="10" t="s">
        <v>2495</v>
      </c>
      <c r="H3253" s="10" t="s">
        <v>952</v>
      </c>
      <c r="I3253" s="10" t="s">
        <v>55</v>
      </c>
      <c r="J3253" s="10" t="s">
        <v>8142</v>
      </c>
      <c r="K3253" s="10" t="s">
        <v>8143</v>
      </c>
      <c r="L3253" s="10" t="s">
        <v>42</v>
      </c>
    </row>
    <row r="3254" ht="15.75" customHeight="1">
      <c r="A3254" s="64">
        <v>45464.0</v>
      </c>
      <c r="B3254" s="55" t="str">
        <f>HYPERLINK("https://jobright.ai/jobs/info/6674eb88c182409f177f8857?utm_campaign=1062&amp;utm_source=sheet", "Apply")</f>
        <v>Apply</v>
      </c>
      <c r="C3254" s="10" t="s">
        <v>8144</v>
      </c>
      <c r="D3254" s="56" t="s">
        <v>1955</v>
      </c>
      <c r="E3254" s="10" t="s">
        <v>45</v>
      </c>
      <c r="F3254" s="10" t="s">
        <v>1234</v>
      </c>
      <c r="G3254" s="10" t="s">
        <v>2464</v>
      </c>
      <c r="H3254" s="10" t="s">
        <v>139</v>
      </c>
      <c r="I3254" s="10" t="s">
        <v>55</v>
      </c>
      <c r="J3254" s="10" t="s">
        <v>1761</v>
      </c>
      <c r="K3254" s="10" t="s">
        <v>8145</v>
      </c>
      <c r="L3254" s="10" t="s">
        <v>42</v>
      </c>
    </row>
    <row r="3255" ht="15.75" customHeight="1">
      <c r="A3255" s="64">
        <v>45464.0</v>
      </c>
      <c r="B3255" s="55" t="str">
        <f>HYPERLINK("https://jobright.ai/jobs/info/667592f2bad9224db7bb69c5?utm_campaign=1062&amp;utm_source=sheet", "Apply")</f>
        <v>Apply</v>
      </c>
      <c r="C3255" s="10" t="s">
        <v>6976</v>
      </c>
      <c r="D3255" s="56" t="s">
        <v>5741</v>
      </c>
      <c r="E3255" s="10" t="s">
        <v>45</v>
      </c>
      <c r="F3255" s="10" t="s">
        <v>665</v>
      </c>
      <c r="G3255" s="10" t="s">
        <v>2437</v>
      </c>
      <c r="H3255" s="10" t="s">
        <v>8146</v>
      </c>
      <c r="I3255" s="10" t="s">
        <v>55</v>
      </c>
      <c r="K3255" s="10" t="s">
        <v>5743</v>
      </c>
      <c r="L3255" s="10" t="s">
        <v>42</v>
      </c>
    </row>
    <row r="3256" ht="15.75" customHeight="1">
      <c r="A3256" s="64">
        <v>45464.0</v>
      </c>
      <c r="B3256" s="55" t="str">
        <f>HYPERLINK("https://jobright.ai/jobs/info/667592f2bad9224db7bb6a03?utm_campaign=1062&amp;utm_source=sheet", "Apply")</f>
        <v>Apply</v>
      </c>
      <c r="C3256" s="10" t="s">
        <v>5740</v>
      </c>
      <c r="D3256" s="56" t="s">
        <v>5741</v>
      </c>
      <c r="E3256" s="10" t="s">
        <v>45</v>
      </c>
      <c r="F3256" s="10" t="s">
        <v>665</v>
      </c>
      <c r="G3256" s="10" t="s">
        <v>2437</v>
      </c>
      <c r="H3256" s="10" t="s">
        <v>8146</v>
      </c>
      <c r="I3256" s="10" t="s">
        <v>55</v>
      </c>
      <c r="K3256" s="10" t="s">
        <v>5743</v>
      </c>
      <c r="L3256" s="10" t="s">
        <v>42</v>
      </c>
    </row>
    <row r="3257" ht="15.75" customHeight="1">
      <c r="A3257" s="64">
        <v>45464.0</v>
      </c>
      <c r="B3257" s="55" t="str">
        <f>HYPERLINK("https://jobright.ai/jobs/info/6675e14ee95c1a0a225b892c?utm_campaign=1062&amp;utm_source=sheet", "Apply")</f>
        <v>Apply</v>
      </c>
      <c r="C3257" s="10" t="s">
        <v>8147</v>
      </c>
      <c r="D3257" s="56" t="s">
        <v>5989</v>
      </c>
      <c r="E3257" s="10" t="s">
        <v>45</v>
      </c>
      <c r="F3257" s="10" t="s">
        <v>5990</v>
      </c>
      <c r="G3257" s="10" t="s">
        <v>2605</v>
      </c>
      <c r="H3257" s="10" t="s">
        <v>8148</v>
      </c>
      <c r="I3257" s="10" t="s">
        <v>55</v>
      </c>
      <c r="K3257" s="10" t="s">
        <v>8149</v>
      </c>
      <c r="L3257" s="10" t="s">
        <v>42</v>
      </c>
    </row>
    <row r="3258" ht="15.75" customHeight="1">
      <c r="A3258" s="64">
        <v>45463.0</v>
      </c>
      <c r="B3258" s="55" t="str">
        <f>HYPERLINK("https://jobright.ai/jobs/info/6675d3565e546ebdd783a25b?utm_campaign=1062&amp;utm_source=sheet", "Apply")</f>
        <v>Apply</v>
      </c>
      <c r="C3258" s="10" t="s">
        <v>8150</v>
      </c>
      <c r="D3258" s="56" t="s">
        <v>2022</v>
      </c>
      <c r="E3258" s="10" t="s">
        <v>45</v>
      </c>
      <c r="F3258" s="10" t="s">
        <v>1893</v>
      </c>
      <c r="G3258" s="10" t="s">
        <v>2443</v>
      </c>
      <c r="H3258" s="10" t="s">
        <v>159</v>
      </c>
      <c r="I3258" s="10" t="s">
        <v>55</v>
      </c>
      <c r="K3258" s="10" t="s">
        <v>8151</v>
      </c>
      <c r="L3258" s="10" t="s">
        <v>42</v>
      </c>
    </row>
    <row r="3259" ht="15.75" customHeight="1">
      <c r="A3259" s="64">
        <v>45463.0</v>
      </c>
      <c r="B3259" s="55" t="str">
        <f>HYPERLINK("https://jobright.ai/jobs/info/66433d906f0fd7e76d606503?utm_campaign=1062&amp;utm_source=sheet", "Apply")</f>
        <v>Apply</v>
      </c>
      <c r="C3259" s="10" t="s">
        <v>8152</v>
      </c>
      <c r="D3259" s="56" t="s">
        <v>8153</v>
      </c>
      <c r="E3259" s="10" t="s">
        <v>45</v>
      </c>
      <c r="F3259" s="10" t="s">
        <v>1893</v>
      </c>
      <c r="G3259" s="10" t="s">
        <v>2443</v>
      </c>
      <c r="H3259" s="10" t="s">
        <v>131</v>
      </c>
      <c r="I3259" s="10" t="s">
        <v>55</v>
      </c>
      <c r="K3259" s="10" t="s">
        <v>8154</v>
      </c>
      <c r="L3259" s="10" t="s">
        <v>42</v>
      </c>
    </row>
    <row r="3260" ht="15.75" customHeight="1">
      <c r="A3260" s="64">
        <v>45463.0</v>
      </c>
      <c r="B3260" s="55" t="str">
        <f>HYPERLINK("https://jobright.ai/jobs/info/667485f91cdb1fdbb8e55542?utm_campaign=1062&amp;utm_source=sheet", "Apply")</f>
        <v>Apply</v>
      </c>
      <c r="C3260" s="10" t="s">
        <v>8155</v>
      </c>
      <c r="D3260" s="56" t="s">
        <v>8156</v>
      </c>
      <c r="E3260" s="10">
        <v>161.0</v>
      </c>
      <c r="G3260" s="10" t="s">
        <v>2476</v>
      </c>
      <c r="H3260" s="10" t="s">
        <v>340</v>
      </c>
      <c r="I3260" s="10" t="s">
        <v>55</v>
      </c>
      <c r="J3260" s="10" t="s">
        <v>8157</v>
      </c>
      <c r="K3260" s="10" t="s">
        <v>8158</v>
      </c>
      <c r="L3260" s="10" t="s">
        <v>42</v>
      </c>
    </row>
    <row r="3261" ht="15.75" customHeight="1">
      <c r="A3261" s="64">
        <v>45463.0</v>
      </c>
      <c r="B3261" s="55" t="str">
        <f>HYPERLINK("https://jobright.ai/jobs/info/6674941c3990c28f4c6c4d93?utm_campaign=1062&amp;utm_source=sheet", "Apply")</f>
        <v>Apply</v>
      </c>
      <c r="C3261" s="10" t="s">
        <v>8159</v>
      </c>
      <c r="D3261" s="56" t="s">
        <v>8156</v>
      </c>
      <c r="E3261" s="10">
        <v>161.0</v>
      </c>
      <c r="G3261" s="10" t="s">
        <v>3733</v>
      </c>
      <c r="H3261" s="10" t="s">
        <v>8160</v>
      </c>
      <c r="I3261" s="10" t="s">
        <v>55</v>
      </c>
      <c r="J3261" s="10" t="s">
        <v>8161</v>
      </c>
      <c r="K3261" s="10" t="s">
        <v>8162</v>
      </c>
      <c r="L3261" s="10" t="s">
        <v>42</v>
      </c>
    </row>
    <row r="3262" ht="15.75" customHeight="1">
      <c r="A3262" s="64">
        <v>45463.0</v>
      </c>
      <c r="B3262" s="55" t="str">
        <f>HYPERLINK("https://jobright.ai/jobs/info/6674716076972002f5bdbb78?utm_campaign=1062&amp;utm_source=sheet", "Apply")</f>
        <v>Apply</v>
      </c>
      <c r="C3262" s="10" t="s">
        <v>8163</v>
      </c>
      <c r="D3262" s="56" t="s">
        <v>7739</v>
      </c>
      <c r="E3262" s="10" t="s">
        <v>45</v>
      </c>
      <c r="F3262" s="10" t="s">
        <v>2409</v>
      </c>
      <c r="G3262" s="10" t="s">
        <v>2443</v>
      </c>
      <c r="H3262" s="10" t="s">
        <v>8164</v>
      </c>
      <c r="I3262" s="10" t="s">
        <v>55</v>
      </c>
      <c r="K3262" s="10" t="s">
        <v>8165</v>
      </c>
      <c r="L3262" s="10" t="s">
        <v>42</v>
      </c>
    </row>
    <row r="3263" ht="15.75" customHeight="1">
      <c r="A3263" s="64">
        <v>45463.0</v>
      </c>
      <c r="B3263" s="55" t="str">
        <f>HYPERLINK("https://jobright.ai/jobs/info/6677aca6dc7be138508a1c0d?utm_campaign=1062&amp;utm_source=sheet", "Apply")</f>
        <v>Apply</v>
      </c>
      <c r="C3263" s="10" t="s">
        <v>7956</v>
      </c>
      <c r="D3263" s="56" t="s">
        <v>567</v>
      </c>
      <c r="E3263" s="10" t="s">
        <v>65</v>
      </c>
      <c r="F3263" s="10" t="s">
        <v>568</v>
      </c>
      <c r="G3263" s="10" t="s">
        <v>2448</v>
      </c>
      <c r="H3263" s="10" t="s">
        <v>354</v>
      </c>
      <c r="I3263" s="10" t="s">
        <v>55</v>
      </c>
      <c r="J3263" s="10" t="s">
        <v>3031</v>
      </c>
      <c r="K3263" s="10" t="s">
        <v>3024</v>
      </c>
      <c r="L3263" s="10" t="s">
        <v>42</v>
      </c>
    </row>
    <row r="3264" ht="15.75" customHeight="1">
      <c r="A3264" s="64">
        <v>45463.0</v>
      </c>
      <c r="B3264" s="55" t="str">
        <f>HYPERLINK("https://jobright.ai/jobs/info/667973bf8f20c6df6b89a42f?utm_campaign=1062&amp;utm_source=sheet", "Apply")</f>
        <v>Apply</v>
      </c>
      <c r="C3264" s="10" t="s">
        <v>8166</v>
      </c>
      <c r="D3264" s="56" t="s">
        <v>8167</v>
      </c>
      <c r="E3264" s="10">
        <v>100.0</v>
      </c>
      <c r="G3264" s="10" t="s">
        <v>2484</v>
      </c>
      <c r="H3264" s="10" t="s">
        <v>8168</v>
      </c>
      <c r="I3264" s="10" t="s">
        <v>55</v>
      </c>
      <c r="J3264" s="10" t="s">
        <v>4189</v>
      </c>
      <c r="K3264" s="10" t="s">
        <v>8169</v>
      </c>
      <c r="L3264" s="10" t="s">
        <v>42</v>
      </c>
    </row>
    <row r="3265" ht="15.75" customHeight="1">
      <c r="A3265" s="64">
        <v>45463.0</v>
      </c>
      <c r="B3265" s="55" t="str">
        <f>HYPERLINK("https://jobright.ai/jobs/info/6677acecdc7be138508a21b3?utm_campaign=1062&amp;utm_source=sheet", "Apply")</f>
        <v>Apply</v>
      </c>
      <c r="C3265" s="10" t="s">
        <v>8170</v>
      </c>
      <c r="D3265" s="56" t="s">
        <v>8171</v>
      </c>
      <c r="E3265" s="10">
        <v>427.0</v>
      </c>
      <c r="G3265" s="10" t="s">
        <v>2437</v>
      </c>
      <c r="H3265" s="10" t="s">
        <v>229</v>
      </c>
      <c r="I3265" s="10" t="s">
        <v>55</v>
      </c>
      <c r="K3265" s="10" t="s">
        <v>8172</v>
      </c>
      <c r="L3265" s="10" t="s">
        <v>42</v>
      </c>
    </row>
    <row r="3266" ht="15.75" customHeight="1">
      <c r="A3266" s="64">
        <v>45463.0</v>
      </c>
      <c r="B3266" s="55" t="str">
        <f>HYPERLINK("https://jobright.ai/jobs/info/6679694ad86d626ab8b7869a?utm_campaign=1062&amp;utm_source=sheet", "Apply")</f>
        <v>Apply</v>
      </c>
      <c r="C3266" s="10" t="s">
        <v>8173</v>
      </c>
      <c r="D3266" s="56" t="s">
        <v>7982</v>
      </c>
      <c r="E3266" s="10" t="s">
        <v>45</v>
      </c>
      <c r="F3266" s="10" t="s">
        <v>486</v>
      </c>
      <c r="G3266" s="10" t="s">
        <v>2470</v>
      </c>
      <c r="H3266" s="10" t="s">
        <v>7983</v>
      </c>
      <c r="I3266" s="10" t="s">
        <v>55</v>
      </c>
      <c r="J3266" s="10" t="s">
        <v>8174</v>
      </c>
      <c r="K3266" s="10" t="s">
        <v>8175</v>
      </c>
      <c r="L3266" s="10" t="s">
        <v>42</v>
      </c>
    </row>
    <row r="3267" ht="15.75" customHeight="1">
      <c r="A3267" s="64">
        <v>45463.0</v>
      </c>
      <c r="B3267" s="55" t="str">
        <f>HYPERLINK("https://jobright.ai/jobs/info/6675620e42bae55a9582885e?utm_campaign=1062&amp;utm_source=sheet", "Apply")</f>
        <v>Apply</v>
      </c>
      <c r="C3267" s="10" t="s">
        <v>8176</v>
      </c>
      <c r="D3267" s="56" t="s">
        <v>8177</v>
      </c>
      <c r="E3267" s="10" t="s">
        <v>249</v>
      </c>
      <c r="F3267" s="10" t="s">
        <v>8178</v>
      </c>
      <c r="G3267" s="10" t="s">
        <v>2470</v>
      </c>
      <c r="H3267" s="10" t="s">
        <v>966</v>
      </c>
      <c r="I3267" s="10" t="s">
        <v>55</v>
      </c>
      <c r="J3267" s="10" t="s">
        <v>581</v>
      </c>
      <c r="K3267" s="10" t="s">
        <v>8179</v>
      </c>
      <c r="L3267" s="10" t="s">
        <v>42</v>
      </c>
    </row>
    <row r="3268" ht="15.75" customHeight="1">
      <c r="A3268" s="64">
        <v>45463.0</v>
      </c>
      <c r="B3268" s="55" t="str">
        <f>HYPERLINK("https://jobright.ai/jobs/info/6673c0eb0a60b4e0d6da3d4f?utm_campaign=1062&amp;utm_source=sheet", "Apply")</f>
        <v>Apply</v>
      </c>
      <c r="C3268" s="10" t="s">
        <v>8180</v>
      </c>
      <c r="D3268" s="56" t="s">
        <v>8181</v>
      </c>
      <c r="E3268" s="10" t="s">
        <v>65</v>
      </c>
      <c r="F3268" s="10" t="s">
        <v>125</v>
      </c>
      <c r="G3268" s="10" t="s">
        <v>2437</v>
      </c>
      <c r="H3268" s="10" t="s">
        <v>8182</v>
      </c>
      <c r="I3268" s="10" t="s">
        <v>55</v>
      </c>
      <c r="K3268" s="10" t="s">
        <v>8183</v>
      </c>
      <c r="L3268" s="10" t="s">
        <v>42</v>
      </c>
    </row>
    <row r="3269" ht="15.75" customHeight="1">
      <c r="A3269" s="64">
        <v>45463.0</v>
      </c>
      <c r="B3269" s="55" t="str">
        <f>HYPERLINK("https://jobright.ai/jobs/info/6673b7915c2298713339eecc?utm_campaign=1062&amp;utm_source=sheet", "Apply")</f>
        <v>Apply</v>
      </c>
      <c r="C3269" s="10" t="s">
        <v>4419</v>
      </c>
      <c r="D3269" s="56" t="s">
        <v>8184</v>
      </c>
      <c r="E3269" s="10" t="s">
        <v>65</v>
      </c>
      <c r="F3269" s="10" t="s">
        <v>4022</v>
      </c>
      <c r="G3269" s="10" t="s">
        <v>2437</v>
      </c>
      <c r="H3269" s="10" t="s">
        <v>8185</v>
      </c>
      <c r="I3269" s="10" t="s">
        <v>48</v>
      </c>
      <c r="K3269" s="10" t="s">
        <v>8186</v>
      </c>
      <c r="L3269" s="10" t="s">
        <v>42</v>
      </c>
    </row>
    <row r="3270" ht="15.75" customHeight="1">
      <c r="A3270" s="64">
        <v>45463.0</v>
      </c>
      <c r="B3270" s="55" t="str">
        <f>HYPERLINK("https://jobright.ai/jobs/info/66748d01c67424e3abb975ed?utm_campaign=1062&amp;utm_source=sheet", "Apply")</f>
        <v>Apply</v>
      </c>
      <c r="C3270" s="10" t="s">
        <v>7292</v>
      </c>
      <c r="D3270" s="56" t="s">
        <v>7293</v>
      </c>
      <c r="E3270" s="10" t="s">
        <v>79</v>
      </c>
      <c r="F3270" s="10" t="s">
        <v>6684</v>
      </c>
      <c r="G3270" s="10" t="s">
        <v>2448</v>
      </c>
      <c r="H3270" s="10" t="s">
        <v>8187</v>
      </c>
      <c r="I3270" s="10" t="s">
        <v>55</v>
      </c>
      <c r="J3270" s="10" t="s">
        <v>521</v>
      </c>
      <c r="K3270" s="10" t="s">
        <v>7295</v>
      </c>
      <c r="L3270" s="10" t="s">
        <v>42</v>
      </c>
    </row>
    <row r="3271" ht="15.75" customHeight="1">
      <c r="A3271" s="64">
        <v>45463.0</v>
      </c>
      <c r="B3271" s="55" t="str">
        <f>HYPERLINK("https://jobright.ai/jobs/info/66748d01c67424e3abb975f6?utm_campaign=1062&amp;utm_source=sheet", "Apply")</f>
        <v>Apply</v>
      </c>
      <c r="C3271" s="10" t="s">
        <v>301</v>
      </c>
      <c r="D3271" s="56" t="s">
        <v>3171</v>
      </c>
      <c r="E3271" s="10" t="s">
        <v>65</v>
      </c>
      <c r="F3271" s="10" t="s">
        <v>1815</v>
      </c>
      <c r="G3271" s="10" t="s">
        <v>2448</v>
      </c>
      <c r="H3271" s="10" t="s">
        <v>8188</v>
      </c>
      <c r="I3271" s="10" t="s">
        <v>48</v>
      </c>
      <c r="K3271" s="10" t="s">
        <v>3172</v>
      </c>
      <c r="L3271" s="10" t="s">
        <v>42</v>
      </c>
    </row>
    <row r="3272" ht="15.75" customHeight="1">
      <c r="A3272" s="64">
        <v>45462.0</v>
      </c>
      <c r="B3272" s="55" t="str">
        <f>HYPERLINK("https://jobright.ai/jobs/info/66735d57b0ca6f9f013a5508?utm_campaign=1062&amp;utm_source=sheet", "Apply")</f>
        <v>Apply</v>
      </c>
      <c r="C3272" s="10" t="s">
        <v>8189</v>
      </c>
      <c r="D3272" s="56" t="s">
        <v>3224</v>
      </c>
      <c r="E3272" s="10" t="s">
        <v>45</v>
      </c>
      <c r="F3272" s="10" t="s">
        <v>3225</v>
      </c>
      <c r="G3272" s="10" t="s">
        <v>2443</v>
      </c>
      <c r="H3272" s="10" t="s">
        <v>965</v>
      </c>
      <c r="I3272" s="10" t="s">
        <v>55</v>
      </c>
      <c r="K3272" s="10" t="s">
        <v>8190</v>
      </c>
      <c r="L3272" s="10" t="s">
        <v>42</v>
      </c>
    </row>
    <row r="3273" ht="15.75" customHeight="1">
      <c r="A3273" s="64">
        <v>45462.0</v>
      </c>
      <c r="B3273" s="55" t="str">
        <f>HYPERLINK("https://jobright.ai/jobs/info/66736e1221f478e9a4d0f998?utm_campaign=1062&amp;utm_source=sheet", "Apply")</f>
        <v>Apply</v>
      </c>
      <c r="C3273" s="10" t="s">
        <v>8191</v>
      </c>
      <c r="D3273" s="56" t="s">
        <v>1547</v>
      </c>
      <c r="E3273" s="10">
        <v>408.0</v>
      </c>
      <c r="G3273" s="10" t="s">
        <v>2448</v>
      </c>
      <c r="H3273" s="10" t="s">
        <v>3271</v>
      </c>
      <c r="I3273" s="10" t="s">
        <v>55</v>
      </c>
      <c r="K3273" s="10" t="s">
        <v>8192</v>
      </c>
      <c r="L3273" s="10" t="s">
        <v>42</v>
      </c>
    </row>
    <row r="3274" ht="15.75" customHeight="1">
      <c r="A3274" s="64">
        <v>45462.0</v>
      </c>
      <c r="B3274" s="55" t="str">
        <f>HYPERLINK("https://jobright.ai/jobs/info/66733733d2f0021127af32cf?utm_campaign=1062&amp;utm_source=sheet", "Apply")</f>
        <v>Apply</v>
      </c>
      <c r="C3274" s="10" t="s">
        <v>8193</v>
      </c>
      <c r="D3274" s="56" t="s">
        <v>8194</v>
      </c>
      <c r="E3274" s="10" t="s">
        <v>79</v>
      </c>
      <c r="F3274" s="10" t="s">
        <v>404</v>
      </c>
      <c r="G3274" s="10" t="s">
        <v>2502</v>
      </c>
      <c r="H3274" s="10" t="s">
        <v>96</v>
      </c>
      <c r="I3274" s="10" t="s">
        <v>55</v>
      </c>
      <c r="K3274" s="10" t="s">
        <v>8195</v>
      </c>
      <c r="L3274" s="10" t="s">
        <v>42</v>
      </c>
    </row>
    <row r="3275" ht="15.75" customHeight="1">
      <c r="A3275" s="64">
        <v>45462.0</v>
      </c>
      <c r="B3275" s="55" t="str">
        <f>HYPERLINK("https://jobright.ai/jobs/info/66482897e6ec3d6d8accab80?utm_campaign=1062&amp;utm_source=sheet", "Apply")</f>
        <v>Apply</v>
      </c>
      <c r="C3275" s="10" t="s">
        <v>8196</v>
      </c>
      <c r="D3275" s="56" t="s">
        <v>1368</v>
      </c>
      <c r="E3275" s="10" t="s">
        <v>65</v>
      </c>
      <c r="F3275" s="10" t="s">
        <v>1369</v>
      </c>
      <c r="G3275" s="10" t="s">
        <v>2495</v>
      </c>
      <c r="H3275" s="10" t="s">
        <v>1370</v>
      </c>
      <c r="I3275" s="10" t="s">
        <v>55</v>
      </c>
      <c r="K3275" s="10" t="s">
        <v>8197</v>
      </c>
      <c r="L3275" s="10" t="s">
        <v>42</v>
      </c>
    </row>
    <row r="3276" ht="15.75" customHeight="1">
      <c r="A3276" s="64">
        <v>45462.0</v>
      </c>
      <c r="B3276" s="55" t="str">
        <f>HYPERLINK("https://jobright.ai/jobs/info/667371788c2e2fe50201eb8f?utm_campaign=1062&amp;utm_source=sheet", "Apply")</f>
        <v>Apply</v>
      </c>
      <c r="C3276" s="10" t="s">
        <v>1716</v>
      </c>
      <c r="D3276" s="56" t="s">
        <v>8198</v>
      </c>
      <c r="E3276" s="10" t="s">
        <v>249</v>
      </c>
      <c r="F3276" s="10" t="s">
        <v>8199</v>
      </c>
      <c r="G3276" s="10" t="s">
        <v>2502</v>
      </c>
      <c r="H3276" s="10" t="s">
        <v>152</v>
      </c>
      <c r="I3276" s="10" t="s">
        <v>55</v>
      </c>
      <c r="J3276" s="10" t="s">
        <v>8200</v>
      </c>
      <c r="K3276" s="10" t="s">
        <v>8201</v>
      </c>
      <c r="L3276" s="10" t="s">
        <v>42</v>
      </c>
    </row>
    <row r="3277" ht="15.75" customHeight="1">
      <c r="A3277" s="64">
        <v>45462.0</v>
      </c>
      <c r="B3277" s="55" t="str">
        <f>HYPERLINK("https://jobright.ai/jobs/info/66731ea64a5e5e7478eba834?utm_campaign=1062&amp;utm_source=sheet", "Apply")</f>
        <v>Apply</v>
      </c>
      <c r="C3277" s="10" t="s">
        <v>5549</v>
      </c>
      <c r="D3277" s="56" t="s">
        <v>5001</v>
      </c>
      <c r="E3277" s="10" t="s">
        <v>209</v>
      </c>
      <c r="F3277" s="10" t="s">
        <v>3124</v>
      </c>
      <c r="G3277" s="10" t="s">
        <v>2443</v>
      </c>
      <c r="H3277" s="10" t="s">
        <v>1025</v>
      </c>
      <c r="I3277" s="10" t="s">
        <v>55</v>
      </c>
      <c r="K3277" s="10" t="s">
        <v>8202</v>
      </c>
      <c r="L3277" s="10" t="s">
        <v>42</v>
      </c>
    </row>
    <row r="3278" ht="15.75" customHeight="1">
      <c r="A3278" s="64">
        <v>45462.0</v>
      </c>
      <c r="B3278" s="55" t="str">
        <f>HYPERLINK("https://jobright.ai/jobs/info/66757cb618f8e420943294bb?utm_campaign=1062&amp;utm_source=sheet", "Apply")</f>
        <v>Apply</v>
      </c>
      <c r="C3278" s="10" t="s">
        <v>8203</v>
      </c>
      <c r="D3278" s="56" t="s">
        <v>8204</v>
      </c>
      <c r="E3278" s="10" t="s">
        <v>65</v>
      </c>
      <c r="F3278" s="10" t="s">
        <v>8205</v>
      </c>
      <c r="G3278" s="10" t="s">
        <v>2589</v>
      </c>
      <c r="H3278" s="10" t="s">
        <v>8206</v>
      </c>
      <c r="I3278" s="10" t="s">
        <v>55</v>
      </c>
      <c r="J3278" s="10" t="s">
        <v>1409</v>
      </c>
      <c r="K3278" s="10" t="s">
        <v>8207</v>
      </c>
      <c r="L3278" s="10" t="s">
        <v>42</v>
      </c>
    </row>
    <row r="3279" ht="15.75" customHeight="1">
      <c r="A3279" s="64">
        <v>45462.0</v>
      </c>
      <c r="B3279" s="55" t="str">
        <f>HYPERLINK("https://jobright.ai/jobs/info/66781d54d8645c963b021839?utm_campaign=1062&amp;utm_source=sheet", "Apply")</f>
        <v>Apply</v>
      </c>
      <c r="C3279" s="10" t="s">
        <v>8208</v>
      </c>
      <c r="D3279" s="56" t="s">
        <v>1789</v>
      </c>
      <c r="E3279" s="10" t="s">
        <v>45</v>
      </c>
      <c r="F3279" s="10" t="s">
        <v>1790</v>
      </c>
      <c r="G3279" s="10" t="s">
        <v>2579</v>
      </c>
      <c r="H3279" s="10" t="s">
        <v>605</v>
      </c>
      <c r="I3279" s="10" t="s">
        <v>55</v>
      </c>
      <c r="J3279" s="10" t="s">
        <v>8209</v>
      </c>
      <c r="K3279" s="10" t="s">
        <v>8210</v>
      </c>
      <c r="L3279" s="10" t="s">
        <v>42</v>
      </c>
    </row>
    <row r="3280" ht="15.75" customHeight="1">
      <c r="A3280" s="64">
        <v>45462.0</v>
      </c>
      <c r="B3280" s="55" t="str">
        <f>HYPERLINK("https://jobright.ai/jobs/info/6676c20dc9dc0237d722b2cb?utm_campaign=1062&amp;utm_source=sheet", "Apply")</f>
        <v>Apply</v>
      </c>
      <c r="C3280" s="10" t="s">
        <v>8211</v>
      </c>
      <c r="D3280" s="56" t="s">
        <v>4448</v>
      </c>
      <c r="E3280" s="10" t="s">
        <v>71</v>
      </c>
      <c r="F3280" s="10" t="s">
        <v>4449</v>
      </c>
      <c r="G3280" s="10" t="s">
        <v>2448</v>
      </c>
      <c r="H3280" s="10" t="s">
        <v>8212</v>
      </c>
      <c r="I3280" s="10" t="s">
        <v>55</v>
      </c>
      <c r="K3280" s="10" t="s">
        <v>4450</v>
      </c>
      <c r="L3280" s="10" t="s">
        <v>42</v>
      </c>
    </row>
    <row r="3281" ht="15.75" customHeight="1">
      <c r="A3281" s="64">
        <v>45462.0</v>
      </c>
      <c r="B3281" s="55" t="str">
        <f>HYPERLINK("https://jobright.ai/jobs/info/6672cd6a4b9042a3b20638d5?utm_campaign=1062&amp;utm_source=sheet", "Apply")</f>
        <v>Apply</v>
      </c>
      <c r="C3281" s="10" t="s">
        <v>8213</v>
      </c>
      <c r="D3281" s="56" t="s">
        <v>8198</v>
      </c>
      <c r="E3281" s="10" t="s">
        <v>249</v>
      </c>
      <c r="F3281" s="10" t="s">
        <v>8199</v>
      </c>
      <c r="G3281" s="10" t="s">
        <v>2448</v>
      </c>
      <c r="H3281" s="10" t="s">
        <v>152</v>
      </c>
      <c r="I3281" s="10" t="s">
        <v>48</v>
      </c>
      <c r="J3281" s="10" t="s">
        <v>8214</v>
      </c>
      <c r="K3281" s="10" t="s">
        <v>8215</v>
      </c>
      <c r="L3281" s="10" t="s">
        <v>42</v>
      </c>
    </row>
    <row r="3282" ht="15.75" customHeight="1">
      <c r="A3282" s="64">
        <v>45462.0</v>
      </c>
      <c r="B3282" s="55" t="str">
        <f>HYPERLINK("https://jobright.ai/jobs/info/6676b44aa2f49d4e236dd3b8?utm_campaign=1062&amp;utm_source=sheet", "Apply")</f>
        <v>Apply</v>
      </c>
      <c r="C3282" s="10" t="s">
        <v>4447</v>
      </c>
      <c r="D3282" s="56" t="s">
        <v>4448</v>
      </c>
      <c r="E3282" s="10" t="s">
        <v>71</v>
      </c>
      <c r="F3282" s="10" t="s">
        <v>4449</v>
      </c>
      <c r="G3282" s="10" t="s">
        <v>2448</v>
      </c>
      <c r="H3282" s="10" t="s">
        <v>8216</v>
      </c>
      <c r="I3282" s="10" t="s">
        <v>55</v>
      </c>
      <c r="K3282" s="10" t="s">
        <v>4450</v>
      </c>
      <c r="L3282" s="10" t="s">
        <v>42</v>
      </c>
    </row>
    <row r="3283" ht="15.75" customHeight="1">
      <c r="A3283" s="64">
        <v>45462.0</v>
      </c>
      <c r="B3283" s="55" t="str">
        <f>HYPERLINK("https://jobright.ai/jobs/info/667955bb39ca2f81c4370d02?utm_campaign=1062&amp;utm_source=sheet", "Apply")</f>
        <v>Apply</v>
      </c>
      <c r="C3283" s="10" t="s">
        <v>8217</v>
      </c>
      <c r="D3283" s="56" t="s">
        <v>7959</v>
      </c>
      <c r="E3283" s="10">
        <v>175.0</v>
      </c>
      <c r="G3283" s="10" t="s">
        <v>2448</v>
      </c>
      <c r="H3283" s="10" t="s">
        <v>8218</v>
      </c>
      <c r="I3283" s="10" t="s">
        <v>55</v>
      </c>
      <c r="J3283" s="10" t="s">
        <v>8219</v>
      </c>
      <c r="K3283" s="10" t="s">
        <v>8220</v>
      </c>
      <c r="L3283" s="10" t="s">
        <v>42</v>
      </c>
    </row>
    <row r="3284" ht="15.75" customHeight="1">
      <c r="A3284" s="64">
        <v>45462.0</v>
      </c>
      <c r="B3284" s="55" t="str">
        <f>HYPERLINK("https://jobright.ai/jobs/info/66753f39b0803f5d74de6b34?utm_campaign=1062&amp;utm_source=sheet", "Apply")</f>
        <v>Apply</v>
      </c>
      <c r="C3284" s="10" t="s">
        <v>8221</v>
      </c>
      <c r="D3284" s="56" t="s">
        <v>8222</v>
      </c>
      <c r="E3284" s="10" t="s">
        <v>71</v>
      </c>
      <c r="F3284" s="10" t="s">
        <v>8223</v>
      </c>
      <c r="G3284" s="10" t="s">
        <v>2484</v>
      </c>
      <c r="H3284" s="10" t="s">
        <v>5245</v>
      </c>
      <c r="I3284" s="10" t="s">
        <v>55</v>
      </c>
      <c r="K3284" s="10" t="s">
        <v>8224</v>
      </c>
      <c r="L3284" s="10" t="s">
        <v>42</v>
      </c>
    </row>
    <row r="3285" ht="15.75" customHeight="1">
      <c r="A3285" s="64">
        <v>45462.0</v>
      </c>
      <c r="B3285" s="55" t="str">
        <f>HYPERLINK("https://jobright.ai/jobs/info/6672aee2243fbab5d485bbfc?utm_campaign=1062&amp;utm_source=sheet", "Apply")</f>
        <v>Apply</v>
      </c>
      <c r="C3285" s="10" t="s">
        <v>8225</v>
      </c>
      <c r="D3285" s="56" t="s">
        <v>8226</v>
      </c>
      <c r="E3285" s="10" t="s">
        <v>249</v>
      </c>
      <c r="F3285" s="10" t="s">
        <v>660</v>
      </c>
      <c r="G3285" s="10" t="s">
        <v>2455</v>
      </c>
      <c r="H3285" s="10" t="s">
        <v>2280</v>
      </c>
      <c r="I3285" s="10" t="s">
        <v>55</v>
      </c>
      <c r="K3285" s="10" t="s">
        <v>8227</v>
      </c>
      <c r="L3285" s="10" t="s">
        <v>42</v>
      </c>
    </row>
    <row r="3286" ht="15.75" customHeight="1">
      <c r="A3286" s="64">
        <v>45462.0</v>
      </c>
      <c r="B3286" s="55" t="str">
        <f>HYPERLINK("https://jobright.ai/jobs/info/6673240122b6ef8d0928aaef?utm_campaign=1062&amp;utm_source=sheet", "Apply")</f>
        <v>Apply</v>
      </c>
      <c r="C3286" s="10" t="s">
        <v>3039</v>
      </c>
      <c r="D3286" s="56" t="s">
        <v>1368</v>
      </c>
      <c r="E3286" s="10" t="s">
        <v>65</v>
      </c>
      <c r="F3286" s="10" t="s">
        <v>1369</v>
      </c>
      <c r="G3286" s="10" t="s">
        <v>2495</v>
      </c>
      <c r="H3286" s="10" t="s">
        <v>1370</v>
      </c>
      <c r="I3286" s="10" t="s">
        <v>55</v>
      </c>
      <c r="K3286" s="10" t="s">
        <v>8228</v>
      </c>
      <c r="L3286" s="10" t="s">
        <v>42</v>
      </c>
    </row>
    <row r="3287" ht="15.75" customHeight="1">
      <c r="A3287" s="64">
        <v>45462.0</v>
      </c>
      <c r="B3287" s="55" t="str">
        <f>HYPERLINK("https://jobright.ai/jobs/info/6672886237af7ea991790296?utm_campaign=1062&amp;utm_source=sheet", "Apply")</f>
        <v>Apply</v>
      </c>
      <c r="C3287" s="10" t="s">
        <v>8229</v>
      </c>
      <c r="D3287" s="56" t="s">
        <v>4448</v>
      </c>
      <c r="E3287" s="10" t="s">
        <v>71</v>
      </c>
      <c r="F3287" s="10" t="s">
        <v>4449</v>
      </c>
      <c r="G3287" s="10" t="s">
        <v>2448</v>
      </c>
      <c r="H3287" s="10" t="s">
        <v>8230</v>
      </c>
      <c r="I3287" s="10" t="s">
        <v>55</v>
      </c>
      <c r="K3287" s="10" t="s">
        <v>4450</v>
      </c>
      <c r="L3287" s="10" t="s">
        <v>42</v>
      </c>
    </row>
    <row r="3288" ht="15.75" customHeight="1">
      <c r="A3288" s="64">
        <v>45462.0</v>
      </c>
      <c r="B3288" s="55" t="str">
        <f>HYPERLINK("https://jobright.ai/jobs/info/667386c7ad714b00473367cd?utm_campaign=1062&amp;utm_source=sheet", "Apply")</f>
        <v>Apply</v>
      </c>
      <c r="C3288" s="10" t="s">
        <v>7629</v>
      </c>
      <c r="D3288" s="56" t="s">
        <v>7630</v>
      </c>
      <c r="E3288" s="10" t="s">
        <v>79</v>
      </c>
      <c r="F3288" s="10" t="s">
        <v>6560</v>
      </c>
      <c r="G3288" s="10" t="s">
        <v>2448</v>
      </c>
      <c r="H3288" s="10" t="s">
        <v>2732</v>
      </c>
      <c r="I3288" s="10" t="s">
        <v>55</v>
      </c>
      <c r="K3288" s="10" t="s">
        <v>8231</v>
      </c>
      <c r="L3288" s="10" t="s">
        <v>42</v>
      </c>
    </row>
    <row r="3289" ht="15.75" customHeight="1">
      <c r="A3289" s="64">
        <v>45462.0</v>
      </c>
      <c r="B3289" s="55" t="str">
        <f>HYPERLINK("https://jobright.ai/jobs/info/667244a6bd2830cd1a1011a7?utm_campaign=1062&amp;utm_source=sheet", "Apply")</f>
        <v>Apply</v>
      </c>
      <c r="C3289" s="10" t="s">
        <v>8232</v>
      </c>
      <c r="D3289" s="56" t="s">
        <v>8233</v>
      </c>
      <c r="E3289" s="10" t="s">
        <v>65</v>
      </c>
      <c r="F3289" s="10" t="s">
        <v>1234</v>
      </c>
      <c r="G3289" s="10" t="s">
        <v>2448</v>
      </c>
      <c r="H3289" s="10" t="s">
        <v>117</v>
      </c>
      <c r="I3289" s="10" t="s">
        <v>55</v>
      </c>
      <c r="K3289" s="10" t="s">
        <v>8234</v>
      </c>
      <c r="L3289" s="10" t="s">
        <v>42</v>
      </c>
    </row>
    <row r="3290" ht="15.75" customHeight="1">
      <c r="A3290" s="64">
        <v>45462.0</v>
      </c>
      <c r="B3290" s="55" t="str">
        <f>HYPERLINK("https://jobright.ai/jobs/info/667b7ebf7460c095f0edcc21?utm_campaign=1062&amp;utm_source=sheet", "Apply")</f>
        <v>Apply</v>
      </c>
      <c r="C3290" s="10" t="s">
        <v>7894</v>
      </c>
      <c r="D3290" s="56" t="s">
        <v>7895</v>
      </c>
      <c r="E3290" s="10" t="s">
        <v>71</v>
      </c>
      <c r="F3290" s="10" t="s">
        <v>7896</v>
      </c>
      <c r="G3290" s="10" t="s">
        <v>2502</v>
      </c>
      <c r="H3290" s="10" t="s">
        <v>8235</v>
      </c>
      <c r="I3290" s="10" t="s">
        <v>55</v>
      </c>
      <c r="K3290" s="10" t="s">
        <v>7897</v>
      </c>
      <c r="L3290" s="10" t="s">
        <v>42</v>
      </c>
    </row>
    <row r="3291" ht="15.75" customHeight="1">
      <c r="A3291" s="64">
        <v>45462.0</v>
      </c>
      <c r="B3291" s="55" t="str">
        <f>HYPERLINK("https://jobright.ai/jobs/info/667364626c91e61f42a44f96?utm_campaign=1062&amp;utm_source=sheet", "Apply")</f>
        <v>Apply</v>
      </c>
      <c r="C3291" s="10" t="s">
        <v>8236</v>
      </c>
      <c r="D3291" s="56" t="s">
        <v>1368</v>
      </c>
      <c r="E3291" s="10" t="s">
        <v>65</v>
      </c>
      <c r="F3291" s="10" t="s">
        <v>1369</v>
      </c>
      <c r="G3291" s="10" t="s">
        <v>2495</v>
      </c>
      <c r="H3291" s="10" t="s">
        <v>8237</v>
      </c>
      <c r="I3291" s="10" t="s">
        <v>55</v>
      </c>
      <c r="K3291" s="10" t="s">
        <v>5661</v>
      </c>
      <c r="L3291" s="10" t="s">
        <v>42</v>
      </c>
    </row>
    <row r="3292" ht="15.75" customHeight="1">
      <c r="A3292" s="64">
        <v>45461.0</v>
      </c>
      <c r="B3292" s="55" t="str">
        <f>HYPERLINK("https://jobright.ai/jobs/info/66728e9359024765d363c1fa?utm_campaign=1062&amp;utm_source=sheet", "Apply")</f>
        <v>Apply</v>
      </c>
      <c r="C3292" s="10" t="s">
        <v>8238</v>
      </c>
      <c r="D3292" s="56" t="s">
        <v>6766</v>
      </c>
      <c r="E3292" s="10" t="s">
        <v>65</v>
      </c>
      <c r="F3292" s="10" t="s">
        <v>6767</v>
      </c>
      <c r="G3292" s="10" t="s">
        <v>2807</v>
      </c>
      <c r="H3292" s="10" t="s">
        <v>914</v>
      </c>
      <c r="I3292" s="10" t="s">
        <v>55</v>
      </c>
      <c r="K3292" s="10" t="s">
        <v>8239</v>
      </c>
      <c r="L3292" s="10" t="s">
        <v>42</v>
      </c>
    </row>
    <row r="3293" ht="15.75" customHeight="1">
      <c r="A3293" s="64">
        <v>45461.0</v>
      </c>
      <c r="B3293" s="55" t="str">
        <f>HYPERLINK("https://jobright.ai/jobs/info/6672186c47d0a67405d0f950?utm_campaign=1062&amp;utm_source=sheet", "Apply")</f>
        <v>Apply</v>
      </c>
      <c r="C3293" s="10" t="s">
        <v>7956</v>
      </c>
      <c r="D3293" s="56" t="s">
        <v>567</v>
      </c>
      <c r="E3293" s="10" t="s">
        <v>65</v>
      </c>
      <c r="F3293" s="10" t="s">
        <v>568</v>
      </c>
      <c r="G3293" s="10" t="s">
        <v>2448</v>
      </c>
      <c r="H3293" s="10" t="s">
        <v>3049</v>
      </c>
      <c r="I3293" s="10" t="s">
        <v>55</v>
      </c>
      <c r="J3293" s="10" t="s">
        <v>3031</v>
      </c>
      <c r="K3293" s="10" t="s">
        <v>3024</v>
      </c>
      <c r="L3293" s="10" t="s">
        <v>42</v>
      </c>
    </row>
    <row r="3294" ht="15.75" customHeight="1">
      <c r="A3294" s="64">
        <v>45461.0</v>
      </c>
      <c r="B3294" s="55" t="str">
        <f>HYPERLINK("https://jobright.ai/jobs/info/6672186c47d0a67405d0f94c?utm_campaign=1062&amp;utm_source=sheet", "Apply")</f>
        <v>Apply</v>
      </c>
      <c r="C3294" s="10" t="s">
        <v>7956</v>
      </c>
      <c r="D3294" s="56" t="s">
        <v>567</v>
      </c>
      <c r="E3294" s="10" t="s">
        <v>65</v>
      </c>
      <c r="F3294" s="10" t="s">
        <v>568</v>
      </c>
      <c r="G3294" s="10" t="s">
        <v>2448</v>
      </c>
      <c r="H3294" s="10" t="s">
        <v>113</v>
      </c>
      <c r="I3294" s="10" t="s">
        <v>55</v>
      </c>
      <c r="J3294" s="10" t="s">
        <v>3031</v>
      </c>
      <c r="K3294" s="10" t="s">
        <v>3024</v>
      </c>
      <c r="L3294" s="10" t="s">
        <v>42</v>
      </c>
    </row>
    <row r="3295" ht="15.75" customHeight="1">
      <c r="A3295" s="64">
        <v>45461.0</v>
      </c>
      <c r="B3295" s="55" t="str">
        <f>HYPERLINK("https://jobright.ai/jobs/info/6672186c47d0a67405d0f94a?utm_campaign=1062&amp;utm_source=sheet", "Apply")</f>
        <v>Apply</v>
      </c>
      <c r="C3295" s="10" t="s">
        <v>7956</v>
      </c>
      <c r="D3295" s="56" t="s">
        <v>567</v>
      </c>
      <c r="E3295" s="10" t="s">
        <v>65</v>
      </c>
      <c r="F3295" s="10" t="s">
        <v>568</v>
      </c>
      <c r="G3295" s="10" t="s">
        <v>2448</v>
      </c>
      <c r="H3295" s="10" t="s">
        <v>505</v>
      </c>
      <c r="I3295" s="10" t="s">
        <v>55</v>
      </c>
      <c r="J3295" s="10" t="s">
        <v>3031</v>
      </c>
      <c r="K3295" s="10" t="s">
        <v>3024</v>
      </c>
      <c r="L3295" s="10" t="s">
        <v>42</v>
      </c>
    </row>
    <row r="3296" ht="15.75" customHeight="1">
      <c r="A3296" s="64">
        <v>45461.0</v>
      </c>
      <c r="B3296" s="55" t="str">
        <f>HYPERLINK("https://jobright.ai/jobs/info/667211517de1e75a0e1b50b1?utm_campaign=1062&amp;utm_source=sheet", "Apply")</f>
        <v>Apply</v>
      </c>
      <c r="C3296" s="10" t="s">
        <v>7956</v>
      </c>
      <c r="D3296" s="56" t="s">
        <v>567</v>
      </c>
      <c r="E3296" s="10" t="s">
        <v>65</v>
      </c>
      <c r="F3296" s="10" t="s">
        <v>568</v>
      </c>
      <c r="G3296" s="10" t="s">
        <v>2448</v>
      </c>
      <c r="H3296" s="10" t="s">
        <v>854</v>
      </c>
      <c r="I3296" s="10" t="s">
        <v>55</v>
      </c>
      <c r="J3296" s="10" t="s">
        <v>3031</v>
      </c>
      <c r="K3296" s="10" t="s">
        <v>3024</v>
      </c>
      <c r="L3296" s="10" t="s">
        <v>42</v>
      </c>
    </row>
    <row r="3297" ht="15.75" customHeight="1">
      <c r="A3297" s="64">
        <v>45461.0</v>
      </c>
      <c r="B3297" s="55" t="str">
        <f>HYPERLINK("https://jobright.ai/jobs/info/667207f78b25e1143284a18f?utm_campaign=1062&amp;utm_source=sheet", "Apply")</f>
        <v>Apply</v>
      </c>
      <c r="C3297" s="10" t="s">
        <v>7956</v>
      </c>
      <c r="D3297" s="56" t="s">
        <v>567</v>
      </c>
      <c r="E3297" s="10" t="s">
        <v>65</v>
      </c>
      <c r="F3297" s="10" t="s">
        <v>568</v>
      </c>
      <c r="G3297" s="10" t="s">
        <v>2448</v>
      </c>
      <c r="H3297" s="10" t="s">
        <v>3862</v>
      </c>
      <c r="I3297" s="10" t="s">
        <v>55</v>
      </c>
      <c r="J3297" s="10" t="s">
        <v>3031</v>
      </c>
      <c r="K3297" s="10" t="s">
        <v>3024</v>
      </c>
      <c r="L3297" s="10" t="s">
        <v>42</v>
      </c>
    </row>
    <row r="3298" ht="15.75" customHeight="1">
      <c r="A3298" s="64">
        <v>45461.0</v>
      </c>
      <c r="B3298" s="55" t="str">
        <f>HYPERLINK("https://jobright.ai/jobs/info/66722860b8b768c4278417f7?utm_campaign=1062&amp;utm_source=sheet", "Apply")</f>
        <v>Apply</v>
      </c>
      <c r="C3298" s="10" t="s">
        <v>3156</v>
      </c>
      <c r="D3298" s="56" t="s">
        <v>1183</v>
      </c>
      <c r="E3298" s="10" t="s">
        <v>45</v>
      </c>
      <c r="F3298" s="10" t="s">
        <v>1184</v>
      </c>
      <c r="G3298" s="10" t="s">
        <v>2448</v>
      </c>
      <c r="H3298" s="10" t="s">
        <v>8240</v>
      </c>
      <c r="I3298" s="10" t="s">
        <v>55</v>
      </c>
      <c r="J3298" s="10" t="s">
        <v>7269</v>
      </c>
      <c r="K3298" s="10" t="s">
        <v>8241</v>
      </c>
      <c r="L3298" s="10" t="s">
        <v>42</v>
      </c>
    </row>
    <row r="3299" ht="15.75" customHeight="1">
      <c r="A3299" s="64">
        <v>45461.0</v>
      </c>
      <c r="B3299" s="55" t="str">
        <f>HYPERLINK("https://jobright.ai/jobs/info/6671fa52a73fb614d44fa0dc?utm_campaign=1062&amp;utm_source=sheet", "Apply")</f>
        <v>Apply</v>
      </c>
      <c r="C3299" s="10" t="s">
        <v>8242</v>
      </c>
      <c r="D3299" s="56" t="s">
        <v>1547</v>
      </c>
      <c r="E3299" s="10">
        <v>408.0</v>
      </c>
      <c r="G3299" s="10" t="s">
        <v>2495</v>
      </c>
      <c r="H3299" s="10" t="s">
        <v>8243</v>
      </c>
      <c r="I3299" s="10" t="s">
        <v>55</v>
      </c>
      <c r="K3299" s="10" t="s">
        <v>8244</v>
      </c>
      <c r="L3299" s="10" t="s">
        <v>42</v>
      </c>
    </row>
    <row r="3300" ht="15.75" customHeight="1">
      <c r="A3300" s="64">
        <v>45461.0</v>
      </c>
      <c r="B3300" s="55" t="str">
        <f>HYPERLINK("https://jobright.ai/jobs/info/667477a8a404bed17039964b?utm_campaign=1062&amp;utm_source=sheet", "Apply")</f>
        <v>Apply</v>
      </c>
      <c r="C3300" s="10" t="s">
        <v>8245</v>
      </c>
      <c r="D3300" s="56" t="s">
        <v>4448</v>
      </c>
      <c r="E3300" s="10" t="s">
        <v>71</v>
      </c>
      <c r="F3300" s="10" t="s">
        <v>4449</v>
      </c>
      <c r="G3300" s="10" t="s">
        <v>2448</v>
      </c>
      <c r="H3300" s="10" t="s">
        <v>8246</v>
      </c>
      <c r="I3300" s="10" t="s">
        <v>55</v>
      </c>
      <c r="K3300" s="10" t="s">
        <v>4450</v>
      </c>
      <c r="L3300" s="10" t="s">
        <v>42</v>
      </c>
    </row>
    <row r="3301" ht="15.75" customHeight="1">
      <c r="A3301" s="64">
        <v>45461.0</v>
      </c>
      <c r="B3301" s="55" t="str">
        <f>HYPERLINK("https://jobright.ai/jobs/info/667477b3a404bed17039972f?utm_campaign=1062&amp;utm_source=sheet", "Apply")</f>
        <v>Apply</v>
      </c>
      <c r="C3301" s="10" t="s">
        <v>8247</v>
      </c>
      <c r="D3301" s="56" t="s">
        <v>4448</v>
      </c>
      <c r="E3301" s="10" t="s">
        <v>71</v>
      </c>
      <c r="F3301" s="10" t="s">
        <v>4449</v>
      </c>
      <c r="G3301" s="10" t="s">
        <v>2448</v>
      </c>
      <c r="H3301" s="10" t="s">
        <v>8248</v>
      </c>
      <c r="I3301" s="10" t="s">
        <v>55</v>
      </c>
      <c r="K3301" s="10" t="s">
        <v>4450</v>
      </c>
      <c r="L3301" s="10" t="s">
        <v>42</v>
      </c>
    </row>
    <row r="3302" ht="15.75" customHeight="1">
      <c r="A3302" s="64">
        <v>45461.0</v>
      </c>
      <c r="B3302" s="55" t="str">
        <f>HYPERLINK("https://jobright.ai/jobs/info/667477b3a404bed17039979a?utm_campaign=1062&amp;utm_source=sheet", "Apply")</f>
        <v>Apply</v>
      </c>
      <c r="C3302" s="10" t="s">
        <v>7510</v>
      </c>
      <c r="D3302" s="56" t="s">
        <v>7511</v>
      </c>
      <c r="E3302" s="10">
        <v>2365.0</v>
      </c>
      <c r="G3302" s="10" t="s">
        <v>2443</v>
      </c>
      <c r="H3302" s="10" t="s">
        <v>1028</v>
      </c>
      <c r="I3302" s="10" t="s">
        <v>55</v>
      </c>
      <c r="K3302" s="10" t="s">
        <v>8249</v>
      </c>
      <c r="L3302" s="10" t="s">
        <v>42</v>
      </c>
    </row>
    <row r="3303" ht="15.75" customHeight="1">
      <c r="A3303" s="64">
        <v>45461.0</v>
      </c>
      <c r="B3303" s="55" t="str">
        <f>HYPERLINK("https://jobright.ai/jobs/info/6675be976f7095ca90c07c1c?utm_campaign=1062&amp;utm_source=sheet", "Apply")</f>
        <v>Apply</v>
      </c>
      <c r="C3303" s="10" t="s">
        <v>8250</v>
      </c>
      <c r="D3303" s="56" t="s">
        <v>4448</v>
      </c>
      <c r="E3303" s="10" t="s">
        <v>71</v>
      </c>
      <c r="F3303" s="10" t="s">
        <v>4449</v>
      </c>
      <c r="G3303" s="10" t="s">
        <v>2448</v>
      </c>
      <c r="H3303" s="10" t="s">
        <v>8230</v>
      </c>
      <c r="I3303" s="10" t="s">
        <v>55</v>
      </c>
      <c r="K3303" s="10" t="s">
        <v>4450</v>
      </c>
      <c r="L3303" s="10" t="s">
        <v>42</v>
      </c>
    </row>
    <row r="3304" ht="15.75" customHeight="1">
      <c r="A3304" s="64">
        <v>45461.0</v>
      </c>
      <c r="B3304" s="55" t="str">
        <f>HYPERLINK("https://jobright.ai/jobs/info/663b3aee3cc0462d4156cef6?utm_campaign=1062&amp;utm_source=sheet", "Apply")</f>
        <v>Apply</v>
      </c>
      <c r="C3304" s="10" t="s">
        <v>8251</v>
      </c>
      <c r="D3304" s="56" t="s">
        <v>3413</v>
      </c>
      <c r="E3304" s="10" t="s">
        <v>45</v>
      </c>
      <c r="F3304" s="10" t="s">
        <v>3414</v>
      </c>
      <c r="G3304" s="10" t="s">
        <v>2448</v>
      </c>
      <c r="H3304" s="10" t="s">
        <v>8252</v>
      </c>
      <c r="I3304" s="10" t="s">
        <v>55</v>
      </c>
      <c r="K3304" s="10" t="s">
        <v>8253</v>
      </c>
      <c r="L3304" s="10" t="s">
        <v>42</v>
      </c>
    </row>
    <row r="3305" ht="15.75" customHeight="1">
      <c r="A3305" s="64">
        <v>45461.0</v>
      </c>
      <c r="B3305" s="55" t="str">
        <f>HYPERLINK("https://jobright.ai/jobs/info/667296927a950455a404683f?utm_campaign=1062&amp;utm_source=sheet", "Apply")</f>
        <v>Apply</v>
      </c>
      <c r="C3305" s="10" t="s">
        <v>8211</v>
      </c>
      <c r="D3305" s="56" t="s">
        <v>4448</v>
      </c>
      <c r="E3305" s="10" t="s">
        <v>71</v>
      </c>
      <c r="F3305" s="10" t="s">
        <v>4449</v>
      </c>
      <c r="G3305" s="10" t="s">
        <v>2448</v>
      </c>
      <c r="H3305" s="10" t="s">
        <v>8254</v>
      </c>
      <c r="I3305" s="10" t="s">
        <v>55</v>
      </c>
      <c r="K3305" s="10" t="s">
        <v>4450</v>
      </c>
      <c r="L3305" s="10" t="s">
        <v>42</v>
      </c>
    </row>
    <row r="3306" ht="15.75" customHeight="1">
      <c r="A3306" s="64">
        <v>45461.0</v>
      </c>
      <c r="B3306" s="55" t="str">
        <f>HYPERLINK("https://jobright.ai/jobs/info/667296bf7a950455a4046a73?utm_campaign=1062&amp;utm_source=sheet", "Apply")</f>
        <v>Apply</v>
      </c>
      <c r="C3306" s="10" t="s">
        <v>8247</v>
      </c>
      <c r="D3306" s="56" t="s">
        <v>4448</v>
      </c>
      <c r="E3306" s="10" t="s">
        <v>71</v>
      </c>
      <c r="F3306" s="10" t="s">
        <v>4449</v>
      </c>
      <c r="G3306" s="10" t="s">
        <v>2448</v>
      </c>
      <c r="H3306" s="10" t="s">
        <v>8254</v>
      </c>
      <c r="I3306" s="10" t="s">
        <v>55</v>
      </c>
      <c r="K3306" s="10" t="s">
        <v>4450</v>
      </c>
      <c r="L3306" s="10" t="s">
        <v>42</v>
      </c>
    </row>
    <row r="3307" ht="15.75" customHeight="1">
      <c r="A3307" s="64">
        <v>45461.0</v>
      </c>
      <c r="B3307" s="55" t="str">
        <f>HYPERLINK("https://jobright.ai/jobs/info/667296cf7a950455a4046b72?utm_campaign=1062&amp;utm_source=sheet", "Apply")</f>
        <v>Apply</v>
      </c>
      <c r="C3307" s="10" t="s">
        <v>8255</v>
      </c>
      <c r="D3307" s="56" t="s">
        <v>4448</v>
      </c>
      <c r="E3307" s="10" t="s">
        <v>71</v>
      </c>
      <c r="F3307" s="10" t="s">
        <v>4449</v>
      </c>
      <c r="G3307" s="10" t="s">
        <v>2448</v>
      </c>
      <c r="H3307" s="10" t="s">
        <v>7501</v>
      </c>
      <c r="I3307" s="10" t="s">
        <v>55</v>
      </c>
      <c r="K3307" s="10" t="s">
        <v>4450</v>
      </c>
      <c r="L3307" s="10" t="s">
        <v>42</v>
      </c>
    </row>
    <row r="3308" ht="15.75" customHeight="1">
      <c r="A3308" s="64">
        <v>45461.0</v>
      </c>
      <c r="B3308" s="55" t="str">
        <f>HYPERLINK("https://jobright.ai/jobs/info/667296cf7a950455a4046bac?utm_campaign=1062&amp;utm_source=sheet", "Apply")</f>
        <v>Apply</v>
      </c>
      <c r="C3308" s="10" t="s">
        <v>8229</v>
      </c>
      <c r="D3308" s="56" t="s">
        <v>4448</v>
      </c>
      <c r="E3308" s="10" t="s">
        <v>71</v>
      </c>
      <c r="F3308" s="10" t="s">
        <v>4449</v>
      </c>
      <c r="G3308" s="10" t="s">
        <v>2448</v>
      </c>
      <c r="H3308" s="10" t="s">
        <v>8256</v>
      </c>
      <c r="I3308" s="10" t="s">
        <v>55</v>
      </c>
      <c r="K3308" s="10" t="s">
        <v>4450</v>
      </c>
      <c r="L3308" s="10" t="s">
        <v>42</v>
      </c>
    </row>
    <row r="3309" ht="15.75" customHeight="1">
      <c r="A3309" s="64">
        <v>45461.0</v>
      </c>
      <c r="B3309" s="55" t="str">
        <f>HYPERLINK("https://jobright.ai/jobs/info/667296de7a950455a4046c6a?utm_campaign=1062&amp;utm_source=sheet", "Apply")</f>
        <v>Apply</v>
      </c>
      <c r="C3309" s="10" t="s">
        <v>8255</v>
      </c>
      <c r="D3309" s="56" t="s">
        <v>4448</v>
      </c>
      <c r="E3309" s="10" t="s">
        <v>71</v>
      </c>
      <c r="F3309" s="10" t="s">
        <v>4449</v>
      </c>
      <c r="G3309" s="10" t="s">
        <v>2448</v>
      </c>
      <c r="H3309" s="10" t="s">
        <v>8257</v>
      </c>
      <c r="I3309" s="10" t="s">
        <v>55</v>
      </c>
      <c r="K3309" s="10" t="s">
        <v>4450</v>
      </c>
      <c r="L3309" s="10" t="s">
        <v>42</v>
      </c>
    </row>
    <row r="3310" ht="15.75" customHeight="1">
      <c r="A3310" s="64">
        <v>45461.0</v>
      </c>
      <c r="B3310" s="55" t="str">
        <f>HYPERLINK("https://jobright.ai/jobs/info/667acc8fed1008d97a686166?utm_campaign=1062&amp;utm_source=sheet", "Apply")</f>
        <v>Apply</v>
      </c>
      <c r="C3310" s="10" t="s">
        <v>8258</v>
      </c>
      <c r="D3310" s="56" t="s">
        <v>196</v>
      </c>
      <c r="E3310" s="10" t="s">
        <v>71</v>
      </c>
      <c r="F3310" s="10" t="s">
        <v>197</v>
      </c>
      <c r="G3310" s="10" t="s">
        <v>2448</v>
      </c>
      <c r="H3310" s="10" t="s">
        <v>193</v>
      </c>
      <c r="I3310" s="10" t="s">
        <v>55</v>
      </c>
      <c r="K3310" s="10" t="s">
        <v>8259</v>
      </c>
      <c r="L3310" s="10" t="s">
        <v>42</v>
      </c>
    </row>
    <row r="3311" ht="15.75" customHeight="1">
      <c r="A3311" s="64">
        <v>45461.0</v>
      </c>
      <c r="B3311" s="55" t="str">
        <f>HYPERLINK("https://jobright.ai/jobs/info/66757cb618f8e42094329510?utm_campaign=1062&amp;utm_source=sheet", "Apply")</f>
        <v>Apply</v>
      </c>
      <c r="C3311" s="10" t="s">
        <v>8260</v>
      </c>
      <c r="D3311" s="56" t="s">
        <v>1789</v>
      </c>
      <c r="E3311" s="10" t="s">
        <v>45</v>
      </c>
      <c r="F3311" s="10" t="s">
        <v>1790</v>
      </c>
      <c r="G3311" s="10" t="s">
        <v>2437</v>
      </c>
      <c r="H3311" s="10" t="s">
        <v>3093</v>
      </c>
      <c r="I3311" s="10" t="s">
        <v>55</v>
      </c>
      <c r="J3311" s="10" t="s">
        <v>8261</v>
      </c>
      <c r="K3311" s="10" t="s">
        <v>8262</v>
      </c>
      <c r="L3311" s="10" t="s">
        <v>42</v>
      </c>
    </row>
    <row r="3312" ht="15.75" customHeight="1">
      <c r="A3312" s="64">
        <v>45461.0</v>
      </c>
      <c r="B3312" s="55" t="str">
        <f>HYPERLINK("https://jobright.ai/jobs/info/6683ecb10980a1d175d12c42?utm_campaign=1062&amp;utm_source=sheet", "Apply")</f>
        <v>Apply</v>
      </c>
      <c r="C3312" s="10" t="s">
        <v>8263</v>
      </c>
      <c r="D3312" s="56" t="s">
        <v>196</v>
      </c>
      <c r="E3312" s="10" t="s">
        <v>71</v>
      </c>
      <c r="F3312" s="10" t="s">
        <v>197</v>
      </c>
      <c r="G3312" s="10" t="s">
        <v>2448</v>
      </c>
      <c r="H3312" s="10" t="s">
        <v>996</v>
      </c>
      <c r="I3312" s="10" t="s">
        <v>55</v>
      </c>
      <c r="K3312" s="10" t="s">
        <v>8264</v>
      </c>
      <c r="L3312" s="10" t="s">
        <v>42</v>
      </c>
    </row>
    <row r="3313" ht="15.75" customHeight="1">
      <c r="A3313" s="64">
        <v>45461.0</v>
      </c>
      <c r="B3313" s="55" t="str">
        <f>HYPERLINK("https://jobright.ai/jobs/info/667ab1e59d71c22d4959cbc1?utm_campaign=1062&amp;utm_source=sheet", "Apply")</f>
        <v>Apply</v>
      </c>
      <c r="C3313" s="10" t="s">
        <v>8265</v>
      </c>
      <c r="D3313" s="56" t="s">
        <v>8266</v>
      </c>
      <c r="E3313" s="10" t="s">
        <v>65</v>
      </c>
      <c r="F3313" s="10" t="s">
        <v>8267</v>
      </c>
      <c r="G3313" s="10" t="s">
        <v>2448</v>
      </c>
      <c r="H3313" s="10" t="s">
        <v>8268</v>
      </c>
      <c r="I3313" s="10" t="s">
        <v>55</v>
      </c>
      <c r="J3313" s="10" t="s">
        <v>8269</v>
      </c>
      <c r="K3313" s="10" t="s">
        <v>8270</v>
      </c>
      <c r="L3313" s="10" t="s">
        <v>42</v>
      </c>
    </row>
    <row r="3314" ht="15.75" customHeight="1">
      <c r="A3314" s="64">
        <v>45461.0</v>
      </c>
      <c r="B3314" s="55" t="str">
        <f>HYPERLINK("https://jobright.ai/jobs/info/667566f206c286fadd140a14?utm_campaign=1062&amp;utm_source=sheet", "Apply")</f>
        <v>Apply</v>
      </c>
      <c r="C3314" s="10" t="s">
        <v>8271</v>
      </c>
      <c r="D3314" s="56" t="s">
        <v>8272</v>
      </c>
      <c r="E3314" s="10" t="s">
        <v>79</v>
      </c>
      <c r="F3314" s="10" t="s">
        <v>7792</v>
      </c>
      <c r="G3314" s="10" t="s">
        <v>2443</v>
      </c>
      <c r="H3314" s="10" t="s">
        <v>423</v>
      </c>
      <c r="I3314" s="10" t="s">
        <v>55</v>
      </c>
      <c r="J3314" s="10" t="s">
        <v>8273</v>
      </c>
      <c r="K3314" s="10" t="s">
        <v>8274</v>
      </c>
      <c r="L3314" s="10" t="s">
        <v>42</v>
      </c>
    </row>
    <row r="3315" ht="15.75" customHeight="1">
      <c r="A3315" s="64">
        <v>45461.0</v>
      </c>
      <c r="B3315" s="55" t="str">
        <f>HYPERLINK("https://jobright.ai/jobs/info/66710f19408631965ab60641?utm_campaign=1062&amp;utm_source=sheet", "Apply")</f>
        <v>Apply</v>
      </c>
      <c r="C3315" s="10" t="s">
        <v>8275</v>
      </c>
      <c r="D3315" s="56" t="s">
        <v>3800</v>
      </c>
      <c r="E3315" s="10" t="s">
        <v>65</v>
      </c>
      <c r="F3315" s="10" t="s">
        <v>3801</v>
      </c>
      <c r="G3315" s="10" t="s">
        <v>2437</v>
      </c>
      <c r="H3315" s="10" t="s">
        <v>3871</v>
      </c>
      <c r="I3315" s="10" t="s">
        <v>55</v>
      </c>
      <c r="J3315" s="10" t="s">
        <v>1797</v>
      </c>
      <c r="K3315" s="10" t="s">
        <v>8276</v>
      </c>
      <c r="L3315" s="10" t="s">
        <v>42</v>
      </c>
    </row>
    <row r="3316" ht="15.75" customHeight="1">
      <c r="A3316" s="64">
        <v>45461.0</v>
      </c>
      <c r="B3316" s="55" t="str">
        <f>HYPERLINK("https://jobright.ai/jobs/info/6670ff58250d2b1eca10a5e6?utm_campaign=1062&amp;utm_source=sheet", "Apply")</f>
        <v>Apply</v>
      </c>
      <c r="C3316" s="10" t="s">
        <v>8277</v>
      </c>
      <c r="D3316" s="56" t="s">
        <v>3800</v>
      </c>
      <c r="E3316" s="10" t="s">
        <v>65</v>
      </c>
      <c r="F3316" s="10" t="s">
        <v>3801</v>
      </c>
      <c r="G3316" s="10" t="s">
        <v>2437</v>
      </c>
      <c r="H3316" s="10" t="s">
        <v>8278</v>
      </c>
      <c r="I3316" s="10" t="s">
        <v>55</v>
      </c>
      <c r="K3316" s="10" t="s">
        <v>8279</v>
      </c>
      <c r="L3316" s="10" t="s">
        <v>42</v>
      </c>
    </row>
    <row r="3317" ht="15.75" customHeight="1">
      <c r="A3317" s="64">
        <v>45461.0</v>
      </c>
      <c r="B3317" s="55" t="str">
        <f>HYPERLINK("https://jobright.ai/jobs/info/667211407de1e75a0e1b4fe8?utm_campaign=1062&amp;utm_source=sheet", "Apply")</f>
        <v>Apply</v>
      </c>
      <c r="C3317" s="10" t="s">
        <v>8280</v>
      </c>
      <c r="D3317" s="56" t="s">
        <v>5767</v>
      </c>
      <c r="E3317" s="10" t="s">
        <v>276</v>
      </c>
      <c r="F3317" s="10" t="s">
        <v>5768</v>
      </c>
      <c r="G3317" s="10" t="s">
        <v>2437</v>
      </c>
      <c r="H3317" s="10" t="s">
        <v>636</v>
      </c>
      <c r="I3317" s="10" t="s">
        <v>55</v>
      </c>
      <c r="K3317" s="10" t="s">
        <v>5769</v>
      </c>
      <c r="L3317" s="10" t="s">
        <v>42</v>
      </c>
    </row>
    <row r="3318" ht="15.75" customHeight="1">
      <c r="A3318" s="64">
        <v>45461.0</v>
      </c>
      <c r="B3318" s="55" t="str">
        <f>HYPERLINK("https://jobright.ai/jobs/info/6671df6ef96c8e366b6680e6?utm_campaign=1062&amp;utm_source=sheet", "Apply")</f>
        <v>Apply</v>
      </c>
      <c r="C3318" s="10" t="s">
        <v>6608</v>
      </c>
      <c r="D3318" s="56" t="s">
        <v>6603</v>
      </c>
      <c r="E3318" s="10" t="s">
        <v>137</v>
      </c>
      <c r="F3318" s="10" t="s">
        <v>3778</v>
      </c>
      <c r="G3318" s="10" t="s">
        <v>2448</v>
      </c>
      <c r="H3318" s="10" t="s">
        <v>73</v>
      </c>
      <c r="I3318" s="10" t="s">
        <v>55</v>
      </c>
      <c r="K3318" s="10" t="s">
        <v>8281</v>
      </c>
      <c r="L3318" s="10" t="s">
        <v>42</v>
      </c>
    </row>
    <row r="3319" ht="15.75" customHeight="1">
      <c r="A3319" s="64">
        <v>45461.0</v>
      </c>
      <c r="B3319" s="55" t="str">
        <f>HYPERLINK("https://jobright.ai/jobs/info/66723e75d2d9e8b741ebe84e?utm_campaign=1062&amp;utm_source=sheet", "Apply")</f>
        <v>Apply</v>
      </c>
      <c r="C3319" s="10" t="s">
        <v>8282</v>
      </c>
      <c r="D3319" s="56" t="s">
        <v>8283</v>
      </c>
      <c r="E3319" s="10" t="s">
        <v>65</v>
      </c>
      <c r="F3319" s="10" t="s">
        <v>1084</v>
      </c>
      <c r="G3319" s="10" t="s">
        <v>2484</v>
      </c>
      <c r="H3319" s="10" t="s">
        <v>154</v>
      </c>
      <c r="I3319" s="10" t="s">
        <v>55</v>
      </c>
      <c r="J3319" s="10" t="s">
        <v>6457</v>
      </c>
      <c r="K3319" s="10" t="s">
        <v>8284</v>
      </c>
      <c r="L3319" s="10" t="s">
        <v>42</v>
      </c>
    </row>
    <row r="3320" ht="15.75" customHeight="1">
      <c r="A3320" s="64">
        <v>45461.0</v>
      </c>
      <c r="B3320" s="55" t="str">
        <f>HYPERLINK("https://jobright.ai/jobs/info/66723e75d2d9e8b741ebe841?utm_campaign=1062&amp;utm_source=sheet", "Apply")</f>
        <v>Apply</v>
      </c>
      <c r="C3320" s="10" t="s">
        <v>2516</v>
      </c>
      <c r="D3320" s="56" t="s">
        <v>8283</v>
      </c>
      <c r="E3320" s="10" t="s">
        <v>65</v>
      </c>
      <c r="F3320" s="10" t="s">
        <v>1084</v>
      </c>
      <c r="G3320" s="10" t="s">
        <v>2437</v>
      </c>
      <c r="H3320" s="10" t="s">
        <v>578</v>
      </c>
      <c r="I3320" s="10" t="s">
        <v>55</v>
      </c>
      <c r="J3320" s="10" t="s">
        <v>6457</v>
      </c>
      <c r="K3320" s="10" t="s">
        <v>8285</v>
      </c>
      <c r="L3320" s="10" t="s">
        <v>42</v>
      </c>
    </row>
    <row r="3321" ht="15.75" customHeight="1">
      <c r="A3321" s="64">
        <v>45461.0</v>
      </c>
      <c r="B3321" s="55" t="str">
        <f>HYPERLINK("https://jobright.ai/jobs/info/6671ec37edd59a6c2956c430?utm_campaign=1062&amp;utm_source=sheet", "Apply")</f>
        <v>Apply</v>
      </c>
      <c r="C3321" s="10" t="s">
        <v>8286</v>
      </c>
      <c r="D3321" s="56" t="s">
        <v>2110</v>
      </c>
      <c r="E3321" s="10" t="s">
        <v>45</v>
      </c>
      <c r="F3321" s="10" t="s">
        <v>1224</v>
      </c>
      <c r="G3321" s="10" t="s">
        <v>2807</v>
      </c>
      <c r="H3321" s="10" t="s">
        <v>2111</v>
      </c>
      <c r="I3321" s="10" t="s">
        <v>48</v>
      </c>
      <c r="K3321" s="10" t="s">
        <v>8287</v>
      </c>
      <c r="L3321" s="10" t="s">
        <v>42</v>
      </c>
    </row>
    <row r="3322" ht="15.75" customHeight="1">
      <c r="A3322" s="64">
        <v>45460.0</v>
      </c>
      <c r="B3322" s="55" t="str">
        <f>HYPERLINK("https://jobright.ai/jobs/info/6670d92b6693be2cfa8b03a2?utm_campaign=1062&amp;utm_source=sheet", "Apply")</f>
        <v>Apply</v>
      </c>
      <c r="C3322" s="10" t="s">
        <v>8288</v>
      </c>
      <c r="D3322" s="56" t="s">
        <v>8289</v>
      </c>
      <c r="E3322" s="10" t="s">
        <v>65</v>
      </c>
      <c r="F3322" s="10" t="s">
        <v>7760</v>
      </c>
      <c r="G3322" s="10" t="s">
        <v>2448</v>
      </c>
      <c r="H3322" s="10" t="s">
        <v>146</v>
      </c>
      <c r="I3322" s="10" t="s">
        <v>48</v>
      </c>
      <c r="K3322" s="10" t="s">
        <v>8290</v>
      </c>
      <c r="L3322" s="10" t="s">
        <v>42</v>
      </c>
    </row>
    <row r="3323" ht="15.75" customHeight="1">
      <c r="A3323" s="64">
        <v>45460.0</v>
      </c>
      <c r="B3323" s="55" t="str">
        <f>HYPERLINK("https://jobright.ai/jobs/info/664654b2420472106268dd38?utm_campaign=1062&amp;utm_source=sheet", "Apply")</f>
        <v>Apply</v>
      </c>
      <c r="C3323" s="10" t="s">
        <v>8291</v>
      </c>
      <c r="D3323" s="56" t="s">
        <v>1368</v>
      </c>
      <c r="E3323" s="10" t="s">
        <v>65</v>
      </c>
      <c r="F3323" s="10" t="s">
        <v>1369</v>
      </c>
      <c r="G3323" s="10" t="s">
        <v>2448</v>
      </c>
      <c r="H3323" s="10" t="s">
        <v>1370</v>
      </c>
      <c r="I3323" s="10" t="s">
        <v>55</v>
      </c>
      <c r="K3323" s="10" t="s">
        <v>8292</v>
      </c>
      <c r="L3323" s="10" t="s">
        <v>42</v>
      </c>
    </row>
    <row r="3324" ht="15.75" customHeight="1">
      <c r="A3324" s="64">
        <v>45460.0</v>
      </c>
      <c r="B3324" s="55" t="str">
        <f>HYPERLINK("https://jobright.ai/jobs/info/6670b2c94cdf67e41c94adb6?utm_campaign=1062&amp;utm_source=sheet", "Apply")</f>
        <v>Apply</v>
      </c>
      <c r="C3324" s="10" t="s">
        <v>8293</v>
      </c>
      <c r="D3324" s="56" t="s">
        <v>1547</v>
      </c>
      <c r="E3324" s="10">
        <v>408.0</v>
      </c>
      <c r="G3324" s="10" t="s">
        <v>2448</v>
      </c>
      <c r="H3324" s="10" t="s">
        <v>7569</v>
      </c>
      <c r="I3324" s="10" t="s">
        <v>55</v>
      </c>
      <c r="K3324" s="10" t="s">
        <v>8294</v>
      </c>
      <c r="L3324" s="10" t="s">
        <v>42</v>
      </c>
    </row>
    <row r="3325" ht="15.75" customHeight="1">
      <c r="A3325" s="64">
        <v>45460.0</v>
      </c>
      <c r="B3325" s="55" t="str">
        <f>HYPERLINK("https://jobright.ai/jobs/info/66708cf827f2855eff25f8ed?utm_campaign=1062&amp;utm_source=sheet", "Apply")</f>
        <v>Apply</v>
      </c>
      <c r="C3325" s="10" t="s">
        <v>8295</v>
      </c>
      <c r="D3325" s="56" t="s">
        <v>8296</v>
      </c>
      <c r="E3325" s="10" t="s">
        <v>65</v>
      </c>
      <c r="F3325" s="10" t="s">
        <v>1695</v>
      </c>
      <c r="G3325" s="10" t="s">
        <v>2448</v>
      </c>
      <c r="H3325" s="10" t="s">
        <v>1978</v>
      </c>
      <c r="I3325" s="10" t="s">
        <v>55</v>
      </c>
      <c r="K3325" s="10" t="s">
        <v>8297</v>
      </c>
      <c r="L3325" s="10" t="s">
        <v>42</v>
      </c>
    </row>
    <row r="3326" ht="15.75" customHeight="1">
      <c r="A3326" s="64">
        <v>45460.0</v>
      </c>
      <c r="B3326" s="55" t="str">
        <f>HYPERLINK("https://jobright.ai/jobs/info/66708439cda086be55553b56?utm_campaign=1062&amp;utm_source=sheet", "Apply")</f>
        <v>Apply</v>
      </c>
      <c r="C3326" s="10" t="s">
        <v>3236</v>
      </c>
      <c r="D3326" s="56" t="s">
        <v>4254</v>
      </c>
      <c r="E3326" s="10" t="s">
        <v>79</v>
      </c>
      <c r="F3326" s="10" t="s">
        <v>3060</v>
      </c>
      <c r="G3326" s="10" t="s">
        <v>2464</v>
      </c>
      <c r="H3326" s="10" t="s">
        <v>6150</v>
      </c>
      <c r="I3326" s="10" t="s">
        <v>55</v>
      </c>
      <c r="K3326" s="10" t="s">
        <v>4256</v>
      </c>
      <c r="L3326" s="10" t="s">
        <v>42</v>
      </c>
    </row>
    <row r="3327" ht="15.75" customHeight="1">
      <c r="A3327" s="64">
        <v>45460.0</v>
      </c>
      <c r="B3327" s="55" t="str">
        <f>HYPERLINK("https://jobright.ai/jobs/info/6677b33dd57a2b58a480d9b1?utm_campaign=1062&amp;utm_source=sheet", "Apply")</f>
        <v>Apply</v>
      </c>
      <c r="C3327" s="10" t="s">
        <v>8298</v>
      </c>
      <c r="D3327" s="56" t="s">
        <v>8299</v>
      </c>
      <c r="E3327" s="10" t="s">
        <v>79</v>
      </c>
      <c r="F3327" s="10" t="s">
        <v>2746</v>
      </c>
      <c r="G3327" s="10" t="s">
        <v>2464</v>
      </c>
      <c r="H3327" s="10" t="s">
        <v>8300</v>
      </c>
      <c r="I3327" s="10" t="s">
        <v>55</v>
      </c>
      <c r="J3327" s="10" t="s">
        <v>4386</v>
      </c>
      <c r="K3327" s="10" t="s">
        <v>8301</v>
      </c>
      <c r="L3327" s="10" t="s">
        <v>42</v>
      </c>
    </row>
    <row r="3328" ht="15.75" customHeight="1">
      <c r="A3328" s="64">
        <v>45460.0</v>
      </c>
      <c r="B3328" s="55" t="str">
        <f>HYPERLINK("https://jobright.ai/jobs/info/667072164bfbdf144934967d?utm_campaign=1062&amp;utm_source=sheet", "Apply")</f>
        <v>Apply</v>
      </c>
      <c r="C3328" s="10" t="s">
        <v>8302</v>
      </c>
      <c r="D3328" s="56" t="s">
        <v>8303</v>
      </c>
      <c r="E3328" s="10" t="s">
        <v>276</v>
      </c>
      <c r="F3328" s="10" t="s">
        <v>3080</v>
      </c>
      <c r="G3328" s="10" t="s">
        <v>2605</v>
      </c>
      <c r="H3328" s="10" t="s">
        <v>8304</v>
      </c>
      <c r="I3328" s="10" t="s">
        <v>55</v>
      </c>
      <c r="J3328" s="10" t="s">
        <v>1112</v>
      </c>
      <c r="K3328" s="10" t="s">
        <v>8305</v>
      </c>
      <c r="L3328" s="10" t="s">
        <v>42</v>
      </c>
    </row>
    <row r="3329" ht="15.75" customHeight="1">
      <c r="A3329" s="64">
        <v>45460.0</v>
      </c>
      <c r="B3329" s="55" t="str">
        <f>HYPERLINK("https://jobright.ai/jobs/info/6670723c4bfbdf144934979e?utm_campaign=1062&amp;utm_source=sheet", "Apply")</f>
        <v>Apply</v>
      </c>
      <c r="C3329" s="10" t="s">
        <v>8306</v>
      </c>
      <c r="D3329" s="56" t="s">
        <v>5196</v>
      </c>
      <c r="E3329" s="10" t="s">
        <v>249</v>
      </c>
      <c r="F3329" s="10" t="s">
        <v>1389</v>
      </c>
      <c r="G3329" s="10" t="s">
        <v>2484</v>
      </c>
      <c r="H3329" s="10" t="s">
        <v>8307</v>
      </c>
      <c r="I3329" s="10" t="s">
        <v>55</v>
      </c>
      <c r="K3329" s="10" t="s">
        <v>8308</v>
      </c>
      <c r="L3329" s="10" t="s">
        <v>42</v>
      </c>
    </row>
    <row r="3330" ht="15.75" customHeight="1">
      <c r="A3330" s="64">
        <v>45460.0</v>
      </c>
      <c r="B3330" s="55" t="str">
        <f>HYPERLINK("https://jobright.ai/jobs/info/6672f42fb9ba0405d001e35e?utm_campaign=1062&amp;utm_source=sheet", "Apply")</f>
        <v>Apply</v>
      </c>
      <c r="C3330" s="10" t="s">
        <v>8309</v>
      </c>
      <c r="D3330" s="56" t="s">
        <v>4448</v>
      </c>
      <c r="E3330" s="10" t="s">
        <v>71</v>
      </c>
      <c r="F3330" s="10" t="s">
        <v>4449</v>
      </c>
      <c r="G3330" s="10" t="s">
        <v>2448</v>
      </c>
      <c r="H3330" s="10" t="s">
        <v>8310</v>
      </c>
      <c r="I3330" s="10" t="s">
        <v>55</v>
      </c>
      <c r="K3330" s="10" t="s">
        <v>4450</v>
      </c>
      <c r="L3330" s="10" t="s">
        <v>42</v>
      </c>
    </row>
    <row r="3331" ht="15.75" customHeight="1">
      <c r="A3331" s="64">
        <v>45460.0</v>
      </c>
      <c r="B3331" s="55" t="str">
        <f>HYPERLINK("https://jobright.ai/jobs/info/6679781e22283fc0c7338428?utm_campaign=1062&amp;utm_source=sheet", "Apply")</f>
        <v>Apply</v>
      </c>
      <c r="C3331" s="10" t="s">
        <v>8311</v>
      </c>
      <c r="D3331" s="56" t="s">
        <v>8312</v>
      </c>
      <c r="E3331" s="10" t="s">
        <v>137</v>
      </c>
      <c r="F3331" s="10" t="s">
        <v>8313</v>
      </c>
      <c r="G3331" s="10" t="s">
        <v>2455</v>
      </c>
      <c r="H3331" s="10" t="s">
        <v>8314</v>
      </c>
      <c r="I3331" s="10" t="s">
        <v>55</v>
      </c>
      <c r="K3331" s="10" t="s">
        <v>8315</v>
      </c>
      <c r="L3331" s="10" t="s">
        <v>42</v>
      </c>
    </row>
    <row r="3332" ht="15.75" customHeight="1">
      <c r="A3332" s="64">
        <v>45460.0</v>
      </c>
      <c r="B3332" s="55" t="str">
        <f>HYPERLINK("https://jobright.ai/jobs/info/66796da73f452d31d55f9653?utm_campaign=1062&amp;utm_source=sheet", "Apply")</f>
        <v>Apply</v>
      </c>
      <c r="C3332" s="10" t="s">
        <v>8316</v>
      </c>
      <c r="D3332" s="56" t="s">
        <v>196</v>
      </c>
      <c r="E3332" s="10" t="s">
        <v>71</v>
      </c>
      <c r="F3332" s="10" t="s">
        <v>197</v>
      </c>
      <c r="G3332" s="10" t="s">
        <v>2579</v>
      </c>
      <c r="H3332" s="10" t="s">
        <v>193</v>
      </c>
      <c r="I3332" s="10" t="s">
        <v>55</v>
      </c>
      <c r="K3332" s="10" t="s">
        <v>8317</v>
      </c>
      <c r="L3332" s="10" t="s">
        <v>42</v>
      </c>
    </row>
    <row r="3333" ht="15.75" customHeight="1">
      <c r="A3333" s="64">
        <v>45460.0</v>
      </c>
      <c r="B3333" s="55" t="str">
        <f>HYPERLINK("https://jobright.ai/jobs/info/66795b9adcb1db3fc098ebb8?utm_campaign=1062&amp;utm_source=sheet", "Apply")</f>
        <v>Apply</v>
      </c>
      <c r="C3333" s="10" t="s">
        <v>8318</v>
      </c>
      <c r="D3333" s="56" t="s">
        <v>8319</v>
      </c>
      <c r="E3333" s="10" t="s">
        <v>79</v>
      </c>
      <c r="F3333" s="10" t="s">
        <v>8320</v>
      </c>
      <c r="G3333" s="10" t="s">
        <v>3005</v>
      </c>
      <c r="H3333" s="10" t="s">
        <v>4170</v>
      </c>
      <c r="I3333" s="10" t="s">
        <v>55</v>
      </c>
      <c r="J3333" s="10" t="s">
        <v>8321</v>
      </c>
      <c r="K3333" s="10" t="s">
        <v>8322</v>
      </c>
      <c r="L3333" s="10" t="s">
        <v>42</v>
      </c>
    </row>
    <row r="3334" ht="15.75" customHeight="1">
      <c r="A3334" s="64">
        <v>45460.0</v>
      </c>
      <c r="B3334" s="55" t="str">
        <f>HYPERLINK("https://jobright.ai/jobs/info/667026c406eabee8c1bf7ef9?utm_campaign=1062&amp;utm_source=sheet", "Apply")</f>
        <v>Apply</v>
      </c>
      <c r="C3334" s="10" t="s">
        <v>8323</v>
      </c>
      <c r="D3334" s="56" t="s">
        <v>8324</v>
      </c>
      <c r="E3334" s="10" t="s">
        <v>65</v>
      </c>
      <c r="F3334" s="10" t="s">
        <v>8325</v>
      </c>
      <c r="G3334" s="10" t="s">
        <v>2448</v>
      </c>
      <c r="H3334" s="10" t="s">
        <v>8326</v>
      </c>
      <c r="I3334" s="10" t="s">
        <v>55</v>
      </c>
      <c r="J3334" s="10" t="s">
        <v>8327</v>
      </c>
      <c r="K3334" s="10" t="s">
        <v>8328</v>
      </c>
      <c r="L3334" s="10" t="s">
        <v>42</v>
      </c>
    </row>
    <row r="3335" ht="15.75" customHeight="1">
      <c r="A3335" s="64">
        <v>45460.0</v>
      </c>
      <c r="B3335" s="55" t="str">
        <f>HYPERLINK("https://jobright.ai/jobs/info/667026c406eabee8c1bf7ee1?utm_campaign=1062&amp;utm_source=sheet", "Apply")</f>
        <v>Apply</v>
      </c>
      <c r="C3335" s="10" t="s">
        <v>8323</v>
      </c>
      <c r="D3335" s="56" t="s">
        <v>8324</v>
      </c>
      <c r="E3335" s="10" t="s">
        <v>65</v>
      </c>
      <c r="F3335" s="10" t="s">
        <v>8325</v>
      </c>
      <c r="G3335" s="10" t="s">
        <v>2448</v>
      </c>
      <c r="H3335" s="10" t="s">
        <v>8329</v>
      </c>
      <c r="I3335" s="10" t="s">
        <v>55</v>
      </c>
      <c r="J3335" s="10" t="s">
        <v>8327</v>
      </c>
      <c r="K3335" s="10" t="s">
        <v>8330</v>
      </c>
      <c r="L3335" s="10" t="s">
        <v>42</v>
      </c>
    </row>
    <row r="3336" ht="15.75" customHeight="1">
      <c r="A3336" s="64">
        <v>45460.0</v>
      </c>
      <c r="B3336" s="55" t="str">
        <f>HYPERLINK("https://jobright.ai/jobs/info/667026c406eabee8c1bf7ed6?utm_campaign=1062&amp;utm_source=sheet", "Apply")</f>
        <v>Apply</v>
      </c>
      <c r="C3336" s="10" t="s">
        <v>8331</v>
      </c>
      <c r="D3336" s="56" t="s">
        <v>8324</v>
      </c>
      <c r="E3336" s="10" t="s">
        <v>65</v>
      </c>
      <c r="F3336" s="10" t="s">
        <v>8325</v>
      </c>
      <c r="G3336" s="10" t="s">
        <v>2448</v>
      </c>
      <c r="H3336" s="10" t="s">
        <v>8332</v>
      </c>
      <c r="I3336" s="10" t="s">
        <v>55</v>
      </c>
      <c r="J3336" s="10" t="s">
        <v>2590</v>
      </c>
      <c r="K3336" s="10" t="s">
        <v>8333</v>
      </c>
      <c r="L3336" s="10" t="s">
        <v>42</v>
      </c>
    </row>
    <row r="3337" ht="15.75" customHeight="1">
      <c r="A3337" s="64">
        <v>45460.0</v>
      </c>
      <c r="B3337" s="55" t="str">
        <f>HYPERLINK("https://jobright.ai/jobs/info/667955f439ca2f81c43710dd?utm_campaign=1062&amp;utm_source=sheet", "Apply")</f>
        <v>Apply</v>
      </c>
      <c r="C3337" s="10" t="s">
        <v>8334</v>
      </c>
      <c r="D3337" s="56" t="s">
        <v>1908</v>
      </c>
      <c r="E3337" s="10" t="s">
        <v>45</v>
      </c>
      <c r="F3337" s="10" t="s">
        <v>1909</v>
      </c>
      <c r="G3337" s="10" t="s">
        <v>2443</v>
      </c>
      <c r="H3337" s="10" t="s">
        <v>153</v>
      </c>
      <c r="I3337" s="10" t="s">
        <v>55</v>
      </c>
      <c r="K3337" s="10" t="s">
        <v>8335</v>
      </c>
      <c r="L3337" s="10" t="s">
        <v>42</v>
      </c>
    </row>
    <row r="3338" ht="15.75" customHeight="1">
      <c r="A3338" s="64">
        <v>45460.0</v>
      </c>
      <c r="B3338" s="55" t="str">
        <f>HYPERLINK("https://jobright.ai/jobs/info/666fccfc4142b8db86d64774?utm_campaign=1062&amp;utm_source=sheet", "Apply")</f>
        <v>Apply</v>
      </c>
      <c r="C3338" s="10" t="s">
        <v>8336</v>
      </c>
      <c r="D3338" s="56" t="s">
        <v>4448</v>
      </c>
      <c r="E3338" s="10" t="s">
        <v>71</v>
      </c>
      <c r="F3338" s="10" t="s">
        <v>4449</v>
      </c>
      <c r="G3338" s="10" t="s">
        <v>2448</v>
      </c>
      <c r="H3338" s="10" t="s">
        <v>7398</v>
      </c>
      <c r="I3338" s="10" t="s">
        <v>55</v>
      </c>
      <c r="K3338" s="10" t="s">
        <v>4450</v>
      </c>
      <c r="L3338" s="10" t="s">
        <v>42</v>
      </c>
    </row>
    <row r="3339" ht="15.75" customHeight="1">
      <c r="A3339" s="64">
        <v>45460.0</v>
      </c>
      <c r="B3339" s="55" t="str">
        <f>HYPERLINK("https://jobright.ai/jobs/info/66727e4e8ce3decedf254138?utm_campaign=1062&amp;utm_source=sheet", "Apply")</f>
        <v>Apply</v>
      </c>
      <c r="C3339" s="10" t="s">
        <v>8323</v>
      </c>
      <c r="D3339" s="56" t="s">
        <v>8324</v>
      </c>
      <c r="E3339" s="10" t="s">
        <v>65</v>
      </c>
      <c r="F3339" s="10" t="s">
        <v>8325</v>
      </c>
      <c r="G3339" s="10" t="s">
        <v>2448</v>
      </c>
      <c r="H3339" s="10" t="s">
        <v>8337</v>
      </c>
      <c r="I3339" s="10" t="s">
        <v>55</v>
      </c>
      <c r="J3339" s="10" t="s">
        <v>8327</v>
      </c>
      <c r="K3339" s="10" t="s">
        <v>8338</v>
      </c>
      <c r="L3339" s="10" t="s">
        <v>42</v>
      </c>
    </row>
    <row r="3340" ht="15.75" customHeight="1">
      <c r="A3340" s="64">
        <v>45460.0</v>
      </c>
      <c r="B3340" s="55" t="str">
        <f>HYPERLINK("https://jobright.ai/jobs/info/66727e3c8ce3decedf2540ad?utm_campaign=1062&amp;utm_source=sheet", "Apply")</f>
        <v>Apply</v>
      </c>
      <c r="C3340" s="10" t="s">
        <v>8339</v>
      </c>
      <c r="D3340" s="56" t="s">
        <v>8324</v>
      </c>
      <c r="E3340" s="10" t="s">
        <v>65</v>
      </c>
      <c r="F3340" s="10" t="s">
        <v>8325</v>
      </c>
      <c r="G3340" s="10" t="s">
        <v>2448</v>
      </c>
      <c r="H3340" s="10" t="s">
        <v>8340</v>
      </c>
      <c r="I3340" s="10" t="s">
        <v>55</v>
      </c>
      <c r="J3340" s="10" t="s">
        <v>8327</v>
      </c>
      <c r="K3340" s="10" t="s">
        <v>8341</v>
      </c>
      <c r="L3340" s="10" t="s">
        <v>42</v>
      </c>
    </row>
    <row r="3341" ht="15.75" customHeight="1">
      <c r="A3341" s="64">
        <v>45460.0</v>
      </c>
      <c r="B3341" s="55" t="str">
        <f>HYPERLINK("https://jobright.ai/jobs/info/66707f52eddf1894110fd949?utm_campaign=1062&amp;utm_source=sheet", "Apply")</f>
        <v>Apply</v>
      </c>
      <c r="C3341" s="10" t="s">
        <v>8342</v>
      </c>
      <c r="D3341" s="56" t="s">
        <v>4254</v>
      </c>
      <c r="E3341" s="10" t="s">
        <v>79</v>
      </c>
      <c r="F3341" s="10" t="s">
        <v>3060</v>
      </c>
      <c r="G3341" s="10" t="s">
        <v>2464</v>
      </c>
      <c r="H3341" s="10" t="s">
        <v>6150</v>
      </c>
      <c r="I3341" s="10" t="s">
        <v>55</v>
      </c>
      <c r="K3341" s="10" t="s">
        <v>8343</v>
      </c>
      <c r="L3341" s="10" t="s">
        <v>42</v>
      </c>
    </row>
    <row r="3342" ht="15.75" customHeight="1">
      <c r="A3342" s="64">
        <v>45460.0</v>
      </c>
      <c r="B3342" s="55" t="str">
        <f>HYPERLINK("https://jobright.ai/jobs/info/66708d2327f2855eff25fa43?utm_campaign=1062&amp;utm_source=sheet", "Apply")</f>
        <v>Apply</v>
      </c>
      <c r="C3342" s="10" t="s">
        <v>7002</v>
      </c>
      <c r="D3342" s="56" t="s">
        <v>6563</v>
      </c>
      <c r="E3342" s="10" t="s">
        <v>65</v>
      </c>
      <c r="F3342" s="10" t="s">
        <v>318</v>
      </c>
      <c r="G3342" s="10" t="s">
        <v>2807</v>
      </c>
      <c r="H3342" s="10" t="s">
        <v>8344</v>
      </c>
      <c r="I3342" s="10" t="s">
        <v>55</v>
      </c>
      <c r="J3342" s="10" t="s">
        <v>7003</v>
      </c>
      <c r="K3342" s="10" t="s">
        <v>8345</v>
      </c>
      <c r="L3342" s="10" t="s">
        <v>42</v>
      </c>
    </row>
    <row r="3343" ht="15.75" customHeight="1">
      <c r="A3343" s="64">
        <v>45460.0</v>
      </c>
      <c r="B3343" s="55" t="str">
        <f>HYPERLINK("https://jobright.ai/jobs/info/66708f0c1722ac77c119ffb9?utm_campaign=1062&amp;utm_source=sheet", "Apply")</f>
        <v>Apply</v>
      </c>
      <c r="C3343" s="10" t="s">
        <v>5596</v>
      </c>
      <c r="D3343" s="56" t="s">
        <v>5597</v>
      </c>
      <c r="E3343" s="10" t="s">
        <v>45</v>
      </c>
      <c r="F3343" s="10" t="s">
        <v>486</v>
      </c>
      <c r="G3343" s="10" t="s">
        <v>2470</v>
      </c>
      <c r="H3343" s="10" t="s">
        <v>8346</v>
      </c>
      <c r="I3343" s="10" t="s">
        <v>55</v>
      </c>
      <c r="J3343" s="10" t="s">
        <v>5598</v>
      </c>
      <c r="K3343" s="10" t="s">
        <v>5599</v>
      </c>
      <c r="L3343" s="10" t="s">
        <v>42</v>
      </c>
    </row>
    <row r="3344" ht="15.75" customHeight="1">
      <c r="A3344" s="64">
        <v>45460.0</v>
      </c>
      <c r="B3344" s="55" t="str">
        <f>HYPERLINK("https://jobright.ai/jobs/info/66727e178ce3decedf253ef3?utm_campaign=1062&amp;utm_source=sheet", "Apply")</f>
        <v>Apply</v>
      </c>
      <c r="C3344" s="10" t="s">
        <v>3349</v>
      </c>
      <c r="D3344" s="56" t="s">
        <v>5889</v>
      </c>
      <c r="E3344" s="10" t="s">
        <v>249</v>
      </c>
      <c r="F3344" s="10" t="s">
        <v>4692</v>
      </c>
      <c r="G3344" s="10" t="s">
        <v>2484</v>
      </c>
      <c r="H3344" s="10" t="s">
        <v>8347</v>
      </c>
      <c r="I3344" s="10" t="s">
        <v>48</v>
      </c>
      <c r="K3344" s="10" t="s">
        <v>5890</v>
      </c>
      <c r="L3344" s="10" t="s">
        <v>42</v>
      </c>
    </row>
    <row r="3345" ht="15.75" customHeight="1">
      <c r="A3345" s="64">
        <v>45460.0</v>
      </c>
      <c r="B3345" s="55" t="str">
        <f>HYPERLINK("https://jobright.ai/jobs/info/66727dce8ce3decedf253bdc?utm_campaign=1062&amp;utm_source=sheet", "Apply")</f>
        <v>Apply</v>
      </c>
      <c r="C3345" s="10" t="s">
        <v>8348</v>
      </c>
      <c r="D3345" s="56" t="s">
        <v>5889</v>
      </c>
      <c r="E3345" s="10" t="s">
        <v>249</v>
      </c>
      <c r="F3345" s="10" t="s">
        <v>4692</v>
      </c>
      <c r="G3345" s="10" t="s">
        <v>2448</v>
      </c>
      <c r="H3345" s="10" t="s">
        <v>8347</v>
      </c>
      <c r="I3345" s="10" t="s">
        <v>48</v>
      </c>
      <c r="K3345" s="10" t="s">
        <v>8349</v>
      </c>
      <c r="L3345" s="10" t="s">
        <v>42</v>
      </c>
    </row>
    <row r="3346" ht="15.75" customHeight="1">
      <c r="A3346" s="64">
        <v>45459.0</v>
      </c>
      <c r="B3346" s="55" t="str">
        <f>HYPERLINK("https://jobright.ai/jobs/info/66759bb959c208aac14d1fe5?utm_campaign=1062&amp;utm_source=sheet", "Apply")</f>
        <v>Apply</v>
      </c>
      <c r="C3346" s="10" t="s">
        <v>8350</v>
      </c>
      <c r="D3346" s="56" t="s">
        <v>8351</v>
      </c>
      <c r="E3346" s="10" t="s">
        <v>45</v>
      </c>
      <c r="F3346" s="10" t="s">
        <v>8352</v>
      </c>
      <c r="G3346" s="10" t="s">
        <v>2437</v>
      </c>
      <c r="H3346" s="10" t="s">
        <v>8353</v>
      </c>
      <c r="I3346" s="10" t="s">
        <v>55</v>
      </c>
      <c r="K3346" s="10" t="s">
        <v>8354</v>
      </c>
      <c r="L3346" s="10" t="s">
        <v>42</v>
      </c>
    </row>
    <row r="3347" ht="15.75" customHeight="1">
      <c r="A3347" s="64">
        <v>45459.0</v>
      </c>
      <c r="B3347" s="55" t="str">
        <f>HYPERLINK("https://jobright.ai/jobs/info/6676cb470367cb83573cd561?utm_campaign=1062&amp;utm_source=sheet", "Apply")</f>
        <v>Apply</v>
      </c>
      <c r="C3347" s="10" t="s">
        <v>8355</v>
      </c>
      <c r="D3347" s="56" t="s">
        <v>4448</v>
      </c>
      <c r="E3347" s="10" t="s">
        <v>71</v>
      </c>
      <c r="F3347" s="10" t="s">
        <v>4449</v>
      </c>
      <c r="G3347" s="10" t="s">
        <v>2448</v>
      </c>
      <c r="H3347" s="10" t="s">
        <v>970</v>
      </c>
      <c r="I3347" s="10" t="s">
        <v>55</v>
      </c>
      <c r="K3347" s="10" t="s">
        <v>4450</v>
      </c>
      <c r="L3347" s="10" t="s">
        <v>42</v>
      </c>
    </row>
    <row r="3348" ht="15.75" customHeight="1">
      <c r="A3348" s="64">
        <v>45459.0</v>
      </c>
      <c r="B3348" s="55" t="str">
        <f>HYPERLINK("https://jobright.ai/jobs/info/666f3b1152d3a72b6244fae9?utm_campaign=1062&amp;utm_source=sheet", "Apply")</f>
        <v>Apply</v>
      </c>
      <c r="C3348" s="10" t="s">
        <v>8245</v>
      </c>
      <c r="D3348" s="56" t="s">
        <v>4448</v>
      </c>
      <c r="E3348" s="10" t="s">
        <v>71</v>
      </c>
      <c r="F3348" s="10" t="s">
        <v>4449</v>
      </c>
      <c r="G3348" s="10" t="s">
        <v>2448</v>
      </c>
      <c r="H3348" s="10" t="s">
        <v>8356</v>
      </c>
      <c r="I3348" s="10" t="s">
        <v>55</v>
      </c>
      <c r="K3348" s="10" t="s">
        <v>4450</v>
      </c>
      <c r="L3348" s="10" t="s">
        <v>42</v>
      </c>
    </row>
    <row r="3349" ht="15.75" customHeight="1">
      <c r="A3349" s="64">
        <v>45458.0</v>
      </c>
      <c r="B3349" s="55" t="str">
        <f>HYPERLINK("https://jobright.ai/jobs/info/6677b8a29c2d9fa5bf0890b5?utm_campaign=1062&amp;utm_source=sheet", "Apply")</f>
        <v>Apply</v>
      </c>
      <c r="C3349" s="10" t="s">
        <v>8357</v>
      </c>
      <c r="D3349" s="56" t="s">
        <v>196</v>
      </c>
      <c r="E3349" s="10" t="s">
        <v>71</v>
      </c>
      <c r="F3349" s="10" t="s">
        <v>197</v>
      </c>
      <c r="G3349" s="10" t="s">
        <v>2448</v>
      </c>
      <c r="H3349" s="10" t="s">
        <v>8358</v>
      </c>
      <c r="I3349" s="10" t="s">
        <v>55</v>
      </c>
      <c r="K3349" s="10" t="s">
        <v>8359</v>
      </c>
      <c r="L3349" s="10" t="s">
        <v>42</v>
      </c>
    </row>
    <row r="3350" ht="15.75" customHeight="1">
      <c r="A3350" s="64">
        <v>45458.0</v>
      </c>
      <c r="B3350" s="55" t="str">
        <f>HYPERLINK("https://jobright.ai/jobs/info/6677b8a29c2d9fa5bf0890fd?utm_campaign=1062&amp;utm_source=sheet", "Apply")</f>
        <v>Apply</v>
      </c>
      <c r="C3350" s="10" t="s">
        <v>8360</v>
      </c>
      <c r="D3350" s="56" t="s">
        <v>196</v>
      </c>
      <c r="E3350" s="10" t="s">
        <v>71</v>
      </c>
      <c r="F3350" s="10" t="s">
        <v>197</v>
      </c>
      <c r="G3350" s="10" t="s">
        <v>2448</v>
      </c>
      <c r="H3350" s="10" t="s">
        <v>193</v>
      </c>
      <c r="I3350" s="10" t="s">
        <v>55</v>
      </c>
      <c r="K3350" s="10" t="s">
        <v>8361</v>
      </c>
      <c r="L3350" s="10" t="s">
        <v>42</v>
      </c>
    </row>
    <row r="3351" ht="15.75" customHeight="1">
      <c r="A3351" s="64">
        <v>45458.0</v>
      </c>
      <c r="B3351" s="55" t="str">
        <f>HYPERLINK("https://jobright.ai/jobs/info/6677bcf127c0e726e8f4e1fb?utm_campaign=1062&amp;utm_source=sheet", "Apply")</f>
        <v>Apply</v>
      </c>
      <c r="C3351" s="10" t="s">
        <v>8362</v>
      </c>
      <c r="D3351" s="56" t="s">
        <v>8363</v>
      </c>
      <c r="E3351" s="10" t="s">
        <v>45</v>
      </c>
      <c r="F3351" s="10" t="s">
        <v>1234</v>
      </c>
      <c r="G3351" s="10" t="s">
        <v>2448</v>
      </c>
      <c r="H3351" s="10" t="s">
        <v>896</v>
      </c>
      <c r="I3351" s="10" t="s">
        <v>55</v>
      </c>
      <c r="J3351" s="10" t="s">
        <v>8364</v>
      </c>
      <c r="K3351" s="10" t="s">
        <v>8365</v>
      </c>
      <c r="L3351" s="10" t="s">
        <v>42</v>
      </c>
    </row>
    <row r="3352" ht="15.75" customHeight="1">
      <c r="A3352" s="64">
        <v>45458.0</v>
      </c>
      <c r="B3352" s="55" t="str">
        <f>HYPERLINK("https://jobright.ai/jobs/info/6677bd5127c0e726e8f4e8c7?utm_campaign=1062&amp;utm_source=sheet", "Apply")</f>
        <v>Apply</v>
      </c>
      <c r="C3352" s="10" t="s">
        <v>8366</v>
      </c>
      <c r="D3352" s="56" t="s">
        <v>196</v>
      </c>
      <c r="E3352" s="10" t="s">
        <v>71</v>
      </c>
      <c r="F3352" s="10" t="s">
        <v>197</v>
      </c>
      <c r="G3352" s="10" t="s">
        <v>2448</v>
      </c>
      <c r="H3352" s="10" t="s">
        <v>193</v>
      </c>
      <c r="I3352" s="10" t="s">
        <v>55</v>
      </c>
      <c r="K3352" s="10" t="s">
        <v>8367</v>
      </c>
      <c r="L3352" s="10" t="s">
        <v>42</v>
      </c>
    </row>
    <row r="3353" ht="15.75" customHeight="1">
      <c r="A3353" s="64">
        <v>45458.0</v>
      </c>
      <c r="B3353" s="55" t="str">
        <f>HYPERLINK("https://jobright.ai/jobs/info/6677bcaa27c0e726e8f4dbe0?utm_campaign=1062&amp;utm_source=sheet", "Apply")</f>
        <v>Apply</v>
      </c>
      <c r="C3353" s="10" t="s">
        <v>8368</v>
      </c>
      <c r="D3353" s="56" t="s">
        <v>7609</v>
      </c>
      <c r="E3353" s="10">
        <v>5090.0</v>
      </c>
      <c r="G3353" s="10" t="s">
        <v>2448</v>
      </c>
      <c r="H3353" s="10" t="s">
        <v>7610</v>
      </c>
      <c r="I3353" s="10" t="s">
        <v>55</v>
      </c>
      <c r="K3353" s="10" t="s">
        <v>7611</v>
      </c>
      <c r="L3353" s="10" t="s">
        <v>42</v>
      </c>
    </row>
    <row r="3354" ht="15.75" customHeight="1">
      <c r="A3354" s="64">
        <v>45458.0</v>
      </c>
      <c r="B3354" s="55" t="str">
        <f>HYPERLINK("https://jobright.ai/jobs/info/6677c36f2b6ed5133f445355?utm_campaign=1062&amp;utm_source=sheet", "Apply")</f>
        <v>Apply</v>
      </c>
      <c r="C3354" s="10" t="s">
        <v>8369</v>
      </c>
      <c r="D3354" s="56" t="s">
        <v>196</v>
      </c>
      <c r="E3354" s="10" t="s">
        <v>71</v>
      </c>
      <c r="F3354" s="10" t="s">
        <v>197</v>
      </c>
      <c r="G3354" s="10" t="s">
        <v>2448</v>
      </c>
      <c r="H3354" s="10" t="s">
        <v>193</v>
      </c>
      <c r="I3354" s="10" t="s">
        <v>55</v>
      </c>
      <c r="K3354" s="10" t="s">
        <v>8370</v>
      </c>
      <c r="L3354" s="10" t="s">
        <v>42</v>
      </c>
    </row>
    <row r="3355" ht="15.75" customHeight="1">
      <c r="A3355" s="64">
        <v>45458.0</v>
      </c>
      <c r="B3355" s="55" t="str">
        <f>HYPERLINK("https://jobright.ai/jobs/info/6677c70d64f2e472ffd6295b?utm_campaign=1062&amp;utm_source=sheet", "Apply")</f>
        <v>Apply</v>
      </c>
      <c r="C3355" s="10" t="s">
        <v>8371</v>
      </c>
      <c r="D3355" s="56" t="s">
        <v>7561</v>
      </c>
      <c r="E3355" s="10" t="s">
        <v>79</v>
      </c>
      <c r="F3355" s="10" t="s">
        <v>3486</v>
      </c>
      <c r="G3355" s="10" t="s">
        <v>2579</v>
      </c>
      <c r="H3355" s="10" t="s">
        <v>245</v>
      </c>
      <c r="I3355" s="10" t="s">
        <v>55</v>
      </c>
      <c r="K3355" s="10" t="s">
        <v>8372</v>
      </c>
      <c r="L3355" s="10" t="s">
        <v>42</v>
      </c>
    </row>
    <row r="3356" ht="15.75" customHeight="1">
      <c r="A3356" s="64">
        <v>45458.0</v>
      </c>
      <c r="B3356" s="55" t="str">
        <f>HYPERLINK("https://jobright.ai/jobs/info/66801017837d16e3277f5c6d?utm_campaign=1062&amp;utm_source=sheet", "Apply")</f>
        <v>Apply</v>
      </c>
      <c r="C3356" s="10" t="s">
        <v>8373</v>
      </c>
      <c r="D3356" s="56" t="s">
        <v>196</v>
      </c>
      <c r="E3356" s="10" t="s">
        <v>71</v>
      </c>
      <c r="F3356" s="10" t="s">
        <v>197</v>
      </c>
      <c r="G3356" s="10" t="s">
        <v>2484</v>
      </c>
      <c r="H3356" s="10" t="s">
        <v>193</v>
      </c>
      <c r="I3356" s="10" t="s">
        <v>55</v>
      </c>
      <c r="K3356" s="10" t="s">
        <v>8374</v>
      </c>
      <c r="L3356" s="10" t="s">
        <v>42</v>
      </c>
    </row>
    <row r="3357" ht="15.75" customHeight="1">
      <c r="A3357" s="64">
        <v>45458.0</v>
      </c>
      <c r="B3357" s="55" t="str">
        <f>HYPERLINK("https://jobright.ai/jobs/info/6677c72164f2e472ffd62aef?utm_campaign=1062&amp;utm_source=sheet", "Apply")</f>
        <v>Apply</v>
      </c>
      <c r="C3357" s="10" t="s">
        <v>8375</v>
      </c>
      <c r="D3357" s="56" t="s">
        <v>196</v>
      </c>
      <c r="E3357" s="10" t="s">
        <v>71</v>
      </c>
      <c r="F3357" s="10" t="s">
        <v>197</v>
      </c>
      <c r="G3357" s="10" t="s">
        <v>2502</v>
      </c>
      <c r="H3357" s="10" t="s">
        <v>193</v>
      </c>
      <c r="I3357" s="10" t="s">
        <v>55</v>
      </c>
      <c r="K3357" s="10" t="s">
        <v>8376</v>
      </c>
      <c r="L3357" s="10" t="s">
        <v>42</v>
      </c>
    </row>
    <row r="3358" ht="15.75" customHeight="1">
      <c r="A3358" s="64">
        <v>45458.0</v>
      </c>
      <c r="B3358" s="55" t="str">
        <f>HYPERLINK("https://jobright.ai/jobs/info/6677c7ab64f2e472ffd6346c?utm_campaign=1062&amp;utm_source=sheet", "Apply")</f>
        <v>Apply</v>
      </c>
      <c r="C3358" s="10" t="s">
        <v>8377</v>
      </c>
      <c r="D3358" s="56" t="s">
        <v>2202</v>
      </c>
      <c r="E3358" s="10" t="s">
        <v>249</v>
      </c>
      <c r="F3358" s="10" t="s">
        <v>1234</v>
      </c>
      <c r="G3358" s="10" t="s">
        <v>2579</v>
      </c>
      <c r="H3358" s="10" t="s">
        <v>2203</v>
      </c>
      <c r="I3358" s="10" t="s">
        <v>55</v>
      </c>
      <c r="K3358" s="10" t="s">
        <v>8378</v>
      </c>
      <c r="L3358" s="10" t="s">
        <v>42</v>
      </c>
    </row>
    <row r="3359" ht="15.75" customHeight="1">
      <c r="A3359" s="64">
        <v>45458.0</v>
      </c>
      <c r="B3359" s="55" t="str">
        <f>HYPERLINK("https://jobright.ai/jobs/info/66800554c0e1fee486ee8fd7?utm_campaign=1062&amp;utm_source=sheet", "Apply")</f>
        <v>Apply</v>
      </c>
      <c r="C3359" s="10" t="s">
        <v>8379</v>
      </c>
      <c r="D3359" s="56" t="s">
        <v>196</v>
      </c>
      <c r="E3359" s="10" t="s">
        <v>71</v>
      </c>
      <c r="F3359" s="10" t="s">
        <v>197</v>
      </c>
      <c r="G3359" s="10" t="s">
        <v>2443</v>
      </c>
      <c r="H3359" s="10" t="s">
        <v>193</v>
      </c>
      <c r="I3359" s="10" t="s">
        <v>55</v>
      </c>
      <c r="K3359" s="10" t="s">
        <v>8380</v>
      </c>
      <c r="L3359" s="10" t="s">
        <v>42</v>
      </c>
    </row>
    <row r="3360" ht="15.75" customHeight="1">
      <c r="A3360" s="64">
        <v>45458.0</v>
      </c>
      <c r="B3360" s="55" t="str">
        <f>HYPERLINK("https://jobright.ai/jobs/info/666d71c5eb1f8b525b45fdc3?utm_campaign=1062&amp;utm_source=sheet", "Apply")</f>
        <v>Apply</v>
      </c>
      <c r="C3360" s="10" t="s">
        <v>1771</v>
      </c>
      <c r="D3360" s="56" t="s">
        <v>1502</v>
      </c>
      <c r="E3360" s="10">
        <v>10345.0</v>
      </c>
      <c r="G3360" s="10" t="s">
        <v>2448</v>
      </c>
      <c r="H3360" s="10" t="s">
        <v>106</v>
      </c>
      <c r="I3360" s="10" t="s">
        <v>55</v>
      </c>
      <c r="K3360" s="10" t="s">
        <v>8381</v>
      </c>
      <c r="L3360" s="10" t="s">
        <v>42</v>
      </c>
    </row>
    <row r="3361" ht="15.75" customHeight="1">
      <c r="A3361" s="64">
        <v>45457.0</v>
      </c>
      <c r="B3361" s="55" t="str">
        <f>HYPERLINK("https://jobright.ai/jobs/info/666cdf825892391fdc5fb12b?utm_campaign=1062&amp;utm_source=sheet", "Apply")</f>
        <v>Apply</v>
      </c>
      <c r="C3361" s="10" t="s">
        <v>6539</v>
      </c>
      <c r="D3361" s="56" t="s">
        <v>2157</v>
      </c>
      <c r="E3361" s="10" t="s">
        <v>45</v>
      </c>
      <c r="F3361" s="10" t="s">
        <v>2158</v>
      </c>
      <c r="G3361" s="10" t="s">
        <v>2443</v>
      </c>
      <c r="H3361" s="10" t="s">
        <v>628</v>
      </c>
      <c r="I3361" s="10" t="s">
        <v>55</v>
      </c>
      <c r="K3361" s="10" t="s">
        <v>5027</v>
      </c>
      <c r="L3361" s="10" t="s">
        <v>42</v>
      </c>
    </row>
    <row r="3362" ht="15.75" customHeight="1">
      <c r="A3362" s="64">
        <v>45457.0</v>
      </c>
      <c r="B3362" s="55" t="str">
        <f>HYPERLINK("https://jobright.ai/jobs/info/666cb3efb86af0750fe63824?utm_campaign=1062&amp;utm_source=sheet", "Apply")</f>
        <v>Apply</v>
      </c>
      <c r="C3362" s="10" t="s">
        <v>8382</v>
      </c>
      <c r="D3362" s="56" t="s">
        <v>1547</v>
      </c>
      <c r="E3362" s="10">
        <v>408.0</v>
      </c>
      <c r="G3362" s="10" t="s">
        <v>2579</v>
      </c>
      <c r="H3362" s="10" t="s">
        <v>153</v>
      </c>
      <c r="I3362" s="10" t="s">
        <v>55</v>
      </c>
      <c r="K3362" s="10" t="s">
        <v>8383</v>
      </c>
      <c r="L3362" s="10" t="s">
        <v>42</v>
      </c>
    </row>
    <row r="3363" ht="15.75" customHeight="1">
      <c r="A3363" s="64">
        <v>45457.0</v>
      </c>
      <c r="B3363" s="55" t="str">
        <f>HYPERLINK("https://jobright.ai/jobs/info/66747b5d9e5d771319da20a2?utm_campaign=1062&amp;utm_source=sheet", "Apply")</f>
        <v>Apply</v>
      </c>
      <c r="C3363" s="10" t="s">
        <v>8384</v>
      </c>
      <c r="D3363" s="56" t="s">
        <v>8385</v>
      </c>
      <c r="E3363" s="10">
        <v>2610.0</v>
      </c>
      <c r="G3363" s="10" t="s">
        <v>2495</v>
      </c>
      <c r="H3363" s="10" t="s">
        <v>956</v>
      </c>
      <c r="I3363" s="10" t="s">
        <v>55</v>
      </c>
      <c r="J3363" s="10" t="s">
        <v>8386</v>
      </c>
      <c r="K3363" s="10" t="s">
        <v>8387</v>
      </c>
      <c r="L3363" s="10" t="s">
        <v>42</v>
      </c>
    </row>
    <row r="3364" ht="15.75" customHeight="1">
      <c r="A3364" s="64">
        <v>45457.0</v>
      </c>
      <c r="B3364" s="55" t="str">
        <f>HYPERLINK("https://jobright.ai/jobs/info/666c961208c82782c9e089b2?utm_campaign=1062&amp;utm_source=sheet", "Apply")</f>
        <v>Apply</v>
      </c>
      <c r="C3364" s="10" t="s">
        <v>8388</v>
      </c>
      <c r="D3364" s="56" t="s">
        <v>2626</v>
      </c>
      <c r="E3364" s="10" t="s">
        <v>45</v>
      </c>
      <c r="F3364" s="10" t="s">
        <v>2627</v>
      </c>
      <c r="G3364" s="10" t="s">
        <v>2448</v>
      </c>
      <c r="H3364" s="10" t="s">
        <v>229</v>
      </c>
      <c r="I3364" s="10" t="s">
        <v>48</v>
      </c>
      <c r="J3364" s="10" t="s">
        <v>8389</v>
      </c>
      <c r="K3364" s="10" t="s">
        <v>3632</v>
      </c>
      <c r="L3364" s="10" t="s">
        <v>42</v>
      </c>
    </row>
    <row r="3365" ht="15.75" customHeight="1">
      <c r="A3365" s="64">
        <v>45457.0</v>
      </c>
      <c r="B3365" s="55" t="str">
        <f>HYPERLINK("https://jobright.ai/jobs/info/666c8763f630f8a398e00e4e?utm_campaign=1062&amp;utm_source=sheet", "Apply")</f>
        <v>Apply</v>
      </c>
      <c r="C3365" s="10" t="s">
        <v>2630</v>
      </c>
      <c r="D3365" s="56" t="s">
        <v>2220</v>
      </c>
      <c r="E3365" s="10" t="s">
        <v>45</v>
      </c>
      <c r="F3365" s="10" t="s">
        <v>2221</v>
      </c>
      <c r="G3365" s="10" t="s">
        <v>2464</v>
      </c>
      <c r="H3365" s="10" t="s">
        <v>6620</v>
      </c>
      <c r="I3365" s="10" t="s">
        <v>55</v>
      </c>
      <c r="J3365" s="10" t="s">
        <v>8386</v>
      </c>
      <c r="K3365" s="10" t="s">
        <v>8390</v>
      </c>
      <c r="L3365" s="10" t="s">
        <v>42</v>
      </c>
    </row>
    <row r="3366" ht="15.75" customHeight="1">
      <c r="A3366" s="64">
        <v>45457.0</v>
      </c>
      <c r="B3366" s="55" t="str">
        <f>HYPERLINK("https://jobright.ai/jobs/info/666c66031fec16997e48ea3a?utm_campaign=1062&amp;utm_source=sheet", "Apply")</f>
        <v>Apply</v>
      </c>
      <c r="C3366" s="10" t="s">
        <v>8391</v>
      </c>
      <c r="D3366" s="56" t="s">
        <v>1547</v>
      </c>
      <c r="E3366" s="10">
        <v>408.0</v>
      </c>
      <c r="G3366" s="10" t="s">
        <v>2459</v>
      </c>
      <c r="H3366" s="10" t="s">
        <v>170</v>
      </c>
      <c r="I3366" s="10" t="s">
        <v>55</v>
      </c>
      <c r="K3366" s="10" t="s">
        <v>8392</v>
      </c>
      <c r="L3366" s="10" t="s">
        <v>42</v>
      </c>
    </row>
    <row r="3367" ht="15.75" customHeight="1">
      <c r="A3367" s="64">
        <v>45457.0</v>
      </c>
      <c r="B3367" s="55" t="str">
        <f>HYPERLINK("https://jobright.ai/jobs/info/66756b91e2a826d24a0e02de?utm_campaign=1062&amp;utm_source=sheet", "Apply")</f>
        <v>Apply</v>
      </c>
      <c r="C3367" s="10" t="s">
        <v>8393</v>
      </c>
      <c r="D3367" s="56" t="s">
        <v>3553</v>
      </c>
      <c r="E3367" s="10" t="s">
        <v>79</v>
      </c>
      <c r="F3367" s="10" t="s">
        <v>3554</v>
      </c>
      <c r="G3367" s="10" t="s">
        <v>2502</v>
      </c>
      <c r="H3367" s="10" t="s">
        <v>152</v>
      </c>
      <c r="I3367" s="10" t="s">
        <v>55</v>
      </c>
      <c r="K3367" s="10" t="s">
        <v>8394</v>
      </c>
      <c r="L3367" s="10" t="s">
        <v>42</v>
      </c>
    </row>
    <row r="3368" ht="15.75" customHeight="1">
      <c r="A3368" s="64">
        <v>45457.0</v>
      </c>
      <c r="B3368" s="55" t="str">
        <f>HYPERLINK("https://jobright.ai/jobs/info/666c2f7f126dc247d4f1bdd6?utm_campaign=1062&amp;utm_source=sheet", "Apply")</f>
        <v>Apply</v>
      </c>
      <c r="C3368" s="10" t="s">
        <v>8395</v>
      </c>
      <c r="D3368" s="56" t="s">
        <v>2157</v>
      </c>
      <c r="E3368" s="10" t="s">
        <v>45</v>
      </c>
      <c r="F3368" s="10" t="s">
        <v>2158</v>
      </c>
      <c r="G3368" s="10" t="s">
        <v>2443</v>
      </c>
      <c r="H3368" s="10" t="s">
        <v>628</v>
      </c>
      <c r="I3368" s="10" t="s">
        <v>55</v>
      </c>
      <c r="K3368" s="10" t="s">
        <v>8396</v>
      </c>
      <c r="L3368" s="10" t="s">
        <v>42</v>
      </c>
    </row>
    <row r="3369" ht="15.75" customHeight="1">
      <c r="A3369" s="64">
        <v>45457.0</v>
      </c>
      <c r="B3369" s="55" t="str">
        <f>HYPERLINK("https://jobright.ai/jobs/info/6650cd54577e8e3700b8909b?utm_campaign=1062&amp;utm_source=sheet", "Apply")</f>
        <v>Apply</v>
      </c>
      <c r="C3369" s="10" t="s">
        <v>8397</v>
      </c>
      <c r="D3369" s="56" t="s">
        <v>2157</v>
      </c>
      <c r="E3369" s="10" t="s">
        <v>45</v>
      </c>
      <c r="F3369" s="10" t="s">
        <v>2158</v>
      </c>
      <c r="G3369" s="10" t="s">
        <v>2443</v>
      </c>
      <c r="H3369" s="10" t="s">
        <v>628</v>
      </c>
      <c r="I3369" s="10" t="s">
        <v>55</v>
      </c>
      <c r="K3369" s="10" t="s">
        <v>8398</v>
      </c>
      <c r="L3369" s="10" t="s">
        <v>42</v>
      </c>
    </row>
    <row r="3370" ht="15.75" customHeight="1">
      <c r="A3370" s="64">
        <v>45457.0</v>
      </c>
      <c r="B3370" s="55" t="str">
        <f>HYPERLINK("https://jobright.ai/jobs/info/667f01db6900d892b3bcbe11?utm_campaign=1062&amp;utm_source=sheet", "Apply")</f>
        <v>Apply</v>
      </c>
      <c r="C3370" s="10" t="s">
        <v>8399</v>
      </c>
      <c r="D3370" s="56" t="s">
        <v>8400</v>
      </c>
      <c r="E3370" s="10" t="s">
        <v>276</v>
      </c>
      <c r="F3370" s="10" t="s">
        <v>7866</v>
      </c>
      <c r="G3370" s="10" t="s">
        <v>2502</v>
      </c>
      <c r="H3370" s="10" t="s">
        <v>8401</v>
      </c>
      <c r="I3370" s="10" t="s">
        <v>55</v>
      </c>
      <c r="J3370" s="10" t="s">
        <v>7580</v>
      </c>
      <c r="K3370" s="10" t="s">
        <v>8402</v>
      </c>
      <c r="L3370" s="10" t="s">
        <v>42</v>
      </c>
    </row>
    <row r="3371" ht="15.75" customHeight="1">
      <c r="A3371" s="64">
        <v>45456.0</v>
      </c>
      <c r="B3371" s="55" t="str">
        <f>HYPERLINK("https://jobright.ai/jobs/info/666b981ec3fa44e9aec1f2ff?utm_campaign=1062&amp;utm_source=sheet", "Apply")</f>
        <v>Apply</v>
      </c>
      <c r="C3371" s="10" t="s">
        <v>2853</v>
      </c>
      <c r="D3371" s="56" t="s">
        <v>2818</v>
      </c>
      <c r="E3371" s="10" t="s">
        <v>209</v>
      </c>
      <c r="F3371" s="10" t="s">
        <v>2819</v>
      </c>
      <c r="G3371" s="10" t="s">
        <v>2437</v>
      </c>
      <c r="H3371" s="10" t="s">
        <v>2820</v>
      </c>
      <c r="I3371" s="10" t="s">
        <v>55</v>
      </c>
      <c r="K3371" s="10" t="s">
        <v>8403</v>
      </c>
      <c r="L3371" s="10" t="s">
        <v>42</v>
      </c>
    </row>
    <row r="3372" ht="15.75" customHeight="1">
      <c r="A3372" s="64">
        <v>45456.0</v>
      </c>
      <c r="B3372" s="55" t="str">
        <f>HYPERLINK("https://jobright.ai/jobs/info/666b5e95214b773feaf82f5d?utm_campaign=1062&amp;utm_source=sheet", "Apply")</f>
        <v>Apply</v>
      </c>
      <c r="C3372" s="10" t="s">
        <v>7407</v>
      </c>
      <c r="D3372" s="56" t="s">
        <v>7387</v>
      </c>
      <c r="E3372" s="10" t="s">
        <v>65</v>
      </c>
      <c r="F3372" s="10" t="s">
        <v>7388</v>
      </c>
      <c r="G3372" s="10" t="s">
        <v>2464</v>
      </c>
      <c r="H3372" s="10" t="s">
        <v>8404</v>
      </c>
      <c r="I3372" s="10" t="s">
        <v>55</v>
      </c>
      <c r="K3372" s="10" t="s">
        <v>7405</v>
      </c>
      <c r="L3372" s="10" t="s">
        <v>42</v>
      </c>
    </row>
    <row r="3373" ht="15.75" customHeight="1">
      <c r="A3373" s="64">
        <v>45456.0</v>
      </c>
      <c r="B3373" s="55" t="str">
        <f>HYPERLINK("https://jobright.ai/jobs/info/666b5e95214b773feaf82f97?utm_campaign=1062&amp;utm_source=sheet", "Apply")</f>
        <v>Apply</v>
      </c>
      <c r="C3373" s="10" t="s">
        <v>8405</v>
      </c>
      <c r="D3373" s="56" t="s">
        <v>7387</v>
      </c>
      <c r="E3373" s="10" t="s">
        <v>65</v>
      </c>
      <c r="F3373" s="10" t="s">
        <v>7388</v>
      </c>
      <c r="G3373" s="10" t="s">
        <v>2464</v>
      </c>
      <c r="H3373" s="10" t="s">
        <v>8404</v>
      </c>
      <c r="I3373" s="10" t="s">
        <v>55</v>
      </c>
      <c r="K3373" s="10" t="s">
        <v>7405</v>
      </c>
      <c r="L3373" s="10" t="s">
        <v>42</v>
      </c>
    </row>
    <row r="3374" ht="15.75" customHeight="1">
      <c r="A3374" s="64">
        <v>45456.0</v>
      </c>
      <c r="B3374" s="55" t="str">
        <f>HYPERLINK("https://jobright.ai/jobs/info/655c8b9127e6fd31a4f06ef4?utm_campaign=1062&amp;utm_source=sheet", "Apply")</f>
        <v>Apply</v>
      </c>
      <c r="C3374" s="10" t="s">
        <v>3336</v>
      </c>
      <c r="D3374" s="56" t="s">
        <v>6882</v>
      </c>
      <c r="E3374" s="10" t="s">
        <v>276</v>
      </c>
      <c r="F3374" s="10" t="s">
        <v>2588</v>
      </c>
      <c r="G3374" s="10" t="s">
        <v>2448</v>
      </c>
      <c r="H3374" s="10" t="s">
        <v>605</v>
      </c>
      <c r="I3374" s="10" t="s">
        <v>55</v>
      </c>
      <c r="K3374" s="10" t="s">
        <v>8406</v>
      </c>
      <c r="L3374" s="10" t="s">
        <v>42</v>
      </c>
    </row>
    <row r="3375" ht="15.75" customHeight="1">
      <c r="A3375" s="64">
        <v>45456.0</v>
      </c>
      <c r="B3375" s="55" t="str">
        <f>HYPERLINK("https://jobright.ai/jobs/info/666b52e2fb7205891b4dd356?utm_campaign=1062&amp;utm_source=sheet", "Apply")</f>
        <v>Apply</v>
      </c>
      <c r="C3375" s="10" t="s">
        <v>8407</v>
      </c>
      <c r="D3375" s="56" t="s">
        <v>8408</v>
      </c>
      <c r="E3375" s="10" t="s">
        <v>249</v>
      </c>
      <c r="F3375" s="10" t="s">
        <v>6645</v>
      </c>
      <c r="G3375" s="10" t="s">
        <v>2455</v>
      </c>
      <c r="H3375" s="10" t="s">
        <v>1018</v>
      </c>
      <c r="I3375" s="10" t="s">
        <v>55</v>
      </c>
      <c r="K3375" s="10" t="s">
        <v>8409</v>
      </c>
      <c r="L3375" s="10" t="s">
        <v>42</v>
      </c>
    </row>
    <row r="3376" ht="15.75" customHeight="1">
      <c r="A3376" s="64">
        <v>45456.0</v>
      </c>
      <c r="B3376" s="55" t="str">
        <f>HYPERLINK("https://jobright.ai/jobs/info/666b393889d295d4f2f2ecce?utm_campaign=1062&amp;utm_source=sheet", "Apply")</f>
        <v>Apply</v>
      </c>
      <c r="C3376" s="10" t="s">
        <v>8410</v>
      </c>
      <c r="D3376" s="56" t="s">
        <v>2220</v>
      </c>
      <c r="E3376" s="10" t="s">
        <v>45</v>
      </c>
      <c r="F3376" s="10" t="s">
        <v>2221</v>
      </c>
      <c r="G3376" s="10" t="s">
        <v>2464</v>
      </c>
      <c r="H3376" s="10" t="s">
        <v>3196</v>
      </c>
      <c r="I3376" s="10" t="s">
        <v>55</v>
      </c>
      <c r="J3376" s="10" t="s">
        <v>8386</v>
      </c>
      <c r="K3376" s="10" t="s">
        <v>8411</v>
      </c>
      <c r="L3376" s="10" t="s">
        <v>42</v>
      </c>
    </row>
    <row r="3377" ht="15.75" customHeight="1">
      <c r="A3377" s="64">
        <v>45456.0</v>
      </c>
      <c r="B3377" s="55" t="str">
        <f>HYPERLINK("https://jobright.ai/jobs/info/666b479c5c2549fb6b38e14a?utm_campaign=1062&amp;utm_source=sheet", "Apply")</f>
        <v>Apply</v>
      </c>
      <c r="C3377" s="10" t="s">
        <v>8412</v>
      </c>
      <c r="D3377" s="56" t="s">
        <v>8413</v>
      </c>
      <c r="E3377" s="10" t="s">
        <v>45</v>
      </c>
      <c r="F3377" s="10" t="s">
        <v>8414</v>
      </c>
      <c r="G3377" s="10" t="s">
        <v>2484</v>
      </c>
      <c r="H3377" s="10" t="s">
        <v>438</v>
      </c>
      <c r="I3377" s="10" t="s">
        <v>55</v>
      </c>
      <c r="K3377" s="10" t="s">
        <v>8415</v>
      </c>
      <c r="L3377" s="10" t="s">
        <v>42</v>
      </c>
    </row>
    <row r="3378" ht="15.75" customHeight="1">
      <c r="A3378" s="64">
        <v>45456.0</v>
      </c>
      <c r="B3378" s="55" t="str">
        <f>HYPERLINK("https://jobright.ai/jobs/info/667485f11cdb1fdbb8e55437?utm_campaign=1062&amp;utm_source=sheet", "Apply")</f>
        <v>Apply</v>
      </c>
      <c r="C3378" s="10" t="s">
        <v>8416</v>
      </c>
      <c r="D3378" s="56" t="s">
        <v>2220</v>
      </c>
      <c r="E3378" s="10" t="s">
        <v>45</v>
      </c>
      <c r="F3378" s="10" t="s">
        <v>2221</v>
      </c>
      <c r="G3378" s="10" t="s">
        <v>2464</v>
      </c>
      <c r="H3378" s="10" t="s">
        <v>3196</v>
      </c>
      <c r="I3378" s="10" t="s">
        <v>55</v>
      </c>
      <c r="J3378" s="10" t="s">
        <v>8386</v>
      </c>
      <c r="K3378" s="10" t="s">
        <v>8411</v>
      </c>
      <c r="L3378" s="10" t="s">
        <v>42</v>
      </c>
    </row>
    <row r="3379" ht="15.75" customHeight="1">
      <c r="A3379" s="64">
        <v>45456.0</v>
      </c>
      <c r="B3379" s="55" t="str">
        <f>HYPERLINK("https://jobright.ai/jobs/info/66744137bd65a761bf019b3a?utm_campaign=1062&amp;utm_source=sheet", "Apply")</f>
        <v>Apply</v>
      </c>
      <c r="C3379" s="10" t="s">
        <v>8417</v>
      </c>
      <c r="D3379" s="56" t="s">
        <v>196</v>
      </c>
      <c r="E3379" s="10" t="s">
        <v>71</v>
      </c>
      <c r="F3379" s="10" t="s">
        <v>197</v>
      </c>
      <c r="G3379" s="10" t="s">
        <v>2448</v>
      </c>
      <c r="H3379" s="10" t="s">
        <v>193</v>
      </c>
      <c r="I3379" s="10" t="s">
        <v>55</v>
      </c>
      <c r="K3379" s="10" t="s">
        <v>8418</v>
      </c>
      <c r="L3379" s="10" t="s">
        <v>42</v>
      </c>
    </row>
    <row r="3380" ht="15.75" customHeight="1">
      <c r="A3380" s="64">
        <v>45456.0</v>
      </c>
      <c r="B3380" s="55" t="str">
        <f>HYPERLINK("https://jobright.ai/jobs/info/667428942e2115fb0d03ad86?utm_campaign=1062&amp;utm_source=sheet", "Apply")</f>
        <v>Apply</v>
      </c>
      <c r="C3380" s="10" t="s">
        <v>8419</v>
      </c>
      <c r="D3380" s="56" t="s">
        <v>8420</v>
      </c>
      <c r="E3380" s="10" t="s">
        <v>276</v>
      </c>
      <c r="F3380" s="10" t="s">
        <v>5497</v>
      </c>
      <c r="G3380" s="10" t="s">
        <v>2484</v>
      </c>
      <c r="H3380" s="10" t="s">
        <v>313</v>
      </c>
      <c r="I3380" s="10" t="s">
        <v>55</v>
      </c>
      <c r="J3380" s="10" t="s">
        <v>3544</v>
      </c>
      <c r="K3380" s="10" t="s">
        <v>8421</v>
      </c>
      <c r="L3380" s="10" t="s">
        <v>42</v>
      </c>
    </row>
    <row r="3381" ht="15.75" customHeight="1">
      <c r="A3381" s="64">
        <v>45456.0</v>
      </c>
      <c r="B3381" s="55" t="str">
        <f>HYPERLINK("https://jobright.ai/jobs/info/666b1a1da1f09e1f3bcb7f02?utm_campaign=1062&amp;utm_source=sheet", "Apply")</f>
        <v>Apply</v>
      </c>
      <c r="C3381" s="10" t="s">
        <v>8422</v>
      </c>
      <c r="D3381" s="56" t="s">
        <v>196</v>
      </c>
      <c r="E3381" s="10" t="s">
        <v>71</v>
      </c>
      <c r="F3381" s="10" t="s">
        <v>197</v>
      </c>
      <c r="G3381" s="10" t="s">
        <v>2448</v>
      </c>
      <c r="H3381" s="10" t="s">
        <v>193</v>
      </c>
      <c r="I3381" s="10" t="s">
        <v>55</v>
      </c>
      <c r="K3381" s="10" t="s">
        <v>8423</v>
      </c>
      <c r="L3381" s="10" t="s">
        <v>42</v>
      </c>
    </row>
    <row r="3382" ht="15.75" customHeight="1">
      <c r="A3382" s="64">
        <v>45456.0</v>
      </c>
      <c r="B3382" s="55" t="str">
        <f>HYPERLINK("https://jobright.ai/jobs/info/666aff6002826848dc7fa587?utm_campaign=1062&amp;utm_source=sheet", "Apply")</f>
        <v>Apply</v>
      </c>
      <c r="C3382" s="10" t="s">
        <v>7484</v>
      </c>
      <c r="D3382" s="56" t="s">
        <v>2721</v>
      </c>
      <c r="E3382" s="10" t="s">
        <v>45</v>
      </c>
      <c r="F3382" s="10" t="s">
        <v>2722</v>
      </c>
      <c r="G3382" s="10" t="s">
        <v>2502</v>
      </c>
      <c r="H3382" s="10" t="s">
        <v>313</v>
      </c>
      <c r="I3382" s="10" t="s">
        <v>55</v>
      </c>
      <c r="K3382" s="10" t="s">
        <v>4007</v>
      </c>
      <c r="L3382" s="10" t="s">
        <v>42</v>
      </c>
    </row>
    <row r="3383" ht="15.75" customHeight="1">
      <c r="A3383" s="64">
        <v>45456.0</v>
      </c>
      <c r="B3383" s="55" t="str">
        <f>HYPERLINK("https://jobright.ai/jobs/info/666c2d40e7a9453112c0e744?utm_campaign=1062&amp;utm_source=sheet", "Apply")</f>
        <v>Apply</v>
      </c>
      <c r="C3383" s="10" t="s">
        <v>8424</v>
      </c>
      <c r="D3383" s="56" t="s">
        <v>196</v>
      </c>
      <c r="E3383" s="10" t="s">
        <v>71</v>
      </c>
      <c r="F3383" s="10" t="s">
        <v>197</v>
      </c>
      <c r="G3383" s="10" t="s">
        <v>2579</v>
      </c>
      <c r="H3383" s="10" t="s">
        <v>193</v>
      </c>
      <c r="I3383" s="10" t="s">
        <v>55</v>
      </c>
      <c r="J3383" s="10" t="s">
        <v>1409</v>
      </c>
      <c r="K3383" s="10" t="s">
        <v>8425</v>
      </c>
      <c r="L3383" s="10" t="s">
        <v>42</v>
      </c>
    </row>
    <row r="3384" ht="15.75" customHeight="1">
      <c r="A3384" s="64">
        <v>45456.0</v>
      </c>
      <c r="B3384" s="55" t="str">
        <f>HYPERLINK("https://jobright.ai/jobs/info/666c24e541bd8bbbc79fd378?utm_campaign=1062&amp;utm_source=sheet", "Apply")</f>
        <v>Apply</v>
      </c>
      <c r="C3384" s="10" t="s">
        <v>8426</v>
      </c>
      <c r="D3384" s="56" t="s">
        <v>196</v>
      </c>
      <c r="E3384" s="10" t="s">
        <v>71</v>
      </c>
      <c r="F3384" s="10" t="s">
        <v>197</v>
      </c>
      <c r="G3384" s="10" t="s">
        <v>2502</v>
      </c>
      <c r="H3384" s="10" t="s">
        <v>193</v>
      </c>
      <c r="I3384" s="10" t="s">
        <v>55</v>
      </c>
      <c r="K3384" s="10" t="s">
        <v>8427</v>
      </c>
      <c r="L3384" s="10" t="s">
        <v>42</v>
      </c>
    </row>
    <row r="3385" ht="15.75" customHeight="1">
      <c r="A3385" s="64">
        <v>45456.0</v>
      </c>
      <c r="B3385" s="55" t="str">
        <f>HYPERLINK("https://jobright.ai/jobs/info/666d735ec1167105cf58f023?utm_campaign=1062&amp;utm_source=sheet", "Apply")</f>
        <v>Apply</v>
      </c>
      <c r="C3385" s="10" t="s">
        <v>8428</v>
      </c>
      <c r="D3385" s="56" t="s">
        <v>196</v>
      </c>
      <c r="E3385" s="10" t="s">
        <v>71</v>
      </c>
      <c r="F3385" s="10" t="s">
        <v>197</v>
      </c>
      <c r="G3385" s="10" t="s">
        <v>2448</v>
      </c>
      <c r="H3385" s="10" t="s">
        <v>193</v>
      </c>
      <c r="I3385" s="10" t="s">
        <v>55</v>
      </c>
      <c r="K3385" s="10" t="s">
        <v>8429</v>
      </c>
      <c r="L3385" s="10" t="s">
        <v>42</v>
      </c>
    </row>
    <row r="3386" ht="15.75" customHeight="1">
      <c r="A3386" s="64">
        <v>45456.0</v>
      </c>
      <c r="B3386" s="55" t="str">
        <f>HYPERLINK("https://jobright.ai/jobs/info/666d69c867295be058e1d408?utm_campaign=1062&amp;utm_source=sheet", "Apply")</f>
        <v>Apply</v>
      </c>
      <c r="C3386" s="10" t="s">
        <v>8430</v>
      </c>
      <c r="D3386" s="56" t="s">
        <v>8431</v>
      </c>
      <c r="E3386" s="10" t="s">
        <v>276</v>
      </c>
      <c r="F3386" s="10" t="s">
        <v>568</v>
      </c>
      <c r="G3386" s="10" t="s">
        <v>2437</v>
      </c>
      <c r="H3386" s="10" t="s">
        <v>113</v>
      </c>
      <c r="I3386" s="10" t="s">
        <v>48</v>
      </c>
      <c r="K3386" s="10" t="s">
        <v>8432</v>
      </c>
      <c r="L3386" s="10" t="s">
        <v>42</v>
      </c>
    </row>
    <row r="3387" ht="15.75" customHeight="1">
      <c r="A3387" s="64">
        <v>45456.0</v>
      </c>
      <c r="B3387" s="55" t="str">
        <f>HYPERLINK("https://jobright.ai/jobs/info/6667a391ebba1df9985eff88?utm_campaign=1062&amp;utm_source=sheet", "Apply")</f>
        <v>Apply</v>
      </c>
      <c r="C3387" s="10" t="s">
        <v>8433</v>
      </c>
      <c r="D3387" s="56" t="s">
        <v>2202</v>
      </c>
      <c r="E3387" s="10" t="s">
        <v>249</v>
      </c>
      <c r="F3387" s="10" t="s">
        <v>1234</v>
      </c>
      <c r="G3387" s="10" t="s">
        <v>2448</v>
      </c>
      <c r="H3387" s="10" t="s">
        <v>2203</v>
      </c>
      <c r="I3387" s="10" t="s">
        <v>55</v>
      </c>
      <c r="K3387" s="10" t="s">
        <v>8434</v>
      </c>
      <c r="L3387" s="10" t="s">
        <v>42</v>
      </c>
    </row>
    <row r="3388" ht="15.75" customHeight="1">
      <c r="A3388" s="64">
        <v>45456.0</v>
      </c>
      <c r="B3388" s="55" t="str">
        <f>HYPERLINK("https://jobright.ai/jobs/info/666aa7afbcf384533761f195?utm_campaign=1062&amp;utm_source=sheet", "Apply")</f>
        <v>Apply</v>
      </c>
      <c r="C3388" s="10" t="s">
        <v>8435</v>
      </c>
      <c r="D3388" s="56" t="s">
        <v>1392</v>
      </c>
      <c r="E3388" s="10" t="s">
        <v>249</v>
      </c>
      <c r="F3388" s="10" t="s">
        <v>1393</v>
      </c>
      <c r="G3388" s="10" t="s">
        <v>2437</v>
      </c>
      <c r="H3388" s="10" t="s">
        <v>1394</v>
      </c>
      <c r="I3388" s="10" t="s">
        <v>55</v>
      </c>
      <c r="K3388" s="10" t="s">
        <v>8436</v>
      </c>
      <c r="L3388" s="10" t="s">
        <v>42</v>
      </c>
    </row>
    <row r="3389" ht="15.75" customHeight="1">
      <c r="A3389" s="64">
        <v>45456.0</v>
      </c>
      <c r="B3389" s="55" t="str">
        <f>HYPERLINK("https://jobright.ai/jobs/info/667d41f0018edf2ee85c2045?utm_campaign=1062&amp;utm_source=sheet", "Apply")</f>
        <v>Apply</v>
      </c>
      <c r="C3389" s="10" t="s">
        <v>8437</v>
      </c>
      <c r="D3389" s="56" t="s">
        <v>1397</v>
      </c>
      <c r="E3389" s="10" t="s">
        <v>276</v>
      </c>
      <c r="F3389" s="10" t="s">
        <v>1398</v>
      </c>
      <c r="G3389" s="10" t="s">
        <v>3733</v>
      </c>
      <c r="H3389" s="10" t="s">
        <v>245</v>
      </c>
      <c r="I3389" s="10" t="s">
        <v>55</v>
      </c>
      <c r="K3389" s="10" t="s">
        <v>8438</v>
      </c>
      <c r="L3389" s="10" t="s">
        <v>42</v>
      </c>
    </row>
    <row r="3390" ht="15.75" customHeight="1">
      <c r="A3390" s="64">
        <v>45456.0</v>
      </c>
      <c r="B3390" s="55" t="str">
        <f>HYPERLINK("https://jobright.ai/jobs/info/666c6eb297278d018c8f0665?utm_campaign=1062&amp;utm_source=sheet", "Apply")</f>
        <v>Apply</v>
      </c>
      <c r="C3390" s="10" t="s">
        <v>7408</v>
      </c>
      <c r="D3390" s="56" t="s">
        <v>7387</v>
      </c>
      <c r="E3390" s="10" t="s">
        <v>65</v>
      </c>
      <c r="F3390" s="10" t="s">
        <v>7388</v>
      </c>
      <c r="G3390" s="10" t="s">
        <v>2464</v>
      </c>
      <c r="H3390" s="10" t="s">
        <v>8439</v>
      </c>
      <c r="I3390" s="10" t="s">
        <v>55</v>
      </c>
      <c r="K3390" s="10" t="s">
        <v>7405</v>
      </c>
      <c r="L3390" s="10" t="s">
        <v>42</v>
      </c>
    </row>
    <row r="3391" ht="15.75" customHeight="1">
      <c r="A3391" s="64">
        <v>45456.0</v>
      </c>
      <c r="B3391" s="55" t="str">
        <f>HYPERLINK("https://jobright.ai/jobs/info/666c6eb297278d018c8f0687?utm_campaign=1062&amp;utm_source=sheet", "Apply")</f>
        <v>Apply</v>
      </c>
      <c r="C3391" s="10" t="s">
        <v>7407</v>
      </c>
      <c r="D3391" s="56" t="s">
        <v>7387</v>
      </c>
      <c r="E3391" s="10" t="s">
        <v>65</v>
      </c>
      <c r="F3391" s="10" t="s">
        <v>7388</v>
      </c>
      <c r="G3391" s="10" t="s">
        <v>2464</v>
      </c>
      <c r="H3391" s="10" t="s">
        <v>8440</v>
      </c>
      <c r="I3391" s="10" t="s">
        <v>55</v>
      </c>
      <c r="K3391" s="10" t="s">
        <v>7405</v>
      </c>
      <c r="L3391" s="10" t="s">
        <v>42</v>
      </c>
    </row>
    <row r="3392" ht="15.75" customHeight="1">
      <c r="A3392" s="64">
        <v>45455.0</v>
      </c>
      <c r="B3392" s="55" t="str">
        <f>HYPERLINK("https://jobright.ai/jobs/info/666a480496cd26642f3ce1bc?utm_campaign=1062&amp;utm_source=sheet", "Apply")</f>
        <v>Apply</v>
      </c>
      <c r="C3392" s="10" t="s">
        <v>8419</v>
      </c>
      <c r="D3392" s="56" t="s">
        <v>8420</v>
      </c>
      <c r="E3392" s="10" t="s">
        <v>276</v>
      </c>
      <c r="F3392" s="10" t="s">
        <v>5497</v>
      </c>
      <c r="G3392" s="10" t="s">
        <v>2484</v>
      </c>
      <c r="H3392" s="10" t="s">
        <v>8441</v>
      </c>
      <c r="I3392" s="10" t="s">
        <v>55</v>
      </c>
      <c r="J3392" s="10" t="s">
        <v>3544</v>
      </c>
      <c r="K3392" s="10" t="s">
        <v>8421</v>
      </c>
      <c r="L3392" s="10" t="s">
        <v>42</v>
      </c>
    </row>
    <row r="3393" ht="15.75" customHeight="1">
      <c r="A3393" s="64">
        <v>45455.0</v>
      </c>
      <c r="B3393" s="55" t="str">
        <f>HYPERLINK("https://jobright.ai/jobs/info/666a3f8ee10e68e168ef2f52?utm_campaign=1062&amp;utm_source=sheet", "Apply")</f>
        <v>Apply</v>
      </c>
      <c r="C3393" s="10" t="s">
        <v>8442</v>
      </c>
      <c r="D3393" s="56" t="s">
        <v>196</v>
      </c>
      <c r="E3393" s="10" t="s">
        <v>71</v>
      </c>
      <c r="F3393" s="10" t="s">
        <v>197</v>
      </c>
      <c r="G3393" s="10" t="s">
        <v>2579</v>
      </c>
      <c r="H3393" s="10" t="s">
        <v>193</v>
      </c>
      <c r="I3393" s="10" t="s">
        <v>55</v>
      </c>
      <c r="K3393" s="10" t="s">
        <v>8443</v>
      </c>
      <c r="L3393" s="10" t="s">
        <v>42</v>
      </c>
    </row>
    <row r="3394" ht="15.75" customHeight="1">
      <c r="A3394" s="64">
        <v>45455.0</v>
      </c>
      <c r="B3394" s="55" t="str">
        <f>HYPERLINK("https://jobright.ai/jobs/info/666a0de2c1380fdcaca3f59f?utm_campaign=1062&amp;utm_source=sheet", "Apply")</f>
        <v>Apply</v>
      </c>
      <c r="C3394" s="10" t="s">
        <v>8444</v>
      </c>
      <c r="D3394" s="56" t="s">
        <v>8445</v>
      </c>
      <c r="E3394" s="10" t="s">
        <v>71</v>
      </c>
      <c r="F3394" s="10" t="s">
        <v>1733</v>
      </c>
      <c r="G3394" s="10" t="s">
        <v>2502</v>
      </c>
      <c r="H3394" s="10" t="s">
        <v>251</v>
      </c>
      <c r="I3394" s="10" t="s">
        <v>252</v>
      </c>
      <c r="K3394" s="10" t="s">
        <v>8446</v>
      </c>
      <c r="L3394" s="10" t="s">
        <v>42</v>
      </c>
    </row>
    <row r="3395" ht="15.75" customHeight="1">
      <c r="A3395" s="64">
        <v>45455.0</v>
      </c>
      <c r="B3395" s="55" t="str">
        <f>HYPERLINK("https://jobright.ai/jobs/info/6657d1f9e5ee7e7a7e092ec9?utm_campaign=1062&amp;utm_source=sheet", "Apply")</f>
        <v>Apply</v>
      </c>
      <c r="C3395" s="10" t="s">
        <v>8377</v>
      </c>
      <c r="D3395" s="56" t="s">
        <v>2202</v>
      </c>
      <c r="E3395" s="10" t="s">
        <v>249</v>
      </c>
      <c r="F3395" s="10" t="s">
        <v>1234</v>
      </c>
      <c r="G3395" s="10" t="s">
        <v>2443</v>
      </c>
      <c r="H3395" s="10" t="s">
        <v>2203</v>
      </c>
      <c r="I3395" s="10" t="s">
        <v>55</v>
      </c>
      <c r="K3395" s="10" t="s">
        <v>8447</v>
      </c>
      <c r="L3395" s="10" t="s">
        <v>42</v>
      </c>
    </row>
    <row r="3396" ht="15.75" customHeight="1">
      <c r="A3396" s="64">
        <v>45455.0</v>
      </c>
      <c r="B3396" s="55" t="str">
        <f>HYPERLINK("https://jobright.ai/jobs/info/6669f93e206eeca2b342a751?utm_campaign=1062&amp;utm_source=sheet", "Apply")</f>
        <v>Apply</v>
      </c>
      <c r="C3396" s="10" t="s">
        <v>8433</v>
      </c>
      <c r="D3396" s="56" t="s">
        <v>2202</v>
      </c>
      <c r="E3396" s="10" t="s">
        <v>249</v>
      </c>
      <c r="F3396" s="10" t="s">
        <v>1234</v>
      </c>
      <c r="G3396" s="10" t="s">
        <v>2448</v>
      </c>
      <c r="H3396" s="10" t="s">
        <v>2203</v>
      </c>
      <c r="I3396" s="10" t="s">
        <v>55</v>
      </c>
      <c r="K3396" s="10" t="s">
        <v>8434</v>
      </c>
      <c r="L3396" s="10" t="s">
        <v>42</v>
      </c>
    </row>
    <row r="3397" ht="15.75" customHeight="1">
      <c r="A3397" s="64">
        <v>45455.0</v>
      </c>
      <c r="B3397" s="55" t="str">
        <f>HYPERLINK("https://jobright.ai/jobs/info/666ad27c05f14dc72483b928?utm_campaign=1062&amp;utm_source=sheet", "Apply")</f>
        <v>Apply</v>
      </c>
      <c r="C3397" s="10" t="s">
        <v>8448</v>
      </c>
      <c r="D3397" s="56" t="s">
        <v>196</v>
      </c>
      <c r="E3397" s="10" t="s">
        <v>71</v>
      </c>
      <c r="F3397" s="10" t="s">
        <v>197</v>
      </c>
      <c r="G3397" s="10" t="s">
        <v>2443</v>
      </c>
      <c r="H3397" s="10" t="s">
        <v>193</v>
      </c>
      <c r="I3397" s="10" t="s">
        <v>55</v>
      </c>
      <c r="K3397" s="10" t="s">
        <v>8449</v>
      </c>
      <c r="L3397" s="10" t="s">
        <v>42</v>
      </c>
    </row>
    <row r="3398" ht="15.75" customHeight="1">
      <c r="A3398" s="64">
        <v>45455.0</v>
      </c>
      <c r="B3398" s="55" t="str">
        <f>HYPERLINK("https://jobright.ai/jobs/info/6669dda8ac8d4d49e3d524b2?utm_campaign=1062&amp;utm_source=sheet", "Apply")</f>
        <v>Apply</v>
      </c>
      <c r="C3398" s="10" t="s">
        <v>3640</v>
      </c>
      <c r="D3398" s="56" t="s">
        <v>3192</v>
      </c>
      <c r="E3398" s="10" t="s">
        <v>209</v>
      </c>
      <c r="F3398" s="10" t="s">
        <v>1207</v>
      </c>
      <c r="G3398" s="10" t="s">
        <v>2437</v>
      </c>
      <c r="H3398" s="10" t="s">
        <v>106</v>
      </c>
      <c r="I3398" s="10" t="s">
        <v>55</v>
      </c>
      <c r="J3398" s="10" t="s">
        <v>3193</v>
      </c>
      <c r="K3398" s="10" t="s">
        <v>3194</v>
      </c>
      <c r="L3398" s="10" t="s">
        <v>42</v>
      </c>
    </row>
    <row r="3399" ht="15.75" customHeight="1">
      <c r="A3399" s="64">
        <v>45455.0</v>
      </c>
      <c r="B3399" s="55" t="str">
        <f>HYPERLINK("https://jobright.ai/jobs/info/6672d3e5c48414916dc8fdc4?utm_campaign=1062&amp;utm_source=sheet", "Apply")</f>
        <v>Apply</v>
      </c>
      <c r="C3399" s="10" t="s">
        <v>8450</v>
      </c>
      <c r="D3399" s="56" t="s">
        <v>8451</v>
      </c>
      <c r="E3399" s="10" t="s">
        <v>79</v>
      </c>
      <c r="F3399" s="10" t="s">
        <v>8452</v>
      </c>
      <c r="G3399" s="10" t="s">
        <v>2484</v>
      </c>
      <c r="H3399" s="10" t="s">
        <v>5245</v>
      </c>
      <c r="I3399" s="10" t="s">
        <v>55</v>
      </c>
      <c r="J3399" s="10" t="s">
        <v>8453</v>
      </c>
      <c r="K3399" s="10" t="s">
        <v>8454</v>
      </c>
      <c r="L3399" s="10" t="s">
        <v>42</v>
      </c>
    </row>
    <row r="3400" ht="15.75" customHeight="1">
      <c r="A3400" s="64">
        <v>45455.0</v>
      </c>
      <c r="B3400" s="55" t="str">
        <f>HYPERLINK("https://jobright.ai/jobs/info/6672f89d1e5579f2c8369bc0?utm_campaign=1062&amp;utm_source=sheet", "Apply")</f>
        <v>Apply</v>
      </c>
      <c r="C3400" s="10" t="s">
        <v>8455</v>
      </c>
      <c r="D3400" s="56" t="s">
        <v>7283</v>
      </c>
      <c r="E3400" s="10" t="s">
        <v>65</v>
      </c>
      <c r="F3400" s="10" t="s">
        <v>2758</v>
      </c>
      <c r="G3400" s="10" t="s">
        <v>2443</v>
      </c>
      <c r="H3400" s="10" t="s">
        <v>898</v>
      </c>
      <c r="I3400" s="10" t="s">
        <v>55</v>
      </c>
      <c r="J3400" s="10" t="s">
        <v>8456</v>
      </c>
      <c r="K3400" s="10" t="s">
        <v>8457</v>
      </c>
      <c r="L3400" s="10" t="s">
        <v>42</v>
      </c>
    </row>
    <row r="3401" ht="15.75" customHeight="1">
      <c r="A3401" s="64">
        <v>45455.0</v>
      </c>
      <c r="B3401" s="55" t="str">
        <f>HYPERLINK("https://jobright.ai/jobs/info/66316e25d9e87a4e62d5e4a1?utm_campaign=1062&amp;utm_source=sheet", "Apply")</f>
        <v>Apply</v>
      </c>
      <c r="C3401" s="10" t="s">
        <v>8458</v>
      </c>
      <c r="D3401" s="56" t="s">
        <v>8459</v>
      </c>
      <c r="E3401" s="10" t="s">
        <v>249</v>
      </c>
      <c r="F3401" s="10" t="s">
        <v>8460</v>
      </c>
      <c r="G3401" s="10" t="s">
        <v>2443</v>
      </c>
      <c r="H3401" s="10" t="s">
        <v>251</v>
      </c>
      <c r="I3401" s="10" t="s">
        <v>252</v>
      </c>
      <c r="K3401" s="10" t="s">
        <v>8461</v>
      </c>
      <c r="L3401" s="10" t="s">
        <v>42</v>
      </c>
    </row>
    <row r="3402" ht="15.75" customHeight="1">
      <c r="A3402" s="64">
        <v>45455.0</v>
      </c>
      <c r="B3402" s="55" t="str">
        <f>HYPERLINK("https://jobright.ai/jobs/info/667244e4bd2830cd1a1013e0?utm_campaign=1062&amp;utm_source=sheet", "Apply")</f>
        <v>Apply</v>
      </c>
      <c r="C3402" s="10" t="s">
        <v>8462</v>
      </c>
      <c r="D3402" s="56" t="s">
        <v>1898</v>
      </c>
      <c r="E3402" s="10">
        <v>24.0</v>
      </c>
      <c r="G3402" s="10" t="s">
        <v>2579</v>
      </c>
      <c r="H3402" s="10" t="s">
        <v>1017</v>
      </c>
      <c r="I3402" s="10" t="s">
        <v>55</v>
      </c>
      <c r="K3402" s="10" t="s">
        <v>8463</v>
      </c>
      <c r="L3402" s="10" t="s">
        <v>42</v>
      </c>
    </row>
    <row r="3403" ht="15.75" customHeight="1">
      <c r="A3403" s="64">
        <v>45455.0</v>
      </c>
      <c r="B3403" s="55" t="str">
        <f>HYPERLINK("https://jobright.ai/jobs/info/666a1cd27c30000dc278e3a8?utm_campaign=1062&amp;utm_source=sheet", "Apply")</f>
        <v>Apply</v>
      </c>
      <c r="C3403" s="10" t="s">
        <v>8464</v>
      </c>
      <c r="D3403" s="56" t="s">
        <v>8465</v>
      </c>
      <c r="E3403" s="10" t="s">
        <v>79</v>
      </c>
      <c r="F3403" s="10" t="s">
        <v>4095</v>
      </c>
      <c r="G3403" s="10" t="s">
        <v>2448</v>
      </c>
      <c r="H3403" s="10" t="s">
        <v>8466</v>
      </c>
      <c r="I3403" s="10" t="s">
        <v>55</v>
      </c>
      <c r="K3403" s="10" t="s">
        <v>8467</v>
      </c>
      <c r="L3403" s="10" t="s">
        <v>42</v>
      </c>
    </row>
    <row r="3404" ht="15.75" customHeight="1">
      <c r="A3404" s="64">
        <v>45455.0</v>
      </c>
      <c r="B3404" s="55" t="str">
        <f>HYPERLINK("https://jobright.ai/jobs/info/667ccf08fa9e91319de96b75?utm_campaign=1062&amp;utm_source=sheet", "Apply")</f>
        <v>Apply</v>
      </c>
      <c r="C3404" s="10" t="s">
        <v>8468</v>
      </c>
      <c r="D3404" s="56" t="s">
        <v>8469</v>
      </c>
      <c r="E3404" s="10" t="s">
        <v>79</v>
      </c>
      <c r="F3404" s="10" t="s">
        <v>8470</v>
      </c>
      <c r="G3404" s="10" t="s">
        <v>2484</v>
      </c>
      <c r="H3404" s="10" t="s">
        <v>8235</v>
      </c>
      <c r="I3404" s="10" t="s">
        <v>55</v>
      </c>
      <c r="J3404" s="10" t="s">
        <v>540</v>
      </c>
      <c r="K3404" s="10" t="s">
        <v>8471</v>
      </c>
      <c r="L3404" s="10" t="s">
        <v>42</v>
      </c>
    </row>
    <row r="3405" ht="15.75" customHeight="1">
      <c r="A3405" s="64">
        <v>45455.0</v>
      </c>
      <c r="B3405" s="55" t="str">
        <f>HYPERLINK("https://jobright.ai/jobs/info/66727e738ce3decedf2542fe?utm_campaign=1062&amp;utm_source=sheet", "Apply")</f>
        <v>Apply</v>
      </c>
      <c r="C3405" s="10" t="s">
        <v>8472</v>
      </c>
      <c r="D3405" s="56" t="s">
        <v>8473</v>
      </c>
      <c r="E3405" s="10" t="s">
        <v>276</v>
      </c>
      <c r="F3405" s="10" t="s">
        <v>3205</v>
      </c>
      <c r="G3405" s="10" t="s">
        <v>2464</v>
      </c>
      <c r="H3405" s="10" t="s">
        <v>8474</v>
      </c>
      <c r="I3405" s="10" t="s">
        <v>55</v>
      </c>
      <c r="J3405" s="10" t="s">
        <v>3132</v>
      </c>
      <c r="K3405" s="10" t="s">
        <v>8475</v>
      </c>
      <c r="L3405" s="10" t="s">
        <v>42</v>
      </c>
    </row>
    <row r="3406" ht="15.75" customHeight="1">
      <c r="A3406" s="64">
        <v>45454.0</v>
      </c>
      <c r="B3406" s="55" t="str">
        <f>HYPERLINK("https://jobright.ai/jobs/info/6668c7f577460a6c8f89aa43?utm_campaign=1062&amp;utm_source=sheet", "Apply")</f>
        <v>Apply</v>
      </c>
      <c r="C3406" s="10" t="s">
        <v>8476</v>
      </c>
      <c r="D3406" s="56" t="s">
        <v>1547</v>
      </c>
      <c r="E3406" s="10">
        <v>408.0</v>
      </c>
      <c r="G3406" s="10" t="s">
        <v>2443</v>
      </c>
      <c r="H3406" s="10" t="s">
        <v>153</v>
      </c>
      <c r="I3406" s="10" t="s">
        <v>55</v>
      </c>
      <c r="K3406" s="10" t="s">
        <v>8477</v>
      </c>
      <c r="L3406" s="10" t="s">
        <v>42</v>
      </c>
    </row>
    <row r="3407" ht="15.75" customHeight="1">
      <c r="A3407" s="64">
        <v>45454.0</v>
      </c>
      <c r="B3407" s="55" t="str">
        <f>HYPERLINK("https://jobright.ai/jobs/info/6683ffb929646ce4f98c58e3?utm_campaign=1062&amp;utm_source=sheet", "Apply")</f>
        <v>Apply</v>
      </c>
      <c r="C3407" s="10" t="s">
        <v>7957</v>
      </c>
      <c r="D3407" s="56" t="s">
        <v>567</v>
      </c>
      <c r="E3407" s="10" t="s">
        <v>65</v>
      </c>
      <c r="F3407" s="10" t="s">
        <v>568</v>
      </c>
      <c r="G3407" s="10" t="s">
        <v>2464</v>
      </c>
      <c r="H3407" s="10" t="s">
        <v>2183</v>
      </c>
      <c r="I3407" s="10" t="s">
        <v>55</v>
      </c>
      <c r="K3407" s="10" t="s">
        <v>3024</v>
      </c>
      <c r="L3407" s="10" t="s">
        <v>42</v>
      </c>
    </row>
    <row r="3408" ht="15.75" customHeight="1">
      <c r="A3408" s="64">
        <v>45454.0</v>
      </c>
      <c r="B3408" s="55" t="str">
        <f>HYPERLINK("https://jobright.ai/jobs/info/667ab8f51217fcb1c5a1b5c3?utm_campaign=1062&amp;utm_source=sheet", "Apply")</f>
        <v>Apply</v>
      </c>
      <c r="C3408" s="10" t="s">
        <v>3046</v>
      </c>
      <c r="D3408" s="56" t="s">
        <v>8478</v>
      </c>
      <c r="E3408" s="10" t="s">
        <v>276</v>
      </c>
      <c r="F3408" s="10" t="s">
        <v>10</v>
      </c>
      <c r="G3408" s="10" t="s">
        <v>2437</v>
      </c>
      <c r="H3408" s="10" t="s">
        <v>4001</v>
      </c>
      <c r="I3408" s="10" t="s">
        <v>55</v>
      </c>
      <c r="K3408" s="10" t="s">
        <v>8479</v>
      </c>
      <c r="L3408" s="10" t="s">
        <v>42</v>
      </c>
    </row>
    <row r="3409" ht="15.75" customHeight="1">
      <c r="A3409" s="64">
        <v>45454.0</v>
      </c>
      <c r="B3409" s="55" t="str">
        <f>HYPERLINK("https://jobright.ai/jobs/info/667aab0da579680bce919365?utm_campaign=1062&amp;utm_source=sheet", "Apply")</f>
        <v>Apply</v>
      </c>
      <c r="C3409" s="10" t="s">
        <v>3046</v>
      </c>
      <c r="D3409" s="56" t="s">
        <v>8478</v>
      </c>
      <c r="E3409" s="10" t="s">
        <v>276</v>
      </c>
      <c r="F3409" s="10" t="s">
        <v>10</v>
      </c>
      <c r="G3409" s="10" t="s">
        <v>2437</v>
      </c>
      <c r="H3409" s="10" t="s">
        <v>8480</v>
      </c>
      <c r="I3409" s="10" t="s">
        <v>55</v>
      </c>
      <c r="K3409" s="10" t="s">
        <v>8479</v>
      </c>
      <c r="L3409" s="10" t="s">
        <v>42</v>
      </c>
    </row>
    <row r="3410" ht="15.75" customHeight="1">
      <c r="A3410" s="64">
        <v>45454.0</v>
      </c>
      <c r="B3410" s="55" t="str">
        <f>HYPERLINK("https://jobright.ai/jobs/info/666a9b24594aa5bb2e40af0f?utm_campaign=1062&amp;utm_source=sheet", "Apply")</f>
        <v>Apply</v>
      </c>
      <c r="C3410" s="10" t="s">
        <v>301</v>
      </c>
      <c r="D3410" s="56" t="s">
        <v>8481</v>
      </c>
      <c r="E3410" s="10" t="s">
        <v>71</v>
      </c>
      <c r="F3410" s="10" t="s">
        <v>4022</v>
      </c>
      <c r="G3410" s="10" t="s">
        <v>2484</v>
      </c>
      <c r="H3410" s="10" t="s">
        <v>8482</v>
      </c>
      <c r="I3410" s="10" t="s">
        <v>55</v>
      </c>
      <c r="K3410" s="10" t="s">
        <v>8483</v>
      </c>
      <c r="L3410" s="10" t="s">
        <v>42</v>
      </c>
    </row>
    <row r="3411" ht="15.75" customHeight="1">
      <c r="A3411" s="64">
        <v>45454.0</v>
      </c>
      <c r="B3411" s="55" t="str">
        <f>HYPERLINK("https://jobright.ai/jobs/info/6668068dd19f25c2c7cd07f5?utm_campaign=1062&amp;utm_source=sheet", "Apply")</f>
        <v>Apply</v>
      </c>
      <c r="C3411" s="10" t="s">
        <v>8484</v>
      </c>
      <c r="D3411" s="56" t="s">
        <v>2721</v>
      </c>
      <c r="E3411" s="10" t="s">
        <v>45</v>
      </c>
      <c r="F3411" s="10" t="s">
        <v>2722</v>
      </c>
      <c r="G3411" s="10" t="s">
        <v>2502</v>
      </c>
      <c r="H3411" s="10" t="s">
        <v>313</v>
      </c>
      <c r="I3411" s="10" t="s">
        <v>55</v>
      </c>
      <c r="K3411" s="10" t="s">
        <v>3728</v>
      </c>
      <c r="L3411" s="10" t="s">
        <v>42</v>
      </c>
    </row>
    <row r="3412" ht="15.75" customHeight="1">
      <c r="A3412" s="64">
        <v>45454.0</v>
      </c>
      <c r="B3412" s="55" t="str">
        <f>HYPERLINK("https://jobright.ai/jobs/info/666806d1d19f25c2c7cd0912?utm_campaign=1062&amp;utm_source=sheet", "Apply")</f>
        <v>Apply</v>
      </c>
      <c r="C3412" s="10" t="s">
        <v>8485</v>
      </c>
      <c r="D3412" s="56" t="s">
        <v>8486</v>
      </c>
      <c r="E3412" s="10" t="s">
        <v>249</v>
      </c>
      <c r="F3412" s="10" t="s">
        <v>8487</v>
      </c>
      <c r="G3412" s="10" t="s">
        <v>2495</v>
      </c>
      <c r="H3412" s="10" t="s">
        <v>8488</v>
      </c>
      <c r="I3412" s="10" t="s">
        <v>55</v>
      </c>
      <c r="K3412" s="10" t="s">
        <v>8489</v>
      </c>
      <c r="L3412" s="10" t="s">
        <v>42</v>
      </c>
    </row>
    <row r="3413" ht="15.75" customHeight="1">
      <c r="A3413" s="64">
        <v>45454.0</v>
      </c>
      <c r="B3413" s="55" t="str">
        <f>HYPERLINK("https://jobright.ai/jobs/info/6668e12224bd923bd7800972?utm_campaign=1062&amp;utm_source=sheet", "Apply")</f>
        <v>Apply</v>
      </c>
      <c r="C3413" s="10" t="s">
        <v>8490</v>
      </c>
      <c r="D3413" s="56" t="s">
        <v>2077</v>
      </c>
      <c r="E3413" s="10" t="s">
        <v>45</v>
      </c>
      <c r="F3413" s="10" t="s">
        <v>1234</v>
      </c>
      <c r="G3413" s="10" t="s">
        <v>2448</v>
      </c>
      <c r="H3413" s="10" t="s">
        <v>2078</v>
      </c>
      <c r="I3413" s="10" t="s">
        <v>55</v>
      </c>
      <c r="J3413" s="10" t="s">
        <v>6879</v>
      </c>
      <c r="K3413" s="10" t="s">
        <v>8491</v>
      </c>
      <c r="L3413" s="10" t="s">
        <v>42</v>
      </c>
    </row>
    <row r="3414" ht="15.75" customHeight="1">
      <c r="A3414" s="64">
        <v>45454.0</v>
      </c>
      <c r="B3414" s="55" t="str">
        <f>HYPERLINK("https://jobright.ai/jobs/info/6668b16ab978427ed77c1ab9?utm_campaign=1062&amp;utm_source=sheet", "Apply")</f>
        <v>Apply</v>
      </c>
      <c r="C3414" s="10" t="s">
        <v>3412</v>
      </c>
      <c r="D3414" s="56" t="s">
        <v>3413</v>
      </c>
      <c r="E3414" s="10" t="s">
        <v>45</v>
      </c>
      <c r="F3414" s="10" t="s">
        <v>3414</v>
      </c>
      <c r="G3414" s="10" t="s">
        <v>2448</v>
      </c>
      <c r="H3414" s="10" t="s">
        <v>8492</v>
      </c>
      <c r="I3414" s="10" t="s">
        <v>55</v>
      </c>
      <c r="K3414" s="10" t="s">
        <v>8493</v>
      </c>
      <c r="L3414" s="10" t="s">
        <v>42</v>
      </c>
    </row>
    <row r="3415" ht="15.75" customHeight="1">
      <c r="A3415" s="64">
        <v>45454.0</v>
      </c>
      <c r="B3415" s="55" t="str">
        <f>HYPERLINK("https://jobright.ai/jobs/info/66728fc559024765d363cd4e?utm_campaign=1062&amp;utm_source=sheet", "Apply")</f>
        <v>Apply</v>
      </c>
      <c r="C3415" s="10" t="s">
        <v>8339</v>
      </c>
      <c r="D3415" s="56" t="s">
        <v>8324</v>
      </c>
      <c r="E3415" s="10" t="s">
        <v>65</v>
      </c>
      <c r="F3415" s="10" t="s">
        <v>8325</v>
      </c>
      <c r="G3415" s="10" t="s">
        <v>2448</v>
      </c>
      <c r="H3415" s="10" t="s">
        <v>8340</v>
      </c>
      <c r="I3415" s="10" t="s">
        <v>55</v>
      </c>
      <c r="J3415" s="10" t="s">
        <v>8327</v>
      </c>
      <c r="K3415" s="10" t="s">
        <v>8341</v>
      </c>
      <c r="L3415" s="10" t="s">
        <v>42</v>
      </c>
    </row>
    <row r="3416" ht="15.75" customHeight="1">
      <c r="A3416" s="64">
        <v>45454.0</v>
      </c>
      <c r="B3416" s="55" t="str">
        <f>HYPERLINK("https://jobright.ai/jobs/info/66728fb259024765d363cc6c?utm_campaign=1062&amp;utm_source=sheet", "Apply")</f>
        <v>Apply</v>
      </c>
      <c r="C3416" s="10" t="s">
        <v>8323</v>
      </c>
      <c r="D3416" s="56" t="s">
        <v>8324</v>
      </c>
      <c r="E3416" s="10" t="s">
        <v>65</v>
      </c>
      <c r="F3416" s="10" t="s">
        <v>8325</v>
      </c>
      <c r="G3416" s="10" t="s">
        <v>2448</v>
      </c>
      <c r="H3416" s="10" t="s">
        <v>8337</v>
      </c>
      <c r="I3416" s="10" t="s">
        <v>55</v>
      </c>
      <c r="J3416" s="10" t="s">
        <v>8327</v>
      </c>
      <c r="K3416" s="10" t="s">
        <v>8338</v>
      </c>
      <c r="L3416" s="10" t="s">
        <v>42</v>
      </c>
    </row>
    <row r="3417" ht="15.75" customHeight="1">
      <c r="A3417" s="64">
        <v>45454.0</v>
      </c>
      <c r="B3417" s="55" t="str">
        <f>HYPERLINK("https://jobright.ai/jobs/info/6667b9b56464cd3831ebafa7?utm_campaign=1062&amp;utm_source=sheet", "Apply")</f>
        <v>Apply</v>
      </c>
      <c r="C3417" s="10" t="s">
        <v>8494</v>
      </c>
      <c r="D3417" s="56" t="s">
        <v>8495</v>
      </c>
      <c r="E3417" s="10" t="s">
        <v>79</v>
      </c>
      <c r="F3417" s="10" t="s">
        <v>8496</v>
      </c>
      <c r="G3417" s="10" t="s">
        <v>2448</v>
      </c>
      <c r="H3417" s="10" t="s">
        <v>8497</v>
      </c>
      <c r="I3417" s="10" t="s">
        <v>55</v>
      </c>
      <c r="J3417" s="10" t="s">
        <v>4386</v>
      </c>
      <c r="K3417" s="10" t="s">
        <v>8498</v>
      </c>
      <c r="L3417" s="10" t="s">
        <v>42</v>
      </c>
    </row>
    <row r="3418" ht="15.75" customHeight="1">
      <c r="A3418" s="64">
        <v>45454.0</v>
      </c>
      <c r="B3418" s="55" t="str">
        <f>HYPERLINK("https://jobright.ai/jobs/info/6672834f8781854cc12eecc7?utm_campaign=1062&amp;utm_source=sheet", "Apply")</f>
        <v>Apply</v>
      </c>
      <c r="C3418" s="10" t="s">
        <v>8348</v>
      </c>
      <c r="D3418" s="56" t="s">
        <v>5889</v>
      </c>
      <c r="E3418" s="10" t="s">
        <v>249</v>
      </c>
      <c r="F3418" s="10" t="s">
        <v>4692</v>
      </c>
      <c r="G3418" s="10" t="s">
        <v>2448</v>
      </c>
      <c r="H3418" s="10" t="s">
        <v>8347</v>
      </c>
      <c r="I3418" s="10" t="s">
        <v>48</v>
      </c>
      <c r="K3418" s="10" t="s">
        <v>8349</v>
      </c>
      <c r="L3418" s="10" t="s">
        <v>42</v>
      </c>
    </row>
    <row r="3419" ht="15.75" customHeight="1">
      <c r="A3419" s="64">
        <v>45454.0</v>
      </c>
      <c r="B3419" s="55" t="str">
        <f>HYPERLINK("https://jobright.ai/jobs/info/6672833c8781854cc12eeb87?utm_campaign=1062&amp;utm_source=sheet", "Apply")</f>
        <v>Apply</v>
      </c>
      <c r="C3419" s="10" t="s">
        <v>3349</v>
      </c>
      <c r="D3419" s="56" t="s">
        <v>5889</v>
      </c>
      <c r="E3419" s="10" t="s">
        <v>249</v>
      </c>
      <c r="F3419" s="10" t="s">
        <v>4692</v>
      </c>
      <c r="G3419" s="10" t="s">
        <v>2484</v>
      </c>
      <c r="H3419" s="10" t="s">
        <v>8347</v>
      </c>
      <c r="I3419" s="10" t="s">
        <v>48</v>
      </c>
      <c r="K3419" s="10" t="s">
        <v>5890</v>
      </c>
      <c r="L3419" s="10" t="s">
        <v>42</v>
      </c>
    </row>
    <row r="3420" ht="15.75" customHeight="1">
      <c r="A3420" s="64">
        <v>45453.0</v>
      </c>
      <c r="B3420" s="55" t="str">
        <f>HYPERLINK("https://jobright.ai/jobs/info/666782e221899edf722124a7?utm_campaign=1062&amp;utm_source=sheet", "Apply")</f>
        <v>Apply</v>
      </c>
      <c r="C3420" s="10" t="s">
        <v>8499</v>
      </c>
      <c r="D3420" s="56" t="s">
        <v>8500</v>
      </c>
      <c r="E3420" s="10" t="s">
        <v>137</v>
      </c>
      <c r="F3420" s="10" t="s">
        <v>665</v>
      </c>
      <c r="G3420" s="10" t="s">
        <v>2448</v>
      </c>
      <c r="H3420" s="10" t="s">
        <v>1994</v>
      </c>
      <c r="I3420" s="10" t="s">
        <v>252</v>
      </c>
      <c r="J3420" s="10" t="s">
        <v>8501</v>
      </c>
      <c r="K3420" s="10" t="s">
        <v>8502</v>
      </c>
      <c r="L3420" s="10" t="s">
        <v>42</v>
      </c>
    </row>
    <row r="3421" ht="15.75" customHeight="1">
      <c r="A3421" s="64">
        <v>45453.0</v>
      </c>
      <c r="B3421" s="55" t="str">
        <f>HYPERLINK("https://jobright.ai/jobs/info/666770a926ea6d4e97668413?utm_campaign=1062&amp;utm_source=sheet", "Apply")</f>
        <v>Apply</v>
      </c>
      <c r="C3421" s="10" t="s">
        <v>8503</v>
      </c>
      <c r="D3421" s="56" t="s">
        <v>8504</v>
      </c>
      <c r="E3421" s="10">
        <v>29.0</v>
      </c>
      <c r="G3421" s="10" t="s">
        <v>2437</v>
      </c>
      <c r="H3421" s="10" t="s">
        <v>361</v>
      </c>
      <c r="I3421" s="10" t="s">
        <v>55</v>
      </c>
      <c r="K3421" s="10" t="s">
        <v>8505</v>
      </c>
      <c r="L3421" s="10" t="s">
        <v>42</v>
      </c>
    </row>
    <row r="3422" ht="15.75" customHeight="1">
      <c r="A3422" s="64">
        <v>45453.0</v>
      </c>
      <c r="B3422" s="55" t="str">
        <f>HYPERLINK("https://jobright.ai/jobs/info/66676c77ef40d0eb43eb6de0?utm_campaign=1062&amp;utm_source=sheet", "Apply")</f>
        <v>Apply</v>
      </c>
      <c r="C3422" s="10" t="s">
        <v>8506</v>
      </c>
      <c r="D3422" s="56" t="s">
        <v>1547</v>
      </c>
      <c r="E3422" s="10">
        <v>408.0</v>
      </c>
      <c r="G3422" s="10" t="s">
        <v>2443</v>
      </c>
      <c r="H3422" s="10" t="s">
        <v>914</v>
      </c>
      <c r="I3422" s="10" t="s">
        <v>55</v>
      </c>
      <c r="K3422" s="10" t="s">
        <v>8507</v>
      </c>
      <c r="L3422" s="10" t="s">
        <v>42</v>
      </c>
    </row>
    <row r="3423" ht="15.75" customHeight="1">
      <c r="A3423" s="64">
        <v>45453.0</v>
      </c>
      <c r="B3423" s="55" t="str">
        <f>HYPERLINK("https://jobright.ai/jobs/info/666d69c867295be058e1d41e?utm_campaign=1062&amp;utm_source=sheet", "Apply")</f>
        <v>Apply</v>
      </c>
      <c r="C3423" s="10" t="s">
        <v>8508</v>
      </c>
      <c r="D3423" s="56" t="s">
        <v>8509</v>
      </c>
      <c r="E3423" s="10" t="s">
        <v>45</v>
      </c>
      <c r="F3423" s="10" t="s">
        <v>1459</v>
      </c>
      <c r="G3423" s="10" t="s">
        <v>2448</v>
      </c>
      <c r="H3423" s="10" t="s">
        <v>761</v>
      </c>
      <c r="I3423" s="10" t="s">
        <v>55</v>
      </c>
      <c r="J3423" s="10" t="s">
        <v>2742</v>
      </c>
      <c r="K3423" s="10" t="s">
        <v>8510</v>
      </c>
      <c r="L3423" s="10" t="s">
        <v>42</v>
      </c>
    </row>
    <row r="3424" ht="15.75" customHeight="1">
      <c r="A3424" s="64">
        <v>45453.0</v>
      </c>
      <c r="B3424" s="55" t="str">
        <f>HYPERLINK("https://jobright.ai/jobs/info/66678ab6e09aacdea951cda1?utm_campaign=1062&amp;utm_source=sheet", "Apply")</f>
        <v>Apply</v>
      </c>
      <c r="C3424" s="10" t="s">
        <v>8511</v>
      </c>
      <c r="D3424" s="56" t="s">
        <v>8512</v>
      </c>
      <c r="E3424" s="10" t="s">
        <v>65</v>
      </c>
      <c r="F3424" s="10" t="s">
        <v>8513</v>
      </c>
      <c r="G3424" s="10" t="s">
        <v>2448</v>
      </c>
      <c r="H3424" s="10" t="s">
        <v>2005</v>
      </c>
      <c r="I3424" s="10" t="s">
        <v>55</v>
      </c>
      <c r="K3424" s="10" t="s">
        <v>8514</v>
      </c>
      <c r="L3424" s="10" t="s">
        <v>42</v>
      </c>
    </row>
    <row r="3425" ht="15.75" customHeight="1">
      <c r="A3425" s="64">
        <v>45453.0</v>
      </c>
      <c r="B3425" s="55" t="str">
        <f>HYPERLINK("https://jobright.ai/jobs/info/666790e0561a51ea497fb6df?utm_campaign=1062&amp;utm_source=sheet", "Apply")</f>
        <v>Apply</v>
      </c>
      <c r="C3425" s="10" t="s">
        <v>8515</v>
      </c>
      <c r="D3425" s="56" t="s">
        <v>8516</v>
      </c>
      <c r="E3425" s="10" t="s">
        <v>209</v>
      </c>
      <c r="F3425" s="10" t="s">
        <v>2554</v>
      </c>
      <c r="G3425" s="10" t="s">
        <v>2437</v>
      </c>
      <c r="H3425" s="10" t="s">
        <v>1172</v>
      </c>
      <c r="I3425" s="10" t="s">
        <v>55</v>
      </c>
      <c r="K3425" s="10" t="s">
        <v>8517</v>
      </c>
      <c r="L3425" s="10" t="s">
        <v>42</v>
      </c>
    </row>
    <row r="3426" ht="15.75" customHeight="1">
      <c r="A3426" s="64">
        <v>45453.0</v>
      </c>
      <c r="B3426" s="55" t="str">
        <f>HYPERLINK("https://jobright.ai/jobs/info/6667ce0b0e75e6484ca3f0bf?utm_campaign=1062&amp;utm_source=sheet", "Apply")</f>
        <v>Apply</v>
      </c>
      <c r="C3426" s="10" t="s">
        <v>8518</v>
      </c>
      <c r="D3426" s="56" t="s">
        <v>1453</v>
      </c>
      <c r="E3426" s="10" t="s">
        <v>45</v>
      </c>
      <c r="F3426" s="10" t="s">
        <v>1454</v>
      </c>
      <c r="G3426" s="10" t="s">
        <v>2476</v>
      </c>
      <c r="H3426" s="10" t="s">
        <v>2247</v>
      </c>
      <c r="I3426" s="10" t="s">
        <v>48</v>
      </c>
      <c r="K3426" s="10" t="s">
        <v>8519</v>
      </c>
      <c r="L3426" s="10" t="s">
        <v>42</v>
      </c>
    </row>
    <row r="3427" ht="15.75" customHeight="1">
      <c r="A3427" s="64">
        <v>45453.0</v>
      </c>
      <c r="B3427" s="55" t="str">
        <f>HYPERLINK("https://jobright.ai/jobs/info/6667cd820e75e6484ca3ee8d?utm_campaign=1062&amp;utm_source=sheet", "Apply")</f>
        <v>Apply</v>
      </c>
      <c r="C3427" s="10" t="s">
        <v>8520</v>
      </c>
      <c r="D3427" s="56" t="s">
        <v>8521</v>
      </c>
      <c r="E3427" s="10" t="s">
        <v>65</v>
      </c>
      <c r="F3427" s="10" t="s">
        <v>8522</v>
      </c>
      <c r="G3427" s="10" t="s">
        <v>2579</v>
      </c>
      <c r="H3427" s="10" t="s">
        <v>8523</v>
      </c>
      <c r="I3427" s="10" t="s">
        <v>55</v>
      </c>
      <c r="K3427" s="10" t="s">
        <v>8524</v>
      </c>
      <c r="L3427" s="10" t="s">
        <v>42</v>
      </c>
    </row>
    <row r="3428" ht="15.75" customHeight="1">
      <c r="A3428" s="64">
        <v>45453.0</v>
      </c>
      <c r="B3428" s="55" t="str">
        <f>HYPERLINK("https://jobright.ai/jobs/info/6667ccfa0e75e6484ca3ed0d?utm_campaign=1062&amp;utm_source=sheet", "Apply")</f>
        <v>Apply</v>
      </c>
      <c r="C3428" s="10" t="s">
        <v>8525</v>
      </c>
      <c r="D3428" s="56" t="s">
        <v>2182</v>
      </c>
      <c r="E3428" s="10" t="s">
        <v>45</v>
      </c>
      <c r="F3428" s="10" t="s">
        <v>665</v>
      </c>
      <c r="G3428" s="10" t="s">
        <v>2448</v>
      </c>
      <c r="H3428" s="10" t="s">
        <v>8526</v>
      </c>
      <c r="I3428" s="10" t="s">
        <v>55</v>
      </c>
      <c r="K3428" s="10" t="s">
        <v>2184</v>
      </c>
      <c r="L3428" s="10" t="s">
        <v>42</v>
      </c>
    </row>
    <row r="3429" ht="15.75" customHeight="1">
      <c r="A3429" s="64">
        <v>45453.0</v>
      </c>
      <c r="B3429" s="55" t="str">
        <f>HYPERLINK("https://jobright.ai/jobs/info/6667cc650e75e6484ca3eb73?utm_campaign=1062&amp;utm_source=sheet", "Apply")</f>
        <v>Apply</v>
      </c>
      <c r="C3429" s="10" t="s">
        <v>8527</v>
      </c>
      <c r="D3429" s="56" t="s">
        <v>2182</v>
      </c>
      <c r="E3429" s="10" t="s">
        <v>45</v>
      </c>
      <c r="F3429" s="10" t="s">
        <v>665</v>
      </c>
      <c r="G3429" s="10" t="s">
        <v>2448</v>
      </c>
      <c r="H3429" s="10" t="s">
        <v>8526</v>
      </c>
      <c r="I3429" s="10" t="s">
        <v>55</v>
      </c>
      <c r="K3429" s="10" t="s">
        <v>2184</v>
      </c>
      <c r="L3429" s="10" t="s">
        <v>42</v>
      </c>
    </row>
    <row r="3430" ht="15.75" customHeight="1">
      <c r="A3430" s="64">
        <v>45452.0</v>
      </c>
      <c r="B3430" s="55" t="str">
        <f>HYPERLINK("https://jobright.ai/jobs/info/666c44d6b3b6eb3a161cae4d?utm_campaign=1062&amp;utm_source=sheet", "Apply")</f>
        <v>Apply</v>
      </c>
      <c r="C3430" s="10" t="s">
        <v>8528</v>
      </c>
      <c r="D3430" s="56" t="s">
        <v>8529</v>
      </c>
      <c r="E3430" s="10" t="s">
        <v>65</v>
      </c>
      <c r="F3430" s="10" t="s">
        <v>8530</v>
      </c>
      <c r="G3430" s="10" t="s">
        <v>2484</v>
      </c>
      <c r="H3430" s="10" t="s">
        <v>7531</v>
      </c>
      <c r="I3430" s="10" t="s">
        <v>55</v>
      </c>
      <c r="K3430" s="10" t="s">
        <v>8531</v>
      </c>
      <c r="L3430" s="10" t="s">
        <v>42</v>
      </c>
    </row>
    <row r="3431" ht="15.75" customHeight="1">
      <c r="A3431" s="64">
        <v>45452.0</v>
      </c>
      <c r="B3431" s="55" t="str">
        <f>HYPERLINK("https://jobright.ai/jobs/info/6678034b22d70373ceb6ccff?utm_campaign=1062&amp;utm_source=sheet", "Apply")</f>
        <v>Apply</v>
      </c>
      <c r="C3431" s="10" t="s">
        <v>8532</v>
      </c>
      <c r="D3431" s="56" t="s">
        <v>8533</v>
      </c>
      <c r="E3431" s="10" t="s">
        <v>249</v>
      </c>
      <c r="F3431" s="10" t="s">
        <v>2968</v>
      </c>
      <c r="G3431" s="10" t="s">
        <v>2495</v>
      </c>
      <c r="H3431" s="10" t="s">
        <v>1328</v>
      </c>
      <c r="I3431" s="10" t="s">
        <v>55</v>
      </c>
      <c r="K3431" s="10" t="s">
        <v>8534</v>
      </c>
      <c r="L3431" s="10" t="s">
        <v>42</v>
      </c>
    </row>
    <row r="3432" ht="15.75" customHeight="1">
      <c r="A3432" s="64">
        <v>45451.0</v>
      </c>
      <c r="B3432" s="55" t="str">
        <f>HYPERLINK("https://jobright.ai/jobs/info/6677c81464f2e472ffd63c92?utm_campaign=1062&amp;utm_source=sheet", "Apply")</f>
        <v>Apply</v>
      </c>
      <c r="C3432" s="10" t="s">
        <v>1891</v>
      </c>
      <c r="D3432" s="56" t="s">
        <v>1892</v>
      </c>
      <c r="E3432" s="10" t="s">
        <v>45</v>
      </c>
      <c r="F3432" s="10" t="s">
        <v>1893</v>
      </c>
      <c r="G3432" s="10" t="s">
        <v>2448</v>
      </c>
      <c r="H3432" s="10" t="s">
        <v>96</v>
      </c>
      <c r="I3432" s="10" t="s">
        <v>55</v>
      </c>
      <c r="K3432" s="10" t="s">
        <v>8535</v>
      </c>
      <c r="L3432" s="10" t="s">
        <v>42</v>
      </c>
    </row>
    <row r="3433" ht="15.75" customHeight="1">
      <c r="A3433" s="64">
        <v>45451.0</v>
      </c>
      <c r="B3433" s="55" t="str">
        <f>HYPERLINK("https://jobright.ai/jobs/info/6677cbf974ec1a95a89adac4?utm_campaign=1062&amp;utm_source=sheet", "Apply")</f>
        <v>Apply</v>
      </c>
      <c r="C3433" s="10" t="s">
        <v>8536</v>
      </c>
      <c r="D3433" s="56" t="s">
        <v>8537</v>
      </c>
      <c r="E3433" s="10">
        <v>685.0</v>
      </c>
      <c r="G3433" s="10" t="s">
        <v>2484</v>
      </c>
      <c r="H3433" s="10" t="s">
        <v>8538</v>
      </c>
      <c r="I3433" s="10" t="s">
        <v>55</v>
      </c>
      <c r="K3433" s="10" t="s">
        <v>8539</v>
      </c>
      <c r="L3433" s="10" t="s">
        <v>42</v>
      </c>
    </row>
    <row r="3434" ht="15.75" customHeight="1">
      <c r="A3434" s="64">
        <v>45451.0</v>
      </c>
      <c r="B3434" s="55" t="str">
        <f>HYPERLINK("https://jobright.ai/jobs/info/6677cd7f74ec1a95a89af4a5?utm_campaign=1062&amp;utm_source=sheet", "Apply")</f>
        <v>Apply</v>
      </c>
      <c r="C3434" s="10" t="s">
        <v>8540</v>
      </c>
      <c r="D3434" s="56" t="s">
        <v>8541</v>
      </c>
      <c r="E3434" s="10" t="s">
        <v>276</v>
      </c>
      <c r="F3434" s="10" t="s">
        <v>8542</v>
      </c>
      <c r="G3434" s="10" t="s">
        <v>2470</v>
      </c>
      <c r="H3434" s="10" t="s">
        <v>8543</v>
      </c>
      <c r="I3434" s="10" t="s">
        <v>55</v>
      </c>
      <c r="K3434" s="10" t="s">
        <v>8544</v>
      </c>
      <c r="L3434" s="10" t="s">
        <v>42</v>
      </c>
    </row>
    <row r="3435" ht="15.75" customHeight="1">
      <c r="A3435" s="64">
        <v>45451.0</v>
      </c>
      <c r="B3435" s="55" t="str">
        <f>HYPERLINK("https://jobright.ai/jobs/info/6677cdda74ec1a95a89afae4?utm_campaign=1062&amp;utm_source=sheet", "Apply")</f>
        <v>Apply</v>
      </c>
      <c r="C3435" s="10" t="s">
        <v>8545</v>
      </c>
      <c r="D3435" s="56" t="s">
        <v>8546</v>
      </c>
      <c r="E3435" s="10" t="s">
        <v>79</v>
      </c>
      <c r="F3435" s="10" t="s">
        <v>8547</v>
      </c>
      <c r="G3435" s="10" t="s">
        <v>2464</v>
      </c>
      <c r="H3435" s="10" t="s">
        <v>5895</v>
      </c>
      <c r="I3435" s="10" t="s">
        <v>55</v>
      </c>
      <c r="K3435" s="10" t="s">
        <v>8548</v>
      </c>
      <c r="L3435" s="10" t="s">
        <v>42</v>
      </c>
    </row>
    <row r="3436" ht="15.75" customHeight="1">
      <c r="A3436" s="64">
        <v>45451.0</v>
      </c>
      <c r="B3436" s="55" t="str">
        <f>HYPERLINK("https://jobright.ai/jobs/info/6677cc1074ec1a95a89adc3b?utm_campaign=1062&amp;utm_source=sheet", "Apply")</f>
        <v>Apply</v>
      </c>
      <c r="C3436" s="10" t="s">
        <v>8549</v>
      </c>
      <c r="D3436" s="56" t="s">
        <v>8537</v>
      </c>
      <c r="E3436" s="10">
        <v>685.0</v>
      </c>
      <c r="G3436" s="10" t="s">
        <v>2484</v>
      </c>
      <c r="H3436" s="10" t="s">
        <v>8550</v>
      </c>
      <c r="I3436" s="10" t="s">
        <v>55</v>
      </c>
      <c r="K3436" s="10" t="s">
        <v>8551</v>
      </c>
      <c r="L3436" s="10" t="s">
        <v>42</v>
      </c>
    </row>
    <row r="3437" ht="15.75" customHeight="1">
      <c r="A3437" s="64">
        <v>45451.0</v>
      </c>
      <c r="B3437" s="55" t="str">
        <f>HYPERLINK("https://jobright.ai/jobs/info/6677ce1b74ec1a95a89aff85?utm_campaign=1062&amp;utm_source=sheet", "Apply")</f>
        <v>Apply</v>
      </c>
      <c r="C3437" s="10" t="s">
        <v>8552</v>
      </c>
      <c r="D3437" s="56" t="s">
        <v>8541</v>
      </c>
      <c r="E3437" s="10" t="s">
        <v>276</v>
      </c>
      <c r="F3437" s="10" t="s">
        <v>8542</v>
      </c>
      <c r="G3437" s="10" t="s">
        <v>2484</v>
      </c>
      <c r="H3437" s="10" t="s">
        <v>8543</v>
      </c>
      <c r="I3437" s="10" t="s">
        <v>55</v>
      </c>
      <c r="K3437" s="10" t="s">
        <v>8553</v>
      </c>
      <c r="L3437" s="10" t="s">
        <v>42</v>
      </c>
    </row>
    <row r="3438" ht="15.75" customHeight="1">
      <c r="A3438" s="64">
        <v>45451.0</v>
      </c>
      <c r="B3438" s="55" t="str">
        <f>HYPERLINK("https://jobright.ai/jobs/info/6677d1fd97271e26801e25d8?utm_campaign=1062&amp;utm_source=sheet", "Apply")</f>
        <v>Apply</v>
      </c>
      <c r="C3438" s="10" t="s">
        <v>8554</v>
      </c>
      <c r="D3438" s="56" t="s">
        <v>4761</v>
      </c>
      <c r="E3438" s="10" t="s">
        <v>45</v>
      </c>
      <c r="F3438" s="10" t="s">
        <v>1506</v>
      </c>
      <c r="G3438" s="10" t="s">
        <v>2443</v>
      </c>
      <c r="H3438" s="10" t="s">
        <v>795</v>
      </c>
      <c r="I3438" s="10" t="s">
        <v>55</v>
      </c>
      <c r="J3438" s="10" t="s">
        <v>8555</v>
      </c>
      <c r="K3438" s="10" t="s">
        <v>8556</v>
      </c>
      <c r="L3438" s="10" t="s">
        <v>42</v>
      </c>
    </row>
    <row r="3439" ht="15.75" customHeight="1">
      <c r="A3439" s="64">
        <v>45451.0</v>
      </c>
      <c r="B3439" s="55" t="str">
        <f>HYPERLINK("https://jobright.ai/jobs/info/6680161b000beb33b40a53b3?utm_campaign=1062&amp;utm_source=sheet", "Apply")</f>
        <v>Apply</v>
      </c>
      <c r="C3439" s="10" t="s">
        <v>8557</v>
      </c>
      <c r="D3439" s="56" t="s">
        <v>8558</v>
      </c>
      <c r="E3439" s="10" t="s">
        <v>45</v>
      </c>
      <c r="F3439" s="10" t="s">
        <v>5016</v>
      </c>
      <c r="G3439" s="10" t="s">
        <v>2484</v>
      </c>
      <c r="H3439" s="10" t="s">
        <v>8559</v>
      </c>
      <c r="I3439" s="10" t="s">
        <v>55</v>
      </c>
      <c r="K3439" s="10" t="s">
        <v>8560</v>
      </c>
      <c r="L3439" s="10" t="s">
        <v>42</v>
      </c>
    </row>
    <row r="3440" ht="15.75" customHeight="1">
      <c r="A3440" s="64">
        <v>45451.0</v>
      </c>
      <c r="B3440" s="55" t="str">
        <f>HYPERLINK("https://jobright.ai/jobs/info/6677d18697271e26801e1d7f?utm_campaign=1062&amp;utm_source=sheet", "Apply")</f>
        <v>Apply</v>
      </c>
      <c r="C3440" s="10" t="s">
        <v>8561</v>
      </c>
      <c r="D3440" s="56" t="s">
        <v>8537</v>
      </c>
      <c r="E3440" s="10">
        <v>685.0</v>
      </c>
      <c r="G3440" s="10" t="s">
        <v>2484</v>
      </c>
      <c r="H3440" s="10" t="s">
        <v>8562</v>
      </c>
      <c r="I3440" s="10" t="s">
        <v>55</v>
      </c>
      <c r="K3440" s="10" t="s">
        <v>8563</v>
      </c>
      <c r="L3440" s="10" t="s">
        <v>42</v>
      </c>
    </row>
    <row r="3441" ht="15.75" customHeight="1">
      <c r="A3441" s="64">
        <v>45451.0</v>
      </c>
      <c r="B3441" s="55" t="str">
        <f>HYPERLINK("https://jobright.ai/jobs/info/6677d38a97271e26801e4179?utm_campaign=1062&amp;utm_source=sheet", "Apply")</f>
        <v>Apply</v>
      </c>
      <c r="C3441" s="10" t="s">
        <v>8564</v>
      </c>
      <c r="D3441" s="56" t="s">
        <v>1662</v>
      </c>
      <c r="E3441" s="10" t="s">
        <v>209</v>
      </c>
      <c r="F3441" s="10" t="s">
        <v>1663</v>
      </c>
      <c r="G3441" s="10" t="s">
        <v>2443</v>
      </c>
      <c r="H3441" s="10" t="s">
        <v>167</v>
      </c>
      <c r="I3441" s="10" t="s">
        <v>55</v>
      </c>
      <c r="J3441" s="10" t="s">
        <v>2176</v>
      </c>
      <c r="K3441" s="10" t="s">
        <v>8565</v>
      </c>
      <c r="L3441" s="10" t="s">
        <v>42</v>
      </c>
    </row>
    <row r="3442" ht="15.75" customHeight="1">
      <c r="A3442" s="64">
        <v>45451.0</v>
      </c>
      <c r="B3442" s="55" t="str">
        <f>HYPERLINK("https://jobright.ai/jobs/info/6663d2e354fd78216b7ce931?utm_campaign=1062&amp;utm_source=sheet", "Apply")</f>
        <v>Apply</v>
      </c>
      <c r="C3442" s="10" t="s">
        <v>8566</v>
      </c>
      <c r="D3442" s="56" t="s">
        <v>1547</v>
      </c>
      <c r="E3442" s="10">
        <v>408.0</v>
      </c>
      <c r="G3442" s="10" t="s">
        <v>2448</v>
      </c>
      <c r="H3442" s="10" t="s">
        <v>914</v>
      </c>
      <c r="I3442" s="10" t="s">
        <v>55</v>
      </c>
      <c r="K3442" s="10" t="s">
        <v>8567</v>
      </c>
      <c r="L3442" s="10" t="s">
        <v>42</v>
      </c>
    </row>
    <row r="3443" ht="15.75" customHeight="1">
      <c r="A3443" s="64">
        <v>45450.0</v>
      </c>
      <c r="B3443" s="55" t="str">
        <f>HYPERLINK("https://jobright.ai/jobs/info/6675e1f3e95c1a0a225b94de?utm_campaign=1062&amp;utm_source=sheet", "Apply")</f>
        <v>Apply</v>
      </c>
      <c r="C3443" s="10" t="s">
        <v>6647</v>
      </c>
      <c r="D3443" s="56" t="s">
        <v>6648</v>
      </c>
      <c r="E3443" s="10" t="s">
        <v>45</v>
      </c>
      <c r="F3443" s="10" t="s">
        <v>1454</v>
      </c>
      <c r="G3443" s="10" t="s">
        <v>2448</v>
      </c>
      <c r="H3443" s="10" t="s">
        <v>4813</v>
      </c>
      <c r="I3443" s="10" t="s">
        <v>55</v>
      </c>
      <c r="K3443" s="10" t="s">
        <v>8568</v>
      </c>
      <c r="L3443" s="10" t="s">
        <v>42</v>
      </c>
    </row>
    <row r="3444" ht="15.75" customHeight="1">
      <c r="A3444" s="64">
        <v>45450.0</v>
      </c>
      <c r="B3444" s="55" t="str">
        <f>HYPERLINK("https://jobright.ai/jobs/info/6675e5e5002960a5a8d1aacd?utm_campaign=1062&amp;utm_source=sheet", "Apply")</f>
        <v>Apply</v>
      </c>
      <c r="C3444" s="10" t="s">
        <v>8569</v>
      </c>
      <c r="D3444" s="56" t="s">
        <v>1582</v>
      </c>
      <c r="E3444" s="10" t="s">
        <v>45</v>
      </c>
      <c r="F3444" s="10" t="s">
        <v>665</v>
      </c>
      <c r="G3444" s="10" t="s">
        <v>2443</v>
      </c>
      <c r="H3444" s="10" t="s">
        <v>852</v>
      </c>
      <c r="I3444" s="10" t="s">
        <v>55</v>
      </c>
      <c r="K3444" s="10" t="s">
        <v>8570</v>
      </c>
      <c r="L3444" s="10" t="s">
        <v>42</v>
      </c>
    </row>
    <row r="3445" ht="15.75" customHeight="1">
      <c r="A3445" s="64">
        <v>45450.0</v>
      </c>
      <c r="B3445" s="55" t="str">
        <f>HYPERLINK("https://jobright.ai/jobs/info/6675ea49a266c24fd0a15522?utm_campaign=1062&amp;utm_source=sheet", "Apply")</f>
        <v>Apply</v>
      </c>
      <c r="C3445" s="10" t="s">
        <v>8571</v>
      </c>
      <c r="D3445" s="56" t="s">
        <v>1582</v>
      </c>
      <c r="E3445" s="10" t="s">
        <v>45</v>
      </c>
      <c r="F3445" s="10" t="s">
        <v>665</v>
      </c>
      <c r="G3445" s="10" t="s">
        <v>2448</v>
      </c>
      <c r="H3445" s="10" t="s">
        <v>852</v>
      </c>
      <c r="I3445" s="10" t="s">
        <v>55</v>
      </c>
      <c r="K3445" s="10" t="s">
        <v>8572</v>
      </c>
      <c r="L3445" s="10" t="s">
        <v>42</v>
      </c>
    </row>
    <row r="3446" ht="15.75" customHeight="1">
      <c r="A3446" s="64">
        <v>45450.0</v>
      </c>
      <c r="B3446" s="55" t="str">
        <f>HYPERLINK("https://jobright.ai/jobs/info/6675b9a0044b6b83ef0d31ef?utm_campaign=1062&amp;utm_source=sheet", "Apply")</f>
        <v>Apply</v>
      </c>
      <c r="C3446" s="10" t="s">
        <v>1891</v>
      </c>
      <c r="D3446" s="56" t="s">
        <v>1892</v>
      </c>
      <c r="E3446" s="10" t="s">
        <v>45</v>
      </c>
      <c r="F3446" s="10" t="s">
        <v>1893</v>
      </c>
      <c r="G3446" s="10" t="s">
        <v>2443</v>
      </c>
      <c r="H3446" s="10" t="s">
        <v>96</v>
      </c>
      <c r="I3446" s="10" t="s">
        <v>55</v>
      </c>
      <c r="J3446" s="10" t="s">
        <v>581</v>
      </c>
      <c r="K3446" s="10" t="s">
        <v>8573</v>
      </c>
      <c r="L3446" s="10" t="s">
        <v>42</v>
      </c>
    </row>
    <row r="3447" ht="15.75" customHeight="1">
      <c r="A3447" s="64">
        <v>45450.0</v>
      </c>
      <c r="B3447" s="55" t="str">
        <f>HYPERLINK("https://jobright.ai/jobs/info/6675938bbad9224db7bb746e?utm_campaign=1062&amp;utm_source=sheet", "Apply")</f>
        <v>Apply</v>
      </c>
      <c r="C3447" s="10" t="s">
        <v>8574</v>
      </c>
      <c r="D3447" s="56" t="s">
        <v>8575</v>
      </c>
      <c r="E3447" s="10" t="s">
        <v>276</v>
      </c>
      <c r="F3447" s="10" t="s">
        <v>4702</v>
      </c>
      <c r="G3447" s="10" t="s">
        <v>2502</v>
      </c>
      <c r="H3447" s="10" t="s">
        <v>8576</v>
      </c>
      <c r="I3447" s="10" t="s">
        <v>55</v>
      </c>
      <c r="J3447" s="10" t="s">
        <v>8577</v>
      </c>
      <c r="K3447" s="10" t="s">
        <v>8578</v>
      </c>
      <c r="L3447" s="10" t="s">
        <v>42</v>
      </c>
    </row>
    <row r="3448" ht="15.75" customHeight="1">
      <c r="A3448" s="64">
        <v>45450.0</v>
      </c>
      <c r="B3448" s="55" t="str">
        <f>HYPERLINK("https://jobright.ai/jobs/info/6663786dd004dd77a49dcc91?utm_campaign=1062&amp;utm_source=sheet", "Apply")</f>
        <v>Apply</v>
      </c>
      <c r="C3448" s="10" t="s">
        <v>8579</v>
      </c>
      <c r="D3448" s="56" t="s">
        <v>8580</v>
      </c>
      <c r="E3448" s="10" t="s">
        <v>45</v>
      </c>
      <c r="F3448" s="10" t="s">
        <v>8320</v>
      </c>
      <c r="G3448" s="10" t="s">
        <v>2470</v>
      </c>
      <c r="H3448" s="10" t="s">
        <v>354</v>
      </c>
      <c r="I3448" s="10" t="s">
        <v>55</v>
      </c>
      <c r="J3448" s="10" t="s">
        <v>4649</v>
      </c>
      <c r="K3448" s="10" t="s">
        <v>8581</v>
      </c>
      <c r="L3448" s="10" t="s">
        <v>42</v>
      </c>
    </row>
    <row r="3449" ht="15.75" customHeight="1">
      <c r="A3449" s="64">
        <v>45450.0</v>
      </c>
      <c r="B3449" s="55" t="str">
        <f>HYPERLINK("https://jobright.ai/jobs/info/6675a79a6fb7d4bb72dd7544?utm_campaign=1062&amp;utm_source=sheet", "Apply")</f>
        <v>Apply</v>
      </c>
      <c r="C3449" s="10" t="s">
        <v>8582</v>
      </c>
      <c r="D3449" s="56" t="s">
        <v>1582</v>
      </c>
      <c r="E3449" s="10" t="s">
        <v>45</v>
      </c>
      <c r="F3449" s="10" t="s">
        <v>665</v>
      </c>
      <c r="G3449" s="10" t="s">
        <v>2443</v>
      </c>
      <c r="H3449" s="10" t="s">
        <v>146</v>
      </c>
      <c r="I3449" s="10" t="s">
        <v>55</v>
      </c>
      <c r="K3449" s="10" t="s">
        <v>8583</v>
      </c>
      <c r="L3449" s="10" t="s">
        <v>42</v>
      </c>
    </row>
    <row r="3450" ht="15.75" customHeight="1">
      <c r="A3450" s="64">
        <v>45450.0</v>
      </c>
      <c r="B3450" s="55" t="str">
        <f>HYPERLINK("https://jobright.ai/jobs/info/667ea9bddd632a7962a6c6bb?utm_campaign=1062&amp;utm_source=sheet", "Apply")</f>
        <v>Apply</v>
      </c>
      <c r="C3450" s="10" t="s">
        <v>2913</v>
      </c>
      <c r="D3450" s="56" t="s">
        <v>5546</v>
      </c>
      <c r="E3450" s="10" t="s">
        <v>249</v>
      </c>
      <c r="F3450" s="10" t="s">
        <v>5547</v>
      </c>
      <c r="G3450" s="10" t="s">
        <v>2484</v>
      </c>
      <c r="H3450" s="10" t="s">
        <v>2909</v>
      </c>
      <c r="I3450" s="10" t="s">
        <v>55</v>
      </c>
      <c r="K3450" s="10" t="s">
        <v>2914</v>
      </c>
      <c r="L3450" s="10" t="s">
        <v>42</v>
      </c>
    </row>
    <row r="3451" ht="15.75" customHeight="1">
      <c r="A3451" s="64">
        <v>45450.0</v>
      </c>
      <c r="B3451" s="55" t="str">
        <f>HYPERLINK("https://jobright.ai/jobs/info/6662ea094af664f4cdb8c4c4?utm_campaign=1062&amp;utm_source=sheet", "Apply")</f>
        <v>Apply</v>
      </c>
      <c r="C3451" s="10" t="s">
        <v>8584</v>
      </c>
      <c r="D3451" s="56" t="s">
        <v>8585</v>
      </c>
      <c r="E3451" s="10" t="s">
        <v>45</v>
      </c>
      <c r="G3451" s="10" t="s">
        <v>2448</v>
      </c>
      <c r="H3451" s="10" t="s">
        <v>2203</v>
      </c>
      <c r="I3451" s="10" t="s">
        <v>55</v>
      </c>
      <c r="K3451" s="10" t="s">
        <v>8586</v>
      </c>
      <c r="L3451" s="10" t="s">
        <v>42</v>
      </c>
    </row>
    <row r="3452" ht="15.75" customHeight="1">
      <c r="A3452" s="64">
        <v>45450.0</v>
      </c>
      <c r="B3452" s="55" t="str">
        <f>HYPERLINK("https://jobright.ai/jobs/info/666572bcffe2fce5b9cfb82c?utm_campaign=1062&amp;utm_source=sheet", "Apply")</f>
        <v>Apply</v>
      </c>
      <c r="C3452" s="10" t="s">
        <v>8587</v>
      </c>
      <c r="D3452" s="56" t="s">
        <v>8588</v>
      </c>
      <c r="E3452" s="10" t="s">
        <v>65</v>
      </c>
      <c r="F3452" s="10" t="s">
        <v>8589</v>
      </c>
      <c r="G3452" s="10" t="s">
        <v>2484</v>
      </c>
      <c r="H3452" s="10" t="s">
        <v>1023</v>
      </c>
      <c r="I3452" s="10" t="s">
        <v>55</v>
      </c>
      <c r="K3452" s="10" t="s">
        <v>8590</v>
      </c>
      <c r="L3452" s="10" t="s">
        <v>42</v>
      </c>
    </row>
    <row r="3453" ht="15.75" customHeight="1">
      <c r="A3453" s="64">
        <v>45450.0</v>
      </c>
      <c r="B3453" s="55" t="str">
        <f>HYPERLINK("https://jobright.ai/jobs/info/6662aae55a77dd945167a51c?utm_campaign=1062&amp;utm_source=sheet", "Apply")</f>
        <v>Apply</v>
      </c>
      <c r="C3453" s="10" t="s">
        <v>8056</v>
      </c>
      <c r="D3453" s="56" t="s">
        <v>8057</v>
      </c>
      <c r="E3453" s="10" t="s">
        <v>65</v>
      </c>
      <c r="F3453" s="10" t="s">
        <v>8058</v>
      </c>
      <c r="G3453" s="10" t="s">
        <v>2579</v>
      </c>
      <c r="H3453" s="10" t="s">
        <v>3385</v>
      </c>
      <c r="I3453" s="10" t="s">
        <v>55</v>
      </c>
      <c r="K3453" s="10" t="s">
        <v>8059</v>
      </c>
      <c r="L3453" s="10" t="s">
        <v>42</v>
      </c>
    </row>
    <row r="3454" ht="15.75" customHeight="1">
      <c r="A3454" s="64">
        <v>45450.0</v>
      </c>
      <c r="B3454" s="55" t="str">
        <f>HYPERLINK("https://jobright.ai/jobs/info/66629fec80c546db936f6cac?utm_campaign=1062&amp;utm_source=sheet", "Apply")</f>
        <v>Apply</v>
      </c>
      <c r="C3454" s="10" t="s">
        <v>8591</v>
      </c>
      <c r="D3454" s="56" t="s">
        <v>1123</v>
      </c>
      <c r="E3454" s="10" t="s">
        <v>209</v>
      </c>
      <c r="F3454" s="10" t="s">
        <v>1124</v>
      </c>
      <c r="G3454" s="10" t="s">
        <v>2437</v>
      </c>
      <c r="H3454" s="10" t="s">
        <v>8592</v>
      </c>
      <c r="I3454" s="10" t="s">
        <v>55</v>
      </c>
      <c r="K3454" s="10" t="s">
        <v>8593</v>
      </c>
      <c r="L3454" s="10" t="s">
        <v>42</v>
      </c>
    </row>
    <row r="3455" ht="15.75" customHeight="1">
      <c r="A3455" s="64">
        <v>45450.0</v>
      </c>
      <c r="B3455" s="55" t="str">
        <f>HYPERLINK("https://jobright.ai/jobs/info/66626d3a577fa08f71097ae0?utm_campaign=1062&amp;utm_source=sheet", "Apply")</f>
        <v>Apply</v>
      </c>
      <c r="C3455" s="10" t="s">
        <v>8594</v>
      </c>
      <c r="D3455" s="56" t="s">
        <v>1444</v>
      </c>
      <c r="E3455" s="10" t="s">
        <v>45</v>
      </c>
      <c r="F3455" s="10" t="s">
        <v>1445</v>
      </c>
      <c r="G3455" s="10" t="s">
        <v>2807</v>
      </c>
      <c r="H3455" s="10" t="s">
        <v>7495</v>
      </c>
      <c r="I3455" s="10" t="s">
        <v>55</v>
      </c>
      <c r="K3455" s="10" t="s">
        <v>8595</v>
      </c>
      <c r="L3455" s="10" t="s">
        <v>42</v>
      </c>
    </row>
    <row r="3456" ht="15.75" customHeight="1">
      <c r="A3456" s="64">
        <v>45450.0</v>
      </c>
      <c r="B3456" s="55" t="str">
        <f>HYPERLINK("https://jobright.ai/jobs/info/66628772f8f866346ea77ef5?utm_campaign=1062&amp;utm_source=sheet", "Apply")</f>
        <v>Apply</v>
      </c>
      <c r="C3456" s="10" t="s">
        <v>8552</v>
      </c>
      <c r="D3456" s="56" t="s">
        <v>8541</v>
      </c>
      <c r="E3456" s="10" t="s">
        <v>276</v>
      </c>
      <c r="F3456" s="10" t="s">
        <v>8542</v>
      </c>
      <c r="G3456" s="10" t="s">
        <v>2484</v>
      </c>
      <c r="H3456" s="10" t="s">
        <v>8543</v>
      </c>
      <c r="I3456" s="10" t="s">
        <v>55</v>
      </c>
      <c r="K3456" s="10" t="s">
        <v>8596</v>
      </c>
      <c r="L3456" s="10" t="s">
        <v>42</v>
      </c>
    </row>
    <row r="3457" ht="15.75" customHeight="1">
      <c r="A3457" s="64">
        <v>45450.0</v>
      </c>
      <c r="B3457" s="55" t="str">
        <f>HYPERLINK("https://jobright.ai/jobs/info/6663a6ae1fcd0b606a5b515d?utm_campaign=1062&amp;utm_source=sheet", "Apply")</f>
        <v>Apply</v>
      </c>
      <c r="C3457" s="10" t="s">
        <v>8540</v>
      </c>
      <c r="D3457" s="56" t="s">
        <v>8541</v>
      </c>
      <c r="E3457" s="10" t="s">
        <v>276</v>
      </c>
      <c r="F3457" s="10" t="s">
        <v>8542</v>
      </c>
      <c r="G3457" s="10" t="s">
        <v>2470</v>
      </c>
      <c r="H3457" s="10" t="s">
        <v>8543</v>
      </c>
      <c r="I3457" s="10" t="s">
        <v>55</v>
      </c>
      <c r="K3457" s="10" t="s">
        <v>8544</v>
      </c>
      <c r="L3457" s="10" t="s">
        <v>42</v>
      </c>
    </row>
    <row r="3458" ht="15.75" customHeight="1">
      <c r="A3458" s="64">
        <v>45450.0</v>
      </c>
      <c r="B3458" s="55" t="str">
        <f>HYPERLINK("https://jobright.ai/jobs/info/6667d03a0e75e6484ca3f68a?utm_campaign=1062&amp;utm_source=sheet", "Apply")</f>
        <v>Apply</v>
      </c>
      <c r="C3458" s="10" t="s">
        <v>4391</v>
      </c>
      <c r="D3458" s="56" t="s">
        <v>4392</v>
      </c>
      <c r="E3458" s="10" t="s">
        <v>45</v>
      </c>
      <c r="F3458" s="10" t="s">
        <v>4393</v>
      </c>
      <c r="G3458" s="10" t="s">
        <v>3733</v>
      </c>
      <c r="H3458" s="10" t="s">
        <v>8597</v>
      </c>
      <c r="I3458" s="10" t="s">
        <v>55</v>
      </c>
      <c r="J3458" s="10" t="s">
        <v>8598</v>
      </c>
      <c r="K3458" s="10" t="s">
        <v>4395</v>
      </c>
      <c r="L3458" s="10" t="s">
        <v>42</v>
      </c>
    </row>
    <row r="3459" ht="15.75" customHeight="1">
      <c r="A3459" s="64">
        <v>45450.0</v>
      </c>
      <c r="B3459" s="55" t="str">
        <f>HYPERLINK("https://jobright.ai/jobs/info/6667d1a60e75e6484ca3faca?utm_campaign=1062&amp;utm_source=sheet", "Apply")</f>
        <v>Apply</v>
      </c>
      <c r="C3459" s="10" t="s">
        <v>8599</v>
      </c>
      <c r="D3459" s="56" t="s">
        <v>8600</v>
      </c>
      <c r="E3459" s="10">
        <v>20845.0</v>
      </c>
      <c r="G3459" s="10" t="s">
        <v>2448</v>
      </c>
      <c r="H3459" s="10" t="s">
        <v>8601</v>
      </c>
      <c r="I3459" s="10" t="s">
        <v>55</v>
      </c>
      <c r="K3459" s="10" t="s">
        <v>8602</v>
      </c>
      <c r="L3459" s="10" t="s">
        <v>42</v>
      </c>
    </row>
    <row r="3460" ht="15.75" customHeight="1">
      <c r="A3460" s="64">
        <v>45450.0</v>
      </c>
      <c r="B3460" s="55" t="str">
        <f>HYPERLINK("https://jobright.ai/jobs/info/6667d1a60e75e6484ca3fa58?utm_campaign=1062&amp;utm_source=sheet", "Apply")</f>
        <v>Apply</v>
      </c>
      <c r="C3460" s="10" t="s">
        <v>8603</v>
      </c>
      <c r="D3460" s="56" t="s">
        <v>8600</v>
      </c>
      <c r="E3460" s="10">
        <v>20845.0</v>
      </c>
      <c r="G3460" s="10" t="s">
        <v>2448</v>
      </c>
      <c r="H3460" s="10" t="s">
        <v>8601</v>
      </c>
      <c r="I3460" s="10" t="s">
        <v>55</v>
      </c>
      <c r="K3460" s="10" t="s">
        <v>8604</v>
      </c>
      <c r="L3460" s="10" t="s">
        <v>42</v>
      </c>
    </row>
    <row r="3461" ht="15.75" customHeight="1">
      <c r="A3461" s="64">
        <v>45450.0</v>
      </c>
      <c r="B3461" s="55" t="str">
        <f>HYPERLINK("https://jobright.ai/jobs/info/666b883da3997e294a0335ad?utm_campaign=1062&amp;utm_source=sheet", "Apply")</f>
        <v>Apply</v>
      </c>
      <c r="C3461" s="10" t="s">
        <v>7898</v>
      </c>
      <c r="D3461" s="56" t="s">
        <v>3211</v>
      </c>
      <c r="E3461" s="10" t="s">
        <v>45</v>
      </c>
      <c r="F3461" s="10" t="s">
        <v>3212</v>
      </c>
      <c r="G3461" s="10" t="s">
        <v>2484</v>
      </c>
      <c r="H3461" s="10" t="s">
        <v>8605</v>
      </c>
      <c r="I3461" s="10" t="s">
        <v>55</v>
      </c>
      <c r="K3461" s="10" t="s">
        <v>7899</v>
      </c>
      <c r="L3461" s="10" t="s">
        <v>42</v>
      </c>
    </row>
    <row r="3462" ht="15.75" customHeight="1">
      <c r="A3462" s="64">
        <v>45449.0</v>
      </c>
      <c r="B3462" s="55" t="str">
        <f>HYPERLINK("https://jobright.ai/jobs/info/6662389a41f9366fe5bbc621?utm_campaign=1062&amp;utm_source=sheet", "Apply")</f>
        <v>Apply</v>
      </c>
      <c r="C3462" s="10" t="s">
        <v>8606</v>
      </c>
      <c r="D3462" s="56" t="s">
        <v>3593</v>
      </c>
      <c r="E3462" s="59">
        <v>45301.0</v>
      </c>
      <c r="F3462" s="10" t="s">
        <v>3594</v>
      </c>
      <c r="G3462" s="10" t="s">
        <v>2443</v>
      </c>
      <c r="H3462" s="10" t="s">
        <v>636</v>
      </c>
      <c r="I3462" s="10" t="s">
        <v>55</v>
      </c>
      <c r="K3462" s="10" t="s">
        <v>8607</v>
      </c>
      <c r="L3462" s="10" t="s">
        <v>42</v>
      </c>
    </row>
    <row r="3463" ht="15.75" customHeight="1">
      <c r="A3463" s="64">
        <v>45449.0</v>
      </c>
      <c r="B3463" s="55" t="str">
        <f>HYPERLINK("https://jobright.ai/jobs/info/66748aa3348c2efcd6aa4837?utm_campaign=1062&amp;utm_source=sheet", "Apply")</f>
        <v>Apply</v>
      </c>
      <c r="C3463" s="10" t="s">
        <v>8608</v>
      </c>
      <c r="D3463" s="56" t="s">
        <v>8385</v>
      </c>
      <c r="E3463" s="10">
        <v>2610.0</v>
      </c>
      <c r="G3463" s="10" t="s">
        <v>2579</v>
      </c>
      <c r="H3463" s="10" t="s">
        <v>3196</v>
      </c>
      <c r="I3463" s="10" t="s">
        <v>55</v>
      </c>
      <c r="J3463" s="10" t="s">
        <v>8609</v>
      </c>
      <c r="K3463" s="10" t="s">
        <v>8387</v>
      </c>
      <c r="L3463" s="10" t="s">
        <v>42</v>
      </c>
    </row>
    <row r="3464" ht="15.75" customHeight="1">
      <c r="A3464" s="64">
        <v>45449.0</v>
      </c>
      <c r="B3464" s="55" t="str">
        <f>HYPERLINK("https://jobright.ai/jobs/info/6661f2d125bcd4e28e660006?utm_campaign=1062&amp;utm_source=sheet", "Apply")</f>
        <v>Apply</v>
      </c>
      <c r="C3464" s="10" t="s">
        <v>8610</v>
      </c>
      <c r="D3464" s="56" t="s">
        <v>1662</v>
      </c>
      <c r="E3464" s="10" t="s">
        <v>209</v>
      </c>
      <c r="F3464" s="10" t="s">
        <v>1663</v>
      </c>
      <c r="G3464" s="10" t="s">
        <v>2448</v>
      </c>
      <c r="H3464" s="10" t="s">
        <v>167</v>
      </c>
      <c r="I3464" s="10" t="s">
        <v>55</v>
      </c>
      <c r="J3464" s="10" t="s">
        <v>2234</v>
      </c>
      <c r="K3464" s="10" t="s">
        <v>8611</v>
      </c>
      <c r="L3464" s="10" t="s">
        <v>42</v>
      </c>
    </row>
    <row r="3465" ht="15.75" customHeight="1">
      <c r="A3465" s="64">
        <v>45449.0</v>
      </c>
      <c r="B3465" s="55" t="str">
        <f>HYPERLINK("https://jobright.ai/jobs/info/6661eaa71725212c997e90f0?utm_campaign=1062&amp;utm_source=sheet", "Apply")</f>
        <v>Apply</v>
      </c>
      <c r="C3465" s="10" t="s">
        <v>2007</v>
      </c>
      <c r="D3465" s="56" t="s">
        <v>1662</v>
      </c>
      <c r="E3465" s="10" t="s">
        <v>209</v>
      </c>
      <c r="F3465" s="10" t="s">
        <v>1663</v>
      </c>
      <c r="G3465" s="10" t="s">
        <v>2443</v>
      </c>
      <c r="H3465" s="10" t="s">
        <v>167</v>
      </c>
      <c r="I3465" s="10" t="s">
        <v>55</v>
      </c>
      <c r="J3465" s="10" t="s">
        <v>1804</v>
      </c>
      <c r="K3465" s="10" t="s">
        <v>8612</v>
      </c>
      <c r="L3465" s="10" t="s">
        <v>42</v>
      </c>
    </row>
    <row r="3466" ht="15.75" customHeight="1">
      <c r="A3466" s="64">
        <v>45449.0</v>
      </c>
      <c r="B3466" s="55" t="str">
        <f>HYPERLINK("https://jobright.ai/jobs/info/6661eaa71725212c997e90df?utm_campaign=1062&amp;utm_source=sheet", "Apply")</f>
        <v>Apply</v>
      </c>
      <c r="C3466" s="10" t="s">
        <v>8613</v>
      </c>
      <c r="D3466" s="56" t="s">
        <v>1662</v>
      </c>
      <c r="E3466" s="10" t="s">
        <v>209</v>
      </c>
      <c r="F3466" s="10" t="s">
        <v>1663</v>
      </c>
      <c r="G3466" s="10" t="s">
        <v>2443</v>
      </c>
      <c r="H3466" s="10" t="s">
        <v>167</v>
      </c>
      <c r="I3466" s="10" t="s">
        <v>55</v>
      </c>
      <c r="J3466" s="10" t="s">
        <v>8614</v>
      </c>
      <c r="K3466" s="10" t="s">
        <v>8615</v>
      </c>
      <c r="L3466" s="10" t="s">
        <v>42</v>
      </c>
    </row>
    <row r="3467" ht="15.75" customHeight="1">
      <c r="A3467" s="64">
        <v>45449.0</v>
      </c>
      <c r="B3467" s="55" t="str">
        <f>HYPERLINK("https://jobright.ai/jobs/info/6661eaa71725212c997e9113?utm_campaign=1062&amp;utm_source=sheet", "Apply")</f>
        <v>Apply</v>
      </c>
      <c r="C3467" s="10" t="s">
        <v>8616</v>
      </c>
      <c r="D3467" s="56" t="s">
        <v>1662</v>
      </c>
      <c r="E3467" s="10" t="s">
        <v>209</v>
      </c>
      <c r="F3467" s="10" t="s">
        <v>1663</v>
      </c>
      <c r="G3467" s="10" t="s">
        <v>2448</v>
      </c>
      <c r="H3467" s="10" t="s">
        <v>167</v>
      </c>
      <c r="I3467" s="10" t="s">
        <v>55</v>
      </c>
      <c r="J3467" s="10" t="s">
        <v>8617</v>
      </c>
      <c r="K3467" s="10" t="s">
        <v>8618</v>
      </c>
      <c r="L3467" s="10" t="s">
        <v>42</v>
      </c>
    </row>
    <row r="3468" ht="15.75" customHeight="1">
      <c r="A3468" s="64">
        <v>45449.0</v>
      </c>
      <c r="B3468" s="55" t="str">
        <f>HYPERLINK("https://jobright.ai/jobs/info/667490217ec77479dcaeafd1?utm_campaign=1062&amp;utm_source=sheet", "Apply")</f>
        <v>Apply</v>
      </c>
      <c r="C3468" s="10" t="s">
        <v>8619</v>
      </c>
      <c r="D3468" s="56" t="s">
        <v>8575</v>
      </c>
      <c r="E3468" s="10" t="s">
        <v>276</v>
      </c>
      <c r="F3468" s="10" t="s">
        <v>4702</v>
      </c>
      <c r="G3468" s="10" t="s">
        <v>2437</v>
      </c>
      <c r="H3468" s="10" t="s">
        <v>144</v>
      </c>
      <c r="I3468" s="10" t="s">
        <v>55</v>
      </c>
      <c r="J3468" s="10" t="s">
        <v>8620</v>
      </c>
      <c r="K3468" s="10" t="s">
        <v>8621</v>
      </c>
      <c r="L3468" s="10" t="s">
        <v>42</v>
      </c>
    </row>
    <row r="3469" ht="15.75" customHeight="1">
      <c r="A3469" s="64">
        <v>45449.0</v>
      </c>
      <c r="B3469" s="55" t="str">
        <f>HYPERLINK("https://jobright.ai/jobs/info/6661fce4eca34b2833349559?utm_campaign=1062&amp;utm_source=sheet", "Apply")</f>
        <v>Apply</v>
      </c>
      <c r="C3469" s="10" t="s">
        <v>8622</v>
      </c>
      <c r="D3469" s="56" t="s">
        <v>1662</v>
      </c>
      <c r="E3469" s="10" t="s">
        <v>209</v>
      </c>
      <c r="F3469" s="10" t="s">
        <v>1663</v>
      </c>
      <c r="G3469" s="10" t="s">
        <v>2448</v>
      </c>
      <c r="H3469" s="10" t="s">
        <v>167</v>
      </c>
      <c r="I3469" s="10" t="s">
        <v>55</v>
      </c>
      <c r="J3469" s="10" t="s">
        <v>7542</v>
      </c>
      <c r="K3469" s="10" t="s">
        <v>8623</v>
      </c>
      <c r="L3469" s="10" t="s">
        <v>42</v>
      </c>
    </row>
    <row r="3470" ht="15.75" customHeight="1">
      <c r="A3470" s="64">
        <v>45449.0</v>
      </c>
      <c r="B3470" s="55" t="str">
        <f>HYPERLINK("https://jobright.ai/jobs/info/6661fce4eca34b283334955b?utm_campaign=1062&amp;utm_source=sheet", "Apply")</f>
        <v>Apply</v>
      </c>
      <c r="C3470" s="10" t="s">
        <v>8624</v>
      </c>
      <c r="D3470" s="56" t="s">
        <v>1662</v>
      </c>
      <c r="E3470" s="10" t="s">
        <v>209</v>
      </c>
      <c r="F3470" s="10" t="s">
        <v>1663</v>
      </c>
      <c r="G3470" s="10" t="s">
        <v>2448</v>
      </c>
      <c r="H3470" s="10" t="s">
        <v>167</v>
      </c>
      <c r="I3470" s="10" t="s">
        <v>55</v>
      </c>
      <c r="J3470" s="10" t="s">
        <v>2234</v>
      </c>
      <c r="K3470" s="10" t="s">
        <v>8625</v>
      </c>
      <c r="L3470" s="10" t="s">
        <v>42</v>
      </c>
    </row>
    <row r="3471" ht="15.75" customHeight="1">
      <c r="A3471" s="64">
        <v>45449.0</v>
      </c>
      <c r="B3471" s="55" t="str">
        <f>HYPERLINK("https://jobright.ai/jobs/info/6661dfa3a2bcc67388aeb15f?utm_campaign=1062&amp;utm_source=sheet", "Apply")</f>
        <v>Apply</v>
      </c>
      <c r="C3471" s="10" t="s">
        <v>8626</v>
      </c>
      <c r="D3471" s="56" t="s">
        <v>1662</v>
      </c>
      <c r="E3471" s="10" t="s">
        <v>209</v>
      </c>
      <c r="F3471" s="10" t="s">
        <v>1663</v>
      </c>
      <c r="G3471" s="10" t="s">
        <v>2448</v>
      </c>
      <c r="H3471" s="10" t="s">
        <v>167</v>
      </c>
      <c r="I3471" s="10" t="s">
        <v>55</v>
      </c>
      <c r="J3471" s="10" t="s">
        <v>2176</v>
      </c>
      <c r="K3471" s="10" t="s">
        <v>8627</v>
      </c>
      <c r="L3471" s="10" t="s">
        <v>42</v>
      </c>
    </row>
    <row r="3472" ht="15.75" customHeight="1">
      <c r="A3472" s="64">
        <v>45449.0</v>
      </c>
      <c r="B3472" s="55" t="str">
        <f>HYPERLINK("https://jobright.ai/jobs/info/66743d33c8cea9b1765b19d9?utm_campaign=1062&amp;utm_source=sheet", "Apply")</f>
        <v>Apply</v>
      </c>
      <c r="C3472" s="10" t="s">
        <v>8628</v>
      </c>
      <c r="D3472" s="56" t="s">
        <v>8629</v>
      </c>
      <c r="E3472" s="10" t="s">
        <v>65</v>
      </c>
      <c r="F3472" s="10" t="s">
        <v>1234</v>
      </c>
      <c r="G3472" s="10" t="s">
        <v>2448</v>
      </c>
      <c r="H3472" s="10" t="s">
        <v>8630</v>
      </c>
      <c r="I3472" s="10" t="s">
        <v>55</v>
      </c>
      <c r="K3472" s="10" t="s">
        <v>8631</v>
      </c>
      <c r="L3472" s="10" t="s">
        <v>42</v>
      </c>
    </row>
    <row r="3473" ht="15.75" customHeight="1">
      <c r="A3473" s="64">
        <v>45449.0</v>
      </c>
      <c r="B3473" s="55" t="str">
        <f>HYPERLINK("https://jobright.ai/jobs/info/66740ee65ff28865e7a71093?utm_campaign=1062&amp;utm_source=sheet", "Apply")</f>
        <v>Apply</v>
      </c>
      <c r="C3473" s="10" t="s">
        <v>8632</v>
      </c>
      <c r="D3473" s="56" t="s">
        <v>8633</v>
      </c>
      <c r="E3473" s="10" t="s">
        <v>137</v>
      </c>
      <c r="F3473" s="10" t="s">
        <v>8634</v>
      </c>
      <c r="G3473" s="10" t="s">
        <v>2437</v>
      </c>
      <c r="H3473" s="10" t="s">
        <v>8635</v>
      </c>
      <c r="I3473" s="10" t="s">
        <v>55</v>
      </c>
      <c r="K3473" s="10" t="s">
        <v>8636</v>
      </c>
      <c r="L3473" s="10" t="s">
        <v>42</v>
      </c>
    </row>
    <row r="3474" ht="15.75" customHeight="1">
      <c r="A3474" s="64">
        <v>45449.0</v>
      </c>
      <c r="B3474" s="55" t="str">
        <f>HYPERLINK("https://jobright.ai/jobs/info/666ad2ae05f14dc72483bd26?utm_campaign=1062&amp;utm_source=sheet", "Apply")</f>
        <v>Apply</v>
      </c>
      <c r="C3474" s="10" t="s">
        <v>6420</v>
      </c>
      <c r="D3474" s="56" t="s">
        <v>5175</v>
      </c>
      <c r="E3474" s="10" t="s">
        <v>45</v>
      </c>
      <c r="F3474" s="10" t="s">
        <v>5176</v>
      </c>
      <c r="G3474" s="10" t="s">
        <v>2484</v>
      </c>
      <c r="H3474" s="10" t="s">
        <v>5354</v>
      </c>
      <c r="I3474" s="10" t="s">
        <v>55</v>
      </c>
      <c r="K3474" s="10" t="s">
        <v>8637</v>
      </c>
      <c r="L3474" s="10" t="s">
        <v>42</v>
      </c>
    </row>
    <row r="3475" ht="15.75" customHeight="1">
      <c r="A3475" s="64">
        <v>45449.0</v>
      </c>
      <c r="B3475" s="55" t="str">
        <f>HYPERLINK("https://jobright.ai/jobs/info/666150428e02d8a1d53b94d5?utm_campaign=1062&amp;utm_source=sheet", "Apply")</f>
        <v>Apply</v>
      </c>
      <c r="C3475" s="10" t="s">
        <v>8638</v>
      </c>
      <c r="D3475" s="56" t="s">
        <v>8639</v>
      </c>
      <c r="E3475" s="10" t="s">
        <v>45</v>
      </c>
      <c r="F3475" s="10" t="s">
        <v>8640</v>
      </c>
      <c r="G3475" s="10" t="s">
        <v>2484</v>
      </c>
      <c r="H3475" s="10" t="s">
        <v>820</v>
      </c>
      <c r="I3475" s="10" t="s">
        <v>55</v>
      </c>
      <c r="K3475" s="10" t="s">
        <v>8641</v>
      </c>
      <c r="L3475" s="10" t="s">
        <v>42</v>
      </c>
    </row>
    <row r="3476" ht="15.75" customHeight="1">
      <c r="A3476" s="64">
        <v>45449.0</v>
      </c>
      <c r="B3476" s="55" t="str">
        <f>HYPERLINK("https://jobright.ai/jobs/info/666814c3d19f25c2c7cd286c?utm_campaign=1062&amp;utm_source=sheet", "Apply")</f>
        <v>Apply</v>
      </c>
      <c r="C3476" s="10" t="s">
        <v>8642</v>
      </c>
      <c r="D3476" s="56" t="s">
        <v>5024</v>
      </c>
      <c r="E3476" s="10" t="s">
        <v>45</v>
      </c>
      <c r="F3476" s="10" t="s">
        <v>5025</v>
      </c>
      <c r="G3476" s="10" t="s">
        <v>2443</v>
      </c>
      <c r="H3476" s="10" t="s">
        <v>5026</v>
      </c>
      <c r="I3476" s="10" t="s">
        <v>55</v>
      </c>
      <c r="K3476" s="10" t="s">
        <v>8643</v>
      </c>
      <c r="L3476" s="10" t="s">
        <v>42</v>
      </c>
    </row>
    <row r="3477" ht="15.75" customHeight="1">
      <c r="A3477" s="64">
        <v>45449.0</v>
      </c>
      <c r="B3477" s="55" t="str">
        <f>HYPERLINK("https://jobright.ai/jobs/info/6667d7270e75e6484ca409a8?utm_campaign=1062&amp;utm_source=sheet", "Apply")</f>
        <v>Apply</v>
      </c>
      <c r="C3477" s="10" t="s">
        <v>8644</v>
      </c>
      <c r="D3477" s="56" t="s">
        <v>2144</v>
      </c>
      <c r="E3477" s="10" t="s">
        <v>65</v>
      </c>
      <c r="F3477" s="10" t="s">
        <v>2145</v>
      </c>
      <c r="G3477" s="10" t="s">
        <v>2437</v>
      </c>
      <c r="H3477" s="10" t="s">
        <v>8645</v>
      </c>
      <c r="I3477" s="10" t="s">
        <v>55</v>
      </c>
      <c r="J3477" s="10" t="s">
        <v>8646</v>
      </c>
      <c r="K3477" s="10" t="s">
        <v>8647</v>
      </c>
      <c r="L3477" s="10" t="s">
        <v>42</v>
      </c>
    </row>
    <row r="3478" ht="15.75" customHeight="1">
      <c r="A3478" s="64">
        <v>45449.0</v>
      </c>
      <c r="B3478" s="55" t="str">
        <f>HYPERLINK("https://jobright.ai/jobs/info/6667d50f0e75e6484ca403e9?utm_campaign=1062&amp;utm_source=sheet", "Apply")</f>
        <v>Apply</v>
      </c>
      <c r="C3478" s="10" t="s">
        <v>8644</v>
      </c>
      <c r="D3478" s="56" t="s">
        <v>2144</v>
      </c>
      <c r="E3478" s="10" t="s">
        <v>65</v>
      </c>
      <c r="F3478" s="10" t="s">
        <v>2145</v>
      </c>
      <c r="G3478" s="10" t="s">
        <v>2437</v>
      </c>
      <c r="H3478" s="10" t="s">
        <v>8648</v>
      </c>
      <c r="I3478" s="10" t="s">
        <v>55</v>
      </c>
      <c r="J3478" s="10" t="s">
        <v>8646</v>
      </c>
      <c r="K3478" s="10" t="s">
        <v>8647</v>
      </c>
      <c r="L3478" s="10" t="s">
        <v>42</v>
      </c>
    </row>
    <row r="3479" ht="15.75" customHeight="1">
      <c r="A3479" s="64">
        <v>45449.0</v>
      </c>
      <c r="B3479" s="55" t="str">
        <f>HYPERLINK("https://jobright.ai/jobs/info/6667d6880e75e6484ca40841?utm_campaign=1062&amp;utm_source=sheet", "Apply")</f>
        <v>Apply</v>
      </c>
      <c r="C3479" s="10" t="s">
        <v>8649</v>
      </c>
      <c r="D3479" s="56" t="s">
        <v>7583</v>
      </c>
      <c r="E3479" s="10" t="s">
        <v>209</v>
      </c>
      <c r="F3479" s="10" t="s">
        <v>486</v>
      </c>
      <c r="G3479" s="10" t="s">
        <v>2448</v>
      </c>
      <c r="H3479" s="10" t="s">
        <v>8650</v>
      </c>
      <c r="I3479" s="10" t="s">
        <v>55</v>
      </c>
      <c r="K3479" s="10" t="s">
        <v>8651</v>
      </c>
      <c r="L3479" s="10" t="s">
        <v>42</v>
      </c>
    </row>
    <row r="3480" ht="15.75" customHeight="1">
      <c r="A3480" s="64">
        <v>45449.0</v>
      </c>
      <c r="B3480" s="55" t="str">
        <f>HYPERLINK("https://jobright.ai/jobs/info/66629213d207c74779ac71a7?utm_campaign=1062&amp;utm_source=sheet", "Apply")</f>
        <v>Apply</v>
      </c>
      <c r="C3480" s="10" t="s">
        <v>8652</v>
      </c>
      <c r="D3480" s="56" t="s">
        <v>1732</v>
      </c>
      <c r="E3480" s="10" t="s">
        <v>71</v>
      </c>
      <c r="F3480" s="10" t="s">
        <v>1733</v>
      </c>
      <c r="G3480" s="10" t="s">
        <v>2437</v>
      </c>
      <c r="H3480" s="10" t="s">
        <v>8601</v>
      </c>
      <c r="I3480" s="10" t="s">
        <v>48</v>
      </c>
      <c r="K3480" s="10" t="s">
        <v>8653</v>
      </c>
      <c r="L3480" s="10" t="s">
        <v>42</v>
      </c>
    </row>
    <row r="3481" ht="15.75" customHeight="1">
      <c r="A3481" s="64">
        <v>45448.0</v>
      </c>
      <c r="B3481" s="55" t="str">
        <f>HYPERLINK("https://jobright.ai/jobs/info/6660f6cf3d5f40a7fbda694a?utm_campaign=1062&amp;utm_source=sheet", "Apply")</f>
        <v>Apply</v>
      </c>
      <c r="C3481" s="10" t="s">
        <v>8654</v>
      </c>
      <c r="D3481" s="56" t="s">
        <v>3192</v>
      </c>
      <c r="E3481" s="10" t="s">
        <v>209</v>
      </c>
      <c r="F3481" s="10" t="s">
        <v>1207</v>
      </c>
      <c r="G3481" s="10" t="s">
        <v>2437</v>
      </c>
      <c r="H3481" s="10" t="s">
        <v>106</v>
      </c>
      <c r="I3481" s="10" t="s">
        <v>55</v>
      </c>
      <c r="J3481" s="10" t="s">
        <v>3193</v>
      </c>
      <c r="K3481" s="10" t="s">
        <v>3194</v>
      </c>
      <c r="L3481" s="10" t="s">
        <v>42</v>
      </c>
    </row>
    <row r="3482" ht="15.75" customHeight="1">
      <c r="A3482" s="64">
        <v>45448.0</v>
      </c>
      <c r="B3482" s="55" t="str">
        <f>HYPERLINK("https://jobright.ai/jobs/info/6660f3e3e1726a6f70512a74?utm_campaign=1062&amp;utm_source=sheet", "Apply")</f>
        <v>Apply</v>
      </c>
      <c r="C3482" s="10" t="s">
        <v>1891</v>
      </c>
      <c r="D3482" s="56" t="s">
        <v>1892</v>
      </c>
      <c r="E3482" s="10" t="s">
        <v>45</v>
      </c>
      <c r="F3482" s="10" t="s">
        <v>1893</v>
      </c>
      <c r="G3482" s="10" t="s">
        <v>2443</v>
      </c>
      <c r="H3482" s="10" t="s">
        <v>96</v>
      </c>
      <c r="I3482" s="10" t="s">
        <v>55</v>
      </c>
      <c r="J3482" s="10" t="s">
        <v>581</v>
      </c>
      <c r="K3482" s="10" t="s">
        <v>8655</v>
      </c>
      <c r="L3482" s="10" t="s">
        <v>42</v>
      </c>
    </row>
    <row r="3483" ht="15.75" customHeight="1">
      <c r="A3483" s="64">
        <v>45448.0</v>
      </c>
      <c r="B3483" s="55" t="str">
        <f>HYPERLINK("https://jobright.ai/jobs/info/6619bd732563fed50372e25f?utm_campaign=1062&amp;utm_source=sheet", "Apply")</f>
        <v>Apply</v>
      </c>
      <c r="C3483" s="10" t="s">
        <v>1891</v>
      </c>
      <c r="D3483" s="56" t="s">
        <v>1892</v>
      </c>
      <c r="E3483" s="10" t="s">
        <v>45</v>
      </c>
      <c r="F3483" s="10" t="s">
        <v>1893</v>
      </c>
      <c r="G3483" s="10" t="s">
        <v>2448</v>
      </c>
      <c r="H3483" s="10" t="s">
        <v>96</v>
      </c>
      <c r="I3483" s="10" t="s">
        <v>55</v>
      </c>
      <c r="K3483" s="10" t="s">
        <v>8656</v>
      </c>
      <c r="L3483" s="10" t="s">
        <v>42</v>
      </c>
    </row>
    <row r="3484" ht="15.75" customHeight="1">
      <c r="A3484" s="64">
        <v>45448.0</v>
      </c>
      <c r="B3484" s="55" t="str">
        <f>HYPERLINK("https://jobright.ai/jobs/info/66613decaa8c03c39218af36?utm_campaign=1062&amp;utm_source=sheet", "Apply")</f>
        <v>Apply</v>
      </c>
      <c r="C3484" s="10" t="s">
        <v>8657</v>
      </c>
      <c r="D3484" s="56" t="s">
        <v>1582</v>
      </c>
      <c r="E3484" s="10" t="s">
        <v>45</v>
      </c>
      <c r="F3484" s="10" t="s">
        <v>665</v>
      </c>
      <c r="G3484" s="10" t="s">
        <v>2443</v>
      </c>
      <c r="H3484" s="10" t="s">
        <v>852</v>
      </c>
      <c r="I3484" s="10" t="s">
        <v>55</v>
      </c>
      <c r="J3484" s="10" t="s">
        <v>5095</v>
      </c>
      <c r="K3484" s="10" t="s">
        <v>5096</v>
      </c>
      <c r="L3484" s="10" t="s">
        <v>42</v>
      </c>
    </row>
    <row r="3485" ht="15.75" customHeight="1">
      <c r="A3485" s="64">
        <v>45448.0</v>
      </c>
      <c r="B3485" s="55" t="str">
        <f>HYPERLINK("https://jobright.ai/jobs/info/6660e5f9963b16d65202b7af?utm_campaign=1062&amp;utm_source=sheet", "Apply")</f>
        <v>Apply</v>
      </c>
      <c r="C3485" s="10" t="s">
        <v>8658</v>
      </c>
      <c r="D3485" s="56" t="s">
        <v>1547</v>
      </c>
      <c r="E3485" s="10">
        <v>408.0</v>
      </c>
      <c r="G3485" s="10" t="s">
        <v>2443</v>
      </c>
      <c r="H3485" s="10" t="s">
        <v>914</v>
      </c>
      <c r="I3485" s="10" t="s">
        <v>55</v>
      </c>
      <c r="K3485" s="10" t="s">
        <v>8659</v>
      </c>
      <c r="L3485" s="10" t="s">
        <v>42</v>
      </c>
    </row>
    <row r="3486" ht="15.75" customHeight="1">
      <c r="A3486" s="64">
        <v>45448.0</v>
      </c>
      <c r="B3486" s="55" t="str">
        <f>HYPERLINK("https://jobright.ai/jobs/info/665dffbc34588a2f60805c4a?utm_campaign=1062&amp;utm_source=sheet", "Apply")</f>
        <v>Apply</v>
      </c>
      <c r="C3486" s="10" t="s">
        <v>8660</v>
      </c>
      <c r="D3486" s="56" t="s">
        <v>3531</v>
      </c>
      <c r="E3486" s="10" t="s">
        <v>209</v>
      </c>
      <c r="F3486" s="10" t="s">
        <v>85</v>
      </c>
      <c r="G3486" s="10" t="s">
        <v>2464</v>
      </c>
      <c r="H3486" s="10" t="s">
        <v>411</v>
      </c>
      <c r="I3486" s="10" t="s">
        <v>55</v>
      </c>
      <c r="K3486" s="10" t="s">
        <v>8661</v>
      </c>
      <c r="L3486" s="10" t="s">
        <v>42</v>
      </c>
    </row>
    <row r="3487" ht="15.75" customHeight="1">
      <c r="A3487" s="64">
        <v>45448.0</v>
      </c>
      <c r="B3487" s="55" t="str">
        <f>HYPERLINK("https://jobright.ai/jobs/info/6664472c0f5523d1716168b4?utm_campaign=1062&amp;utm_source=sheet", "Apply")</f>
        <v>Apply</v>
      </c>
      <c r="C3487" s="10" t="s">
        <v>6647</v>
      </c>
      <c r="D3487" s="56" t="s">
        <v>6648</v>
      </c>
      <c r="E3487" s="10" t="s">
        <v>45</v>
      </c>
      <c r="F3487" s="10" t="s">
        <v>1454</v>
      </c>
      <c r="G3487" s="10" t="s">
        <v>2448</v>
      </c>
      <c r="H3487" s="10" t="s">
        <v>4813</v>
      </c>
      <c r="I3487" s="10" t="s">
        <v>55</v>
      </c>
      <c r="K3487" s="10" t="s">
        <v>8662</v>
      </c>
      <c r="L3487" s="10" t="s">
        <v>42</v>
      </c>
    </row>
    <row r="3488" ht="15.75" customHeight="1">
      <c r="A3488" s="64">
        <v>45448.0</v>
      </c>
      <c r="B3488" s="55" t="str">
        <f>HYPERLINK("https://jobright.ai/jobs/info/6672c5424712379b49f512f1?utm_campaign=1062&amp;utm_source=sheet", "Apply")</f>
        <v>Apply</v>
      </c>
      <c r="C3488" s="10" t="s">
        <v>5279</v>
      </c>
      <c r="D3488" s="56" t="s">
        <v>8663</v>
      </c>
      <c r="E3488" s="10">
        <v>1446.0</v>
      </c>
      <c r="G3488" s="10" t="s">
        <v>2484</v>
      </c>
      <c r="H3488" s="10" t="s">
        <v>854</v>
      </c>
      <c r="I3488" s="10" t="s">
        <v>55</v>
      </c>
      <c r="K3488" s="10" t="s">
        <v>5281</v>
      </c>
      <c r="L3488" s="10" t="s">
        <v>42</v>
      </c>
    </row>
    <row r="3489" ht="15.75" customHeight="1">
      <c r="A3489" s="64">
        <v>45448.0</v>
      </c>
      <c r="B3489" s="55" t="str">
        <f>HYPERLINK("https://jobright.ai/jobs/info/665fed1337b467f05a6e5441?utm_campaign=1062&amp;utm_source=sheet", "Apply")</f>
        <v>Apply</v>
      </c>
      <c r="C3489" s="10" t="s">
        <v>8664</v>
      </c>
      <c r="D3489" s="56" t="s">
        <v>1582</v>
      </c>
      <c r="E3489" s="10" t="s">
        <v>45</v>
      </c>
      <c r="F3489" s="10" t="s">
        <v>665</v>
      </c>
      <c r="G3489" s="10" t="s">
        <v>2448</v>
      </c>
      <c r="H3489" s="10" t="s">
        <v>852</v>
      </c>
      <c r="I3489" s="10" t="s">
        <v>55</v>
      </c>
      <c r="J3489" s="10" t="s">
        <v>1608</v>
      </c>
      <c r="K3489" s="10" t="s">
        <v>5096</v>
      </c>
      <c r="L3489" s="10" t="s">
        <v>42</v>
      </c>
    </row>
    <row r="3490" ht="15.75" customHeight="1">
      <c r="A3490" s="64">
        <v>45448.0</v>
      </c>
      <c r="B3490" s="55" t="str">
        <f>HYPERLINK("https://jobright.ai/jobs/info/665fe19f572c99e7fbc9baa6?utm_campaign=1062&amp;utm_source=sheet", "Apply")</f>
        <v>Apply</v>
      </c>
      <c r="C3490" s="10" t="s">
        <v>8665</v>
      </c>
      <c r="D3490" s="56" t="s">
        <v>1582</v>
      </c>
      <c r="E3490" s="10" t="s">
        <v>45</v>
      </c>
      <c r="F3490" s="10" t="s">
        <v>665</v>
      </c>
      <c r="G3490" s="10" t="s">
        <v>2502</v>
      </c>
      <c r="H3490" s="10" t="s">
        <v>146</v>
      </c>
      <c r="I3490" s="10" t="s">
        <v>55</v>
      </c>
      <c r="K3490" s="10" t="s">
        <v>8570</v>
      </c>
      <c r="L3490" s="10" t="s">
        <v>42</v>
      </c>
    </row>
    <row r="3491" ht="15.75" customHeight="1">
      <c r="A3491" s="64">
        <v>45448.0</v>
      </c>
      <c r="B3491" s="55" t="str">
        <f>HYPERLINK("https://jobright.ai/jobs/info/66680a9ad19f25c2c7cd1236?utm_campaign=1062&amp;utm_source=sheet", "Apply")</f>
        <v>Apply</v>
      </c>
      <c r="C3491" s="10" t="s">
        <v>4707</v>
      </c>
      <c r="D3491" s="56" t="s">
        <v>8666</v>
      </c>
      <c r="E3491" s="10" t="s">
        <v>45</v>
      </c>
      <c r="F3491" s="10" t="s">
        <v>8667</v>
      </c>
      <c r="G3491" s="10" t="s">
        <v>2502</v>
      </c>
      <c r="H3491" s="10" t="s">
        <v>8668</v>
      </c>
      <c r="I3491" s="10" t="s">
        <v>55</v>
      </c>
      <c r="J3491" s="10" t="s">
        <v>81</v>
      </c>
      <c r="K3491" s="10" t="s">
        <v>4710</v>
      </c>
      <c r="L3491" s="10" t="s">
        <v>42</v>
      </c>
    </row>
    <row r="3492" ht="15.75" customHeight="1">
      <c r="A3492" s="64">
        <v>45448.0</v>
      </c>
      <c r="B3492" s="55" t="str">
        <f>HYPERLINK("https://jobright.ai/jobs/info/66680d5bd19f25c2c7cd15ca?utm_campaign=1062&amp;utm_source=sheet", "Apply")</f>
        <v>Apply</v>
      </c>
      <c r="C3492" s="10" t="s">
        <v>8669</v>
      </c>
      <c r="D3492" s="56" t="s">
        <v>8670</v>
      </c>
      <c r="E3492" s="10" t="s">
        <v>65</v>
      </c>
      <c r="F3492" s="10" t="s">
        <v>8671</v>
      </c>
      <c r="G3492" s="10" t="s">
        <v>2464</v>
      </c>
      <c r="H3492" s="10" t="s">
        <v>8672</v>
      </c>
      <c r="I3492" s="10" t="s">
        <v>48</v>
      </c>
      <c r="J3492" s="10" t="s">
        <v>8673</v>
      </c>
      <c r="K3492" s="10" t="s">
        <v>8674</v>
      </c>
      <c r="L3492" s="10" t="s">
        <v>42</v>
      </c>
    </row>
    <row r="3493" ht="15.75" customHeight="1">
      <c r="A3493" s="64">
        <v>45448.0</v>
      </c>
      <c r="B3493" s="55" t="str">
        <f>HYPERLINK("https://jobright.ai/jobs/info/66629237d207c74779ac73f3?utm_campaign=1062&amp;utm_source=sheet", "Apply")</f>
        <v>Apply</v>
      </c>
      <c r="C3493" s="10" t="s">
        <v>8675</v>
      </c>
      <c r="D3493" s="56" t="s">
        <v>563</v>
      </c>
      <c r="E3493" s="10" t="s">
        <v>249</v>
      </c>
      <c r="F3493" s="10" t="s">
        <v>564</v>
      </c>
      <c r="G3493" s="10" t="s">
        <v>2502</v>
      </c>
      <c r="H3493" s="10" t="s">
        <v>387</v>
      </c>
      <c r="I3493" s="10" t="s">
        <v>55</v>
      </c>
      <c r="K3493" s="10" t="s">
        <v>8676</v>
      </c>
      <c r="L3493" s="10" t="s">
        <v>42</v>
      </c>
    </row>
    <row r="3494" ht="15.75" customHeight="1">
      <c r="A3494" s="64">
        <v>45448.0</v>
      </c>
      <c r="B3494" s="55" t="str">
        <f>HYPERLINK("https://jobright.ai/jobs/info/6662921ed207c74779ac727a?utm_campaign=1062&amp;utm_source=sheet", "Apply")</f>
        <v>Apply</v>
      </c>
      <c r="C3494" s="10" t="s">
        <v>8677</v>
      </c>
      <c r="D3494" s="56" t="s">
        <v>563</v>
      </c>
      <c r="E3494" s="10" t="s">
        <v>249</v>
      </c>
      <c r="F3494" s="10" t="s">
        <v>564</v>
      </c>
      <c r="G3494" s="10" t="s">
        <v>2495</v>
      </c>
      <c r="H3494" s="10" t="s">
        <v>1319</v>
      </c>
      <c r="I3494" s="10" t="s">
        <v>55</v>
      </c>
      <c r="J3494" s="10" t="s">
        <v>1112</v>
      </c>
      <c r="K3494" s="10" t="s">
        <v>8678</v>
      </c>
      <c r="L3494" s="10" t="s">
        <v>42</v>
      </c>
    </row>
    <row r="3495" ht="15.75" customHeight="1">
      <c r="A3495" s="64">
        <v>45448.0</v>
      </c>
      <c r="B3495" s="55" t="str">
        <f>HYPERLINK("https://jobright.ai/jobs/info/66680879d19f25c2c7cd0d6c?utm_campaign=1062&amp;utm_source=sheet", "Apply")</f>
        <v>Apply</v>
      </c>
      <c r="C3495" s="10" t="s">
        <v>8679</v>
      </c>
      <c r="D3495" s="56" t="s">
        <v>2426</v>
      </c>
      <c r="E3495" s="10" t="s">
        <v>209</v>
      </c>
      <c r="G3495" s="10" t="s">
        <v>3005</v>
      </c>
      <c r="H3495" s="10" t="s">
        <v>2427</v>
      </c>
      <c r="I3495" s="10" t="s">
        <v>55</v>
      </c>
      <c r="K3495" s="10" t="s">
        <v>8680</v>
      </c>
      <c r="L3495" s="10" t="s">
        <v>42</v>
      </c>
    </row>
    <row r="3496" ht="15.75" customHeight="1">
      <c r="A3496" s="64">
        <v>45447.0</v>
      </c>
      <c r="B3496" s="55" t="str">
        <f>HYPERLINK("https://jobright.ai/jobs/info/66566e559dfa60b19fadbeab?utm_campaign=1062&amp;utm_source=sheet", "Apply")</f>
        <v>Apply</v>
      </c>
      <c r="C3496" s="10" t="s">
        <v>8681</v>
      </c>
      <c r="D3496" s="56" t="s">
        <v>8682</v>
      </c>
      <c r="E3496" s="10" t="s">
        <v>45</v>
      </c>
      <c r="F3496" s="10" t="s">
        <v>4356</v>
      </c>
      <c r="G3496" s="10" t="s">
        <v>2443</v>
      </c>
      <c r="H3496" s="10" t="s">
        <v>8683</v>
      </c>
      <c r="I3496" s="10" t="s">
        <v>55</v>
      </c>
      <c r="J3496" s="10" t="s">
        <v>8684</v>
      </c>
      <c r="K3496" s="10" t="s">
        <v>8685</v>
      </c>
      <c r="L3496" s="10" t="s">
        <v>42</v>
      </c>
    </row>
    <row r="3497" ht="15.75" customHeight="1">
      <c r="A3497" s="64">
        <v>45447.0</v>
      </c>
      <c r="B3497" s="55" t="str">
        <f>HYPERLINK("https://jobright.ai/jobs/info/665faeb2b69083f0aaf01ac3?utm_campaign=1062&amp;utm_source=sheet", "Apply")</f>
        <v>Apply</v>
      </c>
      <c r="C3497" s="10" t="s">
        <v>8686</v>
      </c>
      <c r="D3497" s="56" t="s">
        <v>1547</v>
      </c>
      <c r="E3497" s="10">
        <v>408.0</v>
      </c>
      <c r="G3497" s="10" t="s">
        <v>2443</v>
      </c>
      <c r="H3497" s="10" t="s">
        <v>8687</v>
      </c>
      <c r="I3497" s="10" t="s">
        <v>55</v>
      </c>
      <c r="K3497" s="10" t="s">
        <v>8688</v>
      </c>
      <c r="L3497" s="10" t="s">
        <v>42</v>
      </c>
    </row>
    <row r="3498" ht="15.75" customHeight="1">
      <c r="A3498" s="64">
        <v>45447.0</v>
      </c>
      <c r="B3498" s="55" t="str">
        <f>HYPERLINK("https://jobright.ai/jobs/info/665f9fcf8da1ba73a7ae3ca3?utm_campaign=1062&amp;utm_source=sheet", "Apply")</f>
        <v>Apply</v>
      </c>
      <c r="C3498" s="10" t="s">
        <v>8689</v>
      </c>
      <c r="D3498" s="56" t="s">
        <v>1547</v>
      </c>
      <c r="E3498" s="10">
        <v>408.0</v>
      </c>
      <c r="G3498" s="10" t="s">
        <v>2484</v>
      </c>
      <c r="H3498" s="10" t="s">
        <v>8687</v>
      </c>
      <c r="I3498" s="10" t="s">
        <v>55</v>
      </c>
      <c r="K3498" s="10" t="s">
        <v>8690</v>
      </c>
      <c r="L3498" s="10" t="s">
        <v>42</v>
      </c>
    </row>
    <row r="3499" ht="15.75" customHeight="1">
      <c r="A3499" s="64">
        <v>45447.0</v>
      </c>
      <c r="B3499" s="55" t="str">
        <f>HYPERLINK("https://jobright.ai/jobs/info/665f898fdba1b20ada20ccaa?utm_campaign=1062&amp;utm_source=sheet", "Apply")</f>
        <v>Apply</v>
      </c>
      <c r="C3499" s="10" t="s">
        <v>4952</v>
      </c>
      <c r="D3499" s="56" t="s">
        <v>4953</v>
      </c>
      <c r="E3499" s="10" t="s">
        <v>249</v>
      </c>
      <c r="F3499" s="10" t="s">
        <v>4954</v>
      </c>
      <c r="G3499" s="10" t="s">
        <v>2470</v>
      </c>
      <c r="H3499" s="10" t="s">
        <v>201</v>
      </c>
      <c r="I3499" s="10" t="s">
        <v>55</v>
      </c>
      <c r="J3499" s="10" t="s">
        <v>521</v>
      </c>
      <c r="K3499" s="10" t="s">
        <v>4955</v>
      </c>
      <c r="L3499" s="10" t="s">
        <v>42</v>
      </c>
    </row>
    <row r="3500" ht="15.75" customHeight="1">
      <c r="A3500" s="64">
        <v>45447.0</v>
      </c>
      <c r="B3500" s="55" t="str">
        <f>HYPERLINK("https://jobright.ai/jobs/info/6659f822eb0fdc5b95ec2320?utm_campaign=1062&amp;utm_source=sheet", "Apply")</f>
        <v>Apply</v>
      </c>
      <c r="C3500" s="10" t="s">
        <v>8691</v>
      </c>
      <c r="D3500" s="56" t="s">
        <v>8692</v>
      </c>
      <c r="E3500" s="10" t="s">
        <v>137</v>
      </c>
      <c r="F3500" s="10" t="s">
        <v>8693</v>
      </c>
      <c r="G3500" s="10" t="s">
        <v>2455</v>
      </c>
      <c r="H3500" s="10" t="s">
        <v>1270</v>
      </c>
      <c r="I3500" s="10" t="s">
        <v>55</v>
      </c>
      <c r="K3500" s="10" t="s">
        <v>8694</v>
      </c>
      <c r="L3500" s="10" t="s">
        <v>42</v>
      </c>
    </row>
    <row r="3501" ht="15.75" customHeight="1">
      <c r="A3501" s="64">
        <v>45447.0</v>
      </c>
      <c r="B3501" s="55" t="str">
        <f>HYPERLINK("https://jobright.ai/jobs/info/665f31093869410e395884c4?utm_campaign=1062&amp;utm_source=sheet", "Apply")</f>
        <v>Apply</v>
      </c>
      <c r="C3501" s="10" t="s">
        <v>8695</v>
      </c>
      <c r="D3501" s="56" t="s">
        <v>5175</v>
      </c>
      <c r="E3501" s="10" t="s">
        <v>45</v>
      </c>
      <c r="F3501" s="10" t="s">
        <v>5176</v>
      </c>
      <c r="G3501" s="10" t="s">
        <v>2484</v>
      </c>
      <c r="H3501" s="10" t="s">
        <v>858</v>
      </c>
      <c r="I3501" s="10" t="s">
        <v>55</v>
      </c>
      <c r="K3501" s="10" t="s">
        <v>8696</v>
      </c>
      <c r="L3501" s="10" t="s">
        <v>42</v>
      </c>
    </row>
    <row r="3502" ht="15.75" customHeight="1">
      <c r="A3502" s="64">
        <v>45447.0</v>
      </c>
      <c r="B3502" s="55" t="str">
        <f>HYPERLINK("https://jobright.ai/jobs/info/6662fee00239284ea14f40b3?utm_campaign=1062&amp;utm_source=sheet", "Apply")</f>
        <v>Apply</v>
      </c>
      <c r="C3502" s="10" t="s">
        <v>8697</v>
      </c>
      <c r="D3502" s="56" t="s">
        <v>8698</v>
      </c>
      <c r="E3502" s="10" t="s">
        <v>249</v>
      </c>
      <c r="F3502" s="10" t="s">
        <v>3180</v>
      </c>
      <c r="G3502" s="10" t="s">
        <v>2455</v>
      </c>
      <c r="H3502" s="10" t="s">
        <v>47</v>
      </c>
      <c r="I3502" s="10" t="s">
        <v>55</v>
      </c>
      <c r="K3502" s="10" t="s">
        <v>8699</v>
      </c>
      <c r="L3502" s="10" t="s">
        <v>42</v>
      </c>
    </row>
    <row r="3503" ht="15.75" customHeight="1">
      <c r="A3503" s="64">
        <v>45447.0</v>
      </c>
      <c r="B3503" s="55" t="str">
        <f>HYPERLINK("https://jobright.ai/jobs/info/667aab28a579680bce9195e6?utm_campaign=1062&amp;utm_source=sheet", "Apply")</f>
        <v>Apply</v>
      </c>
      <c r="C3503" s="10" t="s">
        <v>8700</v>
      </c>
      <c r="D3503" s="56" t="s">
        <v>8701</v>
      </c>
      <c r="F3503" s="10" t="s">
        <v>1506</v>
      </c>
      <c r="G3503" s="10" t="s">
        <v>2502</v>
      </c>
      <c r="H3503" s="10" t="s">
        <v>159</v>
      </c>
      <c r="I3503" s="10" t="s">
        <v>55</v>
      </c>
      <c r="K3503" s="10" t="s">
        <v>8702</v>
      </c>
      <c r="L3503" s="10" t="s">
        <v>42</v>
      </c>
    </row>
    <row r="3504" ht="15.75" customHeight="1">
      <c r="A3504" s="64">
        <v>45447.0</v>
      </c>
      <c r="B3504" s="55" t="str">
        <f>HYPERLINK("https://jobright.ai/jobs/info/66681f161c2d3f9f50324059?utm_campaign=1062&amp;utm_source=sheet", "Apply")</f>
        <v>Apply</v>
      </c>
      <c r="C3504" s="10" t="s">
        <v>8703</v>
      </c>
      <c r="D3504" s="56" t="s">
        <v>1453</v>
      </c>
      <c r="E3504" s="10" t="s">
        <v>45</v>
      </c>
      <c r="F3504" s="10" t="s">
        <v>1454</v>
      </c>
      <c r="G3504" s="10" t="s">
        <v>2589</v>
      </c>
      <c r="H3504" s="10" t="s">
        <v>2247</v>
      </c>
      <c r="I3504" s="10" t="s">
        <v>48</v>
      </c>
      <c r="K3504" s="10" t="s">
        <v>8704</v>
      </c>
      <c r="L3504" s="10" t="s">
        <v>42</v>
      </c>
    </row>
    <row r="3505" ht="15.75" customHeight="1">
      <c r="A3505" s="64">
        <v>45447.0</v>
      </c>
      <c r="B3505" s="55" t="str">
        <f>HYPERLINK("https://jobright.ai/jobs/info/666810b6d19f25c2c7cd1bf1?utm_campaign=1062&amp;utm_source=sheet", "Apply")</f>
        <v>Apply</v>
      </c>
      <c r="C3505" s="10" t="s">
        <v>8705</v>
      </c>
      <c r="D3505" s="56" t="s">
        <v>2269</v>
      </c>
      <c r="E3505" s="10" t="s">
        <v>45</v>
      </c>
      <c r="F3505" s="10" t="s">
        <v>665</v>
      </c>
      <c r="G3505" s="10" t="s">
        <v>2443</v>
      </c>
      <c r="H3505" s="10" t="s">
        <v>2270</v>
      </c>
      <c r="I3505" s="10" t="s">
        <v>55</v>
      </c>
      <c r="K3505" s="10" t="s">
        <v>8706</v>
      </c>
      <c r="L3505" s="10" t="s">
        <v>42</v>
      </c>
    </row>
    <row r="3506" ht="15.75" customHeight="1">
      <c r="A3506" s="64">
        <v>45447.0</v>
      </c>
      <c r="B3506" s="55" t="str">
        <f>HYPERLINK("https://jobright.ai/jobs/info/66629243d207c74779ac746c?utm_campaign=1062&amp;utm_source=sheet", "Apply")</f>
        <v>Apply</v>
      </c>
      <c r="C3506" s="10" t="s">
        <v>8707</v>
      </c>
      <c r="D3506" s="56" t="s">
        <v>8708</v>
      </c>
      <c r="E3506" s="10" t="s">
        <v>137</v>
      </c>
      <c r="F3506" s="10" t="s">
        <v>2758</v>
      </c>
      <c r="G3506" s="10" t="s">
        <v>2502</v>
      </c>
      <c r="H3506" s="10" t="s">
        <v>2241</v>
      </c>
      <c r="I3506" s="10" t="s">
        <v>55</v>
      </c>
      <c r="J3506" s="10" t="s">
        <v>8709</v>
      </c>
      <c r="K3506" s="10" t="s">
        <v>8710</v>
      </c>
      <c r="L3506" s="10" t="s">
        <v>42</v>
      </c>
    </row>
    <row r="3507" ht="15.75" customHeight="1">
      <c r="A3507" s="64">
        <v>45447.0</v>
      </c>
      <c r="B3507" s="55" t="str">
        <f>HYPERLINK("https://jobright.ai/jobs/info/6668102cd19f25c2c7cd19b9?utm_campaign=1062&amp;utm_source=sheet", "Apply")</f>
        <v>Apply</v>
      </c>
      <c r="C3507" s="10" t="s">
        <v>8711</v>
      </c>
      <c r="D3507" s="56" t="s">
        <v>7035</v>
      </c>
      <c r="E3507" s="10" t="s">
        <v>45</v>
      </c>
      <c r="F3507" s="10" t="s">
        <v>2824</v>
      </c>
      <c r="G3507" s="10" t="s">
        <v>2464</v>
      </c>
      <c r="H3507" s="10" t="s">
        <v>8712</v>
      </c>
      <c r="I3507" s="10" t="s">
        <v>55</v>
      </c>
      <c r="K3507" s="10" t="s">
        <v>8713</v>
      </c>
      <c r="L3507" s="10" t="s">
        <v>42</v>
      </c>
    </row>
    <row r="3508" ht="15.75" customHeight="1">
      <c r="A3508" s="64">
        <v>45447.0</v>
      </c>
      <c r="B3508" s="55" t="str">
        <f>HYPERLINK("https://jobright.ai/jobs/info/6668102cd19f25c2c7cd1a1f?utm_campaign=1062&amp;utm_source=sheet", "Apply")</f>
        <v>Apply</v>
      </c>
      <c r="C3508" s="10" t="s">
        <v>8714</v>
      </c>
      <c r="D3508" s="56" t="s">
        <v>8715</v>
      </c>
      <c r="E3508" s="10" t="s">
        <v>45</v>
      </c>
      <c r="F3508" s="10" t="s">
        <v>8716</v>
      </c>
      <c r="G3508" s="10" t="s">
        <v>2448</v>
      </c>
      <c r="H3508" s="10" t="s">
        <v>8717</v>
      </c>
      <c r="I3508" s="10" t="s">
        <v>55</v>
      </c>
      <c r="K3508" s="10" t="s">
        <v>8718</v>
      </c>
      <c r="L3508" s="10" t="s">
        <v>42</v>
      </c>
    </row>
    <row r="3509" ht="15.75" customHeight="1">
      <c r="A3509" s="64">
        <v>45447.0</v>
      </c>
      <c r="B3509" s="55" t="str">
        <f>HYPERLINK("https://jobright.ai/jobs/info/666bcb181638e3c00ea5bbd0?utm_campaign=1062&amp;utm_source=sheet", "Apply")</f>
        <v>Apply</v>
      </c>
      <c r="C3509" s="10" t="s">
        <v>3664</v>
      </c>
      <c r="D3509" s="56" t="s">
        <v>8719</v>
      </c>
      <c r="E3509" s="10" t="s">
        <v>45</v>
      </c>
      <c r="F3509" s="10" t="s">
        <v>8720</v>
      </c>
      <c r="G3509" s="10" t="s">
        <v>2502</v>
      </c>
      <c r="H3509" s="10" t="s">
        <v>8721</v>
      </c>
      <c r="I3509" s="10" t="s">
        <v>55</v>
      </c>
      <c r="J3509" s="10" t="s">
        <v>5735</v>
      </c>
      <c r="K3509" s="10" t="s">
        <v>8722</v>
      </c>
      <c r="L3509" s="10" t="s">
        <v>42</v>
      </c>
    </row>
    <row r="3510" ht="15.75" customHeight="1">
      <c r="A3510" s="64">
        <v>45446.0</v>
      </c>
      <c r="B3510" s="55" t="str">
        <f>HYPERLINK("https://jobright.ai/jobs/info/665e32fda86ea4987277135d?utm_campaign=1062&amp;utm_source=sheet", "Apply")</f>
        <v>Apply</v>
      </c>
      <c r="C3510" s="10" t="s">
        <v>8723</v>
      </c>
      <c r="D3510" s="56" t="s">
        <v>1547</v>
      </c>
      <c r="E3510" s="10">
        <v>408.0</v>
      </c>
      <c r="G3510" s="10" t="s">
        <v>2448</v>
      </c>
      <c r="H3510" s="10" t="s">
        <v>1097</v>
      </c>
      <c r="I3510" s="10" t="s">
        <v>55</v>
      </c>
      <c r="K3510" s="10" t="s">
        <v>8724</v>
      </c>
      <c r="L3510" s="10" t="s">
        <v>42</v>
      </c>
    </row>
    <row r="3511" ht="15.75" customHeight="1">
      <c r="A3511" s="64">
        <v>45446.0</v>
      </c>
      <c r="B3511" s="55" t="str">
        <f>HYPERLINK("https://jobright.ai/jobs/info/665e05936140a5d3ad379aaa?utm_campaign=1062&amp;utm_source=sheet", "Apply")</f>
        <v>Apply</v>
      </c>
      <c r="C3511" s="10" t="s">
        <v>8725</v>
      </c>
      <c r="D3511" s="56" t="s">
        <v>8726</v>
      </c>
      <c r="E3511" s="10" t="s">
        <v>45</v>
      </c>
      <c r="F3511" s="10" t="s">
        <v>1274</v>
      </c>
      <c r="G3511" s="10" t="s">
        <v>2484</v>
      </c>
      <c r="H3511" s="10" t="s">
        <v>8727</v>
      </c>
      <c r="I3511" s="10" t="s">
        <v>55</v>
      </c>
      <c r="J3511" s="10" t="s">
        <v>1797</v>
      </c>
      <c r="K3511" s="10" t="s">
        <v>8728</v>
      </c>
      <c r="L3511" s="10" t="s">
        <v>42</v>
      </c>
    </row>
    <row r="3512" ht="15.75" customHeight="1">
      <c r="A3512" s="64">
        <v>45446.0</v>
      </c>
      <c r="B3512" s="55" t="str">
        <f>HYPERLINK("https://jobright.ai/jobs/info/665def81d353d39f46035bca?utm_campaign=1062&amp;utm_source=sheet", "Apply")</f>
        <v>Apply</v>
      </c>
      <c r="C3512" s="10" t="s">
        <v>8729</v>
      </c>
      <c r="D3512" s="56" t="s">
        <v>1547</v>
      </c>
      <c r="E3512" s="10">
        <v>408.0</v>
      </c>
      <c r="G3512" s="10" t="s">
        <v>2605</v>
      </c>
      <c r="H3512" s="10" t="s">
        <v>807</v>
      </c>
      <c r="I3512" s="10" t="s">
        <v>55</v>
      </c>
      <c r="J3512" s="10" t="s">
        <v>8730</v>
      </c>
      <c r="K3512" s="10" t="s">
        <v>8731</v>
      </c>
      <c r="L3512" s="10" t="s">
        <v>42</v>
      </c>
    </row>
    <row r="3513" ht="15.75" customHeight="1">
      <c r="A3513" s="64">
        <v>45446.0</v>
      </c>
      <c r="B3513" s="55" t="str">
        <f>HYPERLINK("https://jobright.ai/jobs/info/665ded4a03a11bc5a4c8dc14?utm_campaign=1062&amp;utm_source=sheet", "Apply")</f>
        <v>Apply</v>
      </c>
      <c r="C3513" s="10" t="s">
        <v>2297</v>
      </c>
      <c r="D3513" s="56" t="s">
        <v>8732</v>
      </c>
      <c r="E3513" s="10" t="s">
        <v>45</v>
      </c>
      <c r="F3513" s="10" t="s">
        <v>2431</v>
      </c>
      <c r="G3513" s="10" t="s">
        <v>2448</v>
      </c>
      <c r="H3513" s="10" t="s">
        <v>1008</v>
      </c>
      <c r="I3513" s="10" t="s">
        <v>55</v>
      </c>
      <c r="K3513" s="10" t="s">
        <v>8733</v>
      </c>
      <c r="L3513" s="10" t="s">
        <v>42</v>
      </c>
    </row>
    <row r="3514" ht="15.75" customHeight="1">
      <c r="A3514" s="64">
        <v>45446.0</v>
      </c>
      <c r="B3514" s="55" t="str">
        <f>HYPERLINK("https://jobright.ai/jobs/info/665ded5603a11bc5a4c8dcc0?utm_campaign=1062&amp;utm_source=sheet", "Apply")</f>
        <v>Apply</v>
      </c>
      <c r="C3514" s="10" t="s">
        <v>8734</v>
      </c>
      <c r="D3514" s="56" t="s">
        <v>1547</v>
      </c>
      <c r="E3514" s="10">
        <v>408.0</v>
      </c>
      <c r="G3514" s="10" t="s">
        <v>2509</v>
      </c>
      <c r="H3514" s="10" t="s">
        <v>807</v>
      </c>
      <c r="I3514" s="10" t="s">
        <v>55</v>
      </c>
      <c r="J3514" s="10" t="s">
        <v>8730</v>
      </c>
      <c r="K3514" s="10" t="s">
        <v>8735</v>
      </c>
      <c r="L3514" s="10" t="s">
        <v>42</v>
      </c>
    </row>
    <row r="3515" ht="15.75" customHeight="1">
      <c r="A3515" s="64">
        <v>45446.0</v>
      </c>
      <c r="B3515" s="55" t="str">
        <f>HYPERLINK("https://jobright.ai/jobs/info/66855cea3bcb9414902c9338?utm_campaign=1062&amp;utm_source=sheet", "Apply")</f>
        <v>Apply</v>
      </c>
      <c r="C3515" s="10" t="s">
        <v>8736</v>
      </c>
      <c r="D3515" s="56" t="s">
        <v>8737</v>
      </c>
      <c r="E3515" s="10" t="s">
        <v>65</v>
      </c>
      <c r="F3515" s="10" t="s">
        <v>1234</v>
      </c>
      <c r="G3515" s="10" t="s">
        <v>2448</v>
      </c>
      <c r="H3515" s="10" t="s">
        <v>610</v>
      </c>
      <c r="I3515" s="10" t="s">
        <v>55</v>
      </c>
      <c r="J3515" s="10" t="s">
        <v>5277</v>
      </c>
      <c r="K3515" s="10" t="s">
        <v>8738</v>
      </c>
      <c r="L3515" s="10" t="s">
        <v>42</v>
      </c>
    </row>
    <row r="3516" ht="15.75" customHeight="1">
      <c r="A3516" s="64">
        <v>45446.0</v>
      </c>
      <c r="B3516" s="55" t="str">
        <f>HYPERLINK("https://jobright.ai/jobs/info/66855770130fa6d241d7a7be?utm_campaign=1062&amp;utm_source=sheet", "Apply")</f>
        <v>Apply</v>
      </c>
      <c r="C3516" s="10" t="s">
        <v>8739</v>
      </c>
      <c r="D3516" s="56" t="s">
        <v>8740</v>
      </c>
      <c r="E3516" s="10" t="s">
        <v>45</v>
      </c>
      <c r="F3516" s="10" t="s">
        <v>8741</v>
      </c>
      <c r="G3516" s="10" t="s">
        <v>2484</v>
      </c>
      <c r="H3516" s="10" t="s">
        <v>813</v>
      </c>
      <c r="I3516" s="10" t="s">
        <v>55</v>
      </c>
      <c r="K3516" s="10" t="s">
        <v>8742</v>
      </c>
      <c r="L3516" s="10" t="s">
        <v>42</v>
      </c>
    </row>
    <row r="3517" ht="15.75" customHeight="1">
      <c r="A3517" s="64">
        <v>45446.0</v>
      </c>
      <c r="B3517" s="55" t="str">
        <f>HYPERLINK("https://jobright.ai/jobs/info/668543edf9a1794ebc977e8c?utm_campaign=1062&amp;utm_source=sheet", "Apply")</f>
        <v>Apply</v>
      </c>
      <c r="C3517" s="10" t="s">
        <v>8743</v>
      </c>
      <c r="D3517" s="56" t="s">
        <v>8737</v>
      </c>
      <c r="E3517" s="10" t="s">
        <v>65</v>
      </c>
      <c r="F3517" s="10" t="s">
        <v>1234</v>
      </c>
      <c r="G3517" s="10" t="s">
        <v>2448</v>
      </c>
      <c r="H3517" s="10" t="s">
        <v>610</v>
      </c>
      <c r="I3517" s="10" t="s">
        <v>55</v>
      </c>
      <c r="J3517" s="10" t="s">
        <v>5277</v>
      </c>
      <c r="K3517" s="10" t="s">
        <v>8744</v>
      </c>
      <c r="L3517" s="10" t="s">
        <v>42</v>
      </c>
    </row>
    <row r="3518" ht="15.75" customHeight="1">
      <c r="A3518" s="64">
        <v>45446.0</v>
      </c>
      <c r="B3518" s="55" t="str">
        <f>HYPERLINK("https://jobright.ai/jobs/info/6647ec3cd65c1af883898452?utm_campaign=1062&amp;utm_source=sheet", "Apply")</f>
        <v>Apply</v>
      </c>
      <c r="C3518" s="10" t="s">
        <v>301</v>
      </c>
      <c r="D3518" s="56" t="s">
        <v>8745</v>
      </c>
      <c r="E3518" s="10" t="s">
        <v>276</v>
      </c>
      <c r="F3518" s="10" t="s">
        <v>8746</v>
      </c>
      <c r="G3518" s="10" t="s">
        <v>2579</v>
      </c>
      <c r="H3518" s="10" t="s">
        <v>863</v>
      </c>
      <c r="I3518" s="10" t="s">
        <v>55</v>
      </c>
      <c r="K3518" s="10" t="s">
        <v>8747</v>
      </c>
      <c r="L3518" s="10" t="s">
        <v>42</v>
      </c>
    </row>
    <row r="3519" ht="15.75" customHeight="1">
      <c r="A3519" s="64">
        <v>45446.0</v>
      </c>
      <c r="B3519" s="55" t="str">
        <f>HYPERLINK("https://jobright.ai/jobs/info/66682c739d7e47024a77fd3f?utm_campaign=1062&amp;utm_source=sheet", "Apply")</f>
        <v>Apply</v>
      </c>
      <c r="C3519" s="10" t="s">
        <v>8748</v>
      </c>
      <c r="D3519" s="56" t="s">
        <v>5631</v>
      </c>
      <c r="E3519" s="10" t="s">
        <v>45</v>
      </c>
      <c r="F3519" s="10" t="s">
        <v>5632</v>
      </c>
      <c r="G3519" s="10" t="s">
        <v>2495</v>
      </c>
      <c r="H3519" s="10" t="s">
        <v>8749</v>
      </c>
      <c r="I3519" s="10" t="s">
        <v>55</v>
      </c>
      <c r="K3519" s="10" t="s">
        <v>8750</v>
      </c>
      <c r="L3519" s="10" t="s">
        <v>42</v>
      </c>
    </row>
    <row r="3520" ht="15.75" customHeight="1">
      <c r="A3520" s="64">
        <v>45446.0</v>
      </c>
      <c r="B3520" s="55" t="str">
        <f>HYPERLINK("https://jobright.ai/jobs/info/66682e8b9d7e47024a7802fa?utm_campaign=1062&amp;utm_source=sheet", "Apply")</f>
        <v>Apply</v>
      </c>
      <c r="C3520" s="10" t="s">
        <v>8751</v>
      </c>
      <c r="D3520" s="56" t="s">
        <v>1453</v>
      </c>
      <c r="E3520" s="10" t="s">
        <v>45</v>
      </c>
      <c r="F3520" s="10" t="s">
        <v>1454</v>
      </c>
      <c r="G3520" s="10" t="s">
        <v>3733</v>
      </c>
      <c r="H3520" s="10" t="s">
        <v>2247</v>
      </c>
      <c r="I3520" s="10" t="s">
        <v>48</v>
      </c>
      <c r="K3520" s="10" t="s">
        <v>8752</v>
      </c>
      <c r="L3520" s="10" t="s">
        <v>42</v>
      </c>
    </row>
    <row r="3521" ht="15.75" customHeight="1">
      <c r="A3521" s="64">
        <v>45446.0</v>
      </c>
      <c r="B3521" s="55" t="str">
        <f>HYPERLINK("https://jobright.ai/jobs/info/66682d0d9d7e47024a77fe80?utm_campaign=1062&amp;utm_source=sheet", "Apply")</f>
        <v>Apply</v>
      </c>
      <c r="C3521" s="10" t="s">
        <v>5279</v>
      </c>
      <c r="D3521" s="56" t="s">
        <v>5280</v>
      </c>
      <c r="E3521" s="10" t="s">
        <v>209</v>
      </c>
      <c r="F3521" s="10" t="s">
        <v>1512</v>
      </c>
      <c r="G3521" s="10" t="s">
        <v>2484</v>
      </c>
      <c r="H3521" s="10" t="s">
        <v>854</v>
      </c>
      <c r="I3521" s="10" t="s">
        <v>55</v>
      </c>
      <c r="K3521" s="10" t="s">
        <v>5281</v>
      </c>
      <c r="L3521" s="10" t="s">
        <v>42</v>
      </c>
    </row>
    <row r="3522" ht="15.75" customHeight="1">
      <c r="A3522" s="64">
        <v>45445.0</v>
      </c>
      <c r="B3522" s="55" t="str">
        <f>HYPERLINK("https://jobright.ai/jobs/info/665c08f8855314c735c8710f?utm_campaign=1062&amp;utm_source=sheet", "Apply")</f>
        <v>Apply</v>
      </c>
      <c r="C3522" s="10" t="s">
        <v>8753</v>
      </c>
      <c r="D3522" s="56" t="s">
        <v>8754</v>
      </c>
      <c r="E3522" s="10" t="s">
        <v>249</v>
      </c>
      <c r="F3522" s="10" t="s">
        <v>8755</v>
      </c>
      <c r="G3522" s="10" t="s">
        <v>2437</v>
      </c>
      <c r="H3522" s="10" t="s">
        <v>154</v>
      </c>
      <c r="I3522" s="10" t="s">
        <v>55</v>
      </c>
      <c r="K3522" s="10" t="s">
        <v>8756</v>
      </c>
      <c r="L3522" s="10" t="s">
        <v>42</v>
      </c>
    </row>
    <row r="3523" ht="15.75" customHeight="1">
      <c r="A3523" s="64">
        <v>45444.0</v>
      </c>
      <c r="B3523" s="55" t="str">
        <f>HYPERLINK("https://jobright.ai/jobs/info/665bcff17a8d2c9c257c480d?utm_campaign=1062&amp;utm_source=sheet", "Apply")</f>
        <v>Apply</v>
      </c>
      <c r="C3523" s="10" t="s">
        <v>8757</v>
      </c>
      <c r="D3523" s="56" t="s">
        <v>8758</v>
      </c>
      <c r="E3523" s="10">
        <v>78.0</v>
      </c>
      <c r="G3523" s="10" t="s">
        <v>2464</v>
      </c>
      <c r="H3523" s="10" t="s">
        <v>3300</v>
      </c>
      <c r="I3523" s="10" t="s">
        <v>55</v>
      </c>
      <c r="K3523" s="10" t="s">
        <v>8759</v>
      </c>
      <c r="L3523" s="10" t="s">
        <v>42</v>
      </c>
    </row>
    <row r="3524" ht="15.75" customHeight="1">
      <c r="A3524" s="64">
        <v>45444.0</v>
      </c>
      <c r="B3524" s="55" t="str">
        <f>HYPERLINK("https://jobright.ai/jobs/info/6677d7f85793f82273cb4669?utm_campaign=1062&amp;utm_source=sheet", "Apply")</f>
        <v>Apply</v>
      </c>
      <c r="C3524" s="10" t="s">
        <v>8760</v>
      </c>
      <c r="D3524" s="56" t="s">
        <v>8761</v>
      </c>
      <c r="E3524" s="10" t="s">
        <v>137</v>
      </c>
      <c r="F3524" s="10" t="s">
        <v>8762</v>
      </c>
      <c r="G3524" s="10" t="s">
        <v>2437</v>
      </c>
      <c r="H3524" s="10" t="s">
        <v>3847</v>
      </c>
      <c r="I3524" s="10" t="s">
        <v>55</v>
      </c>
      <c r="K3524" s="10" t="s">
        <v>8763</v>
      </c>
      <c r="L3524" s="10" t="s">
        <v>42</v>
      </c>
    </row>
    <row r="3525" ht="15.75" customHeight="1">
      <c r="A3525" s="64">
        <v>45444.0</v>
      </c>
      <c r="B3525" s="55" t="str">
        <f>HYPERLINK("https://jobright.ai/jobs/info/6677d82a5793f82273cb4af0?utm_campaign=1062&amp;utm_source=sheet", "Apply")</f>
        <v>Apply</v>
      </c>
      <c r="C3525" s="10" t="s">
        <v>8764</v>
      </c>
      <c r="D3525" s="56" t="s">
        <v>4662</v>
      </c>
      <c r="E3525" s="10" t="s">
        <v>79</v>
      </c>
      <c r="F3525" s="10" t="s">
        <v>3205</v>
      </c>
      <c r="G3525" s="10" t="s">
        <v>2605</v>
      </c>
      <c r="H3525" s="10" t="s">
        <v>3374</v>
      </c>
      <c r="I3525" s="10" t="s">
        <v>55</v>
      </c>
      <c r="K3525" s="10" t="s">
        <v>8765</v>
      </c>
      <c r="L3525" s="10" t="s">
        <v>42</v>
      </c>
    </row>
    <row r="3526" ht="15.75" customHeight="1">
      <c r="A3526" s="64">
        <v>45444.0</v>
      </c>
      <c r="B3526" s="55" t="str">
        <f>HYPERLINK("https://jobright.ai/jobs/info/6677d85c5793f82273cb4e5a?utm_campaign=1062&amp;utm_source=sheet", "Apply")</f>
        <v>Apply</v>
      </c>
      <c r="C3526" s="10" t="s">
        <v>8766</v>
      </c>
      <c r="D3526" s="56" t="s">
        <v>8767</v>
      </c>
      <c r="E3526" s="10" t="s">
        <v>249</v>
      </c>
      <c r="F3526" s="10" t="s">
        <v>4022</v>
      </c>
      <c r="G3526" s="10" t="s">
        <v>2470</v>
      </c>
      <c r="H3526" s="10" t="s">
        <v>3634</v>
      </c>
      <c r="I3526" s="10" t="s">
        <v>55</v>
      </c>
      <c r="K3526" s="10" t="s">
        <v>8768</v>
      </c>
      <c r="L3526" s="10" t="s">
        <v>42</v>
      </c>
    </row>
    <row r="3527" ht="15.75" customHeight="1">
      <c r="A3527" s="64">
        <v>45444.0</v>
      </c>
      <c r="B3527" s="55" t="str">
        <f>HYPERLINK("https://jobright.ai/jobs/info/6677ddc5fbac42152a14716d?utm_campaign=1062&amp;utm_source=sheet", "Apply")</f>
        <v>Apply</v>
      </c>
      <c r="C3527" s="10" t="s">
        <v>8769</v>
      </c>
      <c r="D3527" s="56" t="s">
        <v>196</v>
      </c>
      <c r="E3527" s="10" t="s">
        <v>71</v>
      </c>
      <c r="F3527" s="10" t="s">
        <v>197</v>
      </c>
      <c r="G3527" s="10" t="s">
        <v>2448</v>
      </c>
      <c r="H3527" s="10" t="s">
        <v>193</v>
      </c>
      <c r="I3527" s="10" t="s">
        <v>55</v>
      </c>
      <c r="J3527" s="10" t="s">
        <v>6879</v>
      </c>
      <c r="K3527" s="10" t="s">
        <v>8770</v>
      </c>
      <c r="L3527" s="10" t="s">
        <v>42</v>
      </c>
    </row>
    <row r="3528" ht="15.75" customHeight="1">
      <c r="A3528" s="64">
        <v>45443.0</v>
      </c>
      <c r="B3528" s="55" t="str">
        <f>HYPERLINK("https://jobright.ai/jobs/info/6675ef3f3f0763b7548cf627?utm_campaign=1062&amp;utm_source=sheet", "Apply")</f>
        <v>Apply</v>
      </c>
      <c r="C3528" s="10" t="s">
        <v>301</v>
      </c>
      <c r="D3528" s="56" t="s">
        <v>7561</v>
      </c>
      <c r="E3528" s="10" t="s">
        <v>79</v>
      </c>
      <c r="F3528" s="10" t="s">
        <v>3486</v>
      </c>
      <c r="G3528" s="10" t="s">
        <v>2448</v>
      </c>
      <c r="H3528" s="10" t="s">
        <v>245</v>
      </c>
      <c r="I3528" s="10" t="s">
        <v>55</v>
      </c>
      <c r="K3528" s="10" t="s">
        <v>8771</v>
      </c>
      <c r="L3528" s="10" t="s">
        <v>42</v>
      </c>
    </row>
    <row r="3529" ht="15.75" customHeight="1">
      <c r="A3529" s="64">
        <v>45443.0</v>
      </c>
      <c r="B3529" s="55" t="str">
        <f>HYPERLINK("https://jobright.ai/jobs/info/665e18cb1c2e106b5b3443ad?utm_campaign=1062&amp;utm_source=sheet", "Apply")</f>
        <v>Apply</v>
      </c>
      <c r="C3529" s="10" t="s">
        <v>8772</v>
      </c>
      <c r="D3529" s="56" t="s">
        <v>8773</v>
      </c>
      <c r="E3529" s="10" t="s">
        <v>45</v>
      </c>
      <c r="F3529" s="10" t="s">
        <v>3167</v>
      </c>
      <c r="G3529" s="10" t="s">
        <v>2448</v>
      </c>
      <c r="H3529" s="10" t="s">
        <v>8774</v>
      </c>
      <c r="I3529" s="10" t="s">
        <v>55</v>
      </c>
      <c r="K3529" s="10" t="s">
        <v>8775</v>
      </c>
      <c r="L3529" s="10" t="s">
        <v>42</v>
      </c>
    </row>
    <row r="3530" ht="15.75" customHeight="1">
      <c r="A3530" s="64">
        <v>45443.0</v>
      </c>
      <c r="B3530" s="55" t="str">
        <f>HYPERLINK("https://jobright.ai/jobs/info/66347ad8a810e61fed29087d?utm_campaign=1062&amp;utm_source=sheet", "Apply")</f>
        <v>Apply</v>
      </c>
      <c r="C3530" s="10" t="s">
        <v>8776</v>
      </c>
      <c r="D3530" s="56" t="s">
        <v>8777</v>
      </c>
      <c r="E3530" s="10" t="s">
        <v>249</v>
      </c>
      <c r="F3530" s="10" t="s">
        <v>486</v>
      </c>
      <c r="G3530" s="10" t="s">
        <v>2437</v>
      </c>
      <c r="H3530" s="10" t="s">
        <v>3741</v>
      </c>
      <c r="I3530" s="10" t="s">
        <v>55</v>
      </c>
      <c r="K3530" s="10" t="s">
        <v>8778</v>
      </c>
      <c r="L3530" s="10" t="s">
        <v>42</v>
      </c>
    </row>
    <row r="3531" ht="15.75" customHeight="1">
      <c r="A3531" s="64">
        <v>45443.0</v>
      </c>
      <c r="B3531" s="55" t="str">
        <f>HYPERLINK("https://jobright.ai/jobs/info/6675f2f72617111d53a43e33?utm_campaign=1062&amp;utm_source=sheet", "Apply")</f>
        <v>Apply</v>
      </c>
      <c r="C3531" s="10" t="s">
        <v>8779</v>
      </c>
      <c r="D3531" s="56" t="s">
        <v>8780</v>
      </c>
      <c r="E3531" s="10" t="s">
        <v>137</v>
      </c>
      <c r="F3531" s="10" t="s">
        <v>8781</v>
      </c>
      <c r="G3531" s="10" t="s">
        <v>2502</v>
      </c>
      <c r="H3531" s="10" t="s">
        <v>1260</v>
      </c>
      <c r="I3531" s="10" t="s">
        <v>55</v>
      </c>
      <c r="K3531" s="10" t="s">
        <v>8782</v>
      </c>
      <c r="L3531" s="10" t="s">
        <v>42</v>
      </c>
    </row>
    <row r="3532" ht="15.75" customHeight="1">
      <c r="A3532" s="64">
        <v>45443.0</v>
      </c>
      <c r="B3532" s="55" t="str">
        <f>HYPERLINK("https://jobright.ai/jobs/info/6659fac1f9ad58908c80e8ad?utm_campaign=1062&amp;utm_source=sheet", "Apply")</f>
        <v>Apply</v>
      </c>
      <c r="C3532" s="10" t="s">
        <v>8783</v>
      </c>
      <c r="D3532" s="56" t="s">
        <v>8784</v>
      </c>
      <c r="E3532" s="10" t="s">
        <v>65</v>
      </c>
      <c r="G3532" s="10" t="s">
        <v>2448</v>
      </c>
      <c r="H3532" s="10" t="s">
        <v>8785</v>
      </c>
      <c r="I3532" s="10" t="s">
        <v>55</v>
      </c>
      <c r="J3532" s="10" t="s">
        <v>8786</v>
      </c>
      <c r="K3532" s="10" t="s">
        <v>8787</v>
      </c>
      <c r="L3532" s="10" t="s">
        <v>42</v>
      </c>
    </row>
    <row r="3533" ht="15.75" customHeight="1">
      <c r="A3533" s="64">
        <v>45443.0</v>
      </c>
      <c r="B3533" s="55" t="str">
        <f>HYPERLINK("https://jobright.ai/jobs/info/6675f3592617111d53a444d7?utm_campaign=1062&amp;utm_source=sheet", "Apply")</f>
        <v>Apply</v>
      </c>
      <c r="C3533" s="10" t="s">
        <v>8788</v>
      </c>
      <c r="D3533" s="56" t="s">
        <v>3850</v>
      </c>
      <c r="E3533" s="10" t="s">
        <v>137</v>
      </c>
      <c r="F3533" s="10" t="s">
        <v>3851</v>
      </c>
      <c r="G3533" s="10" t="s">
        <v>2495</v>
      </c>
      <c r="H3533" s="10" t="s">
        <v>354</v>
      </c>
      <c r="I3533" s="10" t="s">
        <v>55</v>
      </c>
      <c r="K3533" s="10" t="s">
        <v>8789</v>
      </c>
      <c r="L3533" s="10" t="s">
        <v>42</v>
      </c>
    </row>
    <row r="3534" ht="15.75" customHeight="1">
      <c r="A3534" s="64">
        <v>45443.0</v>
      </c>
      <c r="B3534" s="55" t="str">
        <f>HYPERLINK("https://jobright.ai/jobs/info/6675f2f72617111d53a43e96?utm_campaign=1062&amp;utm_source=sheet", "Apply")</f>
        <v>Apply</v>
      </c>
      <c r="C3534" s="10" t="s">
        <v>8790</v>
      </c>
      <c r="D3534" s="56" t="s">
        <v>3589</v>
      </c>
      <c r="E3534" s="10" t="s">
        <v>45</v>
      </c>
      <c r="F3534" s="10" t="s">
        <v>2554</v>
      </c>
      <c r="G3534" s="10" t="s">
        <v>2470</v>
      </c>
      <c r="H3534" s="10" t="s">
        <v>7783</v>
      </c>
      <c r="I3534" s="10" t="s">
        <v>55</v>
      </c>
      <c r="K3534" s="10" t="s">
        <v>7784</v>
      </c>
      <c r="L3534" s="10" t="s">
        <v>42</v>
      </c>
    </row>
    <row r="3535" ht="15.75" customHeight="1">
      <c r="A3535" s="64">
        <v>45443.0</v>
      </c>
      <c r="B3535" s="55" t="str">
        <f>HYPERLINK("https://jobright.ai/jobs/info/666c584d823f552c1d94e9ae?utm_campaign=1062&amp;utm_source=sheet", "Apply")</f>
        <v>Apply</v>
      </c>
      <c r="C3535" s="10" t="s">
        <v>8791</v>
      </c>
      <c r="D3535" s="56" t="s">
        <v>2922</v>
      </c>
      <c r="E3535" s="10" t="s">
        <v>45</v>
      </c>
      <c r="F3535" s="10" t="s">
        <v>1234</v>
      </c>
      <c r="G3535" s="10" t="s">
        <v>2448</v>
      </c>
      <c r="H3535" s="10" t="s">
        <v>965</v>
      </c>
      <c r="I3535" s="10" t="s">
        <v>55</v>
      </c>
      <c r="K3535" s="10" t="s">
        <v>8792</v>
      </c>
      <c r="L3535" s="10" t="s">
        <v>42</v>
      </c>
    </row>
    <row r="3536" ht="15.75" customHeight="1">
      <c r="A3536" s="64">
        <v>45443.0</v>
      </c>
      <c r="B3536" s="55" t="str">
        <f>HYPERLINK("https://jobright.ai/jobs/info/6675fcd49592a403f10714c2?utm_campaign=1062&amp;utm_source=sheet", "Apply")</f>
        <v>Apply</v>
      </c>
      <c r="C3536" s="10" t="s">
        <v>8793</v>
      </c>
      <c r="D3536" s="56" t="s">
        <v>8794</v>
      </c>
      <c r="E3536" s="10">
        <v>2.0</v>
      </c>
      <c r="G3536" s="10" t="s">
        <v>2807</v>
      </c>
      <c r="H3536" s="10" t="s">
        <v>188</v>
      </c>
      <c r="I3536" s="10" t="s">
        <v>55</v>
      </c>
      <c r="J3536" s="10" t="s">
        <v>8795</v>
      </c>
      <c r="K3536" s="10" t="s">
        <v>8796</v>
      </c>
      <c r="L3536" s="10" t="s">
        <v>42</v>
      </c>
    </row>
    <row r="3537" ht="15.75" customHeight="1">
      <c r="A3537" s="64">
        <v>45443.0</v>
      </c>
      <c r="B3537" s="55" t="str">
        <f>HYPERLINK("https://jobright.ai/jobs/info/665c01c8a73df22247e1eb4b?utm_campaign=1062&amp;utm_source=sheet", "Apply")</f>
        <v>Apply</v>
      </c>
      <c r="C3537" s="10" t="s">
        <v>8797</v>
      </c>
      <c r="D3537" s="56" t="s">
        <v>1836</v>
      </c>
      <c r="E3537" s="10" t="s">
        <v>45</v>
      </c>
      <c r="F3537" s="10" t="s">
        <v>1266</v>
      </c>
      <c r="G3537" s="10" t="s">
        <v>2443</v>
      </c>
      <c r="H3537" s="10" t="s">
        <v>2107</v>
      </c>
      <c r="I3537" s="10" t="s">
        <v>55</v>
      </c>
      <c r="J3537" s="10" t="s">
        <v>1837</v>
      </c>
      <c r="K3537" s="10" t="s">
        <v>8798</v>
      </c>
      <c r="L3537" s="10" t="s">
        <v>42</v>
      </c>
    </row>
    <row r="3538" ht="15.75" customHeight="1">
      <c r="A3538" s="64">
        <v>45443.0</v>
      </c>
      <c r="B3538" s="55" t="str">
        <f>HYPERLINK("https://jobright.ai/jobs/info/666b6b3f5e888287404d9741?utm_campaign=1062&amp;utm_source=sheet", "Apply")</f>
        <v>Apply</v>
      </c>
      <c r="C3538" s="10" t="s">
        <v>8799</v>
      </c>
      <c r="D3538" s="56" t="s">
        <v>196</v>
      </c>
      <c r="E3538" s="10" t="s">
        <v>71</v>
      </c>
      <c r="F3538" s="10" t="s">
        <v>197</v>
      </c>
      <c r="G3538" s="10" t="s">
        <v>2448</v>
      </c>
      <c r="H3538" s="10" t="s">
        <v>2352</v>
      </c>
      <c r="I3538" s="10" t="s">
        <v>55</v>
      </c>
      <c r="K3538" s="10" t="s">
        <v>8800</v>
      </c>
      <c r="L3538" s="10" t="s">
        <v>42</v>
      </c>
    </row>
    <row r="3539" ht="15.75" customHeight="1">
      <c r="A3539" s="64">
        <v>45443.0</v>
      </c>
      <c r="B3539" s="55" t="str">
        <f>HYPERLINK("https://jobright.ai/jobs/info/666c83ea1cdb951cdbe5ff16?utm_campaign=1062&amp;utm_source=sheet", "Apply")</f>
        <v>Apply</v>
      </c>
      <c r="C3539" s="10" t="s">
        <v>6459</v>
      </c>
      <c r="D3539" s="56" t="s">
        <v>4152</v>
      </c>
      <c r="E3539" s="10" t="s">
        <v>249</v>
      </c>
      <c r="F3539" s="10" t="s">
        <v>1587</v>
      </c>
      <c r="G3539" s="10" t="s">
        <v>2448</v>
      </c>
      <c r="H3539" s="10" t="s">
        <v>113</v>
      </c>
      <c r="I3539" s="10" t="s">
        <v>55</v>
      </c>
      <c r="J3539" s="10" t="s">
        <v>8801</v>
      </c>
      <c r="K3539" s="10" t="s">
        <v>6461</v>
      </c>
      <c r="L3539" s="10" t="s">
        <v>42</v>
      </c>
    </row>
    <row r="3540" ht="15.75" customHeight="1">
      <c r="A3540" s="64">
        <v>45443.0</v>
      </c>
      <c r="B3540" s="55" t="str">
        <f>HYPERLINK("https://jobright.ai/jobs/info/66685e59b3577e6d5da7aa92?utm_campaign=1062&amp;utm_source=sheet", "Apply")</f>
        <v>Apply</v>
      </c>
      <c r="C3540" s="10" t="s">
        <v>8802</v>
      </c>
      <c r="D3540" s="56" t="s">
        <v>8803</v>
      </c>
      <c r="E3540" s="10">
        <v>8.0</v>
      </c>
      <c r="G3540" s="10" t="s">
        <v>2448</v>
      </c>
      <c r="H3540" s="10" t="s">
        <v>2275</v>
      </c>
      <c r="I3540" s="10" t="s">
        <v>55</v>
      </c>
      <c r="K3540" s="10" t="s">
        <v>8804</v>
      </c>
      <c r="L3540" s="10" t="s">
        <v>42</v>
      </c>
    </row>
    <row r="3541" ht="15.75" customHeight="1">
      <c r="A3541" s="64">
        <v>45443.0</v>
      </c>
      <c r="B3541" s="55" t="str">
        <f>HYPERLINK("https://jobright.ai/jobs/info/665d81412492096ac068fe6f?utm_campaign=1062&amp;utm_source=sheet", "Apply")</f>
        <v>Apply</v>
      </c>
      <c r="C3541" s="10" t="s">
        <v>8805</v>
      </c>
      <c r="D3541" s="56" t="s">
        <v>8806</v>
      </c>
      <c r="E3541" s="10" t="s">
        <v>79</v>
      </c>
      <c r="F3541" s="10" t="s">
        <v>568</v>
      </c>
      <c r="G3541" s="10" t="s">
        <v>2464</v>
      </c>
      <c r="H3541" s="10" t="s">
        <v>8807</v>
      </c>
      <c r="I3541" s="10" t="s">
        <v>55</v>
      </c>
      <c r="K3541" s="10" t="s">
        <v>8808</v>
      </c>
      <c r="L3541" s="10" t="s">
        <v>42</v>
      </c>
    </row>
    <row r="3542" ht="15.75" customHeight="1">
      <c r="A3542" s="64">
        <v>45442.0</v>
      </c>
      <c r="B3542" s="55" t="str">
        <f>HYPERLINK("https://jobright.ai/jobs/info/66592b44fb1dd944df459e35?utm_campaign=1062&amp;utm_source=sheet", "Apply")</f>
        <v>Apply</v>
      </c>
      <c r="C3542" s="10" t="s">
        <v>8809</v>
      </c>
      <c r="D3542" s="56" t="s">
        <v>8810</v>
      </c>
      <c r="E3542" s="10" t="s">
        <v>65</v>
      </c>
      <c r="F3542" s="10" t="s">
        <v>2942</v>
      </c>
      <c r="G3542" s="10" t="s">
        <v>2470</v>
      </c>
      <c r="H3542" s="10" t="s">
        <v>8811</v>
      </c>
      <c r="I3542" s="10" t="s">
        <v>55</v>
      </c>
      <c r="J3542" s="10" t="s">
        <v>1244</v>
      </c>
      <c r="K3542" s="10" t="s">
        <v>8812</v>
      </c>
      <c r="L3542" s="10" t="s">
        <v>42</v>
      </c>
    </row>
    <row r="3543" ht="15.75" customHeight="1">
      <c r="A3543" s="64">
        <v>45442.0</v>
      </c>
      <c r="B3543" s="55" t="str">
        <f>HYPERLINK("https://jobright.ai/jobs/info/66591737e3ecf9e1b066093e?utm_campaign=1062&amp;utm_source=sheet", "Apply")</f>
        <v>Apply</v>
      </c>
      <c r="C3543" s="10" t="s">
        <v>8813</v>
      </c>
      <c r="D3543" s="56" t="s">
        <v>8814</v>
      </c>
      <c r="E3543" s="10" t="s">
        <v>249</v>
      </c>
      <c r="F3543" s="10" t="s">
        <v>1323</v>
      </c>
      <c r="G3543" s="10" t="s">
        <v>2448</v>
      </c>
      <c r="H3543" s="10" t="s">
        <v>3326</v>
      </c>
      <c r="I3543" s="10" t="s">
        <v>55</v>
      </c>
      <c r="J3543" s="10" t="s">
        <v>8815</v>
      </c>
      <c r="K3543" s="10" t="s">
        <v>8816</v>
      </c>
      <c r="L3543" s="10" t="s">
        <v>42</v>
      </c>
    </row>
    <row r="3544" ht="15.75" customHeight="1">
      <c r="A3544" s="64">
        <v>45442.0</v>
      </c>
      <c r="B3544" s="55" t="str">
        <f>HYPERLINK("https://jobright.ai/jobs/info/6658cebf61791d2e01353fa0?utm_campaign=1062&amp;utm_source=sheet", "Apply")</f>
        <v>Apply</v>
      </c>
      <c r="C3544" s="10" t="s">
        <v>8817</v>
      </c>
      <c r="D3544" s="56" t="s">
        <v>8818</v>
      </c>
      <c r="E3544" s="10" t="s">
        <v>45</v>
      </c>
      <c r="F3544" s="10" t="s">
        <v>1296</v>
      </c>
      <c r="G3544" s="10" t="s">
        <v>2484</v>
      </c>
      <c r="H3544" s="10" t="s">
        <v>8819</v>
      </c>
      <c r="I3544" s="10" t="s">
        <v>55</v>
      </c>
      <c r="K3544" s="10" t="s">
        <v>8820</v>
      </c>
      <c r="L3544" s="10" t="s">
        <v>42</v>
      </c>
    </row>
    <row r="3545" ht="15.75" customHeight="1">
      <c r="A3545" s="64">
        <v>45442.0</v>
      </c>
      <c r="B3545" s="55" t="str">
        <f>HYPERLINK("https://jobright.ai/jobs/info/66801041837d16e3277f5f28?utm_campaign=1062&amp;utm_source=sheet", "Apply")</f>
        <v>Apply</v>
      </c>
      <c r="C3545" s="10" t="s">
        <v>8377</v>
      </c>
      <c r="D3545" s="56" t="s">
        <v>2922</v>
      </c>
      <c r="E3545" s="10" t="s">
        <v>45</v>
      </c>
      <c r="F3545" s="10" t="s">
        <v>1234</v>
      </c>
      <c r="G3545" s="10" t="s">
        <v>2443</v>
      </c>
      <c r="H3545" s="10" t="s">
        <v>965</v>
      </c>
      <c r="I3545" s="10" t="s">
        <v>55</v>
      </c>
      <c r="K3545" s="10" t="s">
        <v>8821</v>
      </c>
      <c r="L3545" s="10" t="s">
        <v>42</v>
      </c>
    </row>
    <row r="3546" ht="15.75" customHeight="1">
      <c r="A3546" s="64">
        <v>45442.0</v>
      </c>
      <c r="B3546" s="55" t="str">
        <f>HYPERLINK("https://jobright.ai/jobs/info/667fef41c72a4cb5f3dd7fa8?utm_campaign=1062&amp;utm_source=sheet", "Apply")</f>
        <v>Apply</v>
      </c>
      <c r="C3546" s="10" t="s">
        <v>6647</v>
      </c>
      <c r="D3546" s="56" t="s">
        <v>6648</v>
      </c>
      <c r="E3546" s="10" t="s">
        <v>45</v>
      </c>
      <c r="F3546" s="10" t="s">
        <v>1454</v>
      </c>
      <c r="G3546" s="10" t="s">
        <v>2448</v>
      </c>
      <c r="H3546" s="10" t="s">
        <v>4813</v>
      </c>
      <c r="I3546" s="10" t="s">
        <v>55</v>
      </c>
      <c r="K3546" s="10" t="s">
        <v>8568</v>
      </c>
      <c r="L3546" s="10" t="s">
        <v>42</v>
      </c>
    </row>
    <row r="3547" ht="15.75" customHeight="1">
      <c r="A3547" s="64">
        <v>45442.0</v>
      </c>
      <c r="B3547" s="55" t="str">
        <f>HYPERLINK("https://jobright.ai/jobs/info/664e494ce2794cc911da5d8a?utm_campaign=1062&amp;utm_source=sheet", "Apply")</f>
        <v>Apply</v>
      </c>
      <c r="C3547" s="10" t="s">
        <v>8822</v>
      </c>
      <c r="D3547" s="56" t="s">
        <v>8823</v>
      </c>
      <c r="E3547" s="10" t="s">
        <v>45</v>
      </c>
      <c r="F3547" s="10" t="s">
        <v>5878</v>
      </c>
      <c r="G3547" s="10" t="s">
        <v>2495</v>
      </c>
      <c r="H3547" s="10" t="s">
        <v>8824</v>
      </c>
      <c r="I3547" s="10" t="s">
        <v>55</v>
      </c>
      <c r="K3547" s="10" t="s">
        <v>8825</v>
      </c>
      <c r="L3547" s="10" t="s">
        <v>42</v>
      </c>
    </row>
    <row r="3548" ht="15.75" customHeight="1">
      <c r="A3548" s="64">
        <v>45442.0</v>
      </c>
      <c r="B3548" s="55" t="str">
        <f>HYPERLINK("https://jobright.ai/jobs/info/66592bb3fb1dd944df45a783?utm_campaign=1062&amp;utm_source=sheet", "Apply")</f>
        <v>Apply</v>
      </c>
      <c r="C3548" s="10" t="s">
        <v>8764</v>
      </c>
      <c r="D3548" s="56" t="s">
        <v>4662</v>
      </c>
      <c r="E3548" s="10" t="s">
        <v>79</v>
      </c>
      <c r="F3548" s="10" t="s">
        <v>3205</v>
      </c>
      <c r="G3548" s="10" t="s">
        <v>2605</v>
      </c>
      <c r="H3548" s="10" t="s">
        <v>2212</v>
      </c>
      <c r="I3548" s="10" t="s">
        <v>55</v>
      </c>
      <c r="K3548" s="10" t="s">
        <v>8765</v>
      </c>
      <c r="L3548" s="10" t="s">
        <v>42</v>
      </c>
    </row>
    <row r="3549" ht="15.75" customHeight="1">
      <c r="A3549" s="64">
        <v>45442.0</v>
      </c>
      <c r="B3549" s="55" t="str">
        <f>HYPERLINK("https://jobright.ai/jobs/info/66686a508208ff983dbcec0a?utm_campaign=1062&amp;utm_source=sheet", "Apply")</f>
        <v>Apply</v>
      </c>
      <c r="C3549" s="10" t="s">
        <v>8826</v>
      </c>
      <c r="D3549" s="56" t="s">
        <v>4750</v>
      </c>
      <c r="E3549" s="10" t="s">
        <v>209</v>
      </c>
      <c r="F3549" s="10" t="s">
        <v>1909</v>
      </c>
      <c r="G3549" s="10" t="s">
        <v>2437</v>
      </c>
      <c r="H3549" s="10" t="s">
        <v>8827</v>
      </c>
      <c r="I3549" s="10" t="s">
        <v>55</v>
      </c>
      <c r="J3549" s="10" t="s">
        <v>8828</v>
      </c>
      <c r="K3549" s="10" t="s">
        <v>8829</v>
      </c>
      <c r="L3549" s="10" t="s">
        <v>42</v>
      </c>
    </row>
    <row r="3550" ht="15.75" customHeight="1">
      <c r="A3550" s="64">
        <v>45442.0</v>
      </c>
      <c r="B3550" s="55" t="str">
        <f>HYPERLINK("https://jobright.ai/jobs/info/66685ee6b3577e6d5da7abbd?utm_campaign=1062&amp;utm_source=sheet", "Apply")</f>
        <v>Apply</v>
      </c>
      <c r="C3550" s="10" t="s">
        <v>8830</v>
      </c>
      <c r="D3550" s="56" t="s">
        <v>1496</v>
      </c>
      <c r="E3550" s="10" t="s">
        <v>45</v>
      </c>
      <c r="F3550" s="10" t="s">
        <v>1497</v>
      </c>
      <c r="G3550" s="10" t="s">
        <v>2448</v>
      </c>
      <c r="H3550" s="10" t="s">
        <v>8831</v>
      </c>
      <c r="I3550" s="10" t="s">
        <v>55</v>
      </c>
      <c r="K3550" s="10" t="s">
        <v>8832</v>
      </c>
      <c r="L3550" s="10" t="s">
        <v>42</v>
      </c>
    </row>
    <row r="3551" ht="15.75" customHeight="1">
      <c r="A3551" s="64">
        <v>45442.0</v>
      </c>
      <c r="B3551" s="55" t="str">
        <f>HYPERLINK("https://jobright.ai/jobs/info/66686b228208ff983dbcee1b?utm_campaign=1062&amp;utm_source=sheet", "Apply")</f>
        <v>Apply</v>
      </c>
      <c r="C3551" s="10" t="s">
        <v>8373</v>
      </c>
      <c r="D3551" s="56" t="s">
        <v>196</v>
      </c>
      <c r="E3551" s="10" t="s">
        <v>71</v>
      </c>
      <c r="F3551" s="10" t="s">
        <v>197</v>
      </c>
      <c r="G3551" s="10" t="s">
        <v>2448</v>
      </c>
      <c r="H3551" s="10" t="s">
        <v>2352</v>
      </c>
      <c r="I3551" s="10" t="s">
        <v>55</v>
      </c>
      <c r="K3551" s="10" t="s">
        <v>8833</v>
      </c>
      <c r="L3551" s="10" t="s">
        <v>42</v>
      </c>
    </row>
    <row r="3552" ht="15.75" customHeight="1">
      <c r="A3552" s="64">
        <v>45442.0</v>
      </c>
      <c r="B3552" s="55" t="str">
        <f>HYPERLINK("https://jobright.ai/jobs/info/66686add8208ff983dbced9e?utm_campaign=1062&amp;utm_source=sheet", "Apply")</f>
        <v>Apply</v>
      </c>
      <c r="C3552" s="10" t="s">
        <v>3236</v>
      </c>
      <c r="D3552" s="56" t="s">
        <v>7583</v>
      </c>
      <c r="E3552" s="10" t="s">
        <v>209</v>
      </c>
      <c r="F3552" s="10" t="s">
        <v>486</v>
      </c>
      <c r="G3552" s="10" t="s">
        <v>2484</v>
      </c>
      <c r="H3552" s="10" t="s">
        <v>8834</v>
      </c>
      <c r="I3552" s="10" t="s">
        <v>55</v>
      </c>
      <c r="K3552" s="10" t="s">
        <v>8835</v>
      </c>
      <c r="L3552" s="10" t="s">
        <v>42</v>
      </c>
    </row>
    <row r="3553" ht="15.75" customHeight="1">
      <c r="A3553" s="64">
        <v>45442.0</v>
      </c>
      <c r="B3553" s="55" t="str">
        <f>HYPERLINK("https://jobright.ai/jobs/info/666aff6002826848dc7fa5f9?utm_campaign=1062&amp;utm_source=sheet", "Apply")</f>
        <v>Apply</v>
      </c>
      <c r="C3553" s="10" t="s">
        <v>5714</v>
      </c>
      <c r="D3553" s="56" t="s">
        <v>5715</v>
      </c>
      <c r="E3553" s="10" t="s">
        <v>65</v>
      </c>
      <c r="F3553" s="10" t="s">
        <v>1274</v>
      </c>
      <c r="G3553" s="10" t="s">
        <v>2470</v>
      </c>
      <c r="H3553" s="10" t="s">
        <v>8836</v>
      </c>
      <c r="I3553" s="10" t="s">
        <v>55</v>
      </c>
      <c r="J3553" s="10" t="s">
        <v>5716</v>
      </c>
      <c r="K3553" s="10" t="s">
        <v>5717</v>
      </c>
      <c r="L3553" s="10" t="s">
        <v>42</v>
      </c>
    </row>
    <row r="3554" ht="15.75" customHeight="1">
      <c r="A3554" s="64">
        <v>45442.0</v>
      </c>
      <c r="B3554" s="55" t="str">
        <f>HYPERLINK("https://jobright.ai/jobs/info/665d81552492096ac068ffb9?utm_campaign=1062&amp;utm_source=sheet", "Apply")</f>
        <v>Apply</v>
      </c>
      <c r="C3554" s="10" t="s">
        <v>8837</v>
      </c>
      <c r="D3554" s="56" t="s">
        <v>8838</v>
      </c>
      <c r="E3554" s="10" t="s">
        <v>276</v>
      </c>
      <c r="F3554" s="10" t="s">
        <v>8839</v>
      </c>
      <c r="G3554" s="10" t="s">
        <v>2495</v>
      </c>
      <c r="H3554" s="10" t="s">
        <v>2275</v>
      </c>
      <c r="I3554" s="10" t="s">
        <v>55</v>
      </c>
      <c r="K3554" s="10" t="s">
        <v>8840</v>
      </c>
      <c r="L3554" s="10" t="s">
        <v>42</v>
      </c>
    </row>
    <row r="3555" ht="15.75" customHeight="1">
      <c r="A3555" s="64">
        <v>45441.0</v>
      </c>
      <c r="B3555" s="55" t="str">
        <f>HYPERLINK("https://jobright.ai/jobs/info/6657cd761463f7308380e05d?utm_campaign=1062&amp;utm_source=sheet", "Apply")</f>
        <v>Apply</v>
      </c>
      <c r="C3555" s="10" t="s">
        <v>8841</v>
      </c>
      <c r="D3555" s="56" t="s">
        <v>1547</v>
      </c>
      <c r="E3555" s="10">
        <v>408.0</v>
      </c>
      <c r="G3555" s="10" t="s">
        <v>2443</v>
      </c>
      <c r="H3555" s="10" t="s">
        <v>8243</v>
      </c>
      <c r="I3555" s="10" t="s">
        <v>55</v>
      </c>
      <c r="J3555" s="10" t="s">
        <v>8842</v>
      </c>
      <c r="K3555" s="10" t="s">
        <v>8843</v>
      </c>
      <c r="L3555" s="10" t="s">
        <v>42</v>
      </c>
    </row>
    <row r="3556" ht="15.75" customHeight="1">
      <c r="A3556" s="64">
        <v>45441.0</v>
      </c>
      <c r="B3556" s="55" t="str">
        <f>HYPERLINK("https://jobright.ai/jobs/info/6657878c841512a8c9bfc2a0?utm_campaign=1062&amp;utm_source=sheet", "Apply")</f>
        <v>Apply</v>
      </c>
      <c r="C3556" s="10" t="s">
        <v>8844</v>
      </c>
      <c r="D3556" s="56" t="s">
        <v>8845</v>
      </c>
      <c r="E3556" s="10" t="s">
        <v>45</v>
      </c>
      <c r="F3556" s="10" t="s">
        <v>8846</v>
      </c>
      <c r="G3556" s="10" t="s">
        <v>2495</v>
      </c>
      <c r="H3556" s="10" t="s">
        <v>8847</v>
      </c>
      <c r="I3556" s="10" t="s">
        <v>55</v>
      </c>
      <c r="K3556" s="10" t="s">
        <v>8848</v>
      </c>
      <c r="L3556" s="10" t="s">
        <v>42</v>
      </c>
    </row>
    <row r="3557" ht="15.75" customHeight="1">
      <c r="A3557" s="64">
        <v>45441.0</v>
      </c>
      <c r="B3557" s="55" t="str">
        <f>HYPERLINK("https://jobright.ai/jobs/info/667e9bf28bb72220804fd68b?utm_campaign=1062&amp;utm_source=sheet", "Apply")</f>
        <v>Apply</v>
      </c>
      <c r="C3557" s="10" t="s">
        <v>8849</v>
      </c>
      <c r="D3557" s="56" t="s">
        <v>196</v>
      </c>
      <c r="E3557" s="10" t="s">
        <v>71</v>
      </c>
      <c r="F3557" s="10" t="s">
        <v>197</v>
      </c>
      <c r="G3557" s="10" t="s">
        <v>2448</v>
      </c>
      <c r="H3557" s="10" t="s">
        <v>193</v>
      </c>
      <c r="I3557" s="10" t="s">
        <v>55</v>
      </c>
      <c r="K3557" s="10" t="s">
        <v>8850</v>
      </c>
      <c r="L3557" s="10" t="s">
        <v>42</v>
      </c>
    </row>
    <row r="3558" ht="15.75" customHeight="1">
      <c r="A3558" s="64">
        <v>45441.0</v>
      </c>
      <c r="B3558" s="55" t="str">
        <f>HYPERLINK("https://jobright.ai/jobs/info/6657d228e5ee7e7a7e093319?utm_campaign=1062&amp;utm_source=sheet", "Apply")</f>
        <v>Apply</v>
      </c>
      <c r="C3558" s="10" t="s">
        <v>8851</v>
      </c>
      <c r="D3558" s="56" t="s">
        <v>4765</v>
      </c>
      <c r="E3558" s="10" t="s">
        <v>45</v>
      </c>
      <c r="F3558" s="10" t="s">
        <v>2824</v>
      </c>
      <c r="G3558" s="10" t="s">
        <v>2448</v>
      </c>
      <c r="H3558" s="10" t="s">
        <v>2005</v>
      </c>
      <c r="I3558" s="10" t="s">
        <v>55</v>
      </c>
      <c r="K3558" s="10" t="s">
        <v>8852</v>
      </c>
      <c r="L3558" s="10" t="s">
        <v>42</v>
      </c>
    </row>
    <row r="3559" ht="15.75" customHeight="1">
      <c r="A3559" s="64">
        <v>45441.0</v>
      </c>
      <c r="B3559" s="55" t="str">
        <f>HYPERLINK("https://jobright.ai/jobs/info/666874d833709360ffdc8cac?utm_campaign=1062&amp;utm_source=sheet", "Apply")</f>
        <v>Apply</v>
      </c>
      <c r="C3559" s="10" t="s">
        <v>5912</v>
      </c>
      <c r="D3559" s="56" t="s">
        <v>4392</v>
      </c>
      <c r="E3559" s="10" t="s">
        <v>45</v>
      </c>
      <c r="F3559" s="10" t="s">
        <v>4393</v>
      </c>
      <c r="G3559" s="10" t="s">
        <v>2502</v>
      </c>
      <c r="H3559" s="10" t="s">
        <v>8597</v>
      </c>
      <c r="I3559" s="10" t="s">
        <v>55</v>
      </c>
      <c r="J3559" s="10" t="s">
        <v>5913</v>
      </c>
      <c r="K3559" s="10" t="s">
        <v>8853</v>
      </c>
      <c r="L3559" s="10" t="s">
        <v>42</v>
      </c>
    </row>
    <row r="3560" ht="15.75" customHeight="1">
      <c r="A3560" s="64">
        <v>45440.0</v>
      </c>
      <c r="B3560" s="55" t="str">
        <f>HYPERLINK("https://jobright.ai/jobs/info/6656725881bea9115712f37b?utm_campaign=1062&amp;utm_source=sheet", "Apply")</f>
        <v>Apply</v>
      </c>
      <c r="C3560" s="10" t="s">
        <v>8854</v>
      </c>
      <c r="D3560" s="56" t="s">
        <v>2174</v>
      </c>
      <c r="E3560" s="10">
        <v>294.0</v>
      </c>
      <c r="G3560" s="10" t="s">
        <v>2455</v>
      </c>
      <c r="H3560" s="10" t="s">
        <v>96</v>
      </c>
      <c r="I3560" s="10" t="s">
        <v>55</v>
      </c>
      <c r="J3560" s="10" t="s">
        <v>1608</v>
      </c>
      <c r="K3560" s="10" t="s">
        <v>8855</v>
      </c>
      <c r="L3560" s="10" t="s">
        <v>42</v>
      </c>
    </row>
    <row r="3561" ht="15.75" customHeight="1">
      <c r="A3561" s="64">
        <v>45440.0</v>
      </c>
      <c r="B3561" s="55" t="str">
        <f>HYPERLINK("https://jobright.ai/jobs/info/6656727c81bea9115712f699?utm_campaign=1062&amp;utm_source=sheet", "Apply")</f>
        <v>Apply</v>
      </c>
      <c r="C3561" s="10" t="s">
        <v>8856</v>
      </c>
      <c r="D3561" s="56" t="s">
        <v>2174</v>
      </c>
      <c r="E3561" s="10">
        <v>294.0</v>
      </c>
      <c r="G3561" s="10" t="s">
        <v>2448</v>
      </c>
      <c r="H3561" s="10" t="s">
        <v>96</v>
      </c>
      <c r="I3561" s="10" t="s">
        <v>55</v>
      </c>
      <c r="J3561" s="10" t="s">
        <v>1608</v>
      </c>
      <c r="K3561" s="10" t="s">
        <v>8857</v>
      </c>
      <c r="L3561" s="10" t="s">
        <v>42</v>
      </c>
    </row>
    <row r="3562" ht="15.75" customHeight="1">
      <c r="A3562" s="64">
        <v>45440.0</v>
      </c>
      <c r="B3562" s="55" t="str">
        <f>HYPERLINK("https://jobright.ai/jobs/info/665672c981bea9115712fd61?utm_campaign=1062&amp;utm_source=sheet", "Apply")</f>
        <v>Apply</v>
      </c>
      <c r="C3562" s="10" t="s">
        <v>8858</v>
      </c>
      <c r="D3562" s="56" t="s">
        <v>2174</v>
      </c>
      <c r="E3562" s="10">
        <v>294.0</v>
      </c>
      <c r="G3562" s="10" t="s">
        <v>2448</v>
      </c>
      <c r="H3562" s="10" t="s">
        <v>96</v>
      </c>
      <c r="I3562" s="10" t="s">
        <v>55</v>
      </c>
      <c r="J3562" s="10" t="s">
        <v>1608</v>
      </c>
      <c r="K3562" s="10" t="s">
        <v>8859</v>
      </c>
      <c r="L3562" s="10" t="s">
        <v>42</v>
      </c>
    </row>
    <row r="3563" ht="15.75" customHeight="1">
      <c r="A3563" s="64">
        <v>45440.0</v>
      </c>
      <c r="B3563" s="55" t="str">
        <f>HYPERLINK("https://jobright.ai/jobs/info/6647d6a941ff2b1ce8f4a741?utm_campaign=1062&amp;utm_source=sheet", "Apply")</f>
        <v>Apply</v>
      </c>
      <c r="C3563" s="10" t="s">
        <v>7695</v>
      </c>
      <c r="D3563" s="56" t="s">
        <v>2922</v>
      </c>
      <c r="E3563" s="10" t="s">
        <v>45</v>
      </c>
      <c r="F3563" s="10" t="s">
        <v>1234</v>
      </c>
      <c r="G3563" s="10" t="s">
        <v>2448</v>
      </c>
      <c r="H3563" s="10" t="s">
        <v>965</v>
      </c>
      <c r="I3563" s="10" t="s">
        <v>55</v>
      </c>
      <c r="K3563" s="10" t="s">
        <v>8860</v>
      </c>
      <c r="L3563" s="10" t="s">
        <v>42</v>
      </c>
    </row>
    <row r="3564" ht="15.75" customHeight="1">
      <c r="A3564" s="64">
        <v>45440.0</v>
      </c>
      <c r="B3564" s="55" t="str">
        <f>HYPERLINK("https://jobright.ai/jobs/info/6642f888457134082c21144a?utm_campaign=1062&amp;utm_source=sheet", "Apply")</f>
        <v>Apply</v>
      </c>
      <c r="C3564" s="10" t="s">
        <v>8861</v>
      </c>
      <c r="D3564" s="56" t="s">
        <v>2922</v>
      </c>
      <c r="E3564" s="10" t="s">
        <v>45</v>
      </c>
      <c r="F3564" s="10" t="s">
        <v>1234</v>
      </c>
      <c r="G3564" s="10" t="s">
        <v>2579</v>
      </c>
      <c r="H3564" s="10" t="s">
        <v>965</v>
      </c>
      <c r="I3564" s="10" t="s">
        <v>55</v>
      </c>
      <c r="K3564" s="10" t="s">
        <v>8862</v>
      </c>
      <c r="L3564" s="10" t="s">
        <v>42</v>
      </c>
    </row>
    <row r="3565" ht="15.75" customHeight="1">
      <c r="A3565" s="64">
        <v>45440.0</v>
      </c>
      <c r="B3565" s="55" t="str">
        <f>HYPERLINK("https://jobright.ai/jobs/info/6656635409620ba2158485d1?utm_campaign=1062&amp;utm_source=sheet", "Apply")</f>
        <v>Apply</v>
      </c>
      <c r="C3565" s="10" t="s">
        <v>8863</v>
      </c>
      <c r="D3565" s="56" t="s">
        <v>2174</v>
      </c>
      <c r="E3565" s="10">
        <v>294.0</v>
      </c>
      <c r="G3565" s="10" t="s">
        <v>2589</v>
      </c>
      <c r="H3565" s="10" t="s">
        <v>96</v>
      </c>
      <c r="I3565" s="10" t="s">
        <v>55</v>
      </c>
      <c r="J3565" s="10" t="s">
        <v>1608</v>
      </c>
      <c r="K3565" s="10" t="s">
        <v>8864</v>
      </c>
      <c r="L3565" s="10" t="s">
        <v>42</v>
      </c>
    </row>
    <row r="3566" ht="15.75" customHeight="1">
      <c r="A3566" s="64">
        <v>45440.0</v>
      </c>
      <c r="B3566" s="55" t="str">
        <f>HYPERLINK("https://jobright.ai/jobs/info/66562dd8e98acd41bfdd0628?utm_campaign=1062&amp;utm_source=sheet", "Apply")</f>
        <v>Apply</v>
      </c>
      <c r="C3566" s="10" t="s">
        <v>8306</v>
      </c>
      <c r="D3566" s="56" t="s">
        <v>5196</v>
      </c>
      <c r="E3566" s="10" t="s">
        <v>249</v>
      </c>
      <c r="F3566" s="10" t="s">
        <v>1389</v>
      </c>
      <c r="G3566" s="10" t="s">
        <v>2484</v>
      </c>
      <c r="H3566" s="10" t="s">
        <v>6235</v>
      </c>
      <c r="I3566" s="10" t="s">
        <v>55</v>
      </c>
      <c r="K3566" s="10" t="s">
        <v>8308</v>
      </c>
      <c r="L3566" s="10" t="s">
        <v>42</v>
      </c>
    </row>
    <row r="3567" ht="15.75" customHeight="1">
      <c r="A3567" s="64">
        <v>45440.0</v>
      </c>
      <c r="B3567" s="55" t="str">
        <f>HYPERLINK("https://jobright.ai/jobs/info/664679fd108ddf454fc2e791?utm_campaign=1062&amp;utm_source=sheet", "Apply")</f>
        <v>Apply</v>
      </c>
      <c r="C3567" s="10" t="s">
        <v>4855</v>
      </c>
      <c r="D3567" s="56" t="s">
        <v>8865</v>
      </c>
      <c r="E3567" s="10" t="s">
        <v>137</v>
      </c>
      <c r="F3567" s="10" t="s">
        <v>8866</v>
      </c>
      <c r="G3567" s="10" t="s">
        <v>2484</v>
      </c>
      <c r="H3567" s="10" t="s">
        <v>4858</v>
      </c>
      <c r="I3567" s="10" t="s">
        <v>55</v>
      </c>
      <c r="K3567" s="10" t="s">
        <v>4859</v>
      </c>
      <c r="L3567" s="10" t="s">
        <v>42</v>
      </c>
    </row>
    <row r="3568" ht="15.75" customHeight="1">
      <c r="A3568" s="64">
        <v>45440.0</v>
      </c>
      <c r="B3568" s="55" t="str">
        <f>HYPERLINK("https://jobright.ai/jobs/info/667d63a824cad70b7cedf62b?utm_campaign=1062&amp;utm_source=sheet", "Apply")</f>
        <v>Apply</v>
      </c>
      <c r="C3568" s="10" t="s">
        <v>8867</v>
      </c>
      <c r="D3568" s="56" t="s">
        <v>1502</v>
      </c>
      <c r="E3568" s="10">
        <v>10345.0</v>
      </c>
      <c r="G3568" s="10" t="s">
        <v>2448</v>
      </c>
      <c r="H3568" s="10" t="s">
        <v>106</v>
      </c>
      <c r="I3568" s="10" t="s">
        <v>55</v>
      </c>
      <c r="J3568" s="10" t="s">
        <v>8868</v>
      </c>
      <c r="K3568" s="10" t="s">
        <v>8869</v>
      </c>
      <c r="L3568" s="10" t="s">
        <v>42</v>
      </c>
    </row>
    <row r="3569" ht="15.75" customHeight="1">
      <c r="A3569" s="64">
        <v>45440.0</v>
      </c>
      <c r="B3569" s="55" t="str">
        <f>HYPERLINK("https://jobright.ai/jobs/info/667d5c66149d2a89eaaa4ed1?utm_campaign=1062&amp;utm_source=sheet", "Apply")</f>
        <v>Apply</v>
      </c>
      <c r="C3569" s="10" t="s">
        <v>8870</v>
      </c>
      <c r="D3569" s="56" t="s">
        <v>196</v>
      </c>
      <c r="E3569" s="10" t="s">
        <v>71</v>
      </c>
      <c r="F3569" s="10" t="s">
        <v>197</v>
      </c>
      <c r="G3569" s="10" t="s">
        <v>2476</v>
      </c>
      <c r="H3569" s="10" t="s">
        <v>193</v>
      </c>
      <c r="I3569" s="10" t="s">
        <v>55</v>
      </c>
      <c r="K3569" s="10" t="s">
        <v>8871</v>
      </c>
      <c r="L3569" s="10" t="s">
        <v>42</v>
      </c>
    </row>
    <row r="3570" ht="15.75" customHeight="1">
      <c r="A3570" s="64">
        <v>45440.0</v>
      </c>
      <c r="B3570" s="55" t="str">
        <f>HYPERLINK("https://jobright.ai/jobs/info/6668785c33709360ffdc96fa?utm_campaign=1062&amp;utm_source=sheet", "Apply")</f>
        <v>Apply</v>
      </c>
      <c r="C3570" s="10" t="s">
        <v>8872</v>
      </c>
      <c r="D3570" s="56" t="s">
        <v>2157</v>
      </c>
      <c r="E3570" s="10" t="s">
        <v>45</v>
      </c>
      <c r="F3570" s="10" t="s">
        <v>2158</v>
      </c>
      <c r="G3570" s="10" t="s">
        <v>2448</v>
      </c>
      <c r="H3570" s="10" t="s">
        <v>628</v>
      </c>
      <c r="I3570" s="10" t="s">
        <v>55</v>
      </c>
      <c r="K3570" s="10" t="s">
        <v>8873</v>
      </c>
      <c r="L3570" s="10" t="s">
        <v>42</v>
      </c>
    </row>
    <row r="3571" ht="15.75" customHeight="1">
      <c r="A3571" s="64">
        <v>45440.0</v>
      </c>
      <c r="B3571" s="55" t="str">
        <f>HYPERLINK("https://jobright.ai/jobs/info/6668830cf8309f8de12c5423?utm_campaign=1062&amp;utm_source=sheet", "Apply")</f>
        <v>Apply</v>
      </c>
      <c r="C3571" s="10" t="s">
        <v>3183</v>
      </c>
      <c r="D3571" s="56" t="s">
        <v>8701</v>
      </c>
      <c r="F3571" s="10" t="s">
        <v>1506</v>
      </c>
      <c r="G3571" s="10" t="s">
        <v>2448</v>
      </c>
      <c r="H3571" s="10" t="s">
        <v>8874</v>
      </c>
      <c r="I3571" s="10" t="s">
        <v>55</v>
      </c>
      <c r="K3571" s="10" t="s">
        <v>8875</v>
      </c>
      <c r="L3571" s="10" t="s">
        <v>42</v>
      </c>
    </row>
    <row r="3572" ht="15.75" customHeight="1">
      <c r="A3572" s="64">
        <v>45440.0</v>
      </c>
      <c r="B3572" s="55" t="str">
        <f>HYPERLINK("https://jobright.ai/jobs/info/6668822bf8309f8de12c527b?utm_campaign=1062&amp;utm_source=sheet", "Apply")</f>
        <v>Apply</v>
      </c>
      <c r="C3572" s="10" t="s">
        <v>8876</v>
      </c>
      <c r="D3572" s="56" t="s">
        <v>8877</v>
      </c>
      <c r="E3572" s="10" t="s">
        <v>65</v>
      </c>
      <c r="F3572" s="10" t="s">
        <v>1376</v>
      </c>
      <c r="G3572" s="10" t="s">
        <v>2437</v>
      </c>
      <c r="H3572" s="10" t="s">
        <v>8878</v>
      </c>
      <c r="I3572" s="10" t="s">
        <v>55</v>
      </c>
      <c r="K3572" s="10" t="s">
        <v>8879</v>
      </c>
      <c r="L3572" s="10" t="s">
        <v>42</v>
      </c>
    </row>
    <row r="3573" ht="15.75" customHeight="1">
      <c r="A3573" s="64">
        <v>45439.0</v>
      </c>
      <c r="B3573" s="55" t="str">
        <f>HYPERLINK("https://jobright.ai/jobs/info/6677f2229c81148ccaaed94d?utm_campaign=1062&amp;utm_source=sheet", "Apply")</f>
        <v>Apply</v>
      </c>
      <c r="C3573" s="10" t="s">
        <v>8880</v>
      </c>
      <c r="D3573" s="56" t="s">
        <v>8881</v>
      </c>
      <c r="E3573" s="10" t="s">
        <v>45</v>
      </c>
      <c r="F3573" s="10" t="s">
        <v>8882</v>
      </c>
      <c r="G3573" s="10" t="s">
        <v>2455</v>
      </c>
      <c r="H3573" s="10" t="s">
        <v>836</v>
      </c>
      <c r="I3573" s="10" t="s">
        <v>55</v>
      </c>
      <c r="K3573" s="10" t="s">
        <v>8883</v>
      </c>
      <c r="L3573" s="10" t="s">
        <v>42</v>
      </c>
    </row>
    <row r="3574" ht="15.75" customHeight="1">
      <c r="A3574" s="64">
        <v>45439.0</v>
      </c>
      <c r="B3574" s="55" t="str">
        <f>HYPERLINK("https://jobright.ai/jobs/info/666883e3f8309f8de12c5727?utm_campaign=1062&amp;utm_source=sheet", "Apply")</f>
        <v>Apply</v>
      </c>
      <c r="C3574" s="10" t="s">
        <v>8884</v>
      </c>
      <c r="D3574" s="56" t="s">
        <v>1453</v>
      </c>
      <c r="E3574" s="10" t="s">
        <v>45</v>
      </c>
      <c r="F3574" s="10" t="s">
        <v>1454</v>
      </c>
      <c r="G3574" s="10" t="s">
        <v>2470</v>
      </c>
      <c r="H3574" s="10" t="s">
        <v>1455</v>
      </c>
      <c r="I3574" s="10" t="s">
        <v>55</v>
      </c>
      <c r="K3574" s="10" t="s">
        <v>8885</v>
      </c>
      <c r="L3574" s="10" t="s">
        <v>42</v>
      </c>
    </row>
    <row r="3575" ht="15.75" customHeight="1">
      <c r="A3575" s="64">
        <v>45438.0</v>
      </c>
      <c r="B3575" s="55" t="str">
        <f>HYPERLINK("https://jobright.ai/jobs/info/667ad366ea7720d72c7244fb?utm_campaign=1062&amp;utm_source=sheet", "Apply")</f>
        <v>Apply</v>
      </c>
      <c r="C3575" s="10" t="s">
        <v>8886</v>
      </c>
      <c r="D3575" s="56" t="s">
        <v>8887</v>
      </c>
      <c r="E3575" s="10" t="s">
        <v>276</v>
      </c>
      <c r="F3575" s="10" t="s">
        <v>5497</v>
      </c>
      <c r="G3575" s="10" t="s">
        <v>2484</v>
      </c>
      <c r="H3575" s="10" t="s">
        <v>8888</v>
      </c>
      <c r="I3575" s="10" t="s">
        <v>55</v>
      </c>
      <c r="K3575" s="10" t="s">
        <v>8889</v>
      </c>
      <c r="L3575" s="10" t="s">
        <v>42</v>
      </c>
    </row>
    <row r="3576" ht="15.75" customHeight="1">
      <c r="A3576" s="64">
        <v>45438.0</v>
      </c>
      <c r="B3576" s="55" t="str">
        <f>HYPERLINK("https://jobright.ai/jobs/info/667ac6396fec2de82002b02b?utm_campaign=1062&amp;utm_source=sheet", "Apply")</f>
        <v>Apply</v>
      </c>
      <c r="C3576" s="10" t="s">
        <v>8890</v>
      </c>
      <c r="D3576" s="56" t="s">
        <v>8701</v>
      </c>
      <c r="F3576" s="10" t="s">
        <v>1506</v>
      </c>
      <c r="G3576" s="10" t="s">
        <v>2502</v>
      </c>
      <c r="H3576" s="10" t="s">
        <v>7248</v>
      </c>
      <c r="I3576" s="10" t="s">
        <v>55</v>
      </c>
      <c r="K3576" s="10" t="s">
        <v>8891</v>
      </c>
      <c r="L3576" s="10" t="s">
        <v>42</v>
      </c>
    </row>
    <row r="3577" ht="15.75" customHeight="1">
      <c r="A3577" s="64">
        <v>45438.0</v>
      </c>
      <c r="B3577" s="55" t="str">
        <f>HYPERLINK("https://jobright.ai/jobs/info/667abfc203ae0be6f1cb10c3?utm_campaign=1062&amp;utm_source=sheet", "Apply")</f>
        <v>Apply</v>
      </c>
      <c r="C3577" s="10" t="s">
        <v>8892</v>
      </c>
      <c r="D3577" s="56" t="s">
        <v>8893</v>
      </c>
      <c r="E3577" s="10">
        <v>86.0</v>
      </c>
      <c r="G3577" s="10" t="s">
        <v>2448</v>
      </c>
      <c r="H3577" s="10" t="s">
        <v>8894</v>
      </c>
      <c r="I3577" s="10" t="s">
        <v>55</v>
      </c>
      <c r="K3577" s="10" t="s">
        <v>8895</v>
      </c>
      <c r="L3577" s="10" t="s">
        <v>42</v>
      </c>
    </row>
    <row r="3578" ht="15.75" customHeight="1">
      <c r="A3578" s="64">
        <v>45438.0</v>
      </c>
      <c r="B3578" s="55" t="str">
        <f>HYPERLINK("https://jobright.ai/jobs/info/667ab2229d71c22d4959d0fc?utm_campaign=1062&amp;utm_source=sheet", "Apply")</f>
        <v>Apply</v>
      </c>
      <c r="C3578" s="10" t="s">
        <v>8896</v>
      </c>
      <c r="D3578" s="56" t="s">
        <v>8897</v>
      </c>
      <c r="E3578" s="10" t="s">
        <v>276</v>
      </c>
      <c r="F3578" s="10" t="s">
        <v>85</v>
      </c>
      <c r="G3578" s="10" t="s">
        <v>3774</v>
      </c>
      <c r="H3578" s="10" t="s">
        <v>159</v>
      </c>
      <c r="I3578" s="10" t="s">
        <v>55</v>
      </c>
      <c r="K3578" s="10" t="s">
        <v>8898</v>
      </c>
      <c r="L3578" s="10" t="s">
        <v>42</v>
      </c>
    </row>
    <row r="3579" ht="15.75" customHeight="1">
      <c r="A3579" s="64">
        <v>45438.0</v>
      </c>
      <c r="B3579" s="55" t="str">
        <f>HYPERLINK("https://jobright.ai/jobs/info/667aab3ba579680bce919744?utm_campaign=1062&amp;utm_source=sheet", "Apply")</f>
        <v>Apply</v>
      </c>
      <c r="C3579" s="10" t="s">
        <v>8899</v>
      </c>
      <c r="D3579" s="56" t="s">
        <v>4674</v>
      </c>
      <c r="E3579" s="10" t="s">
        <v>45</v>
      </c>
      <c r="F3579" s="10" t="s">
        <v>471</v>
      </c>
      <c r="G3579" s="10" t="s">
        <v>2502</v>
      </c>
      <c r="H3579" s="10" t="s">
        <v>1260</v>
      </c>
      <c r="I3579" s="10" t="s">
        <v>55</v>
      </c>
      <c r="J3579" s="10" t="s">
        <v>8900</v>
      </c>
      <c r="K3579" s="10" t="s">
        <v>8901</v>
      </c>
      <c r="L3579" s="10" t="s">
        <v>42</v>
      </c>
    </row>
    <row r="3580" ht="15.75" customHeight="1">
      <c r="A3580" s="64">
        <v>45437.0</v>
      </c>
      <c r="B3580" s="55" t="str">
        <f>HYPERLINK("https://jobright.ai/jobs/info/6677de4afbac42152a147c4e?utm_campaign=1062&amp;utm_source=sheet", "Apply")</f>
        <v>Apply</v>
      </c>
      <c r="C3580" s="10" t="s">
        <v>8902</v>
      </c>
      <c r="D3580" s="56" t="s">
        <v>3850</v>
      </c>
      <c r="E3580" s="10" t="s">
        <v>137</v>
      </c>
      <c r="F3580" s="10" t="s">
        <v>3851</v>
      </c>
      <c r="G3580" s="10" t="s">
        <v>2437</v>
      </c>
      <c r="H3580" s="10" t="s">
        <v>354</v>
      </c>
      <c r="I3580" s="10" t="s">
        <v>55</v>
      </c>
      <c r="K3580" s="10" t="s">
        <v>8903</v>
      </c>
      <c r="L3580" s="10" t="s">
        <v>42</v>
      </c>
    </row>
    <row r="3581" ht="15.75" customHeight="1">
      <c r="A3581" s="64">
        <v>45437.0</v>
      </c>
      <c r="B3581" s="55" t="str">
        <f>HYPERLINK("https://jobright.ai/jobs/info/6679787822283fc0c7338b3c?utm_campaign=1062&amp;utm_source=sheet", "Apply")</f>
        <v>Apply</v>
      </c>
      <c r="C3581" s="10" t="s">
        <v>8904</v>
      </c>
      <c r="D3581" s="56" t="s">
        <v>196</v>
      </c>
      <c r="E3581" s="10" t="s">
        <v>71</v>
      </c>
      <c r="F3581" s="10" t="s">
        <v>197</v>
      </c>
      <c r="G3581" s="10" t="s">
        <v>2502</v>
      </c>
      <c r="H3581" s="10" t="s">
        <v>193</v>
      </c>
      <c r="I3581" s="10" t="s">
        <v>55</v>
      </c>
      <c r="K3581" s="10" t="s">
        <v>8905</v>
      </c>
      <c r="L3581" s="10" t="s">
        <v>42</v>
      </c>
    </row>
    <row r="3582" ht="15.75" customHeight="1">
      <c r="A3582" s="64">
        <v>45437.0</v>
      </c>
      <c r="B3582" s="55" t="str">
        <f>HYPERLINK("https://jobright.ai/jobs/info/6677de4afbac42152a147c53?utm_campaign=1062&amp;utm_source=sheet", "Apply")</f>
        <v>Apply</v>
      </c>
      <c r="C3582" s="10" t="s">
        <v>8906</v>
      </c>
      <c r="D3582" s="56" t="s">
        <v>3850</v>
      </c>
      <c r="E3582" s="10" t="s">
        <v>137</v>
      </c>
      <c r="F3582" s="10" t="s">
        <v>3851</v>
      </c>
      <c r="G3582" s="10" t="s">
        <v>2448</v>
      </c>
      <c r="H3582" s="10" t="s">
        <v>354</v>
      </c>
      <c r="I3582" s="10" t="s">
        <v>55</v>
      </c>
      <c r="K3582" s="10" t="s">
        <v>8907</v>
      </c>
      <c r="L3582" s="10" t="s">
        <v>42</v>
      </c>
    </row>
    <row r="3583" ht="15.75" customHeight="1">
      <c r="A3583" s="64">
        <v>45437.0</v>
      </c>
      <c r="B3583" s="55" t="str">
        <f>HYPERLINK("https://jobright.ai/jobs/info/6679744b8f20c6df6b89ae98?utm_campaign=1062&amp;utm_source=sheet", "Apply")</f>
        <v>Apply</v>
      </c>
      <c r="C3583" s="10" t="s">
        <v>3037</v>
      </c>
      <c r="D3583" s="56" t="s">
        <v>3531</v>
      </c>
      <c r="E3583" s="10" t="s">
        <v>209</v>
      </c>
      <c r="F3583" s="10" t="s">
        <v>85</v>
      </c>
      <c r="G3583" s="10" t="s">
        <v>2579</v>
      </c>
      <c r="H3583" s="10" t="s">
        <v>8908</v>
      </c>
      <c r="I3583" s="10" t="s">
        <v>55</v>
      </c>
      <c r="J3583" s="10" t="s">
        <v>8909</v>
      </c>
      <c r="K3583" s="10" t="s">
        <v>8910</v>
      </c>
      <c r="L3583" s="10" t="s">
        <v>42</v>
      </c>
    </row>
    <row r="3584" ht="15.75" customHeight="1">
      <c r="A3584" s="64">
        <v>45437.0</v>
      </c>
      <c r="B3584" s="55" t="str">
        <f>HYPERLINK("https://jobright.ai/jobs/info/667969d8d86d626ab8b79058?utm_campaign=1062&amp;utm_source=sheet", "Apply")</f>
        <v>Apply</v>
      </c>
      <c r="C3584" s="10" t="s">
        <v>8011</v>
      </c>
      <c r="D3584" s="56" t="s">
        <v>8012</v>
      </c>
      <c r="E3584" s="10" t="s">
        <v>79</v>
      </c>
      <c r="F3584" s="10" t="s">
        <v>8013</v>
      </c>
      <c r="G3584" s="10" t="s">
        <v>2448</v>
      </c>
      <c r="H3584" s="10" t="s">
        <v>8911</v>
      </c>
      <c r="I3584" s="10" t="s">
        <v>55</v>
      </c>
      <c r="K3584" s="10" t="s">
        <v>8015</v>
      </c>
      <c r="L3584" s="10" t="s">
        <v>42</v>
      </c>
    </row>
    <row r="3585" ht="15.75" customHeight="1">
      <c r="A3585" s="64">
        <v>45437.0</v>
      </c>
      <c r="B3585" s="55" t="str">
        <f>HYPERLINK("https://jobright.ai/jobs/info/6679646cf6b36b4aa01a4b25?utm_campaign=1062&amp;utm_source=sheet", "Apply")</f>
        <v>Apply</v>
      </c>
      <c r="C3585" s="10" t="s">
        <v>8912</v>
      </c>
      <c r="D3585" s="56" t="s">
        <v>8913</v>
      </c>
      <c r="E3585" s="10" t="s">
        <v>71</v>
      </c>
      <c r="F3585" s="10" t="s">
        <v>4142</v>
      </c>
      <c r="G3585" s="10" t="s">
        <v>2484</v>
      </c>
      <c r="H3585" s="10" t="s">
        <v>8914</v>
      </c>
      <c r="I3585" s="10" t="s">
        <v>55</v>
      </c>
      <c r="K3585" s="10" t="s">
        <v>8915</v>
      </c>
      <c r="L3585" s="10" t="s">
        <v>42</v>
      </c>
    </row>
    <row r="3586" ht="15.75" customHeight="1">
      <c r="A3586" s="64">
        <v>45437.0</v>
      </c>
      <c r="B3586" s="55" t="str">
        <f>HYPERLINK("https://jobright.ai/jobs/info/66795fefdd14b36e4d97baf6?utm_campaign=1062&amp;utm_source=sheet", "Apply")</f>
        <v>Apply</v>
      </c>
      <c r="C3586" s="10" t="s">
        <v>8916</v>
      </c>
      <c r="D3586" s="56" t="s">
        <v>3000</v>
      </c>
      <c r="E3586" s="10" t="s">
        <v>45</v>
      </c>
      <c r="F3586" s="10" t="s">
        <v>2216</v>
      </c>
      <c r="G3586" s="10" t="s">
        <v>2448</v>
      </c>
      <c r="H3586" s="10" t="s">
        <v>572</v>
      </c>
      <c r="I3586" s="10" t="s">
        <v>55</v>
      </c>
      <c r="J3586" s="10" t="s">
        <v>3979</v>
      </c>
      <c r="K3586" s="10" t="s">
        <v>8917</v>
      </c>
      <c r="L3586" s="10" t="s">
        <v>42</v>
      </c>
    </row>
    <row r="3587" ht="15.75" customHeight="1">
      <c r="A3587" s="64">
        <v>45437.0</v>
      </c>
      <c r="B3587" s="55" t="str">
        <f>HYPERLINK("https://jobright.ai/jobs/info/66795fefdd14b36e4d97bb2f?utm_campaign=1062&amp;utm_source=sheet", "Apply")</f>
        <v>Apply</v>
      </c>
      <c r="C3587" s="10" t="s">
        <v>8918</v>
      </c>
      <c r="D3587" s="56" t="s">
        <v>8919</v>
      </c>
      <c r="E3587" s="10" t="s">
        <v>137</v>
      </c>
      <c r="F3587" s="10" t="s">
        <v>339</v>
      </c>
      <c r="G3587" s="10" t="s">
        <v>3005</v>
      </c>
      <c r="H3587" s="10" t="s">
        <v>572</v>
      </c>
      <c r="I3587" s="10" t="s">
        <v>55</v>
      </c>
      <c r="K3587" s="10" t="s">
        <v>8920</v>
      </c>
      <c r="L3587" s="10" t="s">
        <v>42</v>
      </c>
    </row>
    <row r="3588" ht="15.75" customHeight="1">
      <c r="A3588" s="64">
        <v>45437.0</v>
      </c>
      <c r="B3588" s="55" t="str">
        <f>HYPERLINK("https://jobright.ai/jobs/info/6651d92f96f9438438fde4db?utm_campaign=1062&amp;utm_source=sheet", "Apply")</f>
        <v>Apply</v>
      </c>
      <c r="C3588" s="10" t="s">
        <v>8921</v>
      </c>
      <c r="D3588" s="56" t="s">
        <v>2157</v>
      </c>
      <c r="E3588" s="10" t="s">
        <v>45</v>
      </c>
      <c r="F3588" s="10" t="s">
        <v>2158</v>
      </c>
      <c r="G3588" s="10" t="s">
        <v>2443</v>
      </c>
      <c r="H3588" s="10" t="s">
        <v>628</v>
      </c>
      <c r="I3588" s="10" t="s">
        <v>55</v>
      </c>
      <c r="K3588" s="10" t="s">
        <v>8922</v>
      </c>
      <c r="L3588" s="10" t="s">
        <v>42</v>
      </c>
    </row>
    <row r="3589" ht="15.75" customHeight="1">
      <c r="A3589" s="64">
        <v>45437.0</v>
      </c>
      <c r="B3589" s="55" t="str">
        <f>HYPERLINK("https://jobright.ai/jobs/info/666d738cc1167105cf58f4fd?utm_campaign=1062&amp;utm_source=sheet", "Apply")</f>
        <v>Apply</v>
      </c>
      <c r="C3589" s="10" t="s">
        <v>8791</v>
      </c>
      <c r="D3589" s="56" t="s">
        <v>2922</v>
      </c>
      <c r="E3589" s="10" t="s">
        <v>45</v>
      </c>
      <c r="F3589" s="10" t="s">
        <v>1234</v>
      </c>
      <c r="G3589" s="10" t="s">
        <v>2448</v>
      </c>
      <c r="H3589" s="10" t="s">
        <v>965</v>
      </c>
      <c r="I3589" s="10" t="s">
        <v>55</v>
      </c>
      <c r="K3589" s="10" t="s">
        <v>8792</v>
      </c>
      <c r="L3589" s="10" t="s">
        <v>42</v>
      </c>
    </row>
    <row r="3590" ht="15.75" customHeight="1">
      <c r="A3590" s="64">
        <v>45436.0</v>
      </c>
      <c r="B3590" s="55" t="str">
        <f>HYPERLINK("https://jobright.ai/jobs/info/665128dc3630da610452bddf?utm_campaign=1062&amp;utm_source=sheet", "Apply")</f>
        <v>Apply</v>
      </c>
      <c r="C3590" s="10" t="s">
        <v>8009</v>
      </c>
      <c r="D3590" s="56" t="s">
        <v>2157</v>
      </c>
      <c r="E3590" s="10" t="s">
        <v>45</v>
      </c>
      <c r="F3590" s="10" t="s">
        <v>2158</v>
      </c>
      <c r="G3590" s="10" t="s">
        <v>2443</v>
      </c>
      <c r="H3590" s="10" t="s">
        <v>628</v>
      </c>
      <c r="I3590" s="10" t="s">
        <v>55</v>
      </c>
      <c r="K3590" s="10" t="s">
        <v>8923</v>
      </c>
      <c r="L3590" s="10" t="s">
        <v>42</v>
      </c>
    </row>
    <row r="3591" ht="15.75" customHeight="1">
      <c r="A3591" s="64">
        <v>45436.0</v>
      </c>
      <c r="B3591" s="55" t="str">
        <f>HYPERLINK("https://jobright.ai/jobs/info/665128dc3630da610452be17?utm_campaign=1062&amp;utm_source=sheet", "Apply")</f>
        <v>Apply</v>
      </c>
      <c r="C3591" s="10" t="s">
        <v>8924</v>
      </c>
      <c r="D3591" s="56" t="s">
        <v>2157</v>
      </c>
      <c r="E3591" s="10" t="s">
        <v>45</v>
      </c>
      <c r="F3591" s="10" t="s">
        <v>2158</v>
      </c>
      <c r="G3591" s="10" t="s">
        <v>2495</v>
      </c>
      <c r="H3591" s="10" t="s">
        <v>628</v>
      </c>
      <c r="I3591" s="10" t="s">
        <v>55</v>
      </c>
      <c r="K3591" s="10" t="s">
        <v>8925</v>
      </c>
      <c r="L3591" s="10" t="s">
        <v>42</v>
      </c>
    </row>
    <row r="3592" ht="15.75" customHeight="1">
      <c r="A3592" s="64">
        <v>45436.0</v>
      </c>
      <c r="B3592" s="55" t="str">
        <f>HYPERLINK("https://jobright.ai/jobs/info/665125a0747c5bed70a2e584?utm_campaign=1062&amp;utm_source=sheet", "Apply")</f>
        <v>Apply</v>
      </c>
      <c r="C3592" s="10" t="s">
        <v>8926</v>
      </c>
      <c r="D3592" s="56" t="s">
        <v>2157</v>
      </c>
      <c r="E3592" s="10" t="s">
        <v>45</v>
      </c>
      <c r="F3592" s="10" t="s">
        <v>2158</v>
      </c>
      <c r="G3592" s="10" t="s">
        <v>2443</v>
      </c>
      <c r="H3592" s="10" t="s">
        <v>628</v>
      </c>
      <c r="I3592" s="10" t="s">
        <v>55</v>
      </c>
      <c r="K3592" s="10" t="s">
        <v>5027</v>
      </c>
      <c r="L3592" s="10" t="s">
        <v>42</v>
      </c>
    </row>
    <row r="3593" ht="15.75" customHeight="1">
      <c r="A3593" s="64">
        <v>45436.0</v>
      </c>
      <c r="B3593" s="55" t="str">
        <f>HYPERLINK("https://jobright.ai/jobs/info/6651401565ca08ef23181f6e?utm_campaign=1062&amp;utm_source=sheet", "Apply")</f>
        <v>Apply</v>
      </c>
      <c r="C3593" s="10" t="s">
        <v>8927</v>
      </c>
      <c r="D3593" s="56" t="s">
        <v>3192</v>
      </c>
      <c r="E3593" s="10" t="s">
        <v>209</v>
      </c>
      <c r="F3593" s="10" t="s">
        <v>1207</v>
      </c>
      <c r="G3593" s="10" t="s">
        <v>2437</v>
      </c>
      <c r="H3593" s="10" t="s">
        <v>966</v>
      </c>
      <c r="I3593" s="10" t="s">
        <v>55</v>
      </c>
      <c r="J3593" s="10" t="s">
        <v>3193</v>
      </c>
      <c r="K3593" s="10" t="s">
        <v>3194</v>
      </c>
      <c r="L3593" s="10" t="s">
        <v>42</v>
      </c>
    </row>
    <row r="3594" ht="15.75" customHeight="1">
      <c r="A3594" s="64">
        <v>45436.0</v>
      </c>
      <c r="B3594" s="55" t="str">
        <f>HYPERLINK("https://jobright.ai/jobs/info/667601e8f1b86992c3646916?utm_campaign=1062&amp;utm_source=sheet", "Apply")</f>
        <v>Apply</v>
      </c>
      <c r="C3594" s="10" t="s">
        <v>8928</v>
      </c>
      <c r="D3594" s="56" t="s">
        <v>8929</v>
      </c>
      <c r="E3594" s="10" t="s">
        <v>276</v>
      </c>
      <c r="F3594" s="10" t="s">
        <v>8930</v>
      </c>
      <c r="G3594" s="10" t="s">
        <v>2464</v>
      </c>
      <c r="H3594" s="10" t="s">
        <v>571</v>
      </c>
      <c r="I3594" s="10" t="s">
        <v>48</v>
      </c>
      <c r="K3594" s="10" t="s">
        <v>8931</v>
      </c>
      <c r="L3594" s="10" t="s">
        <v>42</v>
      </c>
    </row>
    <row r="3595" ht="15.75" customHeight="1">
      <c r="A3595" s="64">
        <v>45436.0</v>
      </c>
      <c r="B3595" s="55" t="str">
        <f>HYPERLINK("https://jobright.ai/jobs/info/6656fd1e370b79848db90585?utm_campaign=1062&amp;utm_source=sheet", "Apply")</f>
        <v>Apply</v>
      </c>
      <c r="C3595" s="10" t="s">
        <v>8932</v>
      </c>
      <c r="D3595" s="56" t="s">
        <v>8933</v>
      </c>
      <c r="E3595" s="10" t="s">
        <v>79</v>
      </c>
      <c r="F3595" s="10" t="s">
        <v>2746</v>
      </c>
      <c r="G3595" s="10" t="s">
        <v>2448</v>
      </c>
      <c r="H3595" s="10" t="s">
        <v>605</v>
      </c>
      <c r="I3595" s="10" t="s">
        <v>55</v>
      </c>
      <c r="K3595" s="10" t="s">
        <v>8934</v>
      </c>
      <c r="L3595" s="10" t="s">
        <v>42</v>
      </c>
    </row>
    <row r="3596" ht="15.75" customHeight="1">
      <c r="A3596" s="64">
        <v>45436.0</v>
      </c>
      <c r="B3596" s="55" t="str">
        <f>HYPERLINK("https://jobright.ai/jobs/info/66689b7c7cff9ea738f8066c?utm_campaign=1062&amp;utm_source=sheet", "Apply")</f>
        <v>Apply</v>
      </c>
      <c r="C3596" s="10" t="s">
        <v>8935</v>
      </c>
      <c r="D3596" s="56" t="s">
        <v>2269</v>
      </c>
      <c r="E3596" s="10" t="s">
        <v>45</v>
      </c>
      <c r="F3596" s="10" t="s">
        <v>665</v>
      </c>
      <c r="G3596" s="10" t="s">
        <v>2443</v>
      </c>
      <c r="H3596" s="10" t="s">
        <v>2270</v>
      </c>
      <c r="I3596" s="10" t="s">
        <v>55</v>
      </c>
      <c r="K3596" s="10" t="s">
        <v>8936</v>
      </c>
      <c r="L3596" s="10" t="s">
        <v>42</v>
      </c>
    </row>
    <row r="3597" ht="15.75" customHeight="1">
      <c r="A3597" s="64">
        <v>45436.0</v>
      </c>
      <c r="B3597" s="55" t="str">
        <f>HYPERLINK("https://jobright.ai/jobs/info/66688fff7f6ba556721b6c3d?utm_campaign=1062&amp;utm_source=sheet", "Apply")</f>
        <v>Apply</v>
      </c>
      <c r="C3597" s="10" t="s">
        <v>5900</v>
      </c>
      <c r="D3597" s="56" t="s">
        <v>5901</v>
      </c>
      <c r="E3597" s="10" t="s">
        <v>45</v>
      </c>
      <c r="F3597" s="10" t="s">
        <v>5902</v>
      </c>
      <c r="G3597" s="10" t="s">
        <v>2437</v>
      </c>
      <c r="H3597" s="10" t="s">
        <v>5903</v>
      </c>
      <c r="I3597" s="10" t="s">
        <v>55</v>
      </c>
      <c r="K3597" s="10" t="s">
        <v>5904</v>
      </c>
      <c r="L3597" s="10" t="s">
        <v>42</v>
      </c>
    </row>
    <row r="3598" ht="15.75" customHeight="1">
      <c r="A3598" s="64">
        <v>45435.0</v>
      </c>
      <c r="B3598" s="55" t="str">
        <f>HYPERLINK("https://jobright.ai/jobs/info/664fe1c2431196778abd9939?utm_campaign=1062&amp;utm_source=sheet", "Apply")</f>
        <v>Apply</v>
      </c>
      <c r="C3598" s="10" t="s">
        <v>8937</v>
      </c>
      <c r="D3598" s="56" t="s">
        <v>8938</v>
      </c>
      <c r="E3598" s="10" t="s">
        <v>79</v>
      </c>
      <c r="F3598" s="10" t="s">
        <v>8939</v>
      </c>
      <c r="G3598" s="10" t="s">
        <v>2464</v>
      </c>
      <c r="H3598" s="10" t="s">
        <v>8940</v>
      </c>
      <c r="I3598" s="10" t="s">
        <v>55</v>
      </c>
      <c r="K3598" s="10" t="s">
        <v>8941</v>
      </c>
      <c r="L3598" s="10" t="s">
        <v>42</v>
      </c>
    </row>
    <row r="3599" ht="15.75" customHeight="1">
      <c r="A3599" s="64">
        <v>45435.0</v>
      </c>
      <c r="B3599" s="55" t="str">
        <f>HYPERLINK("https://jobright.ai/jobs/info/664fca9b922fde543a0eb21e?utm_campaign=1062&amp;utm_source=sheet", "Apply")</f>
        <v>Apply</v>
      </c>
      <c r="C3599" s="10" t="s">
        <v>8942</v>
      </c>
      <c r="D3599" s="56" t="s">
        <v>8943</v>
      </c>
      <c r="E3599" s="10" t="s">
        <v>209</v>
      </c>
      <c r="F3599" s="10" t="s">
        <v>8944</v>
      </c>
      <c r="G3599" s="10" t="s">
        <v>2579</v>
      </c>
      <c r="H3599" s="10" t="s">
        <v>96</v>
      </c>
      <c r="I3599" s="10" t="s">
        <v>48</v>
      </c>
      <c r="J3599" s="10" t="s">
        <v>7414</v>
      </c>
      <c r="K3599" s="10" t="s">
        <v>8945</v>
      </c>
      <c r="L3599" s="10" t="s">
        <v>42</v>
      </c>
    </row>
    <row r="3600" ht="15.75" customHeight="1">
      <c r="A3600" s="64">
        <v>45435.0</v>
      </c>
      <c r="B3600" s="55" t="str">
        <f>HYPERLINK("https://jobright.ai/jobs/info/664fd94fe17834e563ff195a?utm_campaign=1062&amp;utm_source=sheet", "Apply")</f>
        <v>Apply</v>
      </c>
      <c r="C3600" s="10" t="s">
        <v>8946</v>
      </c>
      <c r="D3600" s="56" t="s">
        <v>8947</v>
      </c>
      <c r="E3600" s="10" t="s">
        <v>276</v>
      </c>
      <c r="F3600" s="10" t="s">
        <v>10</v>
      </c>
      <c r="G3600" s="10" t="s">
        <v>2448</v>
      </c>
      <c r="H3600" s="10" t="s">
        <v>957</v>
      </c>
      <c r="I3600" s="10" t="s">
        <v>55</v>
      </c>
      <c r="J3600" s="10" t="s">
        <v>8948</v>
      </c>
      <c r="K3600" s="10" t="s">
        <v>8949</v>
      </c>
      <c r="L3600" s="10" t="s">
        <v>42</v>
      </c>
    </row>
    <row r="3601" ht="15.75" customHeight="1">
      <c r="A3601" s="64">
        <v>45435.0</v>
      </c>
      <c r="B3601" s="55" t="str">
        <f>HYPERLINK("https://jobright.ai/jobs/info/6677e2aa783a239da8418878?utm_campaign=1062&amp;utm_source=sheet", "Apply")</f>
        <v>Apply</v>
      </c>
      <c r="C3601" s="10" t="s">
        <v>8950</v>
      </c>
      <c r="D3601" s="56" t="s">
        <v>8951</v>
      </c>
      <c r="E3601" s="10" t="s">
        <v>249</v>
      </c>
      <c r="F3601" s="10" t="s">
        <v>2964</v>
      </c>
      <c r="G3601" s="10" t="s">
        <v>2464</v>
      </c>
      <c r="H3601" s="10" t="s">
        <v>8952</v>
      </c>
      <c r="I3601" s="10" t="s">
        <v>55</v>
      </c>
      <c r="K3601" s="10" t="s">
        <v>8953</v>
      </c>
      <c r="L3601" s="10" t="s">
        <v>42</v>
      </c>
    </row>
    <row r="3602" ht="15.75" customHeight="1">
      <c r="A3602" s="64">
        <v>45435.0</v>
      </c>
      <c r="B3602" s="55" t="str">
        <f>HYPERLINK("https://jobright.ai/jobs/info/6677e2aa783a239da841889f?utm_campaign=1062&amp;utm_source=sheet", "Apply")</f>
        <v>Apply</v>
      </c>
      <c r="C3602" s="10" t="s">
        <v>8954</v>
      </c>
      <c r="D3602" s="56" t="s">
        <v>567</v>
      </c>
      <c r="E3602" s="10" t="s">
        <v>65</v>
      </c>
      <c r="F3602" s="10" t="s">
        <v>568</v>
      </c>
      <c r="G3602" s="10" t="s">
        <v>2448</v>
      </c>
      <c r="H3602" s="10" t="s">
        <v>3860</v>
      </c>
      <c r="I3602" s="10" t="s">
        <v>55</v>
      </c>
      <c r="J3602" s="10" t="s">
        <v>8955</v>
      </c>
      <c r="K3602" s="10" t="s">
        <v>4614</v>
      </c>
      <c r="L3602" s="10" t="s">
        <v>42</v>
      </c>
    </row>
    <row r="3603" ht="15.75" customHeight="1">
      <c r="A3603" s="64">
        <v>45435.0</v>
      </c>
      <c r="B3603" s="55" t="str">
        <f>HYPERLINK("https://jobright.ai/jobs/info/6677e2bc783a239da8418a05?utm_campaign=1062&amp;utm_source=sheet", "Apply")</f>
        <v>Apply</v>
      </c>
      <c r="C3603" s="10" t="s">
        <v>3336</v>
      </c>
      <c r="D3603" s="56" t="s">
        <v>8956</v>
      </c>
      <c r="E3603" s="10" t="s">
        <v>249</v>
      </c>
      <c r="F3603" s="10" t="s">
        <v>8957</v>
      </c>
      <c r="G3603" s="10" t="s">
        <v>2605</v>
      </c>
      <c r="H3603" s="10" t="s">
        <v>8958</v>
      </c>
      <c r="I3603" s="10" t="s">
        <v>55</v>
      </c>
      <c r="K3603" s="10" t="s">
        <v>8959</v>
      </c>
      <c r="L3603" s="10" t="s">
        <v>42</v>
      </c>
    </row>
    <row r="3604" ht="15.75" customHeight="1">
      <c r="A3604" s="64">
        <v>45435.0</v>
      </c>
      <c r="B3604" s="55" t="str">
        <f>HYPERLINK("https://jobright.ai/jobs/info/6677e2d8783a239da8418c1c?utm_campaign=1062&amp;utm_source=sheet", "Apply")</f>
        <v>Apply</v>
      </c>
      <c r="C3604" s="10" t="s">
        <v>3336</v>
      </c>
      <c r="D3604" s="56" t="s">
        <v>8956</v>
      </c>
      <c r="E3604" s="10" t="s">
        <v>249</v>
      </c>
      <c r="F3604" s="10" t="s">
        <v>8957</v>
      </c>
      <c r="G3604" s="10" t="s">
        <v>2605</v>
      </c>
      <c r="H3604" s="10" t="s">
        <v>8960</v>
      </c>
      <c r="I3604" s="10" t="s">
        <v>55</v>
      </c>
      <c r="K3604" s="10" t="s">
        <v>8959</v>
      </c>
      <c r="L3604" s="10" t="s">
        <v>42</v>
      </c>
    </row>
    <row r="3605" ht="15.75" customHeight="1">
      <c r="A3605" s="64">
        <v>45435.0</v>
      </c>
      <c r="B3605" s="55" t="str">
        <f>HYPERLINK("https://jobright.ai/jobs/info/6677e21b783a239da8417d22?utm_campaign=1062&amp;utm_source=sheet", "Apply")</f>
        <v>Apply</v>
      </c>
      <c r="C3605" s="10" t="s">
        <v>8961</v>
      </c>
      <c r="D3605" s="56" t="s">
        <v>3000</v>
      </c>
      <c r="E3605" s="10" t="s">
        <v>45</v>
      </c>
      <c r="F3605" s="10" t="s">
        <v>2216</v>
      </c>
      <c r="G3605" s="10" t="s">
        <v>2448</v>
      </c>
      <c r="H3605" s="10" t="s">
        <v>572</v>
      </c>
      <c r="I3605" s="10" t="s">
        <v>55</v>
      </c>
      <c r="J3605" s="10" t="s">
        <v>8962</v>
      </c>
      <c r="K3605" s="10" t="s">
        <v>8963</v>
      </c>
      <c r="L3605" s="10" t="s">
        <v>42</v>
      </c>
    </row>
    <row r="3606" ht="15.75" customHeight="1">
      <c r="A3606" s="64">
        <v>45435.0</v>
      </c>
      <c r="B3606" s="55" t="str">
        <f>HYPERLINK("https://jobright.ai/jobs/info/6677e73e8edbb3fe78f319e3?utm_campaign=1062&amp;utm_source=sheet", "Apply")</f>
        <v>Apply</v>
      </c>
      <c r="C3606" s="10" t="s">
        <v>301</v>
      </c>
      <c r="D3606" s="56" t="s">
        <v>8964</v>
      </c>
      <c r="E3606" s="10" t="s">
        <v>137</v>
      </c>
      <c r="F3606" s="10" t="s">
        <v>3351</v>
      </c>
      <c r="G3606" s="10" t="s">
        <v>2464</v>
      </c>
      <c r="H3606" s="10" t="s">
        <v>1008</v>
      </c>
      <c r="I3606" s="10" t="s">
        <v>55</v>
      </c>
      <c r="K3606" s="10" t="s">
        <v>8965</v>
      </c>
      <c r="L3606" s="10" t="s">
        <v>42</v>
      </c>
    </row>
    <row r="3607" ht="15.75" customHeight="1">
      <c r="A3607" s="64">
        <v>45435.0</v>
      </c>
      <c r="B3607" s="55" t="str">
        <f>HYPERLINK("https://jobright.ai/jobs/info/6677e75e8edbb3fe78f31bf6?utm_campaign=1062&amp;utm_source=sheet", "Apply")</f>
        <v>Apply</v>
      </c>
      <c r="C3607" s="10" t="s">
        <v>301</v>
      </c>
      <c r="D3607" s="56" t="s">
        <v>8767</v>
      </c>
      <c r="E3607" s="10" t="s">
        <v>249</v>
      </c>
      <c r="F3607" s="10" t="s">
        <v>4022</v>
      </c>
      <c r="G3607" s="10" t="s">
        <v>2448</v>
      </c>
      <c r="H3607" s="10" t="s">
        <v>3634</v>
      </c>
      <c r="I3607" s="10" t="s">
        <v>55</v>
      </c>
      <c r="K3607" s="10" t="s">
        <v>8966</v>
      </c>
      <c r="L3607" s="10" t="s">
        <v>42</v>
      </c>
    </row>
    <row r="3608" ht="15.75" customHeight="1">
      <c r="A3608" s="64">
        <v>45435.0</v>
      </c>
      <c r="B3608" s="55" t="str">
        <f>HYPERLINK("https://jobright.ai/jobs/info/6677e7718edbb3fe78f31e06?utm_campaign=1062&amp;utm_source=sheet", "Apply")</f>
        <v>Apply</v>
      </c>
      <c r="C3608" s="10" t="s">
        <v>8967</v>
      </c>
      <c r="D3608" s="56" t="s">
        <v>8968</v>
      </c>
      <c r="E3608" s="10" t="s">
        <v>45</v>
      </c>
      <c r="G3608" s="10" t="s">
        <v>2464</v>
      </c>
      <c r="H3608" s="10" t="s">
        <v>1007</v>
      </c>
      <c r="I3608" s="10" t="s">
        <v>55</v>
      </c>
      <c r="K3608" s="10" t="s">
        <v>8969</v>
      </c>
      <c r="L3608" s="10" t="s">
        <v>42</v>
      </c>
    </row>
    <row r="3609" ht="15.75" customHeight="1">
      <c r="A3609" s="64">
        <v>45435.0</v>
      </c>
      <c r="B3609" s="55" t="str">
        <f>HYPERLINK("https://jobright.ai/jobs/info/6677e78e8edbb3fe78f31fce?utm_campaign=1062&amp;utm_source=sheet", "Apply")</f>
        <v>Apply</v>
      </c>
      <c r="C3609" s="10" t="s">
        <v>8970</v>
      </c>
      <c r="D3609" s="56" t="s">
        <v>3589</v>
      </c>
      <c r="E3609" s="10" t="s">
        <v>45</v>
      </c>
      <c r="F3609" s="10" t="s">
        <v>2554</v>
      </c>
      <c r="G3609" s="10" t="s">
        <v>2470</v>
      </c>
      <c r="H3609" s="10" t="s">
        <v>2154</v>
      </c>
      <c r="I3609" s="10" t="s">
        <v>55</v>
      </c>
      <c r="K3609" s="10" t="s">
        <v>7784</v>
      </c>
      <c r="L3609" s="10" t="s">
        <v>42</v>
      </c>
    </row>
    <row r="3610" ht="15.75" customHeight="1">
      <c r="A3610" s="64">
        <v>45435.0</v>
      </c>
      <c r="B3610" s="55" t="str">
        <f>HYPERLINK("https://jobright.ai/jobs/info/667494a23990c28f4c6c55c3?utm_campaign=1062&amp;utm_source=sheet", "Apply")</f>
        <v>Apply</v>
      </c>
      <c r="C3610" s="10" t="s">
        <v>3829</v>
      </c>
      <c r="D3610" s="56" t="s">
        <v>2150</v>
      </c>
      <c r="E3610" s="10" t="s">
        <v>79</v>
      </c>
      <c r="F3610" s="10" t="s">
        <v>529</v>
      </c>
      <c r="G3610" s="10" t="s">
        <v>2484</v>
      </c>
      <c r="H3610" s="10" t="s">
        <v>794</v>
      </c>
      <c r="I3610" s="10" t="s">
        <v>55</v>
      </c>
      <c r="K3610" s="10" t="s">
        <v>8971</v>
      </c>
      <c r="L3610" s="10" t="s">
        <v>42</v>
      </c>
    </row>
    <row r="3611" ht="15.75" customHeight="1">
      <c r="A3611" s="64">
        <v>45435.0</v>
      </c>
      <c r="B3611" s="55" t="str">
        <f>HYPERLINK("https://jobright.ai/jobs/info/6677e7b38edbb3fe78f32335?utm_campaign=1062&amp;utm_source=sheet", "Apply")</f>
        <v>Apply</v>
      </c>
      <c r="C3611" s="10" t="s">
        <v>8972</v>
      </c>
      <c r="D3611" s="56" t="s">
        <v>8973</v>
      </c>
      <c r="E3611" s="10" t="s">
        <v>137</v>
      </c>
      <c r="F3611" s="10" t="s">
        <v>8974</v>
      </c>
      <c r="G3611" s="10" t="s">
        <v>4046</v>
      </c>
      <c r="H3611" s="10" t="s">
        <v>144</v>
      </c>
      <c r="I3611" s="10" t="s">
        <v>55</v>
      </c>
      <c r="K3611" s="10" t="s">
        <v>8975</v>
      </c>
      <c r="L3611" s="10" t="s">
        <v>42</v>
      </c>
    </row>
    <row r="3612" ht="15.75" customHeight="1">
      <c r="A3612" s="64">
        <v>45435.0</v>
      </c>
      <c r="B3612" s="55" t="str">
        <f>HYPERLINK("https://jobright.ai/jobs/info/6677e7b38edbb3fe78f3232f?utm_campaign=1062&amp;utm_source=sheet", "Apply")</f>
        <v>Apply</v>
      </c>
      <c r="C3612" s="10" t="s">
        <v>8976</v>
      </c>
      <c r="D3612" s="56" t="s">
        <v>1373</v>
      </c>
      <c r="E3612" s="59">
        <v>45301.0</v>
      </c>
      <c r="F3612" s="10" t="s">
        <v>1184</v>
      </c>
      <c r="G3612" s="10" t="s">
        <v>2470</v>
      </c>
      <c r="H3612" s="10" t="s">
        <v>144</v>
      </c>
      <c r="I3612" s="10" t="s">
        <v>55</v>
      </c>
      <c r="K3612" s="10" t="s">
        <v>8977</v>
      </c>
      <c r="L3612" s="10" t="s">
        <v>42</v>
      </c>
    </row>
    <row r="3613" ht="15.75" customHeight="1">
      <c r="A3613" s="64">
        <v>45435.0</v>
      </c>
      <c r="B3613" s="55" t="str">
        <f>HYPERLINK("https://jobright.ai/jobs/info/664fd4747934e2bc0d89e631?utm_campaign=1062&amp;utm_source=sheet", "Apply")</f>
        <v>Apply</v>
      </c>
      <c r="C3613" s="10" t="s">
        <v>2630</v>
      </c>
      <c r="D3613" s="56" t="s">
        <v>8385</v>
      </c>
      <c r="E3613" s="10">
        <v>2610.0</v>
      </c>
      <c r="G3613" s="10" t="s">
        <v>2464</v>
      </c>
      <c r="H3613" s="10" t="s">
        <v>956</v>
      </c>
      <c r="I3613" s="10" t="s">
        <v>55</v>
      </c>
      <c r="J3613" s="10" t="s">
        <v>8978</v>
      </c>
      <c r="K3613" s="10" t="s">
        <v>8979</v>
      </c>
      <c r="L3613" s="10" t="s">
        <v>42</v>
      </c>
    </row>
    <row r="3614" ht="15.75" customHeight="1">
      <c r="A3614" s="64">
        <v>45435.0</v>
      </c>
      <c r="B3614" s="55" t="str">
        <f>HYPERLINK("https://jobright.ai/jobs/info/6677e6e98edbb3fe78f31313?utm_campaign=1062&amp;utm_source=sheet", "Apply")</f>
        <v>Apply</v>
      </c>
      <c r="C3614" s="10" t="s">
        <v>8980</v>
      </c>
      <c r="D3614" s="56" t="s">
        <v>8981</v>
      </c>
      <c r="E3614" s="10">
        <v>5724.0</v>
      </c>
      <c r="G3614" s="10" t="s">
        <v>2448</v>
      </c>
      <c r="H3614" s="10" t="s">
        <v>3265</v>
      </c>
      <c r="I3614" s="10" t="s">
        <v>55</v>
      </c>
      <c r="K3614" s="10" t="s">
        <v>8982</v>
      </c>
      <c r="L3614" s="10" t="s">
        <v>42</v>
      </c>
    </row>
    <row r="3615" ht="15.75" customHeight="1">
      <c r="A3615" s="64">
        <v>45435.0</v>
      </c>
      <c r="B3615" s="55" t="str">
        <f>HYPERLINK("https://jobright.ai/jobs/info/6677e7cf8edbb3fe78f3256d?utm_campaign=1062&amp;utm_source=sheet", "Apply")</f>
        <v>Apply</v>
      </c>
      <c r="C3615" s="10" t="s">
        <v>8983</v>
      </c>
      <c r="D3615" s="56" t="s">
        <v>7959</v>
      </c>
      <c r="E3615" s="10">
        <v>175.0</v>
      </c>
      <c r="G3615" s="10" t="s">
        <v>2579</v>
      </c>
      <c r="H3615" s="10" t="s">
        <v>896</v>
      </c>
      <c r="I3615" s="10" t="s">
        <v>55</v>
      </c>
      <c r="J3615" s="10" t="s">
        <v>8984</v>
      </c>
      <c r="K3615" s="10" t="s">
        <v>8985</v>
      </c>
      <c r="L3615" s="10" t="s">
        <v>42</v>
      </c>
    </row>
    <row r="3616" ht="15.75" customHeight="1">
      <c r="A3616" s="64">
        <v>45435.0</v>
      </c>
      <c r="B3616" s="55" t="str">
        <f>HYPERLINK("https://jobright.ai/jobs/info/6677e7d88edbb3fe78f32632?utm_campaign=1062&amp;utm_source=sheet", "Apply")</f>
        <v>Apply</v>
      </c>
      <c r="C3616" s="10" t="s">
        <v>8986</v>
      </c>
      <c r="D3616" s="56" t="s">
        <v>2069</v>
      </c>
      <c r="E3616" s="10" t="s">
        <v>65</v>
      </c>
      <c r="F3616" s="10" t="s">
        <v>1663</v>
      </c>
      <c r="G3616" s="10" t="s">
        <v>2448</v>
      </c>
      <c r="H3616" s="10" t="s">
        <v>2070</v>
      </c>
      <c r="I3616" s="10" t="s">
        <v>55</v>
      </c>
      <c r="K3616" s="10" t="s">
        <v>8987</v>
      </c>
      <c r="L3616" s="10" t="s">
        <v>42</v>
      </c>
    </row>
    <row r="3617" ht="15.75" customHeight="1">
      <c r="A3617" s="64">
        <v>45435.0</v>
      </c>
      <c r="B3617" s="55" t="str">
        <f>HYPERLINK("https://jobright.ai/jobs/info/6677e7d88edbb3fe78f32653?utm_campaign=1062&amp;utm_source=sheet", "Apply")</f>
        <v>Apply</v>
      </c>
      <c r="C3617" s="10" t="s">
        <v>8988</v>
      </c>
      <c r="D3617" s="56" t="s">
        <v>196</v>
      </c>
      <c r="E3617" s="10" t="s">
        <v>71</v>
      </c>
      <c r="F3617" s="10" t="s">
        <v>197</v>
      </c>
      <c r="G3617" s="10" t="s">
        <v>2448</v>
      </c>
      <c r="H3617" s="10" t="s">
        <v>193</v>
      </c>
      <c r="I3617" s="10" t="s">
        <v>55</v>
      </c>
      <c r="K3617" s="10" t="s">
        <v>8989</v>
      </c>
      <c r="L3617" s="10" t="s">
        <v>42</v>
      </c>
    </row>
    <row r="3618" ht="15.75" customHeight="1">
      <c r="A3618" s="64">
        <v>45435.0</v>
      </c>
      <c r="B3618" s="55" t="str">
        <f>HYPERLINK("https://jobright.ai/jobs/info/664fa044ac40b76539db559a?utm_campaign=1062&amp;utm_source=sheet", "Apply")</f>
        <v>Apply</v>
      </c>
      <c r="C3618" s="10" t="s">
        <v>2630</v>
      </c>
      <c r="D3618" s="56" t="s">
        <v>8385</v>
      </c>
      <c r="E3618" s="10">
        <v>2610.0</v>
      </c>
      <c r="G3618" s="10" t="s">
        <v>2464</v>
      </c>
      <c r="H3618" s="10" t="s">
        <v>3196</v>
      </c>
      <c r="I3618" s="10" t="s">
        <v>55</v>
      </c>
      <c r="J3618" s="10" t="s">
        <v>8978</v>
      </c>
      <c r="K3618" s="10" t="s">
        <v>8990</v>
      </c>
      <c r="L3618" s="10" t="s">
        <v>42</v>
      </c>
    </row>
    <row r="3619" ht="15.75" customHeight="1">
      <c r="A3619" s="64">
        <v>45435.0</v>
      </c>
      <c r="B3619" s="55" t="str">
        <f>HYPERLINK("https://jobright.ai/jobs/info/6677e7e18edbb3fe78f32709?utm_campaign=1062&amp;utm_source=sheet", "Apply")</f>
        <v>Apply</v>
      </c>
      <c r="C3619" s="10" t="s">
        <v>8991</v>
      </c>
      <c r="D3619" s="56" t="s">
        <v>4745</v>
      </c>
      <c r="E3619" s="10" t="s">
        <v>209</v>
      </c>
      <c r="F3619" s="10" t="s">
        <v>2793</v>
      </c>
      <c r="G3619" s="10" t="s">
        <v>2448</v>
      </c>
      <c r="H3619" s="10" t="s">
        <v>4746</v>
      </c>
      <c r="I3619" s="10" t="s">
        <v>55</v>
      </c>
      <c r="J3619" s="10" t="s">
        <v>8992</v>
      </c>
      <c r="K3619" s="10" t="s">
        <v>8993</v>
      </c>
      <c r="L3619" s="10" t="s">
        <v>42</v>
      </c>
    </row>
    <row r="3620" ht="15.75" customHeight="1">
      <c r="A3620" s="64">
        <v>45435.0</v>
      </c>
      <c r="B3620" s="55" t="str">
        <f>HYPERLINK("https://jobright.ai/jobs/info/6677e7e18edbb3fe78f32762?utm_campaign=1062&amp;utm_source=sheet", "Apply")</f>
        <v>Apply</v>
      </c>
      <c r="C3620" s="10" t="s">
        <v>8994</v>
      </c>
      <c r="D3620" s="56" t="s">
        <v>8995</v>
      </c>
      <c r="E3620" s="10" t="s">
        <v>65</v>
      </c>
      <c r="F3620" s="10" t="s">
        <v>1234</v>
      </c>
      <c r="G3620" s="10" t="s">
        <v>2448</v>
      </c>
      <c r="H3620" s="10" t="s">
        <v>8996</v>
      </c>
      <c r="I3620" s="10" t="s">
        <v>55</v>
      </c>
      <c r="K3620" s="10" t="s">
        <v>8997</v>
      </c>
      <c r="L3620" s="10" t="s">
        <v>42</v>
      </c>
    </row>
    <row r="3621" ht="15.75" customHeight="1">
      <c r="A3621" s="64">
        <v>45435.0</v>
      </c>
      <c r="B3621" s="55" t="str">
        <f>HYPERLINK("https://jobright.ai/jobs/info/6677e8128edbb3fe78f32b5b?utm_campaign=1062&amp;utm_source=sheet", "Apply")</f>
        <v>Apply</v>
      </c>
      <c r="C3621" s="10" t="s">
        <v>8950</v>
      </c>
      <c r="D3621" s="56" t="s">
        <v>8951</v>
      </c>
      <c r="E3621" s="10" t="s">
        <v>249</v>
      </c>
      <c r="F3621" s="10" t="s">
        <v>2964</v>
      </c>
      <c r="G3621" s="10" t="s">
        <v>2464</v>
      </c>
      <c r="H3621" s="10" t="s">
        <v>605</v>
      </c>
      <c r="I3621" s="10" t="s">
        <v>55</v>
      </c>
      <c r="K3621" s="10" t="s">
        <v>8953</v>
      </c>
      <c r="L3621" s="10" t="s">
        <v>42</v>
      </c>
    </row>
    <row r="3622" ht="15.75" customHeight="1">
      <c r="A3622" s="64">
        <v>45435.0</v>
      </c>
      <c r="B3622" s="55" t="str">
        <f>HYPERLINK("https://jobright.ai/jobs/info/6677e85b8edbb3fe78f32f7e?utm_campaign=1062&amp;utm_source=sheet", "Apply")</f>
        <v>Apply</v>
      </c>
      <c r="C3622" s="10" t="s">
        <v>8998</v>
      </c>
      <c r="D3622" s="56" t="s">
        <v>6198</v>
      </c>
      <c r="E3622" s="10" t="s">
        <v>71</v>
      </c>
      <c r="F3622" s="10" t="s">
        <v>85</v>
      </c>
      <c r="G3622" s="10" t="s">
        <v>2443</v>
      </c>
      <c r="H3622" s="10" t="s">
        <v>6199</v>
      </c>
      <c r="I3622" s="10" t="s">
        <v>55</v>
      </c>
      <c r="K3622" s="10" t="s">
        <v>6200</v>
      </c>
      <c r="L3622" s="10" t="s">
        <v>42</v>
      </c>
    </row>
    <row r="3623" ht="15.75" customHeight="1">
      <c r="A3623" s="64">
        <v>45435.0</v>
      </c>
      <c r="B3623" s="55" t="str">
        <f>HYPERLINK("https://jobright.ai/jobs/info/6677e8648edbb3fe78f330d5?utm_campaign=1062&amp;utm_source=sheet", "Apply")</f>
        <v>Apply</v>
      </c>
      <c r="C3623" s="10" t="s">
        <v>4981</v>
      </c>
      <c r="D3623" s="56" t="s">
        <v>2922</v>
      </c>
      <c r="E3623" s="10" t="s">
        <v>45</v>
      </c>
      <c r="F3623" s="10" t="s">
        <v>1234</v>
      </c>
      <c r="G3623" s="10" t="s">
        <v>2448</v>
      </c>
      <c r="H3623" s="10" t="s">
        <v>965</v>
      </c>
      <c r="I3623" s="10" t="s">
        <v>55</v>
      </c>
      <c r="K3623" s="10" t="s">
        <v>8999</v>
      </c>
      <c r="L3623" s="10" t="s">
        <v>42</v>
      </c>
    </row>
    <row r="3624" ht="15.75" customHeight="1">
      <c r="A3624" s="64">
        <v>45435.0</v>
      </c>
      <c r="B3624" s="55" t="str">
        <f>HYPERLINK("https://jobright.ai/jobs/info/6677e8818edbb3fe78f33277?utm_campaign=1062&amp;utm_source=sheet", "Apply")</f>
        <v>Apply</v>
      </c>
      <c r="C3624" s="10" t="s">
        <v>8950</v>
      </c>
      <c r="D3624" s="56" t="s">
        <v>8951</v>
      </c>
      <c r="E3624" s="10" t="s">
        <v>249</v>
      </c>
      <c r="F3624" s="10" t="s">
        <v>2964</v>
      </c>
      <c r="G3624" s="10" t="s">
        <v>2464</v>
      </c>
      <c r="H3624" s="10" t="s">
        <v>9000</v>
      </c>
      <c r="I3624" s="10" t="s">
        <v>55</v>
      </c>
      <c r="K3624" s="10" t="s">
        <v>8953</v>
      </c>
      <c r="L3624" s="10" t="s">
        <v>42</v>
      </c>
    </row>
    <row r="3625" ht="15.75" customHeight="1">
      <c r="A3625" s="64">
        <v>45435.0</v>
      </c>
      <c r="B3625" s="55" t="str">
        <f>HYPERLINK("https://jobright.ai/jobs/info/6677e8948edbb3fe78f3347a?utm_campaign=1062&amp;utm_source=sheet", "Apply")</f>
        <v>Apply</v>
      </c>
      <c r="C3625" s="10" t="s">
        <v>9001</v>
      </c>
      <c r="D3625" s="56" t="s">
        <v>9002</v>
      </c>
      <c r="E3625" s="10" t="s">
        <v>137</v>
      </c>
      <c r="F3625" s="10" t="s">
        <v>9003</v>
      </c>
      <c r="G3625" s="10" t="s">
        <v>2455</v>
      </c>
      <c r="H3625" s="10" t="s">
        <v>7906</v>
      </c>
      <c r="I3625" s="10" t="s">
        <v>55</v>
      </c>
      <c r="K3625" s="10" t="s">
        <v>9004</v>
      </c>
      <c r="L3625" s="10" t="s">
        <v>42</v>
      </c>
    </row>
    <row r="3626" ht="15.75" customHeight="1">
      <c r="A3626" s="64">
        <v>45435.0</v>
      </c>
      <c r="B3626" s="55" t="str">
        <f>HYPERLINK("https://jobright.ai/jobs/info/6677e89d8edbb3fe78f33546?utm_campaign=1062&amp;utm_source=sheet", "Apply")</f>
        <v>Apply</v>
      </c>
      <c r="C3626" s="10" t="s">
        <v>9005</v>
      </c>
      <c r="D3626" s="56" t="s">
        <v>1373</v>
      </c>
      <c r="E3626" s="59">
        <v>45301.0</v>
      </c>
      <c r="F3626" s="10" t="s">
        <v>1184</v>
      </c>
      <c r="G3626" s="10" t="s">
        <v>2437</v>
      </c>
      <c r="H3626" s="10" t="s">
        <v>144</v>
      </c>
      <c r="I3626" s="10" t="s">
        <v>55</v>
      </c>
      <c r="K3626" s="10" t="s">
        <v>9006</v>
      </c>
      <c r="L3626" s="10" t="s">
        <v>42</v>
      </c>
    </row>
    <row r="3627" ht="15.75" customHeight="1">
      <c r="A3627" s="64">
        <v>45435.0</v>
      </c>
      <c r="B3627" s="55" t="str">
        <f>HYPERLINK("https://jobright.ai/jobs/info/6677ed182ffca2bcf6691c47?utm_campaign=1062&amp;utm_source=sheet", "Apply")</f>
        <v>Apply</v>
      </c>
      <c r="C3627" s="10" t="s">
        <v>9007</v>
      </c>
      <c r="D3627" s="56" t="s">
        <v>1511</v>
      </c>
      <c r="E3627" s="10" t="s">
        <v>45</v>
      </c>
      <c r="F3627" s="10" t="s">
        <v>1512</v>
      </c>
      <c r="G3627" s="10" t="s">
        <v>2470</v>
      </c>
      <c r="H3627" s="10" t="s">
        <v>961</v>
      </c>
      <c r="I3627" s="10" t="s">
        <v>55</v>
      </c>
      <c r="J3627" s="10" t="s">
        <v>7269</v>
      </c>
      <c r="K3627" s="10" t="s">
        <v>9008</v>
      </c>
      <c r="L3627" s="10" t="s">
        <v>42</v>
      </c>
    </row>
    <row r="3628" ht="15.75" customHeight="1">
      <c r="A3628" s="64">
        <v>45435.0</v>
      </c>
      <c r="B3628" s="55" t="str">
        <f>HYPERLINK("https://jobright.ai/jobs/info/6677ed712ffca2bcf66923f2?utm_campaign=1062&amp;utm_source=sheet", "Apply")</f>
        <v>Apply</v>
      </c>
      <c r="C3628" s="10" t="s">
        <v>8950</v>
      </c>
      <c r="D3628" s="56" t="s">
        <v>8951</v>
      </c>
      <c r="E3628" s="10" t="s">
        <v>249</v>
      </c>
      <c r="F3628" s="10" t="s">
        <v>2964</v>
      </c>
      <c r="G3628" s="10" t="s">
        <v>2464</v>
      </c>
      <c r="H3628" s="10" t="s">
        <v>6398</v>
      </c>
      <c r="I3628" s="10" t="s">
        <v>55</v>
      </c>
      <c r="K3628" s="10" t="s">
        <v>8953</v>
      </c>
      <c r="L3628" s="10" t="s">
        <v>42</v>
      </c>
    </row>
    <row r="3629" ht="15.75" customHeight="1">
      <c r="A3629" s="64">
        <v>45435.0</v>
      </c>
      <c r="B3629" s="55" t="str">
        <f>HYPERLINK("https://jobright.ai/jobs/info/6677ed9b2ffca2bcf66926e1?utm_campaign=1062&amp;utm_source=sheet", "Apply")</f>
        <v>Apply</v>
      </c>
      <c r="C3629" s="10" t="s">
        <v>2630</v>
      </c>
      <c r="D3629" s="56" t="s">
        <v>9009</v>
      </c>
      <c r="E3629" s="10" t="s">
        <v>137</v>
      </c>
      <c r="F3629" s="10" t="s">
        <v>1790</v>
      </c>
      <c r="G3629" s="10" t="s">
        <v>2464</v>
      </c>
      <c r="H3629" s="10" t="s">
        <v>299</v>
      </c>
      <c r="I3629" s="10" t="s">
        <v>55</v>
      </c>
      <c r="K3629" s="10" t="s">
        <v>9010</v>
      </c>
      <c r="L3629" s="10" t="s">
        <v>42</v>
      </c>
    </row>
    <row r="3630" ht="15.75" customHeight="1">
      <c r="A3630" s="64">
        <v>45435.0</v>
      </c>
      <c r="B3630" s="55" t="str">
        <f>HYPERLINK("https://jobright.ai/jobs/info/6677ecc82ffca2bcf669160c?utm_campaign=1062&amp;utm_source=sheet", "Apply")</f>
        <v>Apply</v>
      </c>
      <c r="C3630" s="10" t="s">
        <v>1771</v>
      </c>
      <c r="D3630" s="56" t="s">
        <v>2069</v>
      </c>
      <c r="E3630" s="10" t="s">
        <v>65</v>
      </c>
      <c r="F3630" s="10" t="s">
        <v>1663</v>
      </c>
      <c r="G3630" s="10" t="s">
        <v>2448</v>
      </c>
      <c r="H3630" s="10" t="s">
        <v>2070</v>
      </c>
      <c r="I3630" s="10" t="s">
        <v>55</v>
      </c>
      <c r="J3630" s="10" t="s">
        <v>3125</v>
      </c>
      <c r="K3630" s="10" t="s">
        <v>9011</v>
      </c>
      <c r="L3630" s="10" t="s">
        <v>42</v>
      </c>
    </row>
    <row r="3631" ht="15.75" customHeight="1">
      <c r="A3631" s="64">
        <v>45435.0</v>
      </c>
      <c r="B3631" s="55" t="str">
        <f>HYPERLINK("https://jobright.ai/jobs/info/6677ede52ffca2bcf6692c87?utm_campaign=1062&amp;utm_source=sheet", "Apply")</f>
        <v>Apply</v>
      </c>
      <c r="C3631" s="10" t="s">
        <v>8980</v>
      </c>
      <c r="D3631" s="56" t="s">
        <v>8981</v>
      </c>
      <c r="E3631" s="10">
        <v>5724.0</v>
      </c>
      <c r="G3631" s="10" t="s">
        <v>2448</v>
      </c>
      <c r="H3631" s="10" t="s">
        <v>1254</v>
      </c>
      <c r="I3631" s="10" t="s">
        <v>55</v>
      </c>
      <c r="K3631" s="10" t="s">
        <v>8982</v>
      </c>
      <c r="L3631" s="10" t="s">
        <v>42</v>
      </c>
    </row>
    <row r="3632" ht="15.75" customHeight="1">
      <c r="A3632" s="64">
        <v>45435.0</v>
      </c>
      <c r="B3632" s="55" t="str">
        <f>HYPERLINK("https://jobright.ai/jobs/info/6677edf92ffca2bcf6692d63?utm_campaign=1062&amp;utm_source=sheet", "Apply")</f>
        <v>Apply</v>
      </c>
      <c r="C3632" s="10" t="s">
        <v>301</v>
      </c>
      <c r="D3632" s="56" t="s">
        <v>2298</v>
      </c>
      <c r="E3632" s="10" t="s">
        <v>65</v>
      </c>
      <c r="F3632" s="10" t="s">
        <v>1274</v>
      </c>
      <c r="G3632" s="10" t="s">
        <v>2484</v>
      </c>
      <c r="H3632" s="10" t="s">
        <v>9012</v>
      </c>
      <c r="I3632" s="10" t="s">
        <v>55</v>
      </c>
      <c r="K3632" s="10" t="s">
        <v>9013</v>
      </c>
      <c r="L3632" s="10" t="s">
        <v>42</v>
      </c>
    </row>
    <row r="3633" ht="15.75" customHeight="1">
      <c r="A3633" s="64">
        <v>45435.0</v>
      </c>
      <c r="B3633" s="55" t="str">
        <f>HYPERLINK("https://jobright.ai/jobs/info/6677edf92ffca2bcf6692d9b?utm_campaign=1062&amp;utm_source=sheet", "Apply")</f>
        <v>Apply</v>
      </c>
      <c r="C3633" s="10" t="s">
        <v>9014</v>
      </c>
      <c r="D3633" s="56" t="s">
        <v>2530</v>
      </c>
      <c r="E3633" s="10" t="s">
        <v>276</v>
      </c>
      <c r="F3633" s="10" t="s">
        <v>2531</v>
      </c>
      <c r="G3633" s="10" t="s">
        <v>2448</v>
      </c>
      <c r="H3633" s="10" t="s">
        <v>884</v>
      </c>
      <c r="I3633" s="10" t="s">
        <v>55</v>
      </c>
      <c r="K3633" s="10" t="s">
        <v>9015</v>
      </c>
      <c r="L3633" s="10" t="s">
        <v>42</v>
      </c>
    </row>
    <row r="3634" ht="15.75" customHeight="1">
      <c r="A3634" s="64">
        <v>45435.0</v>
      </c>
      <c r="B3634" s="55" t="str">
        <f>HYPERLINK("https://jobright.ai/jobs/info/6677ee172ffca2bcf669305b?utm_campaign=1062&amp;utm_source=sheet", "Apply")</f>
        <v>Apply</v>
      </c>
      <c r="C3634" s="10" t="s">
        <v>9016</v>
      </c>
      <c r="D3634" s="56" t="s">
        <v>3589</v>
      </c>
      <c r="E3634" s="10" t="s">
        <v>45</v>
      </c>
      <c r="F3634" s="10" t="s">
        <v>2554</v>
      </c>
      <c r="G3634" s="10" t="s">
        <v>2470</v>
      </c>
      <c r="H3634" s="10" t="s">
        <v>7783</v>
      </c>
      <c r="I3634" s="10" t="s">
        <v>55</v>
      </c>
      <c r="K3634" s="10" t="s">
        <v>7784</v>
      </c>
      <c r="L3634" s="10" t="s">
        <v>42</v>
      </c>
    </row>
    <row r="3635" ht="15.75" customHeight="1">
      <c r="A3635" s="64">
        <v>45435.0</v>
      </c>
      <c r="B3635" s="55" t="str">
        <f>HYPERLINK("https://jobright.ai/jobs/info/6677ee2b2ffca2bcf66931a5?utm_campaign=1062&amp;utm_source=sheet", "Apply")</f>
        <v>Apply</v>
      </c>
      <c r="C3635" s="10" t="s">
        <v>9017</v>
      </c>
      <c r="D3635" s="56" t="s">
        <v>3589</v>
      </c>
      <c r="E3635" s="10" t="s">
        <v>45</v>
      </c>
      <c r="F3635" s="10" t="s">
        <v>2554</v>
      </c>
      <c r="G3635" s="10" t="s">
        <v>2470</v>
      </c>
      <c r="H3635" s="10" t="s">
        <v>7783</v>
      </c>
      <c r="I3635" s="10" t="s">
        <v>55</v>
      </c>
      <c r="K3635" s="10" t="s">
        <v>7784</v>
      </c>
      <c r="L3635" s="10" t="s">
        <v>42</v>
      </c>
    </row>
    <row r="3636" ht="15.75" customHeight="1">
      <c r="A3636" s="64">
        <v>45435.0</v>
      </c>
      <c r="B3636" s="55" t="str">
        <f>HYPERLINK("https://jobright.ai/jobs/info/6677ee352ffca2bcf669325c?utm_campaign=1062&amp;utm_source=sheet", "Apply")</f>
        <v>Apply</v>
      </c>
      <c r="C3636" s="10" t="s">
        <v>9018</v>
      </c>
      <c r="D3636" s="56" t="s">
        <v>1722</v>
      </c>
      <c r="E3636" s="10" t="s">
        <v>65</v>
      </c>
      <c r="F3636" s="10" t="s">
        <v>1723</v>
      </c>
      <c r="G3636" s="10" t="s">
        <v>2448</v>
      </c>
      <c r="H3636" s="10" t="s">
        <v>1254</v>
      </c>
      <c r="I3636" s="10" t="s">
        <v>55</v>
      </c>
      <c r="J3636" s="10" t="s">
        <v>2286</v>
      </c>
      <c r="K3636" s="10" t="s">
        <v>9019</v>
      </c>
      <c r="L3636" s="10" t="s">
        <v>42</v>
      </c>
    </row>
    <row r="3637" ht="15.75" customHeight="1">
      <c r="A3637" s="64">
        <v>45435.0</v>
      </c>
      <c r="B3637" s="55" t="str">
        <f>HYPERLINK("https://jobright.ai/jobs/info/6677ee592ffca2bcf6693574?utm_campaign=1062&amp;utm_source=sheet", "Apply")</f>
        <v>Apply</v>
      </c>
      <c r="C3637" s="10" t="s">
        <v>9020</v>
      </c>
      <c r="D3637" s="56" t="s">
        <v>9021</v>
      </c>
      <c r="E3637" s="10" t="s">
        <v>209</v>
      </c>
      <c r="F3637" s="10" t="s">
        <v>1833</v>
      </c>
      <c r="G3637" s="10" t="s">
        <v>2443</v>
      </c>
      <c r="H3637" s="10" t="s">
        <v>9022</v>
      </c>
      <c r="I3637" s="10" t="s">
        <v>55</v>
      </c>
      <c r="K3637" s="10" t="s">
        <v>9023</v>
      </c>
      <c r="L3637" s="10" t="s">
        <v>42</v>
      </c>
    </row>
    <row r="3638" ht="15.75" customHeight="1">
      <c r="A3638" s="64">
        <v>45435.0</v>
      </c>
      <c r="B3638" s="55" t="str">
        <f>HYPERLINK("https://jobright.ai/jobs/info/6677ee6c2ffca2bcf669377a?utm_campaign=1062&amp;utm_source=sheet", "Apply")</f>
        <v>Apply</v>
      </c>
      <c r="C3638" s="10" t="s">
        <v>2899</v>
      </c>
      <c r="D3638" s="56" t="s">
        <v>9024</v>
      </c>
      <c r="E3638" s="10" t="s">
        <v>276</v>
      </c>
      <c r="F3638" s="10" t="s">
        <v>1893</v>
      </c>
      <c r="G3638" s="10" t="s">
        <v>2484</v>
      </c>
      <c r="H3638" s="10" t="s">
        <v>9025</v>
      </c>
      <c r="I3638" s="10" t="s">
        <v>55</v>
      </c>
      <c r="K3638" s="10" t="s">
        <v>9026</v>
      </c>
      <c r="L3638" s="10" t="s">
        <v>42</v>
      </c>
    </row>
    <row r="3639" ht="15.75" customHeight="1">
      <c r="A3639" s="64">
        <v>45435.0</v>
      </c>
      <c r="B3639" s="55" t="str">
        <f>HYPERLINK("https://jobright.ai/jobs/info/6677f1cc9c81148ccaaed208?utm_campaign=1062&amp;utm_source=sheet", "Apply")</f>
        <v>Apply</v>
      </c>
      <c r="C3639" s="10" t="s">
        <v>9027</v>
      </c>
      <c r="D3639" s="56" t="s">
        <v>9028</v>
      </c>
      <c r="E3639" s="10" t="s">
        <v>79</v>
      </c>
      <c r="F3639" s="10" t="s">
        <v>2964</v>
      </c>
      <c r="G3639" s="10" t="s">
        <v>2495</v>
      </c>
      <c r="H3639" s="10" t="s">
        <v>9029</v>
      </c>
      <c r="I3639" s="10" t="s">
        <v>55</v>
      </c>
      <c r="K3639" s="10" t="s">
        <v>9030</v>
      </c>
      <c r="L3639" s="10" t="s">
        <v>42</v>
      </c>
    </row>
    <row r="3640" ht="15.75" customHeight="1">
      <c r="A3640" s="64">
        <v>45435.0</v>
      </c>
      <c r="B3640" s="55" t="str">
        <f>HYPERLINK("https://jobright.ai/jobs/info/6677f2529c81148ccaaedd55?utm_campaign=1062&amp;utm_source=sheet", "Apply")</f>
        <v>Apply</v>
      </c>
      <c r="C3640" s="10" t="s">
        <v>9031</v>
      </c>
      <c r="D3640" s="56" t="s">
        <v>7987</v>
      </c>
      <c r="E3640" s="10" t="s">
        <v>79</v>
      </c>
      <c r="F3640" s="10" t="s">
        <v>1274</v>
      </c>
      <c r="G3640" s="10" t="s">
        <v>2484</v>
      </c>
      <c r="H3640" s="10" t="s">
        <v>952</v>
      </c>
      <c r="I3640" s="10" t="s">
        <v>55</v>
      </c>
      <c r="K3640" s="10" t="s">
        <v>9032</v>
      </c>
      <c r="L3640" s="10" t="s">
        <v>42</v>
      </c>
    </row>
    <row r="3641" ht="15.75" customHeight="1">
      <c r="A3641" s="64">
        <v>45435.0</v>
      </c>
      <c r="B3641" s="55" t="str">
        <f>HYPERLINK("https://jobright.ai/jobs/info/6677f1e09c81148ccaaed3ac?utm_campaign=1062&amp;utm_source=sheet", "Apply")</f>
        <v>Apply</v>
      </c>
      <c r="C3641" s="10" t="s">
        <v>8916</v>
      </c>
      <c r="D3641" s="56" t="s">
        <v>3000</v>
      </c>
      <c r="E3641" s="10" t="s">
        <v>45</v>
      </c>
      <c r="F3641" s="10" t="s">
        <v>2216</v>
      </c>
      <c r="G3641" s="10" t="s">
        <v>2448</v>
      </c>
      <c r="H3641" s="10" t="s">
        <v>572</v>
      </c>
      <c r="I3641" s="10" t="s">
        <v>55</v>
      </c>
      <c r="J3641" s="10" t="s">
        <v>3979</v>
      </c>
      <c r="K3641" s="10" t="s">
        <v>9033</v>
      </c>
      <c r="L3641" s="10" t="s">
        <v>42</v>
      </c>
    </row>
    <row r="3642" ht="15.75" customHeight="1">
      <c r="A3642" s="64">
        <v>45435.0</v>
      </c>
      <c r="B3642" s="55" t="str">
        <f>HYPERLINK("https://jobright.ai/jobs/info/6677f2ad9c81148ccaaee3e6?utm_campaign=1062&amp;utm_source=sheet", "Apply")</f>
        <v>Apply</v>
      </c>
      <c r="C3642" s="10" t="s">
        <v>8950</v>
      </c>
      <c r="D3642" s="56" t="s">
        <v>8951</v>
      </c>
      <c r="E3642" s="10" t="s">
        <v>249</v>
      </c>
      <c r="F3642" s="10" t="s">
        <v>2964</v>
      </c>
      <c r="G3642" s="10" t="s">
        <v>2464</v>
      </c>
      <c r="H3642" s="10" t="s">
        <v>9034</v>
      </c>
      <c r="I3642" s="10" t="s">
        <v>55</v>
      </c>
      <c r="K3642" s="10" t="s">
        <v>8953</v>
      </c>
      <c r="L3642" s="10" t="s">
        <v>42</v>
      </c>
    </row>
    <row r="3643" ht="15.75" customHeight="1">
      <c r="A3643" s="64">
        <v>45435.0</v>
      </c>
      <c r="B3643" s="55" t="str">
        <f>HYPERLINK("https://jobright.ai/jobs/info/6668bcda85b2e37272756030?utm_campaign=1062&amp;utm_source=sheet", "Apply")</f>
        <v>Apply</v>
      </c>
      <c r="C3643" s="10" t="s">
        <v>8849</v>
      </c>
      <c r="D3643" s="56" t="s">
        <v>196</v>
      </c>
      <c r="E3643" s="10" t="s">
        <v>71</v>
      </c>
      <c r="F3643" s="10" t="s">
        <v>197</v>
      </c>
      <c r="G3643" s="10" t="s">
        <v>2448</v>
      </c>
      <c r="H3643" s="10" t="s">
        <v>2352</v>
      </c>
      <c r="I3643" s="10" t="s">
        <v>55</v>
      </c>
      <c r="K3643" s="10" t="s">
        <v>9035</v>
      </c>
      <c r="L3643" s="10" t="s">
        <v>42</v>
      </c>
    </row>
    <row r="3644" ht="15.75" customHeight="1">
      <c r="A3644" s="64">
        <v>45434.0</v>
      </c>
      <c r="B3644" s="55" t="str">
        <f>HYPERLINK("https://jobright.ai/jobs/info/664eb195cd9154b3e6012e07?utm_campaign=1062&amp;utm_source=sheet", "Apply")</f>
        <v>Apply</v>
      </c>
      <c r="C3644" s="10" t="s">
        <v>4711</v>
      </c>
      <c r="D3644" s="56" t="s">
        <v>9036</v>
      </c>
      <c r="E3644" s="10" t="s">
        <v>276</v>
      </c>
      <c r="F3644" s="10" t="s">
        <v>9037</v>
      </c>
      <c r="G3644" s="10" t="s">
        <v>2484</v>
      </c>
      <c r="H3644" s="10" t="s">
        <v>3719</v>
      </c>
      <c r="I3644" s="10" t="s">
        <v>55</v>
      </c>
      <c r="K3644" s="10" t="s">
        <v>9038</v>
      </c>
      <c r="L3644" s="10" t="s">
        <v>42</v>
      </c>
    </row>
    <row r="3645" ht="15.75" customHeight="1">
      <c r="A3645" s="64">
        <v>45434.0</v>
      </c>
      <c r="B3645" s="55" t="str">
        <f>HYPERLINK("https://jobright.ai/jobs/info/66763369e272243dcd4f5e67?utm_campaign=1062&amp;utm_source=sheet", "Apply")</f>
        <v>Apply</v>
      </c>
      <c r="C3645" s="10" t="s">
        <v>9039</v>
      </c>
      <c r="D3645" s="56" t="s">
        <v>409</v>
      </c>
      <c r="E3645" s="10" t="s">
        <v>65</v>
      </c>
      <c r="F3645" s="10" t="s">
        <v>410</v>
      </c>
      <c r="G3645" s="10" t="s">
        <v>2484</v>
      </c>
      <c r="H3645" s="10" t="s">
        <v>411</v>
      </c>
      <c r="I3645" s="10" t="s">
        <v>55</v>
      </c>
      <c r="K3645" s="10" t="s">
        <v>9040</v>
      </c>
      <c r="L3645" s="10" t="s">
        <v>42</v>
      </c>
    </row>
    <row r="3646" ht="15.75" customHeight="1">
      <c r="A3646" s="64">
        <v>45434.0</v>
      </c>
      <c r="B3646" s="55" t="str">
        <f>HYPERLINK("https://jobright.ai/jobs/info/664e2b62fd06ab529d525bb1?utm_campaign=1062&amp;utm_source=sheet", "Apply")</f>
        <v>Apply</v>
      </c>
      <c r="C3646" s="10" t="s">
        <v>8822</v>
      </c>
      <c r="D3646" s="56" t="s">
        <v>8823</v>
      </c>
      <c r="E3646" s="10" t="s">
        <v>45</v>
      </c>
      <c r="F3646" s="10" t="s">
        <v>5878</v>
      </c>
      <c r="G3646" s="10" t="s">
        <v>2495</v>
      </c>
      <c r="H3646" s="10" t="s">
        <v>8824</v>
      </c>
      <c r="I3646" s="10" t="s">
        <v>55</v>
      </c>
      <c r="K3646" s="10" t="s">
        <v>8825</v>
      </c>
      <c r="L3646" s="10" t="s">
        <v>42</v>
      </c>
    </row>
    <row r="3647" ht="15.75" customHeight="1">
      <c r="A3647" s="64">
        <v>45434.0</v>
      </c>
      <c r="B3647" s="55" t="str">
        <f>HYPERLINK("https://jobright.ai/jobs/info/66767042a0e238a9a3a4a767?utm_campaign=1062&amp;utm_source=sheet", "Apply")</f>
        <v>Apply</v>
      </c>
      <c r="C3647" s="10" t="s">
        <v>9041</v>
      </c>
      <c r="D3647" s="56" t="s">
        <v>3589</v>
      </c>
      <c r="E3647" s="10" t="s">
        <v>45</v>
      </c>
      <c r="F3647" s="10" t="s">
        <v>2554</v>
      </c>
      <c r="G3647" s="10" t="s">
        <v>2448</v>
      </c>
      <c r="H3647" s="10" t="s">
        <v>9042</v>
      </c>
      <c r="I3647" s="10" t="s">
        <v>55</v>
      </c>
      <c r="J3647" s="10" t="s">
        <v>1984</v>
      </c>
      <c r="K3647" s="10" t="s">
        <v>9043</v>
      </c>
      <c r="L3647" s="10" t="s">
        <v>42</v>
      </c>
    </row>
    <row r="3648" ht="15.75" customHeight="1">
      <c r="A3648" s="64">
        <v>45434.0</v>
      </c>
      <c r="B3648" s="55" t="str">
        <f>HYPERLINK("https://jobright.ai/jobs/info/6676704ca0e238a9a3a4a7eb?utm_campaign=1062&amp;utm_source=sheet", "Apply")</f>
        <v>Apply</v>
      </c>
      <c r="C3648" s="10" t="s">
        <v>8056</v>
      </c>
      <c r="D3648" s="56" t="s">
        <v>3589</v>
      </c>
      <c r="E3648" s="10" t="s">
        <v>45</v>
      </c>
      <c r="F3648" s="10" t="s">
        <v>2554</v>
      </c>
      <c r="G3648" s="10" t="s">
        <v>2484</v>
      </c>
      <c r="H3648" s="10" t="s">
        <v>438</v>
      </c>
      <c r="I3648" s="10" t="s">
        <v>55</v>
      </c>
      <c r="K3648" s="10" t="s">
        <v>7784</v>
      </c>
      <c r="L3648" s="10" t="s">
        <v>42</v>
      </c>
    </row>
    <row r="3649" ht="15.75" customHeight="1">
      <c r="A3649" s="64">
        <v>45434.0</v>
      </c>
      <c r="B3649" s="55" t="str">
        <f>HYPERLINK("https://jobright.ai/jobs/info/667670d0a0e238a9a3a4b1d8?utm_campaign=1062&amp;utm_source=sheet", "Apply")</f>
        <v>Apply</v>
      </c>
      <c r="C3649" s="10" t="s">
        <v>9044</v>
      </c>
      <c r="D3649" s="56" t="s">
        <v>9045</v>
      </c>
      <c r="E3649" s="10">
        <v>2.0</v>
      </c>
      <c r="G3649" s="10" t="s">
        <v>2448</v>
      </c>
      <c r="H3649" s="10" t="s">
        <v>9046</v>
      </c>
      <c r="I3649" s="10" t="s">
        <v>55</v>
      </c>
      <c r="K3649" s="10" t="s">
        <v>9047</v>
      </c>
      <c r="L3649" s="10" t="s">
        <v>42</v>
      </c>
    </row>
    <row r="3650" ht="15.75" customHeight="1">
      <c r="A3650" s="64">
        <v>45434.0</v>
      </c>
      <c r="B3650" s="55" t="str">
        <f>HYPERLINK("https://jobright.ai/jobs/info/664d7d5238a8f02de6f51a49?utm_campaign=1062&amp;utm_source=sheet", "Apply")</f>
        <v>Apply</v>
      </c>
      <c r="C3650" s="10" t="s">
        <v>3094</v>
      </c>
      <c r="D3650" s="56" t="s">
        <v>9048</v>
      </c>
      <c r="E3650" s="10" t="s">
        <v>209</v>
      </c>
      <c r="F3650" s="10" t="s">
        <v>1234</v>
      </c>
      <c r="G3650" s="10" t="s">
        <v>2495</v>
      </c>
      <c r="H3650" s="10" t="s">
        <v>3791</v>
      </c>
      <c r="I3650" s="10" t="s">
        <v>55</v>
      </c>
      <c r="K3650" s="10" t="s">
        <v>9049</v>
      </c>
      <c r="L3650" s="10" t="s">
        <v>42</v>
      </c>
    </row>
    <row r="3651" ht="15.75" customHeight="1">
      <c r="A3651" s="64">
        <v>45434.0</v>
      </c>
      <c r="B3651" s="55" t="str">
        <f>HYPERLINK("https://jobright.ai/jobs/info/6646820259bafb91cfd651c2?utm_campaign=1062&amp;utm_source=sheet", "Apply")</f>
        <v>Apply</v>
      </c>
      <c r="C3651" s="10" t="s">
        <v>9050</v>
      </c>
      <c r="D3651" s="56" t="s">
        <v>1836</v>
      </c>
      <c r="E3651" s="10" t="s">
        <v>45</v>
      </c>
      <c r="F3651" s="10" t="s">
        <v>1266</v>
      </c>
      <c r="G3651" s="10" t="s">
        <v>2443</v>
      </c>
      <c r="H3651" s="10" t="s">
        <v>2107</v>
      </c>
      <c r="I3651" s="10" t="s">
        <v>55</v>
      </c>
      <c r="J3651" s="10" t="s">
        <v>1837</v>
      </c>
      <c r="K3651" s="10" t="s">
        <v>9051</v>
      </c>
      <c r="L3651" s="10" t="s">
        <v>42</v>
      </c>
    </row>
    <row r="3652" ht="15.75" customHeight="1">
      <c r="A3652" s="64">
        <v>45434.0</v>
      </c>
      <c r="B3652" s="55" t="str">
        <f>HYPERLINK("https://jobright.ai/jobs/info/66690bc8d012eff80f844730?utm_campaign=1062&amp;utm_source=sheet", "Apply")</f>
        <v>Apply</v>
      </c>
      <c r="C3652" s="10" t="s">
        <v>9052</v>
      </c>
      <c r="D3652" s="56" t="s">
        <v>2269</v>
      </c>
      <c r="E3652" s="10" t="s">
        <v>45</v>
      </c>
      <c r="F3652" s="10" t="s">
        <v>665</v>
      </c>
      <c r="G3652" s="10" t="s">
        <v>2470</v>
      </c>
      <c r="H3652" s="10" t="s">
        <v>9053</v>
      </c>
      <c r="I3652" s="10" t="s">
        <v>55</v>
      </c>
      <c r="J3652" s="10" t="s">
        <v>9054</v>
      </c>
      <c r="K3652" s="10" t="s">
        <v>9055</v>
      </c>
      <c r="L3652" s="10" t="s">
        <v>42</v>
      </c>
    </row>
    <row r="3653" ht="15.75" customHeight="1">
      <c r="A3653" s="64">
        <v>45434.0</v>
      </c>
      <c r="B3653" s="55" t="str">
        <f>HYPERLINK("https://jobright.ai/jobs/info/666c338b60ac4b80e8af280c?utm_campaign=1062&amp;utm_source=sheet", "Apply")</f>
        <v>Apply</v>
      </c>
      <c r="C3653" s="10" t="s">
        <v>9056</v>
      </c>
      <c r="D3653" s="56" t="s">
        <v>4258</v>
      </c>
      <c r="E3653" s="10" t="s">
        <v>45</v>
      </c>
      <c r="F3653" s="10" t="s">
        <v>4259</v>
      </c>
      <c r="G3653" s="10" t="s">
        <v>2484</v>
      </c>
      <c r="H3653" s="10" t="s">
        <v>9057</v>
      </c>
      <c r="I3653" s="10" t="s">
        <v>55</v>
      </c>
      <c r="K3653" s="10" t="s">
        <v>9058</v>
      </c>
      <c r="L3653" s="10" t="s">
        <v>42</v>
      </c>
    </row>
    <row r="3654" ht="15.75" customHeight="1">
      <c r="A3654" s="64">
        <v>45433.0</v>
      </c>
      <c r="B3654" s="55" t="str">
        <f>HYPERLINK("https://jobright.ai/jobs/info/664d312d4ea023f9605d7a2f?utm_campaign=1062&amp;utm_source=sheet", "Apply")</f>
        <v>Apply</v>
      </c>
      <c r="C3654" s="10" t="s">
        <v>9059</v>
      </c>
      <c r="D3654" s="56" t="s">
        <v>4269</v>
      </c>
      <c r="E3654" s="10" t="s">
        <v>209</v>
      </c>
      <c r="F3654" s="10" t="s">
        <v>1234</v>
      </c>
      <c r="G3654" s="10" t="s">
        <v>4046</v>
      </c>
      <c r="H3654" s="10" t="s">
        <v>73</v>
      </c>
      <c r="I3654" s="10" t="s">
        <v>48</v>
      </c>
      <c r="K3654" s="10" t="s">
        <v>9060</v>
      </c>
      <c r="L3654" s="10" t="s">
        <v>42</v>
      </c>
    </row>
    <row r="3655" ht="15.75" customHeight="1">
      <c r="A3655" s="64">
        <v>45433.0</v>
      </c>
      <c r="B3655" s="55" t="str">
        <f>HYPERLINK("https://jobright.ai/jobs/info/66749de43bb0335d41b2d377?utm_campaign=1062&amp;utm_source=sheet", "Apply")</f>
        <v>Apply</v>
      </c>
      <c r="C3655" s="10" t="s">
        <v>9061</v>
      </c>
      <c r="D3655" s="56" t="s">
        <v>9062</v>
      </c>
      <c r="E3655" s="10" t="s">
        <v>65</v>
      </c>
      <c r="F3655" s="10" t="s">
        <v>3124</v>
      </c>
      <c r="G3655" s="10" t="s">
        <v>2448</v>
      </c>
      <c r="H3655" s="10" t="s">
        <v>9063</v>
      </c>
      <c r="I3655" s="10" t="s">
        <v>55</v>
      </c>
      <c r="J3655" s="10" t="s">
        <v>9064</v>
      </c>
      <c r="K3655" s="10" t="s">
        <v>9065</v>
      </c>
      <c r="L3655" s="10" t="s">
        <v>42</v>
      </c>
    </row>
    <row r="3656" ht="15.75" customHeight="1">
      <c r="A3656" s="64">
        <v>45433.0</v>
      </c>
      <c r="B3656" s="55" t="str">
        <f>HYPERLINK("https://jobright.ai/jobs/info/66749e733bb0335d41b2dfdb?utm_campaign=1062&amp;utm_source=sheet", "Apply")</f>
        <v>Apply</v>
      </c>
      <c r="C3656" s="10" t="s">
        <v>9066</v>
      </c>
      <c r="D3656" s="56" t="s">
        <v>1368</v>
      </c>
      <c r="E3656" s="10" t="s">
        <v>65</v>
      </c>
      <c r="F3656" s="10" t="s">
        <v>1369</v>
      </c>
      <c r="G3656" s="10" t="s">
        <v>2476</v>
      </c>
      <c r="H3656" s="10" t="s">
        <v>1370</v>
      </c>
      <c r="I3656" s="10" t="s">
        <v>55</v>
      </c>
      <c r="K3656" s="10" t="s">
        <v>9067</v>
      </c>
      <c r="L3656" s="10" t="s">
        <v>42</v>
      </c>
    </row>
    <row r="3657" ht="15.75" customHeight="1">
      <c r="A3657" s="64">
        <v>45433.0</v>
      </c>
      <c r="B3657" s="55" t="str">
        <f>HYPERLINK("https://jobright.ai/jobs/info/6674a184eb9f41a843410e03?utm_campaign=1062&amp;utm_source=sheet", "Apply")</f>
        <v>Apply</v>
      </c>
      <c r="C3657" s="10" t="s">
        <v>9068</v>
      </c>
      <c r="D3657" s="56" t="s">
        <v>1368</v>
      </c>
      <c r="E3657" s="10" t="s">
        <v>65</v>
      </c>
      <c r="F3657" s="10" t="s">
        <v>1369</v>
      </c>
      <c r="G3657" s="10" t="s">
        <v>2495</v>
      </c>
      <c r="H3657" s="10" t="s">
        <v>1370</v>
      </c>
      <c r="I3657" s="10" t="s">
        <v>55</v>
      </c>
      <c r="K3657" s="10" t="s">
        <v>9069</v>
      </c>
      <c r="L3657" s="10" t="s">
        <v>42</v>
      </c>
    </row>
    <row r="3658" ht="15.75" customHeight="1">
      <c r="A3658" s="64">
        <v>45433.0</v>
      </c>
      <c r="B3658" s="55" t="str">
        <f>HYPERLINK("https://jobright.ai/jobs/info/6674a18eeb9f41a843410edb?utm_campaign=1062&amp;utm_source=sheet", "Apply")</f>
        <v>Apply</v>
      </c>
      <c r="C3658" s="10" t="s">
        <v>9070</v>
      </c>
      <c r="D3658" s="56" t="s">
        <v>2220</v>
      </c>
      <c r="E3658" s="10" t="s">
        <v>45</v>
      </c>
      <c r="F3658" s="10" t="s">
        <v>2221</v>
      </c>
      <c r="G3658" s="10" t="s">
        <v>2448</v>
      </c>
      <c r="H3658" s="10" t="s">
        <v>6620</v>
      </c>
      <c r="I3658" s="10" t="s">
        <v>55</v>
      </c>
      <c r="J3658" s="10" t="s">
        <v>9071</v>
      </c>
      <c r="K3658" s="10" t="s">
        <v>7614</v>
      </c>
      <c r="L3658" s="10" t="s">
        <v>42</v>
      </c>
    </row>
    <row r="3659" ht="15.75" customHeight="1">
      <c r="A3659" s="64">
        <v>45433.0</v>
      </c>
      <c r="B3659" s="55" t="str">
        <f>HYPERLINK("https://jobright.ai/jobs/info/66741e1d8f8ed70066b4b9f4?utm_campaign=1062&amp;utm_source=sheet", "Apply")</f>
        <v>Apply</v>
      </c>
      <c r="C3659" s="10" t="s">
        <v>8350</v>
      </c>
      <c r="D3659" s="56" t="s">
        <v>9072</v>
      </c>
      <c r="E3659" s="10">
        <v>645.0</v>
      </c>
      <c r="G3659" s="10" t="s">
        <v>2437</v>
      </c>
      <c r="H3659" s="10" t="s">
        <v>8353</v>
      </c>
      <c r="I3659" s="10" t="s">
        <v>55</v>
      </c>
      <c r="K3659" s="10" t="s">
        <v>8354</v>
      </c>
      <c r="L3659" s="10" t="s">
        <v>42</v>
      </c>
    </row>
    <row r="3660" ht="15.75" customHeight="1">
      <c r="A3660" s="64">
        <v>45433.0</v>
      </c>
      <c r="B3660" s="55" t="str">
        <f>HYPERLINK("https://jobright.ai/jobs/info/66741e2f8f8ed70066b4bb82?utm_campaign=1062&amp;utm_source=sheet", "Apply")</f>
        <v>Apply</v>
      </c>
      <c r="C3660" s="10" t="s">
        <v>9073</v>
      </c>
      <c r="D3660" s="56" t="s">
        <v>8385</v>
      </c>
      <c r="E3660" s="10">
        <v>2610.0</v>
      </c>
      <c r="G3660" s="10" t="s">
        <v>2579</v>
      </c>
      <c r="H3660" s="10" t="s">
        <v>3196</v>
      </c>
      <c r="I3660" s="10" t="s">
        <v>55</v>
      </c>
      <c r="J3660" s="10" t="s">
        <v>8978</v>
      </c>
      <c r="K3660" s="10" t="s">
        <v>8387</v>
      </c>
      <c r="L3660" s="10" t="s">
        <v>42</v>
      </c>
    </row>
    <row r="3661" ht="15.75" customHeight="1">
      <c r="A3661" s="64">
        <v>45433.0</v>
      </c>
      <c r="B3661" s="55" t="str">
        <f>HYPERLINK("https://jobright.ai/jobs/info/66740f945ff28865e7a71db9?utm_campaign=1062&amp;utm_source=sheet", "Apply")</f>
        <v>Apply</v>
      </c>
      <c r="C3661" s="10" t="s">
        <v>9074</v>
      </c>
      <c r="D3661" s="56" t="s">
        <v>9075</v>
      </c>
      <c r="E3661" s="59">
        <v>45301.0</v>
      </c>
      <c r="F3661" s="10" t="s">
        <v>1164</v>
      </c>
      <c r="G3661" s="10" t="s">
        <v>2455</v>
      </c>
      <c r="H3661" s="10" t="s">
        <v>96</v>
      </c>
      <c r="I3661" s="10" t="s">
        <v>55</v>
      </c>
      <c r="K3661" s="10" t="s">
        <v>9076</v>
      </c>
      <c r="L3661" s="10" t="s">
        <v>42</v>
      </c>
    </row>
    <row r="3662" ht="15.75" customHeight="1">
      <c r="A3662" s="64">
        <v>45433.0</v>
      </c>
      <c r="B3662" s="55" t="str">
        <f>HYPERLINK("https://jobright.ai/jobs/info/665ef4a5ba39aaeb7d327bb4?utm_campaign=1062&amp;utm_source=sheet", "Apply")</f>
        <v>Apply</v>
      </c>
      <c r="C3662" s="10" t="s">
        <v>9077</v>
      </c>
      <c r="D3662" s="56" t="s">
        <v>1502</v>
      </c>
      <c r="E3662" s="10">
        <v>10345.0</v>
      </c>
      <c r="G3662" s="10" t="s">
        <v>2443</v>
      </c>
      <c r="H3662" s="10" t="s">
        <v>106</v>
      </c>
      <c r="I3662" s="10" t="s">
        <v>55</v>
      </c>
      <c r="K3662" s="10" t="s">
        <v>9078</v>
      </c>
      <c r="L3662" s="10" t="s">
        <v>42</v>
      </c>
    </row>
    <row r="3663" ht="15.75" customHeight="1">
      <c r="A3663" s="64">
        <v>45433.0</v>
      </c>
      <c r="B3663" s="55" t="str">
        <f>HYPERLINK("https://jobright.ai/jobs/info/66467332a1f538cea9594d0c?utm_campaign=1062&amp;utm_source=sheet", "Apply")</f>
        <v>Apply</v>
      </c>
      <c r="C3663" s="10" t="s">
        <v>5199</v>
      </c>
      <c r="D3663" s="56" t="s">
        <v>9079</v>
      </c>
      <c r="E3663" s="10" t="s">
        <v>209</v>
      </c>
      <c r="F3663" s="10" t="s">
        <v>1506</v>
      </c>
      <c r="G3663" s="10" t="s">
        <v>2448</v>
      </c>
      <c r="H3663" s="10" t="s">
        <v>3532</v>
      </c>
      <c r="I3663" s="10" t="s">
        <v>55</v>
      </c>
      <c r="K3663" s="10" t="s">
        <v>9080</v>
      </c>
      <c r="L3663" s="10" t="s">
        <v>42</v>
      </c>
    </row>
    <row r="3664" ht="15.75" customHeight="1">
      <c r="A3664" s="64">
        <v>45433.0</v>
      </c>
      <c r="B3664" s="55" t="str">
        <f>HYPERLINK("https://jobright.ai/jobs/info/666917d0ef71c96a7fcbc6e2?utm_campaign=1062&amp;utm_source=sheet", "Apply")</f>
        <v>Apply</v>
      </c>
      <c r="C3664" s="10" t="s">
        <v>9081</v>
      </c>
      <c r="D3664" s="56" t="s">
        <v>2269</v>
      </c>
      <c r="E3664" s="10" t="s">
        <v>45</v>
      </c>
      <c r="F3664" s="10" t="s">
        <v>665</v>
      </c>
      <c r="G3664" s="10" t="s">
        <v>2470</v>
      </c>
      <c r="H3664" s="10" t="s">
        <v>9053</v>
      </c>
      <c r="I3664" s="10" t="s">
        <v>55</v>
      </c>
      <c r="J3664" s="10" t="s">
        <v>9054</v>
      </c>
      <c r="K3664" s="10" t="s">
        <v>9082</v>
      </c>
      <c r="L3664" s="10" t="s">
        <v>42</v>
      </c>
    </row>
    <row r="3665" ht="15.75" customHeight="1">
      <c r="A3665" s="64">
        <v>45432.0</v>
      </c>
      <c r="B3665" s="55" t="str">
        <f>HYPERLINK("https://jobright.ai/jobs/info/664bc837d36abf64e2376751?utm_campaign=1062&amp;utm_source=sheet", "Apply")</f>
        <v>Apply</v>
      </c>
      <c r="C3665" s="10" t="s">
        <v>9083</v>
      </c>
      <c r="D3665" s="56" t="s">
        <v>1547</v>
      </c>
      <c r="E3665" s="10">
        <v>408.0</v>
      </c>
      <c r="G3665" s="10" t="s">
        <v>2443</v>
      </c>
      <c r="H3665" s="10" t="s">
        <v>8687</v>
      </c>
      <c r="I3665" s="10" t="s">
        <v>55</v>
      </c>
      <c r="K3665" s="10" t="s">
        <v>9084</v>
      </c>
      <c r="L3665" s="10" t="s">
        <v>42</v>
      </c>
    </row>
    <row r="3666" ht="15.75" customHeight="1">
      <c r="A3666" s="64">
        <v>45432.0</v>
      </c>
      <c r="B3666" s="55" t="str">
        <f>HYPERLINK("https://jobright.ai/jobs/info/664b8708af342cae2964c4c6?utm_campaign=1062&amp;utm_source=sheet", "Apply")</f>
        <v>Apply</v>
      </c>
      <c r="C3666" s="10" t="s">
        <v>9085</v>
      </c>
      <c r="D3666" s="56" t="s">
        <v>9086</v>
      </c>
      <c r="E3666" s="10" t="s">
        <v>276</v>
      </c>
      <c r="F3666" s="10" t="s">
        <v>9087</v>
      </c>
      <c r="G3666" s="10" t="s">
        <v>2443</v>
      </c>
      <c r="H3666" s="10" t="s">
        <v>96</v>
      </c>
      <c r="I3666" s="10" t="s">
        <v>48</v>
      </c>
      <c r="J3666" s="10" t="s">
        <v>9088</v>
      </c>
      <c r="K3666" s="10" t="s">
        <v>9089</v>
      </c>
      <c r="L3666" s="10" t="s">
        <v>42</v>
      </c>
    </row>
    <row r="3667" ht="15.75" customHeight="1">
      <c r="A3667" s="64">
        <v>45432.0</v>
      </c>
      <c r="B3667" s="55" t="str">
        <f>HYPERLINK("https://jobright.ai/jobs/info/6672ceda4b9042a3b206472e?utm_campaign=1062&amp;utm_source=sheet", "Apply")</f>
        <v>Apply</v>
      </c>
      <c r="C3667" s="10" t="s">
        <v>2954</v>
      </c>
      <c r="D3667" s="56" t="s">
        <v>9090</v>
      </c>
      <c r="E3667" s="10" t="s">
        <v>276</v>
      </c>
      <c r="F3667" s="10" t="s">
        <v>2746</v>
      </c>
      <c r="G3667" s="10" t="s">
        <v>2464</v>
      </c>
      <c r="H3667" s="10" t="s">
        <v>411</v>
      </c>
      <c r="I3667" s="10" t="s">
        <v>55</v>
      </c>
      <c r="K3667" s="10" t="s">
        <v>9091</v>
      </c>
      <c r="L3667" s="10" t="s">
        <v>42</v>
      </c>
    </row>
    <row r="3668" ht="15.75" customHeight="1">
      <c r="A3668" s="64">
        <v>45432.0</v>
      </c>
      <c r="B3668" s="55" t="str">
        <f>HYPERLINK("https://jobright.ai/jobs/info/664db7fc0795614d9a117f2a?utm_campaign=1062&amp;utm_source=sheet", "Apply")</f>
        <v>Apply</v>
      </c>
      <c r="C3668" s="10" t="s">
        <v>9092</v>
      </c>
      <c r="D3668" s="56" t="s">
        <v>9093</v>
      </c>
      <c r="E3668" s="10" t="s">
        <v>65</v>
      </c>
      <c r="F3668" s="10" t="s">
        <v>6394</v>
      </c>
      <c r="G3668" s="10" t="s">
        <v>2484</v>
      </c>
      <c r="H3668" s="10" t="s">
        <v>636</v>
      </c>
      <c r="I3668" s="10" t="s">
        <v>55</v>
      </c>
      <c r="K3668" s="10" t="s">
        <v>9094</v>
      </c>
      <c r="L3668" s="10" t="s">
        <v>42</v>
      </c>
    </row>
    <row r="3669" ht="15.75" customHeight="1">
      <c r="A3669" s="64">
        <v>45432.0</v>
      </c>
      <c r="B3669" s="55" t="str">
        <f>HYPERLINK("https://jobright.ai/jobs/info/66691805ef71c96a7fcbc969?utm_campaign=1062&amp;utm_source=sheet", "Apply")</f>
        <v>Apply</v>
      </c>
      <c r="C3669" s="10" t="s">
        <v>9095</v>
      </c>
      <c r="D3669" s="56" t="s">
        <v>4783</v>
      </c>
      <c r="E3669" s="10" t="s">
        <v>249</v>
      </c>
      <c r="F3669" s="10" t="s">
        <v>4784</v>
      </c>
      <c r="G3669" s="10" t="s">
        <v>2448</v>
      </c>
      <c r="H3669" s="10" t="s">
        <v>2082</v>
      </c>
      <c r="I3669" s="10" t="s">
        <v>55</v>
      </c>
      <c r="J3669" s="10" t="s">
        <v>9096</v>
      </c>
      <c r="K3669" s="10" t="s">
        <v>9097</v>
      </c>
      <c r="L3669" s="10" t="s">
        <v>42</v>
      </c>
    </row>
    <row r="3670" ht="15.75" customHeight="1">
      <c r="A3670" s="64">
        <v>45431.0</v>
      </c>
      <c r="B3670" s="55" t="str">
        <f>HYPERLINK("https://jobright.ai/jobs/info/66691837ef71c96a7fcbcca0?utm_campaign=1062&amp;utm_source=sheet", "Apply")</f>
        <v>Apply</v>
      </c>
      <c r="C3670" s="10" t="s">
        <v>4089</v>
      </c>
      <c r="D3670" s="56" t="s">
        <v>9098</v>
      </c>
      <c r="E3670" s="10" t="s">
        <v>79</v>
      </c>
      <c r="F3670" s="10" t="s">
        <v>529</v>
      </c>
      <c r="G3670" s="10" t="s">
        <v>2470</v>
      </c>
      <c r="H3670" s="10" t="s">
        <v>113</v>
      </c>
      <c r="I3670" s="10" t="s">
        <v>55</v>
      </c>
      <c r="K3670" s="10" t="s">
        <v>4092</v>
      </c>
      <c r="L3670" s="10" t="s">
        <v>42</v>
      </c>
    </row>
    <row r="3671" ht="15.75" customHeight="1">
      <c r="A3671" s="64">
        <v>45430.0</v>
      </c>
      <c r="B3671" s="55" t="str">
        <f>HYPERLINK("https://jobright.ai/jobs/info/664822782e52588796e4ec07?utm_campaign=1062&amp;utm_source=sheet", "Apply")</f>
        <v>Apply</v>
      </c>
      <c r="C3671" s="10" t="s">
        <v>9099</v>
      </c>
      <c r="D3671" s="56" t="s">
        <v>9100</v>
      </c>
      <c r="E3671" s="10" t="s">
        <v>65</v>
      </c>
      <c r="F3671" s="10" t="s">
        <v>9101</v>
      </c>
      <c r="G3671" s="10" t="s">
        <v>2437</v>
      </c>
      <c r="H3671" s="10" t="s">
        <v>5478</v>
      </c>
      <c r="I3671" s="10" t="s">
        <v>55</v>
      </c>
      <c r="K3671" s="10" t="s">
        <v>9102</v>
      </c>
      <c r="L3671" s="10" t="s">
        <v>42</v>
      </c>
    </row>
    <row r="3672" ht="15.75" customHeight="1">
      <c r="A3672" s="64">
        <v>45429.0</v>
      </c>
      <c r="B3672" s="55" t="str">
        <f>HYPERLINK("https://jobright.ai/jobs/info/66691843ef71c96a7fcbcd3c?utm_campaign=1062&amp;utm_source=sheet", "Apply")</f>
        <v>Apply</v>
      </c>
      <c r="C3672" s="10" t="s">
        <v>3115</v>
      </c>
      <c r="D3672" s="56" t="s">
        <v>5073</v>
      </c>
      <c r="E3672" s="10" t="s">
        <v>45</v>
      </c>
      <c r="F3672" s="10" t="s">
        <v>318</v>
      </c>
      <c r="G3672" s="10" t="s">
        <v>2455</v>
      </c>
      <c r="H3672" s="10" t="s">
        <v>9103</v>
      </c>
      <c r="I3672" s="10" t="s">
        <v>55</v>
      </c>
      <c r="K3672" s="10" t="s">
        <v>7328</v>
      </c>
      <c r="L3672" s="10" t="s">
        <v>42</v>
      </c>
    </row>
    <row r="3673" ht="15.75" customHeight="1">
      <c r="A3673" s="64">
        <v>45428.0</v>
      </c>
      <c r="B3673" s="55" t="str">
        <f>HYPERLINK("https://jobright.ai/jobs/info/6646a796e13e61b188cd7ce8?utm_campaign=1062&amp;utm_source=sheet", "Apply")</f>
        <v>Apply</v>
      </c>
      <c r="C3673" s="10" t="s">
        <v>9104</v>
      </c>
      <c r="D3673" s="56" t="s">
        <v>9105</v>
      </c>
      <c r="E3673" s="10" t="s">
        <v>45</v>
      </c>
      <c r="G3673" s="10" t="s">
        <v>2443</v>
      </c>
      <c r="H3673" s="10" t="s">
        <v>9106</v>
      </c>
      <c r="I3673" s="10" t="s">
        <v>55</v>
      </c>
      <c r="K3673" s="10" t="s">
        <v>9107</v>
      </c>
      <c r="L3673" s="10" t="s">
        <v>42</v>
      </c>
    </row>
    <row r="3674" ht="15.75" customHeight="1">
      <c r="A3674" s="64">
        <v>45428.0</v>
      </c>
      <c r="B3674" s="55" t="str">
        <f>HYPERLINK("https://jobright.ai/jobs/info/6645fd4ce641877cf7a94700?utm_campaign=1062&amp;utm_source=sheet", "Apply")</f>
        <v>Apply</v>
      </c>
      <c r="C3674" s="10" t="s">
        <v>9108</v>
      </c>
      <c r="D3674" s="56" t="s">
        <v>8951</v>
      </c>
      <c r="E3674" s="10" t="s">
        <v>249</v>
      </c>
      <c r="F3674" s="10" t="s">
        <v>2964</v>
      </c>
      <c r="G3674" s="10" t="s">
        <v>2464</v>
      </c>
      <c r="H3674" s="10" t="s">
        <v>6398</v>
      </c>
      <c r="I3674" s="10" t="s">
        <v>55</v>
      </c>
      <c r="K3674" s="10" t="s">
        <v>9109</v>
      </c>
      <c r="L3674" s="10" t="s">
        <v>42</v>
      </c>
    </row>
    <row r="3675" ht="15.75" customHeight="1">
      <c r="A3675" s="64">
        <v>45428.0</v>
      </c>
      <c r="B3675" s="55" t="str">
        <f>HYPERLINK("https://jobright.ai/jobs/info/66692053c327d9911b6d4b91?utm_campaign=1062&amp;utm_source=sheet", "Apply")</f>
        <v>Apply</v>
      </c>
      <c r="C3675" s="10" t="s">
        <v>9110</v>
      </c>
      <c r="D3675" s="56" t="s">
        <v>684</v>
      </c>
      <c r="E3675" s="10" t="s">
        <v>45</v>
      </c>
      <c r="F3675" s="10" t="s">
        <v>685</v>
      </c>
      <c r="G3675" s="10" t="s">
        <v>2605</v>
      </c>
      <c r="H3675" s="10" t="s">
        <v>2256</v>
      </c>
      <c r="I3675" s="10" t="s">
        <v>55</v>
      </c>
      <c r="K3675" s="10" t="s">
        <v>3825</v>
      </c>
      <c r="L3675" s="10" t="s">
        <v>42</v>
      </c>
    </row>
    <row r="3676" ht="15.75" customHeight="1">
      <c r="A3676" s="64">
        <v>45428.0</v>
      </c>
      <c r="B3676" s="55" t="str">
        <f>HYPERLINK("https://jobright.ai/jobs/info/6669202cc327d9911b6d491f?utm_campaign=1062&amp;utm_source=sheet", "Apply")</f>
        <v>Apply</v>
      </c>
      <c r="C3676" s="10" t="s">
        <v>9111</v>
      </c>
      <c r="D3676" s="56" t="s">
        <v>2269</v>
      </c>
      <c r="E3676" s="10" t="s">
        <v>45</v>
      </c>
      <c r="F3676" s="10" t="s">
        <v>665</v>
      </c>
      <c r="G3676" s="10" t="s">
        <v>2443</v>
      </c>
      <c r="H3676" s="10" t="s">
        <v>2270</v>
      </c>
      <c r="I3676" s="10" t="s">
        <v>55</v>
      </c>
      <c r="K3676" s="10" t="s">
        <v>9112</v>
      </c>
      <c r="L3676" s="10" t="s">
        <v>42</v>
      </c>
    </row>
    <row r="3677" ht="15.75" customHeight="1">
      <c r="A3677" s="64">
        <v>45428.0</v>
      </c>
      <c r="B3677" s="55" t="str">
        <f>HYPERLINK("https://jobright.ai/jobs/info/665d81dc2492096ac06909e4?utm_campaign=1062&amp;utm_source=sheet", "Apply")</f>
        <v>Apply</v>
      </c>
      <c r="C3677" s="10" t="s">
        <v>9113</v>
      </c>
      <c r="D3677" s="56" t="s">
        <v>9114</v>
      </c>
      <c r="E3677" s="10" t="s">
        <v>276</v>
      </c>
      <c r="F3677" s="10" t="s">
        <v>9115</v>
      </c>
      <c r="G3677" s="10" t="s">
        <v>2464</v>
      </c>
      <c r="H3677" s="10" t="s">
        <v>170</v>
      </c>
      <c r="I3677" s="10" t="s">
        <v>55</v>
      </c>
      <c r="K3677" s="10" t="s">
        <v>9116</v>
      </c>
      <c r="L3677" s="10" t="s">
        <v>42</v>
      </c>
    </row>
    <row r="3678" ht="15.75" customHeight="1">
      <c r="A3678" s="64">
        <v>45427.0</v>
      </c>
      <c r="B3678" s="55" t="str">
        <f>HYPERLINK("https://jobright.ai/jobs/info/666c5860823f552c1d94eba6?utm_campaign=1062&amp;utm_source=sheet", "Apply")</f>
        <v>Apply</v>
      </c>
      <c r="C3678" s="10" t="s">
        <v>9117</v>
      </c>
      <c r="D3678" s="56" t="s">
        <v>196</v>
      </c>
      <c r="E3678" s="10" t="s">
        <v>71</v>
      </c>
      <c r="F3678" s="10" t="s">
        <v>197</v>
      </c>
      <c r="G3678" s="10" t="s">
        <v>2579</v>
      </c>
      <c r="H3678" s="10" t="s">
        <v>193</v>
      </c>
      <c r="I3678" s="10" t="s">
        <v>55</v>
      </c>
      <c r="K3678" s="10" t="s">
        <v>9118</v>
      </c>
      <c r="L3678" s="10" t="s">
        <v>42</v>
      </c>
    </row>
    <row r="3679" ht="15.75" customHeight="1">
      <c r="A3679" s="64">
        <v>45427.0</v>
      </c>
      <c r="B3679" s="55" t="str">
        <f>HYPERLINK("https://jobright.ai/jobs/info/666c24c141bd8bbbc79fd0f8?utm_campaign=1062&amp;utm_source=sheet", "Apply")</f>
        <v>Apply</v>
      </c>
      <c r="C3679" s="10" t="s">
        <v>301</v>
      </c>
      <c r="D3679" s="56" t="s">
        <v>4236</v>
      </c>
      <c r="E3679" s="10" t="s">
        <v>65</v>
      </c>
      <c r="F3679" s="10" t="s">
        <v>4237</v>
      </c>
      <c r="G3679" s="10" t="s">
        <v>2464</v>
      </c>
      <c r="H3679" s="10" t="s">
        <v>572</v>
      </c>
      <c r="I3679" s="10" t="s">
        <v>55</v>
      </c>
      <c r="K3679" s="10" t="s">
        <v>9119</v>
      </c>
      <c r="L3679" s="10" t="s">
        <v>42</v>
      </c>
    </row>
    <row r="3680" ht="15.75" customHeight="1">
      <c r="A3680" s="64">
        <v>45427.0</v>
      </c>
      <c r="B3680" s="55" t="str">
        <f>HYPERLINK("https://jobright.ai/jobs/info/666047bc955342fff1672097?utm_campaign=1062&amp;utm_source=sheet", "Apply")</f>
        <v>Apply</v>
      </c>
      <c r="C3680" s="10" t="s">
        <v>8870</v>
      </c>
      <c r="D3680" s="56" t="s">
        <v>191</v>
      </c>
      <c r="E3680" s="10" t="s">
        <v>65</v>
      </c>
      <c r="F3680" s="10" t="s">
        <v>192</v>
      </c>
      <c r="G3680" s="10" t="s">
        <v>2476</v>
      </c>
      <c r="H3680" s="10" t="s">
        <v>193</v>
      </c>
      <c r="I3680" s="10" t="s">
        <v>55</v>
      </c>
      <c r="K3680" s="10" t="s">
        <v>8871</v>
      </c>
      <c r="L3680" s="10" t="s">
        <v>42</v>
      </c>
    </row>
    <row r="3681" ht="15.75" customHeight="1">
      <c r="A3681" s="64">
        <v>45427.0</v>
      </c>
      <c r="B3681" s="55" t="str">
        <f>HYPERLINK("https://jobright.ai/jobs/info/66446c26bfd43211229d7dfa?utm_campaign=1062&amp;utm_source=sheet", "Apply")</f>
        <v>Apply</v>
      </c>
      <c r="C3681" s="10" t="s">
        <v>9120</v>
      </c>
      <c r="D3681" s="56" t="s">
        <v>9121</v>
      </c>
      <c r="E3681" s="10" t="s">
        <v>209</v>
      </c>
      <c r="F3681" s="10" t="s">
        <v>3418</v>
      </c>
      <c r="G3681" s="10" t="s">
        <v>2464</v>
      </c>
      <c r="H3681" s="10" t="s">
        <v>9122</v>
      </c>
      <c r="I3681" s="10" t="s">
        <v>55</v>
      </c>
      <c r="K3681" s="10" t="s">
        <v>9123</v>
      </c>
      <c r="L3681" s="10" t="s">
        <v>42</v>
      </c>
    </row>
    <row r="3682" ht="15.75" customHeight="1">
      <c r="A3682" s="64">
        <v>45427.0</v>
      </c>
      <c r="B3682" s="55" t="str">
        <f>HYPERLINK("https://jobright.ai/jobs/info/664448b198f9260366fd3d30?utm_campaign=1062&amp;utm_source=sheet", "Apply")</f>
        <v>Apply</v>
      </c>
      <c r="C3682" s="10" t="s">
        <v>9124</v>
      </c>
      <c r="D3682" s="56" t="s">
        <v>9125</v>
      </c>
      <c r="E3682" s="10" t="s">
        <v>65</v>
      </c>
      <c r="F3682" s="10" t="s">
        <v>1234</v>
      </c>
      <c r="G3682" s="10" t="s">
        <v>2495</v>
      </c>
      <c r="H3682" s="10" t="s">
        <v>201</v>
      </c>
      <c r="I3682" s="10" t="s">
        <v>55</v>
      </c>
      <c r="J3682" s="10" t="s">
        <v>9126</v>
      </c>
      <c r="K3682" s="10" t="s">
        <v>9127</v>
      </c>
      <c r="L3682" s="10" t="s">
        <v>42</v>
      </c>
    </row>
    <row r="3683" ht="15.75" customHeight="1">
      <c r="A3683" s="64">
        <v>45427.0</v>
      </c>
      <c r="B3683" s="55" t="str">
        <f>HYPERLINK("https://jobright.ai/jobs/info/66692077c327d9911b6d4e04?utm_campaign=1062&amp;utm_source=sheet", "Apply")</f>
        <v>Apply</v>
      </c>
      <c r="C3683" s="10" t="s">
        <v>9128</v>
      </c>
      <c r="D3683" s="56" t="s">
        <v>9129</v>
      </c>
      <c r="E3683" s="10" t="s">
        <v>209</v>
      </c>
      <c r="F3683" s="10" t="s">
        <v>3180</v>
      </c>
      <c r="G3683" s="10" t="s">
        <v>2448</v>
      </c>
      <c r="H3683" s="10" t="s">
        <v>9130</v>
      </c>
      <c r="I3683" s="10" t="s">
        <v>55</v>
      </c>
      <c r="K3683" s="10" t="s">
        <v>9131</v>
      </c>
      <c r="L3683" s="10" t="s">
        <v>42</v>
      </c>
    </row>
    <row r="3684" ht="15.75" customHeight="1">
      <c r="A3684" s="64">
        <v>45427.0</v>
      </c>
      <c r="B3684" s="55" t="str">
        <f>HYPERLINK("https://jobright.ai/jobs/info/66692083c327d9911b6d4e9c?utm_campaign=1062&amp;utm_source=sheet", "Apply")</f>
        <v>Apply</v>
      </c>
      <c r="C3684" s="10" t="s">
        <v>9132</v>
      </c>
      <c r="D3684" s="56" t="s">
        <v>9133</v>
      </c>
      <c r="E3684" s="10" t="s">
        <v>45</v>
      </c>
      <c r="F3684" s="10" t="s">
        <v>2588</v>
      </c>
      <c r="G3684" s="10" t="s">
        <v>2464</v>
      </c>
      <c r="H3684" s="10" t="s">
        <v>874</v>
      </c>
      <c r="I3684" s="10" t="s">
        <v>55</v>
      </c>
      <c r="K3684" s="10" t="s">
        <v>9134</v>
      </c>
      <c r="L3684" s="10" t="s">
        <v>42</v>
      </c>
    </row>
    <row r="3685" ht="15.75" customHeight="1">
      <c r="A3685" s="64">
        <v>45426.0</v>
      </c>
      <c r="B3685" s="55" t="str">
        <f>HYPERLINK("https://jobright.ai/jobs/info/6643faa8a853bb4747fa4cae?utm_campaign=1062&amp;utm_source=sheet", "Apply")</f>
        <v>Apply</v>
      </c>
      <c r="C3685" s="10" t="s">
        <v>9135</v>
      </c>
      <c r="D3685" s="56" t="s">
        <v>1908</v>
      </c>
      <c r="E3685" s="10" t="s">
        <v>45</v>
      </c>
      <c r="F3685" s="10" t="s">
        <v>1909</v>
      </c>
      <c r="G3685" s="10" t="s">
        <v>2443</v>
      </c>
      <c r="H3685" s="10" t="s">
        <v>153</v>
      </c>
      <c r="I3685" s="10" t="s">
        <v>55</v>
      </c>
      <c r="K3685" s="10" t="s">
        <v>7997</v>
      </c>
      <c r="L3685" s="10" t="s">
        <v>42</v>
      </c>
    </row>
    <row r="3686" ht="15.75" customHeight="1">
      <c r="A3686" s="64">
        <v>45426.0</v>
      </c>
      <c r="B3686" s="55" t="str">
        <f>HYPERLINK("https://jobright.ai/jobs/info/6643dfa366839ddc6f9aeb11?utm_campaign=1062&amp;utm_source=sheet", "Apply")</f>
        <v>Apply</v>
      </c>
      <c r="C3686" s="10" t="s">
        <v>9136</v>
      </c>
      <c r="D3686" s="56" t="s">
        <v>7919</v>
      </c>
      <c r="E3686" s="10" t="s">
        <v>45</v>
      </c>
      <c r="F3686" s="10" t="s">
        <v>1234</v>
      </c>
      <c r="G3686" s="10" t="s">
        <v>2443</v>
      </c>
      <c r="H3686" s="10" t="s">
        <v>131</v>
      </c>
      <c r="I3686" s="10" t="s">
        <v>55</v>
      </c>
      <c r="K3686" s="10" t="s">
        <v>9137</v>
      </c>
      <c r="L3686" s="10" t="s">
        <v>42</v>
      </c>
    </row>
    <row r="3687" ht="15.75" customHeight="1">
      <c r="A3687" s="64">
        <v>45426.0</v>
      </c>
      <c r="B3687" s="55" t="str">
        <f>HYPERLINK("https://jobright.ai/jobs/info/6643dfa366839ddc6f9aeb38?utm_campaign=1062&amp;utm_source=sheet", "Apply")</f>
        <v>Apply</v>
      </c>
      <c r="C3687" s="10" t="s">
        <v>3094</v>
      </c>
      <c r="D3687" s="56" t="s">
        <v>7919</v>
      </c>
      <c r="E3687" s="10" t="s">
        <v>45</v>
      </c>
      <c r="F3687" s="10" t="s">
        <v>1234</v>
      </c>
      <c r="G3687" s="10" t="s">
        <v>2443</v>
      </c>
      <c r="H3687" s="10" t="s">
        <v>131</v>
      </c>
      <c r="I3687" s="10" t="s">
        <v>55</v>
      </c>
      <c r="K3687" s="10" t="s">
        <v>9137</v>
      </c>
      <c r="L3687" s="10" t="s">
        <v>42</v>
      </c>
    </row>
    <row r="3688" ht="15.75" customHeight="1">
      <c r="A3688" s="64">
        <v>45426.0</v>
      </c>
      <c r="B3688" s="55" t="str">
        <f>HYPERLINK("https://jobright.ai/jobs/info/6643b483de20416c3a6e9219?utm_campaign=1062&amp;utm_source=sheet", "Apply")</f>
        <v>Apply</v>
      </c>
      <c r="C3688" s="10" t="s">
        <v>9138</v>
      </c>
      <c r="D3688" s="56" t="s">
        <v>9139</v>
      </c>
      <c r="E3688" s="10" t="s">
        <v>137</v>
      </c>
      <c r="F3688" s="10" t="s">
        <v>9140</v>
      </c>
      <c r="G3688" s="10" t="s">
        <v>2502</v>
      </c>
      <c r="H3688" s="10" t="s">
        <v>251</v>
      </c>
      <c r="I3688" s="10" t="s">
        <v>252</v>
      </c>
      <c r="J3688" s="10" t="s">
        <v>2165</v>
      </c>
      <c r="K3688" s="10" t="s">
        <v>9141</v>
      </c>
      <c r="L3688" s="10" t="s">
        <v>42</v>
      </c>
    </row>
    <row r="3689" ht="15.75" customHeight="1">
      <c r="A3689" s="64">
        <v>45426.0</v>
      </c>
      <c r="B3689" s="55" t="str">
        <f>HYPERLINK("https://jobright.ai/jobs/info/66439bb9fa424e84f20d4a21?utm_campaign=1062&amp;utm_source=sheet", "Apply")</f>
        <v>Apply</v>
      </c>
      <c r="C3689" s="10" t="s">
        <v>9142</v>
      </c>
      <c r="D3689" s="56" t="s">
        <v>9139</v>
      </c>
      <c r="E3689" s="10" t="s">
        <v>137</v>
      </c>
      <c r="F3689" s="10" t="s">
        <v>9140</v>
      </c>
      <c r="G3689" s="10" t="s">
        <v>2502</v>
      </c>
      <c r="H3689" s="10" t="s">
        <v>9143</v>
      </c>
      <c r="I3689" s="10" t="s">
        <v>48</v>
      </c>
      <c r="J3689" s="10" t="s">
        <v>2165</v>
      </c>
      <c r="K3689" s="10" t="s">
        <v>9141</v>
      </c>
      <c r="L3689" s="10" t="s">
        <v>42</v>
      </c>
    </row>
    <row r="3690" ht="15.75" customHeight="1">
      <c r="A3690" s="64">
        <v>45426.0</v>
      </c>
      <c r="B3690" s="55" t="str">
        <f>HYPERLINK("https://jobright.ai/jobs/info/66439bb9fa424e84f20d4a66?utm_campaign=1062&amp;utm_source=sheet", "Apply")</f>
        <v>Apply</v>
      </c>
      <c r="C3690" s="10" t="s">
        <v>9144</v>
      </c>
      <c r="D3690" s="56" t="s">
        <v>9139</v>
      </c>
      <c r="E3690" s="10" t="s">
        <v>137</v>
      </c>
      <c r="F3690" s="10" t="s">
        <v>9140</v>
      </c>
      <c r="G3690" s="10" t="s">
        <v>2502</v>
      </c>
      <c r="H3690" s="10" t="s">
        <v>251</v>
      </c>
      <c r="I3690" s="10" t="s">
        <v>252</v>
      </c>
      <c r="J3690" s="10" t="s">
        <v>2165</v>
      </c>
      <c r="K3690" s="10" t="s">
        <v>9141</v>
      </c>
      <c r="L3690" s="10" t="s">
        <v>42</v>
      </c>
    </row>
    <row r="3691" ht="15.75" customHeight="1">
      <c r="A3691" s="64">
        <v>45426.0</v>
      </c>
      <c r="B3691" s="55" t="str">
        <f>HYPERLINK("https://jobright.ai/jobs/info/666aeb7f673b2dd2162b713e?utm_campaign=1062&amp;utm_source=sheet", "Apply")</f>
        <v>Apply</v>
      </c>
      <c r="C3691" s="10" t="s">
        <v>9145</v>
      </c>
      <c r="D3691" s="56" t="s">
        <v>196</v>
      </c>
      <c r="E3691" s="10" t="s">
        <v>71</v>
      </c>
      <c r="F3691" s="10" t="s">
        <v>197</v>
      </c>
      <c r="G3691" s="10" t="s">
        <v>2448</v>
      </c>
      <c r="H3691" s="10" t="s">
        <v>193</v>
      </c>
      <c r="I3691" s="10" t="s">
        <v>55</v>
      </c>
      <c r="K3691" s="10" t="s">
        <v>9146</v>
      </c>
      <c r="L3691" s="10" t="s">
        <v>42</v>
      </c>
    </row>
    <row r="3692" ht="15.75" customHeight="1">
      <c r="A3692" s="64">
        <v>45426.0</v>
      </c>
      <c r="B3692" s="55" t="str">
        <f>HYPERLINK("https://jobright.ai/jobs/info/664305087816fdca697fdedb?utm_campaign=1062&amp;utm_source=sheet", "Apply")</f>
        <v>Apply</v>
      </c>
      <c r="C3692" s="10" t="s">
        <v>9147</v>
      </c>
      <c r="D3692" s="56" t="s">
        <v>9148</v>
      </c>
      <c r="E3692" s="10" t="s">
        <v>71</v>
      </c>
      <c r="F3692" s="10" t="s">
        <v>9149</v>
      </c>
      <c r="G3692" s="10" t="s">
        <v>2448</v>
      </c>
      <c r="H3692" s="10" t="s">
        <v>868</v>
      </c>
      <c r="I3692" s="10" t="s">
        <v>55</v>
      </c>
      <c r="K3692" s="10" t="s">
        <v>9150</v>
      </c>
      <c r="L3692" s="10" t="s">
        <v>42</v>
      </c>
    </row>
    <row r="3693" ht="15.75" customHeight="1">
      <c r="A3693" s="64">
        <v>45426.0</v>
      </c>
      <c r="B3693" s="55" t="str">
        <f>HYPERLINK("https://jobright.ai/jobs/info/6643bce8ca98d4272f5179a4?utm_campaign=1062&amp;utm_source=sheet", "Apply")</f>
        <v>Apply</v>
      </c>
      <c r="C3693" s="10" t="s">
        <v>9151</v>
      </c>
      <c r="D3693" s="56" t="s">
        <v>9152</v>
      </c>
      <c r="E3693" s="10" t="s">
        <v>249</v>
      </c>
      <c r="F3693" s="10" t="s">
        <v>2554</v>
      </c>
      <c r="G3693" s="10" t="s">
        <v>2448</v>
      </c>
      <c r="H3693" s="10" t="s">
        <v>9153</v>
      </c>
      <c r="I3693" s="10" t="s">
        <v>55</v>
      </c>
      <c r="K3693" s="10" t="s">
        <v>9154</v>
      </c>
      <c r="L3693" s="10" t="s">
        <v>42</v>
      </c>
    </row>
    <row r="3694" ht="15.75" customHeight="1">
      <c r="A3694" s="64">
        <v>45426.0</v>
      </c>
      <c r="B3694" s="55" t="str">
        <f>HYPERLINK("https://jobright.ai/jobs/info/66436dae3f0ac7159803cc68?utm_campaign=1062&amp;utm_source=sheet", "Apply")</f>
        <v>Apply</v>
      </c>
      <c r="C3694" s="10" t="s">
        <v>1105</v>
      </c>
      <c r="D3694" s="56" t="s">
        <v>9155</v>
      </c>
      <c r="E3694" s="10" t="s">
        <v>249</v>
      </c>
      <c r="F3694" s="10" t="s">
        <v>479</v>
      </c>
      <c r="G3694" s="10" t="s">
        <v>2484</v>
      </c>
      <c r="H3694" s="10" t="s">
        <v>5328</v>
      </c>
      <c r="I3694" s="10" t="s">
        <v>55</v>
      </c>
      <c r="J3694" s="10" t="s">
        <v>7269</v>
      </c>
      <c r="K3694" s="10" t="s">
        <v>9156</v>
      </c>
      <c r="L3694" s="10" t="s">
        <v>42</v>
      </c>
    </row>
    <row r="3695" ht="15.75" customHeight="1">
      <c r="A3695" s="64">
        <v>45426.0</v>
      </c>
      <c r="B3695" s="55" t="str">
        <f>HYPERLINK("https://jobright.ai/jobs/info/66692605e4014402c8870ba3?utm_campaign=1062&amp;utm_source=sheet", "Apply")</f>
        <v>Apply</v>
      </c>
      <c r="C3695" s="10" t="s">
        <v>9157</v>
      </c>
      <c r="D3695" s="56" t="s">
        <v>9158</v>
      </c>
      <c r="E3695" s="10" t="s">
        <v>276</v>
      </c>
      <c r="F3695" s="10" t="s">
        <v>8320</v>
      </c>
      <c r="G3695" s="10" t="s">
        <v>2589</v>
      </c>
      <c r="H3695" s="10" t="s">
        <v>9159</v>
      </c>
      <c r="I3695" s="10" t="s">
        <v>55</v>
      </c>
      <c r="K3695" s="10" t="s">
        <v>9160</v>
      </c>
      <c r="L3695" s="10" t="s">
        <v>42</v>
      </c>
    </row>
    <row r="3696" ht="15.75" customHeight="1">
      <c r="A3696" s="64">
        <v>45426.0</v>
      </c>
      <c r="B3696" s="55" t="str">
        <f>HYPERLINK("https://jobright.ai/jobs/info/666920c7c327d9911b6d537c?utm_campaign=1062&amp;utm_source=sheet", "Apply")</f>
        <v>Apply</v>
      </c>
      <c r="C3696" s="10" t="s">
        <v>9161</v>
      </c>
      <c r="D3696" s="56" t="s">
        <v>1453</v>
      </c>
      <c r="E3696" s="10" t="s">
        <v>45</v>
      </c>
      <c r="F3696" s="10" t="s">
        <v>1454</v>
      </c>
      <c r="G3696" s="10" t="s">
        <v>2484</v>
      </c>
      <c r="H3696" s="10" t="s">
        <v>9162</v>
      </c>
      <c r="I3696" s="10" t="s">
        <v>55</v>
      </c>
      <c r="K3696" s="10" t="s">
        <v>9163</v>
      </c>
      <c r="L3696" s="10" t="s">
        <v>42</v>
      </c>
    </row>
    <row r="3697" ht="15.75" customHeight="1">
      <c r="A3697" s="64">
        <v>45426.0</v>
      </c>
      <c r="B3697" s="55" t="str">
        <f>HYPERLINK("https://jobright.ai/jobs/info/665d81fc2492096ac0690c03?utm_campaign=1062&amp;utm_source=sheet", "Apply")</f>
        <v>Apply</v>
      </c>
      <c r="C3697" s="10" t="s">
        <v>9164</v>
      </c>
      <c r="D3697" s="56" t="s">
        <v>9165</v>
      </c>
      <c r="E3697" s="10" t="s">
        <v>65</v>
      </c>
      <c r="F3697" s="10" t="s">
        <v>4593</v>
      </c>
      <c r="G3697" s="10" t="s">
        <v>2484</v>
      </c>
      <c r="H3697" s="10" t="s">
        <v>1460</v>
      </c>
      <c r="I3697" s="10" t="s">
        <v>48</v>
      </c>
      <c r="J3697" s="10" t="s">
        <v>9166</v>
      </c>
      <c r="K3697" s="10" t="s">
        <v>9167</v>
      </c>
      <c r="L3697" s="10" t="s">
        <v>42</v>
      </c>
    </row>
    <row r="3698" ht="15.75" customHeight="1">
      <c r="A3698" s="64">
        <v>45426.0</v>
      </c>
      <c r="B3698" s="55" t="str">
        <f>HYPERLINK("https://jobright.ai/jobs/info/666920b1c327d9911b6d51e4?utm_campaign=1062&amp;utm_source=sheet", "Apply")</f>
        <v>Apply</v>
      </c>
      <c r="C3698" s="10" t="s">
        <v>9168</v>
      </c>
      <c r="D3698" s="56" t="s">
        <v>1699</v>
      </c>
      <c r="E3698" s="10" t="s">
        <v>45</v>
      </c>
      <c r="F3698" s="10" t="s">
        <v>1700</v>
      </c>
      <c r="G3698" s="10" t="s">
        <v>2807</v>
      </c>
      <c r="H3698" s="10" t="s">
        <v>9169</v>
      </c>
      <c r="I3698" s="10" t="s">
        <v>48</v>
      </c>
      <c r="K3698" s="10" t="s">
        <v>9170</v>
      </c>
      <c r="L3698" s="10" t="s">
        <v>42</v>
      </c>
    </row>
    <row r="3699" ht="15.75" customHeight="1">
      <c r="A3699" s="64">
        <v>45425.0</v>
      </c>
      <c r="B3699" s="55" t="str">
        <f>HYPERLINK("https://jobright.ai/jobs/info/666987fa01bb4d89891e18d1?utm_campaign=1062&amp;utm_source=sheet", "Apply")</f>
        <v>Apply</v>
      </c>
      <c r="C3699" s="10" t="s">
        <v>9171</v>
      </c>
      <c r="D3699" s="56" t="s">
        <v>9172</v>
      </c>
      <c r="E3699" s="10" t="s">
        <v>79</v>
      </c>
      <c r="F3699" s="10" t="s">
        <v>9173</v>
      </c>
      <c r="G3699" s="10" t="s">
        <v>2605</v>
      </c>
      <c r="H3699" s="10" t="s">
        <v>146</v>
      </c>
      <c r="I3699" s="10" t="s">
        <v>55</v>
      </c>
      <c r="K3699" s="10" t="s">
        <v>9174</v>
      </c>
      <c r="L3699" s="10" t="s">
        <v>42</v>
      </c>
    </row>
    <row r="3700" ht="15.75" customHeight="1">
      <c r="A3700" s="64">
        <v>45425.0</v>
      </c>
      <c r="B3700" s="55" t="str">
        <f>HYPERLINK("https://jobright.ai/jobs/info/6641ef82393af14ce40fbb74?utm_campaign=1062&amp;utm_source=sheet", "Apply")</f>
        <v>Apply</v>
      </c>
      <c r="C3700" s="10" t="s">
        <v>9175</v>
      </c>
      <c r="D3700" s="56" t="s">
        <v>2202</v>
      </c>
      <c r="E3700" s="10" t="s">
        <v>249</v>
      </c>
      <c r="F3700" s="10" t="s">
        <v>1234</v>
      </c>
      <c r="G3700" s="10" t="s">
        <v>2502</v>
      </c>
      <c r="H3700" s="10" t="s">
        <v>2203</v>
      </c>
      <c r="I3700" s="10" t="s">
        <v>55</v>
      </c>
      <c r="K3700" s="10" t="s">
        <v>9176</v>
      </c>
      <c r="L3700" s="10" t="s">
        <v>42</v>
      </c>
    </row>
    <row r="3701" ht="15.75" customHeight="1">
      <c r="A3701" s="64">
        <v>45425.0</v>
      </c>
      <c r="B3701" s="55" t="str">
        <f>HYPERLINK("https://jobright.ai/jobs/info/6669262ce4014402c8870dec?utm_campaign=1062&amp;utm_source=sheet", "Apply")</f>
        <v>Apply</v>
      </c>
      <c r="C3701" s="10" t="s">
        <v>9177</v>
      </c>
      <c r="D3701" s="56" t="s">
        <v>9178</v>
      </c>
      <c r="E3701" s="10" t="s">
        <v>209</v>
      </c>
      <c r="F3701" s="10" t="s">
        <v>1695</v>
      </c>
      <c r="G3701" s="10" t="s">
        <v>2448</v>
      </c>
      <c r="H3701" s="10" t="s">
        <v>9179</v>
      </c>
      <c r="I3701" s="10" t="s">
        <v>55</v>
      </c>
      <c r="K3701" s="10" t="s">
        <v>9180</v>
      </c>
      <c r="L3701" s="10" t="s">
        <v>42</v>
      </c>
    </row>
    <row r="3702" ht="15.75" customHeight="1">
      <c r="A3702" s="64">
        <v>45425.0</v>
      </c>
      <c r="B3702" s="55" t="str">
        <f>HYPERLINK("https://jobright.ai/jobs/info/6669262ce4014402c8870dde?utm_campaign=1062&amp;utm_source=sheet", "Apply")</f>
        <v>Apply</v>
      </c>
      <c r="C3702" s="10" t="s">
        <v>9181</v>
      </c>
      <c r="D3702" s="56" t="s">
        <v>9182</v>
      </c>
      <c r="E3702" s="10" t="s">
        <v>45</v>
      </c>
      <c r="F3702" s="10" t="s">
        <v>9183</v>
      </c>
      <c r="G3702" s="10" t="s">
        <v>2437</v>
      </c>
      <c r="H3702" s="10" t="s">
        <v>9184</v>
      </c>
      <c r="I3702" s="10" t="s">
        <v>55</v>
      </c>
      <c r="K3702" s="10" t="s">
        <v>9185</v>
      </c>
      <c r="L3702" s="10" t="s">
        <v>42</v>
      </c>
    </row>
    <row r="3703" ht="15.75" customHeight="1">
      <c r="A3703" s="64">
        <v>45425.0</v>
      </c>
      <c r="B3703" s="55" t="str">
        <f>HYPERLINK("https://jobright.ai/jobs/info/666292f1d207c74779ac8027?utm_campaign=1062&amp;utm_source=sheet", "Apply")</f>
        <v>Apply</v>
      </c>
      <c r="C3703" s="10" t="s">
        <v>9186</v>
      </c>
      <c r="D3703" s="56" t="s">
        <v>1732</v>
      </c>
      <c r="E3703" s="10" t="s">
        <v>71</v>
      </c>
      <c r="F3703" s="10" t="s">
        <v>1733</v>
      </c>
      <c r="G3703" s="10" t="s">
        <v>2448</v>
      </c>
      <c r="H3703" s="10" t="s">
        <v>1734</v>
      </c>
      <c r="I3703" s="10" t="s">
        <v>48</v>
      </c>
      <c r="J3703" s="10" t="s">
        <v>9187</v>
      </c>
      <c r="K3703" s="10" t="s">
        <v>9188</v>
      </c>
      <c r="L3703" s="10" t="s">
        <v>42</v>
      </c>
    </row>
    <row r="3704" ht="15.75" customHeight="1">
      <c r="A3704" s="64">
        <v>45425.0</v>
      </c>
      <c r="B3704" s="55" t="str">
        <f>HYPERLINK("https://jobright.ai/jobs/info/66692646e4014402c8870f4a?utm_campaign=1062&amp;utm_source=sheet", "Apply")</f>
        <v>Apply</v>
      </c>
      <c r="C3704" s="10" t="s">
        <v>301</v>
      </c>
      <c r="D3704" s="56" t="s">
        <v>9189</v>
      </c>
      <c r="E3704" s="10" t="s">
        <v>65</v>
      </c>
      <c r="F3704" s="10" t="s">
        <v>703</v>
      </c>
      <c r="G3704" s="10" t="s">
        <v>2807</v>
      </c>
      <c r="H3704" s="10" t="s">
        <v>9190</v>
      </c>
      <c r="I3704" s="10" t="s">
        <v>55</v>
      </c>
      <c r="K3704" s="10" t="s">
        <v>9191</v>
      </c>
      <c r="L3704" s="10" t="s">
        <v>42</v>
      </c>
    </row>
    <row r="3705" ht="15.75" customHeight="1">
      <c r="A3705" s="64">
        <v>45423.0</v>
      </c>
      <c r="B3705" s="55" t="str">
        <f>HYPERLINK("https://jobright.ai/jobs/info/6641efc0393af14ce40fc4c9?utm_campaign=1062&amp;utm_source=sheet", "Apply")</f>
        <v>Apply</v>
      </c>
      <c r="C3705" s="10" t="s">
        <v>9073</v>
      </c>
      <c r="D3705" s="56" t="s">
        <v>8385</v>
      </c>
      <c r="E3705" s="10">
        <v>2610.0</v>
      </c>
      <c r="G3705" s="10" t="s">
        <v>2579</v>
      </c>
      <c r="H3705" s="10" t="s">
        <v>3196</v>
      </c>
      <c r="I3705" s="10" t="s">
        <v>55</v>
      </c>
      <c r="J3705" s="10" t="s">
        <v>8978</v>
      </c>
      <c r="K3705" s="10" t="s">
        <v>9192</v>
      </c>
      <c r="L3705" s="10" t="s">
        <v>42</v>
      </c>
    </row>
    <row r="3706" ht="15.75" customHeight="1">
      <c r="A3706" s="64">
        <v>45422.0</v>
      </c>
      <c r="B3706" s="55" t="str">
        <f>HYPERLINK("https://jobright.ai/jobs/info/663ebeb38f13652285bc4428?utm_campaign=1062&amp;utm_source=sheet", "Apply")</f>
        <v>Apply</v>
      </c>
      <c r="C3706" s="10" t="s">
        <v>9193</v>
      </c>
      <c r="D3706" s="56" t="s">
        <v>9194</v>
      </c>
      <c r="E3706" s="10" t="s">
        <v>79</v>
      </c>
      <c r="F3706" s="10" t="s">
        <v>3080</v>
      </c>
      <c r="G3706" s="10" t="s">
        <v>2484</v>
      </c>
      <c r="H3706" s="10" t="s">
        <v>1565</v>
      </c>
      <c r="I3706" s="10" t="s">
        <v>55</v>
      </c>
      <c r="K3706" s="10" t="s">
        <v>9195</v>
      </c>
      <c r="L3706" s="10" t="s">
        <v>42</v>
      </c>
    </row>
    <row r="3707" ht="15.75" customHeight="1">
      <c r="A3707" s="64">
        <v>45422.0</v>
      </c>
      <c r="B3707" s="55" t="str">
        <f>HYPERLINK("https://jobright.ai/jobs/info/6650943bd76a9322f159494e?utm_campaign=1062&amp;utm_source=sheet", "Apply")</f>
        <v>Apply</v>
      </c>
      <c r="C3707" s="10" t="s">
        <v>9196</v>
      </c>
      <c r="D3707" s="56" t="s">
        <v>243</v>
      </c>
      <c r="E3707" s="10" t="s">
        <v>45</v>
      </c>
      <c r="F3707" s="10" t="s">
        <v>244</v>
      </c>
      <c r="G3707" s="10" t="s">
        <v>2470</v>
      </c>
      <c r="H3707" s="10" t="s">
        <v>3449</v>
      </c>
      <c r="I3707" s="10" t="s">
        <v>55</v>
      </c>
      <c r="K3707" s="10" t="s">
        <v>8055</v>
      </c>
      <c r="L3707" s="10" t="s">
        <v>42</v>
      </c>
    </row>
    <row r="3708" ht="15.75" customHeight="1">
      <c r="A3708" s="64">
        <v>45422.0</v>
      </c>
      <c r="B3708" s="55" t="str">
        <f>HYPERLINK("https://jobright.ai/jobs/info/663e7fb8700e1509a98d7268?utm_campaign=1062&amp;utm_source=sheet", "Apply")</f>
        <v>Apply</v>
      </c>
      <c r="C3708" s="10" t="s">
        <v>9197</v>
      </c>
      <c r="D3708" s="56" t="s">
        <v>5775</v>
      </c>
      <c r="E3708" s="10" t="s">
        <v>276</v>
      </c>
      <c r="F3708" s="10" t="s">
        <v>5776</v>
      </c>
      <c r="G3708" s="10" t="s">
        <v>2484</v>
      </c>
      <c r="H3708" s="10" t="s">
        <v>232</v>
      </c>
      <c r="I3708" s="10" t="s">
        <v>55</v>
      </c>
      <c r="J3708" s="10" t="s">
        <v>9198</v>
      </c>
      <c r="K3708" s="10" t="s">
        <v>9199</v>
      </c>
      <c r="L3708" s="10" t="s">
        <v>42</v>
      </c>
    </row>
    <row r="3709" ht="15.75" customHeight="1">
      <c r="A3709" s="64">
        <v>45422.0</v>
      </c>
      <c r="B3709" s="55" t="str">
        <f>HYPERLINK("https://jobright.ai/jobs/info/666c01bacab80fee56f86595?utm_campaign=1062&amp;utm_source=sheet", "Apply")</f>
        <v>Apply</v>
      </c>
      <c r="C3709" s="10" t="s">
        <v>9200</v>
      </c>
      <c r="D3709" s="56" t="s">
        <v>563</v>
      </c>
      <c r="E3709" s="10" t="s">
        <v>249</v>
      </c>
      <c r="F3709" s="10" t="s">
        <v>564</v>
      </c>
      <c r="G3709" s="10" t="s">
        <v>2437</v>
      </c>
      <c r="H3709" s="10" t="s">
        <v>1319</v>
      </c>
      <c r="I3709" s="10" t="s">
        <v>55</v>
      </c>
      <c r="J3709" s="10" t="s">
        <v>3544</v>
      </c>
      <c r="K3709" s="10" t="s">
        <v>9201</v>
      </c>
      <c r="L3709" s="10" t="s">
        <v>42</v>
      </c>
    </row>
    <row r="3710" ht="15.75" customHeight="1">
      <c r="A3710" s="64">
        <v>45422.0</v>
      </c>
      <c r="B3710" s="55" t="str">
        <f>HYPERLINK("https://jobright.ai/jobs/info/667e94d9baa2e1d8e5e1e85c?utm_campaign=1062&amp;utm_source=sheet", "Apply")</f>
        <v>Apply</v>
      </c>
      <c r="C3710" s="10" t="s">
        <v>9202</v>
      </c>
      <c r="D3710" s="56" t="s">
        <v>563</v>
      </c>
      <c r="E3710" s="10" t="s">
        <v>249</v>
      </c>
      <c r="F3710" s="10" t="s">
        <v>564</v>
      </c>
      <c r="G3710" s="10" t="s">
        <v>2437</v>
      </c>
      <c r="H3710" s="10" t="s">
        <v>1319</v>
      </c>
      <c r="I3710" s="10" t="s">
        <v>55</v>
      </c>
      <c r="J3710" s="10" t="s">
        <v>3544</v>
      </c>
      <c r="K3710" s="10" t="s">
        <v>9203</v>
      </c>
      <c r="L3710" s="10" t="s">
        <v>42</v>
      </c>
    </row>
    <row r="3711" ht="15.75" customHeight="1">
      <c r="A3711" s="64">
        <v>45422.0</v>
      </c>
      <c r="B3711" s="55" t="str">
        <f>HYPERLINK("https://jobright.ai/jobs/info/666930fb32b5c01ae03979dd?utm_campaign=1062&amp;utm_source=sheet", "Apply")</f>
        <v>Apply</v>
      </c>
      <c r="C3711" s="10" t="s">
        <v>9204</v>
      </c>
      <c r="D3711" s="56" t="s">
        <v>1434</v>
      </c>
      <c r="E3711" s="10" t="s">
        <v>65</v>
      </c>
      <c r="F3711" s="10" t="s">
        <v>1435</v>
      </c>
      <c r="G3711" s="10" t="s">
        <v>2448</v>
      </c>
      <c r="H3711" s="10" t="s">
        <v>1436</v>
      </c>
      <c r="I3711" s="10" t="s">
        <v>55</v>
      </c>
      <c r="K3711" s="10" t="s">
        <v>9205</v>
      </c>
      <c r="L3711" s="10" t="s">
        <v>42</v>
      </c>
    </row>
    <row r="3712" ht="15.75" customHeight="1">
      <c r="A3712" s="64">
        <v>45421.0</v>
      </c>
      <c r="B3712" s="55" t="str">
        <f>HYPERLINK("https://jobright.ai/jobs/info/6656fce4370b79848db90012?utm_campaign=1062&amp;utm_source=sheet", "Apply")</f>
        <v>Apply</v>
      </c>
      <c r="C3712" s="10" t="s">
        <v>9206</v>
      </c>
      <c r="D3712" s="56" t="s">
        <v>5383</v>
      </c>
      <c r="E3712" s="10" t="s">
        <v>249</v>
      </c>
      <c r="G3712" s="10" t="s">
        <v>2448</v>
      </c>
      <c r="H3712" s="10" t="s">
        <v>9207</v>
      </c>
      <c r="I3712" s="10" t="s">
        <v>55</v>
      </c>
      <c r="K3712" s="10" t="s">
        <v>9208</v>
      </c>
      <c r="L3712" s="10" t="s">
        <v>42</v>
      </c>
    </row>
    <row r="3713" ht="15.75" customHeight="1">
      <c r="A3713" s="64">
        <v>45421.0</v>
      </c>
      <c r="B3713" s="55" t="str">
        <f>HYPERLINK("https://jobright.ai/jobs/info/663d17d4d565c2bdf43b9a82?utm_campaign=1062&amp;utm_source=sheet", "Apply")</f>
        <v>Apply</v>
      </c>
      <c r="C3713" s="10" t="s">
        <v>9209</v>
      </c>
      <c r="D3713" s="56" t="s">
        <v>9210</v>
      </c>
      <c r="E3713" s="10" t="s">
        <v>79</v>
      </c>
      <c r="F3713" s="10" t="s">
        <v>8720</v>
      </c>
      <c r="G3713" s="10" t="s">
        <v>2605</v>
      </c>
      <c r="H3713" s="10" t="s">
        <v>848</v>
      </c>
      <c r="I3713" s="10" t="s">
        <v>55</v>
      </c>
      <c r="K3713" s="10" t="s">
        <v>9211</v>
      </c>
      <c r="L3713" s="10" t="s">
        <v>42</v>
      </c>
    </row>
    <row r="3714" ht="15.75" customHeight="1">
      <c r="A3714" s="64">
        <v>45421.0</v>
      </c>
      <c r="B3714" s="55" t="str">
        <f>HYPERLINK("https://jobright.ai/jobs/info/6669312132b5c01ae0397c1b?utm_campaign=1062&amp;utm_source=sheet", "Apply")</f>
        <v>Apply</v>
      </c>
      <c r="C3714" s="10" t="s">
        <v>9212</v>
      </c>
      <c r="D3714" s="56" t="s">
        <v>2269</v>
      </c>
      <c r="E3714" s="10" t="s">
        <v>45</v>
      </c>
      <c r="F3714" s="10" t="s">
        <v>665</v>
      </c>
      <c r="G3714" s="10" t="s">
        <v>2443</v>
      </c>
      <c r="H3714" s="10" t="s">
        <v>2270</v>
      </c>
      <c r="I3714" s="10" t="s">
        <v>55</v>
      </c>
      <c r="K3714" s="10" t="s">
        <v>9213</v>
      </c>
      <c r="L3714" s="10" t="s">
        <v>42</v>
      </c>
    </row>
    <row r="3715" ht="15.75" customHeight="1">
      <c r="A3715" s="64">
        <v>45420.0</v>
      </c>
      <c r="B3715" s="55" t="str">
        <f>HYPERLINK("https://jobright.ai/jobs/info/663c139762c6e1c05a2692ea?utm_campaign=1062&amp;utm_source=sheet", "Apply")</f>
        <v>Apply</v>
      </c>
      <c r="C3715" s="10" t="s">
        <v>9214</v>
      </c>
      <c r="D3715" s="56" t="s">
        <v>3129</v>
      </c>
      <c r="E3715" s="10" t="s">
        <v>45</v>
      </c>
      <c r="F3715" s="10" t="s">
        <v>2409</v>
      </c>
      <c r="G3715" s="10" t="s">
        <v>2443</v>
      </c>
      <c r="H3715" s="10" t="s">
        <v>1036</v>
      </c>
      <c r="I3715" s="10" t="s">
        <v>55</v>
      </c>
      <c r="K3715" s="10" t="s">
        <v>9215</v>
      </c>
      <c r="L3715" s="10" t="s">
        <v>42</v>
      </c>
    </row>
    <row r="3716" ht="15.75" customHeight="1">
      <c r="A3716" s="64">
        <v>45420.0</v>
      </c>
      <c r="B3716" s="55" t="str">
        <f>HYPERLINK("https://jobright.ai/jobs/info/663c7be7f60b0627e8ad755e?utm_campaign=1062&amp;utm_source=sheet", "Apply")</f>
        <v>Apply</v>
      </c>
      <c r="C3716" s="10" t="s">
        <v>9216</v>
      </c>
      <c r="D3716" s="56" t="s">
        <v>9217</v>
      </c>
      <c r="E3716" s="10" t="s">
        <v>209</v>
      </c>
      <c r="F3716" s="10" t="s">
        <v>2617</v>
      </c>
      <c r="G3716" s="10" t="s">
        <v>2443</v>
      </c>
      <c r="H3716" s="10" t="s">
        <v>572</v>
      </c>
      <c r="I3716" s="10" t="s">
        <v>55</v>
      </c>
      <c r="K3716" s="10" t="s">
        <v>9218</v>
      </c>
      <c r="L3716" s="10" t="s">
        <v>42</v>
      </c>
    </row>
    <row r="3717" ht="15.75" customHeight="1">
      <c r="A3717" s="64">
        <v>45420.0</v>
      </c>
      <c r="B3717" s="55" t="str">
        <f>HYPERLINK("https://jobright.ai/jobs/info/663c1d768b52a5d167a3005f?utm_campaign=1062&amp;utm_source=sheet", "Apply")</f>
        <v>Apply</v>
      </c>
      <c r="C3717" s="10" t="s">
        <v>9219</v>
      </c>
      <c r="D3717" s="56" t="s">
        <v>1183</v>
      </c>
      <c r="E3717" s="10" t="s">
        <v>45</v>
      </c>
      <c r="F3717" s="10" t="s">
        <v>1184</v>
      </c>
      <c r="G3717" s="10" t="s">
        <v>2448</v>
      </c>
      <c r="H3717" s="10" t="s">
        <v>9220</v>
      </c>
      <c r="I3717" s="10" t="s">
        <v>55</v>
      </c>
      <c r="J3717" s="10" t="s">
        <v>9221</v>
      </c>
      <c r="K3717" s="10" t="s">
        <v>9222</v>
      </c>
      <c r="L3717" s="10" t="s">
        <v>42</v>
      </c>
    </row>
    <row r="3718" ht="15.75" customHeight="1">
      <c r="A3718" s="64">
        <v>45420.0</v>
      </c>
      <c r="B3718" s="55" t="str">
        <f>HYPERLINK("https://jobright.ai/jobs/info/66420fe5c9d08a40e5fc8df5?utm_campaign=1062&amp;utm_source=sheet", "Apply")</f>
        <v>Apply</v>
      </c>
      <c r="C3718" s="10" t="s">
        <v>9223</v>
      </c>
      <c r="D3718" s="56" t="s">
        <v>2077</v>
      </c>
      <c r="E3718" s="10" t="s">
        <v>45</v>
      </c>
      <c r="F3718" s="10" t="s">
        <v>1234</v>
      </c>
      <c r="G3718" s="10" t="s">
        <v>2443</v>
      </c>
      <c r="H3718" s="10" t="s">
        <v>2078</v>
      </c>
      <c r="I3718" s="10" t="s">
        <v>55</v>
      </c>
      <c r="J3718" s="10" t="s">
        <v>9224</v>
      </c>
      <c r="K3718" s="10" t="s">
        <v>9225</v>
      </c>
      <c r="L3718" s="10" t="s">
        <v>42</v>
      </c>
    </row>
    <row r="3719" ht="15.75" customHeight="1">
      <c r="A3719" s="64">
        <v>45420.0</v>
      </c>
      <c r="B3719" s="55" t="str">
        <f>HYPERLINK("https://jobright.ai/jobs/info/666b489d13e4918d72971272?utm_campaign=1062&amp;utm_source=sheet", "Apply")</f>
        <v>Apply</v>
      </c>
      <c r="C3719" s="10" t="s">
        <v>3357</v>
      </c>
      <c r="D3719" s="56" t="s">
        <v>3358</v>
      </c>
      <c r="E3719" s="10" t="s">
        <v>65</v>
      </c>
      <c r="F3719" s="10" t="s">
        <v>3359</v>
      </c>
      <c r="G3719" s="10" t="s">
        <v>2448</v>
      </c>
      <c r="H3719" s="10" t="s">
        <v>9226</v>
      </c>
      <c r="I3719" s="10" t="s">
        <v>55</v>
      </c>
      <c r="J3719" s="10" t="s">
        <v>3361</v>
      </c>
      <c r="K3719" s="10" t="s">
        <v>3362</v>
      </c>
      <c r="L3719" s="10" t="s">
        <v>42</v>
      </c>
    </row>
    <row r="3720" ht="15.75" customHeight="1">
      <c r="A3720" s="64">
        <v>45420.0</v>
      </c>
      <c r="B3720" s="55" t="str">
        <f>HYPERLINK("https://jobright.ai/jobs/info/666bcb181638e3c00ea5bbd4?utm_campaign=1062&amp;utm_source=sheet", "Apply")</f>
        <v>Apply</v>
      </c>
      <c r="C3720" s="10" t="s">
        <v>9227</v>
      </c>
      <c r="D3720" s="56" t="s">
        <v>8719</v>
      </c>
      <c r="E3720" s="10" t="s">
        <v>45</v>
      </c>
      <c r="F3720" s="10" t="s">
        <v>8720</v>
      </c>
      <c r="G3720" s="10" t="s">
        <v>2502</v>
      </c>
      <c r="H3720" s="10" t="s">
        <v>9228</v>
      </c>
      <c r="I3720" s="10" t="s">
        <v>55</v>
      </c>
      <c r="J3720" s="10" t="s">
        <v>5735</v>
      </c>
      <c r="K3720" s="10" t="s">
        <v>9229</v>
      </c>
      <c r="L3720" s="10" t="s">
        <v>42</v>
      </c>
    </row>
    <row r="3721" ht="15.75" customHeight="1">
      <c r="A3721" s="64">
        <v>45419.0</v>
      </c>
      <c r="B3721" s="55" t="str">
        <f>HYPERLINK("https://jobright.ai/jobs/info/663abf4bbac2bf02fbc9c3ce?utm_campaign=1062&amp;utm_source=sheet", "Apply")</f>
        <v>Apply</v>
      </c>
      <c r="C3721" s="10" t="s">
        <v>9230</v>
      </c>
      <c r="D3721" s="56" t="s">
        <v>2091</v>
      </c>
      <c r="E3721" s="10" t="s">
        <v>249</v>
      </c>
      <c r="F3721" s="10" t="s">
        <v>192</v>
      </c>
      <c r="G3721" s="10" t="s">
        <v>2502</v>
      </c>
      <c r="H3721" s="10" t="s">
        <v>3387</v>
      </c>
      <c r="I3721" s="10" t="s">
        <v>55</v>
      </c>
      <c r="K3721" s="10" t="s">
        <v>9231</v>
      </c>
      <c r="L3721" s="10" t="s">
        <v>42</v>
      </c>
    </row>
    <row r="3722" ht="15.75" customHeight="1">
      <c r="A3722" s="64">
        <v>45419.0</v>
      </c>
      <c r="B3722" s="55" t="str">
        <f>HYPERLINK("https://jobright.ai/jobs/info/6642100fc9d08a40e5fc9329?utm_campaign=1062&amp;utm_source=sheet", "Apply")</f>
        <v>Apply</v>
      </c>
      <c r="C3722" s="10" t="s">
        <v>9232</v>
      </c>
      <c r="D3722" s="56" t="s">
        <v>9233</v>
      </c>
      <c r="E3722" s="10" t="s">
        <v>209</v>
      </c>
      <c r="F3722" s="10" t="s">
        <v>665</v>
      </c>
      <c r="G3722" s="10" t="s">
        <v>2448</v>
      </c>
      <c r="H3722" s="10" t="s">
        <v>9234</v>
      </c>
      <c r="I3722" s="10" t="s">
        <v>55</v>
      </c>
      <c r="K3722" s="10" t="s">
        <v>9235</v>
      </c>
      <c r="L3722" s="10" t="s">
        <v>42</v>
      </c>
    </row>
    <row r="3723" ht="15.75" customHeight="1">
      <c r="A3723" s="64">
        <v>45419.0</v>
      </c>
      <c r="B3723" s="55" t="str">
        <f>HYPERLINK("https://jobright.ai/jobs/info/663aaa065b276b49d870f0e3?utm_campaign=1062&amp;utm_source=sheet", "Apply")</f>
        <v>Apply</v>
      </c>
      <c r="C3723" s="10" t="s">
        <v>9236</v>
      </c>
      <c r="D3723" s="56" t="s">
        <v>1183</v>
      </c>
      <c r="E3723" s="10" t="s">
        <v>45</v>
      </c>
      <c r="F3723" s="10" t="s">
        <v>1184</v>
      </c>
      <c r="G3723" s="10" t="s">
        <v>2484</v>
      </c>
      <c r="H3723" s="10" t="s">
        <v>3968</v>
      </c>
      <c r="I3723" s="10" t="s">
        <v>55</v>
      </c>
      <c r="J3723" s="10" t="s">
        <v>3969</v>
      </c>
      <c r="K3723" s="10" t="s">
        <v>6726</v>
      </c>
      <c r="L3723" s="10" t="s">
        <v>42</v>
      </c>
    </row>
    <row r="3724" ht="15.75" customHeight="1">
      <c r="A3724" s="64">
        <v>45419.0</v>
      </c>
      <c r="B3724" s="55" t="str">
        <f>HYPERLINK("https://jobright.ai/jobs/info/663aa1025acbe3a5f13bce5e?utm_campaign=1062&amp;utm_source=sheet", "Apply")</f>
        <v>Apply</v>
      </c>
      <c r="C3724" s="10" t="s">
        <v>9237</v>
      </c>
      <c r="D3724" s="56" t="s">
        <v>1547</v>
      </c>
      <c r="E3724" s="10">
        <v>408.0</v>
      </c>
      <c r="G3724" s="10" t="s">
        <v>2443</v>
      </c>
      <c r="H3724" s="10" t="s">
        <v>914</v>
      </c>
      <c r="I3724" s="10" t="s">
        <v>55</v>
      </c>
      <c r="K3724" s="10" t="s">
        <v>9238</v>
      </c>
      <c r="L3724" s="10" t="s">
        <v>42</v>
      </c>
    </row>
    <row r="3725" ht="15.75" customHeight="1">
      <c r="A3725" s="64">
        <v>45419.0</v>
      </c>
      <c r="B3725" s="55" t="str">
        <f>HYPERLINK("https://jobright.ai/jobs/info/663aa1225acbe3a5f13bd062?utm_campaign=1062&amp;utm_source=sheet", "Apply")</f>
        <v>Apply</v>
      </c>
      <c r="C3725" s="10" t="s">
        <v>9239</v>
      </c>
      <c r="D3725" s="56" t="s">
        <v>8740</v>
      </c>
      <c r="E3725" s="10" t="s">
        <v>45</v>
      </c>
      <c r="F3725" s="10" t="s">
        <v>8741</v>
      </c>
      <c r="G3725" s="10" t="s">
        <v>2470</v>
      </c>
      <c r="H3725" s="10" t="s">
        <v>9240</v>
      </c>
      <c r="I3725" s="10" t="s">
        <v>55</v>
      </c>
      <c r="J3725" s="10" t="s">
        <v>9241</v>
      </c>
      <c r="K3725" s="10" t="s">
        <v>9242</v>
      </c>
      <c r="L3725" s="10" t="s">
        <v>42</v>
      </c>
    </row>
    <row r="3726" ht="15.75" customHeight="1">
      <c r="A3726" s="64">
        <v>45419.0</v>
      </c>
      <c r="B3726" s="55" t="str">
        <f>HYPERLINK("https://jobright.ai/jobs/info/663a69b90bfebb43850989a6?utm_campaign=1062&amp;utm_source=sheet", "Apply")</f>
        <v>Apply</v>
      </c>
      <c r="C3726" s="10" t="s">
        <v>8410</v>
      </c>
      <c r="D3726" s="56" t="s">
        <v>2220</v>
      </c>
      <c r="E3726" s="10" t="s">
        <v>45</v>
      </c>
      <c r="F3726" s="10" t="s">
        <v>2221</v>
      </c>
      <c r="G3726" s="10" t="s">
        <v>2464</v>
      </c>
      <c r="H3726" s="10" t="s">
        <v>3196</v>
      </c>
      <c r="I3726" s="10" t="s">
        <v>55</v>
      </c>
      <c r="J3726" s="10" t="s">
        <v>8386</v>
      </c>
      <c r="K3726" s="10" t="s">
        <v>8411</v>
      </c>
      <c r="L3726" s="10" t="s">
        <v>42</v>
      </c>
    </row>
    <row r="3727" ht="15.75" customHeight="1">
      <c r="A3727" s="64">
        <v>45419.0</v>
      </c>
      <c r="B3727" s="55" t="str">
        <f>HYPERLINK("https://jobright.ai/jobs/info/663a6f9693de92cfb7497e42?utm_campaign=1062&amp;utm_source=sheet", "Apply")</f>
        <v>Apply</v>
      </c>
      <c r="C3727" s="10" t="s">
        <v>9243</v>
      </c>
      <c r="D3727" s="56" t="s">
        <v>2298</v>
      </c>
      <c r="E3727" s="10" t="s">
        <v>65</v>
      </c>
      <c r="F3727" s="10" t="s">
        <v>1274</v>
      </c>
      <c r="G3727" s="10" t="s">
        <v>2495</v>
      </c>
      <c r="H3727" s="10" t="s">
        <v>4848</v>
      </c>
      <c r="I3727" s="10" t="s">
        <v>55</v>
      </c>
      <c r="J3727" s="10" t="s">
        <v>3615</v>
      </c>
      <c r="K3727" s="10" t="s">
        <v>9244</v>
      </c>
      <c r="L3727" s="10" t="s">
        <v>42</v>
      </c>
    </row>
    <row r="3728" ht="15.75" customHeight="1">
      <c r="A3728" s="64">
        <v>45419.0</v>
      </c>
      <c r="B3728" s="55" t="str">
        <f>HYPERLINK("https://jobright.ai/jobs/info/662a52886a324f70a310cf94?utm_campaign=1062&amp;utm_source=sheet", "Apply")</f>
        <v>Apply</v>
      </c>
      <c r="C3728" s="10" t="s">
        <v>9245</v>
      </c>
      <c r="D3728" s="56" t="s">
        <v>2211</v>
      </c>
      <c r="E3728" s="10" t="s">
        <v>45</v>
      </c>
      <c r="F3728" s="10" t="s">
        <v>1274</v>
      </c>
      <c r="G3728" s="10" t="s">
        <v>2448</v>
      </c>
      <c r="H3728" s="10" t="s">
        <v>2212</v>
      </c>
      <c r="I3728" s="10" t="s">
        <v>55</v>
      </c>
      <c r="K3728" s="10" t="s">
        <v>9246</v>
      </c>
      <c r="L3728" s="10" t="s">
        <v>42</v>
      </c>
    </row>
    <row r="3729" ht="15.75" customHeight="1">
      <c r="A3729" s="64">
        <v>45419.0</v>
      </c>
      <c r="B3729" s="55" t="str">
        <f>HYPERLINK("https://jobright.ai/jobs/info/6639ccd4e37c8b2eee8c4340?utm_campaign=1062&amp;utm_source=sheet", "Apply")</f>
        <v>Apply</v>
      </c>
      <c r="C3729" s="10" t="s">
        <v>9247</v>
      </c>
      <c r="D3729" s="56" t="s">
        <v>9248</v>
      </c>
      <c r="E3729" s="10" t="s">
        <v>65</v>
      </c>
      <c r="F3729" s="10" t="s">
        <v>9249</v>
      </c>
      <c r="G3729" s="10" t="s">
        <v>2448</v>
      </c>
      <c r="H3729" s="10" t="s">
        <v>9250</v>
      </c>
      <c r="I3729" s="10" t="s">
        <v>55</v>
      </c>
      <c r="K3729" s="10" t="s">
        <v>9251</v>
      </c>
      <c r="L3729" s="10" t="s">
        <v>42</v>
      </c>
    </row>
    <row r="3730" ht="15.75" customHeight="1">
      <c r="A3730" s="64">
        <v>45419.0</v>
      </c>
      <c r="B3730" s="55" t="str">
        <f>HYPERLINK("https://jobright.ai/jobs/info/66421ca970937fa3afb485c4?utm_campaign=1062&amp;utm_source=sheet", "Apply")</f>
        <v>Apply</v>
      </c>
      <c r="C3730" s="10" t="s">
        <v>9252</v>
      </c>
      <c r="D3730" s="56" t="s">
        <v>2077</v>
      </c>
      <c r="E3730" s="10" t="s">
        <v>45</v>
      </c>
      <c r="F3730" s="10" t="s">
        <v>1234</v>
      </c>
      <c r="G3730" s="10" t="s">
        <v>2528</v>
      </c>
      <c r="H3730" s="10" t="s">
        <v>2078</v>
      </c>
      <c r="I3730" s="10" t="s">
        <v>55</v>
      </c>
      <c r="J3730" s="10" t="s">
        <v>6879</v>
      </c>
      <c r="K3730" s="10" t="s">
        <v>9253</v>
      </c>
      <c r="L3730" s="10" t="s">
        <v>42</v>
      </c>
    </row>
    <row r="3731" ht="15.75" customHeight="1">
      <c r="A3731" s="64">
        <v>45419.0</v>
      </c>
      <c r="B3731" s="55" t="str">
        <f>HYPERLINK("https://jobright.ai/jobs/info/6669317932b5c01ae03981e6?utm_campaign=1062&amp;utm_source=sheet", "Apply")</f>
        <v>Apply</v>
      </c>
      <c r="C3731" s="10" t="s">
        <v>8799</v>
      </c>
      <c r="D3731" s="56" t="s">
        <v>196</v>
      </c>
      <c r="E3731" s="10" t="s">
        <v>71</v>
      </c>
      <c r="F3731" s="10" t="s">
        <v>197</v>
      </c>
      <c r="G3731" s="10" t="s">
        <v>2495</v>
      </c>
      <c r="H3731" s="10" t="s">
        <v>2352</v>
      </c>
      <c r="I3731" s="10" t="s">
        <v>55</v>
      </c>
      <c r="K3731" s="10" t="s">
        <v>9254</v>
      </c>
      <c r="L3731" s="10" t="s">
        <v>42</v>
      </c>
    </row>
    <row r="3732" ht="15.75" customHeight="1">
      <c r="A3732" s="64">
        <v>45419.0</v>
      </c>
      <c r="B3732" s="55" t="str">
        <f>HYPERLINK("https://jobright.ai/jobs/info/66583ba9802ee0ffc31b1ff8?utm_campaign=1062&amp;utm_source=sheet", "Apply")</f>
        <v>Apply</v>
      </c>
      <c r="C3732" s="10" t="s">
        <v>9255</v>
      </c>
      <c r="D3732" s="56" t="s">
        <v>1373</v>
      </c>
      <c r="E3732" s="59">
        <v>45301.0</v>
      </c>
      <c r="F3732" s="10" t="s">
        <v>1184</v>
      </c>
      <c r="G3732" s="10" t="s">
        <v>2437</v>
      </c>
      <c r="H3732" s="10" t="s">
        <v>7916</v>
      </c>
      <c r="I3732" s="10" t="s">
        <v>55</v>
      </c>
      <c r="K3732" s="10" t="s">
        <v>9006</v>
      </c>
      <c r="L3732" s="10" t="s">
        <v>42</v>
      </c>
    </row>
    <row r="3733" ht="15.75" customHeight="1">
      <c r="A3733" s="64">
        <v>45419.0</v>
      </c>
      <c r="B3733" s="55" t="str">
        <f>HYPERLINK("https://jobright.ai/jobs/info/66583bb0802ee0ffc31b203e?utm_campaign=1062&amp;utm_source=sheet", "Apply")</f>
        <v>Apply</v>
      </c>
      <c r="C3733" s="10" t="s">
        <v>9256</v>
      </c>
      <c r="D3733" s="56" t="s">
        <v>1373</v>
      </c>
      <c r="E3733" s="59">
        <v>45301.0</v>
      </c>
      <c r="F3733" s="10" t="s">
        <v>1184</v>
      </c>
      <c r="G3733" s="10" t="s">
        <v>2470</v>
      </c>
      <c r="H3733" s="10" t="s">
        <v>7916</v>
      </c>
      <c r="I3733" s="10" t="s">
        <v>55</v>
      </c>
      <c r="K3733" s="10" t="s">
        <v>8977</v>
      </c>
      <c r="L3733" s="10" t="s">
        <v>42</v>
      </c>
    </row>
    <row r="3734" ht="15.75" customHeight="1">
      <c r="A3734" s="64">
        <v>45419.0</v>
      </c>
      <c r="B3734" s="55" t="str">
        <f>HYPERLINK("https://jobright.ai/jobs/info/66583ba9802ee0ffc31b1fe6?utm_campaign=1062&amp;utm_source=sheet", "Apply")</f>
        <v>Apply</v>
      </c>
      <c r="C3734" s="10" t="s">
        <v>9257</v>
      </c>
      <c r="D3734" s="56" t="s">
        <v>1373</v>
      </c>
      <c r="E3734" s="59">
        <v>45301.0</v>
      </c>
      <c r="F3734" s="10" t="s">
        <v>1184</v>
      </c>
      <c r="G3734" s="10" t="s">
        <v>2484</v>
      </c>
      <c r="H3734" s="10" t="s">
        <v>7916</v>
      </c>
      <c r="I3734" s="10" t="s">
        <v>55</v>
      </c>
      <c r="K3734" s="10" t="s">
        <v>9006</v>
      </c>
      <c r="L3734" s="10" t="s">
        <v>42</v>
      </c>
    </row>
    <row r="3735" ht="15.75" customHeight="1">
      <c r="A3735" s="64">
        <v>45419.0</v>
      </c>
      <c r="B3735" s="55" t="str">
        <f>HYPERLINK("https://jobright.ai/jobs/info/66583ba9802ee0ffc31b1ffc?utm_campaign=1062&amp;utm_source=sheet", "Apply")</f>
        <v>Apply</v>
      </c>
      <c r="C3735" s="10" t="s">
        <v>9005</v>
      </c>
      <c r="D3735" s="56" t="s">
        <v>1373</v>
      </c>
      <c r="E3735" s="59">
        <v>45301.0</v>
      </c>
      <c r="F3735" s="10" t="s">
        <v>1184</v>
      </c>
      <c r="G3735" s="10" t="s">
        <v>2437</v>
      </c>
      <c r="H3735" s="10" t="s">
        <v>7916</v>
      </c>
      <c r="I3735" s="10" t="s">
        <v>55</v>
      </c>
      <c r="K3735" s="10" t="s">
        <v>9006</v>
      </c>
      <c r="L3735" s="10" t="s">
        <v>42</v>
      </c>
    </row>
    <row r="3736" ht="15.75" customHeight="1">
      <c r="A3736" s="64">
        <v>45418.0</v>
      </c>
      <c r="B3736" s="55" t="str">
        <f>HYPERLINK("https://jobright.ai/jobs/info/66421cd070937fa3afb489c4?utm_campaign=1062&amp;utm_source=sheet", "Apply")</f>
        <v>Apply</v>
      </c>
      <c r="C3736" s="10" t="s">
        <v>9258</v>
      </c>
      <c r="D3736" s="56" t="s">
        <v>9233</v>
      </c>
      <c r="E3736" s="10" t="s">
        <v>209</v>
      </c>
      <c r="F3736" s="10" t="s">
        <v>665</v>
      </c>
      <c r="G3736" s="10" t="s">
        <v>2443</v>
      </c>
      <c r="H3736" s="10" t="s">
        <v>872</v>
      </c>
      <c r="I3736" s="10" t="s">
        <v>55</v>
      </c>
      <c r="K3736" s="10" t="s">
        <v>9259</v>
      </c>
      <c r="L3736" s="10" t="s">
        <v>42</v>
      </c>
    </row>
    <row r="3737" ht="15.75" customHeight="1">
      <c r="A3737" s="64">
        <v>45418.0</v>
      </c>
      <c r="B3737" s="55" t="str">
        <f>HYPERLINK("https://jobright.ai/jobs/info/6639587e55a7f2d3d6b303c7?utm_campaign=1062&amp;utm_source=sheet", "Apply")</f>
        <v>Apply</v>
      </c>
      <c r="C3737" s="10" t="s">
        <v>9260</v>
      </c>
      <c r="D3737" s="56" t="s">
        <v>1547</v>
      </c>
      <c r="E3737" s="10">
        <v>408.0</v>
      </c>
      <c r="G3737" s="10" t="s">
        <v>2443</v>
      </c>
      <c r="H3737" s="10" t="s">
        <v>9261</v>
      </c>
      <c r="I3737" s="10" t="s">
        <v>55</v>
      </c>
      <c r="K3737" s="10" t="s">
        <v>9262</v>
      </c>
      <c r="L3737" s="10" t="s">
        <v>42</v>
      </c>
    </row>
    <row r="3738" ht="15.75" customHeight="1">
      <c r="A3738" s="64">
        <v>45418.0</v>
      </c>
      <c r="B3738" s="55" t="str">
        <f>HYPERLINK("https://jobright.ai/jobs/info/6639218d1d1c0ec226e02041?utm_campaign=1062&amp;utm_source=sheet", "Apply")</f>
        <v>Apply</v>
      </c>
      <c r="C3738" s="10" t="s">
        <v>301</v>
      </c>
      <c r="D3738" s="56" t="s">
        <v>9263</v>
      </c>
      <c r="E3738" s="10" t="s">
        <v>249</v>
      </c>
      <c r="F3738" s="10" t="s">
        <v>3080</v>
      </c>
      <c r="G3738" s="10" t="s">
        <v>2448</v>
      </c>
      <c r="H3738" s="10" t="s">
        <v>9264</v>
      </c>
      <c r="I3738" s="10" t="s">
        <v>55</v>
      </c>
      <c r="K3738" s="10" t="s">
        <v>9265</v>
      </c>
      <c r="L3738" s="10" t="s">
        <v>42</v>
      </c>
    </row>
    <row r="3739" ht="15.75" customHeight="1">
      <c r="A3739" s="64">
        <v>45418.0</v>
      </c>
      <c r="B3739" s="55" t="str">
        <f>HYPERLINK("https://jobright.ai/jobs/info/6639218d1d1c0ec226e02077?utm_campaign=1062&amp;utm_source=sheet", "Apply")</f>
        <v>Apply</v>
      </c>
      <c r="C3739" s="10" t="s">
        <v>9266</v>
      </c>
      <c r="D3739" s="56" t="s">
        <v>9263</v>
      </c>
      <c r="E3739" s="10" t="s">
        <v>249</v>
      </c>
      <c r="F3739" s="10" t="s">
        <v>3080</v>
      </c>
      <c r="G3739" s="10" t="s">
        <v>2484</v>
      </c>
      <c r="H3739" s="10" t="s">
        <v>9264</v>
      </c>
      <c r="I3739" s="10" t="s">
        <v>55</v>
      </c>
      <c r="K3739" s="10" t="s">
        <v>9267</v>
      </c>
      <c r="L3739" s="10" t="s">
        <v>42</v>
      </c>
    </row>
    <row r="3740" ht="15.75" customHeight="1">
      <c r="A3740" s="64">
        <v>45418.0</v>
      </c>
      <c r="B3740" s="55" t="str">
        <f>HYPERLINK("https://jobright.ai/jobs/info/663910d57fc3266d1328e9cb?utm_campaign=1062&amp;utm_source=sheet", "Apply")</f>
        <v>Apply</v>
      </c>
      <c r="C3740" s="10" t="s">
        <v>8928</v>
      </c>
      <c r="D3740" s="56" t="s">
        <v>9268</v>
      </c>
      <c r="E3740" s="10" t="s">
        <v>249</v>
      </c>
      <c r="F3740" s="10" t="s">
        <v>4022</v>
      </c>
      <c r="G3740" s="10" t="s">
        <v>2484</v>
      </c>
      <c r="H3740" s="10" t="s">
        <v>9269</v>
      </c>
      <c r="I3740" s="10" t="s">
        <v>55</v>
      </c>
      <c r="K3740" s="10" t="s">
        <v>9270</v>
      </c>
      <c r="L3740" s="10" t="s">
        <v>42</v>
      </c>
    </row>
    <row r="3741" ht="15.75" customHeight="1">
      <c r="A3741" s="64">
        <v>45418.0</v>
      </c>
      <c r="B3741" s="55" t="str">
        <f>HYPERLINK("https://jobright.ai/jobs/info/66390d1357c73ca4ea5ff1f5?utm_campaign=1062&amp;utm_source=sheet", "Apply")</f>
        <v>Apply</v>
      </c>
      <c r="C3741" s="10" t="s">
        <v>9031</v>
      </c>
      <c r="D3741" s="56" t="s">
        <v>8005</v>
      </c>
      <c r="E3741" s="10" t="s">
        <v>137</v>
      </c>
      <c r="F3741" s="10" t="s">
        <v>2554</v>
      </c>
      <c r="G3741" s="10" t="s">
        <v>2484</v>
      </c>
      <c r="H3741" s="10" t="s">
        <v>952</v>
      </c>
      <c r="I3741" s="10" t="s">
        <v>55</v>
      </c>
      <c r="K3741" s="10" t="s">
        <v>9032</v>
      </c>
      <c r="L3741" s="10" t="s">
        <v>42</v>
      </c>
    </row>
    <row r="3742" ht="15.75" customHeight="1">
      <c r="A3742" s="64">
        <v>45418.0</v>
      </c>
      <c r="B3742" s="55" t="str">
        <f>HYPERLINK("https://jobright.ai/jobs/info/6639044e7ed6399c1b44d6ea?utm_campaign=1062&amp;utm_source=sheet", "Apply")</f>
        <v>Apply</v>
      </c>
      <c r="C3742" s="10" t="s">
        <v>8176</v>
      </c>
      <c r="D3742" s="56" t="s">
        <v>9271</v>
      </c>
      <c r="E3742" s="10" t="s">
        <v>276</v>
      </c>
      <c r="F3742" s="10" t="s">
        <v>9272</v>
      </c>
      <c r="G3742" s="10" t="s">
        <v>2448</v>
      </c>
      <c r="H3742" s="10" t="s">
        <v>9273</v>
      </c>
      <c r="I3742" s="10" t="s">
        <v>55</v>
      </c>
      <c r="K3742" s="10" t="s">
        <v>9274</v>
      </c>
      <c r="L3742" s="10" t="s">
        <v>42</v>
      </c>
    </row>
    <row r="3743" ht="15.75" customHeight="1">
      <c r="A3743" s="64">
        <v>45418.0</v>
      </c>
      <c r="B3743" s="55" t="str">
        <f>HYPERLINK("https://jobright.ai/jobs/info/6638f542d29291cf7536e079?utm_campaign=1062&amp;utm_source=sheet", "Apply")</f>
        <v>Apply</v>
      </c>
      <c r="C3743" s="10" t="s">
        <v>9206</v>
      </c>
      <c r="D3743" s="56" t="s">
        <v>5383</v>
      </c>
      <c r="E3743" s="10" t="s">
        <v>249</v>
      </c>
      <c r="G3743" s="10" t="s">
        <v>2448</v>
      </c>
      <c r="H3743" s="10" t="s">
        <v>813</v>
      </c>
      <c r="I3743" s="10" t="s">
        <v>55</v>
      </c>
      <c r="K3743" s="10" t="s">
        <v>9208</v>
      </c>
      <c r="L3743" s="10" t="s">
        <v>42</v>
      </c>
    </row>
    <row r="3744" ht="15.75" customHeight="1">
      <c r="A3744" s="64">
        <v>45418.0</v>
      </c>
      <c r="B3744" s="55" t="str">
        <f>HYPERLINK("https://jobright.ai/jobs/info/66693fb68f0265d34931ae2e?utm_campaign=1062&amp;utm_source=sheet", "Apply")</f>
        <v>Apply</v>
      </c>
      <c r="C3744" s="10" t="s">
        <v>7615</v>
      </c>
      <c r="D3744" s="56" t="s">
        <v>1258</v>
      </c>
      <c r="E3744" s="10" t="s">
        <v>45</v>
      </c>
      <c r="F3744" s="10" t="s">
        <v>1259</v>
      </c>
      <c r="G3744" s="10" t="s">
        <v>2502</v>
      </c>
      <c r="H3744" s="10" t="s">
        <v>9275</v>
      </c>
      <c r="I3744" s="10" t="s">
        <v>55</v>
      </c>
      <c r="K3744" s="10" t="s">
        <v>9276</v>
      </c>
      <c r="L3744" s="10" t="s">
        <v>42</v>
      </c>
    </row>
    <row r="3745" ht="15.75" customHeight="1">
      <c r="A3745" s="64">
        <v>45418.0</v>
      </c>
      <c r="B3745" s="55" t="str">
        <f>HYPERLINK("https://jobright.ai/jobs/info/66693faa8f0265d34931ad54?utm_campaign=1062&amp;utm_source=sheet", "Apply")</f>
        <v>Apply</v>
      </c>
      <c r="C3745" s="10" t="s">
        <v>9277</v>
      </c>
      <c r="D3745" s="56" t="s">
        <v>4945</v>
      </c>
      <c r="E3745" s="10" t="s">
        <v>45</v>
      </c>
      <c r="F3745" s="10" t="s">
        <v>4946</v>
      </c>
      <c r="G3745" s="10" t="s">
        <v>2509</v>
      </c>
      <c r="H3745" s="10" t="s">
        <v>9278</v>
      </c>
      <c r="I3745" s="10" t="s">
        <v>55</v>
      </c>
      <c r="K3745" s="10" t="s">
        <v>9279</v>
      </c>
      <c r="L3745" s="10" t="s">
        <v>42</v>
      </c>
    </row>
    <row r="3746" ht="15.75" customHeight="1">
      <c r="A3746" s="64">
        <v>45418.0</v>
      </c>
      <c r="B3746" s="55" t="str">
        <f>HYPERLINK("https://jobright.ai/jobs/info/66693fc18f0265d34931af15?utm_campaign=1062&amp;utm_source=sheet", "Apply")</f>
        <v>Apply</v>
      </c>
      <c r="C3746" s="10" t="s">
        <v>3115</v>
      </c>
      <c r="D3746" s="56" t="s">
        <v>1496</v>
      </c>
      <c r="E3746" s="10" t="s">
        <v>45</v>
      </c>
      <c r="F3746" s="10" t="s">
        <v>1497</v>
      </c>
      <c r="G3746" s="10" t="s">
        <v>2455</v>
      </c>
      <c r="H3746" s="10" t="s">
        <v>9280</v>
      </c>
      <c r="I3746" s="10" t="s">
        <v>55</v>
      </c>
      <c r="K3746" s="10" t="s">
        <v>9281</v>
      </c>
      <c r="L3746" s="10" t="s">
        <v>42</v>
      </c>
    </row>
    <row r="3747" ht="15.75" customHeight="1">
      <c r="A3747" s="64">
        <v>45418.0</v>
      </c>
      <c r="B3747" s="55" t="str">
        <f>HYPERLINK("https://jobright.ai/jobs/info/66693faa8f0265d34931ad21?utm_campaign=1062&amp;utm_source=sheet", "Apply")</f>
        <v>Apply</v>
      </c>
      <c r="C3747" s="10" t="s">
        <v>9117</v>
      </c>
      <c r="D3747" s="56" t="s">
        <v>196</v>
      </c>
      <c r="E3747" s="10" t="s">
        <v>71</v>
      </c>
      <c r="F3747" s="10" t="s">
        <v>197</v>
      </c>
      <c r="G3747" s="10" t="s">
        <v>2579</v>
      </c>
      <c r="H3747" s="10" t="s">
        <v>2352</v>
      </c>
      <c r="I3747" s="10" t="s">
        <v>55</v>
      </c>
      <c r="K3747" s="10" t="s">
        <v>9282</v>
      </c>
      <c r="L3747" s="10" t="s">
        <v>42</v>
      </c>
    </row>
    <row r="3748" ht="15.75" customHeight="1">
      <c r="A3748" s="64">
        <v>45418.0</v>
      </c>
      <c r="B3748" s="55" t="str">
        <f>HYPERLINK("https://jobright.ai/jobs/info/66729daee80f5e45e849efea?utm_campaign=1062&amp;utm_source=sheet", "Apply")</f>
        <v>Apply</v>
      </c>
      <c r="C3748" s="10" t="s">
        <v>9283</v>
      </c>
      <c r="D3748" s="56" t="s">
        <v>6709</v>
      </c>
      <c r="E3748" s="10" t="s">
        <v>249</v>
      </c>
      <c r="F3748" s="10" t="s">
        <v>6645</v>
      </c>
      <c r="G3748" s="10" t="s">
        <v>2464</v>
      </c>
      <c r="H3748" s="10" t="s">
        <v>1130</v>
      </c>
      <c r="I3748" s="10" t="s">
        <v>55</v>
      </c>
      <c r="K3748" s="10" t="s">
        <v>9284</v>
      </c>
      <c r="L3748" s="10" t="s">
        <v>42</v>
      </c>
    </row>
    <row r="3749" ht="15.75" customHeight="1">
      <c r="A3749" s="64">
        <v>45418.0</v>
      </c>
      <c r="B3749" s="55" t="str">
        <f>HYPERLINK("https://jobright.ai/jobs/info/666937e382917d36f1d90409?utm_campaign=1062&amp;utm_source=sheet", "Apply")</f>
        <v>Apply</v>
      </c>
      <c r="C3749" s="10" t="s">
        <v>9285</v>
      </c>
      <c r="D3749" s="56" t="s">
        <v>8719</v>
      </c>
      <c r="E3749" s="10" t="s">
        <v>45</v>
      </c>
      <c r="F3749" s="10" t="s">
        <v>8720</v>
      </c>
      <c r="G3749" s="10" t="s">
        <v>2502</v>
      </c>
      <c r="H3749" s="10" t="s">
        <v>8721</v>
      </c>
      <c r="I3749" s="10" t="s">
        <v>55</v>
      </c>
      <c r="K3749" s="10" t="s">
        <v>9286</v>
      </c>
      <c r="L3749" s="10" t="s">
        <v>42</v>
      </c>
    </row>
    <row r="3750" ht="15.75" customHeight="1">
      <c r="A3750" s="64">
        <v>45418.0</v>
      </c>
      <c r="B3750" s="55" t="str">
        <f>HYPERLINK("https://jobright.ai/jobs/info/666b7ace66a6b9b65997bf74?utm_campaign=1062&amp;utm_source=sheet", "Apply")</f>
        <v>Apply</v>
      </c>
      <c r="C3750" s="10" t="s">
        <v>7855</v>
      </c>
      <c r="D3750" s="56" t="s">
        <v>7856</v>
      </c>
      <c r="E3750" s="10" t="s">
        <v>276</v>
      </c>
      <c r="F3750" s="10" t="s">
        <v>7857</v>
      </c>
      <c r="G3750" s="10" t="s">
        <v>2484</v>
      </c>
      <c r="H3750" s="10" t="s">
        <v>7858</v>
      </c>
      <c r="I3750" s="10" t="s">
        <v>48</v>
      </c>
      <c r="J3750" s="10" t="s">
        <v>260</v>
      </c>
      <c r="K3750" s="10" t="s">
        <v>7859</v>
      </c>
      <c r="L3750" s="10" t="s">
        <v>42</v>
      </c>
    </row>
    <row r="3751" ht="15.75" customHeight="1">
      <c r="A3751" s="64">
        <v>45417.0</v>
      </c>
      <c r="B3751" s="55" t="str">
        <f>HYPERLINK("https://jobright.ai/jobs/info/66225621aca6d5924f7b34a5?utm_campaign=1062&amp;utm_source=sheet", "Apply")</f>
        <v>Apply</v>
      </c>
      <c r="C3751" s="10" t="s">
        <v>9287</v>
      </c>
      <c r="D3751" s="56" t="s">
        <v>9288</v>
      </c>
      <c r="E3751" s="10" t="s">
        <v>65</v>
      </c>
      <c r="F3751" s="10" t="s">
        <v>3180</v>
      </c>
      <c r="G3751" s="10" t="s">
        <v>2455</v>
      </c>
      <c r="H3751" s="10" t="s">
        <v>4208</v>
      </c>
      <c r="I3751" s="10" t="s">
        <v>55</v>
      </c>
      <c r="K3751" s="10" t="s">
        <v>9289</v>
      </c>
      <c r="L3751" s="10" t="s">
        <v>42</v>
      </c>
    </row>
    <row r="3752" ht="15.75" customHeight="1">
      <c r="A3752" s="64">
        <v>45417.0</v>
      </c>
      <c r="B3752" s="55" t="str">
        <f>HYPERLINK("https://jobright.ai/jobs/info/663762e271aa9650c4b569b7?utm_campaign=1062&amp;utm_source=sheet", "Apply")</f>
        <v>Apply</v>
      </c>
      <c r="C3752" s="10" t="s">
        <v>9287</v>
      </c>
      <c r="D3752" s="56" t="s">
        <v>9288</v>
      </c>
      <c r="E3752" s="10" t="s">
        <v>65</v>
      </c>
      <c r="F3752" s="10" t="s">
        <v>3180</v>
      </c>
      <c r="G3752" s="10" t="s">
        <v>2455</v>
      </c>
      <c r="H3752" s="10" t="s">
        <v>9290</v>
      </c>
      <c r="I3752" s="10" t="s">
        <v>55</v>
      </c>
      <c r="K3752" s="10" t="s">
        <v>9291</v>
      </c>
      <c r="L3752" s="10" t="s">
        <v>42</v>
      </c>
    </row>
    <row r="3753" ht="15.75" customHeight="1">
      <c r="A3753" s="64">
        <v>45417.0</v>
      </c>
      <c r="B3753" s="55" t="str">
        <f>HYPERLINK("https://jobright.ai/jobs/info/65f77b4f2838da15f8398580?utm_campaign=1062&amp;utm_source=sheet", "Apply")</f>
        <v>Apply</v>
      </c>
      <c r="C3753" s="10" t="s">
        <v>9292</v>
      </c>
      <c r="D3753" s="56" t="s">
        <v>9288</v>
      </c>
      <c r="E3753" s="10" t="s">
        <v>65</v>
      </c>
      <c r="F3753" s="10" t="s">
        <v>3180</v>
      </c>
      <c r="G3753" s="10" t="s">
        <v>2455</v>
      </c>
      <c r="H3753" s="10" t="s">
        <v>4208</v>
      </c>
      <c r="I3753" s="10" t="s">
        <v>48</v>
      </c>
      <c r="K3753" s="10" t="s">
        <v>9293</v>
      </c>
      <c r="L3753" s="10" t="s">
        <v>42</v>
      </c>
    </row>
    <row r="3754" ht="15.75" customHeight="1">
      <c r="A3754" s="64">
        <v>45417.0</v>
      </c>
      <c r="B3754" s="55" t="str">
        <f>HYPERLINK("https://jobright.ai/jobs/info/65f770e7b557bdde746d0abf?utm_campaign=1062&amp;utm_source=sheet", "Apply")</f>
        <v>Apply</v>
      </c>
      <c r="C3754" s="10" t="s">
        <v>9292</v>
      </c>
      <c r="D3754" s="56" t="s">
        <v>9288</v>
      </c>
      <c r="E3754" s="10" t="s">
        <v>65</v>
      </c>
      <c r="F3754" s="10" t="s">
        <v>3180</v>
      </c>
      <c r="G3754" s="10" t="s">
        <v>2455</v>
      </c>
      <c r="H3754" s="10" t="s">
        <v>9290</v>
      </c>
      <c r="I3754" s="10" t="s">
        <v>48</v>
      </c>
      <c r="K3754" s="10" t="s">
        <v>9293</v>
      </c>
      <c r="L3754" s="10" t="s">
        <v>42</v>
      </c>
    </row>
    <row r="3755" ht="15.75" customHeight="1">
      <c r="A3755" s="64">
        <v>45417.0</v>
      </c>
      <c r="B3755" s="55" t="str">
        <f>HYPERLINK("https://jobright.ai/jobs/info/66362c920bea71619cc9fd56?utm_campaign=1062&amp;utm_source=sheet", "Apply")</f>
        <v>Apply</v>
      </c>
      <c r="C3755" s="10" t="s">
        <v>9287</v>
      </c>
      <c r="D3755" s="56" t="s">
        <v>9288</v>
      </c>
      <c r="E3755" s="10" t="s">
        <v>65</v>
      </c>
      <c r="F3755" s="10" t="s">
        <v>3180</v>
      </c>
      <c r="G3755" s="10" t="s">
        <v>2455</v>
      </c>
      <c r="H3755" s="10" t="s">
        <v>914</v>
      </c>
      <c r="I3755" s="10" t="s">
        <v>55</v>
      </c>
      <c r="K3755" s="10" t="s">
        <v>9291</v>
      </c>
      <c r="L3755" s="10" t="s">
        <v>42</v>
      </c>
    </row>
    <row r="3756" ht="15.75" customHeight="1">
      <c r="A3756" s="64">
        <v>45417.0</v>
      </c>
      <c r="B3756" s="55" t="str">
        <f>HYPERLINK("https://jobright.ai/jobs/info/65f77b4f2838da15f8398581?utm_campaign=1062&amp;utm_source=sheet", "Apply")</f>
        <v>Apply</v>
      </c>
      <c r="C3756" s="10" t="s">
        <v>9292</v>
      </c>
      <c r="D3756" s="56" t="s">
        <v>9288</v>
      </c>
      <c r="E3756" s="10" t="s">
        <v>65</v>
      </c>
      <c r="F3756" s="10" t="s">
        <v>3180</v>
      </c>
      <c r="G3756" s="10" t="s">
        <v>2455</v>
      </c>
      <c r="H3756" s="10" t="s">
        <v>914</v>
      </c>
      <c r="I3756" s="10" t="s">
        <v>48</v>
      </c>
      <c r="K3756" s="10" t="s">
        <v>9293</v>
      </c>
      <c r="L3756" s="10" t="s">
        <v>42</v>
      </c>
    </row>
    <row r="3757" ht="15.75" customHeight="1">
      <c r="A3757" s="64">
        <v>45416.0</v>
      </c>
      <c r="B3757" s="55" t="str">
        <f>HYPERLINK("https://jobright.ai/jobs/info/6635d4290cdbf532b935c62d?utm_campaign=1062&amp;utm_source=sheet", "Apply")</f>
        <v>Apply</v>
      </c>
      <c r="C3757" s="10" t="s">
        <v>9196</v>
      </c>
      <c r="D3757" s="56" t="s">
        <v>243</v>
      </c>
      <c r="E3757" s="10" t="s">
        <v>45</v>
      </c>
      <c r="F3757" s="10" t="s">
        <v>244</v>
      </c>
      <c r="G3757" s="10" t="s">
        <v>2470</v>
      </c>
      <c r="H3757" s="10" t="s">
        <v>9294</v>
      </c>
      <c r="I3757" s="10" t="s">
        <v>55</v>
      </c>
      <c r="K3757" s="10" t="s">
        <v>8055</v>
      </c>
      <c r="L3757" s="10" t="s">
        <v>42</v>
      </c>
    </row>
    <row r="3758" ht="15.75" customHeight="1">
      <c r="A3758" s="64">
        <v>45416.0</v>
      </c>
      <c r="B3758" s="55" t="str">
        <f>HYPERLINK("https://jobright.ai/jobs/info/663ef9b584fb765d0e879c7e?utm_campaign=1062&amp;utm_source=sheet", "Apply")</f>
        <v>Apply</v>
      </c>
      <c r="C3758" s="10" t="s">
        <v>301</v>
      </c>
      <c r="D3758" s="56" t="s">
        <v>9295</v>
      </c>
      <c r="E3758" s="10">
        <v>3404.0</v>
      </c>
      <c r="G3758" s="10" t="s">
        <v>2484</v>
      </c>
      <c r="H3758" s="10" t="s">
        <v>9296</v>
      </c>
      <c r="I3758" s="10" t="s">
        <v>55</v>
      </c>
      <c r="K3758" s="10" t="s">
        <v>9297</v>
      </c>
      <c r="L3758" s="10" t="s">
        <v>42</v>
      </c>
    </row>
    <row r="3759" ht="15.75" customHeight="1">
      <c r="A3759" s="64">
        <v>45416.0</v>
      </c>
      <c r="B3759" s="55" t="str">
        <f>HYPERLINK("https://jobright.ai/jobs/info/6637072c880e409e53de7e71?utm_campaign=1062&amp;utm_source=sheet", "Apply")</f>
        <v>Apply</v>
      </c>
      <c r="C3759" s="10" t="s">
        <v>9298</v>
      </c>
      <c r="D3759" s="56" t="s">
        <v>1547</v>
      </c>
      <c r="E3759" s="10">
        <v>408.0</v>
      </c>
      <c r="G3759" s="10" t="s">
        <v>2448</v>
      </c>
      <c r="H3759" s="10" t="s">
        <v>9299</v>
      </c>
      <c r="I3759" s="10" t="s">
        <v>55</v>
      </c>
      <c r="K3759" s="10" t="s">
        <v>9300</v>
      </c>
      <c r="L3759" s="10" t="s">
        <v>42</v>
      </c>
    </row>
    <row r="3760" ht="15.75" customHeight="1">
      <c r="A3760" s="64">
        <v>45416.0</v>
      </c>
      <c r="B3760" s="55" t="str">
        <f>HYPERLINK("https://jobright.ai/jobs/info/6637072c880e409e53de7ea4?utm_campaign=1062&amp;utm_source=sheet", "Apply")</f>
        <v>Apply</v>
      </c>
      <c r="C3760" s="10" t="s">
        <v>9301</v>
      </c>
      <c r="D3760" s="56" t="s">
        <v>1547</v>
      </c>
      <c r="E3760" s="10">
        <v>408.0</v>
      </c>
      <c r="G3760" s="10" t="s">
        <v>2495</v>
      </c>
      <c r="H3760" s="10" t="s">
        <v>1556</v>
      </c>
      <c r="I3760" s="10" t="s">
        <v>55</v>
      </c>
      <c r="K3760" s="10" t="s">
        <v>9302</v>
      </c>
      <c r="L3760" s="10" t="s">
        <v>42</v>
      </c>
    </row>
    <row r="3761" ht="15.75" customHeight="1">
      <c r="A3761" s="64">
        <v>45416.0</v>
      </c>
      <c r="B3761" s="55" t="str">
        <f>HYPERLINK("https://jobright.ai/jobs/info/6637072c880e409e53de7ef6?utm_campaign=1062&amp;utm_source=sheet", "Apply")</f>
        <v>Apply</v>
      </c>
      <c r="C3761" s="10" t="s">
        <v>9303</v>
      </c>
      <c r="D3761" s="56" t="s">
        <v>1547</v>
      </c>
      <c r="E3761" s="10">
        <v>408.0</v>
      </c>
      <c r="G3761" s="10" t="s">
        <v>2443</v>
      </c>
      <c r="H3761" s="10" t="s">
        <v>8687</v>
      </c>
      <c r="I3761" s="10" t="s">
        <v>55</v>
      </c>
      <c r="K3761" s="10" t="s">
        <v>9304</v>
      </c>
      <c r="L3761" s="10" t="s">
        <v>42</v>
      </c>
    </row>
    <row r="3762" ht="15.75" customHeight="1">
      <c r="A3762" s="64">
        <v>45416.0</v>
      </c>
      <c r="B3762" s="55" t="str">
        <f>HYPERLINK("https://jobright.ai/jobs/info/6637072c880e409e53de7ea5?utm_campaign=1062&amp;utm_source=sheet", "Apply")</f>
        <v>Apply</v>
      </c>
      <c r="C3762" s="10" t="s">
        <v>9305</v>
      </c>
      <c r="D3762" s="56" t="s">
        <v>1547</v>
      </c>
      <c r="E3762" s="10">
        <v>408.0</v>
      </c>
      <c r="G3762" s="10" t="s">
        <v>2448</v>
      </c>
      <c r="H3762" s="10" t="s">
        <v>7659</v>
      </c>
      <c r="I3762" s="10" t="s">
        <v>55</v>
      </c>
      <c r="K3762" s="10" t="s">
        <v>9306</v>
      </c>
      <c r="L3762" s="10" t="s">
        <v>42</v>
      </c>
    </row>
    <row r="3763" ht="15.75" customHeight="1">
      <c r="A3763" s="64">
        <v>45416.0</v>
      </c>
      <c r="B3763" s="55" t="str">
        <f>HYPERLINK("https://jobright.ai/jobs/info/6637072c880e409e53de7ed6?utm_campaign=1062&amp;utm_source=sheet", "Apply")</f>
        <v>Apply</v>
      </c>
      <c r="C3763" s="10" t="s">
        <v>9307</v>
      </c>
      <c r="D3763" s="56" t="s">
        <v>1547</v>
      </c>
      <c r="E3763" s="10">
        <v>408.0</v>
      </c>
      <c r="G3763" s="10" t="s">
        <v>2502</v>
      </c>
      <c r="H3763" s="10" t="s">
        <v>1556</v>
      </c>
      <c r="I3763" s="10" t="s">
        <v>55</v>
      </c>
      <c r="K3763" s="10" t="s">
        <v>9308</v>
      </c>
      <c r="L3763" s="10" t="s">
        <v>42</v>
      </c>
    </row>
    <row r="3764" ht="15.75" customHeight="1">
      <c r="A3764" s="64">
        <v>45416.0</v>
      </c>
      <c r="B3764" s="55" t="str">
        <f>HYPERLINK("https://jobright.ai/jobs/info/6637072c880e409e53de7e95?utm_campaign=1062&amp;utm_source=sheet", "Apply")</f>
        <v>Apply</v>
      </c>
      <c r="C3764" s="10" t="s">
        <v>9309</v>
      </c>
      <c r="D3764" s="56" t="s">
        <v>1547</v>
      </c>
      <c r="E3764" s="10">
        <v>408.0</v>
      </c>
      <c r="G3764" s="10" t="s">
        <v>2443</v>
      </c>
      <c r="H3764" s="10" t="s">
        <v>9310</v>
      </c>
      <c r="I3764" s="10" t="s">
        <v>55</v>
      </c>
      <c r="K3764" s="10" t="s">
        <v>9311</v>
      </c>
      <c r="L3764" s="10" t="s">
        <v>42</v>
      </c>
    </row>
    <row r="3765" ht="15.75" customHeight="1">
      <c r="A3765" s="64">
        <v>45416.0</v>
      </c>
      <c r="B3765" s="55" t="str">
        <f>HYPERLINK("https://jobright.ai/jobs/info/6637072c880e409e53de7ebe?utm_campaign=1062&amp;utm_source=sheet", "Apply")</f>
        <v>Apply</v>
      </c>
      <c r="C3765" s="10" t="s">
        <v>9312</v>
      </c>
      <c r="D3765" s="56" t="s">
        <v>1547</v>
      </c>
      <c r="E3765" s="10">
        <v>408.0</v>
      </c>
      <c r="G3765" s="10" t="s">
        <v>2443</v>
      </c>
      <c r="H3765" s="10" t="s">
        <v>8243</v>
      </c>
      <c r="I3765" s="10" t="s">
        <v>55</v>
      </c>
      <c r="J3765" s="10" t="s">
        <v>9313</v>
      </c>
      <c r="K3765" s="10" t="s">
        <v>9314</v>
      </c>
      <c r="L3765" s="10" t="s">
        <v>42</v>
      </c>
    </row>
    <row r="3766" ht="15.75" customHeight="1">
      <c r="A3766" s="64">
        <v>45416.0</v>
      </c>
      <c r="B3766" s="55" t="str">
        <f>HYPERLINK("https://jobright.ai/jobs/info/6637072c880e409e53de7ed4?utm_campaign=1062&amp;utm_source=sheet", "Apply")</f>
        <v>Apply</v>
      </c>
      <c r="C3766" s="10" t="s">
        <v>9315</v>
      </c>
      <c r="D3766" s="56" t="s">
        <v>1547</v>
      </c>
      <c r="E3766" s="10">
        <v>408.0</v>
      </c>
      <c r="G3766" s="10" t="s">
        <v>2495</v>
      </c>
      <c r="H3766" s="10" t="s">
        <v>1556</v>
      </c>
      <c r="I3766" s="10" t="s">
        <v>55</v>
      </c>
      <c r="K3766" s="10" t="s">
        <v>9316</v>
      </c>
      <c r="L3766" s="10" t="s">
        <v>42</v>
      </c>
    </row>
    <row r="3767" ht="15.75" customHeight="1">
      <c r="A3767" s="64">
        <v>45416.0</v>
      </c>
      <c r="B3767" s="55" t="str">
        <f>HYPERLINK("https://jobright.ai/jobs/info/6637072c880e409e53de7eaf?utm_campaign=1062&amp;utm_source=sheet", "Apply")</f>
        <v>Apply</v>
      </c>
      <c r="C3767" s="10" t="s">
        <v>9317</v>
      </c>
      <c r="D3767" s="56" t="s">
        <v>1547</v>
      </c>
      <c r="E3767" s="10">
        <v>408.0</v>
      </c>
      <c r="G3767" s="10" t="s">
        <v>2443</v>
      </c>
      <c r="H3767" s="10" t="s">
        <v>1556</v>
      </c>
      <c r="I3767" s="10" t="s">
        <v>55</v>
      </c>
      <c r="K3767" s="10" t="s">
        <v>9318</v>
      </c>
      <c r="L3767" s="10" t="s">
        <v>42</v>
      </c>
    </row>
    <row r="3768" ht="15.75" customHeight="1">
      <c r="A3768" s="64">
        <v>45416.0</v>
      </c>
      <c r="B3768" s="55" t="str">
        <f>HYPERLINK("https://jobright.ai/jobs/info/6637072c880e409e53de7ee7?utm_campaign=1062&amp;utm_source=sheet", "Apply")</f>
        <v>Apply</v>
      </c>
      <c r="C3768" s="10" t="s">
        <v>9319</v>
      </c>
      <c r="D3768" s="56" t="s">
        <v>1547</v>
      </c>
      <c r="E3768" s="10">
        <v>408.0</v>
      </c>
      <c r="G3768" s="10" t="s">
        <v>2443</v>
      </c>
      <c r="H3768" s="10" t="s">
        <v>9261</v>
      </c>
      <c r="I3768" s="10" t="s">
        <v>55</v>
      </c>
      <c r="K3768" s="10" t="s">
        <v>9320</v>
      </c>
      <c r="L3768" s="10" t="s">
        <v>42</v>
      </c>
    </row>
    <row r="3769" ht="15.75" customHeight="1">
      <c r="A3769" s="64">
        <v>45416.0</v>
      </c>
      <c r="B3769" s="55" t="str">
        <f>HYPERLINK("https://jobright.ai/jobs/info/6637072c880e409e53de7ec0?utm_campaign=1062&amp;utm_source=sheet", "Apply")</f>
        <v>Apply</v>
      </c>
      <c r="C3769" s="10" t="s">
        <v>9321</v>
      </c>
      <c r="D3769" s="56" t="s">
        <v>1547</v>
      </c>
      <c r="E3769" s="10">
        <v>408.0</v>
      </c>
      <c r="G3769" s="10" t="s">
        <v>2448</v>
      </c>
      <c r="H3769" s="10" t="s">
        <v>1097</v>
      </c>
      <c r="I3769" s="10" t="s">
        <v>55</v>
      </c>
      <c r="K3769" s="10" t="s">
        <v>9322</v>
      </c>
      <c r="L3769" s="10" t="s">
        <v>42</v>
      </c>
    </row>
    <row r="3770" ht="15.75" customHeight="1">
      <c r="A3770" s="64">
        <v>45416.0</v>
      </c>
      <c r="B3770" s="55" t="str">
        <f>HYPERLINK("https://jobright.ai/jobs/info/6637072c880e409e53de7e89?utm_campaign=1062&amp;utm_source=sheet", "Apply")</f>
        <v>Apply</v>
      </c>
      <c r="C3770" s="10" t="s">
        <v>9323</v>
      </c>
      <c r="D3770" s="56" t="s">
        <v>1547</v>
      </c>
      <c r="E3770" s="10">
        <v>408.0</v>
      </c>
      <c r="G3770" s="10" t="s">
        <v>2448</v>
      </c>
      <c r="H3770" s="10" t="s">
        <v>1097</v>
      </c>
      <c r="I3770" s="10" t="s">
        <v>55</v>
      </c>
      <c r="K3770" s="10" t="s">
        <v>9324</v>
      </c>
      <c r="L3770" s="10" t="s">
        <v>42</v>
      </c>
    </row>
    <row r="3771" ht="15.75" customHeight="1">
      <c r="A3771" s="64">
        <v>45416.0</v>
      </c>
      <c r="B3771" s="55" t="str">
        <f>HYPERLINK("https://jobright.ai/jobs/info/66370733880e409e53de7f3e?utm_campaign=1062&amp;utm_source=sheet", "Apply")</f>
        <v>Apply</v>
      </c>
      <c r="C3771" s="10" t="s">
        <v>9325</v>
      </c>
      <c r="D3771" s="56" t="s">
        <v>1547</v>
      </c>
      <c r="E3771" s="10">
        <v>408.0</v>
      </c>
      <c r="G3771" s="10" t="s">
        <v>2464</v>
      </c>
      <c r="H3771" s="10" t="s">
        <v>159</v>
      </c>
      <c r="I3771" s="10" t="s">
        <v>55</v>
      </c>
      <c r="K3771" s="10" t="s">
        <v>9326</v>
      </c>
      <c r="L3771" s="10" t="s">
        <v>42</v>
      </c>
    </row>
    <row r="3772" ht="15.75" customHeight="1">
      <c r="A3772" s="64">
        <v>45416.0</v>
      </c>
      <c r="B3772" s="55" t="str">
        <f>HYPERLINK("https://jobright.ai/jobs/info/6637072c880e409e53de7ebd?utm_campaign=1062&amp;utm_source=sheet", "Apply")</f>
        <v>Apply</v>
      </c>
      <c r="C3772" s="10" t="s">
        <v>9327</v>
      </c>
      <c r="D3772" s="56" t="s">
        <v>1547</v>
      </c>
      <c r="E3772" s="10">
        <v>408.0</v>
      </c>
      <c r="G3772" s="10" t="s">
        <v>2443</v>
      </c>
      <c r="H3772" s="10" t="s">
        <v>914</v>
      </c>
      <c r="I3772" s="10" t="s">
        <v>55</v>
      </c>
      <c r="K3772" s="10" t="s">
        <v>9328</v>
      </c>
      <c r="L3772" s="10" t="s">
        <v>42</v>
      </c>
    </row>
    <row r="3773" ht="15.75" customHeight="1">
      <c r="A3773" s="64">
        <v>45416.0</v>
      </c>
      <c r="B3773" s="55" t="str">
        <f>HYPERLINK("https://jobright.ai/jobs/info/6637072c880e409e53de7ec3?utm_campaign=1062&amp;utm_source=sheet", "Apply")</f>
        <v>Apply</v>
      </c>
      <c r="C3773" s="10" t="s">
        <v>9329</v>
      </c>
      <c r="D3773" s="56" t="s">
        <v>1547</v>
      </c>
      <c r="E3773" s="10">
        <v>408.0</v>
      </c>
      <c r="G3773" s="10" t="s">
        <v>2807</v>
      </c>
      <c r="H3773" s="10" t="s">
        <v>3271</v>
      </c>
      <c r="I3773" s="10" t="s">
        <v>55</v>
      </c>
      <c r="K3773" s="10" t="s">
        <v>9330</v>
      </c>
      <c r="L3773" s="10" t="s">
        <v>42</v>
      </c>
    </row>
    <row r="3774" ht="15.75" customHeight="1">
      <c r="A3774" s="64">
        <v>45416.0</v>
      </c>
      <c r="B3774" s="55" t="str">
        <f>HYPERLINK("https://jobright.ai/jobs/info/6637072c880e409e53de7e7e?utm_campaign=1062&amp;utm_source=sheet", "Apply")</f>
        <v>Apply</v>
      </c>
      <c r="C3774" s="10" t="s">
        <v>9331</v>
      </c>
      <c r="D3774" s="56" t="s">
        <v>1547</v>
      </c>
      <c r="E3774" s="10">
        <v>408.0</v>
      </c>
      <c r="G3774" s="10" t="s">
        <v>2443</v>
      </c>
      <c r="H3774" s="10" t="s">
        <v>9261</v>
      </c>
      <c r="I3774" s="10" t="s">
        <v>55</v>
      </c>
      <c r="K3774" s="10" t="s">
        <v>9332</v>
      </c>
      <c r="L3774" s="10" t="s">
        <v>42</v>
      </c>
    </row>
    <row r="3775" ht="15.75" customHeight="1">
      <c r="A3775" s="64">
        <v>45416.0</v>
      </c>
      <c r="B3775" s="55" t="str">
        <f>HYPERLINK("https://jobright.ai/jobs/info/6637072c880e409e53de7ebf?utm_campaign=1062&amp;utm_source=sheet", "Apply")</f>
        <v>Apply</v>
      </c>
      <c r="C3775" s="10" t="s">
        <v>9333</v>
      </c>
      <c r="D3775" s="56" t="s">
        <v>1547</v>
      </c>
      <c r="E3775" s="10">
        <v>408.0</v>
      </c>
      <c r="G3775" s="10" t="s">
        <v>2807</v>
      </c>
      <c r="H3775" s="10" t="s">
        <v>1097</v>
      </c>
      <c r="I3775" s="10" t="s">
        <v>55</v>
      </c>
      <c r="K3775" s="10" t="s">
        <v>9334</v>
      </c>
      <c r="L3775" s="10" t="s">
        <v>42</v>
      </c>
    </row>
    <row r="3776" ht="15.75" customHeight="1">
      <c r="A3776" s="64">
        <v>45416.0</v>
      </c>
      <c r="B3776" s="55" t="str">
        <f>HYPERLINK("https://jobright.ai/jobs/info/66370733880e409e53de7f3f?utm_campaign=1062&amp;utm_source=sheet", "Apply")</f>
        <v>Apply</v>
      </c>
      <c r="C3776" s="10" t="s">
        <v>9335</v>
      </c>
      <c r="D3776" s="56" t="s">
        <v>1547</v>
      </c>
      <c r="E3776" s="10">
        <v>408.0</v>
      </c>
      <c r="G3776" s="10" t="s">
        <v>2448</v>
      </c>
      <c r="H3776" s="10" t="s">
        <v>9336</v>
      </c>
      <c r="I3776" s="10" t="s">
        <v>55</v>
      </c>
      <c r="K3776" s="10" t="s">
        <v>9337</v>
      </c>
      <c r="L3776" s="10" t="s">
        <v>42</v>
      </c>
    </row>
    <row r="3777" ht="15.75" customHeight="1">
      <c r="A3777" s="64">
        <v>45416.0</v>
      </c>
      <c r="B3777" s="55" t="str">
        <f>HYPERLINK("https://jobright.ai/jobs/info/6637072c880e409e53de7ea2?utm_campaign=1062&amp;utm_source=sheet", "Apply")</f>
        <v>Apply</v>
      </c>
      <c r="C3777" s="10" t="s">
        <v>1555</v>
      </c>
      <c r="D3777" s="56" t="s">
        <v>1547</v>
      </c>
      <c r="E3777" s="10">
        <v>408.0</v>
      </c>
      <c r="G3777" s="10" t="s">
        <v>2502</v>
      </c>
      <c r="H3777" s="10" t="s">
        <v>1556</v>
      </c>
      <c r="I3777" s="10" t="s">
        <v>55</v>
      </c>
      <c r="K3777" s="10" t="s">
        <v>9338</v>
      </c>
      <c r="L3777" s="10" t="s">
        <v>42</v>
      </c>
    </row>
    <row r="3778" ht="15.75" customHeight="1">
      <c r="A3778" s="64">
        <v>45416.0</v>
      </c>
      <c r="B3778" s="55" t="str">
        <f>HYPERLINK("https://jobright.ai/jobs/info/6637072c880e409e53de7eb8?utm_campaign=1062&amp;utm_source=sheet", "Apply")</f>
        <v>Apply</v>
      </c>
      <c r="C3778" s="10" t="s">
        <v>9339</v>
      </c>
      <c r="D3778" s="56" t="s">
        <v>1547</v>
      </c>
      <c r="E3778" s="10">
        <v>408.0</v>
      </c>
      <c r="G3778" s="10" t="s">
        <v>2502</v>
      </c>
      <c r="H3778" s="10" t="s">
        <v>154</v>
      </c>
      <c r="I3778" s="10" t="s">
        <v>55</v>
      </c>
      <c r="K3778" s="10" t="s">
        <v>9340</v>
      </c>
      <c r="L3778" s="10" t="s">
        <v>42</v>
      </c>
    </row>
    <row r="3779" ht="15.75" customHeight="1">
      <c r="A3779" s="64">
        <v>45416.0</v>
      </c>
      <c r="B3779" s="55" t="str">
        <f>HYPERLINK("https://jobright.ai/jobs/info/6637072c880e409e53de7efd?utm_campaign=1062&amp;utm_source=sheet", "Apply")</f>
        <v>Apply</v>
      </c>
      <c r="C3779" s="10" t="s">
        <v>9341</v>
      </c>
      <c r="D3779" s="56" t="s">
        <v>1547</v>
      </c>
      <c r="E3779" s="10">
        <v>408.0</v>
      </c>
      <c r="G3779" s="10" t="s">
        <v>2443</v>
      </c>
      <c r="H3779" s="10" t="s">
        <v>8243</v>
      </c>
      <c r="I3779" s="10" t="s">
        <v>55</v>
      </c>
      <c r="K3779" s="10" t="s">
        <v>9342</v>
      </c>
      <c r="L3779" s="10" t="s">
        <v>42</v>
      </c>
    </row>
    <row r="3780" ht="15.75" customHeight="1">
      <c r="A3780" s="64">
        <v>45416.0</v>
      </c>
      <c r="B3780" s="55" t="str">
        <f>HYPERLINK("https://jobright.ai/jobs/info/6637072c880e409e53de7eb7?utm_campaign=1062&amp;utm_source=sheet", "Apply")</f>
        <v>Apply</v>
      </c>
      <c r="C3780" s="10" t="s">
        <v>9343</v>
      </c>
      <c r="D3780" s="56" t="s">
        <v>1547</v>
      </c>
      <c r="E3780" s="10">
        <v>408.0</v>
      </c>
      <c r="G3780" s="10" t="s">
        <v>2509</v>
      </c>
      <c r="H3780" s="10" t="s">
        <v>807</v>
      </c>
      <c r="I3780" s="10" t="s">
        <v>55</v>
      </c>
      <c r="J3780" s="10" t="s">
        <v>8730</v>
      </c>
      <c r="K3780" s="10" t="s">
        <v>9344</v>
      </c>
      <c r="L3780" s="10" t="s">
        <v>42</v>
      </c>
    </row>
    <row r="3781" ht="15.75" customHeight="1">
      <c r="A3781" s="64">
        <v>45416.0</v>
      </c>
      <c r="B3781" s="55" t="str">
        <f>HYPERLINK("https://jobright.ai/jobs/info/6637072c880e409e53de7eda?utm_campaign=1062&amp;utm_source=sheet", "Apply")</f>
        <v>Apply</v>
      </c>
      <c r="C3781" s="10" t="s">
        <v>9345</v>
      </c>
      <c r="D3781" s="56" t="s">
        <v>1547</v>
      </c>
      <c r="E3781" s="10">
        <v>408.0</v>
      </c>
      <c r="G3781" s="10" t="s">
        <v>2448</v>
      </c>
      <c r="H3781" s="10" t="s">
        <v>914</v>
      </c>
      <c r="I3781" s="10" t="s">
        <v>55</v>
      </c>
      <c r="K3781" s="10" t="s">
        <v>9346</v>
      </c>
      <c r="L3781" s="10" t="s">
        <v>42</v>
      </c>
    </row>
    <row r="3782" ht="15.75" customHeight="1">
      <c r="A3782" s="64">
        <v>45416.0</v>
      </c>
      <c r="B3782" s="55" t="str">
        <f>HYPERLINK("https://jobright.ai/jobs/info/6637072c880e409e53de7eab?utm_campaign=1062&amp;utm_source=sheet", "Apply")</f>
        <v>Apply</v>
      </c>
      <c r="C3782" s="10" t="s">
        <v>9347</v>
      </c>
      <c r="D3782" s="56" t="s">
        <v>1547</v>
      </c>
      <c r="E3782" s="10">
        <v>408.0</v>
      </c>
      <c r="G3782" s="10" t="s">
        <v>2448</v>
      </c>
      <c r="H3782" s="10" t="s">
        <v>914</v>
      </c>
      <c r="I3782" s="10" t="s">
        <v>55</v>
      </c>
      <c r="K3782" s="10" t="s">
        <v>9348</v>
      </c>
      <c r="L3782" s="10" t="s">
        <v>42</v>
      </c>
    </row>
    <row r="3783" ht="15.75" customHeight="1">
      <c r="A3783" s="64">
        <v>45416.0</v>
      </c>
      <c r="B3783" s="55" t="str">
        <f>HYPERLINK("https://jobright.ai/jobs/info/6637072c880e409e53de7f01?utm_campaign=1062&amp;utm_source=sheet", "Apply")</f>
        <v>Apply</v>
      </c>
      <c r="C3783" s="10" t="s">
        <v>9349</v>
      </c>
      <c r="D3783" s="56" t="s">
        <v>1547</v>
      </c>
      <c r="E3783" s="10">
        <v>408.0</v>
      </c>
      <c r="G3783" s="10" t="s">
        <v>2448</v>
      </c>
      <c r="H3783" s="10" t="s">
        <v>9350</v>
      </c>
      <c r="I3783" s="10" t="s">
        <v>55</v>
      </c>
      <c r="K3783" s="10" t="s">
        <v>9351</v>
      </c>
      <c r="L3783" s="10" t="s">
        <v>42</v>
      </c>
    </row>
    <row r="3784" ht="15.75" customHeight="1">
      <c r="A3784" s="64">
        <v>45416.0</v>
      </c>
      <c r="B3784" s="55" t="str">
        <f>HYPERLINK("https://jobright.ai/jobs/info/6637072c880e409e53de7efe?utm_campaign=1062&amp;utm_source=sheet", "Apply")</f>
        <v>Apply</v>
      </c>
      <c r="C3784" s="10" t="s">
        <v>9352</v>
      </c>
      <c r="D3784" s="56" t="s">
        <v>1547</v>
      </c>
      <c r="E3784" s="10">
        <v>408.0</v>
      </c>
      <c r="G3784" s="10" t="s">
        <v>2443</v>
      </c>
      <c r="H3784" s="10" t="s">
        <v>2340</v>
      </c>
      <c r="I3784" s="10" t="s">
        <v>55</v>
      </c>
      <c r="J3784" s="10" t="s">
        <v>9353</v>
      </c>
      <c r="K3784" s="10" t="s">
        <v>9354</v>
      </c>
      <c r="L3784" s="10" t="s">
        <v>42</v>
      </c>
    </row>
    <row r="3785" ht="15.75" customHeight="1">
      <c r="A3785" s="64">
        <v>45416.0</v>
      </c>
      <c r="B3785" s="55" t="str">
        <f>HYPERLINK("https://jobright.ai/jobs/info/66370733880e409e53de7f45?utm_campaign=1062&amp;utm_source=sheet", "Apply")</f>
        <v>Apply</v>
      </c>
      <c r="C3785" s="10" t="s">
        <v>9355</v>
      </c>
      <c r="D3785" s="56" t="s">
        <v>1547</v>
      </c>
      <c r="E3785" s="10">
        <v>408.0</v>
      </c>
      <c r="G3785" s="10" t="s">
        <v>2579</v>
      </c>
      <c r="H3785" s="10" t="s">
        <v>2225</v>
      </c>
      <c r="I3785" s="10" t="s">
        <v>55</v>
      </c>
      <c r="K3785" s="10" t="s">
        <v>9356</v>
      </c>
      <c r="L3785" s="10" t="s">
        <v>42</v>
      </c>
    </row>
    <row r="3786" ht="15.75" customHeight="1">
      <c r="A3786" s="64">
        <v>45416.0</v>
      </c>
      <c r="B3786" s="55" t="str">
        <f>HYPERLINK("https://jobright.ai/jobs/info/66370733880e409e53de7f66?utm_campaign=1062&amp;utm_source=sheet", "Apply")</f>
        <v>Apply</v>
      </c>
      <c r="C3786" s="10" t="s">
        <v>9357</v>
      </c>
      <c r="D3786" s="56" t="s">
        <v>1547</v>
      </c>
      <c r="E3786" s="10">
        <v>408.0</v>
      </c>
      <c r="G3786" s="10" t="s">
        <v>2443</v>
      </c>
      <c r="H3786" s="10" t="s">
        <v>9261</v>
      </c>
      <c r="I3786" s="10" t="s">
        <v>55</v>
      </c>
      <c r="K3786" s="10" t="s">
        <v>9358</v>
      </c>
      <c r="L3786" s="10" t="s">
        <v>42</v>
      </c>
    </row>
    <row r="3787" ht="15.75" customHeight="1">
      <c r="A3787" s="64">
        <v>45416.0</v>
      </c>
      <c r="B3787" s="55" t="str">
        <f>HYPERLINK("https://jobright.ai/jobs/info/66370733880e409e53de7f3a?utm_campaign=1062&amp;utm_source=sheet", "Apply")</f>
        <v>Apply</v>
      </c>
      <c r="C3787" s="10" t="s">
        <v>9359</v>
      </c>
      <c r="D3787" s="56" t="s">
        <v>1547</v>
      </c>
      <c r="E3787" s="10">
        <v>408.0</v>
      </c>
      <c r="G3787" s="10" t="s">
        <v>2443</v>
      </c>
      <c r="H3787" s="10" t="s">
        <v>914</v>
      </c>
      <c r="I3787" s="10" t="s">
        <v>55</v>
      </c>
      <c r="K3787" s="10" t="s">
        <v>9360</v>
      </c>
      <c r="L3787" s="10" t="s">
        <v>42</v>
      </c>
    </row>
    <row r="3788" ht="15.75" customHeight="1">
      <c r="A3788" s="64">
        <v>45416.0</v>
      </c>
      <c r="B3788" s="55" t="str">
        <f>HYPERLINK("https://jobright.ai/jobs/info/66370733880e409e53de7f40?utm_campaign=1062&amp;utm_source=sheet", "Apply")</f>
        <v>Apply</v>
      </c>
      <c r="C3788" s="10" t="s">
        <v>9361</v>
      </c>
      <c r="D3788" s="56" t="s">
        <v>1547</v>
      </c>
      <c r="E3788" s="10">
        <v>408.0</v>
      </c>
      <c r="G3788" s="10" t="s">
        <v>2448</v>
      </c>
      <c r="H3788" s="10" t="s">
        <v>9362</v>
      </c>
      <c r="I3788" s="10" t="s">
        <v>55</v>
      </c>
      <c r="K3788" s="10" t="s">
        <v>9363</v>
      </c>
      <c r="L3788" s="10" t="s">
        <v>42</v>
      </c>
    </row>
    <row r="3789" ht="15.75" customHeight="1">
      <c r="A3789" s="64">
        <v>45416.0</v>
      </c>
      <c r="B3789" s="55" t="str">
        <f>HYPERLINK("https://jobright.ai/jobs/info/66370733880e409e53de7f6e?utm_campaign=1062&amp;utm_source=sheet", "Apply")</f>
        <v>Apply</v>
      </c>
      <c r="C3789" s="10" t="s">
        <v>9364</v>
      </c>
      <c r="D3789" s="56" t="s">
        <v>1547</v>
      </c>
      <c r="E3789" s="10">
        <v>408.0</v>
      </c>
      <c r="G3789" s="10" t="s">
        <v>2448</v>
      </c>
      <c r="H3789" s="10" t="s">
        <v>9336</v>
      </c>
      <c r="I3789" s="10" t="s">
        <v>55</v>
      </c>
      <c r="K3789" s="10" t="s">
        <v>9365</v>
      </c>
      <c r="L3789" s="10" t="s">
        <v>42</v>
      </c>
    </row>
    <row r="3790" ht="15.75" customHeight="1">
      <c r="A3790" s="64">
        <v>45416.0</v>
      </c>
      <c r="B3790" s="55" t="str">
        <f>HYPERLINK("https://jobright.ai/jobs/info/66370733880e409e53de7f41?utm_campaign=1062&amp;utm_source=sheet", "Apply")</f>
        <v>Apply</v>
      </c>
      <c r="C3790" s="10" t="s">
        <v>9366</v>
      </c>
      <c r="D3790" s="56" t="s">
        <v>1547</v>
      </c>
      <c r="E3790" s="10">
        <v>408.0</v>
      </c>
      <c r="G3790" s="10" t="s">
        <v>2443</v>
      </c>
      <c r="H3790" s="10" t="s">
        <v>9350</v>
      </c>
      <c r="I3790" s="10" t="s">
        <v>55</v>
      </c>
      <c r="K3790" s="10" t="s">
        <v>9367</v>
      </c>
      <c r="L3790" s="10" t="s">
        <v>42</v>
      </c>
    </row>
    <row r="3791" ht="15.75" customHeight="1">
      <c r="A3791" s="64">
        <v>45416.0</v>
      </c>
      <c r="B3791" s="55" t="str">
        <f>HYPERLINK("https://jobright.ai/jobs/info/66370733880e409e53de7f81?utm_campaign=1062&amp;utm_source=sheet", "Apply")</f>
        <v>Apply</v>
      </c>
      <c r="C3791" s="10" t="s">
        <v>9368</v>
      </c>
      <c r="D3791" s="56" t="s">
        <v>1547</v>
      </c>
      <c r="E3791" s="10">
        <v>408.0</v>
      </c>
      <c r="G3791" s="10" t="s">
        <v>2443</v>
      </c>
      <c r="H3791" s="10" t="s">
        <v>9261</v>
      </c>
      <c r="I3791" s="10" t="s">
        <v>55</v>
      </c>
      <c r="J3791" s="10" t="s">
        <v>9369</v>
      </c>
      <c r="K3791" s="10" t="s">
        <v>9370</v>
      </c>
      <c r="L3791" s="10" t="s">
        <v>42</v>
      </c>
    </row>
    <row r="3792" ht="15.75" customHeight="1">
      <c r="A3792" s="64">
        <v>45416.0</v>
      </c>
      <c r="B3792" s="55" t="str">
        <f>HYPERLINK("https://jobright.ai/jobs/info/66370733880e409e53de7f85?utm_campaign=1062&amp;utm_source=sheet", "Apply")</f>
        <v>Apply</v>
      </c>
      <c r="C3792" s="10" t="s">
        <v>9371</v>
      </c>
      <c r="D3792" s="56" t="s">
        <v>1547</v>
      </c>
      <c r="E3792" s="10">
        <v>408.0</v>
      </c>
      <c r="G3792" s="10" t="s">
        <v>2807</v>
      </c>
      <c r="H3792" s="10" t="s">
        <v>1097</v>
      </c>
      <c r="I3792" s="10" t="s">
        <v>55</v>
      </c>
      <c r="K3792" s="10" t="s">
        <v>9372</v>
      </c>
      <c r="L3792" s="10" t="s">
        <v>42</v>
      </c>
    </row>
    <row r="3793" ht="15.75" customHeight="1">
      <c r="A3793" s="64">
        <v>45416.0</v>
      </c>
      <c r="B3793" s="55" t="str">
        <f>HYPERLINK("https://jobright.ai/jobs/info/66370733880e409e53de7f5b?utm_campaign=1062&amp;utm_source=sheet", "Apply")</f>
        <v>Apply</v>
      </c>
      <c r="C3793" s="10" t="s">
        <v>9373</v>
      </c>
      <c r="D3793" s="56" t="s">
        <v>1547</v>
      </c>
      <c r="E3793" s="10">
        <v>408.0</v>
      </c>
      <c r="G3793" s="10" t="s">
        <v>2448</v>
      </c>
      <c r="H3793" s="10" t="s">
        <v>9310</v>
      </c>
      <c r="I3793" s="10" t="s">
        <v>55</v>
      </c>
      <c r="K3793" s="10" t="s">
        <v>9374</v>
      </c>
      <c r="L3793" s="10" t="s">
        <v>42</v>
      </c>
    </row>
    <row r="3794" ht="15.75" customHeight="1">
      <c r="A3794" s="64">
        <v>45415.0</v>
      </c>
      <c r="B3794" s="55" t="str">
        <f>HYPERLINK("https://jobright.ai/jobs/info/66325b361e9b72dd45a76418?utm_campaign=1062&amp;utm_source=sheet", "Apply")</f>
        <v>Apply</v>
      </c>
      <c r="C3794" s="10" t="s">
        <v>9375</v>
      </c>
      <c r="D3794" s="56" t="s">
        <v>9376</v>
      </c>
      <c r="E3794" s="10" t="s">
        <v>249</v>
      </c>
      <c r="F3794" s="10" t="s">
        <v>9377</v>
      </c>
      <c r="G3794" s="10" t="s">
        <v>2470</v>
      </c>
      <c r="H3794" s="10" t="s">
        <v>813</v>
      </c>
      <c r="I3794" s="10" t="s">
        <v>55</v>
      </c>
      <c r="K3794" s="10" t="s">
        <v>9378</v>
      </c>
      <c r="L3794" s="10" t="s">
        <v>42</v>
      </c>
    </row>
    <row r="3795" ht="15.75" customHeight="1">
      <c r="A3795" s="64">
        <v>45415.0</v>
      </c>
      <c r="B3795" s="55" t="str">
        <f>HYPERLINK("https://jobright.ai/jobs/info/66350f79866d6052f65d9348?utm_campaign=1062&amp;utm_source=sheet", "Apply")</f>
        <v>Apply</v>
      </c>
      <c r="C3795" s="10" t="s">
        <v>8980</v>
      </c>
      <c r="D3795" s="56" t="s">
        <v>8981</v>
      </c>
      <c r="E3795" s="10">
        <v>5724.0</v>
      </c>
      <c r="G3795" s="10" t="s">
        <v>2448</v>
      </c>
      <c r="H3795" s="10" t="s">
        <v>520</v>
      </c>
      <c r="I3795" s="10" t="s">
        <v>48</v>
      </c>
      <c r="K3795" s="10" t="s">
        <v>8982</v>
      </c>
      <c r="L3795" s="10" t="s">
        <v>42</v>
      </c>
    </row>
    <row r="3796" ht="15.75" customHeight="1">
      <c r="A3796" s="64">
        <v>45415.0</v>
      </c>
      <c r="B3796" s="55" t="str">
        <f>HYPERLINK("https://jobright.ai/jobs/info/663507e1f7a05207b17150b4?utm_campaign=1062&amp;utm_source=sheet", "Apply")</f>
        <v>Apply</v>
      </c>
      <c r="C3796" s="10" t="s">
        <v>8980</v>
      </c>
      <c r="D3796" s="56" t="s">
        <v>8981</v>
      </c>
      <c r="E3796" s="10">
        <v>5724.0</v>
      </c>
      <c r="G3796" s="10" t="s">
        <v>2448</v>
      </c>
      <c r="H3796" s="10" t="s">
        <v>3299</v>
      </c>
      <c r="I3796" s="10" t="s">
        <v>48</v>
      </c>
      <c r="K3796" s="10" t="s">
        <v>8982</v>
      </c>
      <c r="L3796" s="10" t="s">
        <v>42</v>
      </c>
    </row>
    <row r="3797" ht="15.75" customHeight="1">
      <c r="A3797" s="64">
        <v>45415.0</v>
      </c>
      <c r="B3797" s="55" t="str">
        <f>HYPERLINK("https://jobright.ai/jobs/info/663507e1f7a05207b17150b6?utm_campaign=1062&amp;utm_source=sheet", "Apply")</f>
        <v>Apply</v>
      </c>
      <c r="C3797" s="10" t="s">
        <v>8980</v>
      </c>
      <c r="D3797" s="56" t="s">
        <v>8981</v>
      </c>
      <c r="E3797" s="10">
        <v>5724.0</v>
      </c>
      <c r="G3797" s="10" t="s">
        <v>2448</v>
      </c>
      <c r="H3797" s="10" t="s">
        <v>3268</v>
      </c>
      <c r="I3797" s="10" t="s">
        <v>48</v>
      </c>
      <c r="K3797" s="10" t="s">
        <v>8982</v>
      </c>
      <c r="L3797" s="10" t="s">
        <v>42</v>
      </c>
    </row>
    <row r="3798" ht="15.75" customHeight="1">
      <c r="A3798" s="64">
        <v>45415.0</v>
      </c>
      <c r="B3798" s="55" t="str">
        <f>HYPERLINK("https://jobright.ai/jobs/info/6683ffc129646ce4f98c59ce?utm_campaign=1062&amp;utm_source=sheet", "Apply")</f>
        <v>Apply</v>
      </c>
      <c r="C3798" s="10" t="s">
        <v>8954</v>
      </c>
      <c r="D3798" s="56" t="s">
        <v>567</v>
      </c>
      <c r="E3798" s="10" t="s">
        <v>65</v>
      </c>
      <c r="F3798" s="10" t="s">
        <v>568</v>
      </c>
      <c r="G3798" s="10" t="s">
        <v>2448</v>
      </c>
      <c r="H3798" s="10" t="s">
        <v>854</v>
      </c>
      <c r="I3798" s="10" t="s">
        <v>55</v>
      </c>
      <c r="J3798" s="10" t="s">
        <v>8955</v>
      </c>
      <c r="K3798" s="10" t="s">
        <v>4614</v>
      </c>
      <c r="L3798" s="10" t="s">
        <v>42</v>
      </c>
    </row>
    <row r="3799" ht="15.75" customHeight="1">
      <c r="A3799" s="64">
        <v>45415.0</v>
      </c>
      <c r="B3799" s="55" t="str">
        <f>HYPERLINK("https://jobright.ai/jobs/info/6683ffc129646ce4f98c59d5?utm_campaign=1062&amp;utm_source=sheet", "Apply")</f>
        <v>Apply</v>
      </c>
      <c r="C3799" s="10" t="s">
        <v>8954</v>
      </c>
      <c r="D3799" s="56" t="s">
        <v>567</v>
      </c>
      <c r="E3799" s="10" t="s">
        <v>65</v>
      </c>
      <c r="F3799" s="10" t="s">
        <v>568</v>
      </c>
      <c r="G3799" s="10" t="s">
        <v>2448</v>
      </c>
      <c r="H3799" s="10" t="s">
        <v>3049</v>
      </c>
      <c r="I3799" s="10" t="s">
        <v>55</v>
      </c>
      <c r="J3799" s="10" t="s">
        <v>8955</v>
      </c>
      <c r="K3799" s="10" t="s">
        <v>4614</v>
      </c>
      <c r="L3799" s="10" t="s">
        <v>42</v>
      </c>
    </row>
    <row r="3800" ht="15.75" customHeight="1">
      <c r="A3800" s="64">
        <v>45415.0</v>
      </c>
      <c r="B3800" s="55" t="str">
        <f>HYPERLINK("https://jobright.ai/jobs/info/6683f8d8e84f587dd5634044?utm_campaign=1062&amp;utm_source=sheet", "Apply")</f>
        <v>Apply</v>
      </c>
      <c r="C3800" s="10" t="s">
        <v>2076</v>
      </c>
      <c r="D3800" s="56" t="s">
        <v>196</v>
      </c>
      <c r="E3800" s="10" t="s">
        <v>71</v>
      </c>
      <c r="F3800" s="10" t="s">
        <v>197</v>
      </c>
      <c r="G3800" s="10" t="s">
        <v>2448</v>
      </c>
      <c r="H3800" s="10" t="s">
        <v>193</v>
      </c>
      <c r="I3800" s="10" t="s">
        <v>55</v>
      </c>
      <c r="K3800" s="10" t="s">
        <v>9379</v>
      </c>
      <c r="L3800" s="10" t="s">
        <v>42</v>
      </c>
    </row>
    <row r="3801" ht="15.75" customHeight="1">
      <c r="A3801" s="64">
        <v>45415.0</v>
      </c>
      <c r="B3801" s="55" t="str">
        <f>HYPERLINK("https://jobright.ai/jobs/info/6683ecd20980a1d175d12e5a?utm_campaign=1062&amp;utm_source=sheet", "Apply")</f>
        <v>Apply</v>
      </c>
      <c r="C3801" s="10" t="s">
        <v>8954</v>
      </c>
      <c r="D3801" s="56" t="s">
        <v>567</v>
      </c>
      <c r="E3801" s="10" t="s">
        <v>65</v>
      </c>
      <c r="F3801" s="10" t="s">
        <v>568</v>
      </c>
      <c r="G3801" s="10" t="s">
        <v>2448</v>
      </c>
      <c r="H3801" s="10" t="s">
        <v>113</v>
      </c>
      <c r="I3801" s="10" t="s">
        <v>55</v>
      </c>
      <c r="J3801" s="10" t="s">
        <v>8955</v>
      </c>
      <c r="K3801" s="10" t="s">
        <v>4614</v>
      </c>
      <c r="L3801" s="10" t="s">
        <v>42</v>
      </c>
    </row>
    <row r="3802" ht="15.75" customHeight="1">
      <c r="A3802" s="64">
        <v>45415.0</v>
      </c>
      <c r="B3802" s="55" t="str">
        <f>HYPERLINK("https://jobright.ai/jobs/info/6683ecd20980a1d175d12e5d?utm_campaign=1062&amp;utm_source=sheet", "Apply")</f>
        <v>Apply</v>
      </c>
      <c r="C3802" s="10" t="s">
        <v>8954</v>
      </c>
      <c r="D3802" s="56" t="s">
        <v>567</v>
      </c>
      <c r="E3802" s="10" t="s">
        <v>65</v>
      </c>
      <c r="F3802" s="10" t="s">
        <v>568</v>
      </c>
      <c r="G3802" s="10" t="s">
        <v>2448</v>
      </c>
      <c r="H3802" s="10" t="s">
        <v>1013</v>
      </c>
      <c r="I3802" s="10" t="s">
        <v>55</v>
      </c>
      <c r="J3802" s="10" t="s">
        <v>8955</v>
      </c>
      <c r="K3802" s="10" t="s">
        <v>4614</v>
      </c>
      <c r="L3802" s="10" t="s">
        <v>42</v>
      </c>
    </row>
    <row r="3803" ht="15.75" customHeight="1">
      <c r="A3803" s="64">
        <v>45415.0</v>
      </c>
      <c r="B3803" s="55" t="str">
        <f>HYPERLINK("https://jobright.ai/jobs/info/6683e772bff8e7c8fbc4b862?utm_campaign=1062&amp;utm_source=sheet", "Apply")</f>
        <v>Apply</v>
      </c>
      <c r="C3803" s="10" t="s">
        <v>8954</v>
      </c>
      <c r="D3803" s="56" t="s">
        <v>567</v>
      </c>
      <c r="E3803" s="10" t="s">
        <v>65</v>
      </c>
      <c r="F3803" s="10" t="s">
        <v>568</v>
      </c>
      <c r="G3803" s="10" t="s">
        <v>2448</v>
      </c>
      <c r="H3803" s="10" t="s">
        <v>505</v>
      </c>
      <c r="I3803" s="10" t="s">
        <v>55</v>
      </c>
      <c r="J3803" s="10" t="s">
        <v>8955</v>
      </c>
      <c r="K3803" s="10" t="s">
        <v>4614</v>
      </c>
      <c r="L3803" s="10" t="s">
        <v>42</v>
      </c>
    </row>
    <row r="3804" ht="15.75" customHeight="1">
      <c r="A3804" s="64">
        <v>45415.0</v>
      </c>
      <c r="B3804" s="55" t="str">
        <f>HYPERLINK("https://jobright.ai/jobs/info/6634b02a3fd031a265b1401b?utm_campaign=1062&amp;utm_source=sheet", "Apply")</f>
        <v>Apply</v>
      </c>
      <c r="C3804" s="10" t="s">
        <v>9380</v>
      </c>
      <c r="D3804" s="56" t="s">
        <v>9381</v>
      </c>
      <c r="E3804" s="10" t="s">
        <v>137</v>
      </c>
      <c r="F3804" s="10" t="s">
        <v>293</v>
      </c>
      <c r="G3804" s="10" t="s">
        <v>4046</v>
      </c>
      <c r="H3804" s="10" t="s">
        <v>313</v>
      </c>
      <c r="I3804" s="10" t="s">
        <v>55</v>
      </c>
      <c r="K3804" s="10" t="s">
        <v>9382</v>
      </c>
      <c r="L3804" s="10" t="s">
        <v>42</v>
      </c>
    </row>
    <row r="3805" ht="15.75" customHeight="1">
      <c r="A3805" s="64">
        <v>45415.0</v>
      </c>
      <c r="B3805" s="55" t="str">
        <f>HYPERLINK("https://jobright.ai/jobs/info/663573ba0f7e47cede6361cc?utm_campaign=1062&amp;utm_source=sheet", "Apply")</f>
        <v>Apply</v>
      </c>
      <c r="C3805" s="10" t="s">
        <v>301</v>
      </c>
      <c r="D3805" s="56" t="s">
        <v>9383</v>
      </c>
      <c r="E3805" s="10" t="s">
        <v>65</v>
      </c>
      <c r="F3805" s="10" t="s">
        <v>2964</v>
      </c>
      <c r="G3805" s="10" t="s">
        <v>2484</v>
      </c>
      <c r="H3805" s="10" t="s">
        <v>972</v>
      </c>
      <c r="I3805" s="10" t="s">
        <v>55</v>
      </c>
      <c r="K3805" s="10" t="s">
        <v>9384</v>
      </c>
      <c r="L3805" s="10" t="s">
        <v>42</v>
      </c>
    </row>
    <row r="3806" ht="15.75" customHeight="1">
      <c r="A3806" s="64">
        <v>45415.0</v>
      </c>
      <c r="B3806" s="55" t="str">
        <f>HYPERLINK("https://jobright.ai/jobs/info/66693ff78f0265d34931b228?utm_campaign=1062&amp;utm_source=sheet", "Apply")</f>
        <v>Apply</v>
      </c>
      <c r="C3806" s="10" t="s">
        <v>9385</v>
      </c>
      <c r="D3806" s="56" t="s">
        <v>1496</v>
      </c>
      <c r="E3806" s="10" t="s">
        <v>45</v>
      </c>
      <c r="F3806" s="10" t="s">
        <v>1497</v>
      </c>
      <c r="G3806" s="10" t="s">
        <v>2437</v>
      </c>
      <c r="H3806" s="10" t="s">
        <v>9386</v>
      </c>
      <c r="I3806" s="10" t="s">
        <v>55</v>
      </c>
      <c r="K3806" s="10" t="s">
        <v>9387</v>
      </c>
      <c r="L3806" s="10" t="s">
        <v>42</v>
      </c>
    </row>
    <row r="3807" ht="15.75" customHeight="1">
      <c r="A3807" s="64">
        <v>45415.0</v>
      </c>
      <c r="B3807" s="55" t="str">
        <f>HYPERLINK("https://jobright.ai/jobs/info/66693fe68f0265d34931b137?utm_campaign=1062&amp;utm_source=sheet", "Apply")</f>
        <v>Apply</v>
      </c>
      <c r="C3807" s="10" t="s">
        <v>9388</v>
      </c>
      <c r="D3807" s="56" t="s">
        <v>9389</v>
      </c>
      <c r="E3807" s="10" t="s">
        <v>71</v>
      </c>
      <c r="F3807" s="10" t="s">
        <v>3004</v>
      </c>
      <c r="G3807" s="10" t="s">
        <v>2448</v>
      </c>
      <c r="H3807" s="10" t="s">
        <v>9390</v>
      </c>
      <c r="I3807" s="10" t="s">
        <v>55</v>
      </c>
      <c r="K3807" s="10" t="s">
        <v>9391</v>
      </c>
      <c r="L3807" s="10" t="s">
        <v>42</v>
      </c>
    </row>
    <row r="3808" ht="15.75" customHeight="1">
      <c r="A3808" s="64">
        <v>45414.0</v>
      </c>
      <c r="B3808" s="55" t="str">
        <f>HYPERLINK("https://jobright.ai/jobs/info/66341566e6d61c78d52b642f?utm_campaign=1062&amp;utm_source=sheet", "Apply")</f>
        <v>Apply</v>
      </c>
      <c r="C3808" s="10" t="s">
        <v>7827</v>
      </c>
      <c r="D3808" s="56" t="s">
        <v>3547</v>
      </c>
      <c r="E3808" s="10" t="s">
        <v>249</v>
      </c>
      <c r="F3808" s="10" t="s">
        <v>85</v>
      </c>
      <c r="G3808" s="10" t="s">
        <v>2464</v>
      </c>
      <c r="H3808" s="10" t="s">
        <v>816</v>
      </c>
      <c r="I3808" s="10" t="s">
        <v>55</v>
      </c>
      <c r="K3808" s="10" t="s">
        <v>9392</v>
      </c>
      <c r="L3808" s="10" t="s">
        <v>42</v>
      </c>
    </row>
    <row r="3809" ht="15.75" customHeight="1">
      <c r="A3809" s="64">
        <v>45414.0</v>
      </c>
      <c r="B3809" s="55" t="str">
        <f>HYPERLINK("https://jobright.ai/jobs/info/6634729d8be139ca689c3404?utm_campaign=1062&amp;utm_source=sheet", "Apply")</f>
        <v>Apply</v>
      </c>
      <c r="C3809" s="10" t="s">
        <v>9393</v>
      </c>
      <c r="D3809" s="56" t="s">
        <v>8777</v>
      </c>
      <c r="E3809" s="10" t="s">
        <v>249</v>
      </c>
      <c r="F3809" s="10" t="s">
        <v>486</v>
      </c>
      <c r="G3809" s="10" t="s">
        <v>2484</v>
      </c>
      <c r="H3809" s="10" t="s">
        <v>3741</v>
      </c>
      <c r="I3809" s="10" t="s">
        <v>55</v>
      </c>
      <c r="K3809" s="10" t="s">
        <v>9394</v>
      </c>
      <c r="L3809" s="10" t="s">
        <v>42</v>
      </c>
    </row>
    <row r="3810" ht="15.75" customHeight="1">
      <c r="A3810" s="64">
        <v>45414.0</v>
      </c>
      <c r="B3810" s="55" t="str">
        <f>HYPERLINK("https://jobright.ai/jobs/info/6633c344c0e543bf604990f0?utm_campaign=1062&amp;utm_source=sheet", "Apply")</f>
        <v>Apply</v>
      </c>
      <c r="C3810" s="10" t="s">
        <v>301</v>
      </c>
      <c r="D3810" s="56" t="s">
        <v>2298</v>
      </c>
      <c r="E3810" s="10" t="s">
        <v>65</v>
      </c>
      <c r="F3810" s="10" t="s">
        <v>1274</v>
      </c>
      <c r="G3810" s="10" t="s">
        <v>2484</v>
      </c>
      <c r="H3810" s="10" t="s">
        <v>902</v>
      </c>
      <c r="I3810" s="10" t="s">
        <v>55</v>
      </c>
      <c r="K3810" s="10" t="s">
        <v>9395</v>
      </c>
      <c r="L3810" s="10" t="s">
        <v>42</v>
      </c>
    </row>
    <row r="3811" ht="15.75" customHeight="1">
      <c r="A3811" s="64">
        <v>45414.0</v>
      </c>
      <c r="B3811" s="55" t="str">
        <f>HYPERLINK("https://jobright.ai/jobs/info/6642f8d5457134082c211ef3?utm_campaign=1062&amp;utm_source=sheet", "Apply")</f>
        <v>Apply</v>
      </c>
      <c r="C3811" s="10" t="s">
        <v>9396</v>
      </c>
      <c r="D3811" s="56" t="s">
        <v>2073</v>
      </c>
      <c r="G3811" s="10" t="s">
        <v>2448</v>
      </c>
      <c r="H3811" s="10" t="s">
        <v>1263</v>
      </c>
      <c r="I3811" s="10" t="s">
        <v>55</v>
      </c>
      <c r="J3811" s="10" t="s">
        <v>3562</v>
      </c>
      <c r="K3811" s="10" t="s">
        <v>9397</v>
      </c>
      <c r="L3811" s="10" t="s">
        <v>42</v>
      </c>
    </row>
    <row r="3812" ht="15.75" customHeight="1">
      <c r="A3812" s="64">
        <v>45414.0</v>
      </c>
      <c r="B3812" s="55" t="str">
        <f>HYPERLINK("https://jobright.ai/jobs/info/665d8f5dafa29d3660ab02d9?utm_campaign=1062&amp;utm_source=sheet", "Apply")</f>
        <v>Apply</v>
      </c>
      <c r="C3812" s="10" t="s">
        <v>9398</v>
      </c>
      <c r="D3812" s="56" t="s">
        <v>9399</v>
      </c>
      <c r="E3812" s="10">
        <v>177.0</v>
      </c>
      <c r="G3812" s="10" t="s">
        <v>4046</v>
      </c>
      <c r="H3812" s="10" t="s">
        <v>9400</v>
      </c>
      <c r="I3812" s="10" t="s">
        <v>55</v>
      </c>
      <c r="K3812" s="10" t="s">
        <v>9401</v>
      </c>
      <c r="L3812" s="10" t="s">
        <v>42</v>
      </c>
    </row>
    <row r="3813" ht="15.75" customHeight="1">
      <c r="A3813" s="64">
        <v>45414.0</v>
      </c>
      <c r="B3813" s="55" t="str">
        <f>HYPERLINK("https://jobright.ai/jobs/info/666940058f0265d34931b31d?utm_campaign=1062&amp;utm_source=sheet", "Apply")</f>
        <v>Apply</v>
      </c>
      <c r="C3813" s="10" t="s">
        <v>9402</v>
      </c>
      <c r="D3813" s="56" t="s">
        <v>9403</v>
      </c>
      <c r="E3813" s="10" t="s">
        <v>45</v>
      </c>
      <c r="F3813" s="10" t="s">
        <v>722</v>
      </c>
      <c r="G3813" s="10" t="s">
        <v>2448</v>
      </c>
      <c r="H3813" s="10" t="s">
        <v>9404</v>
      </c>
      <c r="I3813" s="10" t="s">
        <v>55</v>
      </c>
      <c r="K3813" s="10" t="s">
        <v>9405</v>
      </c>
      <c r="L3813" s="10" t="s">
        <v>42</v>
      </c>
    </row>
    <row r="3814" ht="15.75" customHeight="1">
      <c r="A3814" s="64">
        <v>45413.0</v>
      </c>
      <c r="B3814" s="55" t="str">
        <f>HYPERLINK("https://jobright.ai/jobs/info/6632c7378fe3a6589743ecaa?utm_campaign=1062&amp;utm_source=sheet", "Apply")</f>
        <v>Apply</v>
      </c>
      <c r="C3814" s="10" t="s">
        <v>9406</v>
      </c>
      <c r="D3814" s="56" t="s">
        <v>1563</v>
      </c>
      <c r="E3814" s="59">
        <v>45301.0</v>
      </c>
      <c r="F3814" s="10" t="s">
        <v>1564</v>
      </c>
      <c r="G3814" s="10" t="s">
        <v>2807</v>
      </c>
      <c r="H3814" s="10" t="s">
        <v>1565</v>
      </c>
      <c r="I3814" s="10" t="s">
        <v>48</v>
      </c>
      <c r="J3814" s="10" t="s">
        <v>1566</v>
      </c>
      <c r="K3814" s="10" t="s">
        <v>1567</v>
      </c>
      <c r="L3814" s="10" t="s">
        <v>42</v>
      </c>
    </row>
    <row r="3815" ht="15.75" customHeight="1">
      <c r="A3815" s="64">
        <v>45413.0</v>
      </c>
      <c r="B3815" s="55" t="str">
        <f>HYPERLINK("https://jobright.ai/jobs/info/6632c7478fe3a6589743eeb1?utm_campaign=1062&amp;utm_source=sheet", "Apply")</f>
        <v>Apply</v>
      </c>
      <c r="C3815" s="10" t="s">
        <v>9375</v>
      </c>
      <c r="D3815" s="56" t="s">
        <v>8740</v>
      </c>
      <c r="E3815" s="10" t="s">
        <v>45</v>
      </c>
      <c r="F3815" s="10" t="s">
        <v>8741</v>
      </c>
      <c r="G3815" s="10" t="s">
        <v>2470</v>
      </c>
      <c r="H3815" s="10" t="s">
        <v>813</v>
      </c>
      <c r="I3815" s="10" t="s">
        <v>55</v>
      </c>
      <c r="K3815" s="10" t="s">
        <v>9378</v>
      </c>
      <c r="L3815" s="10" t="s">
        <v>42</v>
      </c>
    </row>
    <row r="3816" ht="15.75" customHeight="1">
      <c r="A3816" s="64">
        <v>45413.0</v>
      </c>
      <c r="B3816" s="55" t="str">
        <f>HYPERLINK("https://jobright.ai/jobs/info/6642f928457134082c212974?utm_campaign=1062&amp;utm_source=sheet", "Apply")</f>
        <v>Apply</v>
      </c>
      <c r="C3816" s="10" t="s">
        <v>301</v>
      </c>
      <c r="D3816" s="56" t="s">
        <v>9407</v>
      </c>
      <c r="E3816" s="10">
        <v>82.0</v>
      </c>
      <c r="G3816" s="10" t="s">
        <v>2484</v>
      </c>
      <c r="H3816" s="10" t="s">
        <v>9408</v>
      </c>
      <c r="I3816" s="10" t="s">
        <v>55</v>
      </c>
      <c r="K3816" s="10" t="s">
        <v>9409</v>
      </c>
      <c r="L3816" s="10" t="s">
        <v>42</v>
      </c>
    </row>
    <row r="3817" ht="15.75" customHeight="1">
      <c r="A3817" s="64">
        <v>45413.0</v>
      </c>
      <c r="B3817" s="55" t="str">
        <f>HYPERLINK("https://jobright.ai/jobs/info/6669404d8f0265d34931b723?utm_campaign=1062&amp;utm_source=sheet", "Apply")</f>
        <v>Apply</v>
      </c>
      <c r="C3817" s="10" t="s">
        <v>2076</v>
      </c>
      <c r="D3817" s="56" t="s">
        <v>196</v>
      </c>
      <c r="E3817" s="10" t="s">
        <v>71</v>
      </c>
      <c r="F3817" s="10" t="s">
        <v>197</v>
      </c>
      <c r="G3817" s="10" t="s">
        <v>2448</v>
      </c>
      <c r="H3817" s="10" t="s">
        <v>2352</v>
      </c>
      <c r="I3817" s="10" t="s">
        <v>55</v>
      </c>
      <c r="K3817" s="10" t="s">
        <v>9410</v>
      </c>
      <c r="L3817" s="10" t="s">
        <v>42</v>
      </c>
    </row>
    <row r="3818">
      <c r="A3818" s="64"/>
      <c r="D3818" s="56"/>
    </row>
    <row r="3819">
      <c r="A3819" s="64"/>
      <c r="D3819" s="56"/>
    </row>
    <row r="3820">
      <c r="A3820" s="64"/>
      <c r="D3820" s="56"/>
    </row>
    <row r="3821">
      <c r="A3821" s="64"/>
      <c r="D3821" s="56"/>
    </row>
    <row r="3822">
      <c r="A3822" s="64"/>
      <c r="D3822" s="56"/>
    </row>
    <row r="3823">
      <c r="A3823" s="64"/>
      <c r="D3823" s="56"/>
    </row>
    <row r="3824">
      <c r="A3824" s="64"/>
      <c r="D3824" s="56"/>
    </row>
    <row r="3825">
      <c r="A3825" s="64"/>
      <c r="D3825" s="56"/>
    </row>
    <row r="3826">
      <c r="A3826" s="64"/>
      <c r="D3826" s="56"/>
    </row>
    <row r="3827">
      <c r="A3827" s="64"/>
      <c r="D3827" s="56"/>
    </row>
    <row r="3828">
      <c r="A3828" s="64"/>
      <c r="D3828" s="56"/>
    </row>
    <row r="3829">
      <c r="A3829" s="64"/>
      <c r="D3829" s="56"/>
    </row>
    <row r="3830">
      <c r="A3830" s="64"/>
      <c r="D3830" s="56"/>
    </row>
    <row r="3831">
      <c r="A3831" s="64"/>
      <c r="D3831" s="56"/>
    </row>
    <row r="3832">
      <c r="A3832" s="64"/>
      <c r="D3832" s="56"/>
    </row>
    <row r="3833">
      <c r="A3833" s="64"/>
      <c r="D3833" s="56"/>
    </row>
    <row r="3834">
      <c r="A3834" s="64"/>
      <c r="D3834" s="56"/>
    </row>
    <row r="3835">
      <c r="A3835" s="64"/>
      <c r="D3835" s="56"/>
    </row>
    <row r="3836">
      <c r="A3836" s="64"/>
      <c r="D3836" s="56"/>
    </row>
    <row r="3837">
      <c r="A3837" s="64"/>
      <c r="D3837" s="56"/>
    </row>
    <row r="3838">
      <c r="A3838" s="64"/>
      <c r="D3838" s="56"/>
    </row>
    <row r="3839">
      <c r="A3839" s="64"/>
      <c r="D3839" s="56"/>
    </row>
    <row r="3840">
      <c r="A3840" s="64"/>
      <c r="D3840" s="56"/>
    </row>
    <row r="3841">
      <c r="A3841" s="64"/>
      <c r="D3841" s="56"/>
    </row>
    <row r="3842">
      <c r="A3842" s="64"/>
      <c r="D3842" s="56"/>
    </row>
    <row r="3843">
      <c r="A3843" s="64"/>
      <c r="D3843" s="56"/>
    </row>
    <row r="3844">
      <c r="A3844" s="64"/>
      <c r="D3844" s="56"/>
    </row>
    <row r="3845">
      <c r="A3845" s="64"/>
      <c r="D3845" s="56"/>
    </row>
    <row r="3846">
      <c r="A3846" s="64"/>
      <c r="D3846" s="56"/>
    </row>
    <row r="3847">
      <c r="A3847" s="64"/>
      <c r="D3847" s="56"/>
    </row>
    <row r="3848">
      <c r="A3848" s="64"/>
      <c r="D3848" s="56"/>
    </row>
    <row r="3849">
      <c r="A3849" s="64"/>
      <c r="D3849" s="56"/>
    </row>
    <row r="3850">
      <c r="A3850" s="64"/>
      <c r="D3850" s="56"/>
    </row>
    <row r="3851">
      <c r="A3851" s="64"/>
      <c r="D3851" s="56"/>
    </row>
    <row r="3852">
      <c r="A3852" s="64"/>
      <c r="D3852" s="56"/>
    </row>
    <row r="3853">
      <c r="A3853" s="64"/>
      <c r="D3853" s="56"/>
    </row>
    <row r="3854">
      <c r="A3854" s="64"/>
      <c r="D3854" s="56"/>
    </row>
    <row r="3855">
      <c r="A3855" s="64"/>
      <c r="D3855" s="56"/>
    </row>
    <row r="3856">
      <c r="A3856" s="64"/>
      <c r="D3856" s="56"/>
    </row>
    <row r="3857">
      <c r="A3857" s="64"/>
      <c r="D3857" s="56"/>
    </row>
    <row r="3858">
      <c r="A3858" s="64"/>
      <c r="D3858" s="56"/>
    </row>
    <row r="3859">
      <c r="A3859" s="64"/>
      <c r="D3859" s="56"/>
    </row>
    <row r="3860">
      <c r="A3860" s="64"/>
      <c r="D3860" s="56"/>
    </row>
    <row r="3861">
      <c r="A3861" s="64"/>
      <c r="D3861" s="56"/>
    </row>
    <row r="3862">
      <c r="A3862" s="64"/>
      <c r="D3862" s="56"/>
    </row>
    <row r="3863">
      <c r="A3863" s="64"/>
      <c r="D3863" s="56"/>
    </row>
    <row r="3864">
      <c r="A3864" s="64"/>
      <c r="D3864" s="56"/>
    </row>
    <row r="3865">
      <c r="A3865" s="64"/>
      <c r="D3865" s="56"/>
    </row>
    <row r="3866">
      <c r="A3866" s="64"/>
      <c r="D3866" s="56"/>
    </row>
    <row r="3867">
      <c r="A3867" s="64"/>
      <c r="D3867" s="56"/>
    </row>
    <row r="3868">
      <c r="A3868" s="64"/>
      <c r="D3868" s="56"/>
    </row>
    <row r="3869">
      <c r="A3869" s="64"/>
      <c r="D3869" s="56"/>
    </row>
    <row r="3870">
      <c r="A3870" s="64"/>
      <c r="D3870" s="56"/>
    </row>
    <row r="3871">
      <c r="A3871" s="64"/>
      <c r="D3871" s="56"/>
    </row>
    <row r="3872">
      <c r="A3872" s="64"/>
      <c r="D3872" s="56"/>
    </row>
    <row r="3873">
      <c r="A3873" s="64"/>
      <c r="D3873" s="56"/>
    </row>
    <row r="3874">
      <c r="A3874" s="64"/>
      <c r="D3874" s="56"/>
    </row>
    <row r="3875">
      <c r="A3875" s="64"/>
      <c r="D3875" s="56"/>
    </row>
    <row r="3876">
      <c r="A3876" s="64"/>
      <c r="D3876" s="56"/>
    </row>
    <row r="3877">
      <c r="A3877" s="64"/>
      <c r="D3877" s="56"/>
    </row>
    <row r="3878">
      <c r="A3878" s="64"/>
      <c r="D3878" s="56"/>
    </row>
    <row r="3879">
      <c r="A3879" s="64"/>
      <c r="D3879" s="56"/>
    </row>
    <row r="3880">
      <c r="A3880" s="64"/>
      <c r="D3880" s="56"/>
    </row>
    <row r="3881">
      <c r="A3881" s="64"/>
      <c r="D3881" s="56"/>
    </row>
    <row r="3882">
      <c r="A3882" s="64"/>
      <c r="D3882" s="56"/>
    </row>
    <row r="3883">
      <c r="A3883" s="64"/>
      <c r="D3883" s="56"/>
    </row>
    <row r="3884">
      <c r="A3884" s="64"/>
      <c r="D3884" s="56"/>
    </row>
    <row r="3885">
      <c r="A3885" s="64"/>
      <c r="D3885" s="56"/>
    </row>
    <row r="3886">
      <c r="A3886" s="64"/>
      <c r="D3886" s="56"/>
    </row>
    <row r="3887">
      <c r="A3887" s="64"/>
      <c r="D3887" s="56"/>
    </row>
    <row r="3888">
      <c r="A3888" s="64"/>
      <c r="D3888" s="56"/>
    </row>
    <row r="3889">
      <c r="A3889" s="64"/>
      <c r="D3889" s="56"/>
    </row>
    <row r="3890">
      <c r="A3890" s="64"/>
      <c r="D3890" s="56"/>
    </row>
    <row r="3891">
      <c r="A3891" s="64"/>
      <c r="D3891" s="56"/>
    </row>
    <row r="3892">
      <c r="A3892" s="64"/>
      <c r="D3892" s="56"/>
    </row>
    <row r="3893">
      <c r="A3893" s="64"/>
      <c r="D3893" s="56"/>
    </row>
    <row r="3894">
      <c r="A3894" s="64"/>
      <c r="D3894" s="56"/>
    </row>
    <row r="3895">
      <c r="A3895" s="64"/>
      <c r="D3895" s="56"/>
    </row>
    <row r="3896">
      <c r="A3896" s="64"/>
      <c r="D3896" s="56"/>
    </row>
    <row r="3897">
      <c r="A3897" s="64"/>
      <c r="D3897" s="56"/>
    </row>
    <row r="3898">
      <c r="A3898" s="64"/>
      <c r="D3898" s="62"/>
    </row>
    <row r="3899">
      <c r="A3899" s="64"/>
      <c r="D3899" s="62"/>
    </row>
    <row r="3900">
      <c r="A3900" s="64"/>
      <c r="D3900" s="62"/>
    </row>
    <row r="3901">
      <c r="A3901" s="64"/>
      <c r="D3901" s="62"/>
    </row>
    <row r="3902">
      <c r="A3902" s="64"/>
      <c r="D3902" s="56"/>
    </row>
    <row r="3903">
      <c r="A3903" s="64"/>
      <c r="D3903" s="56"/>
    </row>
    <row r="3904">
      <c r="A3904" s="64"/>
      <c r="D3904" s="56"/>
    </row>
    <row r="3905">
      <c r="A3905" s="64"/>
      <c r="D3905" s="56"/>
    </row>
    <row r="3906">
      <c r="A3906" s="64"/>
      <c r="D3906" s="56"/>
    </row>
    <row r="3907">
      <c r="A3907" s="64"/>
      <c r="D3907" s="56"/>
    </row>
    <row r="3908">
      <c r="A3908" s="64"/>
      <c r="D3908" s="56"/>
    </row>
    <row r="3909">
      <c r="A3909" s="64"/>
      <c r="D3909" s="56"/>
    </row>
    <row r="3910">
      <c r="A3910" s="64"/>
      <c r="D3910" s="56"/>
    </row>
    <row r="3911">
      <c r="A3911" s="64"/>
      <c r="D3911" s="56"/>
    </row>
    <row r="3912">
      <c r="A3912" s="64"/>
      <c r="D3912" s="56"/>
    </row>
    <row r="3913">
      <c r="A3913" s="64"/>
      <c r="D3913" s="56"/>
    </row>
    <row r="3914">
      <c r="A3914" s="64"/>
      <c r="D3914" s="56"/>
    </row>
    <row r="3915">
      <c r="A3915" s="64"/>
      <c r="D3915" s="56"/>
    </row>
    <row r="3916">
      <c r="A3916" s="64"/>
      <c r="D3916" s="56"/>
    </row>
    <row r="3917">
      <c r="A3917" s="64"/>
      <c r="D3917" s="56"/>
    </row>
    <row r="3918">
      <c r="A3918" s="64"/>
      <c r="D3918" s="56"/>
    </row>
    <row r="3919">
      <c r="A3919" s="64"/>
      <c r="D3919" s="56"/>
    </row>
    <row r="3920">
      <c r="A3920" s="64"/>
      <c r="D3920" s="56"/>
    </row>
    <row r="3921">
      <c r="A3921" s="64"/>
      <c r="D3921" s="56"/>
    </row>
    <row r="3922">
      <c r="A3922" s="64"/>
      <c r="D3922" s="56"/>
    </row>
    <row r="3923">
      <c r="A3923" s="64"/>
      <c r="D3923" s="56"/>
    </row>
    <row r="3924">
      <c r="A3924" s="64"/>
      <c r="D3924" s="56"/>
    </row>
    <row r="3925">
      <c r="A3925" s="64"/>
      <c r="D3925" s="56"/>
    </row>
    <row r="3926">
      <c r="A3926" s="64"/>
      <c r="D3926" s="56"/>
    </row>
    <row r="3927">
      <c r="A3927" s="64"/>
      <c r="D3927" s="56"/>
    </row>
    <row r="3928">
      <c r="A3928" s="64"/>
      <c r="D3928" s="56"/>
    </row>
    <row r="3929">
      <c r="A3929" s="64"/>
      <c r="D3929" s="56"/>
    </row>
    <row r="3930">
      <c r="A3930" s="64"/>
      <c r="D3930" s="56"/>
    </row>
    <row r="3931">
      <c r="A3931" s="64"/>
      <c r="D3931" s="56"/>
    </row>
    <row r="3932">
      <c r="A3932" s="64"/>
      <c r="D3932" s="56"/>
    </row>
    <row r="3933">
      <c r="A3933" s="64"/>
      <c r="D3933" s="56"/>
    </row>
    <row r="3934">
      <c r="A3934" s="64"/>
      <c r="D3934" s="56"/>
    </row>
    <row r="3935">
      <c r="A3935" s="64"/>
      <c r="D3935" s="56"/>
    </row>
    <row r="3936">
      <c r="A3936" s="64"/>
      <c r="D3936" s="56"/>
    </row>
    <row r="3937">
      <c r="A3937" s="64"/>
      <c r="D3937" s="56"/>
    </row>
    <row r="3938">
      <c r="A3938" s="64"/>
      <c r="D3938" s="56"/>
    </row>
    <row r="3939">
      <c r="A3939" s="64"/>
      <c r="D3939" s="56"/>
    </row>
    <row r="3940">
      <c r="A3940" s="64"/>
      <c r="D3940" s="56"/>
    </row>
    <row r="3941">
      <c r="A3941" s="64"/>
      <c r="D3941" s="56"/>
    </row>
    <row r="3942">
      <c r="A3942" s="64"/>
      <c r="D3942" s="56"/>
    </row>
    <row r="3943">
      <c r="A3943" s="64"/>
      <c r="D3943" s="56"/>
    </row>
    <row r="3944">
      <c r="A3944" s="64"/>
      <c r="D3944" s="56"/>
    </row>
    <row r="3945">
      <c r="A3945" s="64"/>
      <c r="D3945" s="56"/>
    </row>
    <row r="3946">
      <c r="A3946" s="64"/>
      <c r="D3946" s="56"/>
    </row>
    <row r="3947">
      <c r="A3947" s="64"/>
      <c r="D3947" s="56"/>
    </row>
    <row r="3948">
      <c r="A3948" s="64"/>
      <c r="D3948" s="56"/>
    </row>
    <row r="3949">
      <c r="A3949" s="64"/>
      <c r="D3949" s="56"/>
    </row>
    <row r="3950">
      <c r="A3950" s="64"/>
      <c r="D3950" s="56"/>
    </row>
    <row r="3951">
      <c r="A3951" s="64"/>
      <c r="D3951" s="56"/>
    </row>
    <row r="3952">
      <c r="A3952" s="64"/>
      <c r="D3952" s="56"/>
    </row>
    <row r="3953">
      <c r="A3953" s="64"/>
      <c r="D3953" s="56"/>
    </row>
    <row r="3954">
      <c r="A3954" s="64"/>
      <c r="D3954" s="56"/>
    </row>
    <row r="3955">
      <c r="A3955" s="64"/>
      <c r="D3955" s="56"/>
    </row>
    <row r="3956">
      <c r="A3956" s="64"/>
      <c r="D3956" s="56"/>
    </row>
    <row r="3957">
      <c r="A3957" s="64"/>
      <c r="D3957" s="56"/>
    </row>
    <row r="3958">
      <c r="A3958" s="64"/>
      <c r="D3958" s="56"/>
    </row>
    <row r="3959">
      <c r="A3959" s="64"/>
      <c r="D3959" s="56"/>
    </row>
    <row r="3960">
      <c r="A3960" s="64"/>
      <c r="D3960" s="56"/>
    </row>
    <row r="3961">
      <c r="A3961" s="64"/>
      <c r="D3961" s="56"/>
    </row>
    <row r="3962">
      <c r="A3962" s="64"/>
      <c r="D3962" s="56"/>
    </row>
    <row r="3963">
      <c r="A3963" s="64"/>
      <c r="D3963" s="56"/>
    </row>
    <row r="3964">
      <c r="A3964" s="64"/>
      <c r="D3964" s="56"/>
    </row>
    <row r="3965">
      <c r="A3965" s="64"/>
      <c r="D3965" s="56"/>
    </row>
    <row r="3966">
      <c r="A3966" s="64"/>
      <c r="D3966" s="56"/>
    </row>
    <row r="3967">
      <c r="A3967" s="64"/>
      <c r="D3967" s="56"/>
    </row>
    <row r="3968">
      <c r="A3968" s="64"/>
      <c r="D3968" s="56"/>
    </row>
    <row r="3969">
      <c r="A3969" s="64"/>
      <c r="D3969" s="56"/>
    </row>
    <row r="3970">
      <c r="A3970" s="64"/>
      <c r="D3970" s="56"/>
    </row>
    <row r="3971">
      <c r="A3971" s="64"/>
      <c r="D3971" s="56"/>
    </row>
    <row r="3972">
      <c r="A3972" s="64"/>
      <c r="D3972" s="56"/>
    </row>
    <row r="3973">
      <c r="A3973" s="64"/>
      <c r="D3973" s="56"/>
    </row>
    <row r="3974">
      <c r="A3974" s="64"/>
      <c r="D3974" s="56"/>
    </row>
    <row r="3975">
      <c r="A3975" s="64"/>
      <c r="D3975" s="56"/>
    </row>
    <row r="3976">
      <c r="A3976" s="64"/>
      <c r="D3976" s="56"/>
    </row>
    <row r="3977">
      <c r="A3977" s="64"/>
      <c r="D3977" s="56"/>
    </row>
    <row r="3978">
      <c r="A3978" s="64"/>
      <c r="D3978" s="56"/>
    </row>
    <row r="3979">
      <c r="A3979" s="64"/>
      <c r="D3979" s="56"/>
    </row>
    <row r="3980">
      <c r="A3980" s="64"/>
      <c r="D3980" s="56"/>
    </row>
    <row r="3981">
      <c r="A3981" s="64"/>
      <c r="D3981" s="56"/>
    </row>
    <row r="3982">
      <c r="A3982" s="64"/>
      <c r="D3982" s="56"/>
    </row>
    <row r="3983">
      <c r="A3983" s="64"/>
      <c r="D3983" s="56"/>
    </row>
    <row r="3984">
      <c r="A3984" s="64"/>
      <c r="D3984" s="56"/>
    </row>
    <row r="3985">
      <c r="A3985" s="64"/>
      <c r="D3985" s="56"/>
    </row>
    <row r="3986">
      <c r="A3986" s="64"/>
      <c r="D3986" s="56"/>
    </row>
    <row r="3987">
      <c r="A3987" s="64"/>
      <c r="D3987" s="56"/>
    </row>
    <row r="3988">
      <c r="A3988" s="64"/>
      <c r="D3988" s="56"/>
    </row>
    <row r="3989">
      <c r="A3989" s="64"/>
      <c r="D3989" s="56"/>
    </row>
    <row r="3990">
      <c r="A3990" s="64"/>
      <c r="D3990" s="56"/>
    </row>
    <row r="3991">
      <c r="A3991" s="64"/>
      <c r="D3991" s="56"/>
    </row>
    <row r="3992">
      <c r="A3992" s="64"/>
      <c r="D3992" s="56"/>
    </row>
    <row r="3993">
      <c r="A3993" s="64"/>
      <c r="D3993" s="62"/>
    </row>
    <row r="3994">
      <c r="A3994" s="64"/>
      <c r="D3994" s="56"/>
    </row>
    <row r="3995">
      <c r="A3995" s="64"/>
      <c r="D3995" s="56"/>
    </row>
    <row r="3996">
      <c r="A3996" s="64"/>
      <c r="D3996" s="56"/>
    </row>
    <row r="3997">
      <c r="A3997" s="64"/>
      <c r="D3997" s="56"/>
    </row>
    <row r="3998">
      <c r="A3998" s="64"/>
      <c r="D3998" s="56"/>
    </row>
    <row r="3999">
      <c r="A3999" s="64"/>
      <c r="D3999" s="56"/>
    </row>
    <row r="4000">
      <c r="A4000" s="64"/>
      <c r="D4000" s="56"/>
    </row>
    <row r="4001">
      <c r="A4001" s="64"/>
      <c r="D4001" s="56"/>
    </row>
    <row r="4002">
      <c r="A4002" s="64"/>
      <c r="D4002" s="56"/>
    </row>
    <row r="4003">
      <c r="A4003" s="64"/>
      <c r="D4003" s="56"/>
    </row>
    <row r="4004">
      <c r="A4004" s="64"/>
      <c r="D4004" s="56"/>
    </row>
    <row r="4005">
      <c r="A4005" s="64"/>
      <c r="D4005" s="56"/>
    </row>
    <row r="4006">
      <c r="A4006" s="64"/>
      <c r="D4006" s="56"/>
    </row>
    <row r="4007">
      <c r="A4007" s="64"/>
      <c r="D4007" s="56"/>
    </row>
    <row r="4008">
      <c r="A4008" s="64"/>
      <c r="D4008" s="56"/>
    </row>
    <row r="4009">
      <c r="A4009" s="64"/>
      <c r="D4009" s="56"/>
    </row>
    <row r="4010">
      <c r="A4010" s="64"/>
      <c r="D4010" s="56"/>
    </row>
    <row r="4011">
      <c r="A4011" s="64"/>
      <c r="D4011" s="56"/>
    </row>
    <row r="4012">
      <c r="A4012" s="64"/>
      <c r="D4012" s="56"/>
    </row>
    <row r="4013">
      <c r="A4013" s="64"/>
      <c r="D4013" s="56"/>
    </row>
    <row r="4014">
      <c r="A4014" s="64"/>
      <c r="D4014" s="56"/>
    </row>
    <row r="4015">
      <c r="A4015" s="64"/>
      <c r="D4015" s="56"/>
    </row>
    <row r="4016">
      <c r="A4016" s="64"/>
      <c r="D4016" s="56"/>
    </row>
    <row r="4017">
      <c r="A4017" s="64"/>
      <c r="D4017" s="56"/>
    </row>
    <row r="4018">
      <c r="A4018" s="64"/>
      <c r="D4018" s="56"/>
    </row>
    <row r="4019">
      <c r="A4019" s="64"/>
      <c r="D4019" s="56"/>
    </row>
    <row r="4020">
      <c r="A4020" s="64"/>
      <c r="D4020" s="62"/>
    </row>
    <row r="4021">
      <c r="A4021" s="64"/>
      <c r="D4021" s="56"/>
    </row>
    <row r="4022">
      <c r="A4022" s="64"/>
      <c r="D4022" s="56"/>
    </row>
    <row r="4023">
      <c r="A4023" s="64"/>
      <c r="D4023" s="56"/>
    </row>
    <row r="4024">
      <c r="A4024" s="64"/>
      <c r="D4024" s="56"/>
    </row>
    <row r="4025">
      <c r="A4025" s="64"/>
      <c r="D4025" s="56"/>
    </row>
    <row r="4026">
      <c r="A4026" s="64"/>
      <c r="D4026" s="56"/>
    </row>
    <row r="4027">
      <c r="A4027" s="64"/>
      <c r="D4027" s="56"/>
    </row>
    <row r="4028">
      <c r="A4028" s="64"/>
      <c r="D4028" s="56"/>
    </row>
    <row r="4029">
      <c r="A4029" s="64"/>
      <c r="D4029" s="56"/>
    </row>
    <row r="4030">
      <c r="A4030" s="64"/>
      <c r="D4030" s="56"/>
    </row>
    <row r="4031">
      <c r="A4031" s="64"/>
      <c r="D4031" s="56"/>
    </row>
    <row r="4032">
      <c r="A4032" s="64"/>
      <c r="D4032" s="56"/>
    </row>
    <row r="4033">
      <c r="A4033" s="64"/>
      <c r="D4033" s="56"/>
    </row>
    <row r="4034">
      <c r="A4034" s="64"/>
      <c r="D4034" s="56"/>
    </row>
    <row r="4035">
      <c r="A4035" s="64"/>
      <c r="D4035" s="56"/>
    </row>
    <row r="4036">
      <c r="A4036" s="64"/>
      <c r="D4036" s="56"/>
    </row>
    <row r="4037">
      <c r="A4037" s="64"/>
      <c r="D4037" s="56"/>
    </row>
    <row r="4038">
      <c r="A4038" s="64"/>
      <c r="D4038" s="62"/>
    </row>
    <row r="4039">
      <c r="A4039" s="64"/>
      <c r="D4039" s="56"/>
    </row>
    <row r="4040">
      <c r="A4040" s="64"/>
      <c r="D4040" s="56"/>
    </row>
    <row r="4041">
      <c r="A4041" s="64"/>
      <c r="D4041" s="56"/>
    </row>
    <row r="4042">
      <c r="A4042" s="64"/>
      <c r="D4042" s="56"/>
    </row>
    <row r="4043">
      <c r="A4043" s="64"/>
      <c r="D4043" s="56"/>
    </row>
    <row r="4044">
      <c r="A4044" s="64"/>
      <c r="D4044" s="56"/>
    </row>
    <row r="4045">
      <c r="A4045" s="64"/>
      <c r="D4045" s="56"/>
    </row>
    <row r="4046">
      <c r="A4046" s="64"/>
      <c r="D4046" s="56"/>
    </row>
    <row r="4047">
      <c r="A4047" s="64"/>
      <c r="D4047" s="56"/>
    </row>
    <row r="4048">
      <c r="A4048" s="64"/>
      <c r="D4048" s="56"/>
    </row>
    <row r="4049">
      <c r="A4049" s="64"/>
      <c r="D4049" s="56"/>
    </row>
    <row r="4050">
      <c r="A4050" s="64"/>
      <c r="D4050" s="56"/>
    </row>
    <row r="4051">
      <c r="A4051" s="64"/>
      <c r="D4051" s="56"/>
    </row>
    <row r="4052">
      <c r="A4052" s="64"/>
      <c r="D4052" s="56"/>
    </row>
    <row r="4053">
      <c r="A4053" s="64"/>
      <c r="D4053" s="56"/>
    </row>
    <row r="4054">
      <c r="A4054" s="64"/>
      <c r="D4054" s="56"/>
    </row>
    <row r="4055">
      <c r="A4055" s="64"/>
      <c r="D4055" s="56"/>
    </row>
    <row r="4056">
      <c r="A4056" s="64"/>
      <c r="D4056" s="56"/>
    </row>
    <row r="4057">
      <c r="A4057" s="64"/>
      <c r="D4057" s="56"/>
    </row>
    <row r="4058">
      <c r="A4058" s="64"/>
      <c r="D4058" s="56"/>
    </row>
    <row r="4059">
      <c r="A4059" s="64"/>
      <c r="D4059" s="56"/>
    </row>
    <row r="4060">
      <c r="A4060" s="64"/>
      <c r="D4060" s="56"/>
    </row>
    <row r="4061">
      <c r="A4061" s="64"/>
      <c r="D4061" s="56"/>
    </row>
    <row r="4062">
      <c r="A4062" s="64"/>
      <c r="D4062" s="56"/>
    </row>
    <row r="4063">
      <c r="A4063" s="64"/>
      <c r="D4063" s="56"/>
    </row>
    <row r="4064">
      <c r="A4064" s="64"/>
      <c r="D4064" s="56"/>
    </row>
    <row r="4065">
      <c r="A4065" s="64"/>
      <c r="D4065" s="56"/>
    </row>
    <row r="4066">
      <c r="A4066" s="64"/>
      <c r="D4066" s="56"/>
    </row>
    <row r="4067">
      <c r="A4067" s="64"/>
      <c r="D4067" s="56"/>
    </row>
    <row r="4068">
      <c r="A4068" s="64"/>
      <c r="D4068" s="56"/>
    </row>
    <row r="4069">
      <c r="A4069" s="64"/>
      <c r="D4069" s="56"/>
    </row>
    <row r="4070">
      <c r="A4070" s="64"/>
      <c r="D4070" s="56"/>
    </row>
    <row r="4071">
      <c r="A4071" s="64"/>
      <c r="D4071" s="56"/>
    </row>
    <row r="4072">
      <c r="A4072" s="64"/>
      <c r="D4072" s="56"/>
    </row>
    <row r="4073">
      <c r="A4073" s="64"/>
      <c r="D4073" s="56"/>
    </row>
    <row r="4074">
      <c r="A4074" s="64"/>
      <c r="D4074" s="56"/>
    </row>
    <row r="4075">
      <c r="A4075" s="64"/>
      <c r="D4075" s="56"/>
    </row>
    <row r="4076">
      <c r="A4076" s="64"/>
      <c r="D4076" s="56"/>
    </row>
    <row r="4077">
      <c r="A4077" s="64"/>
      <c r="D4077" s="56"/>
    </row>
    <row r="4078">
      <c r="A4078" s="64"/>
      <c r="D4078" s="56"/>
    </row>
    <row r="4079">
      <c r="A4079" s="64"/>
      <c r="D4079" s="56"/>
    </row>
    <row r="4080">
      <c r="A4080" s="64"/>
      <c r="D4080" s="56"/>
    </row>
    <row r="4081">
      <c r="A4081" s="64"/>
      <c r="D4081" s="56"/>
    </row>
    <row r="4082">
      <c r="A4082" s="64"/>
      <c r="D4082" s="56"/>
    </row>
    <row r="4083">
      <c r="A4083" s="64"/>
      <c r="D4083" s="56"/>
    </row>
    <row r="4084">
      <c r="A4084" s="64"/>
      <c r="D4084" s="56"/>
    </row>
    <row r="4085">
      <c r="A4085" s="64"/>
      <c r="D4085" s="56"/>
    </row>
    <row r="4086">
      <c r="A4086" s="64"/>
      <c r="D4086" s="56"/>
    </row>
    <row r="4087">
      <c r="A4087" s="64"/>
      <c r="D4087" s="56"/>
    </row>
    <row r="4088">
      <c r="A4088" s="64"/>
      <c r="D4088" s="56"/>
    </row>
    <row r="4089">
      <c r="A4089" s="64"/>
      <c r="D4089" s="56"/>
    </row>
    <row r="4090">
      <c r="A4090" s="64"/>
      <c r="D4090" s="56"/>
    </row>
    <row r="4091">
      <c r="A4091" s="64"/>
      <c r="D4091" s="56"/>
    </row>
    <row r="4092">
      <c r="A4092" s="64"/>
      <c r="D4092" s="56"/>
    </row>
    <row r="4093">
      <c r="A4093" s="64"/>
      <c r="D4093" s="56"/>
    </row>
    <row r="4094">
      <c r="A4094" s="64"/>
      <c r="D4094" s="56"/>
    </row>
    <row r="4095">
      <c r="A4095" s="64"/>
      <c r="D4095" s="62"/>
    </row>
    <row r="4096">
      <c r="A4096" s="64"/>
      <c r="D4096" s="56"/>
    </row>
    <row r="4097">
      <c r="A4097" s="64"/>
      <c r="D4097" s="56"/>
    </row>
    <row r="4098">
      <c r="A4098" s="64"/>
      <c r="D4098" s="56"/>
    </row>
    <row r="4099">
      <c r="A4099" s="64"/>
      <c r="D4099" s="56"/>
    </row>
    <row r="4100">
      <c r="A4100" s="64"/>
      <c r="D4100" s="56"/>
    </row>
    <row r="4101">
      <c r="A4101" s="64"/>
      <c r="D4101" s="56"/>
    </row>
    <row r="4102">
      <c r="A4102" s="64"/>
      <c r="D4102" s="56"/>
    </row>
    <row r="4103">
      <c r="A4103" s="64"/>
      <c r="D4103" s="56"/>
    </row>
    <row r="4104">
      <c r="A4104" s="64"/>
      <c r="D4104" s="56"/>
    </row>
    <row r="4105">
      <c r="A4105" s="64"/>
      <c r="D4105" s="56"/>
    </row>
    <row r="4106">
      <c r="A4106" s="64"/>
      <c r="D4106" s="56"/>
    </row>
    <row r="4107">
      <c r="A4107" s="64"/>
      <c r="D4107" s="62"/>
    </row>
    <row r="4108">
      <c r="A4108" s="64"/>
      <c r="D4108" s="56"/>
    </row>
    <row r="4109">
      <c r="A4109" s="64"/>
      <c r="D4109" s="56"/>
    </row>
    <row r="4110">
      <c r="A4110" s="64"/>
      <c r="D4110" s="56"/>
    </row>
    <row r="4111">
      <c r="A4111" s="64"/>
      <c r="D4111" s="56"/>
    </row>
    <row r="4112">
      <c r="A4112" s="64"/>
      <c r="D4112" s="56"/>
    </row>
    <row r="4113">
      <c r="A4113" s="64"/>
      <c r="D4113" s="56"/>
    </row>
    <row r="4114">
      <c r="A4114" s="64"/>
      <c r="D4114" s="56"/>
    </row>
    <row r="4115">
      <c r="A4115" s="64"/>
      <c r="D4115" s="56"/>
    </row>
    <row r="4116">
      <c r="A4116" s="64"/>
      <c r="D4116" s="56"/>
    </row>
    <row r="4117">
      <c r="A4117" s="64"/>
      <c r="D4117" s="56"/>
    </row>
    <row r="4118">
      <c r="A4118" s="64"/>
      <c r="D4118" s="56"/>
    </row>
    <row r="4119">
      <c r="A4119" s="64"/>
      <c r="D4119" s="56"/>
    </row>
    <row r="4120">
      <c r="A4120" s="64"/>
      <c r="D4120" s="62"/>
    </row>
    <row r="4121">
      <c r="A4121" s="64"/>
      <c r="D4121" s="56"/>
    </row>
    <row r="4122">
      <c r="A4122" s="64"/>
      <c r="D4122" s="56"/>
    </row>
    <row r="4123">
      <c r="A4123" s="64"/>
      <c r="D4123" s="56"/>
    </row>
    <row r="4124">
      <c r="A4124" s="64"/>
      <c r="D4124" s="56"/>
    </row>
    <row r="4125">
      <c r="A4125" s="64"/>
      <c r="D4125" s="56"/>
    </row>
    <row r="4126">
      <c r="A4126" s="64"/>
      <c r="D4126" s="56"/>
    </row>
    <row r="4127">
      <c r="A4127" s="64"/>
      <c r="D4127" s="56"/>
    </row>
    <row r="4128">
      <c r="A4128" s="64"/>
      <c r="D4128" s="56"/>
    </row>
    <row r="4129">
      <c r="A4129" s="64"/>
      <c r="D4129" s="56"/>
    </row>
    <row r="4130">
      <c r="A4130" s="64"/>
      <c r="D4130" s="56"/>
    </row>
    <row r="4131">
      <c r="A4131" s="64"/>
      <c r="D4131" s="56"/>
    </row>
    <row r="4132">
      <c r="A4132" s="64"/>
      <c r="D4132" s="56"/>
    </row>
    <row r="4133">
      <c r="A4133" s="64"/>
      <c r="D4133" s="56"/>
    </row>
    <row r="4134">
      <c r="A4134" s="64"/>
      <c r="D4134" s="56"/>
    </row>
    <row r="4135">
      <c r="A4135" s="64"/>
      <c r="D4135" s="56"/>
    </row>
    <row r="4136">
      <c r="A4136" s="64"/>
      <c r="D4136" s="56"/>
    </row>
    <row r="4137">
      <c r="A4137" s="64"/>
      <c r="D4137" s="56"/>
    </row>
    <row r="4138">
      <c r="A4138" s="64"/>
      <c r="D4138" s="56"/>
    </row>
    <row r="4139">
      <c r="A4139" s="64"/>
      <c r="D4139" s="56"/>
    </row>
    <row r="4140">
      <c r="A4140" s="64"/>
      <c r="D4140" s="56"/>
    </row>
    <row r="4141">
      <c r="A4141" s="64"/>
      <c r="D4141" s="56"/>
    </row>
    <row r="4142">
      <c r="A4142" s="64"/>
      <c r="D4142" s="56"/>
    </row>
    <row r="4143">
      <c r="A4143" s="64"/>
      <c r="D4143" s="56"/>
    </row>
    <row r="4144">
      <c r="A4144" s="64"/>
      <c r="D4144" s="56"/>
    </row>
    <row r="4145">
      <c r="A4145" s="64"/>
      <c r="D4145" s="56"/>
    </row>
    <row r="4146">
      <c r="A4146" s="64"/>
      <c r="D4146" s="56"/>
    </row>
    <row r="4147">
      <c r="A4147" s="64"/>
      <c r="D4147" s="56"/>
    </row>
    <row r="4148">
      <c r="A4148" s="64"/>
      <c r="D4148" s="56"/>
    </row>
    <row r="4149">
      <c r="A4149" s="64"/>
      <c r="D4149" s="62"/>
    </row>
    <row r="4150">
      <c r="A4150" s="64"/>
      <c r="D4150" s="56"/>
    </row>
    <row r="4151">
      <c r="A4151" s="64"/>
      <c r="D4151" s="56"/>
    </row>
    <row r="4152">
      <c r="A4152" s="64"/>
      <c r="D4152" s="56"/>
    </row>
    <row r="4153">
      <c r="A4153" s="64"/>
      <c r="D4153" s="56"/>
    </row>
    <row r="4154">
      <c r="A4154" s="64"/>
      <c r="D4154" s="56"/>
    </row>
    <row r="4155">
      <c r="A4155" s="64"/>
      <c r="D4155" s="56"/>
    </row>
    <row r="4156">
      <c r="A4156" s="64"/>
      <c r="D4156" s="56"/>
    </row>
    <row r="4157">
      <c r="A4157" s="64"/>
      <c r="D4157" s="56"/>
    </row>
    <row r="4158">
      <c r="A4158" s="64"/>
      <c r="D4158" s="56"/>
    </row>
    <row r="4159">
      <c r="A4159" s="64"/>
      <c r="D4159" s="56"/>
    </row>
    <row r="4160">
      <c r="A4160" s="64"/>
      <c r="D4160" s="56"/>
    </row>
    <row r="4161">
      <c r="A4161" s="64"/>
      <c r="D4161" s="56"/>
    </row>
    <row r="4162">
      <c r="A4162" s="64"/>
      <c r="D4162" s="56"/>
    </row>
    <row r="4163">
      <c r="A4163" s="64"/>
      <c r="D4163" s="56"/>
    </row>
    <row r="4164">
      <c r="A4164" s="64"/>
      <c r="D4164" s="56"/>
    </row>
    <row r="4165">
      <c r="A4165" s="64"/>
      <c r="D4165" s="56"/>
    </row>
    <row r="4166">
      <c r="A4166" s="64"/>
      <c r="D4166" s="56"/>
    </row>
    <row r="4167">
      <c r="A4167" s="64"/>
      <c r="D4167" s="56"/>
    </row>
    <row r="4168">
      <c r="A4168" s="64"/>
      <c r="D4168" s="56"/>
    </row>
    <row r="4169">
      <c r="A4169" s="64"/>
      <c r="D4169" s="56"/>
    </row>
    <row r="4170">
      <c r="A4170" s="64"/>
      <c r="D4170" s="62"/>
    </row>
    <row r="4171">
      <c r="A4171" s="64"/>
      <c r="D4171" s="56"/>
    </row>
    <row r="4172">
      <c r="A4172" s="64"/>
      <c r="D4172" s="56"/>
    </row>
    <row r="4173">
      <c r="A4173" s="64"/>
      <c r="D4173" s="56"/>
    </row>
    <row r="4174">
      <c r="A4174" s="64"/>
      <c r="D4174" s="56"/>
    </row>
    <row r="4175">
      <c r="A4175" s="64"/>
      <c r="D4175" s="56"/>
    </row>
    <row r="4176">
      <c r="A4176" s="64"/>
      <c r="D4176" s="56"/>
    </row>
    <row r="4177">
      <c r="A4177" s="64"/>
      <c r="D4177" s="56"/>
    </row>
    <row r="4178">
      <c r="A4178" s="64"/>
      <c r="D4178" s="56"/>
    </row>
    <row r="4179">
      <c r="A4179" s="64"/>
      <c r="D4179" s="56"/>
    </row>
    <row r="4180">
      <c r="A4180" s="64"/>
      <c r="D4180" s="56"/>
    </row>
    <row r="4181">
      <c r="A4181" s="64"/>
      <c r="D4181" s="56"/>
    </row>
    <row r="4182">
      <c r="A4182" s="64"/>
      <c r="D4182" s="56"/>
    </row>
    <row r="4183">
      <c r="A4183" s="64"/>
      <c r="D4183" s="56"/>
    </row>
    <row r="4184">
      <c r="A4184" s="64"/>
      <c r="D4184" s="56"/>
    </row>
    <row r="4185">
      <c r="A4185" s="64"/>
      <c r="D4185" s="56"/>
    </row>
    <row r="4186">
      <c r="A4186" s="64"/>
      <c r="D4186" s="56"/>
    </row>
    <row r="4187">
      <c r="A4187" s="64"/>
      <c r="D4187" s="56"/>
    </row>
    <row r="4188">
      <c r="A4188" s="64"/>
      <c r="D4188" s="56"/>
    </row>
    <row r="4189">
      <c r="A4189" s="64"/>
      <c r="D4189" s="56"/>
    </row>
    <row r="4190">
      <c r="A4190" s="64"/>
      <c r="D4190" s="56"/>
    </row>
    <row r="4191">
      <c r="A4191" s="64"/>
      <c r="D4191" s="56"/>
    </row>
    <row r="4192">
      <c r="A4192" s="64"/>
      <c r="D4192" s="56"/>
    </row>
    <row r="4193">
      <c r="A4193" s="64"/>
      <c r="D4193" s="56"/>
    </row>
    <row r="4194">
      <c r="A4194" s="64"/>
      <c r="D4194" s="56"/>
    </row>
    <row r="4195">
      <c r="A4195" s="64"/>
      <c r="D4195" s="56"/>
    </row>
    <row r="4196">
      <c r="A4196" s="64"/>
      <c r="D4196" s="56"/>
    </row>
    <row r="4197">
      <c r="A4197" s="64"/>
      <c r="D4197" s="56"/>
    </row>
    <row r="4198">
      <c r="A4198" s="64"/>
      <c r="D4198" s="56"/>
    </row>
    <row r="4199">
      <c r="A4199" s="64"/>
      <c r="D4199" s="56"/>
    </row>
    <row r="4200">
      <c r="A4200" s="64"/>
      <c r="D4200" s="56"/>
    </row>
    <row r="4201">
      <c r="A4201" s="64"/>
      <c r="D4201" s="56"/>
    </row>
    <row r="4202">
      <c r="A4202" s="64"/>
      <c r="D4202" s="56"/>
    </row>
    <row r="4203">
      <c r="A4203" s="64"/>
      <c r="D4203" s="56"/>
    </row>
    <row r="4204">
      <c r="A4204" s="64"/>
      <c r="D4204" s="56"/>
    </row>
    <row r="4205">
      <c r="A4205" s="64"/>
      <c r="D4205" s="56"/>
    </row>
    <row r="4206">
      <c r="A4206" s="64"/>
      <c r="D4206" s="56"/>
    </row>
    <row r="4207">
      <c r="A4207" s="64"/>
      <c r="D4207" s="56"/>
    </row>
    <row r="4208">
      <c r="A4208" s="64"/>
      <c r="D4208" s="56"/>
    </row>
    <row r="4209">
      <c r="A4209" s="64"/>
      <c r="D4209" s="56"/>
    </row>
    <row r="4210">
      <c r="A4210" s="64"/>
      <c r="D4210" s="56"/>
    </row>
    <row r="4211">
      <c r="A4211" s="64"/>
      <c r="D4211" s="56"/>
    </row>
    <row r="4212">
      <c r="A4212" s="64"/>
      <c r="D4212" s="56"/>
    </row>
    <row r="4213">
      <c r="A4213" s="64"/>
      <c r="D4213" s="56"/>
    </row>
    <row r="4214">
      <c r="A4214" s="64"/>
      <c r="D4214" s="56"/>
    </row>
    <row r="4215">
      <c r="A4215" s="64"/>
      <c r="D4215" s="56"/>
    </row>
    <row r="4216">
      <c r="A4216" s="64"/>
      <c r="D4216" s="56"/>
    </row>
    <row r="4217">
      <c r="A4217" s="64"/>
      <c r="D4217" s="56"/>
    </row>
    <row r="4218">
      <c r="A4218" s="64"/>
      <c r="D4218" s="56"/>
    </row>
    <row r="4219">
      <c r="A4219" s="64"/>
      <c r="D4219" s="56"/>
    </row>
    <row r="4220">
      <c r="A4220" s="64"/>
      <c r="D4220" s="56"/>
    </row>
    <row r="4221">
      <c r="A4221" s="64"/>
      <c r="D4221" s="56"/>
    </row>
    <row r="4222">
      <c r="A4222" s="64"/>
      <c r="D4222" s="56"/>
    </row>
    <row r="4223">
      <c r="A4223" s="64"/>
      <c r="D4223" s="62"/>
    </row>
    <row r="4224">
      <c r="A4224" s="64"/>
      <c r="D4224" s="56"/>
    </row>
    <row r="4225">
      <c r="A4225" s="64"/>
      <c r="D4225" s="56"/>
    </row>
    <row r="4226">
      <c r="A4226" s="64"/>
      <c r="D4226" s="56"/>
    </row>
    <row r="4227">
      <c r="A4227" s="64"/>
      <c r="D4227" s="56"/>
    </row>
    <row r="4228">
      <c r="A4228" s="64"/>
      <c r="D4228" s="56"/>
    </row>
    <row r="4229">
      <c r="A4229" s="64"/>
      <c r="D4229" s="56"/>
    </row>
    <row r="4230">
      <c r="A4230" s="64"/>
      <c r="D4230" s="56"/>
    </row>
    <row r="4231">
      <c r="A4231" s="64"/>
      <c r="D4231" s="56"/>
    </row>
    <row r="4232">
      <c r="A4232" s="64"/>
      <c r="D4232" s="56"/>
    </row>
    <row r="4233">
      <c r="A4233" s="64"/>
      <c r="D4233" s="56"/>
    </row>
    <row r="4234">
      <c r="A4234" s="64"/>
      <c r="D4234" s="56"/>
    </row>
    <row r="4235">
      <c r="A4235" s="64"/>
      <c r="D4235" s="56"/>
    </row>
    <row r="4236">
      <c r="A4236" s="64"/>
      <c r="D4236" s="56"/>
    </row>
    <row r="4237">
      <c r="A4237" s="64"/>
      <c r="D4237" s="56"/>
    </row>
    <row r="4238">
      <c r="A4238" s="64"/>
      <c r="D4238" s="56"/>
    </row>
    <row r="4239">
      <c r="A4239" s="64"/>
      <c r="D4239" s="56"/>
    </row>
    <row r="4240">
      <c r="A4240" s="64"/>
      <c r="D4240" s="56"/>
    </row>
    <row r="4241">
      <c r="A4241" s="64"/>
      <c r="D4241" s="56"/>
    </row>
    <row r="4242">
      <c r="A4242" s="64"/>
      <c r="D4242" s="56"/>
    </row>
    <row r="4243">
      <c r="A4243" s="64"/>
      <c r="D4243" s="56"/>
    </row>
    <row r="4244">
      <c r="A4244" s="64"/>
      <c r="D4244" s="56"/>
    </row>
    <row r="4245">
      <c r="A4245" s="64"/>
      <c r="D4245" s="56"/>
    </row>
    <row r="4246">
      <c r="A4246" s="64"/>
      <c r="D4246" s="56"/>
    </row>
    <row r="4247">
      <c r="A4247" s="64"/>
      <c r="D4247" s="56"/>
    </row>
    <row r="4248">
      <c r="A4248" s="64"/>
      <c r="D4248" s="56"/>
    </row>
    <row r="4249">
      <c r="A4249" s="64"/>
      <c r="D4249" s="56"/>
    </row>
    <row r="4250">
      <c r="A4250" s="64"/>
      <c r="D4250" s="56"/>
    </row>
    <row r="4251">
      <c r="A4251" s="64"/>
      <c r="D4251" s="56"/>
    </row>
    <row r="4252">
      <c r="A4252" s="64"/>
      <c r="D4252" s="56"/>
    </row>
    <row r="4253">
      <c r="A4253" s="64"/>
      <c r="D4253" s="56"/>
    </row>
    <row r="4254">
      <c r="A4254" s="64"/>
      <c r="D4254" s="56"/>
    </row>
    <row r="4255">
      <c r="A4255" s="64"/>
      <c r="D4255" s="56"/>
    </row>
    <row r="4256">
      <c r="A4256" s="64"/>
      <c r="D4256" s="56"/>
    </row>
    <row r="4257">
      <c r="A4257" s="64"/>
      <c r="D4257" s="56"/>
    </row>
    <row r="4258">
      <c r="A4258" s="64"/>
      <c r="D4258" s="56"/>
    </row>
    <row r="4259">
      <c r="A4259" s="64"/>
      <c r="D4259" s="56"/>
    </row>
    <row r="4260">
      <c r="A4260" s="64"/>
      <c r="D4260" s="56"/>
    </row>
    <row r="4261">
      <c r="A4261" s="64"/>
      <c r="D4261" s="56"/>
    </row>
    <row r="4262">
      <c r="A4262" s="64"/>
      <c r="D4262" s="56"/>
    </row>
    <row r="4263">
      <c r="A4263" s="64"/>
      <c r="D4263" s="56"/>
    </row>
    <row r="4264">
      <c r="A4264" s="64"/>
      <c r="D4264" s="56"/>
    </row>
    <row r="4265">
      <c r="A4265" s="64"/>
      <c r="D4265" s="56"/>
    </row>
    <row r="4266">
      <c r="A4266" s="64"/>
      <c r="D4266" s="56"/>
    </row>
    <row r="4267">
      <c r="A4267" s="64"/>
      <c r="D4267" s="56"/>
    </row>
    <row r="4268">
      <c r="A4268" s="64"/>
      <c r="D4268" s="56"/>
    </row>
    <row r="4269">
      <c r="A4269" s="64"/>
      <c r="D4269" s="56"/>
    </row>
    <row r="4270">
      <c r="A4270" s="64"/>
      <c r="D4270" s="56"/>
    </row>
    <row r="4271">
      <c r="A4271" s="64"/>
      <c r="D4271" s="56"/>
    </row>
    <row r="4272">
      <c r="A4272" s="64"/>
      <c r="D4272" s="56"/>
    </row>
    <row r="4273">
      <c r="A4273" s="64"/>
      <c r="D4273" s="56"/>
    </row>
    <row r="4274">
      <c r="A4274" s="64"/>
      <c r="D4274" s="62"/>
    </row>
    <row r="4275">
      <c r="A4275" s="64"/>
      <c r="D4275" s="62"/>
    </row>
    <row r="4276">
      <c r="A4276" s="64"/>
      <c r="D4276" s="62"/>
    </row>
    <row r="4277">
      <c r="A4277" s="64"/>
      <c r="D4277" s="62"/>
    </row>
    <row r="4278">
      <c r="A4278" s="64"/>
      <c r="D4278" s="56"/>
    </row>
    <row r="4279">
      <c r="A4279" s="64"/>
      <c r="D4279" s="56"/>
    </row>
    <row r="4280">
      <c r="A4280" s="64"/>
      <c r="D4280" s="56"/>
    </row>
    <row r="4281">
      <c r="A4281" s="64"/>
      <c r="D4281" s="56"/>
    </row>
    <row r="4282">
      <c r="A4282" s="64"/>
      <c r="D4282" s="56"/>
    </row>
    <row r="4283">
      <c r="A4283" s="64"/>
      <c r="D4283" s="56"/>
    </row>
    <row r="4284">
      <c r="A4284" s="64"/>
      <c r="D4284" s="56"/>
    </row>
    <row r="4285">
      <c r="A4285" s="64"/>
      <c r="D4285" s="56"/>
    </row>
    <row r="4286">
      <c r="A4286" s="64"/>
      <c r="D4286" s="56"/>
    </row>
    <row r="4287">
      <c r="A4287" s="64"/>
      <c r="D4287" s="56"/>
    </row>
    <row r="4288">
      <c r="A4288" s="64"/>
      <c r="D4288" s="56"/>
    </row>
    <row r="4289">
      <c r="A4289" s="64"/>
      <c r="D4289" s="56"/>
    </row>
    <row r="4290">
      <c r="A4290" s="64"/>
      <c r="D4290" s="56"/>
    </row>
    <row r="4291">
      <c r="A4291" s="64"/>
      <c r="D4291" s="56"/>
    </row>
    <row r="4292">
      <c r="A4292" s="64"/>
      <c r="D4292" s="56"/>
    </row>
    <row r="4293">
      <c r="A4293" s="64"/>
      <c r="D4293" s="56"/>
    </row>
    <row r="4294">
      <c r="A4294" s="64"/>
      <c r="D4294" s="56"/>
    </row>
    <row r="4295">
      <c r="A4295" s="64"/>
      <c r="D4295" s="56"/>
    </row>
    <row r="4296">
      <c r="A4296" s="64"/>
      <c r="D4296" s="56"/>
    </row>
    <row r="4297">
      <c r="A4297" s="64"/>
      <c r="D4297" s="56"/>
    </row>
    <row r="4298">
      <c r="A4298" s="64"/>
      <c r="D4298" s="56"/>
    </row>
    <row r="4299">
      <c r="A4299" s="64"/>
      <c r="D4299" s="56"/>
    </row>
    <row r="4300">
      <c r="A4300" s="64"/>
      <c r="D4300" s="56"/>
    </row>
    <row r="4301">
      <c r="A4301" s="64"/>
      <c r="D4301" s="56"/>
    </row>
    <row r="4302">
      <c r="A4302" s="64"/>
      <c r="D4302" s="56"/>
    </row>
    <row r="4303">
      <c r="A4303" s="64"/>
      <c r="D4303" s="56"/>
    </row>
    <row r="4304">
      <c r="A4304" s="64"/>
      <c r="D4304" s="56"/>
    </row>
    <row r="4305">
      <c r="A4305" s="64"/>
      <c r="D4305" s="56"/>
    </row>
    <row r="4306">
      <c r="A4306" s="64"/>
      <c r="D4306" s="56"/>
    </row>
    <row r="4307">
      <c r="A4307" s="64"/>
      <c r="D4307" s="56"/>
    </row>
    <row r="4308">
      <c r="A4308" s="64"/>
      <c r="D4308" s="56"/>
    </row>
    <row r="4309">
      <c r="A4309" s="64"/>
      <c r="D4309" s="56"/>
    </row>
    <row r="4310">
      <c r="A4310" s="64"/>
      <c r="D4310" s="56"/>
    </row>
    <row r="4311">
      <c r="A4311" s="64"/>
      <c r="D4311" s="56"/>
    </row>
    <row r="4312">
      <c r="A4312" s="64"/>
      <c r="D4312" s="56"/>
    </row>
    <row r="4313">
      <c r="A4313" s="64"/>
      <c r="D4313" s="56"/>
    </row>
    <row r="4314">
      <c r="A4314" s="64"/>
      <c r="D4314" s="56"/>
    </row>
    <row r="4315">
      <c r="A4315" s="64"/>
      <c r="D4315" s="56"/>
    </row>
    <row r="4316">
      <c r="A4316" s="64"/>
      <c r="D4316" s="56"/>
    </row>
    <row r="4317">
      <c r="A4317" s="64"/>
      <c r="D4317" s="56"/>
    </row>
    <row r="4318">
      <c r="A4318" s="64"/>
      <c r="D4318" s="56"/>
    </row>
    <row r="4319">
      <c r="A4319" s="64"/>
      <c r="D4319" s="56"/>
    </row>
    <row r="4320">
      <c r="A4320" s="64"/>
      <c r="D4320" s="56"/>
    </row>
    <row r="4321">
      <c r="A4321" s="64"/>
      <c r="D4321" s="56"/>
    </row>
    <row r="4322">
      <c r="A4322" s="64"/>
      <c r="D4322" s="56"/>
    </row>
    <row r="4323">
      <c r="A4323" s="64"/>
      <c r="D4323" s="56"/>
    </row>
    <row r="4324">
      <c r="A4324" s="64"/>
      <c r="D4324" s="56"/>
    </row>
    <row r="4325">
      <c r="A4325" s="64"/>
      <c r="D4325" s="56"/>
    </row>
    <row r="4326">
      <c r="A4326" s="64"/>
      <c r="D4326" s="56"/>
    </row>
    <row r="4327">
      <c r="A4327" s="64"/>
      <c r="D4327" s="56"/>
    </row>
    <row r="4328">
      <c r="A4328" s="64"/>
      <c r="D4328" s="56"/>
    </row>
    <row r="4329">
      <c r="A4329" s="64"/>
      <c r="D4329" s="56"/>
    </row>
    <row r="4330">
      <c r="A4330" s="64"/>
      <c r="D4330" s="56"/>
    </row>
    <row r="4331">
      <c r="A4331" s="64"/>
      <c r="D4331" s="56"/>
    </row>
    <row r="4332">
      <c r="A4332" s="64"/>
      <c r="D4332" s="56"/>
    </row>
    <row r="4333">
      <c r="A4333" s="64"/>
      <c r="D4333" s="56"/>
    </row>
    <row r="4334">
      <c r="A4334" s="64"/>
      <c r="D4334" s="56"/>
    </row>
    <row r="4335">
      <c r="A4335" s="64"/>
      <c r="D4335" s="56"/>
    </row>
    <row r="4336">
      <c r="A4336" s="64"/>
      <c r="D4336" s="56"/>
    </row>
    <row r="4337">
      <c r="A4337" s="64"/>
      <c r="D4337" s="56"/>
    </row>
    <row r="4338">
      <c r="A4338" s="64"/>
      <c r="D4338" s="56"/>
    </row>
    <row r="4339">
      <c r="A4339" s="64"/>
      <c r="D4339" s="56"/>
    </row>
    <row r="4340">
      <c r="A4340" s="64"/>
      <c r="D4340" s="56"/>
    </row>
    <row r="4341">
      <c r="A4341" s="64"/>
      <c r="D4341" s="56"/>
    </row>
    <row r="4342">
      <c r="A4342" s="64"/>
      <c r="D4342" s="56"/>
    </row>
    <row r="4343">
      <c r="A4343" s="64"/>
      <c r="D4343" s="56"/>
    </row>
    <row r="4344">
      <c r="A4344" s="64"/>
      <c r="D4344" s="56"/>
    </row>
    <row r="4345">
      <c r="A4345" s="64"/>
      <c r="D4345" s="56"/>
    </row>
    <row r="4346">
      <c r="A4346" s="64"/>
      <c r="D4346" s="56"/>
    </row>
    <row r="4347">
      <c r="A4347" s="64"/>
      <c r="D4347" s="56"/>
    </row>
    <row r="4348">
      <c r="A4348" s="64"/>
      <c r="D4348" s="56"/>
    </row>
    <row r="4349">
      <c r="A4349" s="64"/>
      <c r="D4349" s="56"/>
    </row>
    <row r="4350">
      <c r="A4350" s="64"/>
      <c r="D4350" s="56"/>
    </row>
    <row r="4351">
      <c r="A4351" s="64"/>
      <c r="D4351" s="56"/>
    </row>
    <row r="4352">
      <c r="A4352" s="64"/>
      <c r="D4352" s="56"/>
    </row>
    <row r="4353">
      <c r="A4353" s="64"/>
      <c r="D4353" s="56"/>
    </row>
    <row r="4354">
      <c r="A4354" s="64"/>
      <c r="D4354" s="56"/>
    </row>
    <row r="4355">
      <c r="A4355" s="64"/>
      <c r="D4355" s="56"/>
    </row>
    <row r="4356">
      <c r="A4356" s="64"/>
      <c r="D4356" s="56"/>
    </row>
    <row r="4357">
      <c r="A4357" s="64"/>
      <c r="D4357" s="56"/>
    </row>
    <row r="4358">
      <c r="A4358" s="64"/>
      <c r="D4358" s="56"/>
    </row>
    <row r="4359">
      <c r="A4359" s="64"/>
      <c r="D4359" s="56"/>
    </row>
    <row r="4360">
      <c r="A4360" s="64"/>
      <c r="D4360" s="56"/>
    </row>
    <row r="4361">
      <c r="A4361" s="64"/>
      <c r="D4361" s="56"/>
    </row>
    <row r="4362">
      <c r="A4362" s="64"/>
      <c r="D4362" s="56"/>
    </row>
    <row r="4363">
      <c r="A4363" s="64"/>
      <c r="D4363" s="56"/>
    </row>
    <row r="4364">
      <c r="A4364" s="64"/>
      <c r="D4364" s="56"/>
    </row>
    <row r="4365">
      <c r="A4365" s="64"/>
      <c r="D4365" s="56"/>
    </row>
    <row r="4366">
      <c r="A4366" s="64"/>
      <c r="D4366" s="56"/>
    </row>
    <row r="4367">
      <c r="A4367" s="64"/>
      <c r="D4367" s="56"/>
    </row>
    <row r="4368">
      <c r="A4368" s="64"/>
      <c r="D4368" s="56"/>
    </row>
    <row r="4369">
      <c r="A4369" s="64"/>
      <c r="D4369" s="56"/>
    </row>
    <row r="4370">
      <c r="A4370" s="64"/>
      <c r="D4370" s="56"/>
    </row>
    <row r="4371">
      <c r="A4371" s="64"/>
      <c r="D4371" s="56"/>
    </row>
    <row r="4372">
      <c r="A4372" s="64"/>
      <c r="D4372" s="56"/>
    </row>
    <row r="4373">
      <c r="A4373" s="64"/>
      <c r="D4373" s="56"/>
    </row>
    <row r="4374">
      <c r="A4374" s="64"/>
      <c r="D4374" s="56"/>
    </row>
    <row r="4375">
      <c r="A4375" s="64"/>
      <c r="D4375" s="56"/>
    </row>
    <row r="4376">
      <c r="A4376" s="64"/>
      <c r="D4376" s="56"/>
    </row>
    <row r="4377">
      <c r="A4377" s="64"/>
      <c r="D4377" s="56"/>
    </row>
    <row r="4378">
      <c r="A4378" s="64"/>
      <c r="D4378" s="62"/>
    </row>
    <row r="4379">
      <c r="A4379" s="64"/>
      <c r="D4379" s="56"/>
    </row>
    <row r="4380">
      <c r="A4380" s="64"/>
      <c r="D4380" s="56"/>
    </row>
    <row r="4381">
      <c r="A4381" s="64"/>
      <c r="D4381" s="56"/>
    </row>
    <row r="4382">
      <c r="A4382" s="64"/>
      <c r="D4382" s="56"/>
    </row>
    <row r="4383">
      <c r="A4383" s="64"/>
      <c r="D4383" s="56"/>
    </row>
    <row r="4384">
      <c r="A4384" s="64"/>
      <c r="D4384" s="56"/>
    </row>
    <row r="4385">
      <c r="A4385" s="64"/>
      <c r="D4385" s="56"/>
    </row>
    <row r="4386">
      <c r="A4386" s="64"/>
      <c r="D4386" s="56"/>
    </row>
    <row r="4387">
      <c r="A4387" s="64"/>
      <c r="D4387" s="56"/>
    </row>
    <row r="4388">
      <c r="A4388" s="64"/>
      <c r="D4388" s="56"/>
    </row>
    <row r="4389">
      <c r="A4389" s="64"/>
      <c r="D4389" s="56"/>
    </row>
    <row r="4390">
      <c r="A4390" s="64"/>
      <c r="D4390" s="56"/>
    </row>
    <row r="4391">
      <c r="A4391" s="64"/>
      <c r="D4391" s="56"/>
    </row>
    <row r="4392">
      <c r="A4392" s="64"/>
      <c r="D4392" s="56"/>
    </row>
    <row r="4393">
      <c r="A4393" s="64"/>
      <c r="D4393" s="56"/>
    </row>
    <row r="4394">
      <c r="A4394" s="64"/>
      <c r="D4394" s="56"/>
    </row>
    <row r="4395">
      <c r="A4395" s="64"/>
      <c r="D4395" s="56"/>
    </row>
    <row r="4396">
      <c r="A4396" s="64"/>
      <c r="D4396" s="56"/>
    </row>
    <row r="4397">
      <c r="A4397" s="64"/>
      <c r="D4397" s="62"/>
    </row>
    <row r="4398">
      <c r="A4398" s="64"/>
      <c r="D4398" s="56"/>
    </row>
    <row r="4399">
      <c r="A4399" s="64"/>
      <c r="D4399" s="56"/>
    </row>
    <row r="4400">
      <c r="A4400" s="64"/>
      <c r="D4400" s="56"/>
    </row>
    <row r="4401">
      <c r="A4401" s="64"/>
      <c r="D4401" s="56"/>
    </row>
    <row r="4402">
      <c r="A4402" s="64"/>
      <c r="D4402" s="56"/>
    </row>
    <row r="4403">
      <c r="A4403" s="64"/>
      <c r="D4403" s="56"/>
    </row>
    <row r="4404">
      <c r="A4404" s="64"/>
      <c r="D4404" s="56"/>
    </row>
    <row r="4405">
      <c r="A4405" s="64"/>
      <c r="D4405" s="56"/>
    </row>
    <row r="4406">
      <c r="A4406" s="64"/>
      <c r="D4406" s="56"/>
    </row>
    <row r="4407">
      <c r="A4407" s="64"/>
      <c r="D4407" s="56"/>
    </row>
    <row r="4408">
      <c r="A4408" s="64"/>
      <c r="D4408" s="56"/>
    </row>
    <row r="4409">
      <c r="A4409" s="64"/>
      <c r="D4409" s="56"/>
    </row>
    <row r="4410">
      <c r="A4410" s="64"/>
      <c r="D4410" s="56"/>
    </row>
    <row r="4411">
      <c r="A4411" s="64"/>
      <c r="D4411" s="56"/>
    </row>
    <row r="4412">
      <c r="A4412" s="64"/>
      <c r="D4412" s="56"/>
    </row>
    <row r="4413">
      <c r="A4413" s="64"/>
      <c r="D4413" s="56"/>
    </row>
    <row r="4414">
      <c r="A4414" s="64"/>
      <c r="D4414" s="56"/>
    </row>
    <row r="4415">
      <c r="A4415" s="64"/>
      <c r="D4415" s="56"/>
    </row>
    <row r="4416">
      <c r="A4416" s="64"/>
      <c r="D4416" s="56"/>
    </row>
    <row r="4417">
      <c r="A4417" s="64"/>
      <c r="D4417" s="56"/>
    </row>
    <row r="4418">
      <c r="A4418" s="64"/>
      <c r="D4418" s="56"/>
    </row>
    <row r="4419">
      <c r="A4419" s="64"/>
      <c r="D4419" s="56"/>
    </row>
    <row r="4420">
      <c r="A4420" s="64"/>
      <c r="D4420" s="56"/>
    </row>
    <row r="4421">
      <c r="A4421" s="64"/>
      <c r="D4421" s="56"/>
    </row>
    <row r="4422">
      <c r="A4422" s="64"/>
      <c r="D4422" s="56"/>
    </row>
    <row r="4423">
      <c r="A4423" s="64"/>
      <c r="D4423" s="56"/>
    </row>
    <row r="4424">
      <c r="A4424" s="64"/>
      <c r="D4424" s="56"/>
    </row>
    <row r="4425">
      <c r="A4425" s="64"/>
      <c r="D4425" s="56"/>
    </row>
    <row r="4426">
      <c r="A4426" s="64"/>
      <c r="D4426" s="56"/>
    </row>
    <row r="4427">
      <c r="A4427" s="64"/>
      <c r="D4427" s="56"/>
    </row>
    <row r="4428">
      <c r="A4428" s="64"/>
      <c r="D4428" s="56"/>
    </row>
    <row r="4429">
      <c r="A4429" s="64"/>
      <c r="D4429" s="56"/>
    </row>
    <row r="4430">
      <c r="A4430" s="64"/>
      <c r="D4430" s="56"/>
    </row>
    <row r="4431">
      <c r="A4431" s="64"/>
      <c r="D4431" s="56"/>
    </row>
    <row r="4432">
      <c r="A4432" s="64"/>
      <c r="D4432" s="56"/>
    </row>
    <row r="4433">
      <c r="A4433" s="64"/>
      <c r="D4433" s="56"/>
    </row>
    <row r="4434">
      <c r="A4434" s="64"/>
      <c r="D4434" s="56"/>
    </row>
    <row r="4435">
      <c r="A4435" s="64"/>
      <c r="D4435" s="56"/>
    </row>
    <row r="4436">
      <c r="A4436" s="64"/>
      <c r="D4436" s="56"/>
    </row>
    <row r="4437">
      <c r="A4437" s="64"/>
      <c r="D4437" s="56"/>
    </row>
    <row r="4438">
      <c r="A4438" s="64"/>
      <c r="D4438" s="56"/>
    </row>
    <row r="4439">
      <c r="A4439" s="64"/>
      <c r="D4439" s="56"/>
    </row>
    <row r="4440">
      <c r="A4440" s="64"/>
      <c r="D4440" s="56"/>
    </row>
    <row r="4441">
      <c r="A4441" s="64"/>
      <c r="D4441" s="56"/>
    </row>
    <row r="4442">
      <c r="A4442" s="64"/>
      <c r="D4442" s="56"/>
    </row>
    <row r="4443">
      <c r="A4443" s="64"/>
      <c r="D4443" s="56"/>
    </row>
    <row r="4444">
      <c r="A4444" s="64"/>
      <c r="D4444" s="56"/>
    </row>
    <row r="4445">
      <c r="A4445" s="64"/>
      <c r="D4445" s="56"/>
    </row>
    <row r="4446">
      <c r="A4446" s="64"/>
      <c r="D4446" s="56"/>
    </row>
    <row r="4447">
      <c r="A4447" s="64"/>
      <c r="D4447" s="56"/>
    </row>
    <row r="4448">
      <c r="A4448" s="64"/>
      <c r="D4448" s="56"/>
    </row>
    <row r="4449">
      <c r="A4449" s="64"/>
      <c r="D4449" s="56"/>
    </row>
    <row r="4450">
      <c r="A4450" s="64"/>
      <c r="D4450" s="56"/>
    </row>
    <row r="4451">
      <c r="A4451" s="64"/>
      <c r="D4451" s="56"/>
    </row>
    <row r="4452">
      <c r="A4452" s="64"/>
      <c r="D4452" s="56"/>
    </row>
    <row r="4453">
      <c r="A4453" s="64"/>
      <c r="D4453" s="56"/>
    </row>
    <row r="4454">
      <c r="A4454" s="64"/>
      <c r="D4454" s="56"/>
    </row>
    <row r="4455">
      <c r="A4455" s="64"/>
      <c r="D4455" s="56"/>
    </row>
    <row r="4456">
      <c r="A4456" s="64"/>
      <c r="D4456" s="56"/>
    </row>
    <row r="4457">
      <c r="A4457" s="64"/>
      <c r="D4457" s="56"/>
    </row>
    <row r="4458">
      <c r="A4458" s="66"/>
      <c r="D4458" s="62"/>
    </row>
    <row r="4459">
      <c r="A4459" s="66"/>
      <c r="D4459" s="56"/>
    </row>
    <row r="4460">
      <c r="A4460" s="66"/>
      <c r="D4460" s="56"/>
    </row>
    <row r="4461">
      <c r="A4461" s="66"/>
      <c r="D4461" s="56"/>
    </row>
    <row r="4462">
      <c r="A4462" s="66"/>
      <c r="D4462" s="56"/>
    </row>
    <row r="4463">
      <c r="A4463" s="66"/>
      <c r="D4463" s="56"/>
    </row>
    <row r="4464">
      <c r="A4464" s="66"/>
      <c r="D4464" s="56"/>
    </row>
    <row r="4465">
      <c r="A4465" s="66"/>
      <c r="D4465" s="56"/>
    </row>
    <row r="4466">
      <c r="A4466" s="66"/>
      <c r="D4466" s="56"/>
    </row>
    <row r="4467">
      <c r="A4467" s="66"/>
      <c r="D4467" s="56"/>
    </row>
    <row r="4468">
      <c r="A4468" s="66"/>
      <c r="D4468" s="56"/>
    </row>
    <row r="4469">
      <c r="A4469" s="66"/>
      <c r="D4469" s="56"/>
    </row>
    <row r="4470">
      <c r="A4470" s="66"/>
      <c r="D4470" s="56"/>
    </row>
    <row r="4471">
      <c r="A4471" s="66"/>
      <c r="D4471" s="56"/>
    </row>
    <row r="4472">
      <c r="A4472" s="66"/>
      <c r="D4472" s="56"/>
    </row>
    <row r="4473">
      <c r="A4473" s="66"/>
      <c r="D4473" s="56"/>
    </row>
    <row r="4474">
      <c r="A4474" s="66"/>
      <c r="D4474" s="56"/>
    </row>
    <row r="4475">
      <c r="A4475" s="66"/>
      <c r="D4475" s="56"/>
    </row>
    <row r="4476">
      <c r="A4476" s="66"/>
      <c r="D4476" s="56"/>
    </row>
    <row r="4477">
      <c r="A4477" s="66"/>
      <c r="D4477" s="56"/>
    </row>
    <row r="4478">
      <c r="A4478" s="66"/>
      <c r="D4478" s="56"/>
    </row>
    <row r="4479">
      <c r="A4479" s="66"/>
      <c r="D4479" s="56"/>
    </row>
    <row r="4480">
      <c r="A4480" s="66"/>
      <c r="D4480" s="62"/>
    </row>
    <row r="4481">
      <c r="A4481" s="66"/>
      <c r="D4481" s="56"/>
    </row>
    <row r="4482">
      <c r="A4482" s="66"/>
      <c r="D4482" s="62"/>
    </row>
    <row r="4483">
      <c r="A4483" s="66"/>
      <c r="D4483" s="56"/>
    </row>
    <row r="4484">
      <c r="A4484" s="66"/>
      <c r="D4484" s="56"/>
    </row>
    <row r="4485">
      <c r="A4485" s="66"/>
      <c r="D4485" s="56"/>
    </row>
    <row r="4486">
      <c r="A4486" s="66"/>
      <c r="D4486" s="56"/>
    </row>
    <row r="4487">
      <c r="A4487" s="66"/>
      <c r="D4487" s="56"/>
    </row>
    <row r="4488">
      <c r="A4488" s="66"/>
      <c r="D4488" s="56"/>
    </row>
    <row r="4489">
      <c r="A4489" s="66"/>
      <c r="D4489" s="56"/>
    </row>
    <row r="4490">
      <c r="A4490" s="66"/>
      <c r="D4490" s="56"/>
    </row>
    <row r="4491">
      <c r="A4491" s="66"/>
      <c r="D4491" s="56"/>
    </row>
    <row r="4492">
      <c r="A4492" s="66"/>
      <c r="D4492" s="56"/>
    </row>
    <row r="4493">
      <c r="A4493" s="66"/>
      <c r="D4493" s="56"/>
    </row>
    <row r="4494">
      <c r="A4494" s="66"/>
      <c r="D4494" s="56"/>
    </row>
    <row r="4495">
      <c r="A4495" s="66"/>
      <c r="D4495" s="56"/>
    </row>
    <row r="4496">
      <c r="A4496" s="66"/>
      <c r="D4496" s="56"/>
    </row>
    <row r="4497">
      <c r="A4497" s="66"/>
      <c r="D4497" s="56"/>
    </row>
    <row r="4498">
      <c r="A4498" s="66"/>
      <c r="D4498" s="56"/>
    </row>
    <row r="4499">
      <c r="A4499" s="66"/>
      <c r="D4499" s="56"/>
    </row>
    <row r="4500">
      <c r="A4500" s="66"/>
      <c r="D4500" s="56"/>
    </row>
    <row r="4501">
      <c r="A4501" s="66"/>
      <c r="D4501" s="56"/>
    </row>
    <row r="4502">
      <c r="A4502" s="66"/>
      <c r="D4502" s="56"/>
    </row>
    <row r="4503">
      <c r="A4503" s="66"/>
      <c r="D4503" s="56"/>
    </row>
    <row r="4504">
      <c r="A4504" s="66"/>
      <c r="D4504" s="56"/>
    </row>
    <row r="4505">
      <c r="A4505" s="66"/>
      <c r="D4505" s="56"/>
    </row>
    <row r="4506">
      <c r="A4506" s="66"/>
      <c r="D4506" s="56"/>
    </row>
    <row r="4507">
      <c r="A4507" s="66"/>
      <c r="D4507" s="56"/>
    </row>
    <row r="4508">
      <c r="A4508" s="66"/>
      <c r="D4508" s="56"/>
    </row>
    <row r="4509">
      <c r="A4509" s="66"/>
      <c r="D4509" s="62"/>
    </row>
    <row r="4510">
      <c r="A4510" s="66"/>
      <c r="D4510" s="56"/>
    </row>
    <row r="4511">
      <c r="A4511" s="66"/>
      <c r="D4511" s="62"/>
    </row>
    <row r="4512">
      <c r="A4512" s="66"/>
      <c r="D4512" s="56"/>
    </row>
    <row r="4513">
      <c r="A4513" s="66"/>
      <c r="D4513" s="56"/>
    </row>
    <row r="4514">
      <c r="A4514" s="66"/>
      <c r="D4514" s="56"/>
    </row>
    <row r="4515">
      <c r="A4515" s="66"/>
      <c r="D4515" s="56"/>
    </row>
    <row r="4516">
      <c r="A4516" s="66"/>
      <c r="D4516" s="56"/>
    </row>
    <row r="4517">
      <c r="A4517" s="66"/>
      <c r="D4517" s="56"/>
    </row>
    <row r="4518">
      <c r="A4518" s="66"/>
      <c r="D4518" s="56"/>
    </row>
    <row r="4519">
      <c r="A4519" s="66"/>
      <c r="D4519" s="56"/>
    </row>
    <row r="4520">
      <c r="A4520" s="66"/>
      <c r="D4520" s="56"/>
    </row>
    <row r="4521">
      <c r="A4521" s="66"/>
      <c r="D4521" s="62"/>
    </row>
    <row r="4522">
      <c r="A4522" s="66"/>
      <c r="D4522" s="56"/>
    </row>
    <row r="4523">
      <c r="A4523" s="66"/>
      <c r="D4523" s="56"/>
    </row>
    <row r="4524">
      <c r="A4524" s="66"/>
      <c r="D4524" s="56"/>
    </row>
    <row r="4525">
      <c r="A4525" s="66"/>
      <c r="D4525" s="62"/>
    </row>
    <row r="4526">
      <c r="A4526" s="66"/>
      <c r="D4526" s="56"/>
    </row>
    <row r="4527">
      <c r="A4527" s="66"/>
      <c r="D4527" s="56"/>
    </row>
    <row r="4528">
      <c r="A4528" s="66"/>
      <c r="D4528" s="56"/>
    </row>
    <row r="4529">
      <c r="A4529" s="66"/>
      <c r="D4529" s="56"/>
    </row>
    <row r="4530">
      <c r="A4530" s="66"/>
      <c r="D4530" s="56"/>
    </row>
    <row r="4531">
      <c r="A4531" s="66"/>
      <c r="D4531" s="56"/>
    </row>
    <row r="4532">
      <c r="A4532" s="66"/>
      <c r="D4532" s="56"/>
    </row>
    <row r="4533">
      <c r="A4533" s="66"/>
      <c r="D4533" s="56"/>
    </row>
    <row r="4534">
      <c r="A4534" s="66"/>
      <c r="D4534" s="56"/>
    </row>
    <row r="4535">
      <c r="A4535" s="66"/>
      <c r="D4535" s="56"/>
    </row>
    <row r="4536">
      <c r="A4536" s="66"/>
      <c r="D4536" s="56"/>
    </row>
    <row r="4537">
      <c r="A4537" s="66"/>
      <c r="D4537" s="56"/>
    </row>
    <row r="4538">
      <c r="A4538" s="66"/>
      <c r="D4538" s="62"/>
    </row>
    <row r="4539">
      <c r="A4539" s="66"/>
      <c r="D4539" s="62"/>
    </row>
    <row r="4540">
      <c r="A4540" s="66"/>
      <c r="D4540" s="56"/>
    </row>
    <row r="4541">
      <c r="A4541" s="66"/>
      <c r="D4541" s="62"/>
    </row>
    <row r="4542">
      <c r="A4542" s="66"/>
      <c r="D4542" s="56"/>
    </row>
    <row r="4543">
      <c r="A4543" s="66"/>
      <c r="D4543" s="56"/>
    </row>
    <row r="4544">
      <c r="A4544" s="66"/>
      <c r="D4544" s="56"/>
    </row>
    <row r="4545">
      <c r="A4545" s="66"/>
      <c r="D4545" s="56"/>
    </row>
    <row r="4546">
      <c r="A4546" s="66"/>
      <c r="D4546" s="56"/>
    </row>
    <row r="4547">
      <c r="A4547" s="66"/>
      <c r="D4547" s="56"/>
    </row>
    <row r="4548">
      <c r="A4548" s="66"/>
      <c r="D4548" s="56"/>
    </row>
    <row r="4549">
      <c r="A4549" s="66"/>
      <c r="D4549" s="56"/>
    </row>
    <row r="4550">
      <c r="A4550" s="66"/>
      <c r="D4550" s="56"/>
    </row>
    <row r="4551">
      <c r="A4551" s="66"/>
      <c r="D4551" s="56"/>
    </row>
    <row r="4552">
      <c r="A4552" s="66"/>
      <c r="D4552" s="56"/>
    </row>
    <row r="4553">
      <c r="A4553" s="66"/>
      <c r="D4553" s="56"/>
    </row>
    <row r="4554">
      <c r="A4554" s="66"/>
      <c r="D4554" s="56"/>
    </row>
    <row r="4555">
      <c r="A4555" s="66"/>
      <c r="D4555" s="56"/>
    </row>
    <row r="4556">
      <c r="A4556" s="66"/>
      <c r="D4556" s="56"/>
    </row>
    <row r="4557">
      <c r="A4557" s="66"/>
      <c r="D4557" s="56"/>
    </row>
    <row r="4558">
      <c r="A4558" s="66"/>
      <c r="D4558" s="56"/>
    </row>
    <row r="4559">
      <c r="A4559" s="66"/>
      <c r="D4559" s="56"/>
    </row>
    <row r="4560">
      <c r="A4560" s="66"/>
      <c r="D4560" s="56"/>
    </row>
    <row r="4561">
      <c r="A4561" s="66"/>
      <c r="D4561" s="56"/>
    </row>
    <row r="4562">
      <c r="A4562" s="66"/>
      <c r="D4562" s="56"/>
    </row>
    <row r="4563">
      <c r="A4563" s="66"/>
      <c r="D4563" s="56"/>
    </row>
    <row r="4564">
      <c r="A4564" s="66"/>
      <c r="D4564" s="56"/>
    </row>
    <row r="4565">
      <c r="A4565" s="66"/>
      <c r="D4565" s="56"/>
    </row>
    <row r="4566">
      <c r="A4566" s="66"/>
      <c r="D4566" s="56"/>
    </row>
    <row r="4567">
      <c r="A4567" s="66"/>
      <c r="D4567" s="56"/>
    </row>
    <row r="4568">
      <c r="A4568" s="66"/>
      <c r="D4568" s="56"/>
    </row>
    <row r="4569">
      <c r="A4569" s="66"/>
      <c r="D4569" s="56"/>
    </row>
    <row r="4570">
      <c r="A4570" s="66"/>
      <c r="D4570" s="56"/>
    </row>
    <row r="4571">
      <c r="A4571" s="66"/>
      <c r="D4571" s="56"/>
    </row>
    <row r="4572">
      <c r="A4572" s="66"/>
      <c r="D4572" s="56"/>
    </row>
    <row r="4573">
      <c r="A4573" s="66"/>
      <c r="D4573" s="56"/>
    </row>
    <row r="4574">
      <c r="A4574" s="66"/>
      <c r="D4574" s="56"/>
    </row>
    <row r="4575">
      <c r="A4575" s="66"/>
      <c r="D4575" s="56"/>
    </row>
    <row r="4576">
      <c r="A4576" s="66"/>
      <c r="D4576" s="56"/>
    </row>
    <row r="4577">
      <c r="A4577" s="66"/>
      <c r="D4577" s="56"/>
    </row>
    <row r="4578">
      <c r="A4578" s="66"/>
      <c r="D4578" s="56"/>
    </row>
    <row r="4579">
      <c r="A4579" s="66"/>
      <c r="D4579" s="56"/>
    </row>
    <row r="4580">
      <c r="A4580" s="66"/>
      <c r="D4580" s="56"/>
    </row>
    <row r="4581">
      <c r="A4581" s="66"/>
      <c r="D4581" s="56"/>
    </row>
    <row r="4582">
      <c r="A4582" s="66"/>
      <c r="D4582" s="56"/>
    </row>
    <row r="4583">
      <c r="A4583" s="66"/>
      <c r="D4583" s="56"/>
    </row>
    <row r="4584">
      <c r="A4584" s="66"/>
      <c r="D4584" s="56"/>
    </row>
    <row r="4585">
      <c r="A4585" s="66"/>
      <c r="D4585" s="56"/>
    </row>
    <row r="4586">
      <c r="A4586" s="66"/>
      <c r="D4586" s="56"/>
    </row>
    <row r="4587">
      <c r="A4587" s="66"/>
      <c r="D4587" s="56"/>
    </row>
    <row r="4588">
      <c r="A4588" s="66"/>
      <c r="D4588" s="56"/>
    </row>
    <row r="4589">
      <c r="A4589" s="66"/>
      <c r="D4589" s="56"/>
    </row>
    <row r="4590">
      <c r="A4590" s="66"/>
      <c r="D4590" s="56"/>
    </row>
    <row r="4591">
      <c r="A4591" s="66"/>
      <c r="D4591" s="56"/>
    </row>
    <row r="4592">
      <c r="A4592" s="66"/>
      <c r="D4592" s="56"/>
    </row>
    <row r="4593">
      <c r="A4593" s="66"/>
      <c r="D4593" s="56"/>
    </row>
    <row r="4594">
      <c r="A4594" s="66"/>
      <c r="D4594" s="56"/>
    </row>
    <row r="4595">
      <c r="A4595" s="66"/>
      <c r="D4595" s="56"/>
    </row>
    <row r="4596">
      <c r="A4596" s="66"/>
      <c r="D4596" s="56"/>
    </row>
    <row r="4597">
      <c r="A4597" s="66"/>
      <c r="D4597" s="56"/>
    </row>
    <row r="4598">
      <c r="A4598" s="66"/>
      <c r="D4598" s="62"/>
    </row>
    <row r="4599">
      <c r="A4599" s="66"/>
      <c r="D4599" s="56"/>
    </row>
    <row r="4600">
      <c r="A4600" s="66"/>
      <c r="D4600" s="56"/>
    </row>
    <row r="4601">
      <c r="A4601" s="66"/>
      <c r="D4601" s="56"/>
    </row>
    <row r="4602">
      <c r="A4602" s="66"/>
      <c r="D4602" s="56"/>
    </row>
    <row r="4603">
      <c r="A4603" s="66"/>
      <c r="D4603" s="56"/>
    </row>
    <row r="4604">
      <c r="A4604" s="66"/>
      <c r="D4604" s="56"/>
    </row>
    <row r="4605">
      <c r="A4605" s="66"/>
      <c r="D4605" s="56"/>
    </row>
    <row r="4606">
      <c r="A4606" s="66"/>
      <c r="D4606" s="56"/>
    </row>
    <row r="4607">
      <c r="A4607" s="66"/>
      <c r="D4607" s="56"/>
    </row>
    <row r="4608">
      <c r="A4608" s="66"/>
      <c r="D4608" s="56"/>
    </row>
    <row r="4609">
      <c r="A4609" s="66"/>
      <c r="D4609" s="56"/>
    </row>
    <row r="4610">
      <c r="A4610" s="66"/>
      <c r="D4610" s="56"/>
    </row>
    <row r="4611">
      <c r="A4611" s="66"/>
      <c r="D4611" s="56"/>
    </row>
    <row r="4612">
      <c r="A4612" s="66"/>
      <c r="D4612" s="56"/>
    </row>
    <row r="4613">
      <c r="A4613" s="66"/>
      <c r="D4613" s="56"/>
    </row>
    <row r="4614">
      <c r="A4614" s="66"/>
      <c r="D4614" s="56"/>
    </row>
    <row r="4615">
      <c r="A4615" s="66"/>
      <c r="D4615" s="56"/>
    </row>
    <row r="4616">
      <c r="A4616" s="66"/>
      <c r="D4616" s="56"/>
    </row>
    <row r="4617">
      <c r="A4617" s="66"/>
      <c r="D4617" s="56"/>
    </row>
    <row r="4618">
      <c r="A4618" s="66"/>
      <c r="D4618" s="56"/>
    </row>
    <row r="4619">
      <c r="A4619" s="66"/>
      <c r="D4619" s="56"/>
    </row>
    <row r="4620">
      <c r="A4620" s="66"/>
      <c r="D4620" s="56"/>
    </row>
    <row r="4621">
      <c r="A4621" s="66"/>
      <c r="D4621" s="56"/>
    </row>
    <row r="4622">
      <c r="A4622" s="67"/>
      <c r="D4622" s="56"/>
    </row>
    <row r="4623">
      <c r="A4623" s="67"/>
      <c r="D4623" s="56"/>
    </row>
    <row r="4624">
      <c r="A4624" s="67"/>
      <c r="D4624" s="56"/>
    </row>
    <row r="4625">
      <c r="A4625" s="67"/>
      <c r="D4625" s="56"/>
    </row>
    <row r="4626">
      <c r="A4626" s="67"/>
      <c r="D4626" s="56"/>
    </row>
    <row r="4627">
      <c r="A4627" s="67"/>
      <c r="D4627" s="56"/>
    </row>
    <row r="4628">
      <c r="A4628" s="67"/>
      <c r="D4628" s="56"/>
    </row>
    <row r="4629">
      <c r="A4629" s="67"/>
      <c r="D4629" s="56"/>
    </row>
    <row r="4630">
      <c r="A4630" s="67"/>
      <c r="D4630" s="56"/>
    </row>
    <row r="4631">
      <c r="A4631" s="67"/>
      <c r="D4631" s="56"/>
    </row>
    <row r="4632">
      <c r="A4632" s="67"/>
      <c r="D4632" s="56"/>
    </row>
    <row r="4633">
      <c r="A4633" s="67"/>
      <c r="D4633" s="56"/>
    </row>
    <row r="4634">
      <c r="A4634" s="67"/>
      <c r="D4634" s="56"/>
    </row>
    <row r="4635">
      <c r="A4635" s="67"/>
      <c r="D4635" s="56"/>
    </row>
    <row r="4636">
      <c r="A4636" s="67"/>
      <c r="D4636" s="56"/>
    </row>
    <row r="4637">
      <c r="A4637" s="67"/>
      <c r="D4637" s="56"/>
    </row>
    <row r="4638">
      <c r="A4638" s="67"/>
      <c r="D4638" s="56"/>
    </row>
    <row r="4639">
      <c r="A4639" s="67"/>
      <c r="D4639" s="56"/>
    </row>
    <row r="4640">
      <c r="A4640" s="67"/>
      <c r="D4640" s="56"/>
    </row>
    <row r="4641">
      <c r="A4641" s="67"/>
      <c r="D4641" s="56"/>
    </row>
    <row r="4642">
      <c r="A4642" s="67"/>
      <c r="D4642" s="56"/>
    </row>
    <row r="4643">
      <c r="A4643" s="67"/>
      <c r="D4643" s="56"/>
    </row>
    <row r="4644">
      <c r="A4644" s="67"/>
      <c r="D4644" s="56"/>
    </row>
    <row r="4645">
      <c r="A4645" s="67"/>
      <c r="D4645" s="56"/>
    </row>
    <row r="4646">
      <c r="A4646" s="67"/>
      <c r="D4646" s="56"/>
    </row>
    <row r="4647">
      <c r="A4647" s="67"/>
      <c r="D4647" s="56"/>
    </row>
    <row r="4648">
      <c r="A4648" s="67"/>
      <c r="D4648" s="56"/>
    </row>
    <row r="4649">
      <c r="A4649" s="67"/>
      <c r="D4649" s="56"/>
    </row>
    <row r="4650">
      <c r="A4650" s="67"/>
      <c r="D4650" s="56"/>
    </row>
    <row r="4651">
      <c r="A4651" s="67"/>
      <c r="D4651" s="56"/>
    </row>
    <row r="4652">
      <c r="A4652" s="67"/>
      <c r="D4652" s="56"/>
    </row>
    <row r="4653">
      <c r="A4653" s="67"/>
      <c r="D4653" s="56"/>
    </row>
    <row r="4654">
      <c r="A4654" s="67"/>
      <c r="D4654" s="56"/>
    </row>
    <row r="4655">
      <c r="A4655" s="67"/>
      <c r="D4655" s="56"/>
    </row>
    <row r="4656">
      <c r="A4656" s="67"/>
      <c r="D4656" s="56"/>
    </row>
    <row r="4657">
      <c r="A4657" s="67"/>
      <c r="D4657" s="56"/>
    </row>
    <row r="4658">
      <c r="A4658" s="67"/>
      <c r="D4658" s="56"/>
    </row>
    <row r="4659">
      <c r="A4659" s="67"/>
      <c r="D4659" s="56"/>
    </row>
    <row r="4660">
      <c r="A4660" s="67"/>
      <c r="D4660" s="56"/>
    </row>
    <row r="4661">
      <c r="A4661" s="67"/>
      <c r="D4661" s="56"/>
    </row>
    <row r="4662">
      <c r="A4662" s="67"/>
      <c r="D4662" s="56"/>
    </row>
    <row r="4663">
      <c r="A4663" s="67"/>
      <c r="D4663" s="56"/>
    </row>
    <row r="4664">
      <c r="A4664" s="67"/>
      <c r="D4664" s="56"/>
    </row>
    <row r="4665">
      <c r="A4665" s="67"/>
      <c r="D4665" s="56"/>
    </row>
    <row r="4666">
      <c r="A4666" s="67"/>
      <c r="D4666" s="56"/>
    </row>
    <row r="4667">
      <c r="A4667" s="67"/>
      <c r="D4667" s="56"/>
    </row>
    <row r="4668">
      <c r="A4668" s="67"/>
      <c r="D4668" s="56"/>
    </row>
    <row r="4669">
      <c r="A4669" s="67"/>
      <c r="D4669" s="56"/>
    </row>
    <row r="4670">
      <c r="A4670" s="67"/>
      <c r="D4670" s="56"/>
    </row>
    <row r="4671">
      <c r="A4671" s="67"/>
      <c r="D4671" s="56"/>
    </row>
    <row r="4672">
      <c r="A4672" s="67"/>
      <c r="D4672" s="56"/>
    </row>
    <row r="4673">
      <c r="A4673" s="67"/>
      <c r="D4673" s="56"/>
    </row>
    <row r="4674">
      <c r="A4674" s="67"/>
      <c r="D4674" s="56"/>
    </row>
    <row r="4675">
      <c r="A4675" s="67"/>
      <c r="D4675" s="56"/>
    </row>
    <row r="4676">
      <c r="A4676" s="67"/>
      <c r="D4676" s="56"/>
    </row>
    <row r="4677">
      <c r="A4677" s="67"/>
      <c r="D4677" s="56"/>
    </row>
    <row r="4678">
      <c r="A4678" s="67"/>
      <c r="D4678" s="56"/>
    </row>
    <row r="4679">
      <c r="A4679" s="67"/>
      <c r="D4679" s="56"/>
    </row>
    <row r="4680">
      <c r="A4680" s="67"/>
      <c r="D4680" s="56"/>
    </row>
    <row r="4681">
      <c r="A4681" s="67"/>
      <c r="D4681" s="56"/>
    </row>
    <row r="4682">
      <c r="A4682" s="67"/>
      <c r="D4682" s="56"/>
    </row>
    <row r="4683">
      <c r="A4683" s="67"/>
      <c r="D4683" s="56"/>
    </row>
    <row r="4684">
      <c r="A4684" s="67"/>
      <c r="D4684" s="56"/>
    </row>
    <row r="4685">
      <c r="A4685" s="67"/>
      <c r="D4685" s="56"/>
    </row>
    <row r="4686">
      <c r="A4686" s="67"/>
      <c r="D4686" s="56"/>
    </row>
    <row r="4687">
      <c r="A4687" s="67"/>
      <c r="D4687" s="56"/>
    </row>
    <row r="4688">
      <c r="A4688" s="67"/>
      <c r="D4688" s="56"/>
    </row>
    <row r="4689">
      <c r="A4689" s="67"/>
      <c r="D4689" s="56"/>
    </row>
    <row r="4690">
      <c r="A4690" s="67"/>
      <c r="D4690" s="56"/>
    </row>
    <row r="4691">
      <c r="A4691" s="67"/>
      <c r="D4691" s="56"/>
    </row>
    <row r="4692">
      <c r="A4692" s="67"/>
      <c r="D4692" s="56"/>
    </row>
    <row r="4693">
      <c r="A4693" s="67"/>
      <c r="D4693" s="56"/>
    </row>
    <row r="4694">
      <c r="A4694" s="67"/>
      <c r="D4694" s="56"/>
    </row>
    <row r="4695">
      <c r="A4695" s="67"/>
      <c r="D4695" s="56"/>
    </row>
    <row r="4696">
      <c r="A4696" s="67"/>
      <c r="D4696" s="56"/>
    </row>
    <row r="4697">
      <c r="A4697" s="67"/>
      <c r="D4697" s="56"/>
    </row>
    <row r="4698">
      <c r="A4698" s="67"/>
      <c r="D4698" s="56"/>
    </row>
    <row r="4699">
      <c r="A4699" s="67"/>
      <c r="D4699" s="56"/>
    </row>
    <row r="4700">
      <c r="A4700" s="67"/>
      <c r="D4700" s="56"/>
    </row>
    <row r="4701">
      <c r="A4701" s="67"/>
      <c r="D4701" s="56"/>
    </row>
    <row r="4702">
      <c r="A4702" s="67"/>
      <c r="D4702" s="56"/>
    </row>
    <row r="4703">
      <c r="A4703" s="67"/>
      <c r="D4703" s="56"/>
    </row>
    <row r="4704">
      <c r="A4704" s="67"/>
      <c r="D4704" s="56"/>
    </row>
    <row r="4705">
      <c r="A4705" s="67"/>
      <c r="D4705" s="56"/>
    </row>
    <row r="4706">
      <c r="A4706" s="67"/>
      <c r="D4706" s="56"/>
    </row>
    <row r="4707">
      <c r="A4707" s="67"/>
      <c r="D4707" s="56"/>
    </row>
    <row r="4708">
      <c r="A4708" s="67"/>
      <c r="D4708" s="56"/>
    </row>
    <row r="4709">
      <c r="A4709" s="67"/>
      <c r="D4709" s="56"/>
    </row>
    <row r="4710">
      <c r="A4710" s="67"/>
      <c r="D4710" s="56"/>
    </row>
    <row r="4711">
      <c r="A4711" s="67"/>
      <c r="D4711" s="56"/>
    </row>
    <row r="4712">
      <c r="A4712" s="67"/>
      <c r="D4712" s="56"/>
    </row>
    <row r="4713">
      <c r="A4713" s="67"/>
      <c r="D4713" s="56"/>
    </row>
    <row r="4714">
      <c r="A4714" s="67"/>
      <c r="D4714" s="56"/>
    </row>
    <row r="4715">
      <c r="A4715" s="67"/>
      <c r="D4715" s="56"/>
    </row>
    <row r="4716">
      <c r="A4716" s="67"/>
      <c r="D4716" s="56"/>
    </row>
    <row r="4717">
      <c r="A4717" s="67"/>
      <c r="D4717" s="56"/>
    </row>
    <row r="4718">
      <c r="A4718" s="67"/>
      <c r="D4718" s="56"/>
    </row>
    <row r="4719">
      <c r="A4719" s="67"/>
      <c r="D4719" s="62"/>
    </row>
    <row r="4720">
      <c r="A4720" s="67"/>
      <c r="D4720" s="62"/>
    </row>
    <row r="4721">
      <c r="A4721" s="67"/>
      <c r="D4721" s="62"/>
    </row>
    <row r="4722">
      <c r="A4722" s="67"/>
      <c r="D4722" s="62"/>
    </row>
    <row r="4723">
      <c r="A4723" s="67"/>
      <c r="D4723" s="56"/>
    </row>
    <row r="4724">
      <c r="A4724" s="67"/>
      <c r="D4724" s="56"/>
    </row>
    <row r="4725">
      <c r="A4725" s="67"/>
      <c r="D4725" s="56"/>
    </row>
    <row r="4726">
      <c r="A4726" s="67"/>
      <c r="D4726" s="56"/>
    </row>
    <row r="4727">
      <c r="A4727" s="67"/>
      <c r="D4727" s="56"/>
    </row>
    <row r="4728">
      <c r="A4728" s="67"/>
      <c r="D4728" s="56"/>
    </row>
    <row r="4729">
      <c r="A4729" s="67"/>
      <c r="D4729" s="56"/>
    </row>
    <row r="4730">
      <c r="A4730" s="67"/>
      <c r="D4730" s="56"/>
    </row>
    <row r="4731">
      <c r="A4731" s="67"/>
      <c r="D4731" s="56"/>
    </row>
    <row r="4732">
      <c r="A4732" s="67"/>
      <c r="D4732" s="56"/>
    </row>
    <row r="4733">
      <c r="A4733" s="67"/>
      <c r="D4733" s="56"/>
    </row>
    <row r="4734">
      <c r="A4734" s="67"/>
      <c r="D4734" s="56"/>
    </row>
    <row r="4735">
      <c r="A4735" s="67"/>
      <c r="D4735" s="56"/>
    </row>
    <row r="4736">
      <c r="A4736" s="67"/>
      <c r="D4736" s="56"/>
    </row>
    <row r="4737">
      <c r="A4737" s="67"/>
      <c r="D4737" s="56"/>
    </row>
    <row r="4738">
      <c r="A4738" s="67"/>
      <c r="D4738" s="56"/>
    </row>
    <row r="4739">
      <c r="A4739" s="67"/>
      <c r="D4739" s="56"/>
    </row>
    <row r="4740">
      <c r="A4740" s="67"/>
      <c r="D4740" s="56"/>
    </row>
    <row r="4741">
      <c r="A4741" s="67"/>
      <c r="D4741" s="56"/>
    </row>
    <row r="4742">
      <c r="A4742" s="67"/>
      <c r="D4742" s="56"/>
    </row>
    <row r="4743">
      <c r="A4743" s="67"/>
      <c r="D4743" s="56"/>
    </row>
    <row r="4744">
      <c r="A4744" s="67"/>
      <c r="D4744" s="56"/>
    </row>
    <row r="4745">
      <c r="A4745" s="67"/>
      <c r="D4745" s="56"/>
    </row>
    <row r="4746">
      <c r="A4746" s="67"/>
      <c r="D4746" s="56"/>
    </row>
    <row r="4747">
      <c r="A4747" s="67"/>
      <c r="D4747" s="56"/>
    </row>
    <row r="4748">
      <c r="A4748" s="67"/>
      <c r="D4748" s="56"/>
    </row>
    <row r="4749">
      <c r="A4749" s="67"/>
      <c r="D4749" s="56"/>
    </row>
    <row r="4750">
      <c r="A4750" s="67"/>
      <c r="D4750" s="56"/>
    </row>
    <row r="4751">
      <c r="A4751" s="67"/>
      <c r="D4751" s="56"/>
    </row>
    <row r="4752">
      <c r="A4752" s="67"/>
      <c r="D4752" s="56"/>
    </row>
    <row r="4753">
      <c r="A4753" s="67"/>
      <c r="D4753" s="56"/>
    </row>
    <row r="4754">
      <c r="A4754" s="67"/>
      <c r="D4754" s="62"/>
    </row>
    <row r="4755">
      <c r="A4755" s="67"/>
      <c r="D4755" s="56"/>
    </row>
    <row r="4756">
      <c r="A4756" s="67"/>
      <c r="D4756" s="56"/>
    </row>
    <row r="4757">
      <c r="A4757" s="67"/>
      <c r="D4757" s="56"/>
    </row>
    <row r="4758">
      <c r="A4758" s="67"/>
      <c r="D4758" s="56"/>
    </row>
    <row r="4759">
      <c r="A4759" s="67"/>
      <c r="D4759" s="56"/>
    </row>
    <row r="4760">
      <c r="A4760" s="67"/>
      <c r="D4760" s="56"/>
    </row>
    <row r="4761">
      <c r="A4761" s="67"/>
      <c r="D4761" s="56"/>
    </row>
    <row r="4762">
      <c r="A4762" s="67"/>
      <c r="D4762" s="56"/>
    </row>
    <row r="4763">
      <c r="A4763" s="67"/>
      <c r="D4763" s="56"/>
    </row>
    <row r="4764">
      <c r="A4764" s="67"/>
      <c r="D4764" s="56"/>
    </row>
    <row r="4765">
      <c r="A4765" s="67"/>
      <c r="D4765" s="56"/>
    </row>
    <row r="4766">
      <c r="A4766" s="67"/>
      <c r="D4766" s="56"/>
    </row>
    <row r="4767">
      <c r="A4767" s="67"/>
      <c r="D4767" s="56"/>
    </row>
    <row r="4768">
      <c r="A4768" s="67"/>
      <c r="D4768" s="56"/>
    </row>
    <row r="4769">
      <c r="A4769" s="67"/>
      <c r="D4769" s="56"/>
    </row>
    <row r="4770">
      <c r="A4770" s="67"/>
      <c r="D4770" s="56"/>
    </row>
    <row r="4771">
      <c r="A4771" s="67"/>
      <c r="D4771" s="56"/>
    </row>
    <row r="4772">
      <c r="A4772" s="67"/>
      <c r="D4772" s="56"/>
    </row>
    <row r="4773">
      <c r="A4773" s="67"/>
      <c r="D4773" s="56"/>
    </row>
    <row r="4774">
      <c r="A4774" s="67"/>
      <c r="D4774" s="56"/>
    </row>
    <row r="4775">
      <c r="A4775" s="67"/>
      <c r="D4775" s="56"/>
    </row>
    <row r="4776">
      <c r="A4776" s="67"/>
      <c r="D4776" s="56"/>
    </row>
    <row r="4777">
      <c r="A4777" s="67"/>
      <c r="D4777" s="56"/>
    </row>
    <row r="4778">
      <c r="A4778" s="67"/>
      <c r="D4778" s="56"/>
    </row>
    <row r="4779">
      <c r="A4779" s="67"/>
      <c r="D4779" s="56"/>
    </row>
    <row r="4780">
      <c r="A4780" s="67"/>
      <c r="D4780" s="56"/>
    </row>
    <row r="4781">
      <c r="A4781" s="67"/>
      <c r="D4781" s="56"/>
    </row>
    <row r="4782">
      <c r="A4782" s="67"/>
      <c r="D4782" s="56"/>
    </row>
    <row r="4783">
      <c r="A4783" s="67"/>
      <c r="D4783" s="56"/>
    </row>
    <row r="4784">
      <c r="A4784" s="67"/>
      <c r="D4784" s="56"/>
    </row>
    <row r="4785">
      <c r="A4785" s="67"/>
      <c r="D4785" s="56"/>
    </row>
    <row r="4786">
      <c r="A4786" s="67"/>
      <c r="D4786" s="56"/>
    </row>
    <row r="4787">
      <c r="A4787" s="67"/>
      <c r="D4787" s="56"/>
    </row>
    <row r="4788">
      <c r="A4788" s="67"/>
      <c r="D4788" s="56"/>
    </row>
    <row r="4789">
      <c r="A4789" s="67"/>
      <c r="D4789" s="56"/>
    </row>
    <row r="4790">
      <c r="A4790" s="67"/>
      <c r="D4790" s="56"/>
    </row>
    <row r="4791">
      <c r="A4791" s="67"/>
      <c r="D4791" s="56"/>
    </row>
    <row r="4792">
      <c r="A4792" s="67"/>
      <c r="D4792" s="56"/>
    </row>
    <row r="4793">
      <c r="A4793" s="67"/>
      <c r="D4793" s="56"/>
    </row>
    <row r="4794">
      <c r="A4794" s="67"/>
      <c r="D4794" s="56"/>
    </row>
    <row r="4795">
      <c r="A4795" s="67"/>
      <c r="D4795" s="56"/>
    </row>
    <row r="4796">
      <c r="A4796" s="67"/>
      <c r="D4796" s="56"/>
    </row>
    <row r="4797">
      <c r="A4797" s="67"/>
      <c r="D4797" s="56"/>
    </row>
    <row r="4798">
      <c r="A4798" s="67"/>
      <c r="D4798" s="56"/>
    </row>
    <row r="4799">
      <c r="A4799" s="67"/>
      <c r="D4799" s="56"/>
    </row>
    <row r="4800">
      <c r="A4800" s="67"/>
      <c r="D4800" s="56"/>
    </row>
    <row r="4801">
      <c r="A4801" s="67"/>
      <c r="D4801" s="56"/>
    </row>
    <row r="4802">
      <c r="A4802" s="67"/>
      <c r="D4802" s="56"/>
    </row>
    <row r="4803">
      <c r="A4803" s="67"/>
      <c r="D4803" s="56"/>
    </row>
    <row r="4804">
      <c r="A4804" s="67"/>
      <c r="D4804" s="56"/>
    </row>
    <row r="4805">
      <c r="A4805" s="67"/>
      <c r="D4805" s="56"/>
    </row>
    <row r="4806">
      <c r="A4806" s="67"/>
      <c r="D4806" s="56"/>
    </row>
    <row r="4807">
      <c r="A4807" s="67"/>
      <c r="D4807" s="56"/>
    </row>
    <row r="4808">
      <c r="A4808" s="67"/>
      <c r="D4808" s="56"/>
    </row>
    <row r="4809">
      <c r="A4809" s="67"/>
      <c r="D4809" s="56"/>
    </row>
    <row r="4810">
      <c r="A4810" s="67"/>
      <c r="D4810" s="56"/>
    </row>
    <row r="4811">
      <c r="A4811" s="67"/>
      <c r="D4811" s="56"/>
    </row>
    <row r="4812">
      <c r="A4812" s="67"/>
      <c r="D4812" s="56"/>
    </row>
    <row r="4813">
      <c r="A4813" s="67"/>
      <c r="D4813" s="56"/>
    </row>
    <row r="4814">
      <c r="A4814" s="67"/>
      <c r="D4814" s="56"/>
    </row>
    <row r="4815">
      <c r="A4815" s="67"/>
      <c r="D4815" s="56"/>
    </row>
    <row r="4816">
      <c r="A4816" s="67"/>
      <c r="D4816" s="56"/>
    </row>
    <row r="4817">
      <c r="A4817" s="67"/>
      <c r="D4817" s="56"/>
    </row>
    <row r="4818">
      <c r="A4818" s="67"/>
      <c r="D4818" s="56"/>
    </row>
    <row r="4819">
      <c r="A4819" s="67"/>
      <c r="D4819" s="56"/>
    </row>
    <row r="4820">
      <c r="A4820" s="67"/>
      <c r="D4820" s="56"/>
    </row>
    <row r="4821">
      <c r="A4821" s="67"/>
      <c r="D4821" s="56"/>
    </row>
    <row r="4822">
      <c r="A4822" s="67"/>
      <c r="D4822" s="56"/>
    </row>
    <row r="4823">
      <c r="A4823" s="67"/>
      <c r="D4823" s="56"/>
    </row>
    <row r="4824">
      <c r="A4824" s="67"/>
      <c r="D4824" s="56"/>
    </row>
    <row r="4825">
      <c r="A4825" s="67"/>
      <c r="D4825" s="56"/>
    </row>
    <row r="4826">
      <c r="A4826" s="67"/>
      <c r="D4826" s="56"/>
    </row>
    <row r="4827">
      <c r="A4827" s="67"/>
      <c r="D4827" s="56"/>
    </row>
    <row r="4828">
      <c r="A4828" s="67"/>
      <c r="D4828" s="62"/>
    </row>
    <row r="4829">
      <c r="A4829" s="67"/>
      <c r="D4829" s="56"/>
    </row>
    <row r="4830">
      <c r="A4830" s="67"/>
      <c r="D4830" s="62"/>
    </row>
    <row r="4831">
      <c r="A4831" s="67"/>
      <c r="D4831" s="56"/>
    </row>
    <row r="4832">
      <c r="A4832" s="67"/>
      <c r="D4832" s="56"/>
    </row>
    <row r="4833">
      <c r="A4833" s="67"/>
      <c r="D4833" s="56"/>
    </row>
    <row r="4834">
      <c r="A4834" s="67"/>
      <c r="D4834" s="56"/>
    </row>
    <row r="4835">
      <c r="A4835" s="67"/>
      <c r="D4835" s="56"/>
    </row>
    <row r="4836">
      <c r="A4836" s="67"/>
      <c r="D4836" s="56"/>
    </row>
    <row r="4837">
      <c r="A4837" s="67"/>
      <c r="D4837" s="56"/>
    </row>
    <row r="4838">
      <c r="A4838" s="67"/>
      <c r="D4838" s="56"/>
    </row>
    <row r="4839">
      <c r="A4839" s="67"/>
      <c r="D4839" s="56"/>
    </row>
    <row r="4840">
      <c r="A4840" s="67"/>
      <c r="D4840" s="56"/>
    </row>
    <row r="4841">
      <c r="A4841" s="67"/>
      <c r="D4841" s="56"/>
    </row>
    <row r="4842">
      <c r="A4842" s="67"/>
      <c r="D4842" s="56"/>
    </row>
    <row r="4843">
      <c r="A4843" s="67"/>
      <c r="D4843" s="62"/>
    </row>
    <row r="4844">
      <c r="A4844" s="67"/>
      <c r="D4844" s="62"/>
    </row>
    <row r="4845">
      <c r="A4845" s="67"/>
      <c r="D4845" s="56"/>
    </row>
    <row r="4846">
      <c r="A4846" s="67"/>
      <c r="D4846" s="56"/>
    </row>
    <row r="4847">
      <c r="A4847" s="67"/>
      <c r="D4847" s="56"/>
    </row>
    <row r="4848">
      <c r="A4848" s="67"/>
      <c r="D4848" s="56"/>
    </row>
    <row r="4849">
      <c r="A4849" s="67"/>
      <c r="D4849" s="56"/>
    </row>
    <row r="4850">
      <c r="A4850" s="67"/>
      <c r="D4850" s="56"/>
    </row>
    <row r="4851">
      <c r="A4851" s="67"/>
      <c r="D4851" s="56"/>
    </row>
    <row r="4852">
      <c r="A4852" s="67"/>
      <c r="D4852" s="56"/>
    </row>
    <row r="4853">
      <c r="A4853" s="67"/>
      <c r="D4853" s="56"/>
    </row>
    <row r="4854">
      <c r="A4854" s="67"/>
      <c r="D4854" s="56"/>
    </row>
    <row r="4855">
      <c r="A4855" s="67"/>
      <c r="D4855" s="56"/>
    </row>
    <row r="4856">
      <c r="A4856" s="67"/>
      <c r="D4856" s="56"/>
    </row>
    <row r="4857">
      <c r="A4857" s="67"/>
      <c r="D4857" s="56"/>
    </row>
    <row r="4858">
      <c r="A4858" s="67"/>
      <c r="D4858" s="56"/>
    </row>
    <row r="4859">
      <c r="A4859" s="67"/>
      <c r="D4859" s="56"/>
    </row>
    <row r="4860">
      <c r="A4860" s="67"/>
      <c r="D4860" s="56"/>
    </row>
    <row r="4861">
      <c r="A4861" s="67"/>
      <c r="D4861" s="56"/>
    </row>
    <row r="4862">
      <c r="A4862" s="67"/>
      <c r="D4862" s="56"/>
    </row>
    <row r="4863">
      <c r="A4863" s="67"/>
      <c r="D4863" s="56"/>
    </row>
    <row r="4864">
      <c r="A4864" s="67"/>
      <c r="D4864" s="56"/>
    </row>
    <row r="4865">
      <c r="A4865" s="67"/>
      <c r="D4865" s="56"/>
    </row>
    <row r="4866">
      <c r="A4866" s="67"/>
      <c r="D4866" s="56"/>
    </row>
    <row r="4867">
      <c r="A4867" s="67"/>
      <c r="D4867" s="56"/>
    </row>
    <row r="4868">
      <c r="A4868" s="67"/>
      <c r="D4868" s="56"/>
    </row>
    <row r="4869">
      <c r="A4869" s="67"/>
      <c r="D4869" s="56"/>
    </row>
    <row r="4870">
      <c r="A4870" s="67"/>
      <c r="D4870" s="56"/>
    </row>
    <row r="4871">
      <c r="A4871" s="67"/>
      <c r="D4871" s="56"/>
    </row>
    <row r="4872">
      <c r="A4872" s="67"/>
      <c r="D4872" s="56"/>
    </row>
    <row r="4873">
      <c r="A4873" s="67"/>
      <c r="D4873" s="56"/>
    </row>
    <row r="4874">
      <c r="A4874" s="67"/>
      <c r="D4874" s="56"/>
    </row>
    <row r="4875">
      <c r="A4875" s="67"/>
      <c r="D4875" s="56"/>
    </row>
    <row r="4876">
      <c r="A4876" s="67"/>
      <c r="D4876" s="56"/>
    </row>
    <row r="4877">
      <c r="A4877" s="67"/>
      <c r="D4877" s="56"/>
    </row>
    <row r="4878">
      <c r="A4878" s="67"/>
      <c r="D4878" s="56"/>
    </row>
    <row r="4879">
      <c r="A4879" s="67"/>
      <c r="D4879" s="56"/>
    </row>
    <row r="4880">
      <c r="A4880" s="67"/>
      <c r="D4880" s="56"/>
    </row>
    <row r="4881">
      <c r="A4881" s="67"/>
      <c r="D4881" s="56"/>
    </row>
    <row r="4882">
      <c r="A4882" s="67"/>
      <c r="D4882" s="56"/>
    </row>
    <row r="4883">
      <c r="A4883" s="67"/>
      <c r="D4883" s="56"/>
    </row>
    <row r="4884">
      <c r="A4884" s="67"/>
      <c r="D4884" s="56"/>
    </row>
    <row r="4885">
      <c r="A4885" s="67"/>
      <c r="D4885" s="56"/>
    </row>
    <row r="4886">
      <c r="A4886" s="67"/>
      <c r="D4886" s="56"/>
    </row>
    <row r="4887">
      <c r="A4887" s="67"/>
      <c r="D4887" s="56"/>
    </row>
    <row r="4888">
      <c r="A4888" s="67"/>
      <c r="D4888" s="56"/>
    </row>
    <row r="4889">
      <c r="A4889" s="67"/>
      <c r="D4889" s="56"/>
    </row>
    <row r="4890">
      <c r="A4890" s="67"/>
      <c r="D4890" s="62"/>
    </row>
    <row r="4891">
      <c r="A4891" s="67"/>
      <c r="D4891" s="56"/>
    </row>
    <row r="4892">
      <c r="A4892" s="67"/>
      <c r="D4892" s="56"/>
    </row>
    <row r="4893">
      <c r="A4893" s="67"/>
      <c r="D4893" s="56"/>
    </row>
    <row r="4894">
      <c r="A4894" s="67"/>
      <c r="D4894" s="56"/>
    </row>
    <row r="4895">
      <c r="A4895" s="67"/>
      <c r="D4895" s="56"/>
    </row>
    <row r="4896">
      <c r="A4896" s="67"/>
      <c r="D4896" s="56"/>
    </row>
    <row r="4897">
      <c r="A4897" s="67"/>
      <c r="D4897" s="56"/>
    </row>
    <row r="4898">
      <c r="A4898" s="67"/>
      <c r="D4898" s="56"/>
    </row>
    <row r="4899">
      <c r="A4899" s="67"/>
      <c r="D4899" s="56"/>
    </row>
    <row r="4900">
      <c r="A4900" s="67"/>
      <c r="D4900" s="56"/>
    </row>
    <row r="4901">
      <c r="A4901" s="67"/>
      <c r="D4901" s="56"/>
    </row>
    <row r="4902">
      <c r="A4902" s="67"/>
      <c r="D4902" s="56"/>
    </row>
    <row r="4903">
      <c r="A4903" s="67"/>
      <c r="D4903" s="56"/>
    </row>
    <row r="4904">
      <c r="A4904" s="67"/>
      <c r="D4904" s="56"/>
    </row>
    <row r="4905">
      <c r="A4905" s="67"/>
      <c r="D4905" s="62"/>
    </row>
    <row r="4906">
      <c r="A4906" s="67"/>
      <c r="D4906" s="56"/>
    </row>
    <row r="4907">
      <c r="A4907" s="67"/>
      <c r="D4907" s="56"/>
    </row>
    <row r="4908">
      <c r="A4908" s="67"/>
      <c r="D4908" s="56"/>
    </row>
    <row r="4909">
      <c r="A4909" s="67"/>
      <c r="D4909" s="56"/>
    </row>
    <row r="4910">
      <c r="A4910" s="67"/>
      <c r="D4910" s="56"/>
    </row>
    <row r="4911">
      <c r="A4911" s="67"/>
      <c r="D4911" s="56"/>
    </row>
    <row r="4912">
      <c r="A4912" s="67"/>
      <c r="D4912" s="56"/>
    </row>
    <row r="4913">
      <c r="A4913" s="67"/>
      <c r="D4913" s="56"/>
    </row>
    <row r="4914">
      <c r="A4914" s="67"/>
      <c r="D4914" s="56"/>
    </row>
    <row r="4915">
      <c r="A4915" s="67"/>
      <c r="D4915" s="56"/>
    </row>
    <row r="4916">
      <c r="A4916" s="67"/>
      <c r="D4916" s="56"/>
    </row>
    <row r="4917">
      <c r="A4917" s="67"/>
      <c r="D4917" s="56"/>
    </row>
    <row r="4918">
      <c r="A4918" s="67"/>
      <c r="D4918" s="56"/>
    </row>
    <row r="4919">
      <c r="A4919" s="67"/>
      <c r="D4919" s="56"/>
    </row>
    <row r="4920">
      <c r="A4920" s="67"/>
      <c r="D4920" s="56"/>
    </row>
    <row r="4921">
      <c r="A4921" s="67"/>
      <c r="D4921" s="56"/>
    </row>
    <row r="4922">
      <c r="A4922" s="67"/>
      <c r="D4922" s="56"/>
    </row>
    <row r="4923">
      <c r="A4923" s="67"/>
      <c r="D4923" s="56"/>
    </row>
    <row r="4924">
      <c r="A4924" s="67"/>
      <c r="D4924" s="56"/>
    </row>
    <row r="4925">
      <c r="A4925" s="67"/>
      <c r="D4925" s="56"/>
    </row>
    <row r="4926">
      <c r="A4926" s="67"/>
      <c r="D4926" s="56"/>
    </row>
    <row r="4927">
      <c r="A4927" s="67"/>
      <c r="D4927" s="56"/>
    </row>
    <row r="4928">
      <c r="A4928" s="67"/>
      <c r="D4928" s="56"/>
    </row>
    <row r="4929">
      <c r="A4929" s="67"/>
      <c r="D4929" s="56"/>
    </row>
    <row r="4930">
      <c r="A4930" s="67"/>
      <c r="D4930" s="56"/>
    </row>
    <row r="4931">
      <c r="A4931" s="67"/>
      <c r="D4931" s="56"/>
    </row>
    <row r="4932">
      <c r="A4932" s="67"/>
      <c r="D4932" s="56"/>
    </row>
    <row r="4933">
      <c r="A4933" s="67"/>
      <c r="D4933" s="56"/>
    </row>
    <row r="4934">
      <c r="A4934" s="67"/>
      <c r="D4934" s="56"/>
    </row>
    <row r="4935">
      <c r="A4935" s="67"/>
      <c r="D4935" s="56"/>
    </row>
    <row r="4936">
      <c r="A4936" s="67"/>
      <c r="D4936" s="56"/>
    </row>
    <row r="4937">
      <c r="A4937" s="67"/>
      <c r="D4937" s="56"/>
    </row>
    <row r="4938">
      <c r="A4938" s="67"/>
      <c r="D4938" s="56"/>
    </row>
    <row r="4939">
      <c r="A4939" s="67"/>
      <c r="D4939" s="56"/>
    </row>
    <row r="4940">
      <c r="A4940" s="67"/>
      <c r="D4940" s="56"/>
    </row>
    <row r="4941">
      <c r="A4941" s="67"/>
      <c r="D4941" s="56"/>
    </row>
    <row r="4942">
      <c r="A4942" s="67"/>
      <c r="D4942" s="56"/>
    </row>
    <row r="4943">
      <c r="A4943" s="67"/>
      <c r="D4943" s="56"/>
    </row>
    <row r="4944">
      <c r="A4944" s="67"/>
      <c r="D4944" s="56"/>
    </row>
    <row r="4945">
      <c r="A4945" s="67"/>
      <c r="D4945" s="56"/>
    </row>
    <row r="4946">
      <c r="A4946" s="67"/>
      <c r="D4946" s="56"/>
    </row>
    <row r="4947">
      <c r="A4947" s="67"/>
      <c r="D4947" s="56"/>
    </row>
    <row r="4948">
      <c r="A4948" s="67"/>
      <c r="D4948" s="56"/>
    </row>
    <row r="4949">
      <c r="A4949" s="67"/>
      <c r="D4949" s="56"/>
    </row>
    <row r="4950">
      <c r="A4950" s="67"/>
      <c r="D4950" s="56"/>
    </row>
    <row r="4951">
      <c r="A4951" s="67"/>
      <c r="D4951" s="56"/>
    </row>
    <row r="4952">
      <c r="A4952" s="67"/>
      <c r="D4952" s="56"/>
    </row>
    <row r="4953">
      <c r="A4953" s="67"/>
      <c r="D4953" s="56"/>
    </row>
    <row r="4954">
      <c r="A4954" s="67"/>
      <c r="D4954" s="56"/>
    </row>
    <row r="4955">
      <c r="A4955" s="67"/>
      <c r="D4955" s="56"/>
    </row>
    <row r="4956">
      <c r="A4956" s="67"/>
      <c r="D4956" s="56"/>
    </row>
    <row r="4957">
      <c r="A4957" s="67"/>
      <c r="D4957" s="56"/>
    </row>
    <row r="4958">
      <c r="A4958" s="67"/>
      <c r="D4958" s="56"/>
    </row>
    <row r="4959">
      <c r="A4959" s="67"/>
      <c r="D4959" s="56"/>
    </row>
    <row r="4960">
      <c r="A4960" s="67"/>
      <c r="D4960" s="56"/>
    </row>
    <row r="4961">
      <c r="A4961" s="67"/>
      <c r="D4961" s="56"/>
    </row>
    <row r="4962">
      <c r="A4962" s="67"/>
      <c r="D4962" s="56"/>
    </row>
    <row r="4963">
      <c r="A4963" s="67"/>
      <c r="D4963" s="56"/>
    </row>
    <row r="4964">
      <c r="A4964" s="67"/>
      <c r="D4964" s="56"/>
    </row>
    <row r="4965">
      <c r="A4965" s="67"/>
      <c r="D4965" s="56"/>
    </row>
    <row r="4966">
      <c r="A4966" s="67"/>
      <c r="D4966" s="56"/>
    </row>
    <row r="4967">
      <c r="A4967" s="68"/>
      <c r="D4967" s="56"/>
    </row>
    <row r="4968">
      <c r="A4968" s="68"/>
      <c r="D4968" s="56"/>
    </row>
    <row r="4969">
      <c r="A4969" s="68"/>
      <c r="D4969" s="56"/>
    </row>
    <row r="4970">
      <c r="A4970" s="68"/>
      <c r="D4970" s="56"/>
    </row>
    <row r="4971">
      <c r="A4971" s="68"/>
      <c r="D4971" s="56"/>
    </row>
    <row r="4972">
      <c r="A4972" s="68"/>
      <c r="D4972" s="56"/>
    </row>
    <row r="4973">
      <c r="A4973" s="68"/>
      <c r="D4973" s="62"/>
    </row>
    <row r="4974">
      <c r="A4974" s="68"/>
      <c r="D4974" s="56"/>
    </row>
    <row r="4975">
      <c r="A4975" s="68"/>
      <c r="D4975" s="56"/>
    </row>
    <row r="4976">
      <c r="A4976" s="68"/>
      <c r="D4976" s="56"/>
    </row>
    <row r="4977">
      <c r="A4977" s="68"/>
      <c r="D4977" s="56"/>
    </row>
    <row r="4978">
      <c r="A4978" s="68"/>
      <c r="D4978" s="56"/>
    </row>
    <row r="4979">
      <c r="A4979" s="68"/>
      <c r="D4979" s="56"/>
    </row>
    <row r="4980">
      <c r="A4980" s="68"/>
      <c r="D4980" s="56"/>
    </row>
    <row r="4981">
      <c r="A4981" s="68"/>
      <c r="D4981" s="56"/>
    </row>
    <row r="4982">
      <c r="A4982" s="68"/>
      <c r="D4982" s="56"/>
    </row>
    <row r="4983">
      <c r="A4983" s="68"/>
      <c r="D4983" s="56"/>
    </row>
    <row r="4984">
      <c r="A4984" s="68"/>
      <c r="D4984" s="56"/>
    </row>
    <row r="4985">
      <c r="A4985" s="68"/>
      <c r="D4985" s="56"/>
    </row>
    <row r="4986">
      <c r="A4986" s="68"/>
      <c r="D4986" s="56"/>
    </row>
    <row r="4987">
      <c r="A4987" s="68"/>
      <c r="D4987" s="56"/>
    </row>
    <row r="4988">
      <c r="A4988" s="68"/>
      <c r="D4988" s="56"/>
    </row>
    <row r="4989">
      <c r="A4989" s="68"/>
      <c r="D4989" s="56"/>
    </row>
    <row r="4990">
      <c r="A4990" s="68"/>
      <c r="D4990" s="56"/>
    </row>
    <row r="4991">
      <c r="A4991" s="68"/>
      <c r="D4991" s="56"/>
    </row>
    <row r="4992">
      <c r="A4992" s="68"/>
      <c r="D4992" s="56"/>
    </row>
    <row r="4993">
      <c r="A4993" s="68"/>
      <c r="D4993" s="56"/>
    </row>
    <row r="4994">
      <c r="A4994" s="68"/>
      <c r="D4994" s="56"/>
    </row>
    <row r="4995">
      <c r="A4995" s="68"/>
      <c r="D4995" s="56"/>
    </row>
    <row r="4996">
      <c r="A4996" s="68"/>
      <c r="D4996" s="56"/>
    </row>
    <row r="4997">
      <c r="A4997" s="68"/>
      <c r="D4997" s="56"/>
    </row>
    <row r="4998">
      <c r="A4998" s="68"/>
      <c r="D4998" s="56"/>
    </row>
    <row r="4999">
      <c r="A4999" s="68"/>
      <c r="D4999" s="56"/>
    </row>
    <row r="5000">
      <c r="A5000" s="68"/>
      <c r="D5000" s="56"/>
    </row>
    <row r="5001">
      <c r="A5001" s="68"/>
      <c r="D5001" s="56"/>
    </row>
    <row r="5002">
      <c r="A5002" s="68"/>
      <c r="D5002" s="56"/>
    </row>
    <row r="5003">
      <c r="A5003" s="68"/>
      <c r="D5003" s="56"/>
    </row>
    <row r="5004">
      <c r="A5004" s="68"/>
      <c r="D5004" s="56"/>
    </row>
    <row r="5005">
      <c r="A5005" s="68"/>
      <c r="D5005" s="56"/>
    </row>
    <row r="5006">
      <c r="A5006" s="68"/>
      <c r="D5006" s="56"/>
    </row>
    <row r="5007">
      <c r="A5007" s="68"/>
      <c r="D5007" s="56"/>
    </row>
    <row r="5008">
      <c r="A5008" s="68"/>
      <c r="D5008" s="56"/>
    </row>
    <row r="5009">
      <c r="A5009" s="68"/>
      <c r="D5009" s="56"/>
    </row>
    <row r="5010">
      <c r="A5010" s="68"/>
      <c r="D5010" s="56"/>
    </row>
    <row r="5011">
      <c r="A5011" s="68"/>
      <c r="D5011" s="56"/>
    </row>
    <row r="5012">
      <c r="A5012" s="68"/>
      <c r="D5012" s="56"/>
    </row>
    <row r="5013">
      <c r="A5013" s="68"/>
      <c r="D5013" s="56"/>
    </row>
    <row r="5014">
      <c r="A5014" s="68"/>
      <c r="D5014" s="56"/>
    </row>
    <row r="5015">
      <c r="A5015" s="68"/>
      <c r="D5015" s="56"/>
    </row>
    <row r="5016">
      <c r="A5016" s="68"/>
      <c r="D5016" s="56"/>
    </row>
    <row r="5017">
      <c r="A5017" s="68"/>
      <c r="D5017" s="56"/>
    </row>
    <row r="5018">
      <c r="A5018" s="68"/>
      <c r="D5018" s="56"/>
    </row>
    <row r="5019">
      <c r="A5019" s="68"/>
      <c r="D5019" s="56"/>
    </row>
    <row r="5020">
      <c r="A5020" s="68"/>
      <c r="D5020" s="56"/>
    </row>
    <row r="5021">
      <c r="A5021" s="68"/>
      <c r="D5021" s="56"/>
    </row>
    <row r="5022">
      <c r="A5022" s="68"/>
      <c r="D5022" s="56"/>
    </row>
    <row r="5023">
      <c r="A5023" s="68"/>
      <c r="D5023" s="56"/>
    </row>
    <row r="5024">
      <c r="A5024" s="68"/>
      <c r="D5024" s="56"/>
    </row>
    <row r="5025">
      <c r="A5025" s="68"/>
      <c r="D5025" s="56"/>
    </row>
    <row r="5026">
      <c r="A5026" s="68"/>
      <c r="D5026" s="56"/>
    </row>
    <row r="5027">
      <c r="A5027" s="68"/>
      <c r="D5027" s="56"/>
    </row>
    <row r="5028">
      <c r="A5028" s="68"/>
      <c r="D5028" s="56"/>
    </row>
    <row r="5029">
      <c r="A5029" s="68"/>
      <c r="D5029" s="56"/>
    </row>
    <row r="5030">
      <c r="A5030" s="68"/>
      <c r="D5030" s="56"/>
    </row>
    <row r="5031">
      <c r="A5031" s="68"/>
      <c r="D5031" s="56"/>
    </row>
    <row r="5032">
      <c r="A5032" s="68"/>
      <c r="D5032" s="56"/>
    </row>
    <row r="5033">
      <c r="A5033" s="68"/>
      <c r="D5033" s="56"/>
    </row>
    <row r="5034">
      <c r="A5034" s="68"/>
      <c r="D5034" s="56"/>
    </row>
    <row r="5035">
      <c r="A5035" s="68"/>
      <c r="D5035" s="56"/>
    </row>
    <row r="5036">
      <c r="A5036" s="68"/>
      <c r="D5036" s="56"/>
    </row>
    <row r="5037">
      <c r="A5037" s="68"/>
      <c r="D5037" s="56"/>
    </row>
    <row r="5038">
      <c r="A5038" s="68"/>
      <c r="D5038" s="56"/>
    </row>
    <row r="5039">
      <c r="A5039" s="68"/>
      <c r="D5039" s="56"/>
    </row>
    <row r="5040">
      <c r="A5040" s="68"/>
      <c r="D5040" s="56"/>
    </row>
    <row r="5041">
      <c r="A5041" s="68"/>
      <c r="D5041" s="56"/>
    </row>
    <row r="5042">
      <c r="A5042" s="68"/>
      <c r="D5042" s="56"/>
    </row>
    <row r="5043">
      <c r="A5043" s="68"/>
      <c r="D5043" s="56"/>
    </row>
    <row r="5044">
      <c r="A5044" s="68"/>
      <c r="D5044" s="56"/>
    </row>
    <row r="5045">
      <c r="A5045" s="68"/>
      <c r="D5045" s="56"/>
    </row>
    <row r="5046">
      <c r="A5046" s="68"/>
      <c r="D5046" s="56"/>
    </row>
    <row r="5047">
      <c r="A5047" s="68"/>
      <c r="D5047" s="56"/>
    </row>
    <row r="5048">
      <c r="A5048" s="68"/>
      <c r="D5048" s="56"/>
    </row>
    <row r="5049">
      <c r="A5049" s="68"/>
      <c r="D5049" s="56"/>
    </row>
    <row r="5050">
      <c r="A5050" s="68"/>
      <c r="D5050" s="56"/>
    </row>
    <row r="5051">
      <c r="A5051" s="68"/>
      <c r="D5051" s="56"/>
    </row>
    <row r="5052">
      <c r="A5052" s="68"/>
      <c r="D5052" s="56"/>
    </row>
    <row r="5053">
      <c r="A5053" s="68"/>
      <c r="D5053" s="56"/>
    </row>
    <row r="5054">
      <c r="A5054" s="68"/>
      <c r="D5054" s="56"/>
    </row>
    <row r="5055">
      <c r="A5055" s="68"/>
      <c r="D5055" s="56"/>
    </row>
    <row r="5056">
      <c r="A5056" s="68"/>
      <c r="D5056" s="56"/>
    </row>
    <row r="5057">
      <c r="A5057" s="68"/>
      <c r="D5057" s="56"/>
    </row>
    <row r="5058">
      <c r="A5058" s="68"/>
      <c r="D5058" s="56"/>
    </row>
    <row r="5059">
      <c r="A5059" s="68"/>
      <c r="D5059" s="56"/>
    </row>
    <row r="5060">
      <c r="A5060" s="68"/>
      <c r="D5060" s="56"/>
    </row>
    <row r="5061">
      <c r="A5061" s="68"/>
      <c r="D5061" s="56"/>
    </row>
    <row r="5062">
      <c r="A5062" s="68"/>
      <c r="D5062" s="56"/>
    </row>
    <row r="5063">
      <c r="A5063" s="68"/>
      <c r="D5063" s="56"/>
    </row>
    <row r="5064">
      <c r="A5064" s="68"/>
      <c r="D5064" s="56"/>
    </row>
    <row r="5065">
      <c r="A5065" s="68"/>
      <c r="D5065" s="56"/>
    </row>
    <row r="5066">
      <c r="A5066" s="68"/>
      <c r="D5066" s="56"/>
    </row>
    <row r="5067">
      <c r="A5067" s="68"/>
      <c r="D5067" s="56"/>
    </row>
    <row r="5068">
      <c r="A5068" s="68"/>
      <c r="D5068" s="56"/>
    </row>
    <row r="5069">
      <c r="A5069" s="68"/>
      <c r="D5069" s="56"/>
    </row>
    <row r="5070">
      <c r="A5070" s="68"/>
      <c r="D5070" s="56"/>
    </row>
    <row r="5071">
      <c r="A5071" s="68"/>
      <c r="D5071" s="56"/>
    </row>
    <row r="5072">
      <c r="A5072" s="68"/>
      <c r="D5072" s="56"/>
    </row>
    <row r="5073">
      <c r="A5073" s="68"/>
      <c r="D5073" s="56"/>
    </row>
    <row r="5074">
      <c r="A5074" s="68"/>
      <c r="D5074" s="56"/>
    </row>
    <row r="5075">
      <c r="A5075" s="68"/>
      <c r="D5075" s="56"/>
    </row>
    <row r="5076">
      <c r="A5076" s="68"/>
      <c r="D5076" s="56"/>
    </row>
    <row r="5077">
      <c r="A5077" s="68"/>
      <c r="D5077" s="56"/>
    </row>
    <row r="5078">
      <c r="A5078" s="68"/>
      <c r="D5078" s="56"/>
    </row>
    <row r="5079">
      <c r="A5079" s="68"/>
      <c r="D5079" s="56"/>
    </row>
    <row r="5080">
      <c r="A5080" s="68"/>
      <c r="D5080" s="56"/>
    </row>
    <row r="5081">
      <c r="A5081" s="68"/>
      <c r="D5081" s="56"/>
    </row>
    <row r="5082">
      <c r="A5082" s="68"/>
      <c r="D5082" s="56"/>
    </row>
    <row r="5083">
      <c r="A5083" s="68"/>
      <c r="D5083" s="56"/>
    </row>
    <row r="5084">
      <c r="A5084" s="68"/>
      <c r="D5084" s="56"/>
    </row>
    <row r="5085">
      <c r="A5085" s="68"/>
      <c r="D5085" s="56"/>
    </row>
    <row r="5086">
      <c r="A5086" s="68"/>
      <c r="D5086" s="56"/>
    </row>
    <row r="5087">
      <c r="A5087" s="68"/>
      <c r="D5087" s="56"/>
    </row>
    <row r="5088">
      <c r="A5088" s="68"/>
      <c r="D5088" s="56"/>
    </row>
    <row r="5089">
      <c r="A5089" s="68"/>
      <c r="D5089" s="56"/>
    </row>
    <row r="5090">
      <c r="A5090" s="68"/>
      <c r="D5090" s="56"/>
    </row>
    <row r="5091">
      <c r="A5091" s="68"/>
      <c r="D5091" s="56"/>
    </row>
    <row r="5092">
      <c r="A5092" s="68"/>
      <c r="D5092" s="56"/>
    </row>
    <row r="5093">
      <c r="A5093" s="68"/>
      <c r="D5093" s="56"/>
    </row>
    <row r="5094">
      <c r="A5094" s="68"/>
      <c r="D5094" s="56"/>
    </row>
    <row r="5095">
      <c r="A5095" s="68"/>
      <c r="D5095" s="56"/>
    </row>
    <row r="5096">
      <c r="A5096" s="68"/>
      <c r="D5096" s="56"/>
    </row>
    <row r="5097">
      <c r="A5097" s="68"/>
      <c r="D5097" s="56"/>
    </row>
    <row r="5098">
      <c r="A5098" s="68"/>
      <c r="D5098" s="56"/>
    </row>
    <row r="5099">
      <c r="A5099" s="68"/>
      <c r="D5099" s="56"/>
    </row>
    <row r="5100">
      <c r="A5100" s="68"/>
      <c r="D5100" s="56"/>
    </row>
    <row r="5101">
      <c r="A5101" s="68"/>
      <c r="D5101" s="56"/>
    </row>
    <row r="5102">
      <c r="A5102" s="68"/>
      <c r="D5102" s="56"/>
    </row>
    <row r="5103">
      <c r="A5103" s="68"/>
      <c r="D5103" s="56"/>
    </row>
    <row r="5104">
      <c r="A5104" s="68"/>
      <c r="D5104" s="56"/>
    </row>
    <row r="5105">
      <c r="A5105" s="68"/>
      <c r="D5105" s="56"/>
    </row>
    <row r="5106">
      <c r="A5106" s="68"/>
      <c r="D5106" s="56"/>
    </row>
    <row r="5107">
      <c r="A5107" s="68"/>
      <c r="D5107" s="56"/>
    </row>
    <row r="5108">
      <c r="A5108" s="68"/>
      <c r="D5108" s="56"/>
    </row>
    <row r="5109">
      <c r="A5109" s="68"/>
      <c r="D5109" s="56"/>
    </row>
    <row r="5110">
      <c r="A5110" s="68"/>
      <c r="D5110" s="62"/>
    </row>
    <row r="5111">
      <c r="A5111" s="68"/>
      <c r="D5111" s="56"/>
    </row>
    <row r="5112">
      <c r="A5112" s="68"/>
      <c r="D5112" s="56"/>
    </row>
    <row r="5113">
      <c r="A5113" s="64"/>
      <c r="D5113" s="56"/>
    </row>
    <row r="5114">
      <c r="A5114" s="64"/>
      <c r="D5114" s="56"/>
    </row>
    <row r="5115">
      <c r="A5115" s="64"/>
      <c r="D5115" s="56"/>
    </row>
    <row r="5116">
      <c r="A5116" s="64"/>
      <c r="D5116" s="56"/>
    </row>
    <row r="5117">
      <c r="A5117" s="64"/>
      <c r="D5117" s="56"/>
    </row>
    <row r="5118">
      <c r="A5118" s="64"/>
      <c r="D5118" s="56"/>
    </row>
    <row r="5119">
      <c r="A5119" s="64"/>
      <c r="D5119" s="56"/>
    </row>
    <row r="5120">
      <c r="A5120" s="64"/>
      <c r="D5120" s="56"/>
    </row>
    <row r="5121">
      <c r="A5121" s="64"/>
      <c r="D5121" s="56"/>
    </row>
    <row r="5122">
      <c r="A5122" s="64"/>
      <c r="D5122" s="56"/>
    </row>
    <row r="5123">
      <c r="A5123" s="64"/>
      <c r="D5123" s="56"/>
    </row>
    <row r="5124">
      <c r="A5124" s="64"/>
      <c r="D5124" s="56"/>
    </row>
    <row r="5125">
      <c r="A5125" s="64"/>
      <c r="D5125" s="56"/>
    </row>
    <row r="5126">
      <c r="A5126" s="64"/>
      <c r="D5126" s="56"/>
    </row>
    <row r="5127">
      <c r="A5127" s="64"/>
      <c r="D5127" s="56"/>
    </row>
    <row r="5128">
      <c r="A5128" s="64"/>
      <c r="D5128" s="56"/>
    </row>
    <row r="5129">
      <c r="A5129" s="64"/>
      <c r="D5129" s="56"/>
    </row>
    <row r="5130">
      <c r="A5130" s="64"/>
      <c r="D5130" s="56"/>
    </row>
    <row r="5131">
      <c r="A5131" s="64"/>
      <c r="D5131" s="56"/>
    </row>
    <row r="5132">
      <c r="A5132" s="64"/>
      <c r="D5132" s="56"/>
    </row>
    <row r="5133">
      <c r="A5133" s="64"/>
      <c r="D5133" s="56"/>
    </row>
    <row r="5134">
      <c r="A5134" s="64"/>
      <c r="D5134" s="56"/>
    </row>
    <row r="5135">
      <c r="A5135" s="64"/>
      <c r="D5135" s="56"/>
    </row>
    <row r="5136">
      <c r="A5136" s="64"/>
      <c r="D5136" s="56"/>
    </row>
    <row r="5137">
      <c r="A5137" s="64"/>
      <c r="D5137" s="56"/>
    </row>
    <row r="5138">
      <c r="A5138" s="64"/>
      <c r="D5138" s="56"/>
    </row>
    <row r="5139">
      <c r="A5139" s="64"/>
      <c r="D5139" s="56"/>
    </row>
    <row r="5140">
      <c r="A5140" s="64"/>
      <c r="D5140" s="56"/>
    </row>
    <row r="5141">
      <c r="A5141" s="64"/>
      <c r="D5141" s="56"/>
    </row>
    <row r="5142">
      <c r="A5142" s="64"/>
      <c r="D5142" s="56"/>
    </row>
    <row r="5143">
      <c r="A5143" s="64"/>
      <c r="D5143" s="56"/>
    </row>
    <row r="5144">
      <c r="A5144" s="64"/>
      <c r="D5144" s="56"/>
    </row>
    <row r="5145">
      <c r="A5145" s="64"/>
      <c r="D5145" s="56"/>
    </row>
    <row r="5146">
      <c r="A5146" s="64"/>
      <c r="D5146" s="56"/>
    </row>
    <row r="5147">
      <c r="A5147" s="64"/>
      <c r="D5147" s="56"/>
    </row>
    <row r="5148">
      <c r="A5148" s="64"/>
      <c r="D5148" s="56"/>
    </row>
    <row r="5149">
      <c r="A5149" s="64"/>
      <c r="D5149" s="56"/>
    </row>
    <row r="5150">
      <c r="A5150" s="64"/>
      <c r="D5150" s="56"/>
    </row>
    <row r="5151">
      <c r="A5151" s="64"/>
      <c r="D5151" s="56"/>
    </row>
    <row r="5152">
      <c r="A5152" s="64"/>
      <c r="D5152" s="56"/>
    </row>
    <row r="5153">
      <c r="A5153" s="64"/>
      <c r="D5153" s="56"/>
    </row>
    <row r="5154">
      <c r="A5154" s="64"/>
      <c r="D5154" s="56"/>
    </row>
    <row r="5155">
      <c r="A5155" s="64"/>
      <c r="D5155" s="56"/>
    </row>
    <row r="5156">
      <c r="A5156" s="64"/>
      <c r="D5156" s="56"/>
    </row>
    <row r="5157">
      <c r="A5157" s="64"/>
      <c r="D5157" s="56"/>
    </row>
    <row r="5158">
      <c r="A5158" s="64"/>
      <c r="D5158" s="56"/>
    </row>
    <row r="5159">
      <c r="A5159" s="64"/>
      <c r="D5159" s="56"/>
    </row>
    <row r="5160">
      <c r="A5160" s="64"/>
      <c r="D5160" s="56"/>
    </row>
    <row r="5161">
      <c r="A5161" s="64"/>
      <c r="D5161" s="56"/>
    </row>
    <row r="5162">
      <c r="A5162" s="64"/>
      <c r="D5162" s="56"/>
    </row>
    <row r="5163">
      <c r="A5163" s="64"/>
      <c r="D5163" s="56"/>
    </row>
    <row r="5164">
      <c r="A5164" s="64"/>
      <c r="D5164" s="56"/>
    </row>
    <row r="5165">
      <c r="A5165" s="64"/>
      <c r="D5165" s="56"/>
    </row>
    <row r="5166">
      <c r="A5166" s="64"/>
      <c r="D5166" s="56"/>
    </row>
    <row r="5167">
      <c r="A5167" s="64"/>
      <c r="D5167" s="56"/>
    </row>
    <row r="5168">
      <c r="A5168" s="64"/>
      <c r="D5168" s="56"/>
    </row>
    <row r="5169">
      <c r="A5169" s="64"/>
      <c r="D5169" s="56"/>
    </row>
    <row r="5170">
      <c r="A5170" s="64"/>
      <c r="D5170" s="56"/>
    </row>
    <row r="5171">
      <c r="A5171" s="64"/>
      <c r="D5171" s="56"/>
    </row>
    <row r="5172">
      <c r="A5172" s="64"/>
      <c r="D5172" s="56"/>
    </row>
    <row r="5173">
      <c r="A5173" s="64"/>
      <c r="D5173" s="56"/>
    </row>
    <row r="5174">
      <c r="A5174" s="64"/>
      <c r="D5174" s="56"/>
    </row>
    <row r="5175">
      <c r="A5175" s="64"/>
      <c r="D5175" s="56"/>
    </row>
    <row r="5176">
      <c r="A5176" s="64"/>
      <c r="D5176" s="56"/>
    </row>
    <row r="5177">
      <c r="A5177" s="64"/>
      <c r="D5177" s="56"/>
    </row>
    <row r="5178">
      <c r="A5178" s="64"/>
      <c r="D5178" s="56"/>
    </row>
    <row r="5179">
      <c r="A5179" s="64"/>
      <c r="D5179" s="56"/>
    </row>
    <row r="5180">
      <c r="A5180" s="64"/>
      <c r="D5180" s="56"/>
    </row>
    <row r="5181">
      <c r="A5181" s="64"/>
      <c r="D5181" s="56"/>
    </row>
    <row r="5182">
      <c r="A5182" s="64"/>
      <c r="D5182" s="56"/>
    </row>
    <row r="5183">
      <c r="A5183" s="64"/>
      <c r="D5183" s="56"/>
    </row>
    <row r="5184">
      <c r="A5184" s="64"/>
      <c r="D5184" s="56"/>
    </row>
    <row r="5185">
      <c r="A5185" s="64"/>
      <c r="D5185" s="56"/>
    </row>
    <row r="5186">
      <c r="A5186" s="64"/>
      <c r="D5186" s="56"/>
    </row>
    <row r="5187">
      <c r="A5187" s="64"/>
      <c r="D5187" s="56"/>
    </row>
    <row r="5188">
      <c r="A5188" s="64"/>
      <c r="D5188" s="56"/>
    </row>
    <row r="5189">
      <c r="A5189" s="64"/>
      <c r="D5189" s="56"/>
    </row>
    <row r="5190">
      <c r="A5190" s="64"/>
      <c r="D5190" s="56"/>
    </row>
    <row r="5191">
      <c r="A5191" s="64"/>
      <c r="D5191" s="56"/>
    </row>
    <row r="5192">
      <c r="A5192" s="64"/>
      <c r="D5192" s="56"/>
    </row>
    <row r="5193">
      <c r="A5193" s="64"/>
      <c r="D5193" s="56"/>
    </row>
    <row r="5194">
      <c r="A5194" s="64"/>
      <c r="D5194" s="56"/>
    </row>
    <row r="5195">
      <c r="A5195" s="64"/>
      <c r="D5195" s="56"/>
    </row>
    <row r="5196">
      <c r="A5196" s="64"/>
      <c r="D5196" s="56"/>
    </row>
    <row r="5197">
      <c r="A5197" s="64"/>
      <c r="D5197" s="56"/>
    </row>
    <row r="5198">
      <c r="A5198" s="64"/>
      <c r="D5198" s="56"/>
    </row>
    <row r="5199">
      <c r="A5199" s="64"/>
      <c r="D5199" s="56"/>
    </row>
    <row r="5200">
      <c r="A5200" s="64"/>
      <c r="D5200" s="56"/>
    </row>
    <row r="5201">
      <c r="A5201" s="64"/>
      <c r="D5201" s="56"/>
    </row>
    <row r="5202">
      <c r="A5202" s="64"/>
      <c r="D5202" s="56"/>
    </row>
    <row r="5203">
      <c r="A5203" s="64"/>
      <c r="D5203" s="56"/>
    </row>
    <row r="5204">
      <c r="A5204" s="64"/>
      <c r="D5204" s="56"/>
    </row>
    <row r="5205">
      <c r="A5205" s="64"/>
      <c r="D5205" s="56"/>
    </row>
    <row r="5206">
      <c r="A5206" s="64"/>
      <c r="D5206" s="56"/>
    </row>
    <row r="5207">
      <c r="A5207" s="64"/>
      <c r="D5207" s="56"/>
    </row>
    <row r="5208">
      <c r="A5208" s="64"/>
      <c r="D5208" s="56"/>
    </row>
    <row r="5209">
      <c r="A5209" s="64"/>
      <c r="D5209" s="56"/>
    </row>
    <row r="5210">
      <c r="A5210" s="64"/>
      <c r="D5210" s="56"/>
    </row>
    <row r="5211">
      <c r="A5211" s="64"/>
      <c r="D5211" s="56"/>
    </row>
    <row r="5212">
      <c r="A5212" s="64"/>
      <c r="D5212" s="56"/>
    </row>
    <row r="5213">
      <c r="A5213" s="64"/>
      <c r="D5213" s="56"/>
    </row>
    <row r="5214">
      <c r="A5214" s="64"/>
      <c r="D5214" s="56"/>
    </row>
    <row r="5215">
      <c r="A5215" s="64"/>
      <c r="D5215" s="56"/>
    </row>
    <row r="5216">
      <c r="A5216" s="64"/>
      <c r="D5216" s="56"/>
    </row>
    <row r="5217">
      <c r="A5217" s="64"/>
      <c r="D5217" s="56"/>
    </row>
    <row r="5218">
      <c r="A5218" s="64"/>
      <c r="D5218" s="56"/>
    </row>
    <row r="5219">
      <c r="A5219" s="64"/>
      <c r="D5219" s="56"/>
    </row>
    <row r="5220">
      <c r="A5220" s="64"/>
      <c r="D5220" s="56"/>
    </row>
    <row r="5221">
      <c r="A5221" s="64"/>
      <c r="D5221" s="56"/>
    </row>
    <row r="5222">
      <c r="A5222" s="64"/>
      <c r="D5222" s="56"/>
    </row>
    <row r="5223">
      <c r="A5223" s="64"/>
      <c r="D5223" s="56"/>
    </row>
    <row r="5224">
      <c r="A5224" s="64"/>
      <c r="D5224" s="56"/>
    </row>
    <row r="5225">
      <c r="A5225" s="64"/>
      <c r="D5225" s="56"/>
    </row>
    <row r="5226">
      <c r="A5226" s="64"/>
      <c r="D5226" s="56"/>
    </row>
    <row r="5227">
      <c r="A5227" s="64"/>
      <c r="D5227" s="56"/>
    </row>
    <row r="5228">
      <c r="A5228" s="64"/>
      <c r="D5228" s="56"/>
    </row>
    <row r="5229">
      <c r="A5229" s="64"/>
      <c r="D5229" s="56"/>
    </row>
    <row r="5230">
      <c r="A5230" s="64"/>
      <c r="D5230" s="56"/>
    </row>
    <row r="5231">
      <c r="A5231" s="64"/>
      <c r="D5231" s="56"/>
    </row>
    <row r="5232">
      <c r="A5232" s="64"/>
      <c r="D5232" s="56"/>
    </row>
    <row r="5233">
      <c r="A5233" s="64"/>
      <c r="D5233" s="56"/>
    </row>
    <row r="5234">
      <c r="A5234" s="64"/>
      <c r="D5234" s="56"/>
    </row>
    <row r="5235">
      <c r="A5235" s="64"/>
      <c r="D5235" s="56"/>
    </row>
    <row r="5236">
      <c r="A5236" s="64"/>
      <c r="D5236" s="56"/>
    </row>
    <row r="5237">
      <c r="A5237" s="66"/>
      <c r="D5237" s="56"/>
    </row>
    <row r="5238">
      <c r="A5238" s="66"/>
      <c r="D5238" s="56"/>
    </row>
    <row r="5239">
      <c r="A5239" s="66"/>
      <c r="D5239" s="56"/>
    </row>
    <row r="5240">
      <c r="A5240" s="66"/>
      <c r="D5240" s="56"/>
    </row>
    <row r="5241">
      <c r="A5241" s="66"/>
      <c r="D5241" s="56"/>
    </row>
    <row r="5242">
      <c r="A5242" s="66"/>
      <c r="D5242" s="56"/>
    </row>
    <row r="5243">
      <c r="A5243" s="66"/>
      <c r="D5243" s="56"/>
    </row>
    <row r="5244">
      <c r="A5244" s="66"/>
      <c r="D5244" s="56"/>
    </row>
    <row r="5245">
      <c r="A5245" s="66"/>
      <c r="D5245" s="56"/>
    </row>
    <row r="5246">
      <c r="A5246" s="66"/>
      <c r="D5246" s="56"/>
    </row>
    <row r="5247">
      <c r="A5247" s="66"/>
      <c r="D5247" s="56"/>
    </row>
    <row r="5248">
      <c r="A5248" s="66"/>
      <c r="D5248" s="56"/>
    </row>
    <row r="5249">
      <c r="A5249" s="66"/>
      <c r="D5249" s="56"/>
    </row>
    <row r="5250">
      <c r="A5250" s="66"/>
      <c r="D5250" s="56"/>
    </row>
    <row r="5251">
      <c r="A5251" s="66"/>
      <c r="D5251" s="56"/>
    </row>
    <row r="5252">
      <c r="A5252" s="66"/>
      <c r="D5252" s="56"/>
    </row>
    <row r="5253">
      <c r="A5253" s="66"/>
      <c r="D5253" s="56"/>
    </row>
    <row r="5254">
      <c r="A5254" s="66"/>
      <c r="D5254" s="56"/>
    </row>
    <row r="5255">
      <c r="A5255" s="66"/>
      <c r="D5255" s="56"/>
    </row>
    <row r="5256">
      <c r="A5256" s="66"/>
      <c r="D5256" s="56"/>
    </row>
    <row r="5257">
      <c r="A5257" s="66"/>
      <c r="D5257" s="56"/>
    </row>
    <row r="5258">
      <c r="A5258" s="66"/>
      <c r="D5258" s="56"/>
    </row>
    <row r="5259">
      <c r="A5259" s="66"/>
      <c r="D5259" s="56"/>
    </row>
    <row r="5260">
      <c r="A5260" s="66"/>
      <c r="D5260" s="56"/>
    </row>
    <row r="5261">
      <c r="A5261" s="66"/>
      <c r="D5261" s="56"/>
    </row>
    <row r="5262">
      <c r="A5262" s="66"/>
      <c r="D5262" s="56"/>
    </row>
    <row r="5263">
      <c r="A5263" s="66"/>
      <c r="D5263" s="56"/>
    </row>
    <row r="5264">
      <c r="A5264" s="66"/>
      <c r="D5264" s="56"/>
    </row>
    <row r="5265">
      <c r="A5265" s="66"/>
      <c r="D5265" s="56"/>
    </row>
    <row r="5266">
      <c r="A5266" s="66"/>
      <c r="D5266" s="56"/>
    </row>
    <row r="5267">
      <c r="A5267" s="66"/>
      <c r="D5267" s="56"/>
    </row>
    <row r="5268">
      <c r="A5268" s="66"/>
      <c r="D5268" s="56"/>
    </row>
    <row r="5269">
      <c r="A5269" s="66"/>
      <c r="D5269" s="56"/>
    </row>
    <row r="5270">
      <c r="A5270" s="66"/>
      <c r="D5270" s="56"/>
    </row>
    <row r="5271">
      <c r="A5271" s="64"/>
      <c r="D5271" s="56"/>
    </row>
    <row r="5272">
      <c r="A5272" s="64"/>
      <c r="D5272" s="56"/>
    </row>
    <row r="5273">
      <c r="A5273" s="64"/>
      <c r="D5273" s="56"/>
    </row>
    <row r="5274">
      <c r="A5274" s="64"/>
      <c r="D5274" s="56"/>
    </row>
    <row r="5275">
      <c r="A5275" s="64"/>
      <c r="D5275" s="56"/>
    </row>
    <row r="5276">
      <c r="A5276" s="64"/>
      <c r="D5276" s="56"/>
    </row>
    <row r="5277">
      <c r="A5277" s="64"/>
      <c r="D5277" s="56"/>
    </row>
    <row r="5278">
      <c r="A5278" s="64"/>
      <c r="D5278" s="56"/>
    </row>
    <row r="5279">
      <c r="A5279" s="64"/>
      <c r="D5279" s="56"/>
    </row>
    <row r="5280">
      <c r="A5280" s="64"/>
      <c r="D5280" s="56"/>
    </row>
    <row r="5281">
      <c r="A5281" s="64"/>
      <c r="D5281" s="56"/>
    </row>
    <row r="5282">
      <c r="A5282" s="64"/>
      <c r="D5282" s="56"/>
    </row>
    <row r="5283">
      <c r="A5283" s="64"/>
      <c r="D5283" s="56"/>
    </row>
    <row r="5284">
      <c r="A5284" s="64"/>
      <c r="D5284" s="56"/>
    </row>
    <row r="5285">
      <c r="A5285" s="64"/>
      <c r="D5285" s="56"/>
    </row>
    <row r="5286">
      <c r="A5286" s="64"/>
      <c r="D5286" s="56"/>
    </row>
    <row r="5287">
      <c r="A5287" s="64"/>
      <c r="D5287" s="56"/>
    </row>
    <row r="5288">
      <c r="A5288" s="64"/>
      <c r="D5288" s="56"/>
    </row>
    <row r="5289">
      <c r="A5289" s="64"/>
      <c r="D5289" s="56"/>
    </row>
    <row r="5290">
      <c r="A5290" s="64"/>
      <c r="D5290" s="56"/>
    </row>
    <row r="5291">
      <c r="A5291" s="64"/>
      <c r="D5291" s="56"/>
    </row>
    <row r="5292">
      <c r="A5292" s="64"/>
      <c r="D5292" s="56"/>
    </row>
    <row r="5293">
      <c r="A5293" s="64"/>
      <c r="D5293" s="56"/>
    </row>
    <row r="5294">
      <c r="A5294" s="64"/>
      <c r="D5294" s="56"/>
    </row>
    <row r="5295">
      <c r="A5295" s="64"/>
      <c r="D5295" s="56"/>
    </row>
    <row r="5296">
      <c r="A5296" s="64"/>
      <c r="D5296" s="56"/>
    </row>
    <row r="5297">
      <c r="A5297" s="64"/>
      <c r="D5297" s="56"/>
    </row>
    <row r="5298">
      <c r="A5298" s="64"/>
      <c r="D5298" s="56"/>
    </row>
    <row r="5299">
      <c r="A5299" s="64"/>
      <c r="D5299" s="56"/>
    </row>
    <row r="5300">
      <c r="A5300" s="64"/>
      <c r="D5300" s="56"/>
    </row>
    <row r="5301">
      <c r="A5301" s="64"/>
      <c r="D5301" s="56"/>
    </row>
    <row r="5302">
      <c r="A5302" s="64"/>
      <c r="D5302" s="56"/>
    </row>
    <row r="5303">
      <c r="A5303" s="64"/>
      <c r="D5303" s="56"/>
    </row>
    <row r="5304">
      <c r="A5304" s="64"/>
      <c r="D5304" s="56"/>
    </row>
    <row r="5305">
      <c r="A5305" s="64"/>
      <c r="D5305" s="56"/>
    </row>
    <row r="5306">
      <c r="A5306" s="64"/>
      <c r="D5306" s="56"/>
    </row>
    <row r="5307">
      <c r="A5307" s="64"/>
      <c r="D5307" s="56"/>
    </row>
    <row r="5308">
      <c r="A5308" s="64"/>
      <c r="D5308" s="56"/>
    </row>
    <row r="5309">
      <c r="A5309" s="64"/>
      <c r="D5309" s="56"/>
    </row>
    <row r="5310">
      <c r="A5310" s="64"/>
      <c r="D5310" s="56"/>
    </row>
    <row r="5311">
      <c r="A5311" s="64"/>
      <c r="D5311" s="56"/>
    </row>
    <row r="5312">
      <c r="A5312" s="64"/>
      <c r="D5312" s="56"/>
    </row>
    <row r="5313">
      <c r="A5313" s="64"/>
      <c r="D5313" s="56"/>
    </row>
    <row r="5314">
      <c r="A5314" s="64"/>
      <c r="D5314" s="56"/>
    </row>
    <row r="5315">
      <c r="A5315" s="64"/>
      <c r="D5315" s="56"/>
    </row>
    <row r="5316">
      <c r="A5316" s="64"/>
      <c r="D5316" s="56"/>
    </row>
    <row r="5317">
      <c r="A5317" s="66"/>
      <c r="D5317" s="56"/>
    </row>
    <row r="5318">
      <c r="A5318" s="66"/>
      <c r="D5318" s="56"/>
    </row>
    <row r="5319">
      <c r="A5319" s="66"/>
      <c r="D5319" s="56"/>
    </row>
    <row r="5320">
      <c r="A5320" s="66"/>
      <c r="D5320" s="56"/>
    </row>
    <row r="5321">
      <c r="A5321" s="66"/>
      <c r="D5321" s="56"/>
    </row>
    <row r="5322">
      <c r="A5322" s="66"/>
      <c r="D5322" s="56"/>
    </row>
    <row r="5323">
      <c r="A5323" s="66"/>
      <c r="D5323" s="56"/>
    </row>
    <row r="5324">
      <c r="A5324" s="66"/>
      <c r="D5324" s="56"/>
    </row>
    <row r="5325">
      <c r="A5325" s="66"/>
      <c r="D5325" s="56"/>
    </row>
    <row r="5326">
      <c r="A5326" s="66"/>
      <c r="D5326" s="56"/>
    </row>
    <row r="5327">
      <c r="A5327" s="66"/>
      <c r="D5327" s="56"/>
    </row>
    <row r="5328">
      <c r="A5328" s="66"/>
      <c r="D5328" s="56"/>
    </row>
    <row r="5329">
      <c r="A5329" s="66"/>
      <c r="D5329" s="62"/>
    </row>
    <row r="5330">
      <c r="A5330" s="66"/>
      <c r="D5330" s="56"/>
    </row>
    <row r="5331">
      <c r="A5331" s="66"/>
      <c r="D5331" s="56"/>
    </row>
    <row r="5332">
      <c r="A5332" s="66"/>
      <c r="D5332" s="56"/>
    </row>
    <row r="5333">
      <c r="A5333" s="66"/>
      <c r="D5333" s="56"/>
    </row>
    <row r="5334">
      <c r="A5334" s="66"/>
      <c r="D5334" s="56"/>
    </row>
    <row r="5335">
      <c r="A5335" s="66"/>
      <c r="D5335" s="56"/>
    </row>
    <row r="5336">
      <c r="A5336" s="64"/>
      <c r="D5336" s="56"/>
    </row>
    <row r="5337">
      <c r="A5337" s="64"/>
      <c r="D5337" s="56"/>
    </row>
    <row r="5338">
      <c r="A5338" s="64"/>
      <c r="D5338" s="56"/>
    </row>
    <row r="5339">
      <c r="A5339" s="64"/>
      <c r="D5339" s="56"/>
    </row>
    <row r="5340">
      <c r="A5340" s="64"/>
      <c r="D5340" s="56"/>
    </row>
    <row r="5341">
      <c r="A5341" s="64"/>
      <c r="D5341" s="56"/>
    </row>
    <row r="5342">
      <c r="A5342" s="64"/>
      <c r="D5342" s="56"/>
    </row>
    <row r="5343">
      <c r="A5343" s="64"/>
      <c r="D5343" s="56"/>
    </row>
    <row r="5344">
      <c r="A5344" s="64"/>
      <c r="D5344" s="56"/>
    </row>
    <row r="5345">
      <c r="A5345" s="64"/>
      <c r="D5345" s="56"/>
    </row>
    <row r="5346">
      <c r="A5346" s="64"/>
      <c r="D5346" s="56"/>
    </row>
    <row r="5347">
      <c r="A5347" s="64"/>
      <c r="D5347" s="56"/>
    </row>
    <row r="5348">
      <c r="A5348" s="64"/>
      <c r="D5348" s="56"/>
    </row>
    <row r="5349">
      <c r="A5349" s="64"/>
      <c r="D5349" s="56"/>
    </row>
    <row r="5350">
      <c r="A5350" s="64"/>
      <c r="D5350" s="56"/>
    </row>
    <row r="5351">
      <c r="A5351" s="64"/>
      <c r="D5351" s="56"/>
    </row>
    <row r="5352">
      <c r="A5352" s="64"/>
      <c r="D5352" s="56"/>
    </row>
    <row r="5353">
      <c r="A5353" s="64"/>
      <c r="D5353" s="56"/>
    </row>
    <row r="5354">
      <c r="A5354" s="64"/>
      <c r="D5354" s="56"/>
    </row>
    <row r="5355">
      <c r="A5355" s="64"/>
      <c r="D5355" s="56"/>
    </row>
    <row r="5356">
      <c r="A5356" s="64"/>
      <c r="D5356" s="56"/>
    </row>
    <row r="5357">
      <c r="A5357" s="64"/>
      <c r="D5357" s="56"/>
    </row>
    <row r="5358">
      <c r="A5358" s="64"/>
      <c r="D5358" s="56"/>
    </row>
    <row r="5359">
      <c r="A5359" s="64"/>
      <c r="D5359" s="56"/>
    </row>
    <row r="5360">
      <c r="A5360" s="64"/>
      <c r="D5360" s="56"/>
    </row>
    <row r="5361">
      <c r="A5361" s="64"/>
      <c r="D5361" s="56"/>
    </row>
    <row r="5362">
      <c r="A5362" s="64"/>
      <c r="D5362" s="56"/>
    </row>
    <row r="5363">
      <c r="A5363" s="64"/>
      <c r="D5363" s="56"/>
    </row>
    <row r="5364">
      <c r="A5364" s="64"/>
      <c r="D5364" s="56"/>
    </row>
    <row r="5365">
      <c r="A5365" s="64"/>
      <c r="D5365" s="56"/>
    </row>
    <row r="5366">
      <c r="A5366" s="64"/>
      <c r="D5366" s="56"/>
    </row>
    <row r="5367">
      <c r="A5367" s="64"/>
      <c r="D5367" s="56"/>
    </row>
    <row r="5368">
      <c r="A5368" s="66"/>
      <c r="D5368" s="56"/>
    </row>
    <row r="5369">
      <c r="A5369" s="66"/>
      <c r="D5369" s="56"/>
    </row>
    <row r="5370">
      <c r="A5370" s="66"/>
      <c r="D5370" s="56"/>
    </row>
    <row r="5371">
      <c r="A5371" s="66"/>
      <c r="D5371" s="56"/>
    </row>
    <row r="5372">
      <c r="A5372" s="66"/>
      <c r="D5372" s="56"/>
    </row>
    <row r="5373">
      <c r="A5373" s="66"/>
      <c r="D5373" s="56"/>
    </row>
    <row r="5374">
      <c r="A5374" s="66"/>
      <c r="D5374" s="56"/>
    </row>
    <row r="5375">
      <c r="A5375" s="66"/>
      <c r="D5375" s="56"/>
    </row>
    <row r="5376">
      <c r="A5376" s="66"/>
      <c r="D5376" s="56"/>
    </row>
    <row r="5377">
      <c r="A5377" s="66"/>
      <c r="D5377" s="56"/>
    </row>
    <row r="5378">
      <c r="A5378" s="66"/>
      <c r="D5378" s="56"/>
    </row>
    <row r="5379">
      <c r="A5379" s="66"/>
      <c r="D5379" s="56"/>
    </row>
    <row r="5380">
      <c r="A5380" s="66"/>
      <c r="D5380" s="56"/>
    </row>
    <row r="5381">
      <c r="A5381" s="66"/>
      <c r="D5381" s="56"/>
    </row>
    <row r="5382">
      <c r="A5382" s="66"/>
      <c r="D5382" s="56"/>
    </row>
    <row r="5383">
      <c r="A5383" s="66"/>
      <c r="D5383" s="56"/>
    </row>
    <row r="5384">
      <c r="A5384" s="66"/>
      <c r="D5384" s="56"/>
    </row>
    <row r="5385">
      <c r="A5385" s="66"/>
      <c r="D5385" s="56"/>
    </row>
    <row r="5386">
      <c r="A5386" s="66"/>
      <c r="D5386" s="56"/>
    </row>
    <row r="5387">
      <c r="A5387" s="66"/>
      <c r="D5387" s="56"/>
    </row>
    <row r="5388">
      <c r="A5388" s="66"/>
      <c r="D5388" s="56"/>
    </row>
    <row r="5389">
      <c r="A5389" s="64"/>
      <c r="D5389" s="56"/>
    </row>
    <row r="5390">
      <c r="A5390" s="64"/>
      <c r="D5390" s="56"/>
    </row>
    <row r="5391">
      <c r="A5391" s="64"/>
      <c r="D5391" s="56"/>
    </row>
    <row r="5392">
      <c r="A5392" s="64"/>
      <c r="D5392" s="56"/>
    </row>
    <row r="5393">
      <c r="A5393" s="64"/>
      <c r="D5393" s="56"/>
    </row>
    <row r="5394">
      <c r="A5394" s="64"/>
      <c r="D5394" s="56"/>
    </row>
    <row r="5395">
      <c r="A5395" s="64"/>
      <c r="D5395" s="56"/>
    </row>
    <row r="5396">
      <c r="A5396" s="64"/>
      <c r="D5396" s="56"/>
    </row>
    <row r="5397">
      <c r="A5397" s="64"/>
      <c r="D5397" s="56"/>
    </row>
    <row r="5398">
      <c r="A5398" s="64"/>
      <c r="D5398" s="56"/>
    </row>
    <row r="5399">
      <c r="A5399" s="64"/>
      <c r="D5399" s="56"/>
    </row>
    <row r="5400">
      <c r="A5400" s="64"/>
      <c r="D5400" s="56"/>
    </row>
    <row r="5401">
      <c r="A5401" s="64"/>
      <c r="D5401" s="56"/>
    </row>
    <row r="5402">
      <c r="A5402" s="64"/>
      <c r="D5402" s="56"/>
    </row>
    <row r="5403">
      <c r="A5403" s="64"/>
      <c r="D5403" s="56"/>
    </row>
    <row r="5404">
      <c r="A5404" s="64"/>
      <c r="D5404" s="56"/>
    </row>
    <row r="5405">
      <c r="A5405" s="64"/>
      <c r="D5405" s="56"/>
    </row>
    <row r="5406">
      <c r="A5406" s="64"/>
      <c r="D5406" s="56"/>
    </row>
    <row r="5407">
      <c r="A5407" s="64"/>
      <c r="D5407" s="56"/>
    </row>
    <row r="5408">
      <c r="A5408" s="64"/>
      <c r="D5408" s="56"/>
    </row>
    <row r="5409">
      <c r="A5409" s="64"/>
      <c r="D5409" s="56"/>
    </row>
    <row r="5410">
      <c r="A5410" s="64"/>
      <c r="D5410" s="56"/>
    </row>
    <row r="5411">
      <c r="A5411" s="64"/>
      <c r="D5411" s="56"/>
    </row>
    <row r="5412">
      <c r="A5412" s="64"/>
      <c r="D5412" s="56"/>
    </row>
    <row r="5413">
      <c r="A5413" s="64"/>
      <c r="D5413" s="56"/>
    </row>
    <row r="5414">
      <c r="A5414" s="64"/>
      <c r="D5414" s="56"/>
    </row>
    <row r="5415">
      <c r="A5415" s="64"/>
      <c r="D5415" s="56"/>
    </row>
    <row r="5416">
      <c r="A5416" s="64"/>
      <c r="D5416" s="56"/>
    </row>
    <row r="5417">
      <c r="A5417" s="64"/>
      <c r="D5417" s="56"/>
    </row>
    <row r="5418">
      <c r="A5418" s="64"/>
      <c r="D5418" s="56"/>
    </row>
    <row r="5419">
      <c r="A5419" s="64"/>
      <c r="D5419" s="56"/>
    </row>
    <row r="5420">
      <c r="A5420" s="64"/>
      <c r="D5420" s="56"/>
    </row>
    <row r="5421">
      <c r="A5421" s="64"/>
      <c r="D5421" s="56"/>
    </row>
    <row r="5422">
      <c r="A5422" s="64"/>
      <c r="D5422" s="56"/>
    </row>
    <row r="5423">
      <c r="A5423" s="64"/>
      <c r="D5423" s="56"/>
    </row>
    <row r="5424">
      <c r="A5424" s="64"/>
      <c r="D5424" s="56"/>
    </row>
    <row r="5425">
      <c r="A5425" s="66"/>
      <c r="D5425" s="56"/>
    </row>
    <row r="5426">
      <c r="A5426" s="66"/>
      <c r="D5426" s="56"/>
    </row>
    <row r="5427">
      <c r="A5427" s="66"/>
      <c r="D5427" s="56"/>
    </row>
    <row r="5428">
      <c r="A5428" s="66"/>
      <c r="D5428" s="56"/>
    </row>
    <row r="5429">
      <c r="A5429" s="66"/>
      <c r="D5429" s="56"/>
    </row>
    <row r="5430">
      <c r="A5430" s="66"/>
      <c r="D5430" s="56"/>
    </row>
    <row r="5431">
      <c r="A5431" s="66"/>
      <c r="D5431" s="56"/>
    </row>
    <row r="5432">
      <c r="A5432" s="66"/>
      <c r="D5432" s="56"/>
    </row>
    <row r="5433">
      <c r="A5433" s="66"/>
      <c r="D5433" s="56"/>
    </row>
    <row r="5434">
      <c r="A5434" s="64"/>
      <c r="D5434" s="56"/>
    </row>
    <row r="5435">
      <c r="A5435" s="64"/>
      <c r="D5435" s="63"/>
    </row>
    <row r="5436">
      <c r="A5436" s="64"/>
      <c r="D5436" s="63"/>
    </row>
    <row r="5437">
      <c r="A5437" s="64"/>
      <c r="D5437" s="63"/>
    </row>
    <row r="5438">
      <c r="A5438" s="64"/>
      <c r="D5438" s="63"/>
    </row>
    <row r="5439">
      <c r="A5439" s="64"/>
      <c r="D5439" s="63"/>
    </row>
    <row r="5440">
      <c r="A5440" s="64"/>
      <c r="D5440" s="63"/>
    </row>
    <row r="5441">
      <c r="A5441" s="64"/>
      <c r="D5441" s="63"/>
    </row>
    <row r="5442">
      <c r="A5442" s="64"/>
      <c r="D5442" s="63"/>
    </row>
    <row r="5443">
      <c r="A5443" s="64"/>
      <c r="D5443" s="63"/>
    </row>
    <row r="5444">
      <c r="A5444" s="64"/>
      <c r="D5444" s="63"/>
    </row>
    <row r="5445">
      <c r="A5445" s="64"/>
      <c r="D5445" s="63"/>
    </row>
    <row r="5446">
      <c r="A5446" s="64"/>
      <c r="D5446" s="63"/>
    </row>
    <row r="5447">
      <c r="A5447" s="64"/>
      <c r="D5447" s="63"/>
    </row>
    <row r="5448">
      <c r="A5448" s="64"/>
      <c r="D5448" s="63"/>
    </row>
    <row r="5449">
      <c r="A5449" s="64"/>
      <c r="D5449" s="63"/>
    </row>
    <row r="5450">
      <c r="A5450" s="64"/>
      <c r="D5450" s="63"/>
    </row>
    <row r="5451">
      <c r="A5451" s="66"/>
      <c r="D5451" s="63"/>
    </row>
    <row r="5452">
      <c r="A5452" s="66"/>
      <c r="D5452" s="63"/>
    </row>
    <row r="5453">
      <c r="A5453" s="66"/>
      <c r="D5453" s="63"/>
    </row>
    <row r="5454">
      <c r="A5454" s="66"/>
      <c r="D5454" s="63"/>
    </row>
    <row r="5455">
      <c r="A5455" s="64"/>
      <c r="D5455" s="63"/>
    </row>
    <row r="5456">
      <c r="A5456" s="64"/>
      <c r="D5456" s="63"/>
    </row>
    <row r="5457">
      <c r="A5457" s="64"/>
      <c r="D5457" s="63"/>
    </row>
    <row r="5458">
      <c r="A5458" s="64"/>
      <c r="D5458" s="63"/>
    </row>
    <row r="5459">
      <c r="A5459" s="64"/>
      <c r="D5459" s="63"/>
    </row>
    <row r="5460">
      <c r="A5460" s="64"/>
      <c r="D5460" s="63"/>
    </row>
    <row r="5461">
      <c r="D5461" s="63"/>
      <c r="F5461" s="70"/>
    </row>
    <row r="5462">
      <c r="D5462" s="63"/>
      <c r="F5462" s="70"/>
    </row>
    <row r="5463">
      <c r="D5463" s="63"/>
      <c r="F5463" s="70"/>
    </row>
    <row r="5464">
      <c r="D5464" s="63"/>
      <c r="F5464" s="70"/>
    </row>
    <row r="5465">
      <c r="D5465" s="63"/>
      <c r="F5465" s="70"/>
    </row>
    <row r="5466">
      <c r="D5466" s="63"/>
      <c r="F5466" s="70"/>
    </row>
    <row r="5467">
      <c r="D5467" s="63"/>
      <c r="F5467" s="70"/>
    </row>
    <row r="5468">
      <c r="D5468" s="63"/>
      <c r="F5468" s="70"/>
    </row>
    <row r="5469">
      <c r="D5469" s="63"/>
      <c r="F5469" s="70"/>
    </row>
    <row r="5470">
      <c r="D5470" s="63"/>
      <c r="F5470" s="70"/>
    </row>
    <row r="5471">
      <c r="D5471" s="63"/>
      <c r="F5471" s="70"/>
    </row>
    <row r="5472">
      <c r="D5472" s="63"/>
      <c r="F5472" s="70"/>
    </row>
    <row r="5473">
      <c r="D5473" s="63"/>
      <c r="F5473" s="70"/>
    </row>
    <row r="5474">
      <c r="D5474" s="63"/>
      <c r="F5474" s="70"/>
    </row>
    <row r="5475">
      <c r="D5475" s="63"/>
      <c r="F5475" s="70"/>
    </row>
    <row r="5476">
      <c r="D5476" s="63"/>
      <c r="F5476" s="70"/>
    </row>
    <row r="5477">
      <c r="D5477" s="63"/>
      <c r="F5477" s="70"/>
    </row>
    <row r="5478">
      <c r="D5478" s="63"/>
      <c r="F5478" s="70"/>
    </row>
    <row r="5479">
      <c r="D5479" s="63"/>
      <c r="F5479" s="70"/>
    </row>
    <row r="5480">
      <c r="D5480" s="63"/>
      <c r="F5480" s="70"/>
    </row>
    <row r="5481">
      <c r="D5481" s="63"/>
      <c r="F5481" s="70"/>
    </row>
    <row r="5482">
      <c r="D5482" s="63"/>
      <c r="F5482" s="70"/>
    </row>
    <row r="5483">
      <c r="D5483" s="63"/>
      <c r="F5483" s="70"/>
    </row>
    <row r="5484">
      <c r="D5484" s="63"/>
      <c r="F5484" s="70"/>
    </row>
    <row r="5485">
      <c r="D5485" s="63"/>
      <c r="F5485" s="70"/>
    </row>
    <row r="5486">
      <c r="D5486" s="63"/>
      <c r="F5486" s="70"/>
    </row>
    <row r="5487">
      <c r="D5487" s="63"/>
      <c r="F5487" s="70"/>
    </row>
    <row r="5488">
      <c r="D5488" s="63"/>
      <c r="F5488" s="70"/>
    </row>
    <row r="5489">
      <c r="D5489" s="63"/>
      <c r="F5489" s="70"/>
    </row>
    <row r="5490">
      <c r="D5490" s="63"/>
      <c r="F5490" s="70"/>
    </row>
    <row r="5491">
      <c r="D5491" s="63"/>
      <c r="F5491" s="70"/>
    </row>
    <row r="5492">
      <c r="D5492" s="63"/>
      <c r="F5492" s="70"/>
    </row>
    <row r="5493">
      <c r="D5493" s="63"/>
      <c r="F5493" s="70"/>
    </row>
    <row r="5494">
      <c r="D5494" s="63"/>
      <c r="F5494" s="70"/>
    </row>
    <row r="5495">
      <c r="D5495" s="63"/>
      <c r="F5495" s="70"/>
    </row>
    <row r="5496">
      <c r="D5496" s="63"/>
      <c r="F5496" s="70"/>
    </row>
    <row r="5497">
      <c r="D5497" s="63"/>
      <c r="F5497" s="70"/>
    </row>
    <row r="5498">
      <c r="D5498" s="63"/>
      <c r="F5498" s="70"/>
    </row>
    <row r="5499">
      <c r="D5499" s="63"/>
      <c r="F5499" s="70"/>
    </row>
    <row r="5500">
      <c r="D5500" s="63"/>
      <c r="F5500" s="70"/>
    </row>
    <row r="5501">
      <c r="D5501" s="63"/>
      <c r="F5501" s="70"/>
    </row>
    <row r="5502">
      <c r="D5502" s="63"/>
      <c r="F5502" s="70"/>
    </row>
    <row r="5503">
      <c r="D5503" s="63"/>
      <c r="F5503" s="70"/>
    </row>
    <row r="5504">
      <c r="D5504" s="63"/>
      <c r="F5504" s="70"/>
    </row>
    <row r="5505">
      <c r="D5505" s="63"/>
      <c r="F5505" s="70"/>
    </row>
    <row r="5506">
      <c r="D5506" s="63"/>
      <c r="F5506" s="70"/>
    </row>
    <row r="5507">
      <c r="D5507" s="63"/>
      <c r="F5507" s="70"/>
    </row>
    <row r="5508">
      <c r="D5508" s="63"/>
      <c r="F5508" s="70"/>
    </row>
    <row r="5509">
      <c r="D5509" s="63"/>
      <c r="F5509" s="70"/>
    </row>
    <row r="5510">
      <c r="D5510" s="63"/>
      <c r="F5510" s="70"/>
    </row>
    <row r="5511">
      <c r="D5511" s="63"/>
      <c r="F5511" s="70"/>
    </row>
    <row r="5512">
      <c r="D5512" s="63"/>
      <c r="F5512" s="70"/>
    </row>
    <row r="5513">
      <c r="D5513" s="63"/>
      <c r="F5513" s="70"/>
    </row>
    <row r="5514">
      <c r="D5514" s="63"/>
      <c r="F5514" s="70"/>
    </row>
    <row r="5515">
      <c r="D5515" s="63"/>
      <c r="F5515" s="70"/>
    </row>
    <row r="5516">
      <c r="D5516" s="63"/>
      <c r="F5516" s="70"/>
    </row>
    <row r="5517">
      <c r="D5517" s="63"/>
      <c r="F5517" s="70"/>
    </row>
    <row r="5518">
      <c r="D5518" s="63"/>
      <c r="F5518" s="70"/>
    </row>
    <row r="5519">
      <c r="D5519" s="63"/>
      <c r="F5519" s="70"/>
    </row>
    <row r="5520">
      <c r="D5520" s="63"/>
      <c r="F5520" s="70"/>
    </row>
    <row r="5521">
      <c r="D5521" s="63"/>
      <c r="F5521" s="70"/>
    </row>
    <row r="5522">
      <c r="D5522" s="63"/>
      <c r="F5522" s="70"/>
    </row>
    <row r="5523">
      <c r="D5523" s="63"/>
      <c r="F5523" s="70"/>
    </row>
    <row r="5524">
      <c r="D5524" s="63"/>
      <c r="F5524" s="70"/>
    </row>
    <row r="5525">
      <c r="D5525" s="63"/>
      <c r="F5525" s="70"/>
    </row>
    <row r="5526">
      <c r="D5526" s="63"/>
      <c r="F5526" s="70"/>
    </row>
    <row r="5527">
      <c r="D5527" s="63"/>
      <c r="F5527" s="70"/>
    </row>
    <row r="5528">
      <c r="D5528" s="63"/>
      <c r="F5528" s="70"/>
    </row>
    <row r="5529">
      <c r="D5529" s="63"/>
      <c r="F5529" s="70"/>
    </row>
    <row r="5530">
      <c r="D5530" s="63"/>
      <c r="F5530" s="70"/>
    </row>
    <row r="5531">
      <c r="D5531" s="63"/>
      <c r="F5531" s="70"/>
    </row>
    <row r="5532">
      <c r="D5532" s="63"/>
      <c r="F5532" s="70"/>
    </row>
    <row r="5533">
      <c r="D5533" s="63"/>
      <c r="F5533" s="70"/>
    </row>
    <row r="5534">
      <c r="D5534" s="63"/>
      <c r="F5534" s="70"/>
    </row>
    <row r="5535">
      <c r="D5535" s="63"/>
      <c r="F5535" s="70"/>
    </row>
    <row r="5536">
      <c r="D5536" s="63"/>
      <c r="F5536" s="70"/>
    </row>
    <row r="5537">
      <c r="D5537" s="63"/>
      <c r="F5537" s="70"/>
    </row>
    <row r="5538">
      <c r="D5538" s="63"/>
      <c r="F5538" s="70"/>
    </row>
    <row r="5539">
      <c r="D5539" s="63"/>
      <c r="F5539" s="70"/>
    </row>
    <row r="5540">
      <c r="D5540" s="63"/>
      <c r="F5540" s="70"/>
    </row>
    <row r="5541">
      <c r="D5541" s="63"/>
      <c r="F5541" s="70"/>
    </row>
    <row r="5542">
      <c r="D5542" s="63"/>
      <c r="F5542" s="70"/>
    </row>
    <row r="5543">
      <c r="D5543" s="63"/>
      <c r="F5543" s="70"/>
    </row>
    <row r="5544">
      <c r="D5544" s="63"/>
      <c r="F5544" s="70"/>
    </row>
    <row r="5545">
      <c r="D5545" s="63"/>
      <c r="F5545" s="70"/>
    </row>
    <row r="5546">
      <c r="D5546" s="63"/>
      <c r="F5546" s="70"/>
    </row>
    <row r="5547">
      <c r="D5547" s="63"/>
      <c r="F5547" s="70"/>
    </row>
    <row r="5548">
      <c r="D5548" s="63"/>
      <c r="F5548" s="70"/>
    </row>
    <row r="5549">
      <c r="D5549" s="63"/>
      <c r="F5549" s="70"/>
    </row>
    <row r="5550">
      <c r="D5550" s="63"/>
      <c r="F5550" s="70"/>
    </row>
    <row r="5551">
      <c r="D5551" s="63"/>
      <c r="F5551" s="70"/>
    </row>
    <row r="5552">
      <c r="D5552" s="63"/>
      <c r="F5552" s="70"/>
    </row>
    <row r="5553">
      <c r="D5553" s="63"/>
      <c r="F5553" s="70"/>
    </row>
    <row r="5554">
      <c r="D5554" s="63"/>
      <c r="F5554" s="70"/>
    </row>
    <row r="5555">
      <c r="D5555" s="63"/>
      <c r="F5555" s="70"/>
    </row>
    <row r="5556">
      <c r="D5556" s="63"/>
      <c r="F5556" s="70"/>
    </row>
    <row r="5557">
      <c r="D5557" s="63"/>
      <c r="F5557" s="70"/>
    </row>
    <row r="5558">
      <c r="D5558" s="63"/>
      <c r="F5558" s="70"/>
    </row>
    <row r="5559">
      <c r="D5559" s="63"/>
      <c r="F5559" s="70"/>
    </row>
    <row r="5560">
      <c r="D5560" s="63"/>
      <c r="F5560" s="70"/>
    </row>
    <row r="5561">
      <c r="D5561" s="63"/>
      <c r="F5561" s="70"/>
    </row>
    <row r="5562">
      <c r="D5562" s="63"/>
      <c r="F5562" s="70"/>
    </row>
    <row r="5563">
      <c r="D5563" s="63"/>
      <c r="F5563" s="70"/>
    </row>
    <row r="5564">
      <c r="D5564" s="63"/>
      <c r="F5564" s="70"/>
    </row>
    <row r="5565">
      <c r="D5565" s="63"/>
      <c r="F5565" s="70"/>
    </row>
    <row r="5566">
      <c r="D5566" s="63"/>
      <c r="F5566" s="70"/>
    </row>
    <row r="5567">
      <c r="D5567" s="63"/>
      <c r="F5567" s="70"/>
    </row>
    <row r="5568">
      <c r="D5568" s="63"/>
      <c r="F5568" s="70"/>
    </row>
    <row r="5569">
      <c r="D5569" s="63"/>
      <c r="F5569" s="70"/>
    </row>
    <row r="5570">
      <c r="D5570" s="63"/>
      <c r="F5570" s="70"/>
    </row>
    <row r="5571">
      <c r="D5571" s="63"/>
      <c r="F5571" s="70"/>
    </row>
    <row r="5572">
      <c r="D5572" s="63"/>
      <c r="F5572" s="70"/>
    </row>
    <row r="5573">
      <c r="D5573" s="63"/>
      <c r="F5573" s="70"/>
    </row>
    <row r="5574">
      <c r="D5574" s="63"/>
      <c r="F5574" s="70"/>
    </row>
    <row r="5575">
      <c r="D5575" s="63"/>
      <c r="F5575" s="70"/>
    </row>
    <row r="5576">
      <c r="D5576" s="63"/>
      <c r="F5576" s="70"/>
    </row>
    <row r="5577">
      <c r="D5577" s="63"/>
      <c r="F5577" s="70"/>
    </row>
    <row r="5578">
      <c r="D5578" s="63"/>
      <c r="F5578" s="70"/>
    </row>
    <row r="5579">
      <c r="D5579" s="63"/>
      <c r="F5579" s="70"/>
    </row>
    <row r="5580">
      <c r="D5580" s="63"/>
      <c r="F5580" s="70"/>
    </row>
    <row r="5581">
      <c r="D5581" s="63"/>
      <c r="F5581" s="70"/>
    </row>
    <row r="5582">
      <c r="D5582" s="63"/>
      <c r="F5582" s="70"/>
    </row>
    <row r="5583">
      <c r="D5583" s="63"/>
      <c r="F5583" s="70"/>
    </row>
    <row r="5584">
      <c r="D5584" s="63"/>
      <c r="F5584" s="70"/>
    </row>
    <row r="5585">
      <c r="D5585" s="63"/>
      <c r="F5585" s="70"/>
    </row>
    <row r="5586">
      <c r="D5586" s="63"/>
      <c r="F5586" s="70"/>
    </row>
    <row r="5587">
      <c r="D5587" s="63"/>
      <c r="F5587" s="70"/>
    </row>
    <row r="5588">
      <c r="D5588" s="63"/>
      <c r="F5588" s="70"/>
    </row>
    <row r="5589">
      <c r="D5589" s="63"/>
      <c r="F5589" s="70"/>
    </row>
    <row r="5590">
      <c r="D5590" s="63"/>
      <c r="F5590" s="70"/>
    </row>
    <row r="5591">
      <c r="D5591" s="63"/>
      <c r="F5591" s="70"/>
    </row>
    <row r="5592">
      <c r="D5592" s="63"/>
      <c r="F5592" s="70"/>
    </row>
    <row r="5593">
      <c r="D5593" s="63"/>
      <c r="F5593" s="70"/>
    </row>
    <row r="5594">
      <c r="D5594" s="63"/>
      <c r="F5594" s="70"/>
    </row>
    <row r="5595">
      <c r="D5595" s="63"/>
      <c r="F5595" s="70"/>
    </row>
    <row r="5596">
      <c r="D5596" s="63"/>
      <c r="F5596" s="70"/>
    </row>
    <row r="5597">
      <c r="D5597" s="63"/>
      <c r="F5597" s="70"/>
    </row>
    <row r="5598">
      <c r="D5598" s="63"/>
      <c r="F5598" s="70"/>
    </row>
    <row r="5599">
      <c r="D5599" s="63"/>
      <c r="F5599" s="70"/>
    </row>
    <row r="5600">
      <c r="D5600" s="63"/>
      <c r="F5600" s="70"/>
    </row>
    <row r="5601">
      <c r="D5601" s="63"/>
      <c r="F5601" s="70"/>
    </row>
    <row r="5602">
      <c r="D5602" s="63"/>
      <c r="F5602" s="70"/>
    </row>
    <row r="5603">
      <c r="D5603" s="63"/>
      <c r="F5603" s="70"/>
    </row>
    <row r="5604">
      <c r="D5604" s="63"/>
      <c r="F5604" s="70"/>
    </row>
    <row r="5605">
      <c r="D5605" s="63"/>
      <c r="F5605" s="70"/>
    </row>
    <row r="5606">
      <c r="D5606" s="63"/>
      <c r="F5606" s="70"/>
    </row>
    <row r="5607">
      <c r="D5607" s="63"/>
      <c r="F5607" s="70"/>
    </row>
    <row r="5608">
      <c r="D5608" s="63"/>
      <c r="F5608" s="70"/>
    </row>
    <row r="5609">
      <c r="D5609" s="63"/>
      <c r="F5609" s="70"/>
    </row>
    <row r="5610">
      <c r="D5610" s="63"/>
      <c r="F5610" s="70"/>
    </row>
    <row r="5611">
      <c r="D5611" s="63"/>
      <c r="F5611" s="70"/>
    </row>
    <row r="5612">
      <c r="D5612" s="63"/>
      <c r="F5612" s="70"/>
    </row>
    <row r="5613">
      <c r="D5613" s="63"/>
      <c r="F5613" s="70"/>
    </row>
    <row r="5614">
      <c r="D5614" s="63"/>
      <c r="F5614" s="70"/>
    </row>
    <row r="5615">
      <c r="D5615" s="63"/>
      <c r="F5615" s="70"/>
    </row>
    <row r="5616">
      <c r="D5616" s="63"/>
      <c r="F5616" s="70"/>
    </row>
    <row r="5617">
      <c r="D5617" s="63"/>
      <c r="F5617" s="70"/>
    </row>
    <row r="5618">
      <c r="D5618" s="63"/>
      <c r="F5618" s="70"/>
    </row>
    <row r="5619">
      <c r="D5619" s="63"/>
      <c r="F5619" s="70"/>
    </row>
    <row r="5620">
      <c r="D5620" s="63"/>
      <c r="F5620" s="70"/>
    </row>
    <row r="5621">
      <c r="D5621" s="63"/>
      <c r="F5621" s="70"/>
    </row>
    <row r="5622">
      <c r="D5622" s="63"/>
      <c r="F5622" s="70"/>
    </row>
    <row r="5623">
      <c r="D5623" s="63"/>
      <c r="F5623" s="70"/>
    </row>
    <row r="5624">
      <c r="D5624" s="63"/>
      <c r="F5624" s="70"/>
    </row>
    <row r="5625">
      <c r="D5625" s="63"/>
      <c r="F5625" s="70"/>
    </row>
    <row r="5626">
      <c r="D5626" s="63"/>
      <c r="F5626" s="70"/>
    </row>
    <row r="5627">
      <c r="D5627" s="63"/>
      <c r="F5627" s="70"/>
    </row>
    <row r="5628">
      <c r="D5628" s="63"/>
      <c r="F5628" s="70"/>
    </row>
    <row r="5629">
      <c r="D5629" s="63"/>
      <c r="F5629" s="70"/>
    </row>
    <row r="5630">
      <c r="D5630" s="63"/>
      <c r="F5630" s="70"/>
    </row>
    <row r="5631">
      <c r="D5631" s="63"/>
      <c r="F5631" s="70"/>
    </row>
    <row r="5632">
      <c r="D5632" s="63"/>
      <c r="F5632" s="70"/>
    </row>
    <row r="5633">
      <c r="D5633" s="63"/>
      <c r="F5633" s="70"/>
    </row>
    <row r="5634">
      <c r="D5634" s="63"/>
      <c r="F5634" s="70"/>
    </row>
    <row r="5635">
      <c r="D5635" s="63"/>
      <c r="F5635" s="70"/>
    </row>
    <row r="5636">
      <c r="D5636" s="63"/>
      <c r="F5636" s="70"/>
    </row>
    <row r="5637">
      <c r="D5637" s="63"/>
      <c r="F5637" s="70"/>
    </row>
    <row r="5638">
      <c r="D5638" s="63"/>
      <c r="F5638" s="70"/>
    </row>
    <row r="5639">
      <c r="D5639" s="63"/>
      <c r="F5639" s="70"/>
    </row>
    <row r="5640">
      <c r="D5640" s="63"/>
      <c r="F5640" s="70"/>
    </row>
    <row r="5641">
      <c r="D5641" s="63"/>
      <c r="F5641" s="70"/>
    </row>
    <row r="5642">
      <c r="D5642" s="63"/>
      <c r="F5642" s="70"/>
    </row>
    <row r="5643">
      <c r="D5643" s="63"/>
      <c r="F5643" s="70"/>
    </row>
    <row r="5644">
      <c r="D5644" s="63"/>
      <c r="F5644" s="70"/>
    </row>
    <row r="5645">
      <c r="D5645" s="63"/>
      <c r="F5645" s="70"/>
    </row>
    <row r="5646">
      <c r="D5646" s="63"/>
      <c r="F5646" s="70"/>
    </row>
    <row r="5647">
      <c r="D5647" s="63"/>
      <c r="F5647" s="70"/>
    </row>
    <row r="5648">
      <c r="D5648" s="63"/>
      <c r="F5648" s="70"/>
    </row>
    <row r="5649">
      <c r="D5649" s="63"/>
      <c r="F5649" s="70"/>
    </row>
    <row r="5650">
      <c r="D5650" s="63"/>
      <c r="F5650" s="70"/>
    </row>
    <row r="5651">
      <c r="D5651" s="63"/>
      <c r="F5651" s="70"/>
    </row>
    <row r="5652">
      <c r="D5652" s="63"/>
      <c r="F5652" s="70"/>
    </row>
    <row r="5653">
      <c r="D5653" s="63"/>
      <c r="F5653" s="70"/>
    </row>
    <row r="5654">
      <c r="D5654" s="63"/>
      <c r="F5654" s="70"/>
    </row>
    <row r="5655">
      <c r="D5655" s="63"/>
      <c r="F5655" s="70"/>
    </row>
    <row r="5656">
      <c r="D5656" s="63"/>
      <c r="F5656" s="70"/>
    </row>
    <row r="5657">
      <c r="D5657" s="63"/>
      <c r="F5657" s="70"/>
    </row>
    <row r="5658">
      <c r="D5658" s="63"/>
      <c r="F5658" s="70"/>
    </row>
    <row r="5659">
      <c r="D5659" s="63"/>
      <c r="F5659" s="70"/>
    </row>
    <row r="5660">
      <c r="D5660" s="63"/>
      <c r="F5660" s="70"/>
    </row>
    <row r="5661">
      <c r="D5661" s="63"/>
      <c r="F5661" s="70"/>
    </row>
    <row r="5662">
      <c r="D5662" s="63"/>
      <c r="F5662" s="70"/>
    </row>
    <row r="5663">
      <c r="D5663" s="63"/>
      <c r="F5663" s="70"/>
    </row>
    <row r="5664">
      <c r="D5664" s="63"/>
      <c r="F5664" s="70"/>
    </row>
    <row r="5665">
      <c r="D5665" s="63"/>
      <c r="F5665" s="70"/>
    </row>
    <row r="5666">
      <c r="D5666" s="63"/>
      <c r="F5666" s="70"/>
    </row>
    <row r="5667">
      <c r="D5667" s="63"/>
      <c r="F5667" s="70"/>
    </row>
    <row r="5668">
      <c r="D5668" s="63"/>
      <c r="F5668" s="70"/>
    </row>
    <row r="5669">
      <c r="D5669" s="63"/>
      <c r="F5669" s="70"/>
    </row>
    <row r="5670">
      <c r="D5670" s="63"/>
      <c r="F5670" s="70"/>
    </row>
    <row r="5671">
      <c r="D5671" s="63"/>
      <c r="F5671" s="70"/>
    </row>
    <row r="5672">
      <c r="D5672" s="63"/>
      <c r="F5672" s="70"/>
    </row>
    <row r="5673">
      <c r="D5673" s="63"/>
      <c r="F5673" s="70"/>
    </row>
    <row r="5674">
      <c r="D5674" s="63"/>
      <c r="F5674" s="70"/>
    </row>
    <row r="5675">
      <c r="D5675" s="63"/>
      <c r="F5675" s="70"/>
    </row>
    <row r="5676">
      <c r="D5676" s="63"/>
      <c r="F5676" s="70"/>
    </row>
    <row r="5677">
      <c r="D5677" s="63"/>
      <c r="F5677" s="70"/>
    </row>
    <row r="5678">
      <c r="D5678" s="63"/>
      <c r="F5678" s="70"/>
    </row>
    <row r="5679">
      <c r="D5679" s="63"/>
      <c r="F5679" s="70"/>
    </row>
    <row r="5680">
      <c r="D5680" s="63"/>
      <c r="F5680" s="70"/>
    </row>
    <row r="5681">
      <c r="D5681" s="63"/>
      <c r="F5681" s="70"/>
    </row>
    <row r="5682">
      <c r="D5682" s="63"/>
      <c r="F5682" s="70"/>
    </row>
    <row r="5683">
      <c r="D5683" s="63"/>
      <c r="F5683" s="70"/>
    </row>
    <row r="5684">
      <c r="D5684" s="63"/>
      <c r="F5684" s="70"/>
    </row>
    <row r="5685">
      <c r="D5685" s="63"/>
      <c r="F5685" s="70"/>
    </row>
    <row r="5686">
      <c r="D5686" s="63"/>
      <c r="F5686" s="70"/>
    </row>
    <row r="5687">
      <c r="D5687" s="63"/>
      <c r="F5687" s="70"/>
    </row>
    <row r="5688">
      <c r="D5688" s="63"/>
      <c r="F5688" s="70"/>
    </row>
    <row r="5689">
      <c r="D5689" s="63"/>
      <c r="F5689" s="70"/>
    </row>
    <row r="5690">
      <c r="D5690" s="63"/>
      <c r="F5690" s="70"/>
    </row>
    <row r="5691">
      <c r="D5691" s="63"/>
      <c r="F5691" s="70"/>
    </row>
    <row r="5692">
      <c r="D5692" s="63"/>
      <c r="F5692" s="70"/>
    </row>
    <row r="5693">
      <c r="D5693" s="63"/>
      <c r="F5693" s="70"/>
    </row>
    <row r="5694">
      <c r="D5694" s="63"/>
      <c r="F5694" s="70"/>
    </row>
    <row r="5695">
      <c r="D5695" s="63"/>
      <c r="F5695" s="70"/>
    </row>
    <row r="5696">
      <c r="D5696" s="63"/>
      <c r="F5696" s="70"/>
    </row>
    <row r="5697">
      <c r="D5697" s="63"/>
      <c r="F5697" s="70"/>
    </row>
    <row r="5698">
      <c r="D5698" s="63"/>
      <c r="F5698" s="70"/>
    </row>
    <row r="5699">
      <c r="D5699" s="63"/>
      <c r="F5699" s="70"/>
    </row>
    <row r="5700">
      <c r="D5700" s="63"/>
      <c r="F5700" s="70"/>
    </row>
    <row r="5701">
      <c r="D5701" s="63"/>
      <c r="F5701" s="70"/>
    </row>
    <row r="5702">
      <c r="D5702" s="63"/>
      <c r="F5702" s="70"/>
    </row>
    <row r="5703">
      <c r="D5703" s="63"/>
      <c r="F5703" s="70"/>
    </row>
    <row r="5704">
      <c r="D5704" s="63"/>
      <c r="F5704" s="70"/>
    </row>
    <row r="5705">
      <c r="D5705" s="63"/>
      <c r="F5705" s="70"/>
    </row>
    <row r="5706">
      <c r="D5706" s="63"/>
      <c r="F5706" s="70"/>
    </row>
    <row r="5707">
      <c r="D5707" s="63"/>
      <c r="F5707" s="70"/>
    </row>
    <row r="5708">
      <c r="D5708" s="63"/>
      <c r="F5708" s="70"/>
    </row>
    <row r="5709">
      <c r="D5709" s="63"/>
      <c r="F5709" s="70"/>
    </row>
    <row r="5710">
      <c r="D5710" s="63"/>
      <c r="F5710" s="70"/>
    </row>
    <row r="5711">
      <c r="D5711" s="63"/>
      <c r="F5711" s="70"/>
    </row>
    <row r="5712">
      <c r="D5712" s="63"/>
      <c r="F5712" s="70"/>
    </row>
    <row r="5713">
      <c r="D5713" s="63"/>
      <c r="F5713" s="70"/>
    </row>
    <row r="5714">
      <c r="D5714" s="63"/>
      <c r="F5714" s="70"/>
    </row>
    <row r="5715">
      <c r="D5715" s="63"/>
      <c r="F5715" s="70"/>
    </row>
    <row r="5716">
      <c r="D5716" s="63"/>
      <c r="F5716" s="70"/>
    </row>
    <row r="5717">
      <c r="D5717" s="63"/>
      <c r="F5717" s="70"/>
    </row>
    <row r="5718">
      <c r="D5718" s="63"/>
      <c r="F5718" s="70"/>
    </row>
    <row r="5719">
      <c r="D5719" s="63"/>
      <c r="F5719" s="70"/>
    </row>
    <row r="5720">
      <c r="D5720" s="63"/>
      <c r="F5720" s="70"/>
    </row>
    <row r="5721">
      <c r="D5721" s="63"/>
      <c r="F5721" s="70"/>
    </row>
    <row r="5722">
      <c r="D5722" s="63"/>
      <c r="F5722" s="70"/>
    </row>
    <row r="5723">
      <c r="D5723" s="63"/>
      <c r="F5723" s="70"/>
    </row>
    <row r="5724">
      <c r="D5724" s="63"/>
      <c r="F5724" s="70"/>
    </row>
    <row r="5725">
      <c r="D5725" s="63"/>
      <c r="F5725" s="70"/>
    </row>
    <row r="5726">
      <c r="D5726" s="63"/>
      <c r="F5726" s="70"/>
    </row>
    <row r="5727">
      <c r="D5727" s="63"/>
      <c r="F5727" s="70"/>
    </row>
    <row r="5728">
      <c r="D5728" s="63"/>
      <c r="F5728" s="70"/>
    </row>
    <row r="5729">
      <c r="D5729" s="63"/>
      <c r="F5729" s="70"/>
    </row>
    <row r="5730">
      <c r="D5730" s="63"/>
      <c r="F5730" s="70"/>
    </row>
    <row r="5731">
      <c r="D5731" s="63"/>
      <c r="F5731" s="70"/>
    </row>
    <row r="5732">
      <c r="D5732" s="63"/>
      <c r="F5732" s="70"/>
    </row>
    <row r="5733">
      <c r="D5733" s="63"/>
      <c r="F5733" s="70"/>
    </row>
    <row r="5734">
      <c r="D5734" s="63"/>
      <c r="F5734" s="70"/>
    </row>
    <row r="5735">
      <c r="D5735" s="63"/>
      <c r="F5735" s="70"/>
    </row>
    <row r="5736">
      <c r="D5736" s="63"/>
      <c r="F5736" s="70"/>
    </row>
    <row r="5737">
      <c r="D5737" s="63"/>
      <c r="F5737" s="70"/>
    </row>
    <row r="5738">
      <c r="D5738" s="63"/>
      <c r="F5738" s="70"/>
    </row>
    <row r="5739">
      <c r="D5739" s="63"/>
      <c r="F5739" s="70"/>
    </row>
    <row r="5740">
      <c r="D5740" s="63"/>
      <c r="F5740" s="70"/>
    </row>
    <row r="5741">
      <c r="D5741" s="63"/>
      <c r="F5741" s="70"/>
    </row>
    <row r="5742">
      <c r="D5742" s="63"/>
      <c r="F5742" s="70"/>
    </row>
    <row r="5743">
      <c r="D5743" s="63"/>
      <c r="F5743" s="70"/>
    </row>
    <row r="5744">
      <c r="D5744" s="63"/>
      <c r="F5744" s="70"/>
    </row>
    <row r="5745">
      <c r="D5745" s="63"/>
      <c r="F5745" s="70"/>
    </row>
    <row r="5746">
      <c r="D5746" s="63"/>
      <c r="F5746" s="70"/>
    </row>
    <row r="5747">
      <c r="D5747" s="63"/>
      <c r="F5747" s="70"/>
    </row>
    <row r="5748">
      <c r="D5748" s="63"/>
      <c r="F5748" s="70"/>
    </row>
    <row r="5749">
      <c r="D5749" s="63"/>
      <c r="F5749" s="70"/>
    </row>
    <row r="5750">
      <c r="D5750" s="63"/>
      <c r="F5750" s="70"/>
    </row>
    <row r="5751">
      <c r="D5751" s="63"/>
      <c r="F5751" s="70"/>
    </row>
    <row r="5752">
      <c r="D5752" s="63"/>
      <c r="F5752" s="70"/>
    </row>
    <row r="5753">
      <c r="D5753" s="63"/>
      <c r="F5753" s="70"/>
    </row>
    <row r="5754">
      <c r="D5754" s="63"/>
      <c r="F5754" s="70"/>
    </row>
    <row r="5755">
      <c r="D5755" s="63"/>
      <c r="F5755" s="70"/>
    </row>
    <row r="5756">
      <c r="D5756" s="63"/>
      <c r="F5756" s="70"/>
    </row>
    <row r="5757">
      <c r="D5757" s="63"/>
      <c r="F5757" s="70"/>
    </row>
    <row r="5758">
      <c r="D5758" s="63"/>
      <c r="F5758" s="70"/>
    </row>
    <row r="5759">
      <c r="D5759" s="63"/>
      <c r="F5759" s="70"/>
    </row>
    <row r="5760">
      <c r="D5760" s="63"/>
      <c r="F5760" s="70"/>
    </row>
    <row r="5761">
      <c r="D5761" s="63"/>
      <c r="F5761" s="70"/>
    </row>
    <row r="5762">
      <c r="D5762" s="63"/>
      <c r="F5762" s="70"/>
    </row>
    <row r="5763">
      <c r="D5763" s="63"/>
      <c r="F5763" s="70"/>
    </row>
    <row r="5764">
      <c r="D5764" s="63"/>
      <c r="F5764" s="70"/>
    </row>
    <row r="5765">
      <c r="D5765" s="63"/>
      <c r="F5765" s="70"/>
    </row>
    <row r="5766">
      <c r="D5766" s="63"/>
      <c r="F5766" s="70"/>
    </row>
    <row r="5767">
      <c r="D5767" s="63"/>
      <c r="F5767" s="70"/>
    </row>
    <row r="5768">
      <c r="D5768" s="63"/>
      <c r="F5768" s="70"/>
    </row>
    <row r="5769">
      <c r="D5769" s="63"/>
      <c r="F5769" s="70"/>
    </row>
    <row r="5770">
      <c r="D5770" s="63"/>
      <c r="F5770" s="70"/>
    </row>
    <row r="5771">
      <c r="D5771" s="63"/>
      <c r="F5771" s="70"/>
    </row>
    <row r="5772">
      <c r="D5772" s="63"/>
      <c r="F5772" s="70"/>
    </row>
    <row r="5773">
      <c r="D5773" s="63"/>
      <c r="F5773" s="70"/>
    </row>
    <row r="5774">
      <c r="D5774" s="63"/>
      <c r="F5774" s="70"/>
    </row>
    <row r="5775">
      <c r="D5775" s="63"/>
      <c r="F5775" s="70"/>
    </row>
    <row r="5776">
      <c r="D5776" s="63"/>
      <c r="F5776" s="70"/>
    </row>
    <row r="5777">
      <c r="D5777" s="63"/>
      <c r="F5777" s="70"/>
    </row>
    <row r="5778">
      <c r="D5778" s="63"/>
      <c r="F5778" s="70"/>
    </row>
    <row r="5779">
      <c r="D5779" s="63"/>
      <c r="F5779" s="70"/>
    </row>
    <row r="5780">
      <c r="D5780" s="63"/>
      <c r="F5780" s="70"/>
    </row>
    <row r="5781">
      <c r="D5781" s="63"/>
      <c r="F5781" s="70"/>
    </row>
    <row r="5782">
      <c r="D5782" s="63"/>
      <c r="F5782" s="70"/>
    </row>
    <row r="5783">
      <c r="D5783" s="63"/>
      <c r="F5783" s="70"/>
    </row>
    <row r="5784">
      <c r="D5784" s="63"/>
      <c r="F5784" s="70"/>
    </row>
    <row r="5785">
      <c r="D5785" s="63"/>
      <c r="F5785" s="70"/>
    </row>
    <row r="5786">
      <c r="D5786" s="63"/>
      <c r="F5786" s="70"/>
    </row>
    <row r="5787">
      <c r="D5787" s="63"/>
      <c r="F5787" s="70"/>
    </row>
    <row r="5788">
      <c r="D5788" s="63"/>
      <c r="F5788" s="70"/>
    </row>
    <row r="5789">
      <c r="D5789" s="63"/>
      <c r="F5789" s="70"/>
    </row>
    <row r="5790">
      <c r="D5790" s="63"/>
      <c r="F5790" s="70"/>
    </row>
    <row r="5791">
      <c r="D5791" s="63"/>
      <c r="F5791" s="70"/>
    </row>
    <row r="5792">
      <c r="D5792" s="63"/>
      <c r="F5792" s="70"/>
    </row>
    <row r="5793">
      <c r="D5793" s="63"/>
      <c r="F5793" s="70"/>
    </row>
    <row r="5794">
      <c r="D5794" s="63"/>
      <c r="F5794" s="70"/>
    </row>
    <row r="5795">
      <c r="D5795" s="63"/>
      <c r="F5795" s="70"/>
    </row>
    <row r="5796">
      <c r="D5796" s="63"/>
      <c r="F5796" s="70"/>
    </row>
    <row r="5797">
      <c r="D5797" s="63"/>
      <c r="F5797" s="70"/>
    </row>
    <row r="5798">
      <c r="D5798" s="63"/>
      <c r="F5798" s="70"/>
    </row>
    <row r="5799">
      <c r="D5799" s="63"/>
      <c r="F5799" s="70"/>
    </row>
    <row r="5800">
      <c r="D5800" s="63"/>
      <c r="F5800" s="70"/>
    </row>
    <row r="5801">
      <c r="D5801" s="63"/>
      <c r="F5801" s="70"/>
    </row>
    <row r="5802">
      <c r="D5802" s="63"/>
      <c r="F5802" s="70"/>
    </row>
    <row r="5803">
      <c r="D5803" s="63"/>
      <c r="F5803" s="70"/>
    </row>
    <row r="5804">
      <c r="D5804" s="63"/>
      <c r="F5804" s="70"/>
    </row>
    <row r="5805">
      <c r="D5805" s="63"/>
      <c r="F5805" s="70"/>
    </row>
    <row r="5806">
      <c r="D5806" s="63"/>
      <c r="F5806" s="70"/>
    </row>
    <row r="5807">
      <c r="D5807" s="63"/>
      <c r="F5807" s="70"/>
    </row>
    <row r="5808">
      <c r="D5808" s="63"/>
      <c r="F5808" s="70"/>
    </row>
    <row r="5809">
      <c r="D5809" s="63"/>
      <c r="F5809" s="70"/>
    </row>
    <row r="5810">
      <c r="D5810" s="63"/>
      <c r="F5810" s="70"/>
    </row>
    <row r="5811">
      <c r="D5811" s="63"/>
      <c r="F5811" s="70"/>
    </row>
    <row r="5812">
      <c r="D5812" s="63"/>
      <c r="F5812" s="70"/>
    </row>
    <row r="5813">
      <c r="D5813" s="63"/>
      <c r="F5813" s="70"/>
    </row>
    <row r="5814">
      <c r="D5814" s="63"/>
      <c r="F5814" s="70"/>
    </row>
    <row r="5815">
      <c r="D5815" s="63"/>
      <c r="F5815" s="70"/>
    </row>
    <row r="5816">
      <c r="D5816" s="63"/>
      <c r="F5816" s="70"/>
    </row>
    <row r="5817">
      <c r="D5817" s="63"/>
      <c r="F5817" s="70"/>
    </row>
    <row r="5818">
      <c r="D5818" s="63"/>
      <c r="F5818" s="70"/>
    </row>
    <row r="5819">
      <c r="D5819" s="63"/>
      <c r="F5819" s="70"/>
    </row>
    <row r="5820">
      <c r="D5820" s="63"/>
      <c r="F5820" s="70"/>
    </row>
    <row r="5821">
      <c r="D5821" s="63"/>
      <c r="F5821" s="70"/>
    </row>
    <row r="5822">
      <c r="D5822" s="63"/>
      <c r="F5822" s="70"/>
    </row>
    <row r="5823">
      <c r="D5823" s="63"/>
      <c r="F5823" s="70"/>
    </row>
    <row r="5824">
      <c r="D5824" s="63"/>
      <c r="F5824" s="70"/>
    </row>
    <row r="5825">
      <c r="D5825" s="63"/>
      <c r="F5825" s="70"/>
    </row>
    <row r="5826">
      <c r="D5826" s="63"/>
      <c r="F5826" s="70"/>
    </row>
    <row r="5827">
      <c r="D5827" s="63"/>
      <c r="F5827" s="70"/>
    </row>
    <row r="5828">
      <c r="D5828" s="63"/>
      <c r="F5828" s="70"/>
    </row>
    <row r="5829">
      <c r="D5829" s="63"/>
      <c r="F5829" s="70"/>
    </row>
    <row r="5830">
      <c r="D5830" s="63"/>
      <c r="F5830" s="70"/>
    </row>
    <row r="5831">
      <c r="D5831" s="63"/>
      <c r="F5831" s="70"/>
    </row>
    <row r="5832">
      <c r="D5832" s="63"/>
      <c r="F5832" s="70"/>
    </row>
    <row r="5833">
      <c r="D5833" s="63"/>
      <c r="F5833" s="70"/>
    </row>
    <row r="5834">
      <c r="D5834" s="63"/>
      <c r="F5834" s="70"/>
    </row>
    <row r="5835">
      <c r="D5835" s="63"/>
      <c r="F5835" s="70"/>
    </row>
    <row r="5836">
      <c r="D5836" s="63"/>
      <c r="F5836" s="70"/>
    </row>
    <row r="5837">
      <c r="D5837" s="63"/>
      <c r="F5837" s="70"/>
    </row>
    <row r="5838">
      <c r="D5838" s="63"/>
      <c r="F5838" s="70"/>
    </row>
    <row r="5839">
      <c r="D5839" s="63"/>
      <c r="F5839" s="70"/>
    </row>
    <row r="5840">
      <c r="D5840" s="63"/>
      <c r="F5840" s="70"/>
    </row>
    <row r="5841">
      <c r="D5841" s="63"/>
      <c r="F5841" s="70"/>
    </row>
    <row r="5842">
      <c r="D5842" s="63"/>
      <c r="F5842" s="70"/>
    </row>
    <row r="5843">
      <c r="D5843" s="63"/>
      <c r="F5843" s="70"/>
    </row>
    <row r="5844">
      <c r="D5844" s="63"/>
      <c r="F5844" s="70"/>
    </row>
    <row r="5845">
      <c r="D5845" s="63"/>
      <c r="F5845" s="70"/>
    </row>
    <row r="5846">
      <c r="D5846" s="63"/>
      <c r="F5846" s="70"/>
    </row>
    <row r="5847">
      <c r="D5847" s="63"/>
      <c r="F5847" s="70"/>
    </row>
    <row r="5848">
      <c r="D5848" s="63"/>
      <c r="F5848" s="70"/>
    </row>
    <row r="5849">
      <c r="D5849" s="63"/>
      <c r="F5849" s="70"/>
    </row>
    <row r="5850">
      <c r="D5850" s="63"/>
      <c r="F5850" s="70"/>
    </row>
    <row r="5851">
      <c r="D5851" s="63"/>
      <c r="F5851" s="70"/>
    </row>
    <row r="5852">
      <c r="D5852" s="63"/>
      <c r="F5852" s="70"/>
    </row>
    <row r="5853">
      <c r="D5853" s="63"/>
      <c r="F5853" s="70"/>
    </row>
    <row r="5854">
      <c r="D5854" s="63"/>
      <c r="F5854" s="70"/>
    </row>
    <row r="5855">
      <c r="D5855" s="63"/>
      <c r="F5855" s="70"/>
    </row>
    <row r="5856">
      <c r="D5856" s="63"/>
      <c r="F5856" s="70"/>
    </row>
    <row r="5857">
      <c r="D5857" s="63"/>
      <c r="F5857" s="70"/>
    </row>
    <row r="5858">
      <c r="D5858" s="63"/>
      <c r="F5858" s="70"/>
    </row>
    <row r="5859">
      <c r="D5859" s="63"/>
      <c r="F5859" s="70"/>
    </row>
    <row r="5860">
      <c r="D5860" s="63"/>
      <c r="F5860" s="70"/>
    </row>
    <row r="5861">
      <c r="D5861" s="63"/>
      <c r="F5861" s="70"/>
    </row>
    <row r="5862">
      <c r="D5862" s="63"/>
      <c r="F5862" s="70"/>
    </row>
    <row r="5863">
      <c r="D5863" s="63"/>
      <c r="F5863" s="70"/>
    </row>
    <row r="5864">
      <c r="D5864" s="63"/>
      <c r="F5864" s="70"/>
    </row>
    <row r="5865">
      <c r="D5865" s="63"/>
      <c r="F5865" s="70"/>
    </row>
    <row r="5866">
      <c r="D5866" s="63"/>
      <c r="F5866" s="70"/>
    </row>
    <row r="5867">
      <c r="D5867" s="63"/>
      <c r="F5867" s="70"/>
    </row>
    <row r="5868">
      <c r="D5868" s="63"/>
      <c r="F5868" s="70"/>
    </row>
    <row r="5869">
      <c r="D5869" s="63"/>
      <c r="F5869" s="70"/>
    </row>
    <row r="5870">
      <c r="D5870" s="63"/>
      <c r="F5870" s="70"/>
    </row>
    <row r="5871">
      <c r="D5871" s="63"/>
      <c r="F5871" s="70"/>
    </row>
    <row r="5872">
      <c r="D5872" s="63"/>
      <c r="F5872" s="70"/>
    </row>
    <row r="5873">
      <c r="D5873" s="63"/>
      <c r="F5873" s="70"/>
    </row>
    <row r="5874">
      <c r="D5874" s="63"/>
      <c r="F5874" s="70"/>
    </row>
    <row r="5875">
      <c r="D5875" s="63"/>
      <c r="F5875" s="70"/>
    </row>
    <row r="5876">
      <c r="D5876" s="63"/>
      <c r="F5876" s="70"/>
    </row>
    <row r="5877">
      <c r="D5877" s="63"/>
      <c r="F5877" s="70"/>
    </row>
    <row r="5878">
      <c r="D5878" s="63"/>
      <c r="F5878" s="70"/>
    </row>
    <row r="5879">
      <c r="D5879" s="63"/>
      <c r="F5879" s="70"/>
    </row>
    <row r="5880">
      <c r="D5880" s="63"/>
      <c r="F5880" s="70"/>
    </row>
    <row r="5881">
      <c r="D5881" s="63"/>
      <c r="F5881" s="70"/>
    </row>
    <row r="5882">
      <c r="D5882" s="63"/>
      <c r="F5882" s="70"/>
    </row>
    <row r="5883">
      <c r="D5883" s="63"/>
      <c r="F5883" s="70"/>
    </row>
    <row r="5884">
      <c r="D5884" s="63"/>
      <c r="F5884" s="70"/>
    </row>
    <row r="5885">
      <c r="D5885" s="63"/>
      <c r="F5885" s="70"/>
    </row>
    <row r="5886">
      <c r="D5886" s="63"/>
      <c r="F5886" s="70"/>
    </row>
    <row r="5887">
      <c r="D5887" s="63"/>
      <c r="F5887" s="70"/>
    </row>
    <row r="5888">
      <c r="D5888" s="63"/>
      <c r="F5888" s="70"/>
    </row>
    <row r="5889">
      <c r="D5889" s="63"/>
      <c r="F5889" s="70"/>
    </row>
    <row r="5890">
      <c r="D5890" s="63"/>
      <c r="F5890" s="70"/>
    </row>
    <row r="5891">
      <c r="D5891" s="63"/>
      <c r="F5891" s="70"/>
    </row>
    <row r="5892">
      <c r="D5892" s="63"/>
      <c r="F5892" s="70"/>
    </row>
    <row r="5893">
      <c r="D5893" s="63"/>
      <c r="F5893" s="70"/>
    </row>
    <row r="5894">
      <c r="D5894" s="63"/>
      <c r="F5894" s="70"/>
    </row>
    <row r="5895">
      <c r="D5895" s="63"/>
      <c r="F5895" s="70"/>
    </row>
    <row r="5896">
      <c r="D5896" s="63"/>
      <c r="F5896" s="70"/>
    </row>
    <row r="5897">
      <c r="D5897" s="63"/>
      <c r="F5897" s="70"/>
    </row>
    <row r="5898">
      <c r="D5898" s="63"/>
      <c r="F5898" s="70"/>
    </row>
    <row r="5899">
      <c r="D5899" s="63"/>
      <c r="F5899" s="70"/>
    </row>
    <row r="5900">
      <c r="D5900" s="63"/>
      <c r="F5900" s="70"/>
    </row>
    <row r="5901">
      <c r="D5901" s="63"/>
      <c r="F5901" s="70"/>
    </row>
    <row r="5902">
      <c r="D5902" s="63"/>
      <c r="F5902" s="70"/>
    </row>
    <row r="5903">
      <c r="D5903" s="63"/>
      <c r="F5903" s="70"/>
    </row>
    <row r="5904">
      <c r="D5904" s="63"/>
      <c r="F5904" s="70"/>
    </row>
    <row r="5905">
      <c r="D5905" s="63"/>
      <c r="F5905" s="70"/>
    </row>
    <row r="5906">
      <c r="D5906" s="63"/>
      <c r="F5906" s="70"/>
    </row>
    <row r="5907">
      <c r="D5907" s="63"/>
      <c r="F5907" s="70"/>
    </row>
    <row r="5908">
      <c r="D5908" s="63"/>
      <c r="F5908" s="70"/>
    </row>
    <row r="5909">
      <c r="D5909" s="63"/>
      <c r="F5909" s="70"/>
    </row>
    <row r="5910">
      <c r="D5910" s="63"/>
      <c r="F5910" s="70"/>
    </row>
    <row r="5911">
      <c r="D5911" s="63"/>
      <c r="F5911" s="70"/>
    </row>
    <row r="5912">
      <c r="D5912" s="63"/>
      <c r="F5912" s="70"/>
    </row>
    <row r="5913">
      <c r="D5913" s="63"/>
      <c r="F5913" s="70"/>
    </row>
    <row r="5914">
      <c r="D5914" s="63"/>
      <c r="F5914" s="70"/>
    </row>
    <row r="5915">
      <c r="D5915" s="63"/>
      <c r="F5915" s="70"/>
    </row>
    <row r="5916">
      <c r="D5916" s="63"/>
      <c r="F5916" s="70"/>
    </row>
    <row r="5917">
      <c r="D5917" s="63"/>
      <c r="F5917" s="70"/>
    </row>
    <row r="5918">
      <c r="D5918" s="63"/>
      <c r="F5918" s="70"/>
    </row>
    <row r="5919">
      <c r="D5919" s="63"/>
      <c r="F5919" s="70"/>
    </row>
    <row r="5920">
      <c r="D5920" s="63"/>
      <c r="F5920" s="70"/>
    </row>
    <row r="5921">
      <c r="D5921" s="63"/>
      <c r="F5921" s="70"/>
    </row>
    <row r="5922">
      <c r="D5922" s="63"/>
      <c r="F5922" s="70"/>
    </row>
    <row r="5923">
      <c r="D5923" s="63"/>
      <c r="F5923" s="70"/>
    </row>
    <row r="5924">
      <c r="D5924" s="63"/>
      <c r="F5924" s="70"/>
    </row>
    <row r="5925">
      <c r="D5925" s="63"/>
      <c r="F5925" s="70"/>
    </row>
    <row r="5926">
      <c r="D5926" s="63"/>
      <c r="F5926" s="70"/>
    </row>
    <row r="5927">
      <c r="D5927" s="63"/>
      <c r="F5927" s="70"/>
    </row>
    <row r="5928">
      <c r="D5928" s="63"/>
      <c r="F5928" s="70"/>
    </row>
    <row r="5929">
      <c r="D5929" s="63"/>
      <c r="F5929" s="70"/>
    </row>
    <row r="5930">
      <c r="D5930" s="63"/>
      <c r="F5930" s="70"/>
    </row>
    <row r="5931">
      <c r="D5931" s="63"/>
      <c r="F5931" s="70"/>
    </row>
    <row r="5932">
      <c r="D5932" s="63"/>
      <c r="F5932" s="70"/>
    </row>
    <row r="5933">
      <c r="D5933" s="63"/>
      <c r="F5933" s="70"/>
    </row>
    <row r="5934">
      <c r="D5934" s="63"/>
      <c r="F5934" s="70"/>
    </row>
    <row r="5935">
      <c r="D5935" s="63"/>
      <c r="F5935" s="70"/>
    </row>
    <row r="5936">
      <c r="D5936" s="63"/>
      <c r="F5936" s="70"/>
    </row>
    <row r="5937">
      <c r="D5937" s="63"/>
      <c r="F5937" s="70"/>
    </row>
    <row r="5938">
      <c r="D5938" s="63"/>
      <c r="F5938" s="70"/>
    </row>
    <row r="5939">
      <c r="D5939" s="63"/>
      <c r="F5939" s="70"/>
    </row>
    <row r="5940">
      <c r="D5940" s="63"/>
      <c r="F5940" s="70"/>
    </row>
    <row r="5941">
      <c r="D5941" s="63"/>
      <c r="F5941" s="70"/>
    </row>
    <row r="5942">
      <c r="D5942" s="63"/>
      <c r="F5942" s="70"/>
    </row>
    <row r="5943">
      <c r="D5943" s="63"/>
      <c r="F5943" s="70"/>
    </row>
    <row r="5944">
      <c r="D5944" s="63"/>
      <c r="F5944" s="70"/>
    </row>
    <row r="5945">
      <c r="D5945" s="63"/>
      <c r="F5945" s="70"/>
    </row>
    <row r="5946">
      <c r="D5946" s="63"/>
      <c r="F5946" s="70"/>
    </row>
    <row r="5947">
      <c r="D5947" s="63"/>
      <c r="F5947" s="70"/>
    </row>
    <row r="5948">
      <c r="D5948" s="63"/>
      <c r="F5948" s="70"/>
    </row>
    <row r="5949">
      <c r="D5949" s="63"/>
      <c r="F5949" s="70"/>
    </row>
    <row r="5950">
      <c r="D5950" s="63"/>
      <c r="F5950" s="70"/>
    </row>
    <row r="5951">
      <c r="D5951" s="63"/>
      <c r="F5951" s="70"/>
    </row>
    <row r="5952">
      <c r="D5952" s="63"/>
      <c r="F5952" s="70"/>
    </row>
    <row r="5953">
      <c r="D5953" s="63"/>
      <c r="F5953" s="70"/>
    </row>
    <row r="5954">
      <c r="D5954" s="63"/>
      <c r="F5954" s="70"/>
    </row>
    <row r="5955">
      <c r="D5955" s="63"/>
      <c r="F5955" s="70"/>
    </row>
    <row r="5956">
      <c r="D5956" s="63"/>
      <c r="F5956" s="70"/>
    </row>
    <row r="5957">
      <c r="D5957" s="63"/>
      <c r="F5957" s="70"/>
    </row>
    <row r="5958">
      <c r="D5958" s="63"/>
      <c r="F5958" s="70"/>
    </row>
    <row r="5959">
      <c r="D5959" s="63"/>
      <c r="F5959" s="70"/>
    </row>
    <row r="5960">
      <c r="D5960" s="63"/>
      <c r="F5960" s="70"/>
    </row>
    <row r="5961">
      <c r="D5961" s="63"/>
      <c r="F5961" s="70"/>
    </row>
    <row r="5962">
      <c r="D5962" s="63"/>
      <c r="F5962" s="70"/>
    </row>
    <row r="5963">
      <c r="D5963" s="63"/>
      <c r="F5963" s="70"/>
    </row>
    <row r="5964">
      <c r="D5964" s="63"/>
      <c r="F5964" s="70"/>
    </row>
    <row r="5965">
      <c r="D5965" s="63"/>
      <c r="F5965" s="70"/>
    </row>
    <row r="5966">
      <c r="D5966" s="63"/>
      <c r="F5966" s="70"/>
    </row>
    <row r="5967">
      <c r="D5967" s="63"/>
      <c r="F5967" s="70"/>
    </row>
    <row r="5968">
      <c r="D5968" s="63"/>
      <c r="F5968" s="70"/>
    </row>
    <row r="5969">
      <c r="D5969" s="63"/>
      <c r="F5969" s="70"/>
    </row>
    <row r="5970">
      <c r="D5970" s="63"/>
      <c r="F5970" s="70"/>
    </row>
    <row r="5971">
      <c r="D5971" s="63"/>
      <c r="F5971" s="70"/>
    </row>
    <row r="5972">
      <c r="D5972" s="63"/>
      <c r="F5972" s="70"/>
    </row>
    <row r="5973">
      <c r="D5973" s="63"/>
      <c r="F5973" s="70"/>
    </row>
    <row r="5974">
      <c r="D5974" s="63"/>
      <c r="F5974" s="70"/>
    </row>
    <row r="5975">
      <c r="D5975" s="63"/>
      <c r="F5975" s="70"/>
    </row>
    <row r="5976">
      <c r="D5976" s="63"/>
      <c r="F5976" s="70"/>
    </row>
    <row r="5977">
      <c r="D5977" s="63"/>
      <c r="F5977" s="70"/>
    </row>
    <row r="5978">
      <c r="D5978" s="63"/>
      <c r="F5978" s="70"/>
    </row>
    <row r="5979">
      <c r="D5979" s="63"/>
      <c r="F5979" s="70"/>
    </row>
    <row r="5980">
      <c r="D5980" s="63"/>
      <c r="F5980" s="70"/>
    </row>
    <row r="5981">
      <c r="D5981" s="63"/>
      <c r="F5981" s="70"/>
    </row>
    <row r="5982">
      <c r="D5982" s="63"/>
      <c r="F5982" s="70"/>
    </row>
    <row r="5983">
      <c r="D5983" s="63"/>
      <c r="F5983" s="70"/>
    </row>
    <row r="5984">
      <c r="D5984" s="63"/>
      <c r="F5984" s="70"/>
    </row>
    <row r="5985">
      <c r="D5985" s="63"/>
      <c r="F5985" s="70"/>
    </row>
    <row r="5986">
      <c r="D5986" s="63"/>
      <c r="F5986" s="70"/>
    </row>
    <row r="5987">
      <c r="D5987" s="63"/>
      <c r="F5987" s="70"/>
    </row>
    <row r="5988">
      <c r="D5988" s="63"/>
      <c r="F5988" s="70"/>
    </row>
    <row r="5989">
      <c r="D5989" s="63"/>
      <c r="F5989" s="70"/>
    </row>
    <row r="5990">
      <c r="D5990" s="63"/>
      <c r="F5990" s="70"/>
    </row>
    <row r="5991">
      <c r="D5991" s="63"/>
      <c r="F5991" s="70"/>
    </row>
    <row r="5992">
      <c r="D5992" s="63"/>
      <c r="F5992" s="70"/>
    </row>
    <row r="5993">
      <c r="D5993" s="63"/>
      <c r="F5993" s="70"/>
    </row>
    <row r="5994">
      <c r="D5994" s="63"/>
      <c r="F5994" s="70"/>
    </row>
    <row r="5995">
      <c r="D5995" s="63"/>
      <c r="F5995" s="70"/>
    </row>
    <row r="5996">
      <c r="D5996" s="63"/>
      <c r="F5996" s="70"/>
    </row>
    <row r="5997">
      <c r="D5997" s="63"/>
      <c r="F5997" s="70"/>
    </row>
    <row r="5998">
      <c r="D5998" s="63"/>
      <c r="F5998" s="70"/>
    </row>
    <row r="5999">
      <c r="D5999" s="63"/>
      <c r="F5999" s="70"/>
    </row>
    <row r="6000">
      <c r="D6000" s="63"/>
      <c r="F6000" s="70"/>
    </row>
    <row r="6001">
      <c r="D6001" s="63"/>
      <c r="F6001" s="70"/>
    </row>
    <row r="6002">
      <c r="D6002" s="63"/>
      <c r="F6002" s="70"/>
    </row>
    <row r="6003">
      <c r="D6003" s="63"/>
      <c r="F6003" s="70"/>
    </row>
    <row r="6004">
      <c r="D6004" s="63"/>
      <c r="F6004" s="70"/>
    </row>
    <row r="6005">
      <c r="D6005" s="63"/>
      <c r="F6005" s="70"/>
    </row>
    <row r="6006">
      <c r="D6006" s="63"/>
      <c r="F6006" s="70"/>
    </row>
    <row r="6007">
      <c r="D6007" s="63"/>
      <c r="F6007" s="70"/>
    </row>
    <row r="6008">
      <c r="D6008" s="63"/>
      <c r="F6008" s="70"/>
    </row>
    <row r="6009">
      <c r="D6009" s="63"/>
      <c r="F6009" s="70"/>
    </row>
    <row r="6010">
      <c r="D6010" s="63"/>
      <c r="F6010" s="70"/>
    </row>
    <row r="6011">
      <c r="D6011" s="63"/>
      <c r="F6011" s="70"/>
    </row>
    <row r="6012">
      <c r="D6012" s="63"/>
      <c r="F6012" s="70"/>
    </row>
    <row r="6013">
      <c r="D6013" s="63"/>
      <c r="F6013" s="70"/>
    </row>
    <row r="6014">
      <c r="D6014" s="63"/>
      <c r="F6014" s="70"/>
    </row>
    <row r="6015">
      <c r="D6015" s="63"/>
      <c r="F6015" s="70"/>
    </row>
    <row r="6016">
      <c r="D6016" s="63"/>
      <c r="F6016" s="70"/>
    </row>
    <row r="6017">
      <c r="D6017" s="63"/>
      <c r="F6017" s="70"/>
    </row>
    <row r="6018">
      <c r="D6018" s="63"/>
      <c r="F6018" s="70"/>
    </row>
    <row r="6019">
      <c r="D6019" s="63"/>
      <c r="F6019" s="70"/>
    </row>
    <row r="6020">
      <c r="D6020" s="63"/>
      <c r="F6020" s="70"/>
    </row>
    <row r="6021">
      <c r="D6021" s="63"/>
      <c r="F6021" s="70"/>
    </row>
    <row r="6022">
      <c r="D6022" s="63"/>
      <c r="F6022" s="70"/>
    </row>
    <row r="6023">
      <c r="D6023" s="63"/>
      <c r="F6023" s="70"/>
    </row>
    <row r="6024">
      <c r="D6024" s="63"/>
      <c r="F6024" s="70"/>
    </row>
    <row r="6025">
      <c r="D6025" s="63"/>
      <c r="F6025" s="70"/>
    </row>
    <row r="6026">
      <c r="D6026" s="63"/>
      <c r="F6026" s="70"/>
    </row>
    <row r="6027">
      <c r="D6027" s="63"/>
      <c r="F6027" s="70"/>
    </row>
    <row r="6028">
      <c r="D6028" s="63"/>
      <c r="F6028" s="70"/>
    </row>
    <row r="6029">
      <c r="D6029" s="63"/>
      <c r="F6029" s="70"/>
    </row>
    <row r="6030">
      <c r="D6030" s="63"/>
      <c r="F6030" s="70"/>
    </row>
    <row r="6031">
      <c r="D6031" s="63"/>
      <c r="F6031" s="70"/>
    </row>
    <row r="6032">
      <c r="D6032" s="63"/>
      <c r="F6032" s="70"/>
    </row>
    <row r="6033">
      <c r="D6033" s="63"/>
      <c r="F6033" s="70"/>
    </row>
    <row r="6034">
      <c r="D6034" s="63"/>
      <c r="F6034" s="70"/>
    </row>
    <row r="6035">
      <c r="D6035" s="63"/>
      <c r="F6035" s="70"/>
    </row>
    <row r="6036">
      <c r="D6036" s="63"/>
      <c r="F6036" s="70"/>
    </row>
    <row r="6037">
      <c r="D6037" s="63"/>
      <c r="F6037" s="70"/>
    </row>
    <row r="6038">
      <c r="D6038" s="63"/>
      <c r="F6038" s="70"/>
    </row>
    <row r="6039">
      <c r="D6039" s="63"/>
      <c r="F6039" s="70"/>
    </row>
    <row r="6040">
      <c r="D6040" s="63"/>
      <c r="F6040" s="70"/>
    </row>
    <row r="6041">
      <c r="D6041" s="63"/>
      <c r="F6041" s="70"/>
    </row>
    <row r="6042">
      <c r="D6042" s="63"/>
      <c r="F6042" s="70"/>
    </row>
    <row r="6043">
      <c r="D6043" s="63"/>
      <c r="F6043" s="70"/>
    </row>
    <row r="6044">
      <c r="D6044" s="63"/>
      <c r="F6044" s="70"/>
    </row>
    <row r="6045">
      <c r="D6045" s="63"/>
      <c r="F6045" s="70"/>
    </row>
    <row r="6046">
      <c r="D6046" s="63"/>
      <c r="F6046" s="70"/>
    </row>
    <row r="6047">
      <c r="D6047" s="63"/>
      <c r="F6047" s="70"/>
    </row>
    <row r="6048">
      <c r="D6048" s="63"/>
      <c r="F6048" s="70"/>
    </row>
    <row r="6049">
      <c r="D6049" s="63"/>
      <c r="F6049" s="70"/>
    </row>
    <row r="6050">
      <c r="D6050" s="63"/>
      <c r="F6050" s="70"/>
    </row>
    <row r="6051">
      <c r="D6051" s="63"/>
      <c r="F6051" s="70"/>
    </row>
    <row r="6052">
      <c r="D6052" s="63"/>
      <c r="F6052" s="70"/>
    </row>
    <row r="6053">
      <c r="D6053" s="63"/>
      <c r="F6053" s="70"/>
    </row>
    <row r="6054">
      <c r="D6054" s="63"/>
      <c r="F6054" s="70"/>
    </row>
    <row r="6055">
      <c r="D6055" s="63"/>
      <c r="F6055" s="70"/>
    </row>
    <row r="6056">
      <c r="D6056" s="63"/>
      <c r="F6056" s="70"/>
    </row>
    <row r="6057">
      <c r="D6057" s="63"/>
      <c r="F6057" s="70"/>
    </row>
    <row r="6058">
      <c r="D6058" s="63"/>
      <c r="F6058" s="70"/>
    </row>
    <row r="6059">
      <c r="D6059" s="63"/>
      <c r="F6059" s="70"/>
    </row>
    <row r="6060">
      <c r="D6060" s="63"/>
      <c r="F6060" s="70"/>
    </row>
    <row r="6061">
      <c r="D6061" s="63"/>
      <c r="F6061" s="70"/>
    </row>
    <row r="6062">
      <c r="D6062" s="63"/>
      <c r="F6062" s="70"/>
    </row>
    <row r="6063">
      <c r="D6063" s="63"/>
      <c r="F6063" s="70"/>
    </row>
    <row r="6064">
      <c r="D6064" s="63"/>
      <c r="F6064" s="70"/>
    </row>
    <row r="6065">
      <c r="D6065" s="63"/>
      <c r="F6065" s="70"/>
    </row>
    <row r="6066">
      <c r="D6066" s="63"/>
      <c r="F6066" s="70"/>
    </row>
    <row r="6067">
      <c r="D6067" s="63"/>
      <c r="F6067" s="70"/>
    </row>
    <row r="6068">
      <c r="D6068" s="63"/>
      <c r="F6068" s="70"/>
    </row>
    <row r="6069">
      <c r="D6069" s="63"/>
      <c r="F6069" s="70"/>
    </row>
    <row r="6070">
      <c r="D6070" s="63"/>
      <c r="F6070" s="70"/>
    </row>
    <row r="6071">
      <c r="D6071" s="63"/>
      <c r="F6071" s="70"/>
    </row>
    <row r="6072">
      <c r="D6072" s="63"/>
      <c r="F6072" s="70"/>
    </row>
    <row r="6073">
      <c r="D6073" s="63"/>
      <c r="F6073" s="70"/>
    </row>
    <row r="6074">
      <c r="D6074" s="63"/>
      <c r="F6074" s="70"/>
    </row>
    <row r="6075">
      <c r="D6075" s="63"/>
      <c r="F6075" s="70"/>
    </row>
    <row r="6076">
      <c r="D6076" s="63"/>
      <c r="F6076" s="70"/>
    </row>
    <row r="6077">
      <c r="D6077" s="63"/>
      <c r="F6077" s="70"/>
    </row>
    <row r="6078">
      <c r="D6078" s="63"/>
      <c r="F6078" s="70"/>
    </row>
    <row r="6079">
      <c r="D6079" s="63"/>
      <c r="F6079" s="70"/>
    </row>
    <row r="6080">
      <c r="D6080" s="63"/>
      <c r="F6080" s="70"/>
    </row>
    <row r="6081">
      <c r="D6081" s="63"/>
      <c r="F6081" s="70"/>
    </row>
    <row r="6082">
      <c r="D6082" s="63"/>
      <c r="F6082" s="70"/>
    </row>
    <row r="6083">
      <c r="D6083" s="63"/>
      <c r="F6083" s="70"/>
    </row>
    <row r="6084">
      <c r="D6084" s="63"/>
      <c r="F6084" s="70"/>
    </row>
    <row r="6085">
      <c r="D6085" s="63"/>
      <c r="F6085" s="70"/>
    </row>
    <row r="6086">
      <c r="D6086" s="63"/>
      <c r="F6086" s="70"/>
    </row>
    <row r="6087">
      <c r="D6087" s="63"/>
      <c r="F6087" s="70"/>
    </row>
    <row r="6088">
      <c r="D6088" s="63"/>
      <c r="F6088" s="70"/>
    </row>
    <row r="6089">
      <c r="D6089" s="63"/>
      <c r="F6089" s="70"/>
    </row>
    <row r="6090">
      <c r="D6090" s="63"/>
      <c r="F6090" s="70"/>
    </row>
    <row r="6091">
      <c r="D6091" s="63"/>
      <c r="F6091" s="70"/>
    </row>
    <row r="6092">
      <c r="D6092" s="63"/>
      <c r="F6092" s="70"/>
    </row>
    <row r="6093">
      <c r="D6093" s="63"/>
      <c r="F6093" s="70"/>
    </row>
    <row r="6094">
      <c r="D6094" s="63"/>
      <c r="F6094" s="70"/>
    </row>
    <row r="6095">
      <c r="D6095" s="63"/>
      <c r="F6095" s="70"/>
    </row>
    <row r="6096">
      <c r="D6096" s="63"/>
      <c r="F6096" s="70"/>
    </row>
    <row r="6097">
      <c r="D6097" s="63"/>
      <c r="F6097" s="70"/>
    </row>
    <row r="6098">
      <c r="D6098" s="63"/>
      <c r="F6098" s="70"/>
    </row>
    <row r="6099">
      <c r="D6099" s="63"/>
      <c r="F6099" s="70"/>
    </row>
    <row r="6100">
      <c r="D6100" s="63"/>
      <c r="F6100" s="70"/>
    </row>
    <row r="6101">
      <c r="D6101" s="63"/>
      <c r="F6101" s="70"/>
    </row>
    <row r="6102">
      <c r="D6102" s="63"/>
      <c r="F6102" s="70"/>
    </row>
    <row r="6103">
      <c r="D6103" s="63"/>
      <c r="F6103" s="70"/>
    </row>
    <row r="6104">
      <c r="D6104" s="63"/>
      <c r="F6104" s="70"/>
    </row>
    <row r="6105">
      <c r="D6105" s="63"/>
      <c r="F6105" s="70"/>
    </row>
    <row r="6106">
      <c r="D6106" s="63"/>
      <c r="F6106" s="70"/>
    </row>
    <row r="6107">
      <c r="D6107" s="63"/>
      <c r="F6107" s="70"/>
    </row>
    <row r="6108">
      <c r="D6108" s="63"/>
      <c r="F6108" s="70"/>
    </row>
    <row r="6109">
      <c r="D6109" s="63"/>
      <c r="F6109" s="70"/>
    </row>
    <row r="6110">
      <c r="D6110" s="63"/>
      <c r="F6110" s="70"/>
    </row>
    <row r="6111">
      <c r="D6111" s="63"/>
      <c r="F6111" s="70"/>
    </row>
    <row r="6112">
      <c r="D6112" s="63"/>
      <c r="F6112" s="70"/>
    </row>
    <row r="6113">
      <c r="D6113" s="63"/>
      <c r="F6113" s="70"/>
    </row>
    <row r="6114">
      <c r="D6114" s="63"/>
      <c r="F6114" s="70"/>
    </row>
    <row r="6115">
      <c r="D6115" s="63"/>
      <c r="F6115" s="70"/>
    </row>
    <row r="6116">
      <c r="D6116" s="63"/>
      <c r="F6116" s="70"/>
    </row>
    <row r="6117">
      <c r="D6117" s="63"/>
      <c r="F6117" s="70"/>
    </row>
    <row r="6118">
      <c r="D6118" s="63"/>
      <c r="F6118" s="70"/>
    </row>
    <row r="6119">
      <c r="D6119" s="63"/>
      <c r="F6119" s="70"/>
    </row>
    <row r="6120">
      <c r="D6120" s="63"/>
      <c r="F6120" s="70"/>
    </row>
    <row r="6121">
      <c r="D6121" s="63"/>
      <c r="F6121" s="70"/>
    </row>
    <row r="6122">
      <c r="D6122" s="63"/>
      <c r="F6122" s="70"/>
    </row>
    <row r="6123">
      <c r="D6123" s="63"/>
      <c r="F6123" s="70"/>
    </row>
    <row r="6124">
      <c r="D6124" s="63"/>
      <c r="F6124" s="70"/>
    </row>
    <row r="6125">
      <c r="D6125" s="63"/>
      <c r="F6125" s="70"/>
    </row>
    <row r="6126">
      <c r="D6126" s="63"/>
      <c r="F6126" s="70"/>
    </row>
    <row r="6127">
      <c r="D6127" s="63"/>
      <c r="F6127" s="70"/>
    </row>
    <row r="6128">
      <c r="D6128" s="63"/>
      <c r="F6128" s="70"/>
    </row>
    <row r="6129">
      <c r="D6129" s="63"/>
      <c r="F6129" s="70"/>
    </row>
    <row r="6130">
      <c r="D6130" s="63"/>
      <c r="F6130" s="70"/>
    </row>
    <row r="6131">
      <c r="D6131" s="63"/>
      <c r="F6131" s="70"/>
    </row>
    <row r="6132">
      <c r="D6132" s="63"/>
      <c r="F6132" s="70"/>
    </row>
    <row r="6133">
      <c r="D6133" s="63"/>
      <c r="F6133" s="70"/>
    </row>
    <row r="6134">
      <c r="D6134" s="63"/>
      <c r="F6134" s="70"/>
    </row>
    <row r="6135">
      <c r="D6135" s="63"/>
      <c r="F6135" s="70"/>
    </row>
    <row r="6136">
      <c r="D6136" s="63"/>
      <c r="F6136" s="70"/>
    </row>
    <row r="6137">
      <c r="D6137" s="63"/>
      <c r="F6137" s="70"/>
    </row>
    <row r="6138">
      <c r="D6138" s="63"/>
      <c r="F6138" s="70"/>
    </row>
    <row r="6139">
      <c r="D6139" s="63"/>
      <c r="F6139" s="70"/>
    </row>
    <row r="6140">
      <c r="D6140" s="63"/>
      <c r="F6140" s="70"/>
    </row>
    <row r="6141">
      <c r="D6141" s="63"/>
      <c r="F6141" s="70"/>
    </row>
    <row r="6142">
      <c r="D6142" s="63"/>
      <c r="F6142" s="70"/>
    </row>
    <row r="6143">
      <c r="D6143" s="63"/>
      <c r="F6143" s="70"/>
    </row>
    <row r="6144">
      <c r="D6144" s="63"/>
      <c r="F6144" s="70"/>
    </row>
    <row r="6145">
      <c r="D6145" s="63"/>
      <c r="F6145" s="70"/>
    </row>
    <row r="6146">
      <c r="D6146" s="63"/>
      <c r="F6146" s="70"/>
    </row>
    <row r="6147">
      <c r="D6147" s="63"/>
      <c r="F6147" s="70"/>
    </row>
    <row r="6148">
      <c r="D6148" s="63"/>
      <c r="F6148" s="70"/>
    </row>
    <row r="6149">
      <c r="D6149" s="63"/>
      <c r="F6149" s="70"/>
    </row>
    <row r="6150">
      <c r="D6150" s="63"/>
      <c r="F6150" s="70"/>
    </row>
    <row r="6151">
      <c r="D6151" s="63"/>
      <c r="F6151" s="70"/>
    </row>
    <row r="6152">
      <c r="D6152" s="63"/>
      <c r="F6152" s="70"/>
    </row>
    <row r="6153">
      <c r="D6153" s="63"/>
      <c r="F6153" s="70"/>
    </row>
    <row r="6154">
      <c r="D6154" s="63"/>
      <c r="F6154" s="70"/>
    </row>
    <row r="6155">
      <c r="D6155" s="63"/>
      <c r="F6155" s="70"/>
    </row>
    <row r="6156">
      <c r="D6156" s="63"/>
      <c r="F6156" s="70"/>
    </row>
    <row r="6157">
      <c r="D6157" s="63"/>
      <c r="F6157" s="70"/>
    </row>
    <row r="6158">
      <c r="D6158" s="63"/>
      <c r="F6158" s="70"/>
    </row>
    <row r="6159">
      <c r="D6159" s="63"/>
      <c r="F6159" s="70"/>
    </row>
    <row r="6160">
      <c r="D6160" s="63"/>
      <c r="F6160" s="70"/>
    </row>
    <row r="6161">
      <c r="D6161" s="63"/>
      <c r="F6161" s="70"/>
    </row>
    <row r="6162">
      <c r="D6162" s="63"/>
      <c r="F6162" s="70"/>
    </row>
    <row r="6163">
      <c r="D6163" s="63"/>
      <c r="F6163" s="70"/>
    </row>
    <row r="6164">
      <c r="D6164" s="63"/>
      <c r="F6164" s="70"/>
    </row>
    <row r="6165">
      <c r="D6165" s="63"/>
      <c r="F6165" s="70"/>
    </row>
    <row r="6166">
      <c r="D6166" s="63"/>
      <c r="F6166" s="70"/>
    </row>
    <row r="6167">
      <c r="D6167" s="63"/>
      <c r="F6167" s="70"/>
    </row>
    <row r="6168">
      <c r="D6168" s="63"/>
      <c r="F6168" s="70"/>
    </row>
    <row r="6169">
      <c r="D6169" s="63"/>
      <c r="F6169" s="70"/>
    </row>
    <row r="6170">
      <c r="D6170" s="63"/>
      <c r="F6170" s="70"/>
    </row>
    <row r="6171">
      <c r="D6171" s="63"/>
      <c r="F6171" s="70"/>
    </row>
    <row r="6172">
      <c r="D6172" s="63"/>
      <c r="F6172" s="70"/>
    </row>
    <row r="6173">
      <c r="D6173" s="63"/>
      <c r="F6173" s="70"/>
    </row>
    <row r="6174">
      <c r="D6174" s="63"/>
      <c r="F6174" s="70"/>
    </row>
    <row r="6175">
      <c r="D6175" s="63"/>
      <c r="F6175" s="70"/>
    </row>
    <row r="6176">
      <c r="D6176" s="63"/>
      <c r="F6176" s="70"/>
    </row>
    <row r="6177">
      <c r="D6177" s="63"/>
      <c r="F6177" s="70"/>
    </row>
    <row r="6178">
      <c r="D6178" s="63"/>
      <c r="F6178" s="70"/>
    </row>
    <row r="6179">
      <c r="D6179" s="63"/>
      <c r="F6179" s="70"/>
    </row>
    <row r="6180">
      <c r="D6180" s="63"/>
      <c r="F6180" s="70"/>
    </row>
    <row r="6181">
      <c r="D6181" s="63"/>
      <c r="F6181" s="70"/>
    </row>
    <row r="6182">
      <c r="D6182" s="63"/>
      <c r="F6182" s="70"/>
    </row>
    <row r="6183">
      <c r="D6183" s="63"/>
      <c r="F6183" s="70"/>
    </row>
    <row r="6184">
      <c r="D6184" s="63"/>
      <c r="F6184" s="70"/>
    </row>
    <row r="6185">
      <c r="D6185" s="63"/>
      <c r="F6185" s="70"/>
    </row>
    <row r="6186">
      <c r="D6186" s="63"/>
      <c r="F6186" s="70"/>
    </row>
    <row r="6187">
      <c r="D6187" s="63"/>
      <c r="F6187" s="70"/>
    </row>
    <row r="6188">
      <c r="D6188" s="63"/>
      <c r="F6188" s="70"/>
    </row>
    <row r="6189">
      <c r="D6189" s="63"/>
      <c r="F6189" s="70"/>
    </row>
    <row r="6190">
      <c r="D6190" s="63"/>
      <c r="F6190" s="70"/>
    </row>
    <row r="6191">
      <c r="D6191" s="63"/>
      <c r="F6191" s="70"/>
    </row>
    <row r="6192">
      <c r="D6192" s="63"/>
      <c r="F6192" s="70"/>
    </row>
    <row r="6193">
      <c r="D6193" s="63"/>
      <c r="F6193" s="70"/>
    </row>
    <row r="6194">
      <c r="D6194" s="63"/>
      <c r="F6194" s="70"/>
    </row>
    <row r="6195">
      <c r="D6195" s="63"/>
      <c r="F6195" s="70"/>
    </row>
    <row r="6196">
      <c r="D6196" s="63"/>
      <c r="F6196" s="70"/>
    </row>
    <row r="6197">
      <c r="D6197" s="63"/>
      <c r="F6197" s="70"/>
    </row>
    <row r="6198">
      <c r="D6198" s="63"/>
      <c r="F6198" s="70"/>
    </row>
    <row r="6199">
      <c r="D6199" s="63"/>
      <c r="F6199" s="70"/>
    </row>
    <row r="6200">
      <c r="D6200" s="63"/>
      <c r="F6200" s="70"/>
    </row>
    <row r="6201">
      <c r="D6201" s="63"/>
      <c r="F6201" s="70"/>
    </row>
    <row r="6202">
      <c r="D6202" s="63"/>
      <c r="F6202" s="70"/>
    </row>
    <row r="6203">
      <c r="D6203" s="63"/>
      <c r="F6203" s="70"/>
    </row>
    <row r="6204">
      <c r="D6204" s="63"/>
      <c r="F6204" s="70"/>
    </row>
    <row r="6205">
      <c r="D6205" s="63"/>
      <c r="F6205" s="70"/>
    </row>
    <row r="6206">
      <c r="D6206" s="63"/>
      <c r="F6206" s="70"/>
    </row>
    <row r="6207">
      <c r="D6207" s="63"/>
      <c r="F6207" s="70"/>
    </row>
    <row r="6208">
      <c r="D6208" s="63"/>
      <c r="F6208" s="70"/>
    </row>
    <row r="6209">
      <c r="D6209" s="63"/>
      <c r="F6209" s="70"/>
    </row>
    <row r="6210">
      <c r="D6210" s="63"/>
      <c r="F6210" s="70"/>
    </row>
    <row r="6211">
      <c r="D6211" s="63"/>
      <c r="F6211" s="70"/>
    </row>
    <row r="6212">
      <c r="D6212" s="63"/>
      <c r="F6212" s="70"/>
    </row>
    <row r="6213">
      <c r="D6213" s="63"/>
      <c r="F6213" s="70"/>
    </row>
    <row r="6214">
      <c r="D6214" s="63"/>
      <c r="F6214" s="70"/>
    </row>
    <row r="6215">
      <c r="D6215" s="63"/>
      <c r="F6215" s="70"/>
    </row>
    <row r="6216">
      <c r="D6216" s="63"/>
      <c r="F6216" s="70"/>
    </row>
    <row r="6217">
      <c r="D6217" s="63"/>
      <c r="F6217" s="70"/>
    </row>
    <row r="6218">
      <c r="D6218" s="63"/>
      <c r="F6218" s="70"/>
    </row>
    <row r="6219">
      <c r="D6219" s="63"/>
      <c r="F6219" s="70"/>
    </row>
    <row r="6220">
      <c r="D6220" s="63"/>
      <c r="F6220" s="70"/>
    </row>
    <row r="6221">
      <c r="D6221" s="63"/>
      <c r="F6221" s="70"/>
    </row>
    <row r="6222">
      <c r="D6222" s="63"/>
      <c r="F6222" s="70"/>
    </row>
    <row r="6223">
      <c r="D6223" s="63"/>
      <c r="F6223" s="70"/>
    </row>
    <row r="6224">
      <c r="D6224" s="63"/>
      <c r="F6224" s="70"/>
    </row>
    <row r="6225">
      <c r="D6225" s="63"/>
      <c r="F6225" s="70"/>
    </row>
    <row r="6226">
      <c r="D6226" s="63"/>
      <c r="F6226" s="70"/>
    </row>
    <row r="6227">
      <c r="D6227" s="63"/>
      <c r="F6227" s="70"/>
    </row>
    <row r="6228">
      <c r="D6228" s="63"/>
      <c r="F6228" s="70"/>
    </row>
    <row r="6229">
      <c r="D6229" s="63"/>
      <c r="F6229" s="70"/>
    </row>
    <row r="6230">
      <c r="D6230" s="63"/>
      <c r="F6230" s="70"/>
    </row>
    <row r="6231">
      <c r="D6231" s="63"/>
      <c r="F6231" s="70"/>
    </row>
    <row r="6232">
      <c r="D6232" s="63"/>
      <c r="F6232" s="70"/>
    </row>
    <row r="6233">
      <c r="D6233" s="63"/>
      <c r="F6233" s="70"/>
    </row>
    <row r="6234">
      <c r="D6234" s="63"/>
      <c r="F6234" s="70"/>
    </row>
    <row r="6235">
      <c r="D6235" s="63"/>
      <c r="F6235" s="70"/>
    </row>
    <row r="6236">
      <c r="D6236" s="63"/>
      <c r="F6236" s="70"/>
    </row>
    <row r="6237">
      <c r="D6237" s="63"/>
      <c r="F6237" s="70"/>
    </row>
    <row r="6238">
      <c r="D6238" s="63"/>
      <c r="F6238" s="70"/>
    </row>
    <row r="6239">
      <c r="D6239" s="63"/>
      <c r="F6239" s="70"/>
    </row>
    <row r="6240">
      <c r="D6240" s="63"/>
      <c r="F6240" s="70"/>
    </row>
    <row r="6241">
      <c r="D6241" s="63"/>
      <c r="F6241" s="70"/>
    </row>
    <row r="6242">
      <c r="D6242" s="63"/>
      <c r="F6242" s="70"/>
    </row>
    <row r="6243">
      <c r="D6243" s="63"/>
      <c r="F6243" s="70"/>
    </row>
    <row r="6244">
      <c r="D6244" s="63"/>
      <c r="F6244" s="70"/>
    </row>
    <row r="6245">
      <c r="D6245" s="63"/>
      <c r="F6245" s="70"/>
    </row>
    <row r="6246">
      <c r="D6246" s="63"/>
      <c r="F6246" s="70"/>
    </row>
    <row r="6247">
      <c r="D6247" s="63"/>
      <c r="F6247" s="70"/>
    </row>
    <row r="6248">
      <c r="D6248" s="63"/>
      <c r="F6248" s="70"/>
    </row>
    <row r="6249">
      <c r="D6249" s="63"/>
      <c r="F6249" s="70"/>
    </row>
    <row r="6250">
      <c r="D6250" s="63"/>
      <c r="F6250" s="70"/>
    </row>
    <row r="6251">
      <c r="D6251" s="63"/>
      <c r="F6251" s="70"/>
    </row>
    <row r="6252">
      <c r="D6252" s="63"/>
      <c r="F6252" s="70"/>
    </row>
    <row r="6253">
      <c r="D6253" s="63"/>
      <c r="F6253" s="70"/>
    </row>
    <row r="6254">
      <c r="D6254" s="63"/>
      <c r="F6254" s="70"/>
    </row>
    <row r="6255">
      <c r="D6255" s="63"/>
      <c r="F6255" s="70"/>
    </row>
    <row r="6256">
      <c r="D6256" s="63"/>
      <c r="F6256" s="70"/>
    </row>
    <row r="6257">
      <c r="D6257" s="63"/>
      <c r="F6257" s="70"/>
    </row>
    <row r="6258">
      <c r="D6258" s="63"/>
      <c r="F6258" s="70"/>
    </row>
    <row r="6259">
      <c r="D6259" s="63"/>
      <c r="F6259" s="70"/>
    </row>
    <row r="6260">
      <c r="D6260" s="63"/>
      <c r="F6260" s="70"/>
    </row>
    <row r="6261">
      <c r="D6261" s="63"/>
      <c r="F6261" s="70"/>
    </row>
    <row r="6262">
      <c r="D6262" s="63"/>
      <c r="F6262" s="70"/>
    </row>
    <row r="6263">
      <c r="D6263" s="63"/>
      <c r="F6263" s="70"/>
    </row>
    <row r="6264">
      <c r="D6264" s="63"/>
      <c r="F6264" s="66"/>
    </row>
    <row r="6265">
      <c r="D6265" s="63"/>
      <c r="F6265" s="66"/>
    </row>
    <row r="6266">
      <c r="D6266" s="63"/>
      <c r="F6266" s="66"/>
    </row>
    <row r="6267">
      <c r="D6267" s="63"/>
      <c r="F6267" s="66"/>
    </row>
    <row r="6268">
      <c r="D6268" s="63"/>
      <c r="F6268" s="66"/>
    </row>
    <row r="6269">
      <c r="D6269" s="63"/>
      <c r="F6269" s="66"/>
    </row>
    <row r="6270">
      <c r="D6270" s="63"/>
      <c r="F6270" s="66"/>
    </row>
    <row r="6271">
      <c r="D6271" s="63"/>
      <c r="F6271" s="66"/>
    </row>
    <row r="6272">
      <c r="D6272" s="63"/>
      <c r="F6272" s="66"/>
    </row>
    <row r="6273">
      <c r="D6273" s="63"/>
      <c r="F6273" s="66"/>
    </row>
    <row r="6274">
      <c r="D6274" s="63"/>
      <c r="F6274" s="66"/>
    </row>
    <row r="6275">
      <c r="D6275" s="63"/>
      <c r="F6275" s="66"/>
    </row>
    <row r="6276">
      <c r="D6276" s="63"/>
      <c r="F6276" s="66"/>
    </row>
    <row r="6277">
      <c r="D6277" s="63"/>
      <c r="F6277" s="66"/>
    </row>
    <row r="6278">
      <c r="D6278" s="63"/>
      <c r="F6278" s="66"/>
    </row>
    <row r="6279">
      <c r="D6279" s="63"/>
      <c r="F6279" s="66"/>
    </row>
    <row r="6280">
      <c r="D6280" s="63"/>
      <c r="F6280" s="66"/>
    </row>
    <row r="6281">
      <c r="D6281" s="63"/>
      <c r="F6281" s="66"/>
    </row>
    <row r="6282">
      <c r="D6282" s="63"/>
      <c r="F6282" s="66"/>
    </row>
    <row r="6283">
      <c r="D6283" s="63"/>
      <c r="F6283" s="66"/>
    </row>
    <row r="6284">
      <c r="D6284" s="63"/>
      <c r="F6284" s="66"/>
    </row>
    <row r="6285">
      <c r="D6285" s="63"/>
      <c r="F6285" s="66"/>
    </row>
    <row r="6286">
      <c r="D6286" s="63"/>
      <c r="F6286" s="66"/>
    </row>
    <row r="6287">
      <c r="D6287" s="63"/>
      <c r="F6287" s="66"/>
    </row>
    <row r="6288">
      <c r="D6288" s="63"/>
      <c r="F6288" s="64"/>
    </row>
    <row r="6289">
      <c r="D6289" s="63"/>
      <c r="F6289" s="64"/>
    </row>
    <row r="6290">
      <c r="D6290" s="63"/>
      <c r="F6290" s="64"/>
    </row>
    <row r="6291">
      <c r="D6291" s="63"/>
      <c r="F6291" s="64"/>
    </row>
    <row r="6292">
      <c r="D6292" s="63"/>
      <c r="F6292" s="64"/>
    </row>
    <row r="6293">
      <c r="D6293" s="63"/>
      <c r="F6293" s="64"/>
    </row>
    <row r="6294">
      <c r="D6294" s="63"/>
      <c r="F6294" s="64"/>
    </row>
    <row r="6295">
      <c r="D6295" s="63"/>
      <c r="F6295" s="64"/>
    </row>
    <row r="6296">
      <c r="D6296" s="63"/>
      <c r="F6296" s="64"/>
    </row>
    <row r="6297">
      <c r="D6297" s="63"/>
      <c r="F6297" s="64"/>
    </row>
    <row r="6298">
      <c r="D6298" s="63"/>
      <c r="F6298" s="64"/>
    </row>
    <row r="6299">
      <c r="D6299" s="63"/>
      <c r="F6299" s="64"/>
    </row>
    <row r="6300">
      <c r="D6300" s="63"/>
      <c r="F6300" s="64"/>
    </row>
    <row r="6301">
      <c r="D6301" s="63"/>
      <c r="F6301" s="64"/>
    </row>
    <row r="6302">
      <c r="D6302" s="63"/>
      <c r="F6302" s="64"/>
    </row>
    <row r="6303">
      <c r="D6303" s="63"/>
      <c r="F6303" s="64"/>
    </row>
    <row r="6304">
      <c r="D6304" s="63"/>
      <c r="F6304" s="64"/>
    </row>
    <row r="6305">
      <c r="D6305" s="63"/>
      <c r="F6305" s="64"/>
    </row>
    <row r="6306">
      <c r="D6306" s="63"/>
      <c r="F6306" s="64"/>
    </row>
    <row r="6307">
      <c r="D6307" s="63"/>
      <c r="F6307" s="64"/>
    </row>
    <row r="6308">
      <c r="D6308" s="63"/>
      <c r="F6308" s="64"/>
    </row>
    <row r="6309">
      <c r="D6309" s="63"/>
      <c r="F6309" s="64"/>
    </row>
    <row r="6310">
      <c r="D6310" s="63"/>
      <c r="F6310" s="64"/>
    </row>
    <row r="6311">
      <c r="D6311" s="63"/>
      <c r="F6311" s="64"/>
    </row>
    <row r="6312">
      <c r="D6312" s="63"/>
      <c r="F6312" s="64"/>
    </row>
    <row r="6313">
      <c r="D6313" s="63"/>
      <c r="F6313" s="64"/>
    </row>
    <row r="6314">
      <c r="D6314" s="63"/>
      <c r="F6314" s="64"/>
    </row>
    <row r="6315">
      <c r="D6315" s="63"/>
      <c r="F6315" s="64"/>
    </row>
    <row r="6316">
      <c r="D6316" s="63"/>
      <c r="F6316" s="64"/>
    </row>
    <row r="6317">
      <c r="D6317" s="63"/>
      <c r="F6317" s="64"/>
    </row>
    <row r="6318">
      <c r="D6318" s="63"/>
      <c r="F6318" s="64"/>
    </row>
    <row r="6319">
      <c r="D6319" s="63"/>
      <c r="F6319" s="64"/>
    </row>
    <row r="6320">
      <c r="D6320" s="63"/>
      <c r="F6320" s="64"/>
    </row>
    <row r="6321">
      <c r="D6321" s="63"/>
      <c r="F6321" s="64"/>
    </row>
    <row r="6322">
      <c r="D6322" s="63"/>
      <c r="F6322" s="64"/>
    </row>
    <row r="6323">
      <c r="D6323" s="63"/>
      <c r="F6323" s="64"/>
    </row>
    <row r="6324">
      <c r="D6324" s="63"/>
      <c r="F6324" s="64"/>
    </row>
    <row r="6325">
      <c r="D6325" s="63"/>
      <c r="F6325" s="64"/>
    </row>
    <row r="6326">
      <c r="D6326" s="63"/>
      <c r="F6326" s="64"/>
    </row>
    <row r="6327">
      <c r="D6327" s="63"/>
      <c r="F6327" s="64"/>
    </row>
    <row r="6328">
      <c r="D6328" s="63"/>
      <c r="F6328" s="64"/>
    </row>
    <row r="6329">
      <c r="D6329" s="63"/>
      <c r="F6329" s="64"/>
    </row>
    <row r="6330">
      <c r="D6330" s="63"/>
      <c r="F6330" s="64"/>
    </row>
    <row r="6331">
      <c r="D6331" s="63"/>
      <c r="F6331" s="64"/>
    </row>
    <row r="6332">
      <c r="D6332" s="63"/>
      <c r="F6332" s="64"/>
    </row>
    <row r="6333">
      <c r="D6333" s="63"/>
      <c r="F6333" s="64"/>
    </row>
    <row r="6334">
      <c r="D6334" s="63"/>
      <c r="F6334" s="64"/>
    </row>
    <row r="6335">
      <c r="D6335" s="63"/>
      <c r="F6335" s="64"/>
    </row>
    <row r="6336">
      <c r="D6336" s="63"/>
      <c r="F6336" s="64"/>
    </row>
    <row r="6337">
      <c r="D6337" s="63"/>
      <c r="F6337" s="64"/>
    </row>
    <row r="6338">
      <c r="D6338" s="63"/>
      <c r="F6338" s="64"/>
    </row>
    <row r="6339">
      <c r="D6339" s="63"/>
      <c r="F6339" s="64"/>
    </row>
    <row r="6340">
      <c r="D6340" s="63"/>
      <c r="F6340" s="64"/>
    </row>
    <row r="6341">
      <c r="D6341" s="63"/>
      <c r="F6341" s="64"/>
    </row>
    <row r="6342">
      <c r="D6342" s="63"/>
      <c r="F6342" s="64"/>
    </row>
    <row r="6343">
      <c r="D6343" s="63"/>
      <c r="F6343" s="64"/>
    </row>
    <row r="6344">
      <c r="D6344" s="63"/>
      <c r="F6344" s="64"/>
    </row>
    <row r="6345">
      <c r="D6345" s="63"/>
      <c r="F6345" s="66"/>
    </row>
    <row r="6346">
      <c r="D6346" s="63"/>
      <c r="F6346" s="66"/>
    </row>
    <row r="6347">
      <c r="D6347" s="63"/>
      <c r="F6347" s="66"/>
    </row>
    <row r="6348">
      <c r="D6348" s="63"/>
      <c r="F6348" s="66"/>
    </row>
    <row r="6349">
      <c r="D6349" s="63"/>
      <c r="F6349" s="66"/>
    </row>
    <row r="6350">
      <c r="D6350" s="63"/>
      <c r="F6350" s="66"/>
    </row>
    <row r="6351">
      <c r="D6351" s="63"/>
      <c r="F6351" s="66"/>
    </row>
    <row r="6352">
      <c r="D6352" s="63"/>
      <c r="F6352" s="66"/>
    </row>
    <row r="6353">
      <c r="D6353" s="63"/>
      <c r="F6353" s="66"/>
    </row>
    <row r="6354">
      <c r="D6354" s="63"/>
      <c r="F6354" s="66"/>
    </row>
    <row r="6355">
      <c r="D6355" s="63"/>
      <c r="F6355" s="66"/>
    </row>
    <row r="6356">
      <c r="D6356" s="63"/>
      <c r="F6356" s="66"/>
    </row>
    <row r="6357">
      <c r="D6357" s="63"/>
      <c r="F6357" s="66"/>
    </row>
    <row r="6358">
      <c r="D6358" s="63"/>
      <c r="F6358" s="66"/>
    </row>
    <row r="6359">
      <c r="D6359" s="63"/>
      <c r="F6359" s="66"/>
    </row>
    <row r="6360">
      <c r="D6360" s="63"/>
      <c r="F6360" s="66"/>
    </row>
    <row r="6361">
      <c r="D6361" s="63"/>
      <c r="F6361" s="66"/>
    </row>
    <row r="6362">
      <c r="D6362" s="63"/>
      <c r="F6362" s="66"/>
    </row>
    <row r="6363">
      <c r="D6363" s="63"/>
      <c r="F6363" s="66"/>
    </row>
    <row r="6364">
      <c r="D6364" s="63"/>
      <c r="F6364" s="66"/>
    </row>
    <row r="6365">
      <c r="D6365" s="63"/>
      <c r="F6365" s="64"/>
    </row>
    <row r="6366">
      <c r="D6366" s="63"/>
      <c r="F6366" s="64"/>
    </row>
    <row r="6367">
      <c r="D6367" s="63"/>
      <c r="F6367" s="64"/>
    </row>
    <row r="6368">
      <c r="D6368" s="63"/>
      <c r="F6368" s="64"/>
    </row>
    <row r="6369">
      <c r="D6369" s="63"/>
      <c r="F6369" s="64"/>
    </row>
    <row r="6370">
      <c r="D6370" s="63"/>
      <c r="F6370" s="64"/>
    </row>
    <row r="6371">
      <c r="D6371" s="63"/>
      <c r="F6371" s="64"/>
    </row>
    <row r="6372">
      <c r="D6372" s="63"/>
      <c r="F6372" s="64"/>
    </row>
    <row r="6373">
      <c r="D6373" s="63"/>
      <c r="F6373" s="64"/>
    </row>
    <row r="6374">
      <c r="D6374" s="63"/>
      <c r="F6374" s="64"/>
    </row>
    <row r="6375">
      <c r="D6375" s="63"/>
      <c r="F6375" s="64"/>
    </row>
    <row r="6376">
      <c r="D6376" s="63"/>
      <c r="F6376" s="64"/>
    </row>
    <row r="6377">
      <c r="D6377" s="63"/>
      <c r="F6377" s="64"/>
    </row>
    <row r="6378">
      <c r="D6378" s="63"/>
      <c r="F6378" s="64"/>
    </row>
    <row r="6379">
      <c r="D6379" s="63"/>
      <c r="F6379" s="64"/>
    </row>
    <row r="6380">
      <c r="D6380" s="63"/>
      <c r="F6380" s="64"/>
    </row>
    <row r="6381">
      <c r="D6381" s="63"/>
      <c r="F6381" s="64"/>
    </row>
    <row r="6382">
      <c r="D6382" s="63"/>
      <c r="F6382" s="64"/>
    </row>
    <row r="6383">
      <c r="D6383" s="63"/>
      <c r="F6383" s="64"/>
    </row>
    <row r="6384">
      <c r="D6384" s="63"/>
      <c r="F6384" s="64"/>
    </row>
    <row r="6385">
      <c r="D6385" s="63"/>
      <c r="F6385" s="64"/>
    </row>
    <row r="6386">
      <c r="D6386" s="63"/>
      <c r="F6386" s="64"/>
    </row>
    <row r="6387">
      <c r="D6387" s="63"/>
      <c r="F6387" s="64"/>
    </row>
    <row r="6388">
      <c r="D6388" s="63"/>
      <c r="F6388" s="64"/>
    </row>
    <row r="6389">
      <c r="D6389" s="63"/>
      <c r="F6389" s="64"/>
    </row>
    <row r="6390">
      <c r="D6390" s="63"/>
      <c r="F6390" s="64"/>
    </row>
    <row r="6391">
      <c r="D6391" s="63"/>
      <c r="F6391" s="64"/>
    </row>
    <row r="6392">
      <c r="D6392" s="63"/>
      <c r="F6392" s="64"/>
    </row>
    <row r="6393">
      <c r="D6393" s="63"/>
      <c r="F6393" s="64"/>
    </row>
    <row r="6394">
      <c r="D6394" s="63"/>
      <c r="F6394" s="64"/>
    </row>
    <row r="6395">
      <c r="D6395" s="63"/>
      <c r="F6395" s="64"/>
    </row>
    <row r="6396">
      <c r="D6396" s="63"/>
      <c r="F6396" s="64"/>
    </row>
    <row r="6397">
      <c r="D6397" s="63"/>
      <c r="F6397" s="64"/>
    </row>
    <row r="6398">
      <c r="D6398" s="63"/>
      <c r="F6398" s="64"/>
    </row>
    <row r="6399">
      <c r="D6399" s="63"/>
      <c r="F6399" s="64"/>
    </row>
    <row r="6400">
      <c r="D6400" s="63"/>
      <c r="F6400" s="64"/>
    </row>
    <row r="6401">
      <c r="D6401" s="63"/>
      <c r="F6401" s="64"/>
    </row>
    <row r="6402">
      <c r="D6402" s="63"/>
      <c r="F6402" s="64"/>
    </row>
    <row r="6403">
      <c r="D6403" s="63"/>
      <c r="F6403" s="64"/>
    </row>
    <row r="6404">
      <c r="D6404" s="63"/>
      <c r="F6404" s="66"/>
    </row>
    <row r="6405">
      <c r="D6405" s="63"/>
      <c r="F6405" s="66"/>
    </row>
    <row r="6406">
      <c r="D6406" s="63"/>
      <c r="F6406" s="66"/>
    </row>
    <row r="6407">
      <c r="D6407" s="63"/>
      <c r="F6407" s="66"/>
    </row>
    <row r="6408">
      <c r="D6408" s="63"/>
      <c r="F6408" s="66"/>
    </row>
    <row r="6409">
      <c r="D6409" s="63"/>
      <c r="F6409" s="66"/>
    </row>
    <row r="6410">
      <c r="D6410" s="63"/>
      <c r="F6410" s="66"/>
    </row>
    <row r="6411">
      <c r="D6411" s="63"/>
      <c r="F6411" s="66"/>
    </row>
    <row r="6412">
      <c r="D6412" s="63"/>
      <c r="F6412" s="66"/>
    </row>
    <row r="6413">
      <c r="D6413" s="63"/>
      <c r="F6413" s="66"/>
    </row>
    <row r="6414">
      <c r="D6414" s="63"/>
      <c r="F6414" s="66"/>
    </row>
    <row r="6415">
      <c r="D6415" s="63"/>
      <c r="F6415" s="66"/>
    </row>
    <row r="6416">
      <c r="D6416" s="63"/>
      <c r="F6416" s="66"/>
    </row>
    <row r="6417">
      <c r="D6417" s="63"/>
      <c r="F6417" s="66"/>
    </row>
    <row r="6418">
      <c r="D6418" s="63"/>
      <c r="F6418" s="66"/>
    </row>
    <row r="6419">
      <c r="D6419" s="63"/>
      <c r="F6419" s="66"/>
    </row>
    <row r="6420">
      <c r="D6420" s="63"/>
      <c r="F6420" s="66"/>
    </row>
    <row r="6421">
      <c r="D6421" s="63"/>
      <c r="F6421" s="66"/>
    </row>
    <row r="6422">
      <c r="D6422" s="63"/>
      <c r="F6422" s="66"/>
    </row>
    <row r="6423">
      <c r="D6423" s="63"/>
      <c r="F6423" s="66"/>
    </row>
    <row r="6424">
      <c r="D6424" s="63"/>
      <c r="F6424" s="66"/>
    </row>
    <row r="6425">
      <c r="D6425" s="63"/>
      <c r="F6425" s="66"/>
    </row>
    <row r="6426">
      <c r="D6426" s="63"/>
      <c r="F6426" s="66"/>
    </row>
    <row r="6427">
      <c r="D6427" s="63"/>
      <c r="F6427" s="66"/>
    </row>
    <row r="6428">
      <c r="D6428" s="63"/>
      <c r="F6428" s="66"/>
    </row>
    <row r="6429">
      <c r="D6429" s="63"/>
      <c r="F6429" s="66"/>
    </row>
    <row r="6430">
      <c r="D6430" s="63"/>
      <c r="F6430" s="66"/>
    </row>
    <row r="6431">
      <c r="D6431" s="63"/>
      <c r="F6431" s="64"/>
    </row>
    <row r="6432">
      <c r="D6432" s="63"/>
      <c r="F6432" s="64"/>
    </row>
    <row r="6433">
      <c r="D6433" s="63"/>
      <c r="F6433" s="64"/>
    </row>
    <row r="6434">
      <c r="D6434" s="63"/>
      <c r="F6434" s="64"/>
    </row>
    <row r="6435">
      <c r="D6435" s="63"/>
      <c r="F6435" s="64"/>
    </row>
    <row r="6436">
      <c r="D6436" s="63"/>
      <c r="F6436" s="64"/>
    </row>
    <row r="6437">
      <c r="D6437" s="63"/>
      <c r="F6437" s="64"/>
    </row>
    <row r="6438">
      <c r="D6438" s="63"/>
      <c r="F6438" s="64"/>
    </row>
    <row r="6439">
      <c r="D6439" s="63"/>
      <c r="F6439" s="64"/>
    </row>
    <row r="6440">
      <c r="D6440" s="63"/>
      <c r="F6440" s="64"/>
    </row>
    <row r="6441">
      <c r="D6441" s="63"/>
      <c r="F6441" s="64"/>
    </row>
    <row r="6442">
      <c r="D6442" s="63"/>
      <c r="F6442" s="64"/>
    </row>
    <row r="6443">
      <c r="D6443" s="63"/>
      <c r="F6443" s="64"/>
    </row>
    <row r="6444">
      <c r="D6444" s="63"/>
      <c r="F6444" s="64"/>
    </row>
    <row r="6445">
      <c r="D6445" s="63"/>
      <c r="F6445" s="64"/>
    </row>
    <row r="6446">
      <c r="D6446" s="63"/>
      <c r="F6446" s="64"/>
    </row>
    <row r="6447">
      <c r="D6447" s="63"/>
      <c r="F6447" s="64"/>
    </row>
    <row r="6448">
      <c r="D6448" s="63"/>
      <c r="F6448" s="64"/>
    </row>
    <row r="6449">
      <c r="D6449" s="63"/>
      <c r="F6449" s="64"/>
    </row>
    <row r="6450">
      <c r="D6450" s="63"/>
      <c r="F6450" s="64"/>
    </row>
    <row r="6451">
      <c r="D6451" s="63"/>
      <c r="F6451" s="64"/>
    </row>
    <row r="6452">
      <c r="D6452" s="63"/>
      <c r="F6452" s="64"/>
    </row>
    <row r="6453">
      <c r="D6453" s="63"/>
      <c r="F6453" s="64"/>
    </row>
    <row r="6454">
      <c r="D6454" s="63"/>
      <c r="F6454" s="64"/>
    </row>
    <row r="6455">
      <c r="D6455" s="63"/>
      <c r="F6455" s="64"/>
    </row>
    <row r="6456">
      <c r="D6456" s="63"/>
      <c r="F6456" s="64"/>
    </row>
    <row r="6457">
      <c r="D6457" s="63"/>
      <c r="F6457" s="64"/>
    </row>
    <row r="6458">
      <c r="D6458" s="63"/>
      <c r="F6458" s="64"/>
    </row>
    <row r="6459">
      <c r="D6459" s="63"/>
      <c r="F6459" s="64"/>
    </row>
    <row r="6460">
      <c r="D6460" s="63"/>
      <c r="F6460" s="64"/>
    </row>
    <row r="6461">
      <c r="D6461" s="63"/>
      <c r="F6461" s="64"/>
    </row>
    <row r="6462">
      <c r="D6462" s="63"/>
      <c r="F6462" s="64"/>
    </row>
    <row r="6463">
      <c r="D6463" s="63"/>
      <c r="F6463" s="64"/>
    </row>
    <row r="6464">
      <c r="D6464" s="63"/>
      <c r="F6464" s="64"/>
    </row>
    <row r="6465">
      <c r="D6465" s="63"/>
      <c r="F6465" s="64"/>
    </row>
    <row r="6466">
      <c r="D6466" s="63"/>
      <c r="F6466" s="64"/>
    </row>
    <row r="6467">
      <c r="D6467" s="63"/>
      <c r="F6467" s="64"/>
    </row>
    <row r="6468">
      <c r="D6468" s="63"/>
      <c r="F6468" s="64"/>
    </row>
    <row r="6469">
      <c r="D6469" s="63"/>
      <c r="F6469" s="64"/>
    </row>
    <row r="6470">
      <c r="D6470" s="63"/>
      <c r="F6470" s="64"/>
    </row>
    <row r="6471">
      <c r="D6471" s="63"/>
      <c r="F6471" s="64"/>
    </row>
    <row r="6472">
      <c r="D6472" s="63"/>
      <c r="F6472" s="64"/>
    </row>
    <row r="6473">
      <c r="D6473" s="63"/>
      <c r="F6473" s="66"/>
    </row>
    <row r="6474">
      <c r="D6474" s="63"/>
      <c r="F6474" s="66"/>
    </row>
    <row r="6475">
      <c r="D6475" s="63"/>
      <c r="F6475" s="66"/>
    </row>
    <row r="6476">
      <c r="D6476" s="63"/>
      <c r="F6476" s="66"/>
    </row>
    <row r="6477">
      <c r="D6477" s="63"/>
      <c r="F6477" s="66"/>
    </row>
    <row r="6478">
      <c r="D6478" s="63"/>
      <c r="F6478" s="66"/>
    </row>
    <row r="6479">
      <c r="D6479" s="63"/>
      <c r="F6479" s="66"/>
    </row>
    <row r="6480">
      <c r="D6480" s="63"/>
      <c r="F6480" s="66"/>
    </row>
    <row r="6481">
      <c r="D6481" s="63"/>
      <c r="F6481" s="66"/>
    </row>
    <row r="6482">
      <c r="D6482" s="63"/>
      <c r="F6482" s="66"/>
    </row>
    <row r="6483">
      <c r="D6483" s="63"/>
      <c r="F6483" s="66"/>
    </row>
    <row r="6484">
      <c r="D6484" s="63"/>
      <c r="F6484" s="66"/>
    </row>
    <row r="6485">
      <c r="D6485" s="63"/>
      <c r="F6485" s="64"/>
    </row>
    <row r="6486">
      <c r="D6486" s="63"/>
      <c r="F6486" s="64"/>
    </row>
    <row r="6487">
      <c r="D6487" s="63"/>
      <c r="F6487" s="64"/>
    </row>
    <row r="6488">
      <c r="D6488" s="63"/>
      <c r="F6488" s="64"/>
    </row>
    <row r="6489">
      <c r="D6489" s="63"/>
      <c r="F6489" s="64"/>
    </row>
    <row r="6490">
      <c r="D6490" s="63"/>
      <c r="F6490" s="64"/>
    </row>
    <row r="6491">
      <c r="D6491" s="63"/>
      <c r="F6491" s="64"/>
    </row>
    <row r="6492">
      <c r="D6492" s="63"/>
      <c r="F6492" s="64"/>
    </row>
    <row r="6493">
      <c r="D6493" s="63"/>
      <c r="F6493" s="64"/>
    </row>
    <row r="6494">
      <c r="D6494" s="63"/>
      <c r="F6494" s="64"/>
    </row>
    <row r="6495">
      <c r="D6495" s="63"/>
      <c r="F6495" s="64"/>
    </row>
    <row r="6496">
      <c r="D6496" s="63"/>
      <c r="F6496" s="64"/>
    </row>
    <row r="6497">
      <c r="D6497" s="63"/>
      <c r="F6497" s="64"/>
    </row>
    <row r="6498">
      <c r="D6498" s="63"/>
      <c r="F6498" s="64"/>
    </row>
    <row r="6499">
      <c r="D6499" s="63"/>
      <c r="F6499" s="64"/>
    </row>
    <row r="6500">
      <c r="D6500" s="63"/>
      <c r="F6500" s="64"/>
    </row>
    <row r="6501">
      <c r="D6501" s="63"/>
      <c r="F6501" s="64"/>
    </row>
    <row r="6502">
      <c r="D6502" s="63"/>
      <c r="F6502" s="64"/>
    </row>
    <row r="6503">
      <c r="D6503" s="63"/>
      <c r="F6503" s="64"/>
    </row>
    <row r="6504">
      <c r="D6504" s="63"/>
      <c r="F6504" s="64"/>
    </row>
    <row r="6505">
      <c r="D6505" s="63"/>
      <c r="F6505" s="64"/>
    </row>
    <row r="6506">
      <c r="D6506" s="63"/>
      <c r="F6506" s="66"/>
    </row>
    <row r="6507">
      <c r="D6507" s="63"/>
      <c r="F6507" s="66"/>
    </row>
    <row r="6508">
      <c r="D6508" s="63"/>
      <c r="F6508" s="66"/>
    </row>
    <row r="6509">
      <c r="D6509" s="63"/>
      <c r="F6509" s="66"/>
    </row>
    <row r="6510">
      <c r="D6510" s="63"/>
      <c r="F6510" s="64"/>
    </row>
    <row r="6511">
      <c r="D6511" s="63"/>
      <c r="F6511" s="64"/>
    </row>
    <row r="6512">
      <c r="D6512" s="63"/>
      <c r="F6512" s="64"/>
    </row>
    <row r="6513">
      <c r="D6513" s="63"/>
      <c r="F6513" s="64"/>
    </row>
    <row r="6514">
      <c r="D6514" s="63"/>
      <c r="F6514" s="64"/>
    </row>
    <row r="6515">
      <c r="D6515" s="63"/>
      <c r="F6515" s="64"/>
    </row>
    <row r="6516">
      <c r="D6516" s="63"/>
      <c r="F6516" s="64"/>
    </row>
    <row r="6517">
      <c r="D6517" s="63"/>
      <c r="F6517" s="66"/>
    </row>
    <row r="6518">
      <c r="D6518" s="63"/>
      <c r="F6518" s="66"/>
    </row>
    <row r="6519">
      <c r="D6519" s="63"/>
      <c r="F6519" s="66"/>
    </row>
    <row r="6520">
      <c r="D6520" s="63"/>
      <c r="F6520" s="66"/>
    </row>
    <row r="6521">
      <c r="D6521" s="63"/>
      <c r="F6521" s="64"/>
    </row>
    <row r="6522">
      <c r="D6522" s="63"/>
      <c r="F6522" s="64"/>
    </row>
    <row r="6523">
      <c r="D6523" s="63"/>
      <c r="F6523" s="64"/>
    </row>
    <row r="6524">
      <c r="D6524" s="63"/>
      <c r="F6524" s="64"/>
    </row>
    <row r="6525">
      <c r="D6525" s="63"/>
      <c r="F6525" s="64"/>
    </row>
    <row r="6526">
      <c r="D6526" s="63"/>
      <c r="F6526" s="64"/>
    </row>
    <row r="6527">
      <c r="D6527" s="63"/>
      <c r="F6527" s="64"/>
    </row>
    <row r="6528">
      <c r="D6528" s="63"/>
      <c r="F6528" s="64"/>
    </row>
    <row r="6529">
      <c r="D6529" s="63"/>
      <c r="F6529" s="64"/>
    </row>
    <row r="6530">
      <c r="D6530" s="63"/>
      <c r="F6530" s="64"/>
    </row>
    <row r="6531">
      <c r="D6531" s="63"/>
      <c r="F6531" s="64"/>
    </row>
    <row r="6532">
      <c r="D6532" s="63"/>
      <c r="F6532" s="64"/>
    </row>
    <row r="6533">
      <c r="D6533" s="63"/>
      <c r="F6533" s="64"/>
    </row>
    <row r="6534">
      <c r="D6534" s="63"/>
      <c r="F6534" s="64"/>
    </row>
    <row r="6535">
      <c r="D6535" s="63"/>
      <c r="F6535" s="64"/>
    </row>
    <row r="6536">
      <c r="D6536" s="63"/>
      <c r="F6536" s="64"/>
    </row>
    <row r="6537">
      <c r="D6537" s="63"/>
      <c r="F6537" s="64"/>
    </row>
    <row r="6538">
      <c r="D6538" s="63"/>
      <c r="F6538" s="64"/>
    </row>
    <row r="6539">
      <c r="D6539" s="63"/>
      <c r="F6539" s="64"/>
    </row>
    <row r="6540">
      <c r="D6540" s="63"/>
      <c r="F6540" s="64"/>
    </row>
    <row r="6541">
      <c r="D6541" s="63"/>
      <c r="F6541" s="64"/>
    </row>
    <row r="6542">
      <c r="D6542" s="63"/>
      <c r="F6542" s="64"/>
    </row>
    <row r="6543">
      <c r="D6543" s="63"/>
      <c r="F6543" s="64"/>
    </row>
    <row r="6544">
      <c r="D6544" s="63"/>
      <c r="F6544" s="64"/>
    </row>
    <row r="6545">
      <c r="D6545" s="63"/>
      <c r="F6545" s="64"/>
    </row>
    <row r="6546">
      <c r="D6546" s="63"/>
      <c r="F6546" s="64"/>
    </row>
    <row r="6547">
      <c r="D6547" s="63"/>
      <c r="F6547" s="64"/>
    </row>
    <row r="6548">
      <c r="D6548" s="63"/>
      <c r="F6548" s="64"/>
    </row>
    <row r="6549">
      <c r="D6549" s="63"/>
      <c r="F6549" s="64"/>
    </row>
    <row r="6550">
      <c r="D6550" s="63"/>
      <c r="F6550" s="64"/>
    </row>
    <row r="6551">
      <c r="D6551" s="63"/>
      <c r="F6551" s="64"/>
    </row>
    <row r="6552">
      <c r="D6552" s="63"/>
      <c r="F6552" s="64"/>
    </row>
    <row r="6553">
      <c r="D6553" s="63"/>
      <c r="F6553" s="64"/>
    </row>
    <row r="6554">
      <c r="D6554" s="63"/>
      <c r="F6554" s="64"/>
    </row>
    <row r="6555">
      <c r="D6555" s="63"/>
      <c r="F6555" s="64"/>
    </row>
    <row r="6556">
      <c r="D6556" s="63"/>
      <c r="F6556" s="64"/>
    </row>
    <row r="6557">
      <c r="D6557" s="63"/>
      <c r="F6557" s="64"/>
    </row>
    <row r="6558">
      <c r="D6558" s="63"/>
      <c r="F6558" s="64"/>
    </row>
    <row r="6559">
      <c r="D6559" s="63"/>
      <c r="F6559" s="64"/>
    </row>
    <row r="6560">
      <c r="D6560" s="63"/>
      <c r="F6560" s="64"/>
    </row>
    <row r="6561">
      <c r="D6561" s="63"/>
      <c r="F6561" s="64"/>
    </row>
    <row r="6562">
      <c r="D6562" s="63"/>
      <c r="F6562" s="64"/>
    </row>
    <row r="6563">
      <c r="D6563" s="63"/>
      <c r="F6563" s="66"/>
    </row>
    <row r="6564">
      <c r="D6564" s="63"/>
      <c r="F6564" s="66"/>
    </row>
    <row r="6565">
      <c r="D6565" s="63"/>
      <c r="F6565" s="66"/>
    </row>
    <row r="6566">
      <c r="D6566" s="63"/>
      <c r="F6566" s="66"/>
    </row>
    <row r="6567">
      <c r="D6567" s="63"/>
      <c r="F6567" s="66"/>
    </row>
    <row r="6568">
      <c r="D6568" s="63"/>
      <c r="F6568" s="66"/>
    </row>
    <row r="6569">
      <c r="D6569" s="63"/>
      <c r="F6569" s="66"/>
    </row>
    <row r="6570">
      <c r="D6570" s="63"/>
      <c r="F6570" s="66"/>
    </row>
    <row r="6571">
      <c r="D6571" s="63"/>
      <c r="F6571" s="66"/>
    </row>
    <row r="6572">
      <c r="D6572" s="63"/>
      <c r="F6572" s="66"/>
    </row>
    <row r="6573">
      <c r="D6573" s="63"/>
      <c r="F6573" s="66"/>
    </row>
    <row r="6574">
      <c r="D6574" s="63"/>
      <c r="F6574" s="66"/>
    </row>
    <row r="6575">
      <c r="D6575" s="63"/>
      <c r="F6575" s="64"/>
    </row>
    <row r="6576">
      <c r="D6576" s="63"/>
      <c r="F6576" s="64"/>
    </row>
    <row r="6577">
      <c r="D6577" s="63"/>
      <c r="F6577" s="64"/>
    </row>
    <row r="6578">
      <c r="D6578" s="63"/>
      <c r="F6578" s="64"/>
    </row>
    <row r="6579">
      <c r="D6579" s="63"/>
      <c r="F6579" s="64"/>
    </row>
    <row r="6580">
      <c r="D6580" s="63"/>
      <c r="F6580" s="64"/>
    </row>
    <row r="6581">
      <c r="D6581" s="63"/>
      <c r="F6581" s="64"/>
    </row>
    <row r="6582">
      <c r="D6582" s="63"/>
      <c r="F6582" s="64"/>
    </row>
    <row r="6583">
      <c r="D6583" s="63"/>
      <c r="F6583" s="64"/>
    </row>
    <row r="6584">
      <c r="D6584" s="63"/>
      <c r="F6584" s="64"/>
    </row>
    <row r="6585">
      <c r="D6585" s="63"/>
      <c r="F6585" s="64"/>
    </row>
    <row r="6586">
      <c r="D6586" s="63"/>
      <c r="F6586" s="64"/>
    </row>
    <row r="6587">
      <c r="D6587" s="63"/>
      <c r="F6587" s="64"/>
    </row>
    <row r="6588">
      <c r="D6588" s="63"/>
      <c r="F6588" s="64"/>
    </row>
    <row r="6589">
      <c r="D6589" s="63"/>
      <c r="F6589" s="64"/>
    </row>
    <row r="6590">
      <c r="D6590" s="63"/>
      <c r="F6590" s="64"/>
    </row>
    <row r="6591">
      <c r="D6591" s="63"/>
      <c r="F6591" s="64"/>
    </row>
    <row r="6592">
      <c r="D6592" s="63"/>
      <c r="F6592" s="64"/>
    </row>
    <row r="6593">
      <c r="D6593" s="63"/>
      <c r="F6593" s="64"/>
    </row>
    <row r="6594">
      <c r="D6594" s="63"/>
      <c r="F6594" s="64"/>
    </row>
    <row r="6595">
      <c r="D6595" s="63"/>
      <c r="F6595" s="64"/>
    </row>
    <row r="6596">
      <c r="D6596" s="63"/>
      <c r="F6596" s="66"/>
    </row>
    <row r="6597">
      <c r="D6597" s="63"/>
      <c r="F6597" s="66"/>
    </row>
    <row r="6598">
      <c r="D6598" s="63"/>
      <c r="F6598" s="66"/>
    </row>
    <row r="6599">
      <c r="D6599" s="63"/>
      <c r="F6599" s="66"/>
    </row>
    <row r="6600">
      <c r="D6600" s="63"/>
      <c r="F6600" s="64"/>
    </row>
    <row r="6601">
      <c r="D6601" s="63"/>
      <c r="F6601" s="64"/>
    </row>
    <row r="6602">
      <c r="D6602" s="63"/>
      <c r="F6602" s="64"/>
    </row>
    <row r="6603">
      <c r="D6603" s="63"/>
      <c r="F6603" s="64"/>
    </row>
    <row r="6604">
      <c r="D6604" s="63"/>
      <c r="F6604" s="64"/>
    </row>
    <row r="6605">
      <c r="D6605" s="63"/>
      <c r="F6605" s="64"/>
    </row>
    <row r="6606">
      <c r="D6606" s="63"/>
      <c r="F6606" s="64"/>
    </row>
    <row r="6607">
      <c r="D6607" s="63"/>
      <c r="F6607" s="71"/>
    </row>
    <row r="6608">
      <c r="D6608" s="63"/>
      <c r="F6608" s="71"/>
    </row>
    <row r="6609">
      <c r="D6609" s="63"/>
      <c r="F6609" s="71"/>
    </row>
    <row r="6610">
      <c r="D6610" s="63"/>
      <c r="F6610" s="71"/>
    </row>
    <row r="6611">
      <c r="D6611" s="63"/>
      <c r="F6611" s="71"/>
    </row>
    <row r="6612">
      <c r="D6612" s="63"/>
      <c r="F6612" s="71"/>
    </row>
    <row r="6613">
      <c r="D6613" s="63"/>
      <c r="F6613" s="71"/>
    </row>
    <row r="6614">
      <c r="D6614" s="63"/>
      <c r="F6614" s="71"/>
    </row>
    <row r="6615">
      <c r="D6615" s="63"/>
      <c r="F6615" s="71"/>
    </row>
  </sheetData>
  <autoFilter ref="$A$1:$J$3797"/>
  <hyperlinks>
    <hyperlink r:id="rId1" ref="D53"/>
    <hyperlink r:id="rId2" ref="D1516"/>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6">
        <v>45500.0</v>
      </c>
      <c r="B2" s="55" t="str">
        <f>HYPERLINK("https://jobright.ai/jobs/info/66a460625493e4914e93f325?utm_campaign=1052&amp;utm_source=sheet", "Apply")</f>
        <v>Apply</v>
      </c>
      <c r="C2" s="10" t="s">
        <v>9411</v>
      </c>
      <c r="D2" s="56" t="s">
        <v>9412</v>
      </c>
      <c r="E2" s="10" t="s">
        <v>249</v>
      </c>
      <c r="F2" s="10" t="s">
        <v>9413</v>
      </c>
      <c r="G2" s="10" t="s">
        <v>9414</v>
      </c>
      <c r="H2" s="10" t="s">
        <v>9415</v>
      </c>
      <c r="I2" s="10" t="s">
        <v>48</v>
      </c>
      <c r="K2" s="10" t="s">
        <v>9416</v>
      </c>
      <c r="L2" s="10" t="s">
        <v>42</v>
      </c>
    </row>
    <row r="3" ht="15.75" customHeight="1">
      <c r="A3" s="66">
        <v>45500.0</v>
      </c>
      <c r="B3" s="55" t="str">
        <f>HYPERLINK("https://jobright.ai/jobs/info/66a4657bd3c950e558a8ade7?utm_campaign=1052&amp;utm_source=sheet", "Apply")</f>
        <v>Apply</v>
      </c>
      <c r="C3" s="10" t="s">
        <v>9417</v>
      </c>
      <c r="D3" s="56" t="s">
        <v>9418</v>
      </c>
      <c r="E3" s="10" t="s">
        <v>276</v>
      </c>
      <c r="F3" s="10" t="s">
        <v>568</v>
      </c>
      <c r="G3" s="10" t="s">
        <v>9419</v>
      </c>
      <c r="H3" s="10" t="s">
        <v>9420</v>
      </c>
      <c r="I3" s="10" t="s">
        <v>55</v>
      </c>
      <c r="K3" s="10" t="s">
        <v>9421</v>
      </c>
      <c r="L3" s="10" t="s">
        <v>42</v>
      </c>
    </row>
    <row r="4" ht="15.75" customHeight="1">
      <c r="A4" s="66">
        <v>45500.0</v>
      </c>
      <c r="B4" s="55" t="str">
        <f>HYPERLINK("https://jobright.ai/jobs/info/66a4657bd3c950e558a8ade0?utm_campaign=1052&amp;utm_source=sheet", "Apply")</f>
        <v>Apply</v>
      </c>
      <c r="C4" s="10" t="s">
        <v>9422</v>
      </c>
      <c r="D4" s="56" t="s">
        <v>9418</v>
      </c>
      <c r="E4" s="10" t="s">
        <v>276</v>
      </c>
      <c r="F4" s="10" t="s">
        <v>568</v>
      </c>
      <c r="G4" s="10" t="s">
        <v>9419</v>
      </c>
      <c r="H4" s="10" t="s">
        <v>9423</v>
      </c>
      <c r="I4" s="10" t="s">
        <v>55</v>
      </c>
      <c r="K4" s="10" t="s">
        <v>9421</v>
      </c>
      <c r="L4" s="10" t="s">
        <v>42</v>
      </c>
    </row>
    <row r="5" ht="15.75" customHeight="1">
      <c r="A5" s="66">
        <v>45500.0</v>
      </c>
      <c r="B5" s="55" t="str">
        <f>HYPERLINK("https://jobright.ai/jobs/info/66a44c828d52bca76ac9ac7f?utm_campaign=1052&amp;utm_source=sheet", "Apply")</f>
        <v>Apply</v>
      </c>
      <c r="C5" s="10" t="s">
        <v>9424</v>
      </c>
      <c r="D5" s="56" t="s">
        <v>9425</v>
      </c>
      <c r="E5" s="10" t="s">
        <v>65</v>
      </c>
      <c r="F5" s="10" t="s">
        <v>259</v>
      </c>
      <c r="G5" s="10" t="s">
        <v>9414</v>
      </c>
      <c r="H5" s="10" t="s">
        <v>9426</v>
      </c>
      <c r="I5" s="10" t="s">
        <v>55</v>
      </c>
      <c r="J5" s="10" t="s">
        <v>9427</v>
      </c>
      <c r="K5" s="10" t="s">
        <v>9428</v>
      </c>
      <c r="L5" s="10" t="s">
        <v>42</v>
      </c>
    </row>
    <row r="6" ht="15.75" customHeight="1">
      <c r="A6" s="66">
        <v>45499.0</v>
      </c>
      <c r="B6" s="55" t="str">
        <f>HYPERLINK("https://jobright.ai/jobs/info/66a45ac0d7afe57e1001e2ef?utm_campaign=1052&amp;utm_source=sheet", "Apply")</f>
        <v>Apply</v>
      </c>
      <c r="C6" s="10" t="s">
        <v>9429</v>
      </c>
      <c r="D6" s="56" t="s">
        <v>9430</v>
      </c>
      <c r="E6" s="10" t="s">
        <v>45</v>
      </c>
      <c r="F6" s="10" t="s">
        <v>1084</v>
      </c>
      <c r="G6" s="10" t="s">
        <v>9414</v>
      </c>
      <c r="H6" s="10" t="s">
        <v>153</v>
      </c>
      <c r="I6" s="10" t="s">
        <v>55</v>
      </c>
      <c r="K6" s="10" t="s">
        <v>9431</v>
      </c>
      <c r="L6" s="10" t="s">
        <v>42</v>
      </c>
    </row>
    <row r="7" ht="15.75" customHeight="1">
      <c r="A7" s="66">
        <v>45499.0</v>
      </c>
      <c r="B7" s="55" t="str">
        <f>HYPERLINK("https://jobright.ai/jobs/info/66a4480f95dab3bbb7705e00?utm_campaign=1052&amp;utm_source=sheet", "Apply")</f>
        <v>Apply</v>
      </c>
      <c r="C7" s="10" t="s">
        <v>9432</v>
      </c>
      <c r="D7" s="56" t="s">
        <v>9433</v>
      </c>
      <c r="E7" s="10">
        <v>887.0</v>
      </c>
      <c r="G7" s="10" t="s">
        <v>9419</v>
      </c>
      <c r="H7" s="10" t="s">
        <v>830</v>
      </c>
      <c r="I7" s="10" t="s">
        <v>48</v>
      </c>
      <c r="J7" s="10" t="s">
        <v>467</v>
      </c>
      <c r="K7" s="10" t="s">
        <v>9434</v>
      </c>
      <c r="L7" s="10" t="s">
        <v>42</v>
      </c>
    </row>
    <row r="8" ht="15.75" customHeight="1">
      <c r="A8" s="66">
        <v>45499.0</v>
      </c>
      <c r="B8" s="55" t="str">
        <f>HYPERLINK("https://jobright.ai/jobs/info/66a4480f95dab3bbb7705dfe?utm_campaign=1052&amp;utm_source=sheet", "Apply")</f>
        <v>Apply</v>
      </c>
      <c r="C8" s="10" t="s">
        <v>9435</v>
      </c>
      <c r="D8" s="56" t="s">
        <v>9433</v>
      </c>
      <c r="E8" s="10">
        <v>887.0</v>
      </c>
      <c r="G8" s="10" t="s">
        <v>9419</v>
      </c>
      <c r="H8" s="10" t="s">
        <v>885</v>
      </c>
      <c r="I8" s="10" t="s">
        <v>48</v>
      </c>
      <c r="J8" s="10" t="s">
        <v>467</v>
      </c>
      <c r="K8" s="10" t="s">
        <v>9434</v>
      </c>
      <c r="L8" s="10" t="s">
        <v>42</v>
      </c>
    </row>
    <row r="9" ht="15.75" customHeight="1">
      <c r="A9" s="66">
        <v>45499.0</v>
      </c>
      <c r="B9" s="55" t="str">
        <f>HYPERLINK("https://jobright.ai/jobs/info/66a137f5d0ffe356c115e974?utm_campaign=1052&amp;utm_source=sheet", "Apply")</f>
        <v>Apply</v>
      </c>
      <c r="C9" s="10" t="s">
        <v>9436</v>
      </c>
      <c r="D9" s="56" t="s">
        <v>9437</v>
      </c>
      <c r="E9" s="10" t="s">
        <v>276</v>
      </c>
      <c r="F9" s="10" t="s">
        <v>1564</v>
      </c>
      <c r="G9" s="10" t="s">
        <v>9414</v>
      </c>
      <c r="H9" s="10" t="s">
        <v>610</v>
      </c>
      <c r="I9" s="10" t="s">
        <v>55</v>
      </c>
      <c r="K9" s="10" t="s">
        <v>9438</v>
      </c>
      <c r="L9" s="10" t="s">
        <v>42</v>
      </c>
    </row>
    <row r="10" ht="15.75" customHeight="1">
      <c r="A10" s="66">
        <v>45499.0</v>
      </c>
      <c r="B10" s="55" t="str">
        <f>HYPERLINK("https://jobright.ai/jobs/info/66a4398de9bda74e61af11d0?utm_campaign=1052&amp;utm_source=sheet", "Apply")</f>
        <v>Apply</v>
      </c>
      <c r="C10" s="10" t="s">
        <v>9439</v>
      </c>
      <c r="D10" s="56" t="s">
        <v>9430</v>
      </c>
      <c r="E10" s="10" t="s">
        <v>45</v>
      </c>
      <c r="F10" s="10" t="s">
        <v>1084</v>
      </c>
      <c r="G10" s="10" t="s">
        <v>9414</v>
      </c>
      <c r="H10" s="10" t="s">
        <v>154</v>
      </c>
      <c r="I10" s="10" t="s">
        <v>55</v>
      </c>
      <c r="J10" s="10" t="s">
        <v>9440</v>
      </c>
      <c r="K10" s="10" t="s">
        <v>9441</v>
      </c>
      <c r="L10" s="10" t="s">
        <v>42</v>
      </c>
    </row>
    <row r="11" ht="15.75" customHeight="1">
      <c r="A11" s="66">
        <v>45499.0</v>
      </c>
      <c r="B11" s="55" t="str">
        <f>HYPERLINK("https://jobright.ai/jobs/info/66a4398de9bda74e61af11e4?utm_campaign=1052&amp;utm_source=sheet", "Apply")</f>
        <v>Apply</v>
      </c>
      <c r="C11" s="10" t="s">
        <v>9442</v>
      </c>
      <c r="D11" s="56" t="s">
        <v>9430</v>
      </c>
      <c r="E11" s="10" t="s">
        <v>45</v>
      </c>
      <c r="F11" s="10" t="s">
        <v>1084</v>
      </c>
      <c r="G11" s="10" t="s">
        <v>9414</v>
      </c>
      <c r="H11" s="10" t="s">
        <v>96</v>
      </c>
      <c r="I11" s="10" t="s">
        <v>55</v>
      </c>
      <c r="J11" s="10" t="s">
        <v>9440</v>
      </c>
      <c r="K11" s="10" t="s">
        <v>9443</v>
      </c>
      <c r="L11" s="10" t="s">
        <v>42</v>
      </c>
    </row>
    <row r="12" ht="15.75" customHeight="1">
      <c r="A12" s="66">
        <v>45499.0</v>
      </c>
      <c r="B12" s="55" t="str">
        <f>HYPERLINK("https://jobright.ai/jobs/info/66a439a2e9bda74e61af13ef?utm_campaign=1052&amp;utm_source=sheet", "Apply")</f>
        <v>Apply</v>
      </c>
      <c r="C12" s="10" t="s">
        <v>9439</v>
      </c>
      <c r="D12" s="56" t="s">
        <v>9430</v>
      </c>
      <c r="E12" s="10" t="s">
        <v>45</v>
      </c>
      <c r="F12" s="10" t="s">
        <v>1084</v>
      </c>
      <c r="G12" s="10" t="s">
        <v>9414</v>
      </c>
      <c r="H12" s="10" t="s">
        <v>153</v>
      </c>
      <c r="I12" s="10" t="s">
        <v>55</v>
      </c>
      <c r="J12" s="10" t="s">
        <v>9440</v>
      </c>
      <c r="K12" s="10" t="s">
        <v>9441</v>
      </c>
      <c r="L12" s="10" t="s">
        <v>42</v>
      </c>
    </row>
    <row r="13" ht="15.75" customHeight="1">
      <c r="A13" s="66">
        <v>45499.0</v>
      </c>
      <c r="B13" s="55" t="str">
        <f>HYPERLINK("https://jobright.ai/jobs/info/66a439a2e9bda74e61af136d?utm_campaign=1052&amp;utm_source=sheet", "Apply")</f>
        <v>Apply</v>
      </c>
      <c r="C13" s="10" t="s">
        <v>9444</v>
      </c>
      <c r="D13" s="56" t="s">
        <v>9430</v>
      </c>
      <c r="E13" s="10" t="s">
        <v>45</v>
      </c>
      <c r="F13" s="10" t="s">
        <v>1084</v>
      </c>
      <c r="G13" s="10" t="s">
        <v>9414</v>
      </c>
      <c r="H13" s="10" t="s">
        <v>113</v>
      </c>
      <c r="I13" s="10" t="s">
        <v>55</v>
      </c>
      <c r="J13" s="10" t="s">
        <v>9440</v>
      </c>
      <c r="K13" s="10" t="s">
        <v>9443</v>
      </c>
      <c r="L13" s="10" t="s">
        <v>42</v>
      </c>
    </row>
    <row r="14" ht="15.75" customHeight="1">
      <c r="A14" s="66">
        <v>45499.0</v>
      </c>
      <c r="B14" s="55" t="str">
        <f>HYPERLINK("https://jobright.ai/jobs/info/66a4398de9bda74e61af121e?utm_campaign=1052&amp;utm_source=sheet", "Apply")</f>
        <v>Apply</v>
      </c>
      <c r="C14" s="10" t="s">
        <v>9445</v>
      </c>
      <c r="D14" s="56" t="s">
        <v>9433</v>
      </c>
      <c r="E14" s="10">
        <v>887.0</v>
      </c>
      <c r="G14" s="10" t="s">
        <v>9419</v>
      </c>
      <c r="H14" s="10" t="s">
        <v>9446</v>
      </c>
      <c r="I14" s="10" t="s">
        <v>48</v>
      </c>
      <c r="J14" s="10" t="s">
        <v>467</v>
      </c>
      <c r="K14" s="10" t="s">
        <v>9434</v>
      </c>
      <c r="L14" s="10" t="s">
        <v>42</v>
      </c>
    </row>
    <row r="15" ht="15.75" customHeight="1">
      <c r="A15" s="66">
        <v>45499.0</v>
      </c>
      <c r="B15" s="55" t="str">
        <f>HYPERLINK("https://jobright.ai/jobs/info/66a4398de9bda74e61af122e?utm_campaign=1052&amp;utm_source=sheet", "Apply")</f>
        <v>Apply</v>
      </c>
      <c r="C15" s="10" t="s">
        <v>9447</v>
      </c>
      <c r="D15" s="56" t="s">
        <v>9433</v>
      </c>
      <c r="E15" s="10">
        <v>887.0</v>
      </c>
      <c r="G15" s="10" t="s">
        <v>1159</v>
      </c>
      <c r="H15" s="10" t="s">
        <v>830</v>
      </c>
      <c r="I15" s="10" t="s">
        <v>48</v>
      </c>
      <c r="J15" s="10" t="s">
        <v>467</v>
      </c>
      <c r="K15" s="10" t="s">
        <v>9448</v>
      </c>
      <c r="L15" s="10" t="s">
        <v>42</v>
      </c>
    </row>
    <row r="16" ht="15.75" customHeight="1">
      <c r="A16" s="66">
        <v>45499.0</v>
      </c>
      <c r="B16" s="55" t="str">
        <f>HYPERLINK("https://jobright.ai/jobs/info/66a4398de9bda74e61af1226?utm_campaign=1052&amp;utm_source=sheet", "Apply")</f>
        <v>Apply</v>
      </c>
      <c r="C16" s="10" t="s">
        <v>9449</v>
      </c>
      <c r="D16" s="56" t="s">
        <v>9433</v>
      </c>
      <c r="E16" s="10">
        <v>887.0</v>
      </c>
      <c r="G16" s="10" t="s">
        <v>9419</v>
      </c>
      <c r="H16" s="10" t="s">
        <v>832</v>
      </c>
      <c r="I16" s="10" t="s">
        <v>48</v>
      </c>
      <c r="J16" s="10" t="s">
        <v>467</v>
      </c>
      <c r="K16" s="10" t="s">
        <v>9434</v>
      </c>
      <c r="L16" s="10" t="s">
        <v>42</v>
      </c>
    </row>
    <row r="17" ht="15.75" customHeight="1">
      <c r="A17" s="66">
        <v>45499.0</v>
      </c>
      <c r="B17" s="55" t="str">
        <f>HYPERLINK("https://jobright.ai/jobs/info/66a4398de9bda74e61af122d?utm_campaign=1052&amp;utm_source=sheet", "Apply")</f>
        <v>Apply</v>
      </c>
      <c r="C17" s="10" t="s">
        <v>9450</v>
      </c>
      <c r="D17" s="56" t="s">
        <v>9433</v>
      </c>
      <c r="E17" s="10">
        <v>887.0</v>
      </c>
      <c r="G17" s="10" t="s">
        <v>9419</v>
      </c>
      <c r="H17" s="10" t="s">
        <v>885</v>
      </c>
      <c r="I17" s="10" t="s">
        <v>48</v>
      </c>
      <c r="J17" s="10" t="s">
        <v>467</v>
      </c>
      <c r="K17" s="10" t="s">
        <v>9434</v>
      </c>
      <c r="L17" s="10" t="s">
        <v>42</v>
      </c>
    </row>
    <row r="18" ht="15.75" customHeight="1">
      <c r="A18" s="66">
        <v>45499.0</v>
      </c>
      <c r="B18" s="55" t="str">
        <f>HYPERLINK("https://jobright.ai/jobs/info/66a4621e7e313a5da5049b88?utm_campaign=1052&amp;utm_source=sheet", "Apply")</f>
        <v>Apply</v>
      </c>
      <c r="C18" s="10" t="s">
        <v>9451</v>
      </c>
      <c r="D18" s="56" t="s">
        <v>9430</v>
      </c>
      <c r="E18" s="10" t="s">
        <v>45</v>
      </c>
      <c r="F18" s="10" t="s">
        <v>1084</v>
      </c>
      <c r="G18" s="10" t="s">
        <v>9414</v>
      </c>
      <c r="H18" s="10" t="s">
        <v>153</v>
      </c>
      <c r="I18" s="10" t="s">
        <v>55</v>
      </c>
      <c r="K18" s="10" t="s">
        <v>9443</v>
      </c>
      <c r="L18" s="10" t="s">
        <v>42</v>
      </c>
    </row>
    <row r="19" ht="15.75" customHeight="1">
      <c r="A19" s="66">
        <v>45499.0</v>
      </c>
      <c r="B19" s="55" t="str">
        <f>HYPERLINK("https://jobright.ai/jobs/info/66a4523a68a55d33e67ee223?utm_campaign=1052&amp;utm_source=sheet", "Apply")</f>
        <v>Apply</v>
      </c>
      <c r="C19" s="10" t="s">
        <v>9444</v>
      </c>
      <c r="D19" s="56" t="s">
        <v>9430</v>
      </c>
      <c r="E19" s="10" t="s">
        <v>45</v>
      </c>
      <c r="F19" s="10" t="s">
        <v>1084</v>
      </c>
      <c r="G19" s="10" t="s">
        <v>9414</v>
      </c>
      <c r="H19" s="10" t="s">
        <v>144</v>
      </c>
      <c r="I19" s="10" t="s">
        <v>55</v>
      </c>
      <c r="J19" s="10" t="s">
        <v>9440</v>
      </c>
      <c r="K19" s="10" t="s">
        <v>9443</v>
      </c>
      <c r="L19" s="10" t="s">
        <v>42</v>
      </c>
    </row>
    <row r="20" ht="15.75" customHeight="1">
      <c r="A20" s="66">
        <v>45499.0</v>
      </c>
      <c r="B20" s="55" t="str">
        <f>HYPERLINK("https://jobright.ai/jobs/info/66a4523a68a55d33e67ee224?utm_campaign=1052&amp;utm_source=sheet", "Apply")</f>
        <v>Apply</v>
      </c>
      <c r="C20" s="10" t="s">
        <v>9452</v>
      </c>
      <c r="D20" s="56" t="s">
        <v>9430</v>
      </c>
      <c r="E20" s="10" t="s">
        <v>45</v>
      </c>
      <c r="F20" s="10" t="s">
        <v>1084</v>
      </c>
      <c r="G20" s="10" t="s">
        <v>9414</v>
      </c>
      <c r="H20" s="10" t="s">
        <v>153</v>
      </c>
      <c r="I20" s="10" t="s">
        <v>55</v>
      </c>
      <c r="J20" s="10" t="s">
        <v>9440</v>
      </c>
      <c r="K20" s="10" t="s">
        <v>9441</v>
      </c>
      <c r="L20" s="10" t="s">
        <v>42</v>
      </c>
    </row>
    <row r="21" ht="15.75" customHeight="1">
      <c r="A21" s="66">
        <v>45499.0</v>
      </c>
      <c r="B21" s="55" t="str">
        <f>HYPERLINK("https://jobright.ai/jobs/info/66a442f5dae625412f3b7767?utm_campaign=1052&amp;utm_source=sheet", "Apply")</f>
        <v>Apply</v>
      </c>
      <c r="C21" s="10" t="s">
        <v>9444</v>
      </c>
      <c r="D21" s="56" t="s">
        <v>9430</v>
      </c>
      <c r="E21" s="10" t="s">
        <v>45</v>
      </c>
      <c r="F21" s="10" t="s">
        <v>1084</v>
      </c>
      <c r="G21" s="10" t="s">
        <v>9414</v>
      </c>
      <c r="H21" s="10" t="s">
        <v>153</v>
      </c>
      <c r="I21" s="10" t="s">
        <v>55</v>
      </c>
      <c r="J21" s="10" t="s">
        <v>9440</v>
      </c>
      <c r="K21" s="10" t="s">
        <v>9443</v>
      </c>
      <c r="L21" s="10" t="s">
        <v>42</v>
      </c>
    </row>
    <row r="22" ht="15.75" customHeight="1">
      <c r="A22" s="66">
        <v>45499.0</v>
      </c>
      <c r="B22" s="55" t="str">
        <f>HYPERLINK("https://jobright.ai/jobs/info/66a42507130103111111df10?utm_campaign=1052&amp;utm_source=sheet", "Apply")</f>
        <v>Apply</v>
      </c>
      <c r="C22" s="10" t="s">
        <v>9453</v>
      </c>
      <c r="D22" s="56" t="s">
        <v>533</v>
      </c>
      <c r="E22" s="10" t="s">
        <v>209</v>
      </c>
      <c r="F22" s="10" t="s">
        <v>534</v>
      </c>
      <c r="G22" s="10" t="s">
        <v>9419</v>
      </c>
      <c r="H22" s="10" t="s">
        <v>168</v>
      </c>
      <c r="I22" s="10" t="s">
        <v>48</v>
      </c>
      <c r="J22" s="10" t="s">
        <v>579</v>
      </c>
      <c r="K22" s="10" t="s">
        <v>9454</v>
      </c>
      <c r="L22" s="10" t="s">
        <v>42</v>
      </c>
    </row>
    <row r="23" ht="15.75" customHeight="1">
      <c r="A23" s="66">
        <v>45499.0</v>
      </c>
      <c r="B23" s="55" t="str">
        <f>HYPERLINK("https://jobright.ai/jobs/info/66a442ecdae625412f3b76e4?utm_campaign=1052&amp;utm_source=sheet", "Apply")</f>
        <v>Apply</v>
      </c>
      <c r="C23" s="10" t="s">
        <v>9455</v>
      </c>
      <c r="D23" s="56" t="s">
        <v>9433</v>
      </c>
      <c r="E23" s="10">
        <v>887.0</v>
      </c>
      <c r="G23" s="10" t="s">
        <v>9419</v>
      </c>
      <c r="H23" s="10" t="s">
        <v>832</v>
      </c>
      <c r="I23" s="10" t="s">
        <v>48</v>
      </c>
      <c r="J23" s="10" t="s">
        <v>467</v>
      </c>
      <c r="K23" s="10" t="s">
        <v>9434</v>
      </c>
      <c r="L23" s="10" t="s">
        <v>42</v>
      </c>
    </row>
    <row r="24" ht="15.75" customHeight="1">
      <c r="A24" s="66">
        <v>45499.0</v>
      </c>
      <c r="B24" s="55" t="str">
        <f>HYPERLINK("https://jobright.ai/jobs/info/66a442ecdae625412f3b76e3?utm_campaign=1052&amp;utm_source=sheet", "Apply")</f>
        <v>Apply</v>
      </c>
      <c r="C24" s="10" t="s">
        <v>9456</v>
      </c>
      <c r="D24" s="56" t="s">
        <v>9433</v>
      </c>
      <c r="E24" s="10">
        <v>887.0</v>
      </c>
      <c r="G24" s="10" t="s">
        <v>9419</v>
      </c>
      <c r="H24" s="10" t="s">
        <v>830</v>
      </c>
      <c r="I24" s="10" t="s">
        <v>48</v>
      </c>
      <c r="J24" s="10" t="s">
        <v>467</v>
      </c>
      <c r="K24" s="10" t="s">
        <v>9434</v>
      </c>
      <c r="L24" s="10" t="s">
        <v>42</v>
      </c>
    </row>
    <row r="25" ht="15.75" customHeight="1">
      <c r="A25" s="66">
        <v>45499.0</v>
      </c>
      <c r="B25" s="55" t="str">
        <f>HYPERLINK("https://jobright.ai/jobs/info/66a442ecdae625412f3b76e1?utm_campaign=1052&amp;utm_source=sheet", "Apply")</f>
        <v>Apply</v>
      </c>
      <c r="C25" s="10" t="s">
        <v>9457</v>
      </c>
      <c r="D25" s="56" t="s">
        <v>9433</v>
      </c>
      <c r="E25" s="10">
        <v>887.0</v>
      </c>
      <c r="G25" s="10" t="s">
        <v>9419</v>
      </c>
      <c r="H25" s="10" t="s">
        <v>9446</v>
      </c>
      <c r="I25" s="10" t="s">
        <v>48</v>
      </c>
      <c r="J25" s="10" t="s">
        <v>467</v>
      </c>
      <c r="K25" s="10" t="s">
        <v>9434</v>
      </c>
      <c r="L25" s="10" t="s">
        <v>42</v>
      </c>
    </row>
    <row r="26" ht="15.75" customHeight="1">
      <c r="A26" s="66">
        <v>45499.0</v>
      </c>
      <c r="B26" s="55" t="str">
        <f>HYPERLINK("https://jobright.ai/jobs/info/66a42507130103111111df3e?utm_campaign=1052&amp;utm_source=sheet", "Apply")</f>
        <v>Apply</v>
      </c>
      <c r="C26" s="10" t="s">
        <v>9458</v>
      </c>
      <c r="D26" s="56" t="s">
        <v>9430</v>
      </c>
      <c r="E26" s="10" t="s">
        <v>45</v>
      </c>
      <c r="F26" s="10" t="s">
        <v>1084</v>
      </c>
      <c r="G26" s="10" t="s">
        <v>9414</v>
      </c>
      <c r="H26" s="10" t="s">
        <v>153</v>
      </c>
      <c r="I26" s="10" t="s">
        <v>55</v>
      </c>
      <c r="J26" s="66"/>
      <c r="K26" s="10" t="s">
        <v>9459</v>
      </c>
      <c r="L26" s="10" t="s">
        <v>42</v>
      </c>
    </row>
    <row r="27" ht="15.75" customHeight="1">
      <c r="A27" s="66">
        <v>45499.0</v>
      </c>
      <c r="B27" s="55" t="str">
        <f>HYPERLINK("https://jobright.ai/jobs/info/66a42507130103111111df48?utm_campaign=1052&amp;utm_source=sheet", "Apply")</f>
        <v>Apply</v>
      </c>
      <c r="C27" s="10" t="s">
        <v>9444</v>
      </c>
      <c r="D27" s="56" t="s">
        <v>9430</v>
      </c>
      <c r="E27" s="10" t="s">
        <v>45</v>
      </c>
      <c r="F27" s="10" t="s">
        <v>1084</v>
      </c>
      <c r="G27" s="10" t="s">
        <v>9414</v>
      </c>
      <c r="H27" s="10" t="s">
        <v>131</v>
      </c>
      <c r="I27" s="10" t="s">
        <v>55</v>
      </c>
      <c r="J27" s="10" t="s">
        <v>9440</v>
      </c>
      <c r="K27" s="10" t="s">
        <v>9443</v>
      </c>
      <c r="L27" s="10" t="s">
        <v>42</v>
      </c>
    </row>
    <row r="28" ht="15.75" customHeight="1">
      <c r="A28" s="66">
        <v>45499.0</v>
      </c>
      <c r="B28" s="55" t="str">
        <f>HYPERLINK("https://jobright.ai/jobs/info/66a4400619b7c310f7f763b5?utm_campaign=1052&amp;utm_source=sheet", "Apply")</f>
        <v>Apply</v>
      </c>
      <c r="C28" s="10" t="s">
        <v>9460</v>
      </c>
      <c r="D28" s="56" t="s">
        <v>9461</v>
      </c>
      <c r="E28" s="10" t="s">
        <v>65</v>
      </c>
      <c r="F28" s="10" t="s">
        <v>3035</v>
      </c>
      <c r="G28" s="10" t="s">
        <v>1159</v>
      </c>
      <c r="H28" s="10" t="s">
        <v>5228</v>
      </c>
      <c r="I28" s="10" t="s">
        <v>55</v>
      </c>
      <c r="J28" s="10" t="s">
        <v>1409</v>
      </c>
      <c r="K28" s="10" t="s">
        <v>9462</v>
      </c>
      <c r="L28" s="10" t="s">
        <v>42</v>
      </c>
    </row>
    <row r="29" ht="15.75" customHeight="1">
      <c r="A29" s="66">
        <v>45499.0</v>
      </c>
      <c r="B29" s="55" t="str">
        <f>HYPERLINK("https://jobright.ai/jobs/info/66a42db42e54ed503b6ca395?utm_campaign=1052&amp;utm_source=sheet", "Apply")</f>
        <v>Apply</v>
      </c>
      <c r="C29" s="10" t="s">
        <v>9463</v>
      </c>
      <c r="D29" s="56" t="s">
        <v>9464</v>
      </c>
      <c r="E29" s="10">
        <v>90.0</v>
      </c>
      <c r="G29" s="10" t="s">
        <v>9414</v>
      </c>
      <c r="H29" s="10" t="s">
        <v>159</v>
      </c>
      <c r="I29" s="10" t="s">
        <v>48</v>
      </c>
      <c r="K29" s="10" t="s">
        <v>9465</v>
      </c>
      <c r="L29" s="10" t="s">
        <v>42</v>
      </c>
    </row>
    <row r="30" ht="15.75" customHeight="1">
      <c r="A30" s="66">
        <v>45499.0</v>
      </c>
      <c r="B30" s="55" t="str">
        <f>HYPERLINK("https://jobright.ai/jobs/info/66a444dc5fb66c48f0132a90?utm_campaign=1052&amp;utm_source=sheet", "Apply")</f>
        <v>Apply</v>
      </c>
      <c r="C30" s="10" t="s">
        <v>9466</v>
      </c>
      <c r="D30" s="56" t="s">
        <v>9467</v>
      </c>
      <c r="E30" s="10" t="s">
        <v>45</v>
      </c>
      <c r="F30" s="10" t="s">
        <v>9468</v>
      </c>
      <c r="G30" s="10" t="s">
        <v>9414</v>
      </c>
      <c r="H30" s="10" t="s">
        <v>994</v>
      </c>
      <c r="I30" s="10" t="s">
        <v>55</v>
      </c>
      <c r="J30" s="10" t="s">
        <v>9469</v>
      </c>
      <c r="K30" s="10" t="s">
        <v>9470</v>
      </c>
      <c r="L30" s="10" t="s">
        <v>42</v>
      </c>
    </row>
    <row r="31" ht="15.75" customHeight="1">
      <c r="A31" s="66">
        <v>45499.0</v>
      </c>
      <c r="B31" s="55" t="str">
        <f>HYPERLINK("https://jobright.ai/jobs/info/66a444dc5fb66c48f0132a91?utm_campaign=1052&amp;utm_source=sheet", "Apply")</f>
        <v>Apply</v>
      </c>
      <c r="C31" s="10" t="s">
        <v>9466</v>
      </c>
      <c r="D31" s="56" t="s">
        <v>9467</v>
      </c>
      <c r="E31" s="10" t="s">
        <v>45</v>
      </c>
      <c r="F31" s="10" t="s">
        <v>9468</v>
      </c>
      <c r="G31" s="10" t="s">
        <v>9414</v>
      </c>
      <c r="H31" s="10" t="s">
        <v>9471</v>
      </c>
      <c r="I31" s="10" t="s">
        <v>55</v>
      </c>
      <c r="J31" s="10" t="s">
        <v>9469</v>
      </c>
      <c r="K31" s="10" t="s">
        <v>9470</v>
      </c>
      <c r="L31" s="10" t="s">
        <v>42</v>
      </c>
    </row>
    <row r="32" ht="15.75" customHeight="1">
      <c r="A32" s="66">
        <v>45499.0</v>
      </c>
      <c r="B32" s="55" t="str">
        <f>HYPERLINK("https://jobright.ai/jobs/info/66a444dc5fb66c48f0132a52?utm_campaign=1052&amp;utm_source=sheet", "Apply")</f>
        <v>Apply</v>
      </c>
      <c r="C32" s="10" t="s">
        <v>9472</v>
      </c>
      <c r="D32" s="56" t="s">
        <v>9467</v>
      </c>
      <c r="E32" s="10" t="s">
        <v>45</v>
      </c>
      <c r="F32" s="10" t="s">
        <v>9468</v>
      </c>
      <c r="G32" s="10" t="s">
        <v>9419</v>
      </c>
      <c r="H32" s="10" t="s">
        <v>740</v>
      </c>
      <c r="I32" s="10" t="s">
        <v>55</v>
      </c>
      <c r="J32" s="10" t="s">
        <v>9473</v>
      </c>
      <c r="K32" s="10" t="s">
        <v>9474</v>
      </c>
      <c r="L32" s="10" t="s">
        <v>42</v>
      </c>
    </row>
    <row r="33" ht="15.75" customHeight="1">
      <c r="A33" s="66">
        <v>45499.0</v>
      </c>
      <c r="B33" s="55" t="str">
        <f>HYPERLINK("https://jobright.ai/jobs/info/66a444dc5fb66c48f0132a92?utm_campaign=1052&amp;utm_source=sheet", "Apply")</f>
        <v>Apply</v>
      </c>
      <c r="C33" s="10" t="s">
        <v>9466</v>
      </c>
      <c r="D33" s="56" t="s">
        <v>9467</v>
      </c>
      <c r="E33" s="10" t="s">
        <v>45</v>
      </c>
      <c r="F33" s="10" t="s">
        <v>9468</v>
      </c>
      <c r="G33" s="10" t="s">
        <v>9414</v>
      </c>
      <c r="H33" s="10" t="s">
        <v>938</v>
      </c>
      <c r="I33" s="10" t="s">
        <v>55</v>
      </c>
      <c r="J33" s="10" t="s">
        <v>9469</v>
      </c>
      <c r="K33" s="10" t="s">
        <v>9470</v>
      </c>
      <c r="L33" s="10" t="s">
        <v>42</v>
      </c>
    </row>
    <row r="34" ht="15.75" customHeight="1">
      <c r="A34" s="66">
        <v>45499.0</v>
      </c>
      <c r="B34" s="55" t="str">
        <f>HYPERLINK("https://jobright.ai/jobs/info/66a41ea5e3f7d74095f48856?utm_campaign=1052&amp;utm_source=sheet", "Apply")</f>
        <v>Apply</v>
      </c>
      <c r="C34" s="10" t="s">
        <v>9466</v>
      </c>
      <c r="D34" s="56" t="s">
        <v>9467</v>
      </c>
      <c r="E34" s="10" t="s">
        <v>45</v>
      </c>
      <c r="F34" s="10" t="s">
        <v>9468</v>
      </c>
      <c r="G34" s="10" t="s">
        <v>9414</v>
      </c>
      <c r="H34" s="10" t="s">
        <v>843</v>
      </c>
      <c r="I34" s="10" t="s">
        <v>55</v>
      </c>
      <c r="J34" s="10" t="s">
        <v>9469</v>
      </c>
      <c r="K34" s="10" t="s">
        <v>9470</v>
      </c>
      <c r="L34" s="10" t="s">
        <v>42</v>
      </c>
    </row>
    <row r="35" ht="15.75" customHeight="1">
      <c r="A35" s="66">
        <v>45499.0</v>
      </c>
      <c r="B35" s="55" t="str">
        <f>HYPERLINK("https://jobright.ai/jobs/info/66a41eb2e3f7d74095f48968?utm_campaign=1052&amp;utm_source=sheet", "Apply")</f>
        <v>Apply</v>
      </c>
      <c r="C35" s="10" t="s">
        <v>9466</v>
      </c>
      <c r="D35" s="56" t="s">
        <v>9467</v>
      </c>
      <c r="E35" s="10" t="s">
        <v>45</v>
      </c>
      <c r="F35" s="10" t="s">
        <v>9468</v>
      </c>
      <c r="G35" s="10" t="s">
        <v>9414</v>
      </c>
      <c r="H35" s="10" t="s">
        <v>9475</v>
      </c>
      <c r="I35" s="10" t="s">
        <v>55</v>
      </c>
      <c r="J35" s="10" t="s">
        <v>9469</v>
      </c>
      <c r="K35" s="10" t="s">
        <v>9470</v>
      </c>
      <c r="L35" s="10" t="s">
        <v>42</v>
      </c>
    </row>
    <row r="36" ht="15.75" customHeight="1">
      <c r="A36" s="66">
        <v>45499.0</v>
      </c>
      <c r="B36" s="55" t="str">
        <f>HYPERLINK("https://jobright.ai/jobs/info/66a4275fe04bd1eb8f643cc3?utm_campaign=1052&amp;utm_source=sheet", "Apply")</f>
        <v>Apply</v>
      </c>
      <c r="C36" s="10" t="s">
        <v>9466</v>
      </c>
      <c r="D36" s="56" t="s">
        <v>9467</v>
      </c>
      <c r="E36" s="10" t="s">
        <v>45</v>
      </c>
      <c r="F36" s="10" t="s">
        <v>9468</v>
      </c>
      <c r="G36" s="10" t="s">
        <v>9414</v>
      </c>
      <c r="H36" s="10" t="s">
        <v>1015</v>
      </c>
      <c r="I36" s="10" t="s">
        <v>55</v>
      </c>
      <c r="J36" s="10" t="s">
        <v>9469</v>
      </c>
      <c r="K36" s="10" t="s">
        <v>9470</v>
      </c>
      <c r="L36" s="10" t="s">
        <v>42</v>
      </c>
    </row>
    <row r="37" ht="15.75" customHeight="1">
      <c r="A37" s="66">
        <v>45499.0</v>
      </c>
      <c r="B37" s="55" t="str">
        <f>HYPERLINK("https://jobright.ai/jobs/info/66a41eb2e3f7d74095f48969?utm_campaign=1052&amp;utm_source=sheet", "Apply")</f>
        <v>Apply</v>
      </c>
      <c r="C37" s="10" t="s">
        <v>9466</v>
      </c>
      <c r="D37" s="56" t="s">
        <v>9467</v>
      </c>
      <c r="E37" s="10" t="s">
        <v>45</v>
      </c>
      <c r="F37" s="10" t="s">
        <v>9468</v>
      </c>
      <c r="G37" s="10" t="s">
        <v>9414</v>
      </c>
      <c r="H37" s="10" t="s">
        <v>9476</v>
      </c>
      <c r="I37" s="10" t="s">
        <v>55</v>
      </c>
      <c r="J37" s="10" t="s">
        <v>9469</v>
      </c>
      <c r="K37" s="10" t="s">
        <v>9470</v>
      </c>
      <c r="L37" s="10" t="s">
        <v>42</v>
      </c>
    </row>
    <row r="38" ht="15.75" customHeight="1">
      <c r="A38" s="66">
        <v>45499.0</v>
      </c>
      <c r="B38" s="55" t="str">
        <f>HYPERLINK("https://jobright.ai/jobs/info/66a42758e04bd1eb8f643c54?utm_campaign=1052&amp;utm_source=sheet", "Apply")</f>
        <v>Apply</v>
      </c>
      <c r="C38" s="10" t="s">
        <v>9477</v>
      </c>
      <c r="D38" s="56" t="s">
        <v>9467</v>
      </c>
      <c r="E38" s="10" t="s">
        <v>45</v>
      </c>
      <c r="F38" s="10" t="s">
        <v>9468</v>
      </c>
      <c r="G38" s="10" t="s">
        <v>1159</v>
      </c>
      <c r="H38" s="10" t="s">
        <v>9476</v>
      </c>
      <c r="I38" s="10" t="s">
        <v>55</v>
      </c>
      <c r="J38" s="10" t="s">
        <v>9469</v>
      </c>
      <c r="K38" s="10" t="s">
        <v>9478</v>
      </c>
      <c r="L38" s="10" t="s">
        <v>42</v>
      </c>
    </row>
    <row r="39" ht="15.75" customHeight="1">
      <c r="A39" s="66">
        <v>45499.0</v>
      </c>
      <c r="B39" s="55" t="str">
        <f>HYPERLINK("https://jobright.ai/jobs/info/66a41ea5e3f7d74095f48859?utm_campaign=1052&amp;utm_source=sheet", "Apply")</f>
        <v>Apply</v>
      </c>
      <c r="C39" s="10" t="s">
        <v>9479</v>
      </c>
      <c r="D39" s="56" t="s">
        <v>9467</v>
      </c>
      <c r="E39" s="10" t="s">
        <v>45</v>
      </c>
      <c r="F39" s="10" t="s">
        <v>9468</v>
      </c>
      <c r="G39" s="10" t="s">
        <v>1159</v>
      </c>
      <c r="H39" s="10" t="s">
        <v>113</v>
      </c>
      <c r="I39" s="10" t="s">
        <v>55</v>
      </c>
      <c r="J39" s="10" t="s">
        <v>9469</v>
      </c>
      <c r="K39" s="10" t="s">
        <v>9480</v>
      </c>
      <c r="L39" s="10" t="s">
        <v>42</v>
      </c>
    </row>
    <row r="40" ht="15.75" customHeight="1">
      <c r="A40" s="66">
        <v>45499.0</v>
      </c>
      <c r="B40" s="55" t="str">
        <f>HYPERLINK("https://jobright.ai/jobs/info/66a41eb2e3f7d74095f4896d?utm_campaign=1052&amp;utm_source=sheet", "Apply")</f>
        <v>Apply</v>
      </c>
      <c r="C40" s="10" t="s">
        <v>9466</v>
      </c>
      <c r="D40" s="56" t="s">
        <v>9467</v>
      </c>
      <c r="E40" s="10" t="s">
        <v>45</v>
      </c>
      <c r="F40" s="10" t="s">
        <v>9468</v>
      </c>
      <c r="G40" s="10" t="s">
        <v>9414</v>
      </c>
      <c r="H40" s="10" t="s">
        <v>153</v>
      </c>
      <c r="I40" s="10" t="s">
        <v>55</v>
      </c>
      <c r="J40" s="10" t="s">
        <v>9469</v>
      </c>
      <c r="K40" s="10" t="s">
        <v>9470</v>
      </c>
      <c r="L40" s="10" t="s">
        <v>42</v>
      </c>
    </row>
    <row r="41" ht="15.75" customHeight="1">
      <c r="A41" s="66">
        <v>45499.0</v>
      </c>
      <c r="B41" s="55" t="str">
        <f>HYPERLINK("https://jobright.ai/jobs/info/66a41eb2e3f7d74095f4896e?utm_campaign=1052&amp;utm_source=sheet", "Apply")</f>
        <v>Apply</v>
      </c>
      <c r="C41" s="10" t="s">
        <v>9466</v>
      </c>
      <c r="D41" s="56" t="s">
        <v>9467</v>
      </c>
      <c r="E41" s="10" t="s">
        <v>45</v>
      </c>
      <c r="F41" s="10" t="s">
        <v>9468</v>
      </c>
      <c r="G41" s="10" t="s">
        <v>9414</v>
      </c>
      <c r="H41" s="10" t="s">
        <v>9481</v>
      </c>
      <c r="I41" s="10" t="s">
        <v>55</v>
      </c>
      <c r="J41" s="10" t="s">
        <v>9469</v>
      </c>
      <c r="K41" s="10" t="s">
        <v>9470</v>
      </c>
      <c r="L41" s="10" t="s">
        <v>42</v>
      </c>
    </row>
    <row r="42" ht="15.75" customHeight="1">
      <c r="A42" s="66">
        <v>45499.0</v>
      </c>
      <c r="B42" s="55" t="str">
        <f>HYPERLINK("https://jobright.ai/jobs/info/66a428d7fa09ee0c5722a9e5?utm_campaign=1052&amp;utm_source=sheet", "Apply")</f>
        <v>Apply</v>
      </c>
      <c r="C42" s="10" t="s">
        <v>9482</v>
      </c>
      <c r="D42" s="56" t="s">
        <v>9483</v>
      </c>
      <c r="E42" s="10" t="s">
        <v>45</v>
      </c>
      <c r="F42" s="10" t="s">
        <v>9484</v>
      </c>
      <c r="G42" s="10" t="s">
        <v>9414</v>
      </c>
      <c r="H42" s="10" t="s">
        <v>1017</v>
      </c>
      <c r="I42" s="10" t="s">
        <v>48</v>
      </c>
      <c r="J42" s="66"/>
      <c r="K42" s="10" t="s">
        <v>9485</v>
      </c>
      <c r="L42" s="10" t="s">
        <v>42</v>
      </c>
    </row>
    <row r="43" ht="15.75" customHeight="1">
      <c r="A43" s="66">
        <v>45499.0</v>
      </c>
      <c r="B43" s="55" t="str">
        <f>HYPERLINK("https://jobright.ai/jobs/info/66a428f7fa09ee0c5722acad?utm_campaign=1052&amp;utm_source=sheet", "Apply")</f>
        <v>Apply</v>
      </c>
      <c r="C43" s="10" t="s">
        <v>9482</v>
      </c>
      <c r="D43" s="56" t="s">
        <v>9483</v>
      </c>
      <c r="E43" s="10" t="s">
        <v>45</v>
      </c>
      <c r="F43" s="10" t="s">
        <v>9484</v>
      </c>
      <c r="G43" s="10" t="s">
        <v>9414</v>
      </c>
      <c r="H43" s="10" t="s">
        <v>9486</v>
      </c>
      <c r="I43" s="10" t="s">
        <v>48</v>
      </c>
      <c r="K43" s="10" t="s">
        <v>9485</v>
      </c>
      <c r="L43" s="10" t="s">
        <v>42</v>
      </c>
    </row>
    <row r="44" ht="15.75" customHeight="1">
      <c r="A44" s="66">
        <v>45499.0</v>
      </c>
      <c r="B44" s="55" t="str">
        <f>HYPERLINK("https://jobright.ai/jobs/info/66a428f7fa09ee0c5722acae?utm_campaign=1052&amp;utm_source=sheet", "Apply")</f>
        <v>Apply</v>
      </c>
      <c r="C44" s="10" t="s">
        <v>9482</v>
      </c>
      <c r="D44" s="56" t="s">
        <v>9483</v>
      </c>
      <c r="E44" s="10" t="s">
        <v>45</v>
      </c>
      <c r="F44" s="10" t="s">
        <v>9484</v>
      </c>
      <c r="G44" s="10" t="s">
        <v>9414</v>
      </c>
      <c r="H44" s="10" t="s">
        <v>113</v>
      </c>
      <c r="I44" s="10" t="s">
        <v>48</v>
      </c>
      <c r="K44" s="10" t="s">
        <v>9485</v>
      </c>
      <c r="L44" s="10" t="s">
        <v>42</v>
      </c>
    </row>
    <row r="45" ht="15.75" customHeight="1">
      <c r="A45" s="66">
        <v>45499.0</v>
      </c>
      <c r="B45" s="55" t="str">
        <f>HYPERLINK("https://jobright.ai/jobs/info/66a428f7fa09ee0c5722acaf?utm_campaign=1052&amp;utm_source=sheet", "Apply")</f>
        <v>Apply</v>
      </c>
      <c r="C45" s="10" t="s">
        <v>9482</v>
      </c>
      <c r="D45" s="56" t="s">
        <v>9483</v>
      </c>
      <c r="E45" s="10" t="s">
        <v>45</v>
      </c>
      <c r="F45" s="10" t="s">
        <v>9484</v>
      </c>
      <c r="G45" s="10" t="s">
        <v>9414</v>
      </c>
      <c r="H45" s="10" t="s">
        <v>6668</v>
      </c>
      <c r="I45" s="10" t="s">
        <v>48</v>
      </c>
      <c r="K45" s="10" t="s">
        <v>9485</v>
      </c>
      <c r="L45" s="10" t="s">
        <v>42</v>
      </c>
    </row>
    <row r="46" ht="15.75" customHeight="1">
      <c r="A46" s="66">
        <v>45499.0</v>
      </c>
      <c r="B46" s="55" t="str">
        <f>HYPERLINK("https://jobright.ai/jobs/info/66a4221284d006430c764ef5?utm_campaign=1052&amp;utm_source=sheet", "Apply")</f>
        <v>Apply</v>
      </c>
      <c r="C46" s="10" t="s">
        <v>9487</v>
      </c>
      <c r="D46" s="56" t="s">
        <v>9488</v>
      </c>
      <c r="E46" s="10" t="s">
        <v>79</v>
      </c>
      <c r="F46" s="10" t="s">
        <v>2968</v>
      </c>
      <c r="G46" s="10" t="s">
        <v>1159</v>
      </c>
      <c r="H46" s="10" t="s">
        <v>3551</v>
      </c>
      <c r="I46" s="10" t="s">
        <v>55</v>
      </c>
      <c r="K46" s="10" t="s">
        <v>9489</v>
      </c>
      <c r="L46" s="10" t="s">
        <v>42</v>
      </c>
    </row>
    <row r="47" ht="15.75" customHeight="1">
      <c r="A47" s="66">
        <v>45499.0</v>
      </c>
      <c r="B47" s="55" t="str">
        <f>HYPERLINK("https://jobright.ai/jobs/info/66a420605660965e6b31238d?utm_campaign=1052&amp;utm_source=sheet", "Apply")</f>
        <v>Apply</v>
      </c>
      <c r="C47" s="10" t="s">
        <v>9490</v>
      </c>
      <c r="D47" s="56" t="s">
        <v>9491</v>
      </c>
      <c r="E47" s="10" t="s">
        <v>209</v>
      </c>
      <c r="F47" s="10" t="s">
        <v>3382</v>
      </c>
      <c r="G47" s="10" t="s">
        <v>9414</v>
      </c>
      <c r="H47" s="10" t="s">
        <v>9492</v>
      </c>
      <c r="I47" s="10" t="s">
        <v>48</v>
      </c>
      <c r="K47" s="10" t="s">
        <v>9493</v>
      </c>
      <c r="L47" s="10" t="s">
        <v>42</v>
      </c>
    </row>
    <row r="48" ht="15.75" customHeight="1">
      <c r="A48" s="66">
        <v>45499.0</v>
      </c>
      <c r="B48" s="55" t="str">
        <f>HYPERLINK("https://jobright.ai/jobs/info/66a41eb2e3f7d74095f488aa?utm_campaign=1052&amp;utm_source=sheet", "Apply")</f>
        <v>Apply</v>
      </c>
      <c r="C48" s="10" t="s">
        <v>9494</v>
      </c>
      <c r="D48" s="56" t="s">
        <v>9495</v>
      </c>
      <c r="E48" s="10" t="s">
        <v>65</v>
      </c>
      <c r="F48" s="10" t="s">
        <v>9496</v>
      </c>
      <c r="G48" s="10" t="s">
        <v>9414</v>
      </c>
      <c r="H48" s="10" t="s">
        <v>9497</v>
      </c>
      <c r="I48" s="10" t="s">
        <v>48</v>
      </c>
      <c r="K48" s="10" t="s">
        <v>9498</v>
      </c>
      <c r="L48" s="10" t="s">
        <v>42</v>
      </c>
    </row>
    <row r="49" ht="15.75" customHeight="1">
      <c r="A49" s="66">
        <v>45499.0</v>
      </c>
      <c r="B49" s="55" t="str">
        <f>HYPERLINK("https://jobright.ai/jobs/info/66a420605660965e6b3123bd?utm_campaign=1052&amp;utm_source=sheet", "Apply")</f>
        <v>Apply</v>
      </c>
      <c r="C49" s="10" t="s">
        <v>9499</v>
      </c>
      <c r="D49" s="56" t="s">
        <v>9500</v>
      </c>
      <c r="E49" s="10" t="s">
        <v>79</v>
      </c>
      <c r="F49" s="10" t="s">
        <v>9501</v>
      </c>
      <c r="G49" s="10" t="s">
        <v>9419</v>
      </c>
      <c r="H49" s="10" t="s">
        <v>1041</v>
      </c>
      <c r="I49" s="10" t="s">
        <v>55</v>
      </c>
      <c r="K49" s="10" t="s">
        <v>9502</v>
      </c>
      <c r="L49" s="10" t="s">
        <v>42</v>
      </c>
    </row>
    <row r="50" ht="15.75" customHeight="1">
      <c r="A50" s="66">
        <v>45499.0</v>
      </c>
      <c r="B50" s="55" t="str">
        <f>HYPERLINK("https://jobright.ai/jobs/info/66a420605660965e6b3123c0?utm_campaign=1052&amp;utm_source=sheet", "Apply")</f>
        <v>Apply</v>
      </c>
      <c r="C50" s="10" t="s">
        <v>9499</v>
      </c>
      <c r="D50" s="56" t="s">
        <v>9500</v>
      </c>
      <c r="E50" s="10" t="s">
        <v>79</v>
      </c>
      <c r="F50" s="10" t="s">
        <v>9501</v>
      </c>
      <c r="G50" s="10" t="s">
        <v>9419</v>
      </c>
      <c r="H50" s="10" t="s">
        <v>843</v>
      </c>
      <c r="I50" s="10" t="s">
        <v>55</v>
      </c>
      <c r="K50" s="10" t="s">
        <v>9502</v>
      </c>
      <c r="L50" s="10" t="s">
        <v>42</v>
      </c>
    </row>
    <row r="51" ht="15.75" customHeight="1">
      <c r="A51" s="66">
        <v>45499.0</v>
      </c>
      <c r="B51" s="55" t="str">
        <f>HYPERLINK("https://jobright.ai/jobs/info/66a420605660965e6b3123bc?utm_campaign=1052&amp;utm_source=sheet", "Apply")</f>
        <v>Apply</v>
      </c>
      <c r="C51" s="10" t="s">
        <v>9503</v>
      </c>
      <c r="D51" s="56" t="s">
        <v>9500</v>
      </c>
      <c r="E51" s="10" t="s">
        <v>79</v>
      </c>
      <c r="F51" s="10" t="s">
        <v>9501</v>
      </c>
      <c r="G51" s="10" t="s">
        <v>9414</v>
      </c>
      <c r="H51" s="10" t="s">
        <v>843</v>
      </c>
      <c r="I51" s="10" t="s">
        <v>55</v>
      </c>
      <c r="K51" s="10" t="s">
        <v>9504</v>
      </c>
      <c r="L51" s="10" t="s">
        <v>42</v>
      </c>
    </row>
    <row r="52" ht="15.75" customHeight="1">
      <c r="A52" s="66">
        <v>45499.0</v>
      </c>
      <c r="B52" s="55" t="str">
        <f>HYPERLINK("https://jobright.ai/jobs/info/66a420685660965e6b3123c7?utm_campaign=1052&amp;utm_source=sheet", "Apply")</f>
        <v>Apply</v>
      </c>
      <c r="C52" s="10" t="s">
        <v>9505</v>
      </c>
      <c r="D52" s="56" t="s">
        <v>9500</v>
      </c>
      <c r="E52" s="10" t="s">
        <v>79</v>
      </c>
      <c r="F52" s="10" t="s">
        <v>9501</v>
      </c>
      <c r="G52" s="10" t="s">
        <v>9419</v>
      </c>
      <c r="H52" s="10" t="s">
        <v>96</v>
      </c>
      <c r="I52" s="10" t="s">
        <v>55</v>
      </c>
      <c r="K52" s="10" t="s">
        <v>9502</v>
      </c>
      <c r="L52" s="10" t="s">
        <v>42</v>
      </c>
    </row>
    <row r="53" ht="15.75" customHeight="1">
      <c r="A53" s="66">
        <v>45499.0</v>
      </c>
      <c r="B53" s="55" t="str">
        <f>HYPERLINK("https://jobright.ai/jobs/info/66a420685660965e6b3123c6?utm_campaign=1052&amp;utm_source=sheet", "Apply")</f>
        <v>Apply</v>
      </c>
      <c r="C53" s="10" t="s">
        <v>9499</v>
      </c>
      <c r="D53" s="56" t="s">
        <v>9500</v>
      </c>
      <c r="E53" s="10" t="s">
        <v>79</v>
      </c>
      <c r="F53" s="10" t="s">
        <v>9501</v>
      </c>
      <c r="G53" s="10" t="s">
        <v>9419</v>
      </c>
      <c r="H53" s="10" t="s">
        <v>96</v>
      </c>
      <c r="I53" s="10" t="s">
        <v>55</v>
      </c>
      <c r="K53" s="10" t="s">
        <v>9502</v>
      </c>
      <c r="L53" s="10" t="s">
        <v>42</v>
      </c>
    </row>
    <row r="54" ht="15.75" customHeight="1">
      <c r="A54" s="66">
        <v>45499.0</v>
      </c>
      <c r="B54" s="55" t="str">
        <f>HYPERLINK("https://jobright.ai/jobs/info/66a420685660965e6b3123c9?utm_campaign=1052&amp;utm_source=sheet", "Apply")</f>
        <v>Apply</v>
      </c>
      <c r="C54" s="10" t="s">
        <v>9506</v>
      </c>
      <c r="D54" s="56" t="s">
        <v>9500</v>
      </c>
      <c r="E54" s="10" t="s">
        <v>79</v>
      </c>
      <c r="F54" s="10" t="s">
        <v>9501</v>
      </c>
      <c r="G54" s="10" t="s">
        <v>9419</v>
      </c>
      <c r="H54" s="10" t="s">
        <v>1041</v>
      </c>
      <c r="I54" s="10" t="s">
        <v>55</v>
      </c>
      <c r="J54" s="66"/>
      <c r="K54" s="10" t="s">
        <v>9502</v>
      </c>
      <c r="L54" s="10" t="s">
        <v>42</v>
      </c>
    </row>
    <row r="55" ht="15.75" customHeight="1">
      <c r="A55" s="66">
        <v>45499.0</v>
      </c>
      <c r="B55" s="55" t="str">
        <f>HYPERLINK("https://jobright.ai/jobs/info/66a420685660965e6b3123c8?utm_campaign=1052&amp;utm_source=sheet", "Apply")</f>
        <v>Apply</v>
      </c>
      <c r="C55" s="10" t="s">
        <v>9506</v>
      </c>
      <c r="D55" s="56" t="s">
        <v>9500</v>
      </c>
      <c r="E55" s="10" t="s">
        <v>79</v>
      </c>
      <c r="F55" s="10" t="s">
        <v>9501</v>
      </c>
      <c r="G55" s="10" t="s">
        <v>9419</v>
      </c>
      <c r="H55" s="10" t="s">
        <v>843</v>
      </c>
      <c r="I55" s="10" t="s">
        <v>55</v>
      </c>
      <c r="J55" s="66"/>
      <c r="K55" s="10" t="s">
        <v>9502</v>
      </c>
      <c r="L55" s="10" t="s">
        <v>42</v>
      </c>
    </row>
    <row r="56" ht="15.75" customHeight="1">
      <c r="A56" s="66">
        <v>45499.0</v>
      </c>
      <c r="B56" s="55" t="str">
        <f>HYPERLINK("https://jobright.ai/jobs/info/66a4172be30efe1dc24e6997?utm_campaign=1052&amp;utm_source=sheet", "Apply")</f>
        <v>Apply</v>
      </c>
      <c r="C56" s="10" t="s">
        <v>9507</v>
      </c>
      <c r="D56" s="56" t="s">
        <v>9508</v>
      </c>
      <c r="E56" s="10" t="s">
        <v>79</v>
      </c>
      <c r="F56" s="10" t="s">
        <v>9509</v>
      </c>
      <c r="G56" s="10" t="s">
        <v>9414</v>
      </c>
      <c r="H56" s="10" t="s">
        <v>144</v>
      </c>
      <c r="I56" s="10" t="s">
        <v>48</v>
      </c>
      <c r="K56" s="10" t="s">
        <v>9510</v>
      </c>
      <c r="L56" s="10" t="s">
        <v>42</v>
      </c>
    </row>
    <row r="57" ht="15.75" customHeight="1">
      <c r="A57" s="66">
        <v>45499.0</v>
      </c>
      <c r="B57" s="55" t="str">
        <f>HYPERLINK("https://jobright.ai/jobs/info/66a4172be30efe1dc24e699a?utm_campaign=1052&amp;utm_source=sheet", "Apply")</f>
        <v>Apply</v>
      </c>
      <c r="C57" s="10" t="s">
        <v>9507</v>
      </c>
      <c r="D57" s="56" t="s">
        <v>9508</v>
      </c>
      <c r="E57" s="10" t="s">
        <v>79</v>
      </c>
      <c r="F57" s="10" t="s">
        <v>9509</v>
      </c>
      <c r="G57" s="10" t="s">
        <v>9414</v>
      </c>
      <c r="H57" s="10" t="s">
        <v>106</v>
      </c>
      <c r="I57" s="10" t="s">
        <v>48</v>
      </c>
      <c r="K57" s="10" t="s">
        <v>9510</v>
      </c>
      <c r="L57" s="10" t="s">
        <v>42</v>
      </c>
    </row>
    <row r="58" ht="15.75" customHeight="1">
      <c r="A58" s="66">
        <v>45499.0</v>
      </c>
      <c r="B58" s="55" t="str">
        <f>HYPERLINK("https://jobright.ai/jobs/info/66a4172be30efe1dc24e699c?utm_campaign=1052&amp;utm_source=sheet", "Apply")</f>
        <v>Apply</v>
      </c>
      <c r="C58" s="10" t="s">
        <v>9507</v>
      </c>
      <c r="D58" s="56" t="s">
        <v>9508</v>
      </c>
      <c r="E58" s="10" t="s">
        <v>79</v>
      </c>
      <c r="F58" s="10" t="s">
        <v>9509</v>
      </c>
      <c r="G58" s="10" t="s">
        <v>9414</v>
      </c>
      <c r="H58" s="10" t="s">
        <v>146</v>
      </c>
      <c r="I58" s="10" t="s">
        <v>48</v>
      </c>
      <c r="K58" s="10" t="s">
        <v>9510</v>
      </c>
      <c r="L58" s="10" t="s">
        <v>42</v>
      </c>
    </row>
    <row r="59" ht="15.75" customHeight="1">
      <c r="A59" s="66">
        <v>45499.0</v>
      </c>
      <c r="B59" s="55" t="str">
        <f>HYPERLINK("https://jobright.ai/jobs/info/66a4172be30efe1dc24e699f?utm_campaign=1052&amp;utm_source=sheet", "Apply")</f>
        <v>Apply</v>
      </c>
      <c r="C59" s="10" t="s">
        <v>9507</v>
      </c>
      <c r="D59" s="56" t="s">
        <v>9508</v>
      </c>
      <c r="E59" s="10" t="s">
        <v>79</v>
      </c>
      <c r="F59" s="10" t="s">
        <v>9509</v>
      </c>
      <c r="G59" s="10" t="s">
        <v>9414</v>
      </c>
      <c r="H59" s="10" t="s">
        <v>423</v>
      </c>
      <c r="I59" s="10" t="s">
        <v>48</v>
      </c>
      <c r="K59" s="10" t="s">
        <v>9510</v>
      </c>
      <c r="L59" s="10" t="s">
        <v>42</v>
      </c>
    </row>
    <row r="60" ht="15.75" customHeight="1">
      <c r="A60" s="66">
        <v>45499.0</v>
      </c>
      <c r="B60" s="55" t="str">
        <f>HYPERLINK("https://jobright.ai/jobs/info/66a4172be30efe1dc24e69a1?utm_campaign=1052&amp;utm_source=sheet", "Apply")</f>
        <v>Apply</v>
      </c>
      <c r="C60" s="10" t="s">
        <v>9507</v>
      </c>
      <c r="D60" s="56" t="s">
        <v>9508</v>
      </c>
      <c r="E60" s="10" t="s">
        <v>79</v>
      </c>
      <c r="F60" s="10" t="s">
        <v>9509</v>
      </c>
      <c r="G60" s="10" t="s">
        <v>9414</v>
      </c>
      <c r="H60" s="10" t="s">
        <v>170</v>
      </c>
      <c r="I60" s="10" t="s">
        <v>48</v>
      </c>
      <c r="K60" s="10" t="s">
        <v>9510</v>
      </c>
      <c r="L60" s="10" t="s">
        <v>42</v>
      </c>
    </row>
    <row r="61" ht="15.75" customHeight="1">
      <c r="A61" s="66">
        <v>45499.0</v>
      </c>
      <c r="B61" s="55" t="str">
        <f>HYPERLINK("https://jobright.ai/jobs/info/66a4172be30efe1dc24e69a3?utm_campaign=1052&amp;utm_source=sheet", "Apply")</f>
        <v>Apply</v>
      </c>
      <c r="C61" s="10" t="s">
        <v>9507</v>
      </c>
      <c r="D61" s="56" t="s">
        <v>9508</v>
      </c>
      <c r="E61" s="10" t="s">
        <v>79</v>
      </c>
      <c r="F61" s="10" t="s">
        <v>9509</v>
      </c>
      <c r="G61" s="10" t="s">
        <v>9414</v>
      </c>
      <c r="H61" s="10" t="s">
        <v>434</v>
      </c>
      <c r="I61" s="10" t="s">
        <v>48</v>
      </c>
      <c r="K61" s="10" t="s">
        <v>9510</v>
      </c>
      <c r="L61" s="10" t="s">
        <v>42</v>
      </c>
    </row>
    <row r="62" ht="15.75" customHeight="1">
      <c r="A62" s="66">
        <v>45499.0</v>
      </c>
      <c r="B62" s="55" t="str">
        <f>HYPERLINK("https://jobright.ai/jobs/info/66a4172be30efe1dc24e69a4?utm_campaign=1052&amp;utm_source=sheet", "Apply")</f>
        <v>Apply</v>
      </c>
      <c r="C62" s="10" t="s">
        <v>9507</v>
      </c>
      <c r="D62" s="56" t="s">
        <v>9508</v>
      </c>
      <c r="E62" s="10" t="s">
        <v>79</v>
      </c>
      <c r="F62" s="10" t="s">
        <v>9509</v>
      </c>
      <c r="G62" s="10" t="s">
        <v>9414</v>
      </c>
      <c r="H62" s="10" t="s">
        <v>165</v>
      </c>
      <c r="I62" s="10" t="s">
        <v>48</v>
      </c>
      <c r="K62" s="10" t="s">
        <v>9510</v>
      </c>
      <c r="L62" s="10" t="s">
        <v>42</v>
      </c>
    </row>
    <row r="63" ht="15.75" customHeight="1">
      <c r="A63" s="66">
        <v>45499.0</v>
      </c>
      <c r="B63" s="55" t="str">
        <f>HYPERLINK("https://jobright.ai/jobs/info/66a428e0fa09ee0c5722aa26?utm_campaign=1052&amp;utm_source=sheet", "Apply")</f>
        <v>Apply</v>
      </c>
      <c r="C63" s="10" t="s">
        <v>9511</v>
      </c>
      <c r="D63" s="56" t="s">
        <v>2174</v>
      </c>
      <c r="E63" s="10">
        <v>294.0</v>
      </c>
      <c r="G63" s="10" t="s">
        <v>9414</v>
      </c>
      <c r="H63" s="10" t="s">
        <v>96</v>
      </c>
      <c r="I63" s="10" t="s">
        <v>55</v>
      </c>
      <c r="J63" s="10" t="s">
        <v>1608</v>
      </c>
      <c r="K63" s="10" t="s">
        <v>9512</v>
      </c>
      <c r="L63" s="10" t="s">
        <v>42</v>
      </c>
    </row>
    <row r="64" ht="15.75" customHeight="1">
      <c r="A64" s="66">
        <v>45499.0</v>
      </c>
      <c r="B64" s="55" t="str">
        <f>HYPERLINK("https://jobright.ai/jobs/info/66a4133392c15a63eb81058e?utm_campaign=1052&amp;utm_source=sheet", "Apply")</f>
        <v>Apply</v>
      </c>
      <c r="C64" s="10" t="s">
        <v>9513</v>
      </c>
      <c r="D64" s="56" t="s">
        <v>9514</v>
      </c>
      <c r="E64" s="10" t="s">
        <v>137</v>
      </c>
      <c r="F64" s="10" t="s">
        <v>7693</v>
      </c>
      <c r="G64" s="10" t="s">
        <v>9414</v>
      </c>
      <c r="H64" s="10" t="s">
        <v>9515</v>
      </c>
      <c r="I64" s="10" t="s">
        <v>55</v>
      </c>
      <c r="J64" s="10" t="s">
        <v>1797</v>
      </c>
      <c r="K64" s="10" t="s">
        <v>9516</v>
      </c>
      <c r="L64" s="10" t="s">
        <v>42</v>
      </c>
    </row>
    <row r="65" ht="15.75" customHeight="1">
      <c r="A65" s="66">
        <v>45499.0</v>
      </c>
      <c r="B65" s="55" t="str">
        <f>HYPERLINK("https://jobright.ai/jobs/info/66a408009d6a30be4effa0f0?utm_campaign=1052&amp;utm_source=sheet", "Apply")</f>
        <v>Apply</v>
      </c>
      <c r="C65" s="10" t="s">
        <v>9517</v>
      </c>
      <c r="D65" s="56" t="s">
        <v>9518</v>
      </c>
      <c r="E65" s="10">
        <v>4.0</v>
      </c>
      <c r="G65" s="10" t="s">
        <v>1159</v>
      </c>
      <c r="H65" s="10" t="s">
        <v>3271</v>
      </c>
      <c r="I65" s="10" t="s">
        <v>55</v>
      </c>
      <c r="J65" s="10" t="s">
        <v>9519</v>
      </c>
      <c r="K65" s="10" t="s">
        <v>9520</v>
      </c>
      <c r="L65" s="10" t="s">
        <v>42</v>
      </c>
    </row>
    <row r="66" ht="15.75" customHeight="1">
      <c r="A66" s="66">
        <v>45499.0</v>
      </c>
      <c r="B66" s="55" t="str">
        <f>HYPERLINK("https://jobright.ai/jobs/info/66a4030b0d09d8a9054b380c?utm_campaign=1052&amp;utm_source=sheet", "Apply")</f>
        <v>Apply</v>
      </c>
      <c r="C66" s="10" t="s">
        <v>9517</v>
      </c>
      <c r="D66" s="56" t="s">
        <v>9521</v>
      </c>
      <c r="E66" s="10" t="s">
        <v>249</v>
      </c>
      <c r="F66" s="10" t="s">
        <v>9522</v>
      </c>
      <c r="G66" s="10" t="s">
        <v>1159</v>
      </c>
      <c r="H66" s="10" t="s">
        <v>1052</v>
      </c>
      <c r="I66" s="10" t="s">
        <v>48</v>
      </c>
      <c r="K66" s="10" t="s">
        <v>9523</v>
      </c>
      <c r="L66" s="10" t="s">
        <v>42</v>
      </c>
    </row>
    <row r="67" ht="15.75" customHeight="1">
      <c r="A67" s="66">
        <v>45499.0</v>
      </c>
      <c r="B67" s="55" t="str">
        <f>HYPERLINK("https://jobright.ai/jobs/info/66a407c99d6a30be4eff9c60?utm_campaign=1052&amp;utm_source=sheet", "Apply")</f>
        <v>Apply</v>
      </c>
      <c r="C67" s="10" t="s">
        <v>9524</v>
      </c>
      <c r="D67" s="56" t="s">
        <v>9525</v>
      </c>
      <c r="E67" s="10" t="s">
        <v>65</v>
      </c>
      <c r="F67" s="10" t="s">
        <v>381</v>
      </c>
      <c r="G67" s="10" t="s">
        <v>1159</v>
      </c>
      <c r="H67" s="10" t="s">
        <v>96</v>
      </c>
      <c r="I67" s="10" t="s">
        <v>48</v>
      </c>
      <c r="K67" s="10" t="s">
        <v>9526</v>
      </c>
      <c r="L67" s="10" t="s">
        <v>42</v>
      </c>
    </row>
    <row r="68" ht="15.75" customHeight="1">
      <c r="A68" s="66">
        <v>45499.0</v>
      </c>
      <c r="B68" s="55" t="str">
        <f>HYPERLINK("https://jobright.ai/jobs/info/66a3f4c85fcbfa8457ce11f0?utm_campaign=1052&amp;utm_source=sheet", "Apply")</f>
        <v>Apply</v>
      </c>
      <c r="C68" s="10" t="s">
        <v>9527</v>
      </c>
      <c r="D68" s="56" t="s">
        <v>9500</v>
      </c>
      <c r="E68" s="10" t="s">
        <v>79</v>
      </c>
      <c r="F68" s="10" t="s">
        <v>9501</v>
      </c>
      <c r="G68" s="10" t="s">
        <v>9419</v>
      </c>
      <c r="H68" s="10" t="s">
        <v>843</v>
      </c>
      <c r="I68" s="10" t="s">
        <v>55</v>
      </c>
      <c r="K68" s="10" t="s">
        <v>9502</v>
      </c>
      <c r="L68" s="10" t="s">
        <v>42</v>
      </c>
    </row>
    <row r="69" ht="15.75" customHeight="1">
      <c r="A69" s="66">
        <v>45499.0</v>
      </c>
      <c r="B69" s="55" t="str">
        <f>HYPERLINK("https://jobright.ai/jobs/info/66a3f4c85fcbfa8457ce11f2?utm_campaign=1052&amp;utm_source=sheet", "Apply")</f>
        <v>Apply</v>
      </c>
      <c r="C69" s="10" t="s">
        <v>9528</v>
      </c>
      <c r="D69" s="56" t="s">
        <v>9500</v>
      </c>
      <c r="E69" s="10" t="s">
        <v>79</v>
      </c>
      <c r="F69" s="10" t="s">
        <v>9501</v>
      </c>
      <c r="G69" s="10" t="s">
        <v>9419</v>
      </c>
      <c r="H69" s="10" t="s">
        <v>1041</v>
      </c>
      <c r="I69" s="10" t="s">
        <v>55</v>
      </c>
      <c r="K69" s="10" t="s">
        <v>9502</v>
      </c>
      <c r="L69" s="10" t="s">
        <v>42</v>
      </c>
    </row>
    <row r="70" ht="15.75" customHeight="1">
      <c r="A70" s="66">
        <v>45499.0</v>
      </c>
      <c r="B70" s="55" t="str">
        <f>HYPERLINK("https://jobright.ai/jobs/info/66a3e83cb020465e7d35c9bc?utm_campaign=1052&amp;utm_source=sheet", "Apply")</f>
        <v>Apply</v>
      </c>
      <c r="C70" s="10" t="s">
        <v>9529</v>
      </c>
      <c r="D70" s="56" t="s">
        <v>9530</v>
      </c>
      <c r="E70" s="10" t="s">
        <v>276</v>
      </c>
      <c r="F70" s="10" t="s">
        <v>9531</v>
      </c>
      <c r="G70" s="10" t="s">
        <v>1159</v>
      </c>
      <c r="H70" s="10" t="s">
        <v>3006</v>
      </c>
      <c r="I70" s="10" t="s">
        <v>55</v>
      </c>
      <c r="K70" s="10" t="s">
        <v>9532</v>
      </c>
      <c r="L70" s="10" t="s">
        <v>42</v>
      </c>
    </row>
    <row r="71" ht="15.75" customHeight="1">
      <c r="A71" s="66">
        <v>45499.0</v>
      </c>
      <c r="B71" s="55" t="str">
        <f>HYPERLINK("https://jobright.ai/jobs/info/66a3ef4687fb29a0df318ff8?utm_campaign=1052&amp;utm_source=sheet", "Apply")</f>
        <v>Apply</v>
      </c>
      <c r="C71" s="10" t="s">
        <v>9533</v>
      </c>
      <c r="D71" s="58" t="s">
        <v>1572</v>
      </c>
      <c r="E71" s="10" t="s">
        <v>249</v>
      </c>
      <c r="F71" s="10" t="s">
        <v>1573</v>
      </c>
      <c r="G71" s="10" t="s">
        <v>1159</v>
      </c>
      <c r="H71" s="10" t="s">
        <v>106</v>
      </c>
      <c r="I71" s="10" t="s">
        <v>55</v>
      </c>
      <c r="K71" s="10" t="s">
        <v>9534</v>
      </c>
      <c r="L71" s="10" t="s">
        <v>42</v>
      </c>
    </row>
    <row r="72" ht="15.75" customHeight="1">
      <c r="A72" s="66">
        <v>45499.0</v>
      </c>
      <c r="B72" s="55" t="str">
        <f>HYPERLINK("https://jobright.ai/jobs/info/66a408099d6a30be4effa1d8?utm_campaign=1052&amp;utm_source=sheet", "Apply")</f>
        <v>Apply</v>
      </c>
      <c r="C72" s="10" t="s">
        <v>9535</v>
      </c>
      <c r="D72" s="56" t="s">
        <v>1496</v>
      </c>
      <c r="E72" s="10" t="s">
        <v>45</v>
      </c>
      <c r="F72" s="10" t="s">
        <v>1497</v>
      </c>
      <c r="G72" s="10" t="s">
        <v>9419</v>
      </c>
      <c r="H72" s="10" t="s">
        <v>966</v>
      </c>
      <c r="I72" s="10" t="s">
        <v>55</v>
      </c>
      <c r="K72" s="10" t="s">
        <v>9536</v>
      </c>
      <c r="L72" s="10" t="s">
        <v>42</v>
      </c>
    </row>
    <row r="73" ht="15.75" customHeight="1">
      <c r="A73" s="66">
        <v>45499.0</v>
      </c>
      <c r="B73" s="55" t="str">
        <f>HYPERLINK("https://jobright.ai/jobs/info/66a3ef4687fb29a0df319032?utm_campaign=1052&amp;utm_source=sheet", "Apply")</f>
        <v>Apply</v>
      </c>
      <c r="C73" s="10" t="s">
        <v>9537</v>
      </c>
      <c r="D73" s="56" t="s">
        <v>9500</v>
      </c>
      <c r="E73" s="10" t="s">
        <v>79</v>
      </c>
      <c r="F73" s="10" t="s">
        <v>9501</v>
      </c>
      <c r="G73" s="10" t="s">
        <v>9419</v>
      </c>
      <c r="H73" s="10" t="s">
        <v>1041</v>
      </c>
      <c r="I73" s="10" t="s">
        <v>55</v>
      </c>
      <c r="K73" s="10" t="s">
        <v>9502</v>
      </c>
      <c r="L73" s="10" t="s">
        <v>42</v>
      </c>
    </row>
    <row r="74" ht="15.75" customHeight="1">
      <c r="A74" s="66">
        <v>45499.0</v>
      </c>
      <c r="B74" s="55" t="str">
        <f>HYPERLINK("https://jobright.ai/jobs/info/66a3da9e9f1d4690f1a40b44?utm_campaign=1052&amp;utm_source=sheet", "Apply")</f>
        <v>Apply</v>
      </c>
      <c r="C74" s="10" t="s">
        <v>9535</v>
      </c>
      <c r="D74" s="56" t="s">
        <v>1496</v>
      </c>
      <c r="E74" s="10" t="s">
        <v>45</v>
      </c>
      <c r="F74" s="10" t="s">
        <v>1497</v>
      </c>
      <c r="G74" s="10" t="s">
        <v>9419</v>
      </c>
      <c r="H74" s="10" t="s">
        <v>131</v>
      </c>
      <c r="I74" s="10" t="s">
        <v>55</v>
      </c>
      <c r="K74" s="10" t="s">
        <v>9536</v>
      </c>
      <c r="L74" s="10" t="s">
        <v>42</v>
      </c>
    </row>
    <row r="75" ht="15.75" customHeight="1">
      <c r="A75" s="66">
        <v>45499.0</v>
      </c>
      <c r="B75" s="55" t="str">
        <f>HYPERLINK("https://jobright.ai/jobs/info/66a3f4da5fcbfa8457ce1349?utm_campaign=1052&amp;utm_source=sheet", "Apply")</f>
        <v>Apply</v>
      </c>
      <c r="C75" s="10" t="s">
        <v>9538</v>
      </c>
      <c r="D75" s="56" t="s">
        <v>9433</v>
      </c>
      <c r="E75" s="10">
        <v>887.0</v>
      </c>
      <c r="G75" s="10" t="s">
        <v>1159</v>
      </c>
      <c r="H75" s="10" t="s">
        <v>830</v>
      </c>
      <c r="I75" s="10" t="s">
        <v>48</v>
      </c>
      <c r="J75" s="10" t="s">
        <v>467</v>
      </c>
      <c r="K75" s="10" t="s">
        <v>9448</v>
      </c>
      <c r="L75" s="10" t="s">
        <v>42</v>
      </c>
    </row>
    <row r="76" ht="15.75" customHeight="1">
      <c r="A76" s="66">
        <v>45499.0</v>
      </c>
      <c r="B76" s="55" t="str">
        <f>HYPERLINK("https://jobright.ai/jobs/info/66a403570d09d8a9054b3e63?utm_campaign=1052&amp;utm_source=sheet", "Apply")</f>
        <v>Apply</v>
      </c>
      <c r="C76" s="10" t="s">
        <v>9539</v>
      </c>
      <c r="D76" s="56" t="s">
        <v>9508</v>
      </c>
      <c r="E76" s="10" t="s">
        <v>79</v>
      </c>
      <c r="F76" s="10" t="s">
        <v>9509</v>
      </c>
      <c r="G76" s="10" t="s">
        <v>9414</v>
      </c>
      <c r="H76" s="10" t="s">
        <v>165</v>
      </c>
      <c r="I76" s="10" t="s">
        <v>48</v>
      </c>
      <c r="K76" s="10" t="s">
        <v>9540</v>
      </c>
      <c r="L76" s="10" t="s">
        <v>42</v>
      </c>
    </row>
    <row r="77" ht="15.75" customHeight="1">
      <c r="A77" s="66">
        <v>45499.0</v>
      </c>
      <c r="B77" s="55" t="str">
        <f>HYPERLINK("https://jobright.ai/jobs/info/66a3e89db020465e7d35d162?utm_campaign=1052&amp;utm_source=sheet", "Apply")</f>
        <v>Apply</v>
      </c>
      <c r="C77" s="10" t="s">
        <v>9539</v>
      </c>
      <c r="D77" s="56" t="s">
        <v>9508</v>
      </c>
      <c r="E77" s="10" t="s">
        <v>79</v>
      </c>
      <c r="F77" s="10" t="s">
        <v>9509</v>
      </c>
      <c r="G77" s="10" t="s">
        <v>9414</v>
      </c>
      <c r="H77" s="10" t="s">
        <v>144</v>
      </c>
      <c r="I77" s="10" t="s">
        <v>48</v>
      </c>
      <c r="K77" s="10" t="s">
        <v>9540</v>
      </c>
      <c r="L77" s="10" t="s">
        <v>42</v>
      </c>
    </row>
    <row r="78" ht="15.75" customHeight="1">
      <c r="A78" s="66">
        <v>45499.0</v>
      </c>
      <c r="B78" s="55" t="str">
        <f>HYPERLINK("https://jobright.ai/jobs/info/66a3e89db020465e7d35d164?utm_campaign=1052&amp;utm_source=sheet", "Apply")</f>
        <v>Apply</v>
      </c>
      <c r="C78" s="10" t="s">
        <v>9539</v>
      </c>
      <c r="D78" s="56" t="s">
        <v>9508</v>
      </c>
      <c r="E78" s="10" t="s">
        <v>79</v>
      </c>
      <c r="F78" s="10" t="s">
        <v>9509</v>
      </c>
      <c r="G78" s="10" t="s">
        <v>9414</v>
      </c>
      <c r="H78" s="10" t="s">
        <v>106</v>
      </c>
      <c r="I78" s="10" t="s">
        <v>48</v>
      </c>
      <c r="K78" s="10" t="s">
        <v>9540</v>
      </c>
      <c r="L78" s="10" t="s">
        <v>42</v>
      </c>
    </row>
    <row r="79" ht="15.75" customHeight="1">
      <c r="A79" s="66">
        <v>45499.0</v>
      </c>
      <c r="B79" s="55" t="str">
        <f>HYPERLINK("https://jobright.ai/jobs/info/66a3f5015fcbfa8457ce16c5?utm_campaign=1052&amp;utm_source=sheet", "Apply")</f>
        <v>Apply</v>
      </c>
      <c r="C79" s="10" t="s">
        <v>9539</v>
      </c>
      <c r="D79" s="56" t="s">
        <v>9508</v>
      </c>
      <c r="E79" s="10" t="s">
        <v>79</v>
      </c>
      <c r="F79" s="10" t="s">
        <v>9509</v>
      </c>
      <c r="G79" s="10" t="s">
        <v>9414</v>
      </c>
      <c r="H79" s="10" t="s">
        <v>423</v>
      </c>
      <c r="I79" s="10" t="s">
        <v>48</v>
      </c>
      <c r="K79" s="10" t="s">
        <v>9540</v>
      </c>
      <c r="L79" s="10" t="s">
        <v>42</v>
      </c>
    </row>
    <row r="80" ht="15.75" customHeight="1">
      <c r="A80" s="66">
        <v>45499.0</v>
      </c>
      <c r="B80" s="55" t="str">
        <f>HYPERLINK("https://jobright.ai/jobs/info/66a3f5015fcbfa8457ce16c7?utm_campaign=1052&amp;utm_source=sheet", "Apply")</f>
        <v>Apply</v>
      </c>
      <c r="C80" s="10" t="s">
        <v>9539</v>
      </c>
      <c r="D80" s="56" t="s">
        <v>9508</v>
      </c>
      <c r="E80" s="10" t="s">
        <v>79</v>
      </c>
      <c r="F80" s="10" t="s">
        <v>9509</v>
      </c>
      <c r="G80" s="10" t="s">
        <v>9414</v>
      </c>
      <c r="H80" s="10" t="s">
        <v>146</v>
      </c>
      <c r="I80" s="10" t="s">
        <v>48</v>
      </c>
      <c r="K80" s="10" t="s">
        <v>9540</v>
      </c>
      <c r="L80" s="10" t="s">
        <v>42</v>
      </c>
    </row>
    <row r="81" ht="15.75" customHeight="1">
      <c r="A81" s="66">
        <v>45499.0</v>
      </c>
      <c r="B81" s="55" t="str">
        <f>HYPERLINK("https://jobright.ai/jobs/info/66a3f5015fcbfa8457ce16cf?utm_campaign=1052&amp;utm_source=sheet", "Apply")</f>
        <v>Apply</v>
      </c>
      <c r="C81" s="10" t="s">
        <v>9539</v>
      </c>
      <c r="D81" s="56" t="s">
        <v>9508</v>
      </c>
      <c r="E81" s="10" t="s">
        <v>79</v>
      </c>
      <c r="F81" s="10" t="s">
        <v>9509</v>
      </c>
      <c r="G81" s="10" t="s">
        <v>9414</v>
      </c>
      <c r="H81" s="10" t="s">
        <v>434</v>
      </c>
      <c r="I81" s="10" t="s">
        <v>48</v>
      </c>
      <c r="K81" s="10" t="s">
        <v>9540</v>
      </c>
      <c r="L81" s="10" t="s">
        <v>42</v>
      </c>
    </row>
    <row r="82" ht="15.75" customHeight="1">
      <c r="A82" s="66">
        <v>45499.0</v>
      </c>
      <c r="B82" s="55" t="str">
        <f>HYPERLINK("https://jobright.ai/jobs/info/66a3fa3b9d200bf2ea1deec9?utm_campaign=1052&amp;utm_source=sheet", "Apply")</f>
        <v>Apply</v>
      </c>
      <c r="C82" s="10" t="s">
        <v>9541</v>
      </c>
      <c r="D82" s="56" t="s">
        <v>6189</v>
      </c>
      <c r="E82" s="10" t="s">
        <v>45</v>
      </c>
      <c r="F82" s="10" t="s">
        <v>6190</v>
      </c>
      <c r="G82" s="10" t="s">
        <v>1159</v>
      </c>
      <c r="H82" s="10" t="s">
        <v>780</v>
      </c>
      <c r="I82" s="10" t="s">
        <v>55</v>
      </c>
      <c r="K82" s="10" t="s">
        <v>9542</v>
      </c>
      <c r="L82" s="10" t="s">
        <v>42</v>
      </c>
    </row>
    <row r="83" ht="15.75" customHeight="1">
      <c r="A83" s="66">
        <v>45499.0</v>
      </c>
      <c r="B83" s="55" t="str">
        <f>HYPERLINK("https://jobright.ai/jobs/info/66a41732e30efe1dc24e6a6a?utm_campaign=1052&amp;utm_source=sheet", "Apply")</f>
        <v>Apply</v>
      </c>
      <c r="C83" s="10" t="s">
        <v>9539</v>
      </c>
      <c r="D83" s="56" t="s">
        <v>9508</v>
      </c>
      <c r="E83" s="10" t="s">
        <v>79</v>
      </c>
      <c r="F83" s="10" t="s">
        <v>9509</v>
      </c>
      <c r="G83" s="10" t="s">
        <v>9414</v>
      </c>
      <c r="H83" s="10" t="s">
        <v>170</v>
      </c>
      <c r="I83" s="10" t="s">
        <v>48</v>
      </c>
      <c r="K83" s="10" t="s">
        <v>9540</v>
      </c>
      <c r="L83" s="10" t="s">
        <v>42</v>
      </c>
    </row>
    <row r="84" ht="15.75" customHeight="1">
      <c r="A84" s="66">
        <v>45499.0</v>
      </c>
      <c r="B84" s="55" t="str">
        <f>HYPERLINK("https://jobright.ai/jobs/info/66a41732e30efe1dc24e6a6c?utm_campaign=1052&amp;utm_source=sheet", "Apply")</f>
        <v>Apply</v>
      </c>
      <c r="C84" s="10" t="s">
        <v>9543</v>
      </c>
      <c r="D84" s="56" t="s">
        <v>9508</v>
      </c>
      <c r="E84" s="10" t="s">
        <v>79</v>
      </c>
      <c r="F84" s="10" t="s">
        <v>9509</v>
      </c>
      <c r="G84" s="10" t="s">
        <v>9414</v>
      </c>
      <c r="H84" s="10" t="s">
        <v>170</v>
      </c>
      <c r="I84" s="10" t="s">
        <v>48</v>
      </c>
      <c r="K84" s="10" t="s">
        <v>9544</v>
      </c>
      <c r="L84" s="10" t="s">
        <v>42</v>
      </c>
    </row>
    <row r="85" ht="15.75" customHeight="1">
      <c r="A85" s="66">
        <v>45499.0</v>
      </c>
      <c r="B85" s="55" t="str">
        <f>HYPERLINK("https://jobright.ai/jobs/info/66959b8fa70b2fb207aed7d4?utm_campaign=1052&amp;utm_source=sheet", "Apply")</f>
        <v>Apply</v>
      </c>
      <c r="C85" s="10" t="s">
        <v>9545</v>
      </c>
      <c r="D85" s="56" t="s">
        <v>1576</v>
      </c>
      <c r="E85" s="10" t="s">
        <v>45</v>
      </c>
      <c r="F85" s="10" t="s">
        <v>1577</v>
      </c>
      <c r="G85" s="10" t="s">
        <v>1159</v>
      </c>
      <c r="H85" s="10" t="s">
        <v>1578</v>
      </c>
      <c r="I85" s="10" t="s">
        <v>55</v>
      </c>
      <c r="J85" s="10" t="s">
        <v>1579</v>
      </c>
      <c r="K85" s="10" t="s">
        <v>5620</v>
      </c>
      <c r="L85" s="10" t="s">
        <v>42</v>
      </c>
    </row>
    <row r="86" ht="15.75" customHeight="1">
      <c r="A86" s="66">
        <v>45499.0</v>
      </c>
      <c r="B86" s="55" t="str">
        <f>HYPERLINK("https://jobright.ai/jobs/info/66a3d2d0d7fee676c8404434?utm_campaign=1052&amp;utm_source=sheet", "Apply")</f>
        <v>Apply</v>
      </c>
      <c r="C86" s="10" t="s">
        <v>9546</v>
      </c>
      <c r="D86" s="56" t="s">
        <v>9547</v>
      </c>
      <c r="E86" s="10" t="s">
        <v>249</v>
      </c>
      <c r="F86" s="10" t="s">
        <v>722</v>
      </c>
      <c r="G86" s="10" t="s">
        <v>1159</v>
      </c>
      <c r="H86" s="10" t="s">
        <v>986</v>
      </c>
      <c r="I86" s="10" t="s">
        <v>55</v>
      </c>
      <c r="K86" s="10" t="s">
        <v>9548</v>
      </c>
      <c r="L86" s="10" t="s">
        <v>42</v>
      </c>
    </row>
    <row r="87" ht="15.75" customHeight="1">
      <c r="A87" s="66">
        <v>45499.0</v>
      </c>
      <c r="B87" s="55" t="str">
        <f>HYPERLINK("https://jobright.ai/jobs/info/66a3da8d9f1d4690f1a40948?utm_campaign=1052&amp;utm_source=sheet", "Apply")</f>
        <v>Apply</v>
      </c>
      <c r="C87" s="10" t="s">
        <v>9549</v>
      </c>
      <c r="D87" s="56" t="s">
        <v>9550</v>
      </c>
      <c r="E87" s="10" t="s">
        <v>249</v>
      </c>
      <c r="F87" s="10" t="s">
        <v>722</v>
      </c>
      <c r="G87" s="10" t="s">
        <v>1159</v>
      </c>
      <c r="H87" s="10" t="s">
        <v>628</v>
      </c>
      <c r="I87" s="10" t="s">
        <v>48</v>
      </c>
      <c r="J87" s="10" t="s">
        <v>9551</v>
      </c>
      <c r="K87" s="10" t="s">
        <v>9552</v>
      </c>
      <c r="L87" s="10" t="s">
        <v>42</v>
      </c>
    </row>
    <row r="88" ht="15.75" customHeight="1">
      <c r="A88" s="66">
        <v>45499.0</v>
      </c>
      <c r="B88" s="55" t="str">
        <f>HYPERLINK("https://jobright.ai/jobs/info/66a3d2f1d7fee676c84047ac?utm_campaign=1052&amp;utm_source=sheet", "Apply")</f>
        <v>Apply</v>
      </c>
      <c r="C88" s="10" t="s">
        <v>9553</v>
      </c>
      <c r="D88" s="56" t="s">
        <v>9554</v>
      </c>
      <c r="E88" s="10" t="s">
        <v>45</v>
      </c>
      <c r="G88" s="10" t="s">
        <v>9414</v>
      </c>
      <c r="H88" s="10" t="s">
        <v>153</v>
      </c>
      <c r="I88" s="10" t="s">
        <v>55</v>
      </c>
      <c r="K88" s="10" t="s">
        <v>9555</v>
      </c>
      <c r="L88" s="10" t="s">
        <v>42</v>
      </c>
    </row>
    <row r="89" ht="15.75" customHeight="1">
      <c r="A89" s="66">
        <v>45499.0</v>
      </c>
      <c r="B89" s="55" t="str">
        <f>HYPERLINK("https://jobright.ai/jobs/info/66a3e173fa1e56eccb8f53f0?utm_campaign=1052&amp;utm_source=sheet", "Apply")</f>
        <v>Apply</v>
      </c>
      <c r="C89" s="10" t="s">
        <v>9556</v>
      </c>
      <c r="D89" s="56" t="s">
        <v>9557</v>
      </c>
      <c r="E89" s="10" t="s">
        <v>209</v>
      </c>
      <c r="F89" s="10" t="s">
        <v>1159</v>
      </c>
      <c r="G89" s="10" t="s">
        <v>9419</v>
      </c>
      <c r="H89" s="10" t="s">
        <v>882</v>
      </c>
      <c r="I89" s="10" t="s">
        <v>55</v>
      </c>
      <c r="J89" s="66"/>
      <c r="K89" s="10" t="s">
        <v>9558</v>
      </c>
      <c r="L89" s="10" t="s">
        <v>42</v>
      </c>
    </row>
    <row r="90" ht="15.75" customHeight="1">
      <c r="A90" s="66">
        <v>45499.0</v>
      </c>
      <c r="B90" s="55" t="str">
        <f>HYPERLINK("https://jobright.ai/jobs/info/66a3be6a7158ac239b6dd7ad?utm_campaign=1052&amp;utm_source=sheet", "Apply")</f>
        <v>Apply</v>
      </c>
      <c r="C90" s="10" t="s">
        <v>9559</v>
      </c>
      <c r="D90" s="56" t="s">
        <v>9560</v>
      </c>
      <c r="E90" s="10">
        <v>10.0</v>
      </c>
      <c r="G90" s="10" t="s">
        <v>1159</v>
      </c>
      <c r="H90" s="10" t="s">
        <v>810</v>
      </c>
      <c r="I90" s="10" t="s">
        <v>48</v>
      </c>
      <c r="J90" s="66"/>
      <c r="K90" s="10" t="s">
        <v>9561</v>
      </c>
      <c r="L90" s="10" t="s">
        <v>42</v>
      </c>
    </row>
    <row r="91" ht="15.75" customHeight="1">
      <c r="A91" s="66">
        <v>45499.0</v>
      </c>
      <c r="B91" s="55" t="str">
        <f>HYPERLINK("https://jobright.ai/jobs/info/66a3c9bf55a005da42ef5063?utm_campaign=1052&amp;utm_source=sheet", "Apply")</f>
        <v>Apply</v>
      </c>
      <c r="C91" s="10" t="s">
        <v>9562</v>
      </c>
      <c r="D91" s="56" t="s">
        <v>9563</v>
      </c>
      <c r="E91" s="10" t="s">
        <v>276</v>
      </c>
      <c r="F91" s="10" t="s">
        <v>9564</v>
      </c>
      <c r="G91" s="10" t="s">
        <v>1159</v>
      </c>
      <c r="H91" s="10" t="s">
        <v>1203</v>
      </c>
      <c r="I91" s="10" t="s">
        <v>55</v>
      </c>
      <c r="K91" s="10" t="s">
        <v>9565</v>
      </c>
      <c r="L91" s="10" t="s">
        <v>42</v>
      </c>
    </row>
    <row r="92" ht="15.75" customHeight="1">
      <c r="A92" s="66">
        <v>45499.0</v>
      </c>
      <c r="B92" s="55" t="str">
        <f>HYPERLINK("https://jobright.ai/jobs/info/668b5b0bf00e324c4684fcc4?utm_campaign=1052&amp;utm_source=sheet", "Apply")</f>
        <v>Apply</v>
      </c>
      <c r="C92" s="10" t="s">
        <v>9566</v>
      </c>
      <c r="D92" s="56" t="s">
        <v>9567</v>
      </c>
      <c r="E92" s="10" t="s">
        <v>45</v>
      </c>
      <c r="F92" s="10" t="s">
        <v>9568</v>
      </c>
      <c r="G92" s="10" t="s">
        <v>9414</v>
      </c>
      <c r="H92" s="10" t="s">
        <v>80</v>
      </c>
      <c r="I92" s="10" t="s">
        <v>55</v>
      </c>
      <c r="K92" s="10" t="s">
        <v>9569</v>
      </c>
      <c r="L92" s="10" t="s">
        <v>42</v>
      </c>
    </row>
    <row r="93" ht="15.75" customHeight="1">
      <c r="A93" s="66">
        <v>45499.0</v>
      </c>
      <c r="B93" s="55" t="str">
        <f>HYPERLINK("https://jobright.ai/jobs/info/668b5b0bf00e324c4684fcf5?utm_campaign=1052&amp;utm_source=sheet", "Apply")</f>
        <v>Apply</v>
      </c>
      <c r="C93" s="10" t="s">
        <v>9566</v>
      </c>
      <c r="D93" s="56" t="s">
        <v>9567</v>
      </c>
      <c r="E93" s="10" t="s">
        <v>45</v>
      </c>
      <c r="F93" s="10" t="s">
        <v>9568</v>
      </c>
      <c r="G93" s="10" t="s">
        <v>9414</v>
      </c>
      <c r="H93" s="10" t="s">
        <v>1254</v>
      </c>
      <c r="I93" s="10" t="s">
        <v>55</v>
      </c>
      <c r="K93" s="10" t="s">
        <v>9569</v>
      </c>
      <c r="L93" s="10" t="s">
        <v>42</v>
      </c>
    </row>
    <row r="94" ht="15.75" customHeight="1">
      <c r="A94" s="66">
        <v>45499.0</v>
      </c>
      <c r="B94" s="55" t="str">
        <f>HYPERLINK("https://jobright.ai/jobs/info/668b5b0bf00e324c4684fcf4?utm_campaign=1052&amp;utm_source=sheet", "Apply")</f>
        <v>Apply</v>
      </c>
      <c r="C94" s="10" t="s">
        <v>9566</v>
      </c>
      <c r="D94" s="56" t="s">
        <v>9567</v>
      </c>
      <c r="E94" s="10" t="s">
        <v>45</v>
      </c>
      <c r="F94" s="10" t="s">
        <v>9568</v>
      </c>
      <c r="G94" s="10" t="s">
        <v>9414</v>
      </c>
      <c r="H94" s="10" t="s">
        <v>9570</v>
      </c>
      <c r="I94" s="10" t="s">
        <v>55</v>
      </c>
      <c r="K94" s="10" t="s">
        <v>9569</v>
      </c>
      <c r="L94" s="10" t="s">
        <v>42</v>
      </c>
    </row>
    <row r="95" ht="15.75" customHeight="1">
      <c r="A95" s="66">
        <v>45499.0</v>
      </c>
      <c r="B95" s="55" t="str">
        <f>HYPERLINK("https://jobright.ai/jobs/info/66a3b1c7cc8f335cd486c34a?utm_campaign=1052&amp;utm_source=sheet", "Apply")</f>
        <v>Apply</v>
      </c>
      <c r="C95" s="10" t="s">
        <v>9571</v>
      </c>
      <c r="D95" s="56" t="s">
        <v>9572</v>
      </c>
      <c r="E95" s="10" t="s">
        <v>71</v>
      </c>
      <c r="F95" s="10" t="s">
        <v>9573</v>
      </c>
      <c r="G95" s="10" t="s">
        <v>1159</v>
      </c>
      <c r="H95" s="10" t="s">
        <v>610</v>
      </c>
      <c r="I95" s="10" t="s">
        <v>55</v>
      </c>
      <c r="K95" s="10" t="s">
        <v>9574</v>
      </c>
      <c r="L95" s="10" t="s">
        <v>42</v>
      </c>
    </row>
    <row r="96" ht="15.75" customHeight="1">
      <c r="A96" s="66">
        <v>45499.0</v>
      </c>
      <c r="B96" s="55" t="str">
        <f>HYPERLINK("https://jobright.ai/jobs/info/664e2083b45b688e7b70fd9e?utm_campaign=1052&amp;utm_source=sheet", "Apply")</f>
        <v>Apply</v>
      </c>
      <c r="C96" s="10" t="s">
        <v>9575</v>
      </c>
      <c r="D96" s="56" t="s">
        <v>2699</v>
      </c>
      <c r="E96" s="10" t="s">
        <v>249</v>
      </c>
      <c r="F96" s="10" t="s">
        <v>722</v>
      </c>
      <c r="G96" s="10" t="s">
        <v>9419</v>
      </c>
      <c r="H96" s="10" t="s">
        <v>73</v>
      </c>
      <c r="I96" s="10" t="s">
        <v>48</v>
      </c>
      <c r="K96" s="10" t="s">
        <v>9576</v>
      </c>
      <c r="L96" s="10" t="s">
        <v>42</v>
      </c>
    </row>
    <row r="97" ht="15.75" customHeight="1">
      <c r="A97" s="66">
        <v>45499.0</v>
      </c>
      <c r="B97" s="55" t="str">
        <f>HYPERLINK("https://jobright.ai/jobs/info/6698f4e0d17475741a4624ac?utm_campaign=1052&amp;utm_source=sheet", "Apply")</f>
        <v>Apply</v>
      </c>
      <c r="C97" s="10" t="s">
        <v>9577</v>
      </c>
      <c r="D97" s="56" t="s">
        <v>9578</v>
      </c>
      <c r="E97" s="10" t="s">
        <v>65</v>
      </c>
      <c r="F97" s="10" t="s">
        <v>722</v>
      </c>
      <c r="G97" s="10" t="s">
        <v>1159</v>
      </c>
      <c r="H97" s="10" t="s">
        <v>931</v>
      </c>
      <c r="I97" s="10" t="s">
        <v>55</v>
      </c>
      <c r="J97" s="10" t="s">
        <v>1616</v>
      </c>
      <c r="K97" s="10" t="s">
        <v>9579</v>
      </c>
      <c r="L97" s="10" t="s">
        <v>42</v>
      </c>
    </row>
    <row r="98" ht="15.75" customHeight="1">
      <c r="A98" s="66">
        <v>45499.0</v>
      </c>
      <c r="B98" s="55" t="str">
        <f>HYPERLINK("https://jobright.ai/jobs/info/66a3c9cf55a005da42ef51f6?utm_campaign=1052&amp;utm_source=sheet", "Apply")</f>
        <v>Apply</v>
      </c>
      <c r="C98" s="10" t="s">
        <v>9580</v>
      </c>
      <c r="D98" s="56" t="s">
        <v>9581</v>
      </c>
      <c r="E98" s="10" t="s">
        <v>65</v>
      </c>
      <c r="F98" s="10" t="s">
        <v>722</v>
      </c>
      <c r="G98" s="10" t="s">
        <v>9419</v>
      </c>
      <c r="H98" s="10" t="s">
        <v>4149</v>
      </c>
      <c r="I98" s="10" t="s">
        <v>55</v>
      </c>
      <c r="J98" s="10" t="s">
        <v>9582</v>
      </c>
      <c r="K98" s="10" t="s">
        <v>9583</v>
      </c>
      <c r="L98" s="10" t="s">
        <v>42</v>
      </c>
    </row>
    <row r="99" ht="15.75" customHeight="1">
      <c r="A99" s="66">
        <v>45499.0</v>
      </c>
      <c r="B99" s="55" t="str">
        <f>HYPERLINK("https://jobright.ai/jobs/info/664e209eb45b688e7b70ffd0?utm_campaign=1052&amp;utm_source=sheet", "Apply")</f>
        <v>Apply</v>
      </c>
      <c r="C99" s="10" t="s">
        <v>9584</v>
      </c>
      <c r="D99" s="56" t="s">
        <v>9585</v>
      </c>
      <c r="E99" s="10" t="s">
        <v>65</v>
      </c>
      <c r="F99" s="10" t="s">
        <v>722</v>
      </c>
      <c r="G99" s="10" t="s">
        <v>9419</v>
      </c>
      <c r="H99" s="10" t="s">
        <v>229</v>
      </c>
      <c r="I99" s="10" t="s">
        <v>55</v>
      </c>
      <c r="K99" s="10" t="s">
        <v>9586</v>
      </c>
      <c r="L99" s="10" t="s">
        <v>42</v>
      </c>
    </row>
    <row r="100" ht="15.75" customHeight="1">
      <c r="A100" s="66">
        <v>45499.0</v>
      </c>
      <c r="B100" s="55" t="str">
        <f>HYPERLINK("https://jobright.ai/jobs/info/65f4d4701c94dd9f8d8ed406?utm_campaign=1052&amp;utm_source=sheet", "Apply")</f>
        <v>Apply</v>
      </c>
      <c r="C100" s="10" t="s">
        <v>9587</v>
      </c>
      <c r="D100" s="56" t="s">
        <v>9588</v>
      </c>
      <c r="E100" s="10" t="s">
        <v>65</v>
      </c>
      <c r="F100" s="10" t="s">
        <v>722</v>
      </c>
      <c r="G100" s="10" t="s">
        <v>9419</v>
      </c>
      <c r="H100" s="10" t="s">
        <v>3271</v>
      </c>
      <c r="I100" s="10" t="s">
        <v>55</v>
      </c>
      <c r="K100" s="10" t="s">
        <v>9589</v>
      </c>
      <c r="L100" s="10" t="s">
        <v>42</v>
      </c>
    </row>
    <row r="101" ht="15.75" customHeight="1">
      <c r="A101" s="66">
        <v>45499.0</v>
      </c>
      <c r="B101" s="55" t="str">
        <f>HYPERLINK("https://jobright.ai/jobs/info/668d3b87f0ea4d8212b0b4f7?utm_campaign=1052&amp;utm_source=sheet", "Apply")</f>
        <v>Apply</v>
      </c>
      <c r="C101" s="10" t="s">
        <v>9590</v>
      </c>
      <c r="D101" s="56" t="s">
        <v>9591</v>
      </c>
      <c r="E101" s="10" t="s">
        <v>209</v>
      </c>
      <c r="F101" s="10" t="s">
        <v>534</v>
      </c>
      <c r="G101" s="10" t="s">
        <v>9419</v>
      </c>
      <c r="H101" s="10" t="s">
        <v>628</v>
      </c>
      <c r="I101" s="10" t="s">
        <v>55</v>
      </c>
      <c r="K101" s="10" t="s">
        <v>9592</v>
      </c>
      <c r="L101" s="10" t="s">
        <v>42</v>
      </c>
    </row>
    <row r="102" ht="15.75" customHeight="1">
      <c r="A102" s="66">
        <v>45499.0</v>
      </c>
      <c r="B102" s="55" t="str">
        <f>HYPERLINK("https://jobright.ai/jobs/info/662868df092a09c53f51a4a4?utm_campaign=1052&amp;utm_source=sheet", "Apply")</f>
        <v>Apply</v>
      </c>
      <c r="C102" s="10" t="s">
        <v>9593</v>
      </c>
      <c r="D102" s="56" t="s">
        <v>9585</v>
      </c>
      <c r="E102" s="10" t="s">
        <v>65</v>
      </c>
      <c r="F102" s="10" t="s">
        <v>722</v>
      </c>
      <c r="G102" s="10" t="s">
        <v>9419</v>
      </c>
      <c r="H102" s="10" t="s">
        <v>9594</v>
      </c>
      <c r="I102" s="10" t="s">
        <v>55</v>
      </c>
      <c r="K102" s="10" t="s">
        <v>9586</v>
      </c>
      <c r="L102" s="10" t="s">
        <v>42</v>
      </c>
    </row>
    <row r="103" ht="15.75" customHeight="1">
      <c r="A103" s="66">
        <v>45499.0</v>
      </c>
      <c r="B103" s="55" t="str">
        <f>HYPERLINK("https://jobright.ai/jobs/info/668d28f0e9464a99e8cabfda?utm_campaign=1052&amp;utm_source=sheet", "Apply")</f>
        <v>Apply</v>
      </c>
      <c r="C103" s="10" t="s">
        <v>9595</v>
      </c>
      <c r="D103" s="56" t="s">
        <v>533</v>
      </c>
      <c r="E103" s="10" t="s">
        <v>209</v>
      </c>
      <c r="F103" s="10" t="s">
        <v>534</v>
      </c>
      <c r="G103" s="10" t="s">
        <v>9419</v>
      </c>
      <c r="H103" s="10" t="s">
        <v>819</v>
      </c>
      <c r="I103" s="10" t="s">
        <v>55</v>
      </c>
      <c r="J103" s="10" t="s">
        <v>9596</v>
      </c>
      <c r="K103" s="10" t="s">
        <v>9597</v>
      </c>
      <c r="L103" s="10" t="s">
        <v>42</v>
      </c>
    </row>
    <row r="104" ht="15.75" customHeight="1">
      <c r="A104" s="66">
        <v>45499.0</v>
      </c>
      <c r="B104" s="55" t="str">
        <f>HYPERLINK("https://jobright.ai/jobs/info/662c43c1b32e2a39772a30df?utm_campaign=1052&amp;utm_source=sheet", "Apply")</f>
        <v>Apply</v>
      </c>
      <c r="C104" s="10" t="s">
        <v>9598</v>
      </c>
      <c r="D104" s="56" t="s">
        <v>9467</v>
      </c>
      <c r="E104" s="10" t="s">
        <v>45</v>
      </c>
      <c r="F104" s="10" t="s">
        <v>9468</v>
      </c>
      <c r="G104" s="10" t="s">
        <v>9414</v>
      </c>
      <c r="H104" s="10" t="s">
        <v>740</v>
      </c>
      <c r="I104" s="10" t="s">
        <v>55</v>
      </c>
      <c r="J104" s="10" t="s">
        <v>9599</v>
      </c>
      <c r="K104" s="10" t="s">
        <v>9600</v>
      </c>
      <c r="L104" s="10" t="s">
        <v>42</v>
      </c>
    </row>
    <row r="105" ht="15.75" customHeight="1">
      <c r="A105" s="66">
        <v>45499.0</v>
      </c>
      <c r="B105" s="55" t="str">
        <f>HYPERLINK("https://jobright.ai/jobs/info/6677c7ab64f2e472ffd634dd?utm_campaign=1052&amp;utm_source=sheet", "Apply")</f>
        <v>Apply</v>
      </c>
      <c r="C105" s="10" t="s">
        <v>9601</v>
      </c>
      <c r="D105" s="56" t="s">
        <v>9585</v>
      </c>
      <c r="E105" s="10" t="s">
        <v>65</v>
      </c>
      <c r="F105" s="10" t="s">
        <v>722</v>
      </c>
      <c r="G105" s="10" t="s">
        <v>9419</v>
      </c>
      <c r="H105" s="10" t="s">
        <v>131</v>
      </c>
      <c r="I105" s="10" t="s">
        <v>55</v>
      </c>
      <c r="K105" s="10" t="s">
        <v>9586</v>
      </c>
      <c r="L105" s="10" t="s">
        <v>42</v>
      </c>
    </row>
    <row r="106" ht="15.75" customHeight="1">
      <c r="A106" s="66">
        <v>45499.0</v>
      </c>
      <c r="B106" s="55" t="str">
        <f>HYPERLINK("https://jobright.ai/jobs/info/666a485496cd26642f3ce6e9?utm_campaign=1052&amp;utm_source=sheet", "Apply")</f>
        <v>Apply</v>
      </c>
      <c r="C106" s="10" t="s">
        <v>9602</v>
      </c>
      <c r="D106" s="56" t="s">
        <v>9581</v>
      </c>
      <c r="E106" s="10" t="s">
        <v>65</v>
      </c>
      <c r="F106" s="10" t="s">
        <v>722</v>
      </c>
      <c r="G106" s="10" t="s">
        <v>9419</v>
      </c>
      <c r="H106" s="10" t="s">
        <v>152</v>
      </c>
      <c r="I106" s="10" t="s">
        <v>55</v>
      </c>
      <c r="J106" s="10" t="s">
        <v>9582</v>
      </c>
      <c r="K106" s="10" t="s">
        <v>9603</v>
      </c>
      <c r="L106" s="10" t="s">
        <v>42</v>
      </c>
    </row>
    <row r="107" ht="15.75" customHeight="1">
      <c r="A107" s="66">
        <v>45499.0</v>
      </c>
      <c r="B107" s="55" t="str">
        <f>HYPERLINK("https://jobright.ai/jobs/info/666a3cf7010f8db930080352?utm_campaign=1052&amp;utm_source=sheet", "Apply")</f>
        <v>Apply</v>
      </c>
      <c r="C107" s="10" t="s">
        <v>9604</v>
      </c>
      <c r="D107" s="56" t="s">
        <v>9581</v>
      </c>
      <c r="E107" s="10" t="s">
        <v>65</v>
      </c>
      <c r="F107" s="10" t="s">
        <v>722</v>
      </c>
      <c r="G107" s="10" t="s">
        <v>9419</v>
      </c>
      <c r="H107" s="10" t="s">
        <v>9605</v>
      </c>
      <c r="I107" s="10" t="s">
        <v>55</v>
      </c>
      <c r="J107" s="10" t="s">
        <v>9582</v>
      </c>
      <c r="K107" s="10" t="s">
        <v>9603</v>
      </c>
      <c r="L107" s="10" t="s">
        <v>42</v>
      </c>
    </row>
    <row r="108" ht="15.75" customHeight="1">
      <c r="A108" s="66">
        <v>45499.0</v>
      </c>
      <c r="B108" s="55" t="str">
        <f>HYPERLINK("https://jobright.ai/jobs/info/6617194fb596ab2f3a34bb9d?utm_campaign=1052&amp;utm_source=sheet", "Apply")</f>
        <v>Apply</v>
      </c>
      <c r="C108" s="10" t="s">
        <v>9606</v>
      </c>
      <c r="D108" s="56" t="s">
        <v>9607</v>
      </c>
      <c r="E108" s="10" t="s">
        <v>45</v>
      </c>
      <c r="F108" s="10" t="s">
        <v>722</v>
      </c>
      <c r="G108" s="10" t="s">
        <v>9419</v>
      </c>
      <c r="H108" s="10" t="s">
        <v>610</v>
      </c>
      <c r="I108" s="10" t="s">
        <v>48</v>
      </c>
      <c r="J108" s="10" t="s">
        <v>9608</v>
      </c>
      <c r="K108" s="10" t="s">
        <v>9609</v>
      </c>
      <c r="L108" s="10" t="s">
        <v>42</v>
      </c>
    </row>
    <row r="109" ht="15.75" customHeight="1">
      <c r="A109" s="66">
        <v>45499.0</v>
      </c>
      <c r="B109" s="55" t="str">
        <f>HYPERLINK("https://jobright.ai/jobs/info/65e5b6ee1509ce99a242a60b?utm_campaign=1052&amp;utm_source=sheet", "Apply")</f>
        <v>Apply</v>
      </c>
      <c r="C109" s="10" t="s">
        <v>9535</v>
      </c>
      <c r="D109" s="56" t="s">
        <v>9607</v>
      </c>
      <c r="E109" s="10" t="s">
        <v>45</v>
      </c>
      <c r="F109" s="10" t="s">
        <v>722</v>
      </c>
      <c r="G109" s="10" t="s">
        <v>9419</v>
      </c>
      <c r="H109" s="10" t="s">
        <v>1696</v>
      </c>
      <c r="I109" s="10" t="s">
        <v>48</v>
      </c>
      <c r="J109" s="10" t="s">
        <v>9610</v>
      </c>
      <c r="K109" s="10" t="s">
        <v>9609</v>
      </c>
      <c r="L109" s="10" t="s">
        <v>42</v>
      </c>
    </row>
    <row r="110" ht="15.75" customHeight="1">
      <c r="A110" s="66">
        <v>45499.0</v>
      </c>
      <c r="B110" s="55" t="str">
        <f>HYPERLINK("https://jobright.ai/jobs/info/664de07b0790ade97e15e941?utm_campaign=1052&amp;utm_source=sheet", "Apply")</f>
        <v>Apply</v>
      </c>
      <c r="C110" s="10" t="s">
        <v>9611</v>
      </c>
      <c r="D110" s="56" t="s">
        <v>9612</v>
      </c>
      <c r="E110" s="10" t="s">
        <v>45</v>
      </c>
      <c r="F110" s="10" t="s">
        <v>2534</v>
      </c>
      <c r="G110" s="10" t="s">
        <v>9419</v>
      </c>
      <c r="H110" s="10" t="s">
        <v>131</v>
      </c>
      <c r="I110" s="10" t="s">
        <v>55</v>
      </c>
      <c r="K110" s="10" t="s">
        <v>9613</v>
      </c>
      <c r="L110" s="10" t="s">
        <v>42</v>
      </c>
    </row>
    <row r="111" ht="15.75" customHeight="1">
      <c r="A111" s="66">
        <v>45499.0</v>
      </c>
      <c r="B111" s="55" t="str">
        <f>HYPERLINK("https://jobright.ai/jobs/info/666a1a4eb3e44262de574520?utm_campaign=1052&amp;utm_source=sheet", "Apply")</f>
        <v>Apply</v>
      </c>
      <c r="C111" s="10" t="s">
        <v>9614</v>
      </c>
      <c r="D111" s="56" t="s">
        <v>5280</v>
      </c>
      <c r="E111" s="10" t="s">
        <v>209</v>
      </c>
      <c r="F111" s="10" t="s">
        <v>1512</v>
      </c>
      <c r="G111" s="10" t="s">
        <v>1159</v>
      </c>
      <c r="H111" s="10" t="s">
        <v>1035</v>
      </c>
      <c r="I111" s="10" t="s">
        <v>48</v>
      </c>
      <c r="K111" s="10" t="s">
        <v>9615</v>
      </c>
      <c r="L111" s="10" t="s">
        <v>42</v>
      </c>
    </row>
    <row r="112" ht="15.75" customHeight="1">
      <c r="A112" s="66">
        <v>45499.0</v>
      </c>
      <c r="B112" s="55" t="str">
        <f>HYPERLINK("https://jobright.ai/jobs/info/664e20b9b45b688e7b710203?utm_campaign=1052&amp;utm_source=sheet", "Apply")</f>
        <v>Apply</v>
      </c>
      <c r="C112" s="10" t="s">
        <v>9616</v>
      </c>
      <c r="D112" s="56" t="s">
        <v>2699</v>
      </c>
      <c r="E112" s="10" t="s">
        <v>249</v>
      </c>
      <c r="F112" s="10" t="s">
        <v>722</v>
      </c>
      <c r="G112" s="10" t="s">
        <v>9419</v>
      </c>
      <c r="H112" s="10" t="s">
        <v>73</v>
      </c>
      <c r="I112" s="10" t="s">
        <v>48</v>
      </c>
      <c r="J112" s="66"/>
      <c r="K112" s="10" t="s">
        <v>9617</v>
      </c>
      <c r="L112" s="10" t="s">
        <v>42</v>
      </c>
    </row>
    <row r="113" ht="15.75" customHeight="1">
      <c r="A113" s="66">
        <v>45499.0</v>
      </c>
      <c r="B113" s="55" t="str">
        <f>HYPERLINK("https://jobright.ai/jobs/info/662c3072c57ce3c63edc40be?utm_campaign=1052&amp;utm_source=sheet", "Apply")</f>
        <v>Apply</v>
      </c>
      <c r="C113" s="10" t="s">
        <v>9618</v>
      </c>
      <c r="D113" s="56" t="s">
        <v>9607</v>
      </c>
      <c r="E113" s="10" t="s">
        <v>45</v>
      </c>
      <c r="F113" s="10" t="s">
        <v>722</v>
      </c>
      <c r="G113" s="10" t="s">
        <v>9419</v>
      </c>
      <c r="H113" s="10" t="s">
        <v>882</v>
      </c>
      <c r="I113" s="10" t="s">
        <v>48</v>
      </c>
      <c r="J113" s="10" t="s">
        <v>260</v>
      </c>
      <c r="K113" s="10" t="s">
        <v>9609</v>
      </c>
      <c r="L113" s="10" t="s">
        <v>42</v>
      </c>
    </row>
    <row r="114" ht="15.75" customHeight="1">
      <c r="A114" s="66">
        <v>45499.0</v>
      </c>
      <c r="B114" s="55" t="str">
        <f>HYPERLINK("https://jobright.ai/jobs/info/65f882f7343f439623e8b3b4?utm_campaign=1052&amp;utm_source=sheet", "Apply")</f>
        <v>Apply</v>
      </c>
      <c r="C114" s="10" t="s">
        <v>9619</v>
      </c>
      <c r="D114" s="56" t="s">
        <v>9585</v>
      </c>
      <c r="E114" s="10" t="s">
        <v>65</v>
      </c>
      <c r="F114" s="10" t="s">
        <v>722</v>
      </c>
      <c r="G114" s="10" t="s">
        <v>9419</v>
      </c>
      <c r="H114" s="10" t="s">
        <v>108</v>
      </c>
      <c r="I114" s="10" t="s">
        <v>55</v>
      </c>
      <c r="K114" s="10" t="s">
        <v>9586</v>
      </c>
      <c r="L114" s="10" t="s">
        <v>42</v>
      </c>
    </row>
    <row r="115" ht="15.75" customHeight="1">
      <c r="A115" s="66">
        <v>45499.0</v>
      </c>
      <c r="B115" s="55" t="str">
        <f>HYPERLINK("https://jobright.ai/jobs/info/66698fa9a16615009c367ea0?utm_campaign=1052&amp;utm_source=sheet", "Apply")</f>
        <v>Apply</v>
      </c>
      <c r="C115" s="10" t="s">
        <v>9620</v>
      </c>
      <c r="D115" s="56" t="s">
        <v>533</v>
      </c>
      <c r="E115" s="10" t="s">
        <v>209</v>
      </c>
      <c r="F115" s="10" t="s">
        <v>534</v>
      </c>
      <c r="G115" s="10" t="s">
        <v>9419</v>
      </c>
      <c r="H115" s="10" t="s">
        <v>819</v>
      </c>
      <c r="I115" s="10" t="s">
        <v>48</v>
      </c>
      <c r="J115" s="10" t="s">
        <v>535</v>
      </c>
      <c r="K115" s="10" t="s">
        <v>9621</v>
      </c>
      <c r="L115" s="10" t="s">
        <v>42</v>
      </c>
    </row>
    <row r="116" ht="15.75" customHeight="1">
      <c r="A116" s="66">
        <v>45499.0</v>
      </c>
      <c r="B116" s="55" t="str">
        <f>HYPERLINK("https://jobright.ai/jobs/info/66992f6a4b629452f53c3d3a?utm_campaign=1052&amp;utm_source=sheet", "Apply")</f>
        <v>Apply</v>
      </c>
      <c r="C116" s="10" t="s">
        <v>9622</v>
      </c>
      <c r="D116" s="56" t="s">
        <v>9623</v>
      </c>
      <c r="E116" s="10">
        <v>52219.0</v>
      </c>
      <c r="G116" s="10" t="s">
        <v>9419</v>
      </c>
      <c r="H116" s="10" t="s">
        <v>9143</v>
      </c>
      <c r="I116" s="10" t="s">
        <v>55</v>
      </c>
      <c r="K116" s="10" t="s">
        <v>9624</v>
      </c>
      <c r="L116" s="10" t="s">
        <v>42</v>
      </c>
    </row>
    <row r="117" ht="15.75" customHeight="1">
      <c r="A117" s="66">
        <v>45499.0</v>
      </c>
      <c r="B117" s="55" t="str">
        <f>HYPERLINK("https://jobright.ai/jobs/info/65e65fdb9331e6b506509283?utm_campaign=1052&amp;utm_source=sheet", "Apply")</f>
        <v>Apply</v>
      </c>
      <c r="C117" s="10" t="s">
        <v>9625</v>
      </c>
      <c r="D117" s="56" t="s">
        <v>9607</v>
      </c>
      <c r="E117" s="10" t="s">
        <v>45</v>
      </c>
      <c r="F117" s="10" t="s">
        <v>722</v>
      </c>
      <c r="G117" s="10" t="s">
        <v>9419</v>
      </c>
      <c r="H117" s="10" t="s">
        <v>974</v>
      </c>
      <c r="I117" s="10" t="s">
        <v>48</v>
      </c>
      <c r="J117" s="10" t="s">
        <v>9626</v>
      </c>
      <c r="K117" s="10" t="s">
        <v>9609</v>
      </c>
      <c r="L117" s="10" t="s">
        <v>42</v>
      </c>
    </row>
    <row r="118" ht="15.75" customHeight="1">
      <c r="A118" s="66">
        <v>45499.0</v>
      </c>
      <c r="B118" s="55" t="str">
        <f>HYPERLINK("https://jobright.ai/jobs/info/65c648007aca7b3f31d2ab32?utm_campaign=1052&amp;utm_source=sheet", "Apply")</f>
        <v>Apply</v>
      </c>
      <c r="C118" s="10" t="s">
        <v>9627</v>
      </c>
      <c r="D118" s="56" t="s">
        <v>9628</v>
      </c>
      <c r="E118" s="10" t="s">
        <v>79</v>
      </c>
      <c r="F118" s="10" t="s">
        <v>9629</v>
      </c>
      <c r="G118" s="10" t="s">
        <v>1159</v>
      </c>
      <c r="H118" s="10" t="s">
        <v>278</v>
      </c>
      <c r="I118" s="10" t="s">
        <v>55</v>
      </c>
      <c r="K118" s="10" t="s">
        <v>9630</v>
      </c>
      <c r="L118" s="10" t="s">
        <v>42</v>
      </c>
    </row>
    <row r="119" ht="15.75" customHeight="1">
      <c r="A119" s="66">
        <v>45499.0</v>
      </c>
      <c r="B119" s="55" t="str">
        <f>HYPERLINK("https://jobright.ai/jobs/info/6656fd51370b79848db90a51?utm_campaign=1052&amp;utm_source=sheet", "Apply")</f>
        <v>Apply</v>
      </c>
      <c r="C119" s="10" t="s">
        <v>9631</v>
      </c>
      <c r="D119" s="56" t="s">
        <v>9581</v>
      </c>
      <c r="E119" s="10" t="s">
        <v>65</v>
      </c>
      <c r="F119" s="10" t="s">
        <v>722</v>
      </c>
      <c r="G119" s="10" t="s">
        <v>9419</v>
      </c>
      <c r="H119" s="10" t="s">
        <v>4181</v>
      </c>
      <c r="I119" s="10" t="s">
        <v>55</v>
      </c>
      <c r="J119" s="10" t="s">
        <v>9582</v>
      </c>
      <c r="K119" s="10" t="s">
        <v>9603</v>
      </c>
      <c r="L119" s="10" t="s">
        <v>42</v>
      </c>
    </row>
    <row r="120" ht="15.75" customHeight="1">
      <c r="A120" s="66">
        <v>45499.0</v>
      </c>
      <c r="B120" s="55" t="str">
        <f>HYPERLINK("https://jobright.ai/jobs/info/662868df092a09c53f51a4a9?utm_campaign=1052&amp;utm_source=sheet", "Apply")</f>
        <v>Apply</v>
      </c>
      <c r="C120" s="10" t="s">
        <v>9632</v>
      </c>
      <c r="D120" s="56" t="s">
        <v>9585</v>
      </c>
      <c r="E120" s="10" t="s">
        <v>65</v>
      </c>
      <c r="F120" s="10" t="s">
        <v>722</v>
      </c>
      <c r="G120" s="10" t="s">
        <v>9419</v>
      </c>
      <c r="H120" s="10" t="s">
        <v>874</v>
      </c>
      <c r="I120" s="10" t="s">
        <v>55</v>
      </c>
      <c r="K120" s="10" t="s">
        <v>9586</v>
      </c>
      <c r="L120" s="10" t="s">
        <v>42</v>
      </c>
    </row>
    <row r="121" ht="15.75" customHeight="1">
      <c r="A121" s="66">
        <v>45499.0</v>
      </c>
      <c r="B121" s="55" t="str">
        <f>HYPERLINK("https://jobright.ai/jobs/info/6677c79b64f2e472ffd63381?utm_campaign=1052&amp;utm_source=sheet", "Apply")</f>
        <v>Apply</v>
      </c>
      <c r="C121" s="10" t="s">
        <v>9633</v>
      </c>
      <c r="D121" s="56" t="s">
        <v>9581</v>
      </c>
      <c r="E121" s="10" t="s">
        <v>65</v>
      </c>
      <c r="F121" s="10" t="s">
        <v>722</v>
      </c>
      <c r="G121" s="10" t="s">
        <v>9419</v>
      </c>
      <c r="H121" s="10" t="s">
        <v>802</v>
      </c>
      <c r="I121" s="10" t="s">
        <v>55</v>
      </c>
      <c r="J121" s="10" t="s">
        <v>9582</v>
      </c>
      <c r="K121" s="10" t="s">
        <v>9603</v>
      </c>
      <c r="L121" s="10" t="s">
        <v>42</v>
      </c>
    </row>
    <row r="122" ht="15.75" customHeight="1">
      <c r="A122" s="66">
        <v>45499.0</v>
      </c>
      <c r="B122" s="55" t="str">
        <f>HYPERLINK("https://jobright.ai/jobs/info/65efacf4c517100ff2cd9006?utm_campaign=1052&amp;utm_source=sheet", "Apply")</f>
        <v>Apply</v>
      </c>
      <c r="C122" s="10" t="s">
        <v>9634</v>
      </c>
      <c r="D122" s="56" t="s">
        <v>2763</v>
      </c>
      <c r="E122" s="10" t="s">
        <v>45</v>
      </c>
      <c r="F122" s="10" t="s">
        <v>1465</v>
      </c>
      <c r="G122" s="10" t="s">
        <v>1159</v>
      </c>
      <c r="H122" s="10" t="s">
        <v>4848</v>
      </c>
      <c r="I122" s="10" t="s">
        <v>55</v>
      </c>
      <c r="J122" s="10" t="s">
        <v>9635</v>
      </c>
      <c r="K122" s="10" t="s">
        <v>9636</v>
      </c>
      <c r="L122" s="10" t="s">
        <v>42</v>
      </c>
    </row>
    <row r="123" ht="15.75" customHeight="1">
      <c r="A123" s="66">
        <v>45499.0</v>
      </c>
      <c r="B123" s="55" t="str">
        <f>HYPERLINK("https://jobright.ai/jobs/info/6697baa06cde579742e59583?utm_campaign=1052&amp;utm_source=sheet", "Apply")</f>
        <v>Apply</v>
      </c>
      <c r="C123" s="10" t="s">
        <v>9637</v>
      </c>
      <c r="D123" s="56" t="s">
        <v>533</v>
      </c>
      <c r="E123" s="10" t="s">
        <v>209</v>
      </c>
      <c r="F123" s="10" t="s">
        <v>534</v>
      </c>
      <c r="G123" s="10" t="s">
        <v>9419</v>
      </c>
      <c r="H123" s="10" t="s">
        <v>860</v>
      </c>
      <c r="I123" s="10" t="s">
        <v>55</v>
      </c>
      <c r="J123" s="10" t="s">
        <v>579</v>
      </c>
      <c r="K123" s="10" t="s">
        <v>9621</v>
      </c>
      <c r="L123" s="10" t="s">
        <v>42</v>
      </c>
    </row>
    <row r="124" ht="15.75" customHeight="1">
      <c r="A124" s="66">
        <v>45499.0</v>
      </c>
      <c r="B124" s="55" t="str">
        <f>HYPERLINK("https://jobright.ai/jobs/info/66911c745b4027d2df256f8d?utm_campaign=1052&amp;utm_source=sheet", "Apply")</f>
        <v>Apply</v>
      </c>
      <c r="C124" s="10" t="s">
        <v>9638</v>
      </c>
      <c r="D124" s="56" t="s">
        <v>533</v>
      </c>
      <c r="E124" s="10" t="s">
        <v>209</v>
      </c>
      <c r="F124" s="10" t="s">
        <v>534</v>
      </c>
      <c r="G124" s="10" t="s">
        <v>9419</v>
      </c>
      <c r="H124" s="10" t="s">
        <v>113</v>
      </c>
      <c r="I124" s="10" t="s">
        <v>55</v>
      </c>
      <c r="J124" s="10" t="s">
        <v>9596</v>
      </c>
      <c r="K124" s="10" t="s">
        <v>9597</v>
      </c>
      <c r="L124" s="10" t="s">
        <v>42</v>
      </c>
    </row>
    <row r="125" ht="15.75" customHeight="1">
      <c r="A125" s="66">
        <v>45499.0</v>
      </c>
      <c r="B125" s="55" t="str">
        <f>HYPERLINK("https://jobright.ai/jobs/info/6674280f2e2115fb0d03a2f7?utm_campaign=1052&amp;utm_source=sheet", "Apply")</f>
        <v>Apply</v>
      </c>
      <c r="C125" s="10" t="s">
        <v>9517</v>
      </c>
      <c r="D125" s="56" t="s">
        <v>9612</v>
      </c>
      <c r="E125" s="10" t="s">
        <v>45</v>
      </c>
      <c r="F125" s="10" t="s">
        <v>2534</v>
      </c>
      <c r="G125" s="10" t="s">
        <v>1159</v>
      </c>
      <c r="H125" s="10" t="s">
        <v>131</v>
      </c>
      <c r="I125" s="10" t="s">
        <v>55</v>
      </c>
      <c r="K125" s="10" t="s">
        <v>9639</v>
      </c>
      <c r="L125" s="10" t="s">
        <v>42</v>
      </c>
    </row>
    <row r="126" ht="15.75" customHeight="1">
      <c r="A126" s="66">
        <v>45499.0</v>
      </c>
      <c r="B126" s="55" t="str">
        <f>HYPERLINK("https://jobright.ai/jobs/info/661514da9d9f52609a5a69fd?utm_campaign=1052&amp;utm_source=sheet", "Apply")</f>
        <v>Apply</v>
      </c>
      <c r="C126" s="10" t="s">
        <v>9640</v>
      </c>
      <c r="D126" s="56" t="s">
        <v>9607</v>
      </c>
      <c r="E126" s="10" t="s">
        <v>45</v>
      </c>
      <c r="F126" s="10" t="s">
        <v>722</v>
      </c>
      <c r="G126" s="10" t="s">
        <v>9419</v>
      </c>
      <c r="H126" s="10" t="s">
        <v>810</v>
      </c>
      <c r="I126" s="10" t="s">
        <v>48</v>
      </c>
      <c r="J126" s="10" t="s">
        <v>9641</v>
      </c>
      <c r="K126" s="10" t="s">
        <v>9609</v>
      </c>
      <c r="L126" s="10" t="s">
        <v>42</v>
      </c>
    </row>
    <row r="127" ht="15.75" customHeight="1">
      <c r="A127" s="66">
        <v>45499.0</v>
      </c>
      <c r="B127" s="55" t="str">
        <f>HYPERLINK("https://jobright.ai/jobs/info/6677b8c29c2d9fa5bf089304?utm_campaign=1052&amp;utm_source=sheet", "Apply")</f>
        <v>Apply</v>
      </c>
      <c r="C127" s="10" t="s">
        <v>9642</v>
      </c>
      <c r="D127" s="56" t="s">
        <v>9643</v>
      </c>
      <c r="E127" s="10" t="s">
        <v>249</v>
      </c>
      <c r="F127" s="10" t="s">
        <v>534</v>
      </c>
      <c r="G127" s="10" t="s">
        <v>9419</v>
      </c>
      <c r="H127" s="10" t="s">
        <v>9644</v>
      </c>
      <c r="I127" s="10" t="s">
        <v>55</v>
      </c>
      <c r="J127" s="10" t="s">
        <v>3430</v>
      </c>
      <c r="K127" s="10" t="s">
        <v>9645</v>
      </c>
      <c r="L127" s="10" t="s">
        <v>42</v>
      </c>
    </row>
    <row r="128" ht="15.75" customHeight="1">
      <c r="A128" s="66">
        <v>45499.0</v>
      </c>
      <c r="B128" s="55" t="str">
        <f>HYPERLINK("https://jobright.ai/jobs/info/662c443bb32e2a39772a3cf6?utm_campaign=1052&amp;utm_source=sheet", "Apply")</f>
        <v>Apply</v>
      </c>
      <c r="C128" s="10" t="s">
        <v>9598</v>
      </c>
      <c r="D128" s="56" t="s">
        <v>9467</v>
      </c>
      <c r="E128" s="10" t="s">
        <v>45</v>
      </c>
      <c r="F128" s="10" t="s">
        <v>9468</v>
      </c>
      <c r="G128" s="10" t="s">
        <v>9414</v>
      </c>
      <c r="H128" s="10" t="s">
        <v>9476</v>
      </c>
      <c r="I128" s="10" t="s">
        <v>55</v>
      </c>
      <c r="J128" s="10" t="s">
        <v>9599</v>
      </c>
      <c r="K128" s="10" t="s">
        <v>9600</v>
      </c>
      <c r="L128" s="10" t="s">
        <v>42</v>
      </c>
    </row>
    <row r="129" ht="15.75" customHeight="1">
      <c r="A129" s="66">
        <v>45499.0</v>
      </c>
      <c r="B129" s="55" t="str">
        <f>HYPERLINK("https://jobright.ai/jobs/info/664def6ecf7bdc8f73b3c165?utm_campaign=1052&amp;utm_source=sheet", "Apply")</f>
        <v>Apply</v>
      </c>
      <c r="C129" s="10" t="s">
        <v>9646</v>
      </c>
      <c r="D129" s="56" t="s">
        <v>9585</v>
      </c>
      <c r="E129" s="10" t="s">
        <v>65</v>
      </c>
      <c r="F129" s="10" t="s">
        <v>722</v>
      </c>
      <c r="G129" s="10" t="s">
        <v>9419</v>
      </c>
      <c r="H129" s="10" t="s">
        <v>942</v>
      </c>
      <c r="I129" s="10" t="s">
        <v>55</v>
      </c>
      <c r="K129" s="10" t="s">
        <v>9586</v>
      </c>
      <c r="L129" s="10" t="s">
        <v>42</v>
      </c>
    </row>
    <row r="130" ht="15.75" customHeight="1">
      <c r="A130" s="66">
        <v>45499.0</v>
      </c>
      <c r="B130" s="55" t="str">
        <f>HYPERLINK("https://jobright.ai/jobs/info/666a31c990feb1bdec5724df?utm_campaign=1052&amp;utm_source=sheet", "Apply")</f>
        <v>Apply</v>
      </c>
      <c r="C130" s="10" t="s">
        <v>9647</v>
      </c>
      <c r="D130" s="56" t="s">
        <v>9581</v>
      </c>
      <c r="E130" s="10" t="s">
        <v>65</v>
      </c>
      <c r="F130" s="10" t="s">
        <v>722</v>
      </c>
      <c r="G130" s="10" t="s">
        <v>9419</v>
      </c>
      <c r="H130" s="10" t="s">
        <v>152</v>
      </c>
      <c r="I130" s="10" t="s">
        <v>55</v>
      </c>
      <c r="J130" s="10" t="s">
        <v>9582</v>
      </c>
      <c r="K130" s="10" t="s">
        <v>9603</v>
      </c>
      <c r="L130" s="10" t="s">
        <v>42</v>
      </c>
    </row>
    <row r="131" ht="15.75" customHeight="1">
      <c r="A131" s="66">
        <v>45499.0</v>
      </c>
      <c r="B131" s="55" t="str">
        <f>HYPERLINK("https://jobright.ai/jobs/info/6675d7cc28c07253dad6974e?utm_campaign=1052&amp;utm_source=sheet", "Apply")</f>
        <v>Apply</v>
      </c>
      <c r="C131" s="10" t="s">
        <v>9648</v>
      </c>
      <c r="D131" s="56" t="s">
        <v>9623</v>
      </c>
      <c r="E131" s="10">
        <v>52219.0</v>
      </c>
      <c r="G131" s="10" t="s">
        <v>9419</v>
      </c>
      <c r="H131" s="10" t="s">
        <v>167</v>
      </c>
      <c r="I131" s="10" t="s">
        <v>55</v>
      </c>
      <c r="K131" s="10" t="s">
        <v>9649</v>
      </c>
      <c r="L131" s="10" t="s">
        <v>42</v>
      </c>
    </row>
    <row r="132" ht="15.75" customHeight="1">
      <c r="A132" s="66">
        <v>45499.0</v>
      </c>
      <c r="B132" s="55" t="str">
        <f>HYPERLINK("https://jobright.ai/jobs/info/6687efcc8d77caa13731f5ae?utm_campaign=1052&amp;utm_source=sheet", "Apply")</f>
        <v>Apply</v>
      </c>
      <c r="C132" s="10" t="s">
        <v>9650</v>
      </c>
      <c r="D132" s="56" t="s">
        <v>533</v>
      </c>
      <c r="E132" s="10" t="s">
        <v>209</v>
      </c>
      <c r="F132" s="10" t="s">
        <v>534</v>
      </c>
      <c r="G132" s="10" t="s">
        <v>9419</v>
      </c>
      <c r="H132" s="10" t="s">
        <v>923</v>
      </c>
      <c r="I132" s="10" t="s">
        <v>48</v>
      </c>
      <c r="J132" s="10" t="s">
        <v>579</v>
      </c>
      <c r="K132" s="10" t="s">
        <v>9621</v>
      </c>
      <c r="L132" s="10" t="s">
        <v>42</v>
      </c>
    </row>
    <row r="133" ht="15.75" customHeight="1">
      <c r="A133" s="66">
        <v>45499.0</v>
      </c>
      <c r="B133" s="55" t="str">
        <f>HYPERLINK("https://jobright.ai/jobs/info/6687d3a64284c3a878b0888d?utm_campaign=1052&amp;utm_source=sheet", "Apply")</f>
        <v>Apply</v>
      </c>
      <c r="C133" s="10" t="s">
        <v>9651</v>
      </c>
      <c r="D133" s="56" t="s">
        <v>533</v>
      </c>
      <c r="E133" s="10" t="s">
        <v>209</v>
      </c>
      <c r="F133" s="10" t="s">
        <v>534</v>
      </c>
      <c r="G133" s="10" t="s">
        <v>9419</v>
      </c>
      <c r="H133" s="10" t="s">
        <v>799</v>
      </c>
      <c r="I133" s="10" t="s">
        <v>48</v>
      </c>
      <c r="J133" s="10" t="s">
        <v>579</v>
      </c>
      <c r="K133" s="10" t="s">
        <v>9621</v>
      </c>
      <c r="L133" s="10" t="s">
        <v>42</v>
      </c>
    </row>
    <row r="134" ht="15.75" customHeight="1">
      <c r="A134" s="66">
        <v>45499.0</v>
      </c>
      <c r="B134" s="55" t="str">
        <f>HYPERLINK("https://jobright.ai/jobs/info/65f2f2f14cbdbc4d17f76683?utm_campaign=1052&amp;utm_source=sheet", "Apply")</f>
        <v>Apply</v>
      </c>
      <c r="C134" s="10" t="s">
        <v>9652</v>
      </c>
      <c r="D134" s="56" t="s">
        <v>9607</v>
      </c>
      <c r="E134" s="10" t="s">
        <v>45</v>
      </c>
      <c r="F134" s="10" t="s">
        <v>722</v>
      </c>
      <c r="G134" s="10" t="s">
        <v>9419</v>
      </c>
      <c r="H134" s="10" t="s">
        <v>168</v>
      </c>
      <c r="I134" s="10" t="s">
        <v>48</v>
      </c>
      <c r="J134" s="10" t="s">
        <v>9653</v>
      </c>
      <c r="K134" s="10" t="s">
        <v>9654</v>
      </c>
      <c r="L134" s="10" t="s">
        <v>42</v>
      </c>
    </row>
    <row r="135" ht="15.75" customHeight="1">
      <c r="A135" s="66">
        <v>45499.0</v>
      </c>
      <c r="B135" s="55" t="str">
        <f>HYPERLINK("https://jobright.ai/jobs/info/6656fd5a370b79848db90b08?utm_campaign=1052&amp;utm_source=sheet", "Apply")</f>
        <v>Apply</v>
      </c>
      <c r="C135" s="10" t="s">
        <v>9655</v>
      </c>
      <c r="D135" s="56" t="s">
        <v>9581</v>
      </c>
      <c r="E135" s="10" t="s">
        <v>65</v>
      </c>
      <c r="F135" s="10" t="s">
        <v>722</v>
      </c>
      <c r="G135" s="10" t="s">
        <v>9419</v>
      </c>
      <c r="H135" s="10" t="s">
        <v>154</v>
      </c>
      <c r="I135" s="10" t="s">
        <v>55</v>
      </c>
      <c r="J135" s="10" t="s">
        <v>9582</v>
      </c>
      <c r="K135" s="10" t="s">
        <v>9603</v>
      </c>
      <c r="L135" s="10" t="s">
        <v>42</v>
      </c>
    </row>
    <row r="136" ht="15.75" customHeight="1">
      <c r="A136" s="66">
        <v>45499.0</v>
      </c>
      <c r="B136" s="55" t="str">
        <f>HYPERLINK("https://jobright.ai/jobs/info/6677bd8d27c0e726e8f4edb0?utm_campaign=1052&amp;utm_source=sheet", "Apply")</f>
        <v>Apply</v>
      </c>
      <c r="C136" s="10" t="s">
        <v>9611</v>
      </c>
      <c r="D136" s="56" t="s">
        <v>9656</v>
      </c>
      <c r="E136" s="10" t="s">
        <v>79</v>
      </c>
      <c r="F136" s="10" t="s">
        <v>85</v>
      </c>
      <c r="G136" s="10" t="s">
        <v>9419</v>
      </c>
      <c r="H136" s="10" t="s">
        <v>153</v>
      </c>
      <c r="I136" s="10" t="s">
        <v>55</v>
      </c>
      <c r="K136" s="10" t="s">
        <v>9657</v>
      </c>
      <c r="L136" s="10" t="s">
        <v>42</v>
      </c>
    </row>
    <row r="137" ht="15.75" customHeight="1">
      <c r="A137" s="66">
        <v>45499.0</v>
      </c>
      <c r="B137" s="55" t="str">
        <f>HYPERLINK("https://jobright.ai/jobs/info/666a31c990feb1bdec5724e4?utm_campaign=1052&amp;utm_source=sheet", "Apply")</f>
        <v>Apply</v>
      </c>
      <c r="C137" s="10" t="s">
        <v>9658</v>
      </c>
      <c r="D137" s="56" t="s">
        <v>9581</v>
      </c>
      <c r="E137" s="10" t="s">
        <v>65</v>
      </c>
      <c r="F137" s="10" t="s">
        <v>722</v>
      </c>
      <c r="G137" s="10" t="s">
        <v>9419</v>
      </c>
      <c r="H137" s="10" t="s">
        <v>152</v>
      </c>
      <c r="I137" s="10" t="s">
        <v>55</v>
      </c>
      <c r="J137" s="10" t="s">
        <v>9582</v>
      </c>
      <c r="K137" s="10" t="s">
        <v>9583</v>
      </c>
      <c r="L137" s="10" t="s">
        <v>42</v>
      </c>
    </row>
    <row r="138" ht="15.75" customHeight="1">
      <c r="A138" s="66">
        <v>45499.0</v>
      </c>
      <c r="B138" s="55" t="str">
        <f>HYPERLINK("https://jobright.ai/jobs/info/6687e5e3f5423f35e4cce8ee?utm_campaign=1052&amp;utm_source=sheet", "Apply")</f>
        <v>Apply</v>
      </c>
      <c r="C138" s="10" t="s">
        <v>9659</v>
      </c>
      <c r="D138" s="56" t="s">
        <v>533</v>
      </c>
      <c r="E138" s="10" t="s">
        <v>209</v>
      </c>
      <c r="F138" s="10" t="s">
        <v>534</v>
      </c>
      <c r="G138" s="10" t="s">
        <v>9419</v>
      </c>
      <c r="H138" s="10" t="s">
        <v>879</v>
      </c>
      <c r="I138" s="10" t="s">
        <v>48</v>
      </c>
      <c r="J138" s="10" t="s">
        <v>579</v>
      </c>
      <c r="K138" s="10" t="s">
        <v>9660</v>
      </c>
      <c r="L138" s="10" t="s">
        <v>42</v>
      </c>
    </row>
    <row r="139" ht="15.75" customHeight="1">
      <c r="A139" s="66">
        <v>45499.0</v>
      </c>
      <c r="B139" s="55" t="str">
        <f>HYPERLINK("https://jobright.ai/jobs/info/65cd6a5cb463799f0b3e8c4a?utm_campaign=1052&amp;utm_source=sheet", "Apply")</f>
        <v>Apply</v>
      </c>
      <c r="C139" s="10" t="s">
        <v>9634</v>
      </c>
      <c r="D139" s="56" t="s">
        <v>2763</v>
      </c>
      <c r="E139" s="10" t="s">
        <v>45</v>
      </c>
      <c r="F139" s="10" t="s">
        <v>1465</v>
      </c>
      <c r="G139" s="10" t="s">
        <v>1159</v>
      </c>
      <c r="H139" s="10" t="s">
        <v>914</v>
      </c>
      <c r="I139" s="10" t="s">
        <v>55</v>
      </c>
      <c r="J139" s="10" t="s">
        <v>9635</v>
      </c>
      <c r="K139" s="10" t="s">
        <v>9636</v>
      </c>
      <c r="L139" s="10" t="s">
        <v>42</v>
      </c>
    </row>
    <row r="140" ht="15.75" customHeight="1">
      <c r="A140" s="66">
        <v>45499.0</v>
      </c>
      <c r="B140" s="55" t="str">
        <f>HYPERLINK("https://jobright.ai/jobs/info/6677c78164f2e472ffd631fa?utm_campaign=1052&amp;utm_source=sheet", "Apply")</f>
        <v>Apply</v>
      </c>
      <c r="C140" s="10" t="s">
        <v>9661</v>
      </c>
      <c r="D140" s="56" t="s">
        <v>9581</v>
      </c>
      <c r="E140" s="10" t="s">
        <v>65</v>
      </c>
      <c r="F140" s="10" t="s">
        <v>722</v>
      </c>
      <c r="G140" s="10" t="s">
        <v>9419</v>
      </c>
      <c r="H140" s="10" t="s">
        <v>636</v>
      </c>
      <c r="I140" s="10" t="s">
        <v>55</v>
      </c>
      <c r="J140" s="10" t="s">
        <v>9582</v>
      </c>
      <c r="K140" s="10" t="s">
        <v>9603</v>
      </c>
      <c r="L140" s="10" t="s">
        <v>42</v>
      </c>
    </row>
    <row r="141" ht="15.75" customHeight="1">
      <c r="A141" s="66">
        <v>45499.0</v>
      </c>
      <c r="B141" s="55" t="str">
        <f>HYPERLINK("https://jobright.ai/jobs/info/65a27b3a628c87a3e5f40bc8?utm_campaign=1052&amp;utm_source=sheet", "Apply")</f>
        <v>Apply</v>
      </c>
      <c r="C141" s="10" t="s">
        <v>9662</v>
      </c>
      <c r="D141" s="56" t="s">
        <v>4651</v>
      </c>
      <c r="E141" s="10" t="s">
        <v>45</v>
      </c>
      <c r="F141" s="10" t="s">
        <v>2527</v>
      </c>
      <c r="G141" s="10" t="s">
        <v>9414</v>
      </c>
      <c r="H141" s="10" t="s">
        <v>9663</v>
      </c>
      <c r="I141" s="10" t="s">
        <v>55</v>
      </c>
      <c r="K141" s="10" t="s">
        <v>9664</v>
      </c>
      <c r="L141" s="10" t="s">
        <v>42</v>
      </c>
    </row>
    <row r="142" ht="15.75" customHeight="1">
      <c r="A142" s="66">
        <v>45499.0</v>
      </c>
      <c r="B142" s="55" t="str">
        <f>HYPERLINK("https://jobright.ai/jobs/info/65f2f3054cbdbc4d17f767b6?utm_campaign=1052&amp;utm_source=sheet", "Apply")</f>
        <v>Apply</v>
      </c>
      <c r="C142" s="10" t="s">
        <v>9535</v>
      </c>
      <c r="D142" s="56" t="s">
        <v>9607</v>
      </c>
      <c r="E142" s="10" t="s">
        <v>45</v>
      </c>
      <c r="F142" s="10" t="s">
        <v>722</v>
      </c>
      <c r="G142" s="10" t="s">
        <v>9419</v>
      </c>
      <c r="H142" s="10" t="s">
        <v>313</v>
      </c>
      <c r="I142" s="10" t="s">
        <v>48</v>
      </c>
      <c r="J142" s="10" t="s">
        <v>9665</v>
      </c>
      <c r="K142" s="10" t="s">
        <v>9609</v>
      </c>
      <c r="L142" s="10" t="s">
        <v>42</v>
      </c>
    </row>
    <row r="143" ht="15.75" customHeight="1">
      <c r="A143" s="66">
        <v>45499.0</v>
      </c>
      <c r="B143" s="55" t="str">
        <f>HYPERLINK("https://jobright.ai/jobs/info/6687fdd291d12b5974c70593?utm_campaign=1052&amp;utm_source=sheet", "Apply")</f>
        <v>Apply</v>
      </c>
      <c r="C143" s="10" t="s">
        <v>9590</v>
      </c>
      <c r="D143" s="56" t="s">
        <v>9591</v>
      </c>
      <c r="E143" s="10" t="s">
        <v>209</v>
      </c>
      <c r="F143" s="10" t="s">
        <v>534</v>
      </c>
      <c r="G143" s="10" t="s">
        <v>9419</v>
      </c>
      <c r="H143" s="10" t="s">
        <v>2208</v>
      </c>
      <c r="I143" s="10" t="s">
        <v>55</v>
      </c>
      <c r="K143" s="10" t="s">
        <v>9592</v>
      </c>
      <c r="L143" s="10" t="s">
        <v>42</v>
      </c>
    </row>
    <row r="144" ht="15.75" customHeight="1">
      <c r="A144" s="66">
        <v>45499.0</v>
      </c>
      <c r="B144" s="55" t="str">
        <f>HYPERLINK("https://jobright.ai/jobs/info/666a5e9ca19e01ec9ce4f0e0?utm_campaign=1052&amp;utm_source=sheet", "Apply")</f>
        <v>Apply</v>
      </c>
      <c r="C144" s="10" t="s">
        <v>9666</v>
      </c>
      <c r="D144" s="56" t="s">
        <v>9581</v>
      </c>
      <c r="E144" s="10" t="s">
        <v>65</v>
      </c>
      <c r="F144" s="10" t="s">
        <v>722</v>
      </c>
      <c r="G144" s="10" t="s">
        <v>9419</v>
      </c>
      <c r="H144" s="10" t="s">
        <v>5373</v>
      </c>
      <c r="I144" s="10" t="s">
        <v>55</v>
      </c>
      <c r="J144" s="10" t="s">
        <v>9582</v>
      </c>
      <c r="K144" s="10" t="s">
        <v>9603</v>
      </c>
      <c r="L144" s="10" t="s">
        <v>42</v>
      </c>
    </row>
    <row r="145" ht="15.75" customHeight="1">
      <c r="A145" s="66">
        <v>45499.0</v>
      </c>
      <c r="B145" s="55" t="str">
        <f>HYPERLINK("https://jobright.ai/jobs/info/666a2c130b96ba2c78742aa4?utm_campaign=1052&amp;utm_source=sheet", "Apply")</f>
        <v>Apply</v>
      </c>
      <c r="C145" s="10" t="s">
        <v>9667</v>
      </c>
      <c r="D145" s="56" t="s">
        <v>9581</v>
      </c>
      <c r="E145" s="10" t="s">
        <v>65</v>
      </c>
      <c r="F145" s="10" t="s">
        <v>722</v>
      </c>
      <c r="G145" s="10" t="s">
        <v>9419</v>
      </c>
      <c r="H145" s="10" t="s">
        <v>278</v>
      </c>
      <c r="I145" s="10" t="s">
        <v>55</v>
      </c>
      <c r="J145" s="10" t="s">
        <v>9582</v>
      </c>
      <c r="K145" s="10" t="s">
        <v>9603</v>
      </c>
      <c r="L145" s="10" t="s">
        <v>42</v>
      </c>
    </row>
    <row r="146" ht="15.75" customHeight="1">
      <c r="A146" s="66">
        <v>45499.0</v>
      </c>
      <c r="B146" s="55" t="str">
        <f>HYPERLINK("https://jobright.ai/jobs/info/65e093484cbe1e927eea0a31?utm_campaign=1052&amp;utm_source=sheet", "Apply")</f>
        <v>Apply</v>
      </c>
      <c r="C146" s="10" t="s">
        <v>9668</v>
      </c>
      <c r="D146" s="56" t="s">
        <v>9585</v>
      </c>
      <c r="E146" s="10" t="s">
        <v>65</v>
      </c>
      <c r="F146" s="10" t="s">
        <v>722</v>
      </c>
      <c r="G146" s="10" t="s">
        <v>9419</v>
      </c>
      <c r="H146" s="10" t="s">
        <v>811</v>
      </c>
      <c r="I146" s="10" t="s">
        <v>55</v>
      </c>
      <c r="K146" s="10" t="s">
        <v>9586</v>
      </c>
      <c r="L146" s="10" t="s">
        <v>42</v>
      </c>
    </row>
    <row r="147" ht="15.75" customHeight="1">
      <c r="A147" s="66">
        <v>45499.0</v>
      </c>
      <c r="B147" s="55" t="str">
        <f>HYPERLINK("https://jobright.ai/jobs/info/6677c3592b6ed5133f44525f?utm_campaign=1052&amp;utm_source=sheet", "Apply")</f>
        <v>Apply</v>
      </c>
      <c r="C147" s="10" t="s">
        <v>9669</v>
      </c>
      <c r="D147" s="56" t="s">
        <v>9643</v>
      </c>
      <c r="E147" s="10" t="s">
        <v>249</v>
      </c>
      <c r="F147" s="10" t="s">
        <v>534</v>
      </c>
      <c r="G147" s="10" t="s">
        <v>9419</v>
      </c>
      <c r="H147" s="10" t="s">
        <v>911</v>
      </c>
      <c r="I147" s="10" t="s">
        <v>55</v>
      </c>
      <c r="K147" s="10" t="s">
        <v>9645</v>
      </c>
      <c r="L147" s="10" t="s">
        <v>42</v>
      </c>
    </row>
    <row r="148" ht="15.75" customHeight="1">
      <c r="A148" s="66">
        <v>45499.0</v>
      </c>
      <c r="B148" s="55" t="str">
        <f>HYPERLINK("https://jobright.ai/jobs/info/66362043836a0465ae942b3d?utm_campaign=1052&amp;utm_source=sheet", "Apply")</f>
        <v>Apply</v>
      </c>
      <c r="C148" s="10" t="s">
        <v>9670</v>
      </c>
      <c r="D148" s="56" t="s">
        <v>9671</v>
      </c>
      <c r="E148" s="10" t="s">
        <v>45</v>
      </c>
      <c r="F148" s="10" t="s">
        <v>1084</v>
      </c>
      <c r="G148" s="10" t="s">
        <v>9414</v>
      </c>
      <c r="H148" s="10" t="s">
        <v>96</v>
      </c>
      <c r="I148" s="10" t="s">
        <v>55</v>
      </c>
      <c r="J148" s="10" t="s">
        <v>9672</v>
      </c>
      <c r="K148" s="10" t="s">
        <v>9673</v>
      </c>
      <c r="L148" s="10" t="s">
        <v>42</v>
      </c>
    </row>
    <row r="149" ht="15.75" customHeight="1">
      <c r="A149" s="66">
        <v>45499.0</v>
      </c>
      <c r="B149" s="55" t="str">
        <f>HYPERLINK("https://jobright.ai/jobs/info/6677be0a27c0e726e8f4f717?utm_campaign=1052&amp;utm_source=sheet", "Apply")</f>
        <v>Apply</v>
      </c>
      <c r="C149" s="10" t="s">
        <v>9674</v>
      </c>
      <c r="D149" s="56" t="s">
        <v>9643</v>
      </c>
      <c r="E149" s="10" t="s">
        <v>249</v>
      </c>
      <c r="F149" s="10" t="s">
        <v>534</v>
      </c>
      <c r="G149" s="10" t="s">
        <v>9419</v>
      </c>
      <c r="H149" s="10" t="s">
        <v>9675</v>
      </c>
      <c r="I149" s="10" t="s">
        <v>55</v>
      </c>
      <c r="J149" s="10" t="s">
        <v>3430</v>
      </c>
      <c r="K149" s="10" t="s">
        <v>9645</v>
      </c>
      <c r="L149" s="10" t="s">
        <v>42</v>
      </c>
    </row>
    <row r="150" ht="15.75" customHeight="1">
      <c r="A150" s="66">
        <v>45499.0</v>
      </c>
      <c r="B150" s="55" t="str">
        <f>HYPERLINK("https://jobright.ai/jobs/info/669116a012153957d1a9098e?utm_campaign=1052&amp;utm_source=sheet", "Apply")</f>
        <v>Apply</v>
      </c>
      <c r="C150" s="10" t="s">
        <v>9676</v>
      </c>
      <c r="D150" s="56" t="s">
        <v>533</v>
      </c>
      <c r="E150" s="10" t="s">
        <v>209</v>
      </c>
      <c r="F150" s="10" t="s">
        <v>534</v>
      </c>
      <c r="G150" s="10" t="s">
        <v>9414</v>
      </c>
      <c r="H150" s="10" t="s">
        <v>313</v>
      </c>
      <c r="I150" s="10" t="s">
        <v>55</v>
      </c>
      <c r="J150" s="10" t="s">
        <v>535</v>
      </c>
      <c r="K150" s="10" t="s">
        <v>9677</v>
      </c>
      <c r="L150" s="10" t="s">
        <v>42</v>
      </c>
    </row>
    <row r="151" ht="15.75" customHeight="1">
      <c r="A151" s="66">
        <v>45499.0</v>
      </c>
      <c r="B151" s="55" t="str">
        <f>HYPERLINK("https://jobright.ai/jobs/info/6677b7059c2d9fa5bf087445?utm_campaign=1052&amp;utm_source=sheet", "Apply")</f>
        <v>Apply</v>
      </c>
      <c r="C151" s="10" t="s">
        <v>9678</v>
      </c>
      <c r="D151" s="56" t="s">
        <v>533</v>
      </c>
      <c r="E151" s="10" t="s">
        <v>209</v>
      </c>
      <c r="F151" s="10" t="s">
        <v>534</v>
      </c>
      <c r="G151" s="10" t="s">
        <v>9419</v>
      </c>
      <c r="H151" s="10" t="s">
        <v>965</v>
      </c>
      <c r="I151" s="10" t="s">
        <v>48</v>
      </c>
      <c r="J151" s="10" t="s">
        <v>579</v>
      </c>
      <c r="K151" s="10" t="s">
        <v>9454</v>
      </c>
      <c r="L151" s="10" t="s">
        <v>42</v>
      </c>
    </row>
    <row r="152" ht="15.75" customHeight="1">
      <c r="A152" s="66">
        <v>45499.0</v>
      </c>
      <c r="B152" s="55" t="str">
        <f>HYPERLINK("https://jobright.ai/jobs/info/668d1c95c3edd97e56c82230?utm_campaign=1052&amp;utm_source=sheet", "Apply")</f>
        <v>Apply</v>
      </c>
      <c r="C152" s="10" t="s">
        <v>9679</v>
      </c>
      <c r="D152" s="56" t="s">
        <v>533</v>
      </c>
      <c r="E152" s="10" t="s">
        <v>209</v>
      </c>
      <c r="F152" s="10" t="s">
        <v>534</v>
      </c>
      <c r="G152" s="10" t="s">
        <v>9419</v>
      </c>
      <c r="H152" s="10" t="s">
        <v>994</v>
      </c>
      <c r="I152" s="10" t="s">
        <v>55</v>
      </c>
      <c r="J152" s="10" t="s">
        <v>9680</v>
      </c>
      <c r="K152" s="10" t="s">
        <v>9681</v>
      </c>
      <c r="L152" s="10" t="s">
        <v>42</v>
      </c>
    </row>
    <row r="153" ht="15.75" customHeight="1">
      <c r="A153" s="66">
        <v>45499.0</v>
      </c>
      <c r="B153" s="55" t="str">
        <f>HYPERLINK("https://jobright.ai/jobs/info/6677b7059c2d9fa5bf087412?utm_campaign=1052&amp;utm_source=sheet", "Apply")</f>
        <v>Apply</v>
      </c>
      <c r="C153" s="10" t="s">
        <v>9682</v>
      </c>
      <c r="D153" s="56" t="s">
        <v>533</v>
      </c>
      <c r="E153" s="10" t="s">
        <v>209</v>
      </c>
      <c r="F153" s="10" t="s">
        <v>534</v>
      </c>
      <c r="G153" s="10" t="s">
        <v>9419</v>
      </c>
      <c r="H153" s="10" t="s">
        <v>313</v>
      </c>
      <c r="I153" s="10" t="s">
        <v>48</v>
      </c>
      <c r="J153" s="10" t="s">
        <v>535</v>
      </c>
      <c r="K153" s="10" t="s">
        <v>9660</v>
      </c>
      <c r="L153" s="10" t="s">
        <v>42</v>
      </c>
    </row>
    <row r="154" ht="15.75" customHeight="1">
      <c r="A154" s="66">
        <v>45499.0</v>
      </c>
      <c r="B154" s="55" t="str">
        <f>HYPERLINK("https://jobright.ai/jobs/info/66a3770bb6a2e4555024acd8?utm_campaign=1052&amp;utm_source=sheet", "Apply")</f>
        <v>Apply</v>
      </c>
      <c r="C154" s="10" t="s">
        <v>9590</v>
      </c>
      <c r="D154" s="56" t="s">
        <v>9591</v>
      </c>
      <c r="E154" s="10" t="s">
        <v>209</v>
      </c>
      <c r="F154" s="10" t="s">
        <v>534</v>
      </c>
      <c r="G154" s="10" t="s">
        <v>9419</v>
      </c>
      <c r="H154" s="10" t="s">
        <v>139</v>
      </c>
      <c r="I154" s="10" t="s">
        <v>55</v>
      </c>
      <c r="K154" s="10" t="s">
        <v>9592</v>
      </c>
      <c r="L154" s="10" t="s">
        <v>42</v>
      </c>
    </row>
    <row r="155" ht="15.75" customHeight="1">
      <c r="A155" s="66">
        <v>45499.0</v>
      </c>
      <c r="B155" s="55" t="str">
        <f>HYPERLINK("https://jobright.ai/jobs/info/6687d8900df26b68025ae3c5?utm_campaign=1052&amp;utm_source=sheet", "Apply")</f>
        <v>Apply</v>
      </c>
      <c r="C155" s="10" t="s">
        <v>9683</v>
      </c>
      <c r="D155" s="56" t="s">
        <v>533</v>
      </c>
      <c r="E155" s="10" t="s">
        <v>209</v>
      </c>
      <c r="F155" s="10" t="s">
        <v>534</v>
      </c>
      <c r="G155" s="10" t="s">
        <v>9419</v>
      </c>
      <c r="H155" s="10" t="s">
        <v>799</v>
      </c>
      <c r="I155" s="10" t="s">
        <v>48</v>
      </c>
      <c r="J155" s="10" t="s">
        <v>579</v>
      </c>
      <c r="K155" s="10" t="s">
        <v>9454</v>
      </c>
      <c r="L155" s="10" t="s">
        <v>42</v>
      </c>
    </row>
    <row r="156" ht="15.75" customHeight="1">
      <c r="A156" s="66">
        <v>45499.0</v>
      </c>
      <c r="B156" s="55" t="str">
        <f>HYPERLINK("https://jobright.ai/jobs/info/6687ab20c927439a86858774?utm_campaign=1052&amp;utm_source=sheet", "Apply")</f>
        <v>Apply</v>
      </c>
      <c r="C156" s="10" t="s">
        <v>9684</v>
      </c>
      <c r="D156" s="56" t="s">
        <v>673</v>
      </c>
      <c r="E156" s="10" t="s">
        <v>65</v>
      </c>
      <c r="F156" s="10" t="s">
        <v>100</v>
      </c>
      <c r="G156" s="10" t="s">
        <v>9419</v>
      </c>
      <c r="H156" s="10" t="s">
        <v>974</v>
      </c>
      <c r="I156" s="10" t="s">
        <v>55</v>
      </c>
      <c r="K156" s="10" t="s">
        <v>9685</v>
      </c>
      <c r="L156" s="10" t="s">
        <v>42</v>
      </c>
    </row>
    <row r="157" ht="15.75" customHeight="1">
      <c r="A157" s="66">
        <v>45499.0</v>
      </c>
      <c r="B157" s="55" t="str">
        <f>HYPERLINK("https://jobright.ai/jobs/info/66a0be5fc10a2049c789c28d?utm_campaign=1052&amp;utm_source=sheet", "Apply")</f>
        <v>Apply</v>
      </c>
      <c r="C157" s="10" t="s">
        <v>9517</v>
      </c>
      <c r="D157" s="56" t="s">
        <v>9686</v>
      </c>
      <c r="E157" s="10" t="s">
        <v>209</v>
      </c>
      <c r="F157" s="10" t="s">
        <v>5813</v>
      </c>
      <c r="G157" s="10" t="s">
        <v>1159</v>
      </c>
      <c r="H157" s="10" t="s">
        <v>153</v>
      </c>
      <c r="I157" s="10" t="s">
        <v>55</v>
      </c>
      <c r="K157" s="10" t="s">
        <v>9687</v>
      </c>
      <c r="L157" s="10" t="s">
        <v>42</v>
      </c>
    </row>
    <row r="158" ht="15.75" customHeight="1">
      <c r="A158" s="66">
        <v>45499.0</v>
      </c>
      <c r="B158" s="55" t="str">
        <f>HYPERLINK("https://jobright.ai/jobs/info/66a34a7d4b8e157857ff9680?utm_campaign=1052&amp;utm_source=sheet", "Apply")</f>
        <v>Apply</v>
      </c>
      <c r="C158" s="10" t="s">
        <v>9688</v>
      </c>
      <c r="D158" s="56" t="s">
        <v>9689</v>
      </c>
      <c r="G158" s="10" t="s">
        <v>9414</v>
      </c>
      <c r="H158" s="10" t="s">
        <v>4501</v>
      </c>
      <c r="I158" s="10" t="s">
        <v>55</v>
      </c>
      <c r="J158" s="10" t="s">
        <v>1409</v>
      </c>
      <c r="K158" s="10" t="s">
        <v>9690</v>
      </c>
      <c r="L158" s="10" t="s">
        <v>42</v>
      </c>
    </row>
    <row r="159" ht="15.75" customHeight="1">
      <c r="A159" s="66">
        <v>45499.0</v>
      </c>
      <c r="B159" s="55" t="str">
        <f>HYPERLINK("https://jobright.ai/jobs/info/66a3189a10dd3a6d372448c8?utm_campaign=1052&amp;utm_source=sheet", "Apply")</f>
        <v>Apply</v>
      </c>
      <c r="C159" s="10" t="s">
        <v>9691</v>
      </c>
      <c r="D159" s="56" t="s">
        <v>9692</v>
      </c>
      <c r="E159" s="10" t="s">
        <v>209</v>
      </c>
      <c r="F159" s="10" t="s">
        <v>331</v>
      </c>
      <c r="G159" s="10" t="s">
        <v>9419</v>
      </c>
      <c r="H159" s="10" t="s">
        <v>131</v>
      </c>
      <c r="I159" s="10" t="s">
        <v>55</v>
      </c>
      <c r="K159" s="10" t="s">
        <v>9693</v>
      </c>
      <c r="L159" s="10" t="s">
        <v>42</v>
      </c>
    </row>
    <row r="160" ht="15.75" customHeight="1">
      <c r="A160" s="66">
        <v>45499.0</v>
      </c>
      <c r="B160" s="55" t="str">
        <f>HYPERLINK("https://jobright.ai/jobs/info/667c47803a9f6591e8a5f555?utm_campaign=1052&amp;utm_source=sheet", "Apply")</f>
        <v>Apply</v>
      </c>
      <c r="C160" s="10" t="s">
        <v>9694</v>
      </c>
      <c r="D160" s="56" t="s">
        <v>9695</v>
      </c>
      <c r="E160" s="10" t="s">
        <v>65</v>
      </c>
      <c r="F160" s="10" t="s">
        <v>1312</v>
      </c>
      <c r="G160" s="10" t="s">
        <v>9419</v>
      </c>
      <c r="H160" s="10" t="s">
        <v>578</v>
      </c>
      <c r="I160" s="10" t="s">
        <v>48</v>
      </c>
      <c r="J160" s="66"/>
      <c r="K160" s="10" t="s">
        <v>9696</v>
      </c>
      <c r="L160" s="10" t="s">
        <v>42</v>
      </c>
    </row>
    <row r="161" ht="15.75" customHeight="1">
      <c r="A161" s="66">
        <v>45499.0</v>
      </c>
      <c r="B161" s="55" t="str">
        <f>HYPERLINK("https://jobright.ai/jobs/info/667c47763a9f6591e8a5f480?utm_campaign=1052&amp;utm_source=sheet", "Apply")</f>
        <v>Apply</v>
      </c>
      <c r="C161" s="10" t="s">
        <v>9697</v>
      </c>
      <c r="D161" s="56" t="s">
        <v>9695</v>
      </c>
      <c r="E161" s="10" t="s">
        <v>65</v>
      </c>
      <c r="F161" s="10" t="s">
        <v>1312</v>
      </c>
      <c r="G161" s="10" t="s">
        <v>9419</v>
      </c>
      <c r="H161" s="10" t="s">
        <v>578</v>
      </c>
      <c r="I161" s="10" t="s">
        <v>48</v>
      </c>
      <c r="J161" s="66"/>
      <c r="K161" s="10" t="s">
        <v>9696</v>
      </c>
      <c r="L161" s="10" t="s">
        <v>42</v>
      </c>
    </row>
    <row r="162" ht="15.75" customHeight="1">
      <c r="A162" s="66">
        <v>45499.0</v>
      </c>
      <c r="B162" s="55" t="str">
        <f>HYPERLINK("https://jobright.ai/jobs/info/66a3208aff57370d38e377b1?utm_campaign=1052&amp;utm_source=sheet", "Apply")</f>
        <v>Apply</v>
      </c>
      <c r="C162" s="10" t="s">
        <v>9698</v>
      </c>
      <c r="D162" s="56" t="s">
        <v>9699</v>
      </c>
      <c r="E162" s="10" t="s">
        <v>79</v>
      </c>
      <c r="F162" s="10" t="s">
        <v>4921</v>
      </c>
      <c r="G162" s="10" t="s">
        <v>9414</v>
      </c>
      <c r="H162" s="10" t="s">
        <v>819</v>
      </c>
      <c r="I162" s="10" t="s">
        <v>55</v>
      </c>
      <c r="K162" s="10" t="s">
        <v>9700</v>
      </c>
      <c r="L162" s="10" t="s">
        <v>42</v>
      </c>
    </row>
    <row r="163" ht="15.75" customHeight="1">
      <c r="A163" s="66">
        <v>45499.0</v>
      </c>
      <c r="B163" s="55" t="str">
        <f>HYPERLINK("https://jobright.ai/jobs/info/66a315fc2fd71268b86bb9ca?utm_campaign=1052&amp;utm_source=sheet", "Apply")</f>
        <v>Apply</v>
      </c>
      <c r="C163" s="10" t="s">
        <v>9701</v>
      </c>
      <c r="D163" s="56" t="s">
        <v>9702</v>
      </c>
      <c r="E163" s="10" t="s">
        <v>249</v>
      </c>
      <c r="F163" s="10" t="s">
        <v>9414</v>
      </c>
      <c r="G163" s="10" t="s">
        <v>9414</v>
      </c>
      <c r="H163" s="10" t="s">
        <v>251</v>
      </c>
      <c r="I163" s="10" t="s">
        <v>252</v>
      </c>
      <c r="J163" s="10" t="s">
        <v>1608</v>
      </c>
      <c r="K163" s="10" t="s">
        <v>9703</v>
      </c>
      <c r="L163" s="10" t="s">
        <v>42</v>
      </c>
    </row>
    <row r="164" ht="15.75" customHeight="1">
      <c r="A164" s="66">
        <v>45499.0</v>
      </c>
      <c r="B164" s="55" t="str">
        <f>HYPERLINK("https://jobright.ai/jobs/info/66a3c9df55a005da42ef52db?utm_campaign=1052&amp;utm_source=sheet", "Apply")</f>
        <v>Apply</v>
      </c>
      <c r="C164" s="10" t="s">
        <v>9517</v>
      </c>
      <c r="D164" s="56" t="s">
        <v>2938</v>
      </c>
      <c r="E164" s="10" t="s">
        <v>137</v>
      </c>
      <c r="F164" s="10" t="s">
        <v>1949</v>
      </c>
      <c r="G164" s="10" t="s">
        <v>1159</v>
      </c>
      <c r="H164" s="10" t="s">
        <v>607</v>
      </c>
      <c r="I164" s="10" t="s">
        <v>55</v>
      </c>
      <c r="K164" s="10" t="s">
        <v>9704</v>
      </c>
      <c r="L164" s="10" t="s">
        <v>42</v>
      </c>
    </row>
    <row r="165" ht="15.75" customHeight="1">
      <c r="A165" s="66">
        <v>45499.0</v>
      </c>
      <c r="B165" s="55" t="str">
        <f>HYPERLINK("https://jobright.ai/jobs/info/66a3ca1d55a005da42ef58a4?utm_campaign=1052&amp;utm_source=sheet", "Apply")</f>
        <v>Apply</v>
      </c>
      <c r="C165" s="10" t="s">
        <v>9517</v>
      </c>
      <c r="D165" s="56" t="s">
        <v>2938</v>
      </c>
      <c r="E165" s="10" t="s">
        <v>137</v>
      </c>
      <c r="F165" s="10" t="s">
        <v>1949</v>
      </c>
      <c r="G165" s="10" t="s">
        <v>1159</v>
      </c>
      <c r="H165" s="10" t="s">
        <v>1709</v>
      </c>
      <c r="I165" s="10" t="s">
        <v>55</v>
      </c>
      <c r="K165" s="10" t="s">
        <v>9704</v>
      </c>
      <c r="L165" s="10" t="s">
        <v>42</v>
      </c>
    </row>
    <row r="166" ht="15.75" customHeight="1">
      <c r="A166" s="66">
        <v>45499.0</v>
      </c>
      <c r="B166" s="55" t="str">
        <f>HYPERLINK("https://jobright.ai/jobs/info/66a43997e9bda74e61af12f6?utm_campaign=1052&amp;utm_source=sheet", "Apply")</f>
        <v>Apply</v>
      </c>
      <c r="C166" s="10" t="s">
        <v>9705</v>
      </c>
      <c r="D166" s="56" t="s">
        <v>9430</v>
      </c>
      <c r="E166" s="10" t="s">
        <v>45</v>
      </c>
      <c r="F166" s="10" t="s">
        <v>1084</v>
      </c>
      <c r="G166" s="10" t="s">
        <v>9414</v>
      </c>
      <c r="H166" s="10" t="s">
        <v>154</v>
      </c>
      <c r="I166" s="10" t="s">
        <v>55</v>
      </c>
      <c r="J166" s="66"/>
      <c r="K166" s="10" t="s">
        <v>9706</v>
      </c>
      <c r="L166" s="10" t="s">
        <v>42</v>
      </c>
    </row>
    <row r="167" ht="15.75" customHeight="1">
      <c r="A167" s="66">
        <v>45499.0</v>
      </c>
      <c r="B167" s="55" t="str">
        <f>HYPERLINK("https://jobright.ai/jobs/info/66a439a2e9bda74e61af13e2?utm_campaign=1052&amp;utm_source=sheet", "Apply")</f>
        <v>Apply</v>
      </c>
      <c r="C167" s="10" t="s">
        <v>9444</v>
      </c>
      <c r="D167" s="56" t="s">
        <v>9430</v>
      </c>
      <c r="E167" s="10" t="s">
        <v>45</v>
      </c>
      <c r="F167" s="10" t="s">
        <v>1084</v>
      </c>
      <c r="G167" s="10" t="s">
        <v>9414</v>
      </c>
      <c r="H167" s="10" t="s">
        <v>96</v>
      </c>
      <c r="I167" s="10" t="s">
        <v>55</v>
      </c>
      <c r="J167" s="10" t="s">
        <v>9440</v>
      </c>
      <c r="K167" s="10" t="s">
        <v>9443</v>
      </c>
      <c r="L167" s="10" t="s">
        <v>42</v>
      </c>
    </row>
    <row r="168" ht="15.75" customHeight="1">
      <c r="A168" s="66">
        <v>45499.0</v>
      </c>
      <c r="B168" s="55" t="str">
        <f>HYPERLINK("https://jobright.ai/jobs/info/66a439a2e9bda74e61af13f9?utm_campaign=1052&amp;utm_source=sheet", "Apply")</f>
        <v>Apply</v>
      </c>
      <c r="C168" s="10" t="s">
        <v>9439</v>
      </c>
      <c r="D168" s="56" t="s">
        <v>9430</v>
      </c>
      <c r="E168" s="10" t="s">
        <v>45</v>
      </c>
      <c r="F168" s="10" t="s">
        <v>1084</v>
      </c>
      <c r="G168" s="10" t="s">
        <v>9414</v>
      </c>
      <c r="H168" s="10" t="s">
        <v>96</v>
      </c>
      <c r="I168" s="10" t="s">
        <v>55</v>
      </c>
      <c r="J168" s="10" t="s">
        <v>9440</v>
      </c>
      <c r="K168" s="10" t="s">
        <v>9441</v>
      </c>
      <c r="L168" s="10" t="s">
        <v>42</v>
      </c>
    </row>
    <row r="169" ht="15.75" customHeight="1">
      <c r="A169" s="66">
        <v>45499.0</v>
      </c>
      <c r="B169" s="55" t="str">
        <f>HYPERLINK("https://jobright.ai/jobs/info/66a43997e9bda74e61af1301?utm_campaign=1052&amp;utm_source=sheet", "Apply")</f>
        <v>Apply</v>
      </c>
      <c r="C169" s="10" t="s">
        <v>9707</v>
      </c>
      <c r="D169" s="56" t="s">
        <v>9430</v>
      </c>
      <c r="E169" s="10" t="s">
        <v>45</v>
      </c>
      <c r="F169" s="10" t="s">
        <v>1084</v>
      </c>
      <c r="G169" s="10" t="s">
        <v>9414</v>
      </c>
      <c r="H169" s="10" t="s">
        <v>153</v>
      </c>
      <c r="I169" s="10" t="s">
        <v>55</v>
      </c>
      <c r="J169" s="10" t="s">
        <v>9440</v>
      </c>
      <c r="K169" s="10" t="s">
        <v>9441</v>
      </c>
      <c r="L169" s="10" t="s">
        <v>42</v>
      </c>
    </row>
    <row r="170" ht="15.75" customHeight="1">
      <c r="A170" s="66">
        <v>45499.0</v>
      </c>
      <c r="B170" s="55" t="str">
        <f>HYPERLINK("https://jobright.ai/jobs/info/66a43997e9bda74e61af12fc?utm_campaign=1052&amp;utm_source=sheet", "Apply")</f>
        <v>Apply</v>
      </c>
      <c r="C170" s="10" t="s">
        <v>9452</v>
      </c>
      <c r="D170" s="56" t="s">
        <v>9430</v>
      </c>
      <c r="E170" s="10" t="s">
        <v>45</v>
      </c>
      <c r="F170" s="10" t="s">
        <v>1084</v>
      </c>
      <c r="G170" s="10" t="s">
        <v>9414</v>
      </c>
      <c r="H170" s="10" t="s">
        <v>96</v>
      </c>
      <c r="I170" s="10" t="s">
        <v>55</v>
      </c>
      <c r="J170" s="10" t="s">
        <v>9440</v>
      </c>
      <c r="K170" s="10" t="s">
        <v>9441</v>
      </c>
      <c r="L170" s="10" t="s">
        <v>42</v>
      </c>
    </row>
    <row r="171" ht="15.75" customHeight="1">
      <c r="A171" s="66">
        <v>45499.0</v>
      </c>
      <c r="B171" s="55" t="str">
        <f>HYPERLINK("https://jobright.ai/jobs/info/66a439a2e9bda74e61af13fc?utm_campaign=1052&amp;utm_source=sheet", "Apply")</f>
        <v>Apply</v>
      </c>
      <c r="C171" s="10" t="s">
        <v>9707</v>
      </c>
      <c r="D171" s="56" t="s">
        <v>9430</v>
      </c>
      <c r="E171" s="10" t="s">
        <v>45</v>
      </c>
      <c r="F171" s="10" t="s">
        <v>1084</v>
      </c>
      <c r="G171" s="10" t="s">
        <v>9414</v>
      </c>
      <c r="H171" s="10" t="s">
        <v>96</v>
      </c>
      <c r="I171" s="10" t="s">
        <v>55</v>
      </c>
      <c r="J171" s="10" t="s">
        <v>9440</v>
      </c>
      <c r="K171" s="10" t="s">
        <v>9441</v>
      </c>
      <c r="L171" s="10" t="s">
        <v>42</v>
      </c>
    </row>
    <row r="172" ht="15.75" customHeight="1">
      <c r="A172" s="66">
        <v>45499.0</v>
      </c>
      <c r="B172" s="55" t="str">
        <f>HYPERLINK("https://jobright.ai/jobs/info/66a445eff0d2fbb9d35db6ab?utm_campaign=1052&amp;utm_source=sheet", "Apply")</f>
        <v>Apply</v>
      </c>
      <c r="C172" s="10" t="s">
        <v>9442</v>
      </c>
      <c r="D172" s="56" t="s">
        <v>9430</v>
      </c>
      <c r="E172" s="10" t="s">
        <v>45</v>
      </c>
      <c r="F172" s="10" t="s">
        <v>1084</v>
      </c>
      <c r="G172" s="10" t="s">
        <v>9414</v>
      </c>
      <c r="H172" s="10" t="s">
        <v>153</v>
      </c>
      <c r="I172" s="10" t="s">
        <v>55</v>
      </c>
      <c r="J172" s="10" t="s">
        <v>9440</v>
      </c>
      <c r="K172" s="10" t="s">
        <v>9443</v>
      </c>
      <c r="L172" s="10" t="s">
        <v>42</v>
      </c>
    </row>
    <row r="173" ht="15.75" customHeight="1">
      <c r="A173" s="66">
        <v>45499.0</v>
      </c>
      <c r="B173" s="55" t="str">
        <f>HYPERLINK("https://jobright.ai/jobs/info/66a442fadae625412f3b7859?utm_campaign=1052&amp;utm_source=sheet", "Apply")</f>
        <v>Apply</v>
      </c>
      <c r="C173" s="10" t="s">
        <v>9444</v>
      </c>
      <c r="D173" s="56" t="s">
        <v>9430</v>
      </c>
      <c r="E173" s="10" t="s">
        <v>45</v>
      </c>
      <c r="F173" s="10" t="s">
        <v>1084</v>
      </c>
      <c r="G173" s="10" t="s">
        <v>9414</v>
      </c>
      <c r="H173" s="10" t="s">
        <v>139</v>
      </c>
      <c r="I173" s="10" t="s">
        <v>55</v>
      </c>
      <c r="J173" s="10" t="s">
        <v>9440</v>
      </c>
      <c r="K173" s="10" t="s">
        <v>9443</v>
      </c>
      <c r="L173" s="10" t="s">
        <v>42</v>
      </c>
    </row>
    <row r="174" ht="15.75" customHeight="1">
      <c r="A174" s="66">
        <v>45499.0</v>
      </c>
      <c r="B174" s="55" t="str">
        <f>HYPERLINK("https://jobright.ai/jobs/info/66a442ecdae625412f3b772f?utm_campaign=1052&amp;utm_source=sheet", "Apply")</f>
        <v>Apply</v>
      </c>
      <c r="C174" s="10" t="s">
        <v>9708</v>
      </c>
      <c r="D174" s="56" t="s">
        <v>9430</v>
      </c>
      <c r="E174" s="10" t="s">
        <v>45</v>
      </c>
      <c r="F174" s="10" t="s">
        <v>1084</v>
      </c>
      <c r="G174" s="10" t="s">
        <v>9414</v>
      </c>
      <c r="H174" s="10" t="s">
        <v>153</v>
      </c>
      <c r="I174" s="10" t="s">
        <v>55</v>
      </c>
      <c r="K174" s="10" t="s">
        <v>9709</v>
      </c>
      <c r="L174" s="10" t="s">
        <v>42</v>
      </c>
    </row>
    <row r="175" ht="15.75" customHeight="1">
      <c r="A175" s="66">
        <v>45499.0</v>
      </c>
      <c r="B175" s="55" t="str">
        <f>HYPERLINK("https://jobright.ai/jobs/info/66a3064952f762883154aa04?utm_campaign=1052&amp;utm_source=sheet", "Apply")</f>
        <v>Apply</v>
      </c>
      <c r="C175" s="10" t="s">
        <v>9710</v>
      </c>
      <c r="D175" s="56" t="s">
        <v>3123</v>
      </c>
      <c r="E175" s="10" t="s">
        <v>249</v>
      </c>
      <c r="F175" s="10" t="s">
        <v>3124</v>
      </c>
      <c r="G175" s="10" t="s">
        <v>1159</v>
      </c>
      <c r="H175" s="10" t="s">
        <v>917</v>
      </c>
      <c r="I175" s="10" t="s">
        <v>55</v>
      </c>
      <c r="J175" s="10" t="s">
        <v>3125</v>
      </c>
      <c r="K175" s="10" t="s">
        <v>9711</v>
      </c>
      <c r="L175" s="10" t="s">
        <v>42</v>
      </c>
    </row>
    <row r="176" ht="15.75" customHeight="1">
      <c r="A176" s="66">
        <v>45499.0</v>
      </c>
      <c r="B176" s="55" t="str">
        <f>HYPERLINK("https://jobright.ai/jobs/info/66a3ca1d55a005da42ef58e4?utm_campaign=1052&amp;utm_source=sheet", "Apply")</f>
        <v>Apply</v>
      </c>
      <c r="C176" s="10" t="s">
        <v>9517</v>
      </c>
      <c r="D176" s="56" t="s">
        <v>2938</v>
      </c>
      <c r="E176" s="10" t="s">
        <v>137</v>
      </c>
      <c r="F176" s="10" t="s">
        <v>1949</v>
      </c>
      <c r="G176" s="10" t="s">
        <v>1159</v>
      </c>
      <c r="H176" s="10" t="s">
        <v>154</v>
      </c>
      <c r="I176" s="10" t="s">
        <v>55</v>
      </c>
      <c r="J176" s="66"/>
      <c r="K176" s="10" t="s">
        <v>9704</v>
      </c>
      <c r="L176" s="10" t="s">
        <v>42</v>
      </c>
    </row>
    <row r="177" ht="15.75" customHeight="1">
      <c r="A177" s="66">
        <v>45499.0</v>
      </c>
      <c r="B177" s="55" t="str">
        <f>HYPERLINK("https://jobright.ai/jobs/info/66a3ca1d55a005da42ef58e5?utm_campaign=1052&amp;utm_source=sheet", "Apply")</f>
        <v>Apply</v>
      </c>
      <c r="C177" s="10" t="s">
        <v>9517</v>
      </c>
      <c r="D177" s="56" t="s">
        <v>2938</v>
      </c>
      <c r="E177" s="10" t="s">
        <v>137</v>
      </c>
      <c r="F177" s="10" t="s">
        <v>1949</v>
      </c>
      <c r="G177" s="10" t="s">
        <v>1159</v>
      </c>
      <c r="H177" s="10" t="s">
        <v>153</v>
      </c>
      <c r="I177" s="10" t="s">
        <v>55</v>
      </c>
      <c r="J177" s="66"/>
      <c r="K177" s="10" t="s">
        <v>9704</v>
      </c>
      <c r="L177" s="10" t="s">
        <v>42</v>
      </c>
    </row>
    <row r="178" ht="15.75" customHeight="1">
      <c r="A178" s="66">
        <v>45499.0</v>
      </c>
      <c r="B178" s="55" t="str">
        <f>HYPERLINK("https://jobright.ai/jobs/info/66a3ca1d55a005da42ef58e7?utm_campaign=1052&amp;utm_source=sheet", "Apply")</f>
        <v>Apply</v>
      </c>
      <c r="C178" s="10" t="s">
        <v>9517</v>
      </c>
      <c r="D178" s="56" t="s">
        <v>2938</v>
      </c>
      <c r="E178" s="10" t="s">
        <v>137</v>
      </c>
      <c r="F178" s="10" t="s">
        <v>1949</v>
      </c>
      <c r="G178" s="10" t="s">
        <v>1159</v>
      </c>
      <c r="H178" s="10" t="s">
        <v>882</v>
      </c>
      <c r="I178" s="10" t="s">
        <v>55</v>
      </c>
      <c r="K178" s="10" t="s">
        <v>9704</v>
      </c>
      <c r="L178" s="10" t="s">
        <v>42</v>
      </c>
    </row>
    <row r="179" ht="15.75" customHeight="1">
      <c r="A179" s="66">
        <v>45499.0</v>
      </c>
      <c r="B179" s="55" t="str">
        <f>HYPERLINK("https://jobright.ai/jobs/info/66a3ca1d55a005da42ef58e8?utm_campaign=1052&amp;utm_source=sheet", "Apply")</f>
        <v>Apply</v>
      </c>
      <c r="C179" s="10" t="s">
        <v>9517</v>
      </c>
      <c r="D179" s="56" t="s">
        <v>2938</v>
      </c>
      <c r="E179" s="10" t="s">
        <v>137</v>
      </c>
      <c r="F179" s="10" t="s">
        <v>1949</v>
      </c>
      <c r="G179" s="10" t="s">
        <v>1159</v>
      </c>
      <c r="H179" s="10" t="s">
        <v>1032</v>
      </c>
      <c r="I179" s="10" t="s">
        <v>55</v>
      </c>
      <c r="J179" s="66"/>
      <c r="K179" s="10" t="s">
        <v>9704</v>
      </c>
      <c r="L179" s="10" t="s">
        <v>42</v>
      </c>
    </row>
    <row r="180" ht="15.75" customHeight="1">
      <c r="A180" s="66">
        <v>45499.0</v>
      </c>
      <c r="B180" s="55" t="str">
        <f>HYPERLINK("https://jobright.ai/jobs/info/66a3ca1d55a005da42ef58e9?utm_campaign=1052&amp;utm_source=sheet", "Apply")</f>
        <v>Apply</v>
      </c>
      <c r="C180" s="10" t="s">
        <v>9517</v>
      </c>
      <c r="D180" s="56" t="s">
        <v>2938</v>
      </c>
      <c r="E180" s="10" t="s">
        <v>137</v>
      </c>
      <c r="F180" s="10" t="s">
        <v>1949</v>
      </c>
      <c r="G180" s="10" t="s">
        <v>1159</v>
      </c>
      <c r="H180" s="10" t="s">
        <v>1008</v>
      </c>
      <c r="I180" s="10" t="s">
        <v>55</v>
      </c>
      <c r="K180" s="10" t="s">
        <v>9704</v>
      </c>
      <c r="L180" s="10" t="s">
        <v>42</v>
      </c>
    </row>
    <row r="181" ht="15.75" customHeight="1">
      <c r="A181" s="66">
        <v>45499.0</v>
      </c>
      <c r="B181" s="55" t="str">
        <f>HYPERLINK("https://jobright.ai/jobs/info/66a44cf3c0337974ed54a874?utm_campaign=1052&amp;utm_source=sheet", "Apply")</f>
        <v>Apply</v>
      </c>
      <c r="C181" s="10" t="s">
        <v>9712</v>
      </c>
      <c r="D181" s="56" t="s">
        <v>9430</v>
      </c>
      <c r="E181" s="10" t="s">
        <v>45</v>
      </c>
      <c r="F181" s="10" t="s">
        <v>1084</v>
      </c>
      <c r="G181" s="10" t="s">
        <v>9414</v>
      </c>
      <c r="H181" s="10" t="s">
        <v>153</v>
      </c>
      <c r="I181" s="10" t="s">
        <v>55</v>
      </c>
      <c r="J181" s="10" t="s">
        <v>9440</v>
      </c>
      <c r="K181" s="10" t="s">
        <v>9459</v>
      </c>
      <c r="L181" s="10" t="s">
        <v>42</v>
      </c>
    </row>
    <row r="182" ht="15.75" customHeight="1">
      <c r="A182" s="66">
        <v>45499.0</v>
      </c>
      <c r="B182" s="55" t="str">
        <f>HYPERLINK("https://jobright.ai/jobs/info/66a44cf3c0337974ed54a881?utm_campaign=1052&amp;utm_source=sheet", "Apply")</f>
        <v>Apply</v>
      </c>
      <c r="C182" s="10" t="s">
        <v>9713</v>
      </c>
      <c r="D182" s="56" t="s">
        <v>9430</v>
      </c>
      <c r="E182" s="10" t="s">
        <v>45</v>
      </c>
      <c r="F182" s="10" t="s">
        <v>1084</v>
      </c>
      <c r="G182" s="10" t="s">
        <v>9414</v>
      </c>
      <c r="H182" s="10" t="s">
        <v>153</v>
      </c>
      <c r="I182" s="10" t="s">
        <v>55</v>
      </c>
      <c r="J182" s="66"/>
      <c r="K182" s="10" t="s">
        <v>9714</v>
      </c>
      <c r="L182" s="10" t="s">
        <v>42</v>
      </c>
    </row>
    <row r="183" ht="15.75" customHeight="1">
      <c r="A183" s="66">
        <v>45499.0</v>
      </c>
      <c r="B183" s="55" t="str">
        <f>HYPERLINK("https://jobright.ai/jobs/info/66a44cf3c0337974ed54a870?utm_campaign=1052&amp;utm_source=sheet", "Apply")</f>
        <v>Apply</v>
      </c>
      <c r="C183" s="10" t="s">
        <v>9715</v>
      </c>
      <c r="D183" s="56" t="s">
        <v>9430</v>
      </c>
      <c r="E183" s="10" t="s">
        <v>45</v>
      </c>
      <c r="F183" s="10" t="s">
        <v>1084</v>
      </c>
      <c r="G183" s="10" t="s">
        <v>9414</v>
      </c>
      <c r="H183" s="10" t="s">
        <v>153</v>
      </c>
      <c r="I183" s="10" t="s">
        <v>55</v>
      </c>
      <c r="K183" s="10" t="s">
        <v>9716</v>
      </c>
      <c r="L183" s="10" t="s">
        <v>42</v>
      </c>
    </row>
    <row r="184" ht="15.75" customHeight="1">
      <c r="A184" s="66">
        <v>45499.0</v>
      </c>
      <c r="B184" s="55" t="str">
        <f>HYPERLINK("https://jobright.ai/jobs/info/66a403310d09d8a9054b3b2e?utm_campaign=1052&amp;utm_source=sheet", "Apply")</f>
        <v>Apply</v>
      </c>
      <c r="C184" s="10" t="s">
        <v>9482</v>
      </c>
      <c r="D184" s="56" t="s">
        <v>9483</v>
      </c>
      <c r="E184" s="10" t="s">
        <v>45</v>
      </c>
      <c r="F184" s="10" t="s">
        <v>9484</v>
      </c>
      <c r="G184" s="10" t="s">
        <v>9414</v>
      </c>
      <c r="H184" s="10" t="s">
        <v>9717</v>
      </c>
      <c r="I184" s="10" t="s">
        <v>48</v>
      </c>
      <c r="K184" s="10" t="s">
        <v>9718</v>
      </c>
      <c r="L184" s="10" t="s">
        <v>42</v>
      </c>
    </row>
    <row r="185" ht="15.75" customHeight="1">
      <c r="A185" s="66">
        <v>45499.0</v>
      </c>
      <c r="B185" s="55" t="str">
        <f>HYPERLINK("https://jobright.ai/jobs/info/66a3fd82d61cea1521a470e7?utm_campaign=1052&amp;utm_source=sheet", "Apply")</f>
        <v>Apply</v>
      </c>
      <c r="C185" s="10" t="s">
        <v>9719</v>
      </c>
      <c r="D185" s="56" t="s">
        <v>9720</v>
      </c>
      <c r="E185" s="10" t="s">
        <v>209</v>
      </c>
      <c r="F185" s="10" t="s">
        <v>9721</v>
      </c>
      <c r="G185" s="10" t="s">
        <v>9414</v>
      </c>
      <c r="H185" s="10" t="s">
        <v>278</v>
      </c>
      <c r="I185" s="10" t="s">
        <v>55</v>
      </c>
      <c r="J185" s="10" t="s">
        <v>1960</v>
      </c>
      <c r="K185" s="10" t="s">
        <v>9722</v>
      </c>
      <c r="L185" s="10" t="s">
        <v>42</v>
      </c>
    </row>
    <row r="186" ht="15.75" customHeight="1">
      <c r="A186" s="66">
        <v>45498.0</v>
      </c>
      <c r="B186" s="55" t="str">
        <f>HYPERLINK("https://jobright.ai/jobs/info/66a2ec79367ed95d6cc28497?utm_campaign=1052&amp;utm_source=sheet", "Apply")</f>
        <v>Apply</v>
      </c>
      <c r="C186" s="10" t="s">
        <v>9723</v>
      </c>
      <c r="D186" s="56" t="s">
        <v>9643</v>
      </c>
      <c r="E186" s="10" t="s">
        <v>249</v>
      </c>
      <c r="F186" s="10" t="s">
        <v>534</v>
      </c>
      <c r="G186" s="10" t="s">
        <v>9419</v>
      </c>
      <c r="H186" s="10" t="s">
        <v>911</v>
      </c>
      <c r="I186" s="10" t="s">
        <v>55</v>
      </c>
      <c r="J186" s="66"/>
      <c r="K186" s="10" t="s">
        <v>9724</v>
      </c>
      <c r="L186" s="10" t="s">
        <v>42</v>
      </c>
    </row>
    <row r="187" ht="15.75" customHeight="1">
      <c r="A187" s="66">
        <v>45498.0</v>
      </c>
      <c r="B187" s="55" t="str">
        <f>HYPERLINK("https://jobright.ai/jobs/info/669e39874916b30899b21f73?utm_campaign=1052&amp;utm_source=sheet", "Apply")</f>
        <v>Apply</v>
      </c>
      <c r="C187" s="10" t="s">
        <v>9725</v>
      </c>
      <c r="D187" s="56" t="s">
        <v>9726</v>
      </c>
      <c r="E187" s="10" t="s">
        <v>209</v>
      </c>
      <c r="F187" s="10" t="s">
        <v>9727</v>
      </c>
      <c r="G187" s="10" t="s">
        <v>9414</v>
      </c>
      <c r="H187" s="10" t="s">
        <v>843</v>
      </c>
      <c r="I187" s="10" t="s">
        <v>55</v>
      </c>
      <c r="K187" s="10" t="s">
        <v>9728</v>
      </c>
      <c r="L187" s="10" t="s">
        <v>42</v>
      </c>
    </row>
    <row r="188" ht="15.75" customHeight="1">
      <c r="A188" s="66">
        <v>45498.0</v>
      </c>
      <c r="B188" s="55" t="str">
        <f>HYPERLINK("https://jobright.ai/jobs/info/66a2cbda327455bc297b12b1?utm_campaign=1052&amp;utm_source=sheet", "Apply")</f>
        <v>Apply</v>
      </c>
      <c r="C188" s="10" t="s">
        <v>9729</v>
      </c>
      <c r="D188" s="56" t="s">
        <v>9585</v>
      </c>
      <c r="E188" s="10" t="s">
        <v>65</v>
      </c>
      <c r="F188" s="10" t="s">
        <v>722</v>
      </c>
      <c r="G188" s="10" t="s">
        <v>9419</v>
      </c>
      <c r="H188" s="10" t="s">
        <v>2687</v>
      </c>
      <c r="I188" s="10" t="s">
        <v>55</v>
      </c>
      <c r="J188" s="66"/>
      <c r="K188" s="10" t="s">
        <v>9586</v>
      </c>
      <c r="L188" s="10" t="s">
        <v>42</v>
      </c>
    </row>
    <row r="189" ht="15.75" customHeight="1">
      <c r="A189" s="66">
        <v>45498.0</v>
      </c>
      <c r="B189" s="55" t="str">
        <f>HYPERLINK("https://jobright.ai/jobs/info/66a2cbda327455bc297b12af?utm_campaign=1052&amp;utm_source=sheet", "Apply")</f>
        <v>Apply</v>
      </c>
      <c r="C189" s="10" t="s">
        <v>9730</v>
      </c>
      <c r="D189" s="56" t="s">
        <v>9585</v>
      </c>
      <c r="E189" s="10" t="s">
        <v>65</v>
      </c>
      <c r="F189" s="10" t="s">
        <v>722</v>
      </c>
      <c r="G189" s="10" t="s">
        <v>9419</v>
      </c>
      <c r="H189" s="10" t="s">
        <v>766</v>
      </c>
      <c r="I189" s="10" t="s">
        <v>55</v>
      </c>
      <c r="J189" s="66"/>
      <c r="K189" s="10" t="s">
        <v>9586</v>
      </c>
      <c r="L189" s="10" t="s">
        <v>42</v>
      </c>
    </row>
    <row r="190" ht="15.75" customHeight="1">
      <c r="A190" s="66">
        <v>45498.0</v>
      </c>
      <c r="B190" s="55" t="str">
        <f>HYPERLINK("https://jobright.ai/jobs/info/66a2d63e151114d559652519?utm_campaign=1052&amp;utm_source=sheet", "Apply")</f>
        <v>Apply</v>
      </c>
      <c r="C190" s="10" t="s">
        <v>9731</v>
      </c>
      <c r="D190" s="56" t="s">
        <v>6854</v>
      </c>
      <c r="E190" s="10" t="s">
        <v>45</v>
      </c>
      <c r="F190" s="10" t="s">
        <v>6855</v>
      </c>
      <c r="G190" s="10" t="s">
        <v>1159</v>
      </c>
      <c r="H190" s="10" t="s">
        <v>9732</v>
      </c>
      <c r="I190" s="10" t="s">
        <v>55</v>
      </c>
      <c r="J190" s="66"/>
      <c r="K190" s="10" t="s">
        <v>9733</v>
      </c>
      <c r="L190" s="10" t="s">
        <v>42</v>
      </c>
    </row>
    <row r="191" ht="15.75" customHeight="1">
      <c r="A191" s="66">
        <v>45498.0</v>
      </c>
      <c r="B191" s="55" t="str">
        <f>HYPERLINK("https://jobright.ai/jobs/info/667f904cd2830b52311e02c9?utm_campaign=1052&amp;utm_source=sheet", "Apply")</f>
        <v>Apply</v>
      </c>
      <c r="C191" s="10" t="s">
        <v>9539</v>
      </c>
      <c r="D191" s="56" t="s">
        <v>9508</v>
      </c>
      <c r="E191" s="10" t="s">
        <v>79</v>
      </c>
      <c r="F191" s="10" t="s">
        <v>9509</v>
      </c>
      <c r="G191" s="10" t="s">
        <v>9414</v>
      </c>
      <c r="H191" s="10" t="s">
        <v>146</v>
      </c>
      <c r="I191" s="10" t="s">
        <v>48</v>
      </c>
      <c r="J191" s="66"/>
      <c r="K191" s="10" t="s">
        <v>9734</v>
      </c>
      <c r="L191" s="10" t="s">
        <v>42</v>
      </c>
    </row>
    <row r="192" ht="15.75" customHeight="1">
      <c r="A192" s="66">
        <v>45498.0</v>
      </c>
      <c r="B192" s="55" t="str">
        <f>HYPERLINK("https://jobright.ai/jobs/info/66a2c83bb4785fcea1faf856?utm_campaign=1052&amp;utm_source=sheet", "Apply")</f>
        <v>Apply</v>
      </c>
      <c r="C192" s="10" t="s">
        <v>9735</v>
      </c>
      <c r="D192" s="56" t="s">
        <v>1083</v>
      </c>
      <c r="E192" s="10" t="s">
        <v>209</v>
      </c>
      <c r="F192" s="10" t="s">
        <v>1084</v>
      </c>
      <c r="G192" s="10" t="s">
        <v>9414</v>
      </c>
      <c r="H192" s="10" t="s">
        <v>848</v>
      </c>
      <c r="I192" s="10" t="s">
        <v>48</v>
      </c>
      <c r="J192" s="66"/>
      <c r="K192" s="10" t="s">
        <v>9736</v>
      </c>
      <c r="L192" s="10" t="s">
        <v>42</v>
      </c>
    </row>
    <row r="193" ht="15.75" customHeight="1">
      <c r="A193" s="66">
        <v>45498.0</v>
      </c>
      <c r="B193" s="55" t="str">
        <f>HYPERLINK("https://jobright.ai/jobs/info/667f80f042e63ae5af33eeae?utm_campaign=1052&amp;utm_source=sheet", "Apply")</f>
        <v>Apply</v>
      </c>
      <c r="C193" s="10" t="s">
        <v>9539</v>
      </c>
      <c r="D193" s="56" t="s">
        <v>9508</v>
      </c>
      <c r="E193" s="10" t="s">
        <v>79</v>
      </c>
      <c r="F193" s="10" t="s">
        <v>9509</v>
      </c>
      <c r="G193" s="10" t="s">
        <v>9414</v>
      </c>
      <c r="H193" s="10" t="s">
        <v>144</v>
      </c>
      <c r="I193" s="10" t="s">
        <v>48</v>
      </c>
      <c r="J193" s="66"/>
      <c r="K193" s="10" t="s">
        <v>9734</v>
      </c>
      <c r="L193" s="10" t="s">
        <v>42</v>
      </c>
    </row>
    <row r="194" ht="15.75" customHeight="1">
      <c r="A194" s="66">
        <v>45498.0</v>
      </c>
      <c r="B194" s="55" t="str">
        <f>HYPERLINK("https://jobright.ai/jobs/info/66a2fc2e7d87c2086e260e96?utm_campaign=1052&amp;utm_source=sheet", "Apply")</f>
        <v>Apply</v>
      </c>
      <c r="C194" s="10" t="s">
        <v>9543</v>
      </c>
      <c r="D194" s="56" t="s">
        <v>9508</v>
      </c>
      <c r="E194" s="10" t="s">
        <v>79</v>
      </c>
      <c r="F194" s="10" t="s">
        <v>9509</v>
      </c>
      <c r="G194" s="10" t="s">
        <v>9414</v>
      </c>
      <c r="H194" s="10" t="s">
        <v>170</v>
      </c>
      <c r="I194" s="10" t="s">
        <v>48</v>
      </c>
      <c r="K194" s="10" t="s">
        <v>9544</v>
      </c>
      <c r="L194" s="10" t="s">
        <v>42</v>
      </c>
    </row>
    <row r="195" ht="15.75" customHeight="1">
      <c r="A195" s="66">
        <v>45498.0</v>
      </c>
      <c r="B195" s="55" t="str">
        <f>HYPERLINK("https://jobright.ai/jobs/info/66a3ca1555a005da42ef5830?utm_campaign=1052&amp;utm_source=sheet", "Apply")</f>
        <v>Apply</v>
      </c>
      <c r="C195" s="10" t="s">
        <v>9539</v>
      </c>
      <c r="D195" s="56" t="s">
        <v>9508</v>
      </c>
      <c r="E195" s="10" t="s">
        <v>79</v>
      </c>
      <c r="F195" s="10" t="s">
        <v>9509</v>
      </c>
      <c r="G195" s="10" t="s">
        <v>9414</v>
      </c>
      <c r="H195" s="10" t="s">
        <v>106</v>
      </c>
      <c r="I195" s="10" t="s">
        <v>55</v>
      </c>
      <c r="K195" s="10" t="s">
        <v>9540</v>
      </c>
      <c r="L195" s="10" t="s">
        <v>42</v>
      </c>
    </row>
    <row r="196" ht="15.75" customHeight="1">
      <c r="A196" s="66">
        <v>45498.0</v>
      </c>
      <c r="B196" s="55" t="str">
        <f>HYPERLINK("https://jobright.ai/jobs/info/66a3ca1555a005da42ef5833?utm_campaign=1052&amp;utm_source=sheet", "Apply")</f>
        <v>Apply</v>
      </c>
      <c r="C196" s="10" t="s">
        <v>9543</v>
      </c>
      <c r="D196" s="56" t="s">
        <v>9508</v>
      </c>
      <c r="E196" s="10" t="s">
        <v>79</v>
      </c>
      <c r="F196" s="10" t="s">
        <v>9509</v>
      </c>
      <c r="G196" s="10" t="s">
        <v>9414</v>
      </c>
      <c r="H196" s="10" t="s">
        <v>170</v>
      </c>
      <c r="I196" s="10" t="s">
        <v>55</v>
      </c>
      <c r="J196" s="66"/>
      <c r="K196" s="10" t="s">
        <v>9544</v>
      </c>
      <c r="L196" s="10" t="s">
        <v>42</v>
      </c>
    </row>
    <row r="197" ht="15.75" customHeight="1">
      <c r="A197" s="66">
        <v>45498.0</v>
      </c>
      <c r="B197" s="55" t="str">
        <f>HYPERLINK("https://jobright.ai/jobs/info/66a2c040f775b92df26e379b?utm_campaign=1052&amp;utm_source=sheet", "Apply")</f>
        <v>Apply</v>
      </c>
      <c r="C197" s="10" t="s">
        <v>9737</v>
      </c>
      <c r="D197" s="56" t="s">
        <v>9738</v>
      </c>
      <c r="E197" s="10" t="s">
        <v>65</v>
      </c>
      <c r="F197" s="10" t="s">
        <v>9739</v>
      </c>
      <c r="G197" s="10" t="s">
        <v>9414</v>
      </c>
      <c r="H197" s="10" t="s">
        <v>1254</v>
      </c>
      <c r="I197" s="10" t="s">
        <v>48</v>
      </c>
      <c r="J197" s="10" t="s">
        <v>9740</v>
      </c>
      <c r="K197" s="10" t="s">
        <v>9741</v>
      </c>
      <c r="L197" s="10" t="s">
        <v>42</v>
      </c>
    </row>
    <row r="198" ht="15.75" customHeight="1">
      <c r="A198" s="66">
        <v>45498.0</v>
      </c>
      <c r="B198" s="55" t="str">
        <f>HYPERLINK("https://jobright.ai/jobs/info/66a2e32c621b00551f362c79?utm_campaign=1052&amp;utm_source=sheet", "Apply")</f>
        <v>Apply</v>
      </c>
      <c r="C198" s="10" t="s">
        <v>9539</v>
      </c>
      <c r="D198" s="56" t="s">
        <v>9508</v>
      </c>
      <c r="E198" s="10" t="s">
        <v>79</v>
      </c>
      <c r="F198" s="10" t="s">
        <v>9509</v>
      </c>
      <c r="G198" s="10" t="s">
        <v>9414</v>
      </c>
      <c r="H198" s="10" t="s">
        <v>106</v>
      </c>
      <c r="I198" s="10" t="s">
        <v>48</v>
      </c>
      <c r="J198" s="66"/>
      <c r="K198" s="10" t="s">
        <v>9540</v>
      </c>
      <c r="L198" s="10" t="s">
        <v>42</v>
      </c>
    </row>
    <row r="199" ht="15.75" customHeight="1">
      <c r="A199" s="66">
        <v>45498.0</v>
      </c>
      <c r="B199" s="55" t="str">
        <f>HYPERLINK("https://jobright.ai/jobs/info/66a2cfdb11da4cbed19748d2?utm_campaign=1052&amp;utm_source=sheet", "Apply")</f>
        <v>Apply</v>
      </c>
      <c r="C199" s="10" t="s">
        <v>9539</v>
      </c>
      <c r="D199" s="56" t="s">
        <v>9508</v>
      </c>
      <c r="E199" s="10" t="s">
        <v>79</v>
      </c>
      <c r="F199" s="10" t="s">
        <v>9509</v>
      </c>
      <c r="G199" s="10" t="s">
        <v>9414</v>
      </c>
      <c r="H199" s="10" t="s">
        <v>170</v>
      </c>
      <c r="I199" s="10" t="s">
        <v>48</v>
      </c>
      <c r="K199" s="10" t="s">
        <v>9540</v>
      </c>
      <c r="L199" s="10" t="s">
        <v>42</v>
      </c>
    </row>
    <row r="200" ht="15.75" customHeight="1">
      <c r="A200" s="66">
        <v>45498.0</v>
      </c>
      <c r="B200" s="55" t="str">
        <f>HYPERLINK("https://jobright.ai/jobs/info/66a2cff111da4cbed1974b31?utm_campaign=1052&amp;utm_source=sheet", "Apply")</f>
        <v>Apply</v>
      </c>
      <c r="C200" s="10" t="s">
        <v>9539</v>
      </c>
      <c r="D200" s="56" t="s">
        <v>9508</v>
      </c>
      <c r="E200" s="10" t="s">
        <v>79</v>
      </c>
      <c r="F200" s="10" t="s">
        <v>9509</v>
      </c>
      <c r="G200" s="10" t="s">
        <v>9414</v>
      </c>
      <c r="H200" s="10" t="s">
        <v>434</v>
      </c>
      <c r="I200" s="10" t="s">
        <v>48</v>
      </c>
      <c r="J200" s="66"/>
      <c r="K200" s="10" t="s">
        <v>9540</v>
      </c>
      <c r="L200" s="10" t="s">
        <v>42</v>
      </c>
    </row>
    <row r="201" ht="15.75" customHeight="1">
      <c r="A201" s="66">
        <v>45498.0</v>
      </c>
      <c r="B201" s="55" t="str">
        <f>HYPERLINK("https://jobright.ai/jobs/info/66a3ca1d55a005da42ef585a?utm_campaign=1052&amp;utm_source=sheet", "Apply")</f>
        <v>Apply</v>
      </c>
      <c r="C201" s="10" t="s">
        <v>9539</v>
      </c>
      <c r="D201" s="56" t="s">
        <v>9508</v>
      </c>
      <c r="E201" s="10" t="s">
        <v>79</v>
      </c>
      <c r="F201" s="10" t="s">
        <v>9509</v>
      </c>
      <c r="G201" s="10" t="s">
        <v>9414</v>
      </c>
      <c r="H201" s="10" t="s">
        <v>170</v>
      </c>
      <c r="I201" s="10" t="s">
        <v>55</v>
      </c>
      <c r="J201" s="66"/>
      <c r="K201" s="10" t="s">
        <v>9540</v>
      </c>
      <c r="L201" s="10" t="s">
        <v>42</v>
      </c>
    </row>
    <row r="202" ht="15.75" customHeight="1">
      <c r="A202" s="66">
        <v>45498.0</v>
      </c>
      <c r="B202" s="55" t="str">
        <f>HYPERLINK("https://jobright.ai/jobs/info/66a2db740b81b41946d363db?utm_campaign=1052&amp;utm_source=sheet", "Apply")</f>
        <v>Apply</v>
      </c>
      <c r="C202" s="10" t="s">
        <v>9539</v>
      </c>
      <c r="D202" s="56" t="s">
        <v>9508</v>
      </c>
      <c r="E202" s="10" t="s">
        <v>79</v>
      </c>
      <c r="F202" s="10" t="s">
        <v>9509</v>
      </c>
      <c r="G202" s="10" t="s">
        <v>9414</v>
      </c>
      <c r="H202" s="10" t="s">
        <v>423</v>
      </c>
      <c r="I202" s="10" t="s">
        <v>48</v>
      </c>
      <c r="J202" s="66"/>
      <c r="K202" s="10" t="s">
        <v>9540</v>
      </c>
      <c r="L202" s="10" t="s">
        <v>42</v>
      </c>
    </row>
    <row r="203" ht="15.75" customHeight="1">
      <c r="A203" s="66">
        <v>45498.0</v>
      </c>
      <c r="B203" s="55" t="str">
        <f>HYPERLINK("https://jobright.ai/jobs/info/66a2db740b81b41946d363dd?utm_campaign=1052&amp;utm_source=sheet", "Apply")</f>
        <v>Apply</v>
      </c>
      <c r="C203" s="10" t="s">
        <v>9539</v>
      </c>
      <c r="D203" s="56" t="s">
        <v>9508</v>
      </c>
      <c r="E203" s="10" t="s">
        <v>79</v>
      </c>
      <c r="F203" s="10" t="s">
        <v>9509</v>
      </c>
      <c r="G203" s="10" t="s">
        <v>9414</v>
      </c>
      <c r="H203" s="10" t="s">
        <v>165</v>
      </c>
      <c r="I203" s="10" t="s">
        <v>48</v>
      </c>
      <c r="J203" s="66"/>
      <c r="K203" s="10" t="s">
        <v>9540</v>
      </c>
      <c r="L203" s="10" t="s">
        <v>42</v>
      </c>
    </row>
    <row r="204" ht="15.75" customHeight="1">
      <c r="A204" s="66">
        <v>45498.0</v>
      </c>
      <c r="B204" s="55" t="str">
        <f>HYPERLINK("https://jobright.ai/jobs/info/66a2c4de3b534eca8d58b7cf?utm_campaign=1052&amp;utm_source=sheet", "Apply")</f>
        <v>Apply</v>
      </c>
      <c r="C204" s="10" t="s">
        <v>9507</v>
      </c>
      <c r="D204" s="56" t="s">
        <v>9508</v>
      </c>
      <c r="E204" s="10" t="s">
        <v>79</v>
      </c>
      <c r="F204" s="10" t="s">
        <v>9509</v>
      </c>
      <c r="G204" s="10" t="s">
        <v>9414</v>
      </c>
      <c r="H204" s="10" t="s">
        <v>146</v>
      </c>
      <c r="I204" s="10" t="s">
        <v>48</v>
      </c>
      <c r="J204" s="66"/>
      <c r="K204" s="10" t="s">
        <v>9510</v>
      </c>
      <c r="L204" s="10" t="s">
        <v>42</v>
      </c>
    </row>
    <row r="205" ht="15.75" customHeight="1">
      <c r="A205" s="66">
        <v>45498.0</v>
      </c>
      <c r="B205" s="55" t="str">
        <f>HYPERLINK("https://jobright.ai/jobs/info/66a2c4de3b534eca8d58b7d1?utm_campaign=1052&amp;utm_source=sheet", "Apply")</f>
        <v>Apply</v>
      </c>
      <c r="C205" s="10" t="s">
        <v>9507</v>
      </c>
      <c r="D205" s="56" t="s">
        <v>9508</v>
      </c>
      <c r="E205" s="10" t="s">
        <v>79</v>
      </c>
      <c r="F205" s="10" t="s">
        <v>9509</v>
      </c>
      <c r="G205" s="10" t="s">
        <v>9414</v>
      </c>
      <c r="H205" s="10" t="s">
        <v>106</v>
      </c>
      <c r="I205" s="10" t="s">
        <v>48</v>
      </c>
      <c r="K205" s="10" t="s">
        <v>9510</v>
      </c>
      <c r="L205" s="10" t="s">
        <v>42</v>
      </c>
    </row>
    <row r="206" ht="15.75" customHeight="1">
      <c r="A206" s="66">
        <v>45498.0</v>
      </c>
      <c r="B206" s="55" t="str">
        <f>HYPERLINK("https://jobright.ai/jobs/info/66a2c147bdefedf6c0ade276?utm_campaign=1052&amp;utm_source=sheet", "Apply")</f>
        <v>Apply</v>
      </c>
      <c r="C206" s="10" t="s">
        <v>9742</v>
      </c>
      <c r="D206" s="56" t="s">
        <v>9743</v>
      </c>
      <c r="E206" s="10" t="s">
        <v>45</v>
      </c>
      <c r="F206" s="10" t="s">
        <v>1695</v>
      </c>
      <c r="G206" s="10" t="s">
        <v>9414</v>
      </c>
      <c r="H206" s="10" t="s">
        <v>359</v>
      </c>
      <c r="I206" s="10" t="s">
        <v>55</v>
      </c>
      <c r="K206" s="10" t="s">
        <v>9744</v>
      </c>
      <c r="L206" s="10" t="s">
        <v>42</v>
      </c>
    </row>
    <row r="207" ht="15.75" customHeight="1">
      <c r="A207" s="66">
        <v>45498.0</v>
      </c>
      <c r="B207" s="55" t="str">
        <f>HYPERLINK("https://jobright.ai/jobs/info/66a29edcc88aa14ad49adedc?utm_campaign=1052&amp;utm_source=sheet", "Apply")</f>
        <v>Apply</v>
      </c>
      <c r="C207" s="10" t="s">
        <v>9745</v>
      </c>
      <c r="D207" s="56" t="s">
        <v>9746</v>
      </c>
      <c r="E207" s="10" t="s">
        <v>45</v>
      </c>
      <c r="F207" s="10" t="s">
        <v>9747</v>
      </c>
      <c r="G207" s="10" t="s">
        <v>9414</v>
      </c>
      <c r="H207" s="10" t="s">
        <v>9748</v>
      </c>
      <c r="I207" s="10" t="s">
        <v>55</v>
      </c>
      <c r="J207" s="10" t="s">
        <v>260</v>
      </c>
      <c r="K207" s="10" t="s">
        <v>9749</v>
      </c>
      <c r="L207" s="10" t="s">
        <v>42</v>
      </c>
    </row>
    <row r="208" ht="15.75" customHeight="1">
      <c r="A208" s="66">
        <v>45498.0</v>
      </c>
      <c r="B208" s="55" t="str">
        <f>HYPERLINK("https://jobright.ai/jobs/info/66a29929d090d41dcbafd481?utm_campaign=1052&amp;utm_source=sheet", "Apply")</f>
        <v>Apply</v>
      </c>
      <c r="C208" s="10" t="s">
        <v>9750</v>
      </c>
      <c r="D208" s="56" t="s">
        <v>9751</v>
      </c>
      <c r="E208" s="10" t="s">
        <v>249</v>
      </c>
      <c r="F208" s="10" t="s">
        <v>2617</v>
      </c>
      <c r="G208" s="10" t="s">
        <v>1159</v>
      </c>
      <c r="H208" s="10" t="s">
        <v>1007</v>
      </c>
      <c r="I208" s="10" t="s">
        <v>48</v>
      </c>
      <c r="K208" s="10" t="s">
        <v>9752</v>
      </c>
      <c r="L208" s="10" t="s">
        <v>42</v>
      </c>
    </row>
    <row r="209" ht="15.75" customHeight="1">
      <c r="A209" s="66">
        <v>45498.0</v>
      </c>
      <c r="B209" s="55" t="str">
        <f>HYPERLINK("https://jobright.ai/jobs/info/66a287bf31bab1b5572d4f0b?utm_campaign=1052&amp;utm_source=sheet", "Apply")</f>
        <v>Apply</v>
      </c>
      <c r="C209" s="10" t="s">
        <v>9753</v>
      </c>
      <c r="D209" s="56" t="s">
        <v>1496</v>
      </c>
      <c r="E209" s="10" t="s">
        <v>45</v>
      </c>
      <c r="F209" s="10" t="s">
        <v>1497</v>
      </c>
      <c r="G209" s="10" t="s">
        <v>9419</v>
      </c>
      <c r="H209" s="10" t="s">
        <v>96</v>
      </c>
      <c r="I209" s="10" t="s">
        <v>55</v>
      </c>
      <c r="J209" s="66"/>
      <c r="K209" s="10" t="s">
        <v>9754</v>
      </c>
      <c r="L209" s="10" t="s">
        <v>42</v>
      </c>
    </row>
    <row r="210" ht="15.75" customHeight="1">
      <c r="A210" s="66">
        <v>45498.0</v>
      </c>
      <c r="B210" s="55" t="str">
        <f>HYPERLINK("https://jobright.ai/jobs/info/66a28ad083c567e434299b61?utm_campaign=1052&amp;utm_source=sheet", "Apply")</f>
        <v>Apply</v>
      </c>
      <c r="C210" s="10" t="s">
        <v>9753</v>
      </c>
      <c r="D210" s="56" t="s">
        <v>1496</v>
      </c>
      <c r="E210" s="10" t="s">
        <v>45</v>
      </c>
      <c r="F210" s="10" t="s">
        <v>1497</v>
      </c>
      <c r="G210" s="10" t="s">
        <v>9419</v>
      </c>
      <c r="H210" s="10" t="s">
        <v>170</v>
      </c>
      <c r="I210" s="10" t="s">
        <v>55</v>
      </c>
      <c r="J210" s="66"/>
      <c r="K210" s="10" t="s">
        <v>9754</v>
      </c>
      <c r="L210" s="10" t="s">
        <v>42</v>
      </c>
    </row>
    <row r="211" ht="15.75" customHeight="1">
      <c r="A211" s="66">
        <v>45498.0</v>
      </c>
      <c r="B211" s="55" t="str">
        <f>HYPERLINK("https://jobright.ai/jobs/info/66a287bf31bab1b5572d4f16?utm_campaign=1052&amp;utm_source=sheet", "Apply")</f>
        <v>Apply</v>
      </c>
      <c r="C211" s="10" t="s">
        <v>9755</v>
      </c>
      <c r="D211" s="56" t="s">
        <v>9430</v>
      </c>
      <c r="E211" s="10" t="s">
        <v>45</v>
      </c>
      <c r="F211" s="10" t="s">
        <v>1084</v>
      </c>
      <c r="G211" s="10" t="s">
        <v>9419</v>
      </c>
      <c r="H211" s="10" t="s">
        <v>153</v>
      </c>
      <c r="I211" s="10" t="s">
        <v>55</v>
      </c>
      <c r="K211" s="10" t="s">
        <v>9756</v>
      </c>
      <c r="L211" s="10" t="s">
        <v>42</v>
      </c>
    </row>
    <row r="212" ht="15.75" customHeight="1">
      <c r="A212" s="66">
        <v>45498.0</v>
      </c>
      <c r="B212" s="55" t="str">
        <f>HYPERLINK("https://jobright.ai/jobs/info/66a287bf31bab1b5572d4f1c?utm_campaign=1052&amp;utm_source=sheet", "Apply")</f>
        <v>Apply</v>
      </c>
      <c r="C212" s="10" t="s">
        <v>9757</v>
      </c>
      <c r="D212" s="56" t="s">
        <v>9430</v>
      </c>
      <c r="E212" s="10" t="s">
        <v>45</v>
      </c>
      <c r="F212" s="10" t="s">
        <v>1084</v>
      </c>
      <c r="G212" s="10" t="s">
        <v>9419</v>
      </c>
      <c r="H212" s="10" t="s">
        <v>154</v>
      </c>
      <c r="I212" s="10" t="s">
        <v>55</v>
      </c>
      <c r="J212" s="66"/>
      <c r="K212" s="10" t="s">
        <v>9756</v>
      </c>
      <c r="L212" s="10" t="s">
        <v>42</v>
      </c>
    </row>
    <row r="213" ht="15.75" customHeight="1">
      <c r="A213" s="66">
        <v>45498.0</v>
      </c>
      <c r="B213" s="55" t="str">
        <f>HYPERLINK("https://jobright.ai/jobs/info/66a3e1a2fa1e56eccb8f57d5?utm_campaign=1052&amp;utm_source=sheet", "Apply")</f>
        <v>Apply</v>
      </c>
      <c r="C213" s="10" t="s">
        <v>9758</v>
      </c>
      <c r="D213" s="58" t="s">
        <v>1572</v>
      </c>
      <c r="E213" s="10" t="s">
        <v>249</v>
      </c>
      <c r="F213" s="10" t="s">
        <v>1573</v>
      </c>
      <c r="G213" s="10" t="s">
        <v>9414</v>
      </c>
      <c r="H213" s="10" t="s">
        <v>106</v>
      </c>
      <c r="I213" s="10" t="s">
        <v>48</v>
      </c>
      <c r="K213" s="10" t="s">
        <v>9759</v>
      </c>
      <c r="L213" s="10" t="s">
        <v>42</v>
      </c>
    </row>
    <row r="214" ht="15.75" customHeight="1">
      <c r="A214" s="66">
        <v>45498.0</v>
      </c>
      <c r="B214" s="55" t="str">
        <f>HYPERLINK("https://jobright.ai/jobs/info/66a2889fa17d71951ed687bf?utm_campaign=1052&amp;utm_source=sheet", "Apply")</f>
        <v>Apply</v>
      </c>
      <c r="C214" s="10" t="s">
        <v>9760</v>
      </c>
      <c r="D214" s="56" t="s">
        <v>9761</v>
      </c>
      <c r="E214" s="10" t="s">
        <v>45</v>
      </c>
      <c r="F214" s="10" t="s">
        <v>2534</v>
      </c>
      <c r="G214" s="10" t="s">
        <v>9414</v>
      </c>
      <c r="H214" s="10" t="s">
        <v>898</v>
      </c>
      <c r="I214" s="10" t="s">
        <v>55</v>
      </c>
      <c r="K214" s="10" t="s">
        <v>9762</v>
      </c>
      <c r="L214" s="10" t="s">
        <v>42</v>
      </c>
    </row>
    <row r="215" ht="15.75" customHeight="1">
      <c r="A215" s="66">
        <v>45498.0</v>
      </c>
      <c r="B215" s="55" t="str">
        <f>HYPERLINK("https://jobright.ai/jobs/info/66a3dac89f1d4690f1a40de0?utm_campaign=1052&amp;utm_source=sheet", "Apply")</f>
        <v>Apply</v>
      </c>
      <c r="C215" s="10" t="s">
        <v>9763</v>
      </c>
      <c r="D215" s="56" t="s">
        <v>1094</v>
      </c>
      <c r="E215" s="10" t="s">
        <v>45</v>
      </c>
      <c r="F215" s="10" t="s">
        <v>731</v>
      </c>
      <c r="G215" s="10" t="s">
        <v>9414</v>
      </c>
      <c r="H215" s="10" t="s">
        <v>153</v>
      </c>
      <c r="I215" s="10" t="s">
        <v>55</v>
      </c>
      <c r="K215" s="10" t="s">
        <v>9764</v>
      </c>
      <c r="L215" s="10" t="s">
        <v>42</v>
      </c>
    </row>
    <row r="216" ht="15.75" customHeight="1">
      <c r="A216" s="66">
        <v>45498.0</v>
      </c>
      <c r="B216" s="55" t="str">
        <f>HYPERLINK("https://jobright.ai/jobs/info/66a278ce1cd865f3973486d3?utm_campaign=1052&amp;utm_source=sheet", "Apply")</f>
        <v>Apply</v>
      </c>
      <c r="C216" s="10" t="s">
        <v>9765</v>
      </c>
      <c r="D216" s="56" t="s">
        <v>363</v>
      </c>
      <c r="E216" s="10" t="s">
        <v>209</v>
      </c>
      <c r="F216" s="10" t="s">
        <v>364</v>
      </c>
      <c r="G216" s="10" t="s">
        <v>9419</v>
      </c>
      <c r="H216" s="10" t="s">
        <v>365</v>
      </c>
      <c r="I216" s="10" t="s">
        <v>55</v>
      </c>
      <c r="J216" s="10" t="s">
        <v>581</v>
      </c>
      <c r="K216" s="10" t="s">
        <v>9766</v>
      </c>
      <c r="L216" s="10" t="s">
        <v>42</v>
      </c>
    </row>
    <row r="217" ht="15.75" customHeight="1">
      <c r="A217" s="66">
        <v>45498.0</v>
      </c>
      <c r="B217" s="55" t="str">
        <f>HYPERLINK("https://jobright.ai/jobs/info/66a2ae26374aae0bd085fc01?utm_campaign=1052&amp;utm_source=sheet", "Apply")</f>
        <v>Apply</v>
      </c>
      <c r="C217" s="10" t="s">
        <v>9767</v>
      </c>
      <c r="D217" s="56" t="s">
        <v>1657</v>
      </c>
      <c r="E217" s="10" t="s">
        <v>79</v>
      </c>
      <c r="F217" s="10" t="s">
        <v>10</v>
      </c>
      <c r="G217" s="10" t="s">
        <v>1159</v>
      </c>
      <c r="H217" s="10" t="s">
        <v>113</v>
      </c>
      <c r="I217" s="10" t="s">
        <v>55</v>
      </c>
      <c r="K217" s="10" t="s">
        <v>9768</v>
      </c>
      <c r="L217" s="10" t="s">
        <v>42</v>
      </c>
    </row>
    <row r="218" ht="15.75" customHeight="1">
      <c r="A218" s="66">
        <v>45498.0</v>
      </c>
      <c r="B218" s="55" t="str">
        <f>HYPERLINK("https://jobright.ai/jobs/info/66a2ae26374aae0bd085fc0a?utm_campaign=1052&amp;utm_source=sheet", "Apply")</f>
        <v>Apply</v>
      </c>
      <c r="C218" s="10" t="s">
        <v>9767</v>
      </c>
      <c r="D218" s="56" t="s">
        <v>1657</v>
      </c>
      <c r="E218" s="10" t="s">
        <v>79</v>
      </c>
      <c r="F218" s="10" t="s">
        <v>10</v>
      </c>
      <c r="G218" s="10" t="s">
        <v>1159</v>
      </c>
      <c r="H218" s="10" t="s">
        <v>154</v>
      </c>
      <c r="I218" s="10" t="s">
        <v>55</v>
      </c>
      <c r="K218" s="10" t="s">
        <v>9768</v>
      </c>
      <c r="L218" s="10" t="s">
        <v>42</v>
      </c>
    </row>
    <row r="219" ht="15.75" customHeight="1">
      <c r="A219" s="66">
        <v>45498.0</v>
      </c>
      <c r="B219" s="55" t="str">
        <f>HYPERLINK("https://jobright.ai/jobs/info/66a2ae26374aae0bd085fc0f?utm_campaign=1052&amp;utm_source=sheet", "Apply")</f>
        <v>Apply</v>
      </c>
      <c r="C219" s="10" t="s">
        <v>9769</v>
      </c>
      <c r="D219" s="56" t="s">
        <v>1657</v>
      </c>
      <c r="E219" s="10" t="s">
        <v>79</v>
      </c>
      <c r="F219" s="10" t="s">
        <v>10</v>
      </c>
      <c r="G219" s="10" t="s">
        <v>1159</v>
      </c>
      <c r="H219" s="10" t="s">
        <v>1013</v>
      </c>
      <c r="I219" s="10" t="s">
        <v>55</v>
      </c>
      <c r="K219" s="10" t="s">
        <v>9768</v>
      </c>
      <c r="L219" s="10" t="s">
        <v>42</v>
      </c>
    </row>
    <row r="220" ht="15.75" customHeight="1">
      <c r="A220" s="66">
        <v>45498.0</v>
      </c>
      <c r="B220" s="55" t="str">
        <f>HYPERLINK("https://jobright.ai/jobs/info/66a2ae26374aae0bd085fc1e?utm_campaign=1052&amp;utm_source=sheet", "Apply")</f>
        <v>Apply</v>
      </c>
      <c r="C220" s="10" t="s">
        <v>9767</v>
      </c>
      <c r="D220" s="56" t="s">
        <v>1657</v>
      </c>
      <c r="E220" s="10" t="s">
        <v>79</v>
      </c>
      <c r="F220" s="10" t="s">
        <v>10</v>
      </c>
      <c r="G220" s="10" t="s">
        <v>1159</v>
      </c>
      <c r="H220" s="10" t="s">
        <v>434</v>
      </c>
      <c r="I220" s="10" t="s">
        <v>55</v>
      </c>
      <c r="J220" s="10" t="s">
        <v>9770</v>
      </c>
      <c r="K220" s="10" t="s">
        <v>9768</v>
      </c>
      <c r="L220" s="10" t="s">
        <v>42</v>
      </c>
    </row>
    <row r="221" ht="15.75" customHeight="1">
      <c r="A221" s="66">
        <v>45498.0</v>
      </c>
      <c r="B221" s="55" t="str">
        <f>HYPERLINK("https://jobright.ai/jobs/info/66a2ae26374aae0bd085fc17?utm_campaign=1052&amp;utm_source=sheet", "Apply")</f>
        <v>Apply</v>
      </c>
      <c r="C221" s="10" t="s">
        <v>9767</v>
      </c>
      <c r="D221" s="56" t="s">
        <v>1657</v>
      </c>
      <c r="E221" s="10" t="s">
        <v>79</v>
      </c>
      <c r="F221" s="10" t="s">
        <v>10</v>
      </c>
      <c r="G221" s="10" t="s">
        <v>1159</v>
      </c>
      <c r="H221" s="10" t="s">
        <v>965</v>
      </c>
      <c r="I221" s="10" t="s">
        <v>55</v>
      </c>
      <c r="K221" s="10" t="s">
        <v>9768</v>
      </c>
      <c r="L221" s="10" t="s">
        <v>42</v>
      </c>
    </row>
    <row r="222" ht="15.75" customHeight="1">
      <c r="A222" s="66">
        <v>45498.0</v>
      </c>
      <c r="B222" s="55" t="str">
        <f>HYPERLINK("https://jobright.ai/jobs/info/66a26d5f41a048df2066595f?utm_campaign=1052&amp;utm_source=sheet", "Apply")</f>
        <v>Apply</v>
      </c>
      <c r="C222" s="10" t="s">
        <v>9731</v>
      </c>
      <c r="D222" s="56" t="s">
        <v>6854</v>
      </c>
      <c r="E222" s="10" t="s">
        <v>45</v>
      </c>
      <c r="F222" s="10" t="s">
        <v>6855</v>
      </c>
      <c r="G222" s="10" t="s">
        <v>1159</v>
      </c>
      <c r="H222" s="10" t="s">
        <v>113</v>
      </c>
      <c r="I222" s="10" t="s">
        <v>55</v>
      </c>
      <c r="K222" s="10" t="s">
        <v>9733</v>
      </c>
      <c r="L222" s="10" t="s">
        <v>42</v>
      </c>
    </row>
    <row r="223" ht="15.75" customHeight="1">
      <c r="A223" s="66">
        <v>45498.0</v>
      </c>
      <c r="B223" s="55" t="str">
        <f>HYPERLINK("https://jobright.ai/jobs/info/66a2657a8450fad8aa49d291?utm_campaign=1052&amp;utm_source=sheet", "Apply")</f>
        <v>Apply</v>
      </c>
      <c r="C223" s="10" t="s">
        <v>9771</v>
      </c>
      <c r="D223" s="56" t="s">
        <v>9772</v>
      </c>
      <c r="E223" s="10">
        <v>78.0</v>
      </c>
      <c r="G223" s="10" t="s">
        <v>9414</v>
      </c>
      <c r="H223" s="10" t="s">
        <v>9773</v>
      </c>
      <c r="I223" s="10" t="s">
        <v>55</v>
      </c>
      <c r="K223" s="10" t="s">
        <v>9774</v>
      </c>
      <c r="L223" s="10" t="s">
        <v>42</v>
      </c>
    </row>
    <row r="224" ht="15.75" customHeight="1">
      <c r="A224" s="66">
        <v>45498.0</v>
      </c>
      <c r="B224" s="55" t="str">
        <f>HYPERLINK("https://jobright.ai/jobs/info/66a2b37c4f4afedd111034f1?utm_campaign=1052&amp;utm_source=sheet", "Apply")</f>
        <v>Apply</v>
      </c>
      <c r="C224" s="10" t="s">
        <v>9767</v>
      </c>
      <c r="D224" s="56" t="s">
        <v>1657</v>
      </c>
      <c r="E224" s="10" t="s">
        <v>79</v>
      </c>
      <c r="F224" s="10" t="s">
        <v>10</v>
      </c>
      <c r="G224" s="10" t="s">
        <v>1159</v>
      </c>
      <c r="H224" s="10" t="s">
        <v>73</v>
      </c>
      <c r="I224" s="10" t="s">
        <v>55</v>
      </c>
      <c r="K224" s="10" t="s">
        <v>9768</v>
      </c>
      <c r="L224" s="10" t="s">
        <v>42</v>
      </c>
    </row>
    <row r="225" ht="15.75" customHeight="1">
      <c r="A225" s="66">
        <v>45498.0</v>
      </c>
      <c r="B225" s="55" t="str">
        <f>HYPERLINK("https://jobright.ai/jobs/info/66a2b37c4f4afedd111034fd?utm_campaign=1052&amp;utm_source=sheet", "Apply")</f>
        <v>Apply</v>
      </c>
      <c r="C225" s="10" t="s">
        <v>9767</v>
      </c>
      <c r="D225" s="56" t="s">
        <v>1657</v>
      </c>
      <c r="E225" s="10" t="s">
        <v>79</v>
      </c>
      <c r="F225" s="10" t="s">
        <v>10</v>
      </c>
      <c r="G225" s="10" t="s">
        <v>1159</v>
      </c>
      <c r="H225" s="10" t="s">
        <v>411</v>
      </c>
      <c r="I225" s="10" t="s">
        <v>55</v>
      </c>
      <c r="K225" s="10" t="s">
        <v>9768</v>
      </c>
      <c r="L225" s="10" t="s">
        <v>42</v>
      </c>
    </row>
    <row r="226" ht="15.75" customHeight="1">
      <c r="A226" s="66">
        <v>45498.0</v>
      </c>
      <c r="B226" s="55" t="str">
        <f>HYPERLINK("https://jobright.ai/jobs/info/66a2b37c4f4afedd111034f8?utm_campaign=1052&amp;utm_source=sheet", "Apply")</f>
        <v>Apply</v>
      </c>
      <c r="C226" s="10" t="s">
        <v>9767</v>
      </c>
      <c r="D226" s="56" t="s">
        <v>1657</v>
      </c>
      <c r="E226" s="10" t="s">
        <v>79</v>
      </c>
      <c r="F226" s="10" t="s">
        <v>10</v>
      </c>
      <c r="G226" s="10" t="s">
        <v>1159</v>
      </c>
      <c r="H226" s="10" t="s">
        <v>159</v>
      </c>
      <c r="I226" s="10" t="s">
        <v>55</v>
      </c>
      <c r="K226" s="10" t="s">
        <v>9768</v>
      </c>
      <c r="L226" s="10" t="s">
        <v>42</v>
      </c>
    </row>
    <row r="227" ht="15.75" customHeight="1">
      <c r="A227" s="66">
        <v>45498.0</v>
      </c>
      <c r="B227" s="55" t="str">
        <f>HYPERLINK("https://jobright.ai/jobs/info/66a2b37c4f4afedd1110350a?utm_campaign=1052&amp;utm_source=sheet", "Apply")</f>
        <v>Apply</v>
      </c>
      <c r="C227" s="10" t="s">
        <v>9767</v>
      </c>
      <c r="D227" s="56" t="s">
        <v>1657</v>
      </c>
      <c r="E227" s="10" t="s">
        <v>79</v>
      </c>
      <c r="F227" s="10" t="s">
        <v>10</v>
      </c>
      <c r="G227" s="10" t="s">
        <v>1159</v>
      </c>
      <c r="H227" s="10" t="s">
        <v>96</v>
      </c>
      <c r="I227" s="10" t="s">
        <v>55</v>
      </c>
      <c r="J227" s="10" t="s">
        <v>9770</v>
      </c>
      <c r="K227" s="10" t="s">
        <v>9768</v>
      </c>
      <c r="L227" s="10" t="s">
        <v>42</v>
      </c>
    </row>
    <row r="228" ht="15.75" customHeight="1">
      <c r="A228" s="66">
        <v>45498.0</v>
      </c>
      <c r="B228" s="55" t="str">
        <f>HYPERLINK("https://jobright.ai/jobs/info/66a2bf63915788496ad37c92?utm_campaign=1052&amp;utm_source=sheet", "Apply")</f>
        <v>Apply</v>
      </c>
      <c r="C228" s="10" t="s">
        <v>9767</v>
      </c>
      <c r="D228" s="56" t="s">
        <v>1657</v>
      </c>
      <c r="E228" s="10" t="s">
        <v>79</v>
      </c>
      <c r="F228" s="10" t="s">
        <v>10</v>
      </c>
      <c r="G228" s="10" t="s">
        <v>1159</v>
      </c>
      <c r="H228" s="10" t="s">
        <v>165</v>
      </c>
      <c r="I228" s="10" t="s">
        <v>55</v>
      </c>
      <c r="J228" s="10" t="s">
        <v>9770</v>
      </c>
      <c r="K228" s="10" t="s">
        <v>9768</v>
      </c>
      <c r="L228" s="10" t="s">
        <v>42</v>
      </c>
    </row>
    <row r="229" ht="15.75" customHeight="1">
      <c r="A229" s="66">
        <v>45498.0</v>
      </c>
      <c r="B229" s="55" t="str">
        <f>HYPERLINK("https://jobright.ai/jobs/info/66a3e1a2fa1e56eccb8f57ee?utm_campaign=1052&amp;utm_source=sheet", "Apply")</f>
        <v>Apply</v>
      </c>
      <c r="C229" s="10" t="s">
        <v>9775</v>
      </c>
      <c r="D229" s="56" t="s">
        <v>1094</v>
      </c>
      <c r="E229" s="10" t="s">
        <v>45</v>
      </c>
      <c r="F229" s="10" t="s">
        <v>731</v>
      </c>
      <c r="G229" s="10" t="s">
        <v>9414</v>
      </c>
      <c r="H229" s="10" t="s">
        <v>96</v>
      </c>
      <c r="I229" s="10" t="s">
        <v>55</v>
      </c>
      <c r="K229" s="10" t="s">
        <v>9776</v>
      </c>
      <c r="L229" s="10" t="s">
        <v>42</v>
      </c>
    </row>
    <row r="230" ht="15.75" customHeight="1">
      <c r="A230" s="66">
        <v>45498.0</v>
      </c>
      <c r="B230" s="55" t="str">
        <f>HYPERLINK("https://jobright.ai/jobs/info/66a3e17afa1e56eccb8f552c?utm_campaign=1052&amp;utm_source=sheet", "Apply")</f>
        <v>Apply</v>
      </c>
      <c r="C230" s="10" t="s">
        <v>9590</v>
      </c>
      <c r="D230" s="56" t="s">
        <v>9591</v>
      </c>
      <c r="E230" s="10" t="s">
        <v>209</v>
      </c>
      <c r="F230" s="10" t="s">
        <v>534</v>
      </c>
      <c r="G230" s="10" t="s">
        <v>9419</v>
      </c>
      <c r="H230" s="10" t="s">
        <v>636</v>
      </c>
      <c r="I230" s="10" t="s">
        <v>55</v>
      </c>
      <c r="K230" s="10" t="s">
        <v>9592</v>
      </c>
      <c r="L230" s="10" t="s">
        <v>42</v>
      </c>
    </row>
    <row r="231" ht="15.75" customHeight="1">
      <c r="A231" s="66">
        <v>45498.0</v>
      </c>
      <c r="B231" s="55" t="str">
        <f>HYPERLINK("https://jobright.ai/jobs/info/66a26311e2e98d01637877de?utm_campaign=1052&amp;utm_source=sheet", "Apply")</f>
        <v>Apply</v>
      </c>
      <c r="C231" s="10" t="s">
        <v>9777</v>
      </c>
      <c r="D231" s="56" t="s">
        <v>9778</v>
      </c>
      <c r="E231" s="10" t="s">
        <v>79</v>
      </c>
      <c r="F231" s="10" t="s">
        <v>1234</v>
      </c>
      <c r="G231" s="10" t="s">
        <v>1159</v>
      </c>
      <c r="H231" s="10" t="s">
        <v>5471</v>
      </c>
      <c r="I231" s="10" t="s">
        <v>55</v>
      </c>
      <c r="K231" s="10" t="s">
        <v>9779</v>
      </c>
      <c r="L231" s="10" t="s">
        <v>42</v>
      </c>
    </row>
    <row r="232" ht="15.75" customHeight="1">
      <c r="A232" s="66">
        <v>45498.0</v>
      </c>
      <c r="B232" s="55" t="str">
        <f>HYPERLINK("https://jobright.ai/jobs/info/66a3e1c2fa1e56eccb8f5ab3?utm_campaign=1052&amp;utm_source=sheet", "Apply")</f>
        <v>Apply</v>
      </c>
      <c r="C232" s="10" t="s">
        <v>9517</v>
      </c>
      <c r="D232" s="56" t="s">
        <v>9780</v>
      </c>
      <c r="E232" s="10" t="s">
        <v>71</v>
      </c>
      <c r="G232" s="10" t="s">
        <v>1159</v>
      </c>
      <c r="H232" s="10" t="s">
        <v>965</v>
      </c>
      <c r="I232" s="10" t="s">
        <v>55</v>
      </c>
      <c r="K232" s="10" t="s">
        <v>9781</v>
      </c>
      <c r="L232" s="10" t="s">
        <v>42</v>
      </c>
    </row>
    <row r="233" ht="15.75" customHeight="1">
      <c r="A233" s="66">
        <v>45498.0</v>
      </c>
      <c r="B233" s="55" t="str">
        <f>HYPERLINK("https://jobright.ai/jobs/info/66a24c748f8ac2b9c973094b?utm_campaign=1052&amp;utm_source=sheet", "Apply")</f>
        <v>Apply</v>
      </c>
      <c r="C233" s="10" t="s">
        <v>9782</v>
      </c>
      <c r="D233" s="56" t="s">
        <v>9783</v>
      </c>
      <c r="E233" s="10" t="s">
        <v>45</v>
      </c>
      <c r="F233" s="10" t="s">
        <v>9784</v>
      </c>
      <c r="G233" s="10" t="s">
        <v>1159</v>
      </c>
      <c r="H233" s="10" t="s">
        <v>5691</v>
      </c>
      <c r="I233" s="10" t="s">
        <v>55</v>
      </c>
      <c r="K233" s="10" t="s">
        <v>9785</v>
      </c>
      <c r="L233" s="10" t="s">
        <v>42</v>
      </c>
    </row>
    <row r="234" ht="15.75" customHeight="1">
      <c r="A234" s="66">
        <v>45498.0</v>
      </c>
      <c r="B234" s="55" t="str">
        <f>HYPERLINK("https://jobright.ai/jobs/info/666984ea8323eab2d253d02c?utm_campaign=1052&amp;utm_source=sheet", "Apply")</f>
        <v>Apply</v>
      </c>
      <c r="C234" s="10" t="s">
        <v>9786</v>
      </c>
      <c r="D234" s="56" t="s">
        <v>9623</v>
      </c>
      <c r="E234" s="10">
        <v>52219.0</v>
      </c>
      <c r="G234" s="10" t="s">
        <v>9419</v>
      </c>
      <c r="H234" s="10" t="s">
        <v>73</v>
      </c>
      <c r="I234" s="10" t="s">
        <v>55</v>
      </c>
      <c r="K234" s="10" t="s">
        <v>9787</v>
      </c>
      <c r="L234" s="10" t="s">
        <v>42</v>
      </c>
    </row>
    <row r="235" ht="15.75" customHeight="1">
      <c r="A235" s="66">
        <v>45498.0</v>
      </c>
      <c r="B235" s="55" t="str">
        <f>HYPERLINK("https://jobright.ai/jobs/info/6675d3835e546ebdd783a5af?utm_campaign=1052&amp;utm_source=sheet", "Apply")</f>
        <v>Apply</v>
      </c>
      <c r="C235" s="10" t="s">
        <v>9788</v>
      </c>
      <c r="D235" s="56" t="s">
        <v>3711</v>
      </c>
      <c r="E235" s="10" t="s">
        <v>65</v>
      </c>
      <c r="F235" s="10" t="s">
        <v>1506</v>
      </c>
      <c r="G235" s="10" t="s">
        <v>9414</v>
      </c>
      <c r="H235" s="10" t="s">
        <v>1016</v>
      </c>
      <c r="I235" s="10" t="s">
        <v>55</v>
      </c>
      <c r="K235" s="10" t="s">
        <v>9789</v>
      </c>
      <c r="L235" s="10" t="s">
        <v>42</v>
      </c>
    </row>
    <row r="236" ht="15.75" customHeight="1">
      <c r="A236" s="66">
        <v>45498.0</v>
      </c>
      <c r="B236" s="55" t="str">
        <f>HYPERLINK("https://jobright.ai/jobs/info/666a0b850f0fdba2b58d27cd?utm_campaign=1052&amp;utm_source=sheet", "Apply")</f>
        <v>Apply</v>
      </c>
      <c r="C236" s="10" t="s">
        <v>9786</v>
      </c>
      <c r="D236" s="56" t="s">
        <v>9623</v>
      </c>
      <c r="E236" s="10">
        <v>52219.0</v>
      </c>
      <c r="G236" s="10" t="s">
        <v>9419</v>
      </c>
      <c r="H236" s="10" t="s">
        <v>167</v>
      </c>
      <c r="I236" s="10" t="s">
        <v>55</v>
      </c>
      <c r="K236" s="10" t="s">
        <v>9787</v>
      </c>
      <c r="L236" s="10" t="s">
        <v>42</v>
      </c>
    </row>
    <row r="237" ht="15.75" customHeight="1">
      <c r="A237" s="66">
        <v>45498.0</v>
      </c>
      <c r="B237" s="55" t="str">
        <f>HYPERLINK("https://jobright.ai/jobs/info/66868b2b03e7f4d3b1e89fa7?utm_campaign=1052&amp;utm_source=sheet", "Apply")</f>
        <v>Apply</v>
      </c>
      <c r="C237" s="10" t="s">
        <v>9790</v>
      </c>
      <c r="D237" s="56" t="s">
        <v>9791</v>
      </c>
      <c r="E237" s="10" t="s">
        <v>65</v>
      </c>
      <c r="F237" s="10" t="s">
        <v>3811</v>
      </c>
      <c r="G237" s="10" t="s">
        <v>9419</v>
      </c>
      <c r="H237" s="10" t="s">
        <v>3847</v>
      </c>
      <c r="I237" s="10" t="s">
        <v>55</v>
      </c>
      <c r="J237" s="66"/>
      <c r="K237" s="10" t="s">
        <v>9792</v>
      </c>
      <c r="L237" s="10" t="s">
        <v>42</v>
      </c>
    </row>
    <row r="238" ht="15.75" customHeight="1">
      <c r="A238" s="66">
        <v>45498.0</v>
      </c>
      <c r="B238" s="55" t="str">
        <f>HYPERLINK("https://jobright.ai/jobs/info/65e472dafdcc8b42e8f7b780?utm_campaign=1052&amp;utm_source=sheet", "Apply")</f>
        <v>Apply</v>
      </c>
      <c r="C238" s="10" t="s">
        <v>9793</v>
      </c>
      <c r="D238" s="56" t="s">
        <v>9607</v>
      </c>
      <c r="E238" s="10" t="s">
        <v>45</v>
      </c>
      <c r="F238" s="10" t="s">
        <v>722</v>
      </c>
      <c r="G238" s="10" t="s">
        <v>9419</v>
      </c>
      <c r="H238" s="10" t="s">
        <v>9794</v>
      </c>
      <c r="I238" s="10" t="s">
        <v>48</v>
      </c>
      <c r="J238" s="10" t="s">
        <v>9795</v>
      </c>
      <c r="K238" s="10" t="s">
        <v>9609</v>
      </c>
      <c r="L238" s="10" t="s">
        <v>42</v>
      </c>
    </row>
    <row r="239" ht="15.75" customHeight="1">
      <c r="A239" s="66">
        <v>45498.0</v>
      </c>
      <c r="B239" s="55" t="str">
        <f>HYPERLINK("https://jobright.ai/jobs/info/65f4e75a04c426c9a0321c74?utm_campaign=1052&amp;utm_source=sheet", "Apply")</f>
        <v>Apply</v>
      </c>
      <c r="C239" s="10" t="s">
        <v>9535</v>
      </c>
      <c r="D239" s="56" t="s">
        <v>9607</v>
      </c>
      <c r="E239" s="10" t="s">
        <v>45</v>
      </c>
      <c r="F239" s="10" t="s">
        <v>722</v>
      </c>
      <c r="G239" s="10" t="s">
        <v>9419</v>
      </c>
      <c r="H239" s="10" t="s">
        <v>818</v>
      </c>
      <c r="I239" s="10" t="s">
        <v>48</v>
      </c>
      <c r="J239" s="10" t="s">
        <v>9608</v>
      </c>
      <c r="K239" s="10" t="s">
        <v>9609</v>
      </c>
      <c r="L239" s="10" t="s">
        <v>42</v>
      </c>
    </row>
    <row r="240" ht="15.75" customHeight="1">
      <c r="A240" s="66">
        <v>45498.0</v>
      </c>
      <c r="B240" s="55" t="str">
        <f>HYPERLINK("https://jobright.ai/jobs/info/66858393798cca6c381734f1?utm_campaign=1052&amp;utm_source=sheet", "Apply")</f>
        <v>Apply</v>
      </c>
      <c r="C240" s="10" t="s">
        <v>9796</v>
      </c>
      <c r="D240" s="56" t="s">
        <v>9585</v>
      </c>
      <c r="E240" s="10" t="s">
        <v>65</v>
      </c>
      <c r="F240" s="10" t="s">
        <v>722</v>
      </c>
      <c r="G240" s="10" t="s">
        <v>9419</v>
      </c>
      <c r="H240" s="10" t="s">
        <v>9797</v>
      </c>
      <c r="I240" s="10" t="s">
        <v>55</v>
      </c>
      <c r="K240" s="10" t="s">
        <v>9586</v>
      </c>
      <c r="L240" s="10" t="s">
        <v>42</v>
      </c>
    </row>
    <row r="241" ht="15.75" customHeight="1">
      <c r="A241" s="66">
        <v>45498.0</v>
      </c>
      <c r="B241" s="55" t="str">
        <f>HYPERLINK("https://jobright.ai/jobs/info/65e472d0fdcc8b42e8f7b6de?utm_campaign=1052&amp;utm_source=sheet", "Apply")</f>
        <v>Apply</v>
      </c>
      <c r="C241" s="10" t="s">
        <v>9535</v>
      </c>
      <c r="D241" s="56" t="s">
        <v>9607</v>
      </c>
      <c r="E241" s="10" t="s">
        <v>45</v>
      </c>
      <c r="F241" s="10" t="s">
        <v>722</v>
      </c>
      <c r="G241" s="10" t="s">
        <v>9419</v>
      </c>
      <c r="H241" s="10" t="s">
        <v>974</v>
      </c>
      <c r="I241" s="10" t="s">
        <v>48</v>
      </c>
      <c r="J241" s="10" t="s">
        <v>9798</v>
      </c>
      <c r="K241" s="10" t="s">
        <v>9799</v>
      </c>
      <c r="L241" s="10" t="s">
        <v>42</v>
      </c>
    </row>
    <row r="242" ht="15.75" customHeight="1">
      <c r="A242" s="66">
        <v>45498.0</v>
      </c>
      <c r="B242" s="55" t="str">
        <f>HYPERLINK("https://jobright.ai/jobs/info/6677b86a9c2d9fa5bf088d49?utm_campaign=1052&amp;utm_source=sheet", "Apply")</f>
        <v>Apply</v>
      </c>
      <c r="C242" s="10" t="s">
        <v>9800</v>
      </c>
      <c r="D242" s="56" t="s">
        <v>9585</v>
      </c>
      <c r="E242" s="10" t="s">
        <v>65</v>
      </c>
      <c r="F242" s="10" t="s">
        <v>722</v>
      </c>
      <c r="G242" s="10" t="s">
        <v>9419</v>
      </c>
      <c r="H242" s="10" t="s">
        <v>572</v>
      </c>
      <c r="I242" s="10" t="s">
        <v>55</v>
      </c>
      <c r="K242" s="10" t="s">
        <v>9586</v>
      </c>
      <c r="L242" s="10" t="s">
        <v>42</v>
      </c>
    </row>
    <row r="243" ht="15.75" customHeight="1">
      <c r="A243" s="66">
        <v>45498.0</v>
      </c>
      <c r="B243" s="55" t="str">
        <f>HYPERLINK("https://jobright.ai/jobs/info/6675ac0e6d8340c59f8e4526?utm_campaign=1052&amp;utm_source=sheet", "Apply")</f>
        <v>Apply</v>
      </c>
      <c r="C243" s="10" t="s">
        <v>9801</v>
      </c>
      <c r="D243" s="56" t="s">
        <v>9802</v>
      </c>
      <c r="E243" s="10" t="s">
        <v>45</v>
      </c>
      <c r="F243" s="10" t="s">
        <v>731</v>
      </c>
      <c r="G243" s="10" t="s">
        <v>9414</v>
      </c>
      <c r="H243" s="10" t="s">
        <v>1254</v>
      </c>
      <c r="I243" s="10" t="s">
        <v>48</v>
      </c>
      <c r="K243" s="10" t="s">
        <v>9803</v>
      </c>
      <c r="L243" s="10" t="s">
        <v>42</v>
      </c>
    </row>
    <row r="244" ht="15.75" customHeight="1">
      <c r="A244" s="66">
        <v>45498.0</v>
      </c>
      <c r="B244" s="55" t="str">
        <f>HYPERLINK("https://jobright.ai/jobs/info/65e472d0fdcc8b42e8f7b6ea?utm_campaign=1052&amp;utm_source=sheet", "Apply")</f>
        <v>Apply</v>
      </c>
      <c r="C244" s="10" t="s">
        <v>9535</v>
      </c>
      <c r="D244" s="56" t="s">
        <v>9607</v>
      </c>
      <c r="E244" s="10" t="s">
        <v>45</v>
      </c>
      <c r="F244" s="10" t="s">
        <v>722</v>
      </c>
      <c r="G244" s="10" t="s">
        <v>9419</v>
      </c>
      <c r="H244" s="10" t="s">
        <v>9794</v>
      </c>
      <c r="I244" s="10" t="s">
        <v>48</v>
      </c>
      <c r="J244" s="10" t="s">
        <v>9795</v>
      </c>
      <c r="K244" s="10" t="s">
        <v>9609</v>
      </c>
      <c r="L244" s="10" t="s">
        <v>42</v>
      </c>
    </row>
    <row r="245" ht="15.75" customHeight="1">
      <c r="A245" s="66">
        <v>45498.0</v>
      </c>
      <c r="B245" s="55" t="str">
        <f>HYPERLINK("https://jobright.ai/jobs/info/66858393798cca6c381734fd?utm_campaign=1052&amp;utm_source=sheet", "Apply")</f>
        <v>Apply</v>
      </c>
      <c r="C245" s="10" t="s">
        <v>9804</v>
      </c>
      <c r="D245" s="56" t="s">
        <v>9585</v>
      </c>
      <c r="E245" s="10" t="s">
        <v>65</v>
      </c>
      <c r="F245" s="10" t="s">
        <v>722</v>
      </c>
      <c r="G245" s="10" t="s">
        <v>9419</v>
      </c>
      <c r="H245" s="10" t="s">
        <v>920</v>
      </c>
      <c r="I245" s="10" t="s">
        <v>55</v>
      </c>
      <c r="K245" s="10" t="s">
        <v>9586</v>
      </c>
      <c r="L245" s="10" t="s">
        <v>42</v>
      </c>
    </row>
    <row r="246" ht="15.75" customHeight="1">
      <c r="A246" s="66">
        <v>45498.0</v>
      </c>
      <c r="B246" s="55" t="str">
        <f>HYPERLINK("https://jobright.ai/jobs/info/66858c7d1b1f4c2377c85e66?utm_campaign=1052&amp;utm_source=sheet", "Apply")</f>
        <v>Apply</v>
      </c>
      <c r="C246" s="10" t="s">
        <v>9805</v>
      </c>
      <c r="D246" s="56" t="s">
        <v>9585</v>
      </c>
      <c r="E246" s="10" t="s">
        <v>65</v>
      </c>
      <c r="F246" s="10" t="s">
        <v>722</v>
      </c>
      <c r="G246" s="10" t="s">
        <v>9419</v>
      </c>
      <c r="H246" s="10" t="s">
        <v>9797</v>
      </c>
      <c r="I246" s="10" t="s">
        <v>55</v>
      </c>
      <c r="K246" s="10" t="s">
        <v>9586</v>
      </c>
      <c r="L246" s="10" t="s">
        <v>42</v>
      </c>
    </row>
    <row r="247" ht="15.75" customHeight="1">
      <c r="A247" s="66">
        <v>45498.0</v>
      </c>
      <c r="B247" s="55" t="str">
        <f>HYPERLINK("https://jobright.ai/jobs/info/66a354cc316234c2fe9f210a?utm_campaign=1052&amp;utm_source=sheet", "Apply")</f>
        <v>Apply</v>
      </c>
      <c r="C247" s="10" t="s">
        <v>9806</v>
      </c>
      <c r="D247" s="56" t="s">
        <v>533</v>
      </c>
      <c r="E247" s="10" t="s">
        <v>209</v>
      </c>
      <c r="F247" s="10" t="s">
        <v>534</v>
      </c>
      <c r="G247" s="10" t="s">
        <v>9419</v>
      </c>
      <c r="H247" s="10" t="s">
        <v>1049</v>
      </c>
      <c r="I247" s="10" t="s">
        <v>48</v>
      </c>
      <c r="J247" s="10" t="s">
        <v>579</v>
      </c>
      <c r="K247" s="10" t="s">
        <v>9454</v>
      </c>
      <c r="L247" s="10" t="s">
        <v>42</v>
      </c>
    </row>
    <row r="248" ht="15.75" customHeight="1">
      <c r="A248" s="66">
        <v>45498.0</v>
      </c>
      <c r="B248" s="55" t="str">
        <f>HYPERLINK("https://jobright.ai/jobs/info/6685f2ecc18bebcab14e3e66?utm_campaign=1052&amp;utm_source=sheet", "Apply")</f>
        <v>Apply</v>
      </c>
      <c r="C248" s="10" t="s">
        <v>9807</v>
      </c>
      <c r="D248" s="56" t="s">
        <v>9808</v>
      </c>
      <c r="E248" s="10" t="s">
        <v>249</v>
      </c>
      <c r="F248" s="10" t="s">
        <v>9809</v>
      </c>
      <c r="G248" s="10" t="s">
        <v>9414</v>
      </c>
      <c r="H248" s="10" t="s">
        <v>232</v>
      </c>
      <c r="I248" s="10" t="s">
        <v>55</v>
      </c>
      <c r="J248" s="10" t="s">
        <v>1984</v>
      </c>
      <c r="K248" s="10" t="s">
        <v>9810</v>
      </c>
      <c r="L248" s="10" t="s">
        <v>42</v>
      </c>
    </row>
    <row r="249" ht="15.75" customHeight="1">
      <c r="A249" s="66">
        <v>45498.0</v>
      </c>
      <c r="B249" s="55" t="str">
        <f>HYPERLINK("https://jobright.ai/jobs/info/66a225b0642c1d827779dcc0?utm_campaign=1052&amp;utm_source=sheet", "Apply")</f>
        <v>Apply</v>
      </c>
      <c r="C249" s="10" t="s">
        <v>9811</v>
      </c>
      <c r="D249" s="56" t="s">
        <v>9623</v>
      </c>
      <c r="E249" s="10">
        <v>52219.0</v>
      </c>
      <c r="G249" s="10" t="s">
        <v>9419</v>
      </c>
      <c r="H249" s="10" t="s">
        <v>807</v>
      </c>
      <c r="I249" s="10" t="s">
        <v>55</v>
      </c>
      <c r="K249" s="10" t="s">
        <v>9624</v>
      </c>
      <c r="L249" s="10" t="s">
        <v>42</v>
      </c>
    </row>
    <row r="250" ht="15.75" customHeight="1">
      <c r="A250" s="66">
        <v>45498.0</v>
      </c>
      <c r="B250" s="55" t="str">
        <f>HYPERLINK("https://jobright.ai/jobs/info/66a2304c01e1969f1d5dcc8a?utm_campaign=1052&amp;utm_source=sheet", "Apply")</f>
        <v>Apply</v>
      </c>
      <c r="C250" s="10" t="s">
        <v>9812</v>
      </c>
      <c r="D250" s="56" t="s">
        <v>9623</v>
      </c>
      <c r="E250" s="10">
        <v>52219.0</v>
      </c>
      <c r="G250" s="10" t="s">
        <v>9419</v>
      </c>
      <c r="H250" s="10" t="s">
        <v>144</v>
      </c>
      <c r="I250" s="10" t="s">
        <v>55</v>
      </c>
      <c r="K250" s="10" t="s">
        <v>9813</v>
      </c>
      <c r="L250" s="10" t="s">
        <v>42</v>
      </c>
    </row>
    <row r="251" ht="15.75" customHeight="1">
      <c r="A251" s="66">
        <v>45498.0</v>
      </c>
      <c r="B251" s="55" t="str">
        <f>HYPERLINK("https://jobright.ai/jobs/info/668691221e8fc8919453fa26?utm_campaign=1052&amp;utm_source=sheet", "Apply")</f>
        <v>Apply</v>
      </c>
      <c r="C251" s="10" t="s">
        <v>9535</v>
      </c>
      <c r="D251" s="56" t="s">
        <v>9607</v>
      </c>
      <c r="E251" s="10" t="s">
        <v>45</v>
      </c>
      <c r="F251" s="10" t="s">
        <v>722</v>
      </c>
      <c r="G251" s="10" t="s">
        <v>9419</v>
      </c>
      <c r="H251" s="10" t="s">
        <v>605</v>
      </c>
      <c r="I251" s="10" t="s">
        <v>55</v>
      </c>
      <c r="J251" s="10" t="s">
        <v>260</v>
      </c>
      <c r="K251" s="10" t="s">
        <v>9609</v>
      </c>
      <c r="L251" s="10" t="s">
        <v>42</v>
      </c>
    </row>
    <row r="252" ht="15.75" customHeight="1">
      <c r="A252" s="66">
        <v>45498.0</v>
      </c>
      <c r="B252" s="55" t="str">
        <f>HYPERLINK("https://jobright.ai/jobs/info/65efacf4c517100ff2cd900a?utm_campaign=1052&amp;utm_source=sheet", "Apply")</f>
        <v>Apply</v>
      </c>
      <c r="C252" s="10" t="s">
        <v>9634</v>
      </c>
      <c r="D252" s="56" t="s">
        <v>2763</v>
      </c>
      <c r="E252" s="10" t="s">
        <v>45</v>
      </c>
      <c r="F252" s="10" t="s">
        <v>1465</v>
      </c>
      <c r="G252" s="10" t="s">
        <v>1159</v>
      </c>
      <c r="H252" s="10" t="s">
        <v>6349</v>
      </c>
      <c r="I252" s="10" t="s">
        <v>55</v>
      </c>
      <c r="J252" s="10" t="s">
        <v>9635</v>
      </c>
      <c r="K252" s="10" t="s">
        <v>9636</v>
      </c>
      <c r="L252" s="10" t="s">
        <v>42</v>
      </c>
    </row>
    <row r="253" ht="15.75" customHeight="1">
      <c r="A253" s="66">
        <v>45498.0</v>
      </c>
      <c r="B253" s="55" t="str">
        <f>HYPERLINK("https://jobright.ai/jobs/info/662c291b1893502f0472bae9?utm_campaign=1052&amp;utm_source=sheet", "Apply")</f>
        <v>Apply</v>
      </c>
      <c r="C253" s="10" t="s">
        <v>9814</v>
      </c>
      <c r="D253" s="56" t="s">
        <v>9607</v>
      </c>
      <c r="E253" s="10" t="s">
        <v>45</v>
      </c>
      <c r="F253" s="10" t="s">
        <v>722</v>
      </c>
      <c r="G253" s="10" t="s">
        <v>9419</v>
      </c>
      <c r="H253" s="10" t="s">
        <v>153</v>
      </c>
      <c r="I253" s="10" t="s">
        <v>48</v>
      </c>
      <c r="J253" s="10" t="s">
        <v>9608</v>
      </c>
      <c r="K253" s="10" t="s">
        <v>9609</v>
      </c>
      <c r="L253" s="10" t="s">
        <v>42</v>
      </c>
    </row>
    <row r="254" ht="15.75" customHeight="1">
      <c r="A254" s="66">
        <v>45498.0</v>
      </c>
      <c r="B254" s="55" t="str">
        <f>HYPERLINK("https://jobright.ai/jobs/info/664d3b49ecdb88912c95c16b?utm_campaign=1052&amp;utm_source=sheet", "Apply")</f>
        <v>Apply</v>
      </c>
      <c r="C254" s="10" t="s">
        <v>9815</v>
      </c>
      <c r="D254" s="56" t="s">
        <v>180</v>
      </c>
      <c r="E254" s="10">
        <v>3092.0</v>
      </c>
      <c r="G254" s="10" t="s">
        <v>9414</v>
      </c>
      <c r="H254" s="10" t="s">
        <v>96</v>
      </c>
      <c r="I254" s="10" t="s">
        <v>55</v>
      </c>
      <c r="J254" s="10" t="s">
        <v>9440</v>
      </c>
      <c r="K254" s="10" t="s">
        <v>9816</v>
      </c>
      <c r="L254" s="10" t="s">
        <v>42</v>
      </c>
    </row>
    <row r="255" ht="15.75" customHeight="1">
      <c r="A255" s="66">
        <v>45498.0</v>
      </c>
      <c r="B255" s="55" t="str">
        <f>HYPERLINK("https://jobright.ai/jobs/info/6685d38a7596db7e6ee509d2?utm_campaign=1052&amp;utm_source=sheet", "Apply")</f>
        <v>Apply</v>
      </c>
      <c r="C255" s="10" t="s">
        <v>9535</v>
      </c>
      <c r="D255" s="56" t="s">
        <v>9607</v>
      </c>
      <c r="E255" s="10" t="s">
        <v>45</v>
      </c>
      <c r="F255" s="10" t="s">
        <v>722</v>
      </c>
      <c r="G255" s="10" t="s">
        <v>9419</v>
      </c>
      <c r="H255" s="10" t="s">
        <v>605</v>
      </c>
      <c r="I255" s="10" t="s">
        <v>48</v>
      </c>
      <c r="J255" s="10" t="s">
        <v>260</v>
      </c>
      <c r="K255" s="10" t="s">
        <v>9609</v>
      </c>
      <c r="L255" s="10" t="s">
        <v>42</v>
      </c>
    </row>
    <row r="256" ht="15.75" customHeight="1">
      <c r="A256" s="66">
        <v>45498.0</v>
      </c>
      <c r="B256" s="55" t="str">
        <f>HYPERLINK("https://jobright.ai/jobs/info/66a36bd6a5c50279eb669a6b?utm_campaign=1052&amp;utm_source=sheet", "Apply")</f>
        <v>Apply</v>
      </c>
      <c r="C256" s="10" t="s">
        <v>9817</v>
      </c>
      <c r="D256" s="56" t="s">
        <v>533</v>
      </c>
      <c r="E256" s="10" t="s">
        <v>209</v>
      </c>
      <c r="F256" s="10" t="s">
        <v>534</v>
      </c>
      <c r="G256" s="10" t="s">
        <v>9419</v>
      </c>
      <c r="H256" s="10" t="s">
        <v>578</v>
      </c>
      <c r="I256" s="10" t="s">
        <v>48</v>
      </c>
      <c r="J256" s="10" t="s">
        <v>579</v>
      </c>
      <c r="K256" s="10" t="s">
        <v>9660</v>
      </c>
      <c r="L256" s="10" t="s">
        <v>42</v>
      </c>
    </row>
    <row r="257" ht="15.75" customHeight="1">
      <c r="A257" s="66">
        <v>45498.0</v>
      </c>
      <c r="B257" s="55" t="str">
        <f>HYPERLINK("https://jobright.ai/jobs/info/668591fae861c76931c96b4a?utm_campaign=1052&amp;utm_source=sheet", "Apply")</f>
        <v>Apply</v>
      </c>
      <c r="C257" s="10" t="s">
        <v>9818</v>
      </c>
      <c r="D257" s="56" t="s">
        <v>6129</v>
      </c>
      <c r="E257" s="10" t="s">
        <v>45</v>
      </c>
      <c r="F257" s="10" t="s">
        <v>6130</v>
      </c>
      <c r="G257" s="10" t="s">
        <v>9419</v>
      </c>
      <c r="H257" s="10" t="s">
        <v>882</v>
      </c>
      <c r="I257" s="10" t="s">
        <v>48</v>
      </c>
      <c r="J257" s="66"/>
      <c r="K257" s="10" t="s">
        <v>9819</v>
      </c>
      <c r="L257" s="10" t="s">
        <v>42</v>
      </c>
    </row>
    <row r="258" ht="15.75" customHeight="1">
      <c r="A258" s="66">
        <v>45498.0</v>
      </c>
      <c r="B258" s="55" t="str">
        <f>HYPERLINK("https://jobright.ai/jobs/info/6677c78164f2e472ffd63203?utm_campaign=1052&amp;utm_source=sheet", "Apply")</f>
        <v>Apply</v>
      </c>
      <c r="C258" s="10" t="s">
        <v>9820</v>
      </c>
      <c r="D258" s="56" t="s">
        <v>9821</v>
      </c>
      <c r="E258" s="10" t="s">
        <v>45</v>
      </c>
      <c r="F258" s="10" t="s">
        <v>3594</v>
      </c>
      <c r="G258" s="10" t="s">
        <v>9414</v>
      </c>
      <c r="H258" s="10" t="s">
        <v>354</v>
      </c>
      <c r="I258" s="10" t="s">
        <v>48</v>
      </c>
      <c r="J258" s="10" t="s">
        <v>9822</v>
      </c>
      <c r="K258" s="10" t="s">
        <v>9823</v>
      </c>
      <c r="L258" s="10" t="s">
        <v>42</v>
      </c>
    </row>
    <row r="259" ht="15.75" customHeight="1">
      <c r="A259" s="66">
        <v>45498.0</v>
      </c>
      <c r="B259" s="55" t="str">
        <f>HYPERLINK("https://jobright.ai/jobs/info/6615c8b2feaed1e740273c9f?utm_campaign=1052&amp;utm_source=sheet", "Apply")</f>
        <v>Apply</v>
      </c>
      <c r="C259" s="10" t="s">
        <v>9793</v>
      </c>
      <c r="D259" s="56" t="s">
        <v>9607</v>
      </c>
      <c r="E259" s="10" t="s">
        <v>45</v>
      </c>
      <c r="F259" s="10" t="s">
        <v>722</v>
      </c>
      <c r="G259" s="10" t="s">
        <v>9419</v>
      </c>
      <c r="H259" s="10" t="s">
        <v>154</v>
      </c>
      <c r="I259" s="10" t="s">
        <v>48</v>
      </c>
      <c r="J259" s="10" t="s">
        <v>9653</v>
      </c>
      <c r="K259" s="10" t="s">
        <v>9609</v>
      </c>
      <c r="L259" s="10" t="s">
        <v>42</v>
      </c>
    </row>
    <row r="260" ht="15.75" customHeight="1">
      <c r="A260" s="66">
        <v>45498.0</v>
      </c>
      <c r="B260" s="55" t="str">
        <f>HYPERLINK("https://jobright.ai/jobs/info/66a33fdf6df6a1b9d22d592e?utm_campaign=1052&amp;utm_source=sheet", "Apply")</f>
        <v>Apply</v>
      </c>
      <c r="C260" s="10" t="s">
        <v>9824</v>
      </c>
      <c r="D260" s="56" t="s">
        <v>9430</v>
      </c>
      <c r="E260" s="10" t="s">
        <v>45</v>
      </c>
      <c r="F260" s="10" t="s">
        <v>1084</v>
      </c>
      <c r="G260" s="10" t="s">
        <v>9414</v>
      </c>
      <c r="H260" s="10" t="s">
        <v>153</v>
      </c>
      <c r="I260" s="10" t="s">
        <v>55</v>
      </c>
      <c r="K260" s="10" t="s">
        <v>9825</v>
      </c>
      <c r="L260" s="10" t="s">
        <v>42</v>
      </c>
    </row>
    <row r="261" ht="15.75" customHeight="1">
      <c r="A261" s="66">
        <v>45498.0</v>
      </c>
      <c r="B261" s="55" t="str">
        <f>HYPERLINK("https://jobright.ai/jobs/info/66a3400f6df6a1b9d22d5e30?utm_campaign=1052&amp;utm_source=sheet", "Apply")</f>
        <v>Apply</v>
      </c>
      <c r="C261" s="10" t="s">
        <v>9824</v>
      </c>
      <c r="D261" s="56" t="s">
        <v>9430</v>
      </c>
      <c r="E261" s="10" t="s">
        <v>45</v>
      </c>
      <c r="F261" s="10" t="s">
        <v>1084</v>
      </c>
      <c r="G261" s="10" t="s">
        <v>9414</v>
      </c>
      <c r="H261" s="10" t="s">
        <v>154</v>
      </c>
      <c r="I261" s="10" t="s">
        <v>55</v>
      </c>
      <c r="K261" s="10" t="s">
        <v>9825</v>
      </c>
      <c r="L261" s="10" t="s">
        <v>42</v>
      </c>
    </row>
    <row r="262" ht="15.75" customHeight="1">
      <c r="A262" s="66">
        <v>45498.0</v>
      </c>
      <c r="B262" s="55" t="str">
        <f>HYPERLINK("https://jobright.ai/jobs/info/66a1db7b4a1c47d6614d8a03?utm_campaign=1052&amp;utm_source=sheet", "Apply")</f>
        <v>Apply</v>
      </c>
      <c r="C262" s="10" t="s">
        <v>9826</v>
      </c>
      <c r="D262" s="56" t="s">
        <v>258</v>
      </c>
      <c r="E262" s="10" t="s">
        <v>45</v>
      </c>
      <c r="F262" s="10" t="s">
        <v>259</v>
      </c>
      <c r="G262" s="10" t="s">
        <v>1159</v>
      </c>
      <c r="H262" s="10" t="s">
        <v>96</v>
      </c>
      <c r="I262" s="10" t="s">
        <v>48</v>
      </c>
      <c r="J262" s="10" t="s">
        <v>9551</v>
      </c>
      <c r="K262" s="10" t="s">
        <v>9827</v>
      </c>
      <c r="L262" s="10" t="s">
        <v>42</v>
      </c>
    </row>
    <row r="263" ht="15.75" customHeight="1">
      <c r="A263" s="66">
        <v>45498.0</v>
      </c>
      <c r="B263" s="55" t="str">
        <f>HYPERLINK("https://jobright.ai/jobs/info/66a1db7b4a1c47d6614d8a07?utm_campaign=1052&amp;utm_source=sheet", "Apply")</f>
        <v>Apply</v>
      </c>
      <c r="C263" s="10" t="s">
        <v>9828</v>
      </c>
      <c r="D263" s="56" t="s">
        <v>258</v>
      </c>
      <c r="E263" s="10" t="s">
        <v>45</v>
      </c>
      <c r="F263" s="10" t="s">
        <v>259</v>
      </c>
      <c r="G263" s="10" t="s">
        <v>9414</v>
      </c>
      <c r="H263" s="10" t="s">
        <v>96</v>
      </c>
      <c r="I263" s="10" t="s">
        <v>48</v>
      </c>
      <c r="J263" s="10" t="s">
        <v>1522</v>
      </c>
      <c r="K263" s="10" t="s">
        <v>9829</v>
      </c>
      <c r="L263" s="10" t="s">
        <v>42</v>
      </c>
    </row>
    <row r="264" ht="15.75" customHeight="1">
      <c r="A264" s="66">
        <v>45498.0</v>
      </c>
      <c r="B264" s="55" t="str">
        <f>HYPERLINK("https://jobright.ai/jobs/info/66a1db7b4a1c47d6614d89f4?utm_campaign=1052&amp;utm_source=sheet", "Apply")</f>
        <v>Apply</v>
      </c>
      <c r="C264" s="10" t="s">
        <v>9830</v>
      </c>
      <c r="D264" s="56" t="s">
        <v>258</v>
      </c>
      <c r="E264" s="10" t="s">
        <v>45</v>
      </c>
      <c r="F264" s="10" t="s">
        <v>259</v>
      </c>
      <c r="G264" s="10" t="s">
        <v>9414</v>
      </c>
      <c r="H264" s="10" t="s">
        <v>96</v>
      </c>
      <c r="I264" s="10" t="s">
        <v>48</v>
      </c>
      <c r="J264" s="10" t="s">
        <v>9641</v>
      </c>
      <c r="K264" s="10" t="s">
        <v>9831</v>
      </c>
      <c r="L264" s="10" t="s">
        <v>42</v>
      </c>
    </row>
    <row r="265" ht="15.75" customHeight="1">
      <c r="A265" s="66">
        <v>45498.0</v>
      </c>
      <c r="B265" s="55" t="str">
        <f>HYPERLINK("https://jobright.ai/jobs/info/66a1db7b4a1c47d6614d89ff?utm_campaign=1052&amp;utm_source=sheet", "Apply")</f>
        <v>Apply</v>
      </c>
      <c r="C265" s="10" t="s">
        <v>9436</v>
      </c>
      <c r="D265" s="56" t="s">
        <v>9832</v>
      </c>
      <c r="E265" s="10" t="s">
        <v>249</v>
      </c>
      <c r="F265" s="10" t="s">
        <v>9833</v>
      </c>
      <c r="G265" s="10" t="s">
        <v>9414</v>
      </c>
      <c r="H265" s="10" t="s">
        <v>131</v>
      </c>
      <c r="I265" s="10" t="s">
        <v>48</v>
      </c>
      <c r="J265" s="10" t="s">
        <v>9834</v>
      </c>
      <c r="K265" s="10" t="s">
        <v>9835</v>
      </c>
      <c r="L265" s="10" t="s">
        <v>42</v>
      </c>
    </row>
    <row r="266" ht="15.75" customHeight="1">
      <c r="A266" s="66">
        <v>45498.0</v>
      </c>
      <c r="B266" s="55" t="str">
        <f>HYPERLINK("https://jobright.ai/jobs/info/66a1d5ce85cd4319758b83b3?utm_campaign=1052&amp;utm_source=sheet", "Apply")</f>
        <v>Apply</v>
      </c>
      <c r="C266" s="10" t="s">
        <v>9836</v>
      </c>
      <c r="D266" s="56" t="s">
        <v>5175</v>
      </c>
      <c r="E266" s="10" t="s">
        <v>45</v>
      </c>
      <c r="F266" s="10" t="s">
        <v>5176</v>
      </c>
      <c r="G266" s="10" t="s">
        <v>9419</v>
      </c>
      <c r="H266" s="10" t="s">
        <v>1013</v>
      </c>
      <c r="I266" s="10" t="s">
        <v>55</v>
      </c>
      <c r="K266" s="10" t="s">
        <v>9837</v>
      </c>
      <c r="L266" s="10" t="s">
        <v>42</v>
      </c>
    </row>
    <row r="267" ht="15.75" customHeight="1">
      <c r="A267" s="66">
        <v>45498.0</v>
      </c>
      <c r="B267" s="55" t="str">
        <f>HYPERLINK("https://jobright.ai/jobs/info/66a1e112a074dd67a27b422a?utm_campaign=1052&amp;utm_source=sheet", "Apply")</f>
        <v>Apply</v>
      </c>
      <c r="C267" s="10" t="s">
        <v>9838</v>
      </c>
      <c r="D267" s="56" t="s">
        <v>9839</v>
      </c>
      <c r="E267" s="10" t="s">
        <v>45</v>
      </c>
      <c r="F267" s="10" t="s">
        <v>2431</v>
      </c>
      <c r="G267" s="10" t="s">
        <v>9414</v>
      </c>
      <c r="H267" s="10" t="s">
        <v>73</v>
      </c>
      <c r="I267" s="10" t="s">
        <v>55</v>
      </c>
      <c r="K267" s="10" t="s">
        <v>9840</v>
      </c>
      <c r="L267" s="10" t="s">
        <v>42</v>
      </c>
    </row>
    <row r="268" ht="15.75" customHeight="1">
      <c r="A268" s="66">
        <v>45498.0</v>
      </c>
      <c r="B268" s="55" t="str">
        <f>HYPERLINK("https://jobright.ai/jobs/info/66a1d05cc142c2cb84940818?utm_campaign=1052&amp;utm_source=sheet", "Apply")</f>
        <v>Apply</v>
      </c>
      <c r="C268" s="10" t="s">
        <v>9841</v>
      </c>
      <c r="D268" s="56" t="s">
        <v>9839</v>
      </c>
      <c r="E268" s="10" t="s">
        <v>45</v>
      </c>
      <c r="F268" s="10" t="s">
        <v>2431</v>
      </c>
      <c r="G268" s="10" t="s">
        <v>9414</v>
      </c>
      <c r="H268" s="10" t="s">
        <v>73</v>
      </c>
      <c r="I268" s="10" t="s">
        <v>55</v>
      </c>
      <c r="J268" s="66"/>
      <c r="K268" s="10" t="s">
        <v>9842</v>
      </c>
      <c r="L268" s="10" t="s">
        <v>42</v>
      </c>
    </row>
    <row r="269" ht="15.75" customHeight="1">
      <c r="A269" s="66">
        <v>45498.0</v>
      </c>
      <c r="B269" s="55" t="str">
        <f>HYPERLINK("https://jobright.ai/jobs/info/66a1afbb099e1efc505302f8?utm_campaign=1052&amp;utm_source=sheet", "Apply")</f>
        <v>Apply</v>
      </c>
      <c r="C269" s="10" t="s">
        <v>9517</v>
      </c>
      <c r="D269" s="56" t="s">
        <v>9843</v>
      </c>
      <c r="E269" s="10" t="s">
        <v>249</v>
      </c>
      <c r="F269" s="10" t="s">
        <v>9844</v>
      </c>
      <c r="G269" s="10" t="s">
        <v>1159</v>
      </c>
      <c r="H269" s="10" t="s">
        <v>974</v>
      </c>
      <c r="I269" s="10" t="s">
        <v>55</v>
      </c>
      <c r="K269" s="10" t="s">
        <v>9845</v>
      </c>
      <c r="L269" s="10" t="s">
        <v>42</v>
      </c>
    </row>
    <row r="270" ht="15.75" customHeight="1">
      <c r="A270" s="66">
        <v>45498.0</v>
      </c>
      <c r="B270" s="55" t="str">
        <f>HYPERLINK("https://jobright.ai/jobs/info/66a1b4d4349d237c2fa6bc8b?utm_campaign=1052&amp;utm_source=sheet", "Apply")</f>
        <v>Apply</v>
      </c>
      <c r="C270" s="10" t="s">
        <v>9846</v>
      </c>
      <c r="D270" s="56" t="s">
        <v>9418</v>
      </c>
      <c r="E270" s="10" t="s">
        <v>276</v>
      </c>
      <c r="F270" s="10" t="s">
        <v>568</v>
      </c>
      <c r="G270" s="10" t="s">
        <v>1159</v>
      </c>
      <c r="H270" s="10" t="s">
        <v>9420</v>
      </c>
      <c r="I270" s="10" t="s">
        <v>48</v>
      </c>
      <c r="K270" s="10" t="s">
        <v>9421</v>
      </c>
      <c r="L270" s="10" t="s">
        <v>42</v>
      </c>
    </row>
    <row r="271" ht="15.75" customHeight="1">
      <c r="A271" s="66">
        <v>45498.0</v>
      </c>
      <c r="B271" s="55" t="str">
        <f>HYPERLINK("https://jobright.ai/jobs/info/66a2547dc0e679b90829beeb?utm_campaign=1052&amp;utm_source=sheet", "Apply")</f>
        <v>Apply</v>
      </c>
      <c r="C271" s="10" t="s">
        <v>9847</v>
      </c>
      <c r="D271" s="56" t="s">
        <v>9430</v>
      </c>
      <c r="E271" s="10" t="s">
        <v>45</v>
      </c>
      <c r="F271" s="10" t="s">
        <v>1084</v>
      </c>
      <c r="G271" s="10" t="s">
        <v>9419</v>
      </c>
      <c r="H271" s="10" t="s">
        <v>154</v>
      </c>
      <c r="I271" s="10" t="s">
        <v>55</v>
      </c>
      <c r="K271" s="10" t="s">
        <v>9848</v>
      </c>
      <c r="L271" s="10" t="s">
        <v>42</v>
      </c>
    </row>
    <row r="272" ht="15.75" customHeight="1">
      <c r="A272" s="66">
        <v>45498.0</v>
      </c>
      <c r="B272" s="55" t="str">
        <f>HYPERLINK("https://jobright.ai/jobs/info/66a2aa3d022211b3c86217b1?utm_campaign=1052&amp;utm_source=sheet", "Apply")</f>
        <v>Apply</v>
      </c>
      <c r="C272" s="10" t="s">
        <v>9849</v>
      </c>
      <c r="D272" s="56" t="s">
        <v>9850</v>
      </c>
      <c r="E272" s="10" t="s">
        <v>65</v>
      </c>
      <c r="F272" s="10" t="s">
        <v>9721</v>
      </c>
      <c r="G272" s="10" t="s">
        <v>9414</v>
      </c>
      <c r="H272" s="10" t="s">
        <v>9851</v>
      </c>
      <c r="I272" s="10" t="s">
        <v>55</v>
      </c>
      <c r="J272" s="10" t="s">
        <v>9852</v>
      </c>
      <c r="K272" s="10" t="s">
        <v>9853</v>
      </c>
      <c r="L272" s="10" t="s">
        <v>42</v>
      </c>
    </row>
    <row r="273" ht="15.75" customHeight="1">
      <c r="A273" s="66">
        <v>45497.0</v>
      </c>
      <c r="B273" s="55" t="str">
        <f>HYPERLINK("https://jobright.ai/jobs/info/66a194067c2a83b26eb62055?utm_campaign=1052&amp;utm_source=sheet", "Apply")</f>
        <v>Apply</v>
      </c>
      <c r="C273" s="10" t="s">
        <v>9854</v>
      </c>
      <c r="D273" s="56" t="s">
        <v>9855</v>
      </c>
      <c r="E273" s="10" t="s">
        <v>137</v>
      </c>
      <c r="F273" s="10" t="s">
        <v>9856</v>
      </c>
      <c r="G273" s="10" t="s">
        <v>9414</v>
      </c>
      <c r="H273" s="10" t="s">
        <v>3265</v>
      </c>
      <c r="I273" s="10" t="s">
        <v>55</v>
      </c>
      <c r="J273" s="10" t="s">
        <v>521</v>
      </c>
      <c r="K273" s="10" t="s">
        <v>9857</v>
      </c>
      <c r="L273" s="10" t="s">
        <v>42</v>
      </c>
    </row>
    <row r="274" ht="15.75" customHeight="1">
      <c r="A274" s="66">
        <v>45497.0</v>
      </c>
      <c r="B274" s="55" t="str">
        <f>HYPERLINK("https://jobright.ai/jobs/info/66a1ae8cfb06fa481d953b62?utm_campaign=1052&amp;utm_source=sheet", "Apply")</f>
        <v>Apply</v>
      </c>
      <c r="C274" s="10" t="s">
        <v>9858</v>
      </c>
      <c r="D274" s="56" t="s">
        <v>9859</v>
      </c>
      <c r="E274" s="10" t="s">
        <v>45</v>
      </c>
      <c r="F274" s="10" t="s">
        <v>9860</v>
      </c>
      <c r="G274" s="10" t="s">
        <v>9419</v>
      </c>
      <c r="H274" s="10" t="s">
        <v>153</v>
      </c>
      <c r="I274" s="10" t="s">
        <v>55</v>
      </c>
      <c r="J274" s="10" t="s">
        <v>1797</v>
      </c>
      <c r="K274" s="10" t="s">
        <v>9861</v>
      </c>
      <c r="L274" s="10" t="s">
        <v>42</v>
      </c>
    </row>
    <row r="275" ht="15.75" customHeight="1">
      <c r="A275" s="66">
        <v>45497.0</v>
      </c>
      <c r="B275" s="55" t="str">
        <f>HYPERLINK("https://jobright.ai/jobs/info/66a1bbff62fcc94ef8d8fa8c?utm_campaign=1052&amp;utm_source=sheet", "Apply")</f>
        <v>Apply</v>
      </c>
      <c r="C275" s="10" t="s">
        <v>9590</v>
      </c>
      <c r="D275" s="56" t="s">
        <v>9591</v>
      </c>
      <c r="E275" s="10" t="s">
        <v>209</v>
      </c>
      <c r="F275" s="10" t="s">
        <v>534</v>
      </c>
      <c r="G275" s="10" t="s">
        <v>9419</v>
      </c>
      <c r="H275" s="10" t="s">
        <v>354</v>
      </c>
      <c r="I275" s="10" t="s">
        <v>55</v>
      </c>
      <c r="K275" s="10" t="s">
        <v>9592</v>
      </c>
      <c r="L275" s="10" t="s">
        <v>42</v>
      </c>
    </row>
    <row r="276" ht="15.75" customHeight="1">
      <c r="A276" s="66">
        <v>45497.0</v>
      </c>
      <c r="B276" s="55" t="str">
        <f>HYPERLINK("https://jobright.ai/jobs/info/66a184a2e6f51d676c026872?utm_campaign=1052&amp;utm_source=sheet", "Apply")</f>
        <v>Apply</v>
      </c>
      <c r="C276" s="10" t="s">
        <v>9862</v>
      </c>
      <c r="D276" s="56" t="s">
        <v>3515</v>
      </c>
      <c r="E276" s="10" t="s">
        <v>65</v>
      </c>
      <c r="F276" s="10" t="s">
        <v>3516</v>
      </c>
      <c r="G276" s="10" t="s">
        <v>1159</v>
      </c>
      <c r="H276" s="10" t="s">
        <v>636</v>
      </c>
      <c r="I276" s="10" t="s">
        <v>55</v>
      </c>
      <c r="K276" s="10" t="s">
        <v>9863</v>
      </c>
      <c r="L276" s="10" t="s">
        <v>42</v>
      </c>
    </row>
    <row r="277" ht="15.75" customHeight="1">
      <c r="A277" s="66">
        <v>45497.0</v>
      </c>
      <c r="B277" s="55" t="str">
        <f>HYPERLINK("https://jobright.ai/jobs/info/66a18e13cc283f3a593af22f?utm_campaign=1052&amp;utm_source=sheet", "Apply")</f>
        <v>Apply</v>
      </c>
      <c r="C277" s="10" t="s">
        <v>9864</v>
      </c>
      <c r="D277" s="56" t="s">
        <v>9865</v>
      </c>
      <c r="E277" s="10" t="s">
        <v>137</v>
      </c>
      <c r="F277" s="10" t="s">
        <v>9866</v>
      </c>
      <c r="G277" s="10" t="s">
        <v>1159</v>
      </c>
      <c r="H277" s="10" t="s">
        <v>165</v>
      </c>
      <c r="I277" s="10" t="s">
        <v>48</v>
      </c>
      <c r="K277" s="10" t="s">
        <v>9867</v>
      </c>
      <c r="L277" s="10" t="s">
        <v>42</v>
      </c>
    </row>
    <row r="278" ht="15.75" customHeight="1">
      <c r="A278" s="66">
        <v>45497.0</v>
      </c>
      <c r="B278" s="55" t="str">
        <f>HYPERLINK("https://jobright.ai/jobs/info/66a184abe6f51d676c02692e?utm_campaign=1052&amp;utm_source=sheet", "Apply")</f>
        <v>Apply</v>
      </c>
      <c r="C278" s="10" t="s">
        <v>9611</v>
      </c>
      <c r="D278" s="56" t="s">
        <v>9868</v>
      </c>
      <c r="E278" s="10" t="s">
        <v>209</v>
      </c>
      <c r="F278" s="10" t="s">
        <v>9869</v>
      </c>
      <c r="G278" s="10" t="s">
        <v>9419</v>
      </c>
      <c r="H278" s="10" t="s">
        <v>2280</v>
      </c>
      <c r="I278" s="10" t="s">
        <v>48</v>
      </c>
      <c r="K278" s="10" t="s">
        <v>9870</v>
      </c>
      <c r="L278" s="10" t="s">
        <v>42</v>
      </c>
    </row>
    <row r="279" ht="15.75" customHeight="1">
      <c r="A279" s="66">
        <v>45497.0</v>
      </c>
      <c r="B279" s="55" t="str">
        <f>HYPERLINK("https://jobright.ai/jobs/info/66a17482edfe0a13ffb3c7a5?utm_campaign=1052&amp;utm_source=sheet", "Apply")</f>
        <v>Apply</v>
      </c>
      <c r="C279" s="10" t="s">
        <v>9871</v>
      </c>
      <c r="D279" s="56" t="s">
        <v>673</v>
      </c>
      <c r="E279" s="10" t="s">
        <v>65</v>
      </c>
      <c r="F279" s="10" t="s">
        <v>100</v>
      </c>
      <c r="G279" s="10" t="s">
        <v>9419</v>
      </c>
      <c r="H279" s="10" t="s">
        <v>146</v>
      </c>
      <c r="I279" s="10" t="s">
        <v>55</v>
      </c>
      <c r="K279" s="10" t="s">
        <v>9872</v>
      </c>
      <c r="L279" s="10" t="s">
        <v>42</v>
      </c>
    </row>
    <row r="280" ht="15.75" customHeight="1">
      <c r="A280" s="66">
        <v>45497.0</v>
      </c>
      <c r="B280" s="55" t="str">
        <f>HYPERLINK("https://jobright.ai/jobs/info/66a17ca7db94ded6371aa1b6?utm_campaign=1052&amp;utm_source=sheet", "Apply")</f>
        <v>Apply</v>
      </c>
      <c r="C280" s="10" t="s">
        <v>9873</v>
      </c>
      <c r="D280" s="56" t="s">
        <v>9874</v>
      </c>
      <c r="E280" s="10" t="s">
        <v>209</v>
      </c>
      <c r="F280" s="10" t="s">
        <v>1427</v>
      </c>
      <c r="G280" s="10" t="s">
        <v>1159</v>
      </c>
      <c r="H280" s="10" t="s">
        <v>952</v>
      </c>
      <c r="I280" s="10" t="s">
        <v>55</v>
      </c>
      <c r="J280" s="10" t="s">
        <v>9875</v>
      </c>
      <c r="K280" s="10" t="s">
        <v>9876</v>
      </c>
      <c r="L280" s="10" t="s">
        <v>42</v>
      </c>
    </row>
    <row r="281" ht="15.75" customHeight="1">
      <c r="A281" s="66">
        <v>45497.0</v>
      </c>
      <c r="B281" s="55" t="str">
        <f>HYPERLINK("https://jobright.ai/jobs/info/66a16e0d2178a46615cb3034?utm_campaign=1052&amp;utm_source=sheet", "Apply")</f>
        <v>Apply</v>
      </c>
      <c r="C281" s="10" t="s">
        <v>9877</v>
      </c>
      <c r="D281" s="56" t="s">
        <v>9878</v>
      </c>
      <c r="E281" s="10" t="s">
        <v>79</v>
      </c>
      <c r="F281" s="10" t="s">
        <v>9879</v>
      </c>
      <c r="G281" s="10" t="s">
        <v>9419</v>
      </c>
      <c r="H281" s="10" t="s">
        <v>765</v>
      </c>
      <c r="I281" s="10" t="s">
        <v>55</v>
      </c>
      <c r="K281" s="10" t="s">
        <v>9880</v>
      </c>
      <c r="L281" s="10" t="s">
        <v>42</v>
      </c>
    </row>
    <row r="282" ht="15.75" customHeight="1">
      <c r="A282" s="66">
        <v>45497.0</v>
      </c>
      <c r="B282" s="55" t="str">
        <f>HYPERLINK("https://jobright.ai/jobs/info/66a16b495533323038bf9803?utm_campaign=1052&amp;utm_source=sheet", "Apply")</f>
        <v>Apply</v>
      </c>
      <c r="C282" s="10" t="s">
        <v>9881</v>
      </c>
      <c r="D282" s="56" t="s">
        <v>9882</v>
      </c>
      <c r="E282" s="10" t="s">
        <v>137</v>
      </c>
      <c r="F282" s="10" t="s">
        <v>1159</v>
      </c>
      <c r="G282" s="10" t="s">
        <v>9419</v>
      </c>
      <c r="H282" s="10" t="s">
        <v>131</v>
      </c>
      <c r="I282" s="10" t="s">
        <v>48</v>
      </c>
      <c r="K282" s="10" t="s">
        <v>9883</v>
      </c>
      <c r="L282" s="10" t="s">
        <v>42</v>
      </c>
    </row>
    <row r="283" ht="15.75" customHeight="1">
      <c r="A283" s="66">
        <v>45497.0</v>
      </c>
      <c r="B283" s="55" t="str">
        <f>HYPERLINK("https://jobright.ai/jobs/info/66a1720a5c9c5c51b4894d8b?utm_campaign=1052&amp;utm_source=sheet", "Apply")</f>
        <v>Apply</v>
      </c>
      <c r="C283" s="10" t="s">
        <v>9691</v>
      </c>
      <c r="D283" s="56" t="s">
        <v>9884</v>
      </c>
      <c r="E283" s="10" t="s">
        <v>45</v>
      </c>
      <c r="F283" s="10" t="s">
        <v>9885</v>
      </c>
      <c r="G283" s="10" t="s">
        <v>9419</v>
      </c>
      <c r="H283" s="10" t="s">
        <v>4897</v>
      </c>
      <c r="I283" s="10" t="s">
        <v>55</v>
      </c>
      <c r="J283" s="10" t="s">
        <v>9886</v>
      </c>
      <c r="K283" s="10" t="s">
        <v>9887</v>
      </c>
      <c r="L283" s="10" t="s">
        <v>42</v>
      </c>
    </row>
    <row r="284" ht="15.75" customHeight="1">
      <c r="A284" s="66">
        <v>45497.0</v>
      </c>
      <c r="B284" s="55" t="str">
        <f>HYPERLINK("https://jobright.ai/jobs/info/66a1529d5d7045056dc4155e?utm_campaign=1052&amp;utm_source=sheet", "Apply")</f>
        <v>Apply</v>
      </c>
      <c r="C284" s="10" t="s">
        <v>9888</v>
      </c>
      <c r="D284" s="56" t="s">
        <v>9889</v>
      </c>
      <c r="E284" s="10" t="s">
        <v>45</v>
      </c>
      <c r="F284" s="10" t="s">
        <v>1184</v>
      </c>
      <c r="G284" s="10" t="s">
        <v>9419</v>
      </c>
      <c r="H284" s="10" t="s">
        <v>9890</v>
      </c>
      <c r="I284" s="10" t="s">
        <v>55</v>
      </c>
      <c r="K284" s="10" t="s">
        <v>9891</v>
      </c>
      <c r="L284" s="10" t="s">
        <v>42</v>
      </c>
    </row>
    <row r="285" ht="15.75" customHeight="1">
      <c r="A285" s="66">
        <v>45497.0</v>
      </c>
      <c r="B285" s="55" t="str">
        <f>HYPERLINK("https://jobright.ai/jobs/info/66a1208b6e4fe12a323cece1?utm_campaign=1052&amp;utm_source=sheet", "Apply")</f>
        <v>Apply</v>
      </c>
      <c r="C285" s="10" t="s">
        <v>9892</v>
      </c>
      <c r="D285" s="56" t="s">
        <v>9893</v>
      </c>
      <c r="E285" s="10" t="s">
        <v>65</v>
      </c>
      <c r="F285" s="10" t="s">
        <v>259</v>
      </c>
      <c r="G285" s="10" t="s">
        <v>1159</v>
      </c>
      <c r="H285" s="10" t="s">
        <v>9894</v>
      </c>
      <c r="I285" s="10" t="s">
        <v>55</v>
      </c>
      <c r="K285" s="10" t="s">
        <v>9895</v>
      </c>
      <c r="L285" s="10" t="s">
        <v>42</v>
      </c>
    </row>
    <row r="286" ht="15.75" customHeight="1">
      <c r="A286" s="66">
        <v>45497.0</v>
      </c>
      <c r="B286" s="55" t="str">
        <f>HYPERLINK("https://jobright.ai/jobs/info/66a11ec82b30156284a3c4c5?utm_campaign=1052&amp;utm_source=sheet", "Apply")</f>
        <v>Apply</v>
      </c>
      <c r="C286" s="10" t="s">
        <v>9896</v>
      </c>
      <c r="D286" s="56" t="s">
        <v>9607</v>
      </c>
      <c r="E286" s="10" t="s">
        <v>45</v>
      </c>
      <c r="F286" s="10" t="s">
        <v>722</v>
      </c>
      <c r="G286" s="10" t="s">
        <v>1159</v>
      </c>
      <c r="H286" s="10" t="s">
        <v>921</v>
      </c>
      <c r="I286" s="10" t="s">
        <v>48</v>
      </c>
      <c r="J286" s="10" t="s">
        <v>9626</v>
      </c>
      <c r="K286" s="10" t="s">
        <v>9609</v>
      </c>
      <c r="L286" s="10" t="s">
        <v>42</v>
      </c>
    </row>
    <row r="287" ht="15.75" customHeight="1">
      <c r="A287" s="66">
        <v>45497.0</v>
      </c>
      <c r="B287" s="55" t="str">
        <f>HYPERLINK("https://jobright.ai/jobs/info/66a11ec82b30156284a3c4f2?utm_campaign=1052&amp;utm_source=sheet", "Apply")</f>
        <v>Apply</v>
      </c>
      <c r="C287" s="10" t="s">
        <v>9897</v>
      </c>
      <c r="D287" s="56" t="s">
        <v>9898</v>
      </c>
      <c r="E287" s="10">
        <v>369.0</v>
      </c>
      <c r="G287" s="10" t="s">
        <v>9414</v>
      </c>
      <c r="H287" s="10" t="s">
        <v>153</v>
      </c>
      <c r="I287" s="10" t="s">
        <v>55</v>
      </c>
      <c r="K287" s="10" t="s">
        <v>9899</v>
      </c>
      <c r="L287" s="10" t="s">
        <v>42</v>
      </c>
    </row>
    <row r="288" ht="15.75" customHeight="1">
      <c r="A288" s="66">
        <v>45497.0</v>
      </c>
      <c r="B288" s="55" t="str">
        <f>HYPERLINK("https://jobright.ai/jobs/info/66a10e6677417df7b9f09154?utm_campaign=1052&amp;utm_source=sheet", "Apply")</f>
        <v>Apply</v>
      </c>
      <c r="C288" s="10" t="s">
        <v>9517</v>
      </c>
      <c r="D288" s="56" t="s">
        <v>9900</v>
      </c>
      <c r="E288" s="10" t="s">
        <v>249</v>
      </c>
      <c r="F288" s="10" t="s">
        <v>9901</v>
      </c>
      <c r="G288" s="10" t="s">
        <v>1159</v>
      </c>
      <c r="H288" s="10" t="s">
        <v>7220</v>
      </c>
      <c r="I288" s="10" t="s">
        <v>48</v>
      </c>
      <c r="K288" s="10" t="s">
        <v>9902</v>
      </c>
      <c r="L288" s="10" t="s">
        <v>42</v>
      </c>
    </row>
    <row r="289" ht="15.75" customHeight="1">
      <c r="A289" s="66">
        <v>45497.0</v>
      </c>
      <c r="B289" s="55" t="str">
        <f>HYPERLINK("https://jobright.ai/jobs/info/66a3ef9487fb29a0df319665?utm_campaign=1052&amp;utm_source=sheet", "Apply")</f>
        <v>Apply</v>
      </c>
      <c r="C289" s="10" t="s">
        <v>9903</v>
      </c>
      <c r="D289" s="56" t="s">
        <v>9904</v>
      </c>
      <c r="E289" s="10" t="s">
        <v>45</v>
      </c>
      <c r="F289" s="10" t="s">
        <v>9905</v>
      </c>
      <c r="G289" s="10" t="s">
        <v>9414</v>
      </c>
      <c r="H289" s="10" t="s">
        <v>848</v>
      </c>
      <c r="I289" s="10" t="s">
        <v>55</v>
      </c>
      <c r="K289" s="10" t="s">
        <v>9906</v>
      </c>
      <c r="L289" s="10" t="s">
        <v>42</v>
      </c>
    </row>
    <row r="290" ht="15.75" customHeight="1">
      <c r="A290" s="66">
        <v>45497.0</v>
      </c>
      <c r="B290" s="55" t="str">
        <f>HYPERLINK("https://jobright.ai/jobs/info/66a3ef9487fb29a0df319693?utm_campaign=1052&amp;utm_source=sheet", "Apply")</f>
        <v>Apply</v>
      </c>
      <c r="C290" s="10" t="s">
        <v>9907</v>
      </c>
      <c r="D290" s="56" t="s">
        <v>9908</v>
      </c>
      <c r="E290" s="10" t="s">
        <v>45</v>
      </c>
      <c r="F290" s="10" t="s">
        <v>2850</v>
      </c>
      <c r="G290" s="10" t="s">
        <v>9414</v>
      </c>
      <c r="H290" s="10" t="s">
        <v>9909</v>
      </c>
      <c r="I290" s="10" t="s">
        <v>55</v>
      </c>
      <c r="K290" s="10" t="s">
        <v>9910</v>
      </c>
      <c r="L290" s="10" t="s">
        <v>42</v>
      </c>
    </row>
    <row r="291" ht="15.75" customHeight="1">
      <c r="A291" s="66">
        <v>45497.0</v>
      </c>
      <c r="B291" s="55" t="str">
        <f>HYPERLINK("https://jobright.ai/jobs/info/66683e795475b41372997b98?utm_campaign=1052&amp;utm_source=sheet", "Apply")</f>
        <v>Apply</v>
      </c>
      <c r="C291" s="10" t="s">
        <v>9911</v>
      </c>
      <c r="D291" s="56" t="s">
        <v>9623</v>
      </c>
      <c r="E291" s="10">
        <v>52219.0</v>
      </c>
      <c r="G291" s="10" t="s">
        <v>9419</v>
      </c>
      <c r="H291" s="10" t="s">
        <v>167</v>
      </c>
      <c r="I291" s="10" t="s">
        <v>55</v>
      </c>
      <c r="K291" s="10" t="s">
        <v>9912</v>
      </c>
      <c r="L291" s="10" t="s">
        <v>42</v>
      </c>
    </row>
    <row r="292" ht="15.75" customHeight="1">
      <c r="A292" s="66">
        <v>45497.0</v>
      </c>
      <c r="B292" s="55" t="str">
        <f>HYPERLINK("https://jobright.ai/jobs/info/6684951cbe126f4204d09826?utm_campaign=1052&amp;utm_source=sheet", "Apply")</f>
        <v>Apply</v>
      </c>
      <c r="C292" s="10" t="s">
        <v>9913</v>
      </c>
      <c r="D292" s="56" t="s">
        <v>9914</v>
      </c>
      <c r="E292" s="10" t="s">
        <v>249</v>
      </c>
      <c r="F292" s="10" t="s">
        <v>3684</v>
      </c>
      <c r="G292" s="10" t="s">
        <v>9414</v>
      </c>
      <c r="H292" s="10" t="s">
        <v>96</v>
      </c>
      <c r="I292" s="10" t="s">
        <v>55</v>
      </c>
      <c r="K292" s="10" t="s">
        <v>9915</v>
      </c>
      <c r="L292" s="10" t="s">
        <v>42</v>
      </c>
    </row>
    <row r="293" ht="15.75" customHeight="1">
      <c r="A293" s="66">
        <v>45497.0</v>
      </c>
      <c r="B293" s="55" t="str">
        <f>HYPERLINK("https://jobright.ai/jobs/info/66844cfd57137359d96067a9?utm_campaign=1052&amp;utm_source=sheet", "Apply")</f>
        <v>Apply</v>
      </c>
      <c r="C293" s="10" t="s">
        <v>9916</v>
      </c>
      <c r="D293" s="56" t="s">
        <v>9917</v>
      </c>
      <c r="E293" s="10" t="s">
        <v>65</v>
      </c>
      <c r="F293" s="10" t="s">
        <v>9918</v>
      </c>
      <c r="G293" s="10" t="s">
        <v>9414</v>
      </c>
      <c r="H293" s="10" t="s">
        <v>153</v>
      </c>
      <c r="I293" s="10" t="s">
        <v>55</v>
      </c>
      <c r="K293" s="10" t="s">
        <v>9919</v>
      </c>
      <c r="L293" s="10" t="s">
        <v>42</v>
      </c>
    </row>
    <row r="294" ht="15.75" customHeight="1">
      <c r="A294" s="66">
        <v>45497.0</v>
      </c>
      <c r="B294" s="55" t="str">
        <f>HYPERLINK("https://jobright.ai/jobs/info/66684f5990e17dfadf831814?utm_campaign=1052&amp;utm_source=sheet", "Apply")</f>
        <v>Apply</v>
      </c>
      <c r="C294" s="10" t="s">
        <v>9622</v>
      </c>
      <c r="D294" s="56" t="s">
        <v>9623</v>
      </c>
      <c r="E294" s="10">
        <v>52219.0</v>
      </c>
      <c r="G294" s="10" t="s">
        <v>9419</v>
      </c>
      <c r="H294" s="10" t="s">
        <v>843</v>
      </c>
      <c r="I294" s="10" t="s">
        <v>55</v>
      </c>
      <c r="K294" s="10" t="s">
        <v>9624</v>
      </c>
      <c r="L294" s="10" t="s">
        <v>42</v>
      </c>
    </row>
    <row r="295" ht="15.75" customHeight="1">
      <c r="A295" s="66">
        <v>45497.0</v>
      </c>
      <c r="B295" s="55" t="str">
        <f>HYPERLINK("https://jobright.ai/jobs/info/6683f21c3277bfbb22b489c3?utm_campaign=1052&amp;utm_source=sheet", "Apply")</f>
        <v>Apply</v>
      </c>
      <c r="C295" s="10" t="s">
        <v>9920</v>
      </c>
      <c r="D295" s="56" t="s">
        <v>9921</v>
      </c>
      <c r="E295" s="10" t="s">
        <v>249</v>
      </c>
      <c r="F295" s="10" t="s">
        <v>722</v>
      </c>
      <c r="G295" s="10" t="s">
        <v>9419</v>
      </c>
      <c r="H295" s="10" t="s">
        <v>572</v>
      </c>
      <c r="I295" s="10" t="s">
        <v>55</v>
      </c>
      <c r="K295" s="10" t="s">
        <v>9922</v>
      </c>
      <c r="L295" s="10" t="s">
        <v>42</v>
      </c>
    </row>
    <row r="296" ht="15.75" customHeight="1">
      <c r="A296" s="66">
        <v>45497.0</v>
      </c>
      <c r="B296" s="55" t="str">
        <f>HYPERLINK("https://jobright.ai/jobs/info/66a0e046ebcb724a62692c0c?utm_campaign=1052&amp;utm_source=sheet", "Apply")</f>
        <v>Apply</v>
      </c>
      <c r="C296" s="10" t="s">
        <v>9923</v>
      </c>
      <c r="D296" s="56" t="s">
        <v>385</v>
      </c>
      <c r="E296" s="10" t="s">
        <v>45</v>
      </c>
      <c r="F296" s="10" t="s">
        <v>386</v>
      </c>
      <c r="G296" s="10" t="s">
        <v>1159</v>
      </c>
      <c r="H296" s="10" t="s">
        <v>423</v>
      </c>
      <c r="I296" s="10" t="s">
        <v>55</v>
      </c>
      <c r="J296" s="10" t="s">
        <v>9924</v>
      </c>
      <c r="K296" s="10" t="s">
        <v>9925</v>
      </c>
      <c r="L296" s="10" t="s">
        <v>42</v>
      </c>
    </row>
    <row r="297" ht="15.75" customHeight="1">
      <c r="A297" s="66">
        <v>45497.0</v>
      </c>
      <c r="B297" s="55" t="str">
        <f>HYPERLINK("https://jobright.ai/jobs/info/6675d84b28c07253dad6a11b?utm_campaign=1052&amp;utm_source=sheet", "Apply")</f>
        <v>Apply</v>
      </c>
      <c r="C297" s="10" t="s">
        <v>9926</v>
      </c>
      <c r="D297" s="56" t="s">
        <v>9927</v>
      </c>
      <c r="E297" s="10" t="s">
        <v>45</v>
      </c>
      <c r="F297" s="10" t="s">
        <v>2431</v>
      </c>
      <c r="G297" s="10" t="s">
        <v>1159</v>
      </c>
      <c r="H297" s="10" t="s">
        <v>245</v>
      </c>
      <c r="I297" s="10" t="s">
        <v>55</v>
      </c>
      <c r="J297" s="10" t="s">
        <v>9928</v>
      </c>
      <c r="K297" s="10" t="s">
        <v>9929</v>
      </c>
      <c r="L297" s="10" t="s">
        <v>42</v>
      </c>
    </row>
    <row r="298" ht="15.75" customHeight="1">
      <c r="A298" s="66">
        <v>45497.0</v>
      </c>
      <c r="B298" s="55" t="str">
        <f>HYPERLINK("https://jobright.ai/jobs/info/66849502be126f4204d09673?utm_campaign=1052&amp;utm_source=sheet", "Apply")</f>
        <v>Apply</v>
      </c>
      <c r="C298" s="10" t="s">
        <v>9930</v>
      </c>
      <c r="D298" s="56" t="s">
        <v>9643</v>
      </c>
      <c r="E298" s="10" t="s">
        <v>249</v>
      </c>
      <c r="F298" s="10" t="s">
        <v>534</v>
      </c>
      <c r="G298" s="10" t="s">
        <v>9419</v>
      </c>
      <c r="H298" s="10" t="s">
        <v>9931</v>
      </c>
      <c r="I298" s="10" t="s">
        <v>48</v>
      </c>
      <c r="J298" s="10" t="s">
        <v>9932</v>
      </c>
      <c r="K298" s="10" t="s">
        <v>9933</v>
      </c>
      <c r="L298" s="10" t="s">
        <v>42</v>
      </c>
    </row>
    <row r="299" ht="15.75" customHeight="1">
      <c r="A299" s="66">
        <v>45497.0</v>
      </c>
      <c r="B299" s="55" t="str">
        <f>HYPERLINK("https://jobright.ai/jobs/info/66678fec561a51ea497fb35e?utm_campaign=1052&amp;utm_source=sheet", "Apply")</f>
        <v>Apply</v>
      </c>
      <c r="C299" s="10" t="s">
        <v>9934</v>
      </c>
      <c r="D299" s="56" t="s">
        <v>9695</v>
      </c>
      <c r="E299" s="10" t="s">
        <v>65</v>
      </c>
      <c r="F299" s="10" t="s">
        <v>1312</v>
      </c>
      <c r="G299" s="10" t="s">
        <v>9419</v>
      </c>
      <c r="H299" s="10" t="s">
        <v>7659</v>
      </c>
      <c r="I299" s="10" t="s">
        <v>48</v>
      </c>
      <c r="K299" s="10" t="s">
        <v>9696</v>
      </c>
      <c r="L299" s="10" t="s">
        <v>42</v>
      </c>
    </row>
    <row r="300" ht="15.75" customHeight="1">
      <c r="A300" s="66">
        <v>45497.0</v>
      </c>
      <c r="B300" s="55" t="str">
        <f>HYPERLINK("https://jobright.ai/jobs/info/66848349c770f1ca05bcb49f?utm_campaign=1052&amp;utm_source=sheet", "Apply")</f>
        <v>Apply</v>
      </c>
      <c r="C300" s="10" t="s">
        <v>9935</v>
      </c>
      <c r="D300" s="56" t="s">
        <v>9921</v>
      </c>
      <c r="E300" s="10" t="s">
        <v>249</v>
      </c>
      <c r="F300" s="10" t="s">
        <v>722</v>
      </c>
      <c r="G300" s="10" t="s">
        <v>9419</v>
      </c>
      <c r="H300" s="10" t="s">
        <v>438</v>
      </c>
      <c r="I300" s="10" t="s">
        <v>55</v>
      </c>
      <c r="K300" s="10" t="s">
        <v>9936</v>
      </c>
      <c r="L300" s="10" t="s">
        <v>42</v>
      </c>
    </row>
    <row r="301" ht="15.75" customHeight="1">
      <c r="A301" s="66">
        <v>45497.0</v>
      </c>
      <c r="B301" s="55" t="str">
        <f>HYPERLINK("https://jobright.ai/jobs/info/668490d723fbc70f728b9e34?utm_campaign=1052&amp;utm_source=sheet", "Apply")</f>
        <v>Apply</v>
      </c>
      <c r="C301" s="10" t="s">
        <v>9913</v>
      </c>
      <c r="D301" s="56" t="s">
        <v>9937</v>
      </c>
      <c r="E301" s="10" t="s">
        <v>45</v>
      </c>
      <c r="F301" s="10" t="s">
        <v>9938</v>
      </c>
      <c r="G301" s="10" t="s">
        <v>9414</v>
      </c>
      <c r="H301" s="10" t="s">
        <v>96</v>
      </c>
      <c r="I301" s="10" t="s">
        <v>55</v>
      </c>
      <c r="K301" s="10" t="s">
        <v>9915</v>
      </c>
      <c r="L301" s="10" t="s">
        <v>42</v>
      </c>
    </row>
    <row r="302" ht="15.75" customHeight="1">
      <c r="A302" s="66">
        <v>45497.0</v>
      </c>
      <c r="B302" s="55" t="str">
        <f>HYPERLINK("https://jobright.ai/jobs/info/66679b5349717280c92ad440?utm_campaign=1052&amp;utm_source=sheet", "Apply")</f>
        <v>Apply</v>
      </c>
      <c r="C302" s="10" t="s">
        <v>9939</v>
      </c>
      <c r="D302" s="56" t="s">
        <v>9695</v>
      </c>
      <c r="E302" s="10" t="s">
        <v>65</v>
      </c>
      <c r="F302" s="10" t="s">
        <v>1312</v>
      </c>
      <c r="G302" s="10" t="s">
        <v>9419</v>
      </c>
      <c r="H302" s="10" t="s">
        <v>7659</v>
      </c>
      <c r="I302" s="10" t="s">
        <v>48</v>
      </c>
      <c r="K302" s="10" t="s">
        <v>9696</v>
      </c>
      <c r="L302" s="10" t="s">
        <v>42</v>
      </c>
    </row>
    <row r="303" ht="15.75" customHeight="1">
      <c r="A303" s="66">
        <v>45497.0</v>
      </c>
      <c r="B303" s="55" t="str">
        <f>HYPERLINK("https://jobright.ai/jobs/info/66843c1a28541b6ce54b5f83?utm_campaign=1052&amp;utm_source=sheet", "Apply")</f>
        <v>Apply</v>
      </c>
      <c r="C303" s="10" t="s">
        <v>9513</v>
      </c>
      <c r="D303" s="56" t="s">
        <v>2631</v>
      </c>
      <c r="E303" s="10" t="s">
        <v>209</v>
      </c>
      <c r="F303" s="10" t="s">
        <v>2632</v>
      </c>
      <c r="G303" s="10" t="s">
        <v>9414</v>
      </c>
      <c r="H303" s="10" t="s">
        <v>168</v>
      </c>
      <c r="I303" s="10" t="s">
        <v>55</v>
      </c>
      <c r="K303" s="10" t="s">
        <v>9940</v>
      </c>
      <c r="L303" s="10" t="s">
        <v>42</v>
      </c>
    </row>
    <row r="304" ht="15.75" customHeight="1">
      <c r="A304" s="66">
        <v>45497.0</v>
      </c>
      <c r="B304" s="55" t="str">
        <f>HYPERLINK("https://jobright.ai/jobs/info/660ece181cbac0908bb9d0da?utm_campaign=1052&amp;utm_source=sheet", "Apply")</f>
        <v>Apply</v>
      </c>
      <c r="C304" s="10" t="s">
        <v>9941</v>
      </c>
      <c r="D304" s="56" t="s">
        <v>9942</v>
      </c>
      <c r="E304" s="10" t="s">
        <v>45</v>
      </c>
      <c r="F304" s="10" t="s">
        <v>9943</v>
      </c>
      <c r="G304" s="10" t="s">
        <v>9414</v>
      </c>
      <c r="H304" s="10" t="s">
        <v>96</v>
      </c>
      <c r="I304" s="10" t="s">
        <v>55</v>
      </c>
      <c r="J304" s="10" t="s">
        <v>9944</v>
      </c>
      <c r="K304" s="10" t="s">
        <v>9945</v>
      </c>
      <c r="L304" s="10" t="s">
        <v>42</v>
      </c>
    </row>
    <row r="305" ht="15.75" customHeight="1">
      <c r="A305" s="66">
        <v>45497.0</v>
      </c>
      <c r="B305" s="55" t="str">
        <f>HYPERLINK("https://jobright.ai/jobs/info/660ece101cbac0908bb9d093?utm_campaign=1052&amp;utm_source=sheet", "Apply")</f>
        <v>Apply</v>
      </c>
      <c r="C305" s="10" t="s">
        <v>9946</v>
      </c>
      <c r="D305" s="56" t="s">
        <v>9942</v>
      </c>
      <c r="E305" s="10" t="s">
        <v>45</v>
      </c>
      <c r="F305" s="10" t="s">
        <v>9943</v>
      </c>
      <c r="G305" s="10" t="s">
        <v>9414</v>
      </c>
      <c r="H305" s="10" t="s">
        <v>96</v>
      </c>
      <c r="I305" s="10" t="s">
        <v>55</v>
      </c>
      <c r="J305" s="10" t="s">
        <v>9944</v>
      </c>
      <c r="K305" s="10" t="s">
        <v>9945</v>
      </c>
      <c r="L305" s="10" t="s">
        <v>42</v>
      </c>
    </row>
    <row r="306" ht="15.75" customHeight="1">
      <c r="A306" s="66">
        <v>45497.0</v>
      </c>
      <c r="B306" s="55" t="str">
        <f>HYPERLINK("https://jobright.ai/jobs/info/66a0933052dc0fa96812b0ca?utm_campaign=1052&amp;utm_source=sheet", "Apply")</f>
        <v>Apply</v>
      </c>
      <c r="C306" s="10" t="s">
        <v>9947</v>
      </c>
      <c r="D306" s="56" t="s">
        <v>5597</v>
      </c>
      <c r="E306" s="10" t="s">
        <v>45</v>
      </c>
      <c r="F306" s="10" t="s">
        <v>486</v>
      </c>
      <c r="G306" s="10" t="s">
        <v>9419</v>
      </c>
      <c r="H306" s="10" t="s">
        <v>152</v>
      </c>
      <c r="I306" s="10" t="s">
        <v>55</v>
      </c>
      <c r="J306" s="10" t="s">
        <v>4189</v>
      </c>
      <c r="K306" s="10" t="s">
        <v>9948</v>
      </c>
      <c r="L306" s="10" t="s">
        <v>42</v>
      </c>
    </row>
    <row r="307" ht="15.75" customHeight="1">
      <c r="A307" s="66">
        <v>45497.0</v>
      </c>
      <c r="B307" s="55" t="str">
        <f>HYPERLINK("https://jobright.ai/jobs/info/66a087ca92fc950024d1d4d0?utm_campaign=1052&amp;utm_source=sheet", "Apply")</f>
        <v>Apply</v>
      </c>
      <c r="C307" s="10" t="s">
        <v>9949</v>
      </c>
      <c r="D307" s="56" t="s">
        <v>9950</v>
      </c>
      <c r="E307" s="10" t="s">
        <v>45</v>
      </c>
      <c r="F307" s="10" t="s">
        <v>2409</v>
      </c>
      <c r="G307" s="10" t="s">
        <v>1159</v>
      </c>
      <c r="H307" s="10" t="s">
        <v>872</v>
      </c>
      <c r="I307" s="10" t="s">
        <v>48</v>
      </c>
      <c r="K307" s="10" t="s">
        <v>9951</v>
      </c>
      <c r="L307" s="10" t="s">
        <v>42</v>
      </c>
    </row>
    <row r="308" ht="15.75" customHeight="1">
      <c r="A308" s="66">
        <v>45497.0</v>
      </c>
      <c r="B308" s="55" t="str">
        <f>HYPERLINK("https://jobright.ai/jobs/info/66a085147f86226a3d6cfe8a?utm_campaign=1052&amp;utm_source=sheet", "Apply")</f>
        <v>Apply</v>
      </c>
      <c r="C308" s="10" t="s">
        <v>9793</v>
      </c>
      <c r="D308" s="56" t="s">
        <v>9607</v>
      </c>
      <c r="E308" s="10" t="s">
        <v>45</v>
      </c>
      <c r="F308" s="10" t="s">
        <v>722</v>
      </c>
      <c r="G308" s="10" t="s">
        <v>9419</v>
      </c>
      <c r="H308" s="10" t="s">
        <v>113</v>
      </c>
      <c r="I308" s="10" t="s">
        <v>48</v>
      </c>
      <c r="J308" s="10" t="s">
        <v>9952</v>
      </c>
      <c r="K308" s="10" t="s">
        <v>9609</v>
      </c>
      <c r="L308" s="10" t="s">
        <v>42</v>
      </c>
    </row>
    <row r="309" ht="15.75" customHeight="1">
      <c r="A309" s="66">
        <v>45497.0</v>
      </c>
      <c r="B309" s="55" t="str">
        <f>HYPERLINK("https://jobright.ai/jobs/info/66a09c1c32a85301d982ab8c?utm_campaign=1052&amp;utm_source=sheet", "Apply")</f>
        <v>Apply</v>
      </c>
      <c r="C309" s="10" t="s">
        <v>9953</v>
      </c>
      <c r="D309" s="56" t="s">
        <v>1183</v>
      </c>
      <c r="E309" s="10" t="s">
        <v>45</v>
      </c>
      <c r="F309" s="10" t="s">
        <v>1184</v>
      </c>
      <c r="G309" s="10" t="s">
        <v>9414</v>
      </c>
      <c r="H309" s="10" t="s">
        <v>9220</v>
      </c>
      <c r="I309" s="10" t="s">
        <v>55</v>
      </c>
      <c r="J309" s="66"/>
      <c r="K309" s="10" t="s">
        <v>9954</v>
      </c>
      <c r="L309" s="10" t="s">
        <v>42</v>
      </c>
    </row>
    <row r="310" ht="15.75" customHeight="1">
      <c r="A310" s="66">
        <v>45497.0</v>
      </c>
      <c r="B310" s="55" t="str">
        <f>HYPERLINK("https://jobright.ai/jobs/info/667d73efacc51afa47c3d338?utm_campaign=1052&amp;utm_source=sheet", "Apply")</f>
        <v>Apply</v>
      </c>
      <c r="C310" s="10" t="s">
        <v>9955</v>
      </c>
      <c r="D310" s="56" t="s">
        <v>1496</v>
      </c>
      <c r="E310" s="10" t="s">
        <v>45</v>
      </c>
      <c r="F310" s="10" t="s">
        <v>1497</v>
      </c>
      <c r="G310" s="10" t="s">
        <v>9419</v>
      </c>
      <c r="H310" s="10" t="s">
        <v>578</v>
      </c>
      <c r="I310" s="10" t="s">
        <v>55</v>
      </c>
      <c r="K310" s="10" t="s">
        <v>9956</v>
      </c>
      <c r="L310" s="10" t="s">
        <v>42</v>
      </c>
    </row>
    <row r="311" ht="15.75" customHeight="1">
      <c r="A311" s="66">
        <v>45497.0</v>
      </c>
      <c r="B311" s="55" t="str">
        <f>HYPERLINK("https://jobright.ai/jobs/info/66a0560d691feb6342ddb767?utm_campaign=1052&amp;utm_source=sheet", "Apply")</f>
        <v>Apply</v>
      </c>
      <c r="C311" s="10" t="s">
        <v>9957</v>
      </c>
      <c r="D311" s="56" t="s">
        <v>9958</v>
      </c>
      <c r="E311" s="10" t="s">
        <v>137</v>
      </c>
      <c r="F311" s="10" t="s">
        <v>9959</v>
      </c>
      <c r="G311" s="10" t="s">
        <v>9419</v>
      </c>
      <c r="H311" s="10" t="s">
        <v>5373</v>
      </c>
      <c r="I311" s="10" t="s">
        <v>55</v>
      </c>
      <c r="K311" s="10" t="s">
        <v>9960</v>
      </c>
      <c r="L311" s="10" t="s">
        <v>42</v>
      </c>
    </row>
    <row r="312" ht="15.75" customHeight="1">
      <c r="A312" s="66">
        <v>45497.0</v>
      </c>
      <c r="B312" s="55" t="str">
        <f>HYPERLINK("https://jobright.ai/jobs/info/66a1666ef0a8c0435deb1a6b?utm_campaign=1052&amp;utm_source=sheet", "Apply")</f>
        <v>Apply</v>
      </c>
      <c r="C312" s="10" t="s">
        <v>9961</v>
      </c>
      <c r="D312" s="56" t="s">
        <v>9607</v>
      </c>
      <c r="E312" s="10" t="s">
        <v>45</v>
      </c>
      <c r="F312" s="10" t="s">
        <v>722</v>
      </c>
      <c r="G312" s="10" t="s">
        <v>9419</v>
      </c>
      <c r="H312" s="10" t="s">
        <v>9962</v>
      </c>
      <c r="I312" s="10" t="s">
        <v>55</v>
      </c>
      <c r="J312" s="10" t="s">
        <v>9952</v>
      </c>
      <c r="K312" s="10" t="s">
        <v>9609</v>
      </c>
      <c r="L312" s="10" t="s">
        <v>42</v>
      </c>
    </row>
    <row r="313" ht="15.75" customHeight="1">
      <c r="A313" s="66">
        <v>45497.0</v>
      </c>
      <c r="B313" s="55" t="str">
        <f>HYPERLINK("https://jobright.ai/jobs/info/66a11010ce5fc9388e3f1737?utm_campaign=1052&amp;utm_source=sheet", "Apply")</f>
        <v>Apply</v>
      </c>
      <c r="C313" s="10" t="s">
        <v>9963</v>
      </c>
      <c r="D313" s="56" t="s">
        <v>1414</v>
      </c>
      <c r="E313" s="10" t="s">
        <v>45</v>
      </c>
      <c r="F313" s="10" t="s">
        <v>1415</v>
      </c>
      <c r="G313" s="10" t="s">
        <v>9419</v>
      </c>
      <c r="H313" s="10" t="s">
        <v>5030</v>
      </c>
      <c r="I313" s="10" t="s">
        <v>55</v>
      </c>
      <c r="K313" s="10" t="s">
        <v>9536</v>
      </c>
      <c r="L313" s="10" t="s">
        <v>42</v>
      </c>
    </row>
    <row r="314" ht="15.75" customHeight="1">
      <c r="A314" s="66">
        <v>45497.0</v>
      </c>
      <c r="B314" s="55" t="str">
        <f>HYPERLINK("https://jobright.ai/jobs/info/66a16fb8ab9e06507bfa0cdb?utm_campaign=1052&amp;utm_source=sheet", "Apply")</f>
        <v>Apply</v>
      </c>
      <c r="C314" s="10" t="s">
        <v>9858</v>
      </c>
      <c r="D314" s="56" t="s">
        <v>9859</v>
      </c>
      <c r="E314" s="10" t="s">
        <v>45</v>
      </c>
      <c r="F314" s="10" t="s">
        <v>9860</v>
      </c>
      <c r="G314" s="10" t="s">
        <v>9419</v>
      </c>
      <c r="H314" s="10" t="s">
        <v>1188</v>
      </c>
      <c r="I314" s="10" t="s">
        <v>55</v>
      </c>
      <c r="J314" s="10" t="s">
        <v>1797</v>
      </c>
      <c r="K314" s="10" t="s">
        <v>9861</v>
      </c>
      <c r="L314" s="10" t="s">
        <v>42</v>
      </c>
    </row>
    <row r="315" ht="15.75" customHeight="1">
      <c r="A315" s="66">
        <v>45496.0</v>
      </c>
      <c r="B315" s="55" t="str">
        <f>HYPERLINK("https://jobright.ai/jobs/info/66a041af7c01780db9fac8c7?utm_campaign=1052&amp;utm_source=sheet", "Apply")</f>
        <v>Apply</v>
      </c>
      <c r="C315" s="10" t="s">
        <v>9964</v>
      </c>
      <c r="D315" s="56" t="s">
        <v>9965</v>
      </c>
      <c r="E315" s="10" t="s">
        <v>79</v>
      </c>
      <c r="F315" s="10" t="s">
        <v>1485</v>
      </c>
      <c r="G315" s="10" t="s">
        <v>9414</v>
      </c>
      <c r="H315" s="10" t="s">
        <v>919</v>
      </c>
      <c r="I315" s="10" t="s">
        <v>55</v>
      </c>
      <c r="K315" s="10" t="s">
        <v>9966</v>
      </c>
      <c r="L315" s="10" t="s">
        <v>42</v>
      </c>
    </row>
    <row r="316" ht="15.75" customHeight="1">
      <c r="A316" s="66">
        <v>45496.0</v>
      </c>
      <c r="B316" s="55" t="str">
        <f>HYPERLINK("https://jobright.ai/jobs/info/66a03c56cabc57d8db4d1e82?utm_campaign=1052&amp;utm_source=sheet", "Apply")</f>
        <v>Apply</v>
      </c>
      <c r="C316" s="10" t="s">
        <v>9967</v>
      </c>
      <c r="D316" s="56" t="s">
        <v>9968</v>
      </c>
      <c r="E316" s="10" t="s">
        <v>209</v>
      </c>
      <c r="F316" s="10" t="s">
        <v>9969</v>
      </c>
      <c r="G316" s="10" t="s">
        <v>9414</v>
      </c>
      <c r="H316" s="10" t="s">
        <v>1011</v>
      </c>
      <c r="I316" s="10" t="s">
        <v>55</v>
      </c>
      <c r="K316" s="10" t="s">
        <v>9970</v>
      </c>
      <c r="L316" s="10" t="s">
        <v>42</v>
      </c>
    </row>
    <row r="317" ht="15.75" customHeight="1">
      <c r="A317" s="66">
        <v>45496.0</v>
      </c>
      <c r="B317" s="55" t="str">
        <f>HYPERLINK("https://jobright.ai/jobs/info/66a045b127f3a8d785fe0086?utm_campaign=1052&amp;utm_source=sheet", "Apply")</f>
        <v>Apply</v>
      </c>
      <c r="C317" s="10" t="s">
        <v>9953</v>
      </c>
      <c r="D317" s="56" t="s">
        <v>1183</v>
      </c>
      <c r="E317" s="10" t="s">
        <v>45</v>
      </c>
      <c r="F317" s="10" t="s">
        <v>1184</v>
      </c>
      <c r="G317" s="10" t="s">
        <v>9414</v>
      </c>
      <c r="H317" s="10" t="s">
        <v>9220</v>
      </c>
      <c r="I317" s="10" t="s">
        <v>55</v>
      </c>
      <c r="K317" s="10" t="s">
        <v>9954</v>
      </c>
      <c r="L317" s="10" t="s">
        <v>42</v>
      </c>
    </row>
    <row r="318" ht="15.75" customHeight="1">
      <c r="A318" s="66">
        <v>45496.0</v>
      </c>
      <c r="B318" s="55" t="str">
        <f>HYPERLINK("https://jobright.ai/jobs/info/66a041690b66118039603f33?utm_campaign=1052&amp;utm_source=sheet", "Apply")</f>
        <v>Apply</v>
      </c>
      <c r="C318" s="10" t="s">
        <v>9971</v>
      </c>
      <c r="D318" s="56" t="s">
        <v>9772</v>
      </c>
      <c r="E318" s="10">
        <v>78.0</v>
      </c>
      <c r="G318" s="10" t="s">
        <v>9414</v>
      </c>
      <c r="H318" s="10" t="s">
        <v>9773</v>
      </c>
      <c r="I318" s="10" t="s">
        <v>55</v>
      </c>
      <c r="J318" s="10" t="s">
        <v>1873</v>
      </c>
      <c r="K318" s="10" t="s">
        <v>9972</v>
      </c>
      <c r="L318" s="10" t="s">
        <v>42</v>
      </c>
    </row>
    <row r="319" ht="15.75" customHeight="1">
      <c r="A319" s="66">
        <v>45496.0</v>
      </c>
      <c r="B319" s="55" t="str">
        <f>HYPERLINK("https://jobright.ai/jobs/info/66a0345e39a3ff52f9a7d300?utm_campaign=1052&amp;utm_source=sheet", "Apply")</f>
        <v>Apply</v>
      </c>
      <c r="C319" s="10" t="s">
        <v>9973</v>
      </c>
      <c r="D319" s="56" t="s">
        <v>9974</v>
      </c>
      <c r="E319" s="10" t="s">
        <v>45</v>
      </c>
      <c r="F319" s="10" t="s">
        <v>6432</v>
      </c>
      <c r="G319" s="10" t="s">
        <v>1159</v>
      </c>
      <c r="H319" s="10" t="s">
        <v>159</v>
      </c>
      <c r="I319" s="10" t="s">
        <v>48</v>
      </c>
      <c r="J319" s="10" t="s">
        <v>1409</v>
      </c>
      <c r="K319" s="10" t="s">
        <v>9975</v>
      </c>
      <c r="L319" s="10" t="s">
        <v>42</v>
      </c>
    </row>
    <row r="320" ht="15.75" customHeight="1">
      <c r="A320" s="66">
        <v>45496.0</v>
      </c>
      <c r="B320" s="55" t="str">
        <f>HYPERLINK("https://jobright.ai/jobs/info/66a0261e47fb4c7f51a5c68d?utm_campaign=1052&amp;utm_source=sheet", "Apply")</f>
        <v>Apply</v>
      </c>
      <c r="C320" s="10" t="s">
        <v>9976</v>
      </c>
      <c r="D320" s="56" t="s">
        <v>673</v>
      </c>
      <c r="E320" s="10" t="s">
        <v>65</v>
      </c>
      <c r="F320" s="10" t="s">
        <v>100</v>
      </c>
      <c r="G320" s="10" t="s">
        <v>9419</v>
      </c>
      <c r="H320" s="10" t="s">
        <v>146</v>
      </c>
      <c r="I320" s="10" t="s">
        <v>48</v>
      </c>
      <c r="K320" s="10" t="s">
        <v>9977</v>
      </c>
      <c r="L320" s="10" t="s">
        <v>42</v>
      </c>
    </row>
    <row r="321" ht="15.75" customHeight="1">
      <c r="A321" s="66">
        <v>45496.0</v>
      </c>
      <c r="B321" s="55" t="str">
        <f>HYPERLINK("https://jobright.ai/jobs/info/66a0417d0b661180396040bd?utm_campaign=1052&amp;utm_source=sheet", "Apply")</f>
        <v>Apply</v>
      </c>
      <c r="C321" s="10" t="s">
        <v>9978</v>
      </c>
      <c r="D321" s="56" t="s">
        <v>9974</v>
      </c>
      <c r="E321" s="10" t="s">
        <v>45</v>
      </c>
      <c r="F321" s="10" t="s">
        <v>6432</v>
      </c>
      <c r="G321" s="10" t="s">
        <v>1159</v>
      </c>
      <c r="H321" s="10" t="s">
        <v>9979</v>
      </c>
      <c r="I321" s="10" t="s">
        <v>48</v>
      </c>
      <c r="J321" s="10" t="s">
        <v>9980</v>
      </c>
      <c r="K321" s="10" t="s">
        <v>9981</v>
      </c>
      <c r="L321" s="10" t="s">
        <v>42</v>
      </c>
    </row>
    <row r="322" ht="15.75" customHeight="1">
      <c r="A322" s="66">
        <v>45496.0</v>
      </c>
      <c r="B322" s="55" t="str">
        <f>HYPERLINK("https://jobright.ai/jobs/info/66a00f1af7f5d9f53b6e0fa2?utm_campaign=1052&amp;utm_source=sheet", "Apply")</f>
        <v>Apply</v>
      </c>
      <c r="C322" s="10" t="s">
        <v>9982</v>
      </c>
      <c r="D322" s="56" t="s">
        <v>9983</v>
      </c>
      <c r="E322" s="10" t="s">
        <v>45</v>
      </c>
      <c r="F322" s="10" t="s">
        <v>2527</v>
      </c>
      <c r="G322" s="10" t="s">
        <v>1159</v>
      </c>
      <c r="H322" s="10" t="s">
        <v>9984</v>
      </c>
      <c r="I322" s="10" t="s">
        <v>48</v>
      </c>
      <c r="J322" s="10" t="s">
        <v>9985</v>
      </c>
      <c r="K322" s="10" t="s">
        <v>9986</v>
      </c>
      <c r="L322" s="10" t="s">
        <v>42</v>
      </c>
    </row>
    <row r="323" ht="15.75" customHeight="1">
      <c r="A323" s="66">
        <v>45496.0</v>
      </c>
      <c r="B323" s="55" t="str">
        <f>HYPERLINK("https://jobright.ai/jobs/info/669ffc06412b679d59f3ec2d?utm_campaign=1052&amp;utm_source=sheet", "Apply")</f>
        <v>Apply</v>
      </c>
      <c r="C323" s="10" t="s">
        <v>9987</v>
      </c>
      <c r="D323" s="56" t="s">
        <v>9983</v>
      </c>
      <c r="E323" s="10" t="s">
        <v>45</v>
      </c>
      <c r="F323" s="10" t="s">
        <v>2527</v>
      </c>
      <c r="G323" s="10" t="s">
        <v>9414</v>
      </c>
      <c r="H323" s="10" t="s">
        <v>9984</v>
      </c>
      <c r="I323" s="10" t="s">
        <v>48</v>
      </c>
      <c r="J323" s="10" t="s">
        <v>9985</v>
      </c>
      <c r="K323" s="10" t="s">
        <v>9986</v>
      </c>
      <c r="L323" s="10" t="s">
        <v>42</v>
      </c>
    </row>
    <row r="324" ht="15.75" customHeight="1">
      <c r="A324" s="66">
        <v>45496.0</v>
      </c>
      <c r="B324" s="55" t="str">
        <f>HYPERLINK("https://jobright.ai/jobs/info/66a0014da4a9d243b7e56965?utm_campaign=1052&amp;utm_source=sheet", "Apply")</f>
        <v>Apply</v>
      </c>
      <c r="C324" s="10" t="s">
        <v>9517</v>
      </c>
      <c r="D324" s="56" t="s">
        <v>9988</v>
      </c>
      <c r="E324" s="10" t="s">
        <v>276</v>
      </c>
      <c r="F324" s="10" t="s">
        <v>2409</v>
      </c>
      <c r="G324" s="10" t="s">
        <v>1159</v>
      </c>
      <c r="H324" s="10" t="s">
        <v>9989</v>
      </c>
      <c r="I324" s="10" t="s">
        <v>55</v>
      </c>
      <c r="J324" s="10" t="s">
        <v>6236</v>
      </c>
      <c r="K324" s="10" t="s">
        <v>9990</v>
      </c>
      <c r="L324" s="10" t="s">
        <v>42</v>
      </c>
    </row>
    <row r="325" ht="15.75" customHeight="1">
      <c r="A325" s="66">
        <v>45496.0</v>
      </c>
      <c r="B325" s="55" t="str">
        <f>HYPERLINK("https://jobright.ai/jobs/info/669ff96b88333dda24b9977d?utm_campaign=1052&amp;utm_source=sheet", "Apply")</f>
        <v>Apply</v>
      </c>
      <c r="C325" s="10" t="s">
        <v>9991</v>
      </c>
      <c r="D325" s="56" t="s">
        <v>9992</v>
      </c>
      <c r="E325" s="10">
        <v>339.0</v>
      </c>
      <c r="G325" s="10" t="s">
        <v>9414</v>
      </c>
      <c r="H325" s="10" t="s">
        <v>6620</v>
      </c>
      <c r="I325" s="10" t="s">
        <v>55</v>
      </c>
      <c r="J325" s="66"/>
      <c r="K325" s="10" t="s">
        <v>7614</v>
      </c>
      <c r="L325" s="10" t="s">
        <v>42</v>
      </c>
    </row>
    <row r="326" ht="15.75" customHeight="1">
      <c r="A326" s="66">
        <v>45496.0</v>
      </c>
      <c r="B326" s="55" t="str">
        <f>HYPERLINK("https://jobright.ai/jobs/info/669ff96b88333dda24b997ca?utm_campaign=1052&amp;utm_source=sheet", "Apply")</f>
        <v>Apply</v>
      </c>
      <c r="C326" s="10" t="s">
        <v>9993</v>
      </c>
      <c r="D326" s="56" t="s">
        <v>9994</v>
      </c>
      <c r="E326" s="10" t="s">
        <v>79</v>
      </c>
      <c r="F326" s="10" t="s">
        <v>9995</v>
      </c>
      <c r="G326" s="10" t="s">
        <v>1159</v>
      </c>
      <c r="H326" s="10" t="s">
        <v>2137</v>
      </c>
      <c r="I326" s="10" t="s">
        <v>55</v>
      </c>
      <c r="K326" s="10" t="s">
        <v>9996</v>
      </c>
      <c r="L326" s="10" t="s">
        <v>42</v>
      </c>
    </row>
    <row r="327" ht="15.75" customHeight="1">
      <c r="A327" s="66">
        <v>45496.0</v>
      </c>
      <c r="B327" s="55" t="str">
        <f>HYPERLINK("https://jobright.ai/jobs/info/669fed484a3c9708590d1867?utm_campaign=1052&amp;utm_source=sheet", "Apply")</f>
        <v>Apply</v>
      </c>
      <c r="C327" s="10" t="s">
        <v>9997</v>
      </c>
      <c r="D327" s="56" t="s">
        <v>9802</v>
      </c>
      <c r="E327" s="10" t="s">
        <v>45</v>
      </c>
      <c r="F327" s="10" t="s">
        <v>731</v>
      </c>
      <c r="G327" s="10" t="s">
        <v>9414</v>
      </c>
      <c r="H327" s="10" t="s">
        <v>113</v>
      </c>
      <c r="I327" s="10" t="s">
        <v>48</v>
      </c>
      <c r="K327" s="10" t="s">
        <v>9998</v>
      </c>
      <c r="L327" s="10" t="s">
        <v>42</v>
      </c>
    </row>
    <row r="328" ht="15.75" customHeight="1">
      <c r="A328" s="66">
        <v>45496.0</v>
      </c>
      <c r="B328" s="55" t="str">
        <f>HYPERLINK("https://jobright.ai/jobs/info/66a3ef7b87fb29a0df31940b?utm_campaign=1052&amp;utm_source=sheet", "Apply")</f>
        <v>Apply</v>
      </c>
      <c r="C328" s="10" t="s">
        <v>9999</v>
      </c>
      <c r="D328" s="56" t="s">
        <v>3669</v>
      </c>
      <c r="E328" s="10" t="s">
        <v>65</v>
      </c>
      <c r="F328" s="10" t="s">
        <v>3670</v>
      </c>
      <c r="G328" s="10" t="s">
        <v>9414</v>
      </c>
      <c r="H328" s="10" t="s">
        <v>170</v>
      </c>
      <c r="I328" s="10" t="s">
        <v>55</v>
      </c>
      <c r="J328" s="10" t="s">
        <v>3671</v>
      </c>
      <c r="K328" s="10" t="s">
        <v>10000</v>
      </c>
      <c r="L328" s="10" t="s">
        <v>42</v>
      </c>
    </row>
    <row r="329" ht="15.75" customHeight="1">
      <c r="A329" s="66">
        <v>45496.0</v>
      </c>
      <c r="B329" s="55" t="str">
        <f>HYPERLINK("https://jobright.ai/jobs/info/669fe8c2e7a91c490018ad84?utm_campaign=1052&amp;utm_source=sheet", "Apply")</f>
        <v>Apply</v>
      </c>
      <c r="C329" s="10" t="s">
        <v>9991</v>
      </c>
      <c r="D329" s="56" t="s">
        <v>9992</v>
      </c>
      <c r="E329" s="10">
        <v>339.0</v>
      </c>
      <c r="G329" s="10" t="s">
        <v>9414</v>
      </c>
      <c r="H329" s="10" t="s">
        <v>3196</v>
      </c>
      <c r="I329" s="10" t="s">
        <v>55</v>
      </c>
      <c r="J329" s="10" t="s">
        <v>10001</v>
      </c>
      <c r="K329" s="10" t="s">
        <v>7614</v>
      </c>
      <c r="L329" s="10" t="s">
        <v>42</v>
      </c>
    </row>
    <row r="330" ht="15.75" customHeight="1">
      <c r="A330" s="66">
        <v>45496.0</v>
      </c>
      <c r="B330" s="55" t="str">
        <f>HYPERLINK("https://jobright.ai/jobs/info/66a26fed75dfeeec4e614e2d?utm_campaign=1052&amp;utm_source=sheet", "Apply")</f>
        <v>Apply</v>
      </c>
      <c r="C330" s="10" t="s">
        <v>9436</v>
      </c>
      <c r="D330" s="56" t="s">
        <v>10002</v>
      </c>
      <c r="E330" s="10" t="s">
        <v>276</v>
      </c>
      <c r="F330" s="10" t="s">
        <v>10003</v>
      </c>
      <c r="G330" s="10" t="s">
        <v>9414</v>
      </c>
      <c r="H330" s="10" t="s">
        <v>131</v>
      </c>
      <c r="I330" s="10" t="s">
        <v>55</v>
      </c>
      <c r="K330" s="10" t="s">
        <v>10004</v>
      </c>
      <c r="L330" s="10" t="s">
        <v>42</v>
      </c>
    </row>
    <row r="331" ht="15.75" customHeight="1">
      <c r="A331" s="66">
        <v>45496.0</v>
      </c>
      <c r="B331" s="55" t="str">
        <f>HYPERLINK("https://jobright.ai/jobs/info/667dacbfa59aa08a6b4d42bd?utm_campaign=1052&amp;utm_source=sheet", "Apply")</f>
        <v>Apply</v>
      </c>
      <c r="C331" s="10" t="s">
        <v>9691</v>
      </c>
      <c r="D331" s="56" t="s">
        <v>1653</v>
      </c>
      <c r="E331" s="10" t="s">
        <v>45</v>
      </c>
      <c r="F331" s="10" t="s">
        <v>1654</v>
      </c>
      <c r="G331" s="10" t="s">
        <v>9419</v>
      </c>
      <c r="H331" s="10" t="s">
        <v>10005</v>
      </c>
      <c r="I331" s="10" t="s">
        <v>48</v>
      </c>
      <c r="K331" s="10" t="s">
        <v>10006</v>
      </c>
      <c r="L331" s="10" t="s">
        <v>42</v>
      </c>
    </row>
    <row r="332" ht="15.75" customHeight="1">
      <c r="A332" s="66">
        <v>45496.0</v>
      </c>
      <c r="B332" s="55" t="str">
        <f>HYPERLINK("https://jobright.ai/jobs/info/66a0ecf09a71a3ec08da32b0?utm_campaign=1052&amp;utm_source=sheet", "Apply")</f>
        <v>Apply</v>
      </c>
      <c r="C332" s="10" t="s">
        <v>10007</v>
      </c>
      <c r="D332" s="56" t="s">
        <v>730</v>
      </c>
      <c r="E332" s="10" t="s">
        <v>45</v>
      </c>
      <c r="F332" s="10" t="s">
        <v>731</v>
      </c>
      <c r="G332" s="10" t="s">
        <v>9414</v>
      </c>
      <c r="H332" s="10" t="s">
        <v>994</v>
      </c>
      <c r="I332" s="10" t="s">
        <v>55</v>
      </c>
      <c r="K332" s="10" t="s">
        <v>10008</v>
      </c>
      <c r="L332" s="10" t="s">
        <v>42</v>
      </c>
    </row>
    <row r="333" ht="15.75" customHeight="1">
      <c r="A333" s="66">
        <v>45496.0</v>
      </c>
      <c r="B333" s="55" t="str">
        <f>HYPERLINK("https://jobright.ai/jobs/info/6666cf05cc090b47b70750f1?utm_campaign=1052&amp;utm_source=sheet", "Apply")</f>
        <v>Apply</v>
      </c>
      <c r="C333" s="10" t="s">
        <v>10009</v>
      </c>
      <c r="D333" s="56" t="s">
        <v>417</v>
      </c>
      <c r="E333" s="10" t="s">
        <v>65</v>
      </c>
      <c r="F333" s="10" t="s">
        <v>418</v>
      </c>
      <c r="G333" s="10" t="s">
        <v>9419</v>
      </c>
      <c r="H333" s="10" t="s">
        <v>4372</v>
      </c>
      <c r="I333" s="10" t="s">
        <v>55</v>
      </c>
      <c r="J333" s="10" t="s">
        <v>10010</v>
      </c>
      <c r="K333" s="10" t="s">
        <v>10011</v>
      </c>
      <c r="L333" s="10" t="s">
        <v>42</v>
      </c>
    </row>
    <row r="334" ht="15.75" customHeight="1">
      <c r="A334" s="66">
        <v>45496.0</v>
      </c>
      <c r="B334" s="55" t="str">
        <f>HYPERLINK("https://jobright.ai/jobs/info/669f52c0456ff790d403f58a?utm_campaign=1052&amp;utm_source=sheet", "Apply")</f>
        <v>Apply</v>
      </c>
      <c r="C334" s="10" t="s">
        <v>10012</v>
      </c>
      <c r="D334" s="56" t="s">
        <v>1776</v>
      </c>
      <c r="E334" s="10">
        <v>17178.0</v>
      </c>
      <c r="G334" s="10" t="s">
        <v>9414</v>
      </c>
      <c r="H334" s="10" t="s">
        <v>423</v>
      </c>
      <c r="I334" s="10" t="s">
        <v>55</v>
      </c>
      <c r="J334" s="10" t="s">
        <v>2742</v>
      </c>
      <c r="K334" s="10" t="s">
        <v>10013</v>
      </c>
      <c r="L334" s="10" t="s">
        <v>42</v>
      </c>
    </row>
    <row r="335" ht="15.75" customHeight="1">
      <c r="A335" s="66">
        <v>45496.0</v>
      </c>
      <c r="B335" s="55" t="str">
        <f>HYPERLINK("https://jobright.ai/jobs/info/66a0d8b538b23a4e760247ba?utm_campaign=1052&amp;utm_source=sheet", "Apply")</f>
        <v>Apply</v>
      </c>
      <c r="C335" s="10" t="s">
        <v>10014</v>
      </c>
      <c r="D335" s="56" t="s">
        <v>1727</v>
      </c>
      <c r="E335" s="10" t="s">
        <v>71</v>
      </c>
      <c r="F335" s="10" t="s">
        <v>1728</v>
      </c>
      <c r="G335" s="10" t="s">
        <v>9414</v>
      </c>
      <c r="H335" s="10" t="s">
        <v>188</v>
      </c>
      <c r="I335" s="10" t="s">
        <v>55</v>
      </c>
      <c r="J335" s="10" t="s">
        <v>1729</v>
      </c>
      <c r="K335" s="10" t="s">
        <v>10015</v>
      </c>
      <c r="L335" s="10" t="s">
        <v>42</v>
      </c>
    </row>
    <row r="336" ht="15.75" customHeight="1">
      <c r="A336" s="66">
        <v>45496.0</v>
      </c>
      <c r="B336" s="55" t="str">
        <f>HYPERLINK("https://jobright.ai/jobs/info/667d5c1f149d2a89eaaa499e?utm_campaign=1052&amp;utm_source=sheet", "Apply")</f>
        <v>Apply</v>
      </c>
      <c r="C336" s="10" t="s">
        <v>9955</v>
      </c>
      <c r="D336" s="56" t="s">
        <v>1496</v>
      </c>
      <c r="E336" s="10" t="s">
        <v>45</v>
      </c>
      <c r="F336" s="10" t="s">
        <v>1497</v>
      </c>
      <c r="G336" s="10" t="s">
        <v>9419</v>
      </c>
      <c r="H336" s="10" t="s">
        <v>139</v>
      </c>
      <c r="I336" s="10" t="s">
        <v>55</v>
      </c>
      <c r="K336" s="10" t="s">
        <v>9956</v>
      </c>
      <c r="L336" s="10" t="s">
        <v>42</v>
      </c>
    </row>
    <row r="337" ht="15.75" customHeight="1">
      <c r="A337" s="66">
        <v>45496.0</v>
      </c>
      <c r="B337" s="55" t="str">
        <f>HYPERLINK("https://jobright.ai/jobs/info/667d635624cad70b7cedf047?utm_campaign=1052&amp;utm_source=sheet", "Apply")</f>
        <v>Apply</v>
      </c>
      <c r="C337" s="10" t="s">
        <v>9535</v>
      </c>
      <c r="D337" s="56" t="s">
        <v>1496</v>
      </c>
      <c r="E337" s="10" t="s">
        <v>45</v>
      </c>
      <c r="F337" s="10" t="s">
        <v>1497</v>
      </c>
      <c r="G337" s="10" t="s">
        <v>9419</v>
      </c>
      <c r="H337" s="10" t="s">
        <v>167</v>
      </c>
      <c r="I337" s="10" t="s">
        <v>55</v>
      </c>
      <c r="K337" s="10" t="s">
        <v>10016</v>
      </c>
      <c r="L337" s="10" t="s">
        <v>42</v>
      </c>
    </row>
    <row r="338" ht="15.75" customHeight="1">
      <c r="A338" s="66">
        <v>45496.0</v>
      </c>
      <c r="B338" s="55" t="str">
        <f>HYPERLINK("https://jobright.ai/jobs/info/667d635624cad70b7cedf063?utm_campaign=1052&amp;utm_source=sheet", "Apply")</f>
        <v>Apply</v>
      </c>
      <c r="C338" s="10" t="s">
        <v>9955</v>
      </c>
      <c r="D338" s="56" t="s">
        <v>1496</v>
      </c>
      <c r="E338" s="10" t="s">
        <v>45</v>
      </c>
      <c r="F338" s="10" t="s">
        <v>1497</v>
      </c>
      <c r="G338" s="10" t="s">
        <v>9419</v>
      </c>
      <c r="H338" s="10" t="s">
        <v>794</v>
      </c>
      <c r="I338" s="10" t="s">
        <v>55</v>
      </c>
      <c r="K338" s="10" t="s">
        <v>10016</v>
      </c>
      <c r="L338" s="10" t="s">
        <v>42</v>
      </c>
    </row>
    <row r="339" ht="15.75" customHeight="1">
      <c r="A339" s="66">
        <v>45496.0</v>
      </c>
      <c r="B339" s="55" t="str">
        <f>HYPERLINK("https://jobright.ai/jobs/info/66830394f1e9335156b5e037?utm_campaign=1052&amp;utm_source=sheet", "Apply")</f>
        <v>Apply</v>
      </c>
      <c r="C339" s="10" t="s">
        <v>9935</v>
      </c>
      <c r="D339" s="56" t="s">
        <v>9921</v>
      </c>
      <c r="E339" s="10" t="s">
        <v>249</v>
      </c>
      <c r="F339" s="10" t="s">
        <v>722</v>
      </c>
      <c r="G339" s="10" t="s">
        <v>9419</v>
      </c>
      <c r="H339" s="10" t="s">
        <v>131</v>
      </c>
      <c r="I339" s="10" t="s">
        <v>55</v>
      </c>
      <c r="K339" s="10" t="s">
        <v>9936</v>
      </c>
      <c r="L339" s="10" t="s">
        <v>42</v>
      </c>
    </row>
    <row r="340" ht="15.75" customHeight="1">
      <c r="A340" s="66">
        <v>45496.0</v>
      </c>
      <c r="B340" s="55" t="str">
        <f>HYPERLINK("https://jobright.ai/jobs/info/667d57beaa63cf1b275d2bf3?utm_campaign=1052&amp;utm_source=sheet", "Apply")</f>
        <v>Apply</v>
      </c>
      <c r="C340" s="10" t="s">
        <v>9535</v>
      </c>
      <c r="D340" s="56" t="s">
        <v>1496</v>
      </c>
      <c r="E340" s="10" t="s">
        <v>45</v>
      </c>
      <c r="F340" s="10" t="s">
        <v>1497</v>
      </c>
      <c r="G340" s="10" t="s">
        <v>9419</v>
      </c>
      <c r="H340" s="10" t="s">
        <v>794</v>
      </c>
      <c r="I340" s="10" t="s">
        <v>55</v>
      </c>
      <c r="K340" s="10" t="s">
        <v>10016</v>
      </c>
      <c r="L340" s="10" t="s">
        <v>42</v>
      </c>
    </row>
    <row r="341" ht="15.75" customHeight="1">
      <c r="A341" s="66">
        <v>45496.0</v>
      </c>
      <c r="B341" s="55" t="str">
        <f>HYPERLINK("https://jobright.ai/jobs/info/667d57a7aa63cf1b275d2ad3?utm_campaign=1052&amp;utm_source=sheet", "Apply")</f>
        <v>Apply</v>
      </c>
      <c r="C341" s="10" t="s">
        <v>9535</v>
      </c>
      <c r="D341" s="56" t="s">
        <v>1496</v>
      </c>
      <c r="E341" s="10" t="s">
        <v>45</v>
      </c>
      <c r="F341" s="10" t="s">
        <v>1497</v>
      </c>
      <c r="G341" s="10" t="s">
        <v>9419</v>
      </c>
      <c r="H341" s="10" t="s">
        <v>843</v>
      </c>
      <c r="I341" s="10" t="s">
        <v>55</v>
      </c>
      <c r="K341" s="10" t="s">
        <v>10016</v>
      </c>
      <c r="L341" s="10" t="s">
        <v>42</v>
      </c>
    </row>
    <row r="342" ht="15.75" customHeight="1">
      <c r="A342" s="66">
        <v>45496.0</v>
      </c>
      <c r="B342" s="55" t="str">
        <f>HYPERLINK("https://jobright.ai/jobs/info/667d7e5e140fa53c5cee6aa3?utm_campaign=1052&amp;utm_source=sheet", "Apply")</f>
        <v>Apply</v>
      </c>
      <c r="C342" s="10" t="s">
        <v>9955</v>
      </c>
      <c r="D342" s="56" t="s">
        <v>1496</v>
      </c>
      <c r="E342" s="10" t="s">
        <v>45</v>
      </c>
      <c r="F342" s="10" t="s">
        <v>1497</v>
      </c>
      <c r="G342" s="10" t="s">
        <v>9419</v>
      </c>
      <c r="H342" s="10" t="s">
        <v>423</v>
      </c>
      <c r="I342" s="10" t="s">
        <v>55</v>
      </c>
      <c r="K342" s="10" t="s">
        <v>10016</v>
      </c>
      <c r="L342" s="10" t="s">
        <v>42</v>
      </c>
    </row>
    <row r="343" ht="15.75" customHeight="1">
      <c r="A343" s="66">
        <v>45496.0</v>
      </c>
      <c r="B343" s="55" t="str">
        <f>HYPERLINK("https://jobright.ai/jobs/info/667d4f6b205769d091150b11?utm_campaign=1052&amp;utm_source=sheet", "Apply")</f>
        <v>Apply</v>
      </c>
      <c r="C343" s="10" t="s">
        <v>9955</v>
      </c>
      <c r="D343" s="56" t="s">
        <v>1496</v>
      </c>
      <c r="E343" s="10" t="s">
        <v>45</v>
      </c>
      <c r="F343" s="10" t="s">
        <v>1497</v>
      </c>
      <c r="G343" s="10" t="s">
        <v>9419</v>
      </c>
      <c r="H343" s="10" t="s">
        <v>965</v>
      </c>
      <c r="I343" s="10" t="s">
        <v>55</v>
      </c>
      <c r="K343" s="10" t="s">
        <v>10016</v>
      </c>
      <c r="L343" s="10" t="s">
        <v>42</v>
      </c>
    </row>
    <row r="344" ht="15.75" customHeight="1">
      <c r="A344" s="66">
        <v>45496.0</v>
      </c>
      <c r="B344" s="55" t="str">
        <f>HYPERLINK("https://jobright.ai/jobs/info/667d57beaa63cf1b275d2bfc?utm_campaign=1052&amp;utm_source=sheet", "Apply")</f>
        <v>Apply</v>
      </c>
      <c r="C344" s="10" t="s">
        <v>9955</v>
      </c>
      <c r="D344" s="56" t="s">
        <v>1496</v>
      </c>
      <c r="E344" s="10" t="s">
        <v>45</v>
      </c>
      <c r="F344" s="10" t="s">
        <v>1497</v>
      </c>
      <c r="G344" s="10" t="s">
        <v>9419</v>
      </c>
      <c r="H344" s="10" t="s">
        <v>10017</v>
      </c>
      <c r="I344" s="10" t="s">
        <v>55</v>
      </c>
      <c r="J344" s="66"/>
      <c r="K344" s="10" t="s">
        <v>10016</v>
      </c>
      <c r="L344" s="10" t="s">
        <v>42</v>
      </c>
    </row>
    <row r="345" ht="15.75" customHeight="1">
      <c r="A345" s="66">
        <v>45496.0</v>
      </c>
      <c r="B345" s="55" t="str">
        <f>HYPERLINK("https://jobright.ai/jobs/info/667d6e8c52c05eba497b13ad?utm_campaign=1052&amp;utm_source=sheet", "Apply")</f>
        <v>Apply</v>
      </c>
      <c r="C345" s="10" t="s">
        <v>9535</v>
      </c>
      <c r="D345" s="56" t="s">
        <v>1496</v>
      </c>
      <c r="E345" s="10" t="s">
        <v>45</v>
      </c>
      <c r="F345" s="10" t="s">
        <v>1497</v>
      </c>
      <c r="G345" s="10" t="s">
        <v>9419</v>
      </c>
      <c r="H345" s="10" t="s">
        <v>168</v>
      </c>
      <c r="I345" s="10" t="s">
        <v>55</v>
      </c>
      <c r="J345" s="66"/>
      <c r="K345" s="10" t="s">
        <v>10016</v>
      </c>
      <c r="L345" s="10" t="s">
        <v>42</v>
      </c>
    </row>
    <row r="346" ht="15.75" customHeight="1">
      <c r="A346" s="66">
        <v>45496.0</v>
      </c>
      <c r="B346" s="55" t="str">
        <f>HYPERLINK("https://jobright.ai/jobs/info/667d5c1f149d2a89eaaa4994?utm_campaign=1052&amp;utm_source=sheet", "Apply")</f>
        <v>Apply</v>
      </c>
      <c r="C346" s="10" t="s">
        <v>9955</v>
      </c>
      <c r="D346" s="56" t="s">
        <v>1496</v>
      </c>
      <c r="E346" s="10" t="s">
        <v>45</v>
      </c>
      <c r="F346" s="10" t="s">
        <v>1497</v>
      </c>
      <c r="G346" s="10" t="s">
        <v>9419</v>
      </c>
      <c r="H346" s="10" t="s">
        <v>168</v>
      </c>
      <c r="I346" s="10" t="s">
        <v>55</v>
      </c>
      <c r="K346" s="10" t="s">
        <v>9956</v>
      </c>
      <c r="L346" s="10" t="s">
        <v>42</v>
      </c>
    </row>
    <row r="347" ht="15.75" customHeight="1">
      <c r="A347" s="66">
        <v>45496.0</v>
      </c>
      <c r="B347" s="55" t="str">
        <f>HYPERLINK("https://jobright.ai/jobs/info/6683af62a65669035b7b65fe?utm_campaign=1052&amp;utm_source=sheet", "Apply")</f>
        <v>Apply</v>
      </c>
      <c r="C347" s="10" t="s">
        <v>9517</v>
      </c>
      <c r="D347" s="56" t="s">
        <v>10018</v>
      </c>
      <c r="E347" s="10" t="s">
        <v>65</v>
      </c>
      <c r="F347" s="10" t="s">
        <v>10019</v>
      </c>
      <c r="G347" s="10" t="s">
        <v>1159</v>
      </c>
      <c r="H347" s="10" t="s">
        <v>3847</v>
      </c>
      <c r="I347" s="10" t="s">
        <v>55</v>
      </c>
      <c r="J347" s="66"/>
      <c r="K347" s="10" t="s">
        <v>10020</v>
      </c>
      <c r="L347" s="10" t="s">
        <v>42</v>
      </c>
    </row>
    <row r="348" ht="15.75" customHeight="1">
      <c r="A348" s="66">
        <v>45496.0</v>
      </c>
      <c r="B348" s="55" t="str">
        <f>HYPERLINK("https://jobright.ai/jobs/info/667d57beaa63cf1b275d2bfb?utm_campaign=1052&amp;utm_source=sheet", "Apply")</f>
        <v>Apply</v>
      </c>
      <c r="C348" s="10" t="s">
        <v>9955</v>
      </c>
      <c r="D348" s="56" t="s">
        <v>1496</v>
      </c>
      <c r="E348" s="10" t="s">
        <v>45</v>
      </c>
      <c r="F348" s="10" t="s">
        <v>1497</v>
      </c>
      <c r="G348" s="10" t="s">
        <v>9419</v>
      </c>
      <c r="H348" s="10" t="s">
        <v>923</v>
      </c>
      <c r="I348" s="10" t="s">
        <v>55</v>
      </c>
      <c r="K348" s="10" t="s">
        <v>10016</v>
      </c>
      <c r="L348" s="10" t="s">
        <v>42</v>
      </c>
    </row>
    <row r="349" ht="15.75" customHeight="1">
      <c r="A349" s="66">
        <v>45496.0</v>
      </c>
      <c r="B349" s="55" t="str">
        <f>HYPERLINK("https://jobright.ai/jobs/info/667d5c1f149d2a89eaaa49ae?utm_campaign=1052&amp;utm_source=sheet", "Apply")</f>
        <v>Apply</v>
      </c>
      <c r="C349" s="10" t="s">
        <v>9955</v>
      </c>
      <c r="D349" s="56" t="s">
        <v>1496</v>
      </c>
      <c r="E349" s="10" t="s">
        <v>45</v>
      </c>
      <c r="F349" s="10" t="s">
        <v>1497</v>
      </c>
      <c r="G349" s="10" t="s">
        <v>9419</v>
      </c>
      <c r="H349" s="10" t="s">
        <v>159</v>
      </c>
      <c r="I349" s="10" t="s">
        <v>55</v>
      </c>
      <c r="K349" s="10" t="s">
        <v>10016</v>
      </c>
      <c r="L349" s="10" t="s">
        <v>42</v>
      </c>
    </row>
    <row r="350" ht="15.75" customHeight="1">
      <c r="A350" s="66">
        <v>45496.0</v>
      </c>
      <c r="B350" s="55" t="str">
        <f>HYPERLINK("https://jobright.ai/jobs/info/667d6e8c52c05eba497b13b4?utm_campaign=1052&amp;utm_source=sheet", "Apply")</f>
        <v>Apply</v>
      </c>
      <c r="C350" s="10" t="s">
        <v>9535</v>
      </c>
      <c r="D350" s="56" t="s">
        <v>1496</v>
      </c>
      <c r="E350" s="10" t="s">
        <v>45</v>
      </c>
      <c r="F350" s="10" t="s">
        <v>1497</v>
      </c>
      <c r="G350" s="10" t="s">
        <v>9419</v>
      </c>
      <c r="H350" s="10" t="s">
        <v>957</v>
      </c>
      <c r="I350" s="10" t="s">
        <v>55</v>
      </c>
      <c r="K350" s="10" t="s">
        <v>10016</v>
      </c>
      <c r="L350" s="10" t="s">
        <v>42</v>
      </c>
    </row>
    <row r="351" ht="15.75" customHeight="1">
      <c r="A351" s="66">
        <v>45496.0</v>
      </c>
      <c r="B351" s="55" t="str">
        <f>HYPERLINK("https://jobright.ai/jobs/info/667d73efacc51afa47c3d37c?utm_campaign=1052&amp;utm_source=sheet", "Apply")</f>
        <v>Apply</v>
      </c>
      <c r="C351" s="10" t="s">
        <v>9535</v>
      </c>
      <c r="D351" s="56" t="s">
        <v>1496</v>
      </c>
      <c r="E351" s="10" t="s">
        <v>45</v>
      </c>
      <c r="F351" s="10" t="s">
        <v>1497</v>
      </c>
      <c r="G351" s="10" t="s">
        <v>9419</v>
      </c>
      <c r="H351" s="10" t="s">
        <v>159</v>
      </c>
      <c r="I351" s="10" t="s">
        <v>55</v>
      </c>
      <c r="J351" s="66"/>
      <c r="K351" s="10" t="s">
        <v>10016</v>
      </c>
      <c r="L351" s="10" t="s">
        <v>42</v>
      </c>
    </row>
    <row r="352" ht="15.75" customHeight="1">
      <c r="A352" s="66">
        <v>45496.0</v>
      </c>
      <c r="B352" s="55" t="str">
        <f>HYPERLINK("https://jobright.ai/jobs/info/667d5c1f149d2a89eaaa4985?utm_campaign=1052&amp;utm_source=sheet", "Apply")</f>
        <v>Apply</v>
      </c>
      <c r="C352" s="10" t="s">
        <v>9535</v>
      </c>
      <c r="D352" s="56" t="s">
        <v>1496</v>
      </c>
      <c r="E352" s="10" t="s">
        <v>45</v>
      </c>
      <c r="F352" s="10" t="s">
        <v>1497</v>
      </c>
      <c r="G352" s="10" t="s">
        <v>9419</v>
      </c>
      <c r="H352" s="10" t="s">
        <v>113</v>
      </c>
      <c r="I352" s="10" t="s">
        <v>55</v>
      </c>
      <c r="K352" s="10" t="s">
        <v>10016</v>
      </c>
      <c r="L352" s="10" t="s">
        <v>42</v>
      </c>
    </row>
    <row r="353" ht="15.75" customHeight="1">
      <c r="A353" s="66">
        <v>45496.0</v>
      </c>
      <c r="B353" s="55" t="str">
        <f>HYPERLINK("https://jobright.ai/jobs/info/667d57d5aa63cf1b275d2e03?utm_campaign=1052&amp;utm_source=sheet", "Apply")</f>
        <v>Apply</v>
      </c>
      <c r="C353" s="10" t="s">
        <v>9535</v>
      </c>
      <c r="D353" s="56" t="s">
        <v>1496</v>
      </c>
      <c r="E353" s="10" t="s">
        <v>45</v>
      </c>
      <c r="F353" s="10" t="s">
        <v>1497</v>
      </c>
      <c r="G353" s="10" t="s">
        <v>9419</v>
      </c>
      <c r="H353" s="10" t="s">
        <v>1013</v>
      </c>
      <c r="I353" s="10" t="s">
        <v>55</v>
      </c>
      <c r="K353" s="10" t="s">
        <v>10016</v>
      </c>
      <c r="L353" s="10" t="s">
        <v>42</v>
      </c>
    </row>
    <row r="354" ht="15.75" customHeight="1">
      <c r="A354" s="66">
        <v>45496.0</v>
      </c>
      <c r="B354" s="55" t="str">
        <f>HYPERLINK("https://jobright.ai/jobs/info/667d7e53140fa53c5cee6a8f?utm_campaign=1052&amp;utm_source=sheet", "Apply")</f>
        <v>Apply</v>
      </c>
      <c r="C354" s="10" t="s">
        <v>9535</v>
      </c>
      <c r="D354" s="56" t="s">
        <v>1496</v>
      </c>
      <c r="E354" s="10" t="s">
        <v>45</v>
      </c>
      <c r="F354" s="10" t="s">
        <v>1497</v>
      </c>
      <c r="G354" s="10" t="s">
        <v>9419</v>
      </c>
      <c r="H354" s="10" t="s">
        <v>1160</v>
      </c>
      <c r="I354" s="10" t="s">
        <v>55</v>
      </c>
      <c r="K354" s="10" t="s">
        <v>10016</v>
      </c>
      <c r="L354" s="10" t="s">
        <v>42</v>
      </c>
    </row>
    <row r="355" ht="15.75" customHeight="1">
      <c r="A355" s="66">
        <v>45496.0</v>
      </c>
      <c r="B355" s="55" t="str">
        <f>HYPERLINK("https://jobright.ai/jobs/info/667d5c1f149d2a89eaaa4987?utm_campaign=1052&amp;utm_source=sheet", "Apply")</f>
        <v>Apply</v>
      </c>
      <c r="C355" s="10" t="s">
        <v>9535</v>
      </c>
      <c r="D355" s="56" t="s">
        <v>1496</v>
      </c>
      <c r="E355" s="10" t="s">
        <v>45</v>
      </c>
      <c r="F355" s="10" t="s">
        <v>1497</v>
      </c>
      <c r="G355" s="10" t="s">
        <v>9419</v>
      </c>
      <c r="H355" s="10" t="s">
        <v>434</v>
      </c>
      <c r="I355" s="10" t="s">
        <v>55</v>
      </c>
      <c r="K355" s="10" t="s">
        <v>10016</v>
      </c>
      <c r="L355" s="10" t="s">
        <v>42</v>
      </c>
    </row>
    <row r="356" ht="15.75" customHeight="1">
      <c r="A356" s="66">
        <v>45496.0</v>
      </c>
      <c r="B356" s="55" t="str">
        <f>HYPERLINK("https://jobright.ai/jobs/info/667d483e175f90388ced24fe?utm_campaign=1052&amp;utm_source=sheet", "Apply")</f>
        <v>Apply</v>
      </c>
      <c r="C356" s="10" t="s">
        <v>9955</v>
      </c>
      <c r="D356" s="56" t="s">
        <v>1496</v>
      </c>
      <c r="E356" s="10" t="s">
        <v>45</v>
      </c>
      <c r="F356" s="10" t="s">
        <v>1497</v>
      </c>
      <c r="G356" s="10" t="s">
        <v>9419</v>
      </c>
      <c r="H356" s="10" t="s">
        <v>911</v>
      </c>
      <c r="I356" s="10" t="s">
        <v>55</v>
      </c>
      <c r="K356" s="10" t="s">
        <v>10016</v>
      </c>
      <c r="L356" s="10" t="s">
        <v>42</v>
      </c>
    </row>
    <row r="357" ht="15.75" customHeight="1">
      <c r="A357" s="66">
        <v>45496.0</v>
      </c>
      <c r="B357" s="55" t="str">
        <f>HYPERLINK("https://jobright.ai/jobs/info/667d68f4fc46a9c78e587c66?utm_campaign=1052&amp;utm_source=sheet", "Apply")</f>
        <v>Apply</v>
      </c>
      <c r="C357" s="10" t="s">
        <v>9955</v>
      </c>
      <c r="D357" s="56" t="s">
        <v>1496</v>
      </c>
      <c r="E357" s="10" t="s">
        <v>45</v>
      </c>
      <c r="F357" s="10" t="s">
        <v>1497</v>
      </c>
      <c r="G357" s="10" t="s">
        <v>9419</v>
      </c>
      <c r="H357" s="10" t="s">
        <v>153</v>
      </c>
      <c r="I357" s="10" t="s">
        <v>55</v>
      </c>
      <c r="K357" s="10" t="s">
        <v>9956</v>
      </c>
      <c r="L357" s="10" t="s">
        <v>42</v>
      </c>
    </row>
    <row r="358" ht="15.75" customHeight="1">
      <c r="A358" s="66">
        <v>45496.0</v>
      </c>
      <c r="B358" s="55" t="str">
        <f>HYPERLINK("https://jobright.ai/jobs/info/667d7404acc51afa47c3d50c?utm_campaign=1052&amp;utm_source=sheet", "Apply")</f>
        <v>Apply</v>
      </c>
      <c r="C358" s="10" t="s">
        <v>9955</v>
      </c>
      <c r="D358" s="56" t="s">
        <v>1496</v>
      </c>
      <c r="E358" s="10" t="s">
        <v>45</v>
      </c>
      <c r="F358" s="10" t="s">
        <v>1497</v>
      </c>
      <c r="G358" s="10" t="s">
        <v>9419</v>
      </c>
      <c r="H358" s="10" t="s">
        <v>165</v>
      </c>
      <c r="I358" s="10" t="s">
        <v>55</v>
      </c>
      <c r="K358" s="10" t="s">
        <v>9956</v>
      </c>
      <c r="L358" s="10" t="s">
        <v>42</v>
      </c>
    </row>
    <row r="359" ht="15.75" customHeight="1">
      <c r="A359" s="66">
        <v>45496.0</v>
      </c>
      <c r="B359" s="55" t="str">
        <f>HYPERLINK("https://jobright.ai/jobs/info/667d7e47140fa53c5cee69bc?utm_campaign=1052&amp;utm_source=sheet", "Apply")</f>
        <v>Apply</v>
      </c>
      <c r="C359" s="10" t="s">
        <v>9535</v>
      </c>
      <c r="D359" s="56" t="s">
        <v>1496</v>
      </c>
      <c r="E359" s="10" t="s">
        <v>45</v>
      </c>
      <c r="F359" s="10" t="s">
        <v>1497</v>
      </c>
      <c r="G359" s="10" t="s">
        <v>9419</v>
      </c>
      <c r="H359" s="10" t="s">
        <v>989</v>
      </c>
      <c r="I359" s="10" t="s">
        <v>55</v>
      </c>
      <c r="K359" s="10" t="s">
        <v>10016</v>
      </c>
      <c r="L359" s="10" t="s">
        <v>42</v>
      </c>
    </row>
    <row r="360" ht="15.75" customHeight="1">
      <c r="A360" s="66">
        <v>45496.0</v>
      </c>
      <c r="B360" s="55" t="str">
        <f>HYPERLINK("https://jobright.ai/jobs/info/667d5c1f149d2a89eaaa498d?utm_campaign=1052&amp;utm_source=sheet", "Apply")</f>
        <v>Apply</v>
      </c>
      <c r="C360" s="10" t="s">
        <v>9955</v>
      </c>
      <c r="D360" s="56" t="s">
        <v>1496</v>
      </c>
      <c r="E360" s="10" t="s">
        <v>45</v>
      </c>
      <c r="F360" s="10" t="s">
        <v>1497</v>
      </c>
      <c r="G360" s="10" t="s">
        <v>9419</v>
      </c>
      <c r="H360" s="10" t="s">
        <v>1007</v>
      </c>
      <c r="I360" s="10" t="s">
        <v>55</v>
      </c>
      <c r="K360" s="10" t="s">
        <v>9956</v>
      </c>
      <c r="L360" s="10" t="s">
        <v>42</v>
      </c>
    </row>
    <row r="361" ht="15.75" customHeight="1">
      <c r="A361" s="66">
        <v>45496.0</v>
      </c>
      <c r="B361" s="55" t="str">
        <f>HYPERLINK("https://jobright.ai/jobs/info/667d4f54205769d091150920?utm_campaign=1052&amp;utm_source=sheet", "Apply")</f>
        <v>Apply</v>
      </c>
      <c r="C361" s="10" t="s">
        <v>9535</v>
      </c>
      <c r="D361" s="56" t="s">
        <v>1496</v>
      </c>
      <c r="E361" s="10" t="s">
        <v>45</v>
      </c>
      <c r="F361" s="10" t="s">
        <v>1497</v>
      </c>
      <c r="G361" s="10" t="s">
        <v>9419</v>
      </c>
      <c r="H361" s="10" t="s">
        <v>965</v>
      </c>
      <c r="I361" s="10" t="s">
        <v>55</v>
      </c>
      <c r="K361" s="10" t="s">
        <v>10016</v>
      </c>
      <c r="L361" s="10" t="s">
        <v>42</v>
      </c>
    </row>
    <row r="362" ht="15.75" customHeight="1">
      <c r="A362" s="66">
        <v>45496.0</v>
      </c>
      <c r="B362" s="55" t="str">
        <f>HYPERLINK("https://jobright.ai/jobs/info/667d484a175f90388ced2640?utm_campaign=1052&amp;utm_source=sheet", "Apply")</f>
        <v>Apply</v>
      </c>
      <c r="C362" s="10" t="s">
        <v>9535</v>
      </c>
      <c r="D362" s="56" t="s">
        <v>1496</v>
      </c>
      <c r="E362" s="10" t="s">
        <v>45</v>
      </c>
      <c r="F362" s="10" t="s">
        <v>1497</v>
      </c>
      <c r="G362" s="10" t="s">
        <v>9419</v>
      </c>
      <c r="H362" s="10" t="s">
        <v>96</v>
      </c>
      <c r="I362" s="10" t="s">
        <v>55</v>
      </c>
      <c r="K362" s="10" t="s">
        <v>10016</v>
      </c>
      <c r="L362" s="10" t="s">
        <v>42</v>
      </c>
    </row>
    <row r="363" ht="15.75" customHeight="1">
      <c r="A363" s="66">
        <v>45496.0</v>
      </c>
      <c r="B363" s="55" t="str">
        <f>HYPERLINK("https://jobright.ai/jobs/info/667d7e53140fa53c5cee6a8e?utm_campaign=1052&amp;utm_source=sheet", "Apply")</f>
        <v>Apply</v>
      </c>
      <c r="C363" s="10" t="s">
        <v>9955</v>
      </c>
      <c r="D363" s="56" t="s">
        <v>1496</v>
      </c>
      <c r="E363" s="10" t="s">
        <v>45</v>
      </c>
      <c r="F363" s="10" t="s">
        <v>1497</v>
      </c>
      <c r="G363" s="10" t="s">
        <v>9419</v>
      </c>
      <c r="H363" s="10" t="s">
        <v>1013</v>
      </c>
      <c r="I363" s="10" t="s">
        <v>55</v>
      </c>
      <c r="K363" s="10" t="s">
        <v>9956</v>
      </c>
      <c r="L363" s="10" t="s">
        <v>42</v>
      </c>
    </row>
    <row r="364" ht="15.75" customHeight="1">
      <c r="A364" s="66">
        <v>45496.0</v>
      </c>
      <c r="B364" s="55" t="str">
        <f>HYPERLINK("https://jobright.ai/jobs/info/667d7404acc51afa47c3d518?utm_campaign=1052&amp;utm_source=sheet", "Apply")</f>
        <v>Apply</v>
      </c>
      <c r="C364" s="10" t="s">
        <v>9955</v>
      </c>
      <c r="D364" s="56" t="s">
        <v>1496</v>
      </c>
      <c r="E364" s="10" t="s">
        <v>45</v>
      </c>
      <c r="F364" s="10" t="s">
        <v>1497</v>
      </c>
      <c r="G364" s="10" t="s">
        <v>9419</v>
      </c>
      <c r="H364" s="10" t="s">
        <v>636</v>
      </c>
      <c r="I364" s="10" t="s">
        <v>55</v>
      </c>
      <c r="K364" s="10" t="s">
        <v>9956</v>
      </c>
      <c r="L364" s="10" t="s">
        <v>42</v>
      </c>
    </row>
    <row r="365" ht="15.75" customHeight="1">
      <c r="A365" s="66">
        <v>45496.0</v>
      </c>
      <c r="B365" s="55" t="str">
        <f>HYPERLINK("https://jobright.ai/jobs/info/667d68f4fc46a9c78e587c48?utm_campaign=1052&amp;utm_source=sheet", "Apply")</f>
        <v>Apply</v>
      </c>
      <c r="C365" s="10" t="s">
        <v>9535</v>
      </c>
      <c r="D365" s="56" t="s">
        <v>1496</v>
      </c>
      <c r="E365" s="10" t="s">
        <v>45</v>
      </c>
      <c r="F365" s="10" t="s">
        <v>1497</v>
      </c>
      <c r="G365" s="10" t="s">
        <v>9419</v>
      </c>
      <c r="H365" s="10" t="s">
        <v>144</v>
      </c>
      <c r="I365" s="10" t="s">
        <v>55</v>
      </c>
      <c r="K365" s="10" t="s">
        <v>10016</v>
      </c>
      <c r="L365" s="10" t="s">
        <v>42</v>
      </c>
    </row>
    <row r="366" ht="15.75" customHeight="1">
      <c r="A366" s="66">
        <v>45496.0</v>
      </c>
      <c r="B366" s="55" t="str">
        <f>HYPERLINK("https://jobright.ai/jobs/info/667d5c1f149d2a89eaaa49a4?utm_campaign=1052&amp;utm_source=sheet", "Apply")</f>
        <v>Apply</v>
      </c>
      <c r="C366" s="10" t="s">
        <v>9535</v>
      </c>
      <c r="D366" s="56" t="s">
        <v>1496</v>
      </c>
      <c r="E366" s="10" t="s">
        <v>45</v>
      </c>
      <c r="F366" s="10" t="s">
        <v>1497</v>
      </c>
      <c r="G366" s="10" t="s">
        <v>9419</v>
      </c>
      <c r="H366" s="10" t="s">
        <v>578</v>
      </c>
      <c r="I366" s="10" t="s">
        <v>55</v>
      </c>
      <c r="K366" s="10" t="s">
        <v>10016</v>
      </c>
      <c r="L366" s="10" t="s">
        <v>42</v>
      </c>
    </row>
    <row r="367" ht="15.75" customHeight="1">
      <c r="A367" s="66">
        <v>45496.0</v>
      </c>
      <c r="B367" s="55" t="str">
        <f>HYPERLINK("https://jobright.ai/jobs/info/667d635624cad70b7cedf064?utm_campaign=1052&amp;utm_source=sheet", "Apply")</f>
        <v>Apply</v>
      </c>
      <c r="C367" s="10" t="s">
        <v>9535</v>
      </c>
      <c r="D367" s="56" t="s">
        <v>1496</v>
      </c>
      <c r="E367" s="10" t="s">
        <v>45</v>
      </c>
      <c r="F367" s="10" t="s">
        <v>1497</v>
      </c>
      <c r="G367" s="10" t="s">
        <v>9419</v>
      </c>
      <c r="H367" s="10" t="s">
        <v>605</v>
      </c>
      <c r="I367" s="10" t="s">
        <v>55</v>
      </c>
      <c r="K367" s="10" t="s">
        <v>10016</v>
      </c>
      <c r="L367" s="10" t="s">
        <v>42</v>
      </c>
    </row>
    <row r="368" ht="15.75" customHeight="1">
      <c r="A368" s="66">
        <v>45496.0</v>
      </c>
      <c r="B368" s="55" t="str">
        <f>HYPERLINK("https://jobright.ai/jobs/info/667d7e53140fa53c5cee6a91?utm_campaign=1052&amp;utm_source=sheet", "Apply")</f>
        <v>Apply</v>
      </c>
      <c r="C368" s="10" t="s">
        <v>9535</v>
      </c>
      <c r="D368" s="56" t="s">
        <v>1496</v>
      </c>
      <c r="E368" s="10" t="s">
        <v>45</v>
      </c>
      <c r="F368" s="10" t="s">
        <v>1497</v>
      </c>
      <c r="G368" s="10" t="s">
        <v>9419</v>
      </c>
      <c r="H368" s="10" t="s">
        <v>154</v>
      </c>
      <c r="I368" s="10" t="s">
        <v>55</v>
      </c>
      <c r="K368" s="10" t="s">
        <v>10016</v>
      </c>
      <c r="L368" s="10" t="s">
        <v>42</v>
      </c>
    </row>
    <row r="369" ht="15.75" customHeight="1">
      <c r="A369" s="66">
        <v>45496.0</v>
      </c>
      <c r="B369" s="55" t="str">
        <f>HYPERLINK("https://jobright.ai/jobs/info/66834daf68cc3af6a2e25c5d?utm_campaign=1052&amp;utm_source=sheet", "Apply")</f>
        <v>Apply</v>
      </c>
      <c r="C369" s="10" t="s">
        <v>10021</v>
      </c>
      <c r="D369" s="56" t="s">
        <v>10022</v>
      </c>
      <c r="E369" s="10" t="s">
        <v>65</v>
      </c>
      <c r="F369" s="10" t="s">
        <v>259</v>
      </c>
      <c r="G369" s="10" t="s">
        <v>9414</v>
      </c>
      <c r="H369" s="10" t="s">
        <v>661</v>
      </c>
      <c r="I369" s="10" t="s">
        <v>55</v>
      </c>
      <c r="J369" s="10" t="s">
        <v>3430</v>
      </c>
      <c r="K369" s="10" t="s">
        <v>10023</v>
      </c>
      <c r="L369" s="10" t="s">
        <v>42</v>
      </c>
    </row>
    <row r="370" ht="15.75" customHeight="1">
      <c r="A370" s="66">
        <v>45496.0</v>
      </c>
      <c r="B370" s="55" t="str">
        <f>HYPERLINK("https://jobright.ai/jobs/info/667d4834175f90388ced2429?utm_campaign=1052&amp;utm_source=sheet", "Apply")</f>
        <v>Apply</v>
      </c>
      <c r="C370" s="10" t="s">
        <v>9955</v>
      </c>
      <c r="D370" s="56" t="s">
        <v>1496</v>
      </c>
      <c r="E370" s="10" t="s">
        <v>45</v>
      </c>
      <c r="F370" s="10" t="s">
        <v>1497</v>
      </c>
      <c r="G370" s="10" t="s">
        <v>9419</v>
      </c>
      <c r="H370" s="10" t="s">
        <v>994</v>
      </c>
      <c r="I370" s="10" t="s">
        <v>55</v>
      </c>
      <c r="K370" s="10" t="s">
        <v>9956</v>
      </c>
      <c r="L370" s="10" t="s">
        <v>42</v>
      </c>
    </row>
    <row r="371" ht="15.75" customHeight="1">
      <c r="A371" s="66">
        <v>45496.0</v>
      </c>
      <c r="B371" s="55" t="str">
        <f>HYPERLINK("https://jobright.ai/jobs/info/667d73efacc51afa47c3d339?utm_campaign=1052&amp;utm_source=sheet", "Apply")</f>
        <v>Apply</v>
      </c>
      <c r="C371" s="10" t="s">
        <v>9535</v>
      </c>
      <c r="D371" s="56" t="s">
        <v>1496</v>
      </c>
      <c r="E371" s="10" t="s">
        <v>45</v>
      </c>
      <c r="F371" s="10" t="s">
        <v>1497</v>
      </c>
      <c r="G371" s="10" t="s">
        <v>9419</v>
      </c>
      <c r="H371" s="10" t="s">
        <v>911</v>
      </c>
      <c r="I371" s="10" t="s">
        <v>55</v>
      </c>
      <c r="K371" s="10" t="s">
        <v>10016</v>
      </c>
      <c r="L371" s="10" t="s">
        <v>42</v>
      </c>
    </row>
    <row r="372" ht="15.75" customHeight="1">
      <c r="A372" s="66">
        <v>45496.0</v>
      </c>
      <c r="B372" s="55" t="str">
        <f>HYPERLINK("https://jobright.ai/jobs/info/667d6ea452c05eba497b158b?utm_campaign=1052&amp;utm_source=sheet", "Apply")</f>
        <v>Apply</v>
      </c>
      <c r="C372" s="10" t="s">
        <v>9535</v>
      </c>
      <c r="D372" s="56" t="s">
        <v>1496</v>
      </c>
      <c r="E372" s="10" t="s">
        <v>45</v>
      </c>
      <c r="F372" s="10" t="s">
        <v>1497</v>
      </c>
      <c r="G372" s="10" t="s">
        <v>9419</v>
      </c>
      <c r="H372" s="10" t="s">
        <v>354</v>
      </c>
      <c r="I372" s="10" t="s">
        <v>55</v>
      </c>
      <c r="K372" s="10" t="s">
        <v>10016</v>
      </c>
      <c r="L372" s="10" t="s">
        <v>42</v>
      </c>
    </row>
    <row r="373" ht="15.75" customHeight="1">
      <c r="A373" s="66">
        <v>45496.0</v>
      </c>
      <c r="B373" s="55" t="str">
        <f>HYPERLINK("https://jobright.ai/jobs/info/667d57beaa63cf1b275d2bc2?utm_campaign=1052&amp;utm_source=sheet", "Apply")</f>
        <v>Apply</v>
      </c>
      <c r="C373" s="10" t="s">
        <v>9955</v>
      </c>
      <c r="D373" s="56" t="s">
        <v>1496</v>
      </c>
      <c r="E373" s="10" t="s">
        <v>45</v>
      </c>
      <c r="F373" s="10" t="s">
        <v>1497</v>
      </c>
      <c r="G373" s="10" t="s">
        <v>9419</v>
      </c>
      <c r="H373" s="10" t="s">
        <v>113</v>
      </c>
      <c r="I373" s="10" t="s">
        <v>55</v>
      </c>
      <c r="K373" s="10" t="s">
        <v>9956</v>
      </c>
      <c r="L373" s="10" t="s">
        <v>42</v>
      </c>
    </row>
    <row r="374" ht="15.75" customHeight="1">
      <c r="A374" s="66">
        <v>45496.0</v>
      </c>
      <c r="B374" s="55" t="str">
        <f>HYPERLINK("https://jobright.ai/jobs/info/667d483e175f90388ced24ea?utm_campaign=1052&amp;utm_source=sheet", "Apply")</f>
        <v>Apply</v>
      </c>
      <c r="C374" s="10" t="s">
        <v>9955</v>
      </c>
      <c r="D374" s="56" t="s">
        <v>1496</v>
      </c>
      <c r="E374" s="10" t="s">
        <v>45</v>
      </c>
      <c r="F374" s="10" t="s">
        <v>1497</v>
      </c>
      <c r="G374" s="10" t="s">
        <v>9419</v>
      </c>
      <c r="H374" s="10" t="s">
        <v>170</v>
      </c>
      <c r="I374" s="10" t="s">
        <v>55</v>
      </c>
      <c r="K374" s="10" t="s">
        <v>9956</v>
      </c>
      <c r="L374" s="10" t="s">
        <v>42</v>
      </c>
    </row>
    <row r="375" ht="15.75" customHeight="1">
      <c r="A375" s="66">
        <v>45496.0</v>
      </c>
      <c r="B375" s="55" t="str">
        <f>HYPERLINK("https://jobright.ai/jobs/info/667f22e60dd968ff61cf1d96?utm_campaign=1052&amp;utm_source=sheet", "Apply")</f>
        <v>Apply</v>
      </c>
      <c r="C375" s="10" t="s">
        <v>10024</v>
      </c>
      <c r="D375" s="56" t="s">
        <v>1496</v>
      </c>
      <c r="E375" s="10" t="s">
        <v>45</v>
      </c>
      <c r="F375" s="10" t="s">
        <v>1497</v>
      </c>
      <c r="G375" s="10" t="s">
        <v>9419</v>
      </c>
      <c r="H375" s="10" t="s">
        <v>10017</v>
      </c>
      <c r="I375" s="10" t="s">
        <v>55</v>
      </c>
      <c r="K375" s="10" t="s">
        <v>10025</v>
      </c>
      <c r="L375" s="10" t="s">
        <v>42</v>
      </c>
    </row>
    <row r="376" ht="15.75" customHeight="1">
      <c r="A376" s="66">
        <v>45496.0</v>
      </c>
      <c r="B376" s="55" t="str">
        <f>HYPERLINK("https://jobright.ai/jobs/info/667d73e5acc51afa47c3d31b?utm_campaign=1052&amp;utm_source=sheet", "Apply")</f>
        <v>Apply</v>
      </c>
      <c r="C376" s="10" t="s">
        <v>9955</v>
      </c>
      <c r="D376" s="56" t="s">
        <v>1496</v>
      </c>
      <c r="E376" s="10" t="s">
        <v>45</v>
      </c>
      <c r="F376" s="10" t="s">
        <v>1497</v>
      </c>
      <c r="G376" s="10" t="s">
        <v>9419</v>
      </c>
      <c r="H376" s="10" t="s">
        <v>154</v>
      </c>
      <c r="I376" s="10" t="s">
        <v>55</v>
      </c>
      <c r="K376" s="10" t="s">
        <v>9956</v>
      </c>
      <c r="L376" s="10" t="s">
        <v>42</v>
      </c>
    </row>
    <row r="377" ht="15.75" customHeight="1">
      <c r="A377" s="66">
        <v>45496.0</v>
      </c>
      <c r="B377" s="55" t="str">
        <f>HYPERLINK("https://jobright.ai/jobs/info/667d73e5acc51afa47c3d32e?utm_campaign=1052&amp;utm_source=sheet", "Apply")</f>
        <v>Apply</v>
      </c>
      <c r="C377" s="10" t="s">
        <v>9535</v>
      </c>
      <c r="D377" s="56" t="s">
        <v>1496</v>
      </c>
      <c r="E377" s="10" t="s">
        <v>45</v>
      </c>
      <c r="F377" s="10" t="s">
        <v>1497</v>
      </c>
      <c r="G377" s="10" t="s">
        <v>9419</v>
      </c>
      <c r="H377" s="10" t="s">
        <v>829</v>
      </c>
      <c r="I377" s="10" t="s">
        <v>55</v>
      </c>
      <c r="K377" s="10" t="s">
        <v>10016</v>
      </c>
      <c r="L377" s="10" t="s">
        <v>42</v>
      </c>
    </row>
    <row r="378" ht="15.75" customHeight="1">
      <c r="A378" s="66">
        <v>45496.0</v>
      </c>
      <c r="B378" s="55" t="str">
        <f>HYPERLINK("https://jobright.ai/jobs/info/667d4f54205769d09115090e?utm_campaign=1052&amp;utm_source=sheet", "Apply")</f>
        <v>Apply</v>
      </c>
      <c r="C378" s="10" t="s">
        <v>9955</v>
      </c>
      <c r="D378" s="56" t="s">
        <v>1496</v>
      </c>
      <c r="E378" s="10" t="s">
        <v>45</v>
      </c>
      <c r="F378" s="10" t="s">
        <v>1497</v>
      </c>
      <c r="G378" s="10" t="s">
        <v>9419</v>
      </c>
      <c r="H378" s="10" t="s">
        <v>144</v>
      </c>
      <c r="I378" s="10" t="s">
        <v>55</v>
      </c>
      <c r="K378" s="10" t="s">
        <v>10016</v>
      </c>
      <c r="L378" s="10" t="s">
        <v>42</v>
      </c>
    </row>
    <row r="379" ht="15.75" customHeight="1">
      <c r="A379" s="66">
        <v>45496.0</v>
      </c>
      <c r="B379" s="55" t="str">
        <f>HYPERLINK("https://jobright.ai/jobs/info/667d56d5aa63cf1b275d1779?utm_campaign=1052&amp;utm_source=sheet", "Apply")</f>
        <v>Apply</v>
      </c>
      <c r="C379" s="10" t="s">
        <v>9535</v>
      </c>
      <c r="D379" s="56" t="s">
        <v>1496</v>
      </c>
      <c r="E379" s="10" t="s">
        <v>45</v>
      </c>
      <c r="F379" s="10" t="s">
        <v>1497</v>
      </c>
      <c r="G379" s="10" t="s">
        <v>9419</v>
      </c>
      <c r="H379" s="10" t="s">
        <v>131</v>
      </c>
      <c r="I379" s="10" t="s">
        <v>55</v>
      </c>
      <c r="K379" s="10" t="s">
        <v>10016</v>
      </c>
      <c r="L379" s="10" t="s">
        <v>42</v>
      </c>
    </row>
    <row r="380" ht="15.75" customHeight="1">
      <c r="A380" s="66">
        <v>45496.0</v>
      </c>
      <c r="B380" s="55" t="str">
        <f>HYPERLINK("https://jobright.ai/jobs/info/667d68f4fc46a9c78e587c5e?utm_campaign=1052&amp;utm_source=sheet", "Apply")</f>
        <v>Apply</v>
      </c>
      <c r="C380" s="10" t="s">
        <v>9535</v>
      </c>
      <c r="D380" s="56" t="s">
        <v>1496</v>
      </c>
      <c r="E380" s="10" t="s">
        <v>45</v>
      </c>
      <c r="F380" s="10" t="s">
        <v>1497</v>
      </c>
      <c r="G380" s="10" t="s">
        <v>9419</v>
      </c>
      <c r="H380" s="10" t="s">
        <v>170</v>
      </c>
      <c r="I380" s="10" t="s">
        <v>55</v>
      </c>
      <c r="K380" s="10" t="s">
        <v>10016</v>
      </c>
      <c r="L380" s="10" t="s">
        <v>42</v>
      </c>
    </row>
    <row r="381" ht="15.75" customHeight="1">
      <c r="A381" s="66">
        <v>45496.0</v>
      </c>
      <c r="B381" s="55" t="str">
        <f>HYPERLINK("https://jobright.ai/jobs/info/6683820b329ab23a811655ef?utm_campaign=1052&amp;utm_source=sheet", "Apply")</f>
        <v>Apply</v>
      </c>
      <c r="C381" s="10" t="s">
        <v>10026</v>
      </c>
      <c r="D381" s="56" t="s">
        <v>9585</v>
      </c>
      <c r="E381" s="10" t="s">
        <v>65</v>
      </c>
      <c r="F381" s="10" t="s">
        <v>722</v>
      </c>
      <c r="G381" s="10" t="s">
        <v>9419</v>
      </c>
      <c r="H381" s="10" t="s">
        <v>607</v>
      </c>
      <c r="I381" s="10" t="s">
        <v>55</v>
      </c>
      <c r="K381" s="10" t="s">
        <v>9586</v>
      </c>
      <c r="L381" s="10" t="s">
        <v>42</v>
      </c>
    </row>
    <row r="382" ht="15.75" customHeight="1">
      <c r="A382" s="66">
        <v>45496.0</v>
      </c>
      <c r="B382" s="55" t="str">
        <f>HYPERLINK("https://jobright.ai/jobs/info/6682f12b56317a36d1ad8898?utm_campaign=1052&amp;utm_source=sheet", "Apply")</f>
        <v>Apply</v>
      </c>
      <c r="C382" s="10" t="s">
        <v>9735</v>
      </c>
      <c r="D382" s="56" t="s">
        <v>10027</v>
      </c>
      <c r="E382" s="10" t="s">
        <v>65</v>
      </c>
      <c r="F382" s="10" t="s">
        <v>479</v>
      </c>
      <c r="G382" s="10" t="s">
        <v>9414</v>
      </c>
      <c r="H382" s="10" t="s">
        <v>9042</v>
      </c>
      <c r="I382" s="10" t="s">
        <v>55</v>
      </c>
      <c r="K382" s="10" t="s">
        <v>10028</v>
      </c>
      <c r="L382" s="10" t="s">
        <v>42</v>
      </c>
    </row>
    <row r="383" ht="15.75" customHeight="1">
      <c r="A383" s="66">
        <v>45496.0</v>
      </c>
      <c r="B383" s="55" t="str">
        <f>HYPERLINK("https://jobright.ai/jobs/info/667d6e8c52c05eba497b13df?utm_campaign=1052&amp;utm_source=sheet", "Apply")</f>
        <v>Apply</v>
      </c>
      <c r="C383" s="10" t="s">
        <v>9535</v>
      </c>
      <c r="D383" s="56" t="s">
        <v>1496</v>
      </c>
      <c r="E383" s="10" t="s">
        <v>45</v>
      </c>
      <c r="F383" s="10" t="s">
        <v>1497</v>
      </c>
      <c r="G383" s="10" t="s">
        <v>9419</v>
      </c>
      <c r="H383" s="10" t="s">
        <v>165</v>
      </c>
      <c r="I383" s="10" t="s">
        <v>55</v>
      </c>
      <c r="K383" s="10" t="s">
        <v>10016</v>
      </c>
      <c r="L383" s="10" t="s">
        <v>42</v>
      </c>
    </row>
    <row r="384" ht="15.75" customHeight="1">
      <c r="A384" s="66">
        <v>45496.0</v>
      </c>
      <c r="B384" s="55" t="str">
        <f>HYPERLINK("https://jobright.ai/jobs/info/667d57beaa63cf1b275d2bd5?utm_campaign=1052&amp;utm_source=sheet", "Apply")</f>
        <v>Apply</v>
      </c>
      <c r="C384" s="10" t="s">
        <v>9535</v>
      </c>
      <c r="D384" s="56" t="s">
        <v>1496</v>
      </c>
      <c r="E384" s="10" t="s">
        <v>45</v>
      </c>
      <c r="F384" s="10" t="s">
        <v>1497</v>
      </c>
      <c r="G384" s="10" t="s">
        <v>9419</v>
      </c>
      <c r="H384" s="10" t="s">
        <v>505</v>
      </c>
      <c r="I384" s="10" t="s">
        <v>55</v>
      </c>
      <c r="K384" s="10" t="s">
        <v>10016</v>
      </c>
      <c r="L384" s="10" t="s">
        <v>42</v>
      </c>
    </row>
    <row r="385" ht="15.75" customHeight="1">
      <c r="A385" s="66">
        <v>45496.0</v>
      </c>
      <c r="B385" s="55" t="str">
        <f>HYPERLINK("https://jobright.ai/jobs/info/667d57b4aa63cf1b275d2ba8?utm_campaign=1052&amp;utm_source=sheet", "Apply")</f>
        <v>Apply</v>
      </c>
      <c r="C385" s="10" t="s">
        <v>9955</v>
      </c>
      <c r="D385" s="56" t="s">
        <v>1496</v>
      </c>
      <c r="E385" s="10" t="s">
        <v>45</v>
      </c>
      <c r="F385" s="10" t="s">
        <v>1497</v>
      </c>
      <c r="G385" s="10" t="s">
        <v>9419</v>
      </c>
      <c r="H385" s="10" t="s">
        <v>1263</v>
      </c>
      <c r="I385" s="10" t="s">
        <v>55</v>
      </c>
      <c r="K385" s="10" t="s">
        <v>9956</v>
      </c>
      <c r="L385" s="10" t="s">
        <v>42</v>
      </c>
    </row>
    <row r="386" ht="15.75" customHeight="1">
      <c r="A386" s="66">
        <v>45496.0</v>
      </c>
      <c r="B386" s="55" t="str">
        <f>HYPERLINK("https://jobright.ai/jobs/info/667d57beaa63cf1b275d2bd7?utm_campaign=1052&amp;utm_source=sheet", "Apply")</f>
        <v>Apply</v>
      </c>
      <c r="C386" s="10" t="s">
        <v>9535</v>
      </c>
      <c r="D386" s="56" t="s">
        <v>1496</v>
      </c>
      <c r="E386" s="10" t="s">
        <v>45</v>
      </c>
      <c r="F386" s="10" t="s">
        <v>1497</v>
      </c>
      <c r="G386" s="10" t="s">
        <v>9419</v>
      </c>
      <c r="H386" s="10" t="s">
        <v>232</v>
      </c>
      <c r="I386" s="10" t="s">
        <v>55</v>
      </c>
      <c r="K386" s="10" t="s">
        <v>10016</v>
      </c>
      <c r="L386" s="10" t="s">
        <v>42</v>
      </c>
    </row>
    <row r="387" ht="15.75" customHeight="1">
      <c r="A387" s="66">
        <v>45496.0</v>
      </c>
      <c r="B387" s="55" t="str">
        <f>HYPERLINK("https://jobright.ai/jobs/info/667d73efacc51afa47c3d336?utm_campaign=1052&amp;utm_source=sheet", "Apply")</f>
        <v>Apply</v>
      </c>
      <c r="C387" s="10" t="s">
        <v>9955</v>
      </c>
      <c r="D387" s="56" t="s">
        <v>1496</v>
      </c>
      <c r="E387" s="10" t="s">
        <v>45</v>
      </c>
      <c r="F387" s="10" t="s">
        <v>1497</v>
      </c>
      <c r="G387" s="10" t="s">
        <v>9419</v>
      </c>
      <c r="H387" s="10" t="s">
        <v>106</v>
      </c>
      <c r="I387" s="10" t="s">
        <v>55</v>
      </c>
      <c r="K387" s="10" t="s">
        <v>9956</v>
      </c>
      <c r="L387" s="10" t="s">
        <v>42</v>
      </c>
    </row>
    <row r="388" ht="15.75" customHeight="1">
      <c r="A388" s="66">
        <v>45496.0</v>
      </c>
      <c r="B388" s="55" t="str">
        <f>HYPERLINK("https://jobright.ai/jobs/info/668337e9b5752eff96c79aca?utm_campaign=1052&amp;utm_source=sheet", "Apply")</f>
        <v>Apply</v>
      </c>
      <c r="C388" s="10" t="s">
        <v>10029</v>
      </c>
      <c r="D388" s="56" t="s">
        <v>10022</v>
      </c>
      <c r="E388" s="10" t="s">
        <v>65</v>
      </c>
      <c r="F388" s="10" t="s">
        <v>259</v>
      </c>
      <c r="G388" s="10" t="s">
        <v>9414</v>
      </c>
      <c r="H388" s="10" t="s">
        <v>9748</v>
      </c>
      <c r="I388" s="10" t="s">
        <v>55</v>
      </c>
      <c r="J388" s="10" t="s">
        <v>3430</v>
      </c>
      <c r="K388" s="10" t="s">
        <v>10023</v>
      </c>
      <c r="L388" s="10" t="s">
        <v>42</v>
      </c>
    </row>
    <row r="389" ht="15.75" customHeight="1">
      <c r="A389" s="66">
        <v>45496.0</v>
      </c>
      <c r="B389" s="55" t="str">
        <f>HYPERLINK("https://jobright.ai/jobs/info/66a2167ad09b26003b597c0f?utm_campaign=1052&amp;utm_source=sheet", "Apply")</f>
        <v>Apply</v>
      </c>
      <c r="C389" s="10" t="s">
        <v>9923</v>
      </c>
      <c r="D389" s="56" t="s">
        <v>10030</v>
      </c>
      <c r="E389" s="10">
        <v>25.0</v>
      </c>
      <c r="G389" s="10" t="s">
        <v>1159</v>
      </c>
      <c r="H389" s="10" t="s">
        <v>423</v>
      </c>
      <c r="I389" s="10" t="s">
        <v>55</v>
      </c>
      <c r="J389" s="10" t="s">
        <v>9924</v>
      </c>
      <c r="K389" s="10" t="s">
        <v>10031</v>
      </c>
      <c r="L389" s="10" t="s">
        <v>42</v>
      </c>
    </row>
    <row r="390" ht="15.75" customHeight="1">
      <c r="A390" s="66">
        <v>45496.0</v>
      </c>
      <c r="B390" s="55" t="str">
        <f>HYPERLINK("https://jobright.ai/jobs/info/669f07366a1e90a9f920dc5a?utm_campaign=1052&amp;utm_source=sheet", "Apply")</f>
        <v>Apply</v>
      </c>
      <c r="C390" s="10" t="s">
        <v>10012</v>
      </c>
      <c r="D390" s="56" t="s">
        <v>1776</v>
      </c>
      <c r="E390" s="10">
        <v>17178.0</v>
      </c>
      <c r="G390" s="10" t="s">
        <v>9414</v>
      </c>
      <c r="H390" s="10" t="s">
        <v>419</v>
      </c>
      <c r="I390" s="10" t="s">
        <v>55</v>
      </c>
      <c r="J390" s="10" t="s">
        <v>2742</v>
      </c>
      <c r="K390" s="10" t="s">
        <v>10013</v>
      </c>
      <c r="L390" s="10" t="s">
        <v>42</v>
      </c>
    </row>
    <row r="391" ht="15.75" customHeight="1">
      <c r="A391" s="66">
        <v>45496.0</v>
      </c>
      <c r="B391" s="55" t="str">
        <f>HYPERLINK("https://jobright.ai/jobs/info/669f0f3c96c5eac56793c3bc?utm_campaign=1052&amp;utm_source=sheet", "Apply")</f>
        <v>Apply</v>
      </c>
      <c r="C391" s="10" t="s">
        <v>10032</v>
      </c>
      <c r="D391" s="56" t="s">
        <v>1776</v>
      </c>
      <c r="E391" s="10">
        <v>17178.0</v>
      </c>
      <c r="G391" s="10" t="s">
        <v>9414</v>
      </c>
      <c r="H391" s="10" t="s">
        <v>10033</v>
      </c>
      <c r="I391" s="10" t="s">
        <v>55</v>
      </c>
      <c r="J391" s="10" t="s">
        <v>2742</v>
      </c>
      <c r="K391" s="10" t="s">
        <v>10013</v>
      </c>
      <c r="L391" s="10" t="s">
        <v>42</v>
      </c>
    </row>
    <row r="392" ht="15.75" customHeight="1">
      <c r="A392" s="66">
        <v>45496.0</v>
      </c>
      <c r="B392" s="55" t="str">
        <f>HYPERLINK("https://jobright.ai/jobs/info/669f2279e259be7ea8b87b11?utm_campaign=1052&amp;utm_source=sheet", "Apply")</f>
        <v>Apply</v>
      </c>
      <c r="C392" s="10" t="s">
        <v>10034</v>
      </c>
      <c r="D392" s="56" t="s">
        <v>1776</v>
      </c>
      <c r="E392" s="10">
        <v>17178.0</v>
      </c>
      <c r="G392" s="10" t="s">
        <v>9414</v>
      </c>
      <c r="H392" s="10" t="s">
        <v>774</v>
      </c>
      <c r="I392" s="10" t="s">
        <v>55</v>
      </c>
      <c r="J392" s="10" t="s">
        <v>2742</v>
      </c>
      <c r="K392" s="10" t="s">
        <v>10013</v>
      </c>
      <c r="L392" s="10" t="s">
        <v>42</v>
      </c>
    </row>
    <row r="393" ht="15.75" customHeight="1">
      <c r="A393" s="66">
        <v>45496.0</v>
      </c>
      <c r="B393" s="55" t="str">
        <f>HYPERLINK("https://jobright.ai/jobs/info/669efe77fd551666e1d03a8a?utm_campaign=1052&amp;utm_source=sheet", "Apply")</f>
        <v>Apply</v>
      </c>
      <c r="C393" s="10" t="s">
        <v>10035</v>
      </c>
      <c r="D393" s="56" t="s">
        <v>1776</v>
      </c>
      <c r="E393" s="10">
        <v>17178.0</v>
      </c>
      <c r="G393" s="10" t="s">
        <v>9414</v>
      </c>
      <c r="H393" s="10" t="s">
        <v>10036</v>
      </c>
      <c r="I393" s="10" t="s">
        <v>55</v>
      </c>
      <c r="J393" s="10" t="s">
        <v>2742</v>
      </c>
      <c r="K393" s="10" t="s">
        <v>10013</v>
      </c>
      <c r="L393" s="10" t="s">
        <v>42</v>
      </c>
    </row>
    <row r="394" ht="15.75" customHeight="1">
      <c r="A394" s="66">
        <v>45496.0</v>
      </c>
      <c r="B394" s="55" t="str">
        <f>HYPERLINK("https://jobright.ai/jobs/info/669efe77fd551666e1d03a89?utm_campaign=1052&amp;utm_source=sheet", "Apply")</f>
        <v>Apply</v>
      </c>
      <c r="C394" s="10" t="s">
        <v>10037</v>
      </c>
      <c r="D394" s="56" t="s">
        <v>1776</v>
      </c>
      <c r="E394" s="10">
        <v>17178.0</v>
      </c>
      <c r="G394" s="10" t="s">
        <v>9414</v>
      </c>
      <c r="H394" s="10" t="s">
        <v>10038</v>
      </c>
      <c r="I394" s="10" t="s">
        <v>55</v>
      </c>
      <c r="J394" s="10" t="s">
        <v>2742</v>
      </c>
      <c r="K394" s="10" t="s">
        <v>10013</v>
      </c>
      <c r="L394" s="10" t="s">
        <v>42</v>
      </c>
    </row>
    <row r="395" ht="15.75" customHeight="1">
      <c r="A395" s="66">
        <v>45496.0</v>
      </c>
      <c r="B395" s="55" t="str">
        <f>HYPERLINK("https://jobright.ai/jobs/info/669ef3e38f2d3be9ad51668b?utm_campaign=1052&amp;utm_source=sheet", "Apply")</f>
        <v>Apply</v>
      </c>
      <c r="C395" s="10" t="s">
        <v>10039</v>
      </c>
      <c r="D395" s="56" t="s">
        <v>1776</v>
      </c>
      <c r="E395" s="10">
        <v>17178.0</v>
      </c>
      <c r="G395" s="10" t="s">
        <v>9414</v>
      </c>
      <c r="H395" s="10" t="s">
        <v>3150</v>
      </c>
      <c r="I395" s="10" t="s">
        <v>55</v>
      </c>
      <c r="J395" s="10" t="s">
        <v>2742</v>
      </c>
      <c r="K395" s="10" t="s">
        <v>10013</v>
      </c>
      <c r="L395" s="10" t="s">
        <v>42</v>
      </c>
    </row>
    <row r="396" ht="15.75" customHeight="1">
      <c r="A396" s="66">
        <v>45496.0</v>
      </c>
      <c r="B396" s="55" t="str">
        <f>HYPERLINK("https://jobright.ai/jobs/info/669efe77fd551666e1d03a8b?utm_campaign=1052&amp;utm_source=sheet", "Apply")</f>
        <v>Apply</v>
      </c>
      <c r="C396" s="10" t="s">
        <v>10040</v>
      </c>
      <c r="D396" s="56" t="s">
        <v>1776</v>
      </c>
      <c r="E396" s="10">
        <v>17178.0</v>
      </c>
      <c r="G396" s="10" t="s">
        <v>9414</v>
      </c>
      <c r="H396" s="10" t="s">
        <v>10041</v>
      </c>
      <c r="I396" s="10" t="s">
        <v>55</v>
      </c>
      <c r="J396" s="10" t="s">
        <v>2742</v>
      </c>
      <c r="K396" s="10" t="s">
        <v>10013</v>
      </c>
      <c r="L396" s="10" t="s">
        <v>42</v>
      </c>
    </row>
    <row r="397" ht="15.75" customHeight="1">
      <c r="A397" s="66">
        <v>45496.0</v>
      </c>
      <c r="B397" s="55" t="str">
        <f>HYPERLINK("https://jobright.ai/jobs/info/669f4455bb0cc5bcedf7604a?utm_campaign=1052&amp;utm_source=sheet", "Apply")</f>
        <v>Apply</v>
      </c>
      <c r="C397" s="10" t="s">
        <v>10042</v>
      </c>
      <c r="D397" s="56" t="s">
        <v>1178</v>
      </c>
      <c r="E397" s="10" t="s">
        <v>137</v>
      </c>
      <c r="F397" s="10" t="s">
        <v>1179</v>
      </c>
      <c r="G397" s="10" t="s">
        <v>9414</v>
      </c>
      <c r="H397" s="10" t="s">
        <v>994</v>
      </c>
      <c r="I397" s="10" t="s">
        <v>48</v>
      </c>
      <c r="K397" s="10" t="s">
        <v>10043</v>
      </c>
      <c r="L397" s="10" t="s">
        <v>42</v>
      </c>
    </row>
    <row r="398" ht="15.75" customHeight="1">
      <c r="A398" s="66">
        <v>45496.0</v>
      </c>
      <c r="B398" s="55" t="str">
        <f>HYPERLINK("https://jobright.ai/jobs/info/669f5082a588dff06492ab5c?utm_campaign=1052&amp;utm_source=sheet", "Apply")</f>
        <v>Apply</v>
      </c>
      <c r="C398" s="10" t="s">
        <v>10044</v>
      </c>
      <c r="D398" s="56" t="s">
        <v>1178</v>
      </c>
      <c r="E398" s="10" t="s">
        <v>137</v>
      </c>
      <c r="F398" s="10" t="s">
        <v>1179</v>
      </c>
      <c r="G398" s="10" t="s">
        <v>9414</v>
      </c>
      <c r="H398" s="10" t="s">
        <v>96</v>
      </c>
      <c r="I398" s="10" t="s">
        <v>55</v>
      </c>
      <c r="J398" s="10" t="s">
        <v>10045</v>
      </c>
      <c r="K398" s="10" t="s">
        <v>10046</v>
      </c>
      <c r="L398" s="10" t="s">
        <v>42</v>
      </c>
    </row>
    <row r="399" ht="15.75" customHeight="1">
      <c r="A399" s="66">
        <v>45496.0</v>
      </c>
      <c r="B399" s="55" t="str">
        <f>HYPERLINK("https://jobright.ai/jobs/info/669ef3e38f2d3be9ad51668d?utm_campaign=1052&amp;utm_source=sheet", "Apply")</f>
        <v>Apply</v>
      </c>
      <c r="C399" s="10" t="s">
        <v>10047</v>
      </c>
      <c r="D399" s="56" t="s">
        <v>1776</v>
      </c>
      <c r="E399" s="10">
        <v>17178.0</v>
      </c>
      <c r="G399" s="10" t="s">
        <v>9414</v>
      </c>
      <c r="H399" s="10" t="s">
        <v>6086</v>
      </c>
      <c r="I399" s="10" t="s">
        <v>55</v>
      </c>
      <c r="J399" s="10" t="s">
        <v>2742</v>
      </c>
      <c r="K399" s="10" t="s">
        <v>10013</v>
      </c>
      <c r="L399" s="10" t="s">
        <v>42</v>
      </c>
    </row>
    <row r="400" ht="15.75" customHeight="1">
      <c r="A400" s="66">
        <v>45496.0</v>
      </c>
      <c r="B400" s="55" t="str">
        <f>HYPERLINK("https://jobright.ai/jobs/info/669ef3e38f2d3be9ad51668c?utm_campaign=1052&amp;utm_source=sheet", "Apply")</f>
        <v>Apply</v>
      </c>
      <c r="C400" s="10" t="s">
        <v>10048</v>
      </c>
      <c r="D400" s="56" t="s">
        <v>1776</v>
      </c>
      <c r="E400" s="10">
        <v>17178.0</v>
      </c>
      <c r="G400" s="10" t="s">
        <v>9414</v>
      </c>
      <c r="H400" s="10" t="s">
        <v>7610</v>
      </c>
      <c r="I400" s="10" t="s">
        <v>55</v>
      </c>
      <c r="J400" s="10" t="s">
        <v>2742</v>
      </c>
      <c r="K400" s="10" t="s">
        <v>10013</v>
      </c>
      <c r="L400" s="10" t="s">
        <v>42</v>
      </c>
    </row>
    <row r="401" ht="15.75" customHeight="1">
      <c r="A401" s="66">
        <v>45496.0</v>
      </c>
      <c r="B401" s="55" t="str">
        <f>HYPERLINK("https://jobright.ai/jobs/info/669efe77fd551666e1d03aa3?utm_campaign=1052&amp;utm_source=sheet", "Apply")</f>
        <v>Apply</v>
      </c>
      <c r="C401" s="10" t="s">
        <v>10049</v>
      </c>
      <c r="D401" s="56" t="s">
        <v>1776</v>
      </c>
      <c r="E401" s="10">
        <v>17178.0</v>
      </c>
      <c r="G401" s="10" t="s">
        <v>9414</v>
      </c>
      <c r="H401" s="10" t="s">
        <v>10050</v>
      </c>
      <c r="I401" s="10" t="s">
        <v>55</v>
      </c>
      <c r="J401" s="10" t="s">
        <v>2742</v>
      </c>
      <c r="K401" s="10" t="s">
        <v>10013</v>
      </c>
      <c r="L401" s="10" t="s">
        <v>42</v>
      </c>
    </row>
    <row r="402" ht="15.75" customHeight="1">
      <c r="A402" s="66">
        <v>45496.0</v>
      </c>
      <c r="B402" s="55" t="str">
        <f>HYPERLINK("https://jobright.ai/jobs/info/669ef3fd8f2d3be9ad516919?utm_campaign=1052&amp;utm_source=sheet", "Apply")</f>
        <v>Apply</v>
      </c>
      <c r="C402" s="10" t="s">
        <v>10051</v>
      </c>
      <c r="D402" s="56" t="s">
        <v>1776</v>
      </c>
      <c r="E402" s="10">
        <v>17178.0</v>
      </c>
      <c r="G402" s="10" t="s">
        <v>9414</v>
      </c>
      <c r="H402" s="10" t="s">
        <v>768</v>
      </c>
      <c r="I402" s="10" t="s">
        <v>55</v>
      </c>
      <c r="J402" s="10" t="s">
        <v>2742</v>
      </c>
      <c r="K402" s="10" t="s">
        <v>10013</v>
      </c>
      <c r="L402" s="10" t="s">
        <v>42</v>
      </c>
    </row>
    <row r="403" ht="15.75" customHeight="1">
      <c r="A403" s="66">
        <v>45496.0</v>
      </c>
      <c r="B403" s="55" t="str">
        <f>HYPERLINK("https://jobright.ai/jobs/info/669efe77fd551666e1d03a88?utm_campaign=1052&amp;utm_source=sheet", "Apply")</f>
        <v>Apply</v>
      </c>
      <c r="C403" s="10" t="s">
        <v>10052</v>
      </c>
      <c r="D403" s="56" t="s">
        <v>1776</v>
      </c>
      <c r="E403" s="10">
        <v>17178.0</v>
      </c>
      <c r="G403" s="10" t="s">
        <v>9414</v>
      </c>
      <c r="H403" s="10" t="s">
        <v>930</v>
      </c>
      <c r="I403" s="10" t="s">
        <v>55</v>
      </c>
      <c r="J403" s="10" t="s">
        <v>2742</v>
      </c>
      <c r="K403" s="10" t="s">
        <v>10013</v>
      </c>
      <c r="L403" s="10" t="s">
        <v>42</v>
      </c>
    </row>
    <row r="404" ht="15.75" customHeight="1">
      <c r="A404" s="66">
        <v>45496.0</v>
      </c>
      <c r="B404" s="55" t="str">
        <f>HYPERLINK("https://jobright.ai/jobs/info/669f2279e259be7ea8b87b14?utm_campaign=1052&amp;utm_source=sheet", "Apply")</f>
        <v>Apply</v>
      </c>
      <c r="C404" s="10" t="s">
        <v>10053</v>
      </c>
      <c r="D404" s="56" t="s">
        <v>1776</v>
      </c>
      <c r="E404" s="10">
        <v>17178.0</v>
      </c>
      <c r="G404" s="10" t="s">
        <v>9414</v>
      </c>
      <c r="H404" s="10" t="s">
        <v>885</v>
      </c>
      <c r="I404" s="10" t="s">
        <v>55</v>
      </c>
      <c r="J404" s="10" t="s">
        <v>2742</v>
      </c>
      <c r="K404" s="10" t="s">
        <v>10013</v>
      </c>
      <c r="L404" s="10" t="s">
        <v>42</v>
      </c>
    </row>
    <row r="405" ht="15.75" customHeight="1">
      <c r="A405" s="66">
        <v>45496.0</v>
      </c>
      <c r="B405" s="55" t="str">
        <f>HYPERLINK("https://jobright.ai/jobs/info/669ef3e38f2d3be9ad51668e?utm_campaign=1052&amp;utm_source=sheet", "Apply")</f>
        <v>Apply</v>
      </c>
      <c r="C405" s="10" t="s">
        <v>10051</v>
      </c>
      <c r="D405" s="56" t="s">
        <v>1776</v>
      </c>
      <c r="E405" s="10">
        <v>17178.0</v>
      </c>
      <c r="G405" s="10" t="s">
        <v>9414</v>
      </c>
      <c r="H405" s="10" t="s">
        <v>10054</v>
      </c>
      <c r="I405" s="10" t="s">
        <v>55</v>
      </c>
      <c r="J405" s="10" t="s">
        <v>2742</v>
      </c>
      <c r="K405" s="10" t="s">
        <v>10013</v>
      </c>
      <c r="L405" s="10" t="s">
        <v>42</v>
      </c>
    </row>
    <row r="406" ht="15.75" customHeight="1">
      <c r="A406" s="66">
        <v>45496.0</v>
      </c>
      <c r="B406" s="55" t="str">
        <f>HYPERLINK("https://jobright.ai/jobs/info/669f2279e259be7ea8b87b10?utm_campaign=1052&amp;utm_source=sheet", "Apply")</f>
        <v>Apply</v>
      </c>
      <c r="C406" s="10" t="s">
        <v>10055</v>
      </c>
      <c r="D406" s="56" t="s">
        <v>1776</v>
      </c>
      <c r="E406" s="10">
        <v>17178.0</v>
      </c>
      <c r="G406" s="10" t="s">
        <v>9414</v>
      </c>
      <c r="H406" s="10" t="s">
        <v>10056</v>
      </c>
      <c r="I406" s="10" t="s">
        <v>55</v>
      </c>
      <c r="J406" s="10" t="s">
        <v>2742</v>
      </c>
      <c r="K406" s="10" t="s">
        <v>10013</v>
      </c>
      <c r="L406" s="10" t="s">
        <v>42</v>
      </c>
    </row>
    <row r="407" ht="15.75" customHeight="1">
      <c r="A407" s="66">
        <v>45496.0</v>
      </c>
      <c r="B407" s="55" t="str">
        <f>HYPERLINK("https://jobright.ai/jobs/info/66a014582a171339ff150861?utm_campaign=1052&amp;utm_source=sheet", "Apply")</f>
        <v>Apply</v>
      </c>
      <c r="C407" s="10" t="s">
        <v>10057</v>
      </c>
      <c r="D407" s="56" t="s">
        <v>1227</v>
      </c>
      <c r="E407" s="10" t="s">
        <v>45</v>
      </c>
      <c r="F407" s="10" t="s">
        <v>259</v>
      </c>
      <c r="G407" s="10" t="s">
        <v>9414</v>
      </c>
      <c r="H407" s="10" t="s">
        <v>1228</v>
      </c>
      <c r="I407" s="10" t="s">
        <v>48</v>
      </c>
      <c r="K407" s="10" t="s">
        <v>10058</v>
      </c>
      <c r="L407" s="10" t="s">
        <v>42</v>
      </c>
    </row>
    <row r="408" ht="15.75" customHeight="1">
      <c r="A408" s="66">
        <v>45495.0</v>
      </c>
      <c r="B408" s="55" t="str">
        <f>HYPERLINK("https://jobright.ai/jobs/info/669ef3e38f2d3be9ad516696?utm_campaign=1052&amp;utm_source=sheet", "Apply")</f>
        <v>Apply</v>
      </c>
      <c r="C408" s="10" t="s">
        <v>10034</v>
      </c>
      <c r="D408" s="56" t="s">
        <v>1776</v>
      </c>
      <c r="E408" s="10">
        <v>17178.0</v>
      </c>
      <c r="G408" s="10" t="s">
        <v>9414</v>
      </c>
      <c r="H408" s="10" t="s">
        <v>774</v>
      </c>
      <c r="I408" s="10" t="s">
        <v>55</v>
      </c>
      <c r="J408" s="10" t="s">
        <v>2742</v>
      </c>
      <c r="K408" s="10" t="s">
        <v>10013</v>
      </c>
      <c r="L408" s="10" t="s">
        <v>42</v>
      </c>
    </row>
    <row r="409" ht="15.75" customHeight="1">
      <c r="A409" s="66">
        <v>45495.0</v>
      </c>
      <c r="B409" s="55" t="str">
        <f>HYPERLINK("https://jobright.ai/jobs/info/669ef2c81e8065cb2121e32c?utm_campaign=1052&amp;utm_source=sheet", "Apply")</f>
        <v>Apply</v>
      </c>
      <c r="C409" s="10" t="s">
        <v>10059</v>
      </c>
      <c r="D409" s="56" t="s">
        <v>730</v>
      </c>
      <c r="E409" s="10" t="s">
        <v>45</v>
      </c>
      <c r="F409" s="10" t="s">
        <v>731</v>
      </c>
      <c r="G409" s="10" t="s">
        <v>9414</v>
      </c>
      <c r="H409" s="10" t="s">
        <v>131</v>
      </c>
      <c r="I409" s="10" t="s">
        <v>55</v>
      </c>
      <c r="K409" s="10" t="s">
        <v>10060</v>
      </c>
      <c r="L409" s="10" t="s">
        <v>42</v>
      </c>
    </row>
    <row r="410" ht="15.75" customHeight="1">
      <c r="A410" s="66">
        <v>45495.0</v>
      </c>
      <c r="B410" s="55" t="str">
        <f>HYPERLINK("https://jobright.ai/jobs/info/669ef2c81e8065cb2121e32e?utm_campaign=1052&amp;utm_source=sheet", "Apply")</f>
        <v>Apply</v>
      </c>
      <c r="C410" s="10" t="s">
        <v>10059</v>
      </c>
      <c r="D410" s="56" t="s">
        <v>730</v>
      </c>
      <c r="E410" s="10" t="s">
        <v>45</v>
      </c>
      <c r="F410" s="10" t="s">
        <v>731</v>
      </c>
      <c r="G410" s="10" t="s">
        <v>9414</v>
      </c>
      <c r="H410" s="10" t="s">
        <v>113</v>
      </c>
      <c r="I410" s="10" t="s">
        <v>55</v>
      </c>
      <c r="K410" s="10" t="s">
        <v>10060</v>
      </c>
      <c r="L410" s="10" t="s">
        <v>42</v>
      </c>
    </row>
    <row r="411" ht="15.75" customHeight="1">
      <c r="A411" s="66">
        <v>45495.0</v>
      </c>
      <c r="B411" s="55" t="str">
        <f>HYPERLINK("https://jobright.ai/jobs/info/669f141697729703c331b6e6?utm_campaign=1052&amp;utm_source=sheet", "Apply")</f>
        <v>Apply</v>
      </c>
      <c r="C411" s="10" t="s">
        <v>10007</v>
      </c>
      <c r="D411" s="56" t="s">
        <v>730</v>
      </c>
      <c r="E411" s="10" t="s">
        <v>45</v>
      </c>
      <c r="F411" s="10" t="s">
        <v>731</v>
      </c>
      <c r="G411" s="10" t="s">
        <v>9414</v>
      </c>
      <c r="H411" s="10" t="s">
        <v>96</v>
      </c>
      <c r="I411" s="10" t="s">
        <v>55</v>
      </c>
      <c r="K411" s="10" t="s">
        <v>10008</v>
      </c>
      <c r="L411" s="10" t="s">
        <v>42</v>
      </c>
    </row>
    <row r="412" ht="15.75" customHeight="1">
      <c r="A412" s="66">
        <v>45495.0</v>
      </c>
      <c r="B412" s="55" t="str">
        <f>HYPERLINK("https://jobright.ai/jobs/info/669eeae12ce73e6a5bc88340?utm_campaign=1052&amp;utm_source=sheet", "Apply")</f>
        <v>Apply</v>
      </c>
      <c r="C412" s="10" t="s">
        <v>10059</v>
      </c>
      <c r="D412" s="56" t="s">
        <v>730</v>
      </c>
      <c r="E412" s="10" t="s">
        <v>45</v>
      </c>
      <c r="F412" s="10" t="s">
        <v>731</v>
      </c>
      <c r="G412" s="10" t="s">
        <v>9414</v>
      </c>
      <c r="H412" s="10" t="s">
        <v>154</v>
      </c>
      <c r="I412" s="10" t="s">
        <v>55</v>
      </c>
      <c r="K412" s="10" t="s">
        <v>10060</v>
      </c>
      <c r="L412" s="10" t="s">
        <v>42</v>
      </c>
    </row>
    <row r="413" ht="15.75" customHeight="1">
      <c r="A413" s="66">
        <v>45495.0</v>
      </c>
      <c r="B413" s="55" t="str">
        <f>HYPERLINK("https://jobright.ai/jobs/info/669eeae12ce73e6a5bc8833f?utm_campaign=1052&amp;utm_source=sheet", "Apply")</f>
        <v>Apply</v>
      </c>
      <c r="C413" s="10" t="s">
        <v>10007</v>
      </c>
      <c r="D413" s="56" t="s">
        <v>730</v>
      </c>
      <c r="E413" s="10" t="s">
        <v>45</v>
      </c>
      <c r="F413" s="10" t="s">
        <v>731</v>
      </c>
      <c r="G413" s="10" t="s">
        <v>9414</v>
      </c>
      <c r="H413" s="10" t="s">
        <v>113</v>
      </c>
      <c r="I413" s="10" t="s">
        <v>55</v>
      </c>
      <c r="K413" s="10" t="s">
        <v>10008</v>
      </c>
      <c r="L413" s="10" t="s">
        <v>42</v>
      </c>
    </row>
    <row r="414" ht="15.75" customHeight="1">
      <c r="A414" s="66">
        <v>45495.0</v>
      </c>
      <c r="B414" s="55" t="str">
        <f>HYPERLINK("https://jobright.ai/jobs/info/669eee40c0eecbb96d0798cc?utm_campaign=1052&amp;utm_source=sheet", "Apply")</f>
        <v>Apply</v>
      </c>
      <c r="C414" s="10" t="s">
        <v>10061</v>
      </c>
      <c r="D414" s="56" t="s">
        <v>10062</v>
      </c>
      <c r="E414" s="10" t="s">
        <v>79</v>
      </c>
      <c r="F414" s="10" t="s">
        <v>10</v>
      </c>
      <c r="G414" s="10" t="s">
        <v>9419</v>
      </c>
      <c r="H414" s="10" t="s">
        <v>923</v>
      </c>
      <c r="I414" s="10" t="s">
        <v>55</v>
      </c>
      <c r="K414" s="10" t="s">
        <v>10063</v>
      </c>
      <c r="L414" s="10" t="s">
        <v>42</v>
      </c>
    </row>
    <row r="415" ht="15.75" customHeight="1">
      <c r="A415" s="66">
        <v>45495.0</v>
      </c>
      <c r="B415" s="55" t="str">
        <f>HYPERLINK("https://jobright.ai/jobs/info/669eeae12ce73e6a5bc88357?utm_campaign=1052&amp;utm_source=sheet", "Apply")</f>
        <v>Apply</v>
      </c>
      <c r="C415" s="10" t="s">
        <v>10007</v>
      </c>
      <c r="D415" s="56" t="s">
        <v>730</v>
      </c>
      <c r="E415" s="10" t="s">
        <v>45</v>
      </c>
      <c r="F415" s="10" t="s">
        <v>731</v>
      </c>
      <c r="G415" s="10" t="s">
        <v>9414</v>
      </c>
      <c r="H415" s="10" t="s">
        <v>153</v>
      </c>
      <c r="I415" s="10" t="s">
        <v>55</v>
      </c>
      <c r="K415" s="10" t="s">
        <v>10008</v>
      </c>
      <c r="L415" s="10" t="s">
        <v>42</v>
      </c>
    </row>
    <row r="416" ht="15.75" customHeight="1">
      <c r="A416" s="66">
        <v>45495.0</v>
      </c>
      <c r="B416" s="55" t="str">
        <f>HYPERLINK("https://jobright.ai/jobs/info/669ed988fa3c944533b952c7?utm_campaign=1052&amp;utm_source=sheet", "Apply")</f>
        <v>Apply</v>
      </c>
      <c r="C416" s="10" t="s">
        <v>10064</v>
      </c>
      <c r="D416" s="56" t="s">
        <v>730</v>
      </c>
      <c r="E416" s="10" t="s">
        <v>45</v>
      </c>
      <c r="F416" s="10" t="s">
        <v>731</v>
      </c>
      <c r="G416" s="10" t="s">
        <v>9414</v>
      </c>
      <c r="H416" s="10" t="s">
        <v>154</v>
      </c>
      <c r="I416" s="10" t="s">
        <v>55</v>
      </c>
      <c r="K416" s="10" t="s">
        <v>10060</v>
      </c>
      <c r="L416" s="10" t="s">
        <v>42</v>
      </c>
    </row>
    <row r="417" ht="15.75" customHeight="1">
      <c r="A417" s="66">
        <v>45495.0</v>
      </c>
      <c r="B417" s="55" t="str">
        <f>HYPERLINK("https://jobright.ai/jobs/info/669ed988fa3c944533b952d1?utm_campaign=1052&amp;utm_source=sheet", "Apply")</f>
        <v>Apply</v>
      </c>
      <c r="C417" s="10" t="s">
        <v>10065</v>
      </c>
      <c r="D417" s="56" t="s">
        <v>730</v>
      </c>
      <c r="E417" s="10" t="s">
        <v>45</v>
      </c>
      <c r="F417" s="10" t="s">
        <v>731</v>
      </c>
      <c r="G417" s="10" t="s">
        <v>9414</v>
      </c>
      <c r="H417" s="10" t="s">
        <v>154</v>
      </c>
      <c r="I417" s="10" t="s">
        <v>55</v>
      </c>
      <c r="K417" s="10" t="s">
        <v>10060</v>
      </c>
      <c r="L417" s="10" t="s">
        <v>42</v>
      </c>
    </row>
    <row r="418" ht="15.75" customHeight="1">
      <c r="A418" s="66">
        <v>45495.0</v>
      </c>
      <c r="B418" s="55" t="str">
        <f>HYPERLINK("https://jobright.ai/jobs/info/669ed988fa3c944533b952d6?utm_campaign=1052&amp;utm_source=sheet", "Apply")</f>
        <v>Apply</v>
      </c>
      <c r="C418" s="10" t="s">
        <v>10059</v>
      </c>
      <c r="D418" s="56" t="s">
        <v>730</v>
      </c>
      <c r="E418" s="10" t="s">
        <v>45</v>
      </c>
      <c r="F418" s="10" t="s">
        <v>731</v>
      </c>
      <c r="G418" s="10" t="s">
        <v>9414</v>
      </c>
      <c r="H418" s="10" t="s">
        <v>144</v>
      </c>
      <c r="I418" s="10" t="s">
        <v>55</v>
      </c>
      <c r="K418" s="10" t="s">
        <v>10060</v>
      </c>
      <c r="L418" s="10" t="s">
        <v>42</v>
      </c>
    </row>
    <row r="419" ht="15.75" customHeight="1">
      <c r="A419" s="66">
        <v>45495.0</v>
      </c>
      <c r="B419" s="55" t="str">
        <f>HYPERLINK("https://jobright.ai/jobs/info/669ed988fa3c944533b952d0?utm_campaign=1052&amp;utm_source=sheet", "Apply")</f>
        <v>Apply</v>
      </c>
      <c r="C419" s="10" t="s">
        <v>10066</v>
      </c>
      <c r="D419" s="56" t="s">
        <v>730</v>
      </c>
      <c r="E419" s="10" t="s">
        <v>45</v>
      </c>
      <c r="F419" s="10" t="s">
        <v>731</v>
      </c>
      <c r="G419" s="10" t="s">
        <v>9414</v>
      </c>
      <c r="H419" s="10" t="s">
        <v>154</v>
      </c>
      <c r="I419" s="10" t="s">
        <v>55</v>
      </c>
      <c r="K419" s="10" t="s">
        <v>10060</v>
      </c>
      <c r="L419" s="10" t="s">
        <v>42</v>
      </c>
    </row>
    <row r="420" ht="15.75" customHeight="1">
      <c r="A420" s="66">
        <v>45495.0</v>
      </c>
      <c r="B420" s="55" t="str">
        <f>HYPERLINK("https://jobright.ai/jobs/info/669edf23af54c6a7e8410b12?utm_campaign=1052&amp;utm_source=sheet", "Apply")</f>
        <v>Apply</v>
      </c>
      <c r="C420" s="10" t="s">
        <v>10064</v>
      </c>
      <c r="D420" s="56" t="s">
        <v>730</v>
      </c>
      <c r="E420" s="10" t="s">
        <v>45</v>
      </c>
      <c r="F420" s="10" t="s">
        <v>731</v>
      </c>
      <c r="G420" s="10" t="s">
        <v>9414</v>
      </c>
      <c r="H420" s="10" t="s">
        <v>146</v>
      </c>
      <c r="I420" s="10" t="s">
        <v>55</v>
      </c>
      <c r="K420" s="10" t="s">
        <v>10060</v>
      </c>
      <c r="L420" s="10" t="s">
        <v>42</v>
      </c>
    </row>
    <row r="421" ht="15.75" customHeight="1">
      <c r="A421" s="66">
        <v>45495.0</v>
      </c>
      <c r="B421" s="55" t="str">
        <f>HYPERLINK("https://jobright.ai/jobs/info/669edf23af54c6a7e8410b13?utm_campaign=1052&amp;utm_source=sheet", "Apply")</f>
        <v>Apply</v>
      </c>
      <c r="C421" s="10" t="s">
        <v>10059</v>
      </c>
      <c r="D421" s="56" t="s">
        <v>730</v>
      </c>
      <c r="E421" s="10" t="s">
        <v>45</v>
      </c>
      <c r="F421" s="10" t="s">
        <v>731</v>
      </c>
      <c r="G421" s="10" t="s">
        <v>9414</v>
      </c>
      <c r="H421" s="10" t="s">
        <v>994</v>
      </c>
      <c r="I421" s="10" t="s">
        <v>55</v>
      </c>
      <c r="K421" s="10" t="s">
        <v>10060</v>
      </c>
      <c r="L421" s="10" t="s">
        <v>42</v>
      </c>
    </row>
    <row r="422" ht="15.75" customHeight="1">
      <c r="A422" s="66">
        <v>45495.0</v>
      </c>
      <c r="B422" s="55" t="str">
        <f>HYPERLINK("https://jobright.ai/jobs/info/669edf23af54c6a7e8410b14?utm_campaign=1052&amp;utm_source=sheet", "Apply")</f>
        <v>Apply</v>
      </c>
      <c r="C422" s="10" t="s">
        <v>10007</v>
      </c>
      <c r="D422" s="56" t="s">
        <v>730</v>
      </c>
      <c r="E422" s="10" t="s">
        <v>45</v>
      </c>
      <c r="F422" s="10" t="s">
        <v>731</v>
      </c>
      <c r="G422" s="10" t="s">
        <v>9414</v>
      </c>
      <c r="H422" s="10" t="s">
        <v>131</v>
      </c>
      <c r="I422" s="10" t="s">
        <v>55</v>
      </c>
      <c r="K422" s="10" t="s">
        <v>10008</v>
      </c>
      <c r="L422" s="10" t="s">
        <v>42</v>
      </c>
    </row>
    <row r="423" ht="15.75" customHeight="1">
      <c r="A423" s="66">
        <v>45495.0</v>
      </c>
      <c r="B423" s="55" t="str">
        <f>HYPERLINK("https://jobright.ai/jobs/info/669edf23af54c6a7e8410b15?utm_campaign=1052&amp;utm_source=sheet", "Apply")</f>
        <v>Apply</v>
      </c>
      <c r="C423" s="10" t="s">
        <v>10007</v>
      </c>
      <c r="D423" s="56" t="s">
        <v>730</v>
      </c>
      <c r="E423" s="10" t="s">
        <v>45</v>
      </c>
      <c r="F423" s="10" t="s">
        <v>731</v>
      </c>
      <c r="G423" s="10" t="s">
        <v>9414</v>
      </c>
      <c r="H423" s="10" t="s">
        <v>154</v>
      </c>
      <c r="I423" s="10" t="s">
        <v>55</v>
      </c>
      <c r="K423" s="10" t="s">
        <v>10008</v>
      </c>
      <c r="L423" s="10" t="s">
        <v>42</v>
      </c>
    </row>
    <row r="424" ht="15.75" customHeight="1">
      <c r="A424" s="66">
        <v>45495.0</v>
      </c>
      <c r="B424" s="55" t="str">
        <f>HYPERLINK("https://jobright.ai/jobs/info/669ed98bfa3c944533b9538f?utm_campaign=1052&amp;utm_source=sheet", "Apply")</f>
        <v>Apply</v>
      </c>
      <c r="C424" s="10" t="s">
        <v>10059</v>
      </c>
      <c r="D424" s="56" t="s">
        <v>730</v>
      </c>
      <c r="E424" s="10" t="s">
        <v>45</v>
      </c>
      <c r="F424" s="10" t="s">
        <v>731</v>
      </c>
      <c r="G424" s="10" t="s">
        <v>9414</v>
      </c>
      <c r="H424" s="10" t="s">
        <v>96</v>
      </c>
      <c r="I424" s="10" t="s">
        <v>55</v>
      </c>
      <c r="K424" s="10" t="s">
        <v>10060</v>
      </c>
      <c r="L424" s="10" t="s">
        <v>42</v>
      </c>
    </row>
    <row r="425" ht="15.75" customHeight="1">
      <c r="A425" s="66">
        <v>45495.0</v>
      </c>
      <c r="B425" s="55" t="str">
        <f>HYPERLINK("https://jobright.ai/jobs/info/669ee04f6d37918f3bac8440?utm_campaign=1052&amp;utm_source=sheet", "Apply")</f>
        <v>Apply</v>
      </c>
      <c r="C425" s="10" t="s">
        <v>10067</v>
      </c>
      <c r="D425" s="56" t="s">
        <v>10068</v>
      </c>
      <c r="E425" s="10" t="s">
        <v>276</v>
      </c>
      <c r="F425" s="10" t="s">
        <v>10069</v>
      </c>
      <c r="G425" s="10" t="s">
        <v>9414</v>
      </c>
      <c r="H425" s="10" t="s">
        <v>974</v>
      </c>
      <c r="I425" s="10" t="s">
        <v>55</v>
      </c>
      <c r="K425" s="10" t="s">
        <v>10070</v>
      </c>
      <c r="L425" s="10" t="s">
        <v>42</v>
      </c>
    </row>
    <row r="426" ht="15.75" customHeight="1">
      <c r="A426" s="66">
        <v>45495.0</v>
      </c>
      <c r="B426" s="55" t="str">
        <f>HYPERLINK("https://jobright.ai/jobs/info/669ed5800164fd3c4788af3b?utm_campaign=1052&amp;utm_source=sheet", "Apply")</f>
        <v>Apply</v>
      </c>
      <c r="C426" s="10" t="s">
        <v>10071</v>
      </c>
      <c r="D426" s="56" t="s">
        <v>9695</v>
      </c>
      <c r="E426" s="10" t="s">
        <v>65</v>
      </c>
      <c r="F426" s="10" t="s">
        <v>1312</v>
      </c>
      <c r="G426" s="10" t="s">
        <v>9419</v>
      </c>
      <c r="H426" s="10" t="s">
        <v>578</v>
      </c>
      <c r="I426" s="10" t="s">
        <v>48</v>
      </c>
      <c r="J426" s="66"/>
      <c r="K426" s="10" t="s">
        <v>9696</v>
      </c>
      <c r="L426" s="10" t="s">
        <v>42</v>
      </c>
    </row>
    <row r="427" ht="15.75" customHeight="1">
      <c r="A427" s="66">
        <v>45495.0</v>
      </c>
      <c r="B427" s="55" t="str">
        <f>HYPERLINK("https://jobright.ai/jobs/info/669ed5800164fd3c4788af35?utm_campaign=1052&amp;utm_source=sheet", "Apply")</f>
        <v>Apply</v>
      </c>
      <c r="C427" s="10" t="s">
        <v>10072</v>
      </c>
      <c r="D427" s="56" t="s">
        <v>9695</v>
      </c>
      <c r="E427" s="10" t="s">
        <v>65</v>
      </c>
      <c r="F427" s="10" t="s">
        <v>1312</v>
      </c>
      <c r="G427" s="10" t="s">
        <v>9419</v>
      </c>
      <c r="H427" s="10" t="s">
        <v>578</v>
      </c>
      <c r="I427" s="10" t="s">
        <v>48</v>
      </c>
      <c r="K427" s="10" t="s">
        <v>9696</v>
      </c>
      <c r="L427" s="10" t="s">
        <v>42</v>
      </c>
    </row>
    <row r="428" ht="15.75" customHeight="1">
      <c r="A428" s="66">
        <v>45495.0</v>
      </c>
      <c r="B428" s="55" t="str">
        <f>HYPERLINK("https://jobright.ai/jobs/info/669ed7d4d1d9c7ae91affa27?utm_campaign=1052&amp;utm_source=sheet", "Apply")</f>
        <v>Apply</v>
      </c>
      <c r="C428" s="10" t="s">
        <v>10073</v>
      </c>
      <c r="D428" s="56" t="s">
        <v>1083</v>
      </c>
      <c r="E428" s="10" t="s">
        <v>209</v>
      </c>
      <c r="F428" s="10" t="s">
        <v>1084</v>
      </c>
      <c r="G428" s="10" t="s">
        <v>9414</v>
      </c>
      <c r="H428" s="10" t="s">
        <v>949</v>
      </c>
      <c r="I428" s="10" t="s">
        <v>55</v>
      </c>
      <c r="K428" s="10" t="s">
        <v>9736</v>
      </c>
      <c r="L428" s="10" t="s">
        <v>42</v>
      </c>
    </row>
    <row r="429" ht="15.75" customHeight="1">
      <c r="A429" s="66">
        <v>45495.0</v>
      </c>
      <c r="B429" s="55" t="str">
        <f>HYPERLINK("https://jobright.ai/jobs/info/669ed7d4d1d9c7ae91affa36?utm_campaign=1052&amp;utm_source=sheet", "Apply")</f>
        <v>Apply</v>
      </c>
      <c r="C429" s="10" t="s">
        <v>10074</v>
      </c>
      <c r="D429" s="56" t="s">
        <v>1083</v>
      </c>
      <c r="E429" s="10" t="s">
        <v>209</v>
      </c>
      <c r="F429" s="10" t="s">
        <v>1084</v>
      </c>
      <c r="G429" s="10" t="s">
        <v>9414</v>
      </c>
      <c r="H429" s="10" t="s">
        <v>607</v>
      </c>
      <c r="I429" s="10" t="s">
        <v>55</v>
      </c>
      <c r="K429" s="10" t="s">
        <v>10075</v>
      </c>
      <c r="L429" s="10" t="s">
        <v>42</v>
      </c>
    </row>
    <row r="430" ht="15.75" customHeight="1">
      <c r="A430" s="66">
        <v>45495.0</v>
      </c>
      <c r="B430" s="55" t="str">
        <f>HYPERLINK("https://jobright.ai/jobs/info/669ee31054be8c085241d51a?utm_campaign=1052&amp;utm_source=sheet", "Apply")</f>
        <v>Apply</v>
      </c>
      <c r="C430" s="10" t="s">
        <v>10076</v>
      </c>
      <c r="D430" s="56" t="s">
        <v>5098</v>
      </c>
      <c r="E430" s="10" t="s">
        <v>209</v>
      </c>
      <c r="F430" s="10" t="s">
        <v>259</v>
      </c>
      <c r="G430" s="10" t="s">
        <v>9414</v>
      </c>
      <c r="H430" s="10" t="s">
        <v>636</v>
      </c>
      <c r="I430" s="10" t="s">
        <v>55</v>
      </c>
      <c r="K430" s="10" t="s">
        <v>10077</v>
      </c>
      <c r="L430" s="10" t="s">
        <v>42</v>
      </c>
    </row>
    <row r="431" ht="15.75" customHeight="1">
      <c r="A431" s="66">
        <v>45495.0</v>
      </c>
      <c r="B431" s="55" t="str">
        <f>HYPERLINK("https://jobright.ai/jobs/info/669e7d950ba6935a4e7f56f7?utm_campaign=1052&amp;utm_source=sheet", "Apply")</f>
        <v>Apply</v>
      </c>
      <c r="C431" s="10" t="s">
        <v>9627</v>
      </c>
      <c r="D431" s="56" t="s">
        <v>10078</v>
      </c>
      <c r="E431" s="10" t="s">
        <v>249</v>
      </c>
      <c r="F431" s="10" t="s">
        <v>10079</v>
      </c>
      <c r="G431" s="10" t="s">
        <v>1159</v>
      </c>
      <c r="H431" s="10" t="s">
        <v>86</v>
      </c>
      <c r="I431" s="10" t="s">
        <v>55</v>
      </c>
      <c r="J431" s="10" t="s">
        <v>581</v>
      </c>
      <c r="K431" s="10" t="s">
        <v>10080</v>
      </c>
      <c r="L431" s="10" t="s">
        <v>42</v>
      </c>
    </row>
    <row r="432" ht="15.75" customHeight="1">
      <c r="A432" s="66">
        <v>45495.0</v>
      </c>
      <c r="B432" s="55" t="str">
        <f>HYPERLINK("https://jobright.ai/jobs/info/668beff37960e12240ab7732?utm_campaign=1052&amp;utm_source=sheet", "Apply")</f>
        <v>Apply</v>
      </c>
      <c r="C432" s="10" t="s">
        <v>9701</v>
      </c>
      <c r="D432" s="56" t="s">
        <v>10081</v>
      </c>
      <c r="E432" s="10">
        <v>65.0</v>
      </c>
      <c r="G432" s="10" t="s">
        <v>9414</v>
      </c>
      <c r="H432" s="10" t="s">
        <v>245</v>
      </c>
      <c r="I432" s="10" t="s">
        <v>55</v>
      </c>
      <c r="K432" s="10" t="s">
        <v>10082</v>
      </c>
      <c r="L432" s="10" t="s">
        <v>42</v>
      </c>
    </row>
    <row r="433" ht="15.75" customHeight="1">
      <c r="A433" s="66">
        <v>45495.0</v>
      </c>
      <c r="B433" s="55" t="str">
        <f>HYPERLINK("https://jobright.ai/jobs/info/669f3002595bf027a25397b9?utm_campaign=1052&amp;utm_source=sheet", "Apply")</f>
        <v>Apply</v>
      </c>
      <c r="C433" s="10" t="s">
        <v>10083</v>
      </c>
      <c r="D433" s="56" t="s">
        <v>5130</v>
      </c>
      <c r="E433" s="10" t="s">
        <v>65</v>
      </c>
      <c r="F433" s="10" t="s">
        <v>331</v>
      </c>
      <c r="G433" s="10" t="s">
        <v>9414</v>
      </c>
      <c r="H433" s="10" t="s">
        <v>5959</v>
      </c>
      <c r="I433" s="10" t="s">
        <v>55</v>
      </c>
      <c r="J433" s="10" t="s">
        <v>10084</v>
      </c>
      <c r="K433" s="10" t="s">
        <v>10085</v>
      </c>
      <c r="L433" s="10" t="s">
        <v>42</v>
      </c>
    </row>
    <row r="434" ht="15.75" customHeight="1">
      <c r="A434" s="66">
        <v>45495.0</v>
      </c>
      <c r="B434" s="55" t="str">
        <f>HYPERLINK("https://jobright.ai/jobs/info/669ea355ac04dc4b2d05ad28?utm_campaign=1052&amp;utm_source=sheet", "Apply")</f>
        <v>Apply</v>
      </c>
      <c r="C434" s="10" t="s">
        <v>10086</v>
      </c>
      <c r="D434" s="56" t="s">
        <v>10087</v>
      </c>
      <c r="E434" s="10" t="s">
        <v>137</v>
      </c>
      <c r="F434" s="10" t="s">
        <v>10088</v>
      </c>
      <c r="G434" s="10" t="s">
        <v>9414</v>
      </c>
      <c r="H434" s="10" t="s">
        <v>1709</v>
      </c>
      <c r="I434" s="10" t="s">
        <v>55</v>
      </c>
      <c r="K434" s="10" t="s">
        <v>10089</v>
      </c>
      <c r="L434" s="10" t="s">
        <v>42</v>
      </c>
    </row>
    <row r="435" ht="15.75" customHeight="1">
      <c r="A435" s="66">
        <v>45495.0</v>
      </c>
      <c r="B435" s="55" t="str">
        <f>HYPERLINK("https://jobright.ai/jobs/info/669706b202dfa1ba1c6ea211?utm_campaign=1052&amp;utm_source=sheet", "Apply")</f>
        <v>Apply</v>
      </c>
      <c r="C435" s="10" t="s">
        <v>10090</v>
      </c>
      <c r="D435" s="56" t="s">
        <v>1344</v>
      </c>
      <c r="E435" s="10" t="s">
        <v>65</v>
      </c>
      <c r="F435" s="10" t="s">
        <v>1345</v>
      </c>
      <c r="G435" s="10" t="s">
        <v>9414</v>
      </c>
      <c r="H435" s="10" t="s">
        <v>3270</v>
      </c>
      <c r="I435" s="10" t="s">
        <v>55</v>
      </c>
      <c r="J435" s="10" t="s">
        <v>10091</v>
      </c>
      <c r="K435" s="10" t="s">
        <v>10092</v>
      </c>
      <c r="L435" s="10" t="s">
        <v>42</v>
      </c>
    </row>
    <row r="436" ht="15.75" customHeight="1">
      <c r="A436" s="66">
        <v>45495.0</v>
      </c>
      <c r="B436" s="55" t="str">
        <f>HYPERLINK("https://jobright.ai/jobs/info/669e91d5a88bdc3e5a07e6a4?utm_campaign=1052&amp;utm_source=sheet", "Apply")</f>
        <v>Apply</v>
      </c>
      <c r="C436" s="10" t="s">
        <v>9517</v>
      </c>
      <c r="D436" s="56" t="s">
        <v>10093</v>
      </c>
      <c r="E436" s="10" t="s">
        <v>65</v>
      </c>
      <c r="F436" s="10" t="s">
        <v>10094</v>
      </c>
      <c r="G436" s="10" t="s">
        <v>1159</v>
      </c>
      <c r="H436" s="10" t="s">
        <v>7435</v>
      </c>
      <c r="I436" s="10" t="s">
        <v>55</v>
      </c>
      <c r="K436" s="10" t="s">
        <v>10095</v>
      </c>
      <c r="L436" s="10" t="s">
        <v>42</v>
      </c>
    </row>
    <row r="437" ht="15.75" customHeight="1">
      <c r="A437" s="66">
        <v>45495.0</v>
      </c>
      <c r="B437" s="55" t="str">
        <f>HYPERLINK("https://jobright.ai/jobs/info/669e8f876839bfd0d94e00bc?utm_campaign=1052&amp;utm_source=sheet", "Apply")</f>
        <v>Apply</v>
      </c>
      <c r="C437" s="10" t="s">
        <v>10096</v>
      </c>
      <c r="D437" s="56" t="s">
        <v>10097</v>
      </c>
      <c r="E437" s="10" t="s">
        <v>249</v>
      </c>
      <c r="F437" s="10" t="s">
        <v>1159</v>
      </c>
      <c r="G437" s="10" t="s">
        <v>9419</v>
      </c>
      <c r="H437" s="10" t="s">
        <v>1004</v>
      </c>
      <c r="I437" s="10" t="s">
        <v>48</v>
      </c>
      <c r="K437" s="10" t="s">
        <v>10098</v>
      </c>
      <c r="L437" s="10" t="s">
        <v>42</v>
      </c>
    </row>
    <row r="438" ht="15.75" customHeight="1">
      <c r="A438" s="66">
        <v>45495.0</v>
      </c>
      <c r="B438" s="55" t="str">
        <f>HYPERLINK("https://jobright.ai/jobs/info/669e8274835d855119d4a9ce?utm_campaign=1052&amp;utm_source=sheet", "Apply")</f>
        <v>Apply</v>
      </c>
      <c r="C438" s="10" t="s">
        <v>9517</v>
      </c>
      <c r="D438" s="56" t="s">
        <v>10099</v>
      </c>
      <c r="E438" s="10" t="s">
        <v>137</v>
      </c>
      <c r="F438" s="10" t="s">
        <v>1159</v>
      </c>
      <c r="G438" s="10" t="s">
        <v>9419</v>
      </c>
      <c r="H438" s="10" t="s">
        <v>411</v>
      </c>
      <c r="I438" s="10" t="s">
        <v>48</v>
      </c>
      <c r="K438" s="10" t="s">
        <v>10100</v>
      </c>
      <c r="L438" s="10" t="s">
        <v>42</v>
      </c>
    </row>
    <row r="439" ht="15.75" customHeight="1">
      <c r="A439" s="66">
        <v>45495.0</v>
      </c>
      <c r="B439" s="55" t="str">
        <f>HYPERLINK("https://jobright.ai/jobs/info/669fa01423c3d3b512dfe733?utm_campaign=1052&amp;utm_source=sheet", "Apply")</f>
        <v>Apply</v>
      </c>
      <c r="C439" s="10" t="s">
        <v>10101</v>
      </c>
      <c r="D439" s="56" t="s">
        <v>3211</v>
      </c>
      <c r="E439" s="10" t="s">
        <v>45</v>
      </c>
      <c r="F439" s="10" t="s">
        <v>3212</v>
      </c>
      <c r="G439" s="10" t="s">
        <v>9414</v>
      </c>
      <c r="H439" s="10" t="s">
        <v>1022</v>
      </c>
      <c r="I439" s="10" t="s">
        <v>55</v>
      </c>
      <c r="K439" s="10" t="s">
        <v>10102</v>
      </c>
      <c r="L439" s="10" t="s">
        <v>42</v>
      </c>
    </row>
    <row r="440" ht="15.75" customHeight="1">
      <c r="A440" s="66">
        <v>45495.0</v>
      </c>
      <c r="B440" s="55" t="str">
        <f>HYPERLINK("https://jobright.ai/jobs/info/669e7d950ba6935a4e7f56f1?utm_campaign=1052&amp;utm_source=sheet", "Apply")</f>
        <v>Apply</v>
      </c>
      <c r="C440" s="10" t="s">
        <v>10103</v>
      </c>
      <c r="D440" s="56" t="s">
        <v>9904</v>
      </c>
      <c r="E440" s="10" t="s">
        <v>45</v>
      </c>
      <c r="F440" s="10" t="s">
        <v>9905</v>
      </c>
      <c r="G440" s="10" t="s">
        <v>1159</v>
      </c>
      <c r="H440" s="10" t="s">
        <v>572</v>
      </c>
      <c r="I440" s="10" t="s">
        <v>48</v>
      </c>
      <c r="K440" s="10" t="s">
        <v>9906</v>
      </c>
      <c r="L440" s="10" t="s">
        <v>42</v>
      </c>
    </row>
    <row r="441" ht="15.75" customHeight="1">
      <c r="A441" s="66">
        <v>45495.0</v>
      </c>
      <c r="B441" s="55" t="str">
        <f>HYPERLINK("https://jobright.ai/jobs/info/669e7150ae420db141e9fe6b?utm_campaign=1052&amp;utm_source=sheet", "Apply")</f>
        <v>Apply</v>
      </c>
      <c r="C441" s="10" t="s">
        <v>10104</v>
      </c>
      <c r="D441" s="56" t="s">
        <v>9821</v>
      </c>
      <c r="E441" s="10" t="s">
        <v>45</v>
      </c>
      <c r="F441" s="10" t="s">
        <v>3594</v>
      </c>
      <c r="G441" s="10" t="s">
        <v>9414</v>
      </c>
      <c r="H441" s="10" t="s">
        <v>5068</v>
      </c>
      <c r="I441" s="10" t="s">
        <v>48</v>
      </c>
      <c r="J441" s="10" t="s">
        <v>10105</v>
      </c>
      <c r="K441" s="10" t="s">
        <v>10106</v>
      </c>
      <c r="L441" s="10" t="s">
        <v>42</v>
      </c>
    </row>
    <row r="442" ht="15.75" customHeight="1">
      <c r="A442" s="66">
        <v>45495.0</v>
      </c>
      <c r="B442" s="55" t="str">
        <f>HYPERLINK("https://jobright.ai/jobs/info/669e5f61255889f99435db09?utm_campaign=1052&amp;utm_source=sheet", "Apply")</f>
        <v>Apply</v>
      </c>
      <c r="C442" s="10" t="s">
        <v>10107</v>
      </c>
      <c r="D442" s="56" t="s">
        <v>10108</v>
      </c>
      <c r="E442" s="10" t="s">
        <v>71</v>
      </c>
      <c r="F442" s="10" t="s">
        <v>259</v>
      </c>
      <c r="G442" s="10" t="s">
        <v>9414</v>
      </c>
      <c r="H442" s="10" t="s">
        <v>1978</v>
      </c>
      <c r="I442" s="10" t="s">
        <v>55</v>
      </c>
      <c r="K442" s="10" t="s">
        <v>10109</v>
      </c>
      <c r="L442" s="10" t="s">
        <v>42</v>
      </c>
    </row>
    <row r="443" ht="15.75" customHeight="1">
      <c r="A443" s="66">
        <v>45495.0</v>
      </c>
      <c r="B443" s="55" t="str">
        <f>HYPERLINK("https://jobright.ai/jobs/info/6649823bfd1e101953fcef47?utm_campaign=1052&amp;utm_source=sheet", "Apply")</f>
        <v>Apply</v>
      </c>
      <c r="C443" s="10" t="s">
        <v>10110</v>
      </c>
      <c r="D443" s="56" t="s">
        <v>417</v>
      </c>
      <c r="E443" s="10" t="s">
        <v>65</v>
      </c>
      <c r="F443" s="10" t="s">
        <v>418</v>
      </c>
      <c r="G443" s="10" t="s">
        <v>1159</v>
      </c>
      <c r="H443" s="10" t="s">
        <v>1298</v>
      </c>
      <c r="I443" s="10" t="s">
        <v>48</v>
      </c>
      <c r="J443" s="10" t="s">
        <v>10010</v>
      </c>
      <c r="K443" s="10" t="s">
        <v>10111</v>
      </c>
      <c r="L443" s="10" t="s">
        <v>42</v>
      </c>
    </row>
    <row r="444" ht="15.75" customHeight="1">
      <c r="A444" s="66">
        <v>45495.0</v>
      </c>
      <c r="B444" s="55" t="str">
        <f>HYPERLINK("https://jobright.ai/jobs/info/669e38571e523fc5acb6b003?utm_campaign=1052&amp;utm_source=sheet", "Apply")</f>
        <v>Apply</v>
      </c>
      <c r="C444" s="10" t="s">
        <v>10112</v>
      </c>
      <c r="D444" s="56" t="s">
        <v>10113</v>
      </c>
      <c r="E444" s="10" t="s">
        <v>65</v>
      </c>
      <c r="F444" s="10" t="s">
        <v>10114</v>
      </c>
      <c r="G444" s="10" t="s">
        <v>9414</v>
      </c>
      <c r="H444" s="10" t="s">
        <v>994</v>
      </c>
      <c r="I444" s="10" t="s">
        <v>55</v>
      </c>
      <c r="J444" s="10" t="s">
        <v>260</v>
      </c>
      <c r="K444" s="10" t="s">
        <v>10115</v>
      </c>
      <c r="L444" s="10" t="s">
        <v>42</v>
      </c>
    </row>
    <row r="445" ht="15.75" customHeight="1">
      <c r="A445" s="66">
        <v>45495.0</v>
      </c>
      <c r="B445" s="55" t="str">
        <f>HYPERLINK("https://jobright.ai/jobs/info/669e8cdf0a6fdfaac9d5dc77?utm_campaign=1052&amp;utm_source=sheet", "Apply")</f>
        <v>Apply</v>
      </c>
      <c r="C445" s="10" t="s">
        <v>10112</v>
      </c>
      <c r="D445" s="56" t="s">
        <v>10113</v>
      </c>
      <c r="E445" s="10" t="s">
        <v>65</v>
      </c>
      <c r="F445" s="10" t="s">
        <v>10114</v>
      </c>
      <c r="G445" s="10" t="s">
        <v>9414</v>
      </c>
      <c r="H445" s="10" t="s">
        <v>153</v>
      </c>
      <c r="I445" s="10" t="s">
        <v>55</v>
      </c>
      <c r="J445" s="10" t="s">
        <v>260</v>
      </c>
      <c r="K445" s="10" t="s">
        <v>10115</v>
      </c>
      <c r="L445" s="10" t="s">
        <v>42</v>
      </c>
    </row>
    <row r="446" ht="15.75" customHeight="1">
      <c r="A446" s="66">
        <v>45495.0</v>
      </c>
      <c r="B446" s="55" t="str">
        <f>HYPERLINK("https://jobright.ai/jobs/info/669e8cdf0a6fdfaac9d5dbfc?utm_campaign=1052&amp;utm_source=sheet", "Apply")</f>
        <v>Apply</v>
      </c>
      <c r="C446" s="10" t="s">
        <v>10116</v>
      </c>
      <c r="D446" s="56" t="s">
        <v>10113</v>
      </c>
      <c r="E446" s="10" t="s">
        <v>65</v>
      </c>
      <c r="F446" s="10" t="s">
        <v>10114</v>
      </c>
      <c r="G446" s="10" t="s">
        <v>9414</v>
      </c>
      <c r="H446" s="10" t="s">
        <v>1017</v>
      </c>
      <c r="I446" s="10" t="s">
        <v>55</v>
      </c>
      <c r="J446" s="10" t="s">
        <v>8321</v>
      </c>
      <c r="K446" s="10" t="s">
        <v>10117</v>
      </c>
      <c r="L446" s="10" t="s">
        <v>42</v>
      </c>
    </row>
    <row r="447" ht="15.75" customHeight="1">
      <c r="A447" s="66">
        <v>45495.0</v>
      </c>
      <c r="B447" s="55" t="str">
        <f>HYPERLINK("https://jobright.ai/jobs/info/669e8cdf0a6fdfaac9d5dc78?utm_campaign=1052&amp;utm_source=sheet", "Apply")</f>
        <v>Apply</v>
      </c>
      <c r="C447" s="10" t="s">
        <v>10112</v>
      </c>
      <c r="D447" s="56" t="s">
        <v>10113</v>
      </c>
      <c r="E447" s="10" t="s">
        <v>65</v>
      </c>
      <c r="F447" s="10" t="s">
        <v>10114</v>
      </c>
      <c r="G447" s="10" t="s">
        <v>9414</v>
      </c>
      <c r="H447" s="10" t="s">
        <v>165</v>
      </c>
      <c r="I447" s="10" t="s">
        <v>55</v>
      </c>
      <c r="J447" s="10" t="s">
        <v>260</v>
      </c>
      <c r="K447" s="10" t="s">
        <v>10115</v>
      </c>
      <c r="L447" s="10" t="s">
        <v>42</v>
      </c>
    </row>
    <row r="448" ht="15.75" customHeight="1">
      <c r="A448" s="66">
        <v>45495.0</v>
      </c>
      <c r="B448" s="55" t="str">
        <f>HYPERLINK("https://jobright.ai/jobs/info/669e8cdf0a6fdfaac9d5dc79?utm_campaign=1052&amp;utm_source=sheet", "Apply")</f>
        <v>Apply</v>
      </c>
      <c r="C448" s="10" t="s">
        <v>10112</v>
      </c>
      <c r="D448" s="56" t="s">
        <v>10113</v>
      </c>
      <c r="E448" s="10" t="s">
        <v>65</v>
      </c>
      <c r="F448" s="10" t="s">
        <v>10114</v>
      </c>
      <c r="G448" s="10" t="s">
        <v>9414</v>
      </c>
      <c r="H448" s="10" t="s">
        <v>442</v>
      </c>
      <c r="I448" s="10" t="s">
        <v>55</v>
      </c>
      <c r="J448" s="10" t="s">
        <v>260</v>
      </c>
      <c r="K448" s="10" t="s">
        <v>10115</v>
      </c>
      <c r="L448" s="10" t="s">
        <v>42</v>
      </c>
    </row>
    <row r="449" ht="15.75" customHeight="1">
      <c r="A449" s="66">
        <v>45495.0</v>
      </c>
      <c r="B449" s="55" t="str">
        <f>HYPERLINK("https://jobright.ai/jobs/info/669e2c35c6386f186f7b6c2c?utm_campaign=1052&amp;utm_source=sheet", "Apply")</f>
        <v>Apply</v>
      </c>
      <c r="C449" s="10" t="s">
        <v>10118</v>
      </c>
      <c r="D449" s="56" t="s">
        <v>10113</v>
      </c>
      <c r="E449" s="10" t="s">
        <v>65</v>
      </c>
      <c r="F449" s="10" t="s">
        <v>10114</v>
      </c>
      <c r="G449" s="10" t="s">
        <v>9414</v>
      </c>
      <c r="H449" s="10" t="s">
        <v>1017</v>
      </c>
      <c r="I449" s="10" t="s">
        <v>48</v>
      </c>
      <c r="L449" s="10" t="s">
        <v>42</v>
      </c>
    </row>
    <row r="450" ht="15.75" customHeight="1">
      <c r="A450" s="66">
        <v>45495.0</v>
      </c>
      <c r="B450" s="55" t="str">
        <f>HYPERLINK("https://jobright.ai/jobs/info/669e2855ea6853fd435a3e8a?utm_campaign=1052&amp;utm_source=sheet", "Apply")</f>
        <v>Apply</v>
      </c>
      <c r="C450" s="10" t="s">
        <v>10112</v>
      </c>
      <c r="D450" s="56" t="s">
        <v>10113</v>
      </c>
      <c r="E450" s="10" t="s">
        <v>65</v>
      </c>
      <c r="F450" s="10" t="s">
        <v>10114</v>
      </c>
      <c r="G450" s="10" t="s">
        <v>9414</v>
      </c>
      <c r="H450" s="10" t="s">
        <v>1017</v>
      </c>
      <c r="I450" s="10" t="s">
        <v>55</v>
      </c>
      <c r="J450" s="10" t="s">
        <v>260</v>
      </c>
      <c r="K450" s="10" t="s">
        <v>10115</v>
      </c>
      <c r="L450" s="10" t="s">
        <v>42</v>
      </c>
    </row>
    <row r="451" ht="15.75" customHeight="1">
      <c r="A451" s="66">
        <v>45495.0</v>
      </c>
      <c r="B451" s="55" t="str">
        <f>HYPERLINK("https://jobright.ai/jobs/info/669e2bd514ce87b48f180bfd?utm_campaign=1052&amp;utm_source=sheet", "Apply")</f>
        <v>Apply</v>
      </c>
      <c r="C451" s="10" t="s">
        <v>10119</v>
      </c>
      <c r="D451" s="56" t="s">
        <v>10120</v>
      </c>
      <c r="E451" s="10" t="s">
        <v>45</v>
      </c>
      <c r="F451" s="10" t="s">
        <v>1723</v>
      </c>
      <c r="G451" s="10" t="s">
        <v>9414</v>
      </c>
      <c r="H451" s="10" t="s">
        <v>994</v>
      </c>
      <c r="I451" s="10" t="s">
        <v>55</v>
      </c>
      <c r="J451" s="10" t="s">
        <v>260</v>
      </c>
      <c r="K451" s="10" t="s">
        <v>10121</v>
      </c>
      <c r="L451" s="10" t="s">
        <v>42</v>
      </c>
    </row>
    <row r="452" ht="15.75" customHeight="1">
      <c r="A452" s="66">
        <v>45495.0</v>
      </c>
      <c r="B452" s="55" t="str">
        <f>HYPERLINK("https://jobright.ai/jobs/info/669e2c3dc6386f186f7b6d18?utm_campaign=1052&amp;utm_source=sheet", "Apply")</f>
        <v>Apply</v>
      </c>
      <c r="C452" s="10" t="s">
        <v>10112</v>
      </c>
      <c r="D452" s="56" t="s">
        <v>10113</v>
      </c>
      <c r="E452" s="10" t="s">
        <v>65</v>
      </c>
      <c r="F452" s="10" t="s">
        <v>10114</v>
      </c>
      <c r="G452" s="10" t="s">
        <v>9414</v>
      </c>
      <c r="H452" s="10" t="s">
        <v>96</v>
      </c>
      <c r="I452" s="10" t="s">
        <v>55</v>
      </c>
      <c r="J452" s="10" t="s">
        <v>260</v>
      </c>
      <c r="K452" s="10" t="s">
        <v>10115</v>
      </c>
      <c r="L452" s="10" t="s">
        <v>42</v>
      </c>
    </row>
    <row r="453" ht="15.75" customHeight="1">
      <c r="A453" s="66">
        <v>45495.0</v>
      </c>
      <c r="B453" s="55" t="str">
        <f>HYPERLINK("https://jobright.ai/jobs/info/669e2855ea6853fd435a3e8b?utm_campaign=1052&amp;utm_source=sheet", "Apply")</f>
        <v>Apply</v>
      </c>
      <c r="C453" s="10" t="s">
        <v>10112</v>
      </c>
      <c r="D453" s="56" t="s">
        <v>10113</v>
      </c>
      <c r="E453" s="10" t="s">
        <v>65</v>
      </c>
      <c r="F453" s="10" t="s">
        <v>10114</v>
      </c>
      <c r="G453" s="10" t="s">
        <v>9414</v>
      </c>
      <c r="H453" s="10" t="s">
        <v>144</v>
      </c>
      <c r="I453" s="10" t="s">
        <v>55</v>
      </c>
      <c r="J453" s="10" t="s">
        <v>260</v>
      </c>
      <c r="K453" s="10" t="s">
        <v>10115</v>
      </c>
      <c r="L453" s="10" t="s">
        <v>42</v>
      </c>
    </row>
    <row r="454" ht="15.75" customHeight="1">
      <c r="A454" s="66">
        <v>45495.0</v>
      </c>
      <c r="B454" s="55" t="str">
        <f>HYPERLINK("https://jobright.ai/jobs/info/669e246dc40edebdd21d3948?utm_campaign=1052&amp;utm_source=sheet", "Apply")</f>
        <v>Apply</v>
      </c>
      <c r="C454" s="10" t="s">
        <v>10122</v>
      </c>
      <c r="D454" s="56" t="s">
        <v>10113</v>
      </c>
      <c r="E454" s="10" t="s">
        <v>65</v>
      </c>
      <c r="F454" s="10" t="s">
        <v>10114</v>
      </c>
      <c r="G454" s="10" t="s">
        <v>9414</v>
      </c>
      <c r="H454" s="10" t="s">
        <v>1017</v>
      </c>
      <c r="I454" s="10" t="s">
        <v>55</v>
      </c>
      <c r="J454" s="10" t="s">
        <v>8321</v>
      </c>
      <c r="K454" s="10" t="s">
        <v>10117</v>
      </c>
      <c r="L454" s="10" t="s">
        <v>42</v>
      </c>
    </row>
    <row r="455" ht="15.75" customHeight="1">
      <c r="A455" s="66">
        <v>45495.0</v>
      </c>
      <c r="B455" s="55" t="str">
        <f>HYPERLINK("https://jobright.ai/jobs/info/669e246dc40edebdd21d393f?utm_campaign=1052&amp;utm_source=sheet", "Apply")</f>
        <v>Apply</v>
      </c>
      <c r="C455" s="10" t="s">
        <v>10112</v>
      </c>
      <c r="D455" s="56" t="s">
        <v>10113</v>
      </c>
      <c r="E455" s="10" t="s">
        <v>65</v>
      </c>
      <c r="F455" s="10" t="s">
        <v>10114</v>
      </c>
      <c r="G455" s="10" t="s">
        <v>9414</v>
      </c>
      <c r="H455" s="10" t="s">
        <v>113</v>
      </c>
      <c r="I455" s="10" t="s">
        <v>55</v>
      </c>
      <c r="J455" s="10" t="s">
        <v>260</v>
      </c>
      <c r="K455" s="10" t="s">
        <v>10115</v>
      </c>
      <c r="L455" s="10" t="s">
        <v>42</v>
      </c>
    </row>
    <row r="456" ht="15.75" customHeight="1">
      <c r="A456" s="66">
        <v>45495.0</v>
      </c>
      <c r="B456" s="55" t="str">
        <f>HYPERLINK("https://jobright.ai/jobs/info/669e242450eca0f9de9db3a9?utm_campaign=1052&amp;utm_source=sheet", "Apply")</f>
        <v>Apply</v>
      </c>
      <c r="C456" s="10" t="s">
        <v>10123</v>
      </c>
      <c r="D456" s="56" t="s">
        <v>10120</v>
      </c>
      <c r="E456" s="10" t="s">
        <v>45</v>
      </c>
      <c r="F456" s="10" t="s">
        <v>1723</v>
      </c>
      <c r="G456" s="10" t="s">
        <v>9414</v>
      </c>
      <c r="H456" s="10" t="s">
        <v>994</v>
      </c>
      <c r="I456" s="10" t="s">
        <v>48</v>
      </c>
      <c r="J456" s="10" t="s">
        <v>260</v>
      </c>
      <c r="K456" s="10" t="s">
        <v>10124</v>
      </c>
      <c r="L456" s="10" t="s">
        <v>42</v>
      </c>
    </row>
    <row r="457" ht="15.75" customHeight="1">
      <c r="A457" s="66">
        <v>45495.0</v>
      </c>
      <c r="B457" s="55" t="str">
        <f>HYPERLINK("https://jobright.ai/jobs/info/669eb990d11b9631b71edf1f?utm_campaign=1052&amp;utm_source=sheet", "Apply")</f>
        <v>Apply</v>
      </c>
      <c r="C457" s="10" t="s">
        <v>10125</v>
      </c>
      <c r="D457" s="56" t="s">
        <v>10126</v>
      </c>
      <c r="E457" s="10">
        <v>276.0</v>
      </c>
      <c r="G457" s="10" t="s">
        <v>1159</v>
      </c>
      <c r="H457" s="10" t="s">
        <v>10127</v>
      </c>
      <c r="I457" s="10" t="s">
        <v>55</v>
      </c>
      <c r="J457" s="10" t="s">
        <v>10128</v>
      </c>
      <c r="K457" s="10" t="s">
        <v>10129</v>
      </c>
      <c r="L457" s="10" t="s">
        <v>42</v>
      </c>
    </row>
    <row r="458" ht="15.75" customHeight="1">
      <c r="A458" s="66">
        <v>45495.0</v>
      </c>
      <c r="B458" s="55" t="str">
        <f>HYPERLINK("https://jobright.ai/jobs/info/669eabdb2d831d74ea0e5e77?utm_campaign=1052&amp;utm_source=sheet", "Apply")</f>
        <v>Apply</v>
      </c>
      <c r="C458" s="10" t="s">
        <v>9949</v>
      </c>
      <c r="D458" s="56" t="s">
        <v>9950</v>
      </c>
      <c r="E458" s="10" t="s">
        <v>45</v>
      </c>
      <c r="F458" s="10" t="s">
        <v>2409</v>
      </c>
      <c r="G458" s="10" t="s">
        <v>1159</v>
      </c>
      <c r="H458" s="10" t="s">
        <v>10130</v>
      </c>
      <c r="I458" s="10" t="s">
        <v>48</v>
      </c>
      <c r="K458" s="10" t="s">
        <v>9951</v>
      </c>
      <c r="L458" s="10" t="s">
        <v>42</v>
      </c>
    </row>
    <row r="459" ht="15.75" customHeight="1">
      <c r="A459" s="66">
        <v>45495.0</v>
      </c>
      <c r="B459" s="55" t="str">
        <f>HYPERLINK("https://jobright.ai/jobs/info/669ec29a155221b6e18e9b43?utm_campaign=1052&amp;utm_source=sheet", "Apply")</f>
        <v>Apply</v>
      </c>
      <c r="C459" s="10" t="s">
        <v>10131</v>
      </c>
      <c r="D459" s="56" t="s">
        <v>1776</v>
      </c>
      <c r="E459" s="10">
        <v>17178.0</v>
      </c>
      <c r="G459" s="10" t="s">
        <v>9414</v>
      </c>
      <c r="H459" s="10" t="s">
        <v>10033</v>
      </c>
      <c r="I459" s="10" t="s">
        <v>55</v>
      </c>
      <c r="J459" s="10" t="s">
        <v>2742</v>
      </c>
      <c r="K459" s="10" t="s">
        <v>10013</v>
      </c>
      <c r="L459" s="10" t="s">
        <v>42</v>
      </c>
    </row>
    <row r="460" ht="15.75" customHeight="1">
      <c r="A460" s="66">
        <v>45495.0</v>
      </c>
      <c r="B460" s="55" t="str">
        <f>HYPERLINK("https://jobright.ai/jobs/info/669ec29a155221b6e18e9b29?utm_campaign=1052&amp;utm_source=sheet", "Apply")</f>
        <v>Apply</v>
      </c>
      <c r="C460" s="10" t="s">
        <v>10132</v>
      </c>
      <c r="D460" s="56" t="s">
        <v>1776</v>
      </c>
      <c r="E460" s="10">
        <v>17178.0</v>
      </c>
      <c r="G460" s="10" t="s">
        <v>9414</v>
      </c>
      <c r="H460" s="10" t="s">
        <v>768</v>
      </c>
      <c r="I460" s="10" t="s">
        <v>55</v>
      </c>
      <c r="J460" s="10" t="s">
        <v>2742</v>
      </c>
      <c r="K460" s="10" t="s">
        <v>10013</v>
      </c>
      <c r="L460" s="10" t="s">
        <v>42</v>
      </c>
    </row>
    <row r="461" ht="15.75" customHeight="1">
      <c r="A461" s="66">
        <v>45495.0</v>
      </c>
      <c r="B461" s="55" t="str">
        <f>HYPERLINK("https://jobright.ai/jobs/info/669ec29a155221b6e18e9b17?utm_campaign=1052&amp;utm_source=sheet", "Apply")</f>
        <v>Apply</v>
      </c>
      <c r="C461" s="10" t="s">
        <v>10133</v>
      </c>
      <c r="D461" s="56" t="s">
        <v>1776</v>
      </c>
      <c r="E461" s="10">
        <v>17178.0</v>
      </c>
      <c r="G461" s="10" t="s">
        <v>9414</v>
      </c>
      <c r="H461" s="10" t="s">
        <v>10036</v>
      </c>
      <c r="I461" s="10" t="s">
        <v>55</v>
      </c>
      <c r="J461" s="10" t="s">
        <v>2742</v>
      </c>
      <c r="K461" s="10" t="s">
        <v>10013</v>
      </c>
      <c r="L461" s="10" t="s">
        <v>42</v>
      </c>
    </row>
    <row r="462" ht="15.75" customHeight="1">
      <c r="A462" s="66">
        <v>45495.0</v>
      </c>
      <c r="B462" s="55" t="str">
        <f>HYPERLINK("https://jobright.ai/jobs/info/669ec29a155221b6e18e9b4e?utm_campaign=1052&amp;utm_source=sheet", "Apply")</f>
        <v>Apply</v>
      </c>
      <c r="C462" s="10" t="s">
        <v>10134</v>
      </c>
      <c r="D462" s="56" t="s">
        <v>1776</v>
      </c>
      <c r="E462" s="10">
        <v>17178.0</v>
      </c>
      <c r="G462" s="10" t="s">
        <v>9414</v>
      </c>
      <c r="H462" s="10" t="s">
        <v>6086</v>
      </c>
      <c r="I462" s="10" t="s">
        <v>55</v>
      </c>
      <c r="J462" s="10" t="s">
        <v>2742</v>
      </c>
      <c r="K462" s="10" t="s">
        <v>10013</v>
      </c>
      <c r="L462" s="10" t="s">
        <v>42</v>
      </c>
    </row>
    <row r="463" ht="15.75" customHeight="1">
      <c r="A463" s="66">
        <v>45495.0</v>
      </c>
      <c r="B463" s="55" t="str">
        <f>HYPERLINK("https://jobright.ai/jobs/info/669ec29a155221b6e18e9b31?utm_campaign=1052&amp;utm_source=sheet", "Apply")</f>
        <v>Apply</v>
      </c>
      <c r="C463" s="10" t="s">
        <v>10135</v>
      </c>
      <c r="D463" s="56" t="s">
        <v>1776</v>
      </c>
      <c r="E463" s="10">
        <v>17178.0</v>
      </c>
      <c r="G463" s="10" t="s">
        <v>9414</v>
      </c>
      <c r="H463" s="10" t="s">
        <v>423</v>
      </c>
      <c r="I463" s="10" t="s">
        <v>55</v>
      </c>
      <c r="J463" s="10" t="s">
        <v>2742</v>
      </c>
      <c r="K463" s="10" t="s">
        <v>10013</v>
      </c>
      <c r="L463" s="10" t="s">
        <v>42</v>
      </c>
    </row>
    <row r="464" ht="15.75" customHeight="1">
      <c r="A464" s="66">
        <v>45495.0</v>
      </c>
      <c r="B464" s="55" t="str">
        <f>HYPERLINK("https://jobright.ai/jobs/info/669ec29a155221b6e18e9b63?utm_campaign=1052&amp;utm_source=sheet", "Apply")</f>
        <v>Apply</v>
      </c>
      <c r="C464" s="10" t="s">
        <v>10136</v>
      </c>
      <c r="D464" s="56" t="s">
        <v>1776</v>
      </c>
      <c r="E464" s="10">
        <v>17178.0</v>
      </c>
      <c r="G464" s="10" t="s">
        <v>9414</v>
      </c>
      <c r="H464" s="10" t="s">
        <v>774</v>
      </c>
      <c r="I464" s="10" t="s">
        <v>55</v>
      </c>
      <c r="J464" s="10" t="s">
        <v>2742</v>
      </c>
      <c r="K464" s="10" t="s">
        <v>10013</v>
      </c>
      <c r="L464" s="10" t="s">
        <v>42</v>
      </c>
    </row>
    <row r="465" ht="15.75" customHeight="1">
      <c r="A465" s="66">
        <v>45495.0</v>
      </c>
      <c r="B465" s="55" t="str">
        <f>HYPERLINK("https://jobright.ai/jobs/info/669ec29a155221b6e18e9b33?utm_campaign=1052&amp;utm_source=sheet", "Apply")</f>
        <v>Apply</v>
      </c>
      <c r="C465" s="10" t="s">
        <v>10137</v>
      </c>
      <c r="D465" s="56" t="s">
        <v>1776</v>
      </c>
      <c r="E465" s="10">
        <v>17178.0</v>
      </c>
      <c r="G465" s="10" t="s">
        <v>9414</v>
      </c>
      <c r="H465" s="10" t="s">
        <v>10038</v>
      </c>
      <c r="I465" s="10" t="s">
        <v>55</v>
      </c>
      <c r="J465" s="10" t="s">
        <v>2742</v>
      </c>
      <c r="K465" s="10" t="s">
        <v>10013</v>
      </c>
      <c r="L465" s="10" t="s">
        <v>42</v>
      </c>
    </row>
    <row r="466" ht="15.75" customHeight="1">
      <c r="A466" s="66">
        <v>45495.0</v>
      </c>
      <c r="B466" s="55" t="str">
        <f>HYPERLINK("https://jobright.ai/jobs/info/669ec29a155221b6e18e9b42?utm_campaign=1052&amp;utm_source=sheet", "Apply")</f>
        <v>Apply</v>
      </c>
      <c r="C466" s="10" t="s">
        <v>10138</v>
      </c>
      <c r="D466" s="56" t="s">
        <v>1776</v>
      </c>
      <c r="E466" s="10">
        <v>17178.0</v>
      </c>
      <c r="G466" s="10" t="s">
        <v>9414</v>
      </c>
      <c r="H466" s="10" t="s">
        <v>3150</v>
      </c>
      <c r="I466" s="10" t="s">
        <v>55</v>
      </c>
      <c r="J466" s="10" t="s">
        <v>2742</v>
      </c>
      <c r="K466" s="10" t="s">
        <v>10013</v>
      </c>
      <c r="L466" s="10" t="s">
        <v>42</v>
      </c>
    </row>
    <row r="467" ht="15.75" customHeight="1">
      <c r="A467" s="66">
        <v>45495.0</v>
      </c>
      <c r="B467" s="55" t="str">
        <f>HYPERLINK("https://jobright.ai/jobs/info/669ec29a155221b6e18e9b44?utm_campaign=1052&amp;utm_source=sheet", "Apply")</f>
        <v>Apply</v>
      </c>
      <c r="C467" s="10" t="s">
        <v>10139</v>
      </c>
      <c r="D467" s="56" t="s">
        <v>1776</v>
      </c>
      <c r="E467" s="10">
        <v>17178.0</v>
      </c>
      <c r="G467" s="10" t="s">
        <v>9414</v>
      </c>
      <c r="H467" s="10" t="s">
        <v>7610</v>
      </c>
      <c r="I467" s="10" t="s">
        <v>55</v>
      </c>
      <c r="J467" s="10" t="s">
        <v>2742</v>
      </c>
      <c r="K467" s="10" t="s">
        <v>10013</v>
      </c>
      <c r="L467" s="10" t="s">
        <v>42</v>
      </c>
    </row>
    <row r="468" ht="15.75" customHeight="1">
      <c r="A468" s="66">
        <v>45495.0</v>
      </c>
      <c r="B468" s="55" t="str">
        <f>HYPERLINK("https://jobright.ai/jobs/info/669ec29a155221b6e18e9b45?utm_campaign=1052&amp;utm_source=sheet", "Apply")</f>
        <v>Apply</v>
      </c>
      <c r="C468" s="10" t="s">
        <v>10140</v>
      </c>
      <c r="D468" s="56" t="s">
        <v>1776</v>
      </c>
      <c r="E468" s="10">
        <v>17178.0</v>
      </c>
      <c r="G468" s="10" t="s">
        <v>9414</v>
      </c>
      <c r="H468" s="10" t="s">
        <v>10041</v>
      </c>
      <c r="I468" s="10" t="s">
        <v>55</v>
      </c>
      <c r="J468" s="10" t="s">
        <v>2742</v>
      </c>
      <c r="K468" s="10" t="s">
        <v>10013</v>
      </c>
      <c r="L468" s="10" t="s">
        <v>42</v>
      </c>
    </row>
    <row r="469" ht="15.75" customHeight="1">
      <c r="A469" s="66">
        <v>45495.0</v>
      </c>
      <c r="B469" s="55" t="str">
        <f>HYPERLINK("https://jobright.ai/jobs/info/669ec29a155221b6e18e9b5a?utm_campaign=1052&amp;utm_source=sheet", "Apply")</f>
        <v>Apply</v>
      </c>
      <c r="C469" s="10" t="s">
        <v>10141</v>
      </c>
      <c r="D469" s="56" t="s">
        <v>1776</v>
      </c>
      <c r="E469" s="10">
        <v>17178.0</v>
      </c>
      <c r="G469" s="10" t="s">
        <v>9414</v>
      </c>
      <c r="H469" s="10" t="s">
        <v>10056</v>
      </c>
      <c r="I469" s="10" t="s">
        <v>55</v>
      </c>
      <c r="J469" s="10" t="s">
        <v>2742</v>
      </c>
      <c r="K469" s="10" t="s">
        <v>10013</v>
      </c>
      <c r="L469" s="10" t="s">
        <v>42</v>
      </c>
    </row>
    <row r="470" ht="15.75" customHeight="1">
      <c r="A470" s="66">
        <v>45495.0</v>
      </c>
      <c r="B470" s="55" t="str">
        <f>HYPERLINK("https://jobright.ai/jobs/info/669ec29a155221b6e18e9b40?utm_campaign=1052&amp;utm_source=sheet", "Apply")</f>
        <v>Apply</v>
      </c>
      <c r="C470" s="10" t="s">
        <v>10142</v>
      </c>
      <c r="D470" s="56" t="s">
        <v>1776</v>
      </c>
      <c r="E470" s="10">
        <v>17178.0</v>
      </c>
      <c r="G470" s="10" t="s">
        <v>9414</v>
      </c>
      <c r="H470" s="10" t="s">
        <v>10050</v>
      </c>
      <c r="I470" s="10" t="s">
        <v>55</v>
      </c>
      <c r="J470" s="10" t="s">
        <v>2742</v>
      </c>
      <c r="K470" s="10" t="s">
        <v>10143</v>
      </c>
      <c r="L470" s="10" t="s">
        <v>42</v>
      </c>
    </row>
    <row r="471" ht="15.75" customHeight="1">
      <c r="A471" s="66">
        <v>45495.0</v>
      </c>
      <c r="B471" s="55" t="str">
        <f>HYPERLINK("https://jobright.ai/jobs/info/669ec29a155221b6e18e9b65?utm_campaign=1052&amp;utm_source=sheet", "Apply")</f>
        <v>Apply</v>
      </c>
      <c r="C471" s="10" t="s">
        <v>10144</v>
      </c>
      <c r="D471" s="56" t="s">
        <v>1776</v>
      </c>
      <c r="E471" s="10">
        <v>17178.0</v>
      </c>
      <c r="G471" s="10" t="s">
        <v>9414</v>
      </c>
      <c r="H471" s="10" t="s">
        <v>885</v>
      </c>
      <c r="I471" s="10" t="s">
        <v>55</v>
      </c>
      <c r="J471" s="10" t="s">
        <v>2742</v>
      </c>
      <c r="K471" s="10" t="s">
        <v>10013</v>
      </c>
      <c r="L471" s="10" t="s">
        <v>42</v>
      </c>
    </row>
    <row r="472" ht="15.75" customHeight="1">
      <c r="A472" s="66">
        <v>45494.0</v>
      </c>
      <c r="B472" s="55" t="str">
        <f>HYPERLINK("https://jobright.ai/jobs/info/669ff63d13edbe30068704dc?utm_campaign=1052&amp;utm_source=sheet", "Apply")</f>
        <v>Apply</v>
      </c>
      <c r="C472" s="10" t="s">
        <v>10145</v>
      </c>
      <c r="D472" s="56" t="s">
        <v>10030</v>
      </c>
      <c r="E472" s="10">
        <v>25.0</v>
      </c>
      <c r="G472" s="10" t="s">
        <v>1159</v>
      </c>
      <c r="H472" s="10" t="s">
        <v>921</v>
      </c>
      <c r="I472" s="10" t="s">
        <v>55</v>
      </c>
      <c r="K472" s="10" t="s">
        <v>10146</v>
      </c>
      <c r="L472" s="10" t="s">
        <v>42</v>
      </c>
    </row>
    <row r="473" ht="15.75" customHeight="1">
      <c r="A473" s="66">
        <v>45494.0</v>
      </c>
      <c r="B473" s="55" t="str">
        <f>HYPERLINK("https://jobright.ai/jobs/info/66a12c735b67f66506bddd29?utm_campaign=1052&amp;utm_source=sheet", "Apply")</f>
        <v>Apply</v>
      </c>
      <c r="C473" s="10" t="s">
        <v>10147</v>
      </c>
      <c r="D473" s="56" t="s">
        <v>2818</v>
      </c>
      <c r="E473" s="10" t="s">
        <v>209</v>
      </c>
      <c r="F473" s="10" t="s">
        <v>2819</v>
      </c>
      <c r="G473" s="10" t="s">
        <v>1159</v>
      </c>
      <c r="H473" s="10" t="s">
        <v>4369</v>
      </c>
      <c r="I473" s="10" t="s">
        <v>55</v>
      </c>
      <c r="J473" s="10" t="s">
        <v>3544</v>
      </c>
      <c r="K473" s="10" t="s">
        <v>10148</v>
      </c>
      <c r="L473" s="10" t="s">
        <v>42</v>
      </c>
    </row>
    <row r="474" ht="15.75" customHeight="1">
      <c r="A474" s="66">
        <v>45494.0</v>
      </c>
      <c r="B474" s="55" t="str">
        <f>HYPERLINK("https://jobright.ai/jobs/info/669e60ca97d87febbccc63ec?utm_campaign=1052&amp;utm_source=sheet", "Apply")</f>
        <v>Apply</v>
      </c>
      <c r="C474" s="10" t="s">
        <v>10149</v>
      </c>
      <c r="D474" s="56" t="s">
        <v>707</v>
      </c>
      <c r="E474" s="10" t="s">
        <v>65</v>
      </c>
      <c r="F474" s="10" t="s">
        <v>529</v>
      </c>
      <c r="G474" s="10" t="s">
        <v>9414</v>
      </c>
      <c r="H474" s="10" t="s">
        <v>708</v>
      </c>
      <c r="I474" s="10" t="s">
        <v>55</v>
      </c>
      <c r="K474" s="10" t="s">
        <v>10150</v>
      </c>
      <c r="L474" s="10" t="s">
        <v>42</v>
      </c>
    </row>
    <row r="475" ht="15.75" customHeight="1">
      <c r="A475" s="66">
        <v>45494.0</v>
      </c>
      <c r="B475" s="55" t="str">
        <f>HYPERLINK("https://jobright.ai/jobs/info/66a0fff67e8eb381e8aa4b46?utm_campaign=1052&amp;utm_source=sheet", "Apply")</f>
        <v>Apply</v>
      </c>
      <c r="C475" s="10" t="s">
        <v>10147</v>
      </c>
      <c r="D475" s="56" t="s">
        <v>2818</v>
      </c>
      <c r="E475" s="10" t="s">
        <v>209</v>
      </c>
      <c r="F475" s="10" t="s">
        <v>2819</v>
      </c>
      <c r="G475" s="10" t="s">
        <v>1159</v>
      </c>
      <c r="H475" s="10" t="s">
        <v>920</v>
      </c>
      <c r="I475" s="10" t="s">
        <v>55</v>
      </c>
      <c r="J475" s="10" t="s">
        <v>3544</v>
      </c>
      <c r="K475" s="10" t="s">
        <v>10148</v>
      </c>
      <c r="L475" s="10" t="s">
        <v>42</v>
      </c>
    </row>
    <row r="476" ht="15.75" customHeight="1">
      <c r="A476" s="66">
        <v>45494.0</v>
      </c>
      <c r="B476" s="55" t="str">
        <f>HYPERLINK("https://jobright.ai/jobs/info/669669f595acdb70e278276a?utm_campaign=1052&amp;utm_source=sheet", "Apply")</f>
        <v>Apply</v>
      </c>
      <c r="C476" s="10" t="s">
        <v>10151</v>
      </c>
      <c r="D476" s="56" t="s">
        <v>707</v>
      </c>
      <c r="E476" s="10" t="s">
        <v>65</v>
      </c>
      <c r="F476" s="10" t="s">
        <v>529</v>
      </c>
      <c r="G476" s="10" t="s">
        <v>1159</v>
      </c>
      <c r="H476" s="10" t="s">
        <v>708</v>
      </c>
      <c r="I476" s="10" t="s">
        <v>55</v>
      </c>
      <c r="K476" s="10" t="s">
        <v>10152</v>
      </c>
      <c r="L476" s="10" t="s">
        <v>42</v>
      </c>
    </row>
    <row r="477" ht="15.75" customHeight="1">
      <c r="A477" s="66">
        <v>45494.0</v>
      </c>
      <c r="B477" s="55" t="str">
        <f>HYPERLINK("https://jobright.ai/jobs/info/6677d1f197271e26801e2501?utm_campaign=1052&amp;utm_source=sheet", "Apply")</f>
        <v>Apply</v>
      </c>
      <c r="C477" s="10" t="s">
        <v>10153</v>
      </c>
      <c r="D477" s="56" t="s">
        <v>9557</v>
      </c>
      <c r="E477" s="10" t="s">
        <v>209</v>
      </c>
      <c r="F477" s="10" t="s">
        <v>1159</v>
      </c>
      <c r="G477" s="10" t="s">
        <v>9419</v>
      </c>
      <c r="H477" s="10" t="s">
        <v>914</v>
      </c>
      <c r="I477" s="10" t="s">
        <v>55</v>
      </c>
      <c r="K477" s="10" t="s">
        <v>10154</v>
      </c>
      <c r="L477" s="10" t="s">
        <v>42</v>
      </c>
    </row>
    <row r="478" ht="15.75" customHeight="1">
      <c r="A478" s="66">
        <v>45494.0</v>
      </c>
      <c r="B478" s="55" t="str">
        <f>HYPERLINK("https://jobright.ai/jobs/info/66701ef64ebe061c23440185?utm_campaign=1052&amp;utm_source=sheet", "Apply")</f>
        <v>Apply</v>
      </c>
      <c r="C478" s="10" t="s">
        <v>9786</v>
      </c>
      <c r="D478" s="56" t="s">
        <v>9623</v>
      </c>
      <c r="E478" s="10">
        <v>52219.0</v>
      </c>
      <c r="G478" s="10" t="s">
        <v>9419</v>
      </c>
      <c r="H478" s="10" t="s">
        <v>245</v>
      </c>
      <c r="I478" s="10" t="s">
        <v>55</v>
      </c>
      <c r="K478" s="10" t="s">
        <v>9787</v>
      </c>
      <c r="L478" s="10" t="s">
        <v>42</v>
      </c>
    </row>
    <row r="479" ht="15.75" customHeight="1">
      <c r="A479" s="66">
        <v>45494.0</v>
      </c>
      <c r="B479" s="55" t="str">
        <f>HYPERLINK("https://jobright.ai/jobs/info/6647f041e483852539d904c7?utm_campaign=1052&amp;utm_source=sheet", "Apply")</f>
        <v>Apply</v>
      </c>
      <c r="C479" s="10" t="s">
        <v>10155</v>
      </c>
      <c r="D479" s="56" t="s">
        <v>10156</v>
      </c>
      <c r="E479" s="10" t="s">
        <v>249</v>
      </c>
      <c r="F479" s="10" t="s">
        <v>10157</v>
      </c>
      <c r="G479" s="10" t="s">
        <v>9419</v>
      </c>
      <c r="H479" s="10" t="s">
        <v>170</v>
      </c>
      <c r="I479" s="10" t="s">
        <v>48</v>
      </c>
      <c r="J479" s="10" t="s">
        <v>10158</v>
      </c>
      <c r="K479" s="10" t="s">
        <v>10159</v>
      </c>
      <c r="L479" s="10" t="s">
        <v>42</v>
      </c>
    </row>
    <row r="480" ht="15.75" customHeight="1">
      <c r="A480" s="66">
        <v>45494.0</v>
      </c>
      <c r="B480" s="55" t="str">
        <f>HYPERLINK("https://jobright.ai/jobs/info/6677cd1974ec1a95a89aed55?utm_campaign=1052&amp;utm_source=sheet", "Apply")</f>
        <v>Apply</v>
      </c>
      <c r="C480" s="10" t="s">
        <v>10160</v>
      </c>
      <c r="D480" s="56" t="s">
        <v>9557</v>
      </c>
      <c r="E480" s="10" t="s">
        <v>209</v>
      </c>
      <c r="F480" s="10" t="s">
        <v>1159</v>
      </c>
      <c r="G480" s="10" t="s">
        <v>9419</v>
      </c>
      <c r="H480" s="10" t="s">
        <v>914</v>
      </c>
      <c r="I480" s="10" t="s">
        <v>55</v>
      </c>
      <c r="J480" s="66"/>
      <c r="K480" s="10" t="s">
        <v>10154</v>
      </c>
      <c r="L480" s="10" t="s">
        <v>42</v>
      </c>
    </row>
    <row r="481" ht="15.75" customHeight="1">
      <c r="A481" s="66">
        <v>45494.0</v>
      </c>
      <c r="B481" s="55" t="str">
        <f>HYPERLINK("https://jobright.ai/jobs/info/6645403ec00b469207c6b3bf?utm_campaign=1052&amp;utm_source=sheet", "Apply")</f>
        <v>Apply</v>
      </c>
      <c r="C481" s="10" t="s">
        <v>10161</v>
      </c>
      <c r="D481" s="56" t="s">
        <v>9585</v>
      </c>
      <c r="E481" s="10" t="s">
        <v>65</v>
      </c>
      <c r="F481" s="10" t="s">
        <v>722</v>
      </c>
      <c r="G481" s="10" t="s">
        <v>9419</v>
      </c>
      <c r="H481" s="10" t="s">
        <v>10162</v>
      </c>
      <c r="I481" s="10" t="s">
        <v>55</v>
      </c>
      <c r="K481" s="10" t="s">
        <v>9586</v>
      </c>
      <c r="L481" s="10" t="s">
        <v>42</v>
      </c>
    </row>
    <row r="482" ht="15.75" customHeight="1">
      <c r="A482" s="66">
        <v>45494.0</v>
      </c>
      <c r="B482" s="55" t="str">
        <f>HYPERLINK("https://jobright.ai/jobs/info/6663f432a03475ffe93afef0?utm_campaign=1052&amp;utm_source=sheet", "Apply")</f>
        <v>Apply</v>
      </c>
      <c r="C482" s="10" t="s">
        <v>10163</v>
      </c>
      <c r="D482" s="56" t="s">
        <v>9557</v>
      </c>
      <c r="E482" s="10" t="s">
        <v>209</v>
      </c>
      <c r="F482" s="10" t="s">
        <v>1159</v>
      </c>
      <c r="G482" s="10" t="s">
        <v>9419</v>
      </c>
      <c r="H482" s="10" t="s">
        <v>152</v>
      </c>
      <c r="I482" s="10" t="s">
        <v>48</v>
      </c>
      <c r="K482" s="10" t="s">
        <v>10154</v>
      </c>
      <c r="L482" s="10" t="s">
        <v>42</v>
      </c>
    </row>
    <row r="483" ht="15.75" customHeight="1">
      <c r="A483" s="66">
        <v>45494.0</v>
      </c>
      <c r="B483" s="55" t="str">
        <f>HYPERLINK("https://jobright.ai/jobs/info/666d8f2b73579c54c678e768?utm_campaign=1052&amp;utm_source=sheet", "Apply")</f>
        <v>Apply</v>
      </c>
      <c r="C483" s="10" t="s">
        <v>10164</v>
      </c>
      <c r="D483" s="56" t="s">
        <v>9623</v>
      </c>
      <c r="E483" s="10">
        <v>52219.0</v>
      </c>
      <c r="G483" s="10" t="s">
        <v>9419</v>
      </c>
      <c r="H483" s="10" t="s">
        <v>153</v>
      </c>
      <c r="I483" s="10" t="s">
        <v>55</v>
      </c>
      <c r="J483" s="66"/>
      <c r="K483" s="10" t="s">
        <v>10165</v>
      </c>
      <c r="L483" s="10" t="s">
        <v>42</v>
      </c>
    </row>
    <row r="484" ht="15.75" customHeight="1">
      <c r="A484" s="66">
        <v>45494.0</v>
      </c>
      <c r="B484" s="55" t="str">
        <f>HYPERLINK("https://jobright.ai/jobs/info/6663e747148765110d3fa45e?utm_campaign=1052&amp;utm_source=sheet", "Apply")</f>
        <v>Apply</v>
      </c>
      <c r="C484" s="10" t="s">
        <v>10166</v>
      </c>
      <c r="D484" s="56" t="s">
        <v>9557</v>
      </c>
      <c r="E484" s="10" t="s">
        <v>209</v>
      </c>
      <c r="F484" s="10" t="s">
        <v>1159</v>
      </c>
      <c r="G484" s="10" t="s">
        <v>9419</v>
      </c>
      <c r="H484" s="10" t="s">
        <v>152</v>
      </c>
      <c r="I484" s="10" t="s">
        <v>48</v>
      </c>
      <c r="J484" s="66"/>
      <c r="K484" s="10" t="s">
        <v>10154</v>
      </c>
      <c r="L484" s="10" t="s">
        <v>42</v>
      </c>
    </row>
    <row r="485" ht="15.75" customHeight="1">
      <c r="A485" s="66">
        <v>45494.0</v>
      </c>
      <c r="B485" s="55" t="str">
        <f>HYPERLINK("https://jobright.ai/jobs/info/6646f76477bde81d0c0b4cac?utm_campaign=1052&amp;utm_source=sheet", "Apply")</f>
        <v>Apply</v>
      </c>
      <c r="C485" s="10" t="s">
        <v>10167</v>
      </c>
      <c r="D485" s="56" t="s">
        <v>9607</v>
      </c>
      <c r="E485" s="10" t="s">
        <v>45</v>
      </c>
      <c r="F485" s="10" t="s">
        <v>722</v>
      </c>
      <c r="G485" s="10" t="s">
        <v>9419</v>
      </c>
      <c r="H485" s="10" t="s">
        <v>1263</v>
      </c>
      <c r="I485" s="10" t="s">
        <v>48</v>
      </c>
      <c r="J485" s="10" t="s">
        <v>9952</v>
      </c>
      <c r="K485" s="10" t="s">
        <v>9609</v>
      </c>
      <c r="L485" s="10" t="s">
        <v>42</v>
      </c>
    </row>
    <row r="486" ht="15.75" customHeight="1">
      <c r="A486" s="66">
        <v>45494.0</v>
      </c>
      <c r="B486" s="55" t="str">
        <f>HYPERLINK("https://jobright.ai/jobs/info/664789d65d01ddcde5608391?utm_campaign=1052&amp;utm_source=sheet", "Apply")</f>
        <v>Apply</v>
      </c>
      <c r="C486" s="10" t="s">
        <v>10168</v>
      </c>
      <c r="D486" s="56" t="s">
        <v>10169</v>
      </c>
      <c r="E486" s="10" t="s">
        <v>45</v>
      </c>
      <c r="F486" s="10" t="s">
        <v>10170</v>
      </c>
      <c r="G486" s="10" t="s">
        <v>1159</v>
      </c>
      <c r="H486" s="10" t="s">
        <v>4927</v>
      </c>
      <c r="I486" s="10" t="s">
        <v>55</v>
      </c>
      <c r="J486" s="10" t="s">
        <v>1984</v>
      </c>
      <c r="K486" s="10" t="s">
        <v>10171</v>
      </c>
      <c r="L486" s="10" t="s">
        <v>42</v>
      </c>
    </row>
    <row r="487" ht="15.75" customHeight="1">
      <c r="A487" s="66">
        <v>45494.0</v>
      </c>
      <c r="B487" s="55" t="str">
        <f>HYPERLINK("https://jobright.ai/jobs/info/669f4cbffa70020a15d72106?utm_campaign=1052&amp;utm_source=sheet", "Apply")</f>
        <v>Apply</v>
      </c>
      <c r="C487" s="10" t="s">
        <v>10172</v>
      </c>
      <c r="D487" s="56" t="s">
        <v>10030</v>
      </c>
      <c r="E487" s="10">
        <v>25.0</v>
      </c>
      <c r="G487" s="10" t="s">
        <v>1159</v>
      </c>
      <c r="H487" s="10" t="s">
        <v>868</v>
      </c>
      <c r="I487" s="10" t="s">
        <v>55</v>
      </c>
      <c r="J487" s="10" t="s">
        <v>1797</v>
      </c>
      <c r="K487" s="10" t="s">
        <v>10173</v>
      </c>
      <c r="L487" s="10" t="s">
        <v>42</v>
      </c>
    </row>
    <row r="488" ht="15.75" customHeight="1">
      <c r="A488" s="66">
        <v>45494.0</v>
      </c>
      <c r="B488" s="55" t="str">
        <f>HYPERLINK("https://jobright.ai/jobs/info/669f4cbffa70020a15d72110?utm_campaign=1052&amp;utm_source=sheet", "Apply")</f>
        <v>Apply</v>
      </c>
      <c r="C488" s="10" t="s">
        <v>10174</v>
      </c>
      <c r="D488" s="56" t="s">
        <v>10030</v>
      </c>
      <c r="E488" s="10">
        <v>25.0</v>
      </c>
      <c r="G488" s="10" t="s">
        <v>1159</v>
      </c>
      <c r="H488" s="10" t="s">
        <v>9732</v>
      </c>
      <c r="I488" s="10" t="s">
        <v>48</v>
      </c>
      <c r="J488" s="10" t="s">
        <v>1616</v>
      </c>
      <c r="K488" s="10" t="s">
        <v>10175</v>
      </c>
      <c r="L488" s="10" t="s">
        <v>42</v>
      </c>
    </row>
    <row r="489" ht="15.75" customHeight="1">
      <c r="A489" s="66">
        <v>45493.0</v>
      </c>
      <c r="B489" s="55" t="str">
        <f>HYPERLINK("https://jobright.ai/jobs/info/669651fcb7f3928f49a2197a?utm_campaign=1052&amp;utm_source=sheet", "Apply")</f>
        <v>Apply</v>
      </c>
      <c r="C489" s="10" t="s">
        <v>10149</v>
      </c>
      <c r="D489" s="56" t="s">
        <v>707</v>
      </c>
      <c r="E489" s="10" t="s">
        <v>65</v>
      </c>
      <c r="F489" s="10" t="s">
        <v>529</v>
      </c>
      <c r="G489" s="10" t="s">
        <v>9414</v>
      </c>
      <c r="H489" s="10" t="s">
        <v>708</v>
      </c>
      <c r="I489" s="10" t="s">
        <v>55</v>
      </c>
      <c r="K489" s="10" t="s">
        <v>10150</v>
      </c>
      <c r="L489" s="10" t="s">
        <v>42</v>
      </c>
    </row>
    <row r="490" ht="15.75" customHeight="1">
      <c r="A490" s="66">
        <v>45493.0</v>
      </c>
      <c r="B490" s="55" t="str">
        <f>HYPERLINK("https://jobright.ai/jobs/info/669c622e0641517343ceb728?utm_campaign=1052&amp;utm_source=sheet", "Apply")</f>
        <v>Apply</v>
      </c>
      <c r="C490" s="10" t="s">
        <v>10151</v>
      </c>
      <c r="D490" s="56" t="s">
        <v>707</v>
      </c>
      <c r="E490" s="10" t="s">
        <v>65</v>
      </c>
      <c r="F490" s="10" t="s">
        <v>529</v>
      </c>
      <c r="G490" s="10" t="s">
        <v>1159</v>
      </c>
      <c r="H490" s="10" t="s">
        <v>708</v>
      </c>
      <c r="I490" s="10" t="s">
        <v>55</v>
      </c>
      <c r="K490" s="10" t="s">
        <v>10152</v>
      </c>
      <c r="L490" s="10" t="s">
        <v>42</v>
      </c>
    </row>
    <row r="491" ht="15.75" customHeight="1">
      <c r="A491" s="66">
        <v>45493.0</v>
      </c>
      <c r="B491" s="55" t="str">
        <f>HYPERLINK("https://jobright.ai/jobs/info/669cb6a719c355bcbfbad939?utm_campaign=1052&amp;utm_source=sheet", "Apply")</f>
        <v>Apply</v>
      </c>
      <c r="C491" s="10" t="s">
        <v>10176</v>
      </c>
      <c r="D491" s="56" t="s">
        <v>9743</v>
      </c>
      <c r="E491" s="10" t="s">
        <v>45</v>
      </c>
      <c r="F491" s="10" t="s">
        <v>1695</v>
      </c>
      <c r="G491" s="10" t="s">
        <v>1159</v>
      </c>
      <c r="H491" s="10" t="s">
        <v>359</v>
      </c>
      <c r="I491" s="10" t="s">
        <v>55</v>
      </c>
      <c r="K491" s="10" t="s">
        <v>10177</v>
      </c>
      <c r="L491" s="10" t="s">
        <v>42</v>
      </c>
    </row>
    <row r="492" ht="15.75" customHeight="1">
      <c r="A492" s="66">
        <v>45493.0</v>
      </c>
      <c r="B492" s="55" t="str">
        <f>HYPERLINK("https://jobright.ai/jobs/info/665ddd428f231ca40d60b813?utm_campaign=1052&amp;utm_source=sheet", "Apply")</f>
        <v>Apply</v>
      </c>
      <c r="C492" s="10" t="s">
        <v>10178</v>
      </c>
      <c r="D492" s="56" t="s">
        <v>10179</v>
      </c>
      <c r="E492" s="10" t="s">
        <v>45</v>
      </c>
      <c r="F492" s="10" t="s">
        <v>1459</v>
      </c>
      <c r="G492" s="10" t="s">
        <v>1159</v>
      </c>
      <c r="H492" s="10" t="s">
        <v>10180</v>
      </c>
      <c r="I492" s="10" t="s">
        <v>55</v>
      </c>
      <c r="J492" s="66"/>
      <c r="K492" s="10" t="s">
        <v>10181</v>
      </c>
      <c r="L492" s="10" t="s">
        <v>42</v>
      </c>
    </row>
    <row r="493" ht="15.75" customHeight="1">
      <c r="A493" s="66">
        <v>45493.0</v>
      </c>
      <c r="B493" s="55" t="str">
        <f>HYPERLINK("https://jobright.ai/jobs/info/669c0fd220674c4664fa6f7b?utm_campaign=1052&amp;utm_source=sheet", "Apply")</f>
        <v>Apply</v>
      </c>
      <c r="C493" s="10" t="s">
        <v>9535</v>
      </c>
      <c r="D493" s="56" t="s">
        <v>1496</v>
      </c>
      <c r="E493" s="10" t="s">
        <v>45</v>
      </c>
      <c r="F493" s="10" t="s">
        <v>1497</v>
      </c>
      <c r="G493" s="10" t="s">
        <v>9419</v>
      </c>
      <c r="H493" s="10" t="s">
        <v>989</v>
      </c>
      <c r="I493" s="10" t="s">
        <v>55</v>
      </c>
      <c r="K493" s="10" t="s">
        <v>10016</v>
      </c>
      <c r="L493" s="10" t="s">
        <v>42</v>
      </c>
    </row>
    <row r="494" ht="15.75" customHeight="1">
      <c r="A494" s="66">
        <v>45493.0</v>
      </c>
      <c r="B494" s="55" t="str">
        <f>HYPERLINK("https://jobright.ai/jobs/info/669c0e0e93d4f5f861700879?utm_campaign=1052&amp;utm_source=sheet", "Apply")</f>
        <v>Apply</v>
      </c>
      <c r="C494" s="10" t="s">
        <v>10172</v>
      </c>
      <c r="D494" s="56" t="s">
        <v>10169</v>
      </c>
      <c r="E494" s="10" t="s">
        <v>45</v>
      </c>
      <c r="F494" s="10" t="s">
        <v>10170</v>
      </c>
      <c r="G494" s="10" t="s">
        <v>1159</v>
      </c>
      <c r="H494" s="10" t="s">
        <v>868</v>
      </c>
      <c r="I494" s="10" t="s">
        <v>55</v>
      </c>
      <c r="J494" s="10" t="s">
        <v>1797</v>
      </c>
      <c r="K494" s="10" t="s">
        <v>10182</v>
      </c>
      <c r="L494" s="10" t="s">
        <v>42</v>
      </c>
    </row>
    <row r="495" ht="15.75" customHeight="1">
      <c r="A495" s="66">
        <v>45493.0</v>
      </c>
      <c r="B495" s="55" t="str">
        <f>HYPERLINK("https://jobright.ai/jobs/info/669c15e5528f9357a0799fec?utm_campaign=1052&amp;utm_source=sheet", "Apply")</f>
        <v>Apply</v>
      </c>
      <c r="C495" s="10" t="s">
        <v>10183</v>
      </c>
      <c r="D495" s="56" t="s">
        <v>2220</v>
      </c>
      <c r="E495" s="10" t="s">
        <v>45</v>
      </c>
      <c r="F495" s="10" t="s">
        <v>2221</v>
      </c>
      <c r="G495" s="10" t="s">
        <v>1159</v>
      </c>
      <c r="H495" s="10" t="s">
        <v>6620</v>
      </c>
      <c r="I495" s="10" t="s">
        <v>55</v>
      </c>
      <c r="K495" s="10" t="s">
        <v>7614</v>
      </c>
      <c r="L495" s="10" t="s">
        <v>42</v>
      </c>
    </row>
    <row r="496" ht="15.75" customHeight="1">
      <c r="A496" s="66">
        <v>45493.0</v>
      </c>
      <c r="B496" s="55" t="str">
        <f>HYPERLINK("https://jobright.ai/jobs/info/669c5c183822d06887ea0e51?utm_campaign=1052&amp;utm_source=sheet", "Apply")</f>
        <v>Apply</v>
      </c>
      <c r="C496" s="10" t="s">
        <v>9535</v>
      </c>
      <c r="D496" s="56" t="s">
        <v>1496</v>
      </c>
      <c r="E496" s="10" t="s">
        <v>45</v>
      </c>
      <c r="F496" s="10" t="s">
        <v>1497</v>
      </c>
      <c r="G496" s="10" t="s">
        <v>9419</v>
      </c>
      <c r="H496" s="10" t="s">
        <v>131</v>
      </c>
      <c r="I496" s="10" t="s">
        <v>55</v>
      </c>
      <c r="K496" s="10" t="s">
        <v>10016</v>
      </c>
      <c r="L496" s="10" t="s">
        <v>42</v>
      </c>
    </row>
    <row r="497" ht="15.75" customHeight="1">
      <c r="A497" s="66">
        <v>45493.0</v>
      </c>
      <c r="B497" s="55" t="str">
        <f>HYPERLINK("https://jobright.ai/jobs/info/669be8ce5f9855dfc257b699?utm_campaign=1052&amp;utm_source=sheet", "Apply")</f>
        <v>Apply</v>
      </c>
      <c r="C497" s="10" t="s">
        <v>9535</v>
      </c>
      <c r="D497" s="56" t="s">
        <v>1496</v>
      </c>
      <c r="E497" s="10" t="s">
        <v>45</v>
      </c>
      <c r="F497" s="10" t="s">
        <v>1497</v>
      </c>
      <c r="G497" s="10" t="s">
        <v>9419</v>
      </c>
      <c r="H497" s="10" t="s">
        <v>167</v>
      </c>
      <c r="I497" s="10" t="s">
        <v>55</v>
      </c>
      <c r="K497" s="10" t="s">
        <v>10016</v>
      </c>
      <c r="L497" s="10" t="s">
        <v>42</v>
      </c>
    </row>
    <row r="498" ht="15.75" customHeight="1">
      <c r="A498" s="66">
        <v>45493.0</v>
      </c>
      <c r="B498" s="55" t="str">
        <f>HYPERLINK("https://jobright.ai/jobs/info/669d11ea571e11e63edcc8a0?utm_campaign=1052&amp;utm_source=sheet", "Apply")</f>
        <v>Apply</v>
      </c>
      <c r="C498" s="10" t="s">
        <v>10184</v>
      </c>
      <c r="D498" s="56" t="s">
        <v>10185</v>
      </c>
      <c r="E498" s="10" t="s">
        <v>276</v>
      </c>
      <c r="F498" s="10" t="s">
        <v>3382</v>
      </c>
      <c r="G498" s="10" t="s">
        <v>1159</v>
      </c>
      <c r="H498" s="10" t="s">
        <v>9570</v>
      </c>
      <c r="I498" s="10" t="s">
        <v>55</v>
      </c>
      <c r="J498" s="10" t="s">
        <v>9551</v>
      </c>
      <c r="K498" s="10" t="s">
        <v>10186</v>
      </c>
      <c r="L498" s="10" t="s">
        <v>42</v>
      </c>
    </row>
    <row r="499" ht="15.75" customHeight="1">
      <c r="A499" s="66">
        <v>45493.0</v>
      </c>
      <c r="B499" s="55" t="str">
        <f>HYPERLINK("https://jobright.ai/jobs/info/66a3f91ec344e12ad5440ef4?utm_campaign=1052&amp;utm_source=sheet", "Apply")</f>
        <v>Apply</v>
      </c>
      <c r="C499" s="10" t="s">
        <v>10187</v>
      </c>
      <c r="D499" s="56" t="s">
        <v>1178</v>
      </c>
      <c r="E499" s="10" t="s">
        <v>137</v>
      </c>
      <c r="F499" s="10" t="s">
        <v>1179</v>
      </c>
      <c r="G499" s="10" t="s">
        <v>9414</v>
      </c>
      <c r="H499" s="10" t="s">
        <v>159</v>
      </c>
      <c r="I499" s="10" t="s">
        <v>55</v>
      </c>
      <c r="J499" s="10" t="s">
        <v>10188</v>
      </c>
      <c r="K499" s="10" t="s">
        <v>10189</v>
      </c>
      <c r="L499" s="10" t="s">
        <v>42</v>
      </c>
    </row>
    <row r="500" ht="15.75" customHeight="1">
      <c r="A500" s="66">
        <v>45493.0</v>
      </c>
      <c r="B500" s="55" t="str">
        <f>HYPERLINK("https://jobright.ai/jobs/info/669faf37409ac17305d782bc?utm_campaign=1052&amp;utm_source=sheet", "Apply")</f>
        <v>Apply</v>
      </c>
      <c r="C500" s="10" t="s">
        <v>10190</v>
      </c>
      <c r="D500" s="56" t="s">
        <v>10030</v>
      </c>
      <c r="E500" s="10">
        <v>25.0</v>
      </c>
      <c r="G500" s="10" t="s">
        <v>9419</v>
      </c>
      <c r="H500" s="10" t="s">
        <v>106</v>
      </c>
      <c r="I500" s="10" t="s">
        <v>55</v>
      </c>
      <c r="K500" s="10" t="s">
        <v>10191</v>
      </c>
      <c r="L500" s="10" t="s">
        <v>42</v>
      </c>
    </row>
    <row r="501" ht="15.75" customHeight="1">
      <c r="A501" s="66">
        <v>45493.0</v>
      </c>
      <c r="B501" s="55" t="str">
        <f>HYPERLINK("https://jobright.ai/jobs/info/669faf37409ac17305d782b6?utm_campaign=1052&amp;utm_source=sheet", "Apply")</f>
        <v>Apply</v>
      </c>
      <c r="C501" s="10" t="s">
        <v>10192</v>
      </c>
      <c r="D501" s="56" t="s">
        <v>10030</v>
      </c>
      <c r="E501" s="10">
        <v>25.0</v>
      </c>
      <c r="G501" s="10" t="s">
        <v>1159</v>
      </c>
      <c r="H501" s="10" t="s">
        <v>159</v>
      </c>
      <c r="I501" s="10" t="s">
        <v>48</v>
      </c>
      <c r="J501" s="10" t="s">
        <v>4649</v>
      </c>
      <c r="K501" s="10" t="s">
        <v>10175</v>
      </c>
      <c r="L501" s="10" t="s">
        <v>42</v>
      </c>
    </row>
    <row r="502" ht="15.75" customHeight="1">
      <c r="A502" s="66">
        <v>45493.0</v>
      </c>
      <c r="B502" s="55" t="str">
        <f>HYPERLINK("https://jobright.ai/jobs/info/669faf37409ac17305d782c2?utm_campaign=1052&amp;utm_source=sheet", "Apply")</f>
        <v>Apply</v>
      </c>
      <c r="C502" s="10" t="s">
        <v>10193</v>
      </c>
      <c r="D502" s="56" t="s">
        <v>10030</v>
      </c>
      <c r="E502" s="10">
        <v>25.0</v>
      </c>
      <c r="G502" s="10" t="s">
        <v>1159</v>
      </c>
      <c r="H502" s="10" t="s">
        <v>216</v>
      </c>
      <c r="I502" s="10" t="s">
        <v>48</v>
      </c>
      <c r="J502" s="10" t="s">
        <v>467</v>
      </c>
      <c r="K502" s="10" t="s">
        <v>10175</v>
      </c>
      <c r="L502" s="10" t="s">
        <v>42</v>
      </c>
    </row>
    <row r="503" ht="15.75" customHeight="1">
      <c r="A503" s="66">
        <v>45493.0</v>
      </c>
      <c r="B503" s="55" t="str">
        <f>HYPERLINK("https://jobright.ai/jobs/info/669faf37409ac17305d782bf?utm_campaign=1052&amp;utm_source=sheet", "Apply")</f>
        <v>Apply</v>
      </c>
      <c r="C503" s="10" t="s">
        <v>10194</v>
      </c>
      <c r="D503" s="56" t="s">
        <v>10030</v>
      </c>
      <c r="E503" s="10">
        <v>25.0</v>
      </c>
      <c r="G503" s="10" t="s">
        <v>1159</v>
      </c>
      <c r="H503" s="10" t="s">
        <v>3423</v>
      </c>
      <c r="I503" s="10" t="s">
        <v>48</v>
      </c>
      <c r="J503" s="10" t="s">
        <v>467</v>
      </c>
      <c r="K503" s="10" t="s">
        <v>10175</v>
      </c>
      <c r="L503" s="10" t="s">
        <v>42</v>
      </c>
    </row>
    <row r="504" ht="15.75" customHeight="1">
      <c r="A504" s="66">
        <v>45493.0</v>
      </c>
      <c r="B504" s="55" t="str">
        <f>HYPERLINK("https://jobright.ai/jobs/info/669faf37409ac17305d782bd?utm_campaign=1052&amp;utm_source=sheet", "Apply")</f>
        <v>Apply</v>
      </c>
      <c r="C504" s="10" t="s">
        <v>10195</v>
      </c>
      <c r="D504" s="56" t="s">
        <v>10030</v>
      </c>
      <c r="E504" s="10">
        <v>25.0</v>
      </c>
      <c r="G504" s="10" t="s">
        <v>1159</v>
      </c>
      <c r="H504" s="10" t="s">
        <v>3931</v>
      </c>
      <c r="I504" s="10" t="s">
        <v>48</v>
      </c>
      <c r="J504" s="10" t="s">
        <v>4649</v>
      </c>
      <c r="K504" s="10" t="s">
        <v>10175</v>
      </c>
      <c r="L504" s="10" t="s">
        <v>42</v>
      </c>
    </row>
    <row r="505" ht="15.75" customHeight="1">
      <c r="A505" s="66">
        <v>45493.0</v>
      </c>
      <c r="B505" s="55" t="str">
        <f>HYPERLINK("https://jobright.ai/jobs/info/66a24d900b034aa29c46271d?utm_campaign=1052&amp;utm_source=sheet", "Apply")</f>
        <v>Apply</v>
      </c>
      <c r="C505" s="10" t="s">
        <v>9517</v>
      </c>
      <c r="D505" s="56" t="s">
        <v>10196</v>
      </c>
      <c r="E505" s="10" t="s">
        <v>79</v>
      </c>
      <c r="F505" s="10" t="s">
        <v>10197</v>
      </c>
      <c r="G505" s="10" t="s">
        <v>1159</v>
      </c>
      <c r="H505" s="10" t="s">
        <v>836</v>
      </c>
      <c r="I505" s="10" t="s">
        <v>55</v>
      </c>
      <c r="K505" s="10" t="s">
        <v>10198</v>
      </c>
      <c r="L505" s="10" t="s">
        <v>42</v>
      </c>
    </row>
    <row r="506" ht="15.75" customHeight="1">
      <c r="A506" s="66">
        <v>45493.0</v>
      </c>
      <c r="B506" s="55" t="str">
        <f>HYPERLINK("https://jobright.ai/jobs/info/66a0f9c872dbe8acd22338cc?utm_campaign=1052&amp;utm_source=sheet", "Apply")</f>
        <v>Apply</v>
      </c>
      <c r="C506" s="10" t="s">
        <v>10199</v>
      </c>
      <c r="D506" s="56" t="s">
        <v>10200</v>
      </c>
      <c r="G506" s="10" t="s">
        <v>1159</v>
      </c>
      <c r="H506" s="10" t="s">
        <v>10201</v>
      </c>
      <c r="I506" s="10" t="s">
        <v>55</v>
      </c>
      <c r="K506" s="10" t="s">
        <v>10202</v>
      </c>
      <c r="L506" s="10" t="s">
        <v>42</v>
      </c>
    </row>
    <row r="507" ht="15.75" customHeight="1">
      <c r="A507" s="66">
        <v>45493.0</v>
      </c>
      <c r="B507" s="55" t="str">
        <f>HYPERLINK("https://jobright.ai/jobs/info/66a39c19d1de96a5874b5b07?utm_campaign=1052&amp;utm_source=sheet", "Apply")</f>
        <v>Apply</v>
      </c>
      <c r="C507" s="10" t="s">
        <v>10203</v>
      </c>
      <c r="D507" s="56" t="s">
        <v>10120</v>
      </c>
      <c r="E507" s="10" t="s">
        <v>45</v>
      </c>
      <c r="F507" s="10" t="s">
        <v>1723</v>
      </c>
      <c r="G507" s="10" t="s">
        <v>9414</v>
      </c>
      <c r="H507" s="10" t="s">
        <v>153</v>
      </c>
      <c r="I507" s="10" t="s">
        <v>55</v>
      </c>
      <c r="J507" s="10" t="s">
        <v>260</v>
      </c>
      <c r="K507" s="10" t="s">
        <v>10124</v>
      </c>
      <c r="L507" s="10" t="s">
        <v>42</v>
      </c>
    </row>
    <row r="508" ht="15.75" customHeight="1">
      <c r="A508" s="66">
        <v>45493.0</v>
      </c>
      <c r="B508" s="55" t="str">
        <f>HYPERLINK("https://jobright.ai/jobs/info/66a0e0c424925149e553d1c6?utm_campaign=1052&amp;utm_source=sheet", "Apply")</f>
        <v>Apply</v>
      </c>
      <c r="C508" s="10" t="s">
        <v>10204</v>
      </c>
      <c r="D508" s="56" t="s">
        <v>1178</v>
      </c>
      <c r="E508" s="10" t="s">
        <v>137</v>
      </c>
      <c r="F508" s="10" t="s">
        <v>1179</v>
      </c>
      <c r="G508" s="10" t="s">
        <v>9414</v>
      </c>
      <c r="H508" s="10" t="s">
        <v>159</v>
      </c>
      <c r="I508" s="10" t="s">
        <v>55</v>
      </c>
      <c r="J508" s="10" t="s">
        <v>10188</v>
      </c>
      <c r="K508" s="10" t="s">
        <v>10205</v>
      </c>
      <c r="L508" s="10" t="s">
        <v>42</v>
      </c>
    </row>
    <row r="509" ht="15.75" customHeight="1">
      <c r="A509" s="66">
        <v>45493.0</v>
      </c>
      <c r="B509" s="55" t="str">
        <f>HYPERLINK("https://jobright.ai/jobs/info/669c7c3d2cdeb06dfac7fdd2?utm_campaign=1052&amp;utm_source=sheet", "Apply")</f>
        <v>Apply</v>
      </c>
      <c r="C509" s="10" t="s">
        <v>10206</v>
      </c>
      <c r="D509" s="56" t="s">
        <v>10207</v>
      </c>
      <c r="E509" s="10" t="s">
        <v>45</v>
      </c>
      <c r="F509" s="10" t="s">
        <v>2758</v>
      </c>
      <c r="G509" s="10" t="s">
        <v>9414</v>
      </c>
      <c r="H509" s="10" t="s">
        <v>688</v>
      </c>
      <c r="I509" s="10" t="s">
        <v>48</v>
      </c>
      <c r="J509" s="10" t="s">
        <v>10208</v>
      </c>
      <c r="K509" s="10" t="s">
        <v>10209</v>
      </c>
      <c r="L509" s="10" t="s">
        <v>42</v>
      </c>
    </row>
    <row r="510" ht="15.75" customHeight="1">
      <c r="A510" s="66">
        <v>45493.0</v>
      </c>
      <c r="B510" s="55" t="str">
        <f>HYPERLINK("https://jobright.ai/jobs/info/666238bd41f9366fe5bbc886?utm_campaign=1052&amp;utm_source=sheet", "Apply")</f>
        <v>Apply</v>
      </c>
      <c r="C510" s="10" t="s">
        <v>10210</v>
      </c>
      <c r="D510" s="56" t="s">
        <v>9607</v>
      </c>
      <c r="E510" s="10" t="s">
        <v>45</v>
      </c>
      <c r="F510" s="10" t="s">
        <v>722</v>
      </c>
      <c r="G510" s="10" t="s">
        <v>9419</v>
      </c>
      <c r="H510" s="10" t="s">
        <v>661</v>
      </c>
      <c r="I510" s="10" t="s">
        <v>48</v>
      </c>
      <c r="J510" s="10" t="s">
        <v>9626</v>
      </c>
      <c r="K510" s="10" t="s">
        <v>9609</v>
      </c>
      <c r="L510" s="10" t="s">
        <v>42</v>
      </c>
    </row>
    <row r="511" ht="15.75" customHeight="1">
      <c r="A511" s="66">
        <v>45493.0</v>
      </c>
      <c r="B511" s="55" t="str">
        <f>HYPERLINK("https://jobright.ai/jobs/info/669b3fd9decb6d26cf42d6f2?utm_campaign=1052&amp;utm_source=sheet", "Apply")</f>
        <v>Apply</v>
      </c>
      <c r="C511" s="10" t="s">
        <v>10145</v>
      </c>
      <c r="D511" s="56" t="s">
        <v>9578</v>
      </c>
      <c r="E511" s="10" t="s">
        <v>65</v>
      </c>
      <c r="F511" s="10" t="s">
        <v>722</v>
      </c>
      <c r="G511" s="10" t="s">
        <v>1159</v>
      </c>
      <c r="H511" s="10" t="s">
        <v>921</v>
      </c>
      <c r="I511" s="10" t="s">
        <v>48</v>
      </c>
      <c r="J511" s="66"/>
      <c r="K511" s="10" t="s">
        <v>9579</v>
      </c>
      <c r="L511" s="10" t="s">
        <v>42</v>
      </c>
    </row>
    <row r="512" ht="15.75" customHeight="1">
      <c r="A512" s="66">
        <v>45493.0</v>
      </c>
      <c r="B512" s="55" t="str">
        <f>HYPERLINK("https://jobright.ai/jobs/info/669dc9ffb176a73c5ab9a6ae?utm_campaign=1052&amp;utm_source=sheet", "Apply")</f>
        <v>Apply</v>
      </c>
      <c r="C512" s="10" t="s">
        <v>10211</v>
      </c>
      <c r="D512" s="56" t="s">
        <v>10030</v>
      </c>
      <c r="E512" s="10">
        <v>25.0</v>
      </c>
      <c r="G512" s="10" t="s">
        <v>1159</v>
      </c>
      <c r="H512" s="10" t="s">
        <v>152</v>
      </c>
      <c r="I512" s="10" t="s">
        <v>48</v>
      </c>
      <c r="J512" s="10" t="s">
        <v>9551</v>
      </c>
      <c r="K512" s="10" t="s">
        <v>10212</v>
      </c>
      <c r="L512" s="10" t="s">
        <v>42</v>
      </c>
    </row>
    <row r="513" ht="15.75" customHeight="1">
      <c r="A513" s="66">
        <v>45493.0</v>
      </c>
      <c r="B513" s="55" t="str">
        <f>HYPERLINK("https://jobright.ai/jobs/info/669dc9ffb176a73c5ab9a64c?utm_campaign=1052&amp;utm_source=sheet", "Apply")</f>
        <v>Apply</v>
      </c>
      <c r="C513" s="10" t="s">
        <v>10213</v>
      </c>
      <c r="D513" s="56" t="s">
        <v>10030</v>
      </c>
      <c r="E513" s="10">
        <v>25.0</v>
      </c>
      <c r="G513" s="10" t="s">
        <v>9419</v>
      </c>
      <c r="H513" s="10" t="s">
        <v>106</v>
      </c>
      <c r="I513" s="10" t="s">
        <v>55</v>
      </c>
      <c r="J513" s="66"/>
      <c r="K513" s="10" t="s">
        <v>10191</v>
      </c>
      <c r="L513" s="10" t="s">
        <v>42</v>
      </c>
    </row>
    <row r="514" ht="15.75" customHeight="1">
      <c r="A514" s="66">
        <v>45492.0</v>
      </c>
      <c r="B514" s="55" t="str">
        <f>HYPERLINK("https://jobright.ai/jobs/info/669af485459d064d98ae2b62?utm_campaign=1052&amp;utm_source=sheet", "Apply")</f>
        <v>Apply</v>
      </c>
      <c r="C514" s="10" t="s">
        <v>10214</v>
      </c>
      <c r="D514" s="56" t="s">
        <v>10215</v>
      </c>
      <c r="E514" s="10" t="s">
        <v>249</v>
      </c>
      <c r="F514" s="10" t="s">
        <v>10216</v>
      </c>
      <c r="G514" s="10" t="s">
        <v>9419</v>
      </c>
      <c r="H514" s="10" t="s">
        <v>827</v>
      </c>
      <c r="I514" s="10" t="s">
        <v>48</v>
      </c>
      <c r="K514" s="10" t="s">
        <v>10217</v>
      </c>
      <c r="L514" s="10" t="s">
        <v>42</v>
      </c>
    </row>
    <row r="515" ht="15.75" customHeight="1">
      <c r="A515" s="66">
        <v>45492.0</v>
      </c>
      <c r="B515" s="55" t="str">
        <f>HYPERLINK("https://jobright.ai/jobs/info/669aed0bbb55c2faf5163ee1?utm_campaign=1052&amp;utm_source=sheet", "Apply")</f>
        <v>Apply</v>
      </c>
      <c r="C515" s="10" t="s">
        <v>10218</v>
      </c>
      <c r="D515" s="56" t="s">
        <v>10219</v>
      </c>
      <c r="E515" s="10" t="s">
        <v>79</v>
      </c>
      <c r="G515" s="10" t="s">
        <v>9419</v>
      </c>
      <c r="H515" s="10" t="s">
        <v>628</v>
      </c>
      <c r="I515" s="10" t="s">
        <v>55</v>
      </c>
      <c r="K515" s="10" t="s">
        <v>10220</v>
      </c>
      <c r="L515" s="10" t="s">
        <v>42</v>
      </c>
    </row>
    <row r="516" ht="15.75" customHeight="1">
      <c r="A516" s="66">
        <v>45492.0</v>
      </c>
      <c r="B516" s="55" t="str">
        <f>HYPERLINK("https://jobright.ai/jobs/info/669ae2a7f776b6fd3c6f9c13?utm_campaign=1052&amp;utm_source=sheet", "Apply")</f>
        <v>Apply</v>
      </c>
      <c r="C516" s="10" t="s">
        <v>10221</v>
      </c>
      <c r="D516" s="56" t="s">
        <v>10222</v>
      </c>
      <c r="E516" s="10" t="s">
        <v>137</v>
      </c>
      <c r="F516" s="10" t="s">
        <v>1084</v>
      </c>
      <c r="G516" s="10" t="s">
        <v>1159</v>
      </c>
      <c r="H516" s="10" t="s">
        <v>1015</v>
      </c>
      <c r="I516" s="10" t="s">
        <v>55</v>
      </c>
      <c r="K516" s="10" t="s">
        <v>10223</v>
      </c>
      <c r="L516" s="10" t="s">
        <v>42</v>
      </c>
    </row>
    <row r="517" ht="15.75" customHeight="1">
      <c r="A517" s="66">
        <v>45492.0</v>
      </c>
      <c r="B517" s="55" t="str">
        <f>HYPERLINK("https://jobright.ai/jobs/info/669ae81f21c430562e2252d4?utm_campaign=1052&amp;utm_source=sheet", "Apply")</f>
        <v>Apply</v>
      </c>
      <c r="C517" s="10" t="s">
        <v>10203</v>
      </c>
      <c r="D517" s="56" t="s">
        <v>10120</v>
      </c>
      <c r="E517" s="10" t="s">
        <v>45</v>
      </c>
      <c r="F517" s="10" t="s">
        <v>1723</v>
      </c>
      <c r="G517" s="10" t="s">
        <v>9414</v>
      </c>
      <c r="H517" s="10" t="s">
        <v>165</v>
      </c>
      <c r="I517" s="10" t="s">
        <v>55</v>
      </c>
      <c r="J517" s="10" t="s">
        <v>260</v>
      </c>
      <c r="K517" s="10" t="s">
        <v>10124</v>
      </c>
      <c r="L517" s="10" t="s">
        <v>42</v>
      </c>
    </row>
    <row r="518" ht="15.75" customHeight="1">
      <c r="A518" s="66">
        <v>45492.0</v>
      </c>
      <c r="B518" s="55" t="str">
        <f>HYPERLINK("https://jobright.ai/jobs/info/669b04d73a424659937ad626?utm_campaign=1052&amp;utm_source=sheet", "Apply")</f>
        <v>Apply</v>
      </c>
      <c r="C518" s="10" t="s">
        <v>10203</v>
      </c>
      <c r="D518" s="56" t="s">
        <v>10120</v>
      </c>
      <c r="E518" s="10" t="s">
        <v>45</v>
      </c>
      <c r="F518" s="10" t="s">
        <v>1723</v>
      </c>
      <c r="G518" s="10" t="s">
        <v>9414</v>
      </c>
      <c r="H518" s="10" t="s">
        <v>144</v>
      </c>
      <c r="I518" s="10" t="s">
        <v>55</v>
      </c>
      <c r="J518" s="10" t="s">
        <v>260</v>
      </c>
      <c r="K518" s="10" t="s">
        <v>10124</v>
      </c>
      <c r="L518" s="10" t="s">
        <v>42</v>
      </c>
    </row>
    <row r="519" ht="15.75" customHeight="1">
      <c r="A519" s="66">
        <v>45492.0</v>
      </c>
      <c r="B519" s="55" t="str">
        <f>HYPERLINK("https://jobright.ai/jobs/info/669add70eab5c32f98001dda?utm_campaign=1052&amp;utm_source=sheet", "Apply")</f>
        <v>Apply</v>
      </c>
      <c r="C519" s="10" t="s">
        <v>9517</v>
      </c>
      <c r="D519" s="56" t="s">
        <v>10224</v>
      </c>
      <c r="E519" s="10" t="s">
        <v>65</v>
      </c>
      <c r="F519" s="10" t="s">
        <v>10225</v>
      </c>
      <c r="G519" s="10" t="s">
        <v>1159</v>
      </c>
      <c r="H519" s="10" t="s">
        <v>607</v>
      </c>
      <c r="I519" s="10" t="s">
        <v>55</v>
      </c>
      <c r="K519" s="10" t="s">
        <v>10226</v>
      </c>
      <c r="L519" s="10" t="s">
        <v>42</v>
      </c>
    </row>
    <row r="520" ht="15.75" customHeight="1">
      <c r="A520" s="66">
        <v>45492.0</v>
      </c>
      <c r="B520" s="55" t="str">
        <f>HYPERLINK("https://jobright.ai/jobs/info/669af1cb7460f5accae03809?utm_campaign=1052&amp;utm_source=sheet", "Apply")</f>
        <v>Apply</v>
      </c>
      <c r="C520" s="10" t="s">
        <v>10227</v>
      </c>
      <c r="D520" s="56" t="s">
        <v>10228</v>
      </c>
      <c r="E520" s="10" t="s">
        <v>71</v>
      </c>
      <c r="F520" s="10" t="s">
        <v>10</v>
      </c>
      <c r="G520" s="10" t="s">
        <v>9419</v>
      </c>
      <c r="H520" s="10" t="s">
        <v>153</v>
      </c>
      <c r="I520" s="10" t="s">
        <v>55</v>
      </c>
      <c r="K520" s="10" t="s">
        <v>10229</v>
      </c>
      <c r="L520" s="10" t="s">
        <v>42</v>
      </c>
    </row>
    <row r="521" ht="15.75" customHeight="1">
      <c r="A521" s="66">
        <v>45492.0</v>
      </c>
      <c r="B521" s="55" t="str">
        <f>HYPERLINK("https://jobright.ai/jobs/info/669af1cb7460f5accae0380f?utm_campaign=1052&amp;utm_source=sheet", "Apply")</f>
        <v>Apply</v>
      </c>
      <c r="C521" s="10" t="s">
        <v>10230</v>
      </c>
      <c r="D521" s="56" t="s">
        <v>10228</v>
      </c>
      <c r="E521" s="10" t="s">
        <v>71</v>
      </c>
      <c r="F521" s="10" t="s">
        <v>10</v>
      </c>
      <c r="G521" s="10" t="s">
        <v>9419</v>
      </c>
      <c r="H521" s="10" t="s">
        <v>153</v>
      </c>
      <c r="I521" s="10" t="s">
        <v>55</v>
      </c>
      <c r="K521" s="10" t="s">
        <v>10229</v>
      </c>
      <c r="L521" s="10" t="s">
        <v>42</v>
      </c>
    </row>
    <row r="522" ht="15.75" customHeight="1">
      <c r="A522" s="66">
        <v>45492.0</v>
      </c>
      <c r="B522" s="55" t="str">
        <f>HYPERLINK("https://jobright.ai/jobs/info/669ad21ddaa067b404fb35a4?utm_campaign=1052&amp;utm_source=sheet", "Apply")</f>
        <v>Apply</v>
      </c>
      <c r="C522" s="10" t="s">
        <v>10231</v>
      </c>
      <c r="D522" s="56" t="s">
        <v>10228</v>
      </c>
      <c r="E522" s="10" t="s">
        <v>71</v>
      </c>
      <c r="F522" s="10" t="s">
        <v>10</v>
      </c>
      <c r="G522" s="10" t="s">
        <v>9419</v>
      </c>
      <c r="H522" s="10" t="s">
        <v>153</v>
      </c>
      <c r="I522" s="10" t="s">
        <v>55</v>
      </c>
      <c r="J522" s="66"/>
      <c r="K522" s="10" t="s">
        <v>10229</v>
      </c>
      <c r="L522" s="10" t="s">
        <v>42</v>
      </c>
    </row>
    <row r="523" ht="15.75" customHeight="1">
      <c r="A523" s="66">
        <v>45492.0</v>
      </c>
      <c r="B523" s="55" t="str">
        <f>HYPERLINK("https://jobright.ai/jobs/info/669ace992dbe7d93ef0ef96c?utm_campaign=1052&amp;utm_source=sheet", "Apply")</f>
        <v>Apply</v>
      </c>
      <c r="C523" s="10" t="s">
        <v>10232</v>
      </c>
      <c r="D523" s="56" t="s">
        <v>10228</v>
      </c>
      <c r="E523" s="10" t="s">
        <v>71</v>
      </c>
      <c r="F523" s="10" t="s">
        <v>10</v>
      </c>
      <c r="G523" s="10" t="s">
        <v>9419</v>
      </c>
      <c r="H523" s="10" t="s">
        <v>153</v>
      </c>
      <c r="I523" s="10" t="s">
        <v>55</v>
      </c>
      <c r="K523" s="10" t="s">
        <v>10229</v>
      </c>
      <c r="L523" s="10" t="s">
        <v>42</v>
      </c>
    </row>
    <row r="524" ht="15.75" customHeight="1">
      <c r="A524" s="66">
        <v>45492.0</v>
      </c>
      <c r="B524" s="55" t="str">
        <f>HYPERLINK("https://jobright.ai/jobs/info/669b25351389a6c1a05d371e?utm_campaign=1052&amp;utm_source=sheet", "Apply")</f>
        <v>Apply</v>
      </c>
      <c r="C524" s="10" t="s">
        <v>10203</v>
      </c>
      <c r="D524" s="56" t="s">
        <v>10120</v>
      </c>
      <c r="E524" s="10" t="s">
        <v>45</v>
      </c>
      <c r="F524" s="10" t="s">
        <v>1723</v>
      </c>
      <c r="G524" s="10" t="s">
        <v>9414</v>
      </c>
      <c r="H524" s="10" t="s">
        <v>96</v>
      </c>
      <c r="I524" s="10" t="s">
        <v>55</v>
      </c>
      <c r="J524" s="10" t="s">
        <v>260</v>
      </c>
      <c r="K524" s="10" t="s">
        <v>10124</v>
      </c>
      <c r="L524" s="10" t="s">
        <v>42</v>
      </c>
    </row>
    <row r="525" ht="15.75" customHeight="1">
      <c r="A525" s="66">
        <v>45492.0</v>
      </c>
      <c r="B525" s="55" t="str">
        <f>HYPERLINK("https://jobright.ai/jobs/info/669ad1eb70180814523d48b1?utm_campaign=1052&amp;utm_source=sheet", "Apply")</f>
        <v>Apply</v>
      </c>
      <c r="C525" s="10" t="s">
        <v>10203</v>
      </c>
      <c r="D525" s="56" t="s">
        <v>10120</v>
      </c>
      <c r="E525" s="10" t="s">
        <v>45</v>
      </c>
      <c r="F525" s="10" t="s">
        <v>1723</v>
      </c>
      <c r="G525" s="10" t="s">
        <v>9414</v>
      </c>
      <c r="H525" s="10" t="s">
        <v>794</v>
      </c>
      <c r="I525" s="10" t="s">
        <v>55</v>
      </c>
      <c r="J525" s="10" t="s">
        <v>260</v>
      </c>
      <c r="K525" s="10" t="s">
        <v>10124</v>
      </c>
      <c r="L525" s="10" t="s">
        <v>42</v>
      </c>
    </row>
    <row r="526" ht="15.75" customHeight="1">
      <c r="A526" s="66">
        <v>45492.0</v>
      </c>
      <c r="B526" s="55" t="str">
        <f>HYPERLINK("https://jobright.ai/jobs/info/669acf164b830673e6cb3dbc?utm_campaign=1052&amp;utm_source=sheet", "Apply")</f>
        <v>Apply</v>
      </c>
      <c r="C526" s="10" t="s">
        <v>10203</v>
      </c>
      <c r="D526" s="56" t="s">
        <v>10120</v>
      </c>
      <c r="E526" s="10" t="s">
        <v>45</v>
      </c>
      <c r="F526" s="10" t="s">
        <v>1723</v>
      </c>
      <c r="G526" s="10" t="s">
        <v>9414</v>
      </c>
      <c r="H526" s="10" t="s">
        <v>113</v>
      </c>
      <c r="I526" s="10" t="s">
        <v>55</v>
      </c>
      <c r="J526" s="10" t="s">
        <v>260</v>
      </c>
      <c r="K526" s="10" t="s">
        <v>10124</v>
      </c>
      <c r="L526" s="10" t="s">
        <v>42</v>
      </c>
    </row>
    <row r="527" ht="15.75" customHeight="1">
      <c r="A527" s="66">
        <v>45492.0</v>
      </c>
      <c r="B527" s="55" t="str">
        <f>HYPERLINK("https://jobright.ai/jobs/info/669adb9455084274b4cde071?utm_campaign=1052&amp;utm_source=sheet", "Apply")</f>
        <v>Apply</v>
      </c>
      <c r="C527" s="10" t="s">
        <v>10203</v>
      </c>
      <c r="D527" s="56" t="s">
        <v>10120</v>
      </c>
      <c r="E527" s="10" t="s">
        <v>45</v>
      </c>
      <c r="F527" s="10" t="s">
        <v>1723</v>
      </c>
      <c r="G527" s="10" t="s">
        <v>9414</v>
      </c>
      <c r="H527" s="10" t="s">
        <v>1017</v>
      </c>
      <c r="I527" s="10" t="s">
        <v>55</v>
      </c>
      <c r="J527" s="10" t="s">
        <v>260</v>
      </c>
      <c r="K527" s="10" t="s">
        <v>10124</v>
      </c>
      <c r="L527" s="10" t="s">
        <v>42</v>
      </c>
    </row>
    <row r="528" ht="15.75" customHeight="1">
      <c r="A528" s="66">
        <v>45492.0</v>
      </c>
      <c r="B528" s="55" t="str">
        <f>HYPERLINK("https://jobright.ai/jobs/info/669adb9455084274b4cde072?utm_campaign=1052&amp;utm_source=sheet", "Apply")</f>
        <v>Apply</v>
      </c>
      <c r="C528" s="10" t="s">
        <v>10203</v>
      </c>
      <c r="D528" s="56" t="s">
        <v>10120</v>
      </c>
      <c r="E528" s="10" t="s">
        <v>45</v>
      </c>
      <c r="F528" s="10" t="s">
        <v>1723</v>
      </c>
      <c r="G528" s="10" t="s">
        <v>9414</v>
      </c>
      <c r="H528" s="10" t="s">
        <v>994</v>
      </c>
      <c r="I528" s="10" t="s">
        <v>55</v>
      </c>
      <c r="J528" s="10" t="s">
        <v>260</v>
      </c>
      <c r="K528" s="10" t="s">
        <v>10124</v>
      </c>
      <c r="L528" s="10" t="s">
        <v>42</v>
      </c>
    </row>
    <row r="529" ht="15.75" customHeight="1">
      <c r="A529" s="66">
        <v>45492.0</v>
      </c>
      <c r="B529" s="55" t="str">
        <f>HYPERLINK("https://jobright.ai/jobs/info/669ad752454ac363ba7b0635?utm_campaign=1052&amp;utm_source=sheet", "Apply")</f>
        <v>Apply</v>
      </c>
      <c r="C529" s="10" t="s">
        <v>10233</v>
      </c>
      <c r="D529" s="56" t="s">
        <v>4636</v>
      </c>
      <c r="E529" s="10" t="s">
        <v>276</v>
      </c>
      <c r="F529" s="10" t="s">
        <v>568</v>
      </c>
      <c r="G529" s="10" t="s">
        <v>1159</v>
      </c>
      <c r="H529" s="10" t="s">
        <v>10234</v>
      </c>
      <c r="I529" s="10" t="s">
        <v>55</v>
      </c>
      <c r="J529" s="66"/>
      <c r="K529" s="10" t="s">
        <v>10235</v>
      </c>
      <c r="L529" s="10" t="s">
        <v>42</v>
      </c>
    </row>
    <row r="530" ht="15.75" customHeight="1">
      <c r="A530" s="66">
        <v>45492.0</v>
      </c>
      <c r="B530" s="55" t="str">
        <f>HYPERLINK("https://jobright.ai/jobs/info/669ad21ddaa067b404fb35bd?utm_campaign=1052&amp;utm_source=sheet", "Apply")</f>
        <v>Apply</v>
      </c>
      <c r="C530" s="10" t="s">
        <v>10236</v>
      </c>
      <c r="D530" s="56" t="s">
        <v>10237</v>
      </c>
      <c r="E530" s="10" t="s">
        <v>79</v>
      </c>
      <c r="F530" s="10" t="s">
        <v>1084</v>
      </c>
      <c r="G530" s="10" t="s">
        <v>9414</v>
      </c>
      <c r="H530" s="10" t="s">
        <v>10238</v>
      </c>
      <c r="I530" s="10" t="s">
        <v>55</v>
      </c>
      <c r="K530" s="10" t="s">
        <v>10239</v>
      </c>
      <c r="L530" s="10" t="s">
        <v>42</v>
      </c>
    </row>
    <row r="531" ht="15.75" customHeight="1">
      <c r="A531" s="66">
        <v>45492.0</v>
      </c>
      <c r="B531" s="55" t="str">
        <f>HYPERLINK("https://jobright.ai/jobs/info/669ab318e36ad8d3f8dde08e?utm_campaign=1052&amp;utm_source=sheet", "Apply")</f>
        <v>Apply</v>
      </c>
      <c r="C531" s="10" t="s">
        <v>9517</v>
      </c>
      <c r="D531" s="56" t="s">
        <v>10240</v>
      </c>
      <c r="E531" s="10" t="s">
        <v>137</v>
      </c>
      <c r="F531" s="10" t="s">
        <v>10241</v>
      </c>
      <c r="G531" s="10" t="s">
        <v>1159</v>
      </c>
      <c r="H531" s="10" t="s">
        <v>170</v>
      </c>
      <c r="I531" s="10" t="s">
        <v>55</v>
      </c>
      <c r="K531" s="10" t="s">
        <v>10242</v>
      </c>
      <c r="L531" s="10" t="s">
        <v>42</v>
      </c>
    </row>
    <row r="532" ht="15.75" customHeight="1">
      <c r="A532" s="66">
        <v>45492.0</v>
      </c>
      <c r="B532" s="55" t="str">
        <f>HYPERLINK("https://jobright.ai/jobs/info/669acc05356e3dd03c9b4ad3?utm_campaign=1052&amp;utm_source=sheet", "Apply")</f>
        <v>Apply</v>
      </c>
      <c r="C532" s="10" t="s">
        <v>10243</v>
      </c>
      <c r="D532" s="56" t="s">
        <v>10244</v>
      </c>
      <c r="E532" s="10" t="s">
        <v>45</v>
      </c>
      <c r="G532" s="10" t="s">
        <v>9414</v>
      </c>
      <c r="H532" s="10" t="s">
        <v>949</v>
      </c>
      <c r="I532" s="10" t="s">
        <v>55</v>
      </c>
      <c r="J532" s="10" t="s">
        <v>6879</v>
      </c>
      <c r="K532" s="10" t="s">
        <v>10245</v>
      </c>
      <c r="L532" s="10" t="s">
        <v>42</v>
      </c>
    </row>
    <row r="533" ht="15.75" customHeight="1">
      <c r="A533" s="66">
        <v>45492.0</v>
      </c>
      <c r="B533" s="55" t="str">
        <f>HYPERLINK("https://jobright.ai/jobs/info/669aa85d0401c4baf934fbd4?utm_campaign=1052&amp;utm_source=sheet", "Apply")</f>
        <v>Apply</v>
      </c>
      <c r="C533" s="10" t="s">
        <v>10246</v>
      </c>
      <c r="D533" s="56" t="s">
        <v>10247</v>
      </c>
      <c r="E533" s="10" t="s">
        <v>209</v>
      </c>
      <c r="F533" s="10" t="s">
        <v>1376</v>
      </c>
      <c r="G533" s="10" t="s">
        <v>9414</v>
      </c>
      <c r="H533" s="10" t="s">
        <v>354</v>
      </c>
      <c r="I533" s="10" t="s">
        <v>55</v>
      </c>
      <c r="K533" s="10" t="s">
        <v>10248</v>
      </c>
      <c r="L533" s="10" t="s">
        <v>42</v>
      </c>
    </row>
    <row r="534" ht="15.75" customHeight="1">
      <c r="A534" s="66">
        <v>45492.0</v>
      </c>
      <c r="B534" s="55" t="str">
        <f>HYPERLINK("https://jobright.ai/jobs/info/66a3f929c344e12ad5440fbb?utm_campaign=1052&amp;utm_source=sheet", "Apply")</f>
        <v>Apply</v>
      </c>
      <c r="C534" s="10" t="s">
        <v>10249</v>
      </c>
      <c r="D534" s="56" t="s">
        <v>533</v>
      </c>
      <c r="E534" s="10" t="s">
        <v>209</v>
      </c>
      <c r="F534" s="10" t="s">
        <v>534</v>
      </c>
      <c r="G534" s="10" t="s">
        <v>9419</v>
      </c>
      <c r="H534" s="10" t="s">
        <v>96</v>
      </c>
      <c r="I534" s="10" t="s">
        <v>55</v>
      </c>
      <c r="J534" s="10" t="s">
        <v>10250</v>
      </c>
      <c r="K534" s="10" t="s">
        <v>9454</v>
      </c>
      <c r="L534" s="10" t="s">
        <v>42</v>
      </c>
    </row>
    <row r="535" ht="15.75" customHeight="1">
      <c r="A535" s="66">
        <v>45492.0</v>
      </c>
      <c r="B535" s="55" t="str">
        <f>HYPERLINK("https://jobright.ai/jobs/info/66a3f929c344e12ad5440fc9?utm_campaign=1052&amp;utm_source=sheet", "Apply")</f>
        <v>Apply</v>
      </c>
      <c r="C535" s="10" t="s">
        <v>10251</v>
      </c>
      <c r="D535" s="56" t="s">
        <v>1094</v>
      </c>
      <c r="E535" s="10" t="s">
        <v>45</v>
      </c>
      <c r="F535" s="10" t="s">
        <v>731</v>
      </c>
      <c r="G535" s="10" t="s">
        <v>9414</v>
      </c>
      <c r="H535" s="10" t="s">
        <v>965</v>
      </c>
      <c r="I535" s="10" t="s">
        <v>55</v>
      </c>
      <c r="K535" s="10" t="s">
        <v>10252</v>
      </c>
      <c r="L535" s="10" t="s">
        <v>42</v>
      </c>
    </row>
    <row r="536" ht="15.75" customHeight="1">
      <c r="A536" s="66">
        <v>45492.0</v>
      </c>
      <c r="B536" s="55" t="str">
        <f>HYPERLINK("https://jobright.ai/jobs/info/669aa8660401c4baf934fcc2?utm_campaign=1052&amp;utm_source=sheet", "Apply")</f>
        <v>Apply</v>
      </c>
      <c r="C536" s="10" t="s">
        <v>10184</v>
      </c>
      <c r="D536" s="56" t="s">
        <v>10185</v>
      </c>
      <c r="E536" s="10" t="s">
        <v>276</v>
      </c>
      <c r="F536" s="10" t="s">
        <v>3382</v>
      </c>
      <c r="G536" s="10" t="s">
        <v>1159</v>
      </c>
      <c r="H536" s="10" t="s">
        <v>9570</v>
      </c>
      <c r="I536" s="10" t="s">
        <v>48</v>
      </c>
      <c r="J536" s="10" t="s">
        <v>9551</v>
      </c>
      <c r="K536" s="10" t="s">
        <v>10186</v>
      </c>
      <c r="L536" s="10" t="s">
        <v>42</v>
      </c>
    </row>
    <row r="537" ht="15.75" customHeight="1">
      <c r="A537" s="66">
        <v>45492.0</v>
      </c>
      <c r="B537" s="55" t="str">
        <f>HYPERLINK("https://jobright.ai/jobs/info/66a3c35caf4cce342f86fe8d?utm_campaign=1052&amp;utm_source=sheet", "Apply")</f>
        <v>Apply</v>
      </c>
      <c r="C537" s="10" t="s">
        <v>10253</v>
      </c>
      <c r="D537" s="56" t="s">
        <v>730</v>
      </c>
      <c r="E537" s="10" t="s">
        <v>45</v>
      </c>
      <c r="F537" s="10" t="s">
        <v>731</v>
      </c>
      <c r="G537" s="10" t="s">
        <v>9414</v>
      </c>
      <c r="H537" s="10" t="s">
        <v>96</v>
      </c>
      <c r="I537" s="10" t="s">
        <v>55</v>
      </c>
      <c r="K537" s="10" t="s">
        <v>10254</v>
      </c>
      <c r="L537" s="10" t="s">
        <v>42</v>
      </c>
    </row>
    <row r="538" ht="15.75" customHeight="1">
      <c r="A538" s="66">
        <v>45492.0</v>
      </c>
      <c r="B538" s="55" t="str">
        <f>HYPERLINK("https://jobright.ai/jobs/info/66a3fd8ed61cea1521a471b2?utm_campaign=1052&amp;utm_source=sheet", "Apply")</f>
        <v>Apply</v>
      </c>
      <c r="C538" s="10" t="s">
        <v>10255</v>
      </c>
      <c r="D538" s="56" t="s">
        <v>1094</v>
      </c>
      <c r="E538" s="10" t="s">
        <v>45</v>
      </c>
      <c r="F538" s="10" t="s">
        <v>731</v>
      </c>
      <c r="G538" s="10" t="s">
        <v>9414</v>
      </c>
      <c r="H538" s="10" t="s">
        <v>965</v>
      </c>
      <c r="I538" s="10" t="s">
        <v>55</v>
      </c>
      <c r="K538" s="10" t="s">
        <v>10256</v>
      </c>
      <c r="L538" s="10" t="s">
        <v>42</v>
      </c>
    </row>
    <row r="539" ht="15.75" customHeight="1">
      <c r="A539" s="66">
        <v>45492.0</v>
      </c>
      <c r="B539" s="55" t="str">
        <f>HYPERLINK("https://jobright.ai/jobs/info/66a3fd98d61cea1521a47201?utm_campaign=1052&amp;utm_source=sheet", "Apply")</f>
        <v>Apply</v>
      </c>
      <c r="C539" s="10" t="s">
        <v>10257</v>
      </c>
      <c r="D539" s="56" t="s">
        <v>533</v>
      </c>
      <c r="E539" s="10" t="s">
        <v>209</v>
      </c>
      <c r="F539" s="10" t="s">
        <v>534</v>
      </c>
      <c r="G539" s="10" t="s">
        <v>9419</v>
      </c>
      <c r="H539" s="10" t="s">
        <v>96</v>
      </c>
      <c r="I539" s="10" t="s">
        <v>55</v>
      </c>
      <c r="J539" s="10" t="s">
        <v>10250</v>
      </c>
      <c r="K539" s="10" t="s">
        <v>9621</v>
      </c>
      <c r="L539" s="10" t="s">
        <v>42</v>
      </c>
    </row>
    <row r="540" ht="15.75" customHeight="1">
      <c r="A540" s="66">
        <v>45492.0</v>
      </c>
      <c r="B540" s="55" t="str">
        <f>HYPERLINK("https://jobright.ai/jobs/info/66a3fd98d61cea1521a471fb?utm_campaign=1052&amp;utm_source=sheet", "Apply")</f>
        <v>Apply</v>
      </c>
      <c r="C540" s="10" t="s">
        <v>10258</v>
      </c>
      <c r="D540" s="56" t="s">
        <v>533</v>
      </c>
      <c r="E540" s="10" t="s">
        <v>209</v>
      </c>
      <c r="F540" s="10" t="s">
        <v>534</v>
      </c>
      <c r="G540" s="10" t="s">
        <v>9419</v>
      </c>
      <c r="H540" s="10" t="s">
        <v>96</v>
      </c>
      <c r="I540" s="10" t="s">
        <v>55</v>
      </c>
      <c r="J540" s="10" t="s">
        <v>10250</v>
      </c>
      <c r="K540" s="10" t="s">
        <v>9621</v>
      </c>
      <c r="L540" s="10" t="s">
        <v>42</v>
      </c>
    </row>
    <row r="541" ht="15.75" customHeight="1">
      <c r="A541" s="66">
        <v>45492.0</v>
      </c>
      <c r="B541" s="55" t="str">
        <f>HYPERLINK("https://jobright.ai/jobs/info/66a3fddcd61cea1521a47687?utm_campaign=1052&amp;utm_source=sheet", "Apply")</f>
        <v>Apply</v>
      </c>
      <c r="C541" s="10" t="s">
        <v>10259</v>
      </c>
      <c r="D541" s="56" t="s">
        <v>1094</v>
      </c>
      <c r="E541" s="10" t="s">
        <v>45</v>
      </c>
      <c r="F541" s="10" t="s">
        <v>731</v>
      </c>
      <c r="G541" s="10" t="s">
        <v>9414</v>
      </c>
      <c r="H541" s="10" t="s">
        <v>113</v>
      </c>
      <c r="I541" s="10" t="s">
        <v>55</v>
      </c>
      <c r="K541" s="10" t="s">
        <v>9764</v>
      </c>
      <c r="L541" s="10" t="s">
        <v>42</v>
      </c>
    </row>
    <row r="542" ht="15.75" customHeight="1">
      <c r="A542" s="66">
        <v>45492.0</v>
      </c>
      <c r="B542" s="55" t="str">
        <f>HYPERLINK("https://jobright.ai/jobs/info/669a225cacd112fab6484514?utm_campaign=1052&amp;utm_source=sheet", "Apply")</f>
        <v>Apply</v>
      </c>
      <c r="C542" s="10" t="s">
        <v>10260</v>
      </c>
      <c r="D542" s="56" t="s">
        <v>10261</v>
      </c>
      <c r="E542" s="10" t="s">
        <v>45</v>
      </c>
      <c r="F542" s="10" t="s">
        <v>10262</v>
      </c>
      <c r="G542" s="10" t="s">
        <v>1159</v>
      </c>
      <c r="H542" s="10" t="s">
        <v>759</v>
      </c>
      <c r="I542" s="10" t="s">
        <v>55</v>
      </c>
      <c r="J542" s="10" t="s">
        <v>1409</v>
      </c>
      <c r="K542" s="10" t="s">
        <v>10263</v>
      </c>
      <c r="L542" s="10" t="s">
        <v>42</v>
      </c>
    </row>
    <row r="543" ht="15.75" customHeight="1">
      <c r="A543" s="66">
        <v>45492.0</v>
      </c>
      <c r="B543" s="55" t="str">
        <f>HYPERLINK("https://jobright.ai/jobs/info/66a3fd98d61cea1521a47274?utm_campaign=1052&amp;utm_source=sheet", "Apply")</f>
        <v>Apply</v>
      </c>
      <c r="C543" s="10" t="s">
        <v>10264</v>
      </c>
      <c r="D543" s="56" t="s">
        <v>1094</v>
      </c>
      <c r="E543" s="10" t="s">
        <v>45</v>
      </c>
      <c r="F543" s="10" t="s">
        <v>731</v>
      </c>
      <c r="G543" s="10" t="s">
        <v>9414</v>
      </c>
      <c r="H543" s="10" t="s">
        <v>96</v>
      </c>
      <c r="I543" s="10" t="s">
        <v>55</v>
      </c>
      <c r="K543" s="10" t="s">
        <v>10265</v>
      </c>
      <c r="L543" s="10" t="s">
        <v>42</v>
      </c>
    </row>
    <row r="544" ht="15.75" customHeight="1">
      <c r="A544" s="66">
        <v>45492.0</v>
      </c>
      <c r="B544" s="55" t="str">
        <f>HYPERLINK("https://jobright.ai/jobs/info/669e60ca97d87febbccc645f?utm_campaign=1052&amp;utm_source=sheet", "Apply")</f>
        <v>Apply</v>
      </c>
      <c r="C544" s="10" t="s">
        <v>10266</v>
      </c>
      <c r="D544" s="56" t="s">
        <v>10267</v>
      </c>
      <c r="E544" s="10" t="s">
        <v>65</v>
      </c>
      <c r="F544" s="10" t="s">
        <v>259</v>
      </c>
      <c r="G544" s="10" t="s">
        <v>9414</v>
      </c>
      <c r="H544" s="10" t="s">
        <v>96</v>
      </c>
      <c r="I544" s="10" t="s">
        <v>55</v>
      </c>
      <c r="J544" s="10" t="s">
        <v>1868</v>
      </c>
      <c r="K544" s="10" t="s">
        <v>10268</v>
      </c>
      <c r="L544" s="10" t="s">
        <v>42</v>
      </c>
    </row>
    <row r="545" ht="15.75" customHeight="1">
      <c r="A545" s="66">
        <v>45492.0</v>
      </c>
      <c r="B545" s="55" t="str">
        <f>HYPERLINK("https://jobright.ai/jobs/info/669fb2bfb78dda6ddf89072e?utm_campaign=1052&amp;utm_source=sheet", "Apply")</f>
        <v>Apply</v>
      </c>
      <c r="C545" s="10" t="s">
        <v>9436</v>
      </c>
      <c r="D545" s="56" t="s">
        <v>10269</v>
      </c>
      <c r="E545" s="10" t="s">
        <v>71</v>
      </c>
      <c r="F545" s="10" t="s">
        <v>10270</v>
      </c>
      <c r="G545" s="10" t="s">
        <v>9414</v>
      </c>
      <c r="H545" s="10" t="s">
        <v>10271</v>
      </c>
      <c r="I545" s="10" t="s">
        <v>55</v>
      </c>
      <c r="J545" s="10" t="s">
        <v>1608</v>
      </c>
      <c r="K545" s="10" t="s">
        <v>10272</v>
      </c>
      <c r="L545" s="10" t="s">
        <v>42</v>
      </c>
    </row>
    <row r="546" ht="15.75" customHeight="1">
      <c r="A546" s="66">
        <v>45492.0</v>
      </c>
      <c r="B546" s="55" t="str">
        <f>HYPERLINK("https://jobright.ai/jobs/info/669e52691829144f3c797de3?utm_campaign=1052&amp;utm_source=sheet", "Apply")</f>
        <v>Apply</v>
      </c>
      <c r="C546" s="10" t="s">
        <v>10273</v>
      </c>
      <c r="D546" s="56" t="s">
        <v>10030</v>
      </c>
      <c r="E546" s="10">
        <v>25.0</v>
      </c>
      <c r="G546" s="10" t="s">
        <v>1159</v>
      </c>
      <c r="H546" s="10" t="s">
        <v>10274</v>
      </c>
      <c r="I546" s="10" t="s">
        <v>48</v>
      </c>
      <c r="J546" s="10" t="s">
        <v>581</v>
      </c>
      <c r="K546" s="10" t="s">
        <v>10275</v>
      </c>
      <c r="L546" s="10" t="s">
        <v>42</v>
      </c>
    </row>
    <row r="547" ht="15.75" customHeight="1">
      <c r="A547" s="66">
        <v>45492.0</v>
      </c>
      <c r="B547" s="55" t="str">
        <f>HYPERLINK("https://jobright.ai/jobs/info/66a403310d09d8a9054b3b70?utm_campaign=1052&amp;utm_source=sheet", "Apply")</f>
        <v>Apply</v>
      </c>
      <c r="C547" s="10" t="s">
        <v>10276</v>
      </c>
      <c r="D547" s="56" t="s">
        <v>533</v>
      </c>
      <c r="E547" s="10" t="s">
        <v>209</v>
      </c>
      <c r="F547" s="10" t="s">
        <v>534</v>
      </c>
      <c r="G547" s="10" t="s">
        <v>9419</v>
      </c>
      <c r="H547" s="10" t="s">
        <v>3331</v>
      </c>
      <c r="I547" s="10" t="s">
        <v>55</v>
      </c>
      <c r="J547" s="10" t="s">
        <v>535</v>
      </c>
      <c r="K547" s="10" t="s">
        <v>9621</v>
      </c>
      <c r="L547" s="10" t="s">
        <v>42</v>
      </c>
    </row>
    <row r="548" ht="15.75" customHeight="1">
      <c r="A548" s="66">
        <v>45492.0</v>
      </c>
      <c r="B548" s="55" t="str">
        <f>HYPERLINK("https://jobright.ai/jobs/info/669cfb9bf91cb4905b69ed5f?utm_campaign=1052&amp;utm_source=sheet", "Apply")</f>
        <v>Apply</v>
      </c>
      <c r="C548" s="10" t="s">
        <v>10190</v>
      </c>
      <c r="D548" s="56" t="s">
        <v>10030</v>
      </c>
      <c r="E548" s="10">
        <v>25.0</v>
      </c>
      <c r="G548" s="10" t="s">
        <v>9419</v>
      </c>
      <c r="H548" s="10" t="s">
        <v>2708</v>
      </c>
      <c r="I548" s="10" t="s">
        <v>55</v>
      </c>
      <c r="J548" s="66"/>
      <c r="K548" s="10" t="s">
        <v>10191</v>
      </c>
      <c r="L548" s="10" t="s">
        <v>42</v>
      </c>
    </row>
    <row r="549" ht="15.75" customHeight="1">
      <c r="A549" s="66">
        <v>45492.0</v>
      </c>
      <c r="B549" s="55" t="str">
        <f>HYPERLINK("https://jobright.ai/jobs/info/66a403710d09d8a9054b4018?utm_campaign=1052&amp;utm_source=sheet", "Apply")</f>
        <v>Apply</v>
      </c>
      <c r="C549" s="10" t="s">
        <v>10277</v>
      </c>
      <c r="D549" s="56" t="s">
        <v>1094</v>
      </c>
      <c r="E549" s="10" t="s">
        <v>45</v>
      </c>
      <c r="F549" s="10" t="s">
        <v>731</v>
      </c>
      <c r="G549" s="10" t="s">
        <v>9414</v>
      </c>
      <c r="H549" s="10" t="s">
        <v>96</v>
      </c>
      <c r="I549" s="10" t="s">
        <v>55</v>
      </c>
      <c r="K549" s="10" t="s">
        <v>10278</v>
      </c>
      <c r="L549" s="10" t="s">
        <v>42</v>
      </c>
    </row>
    <row r="550" ht="15.75" customHeight="1">
      <c r="A550" s="66">
        <v>45492.0</v>
      </c>
      <c r="B550" s="55" t="str">
        <f>HYPERLINK("https://jobright.ai/jobs/info/66a4033c0d09d8a9054b3c3b?utm_campaign=1052&amp;utm_source=sheet", "Apply")</f>
        <v>Apply</v>
      </c>
      <c r="C550" s="10" t="s">
        <v>10279</v>
      </c>
      <c r="D550" s="56" t="s">
        <v>1178</v>
      </c>
      <c r="E550" s="10" t="s">
        <v>137</v>
      </c>
      <c r="F550" s="10" t="s">
        <v>1179</v>
      </c>
      <c r="G550" s="10" t="s">
        <v>9414</v>
      </c>
      <c r="H550" s="10" t="s">
        <v>96</v>
      </c>
      <c r="I550" s="10" t="s">
        <v>48</v>
      </c>
      <c r="J550" s="10" t="s">
        <v>8321</v>
      </c>
      <c r="K550" s="10" t="s">
        <v>10280</v>
      </c>
      <c r="L550" s="10" t="s">
        <v>42</v>
      </c>
    </row>
    <row r="551" ht="15.75" customHeight="1">
      <c r="A551" s="66">
        <v>45492.0</v>
      </c>
      <c r="B551" s="55" t="str">
        <f>HYPERLINK("https://jobright.ai/jobs/info/66a4037d0d09d8a9054b413c?utm_campaign=1052&amp;utm_source=sheet", "Apply")</f>
        <v>Apply</v>
      </c>
      <c r="C551" s="10" t="s">
        <v>9590</v>
      </c>
      <c r="D551" s="56" t="s">
        <v>9591</v>
      </c>
      <c r="E551" s="10" t="s">
        <v>209</v>
      </c>
      <c r="F551" s="10" t="s">
        <v>534</v>
      </c>
      <c r="G551" s="10" t="s">
        <v>9419</v>
      </c>
      <c r="H551" s="10" t="s">
        <v>610</v>
      </c>
      <c r="I551" s="10" t="s">
        <v>55</v>
      </c>
      <c r="K551" s="10" t="s">
        <v>9592</v>
      </c>
      <c r="L551" s="10" t="s">
        <v>42</v>
      </c>
    </row>
    <row r="552" ht="15.75" customHeight="1">
      <c r="A552" s="64">
        <v>45492.0</v>
      </c>
      <c r="B552" s="55" t="str">
        <f>HYPERLINK("https://jobright.ai/jobs/info/66a4038a0d09d8a9054b4165?utm_campaign=1052&amp;utm_source=sheet", "Apply")</f>
        <v>Apply</v>
      </c>
      <c r="C552" s="10" t="s">
        <v>10281</v>
      </c>
      <c r="D552" s="56" t="s">
        <v>1094</v>
      </c>
      <c r="E552" s="10" t="s">
        <v>45</v>
      </c>
      <c r="F552" s="10" t="s">
        <v>731</v>
      </c>
      <c r="G552" s="10" t="s">
        <v>9414</v>
      </c>
      <c r="H552" s="10" t="s">
        <v>918</v>
      </c>
      <c r="I552" s="10" t="s">
        <v>55</v>
      </c>
      <c r="K552" s="10" t="s">
        <v>10282</v>
      </c>
      <c r="L552" s="10" t="s">
        <v>42</v>
      </c>
    </row>
    <row r="553" ht="15.75" customHeight="1">
      <c r="A553" s="64">
        <v>45492.0</v>
      </c>
      <c r="B553" s="55" t="str">
        <f>HYPERLINK("https://jobright.ai/jobs/info/66a4033c0d09d8a9054b3ca5?utm_campaign=1052&amp;utm_source=sheet", "Apply")</f>
        <v>Apply</v>
      </c>
      <c r="C553" s="10" t="s">
        <v>10283</v>
      </c>
      <c r="D553" s="56" t="s">
        <v>533</v>
      </c>
      <c r="E553" s="10" t="s">
        <v>209</v>
      </c>
      <c r="F553" s="10" t="s">
        <v>534</v>
      </c>
      <c r="G553" s="10" t="s">
        <v>9419</v>
      </c>
      <c r="H553" s="10" t="s">
        <v>96</v>
      </c>
      <c r="I553" s="10" t="s">
        <v>55</v>
      </c>
      <c r="J553" s="10" t="s">
        <v>10250</v>
      </c>
      <c r="K553" s="10" t="s">
        <v>9454</v>
      </c>
      <c r="L553" s="10" t="s">
        <v>42</v>
      </c>
    </row>
    <row r="554" ht="15.75" customHeight="1">
      <c r="A554" s="64">
        <v>45492.0</v>
      </c>
      <c r="B554" s="55" t="str">
        <f>HYPERLINK("https://jobright.ai/jobs/info/66a383e1302d222abe63e5c2?utm_campaign=1052&amp;utm_source=sheet", "Apply")</f>
        <v>Apply</v>
      </c>
      <c r="C554" s="10" t="s">
        <v>10284</v>
      </c>
      <c r="D554" s="56" t="s">
        <v>730</v>
      </c>
      <c r="E554" s="10" t="s">
        <v>45</v>
      </c>
      <c r="F554" s="10" t="s">
        <v>731</v>
      </c>
      <c r="G554" s="10" t="s">
        <v>9414</v>
      </c>
      <c r="H554" s="10" t="s">
        <v>96</v>
      </c>
      <c r="I554" s="10" t="s">
        <v>55</v>
      </c>
      <c r="K554" s="10" t="s">
        <v>10285</v>
      </c>
      <c r="L554" s="10" t="s">
        <v>42</v>
      </c>
    </row>
    <row r="555" ht="15.75" customHeight="1">
      <c r="A555" s="64">
        <v>45492.0</v>
      </c>
      <c r="B555" s="55" t="str">
        <f>HYPERLINK("https://jobright.ai/jobs/info/66a403460d09d8a9054b3cb9?utm_campaign=1052&amp;utm_source=sheet", "Apply")</f>
        <v>Apply</v>
      </c>
      <c r="C555" s="10" t="s">
        <v>10286</v>
      </c>
      <c r="D555" s="56" t="s">
        <v>1094</v>
      </c>
      <c r="E555" s="10" t="s">
        <v>45</v>
      </c>
      <c r="F555" s="10" t="s">
        <v>731</v>
      </c>
      <c r="G555" s="10" t="s">
        <v>9414</v>
      </c>
      <c r="H555" s="10" t="s">
        <v>96</v>
      </c>
      <c r="I555" s="10" t="s">
        <v>55</v>
      </c>
      <c r="K555" s="10" t="s">
        <v>10287</v>
      </c>
      <c r="L555" s="10" t="s">
        <v>42</v>
      </c>
    </row>
    <row r="556" ht="15.75" customHeight="1">
      <c r="A556" s="64">
        <v>45492.0</v>
      </c>
      <c r="B556" s="55" t="str">
        <f>HYPERLINK("https://jobright.ai/jobs/info/66a403460d09d8a9054b3cbf?utm_campaign=1052&amp;utm_source=sheet", "Apply")</f>
        <v>Apply</v>
      </c>
      <c r="C556" s="10" t="s">
        <v>10288</v>
      </c>
      <c r="D556" s="56" t="s">
        <v>1094</v>
      </c>
      <c r="E556" s="10" t="s">
        <v>45</v>
      </c>
      <c r="F556" s="10" t="s">
        <v>731</v>
      </c>
      <c r="G556" s="10" t="s">
        <v>9414</v>
      </c>
      <c r="H556" s="10" t="s">
        <v>965</v>
      </c>
      <c r="I556" s="10" t="s">
        <v>55</v>
      </c>
      <c r="K556" s="10" t="s">
        <v>10252</v>
      </c>
      <c r="L556" s="10" t="s">
        <v>42</v>
      </c>
    </row>
    <row r="557" ht="15.75" customHeight="1">
      <c r="A557" s="64">
        <v>45492.0</v>
      </c>
      <c r="B557" s="55" t="str">
        <f>HYPERLINK("https://jobright.ai/jobs/info/669a51528a0f6d643a248623?utm_campaign=1052&amp;utm_source=sheet", "Apply")</f>
        <v>Apply</v>
      </c>
      <c r="C557" s="10" t="s">
        <v>10289</v>
      </c>
      <c r="D557" s="56" t="s">
        <v>10290</v>
      </c>
      <c r="E557" s="10" t="s">
        <v>45</v>
      </c>
      <c r="F557" s="10" t="s">
        <v>10291</v>
      </c>
      <c r="G557" s="10" t="s">
        <v>9414</v>
      </c>
      <c r="H557" s="10" t="s">
        <v>96</v>
      </c>
      <c r="I557" s="10" t="s">
        <v>48</v>
      </c>
      <c r="J557" s="10" t="s">
        <v>9440</v>
      </c>
      <c r="K557" s="10" t="s">
        <v>10292</v>
      </c>
      <c r="L557" s="10" t="s">
        <v>42</v>
      </c>
    </row>
    <row r="558" ht="15.75" customHeight="1">
      <c r="A558" s="64">
        <v>45492.0</v>
      </c>
      <c r="B558" s="55" t="str">
        <f>HYPERLINK("https://jobright.ai/jobs/info/669a7bbf304780e3e730f2e8?utm_campaign=1052&amp;utm_source=sheet", "Apply")</f>
        <v>Apply</v>
      </c>
      <c r="C558" s="10" t="s">
        <v>10289</v>
      </c>
      <c r="D558" s="56" t="s">
        <v>10290</v>
      </c>
      <c r="E558" s="10" t="s">
        <v>45</v>
      </c>
      <c r="F558" s="10" t="s">
        <v>10291</v>
      </c>
      <c r="G558" s="10" t="s">
        <v>9414</v>
      </c>
      <c r="H558" s="10" t="s">
        <v>96</v>
      </c>
      <c r="I558" s="10" t="s">
        <v>55</v>
      </c>
      <c r="J558" s="10" t="s">
        <v>9440</v>
      </c>
      <c r="K558" s="10" t="s">
        <v>10292</v>
      </c>
      <c r="L558" s="10" t="s">
        <v>42</v>
      </c>
    </row>
    <row r="559" ht="15.75" customHeight="1">
      <c r="A559" s="64">
        <v>45492.0</v>
      </c>
      <c r="B559" s="55" t="str">
        <f>HYPERLINK("https://jobright.ai/jobs/info/667dfd1063c037a1350fd939?utm_campaign=1052&amp;utm_source=sheet", "Apply")</f>
        <v>Apply</v>
      </c>
      <c r="C559" s="10" t="s">
        <v>10293</v>
      </c>
      <c r="D559" s="56" t="s">
        <v>9588</v>
      </c>
      <c r="E559" s="10" t="s">
        <v>65</v>
      </c>
      <c r="F559" s="10" t="s">
        <v>722</v>
      </c>
      <c r="G559" s="10" t="s">
        <v>9419</v>
      </c>
      <c r="H559" s="10" t="s">
        <v>3270</v>
      </c>
      <c r="I559" s="10" t="s">
        <v>55</v>
      </c>
      <c r="K559" s="10" t="s">
        <v>10294</v>
      </c>
      <c r="L559" s="10" t="s">
        <v>42</v>
      </c>
    </row>
    <row r="560" ht="15.75" customHeight="1">
      <c r="A560" s="64">
        <v>45492.0</v>
      </c>
      <c r="B560" s="55" t="str">
        <f>HYPERLINK("https://jobright.ai/jobs/info/667df67ed01f1b50f25ca9cc?utm_campaign=1052&amp;utm_source=sheet", "Apply")</f>
        <v>Apply</v>
      </c>
      <c r="C560" s="10" t="s">
        <v>10295</v>
      </c>
      <c r="D560" s="56" t="s">
        <v>10296</v>
      </c>
      <c r="E560" s="10" t="s">
        <v>249</v>
      </c>
      <c r="F560" s="10" t="s">
        <v>3594</v>
      </c>
      <c r="G560" s="10" t="s">
        <v>9419</v>
      </c>
      <c r="H560" s="10" t="s">
        <v>1254</v>
      </c>
      <c r="I560" s="10" t="s">
        <v>55</v>
      </c>
      <c r="J560" s="10" t="s">
        <v>3671</v>
      </c>
      <c r="K560" s="10" t="s">
        <v>10297</v>
      </c>
      <c r="L560" s="10" t="s">
        <v>42</v>
      </c>
    </row>
    <row r="561" ht="15.75" customHeight="1">
      <c r="A561" s="64">
        <v>45492.0</v>
      </c>
      <c r="B561" s="55" t="str">
        <f>HYPERLINK("https://jobright.ai/jobs/info/667df612d01f1b50f25ca1cb?utm_campaign=1052&amp;utm_source=sheet", "Apply")</f>
        <v>Apply</v>
      </c>
      <c r="C561" s="10" t="s">
        <v>10295</v>
      </c>
      <c r="D561" s="56" t="s">
        <v>10296</v>
      </c>
      <c r="E561" s="10" t="s">
        <v>249</v>
      </c>
      <c r="F561" s="10" t="s">
        <v>3594</v>
      </c>
      <c r="G561" s="10" t="s">
        <v>9419</v>
      </c>
      <c r="H561" s="10" t="s">
        <v>10017</v>
      </c>
      <c r="I561" s="10" t="s">
        <v>55</v>
      </c>
      <c r="J561" s="10" t="s">
        <v>3671</v>
      </c>
      <c r="K561" s="10" t="s">
        <v>10297</v>
      </c>
      <c r="L561" s="10" t="s">
        <v>42</v>
      </c>
    </row>
    <row r="562" ht="15.75" customHeight="1">
      <c r="A562" s="64">
        <v>45492.0</v>
      </c>
      <c r="B562" s="55" t="str">
        <f>HYPERLINK("https://jobright.ai/jobs/info/66611914c0963fa1bba364ff?utm_campaign=1052&amp;utm_source=sheet", "Apply")</f>
        <v>Apply</v>
      </c>
      <c r="C562" s="10" t="s">
        <v>10298</v>
      </c>
      <c r="D562" s="56" t="s">
        <v>730</v>
      </c>
      <c r="E562" s="10" t="s">
        <v>45</v>
      </c>
      <c r="F562" s="10" t="s">
        <v>731</v>
      </c>
      <c r="G562" s="10" t="s">
        <v>9414</v>
      </c>
      <c r="H562" s="10" t="s">
        <v>96</v>
      </c>
      <c r="I562" s="10" t="s">
        <v>55</v>
      </c>
      <c r="K562" s="10" t="s">
        <v>10299</v>
      </c>
      <c r="L562" s="10" t="s">
        <v>42</v>
      </c>
    </row>
    <row r="563" ht="15.75" customHeight="1">
      <c r="A563" s="64">
        <v>45492.0</v>
      </c>
      <c r="B563" s="55" t="str">
        <f>HYPERLINK("https://jobright.ai/jobs/info/666105557edbc27ad16f8f3d?utm_campaign=1052&amp;utm_source=sheet", "Apply")</f>
        <v>Apply</v>
      </c>
      <c r="C563" s="10" t="s">
        <v>10298</v>
      </c>
      <c r="D563" s="56" t="s">
        <v>730</v>
      </c>
      <c r="E563" s="10" t="s">
        <v>45</v>
      </c>
      <c r="F563" s="10" t="s">
        <v>731</v>
      </c>
      <c r="G563" s="10" t="s">
        <v>9414</v>
      </c>
      <c r="H563" s="10" t="s">
        <v>154</v>
      </c>
      <c r="I563" s="10" t="s">
        <v>55</v>
      </c>
      <c r="K563" s="10" t="s">
        <v>10299</v>
      </c>
      <c r="L563" s="10" t="s">
        <v>42</v>
      </c>
    </row>
    <row r="564" ht="15.75" customHeight="1">
      <c r="A564" s="64">
        <v>45492.0</v>
      </c>
      <c r="B564" s="55" t="str">
        <f>HYPERLINK("https://jobright.ai/jobs/info/667de8b6c31367b1e7f3e6ed?utm_campaign=1052&amp;utm_source=sheet", "Apply")</f>
        <v>Apply</v>
      </c>
      <c r="C564" s="10" t="s">
        <v>10293</v>
      </c>
      <c r="D564" s="56" t="s">
        <v>9588</v>
      </c>
      <c r="E564" s="10" t="s">
        <v>65</v>
      </c>
      <c r="F564" s="10" t="s">
        <v>722</v>
      </c>
      <c r="G564" s="10" t="s">
        <v>9419</v>
      </c>
      <c r="H564" s="10" t="s">
        <v>3309</v>
      </c>
      <c r="I564" s="10" t="s">
        <v>55</v>
      </c>
      <c r="K564" s="10" t="s">
        <v>10294</v>
      </c>
      <c r="L564" s="10" t="s">
        <v>42</v>
      </c>
    </row>
    <row r="565" ht="15.75" customHeight="1">
      <c r="A565" s="64">
        <v>45492.0</v>
      </c>
      <c r="B565" s="55" t="str">
        <f>HYPERLINK("https://jobright.ai/jobs/info/666105947edbc27ad16f93a0?utm_campaign=1052&amp;utm_source=sheet", "Apply")</f>
        <v>Apply</v>
      </c>
      <c r="C565" s="10" t="s">
        <v>10298</v>
      </c>
      <c r="D565" s="56" t="s">
        <v>730</v>
      </c>
      <c r="E565" s="10" t="s">
        <v>45</v>
      </c>
      <c r="F565" s="10" t="s">
        <v>731</v>
      </c>
      <c r="G565" s="10" t="s">
        <v>9414</v>
      </c>
      <c r="H565" s="10" t="s">
        <v>159</v>
      </c>
      <c r="I565" s="10" t="s">
        <v>55</v>
      </c>
      <c r="J565" s="66"/>
      <c r="K565" s="10" t="s">
        <v>10299</v>
      </c>
      <c r="L565" s="10" t="s">
        <v>42</v>
      </c>
    </row>
    <row r="566" ht="15.75" customHeight="1">
      <c r="A566" s="64">
        <v>45492.0</v>
      </c>
      <c r="B566" s="55" t="str">
        <f>HYPERLINK("https://jobright.ai/jobs/info/666105947edbc27ad16f939f?utm_campaign=1052&amp;utm_source=sheet", "Apply")</f>
        <v>Apply</v>
      </c>
      <c r="C566" s="10" t="s">
        <v>10298</v>
      </c>
      <c r="D566" s="56" t="s">
        <v>730</v>
      </c>
      <c r="E566" s="10" t="s">
        <v>45</v>
      </c>
      <c r="F566" s="10" t="s">
        <v>731</v>
      </c>
      <c r="G566" s="10" t="s">
        <v>9414</v>
      </c>
      <c r="H566" s="10" t="s">
        <v>153</v>
      </c>
      <c r="I566" s="10" t="s">
        <v>55</v>
      </c>
      <c r="K566" s="10" t="s">
        <v>10299</v>
      </c>
      <c r="L566" s="10" t="s">
        <v>42</v>
      </c>
    </row>
    <row r="567" ht="15.75" customHeight="1">
      <c r="A567" s="64">
        <v>45492.0</v>
      </c>
      <c r="B567" s="55" t="str">
        <f>HYPERLINK("https://jobright.ai/jobs/info/667de8eec31367b1e7f3ebee?utm_campaign=1052&amp;utm_source=sheet", "Apply")</f>
        <v>Apply</v>
      </c>
      <c r="C567" s="10" t="s">
        <v>10293</v>
      </c>
      <c r="D567" s="56" t="s">
        <v>9588</v>
      </c>
      <c r="E567" s="10" t="s">
        <v>65</v>
      </c>
      <c r="F567" s="10" t="s">
        <v>722</v>
      </c>
      <c r="G567" s="10" t="s">
        <v>9419</v>
      </c>
      <c r="H567" s="10" t="s">
        <v>520</v>
      </c>
      <c r="I567" s="10" t="s">
        <v>55</v>
      </c>
      <c r="K567" s="10" t="s">
        <v>10294</v>
      </c>
      <c r="L567" s="10" t="s">
        <v>42</v>
      </c>
    </row>
    <row r="568" ht="15.75" customHeight="1">
      <c r="A568" s="64">
        <v>45492.0</v>
      </c>
      <c r="B568" s="55" t="str">
        <f>HYPERLINK("https://jobright.ai/jobs/info/667de8eec31367b1e7f3ebf1?utm_campaign=1052&amp;utm_source=sheet", "Apply")</f>
        <v>Apply</v>
      </c>
      <c r="C568" s="10" t="s">
        <v>10293</v>
      </c>
      <c r="D568" s="56" t="s">
        <v>9588</v>
      </c>
      <c r="E568" s="10" t="s">
        <v>65</v>
      </c>
      <c r="F568" s="10" t="s">
        <v>722</v>
      </c>
      <c r="G568" s="10" t="s">
        <v>9419</v>
      </c>
      <c r="H568" s="10" t="s">
        <v>3271</v>
      </c>
      <c r="I568" s="10" t="s">
        <v>55</v>
      </c>
      <c r="K568" s="10" t="s">
        <v>10294</v>
      </c>
      <c r="L568" s="10" t="s">
        <v>42</v>
      </c>
    </row>
    <row r="569" ht="15.75" customHeight="1">
      <c r="A569" s="64">
        <v>45492.0</v>
      </c>
      <c r="B569" s="55" t="str">
        <f>HYPERLINK("https://jobright.ai/jobs/info/6675ac506d8340c59f8e4a26?utm_campaign=1052&amp;utm_source=sheet", "Apply")</f>
        <v>Apply</v>
      </c>
      <c r="C569" s="10" t="s">
        <v>10300</v>
      </c>
      <c r="D569" s="56" t="s">
        <v>10301</v>
      </c>
      <c r="E569" s="10" t="s">
        <v>65</v>
      </c>
      <c r="F569" s="10" t="s">
        <v>2950</v>
      </c>
      <c r="G569" s="10" t="s">
        <v>9414</v>
      </c>
      <c r="H569" s="10" t="s">
        <v>96</v>
      </c>
      <c r="I569" s="10" t="s">
        <v>55</v>
      </c>
      <c r="J569" s="10" t="s">
        <v>10302</v>
      </c>
      <c r="K569" s="10" t="s">
        <v>10303</v>
      </c>
      <c r="L569" s="10" t="s">
        <v>42</v>
      </c>
    </row>
    <row r="570" ht="15.75" customHeight="1">
      <c r="A570" s="64">
        <v>45492.0</v>
      </c>
      <c r="B570" s="55" t="str">
        <f>HYPERLINK("https://jobright.ai/jobs/info/667969a6d86d626ab8b78ccf?utm_campaign=1052&amp;utm_source=sheet", "Apply")</f>
        <v>Apply</v>
      </c>
      <c r="C570" s="10" t="s">
        <v>10298</v>
      </c>
      <c r="D570" s="56" t="s">
        <v>730</v>
      </c>
      <c r="E570" s="10" t="s">
        <v>45</v>
      </c>
      <c r="F570" s="10" t="s">
        <v>731</v>
      </c>
      <c r="G570" s="10" t="s">
        <v>9414</v>
      </c>
      <c r="H570" s="10" t="s">
        <v>144</v>
      </c>
      <c r="I570" s="10" t="s">
        <v>55</v>
      </c>
      <c r="K570" s="10" t="s">
        <v>10299</v>
      </c>
      <c r="L570" s="10" t="s">
        <v>42</v>
      </c>
    </row>
    <row r="571" ht="15.75" customHeight="1">
      <c r="A571" s="64">
        <v>45492.0</v>
      </c>
      <c r="B571" s="55" t="str">
        <f>HYPERLINK("https://jobright.ai/jobs/info/66699ff3f2390d49c0326490?utm_campaign=1052&amp;utm_source=sheet", "Apply")</f>
        <v>Apply</v>
      </c>
      <c r="C571" s="10" t="s">
        <v>9436</v>
      </c>
      <c r="D571" s="56" t="s">
        <v>3376</v>
      </c>
      <c r="E571" s="10" t="s">
        <v>45</v>
      </c>
      <c r="F571" s="10" t="s">
        <v>3377</v>
      </c>
      <c r="G571" s="10" t="s">
        <v>9414</v>
      </c>
      <c r="H571" s="10" t="s">
        <v>154</v>
      </c>
      <c r="I571" s="10" t="s">
        <v>55</v>
      </c>
      <c r="K571" s="10" t="s">
        <v>10304</v>
      </c>
      <c r="L571" s="10" t="s">
        <v>42</v>
      </c>
    </row>
    <row r="572" ht="15.75" customHeight="1">
      <c r="A572" s="64">
        <v>45492.0</v>
      </c>
      <c r="B572" s="55" t="str">
        <f>HYPERLINK("https://jobright.ai/jobs/info/6679783c22283fc0c733869c?utm_campaign=1052&amp;utm_source=sheet", "Apply")</f>
        <v>Apply</v>
      </c>
      <c r="C572" s="10" t="s">
        <v>10298</v>
      </c>
      <c r="D572" s="56" t="s">
        <v>730</v>
      </c>
      <c r="E572" s="10" t="s">
        <v>45</v>
      </c>
      <c r="F572" s="10" t="s">
        <v>731</v>
      </c>
      <c r="G572" s="10" t="s">
        <v>9414</v>
      </c>
      <c r="H572" s="10" t="s">
        <v>113</v>
      </c>
      <c r="I572" s="10" t="s">
        <v>55</v>
      </c>
      <c r="K572" s="10" t="s">
        <v>10299</v>
      </c>
      <c r="L572" s="10" t="s">
        <v>42</v>
      </c>
    </row>
    <row r="573" ht="15.75" customHeight="1">
      <c r="A573" s="64">
        <v>45492.0</v>
      </c>
      <c r="B573" s="55" t="str">
        <f>HYPERLINK("https://jobright.ai/jobs/info/666118c3c0963fa1bba35ee3?utm_campaign=1052&amp;utm_source=sheet", "Apply")</f>
        <v>Apply</v>
      </c>
      <c r="C573" s="10" t="s">
        <v>10305</v>
      </c>
      <c r="D573" s="56" t="s">
        <v>7158</v>
      </c>
      <c r="E573" s="10" t="s">
        <v>209</v>
      </c>
      <c r="F573" s="10" t="s">
        <v>2946</v>
      </c>
      <c r="G573" s="10" t="s">
        <v>9414</v>
      </c>
      <c r="H573" s="10" t="s">
        <v>1007</v>
      </c>
      <c r="I573" s="10" t="s">
        <v>55</v>
      </c>
      <c r="J573" s="10" t="s">
        <v>10306</v>
      </c>
      <c r="K573" s="10" t="s">
        <v>10307</v>
      </c>
      <c r="L573" s="10" t="s">
        <v>42</v>
      </c>
    </row>
    <row r="574" ht="15.75" customHeight="1">
      <c r="A574" s="64">
        <v>45492.0</v>
      </c>
      <c r="B574" s="55" t="str">
        <f>HYPERLINK("https://jobright.ai/jobs/info/669e23e94c6d36b846fdc669?utm_campaign=1052&amp;utm_source=sheet", "Apply")</f>
        <v>Apply</v>
      </c>
      <c r="C574" s="10" t="s">
        <v>10145</v>
      </c>
      <c r="D574" s="56" t="s">
        <v>10030</v>
      </c>
      <c r="E574" s="10">
        <v>25.0</v>
      </c>
      <c r="G574" s="10" t="s">
        <v>1159</v>
      </c>
      <c r="H574" s="10" t="s">
        <v>708</v>
      </c>
      <c r="I574" s="10" t="s">
        <v>55</v>
      </c>
      <c r="K574" s="10" t="s">
        <v>10146</v>
      </c>
      <c r="L574" s="10" t="s">
        <v>42</v>
      </c>
    </row>
    <row r="575" ht="15.75" customHeight="1">
      <c r="A575" s="64">
        <v>45492.0</v>
      </c>
      <c r="B575" s="55" t="str">
        <f>HYPERLINK("https://jobright.ai/jobs/info/669e23e94c6d36b846fdc66c?utm_campaign=1052&amp;utm_source=sheet", "Apply")</f>
        <v>Apply</v>
      </c>
      <c r="C575" s="10" t="s">
        <v>10213</v>
      </c>
      <c r="D575" s="56" t="s">
        <v>10030</v>
      </c>
      <c r="E575" s="10">
        <v>25.0</v>
      </c>
      <c r="G575" s="10" t="s">
        <v>9419</v>
      </c>
      <c r="H575" s="10" t="s">
        <v>2708</v>
      </c>
      <c r="I575" s="10" t="s">
        <v>55</v>
      </c>
      <c r="K575" s="10" t="s">
        <v>10191</v>
      </c>
      <c r="L575" s="10" t="s">
        <v>42</v>
      </c>
    </row>
    <row r="576" ht="15.75" customHeight="1">
      <c r="A576" s="64">
        <v>45492.0</v>
      </c>
      <c r="B576" s="55" t="str">
        <f>HYPERLINK("https://jobright.ai/jobs/info/668bbf13e16f971d971078d8?utm_campaign=1052&amp;utm_source=sheet", "Apply")</f>
        <v>Apply</v>
      </c>
      <c r="C576" s="10" t="s">
        <v>10308</v>
      </c>
      <c r="D576" s="56" t="s">
        <v>10267</v>
      </c>
      <c r="E576" s="10" t="s">
        <v>65</v>
      </c>
      <c r="F576" s="10" t="s">
        <v>259</v>
      </c>
      <c r="G576" s="10" t="s">
        <v>9414</v>
      </c>
      <c r="H576" s="10" t="s">
        <v>96</v>
      </c>
      <c r="I576" s="10" t="s">
        <v>55</v>
      </c>
      <c r="J576" s="10" t="s">
        <v>1868</v>
      </c>
      <c r="K576" s="10" t="s">
        <v>10309</v>
      </c>
      <c r="L576" s="10" t="s">
        <v>42</v>
      </c>
    </row>
    <row r="577" ht="15.75" customHeight="1">
      <c r="A577" s="64">
        <v>45492.0</v>
      </c>
      <c r="B577" s="55" t="str">
        <f>HYPERLINK("https://jobright.ai/jobs/info/668bbf14e16f971d971078db?utm_campaign=1052&amp;utm_source=sheet", "Apply")</f>
        <v>Apply</v>
      </c>
      <c r="C577" s="10" t="s">
        <v>10310</v>
      </c>
      <c r="D577" s="56" t="s">
        <v>10267</v>
      </c>
      <c r="E577" s="10" t="s">
        <v>65</v>
      </c>
      <c r="F577" s="10" t="s">
        <v>259</v>
      </c>
      <c r="G577" s="10" t="s">
        <v>9414</v>
      </c>
      <c r="H577" s="10" t="s">
        <v>1994</v>
      </c>
      <c r="I577" s="10" t="s">
        <v>55</v>
      </c>
      <c r="J577" s="10" t="s">
        <v>1868</v>
      </c>
      <c r="K577" s="10" t="s">
        <v>10311</v>
      </c>
      <c r="L577" s="10" t="s">
        <v>42</v>
      </c>
    </row>
    <row r="578" ht="15.75" customHeight="1">
      <c r="A578" s="64">
        <v>45492.0</v>
      </c>
      <c r="B578" s="55" t="str">
        <f>HYPERLINK("https://jobright.ai/jobs/info/6699c61376390e6740f75bba?utm_campaign=1052&amp;utm_source=sheet", "Apply")</f>
        <v>Apply</v>
      </c>
      <c r="C578" s="10" t="s">
        <v>10312</v>
      </c>
      <c r="D578" s="56" t="s">
        <v>10185</v>
      </c>
      <c r="E578" s="10" t="s">
        <v>276</v>
      </c>
      <c r="F578" s="10" t="s">
        <v>3382</v>
      </c>
      <c r="G578" s="10" t="s">
        <v>9419</v>
      </c>
      <c r="H578" s="10" t="s">
        <v>10313</v>
      </c>
      <c r="I578" s="10" t="s">
        <v>55</v>
      </c>
      <c r="J578" s="10" t="s">
        <v>9551</v>
      </c>
      <c r="K578" s="10" t="s">
        <v>10314</v>
      </c>
      <c r="L578" s="10" t="s">
        <v>42</v>
      </c>
    </row>
    <row r="579" ht="15.75" customHeight="1">
      <c r="A579" s="64">
        <v>45492.0</v>
      </c>
      <c r="B579" s="55" t="str">
        <f>HYPERLINK("https://jobright.ai/jobs/info/6699c61376390e6740f75b97?utm_campaign=1052&amp;utm_source=sheet", "Apply")</f>
        <v>Apply</v>
      </c>
      <c r="C579" s="10" t="s">
        <v>10315</v>
      </c>
      <c r="D579" s="56" t="s">
        <v>10185</v>
      </c>
      <c r="E579" s="10" t="s">
        <v>276</v>
      </c>
      <c r="F579" s="10" t="s">
        <v>3382</v>
      </c>
      <c r="G579" s="10" t="s">
        <v>9419</v>
      </c>
      <c r="H579" s="10" t="s">
        <v>10313</v>
      </c>
      <c r="I579" s="10" t="s">
        <v>55</v>
      </c>
      <c r="J579" s="10" t="s">
        <v>9551</v>
      </c>
      <c r="K579" s="10" t="s">
        <v>10314</v>
      </c>
      <c r="L579" s="10" t="s">
        <v>42</v>
      </c>
    </row>
    <row r="580" ht="15.75" customHeight="1">
      <c r="A580" s="64">
        <v>45492.0</v>
      </c>
      <c r="B580" s="55" t="str">
        <f>HYPERLINK("https://jobright.ai/jobs/info/669a6165deddc9904572f541?utm_campaign=1052&amp;utm_source=sheet", "Apply")</f>
        <v>Apply</v>
      </c>
      <c r="C580" s="10" t="s">
        <v>9517</v>
      </c>
      <c r="D580" s="56" t="s">
        <v>2938</v>
      </c>
      <c r="E580" s="10" t="s">
        <v>137</v>
      </c>
      <c r="F580" s="10" t="s">
        <v>1949</v>
      </c>
      <c r="G580" s="10" t="s">
        <v>1159</v>
      </c>
      <c r="H580" s="10" t="s">
        <v>154</v>
      </c>
      <c r="I580" s="10" t="s">
        <v>55</v>
      </c>
      <c r="J580" s="66"/>
      <c r="K580" s="10" t="s">
        <v>9704</v>
      </c>
      <c r="L580" s="10" t="s">
        <v>42</v>
      </c>
    </row>
    <row r="581" ht="15.75" customHeight="1">
      <c r="A581" s="64">
        <v>45492.0</v>
      </c>
      <c r="B581" s="55" t="str">
        <f>HYPERLINK("https://jobright.ai/jobs/info/668bbf14e16f971d971078da?utm_campaign=1052&amp;utm_source=sheet", "Apply")</f>
        <v>Apply</v>
      </c>
      <c r="C581" s="10" t="s">
        <v>10266</v>
      </c>
      <c r="D581" s="56" t="s">
        <v>10267</v>
      </c>
      <c r="E581" s="10" t="s">
        <v>65</v>
      </c>
      <c r="F581" s="10" t="s">
        <v>259</v>
      </c>
      <c r="G581" s="10" t="s">
        <v>9414</v>
      </c>
      <c r="H581" s="10" t="s">
        <v>96</v>
      </c>
      <c r="I581" s="10" t="s">
        <v>55</v>
      </c>
      <c r="J581" s="10" t="s">
        <v>1868</v>
      </c>
      <c r="K581" s="10" t="s">
        <v>10316</v>
      </c>
      <c r="L581" s="10" t="s">
        <v>42</v>
      </c>
    </row>
    <row r="582" ht="15.75" customHeight="1">
      <c r="A582" s="64">
        <v>45492.0</v>
      </c>
      <c r="B582" s="55" t="str">
        <f>HYPERLINK("https://jobright.ai/jobs/info/666ed94176fa6cc857164ff1?utm_campaign=1052&amp;utm_source=sheet", "Apply")</f>
        <v>Apply</v>
      </c>
      <c r="C582" s="10" t="s">
        <v>10317</v>
      </c>
      <c r="D582" s="56" t="s">
        <v>10267</v>
      </c>
      <c r="E582" s="10" t="s">
        <v>65</v>
      </c>
      <c r="F582" s="10" t="s">
        <v>259</v>
      </c>
      <c r="G582" s="10" t="s">
        <v>9414</v>
      </c>
      <c r="H582" s="10" t="s">
        <v>131</v>
      </c>
      <c r="I582" s="10" t="s">
        <v>55</v>
      </c>
      <c r="J582" s="10" t="s">
        <v>1868</v>
      </c>
      <c r="K582" s="10" t="s">
        <v>10318</v>
      </c>
      <c r="L582" s="10" t="s">
        <v>42</v>
      </c>
    </row>
    <row r="583" ht="15.75" customHeight="1">
      <c r="A583" s="64">
        <v>45492.0</v>
      </c>
      <c r="B583" s="55" t="str">
        <f>HYPERLINK("https://jobright.ai/jobs/info/668bd99aac083f9791920d43?utm_campaign=1052&amp;utm_source=sheet", "Apply")</f>
        <v>Apply</v>
      </c>
      <c r="C583" s="10" t="s">
        <v>10319</v>
      </c>
      <c r="D583" s="56" t="s">
        <v>10267</v>
      </c>
      <c r="E583" s="10" t="s">
        <v>65</v>
      </c>
      <c r="F583" s="10" t="s">
        <v>259</v>
      </c>
      <c r="G583" s="10" t="s">
        <v>9414</v>
      </c>
      <c r="H583" s="10" t="s">
        <v>96</v>
      </c>
      <c r="I583" s="10" t="s">
        <v>55</v>
      </c>
      <c r="J583" s="10" t="s">
        <v>1868</v>
      </c>
      <c r="K583" s="10" t="s">
        <v>10320</v>
      </c>
      <c r="L583" s="10" t="s">
        <v>42</v>
      </c>
    </row>
    <row r="584" ht="15.75" customHeight="1">
      <c r="A584" s="64">
        <v>45491.0</v>
      </c>
      <c r="B584" s="55" t="str">
        <f>HYPERLINK("https://jobright.ai/jobs/info/668bbf14e16f971d971078d9?utm_campaign=1052&amp;utm_source=sheet", "Apply")</f>
        <v>Apply</v>
      </c>
      <c r="C584" s="10" t="s">
        <v>10319</v>
      </c>
      <c r="D584" s="56" t="s">
        <v>10267</v>
      </c>
      <c r="E584" s="10" t="s">
        <v>65</v>
      </c>
      <c r="F584" s="10" t="s">
        <v>259</v>
      </c>
      <c r="G584" s="10" t="s">
        <v>9414</v>
      </c>
      <c r="H584" s="10" t="s">
        <v>96</v>
      </c>
      <c r="I584" s="10" t="s">
        <v>55</v>
      </c>
      <c r="J584" s="10" t="s">
        <v>1868</v>
      </c>
      <c r="K584" s="10" t="s">
        <v>10320</v>
      </c>
      <c r="L584" s="10" t="s">
        <v>42</v>
      </c>
    </row>
    <row r="585" ht="15.75" customHeight="1">
      <c r="A585" s="64">
        <v>45491.0</v>
      </c>
      <c r="B585" s="55" t="str">
        <f>HYPERLINK("https://jobright.ai/jobs/info/6699c61376390e6740f75c2e?utm_campaign=1052&amp;utm_source=sheet", "Apply")</f>
        <v>Apply</v>
      </c>
      <c r="C585" s="10" t="s">
        <v>10321</v>
      </c>
      <c r="D585" s="56" t="s">
        <v>10322</v>
      </c>
      <c r="E585" s="10" t="s">
        <v>45</v>
      </c>
      <c r="F585" s="10" t="s">
        <v>10323</v>
      </c>
      <c r="G585" s="10" t="s">
        <v>1159</v>
      </c>
      <c r="H585" s="10" t="s">
        <v>10324</v>
      </c>
      <c r="I585" s="10" t="s">
        <v>55</v>
      </c>
      <c r="J585" s="10" t="s">
        <v>10325</v>
      </c>
      <c r="K585" s="10" t="s">
        <v>10326</v>
      </c>
      <c r="L585" s="10" t="s">
        <v>42</v>
      </c>
    </row>
    <row r="586" ht="15.75" customHeight="1">
      <c r="A586" s="64">
        <v>45491.0</v>
      </c>
      <c r="B586" s="55" t="str">
        <f>HYPERLINK("https://jobright.ai/jobs/info/6699b3af8e2bbfc90c31e60c?utm_campaign=1052&amp;utm_source=sheet", "Apply")</f>
        <v>Apply</v>
      </c>
      <c r="C586" s="10" t="s">
        <v>10327</v>
      </c>
      <c r="D586" s="56" t="s">
        <v>563</v>
      </c>
      <c r="E586" s="10" t="s">
        <v>249</v>
      </c>
      <c r="F586" s="10" t="s">
        <v>564</v>
      </c>
      <c r="G586" s="10" t="s">
        <v>9414</v>
      </c>
      <c r="H586" s="10" t="s">
        <v>361</v>
      </c>
      <c r="I586" s="10" t="s">
        <v>55</v>
      </c>
      <c r="J586" s="10" t="s">
        <v>10158</v>
      </c>
      <c r="K586" s="10" t="s">
        <v>10328</v>
      </c>
      <c r="L586" s="10" t="s">
        <v>42</v>
      </c>
    </row>
    <row r="587" ht="15.75" customHeight="1">
      <c r="A587" s="64">
        <v>45491.0</v>
      </c>
      <c r="B587" s="55" t="str">
        <f>HYPERLINK("https://jobright.ai/jobs/info/6699ab4a5a89528d063163a2?utm_campaign=1052&amp;utm_source=sheet", "Apply")</f>
        <v>Apply</v>
      </c>
      <c r="C587" s="10" t="s">
        <v>10329</v>
      </c>
      <c r="D587" s="56" t="s">
        <v>3832</v>
      </c>
      <c r="E587" s="10" t="s">
        <v>65</v>
      </c>
      <c r="F587" s="10" t="s">
        <v>660</v>
      </c>
      <c r="G587" s="10" t="s">
        <v>9414</v>
      </c>
      <c r="H587" s="10" t="s">
        <v>131</v>
      </c>
      <c r="I587" s="10" t="s">
        <v>55</v>
      </c>
      <c r="J587" s="10" t="s">
        <v>3615</v>
      </c>
      <c r="K587" s="10" t="s">
        <v>10330</v>
      </c>
      <c r="L587" s="10" t="s">
        <v>42</v>
      </c>
    </row>
    <row r="588" ht="15.75" customHeight="1">
      <c r="A588" s="64">
        <v>45491.0</v>
      </c>
      <c r="B588" s="55" t="str">
        <f>HYPERLINK("https://jobright.ai/jobs/info/669997922ffed9764616e319?utm_campaign=1052&amp;utm_source=sheet", "Apply")</f>
        <v>Apply</v>
      </c>
      <c r="C588" s="10" t="s">
        <v>10331</v>
      </c>
      <c r="D588" s="56" t="s">
        <v>9671</v>
      </c>
      <c r="E588" s="10" t="s">
        <v>45</v>
      </c>
      <c r="F588" s="10" t="s">
        <v>1084</v>
      </c>
      <c r="G588" s="10" t="s">
        <v>9414</v>
      </c>
      <c r="H588" s="10" t="s">
        <v>96</v>
      </c>
      <c r="I588" s="10" t="s">
        <v>55</v>
      </c>
      <c r="J588" s="10" t="s">
        <v>10332</v>
      </c>
      <c r="K588" s="10" t="s">
        <v>10333</v>
      </c>
      <c r="L588" s="10" t="s">
        <v>42</v>
      </c>
    </row>
    <row r="589" ht="15.75" customHeight="1">
      <c r="A589" s="64">
        <v>45491.0</v>
      </c>
      <c r="B589" s="55" t="str">
        <f>HYPERLINK("https://jobright.ai/jobs/info/66999fe5a6cffa96210cddf7?utm_campaign=1052&amp;utm_source=sheet", "Apply")</f>
        <v>Apply</v>
      </c>
      <c r="C589" s="10" t="s">
        <v>9436</v>
      </c>
      <c r="D589" s="56" t="s">
        <v>3402</v>
      </c>
      <c r="E589" s="10" t="s">
        <v>45</v>
      </c>
      <c r="F589" s="10" t="s">
        <v>3403</v>
      </c>
      <c r="G589" s="10" t="s">
        <v>9414</v>
      </c>
      <c r="H589" s="10" t="s">
        <v>429</v>
      </c>
      <c r="I589" s="10" t="s">
        <v>55</v>
      </c>
      <c r="J589" s="64"/>
      <c r="K589" s="10" t="s">
        <v>10334</v>
      </c>
      <c r="L589" s="10" t="s">
        <v>42</v>
      </c>
    </row>
    <row r="590" ht="15.75" customHeight="1">
      <c r="A590" s="64">
        <v>45491.0</v>
      </c>
      <c r="B590" s="55" t="str">
        <f>HYPERLINK("https://jobright.ai/jobs/info/669a71279819bc20e390db7a?utm_campaign=1052&amp;utm_source=sheet", "Apply")</f>
        <v>Apply</v>
      </c>
      <c r="C590" s="10" t="s">
        <v>10335</v>
      </c>
      <c r="D590" s="56" t="s">
        <v>10336</v>
      </c>
      <c r="E590" s="10" t="s">
        <v>276</v>
      </c>
      <c r="F590" s="10" t="s">
        <v>10337</v>
      </c>
      <c r="G590" s="10" t="s">
        <v>9419</v>
      </c>
      <c r="H590" s="10" t="s">
        <v>10338</v>
      </c>
      <c r="I590" s="10" t="s">
        <v>55</v>
      </c>
      <c r="K590" s="10" t="s">
        <v>10339</v>
      </c>
      <c r="L590" s="10" t="s">
        <v>42</v>
      </c>
    </row>
    <row r="591" ht="15.75" customHeight="1">
      <c r="A591" s="64">
        <v>45491.0</v>
      </c>
      <c r="B591" s="55" t="str">
        <f>HYPERLINK("https://jobright.ai/jobs/info/66998af231dfa4ce41feede7?utm_campaign=1052&amp;utm_source=sheet", "Apply")</f>
        <v>Apply</v>
      </c>
      <c r="C591" s="10" t="s">
        <v>10340</v>
      </c>
      <c r="D591" s="56" t="s">
        <v>10341</v>
      </c>
      <c r="E591" s="10" t="s">
        <v>65</v>
      </c>
      <c r="F591" s="10" t="s">
        <v>1601</v>
      </c>
      <c r="G591" s="10" t="s">
        <v>9414</v>
      </c>
      <c r="H591" s="10" t="s">
        <v>442</v>
      </c>
      <c r="I591" s="10" t="s">
        <v>48</v>
      </c>
      <c r="K591" s="10" t="s">
        <v>10342</v>
      </c>
      <c r="L591" s="10" t="s">
        <v>42</v>
      </c>
    </row>
    <row r="592" ht="15.75" customHeight="1">
      <c r="A592" s="64">
        <v>45491.0</v>
      </c>
      <c r="B592" s="55" t="str">
        <f>HYPERLINK("https://jobright.ai/jobs/info/66996e66a41ce254938c59d1?utm_campaign=1052&amp;utm_source=sheet", "Apply")</f>
        <v>Apply</v>
      </c>
      <c r="C592" s="10" t="s">
        <v>10343</v>
      </c>
      <c r="D592" s="56" t="s">
        <v>9821</v>
      </c>
      <c r="E592" s="10" t="s">
        <v>45</v>
      </c>
      <c r="F592" s="10" t="s">
        <v>3594</v>
      </c>
      <c r="G592" s="10" t="s">
        <v>9414</v>
      </c>
      <c r="H592" s="10" t="s">
        <v>10344</v>
      </c>
      <c r="I592" s="10" t="s">
        <v>55</v>
      </c>
      <c r="K592" s="10" t="s">
        <v>10345</v>
      </c>
      <c r="L592" s="10" t="s">
        <v>42</v>
      </c>
    </row>
    <row r="593" ht="15.75" customHeight="1">
      <c r="A593" s="64">
        <v>45491.0</v>
      </c>
      <c r="B593" s="55" t="str">
        <f>HYPERLINK("https://jobright.ai/jobs/info/66a2732f2a3efa6cf5867c17?utm_campaign=1052&amp;utm_source=sheet", "Apply")</f>
        <v>Apply</v>
      </c>
      <c r="C593" s="10" t="s">
        <v>10346</v>
      </c>
      <c r="D593" s="56" t="s">
        <v>533</v>
      </c>
      <c r="E593" s="10" t="s">
        <v>209</v>
      </c>
      <c r="F593" s="10" t="s">
        <v>534</v>
      </c>
      <c r="G593" s="10" t="s">
        <v>9419</v>
      </c>
      <c r="H593" s="10" t="s">
        <v>165</v>
      </c>
      <c r="I593" s="10" t="s">
        <v>55</v>
      </c>
      <c r="J593" s="10" t="s">
        <v>10347</v>
      </c>
      <c r="K593" s="10" t="s">
        <v>10348</v>
      </c>
      <c r="L593" s="10" t="s">
        <v>42</v>
      </c>
    </row>
    <row r="594" ht="15.75" customHeight="1">
      <c r="A594" s="64">
        <v>45491.0</v>
      </c>
      <c r="B594" s="55" t="str">
        <f>HYPERLINK("https://jobright.ai/jobs/info/66a271373df81825d043a30c?utm_campaign=1052&amp;utm_source=sheet", "Apply")</f>
        <v>Apply</v>
      </c>
      <c r="C594" s="10" t="s">
        <v>10349</v>
      </c>
      <c r="D594" s="56" t="s">
        <v>2836</v>
      </c>
      <c r="E594" s="10" t="s">
        <v>45</v>
      </c>
      <c r="F594" s="10" t="s">
        <v>665</v>
      </c>
      <c r="G594" s="10" t="s">
        <v>9414</v>
      </c>
      <c r="H594" s="10" t="s">
        <v>5328</v>
      </c>
      <c r="I594" s="10" t="s">
        <v>48</v>
      </c>
      <c r="J594" s="10" t="s">
        <v>1797</v>
      </c>
      <c r="K594" s="10" t="s">
        <v>10350</v>
      </c>
      <c r="L594" s="10" t="s">
        <v>42</v>
      </c>
    </row>
    <row r="595" ht="15.75" customHeight="1">
      <c r="A595" s="64">
        <v>45491.0</v>
      </c>
      <c r="B595" s="55" t="str">
        <f>HYPERLINK("https://jobright.ai/jobs/info/66a2734a2a3efa6cf5867ddd?utm_campaign=1052&amp;utm_source=sheet", "Apply")</f>
        <v>Apply</v>
      </c>
      <c r="C595" s="10" t="s">
        <v>10351</v>
      </c>
      <c r="D595" s="56" t="s">
        <v>10352</v>
      </c>
      <c r="E595" s="10" t="s">
        <v>71</v>
      </c>
      <c r="F595" s="10" t="s">
        <v>10353</v>
      </c>
      <c r="G595" s="10" t="s">
        <v>1159</v>
      </c>
      <c r="H595" s="10" t="s">
        <v>578</v>
      </c>
      <c r="I595" s="10" t="s">
        <v>55</v>
      </c>
      <c r="J595" s="64"/>
      <c r="K595" s="10" t="s">
        <v>10354</v>
      </c>
      <c r="L595" s="10" t="s">
        <v>42</v>
      </c>
    </row>
    <row r="596" ht="15.75" customHeight="1">
      <c r="A596" s="64">
        <v>45491.0</v>
      </c>
      <c r="B596" s="55" t="str">
        <f>HYPERLINK("https://jobright.ai/jobs/info/66996076e56fdd691f9cfe54?utm_campaign=1052&amp;utm_source=sheet", "Apply")</f>
        <v>Apply</v>
      </c>
      <c r="C596" s="10" t="s">
        <v>10192</v>
      </c>
      <c r="D596" s="56" t="s">
        <v>9550</v>
      </c>
      <c r="E596" s="10" t="s">
        <v>249</v>
      </c>
      <c r="F596" s="10" t="s">
        <v>722</v>
      </c>
      <c r="G596" s="10" t="s">
        <v>1159</v>
      </c>
      <c r="H596" s="10" t="s">
        <v>159</v>
      </c>
      <c r="I596" s="10" t="s">
        <v>48</v>
      </c>
      <c r="J596" s="10" t="s">
        <v>4649</v>
      </c>
      <c r="K596" s="10" t="s">
        <v>10355</v>
      </c>
      <c r="L596" s="10" t="s">
        <v>42</v>
      </c>
    </row>
    <row r="597" ht="15.75" customHeight="1">
      <c r="A597" s="64">
        <v>45491.0</v>
      </c>
      <c r="B597" s="55" t="str">
        <f>HYPERLINK("https://jobright.ai/jobs/info/6699445960ec658d44b5b4cd?utm_campaign=1052&amp;utm_source=sheet", "Apply")</f>
        <v>Apply</v>
      </c>
      <c r="C597" s="10" t="s">
        <v>10194</v>
      </c>
      <c r="D597" s="56" t="s">
        <v>9550</v>
      </c>
      <c r="E597" s="10" t="s">
        <v>249</v>
      </c>
      <c r="F597" s="10" t="s">
        <v>722</v>
      </c>
      <c r="G597" s="10" t="s">
        <v>1159</v>
      </c>
      <c r="H597" s="10" t="s">
        <v>3423</v>
      </c>
      <c r="I597" s="10" t="s">
        <v>48</v>
      </c>
      <c r="J597" s="10" t="s">
        <v>467</v>
      </c>
      <c r="K597" s="10" t="s">
        <v>10355</v>
      </c>
      <c r="L597" s="10" t="s">
        <v>42</v>
      </c>
    </row>
    <row r="598" ht="15.75" customHeight="1">
      <c r="A598" s="64">
        <v>45491.0</v>
      </c>
      <c r="B598" s="55" t="str">
        <f>HYPERLINK("https://jobright.ai/jobs/info/6699dd264c9013d269ad307e?utm_campaign=1052&amp;utm_source=sheet", "Apply")</f>
        <v>Apply</v>
      </c>
      <c r="C598" s="10" t="s">
        <v>10356</v>
      </c>
      <c r="D598" s="56" t="s">
        <v>9550</v>
      </c>
      <c r="E598" s="10" t="s">
        <v>249</v>
      </c>
      <c r="F598" s="10" t="s">
        <v>722</v>
      </c>
      <c r="G598" s="10" t="s">
        <v>1159</v>
      </c>
      <c r="H598" s="10" t="s">
        <v>966</v>
      </c>
      <c r="I598" s="10" t="s">
        <v>48</v>
      </c>
      <c r="J598" s="10" t="s">
        <v>1616</v>
      </c>
      <c r="K598" s="10" t="s">
        <v>10355</v>
      </c>
      <c r="L598" s="10" t="s">
        <v>42</v>
      </c>
    </row>
    <row r="599" ht="15.75" customHeight="1">
      <c r="A599" s="64">
        <v>45491.0</v>
      </c>
      <c r="B599" s="55" t="str">
        <f>HYPERLINK("https://jobright.ai/jobs/info/66993f612b9c65a3e5eb8acb?utm_campaign=1052&amp;utm_source=sheet", "Apply")</f>
        <v>Apply</v>
      </c>
      <c r="C599" s="10" t="s">
        <v>10193</v>
      </c>
      <c r="D599" s="56" t="s">
        <v>9550</v>
      </c>
      <c r="E599" s="10" t="s">
        <v>249</v>
      </c>
      <c r="F599" s="10" t="s">
        <v>722</v>
      </c>
      <c r="G599" s="10" t="s">
        <v>1159</v>
      </c>
      <c r="H599" s="10" t="s">
        <v>216</v>
      </c>
      <c r="I599" s="10" t="s">
        <v>48</v>
      </c>
      <c r="J599" s="10" t="s">
        <v>467</v>
      </c>
      <c r="K599" s="10" t="s">
        <v>10355</v>
      </c>
      <c r="L599" s="10" t="s">
        <v>42</v>
      </c>
    </row>
    <row r="600" ht="15.75" customHeight="1">
      <c r="A600" s="64">
        <v>45491.0</v>
      </c>
      <c r="B600" s="55" t="str">
        <f>HYPERLINK("https://jobright.ai/jobs/info/6699f4b4818163790035f7e8?utm_campaign=1052&amp;utm_source=sheet", "Apply")</f>
        <v>Apply</v>
      </c>
      <c r="C600" s="10" t="s">
        <v>10357</v>
      </c>
      <c r="D600" s="56" t="s">
        <v>10358</v>
      </c>
      <c r="E600" s="10" t="s">
        <v>249</v>
      </c>
      <c r="F600" s="10" t="s">
        <v>10019</v>
      </c>
      <c r="G600" s="10" t="s">
        <v>9414</v>
      </c>
      <c r="H600" s="10" t="s">
        <v>113</v>
      </c>
      <c r="I600" s="10" t="s">
        <v>55</v>
      </c>
      <c r="J600" s="10" t="s">
        <v>10359</v>
      </c>
      <c r="K600" s="10" t="s">
        <v>10360</v>
      </c>
      <c r="L600" s="10" t="s">
        <v>42</v>
      </c>
    </row>
    <row r="601" ht="15.75" customHeight="1">
      <c r="A601" s="64">
        <v>45491.0</v>
      </c>
      <c r="B601" s="55" t="str">
        <f>HYPERLINK("https://jobright.ai/jobs/info/66a26a3d8d694daaf8c0cb93?utm_campaign=1052&amp;utm_source=sheet", "Apply")</f>
        <v>Apply</v>
      </c>
      <c r="C601" s="10" t="s">
        <v>10361</v>
      </c>
      <c r="D601" s="56" t="s">
        <v>533</v>
      </c>
      <c r="E601" s="10" t="s">
        <v>209</v>
      </c>
      <c r="F601" s="10" t="s">
        <v>534</v>
      </c>
      <c r="G601" s="10" t="s">
        <v>9419</v>
      </c>
      <c r="H601" s="10" t="s">
        <v>139</v>
      </c>
      <c r="I601" s="10" t="s">
        <v>55</v>
      </c>
      <c r="J601" s="10" t="s">
        <v>10347</v>
      </c>
      <c r="K601" s="10" t="s">
        <v>10362</v>
      </c>
      <c r="L601" s="10" t="s">
        <v>42</v>
      </c>
    </row>
    <row r="602" ht="15.75" customHeight="1">
      <c r="A602" s="64">
        <v>45491.0</v>
      </c>
      <c r="B602" s="55" t="str">
        <f>HYPERLINK("https://jobright.ai/jobs/info/669935a7b282fd21c6feeffb?utm_campaign=1052&amp;utm_source=sheet", "Apply")</f>
        <v>Apply</v>
      </c>
      <c r="C602" s="10" t="s">
        <v>10211</v>
      </c>
      <c r="D602" s="56" t="s">
        <v>9550</v>
      </c>
      <c r="E602" s="10" t="s">
        <v>249</v>
      </c>
      <c r="F602" s="10" t="s">
        <v>722</v>
      </c>
      <c r="G602" s="10" t="s">
        <v>1159</v>
      </c>
      <c r="H602" s="10" t="s">
        <v>152</v>
      </c>
      <c r="I602" s="10" t="s">
        <v>48</v>
      </c>
      <c r="J602" s="10" t="s">
        <v>9551</v>
      </c>
      <c r="K602" s="10" t="s">
        <v>10355</v>
      </c>
      <c r="L602" s="10" t="s">
        <v>42</v>
      </c>
    </row>
    <row r="603" ht="15.75" customHeight="1">
      <c r="A603" s="64">
        <v>45491.0</v>
      </c>
      <c r="B603" s="55" t="str">
        <f>HYPERLINK("https://jobright.ai/jobs/info/669935a7b282fd21c6feeffd?utm_campaign=1052&amp;utm_source=sheet", "Apply")</f>
        <v>Apply</v>
      </c>
      <c r="C603" s="10" t="s">
        <v>10195</v>
      </c>
      <c r="D603" s="56" t="s">
        <v>9550</v>
      </c>
      <c r="E603" s="10" t="s">
        <v>249</v>
      </c>
      <c r="F603" s="10" t="s">
        <v>722</v>
      </c>
      <c r="G603" s="10" t="s">
        <v>1159</v>
      </c>
      <c r="H603" s="10" t="s">
        <v>3931</v>
      </c>
      <c r="I603" s="10" t="s">
        <v>48</v>
      </c>
      <c r="J603" s="10" t="s">
        <v>4649</v>
      </c>
      <c r="K603" s="10" t="s">
        <v>10355</v>
      </c>
      <c r="L603" s="10" t="s">
        <v>42</v>
      </c>
    </row>
    <row r="604" ht="15.75" customHeight="1">
      <c r="A604" s="64">
        <v>45491.0</v>
      </c>
      <c r="B604" s="55" t="str">
        <f>HYPERLINK("https://jobright.ai/jobs/info/669a7c39e97f34632044e1e5?utm_campaign=1052&amp;utm_source=sheet", "Apply")</f>
        <v>Apply</v>
      </c>
      <c r="C604" s="10" t="s">
        <v>9622</v>
      </c>
      <c r="D604" s="56" t="s">
        <v>9623</v>
      </c>
      <c r="E604" s="10">
        <v>52219.0</v>
      </c>
      <c r="G604" s="10" t="s">
        <v>9419</v>
      </c>
      <c r="H604" s="10" t="s">
        <v>911</v>
      </c>
      <c r="I604" s="10" t="s">
        <v>55</v>
      </c>
      <c r="K604" s="10" t="s">
        <v>9624</v>
      </c>
      <c r="L604" s="10" t="s">
        <v>42</v>
      </c>
    </row>
    <row r="605" ht="15.75" customHeight="1">
      <c r="A605" s="64">
        <v>45491.0</v>
      </c>
      <c r="B605" s="55" t="str">
        <f>HYPERLINK("https://jobright.ai/jobs/info/669d1714cc2913c69c0f3b77?utm_campaign=1052&amp;utm_source=sheet", "Apply")</f>
        <v>Apply</v>
      </c>
      <c r="C605" s="10" t="s">
        <v>10363</v>
      </c>
      <c r="D605" s="56" t="s">
        <v>10364</v>
      </c>
      <c r="E605" s="10" t="s">
        <v>209</v>
      </c>
      <c r="F605" s="10" t="s">
        <v>7622</v>
      </c>
      <c r="G605" s="10" t="s">
        <v>1159</v>
      </c>
      <c r="H605" s="10" t="s">
        <v>106</v>
      </c>
      <c r="I605" s="10" t="s">
        <v>55</v>
      </c>
      <c r="K605" s="10" t="s">
        <v>10365</v>
      </c>
      <c r="L605" s="10" t="s">
        <v>42</v>
      </c>
    </row>
    <row r="606" ht="15.75" customHeight="1">
      <c r="A606" s="64">
        <v>45491.0</v>
      </c>
      <c r="B606" s="55" t="str">
        <f>HYPERLINK("https://jobright.ai/jobs/info/66a2547dc0e679b90829bf61?utm_campaign=1052&amp;utm_source=sheet", "Apply")</f>
        <v>Apply</v>
      </c>
      <c r="C606" s="10" t="s">
        <v>10366</v>
      </c>
      <c r="D606" s="56" t="s">
        <v>533</v>
      </c>
      <c r="E606" s="10" t="s">
        <v>209</v>
      </c>
      <c r="F606" s="10" t="s">
        <v>534</v>
      </c>
      <c r="G606" s="10" t="s">
        <v>9419</v>
      </c>
      <c r="H606" s="10" t="s">
        <v>610</v>
      </c>
      <c r="I606" s="10" t="s">
        <v>55</v>
      </c>
      <c r="J606" s="10" t="s">
        <v>535</v>
      </c>
      <c r="K606" s="10" t="s">
        <v>9621</v>
      </c>
      <c r="L606" s="10" t="s">
        <v>42</v>
      </c>
    </row>
    <row r="607" ht="15.75" customHeight="1">
      <c r="A607" s="64">
        <v>45491.0</v>
      </c>
      <c r="B607" s="55" t="str">
        <f>HYPERLINK("https://jobright.ai/jobs/info/66a25498c0e679b90829c13e?utm_campaign=1052&amp;utm_source=sheet", "Apply")</f>
        <v>Apply</v>
      </c>
      <c r="C607" s="10" t="s">
        <v>10367</v>
      </c>
      <c r="D607" s="56" t="s">
        <v>9591</v>
      </c>
      <c r="E607" s="10" t="s">
        <v>209</v>
      </c>
      <c r="F607" s="10" t="s">
        <v>534</v>
      </c>
      <c r="G607" s="10" t="s">
        <v>9419</v>
      </c>
      <c r="H607" s="10" t="s">
        <v>139</v>
      </c>
      <c r="I607" s="10" t="s">
        <v>55</v>
      </c>
      <c r="K607" s="10" t="s">
        <v>9592</v>
      </c>
      <c r="L607" s="10" t="s">
        <v>42</v>
      </c>
    </row>
    <row r="608" ht="15.75" customHeight="1">
      <c r="A608" s="64">
        <v>45491.0</v>
      </c>
      <c r="B608" s="55" t="str">
        <f>HYPERLINK("https://jobright.ai/jobs/info/66a250f3a8221cc7b873edc3?utm_campaign=1052&amp;utm_source=sheet", "Apply")</f>
        <v>Apply</v>
      </c>
      <c r="C608" s="10" t="s">
        <v>10368</v>
      </c>
      <c r="D608" s="56" t="s">
        <v>10369</v>
      </c>
      <c r="E608" s="10" t="s">
        <v>249</v>
      </c>
      <c r="F608" s="10" t="s">
        <v>10370</v>
      </c>
      <c r="G608" s="10" t="s">
        <v>9414</v>
      </c>
      <c r="H608" s="10" t="s">
        <v>974</v>
      </c>
      <c r="I608" s="10" t="s">
        <v>55</v>
      </c>
      <c r="J608" s="64"/>
      <c r="K608" s="10" t="s">
        <v>10371</v>
      </c>
      <c r="L608" s="10" t="s">
        <v>42</v>
      </c>
    </row>
    <row r="609" ht="15.75" customHeight="1">
      <c r="A609" s="64">
        <v>45491.0</v>
      </c>
      <c r="B609" s="55" t="str">
        <f>HYPERLINK("https://jobright.ai/jobs/info/66991768f315a5bad7225ec4?utm_campaign=1052&amp;utm_source=sheet", "Apply")</f>
        <v>Apply</v>
      </c>
      <c r="C609" s="10" t="s">
        <v>10372</v>
      </c>
      <c r="D609" s="56" t="s">
        <v>9893</v>
      </c>
      <c r="E609" s="10" t="s">
        <v>65</v>
      </c>
      <c r="F609" s="10" t="s">
        <v>259</v>
      </c>
      <c r="G609" s="10" t="s">
        <v>9414</v>
      </c>
      <c r="H609" s="10" t="s">
        <v>9894</v>
      </c>
      <c r="I609" s="10" t="s">
        <v>48</v>
      </c>
      <c r="K609" s="10" t="s">
        <v>10373</v>
      </c>
      <c r="L609" s="10" t="s">
        <v>42</v>
      </c>
    </row>
    <row r="610" ht="15.75" customHeight="1">
      <c r="A610" s="64">
        <v>45491.0</v>
      </c>
      <c r="B610" s="55" t="str">
        <f>HYPERLINK("https://jobright.ai/jobs/info/66a24afb9a00a2533986dd6b?utm_campaign=1052&amp;utm_source=sheet", "Apply")</f>
        <v>Apply</v>
      </c>
      <c r="C610" s="10" t="s">
        <v>10374</v>
      </c>
      <c r="D610" s="56" t="s">
        <v>10375</v>
      </c>
      <c r="E610" s="10" t="s">
        <v>209</v>
      </c>
      <c r="F610" s="10" t="s">
        <v>5826</v>
      </c>
      <c r="G610" s="10" t="s">
        <v>9414</v>
      </c>
      <c r="H610" s="10" t="s">
        <v>2380</v>
      </c>
      <c r="I610" s="10" t="s">
        <v>48</v>
      </c>
      <c r="J610" s="64"/>
      <c r="K610" s="10" t="s">
        <v>10376</v>
      </c>
      <c r="L610" s="10" t="s">
        <v>42</v>
      </c>
    </row>
    <row r="611" ht="15.75" customHeight="1">
      <c r="A611" s="64">
        <v>45491.0</v>
      </c>
      <c r="B611" s="55" t="str">
        <f>HYPERLINK("https://jobright.ai/jobs/info/66a24afb9a00a2533986dd83?utm_campaign=1052&amp;utm_source=sheet", "Apply")</f>
        <v>Apply</v>
      </c>
      <c r="C611" s="10" t="s">
        <v>10377</v>
      </c>
      <c r="D611" s="56" t="s">
        <v>533</v>
      </c>
      <c r="E611" s="10" t="s">
        <v>209</v>
      </c>
      <c r="F611" s="10" t="s">
        <v>534</v>
      </c>
      <c r="G611" s="10" t="s">
        <v>9419</v>
      </c>
      <c r="H611" s="10" t="s">
        <v>1168</v>
      </c>
      <c r="I611" s="10" t="s">
        <v>55</v>
      </c>
      <c r="J611" s="10" t="s">
        <v>10347</v>
      </c>
      <c r="K611" s="10" t="s">
        <v>10378</v>
      </c>
      <c r="L611" s="10" t="s">
        <v>42</v>
      </c>
    </row>
    <row r="612" ht="15.75" customHeight="1">
      <c r="A612" s="64">
        <v>45491.0</v>
      </c>
      <c r="B612" s="55" t="str">
        <f>HYPERLINK("https://jobright.ai/jobs/info/66a24257e1424323d8452f3e?utm_campaign=1052&amp;utm_source=sheet", "Apply")</f>
        <v>Apply</v>
      </c>
      <c r="C612" s="10" t="s">
        <v>10379</v>
      </c>
      <c r="D612" s="56" t="s">
        <v>533</v>
      </c>
      <c r="E612" s="10" t="s">
        <v>209</v>
      </c>
      <c r="F612" s="10" t="s">
        <v>534</v>
      </c>
      <c r="G612" s="10" t="s">
        <v>9419</v>
      </c>
      <c r="H612" s="10" t="s">
        <v>165</v>
      </c>
      <c r="I612" s="10" t="s">
        <v>55</v>
      </c>
      <c r="J612" s="10" t="s">
        <v>10347</v>
      </c>
      <c r="K612" s="10" t="s">
        <v>10362</v>
      </c>
      <c r="L612" s="10" t="s">
        <v>42</v>
      </c>
    </row>
    <row r="613" ht="15.75" customHeight="1">
      <c r="A613" s="64">
        <v>45491.0</v>
      </c>
      <c r="B613" s="55" t="str">
        <f>HYPERLINK("https://jobright.ai/jobs/info/66a23e01591ddbc27da15c76?utm_campaign=1052&amp;utm_source=sheet", "Apply")</f>
        <v>Apply</v>
      </c>
      <c r="C613" s="10" t="s">
        <v>10380</v>
      </c>
      <c r="D613" s="56" t="s">
        <v>533</v>
      </c>
      <c r="E613" s="10" t="s">
        <v>209</v>
      </c>
      <c r="F613" s="10" t="s">
        <v>534</v>
      </c>
      <c r="G613" s="10" t="s">
        <v>9419</v>
      </c>
      <c r="H613" s="10" t="s">
        <v>165</v>
      </c>
      <c r="I613" s="10" t="s">
        <v>55</v>
      </c>
      <c r="J613" s="10" t="s">
        <v>10347</v>
      </c>
      <c r="K613" s="10" t="s">
        <v>10378</v>
      </c>
      <c r="L613" s="10" t="s">
        <v>42</v>
      </c>
    </row>
    <row r="614" ht="15.75" customHeight="1">
      <c r="A614" s="64">
        <v>45491.0</v>
      </c>
      <c r="B614" s="55" t="str">
        <f>HYPERLINK("https://jobright.ai/jobs/info/66a23e01591ddbc27da15c74?utm_campaign=1052&amp;utm_source=sheet", "Apply")</f>
        <v>Apply</v>
      </c>
      <c r="C614" s="10" t="s">
        <v>10381</v>
      </c>
      <c r="D614" s="56" t="s">
        <v>533</v>
      </c>
      <c r="E614" s="10" t="s">
        <v>209</v>
      </c>
      <c r="F614" s="10" t="s">
        <v>534</v>
      </c>
      <c r="G614" s="10" t="s">
        <v>9419</v>
      </c>
      <c r="H614" s="10" t="s">
        <v>165</v>
      </c>
      <c r="I614" s="10" t="s">
        <v>55</v>
      </c>
      <c r="J614" s="10" t="s">
        <v>10347</v>
      </c>
      <c r="K614" s="10" t="s">
        <v>10382</v>
      </c>
      <c r="L614" s="10" t="s">
        <v>42</v>
      </c>
    </row>
    <row r="615" ht="15.75" customHeight="1">
      <c r="A615" s="64">
        <v>45491.0</v>
      </c>
      <c r="B615" s="55" t="str">
        <f>HYPERLINK("https://jobright.ai/jobs/info/66a22b76b9be84aae15d9afa?utm_campaign=1052&amp;utm_source=sheet", "Apply")</f>
        <v>Apply</v>
      </c>
      <c r="C615" s="10" t="s">
        <v>10383</v>
      </c>
      <c r="D615" s="56" t="s">
        <v>10384</v>
      </c>
      <c r="E615" s="10" t="s">
        <v>65</v>
      </c>
      <c r="F615" s="10" t="s">
        <v>10385</v>
      </c>
      <c r="G615" s="10" t="s">
        <v>1159</v>
      </c>
      <c r="H615" s="10" t="s">
        <v>96</v>
      </c>
      <c r="I615" s="10" t="s">
        <v>55</v>
      </c>
      <c r="J615" s="10" t="s">
        <v>509</v>
      </c>
      <c r="K615" s="10" t="s">
        <v>10386</v>
      </c>
      <c r="L615" s="10" t="s">
        <v>42</v>
      </c>
    </row>
    <row r="616" ht="15.75" customHeight="1">
      <c r="A616" s="64">
        <v>45491.0</v>
      </c>
      <c r="B616" s="55" t="str">
        <f>HYPERLINK("https://jobright.ai/jobs/info/669ce6b418954c9f46ca6987?utm_campaign=1052&amp;utm_source=sheet", "Apply")</f>
        <v>Apply</v>
      </c>
      <c r="C616" s="10" t="s">
        <v>4415</v>
      </c>
      <c r="D616" s="56" t="s">
        <v>180</v>
      </c>
      <c r="E616" s="10">
        <v>3092.0</v>
      </c>
      <c r="G616" s="10" t="s">
        <v>9414</v>
      </c>
      <c r="H616" s="10" t="s">
        <v>181</v>
      </c>
      <c r="I616" s="10" t="s">
        <v>55</v>
      </c>
      <c r="K616" s="10" t="s">
        <v>10387</v>
      </c>
      <c r="L616" s="10" t="s">
        <v>42</v>
      </c>
    </row>
    <row r="617" ht="15.75" customHeight="1">
      <c r="A617" s="64">
        <v>45491.0</v>
      </c>
      <c r="B617" s="55" t="str">
        <f>HYPERLINK("https://jobright.ai/jobs/info/6676d5261d12b082593833ce?utm_campaign=1052&amp;utm_source=sheet", "Apply")</f>
        <v>Apply</v>
      </c>
      <c r="C617" s="10" t="s">
        <v>10388</v>
      </c>
      <c r="D617" s="56" t="s">
        <v>10389</v>
      </c>
      <c r="E617" s="10" t="s">
        <v>79</v>
      </c>
      <c r="F617" s="10" t="s">
        <v>3382</v>
      </c>
      <c r="G617" s="10" t="s">
        <v>1159</v>
      </c>
      <c r="H617" s="10" t="s">
        <v>1709</v>
      </c>
      <c r="I617" s="10" t="s">
        <v>55</v>
      </c>
      <c r="K617" s="10" t="s">
        <v>10390</v>
      </c>
      <c r="L617" s="10" t="s">
        <v>42</v>
      </c>
    </row>
    <row r="618" ht="15.75" customHeight="1">
      <c r="A618" s="64">
        <v>45491.0</v>
      </c>
      <c r="B618" s="55" t="str">
        <f>HYPERLINK("https://jobright.ai/jobs/info/666d82057e11897ce36077b2?utm_campaign=1052&amp;utm_source=sheet", "Apply")</f>
        <v>Apply</v>
      </c>
      <c r="C618" s="10" t="s">
        <v>10391</v>
      </c>
      <c r="D618" s="56" t="s">
        <v>9623</v>
      </c>
      <c r="E618" s="10">
        <v>52219.0</v>
      </c>
      <c r="G618" s="10" t="s">
        <v>9419</v>
      </c>
      <c r="H618" s="10" t="s">
        <v>201</v>
      </c>
      <c r="I618" s="10" t="s">
        <v>55</v>
      </c>
      <c r="K618" s="10" t="s">
        <v>10392</v>
      </c>
      <c r="L618" s="10" t="s">
        <v>42</v>
      </c>
    </row>
    <row r="619" ht="15.75" customHeight="1">
      <c r="A619" s="64">
        <v>45491.0</v>
      </c>
      <c r="B619" s="55" t="str">
        <f>HYPERLINK("https://jobright.ai/jobs/info/665fe1c1572c99e7fbc9bca2?utm_campaign=1052&amp;utm_source=sheet", "Apply")</f>
        <v>Apply</v>
      </c>
      <c r="C619" s="10" t="s">
        <v>10393</v>
      </c>
      <c r="D619" s="56" t="s">
        <v>9588</v>
      </c>
      <c r="E619" s="10" t="s">
        <v>65</v>
      </c>
      <c r="F619" s="10" t="s">
        <v>722</v>
      </c>
      <c r="G619" s="10" t="s">
        <v>9419</v>
      </c>
      <c r="H619" s="10" t="s">
        <v>3271</v>
      </c>
      <c r="I619" s="10" t="s">
        <v>55</v>
      </c>
      <c r="K619" s="10" t="s">
        <v>10394</v>
      </c>
      <c r="L619" s="10" t="s">
        <v>42</v>
      </c>
    </row>
    <row r="620" ht="15.75" customHeight="1">
      <c r="A620" s="64">
        <v>45491.0</v>
      </c>
      <c r="B620" s="55" t="str">
        <f>HYPERLINK("https://jobright.ai/jobs/info/667c95448b79c077c3ac1b10?utm_campaign=1052&amp;utm_source=sheet", "Apply")</f>
        <v>Apply</v>
      </c>
      <c r="C620" s="10" t="s">
        <v>10395</v>
      </c>
      <c r="D620" s="56" t="s">
        <v>9585</v>
      </c>
      <c r="E620" s="10" t="s">
        <v>65</v>
      </c>
      <c r="F620" s="10" t="s">
        <v>722</v>
      </c>
      <c r="G620" s="10" t="s">
        <v>9419</v>
      </c>
      <c r="H620" s="10" t="s">
        <v>139</v>
      </c>
      <c r="I620" s="10" t="s">
        <v>55</v>
      </c>
      <c r="K620" s="10" t="s">
        <v>9586</v>
      </c>
      <c r="L620" s="10" t="s">
        <v>42</v>
      </c>
    </row>
    <row r="621" ht="15.75" customHeight="1">
      <c r="A621" s="64">
        <v>45491.0</v>
      </c>
      <c r="B621" s="55" t="str">
        <f>HYPERLINK("https://jobright.ai/jobs/info/666d8f2b73579c54c678e71b?utm_campaign=1052&amp;utm_source=sheet", "Apply")</f>
        <v>Apply</v>
      </c>
      <c r="C621" s="10" t="s">
        <v>10396</v>
      </c>
      <c r="D621" s="56" t="s">
        <v>9623</v>
      </c>
      <c r="E621" s="10">
        <v>52219.0</v>
      </c>
      <c r="G621" s="10" t="s">
        <v>9419</v>
      </c>
      <c r="H621" s="10" t="s">
        <v>201</v>
      </c>
      <c r="I621" s="10" t="s">
        <v>55</v>
      </c>
      <c r="K621" s="10" t="s">
        <v>10392</v>
      </c>
      <c r="L621" s="10" t="s">
        <v>42</v>
      </c>
    </row>
    <row r="622" ht="15.75" customHeight="1">
      <c r="A622" s="64">
        <v>45491.0</v>
      </c>
      <c r="B622" s="55" t="str">
        <f>HYPERLINK("https://jobright.ai/jobs/info/667c5acf659765ee8d5ca49a?utm_campaign=1052&amp;utm_source=sheet", "Apply")</f>
        <v>Apply</v>
      </c>
      <c r="C622" s="10" t="s">
        <v>10397</v>
      </c>
      <c r="D622" s="56" t="s">
        <v>9588</v>
      </c>
      <c r="E622" s="10" t="s">
        <v>65</v>
      </c>
      <c r="F622" s="10" t="s">
        <v>722</v>
      </c>
      <c r="G622" s="10" t="s">
        <v>9419</v>
      </c>
      <c r="H622" s="10" t="s">
        <v>3270</v>
      </c>
      <c r="I622" s="10" t="s">
        <v>55</v>
      </c>
      <c r="K622" s="10" t="s">
        <v>10398</v>
      </c>
      <c r="L622" s="10" t="s">
        <v>42</v>
      </c>
    </row>
    <row r="623" ht="15.75" customHeight="1">
      <c r="A623" s="64">
        <v>45491.0</v>
      </c>
      <c r="B623" s="55" t="str">
        <f>HYPERLINK("https://jobright.ai/jobs/info/667c5acf659765ee8d5ca49c?utm_campaign=1052&amp;utm_source=sheet", "Apply")</f>
        <v>Apply</v>
      </c>
      <c r="C623" s="10" t="s">
        <v>10397</v>
      </c>
      <c r="D623" s="56" t="s">
        <v>9588</v>
      </c>
      <c r="E623" s="10" t="s">
        <v>65</v>
      </c>
      <c r="F623" s="10" t="s">
        <v>722</v>
      </c>
      <c r="G623" s="10" t="s">
        <v>9419</v>
      </c>
      <c r="H623" s="10" t="s">
        <v>3309</v>
      </c>
      <c r="I623" s="10" t="s">
        <v>55</v>
      </c>
      <c r="K623" s="10" t="s">
        <v>10398</v>
      </c>
      <c r="L623" s="10" t="s">
        <v>42</v>
      </c>
    </row>
    <row r="624" ht="15.75" customHeight="1">
      <c r="A624" s="64">
        <v>45491.0</v>
      </c>
      <c r="B624" s="55" t="str">
        <f>HYPERLINK("https://jobright.ai/jobs/info/667c9c155bb91f3e5e18b92a?utm_campaign=1052&amp;utm_source=sheet", "Apply")</f>
        <v>Apply</v>
      </c>
      <c r="C624" s="10" t="s">
        <v>10399</v>
      </c>
      <c r="D624" s="56" t="s">
        <v>9585</v>
      </c>
      <c r="E624" s="10" t="s">
        <v>65</v>
      </c>
      <c r="F624" s="10" t="s">
        <v>722</v>
      </c>
      <c r="G624" s="10" t="s">
        <v>9419</v>
      </c>
      <c r="H624" s="10" t="s">
        <v>139</v>
      </c>
      <c r="I624" s="10" t="s">
        <v>55</v>
      </c>
      <c r="K624" s="10" t="s">
        <v>9586</v>
      </c>
      <c r="L624" s="10" t="s">
        <v>42</v>
      </c>
    </row>
    <row r="625" ht="15.75" customHeight="1">
      <c r="A625" s="64">
        <v>45491.0</v>
      </c>
      <c r="B625" s="55" t="str">
        <f>HYPERLINK("https://jobright.ai/jobs/info/667ca00ec08973d614a4698f?utm_campaign=1052&amp;utm_source=sheet", "Apply")</f>
        <v>Apply</v>
      </c>
      <c r="C625" s="10" t="s">
        <v>10400</v>
      </c>
      <c r="D625" s="56" t="s">
        <v>9585</v>
      </c>
      <c r="E625" s="10" t="s">
        <v>65</v>
      </c>
      <c r="F625" s="10" t="s">
        <v>722</v>
      </c>
      <c r="G625" s="10" t="s">
        <v>9419</v>
      </c>
      <c r="H625" s="10" t="s">
        <v>139</v>
      </c>
      <c r="I625" s="10" t="s">
        <v>55</v>
      </c>
      <c r="K625" s="10" t="s">
        <v>9586</v>
      </c>
      <c r="L625" s="10" t="s">
        <v>42</v>
      </c>
    </row>
    <row r="626" ht="15.75" customHeight="1">
      <c r="A626" s="64">
        <v>45491.0</v>
      </c>
      <c r="B626" s="55" t="str">
        <f>HYPERLINK("https://jobright.ai/jobs/info/667c350f4a06ca08f36cbd10?utm_campaign=1052&amp;utm_source=sheet", "Apply")</f>
        <v>Apply</v>
      </c>
      <c r="C626" s="10" t="s">
        <v>9920</v>
      </c>
      <c r="D626" s="56" t="s">
        <v>9921</v>
      </c>
      <c r="E626" s="10" t="s">
        <v>249</v>
      </c>
      <c r="F626" s="10" t="s">
        <v>722</v>
      </c>
      <c r="G626" s="10" t="s">
        <v>9419</v>
      </c>
      <c r="H626" s="10" t="s">
        <v>131</v>
      </c>
      <c r="I626" s="10" t="s">
        <v>55</v>
      </c>
      <c r="K626" s="10" t="s">
        <v>10401</v>
      </c>
      <c r="L626" s="10" t="s">
        <v>42</v>
      </c>
    </row>
    <row r="627" ht="15.75" customHeight="1">
      <c r="A627" s="64">
        <v>45491.0</v>
      </c>
      <c r="B627" s="55" t="str">
        <f>HYPERLINK("https://jobright.ai/jobs/info/665fe12e572c99e7fbc9b1ba?utm_campaign=1052&amp;utm_source=sheet", "Apply")</f>
        <v>Apply</v>
      </c>
      <c r="C627" s="10" t="s">
        <v>10393</v>
      </c>
      <c r="D627" s="56" t="s">
        <v>9588</v>
      </c>
      <c r="E627" s="10" t="s">
        <v>65</v>
      </c>
      <c r="F627" s="10" t="s">
        <v>722</v>
      </c>
      <c r="G627" s="10" t="s">
        <v>9419</v>
      </c>
      <c r="H627" s="10" t="s">
        <v>520</v>
      </c>
      <c r="I627" s="10" t="s">
        <v>55</v>
      </c>
      <c r="K627" s="10" t="s">
        <v>10394</v>
      </c>
      <c r="L627" s="10" t="s">
        <v>42</v>
      </c>
    </row>
    <row r="628" ht="15.75" customHeight="1">
      <c r="A628" s="64">
        <v>45491.0</v>
      </c>
      <c r="B628" s="55" t="str">
        <f>HYPERLINK("https://jobright.ai/jobs/info/6633da7a6dd8adf32b3080a2?utm_campaign=1052&amp;utm_source=sheet", "Apply")</f>
        <v>Apply</v>
      </c>
      <c r="C628" s="10" t="s">
        <v>10402</v>
      </c>
      <c r="D628" s="56" t="s">
        <v>10403</v>
      </c>
      <c r="E628" s="10" t="s">
        <v>65</v>
      </c>
      <c r="F628" s="10" t="s">
        <v>534</v>
      </c>
      <c r="G628" s="10" t="s">
        <v>9419</v>
      </c>
      <c r="H628" s="10" t="s">
        <v>113</v>
      </c>
      <c r="I628" s="10" t="s">
        <v>55</v>
      </c>
      <c r="J628" s="10" t="s">
        <v>10404</v>
      </c>
      <c r="K628" s="10" t="s">
        <v>10405</v>
      </c>
      <c r="L628" s="10" t="s">
        <v>42</v>
      </c>
    </row>
    <row r="629" ht="15.75" customHeight="1">
      <c r="A629" s="64">
        <v>45491.0</v>
      </c>
      <c r="B629" s="55" t="str">
        <f>HYPERLINK("https://jobright.ai/jobs/info/667c5acf659765ee8d5ca49b?utm_campaign=1052&amp;utm_source=sheet", "Apply")</f>
        <v>Apply</v>
      </c>
      <c r="C629" s="10" t="s">
        <v>10397</v>
      </c>
      <c r="D629" s="56" t="s">
        <v>9588</v>
      </c>
      <c r="E629" s="10" t="s">
        <v>65</v>
      </c>
      <c r="F629" s="10" t="s">
        <v>722</v>
      </c>
      <c r="G629" s="10" t="s">
        <v>9419</v>
      </c>
      <c r="H629" s="10" t="s">
        <v>520</v>
      </c>
      <c r="I629" s="10" t="s">
        <v>55</v>
      </c>
      <c r="K629" s="10" t="s">
        <v>10398</v>
      </c>
      <c r="L629" s="10" t="s">
        <v>42</v>
      </c>
    </row>
    <row r="630" ht="15.75" customHeight="1">
      <c r="A630" s="64">
        <v>45491.0</v>
      </c>
      <c r="B630" s="55" t="str">
        <f>HYPERLINK("https://jobright.ai/jobs/info/665fe1c1572c99e7fbc9bca0?utm_campaign=1052&amp;utm_source=sheet", "Apply")</f>
        <v>Apply</v>
      </c>
      <c r="C630" s="10" t="s">
        <v>10393</v>
      </c>
      <c r="D630" s="56" t="s">
        <v>9588</v>
      </c>
      <c r="E630" s="10" t="s">
        <v>65</v>
      </c>
      <c r="F630" s="10" t="s">
        <v>722</v>
      </c>
      <c r="G630" s="10" t="s">
        <v>9419</v>
      </c>
      <c r="H630" s="10" t="s">
        <v>3270</v>
      </c>
      <c r="I630" s="10" t="s">
        <v>55</v>
      </c>
      <c r="K630" s="10" t="s">
        <v>10394</v>
      </c>
      <c r="L630" s="10" t="s">
        <v>42</v>
      </c>
    </row>
    <row r="631" ht="15.75" customHeight="1">
      <c r="A631" s="64">
        <v>45491.0</v>
      </c>
      <c r="B631" s="55" t="str">
        <f>HYPERLINK("https://jobright.ai/jobs/info/66606066a1d544917dc0c2a4?utm_campaign=1052&amp;utm_source=sheet", "Apply")</f>
        <v>Apply</v>
      </c>
      <c r="C631" s="10" t="s">
        <v>9622</v>
      </c>
      <c r="D631" s="56" t="s">
        <v>9623</v>
      </c>
      <c r="E631" s="10">
        <v>52219.0</v>
      </c>
      <c r="G631" s="10" t="s">
        <v>9419</v>
      </c>
      <c r="H631" s="10" t="s">
        <v>974</v>
      </c>
      <c r="I631" s="10" t="s">
        <v>55</v>
      </c>
      <c r="K631" s="10" t="s">
        <v>9624</v>
      </c>
      <c r="L631" s="10" t="s">
        <v>42</v>
      </c>
    </row>
    <row r="632" ht="15.75" customHeight="1">
      <c r="A632" s="64">
        <v>45491.0</v>
      </c>
      <c r="B632" s="55" t="str">
        <f>HYPERLINK("https://jobright.ai/jobs/info/6675a323a05c85bb25afa2e0?utm_campaign=1052&amp;utm_source=sheet", "Apply")</f>
        <v>Apply</v>
      </c>
      <c r="C632" s="10" t="s">
        <v>9622</v>
      </c>
      <c r="D632" s="56" t="s">
        <v>9623</v>
      </c>
      <c r="E632" s="10">
        <v>52219.0</v>
      </c>
      <c r="G632" s="10" t="s">
        <v>9419</v>
      </c>
      <c r="H632" s="10" t="s">
        <v>965</v>
      </c>
      <c r="I632" s="10" t="s">
        <v>55</v>
      </c>
      <c r="K632" s="10" t="s">
        <v>9624</v>
      </c>
      <c r="L632" s="10" t="s">
        <v>42</v>
      </c>
    </row>
    <row r="633" ht="15.75" customHeight="1">
      <c r="A633" s="64">
        <v>45491.0</v>
      </c>
      <c r="B633" s="55" t="str">
        <f>HYPERLINK("https://jobright.ai/jobs/info/665fe1c1572c99e7fbc9bca1?utm_campaign=1052&amp;utm_source=sheet", "Apply")</f>
        <v>Apply</v>
      </c>
      <c r="C633" s="10" t="s">
        <v>10393</v>
      </c>
      <c r="D633" s="56" t="s">
        <v>9588</v>
      </c>
      <c r="E633" s="10" t="s">
        <v>65</v>
      </c>
      <c r="F633" s="10" t="s">
        <v>722</v>
      </c>
      <c r="G633" s="10" t="s">
        <v>9419</v>
      </c>
      <c r="H633" s="10" t="s">
        <v>3309</v>
      </c>
      <c r="I633" s="10" t="s">
        <v>55</v>
      </c>
      <c r="K633" s="10" t="s">
        <v>10394</v>
      </c>
      <c r="L633" s="10" t="s">
        <v>42</v>
      </c>
    </row>
    <row r="634" ht="15.75" customHeight="1">
      <c r="A634" s="64">
        <v>45491.0</v>
      </c>
      <c r="B634" s="55" t="str">
        <f>HYPERLINK("https://jobright.ai/jobs/info/667ca018c08973d614a46a58?utm_campaign=1052&amp;utm_source=sheet", "Apply")</f>
        <v>Apply</v>
      </c>
      <c r="C634" s="10" t="s">
        <v>10406</v>
      </c>
      <c r="D634" s="56" t="s">
        <v>9585</v>
      </c>
      <c r="E634" s="10" t="s">
        <v>65</v>
      </c>
      <c r="F634" s="10" t="s">
        <v>722</v>
      </c>
      <c r="G634" s="10" t="s">
        <v>9419</v>
      </c>
      <c r="H634" s="10" t="s">
        <v>139</v>
      </c>
      <c r="I634" s="10" t="s">
        <v>55</v>
      </c>
      <c r="K634" s="10" t="s">
        <v>9586</v>
      </c>
      <c r="L634" s="10" t="s">
        <v>42</v>
      </c>
    </row>
    <row r="635" ht="15.75" customHeight="1">
      <c r="A635" s="64">
        <v>45491.0</v>
      </c>
      <c r="B635" s="55" t="str">
        <f>HYPERLINK("https://jobright.ai/jobs/info/667c9233672790c3c6bdb555?utm_campaign=1052&amp;utm_source=sheet", "Apply")</f>
        <v>Apply</v>
      </c>
      <c r="C635" s="10" t="s">
        <v>9611</v>
      </c>
      <c r="D635" s="56" t="s">
        <v>10407</v>
      </c>
      <c r="E635" s="10" t="s">
        <v>209</v>
      </c>
      <c r="F635" s="10" t="s">
        <v>2274</v>
      </c>
      <c r="G635" s="10" t="s">
        <v>9419</v>
      </c>
      <c r="H635" s="10" t="s">
        <v>7943</v>
      </c>
      <c r="I635" s="10" t="s">
        <v>55</v>
      </c>
      <c r="J635" s="10" t="s">
        <v>1984</v>
      </c>
      <c r="K635" s="10" t="s">
        <v>10408</v>
      </c>
      <c r="L635" s="10" t="s">
        <v>42</v>
      </c>
    </row>
    <row r="636" ht="15.75" customHeight="1">
      <c r="A636" s="64">
        <v>45491.0</v>
      </c>
      <c r="B636" s="55" t="str">
        <f>HYPERLINK("https://jobright.ai/jobs/info/667c5aa1659765ee8d5ca068?utm_campaign=1052&amp;utm_source=sheet", "Apply")</f>
        <v>Apply</v>
      </c>
      <c r="C636" s="10" t="s">
        <v>10397</v>
      </c>
      <c r="D636" s="56" t="s">
        <v>9588</v>
      </c>
      <c r="E636" s="10" t="s">
        <v>65</v>
      </c>
      <c r="F636" s="10" t="s">
        <v>722</v>
      </c>
      <c r="G636" s="10" t="s">
        <v>9419</v>
      </c>
      <c r="H636" s="10" t="s">
        <v>3271</v>
      </c>
      <c r="I636" s="10" t="s">
        <v>55</v>
      </c>
      <c r="K636" s="10" t="s">
        <v>10398</v>
      </c>
      <c r="L636" s="10" t="s">
        <v>42</v>
      </c>
    </row>
    <row r="637" ht="15.75" customHeight="1">
      <c r="A637" s="64">
        <v>45491.0</v>
      </c>
      <c r="B637" s="55" t="str">
        <f>HYPERLINK("https://jobright.ai/jobs/info/667c95448b79c077c3ac1b5b?utm_campaign=1052&amp;utm_source=sheet", "Apply")</f>
        <v>Apply</v>
      </c>
      <c r="C637" s="10" t="s">
        <v>10409</v>
      </c>
      <c r="D637" s="56" t="s">
        <v>9585</v>
      </c>
      <c r="E637" s="10" t="s">
        <v>65</v>
      </c>
      <c r="F637" s="10" t="s">
        <v>722</v>
      </c>
      <c r="G637" s="10" t="s">
        <v>9419</v>
      </c>
      <c r="H637" s="10" t="s">
        <v>139</v>
      </c>
      <c r="I637" s="10" t="s">
        <v>55</v>
      </c>
      <c r="K637" s="10" t="s">
        <v>9586</v>
      </c>
      <c r="L637" s="10" t="s">
        <v>42</v>
      </c>
    </row>
    <row r="638" ht="15.75" customHeight="1">
      <c r="A638" s="64">
        <v>45491.0</v>
      </c>
      <c r="B638" s="55" t="str">
        <f>HYPERLINK("https://jobright.ai/jobs/info/66959b8fa70b2fb207aed7cb?utm_campaign=1052&amp;utm_source=sheet", "Apply")</f>
        <v>Apply</v>
      </c>
      <c r="C638" s="10" t="s">
        <v>9436</v>
      </c>
      <c r="D638" s="56" t="s">
        <v>1650</v>
      </c>
      <c r="E638" s="10" t="s">
        <v>209</v>
      </c>
      <c r="F638" s="10" t="s">
        <v>1243</v>
      </c>
      <c r="G638" s="10" t="s">
        <v>9414</v>
      </c>
      <c r="H638" s="10" t="s">
        <v>96</v>
      </c>
      <c r="I638" s="10" t="s">
        <v>48</v>
      </c>
      <c r="K638" s="10" t="s">
        <v>10410</v>
      </c>
      <c r="L638" s="10" t="s">
        <v>42</v>
      </c>
    </row>
    <row r="639" ht="15.75" customHeight="1">
      <c r="A639" s="64">
        <v>45491.0</v>
      </c>
      <c r="B639" s="55" t="str">
        <f>HYPERLINK("https://jobright.ai/jobs/info/6633da7a6dd8adf32b30809e?utm_campaign=1052&amp;utm_source=sheet", "Apply")</f>
        <v>Apply</v>
      </c>
      <c r="C639" s="10" t="s">
        <v>10402</v>
      </c>
      <c r="D639" s="56" t="s">
        <v>10403</v>
      </c>
      <c r="E639" s="10" t="s">
        <v>65</v>
      </c>
      <c r="F639" s="10" t="s">
        <v>534</v>
      </c>
      <c r="G639" s="10" t="s">
        <v>9419</v>
      </c>
      <c r="H639" s="10" t="s">
        <v>1013</v>
      </c>
      <c r="I639" s="10" t="s">
        <v>48</v>
      </c>
      <c r="J639" s="10" t="s">
        <v>10404</v>
      </c>
      <c r="K639" s="10" t="s">
        <v>10405</v>
      </c>
      <c r="L639" s="10" t="s">
        <v>42</v>
      </c>
    </row>
    <row r="640" ht="15.75" customHeight="1">
      <c r="A640" s="64">
        <v>45491.0</v>
      </c>
      <c r="B640" s="55" t="str">
        <f>HYPERLINK("https://jobright.ai/jobs/info/666d820f7e11897ce360785f?utm_campaign=1052&amp;utm_source=sheet", "Apply")</f>
        <v>Apply</v>
      </c>
      <c r="C640" s="10" t="s">
        <v>9622</v>
      </c>
      <c r="D640" s="56" t="s">
        <v>9623</v>
      </c>
      <c r="E640" s="10">
        <v>52219.0</v>
      </c>
      <c r="G640" s="10" t="s">
        <v>9419</v>
      </c>
      <c r="H640" s="10" t="s">
        <v>636</v>
      </c>
      <c r="I640" s="10" t="s">
        <v>55</v>
      </c>
      <c r="K640" s="10" t="s">
        <v>9624</v>
      </c>
      <c r="L640" s="10" t="s">
        <v>42</v>
      </c>
    </row>
    <row r="641" ht="15.75" customHeight="1">
      <c r="A641" s="64">
        <v>45491.0</v>
      </c>
      <c r="B641" s="55" t="str">
        <f>HYPERLINK("https://jobright.ai/jobs/info/667c9c155bb91f3e5e18b90d?utm_campaign=1052&amp;utm_source=sheet", "Apply")</f>
        <v>Apply</v>
      </c>
      <c r="C641" s="10" t="s">
        <v>10411</v>
      </c>
      <c r="D641" s="56" t="s">
        <v>9585</v>
      </c>
      <c r="E641" s="10" t="s">
        <v>65</v>
      </c>
      <c r="F641" s="10" t="s">
        <v>722</v>
      </c>
      <c r="G641" s="10" t="s">
        <v>9419</v>
      </c>
      <c r="H641" s="10" t="s">
        <v>139</v>
      </c>
      <c r="I641" s="10" t="s">
        <v>55</v>
      </c>
      <c r="K641" s="10" t="s">
        <v>9586</v>
      </c>
      <c r="L641" s="10" t="s">
        <v>42</v>
      </c>
    </row>
    <row r="642" ht="15.75" customHeight="1">
      <c r="A642" s="64">
        <v>45491.0</v>
      </c>
      <c r="B642" s="55" t="str">
        <f>HYPERLINK("https://jobright.ai/jobs/info/667c83cf72fe6297b8f5e2f0?utm_campaign=1052&amp;utm_source=sheet", "Apply")</f>
        <v>Apply</v>
      </c>
      <c r="C642" s="10" t="s">
        <v>9611</v>
      </c>
      <c r="D642" s="56" t="s">
        <v>8666</v>
      </c>
      <c r="E642" s="10" t="s">
        <v>45</v>
      </c>
      <c r="F642" s="10" t="s">
        <v>8667</v>
      </c>
      <c r="G642" s="10" t="s">
        <v>9419</v>
      </c>
      <c r="H642" s="10" t="s">
        <v>1254</v>
      </c>
      <c r="I642" s="10" t="s">
        <v>55</v>
      </c>
      <c r="J642" s="10" t="s">
        <v>366</v>
      </c>
      <c r="K642" s="10" t="s">
        <v>10412</v>
      </c>
      <c r="L642" s="10" t="s">
        <v>42</v>
      </c>
    </row>
    <row r="643" ht="15.75" customHeight="1">
      <c r="A643" s="64">
        <v>45491.0</v>
      </c>
      <c r="B643" s="55" t="str">
        <f>HYPERLINK("https://jobright.ai/jobs/info/6633d12f45f310233ca3f8b9?utm_campaign=1052&amp;utm_source=sheet", "Apply")</f>
        <v>Apply</v>
      </c>
      <c r="C643" s="10" t="s">
        <v>10402</v>
      </c>
      <c r="D643" s="56" t="s">
        <v>10403</v>
      </c>
      <c r="E643" s="10" t="s">
        <v>65</v>
      </c>
      <c r="F643" s="10" t="s">
        <v>534</v>
      </c>
      <c r="G643" s="10" t="s">
        <v>9419</v>
      </c>
      <c r="H643" s="10" t="s">
        <v>1044</v>
      </c>
      <c r="I643" s="10" t="s">
        <v>48</v>
      </c>
      <c r="J643" s="10" t="s">
        <v>10404</v>
      </c>
      <c r="K643" s="10" t="s">
        <v>10405</v>
      </c>
      <c r="L643" s="10" t="s">
        <v>42</v>
      </c>
    </row>
    <row r="644" ht="15.75" customHeight="1">
      <c r="A644" s="64">
        <v>45491.0</v>
      </c>
      <c r="B644" s="55" t="str">
        <f>HYPERLINK("https://jobright.ai/jobs/info/6633d12f45f310233ca3f8b7?utm_campaign=1052&amp;utm_source=sheet", "Apply")</f>
        <v>Apply</v>
      </c>
      <c r="C644" s="10" t="s">
        <v>10402</v>
      </c>
      <c r="D644" s="56" t="s">
        <v>10403</v>
      </c>
      <c r="E644" s="10" t="s">
        <v>65</v>
      </c>
      <c r="F644" s="10" t="s">
        <v>534</v>
      </c>
      <c r="G644" s="10" t="s">
        <v>9419</v>
      </c>
      <c r="H644" s="10" t="s">
        <v>989</v>
      </c>
      <c r="I644" s="10" t="s">
        <v>55</v>
      </c>
      <c r="J644" s="10" t="s">
        <v>10404</v>
      </c>
      <c r="K644" s="10" t="s">
        <v>10405</v>
      </c>
      <c r="L644" s="10" t="s">
        <v>42</v>
      </c>
    </row>
    <row r="645" ht="15.75" customHeight="1">
      <c r="A645" s="64">
        <v>45491.0</v>
      </c>
      <c r="B645" s="55" t="str">
        <f>HYPERLINK("https://jobright.ai/jobs/info/6633da7a6dd8adf32b30809f?utm_campaign=1052&amp;utm_source=sheet", "Apply")</f>
        <v>Apply</v>
      </c>
      <c r="C645" s="10" t="s">
        <v>10402</v>
      </c>
      <c r="D645" s="56" t="s">
        <v>10403</v>
      </c>
      <c r="E645" s="10" t="s">
        <v>65</v>
      </c>
      <c r="F645" s="10" t="s">
        <v>534</v>
      </c>
      <c r="G645" s="10" t="s">
        <v>9419</v>
      </c>
      <c r="H645" s="10" t="s">
        <v>245</v>
      </c>
      <c r="I645" s="10" t="s">
        <v>55</v>
      </c>
      <c r="J645" s="10" t="s">
        <v>10404</v>
      </c>
      <c r="K645" s="10" t="s">
        <v>10405</v>
      </c>
      <c r="L645" s="10" t="s">
        <v>42</v>
      </c>
    </row>
    <row r="646" ht="15.75" customHeight="1">
      <c r="A646" s="64">
        <v>45491.0</v>
      </c>
      <c r="B646" s="55" t="str">
        <f>HYPERLINK("https://jobright.ai/jobs/info/6634017e99861187de863a33?utm_campaign=1052&amp;utm_source=sheet", "Apply")</f>
        <v>Apply</v>
      </c>
      <c r="C646" s="10" t="s">
        <v>10402</v>
      </c>
      <c r="D646" s="56" t="s">
        <v>10403</v>
      </c>
      <c r="E646" s="10" t="s">
        <v>65</v>
      </c>
      <c r="F646" s="10" t="s">
        <v>534</v>
      </c>
      <c r="G646" s="10" t="s">
        <v>9419</v>
      </c>
      <c r="H646" s="10" t="s">
        <v>170</v>
      </c>
      <c r="I646" s="10" t="s">
        <v>48</v>
      </c>
      <c r="J646" s="10" t="s">
        <v>10404</v>
      </c>
      <c r="K646" s="10" t="s">
        <v>10405</v>
      </c>
      <c r="L646" s="10" t="s">
        <v>42</v>
      </c>
    </row>
    <row r="647" ht="15.75" customHeight="1">
      <c r="A647" s="64">
        <v>45491.0</v>
      </c>
      <c r="B647" s="55" t="str">
        <f>HYPERLINK("https://jobright.ai/jobs/info/66991cc3cf3e3e1ced3d812c?utm_campaign=1052&amp;utm_source=sheet", "Apply")</f>
        <v>Apply</v>
      </c>
      <c r="C647" s="10" t="s">
        <v>10413</v>
      </c>
      <c r="D647" s="56" t="s">
        <v>10414</v>
      </c>
      <c r="E647" s="10" t="s">
        <v>65</v>
      </c>
      <c r="F647" s="10" t="s">
        <v>1601</v>
      </c>
      <c r="G647" s="10" t="s">
        <v>9414</v>
      </c>
      <c r="H647" s="10" t="s">
        <v>10415</v>
      </c>
      <c r="I647" s="10" t="s">
        <v>55</v>
      </c>
      <c r="J647" s="10" t="s">
        <v>10416</v>
      </c>
      <c r="K647" s="10" t="s">
        <v>10417</v>
      </c>
      <c r="L647" s="10" t="s">
        <v>42</v>
      </c>
    </row>
    <row r="648" ht="15.75" customHeight="1">
      <c r="A648" s="64">
        <v>45491.0</v>
      </c>
      <c r="B648" s="55" t="str">
        <f>HYPERLINK("https://jobright.ai/jobs/info/6699c62476390e6740f75d28?utm_campaign=1052&amp;utm_source=sheet", "Apply")</f>
        <v>Apply</v>
      </c>
      <c r="C648" s="10" t="s">
        <v>9517</v>
      </c>
      <c r="D648" s="56" t="s">
        <v>7304</v>
      </c>
      <c r="E648" s="10" t="s">
        <v>276</v>
      </c>
      <c r="F648" s="10" t="s">
        <v>10</v>
      </c>
      <c r="G648" s="10" t="s">
        <v>1159</v>
      </c>
      <c r="H648" s="10" t="s">
        <v>7569</v>
      </c>
      <c r="I648" s="10" t="s">
        <v>55</v>
      </c>
      <c r="K648" s="10" t="s">
        <v>10418</v>
      </c>
      <c r="L648" s="10" t="s">
        <v>42</v>
      </c>
    </row>
    <row r="649" ht="15.75" customHeight="1">
      <c r="A649" s="64">
        <v>45491.0</v>
      </c>
      <c r="B649" s="55" t="str">
        <f>HYPERLINK("https://jobright.ai/jobs/info/6699224010e3fec36b685b33?utm_campaign=1052&amp;utm_source=sheet", "Apply")</f>
        <v>Apply</v>
      </c>
      <c r="C649" s="10" t="s">
        <v>10419</v>
      </c>
      <c r="D649" s="56" t="s">
        <v>10420</v>
      </c>
      <c r="E649" s="10" t="s">
        <v>45</v>
      </c>
      <c r="F649" s="10" t="s">
        <v>10421</v>
      </c>
      <c r="G649" s="10" t="s">
        <v>9414</v>
      </c>
      <c r="H649" s="10" t="s">
        <v>10422</v>
      </c>
      <c r="I649" s="10" t="s">
        <v>55</v>
      </c>
      <c r="K649" s="10" t="s">
        <v>10423</v>
      </c>
      <c r="L649" s="10" t="s">
        <v>42</v>
      </c>
    </row>
    <row r="650" ht="15.75" customHeight="1">
      <c r="A650" s="64">
        <v>45491.0</v>
      </c>
      <c r="B650" s="55" t="str">
        <f>HYPERLINK("https://jobright.ai/jobs/info/6699b4c9f7f1b4d0d0d928c0?utm_campaign=1052&amp;utm_source=sheet", "Apply")</f>
        <v>Apply</v>
      </c>
      <c r="C650" s="10" t="s">
        <v>10327</v>
      </c>
      <c r="D650" s="56" t="s">
        <v>563</v>
      </c>
      <c r="E650" s="10" t="s">
        <v>249</v>
      </c>
      <c r="F650" s="10" t="s">
        <v>564</v>
      </c>
      <c r="G650" s="10" t="s">
        <v>9414</v>
      </c>
      <c r="H650" s="10" t="s">
        <v>10424</v>
      </c>
      <c r="I650" s="10" t="s">
        <v>55</v>
      </c>
      <c r="J650" s="10" t="s">
        <v>10158</v>
      </c>
      <c r="K650" s="10" t="s">
        <v>10328</v>
      </c>
      <c r="L650" s="10" t="s">
        <v>42</v>
      </c>
    </row>
    <row r="651" ht="15.75" customHeight="1">
      <c r="A651" s="64">
        <v>45491.0</v>
      </c>
      <c r="B651" s="55" t="str">
        <f>HYPERLINK("https://jobright.ai/jobs/info/6699164b79ad6e02b0e2ec3d?utm_campaign=1052&amp;utm_source=sheet", "Apply")</f>
        <v>Apply</v>
      </c>
      <c r="C651" s="10" t="s">
        <v>10331</v>
      </c>
      <c r="D651" s="56" t="s">
        <v>9671</v>
      </c>
      <c r="E651" s="10" t="s">
        <v>45</v>
      </c>
      <c r="F651" s="10" t="s">
        <v>1084</v>
      </c>
      <c r="G651" s="10" t="s">
        <v>9414</v>
      </c>
      <c r="H651" s="10" t="s">
        <v>10425</v>
      </c>
      <c r="I651" s="10" t="s">
        <v>55</v>
      </c>
      <c r="J651" s="10" t="s">
        <v>10426</v>
      </c>
      <c r="K651" s="10" t="s">
        <v>10333</v>
      </c>
      <c r="L651" s="10" t="s">
        <v>42</v>
      </c>
    </row>
    <row r="652" ht="15.75" customHeight="1">
      <c r="A652" s="64">
        <v>45491.0</v>
      </c>
      <c r="B652" s="55" t="str">
        <f>HYPERLINK("https://jobright.ai/jobs/info/66996660e435bf438480769d?utm_campaign=1052&amp;utm_source=sheet", "Apply")</f>
        <v>Apply</v>
      </c>
      <c r="C652" s="10" t="s">
        <v>9436</v>
      </c>
      <c r="D652" s="56" t="s">
        <v>3402</v>
      </c>
      <c r="E652" s="10" t="s">
        <v>45</v>
      </c>
      <c r="F652" s="10" t="s">
        <v>3403</v>
      </c>
      <c r="G652" s="10" t="s">
        <v>9414</v>
      </c>
      <c r="H652" s="10" t="s">
        <v>10427</v>
      </c>
      <c r="I652" s="10" t="s">
        <v>55</v>
      </c>
      <c r="K652" s="10" t="s">
        <v>10428</v>
      </c>
      <c r="L652" s="10" t="s">
        <v>42</v>
      </c>
    </row>
    <row r="653" ht="15.75" customHeight="1">
      <c r="A653" s="64">
        <v>45490.0</v>
      </c>
      <c r="B653" s="55" t="str">
        <f>HYPERLINK("https://jobright.ai/jobs/info/66985baebcc7083fede2a7a5?utm_campaign=1052&amp;utm_source=sheet", "Apply")</f>
        <v>Apply</v>
      </c>
      <c r="C653" s="10" t="s">
        <v>10429</v>
      </c>
      <c r="D653" s="56" t="s">
        <v>9878</v>
      </c>
      <c r="E653" s="10" t="s">
        <v>79</v>
      </c>
      <c r="F653" s="10" t="s">
        <v>9879</v>
      </c>
      <c r="G653" s="10" t="s">
        <v>9419</v>
      </c>
      <c r="H653" s="10" t="s">
        <v>10430</v>
      </c>
      <c r="I653" s="10" t="s">
        <v>55</v>
      </c>
      <c r="K653" s="10" t="s">
        <v>9880</v>
      </c>
      <c r="L653" s="10" t="s">
        <v>42</v>
      </c>
    </row>
    <row r="654" ht="15.75" customHeight="1">
      <c r="A654" s="64">
        <v>45490.0</v>
      </c>
      <c r="B654" s="55" t="str">
        <f>HYPERLINK("https://jobright.ai/jobs/info/66986a27612f94d945991226?utm_campaign=1052&amp;utm_source=sheet", "Apply")</f>
        <v>Apply</v>
      </c>
      <c r="C654" s="10" t="s">
        <v>10429</v>
      </c>
      <c r="D654" s="56" t="s">
        <v>9878</v>
      </c>
      <c r="E654" s="10" t="s">
        <v>79</v>
      </c>
      <c r="F654" s="10" t="s">
        <v>9879</v>
      </c>
      <c r="G654" s="10" t="s">
        <v>9419</v>
      </c>
      <c r="H654" s="10" t="s">
        <v>962</v>
      </c>
      <c r="I654" s="10" t="s">
        <v>55</v>
      </c>
      <c r="K654" s="10" t="s">
        <v>9880</v>
      </c>
      <c r="L654" s="10" t="s">
        <v>42</v>
      </c>
    </row>
    <row r="655" ht="15.75" customHeight="1">
      <c r="A655" s="64">
        <v>45490.0</v>
      </c>
      <c r="B655" s="55" t="str">
        <f>HYPERLINK("https://jobright.ai/jobs/info/66983ce23fd096c6a4d60199?utm_campaign=1052&amp;utm_source=sheet", "Apply")</f>
        <v>Apply</v>
      </c>
      <c r="C655" s="10" t="s">
        <v>10431</v>
      </c>
      <c r="D655" s="56" t="s">
        <v>9585</v>
      </c>
      <c r="E655" s="10" t="s">
        <v>65</v>
      </c>
      <c r="F655" s="10" t="s">
        <v>722</v>
      </c>
      <c r="G655" s="10" t="s">
        <v>9419</v>
      </c>
      <c r="H655" s="10" t="s">
        <v>10432</v>
      </c>
      <c r="I655" s="10" t="s">
        <v>55</v>
      </c>
      <c r="K655" s="10" t="s">
        <v>9586</v>
      </c>
      <c r="L655" s="10" t="s">
        <v>42</v>
      </c>
    </row>
    <row r="656" ht="15.75" customHeight="1">
      <c r="A656" s="64">
        <v>45490.0</v>
      </c>
      <c r="B656" s="55" t="str">
        <f>HYPERLINK("https://jobright.ai/jobs/info/66983ce23fd096c6a4d60221?utm_campaign=1052&amp;utm_source=sheet", "Apply")</f>
        <v>Apply</v>
      </c>
      <c r="C656" s="10" t="s">
        <v>10433</v>
      </c>
      <c r="D656" s="56" t="s">
        <v>9585</v>
      </c>
      <c r="E656" s="10" t="s">
        <v>65</v>
      </c>
      <c r="F656" s="10" t="s">
        <v>722</v>
      </c>
      <c r="G656" s="10" t="s">
        <v>9419</v>
      </c>
      <c r="H656" s="10" t="s">
        <v>10432</v>
      </c>
      <c r="I656" s="10" t="s">
        <v>55</v>
      </c>
      <c r="K656" s="10" t="s">
        <v>9586</v>
      </c>
      <c r="L656" s="10" t="s">
        <v>42</v>
      </c>
    </row>
    <row r="657" ht="15.75" customHeight="1">
      <c r="A657" s="64">
        <v>45490.0</v>
      </c>
      <c r="B657" s="55" t="str">
        <f>HYPERLINK("https://jobright.ai/jobs/info/66983ce23fd096c6a4d6017b?utm_campaign=1052&amp;utm_source=sheet", "Apply")</f>
        <v>Apply</v>
      </c>
      <c r="C657" s="10" t="s">
        <v>10434</v>
      </c>
      <c r="D657" s="56" t="s">
        <v>9585</v>
      </c>
      <c r="E657" s="10" t="s">
        <v>65</v>
      </c>
      <c r="F657" s="10" t="s">
        <v>722</v>
      </c>
      <c r="G657" s="10" t="s">
        <v>9419</v>
      </c>
      <c r="H657" s="10" t="s">
        <v>10432</v>
      </c>
      <c r="I657" s="10" t="s">
        <v>55</v>
      </c>
      <c r="K657" s="10" t="s">
        <v>9586</v>
      </c>
      <c r="L657" s="10" t="s">
        <v>42</v>
      </c>
    </row>
    <row r="658" ht="15.75" customHeight="1">
      <c r="A658" s="64">
        <v>45490.0</v>
      </c>
      <c r="B658" s="55" t="str">
        <f>HYPERLINK("https://jobright.ai/jobs/info/66983ce23fd096c6a4d60175?utm_campaign=1052&amp;utm_source=sheet", "Apply")</f>
        <v>Apply</v>
      </c>
      <c r="C658" s="10" t="s">
        <v>10435</v>
      </c>
      <c r="D658" s="56" t="s">
        <v>9585</v>
      </c>
      <c r="E658" s="10" t="s">
        <v>65</v>
      </c>
      <c r="F658" s="10" t="s">
        <v>722</v>
      </c>
      <c r="G658" s="10" t="s">
        <v>9419</v>
      </c>
      <c r="H658" s="10" t="s">
        <v>10432</v>
      </c>
      <c r="I658" s="10" t="s">
        <v>55</v>
      </c>
      <c r="K658" s="10" t="s">
        <v>9586</v>
      </c>
      <c r="L658" s="10" t="s">
        <v>42</v>
      </c>
    </row>
    <row r="659" ht="15.75" customHeight="1">
      <c r="A659" s="64">
        <v>45490.0</v>
      </c>
      <c r="B659" s="55" t="str">
        <f>HYPERLINK("https://jobright.ai/jobs/info/6698727a71d79b41ac6279ca?utm_campaign=1052&amp;utm_source=sheet", "Apply")</f>
        <v>Apply</v>
      </c>
      <c r="C659" s="10" t="s">
        <v>10429</v>
      </c>
      <c r="D659" s="56" t="s">
        <v>9878</v>
      </c>
      <c r="E659" s="10" t="s">
        <v>79</v>
      </c>
      <c r="F659" s="10" t="s">
        <v>9879</v>
      </c>
      <c r="G659" s="10" t="s">
        <v>9419</v>
      </c>
      <c r="H659" s="10" t="s">
        <v>661</v>
      </c>
      <c r="I659" s="10" t="s">
        <v>55</v>
      </c>
      <c r="K659" s="10" t="s">
        <v>9880</v>
      </c>
      <c r="L659" s="10" t="s">
        <v>42</v>
      </c>
    </row>
    <row r="660" ht="15.75" customHeight="1">
      <c r="A660" s="64">
        <v>45490.0</v>
      </c>
      <c r="B660" s="55" t="str">
        <f>HYPERLINK("https://jobright.ai/jobs/info/669848afbd2796cba1149394?utm_campaign=1052&amp;utm_source=sheet", "Apply")</f>
        <v>Apply</v>
      </c>
      <c r="C660" s="10" t="s">
        <v>10436</v>
      </c>
      <c r="D660" s="56" t="s">
        <v>9878</v>
      </c>
      <c r="E660" s="10" t="s">
        <v>79</v>
      </c>
      <c r="F660" s="10" t="s">
        <v>9879</v>
      </c>
      <c r="G660" s="10" t="s">
        <v>9419</v>
      </c>
      <c r="H660" s="10" t="s">
        <v>10430</v>
      </c>
      <c r="I660" s="10" t="s">
        <v>55</v>
      </c>
      <c r="J660" s="64"/>
      <c r="K660" s="10" t="s">
        <v>9880</v>
      </c>
      <c r="L660" s="10" t="s">
        <v>42</v>
      </c>
    </row>
    <row r="661" ht="15.75" customHeight="1">
      <c r="A661" s="64">
        <v>45490.0</v>
      </c>
      <c r="B661" s="55" t="str">
        <f>HYPERLINK("https://jobright.ai/jobs/info/669848afbd2796cba1149395?utm_campaign=1052&amp;utm_source=sheet", "Apply")</f>
        <v>Apply</v>
      </c>
      <c r="C661" s="10" t="s">
        <v>10429</v>
      </c>
      <c r="D661" s="56" t="s">
        <v>9878</v>
      </c>
      <c r="E661" s="10" t="s">
        <v>79</v>
      </c>
      <c r="F661" s="10" t="s">
        <v>9879</v>
      </c>
      <c r="G661" s="10" t="s">
        <v>9419</v>
      </c>
      <c r="H661" s="10" t="s">
        <v>887</v>
      </c>
      <c r="I661" s="10" t="s">
        <v>55</v>
      </c>
      <c r="J661" s="64"/>
      <c r="K661" s="10" t="s">
        <v>9880</v>
      </c>
      <c r="L661" s="10" t="s">
        <v>42</v>
      </c>
    </row>
    <row r="662" ht="15.75" customHeight="1">
      <c r="A662" s="64">
        <v>45490.0</v>
      </c>
      <c r="B662" s="55" t="str">
        <f>HYPERLINK("https://jobright.ai/jobs/info/669848afbd2796cba114939a?utm_campaign=1052&amp;utm_source=sheet", "Apply")</f>
        <v>Apply</v>
      </c>
      <c r="C662" s="10" t="s">
        <v>10436</v>
      </c>
      <c r="D662" s="56" t="s">
        <v>9878</v>
      </c>
      <c r="E662" s="10" t="s">
        <v>79</v>
      </c>
      <c r="F662" s="10" t="s">
        <v>9879</v>
      </c>
      <c r="G662" s="10" t="s">
        <v>9419</v>
      </c>
      <c r="H662" s="10" t="s">
        <v>10437</v>
      </c>
      <c r="I662" s="10" t="s">
        <v>55</v>
      </c>
      <c r="K662" s="10" t="s">
        <v>9880</v>
      </c>
      <c r="L662" s="10" t="s">
        <v>42</v>
      </c>
    </row>
    <row r="663" ht="15.75" customHeight="1">
      <c r="A663" s="64">
        <v>45490.0</v>
      </c>
      <c r="B663" s="55" t="str">
        <f>HYPERLINK("https://jobright.ai/jobs/info/669848afbd2796cba1149398?utm_campaign=1052&amp;utm_source=sheet", "Apply")</f>
        <v>Apply</v>
      </c>
      <c r="C663" s="10" t="s">
        <v>10429</v>
      </c>
      <c r="D663" s="56" t="s">
        <v>9878</v>
      </c>
      <c r="E663" s="10" t="s">
        <v>79</v>
      </c>
      <c r="F663" s="10" t="s">
        <v>9879</v>
      </c>
      <c r="G663" s="10" t="s">
        <v>9419</v>
      </c>
      <c r="H663" s="10" t="s">
        <v>938</v>
      </c>
      <c r="I663" s="10" t="s">
        <v>55</v>
      </c>
      <c r="J663" s="64"/>
      <c r="K663" s="10" t="s">
        <v>9880</v>
      </c>
      <c r="L663" s="10" t="s">
        <v>42</v>
      </c>
    </row>
    <row r="664" ht="15.75" customHeight="1">
      <c r="A664" s="64">
        <v>45490.0</v>
      </c>
      <c r="B664" s="55" t="str">
        <f>HYPERLINK("https://jobright.ai/jobs/info/66985879c78f72e176341f6a?utm_campaign=1052&amp;utm_source=sheet", "Apply")</f>
        <v>Apply</v>
      </c>
      <c r="C664" s="10" t="s">
        <v>10436</v>
      </c>
      <c r="D664" s="56" t="s">
        <v>9878</v>
      </c>
      <c r="E664" s="10" t="s">
        <v>79</v>
      </c>
      <c r="F664" s="10" t="s">
        <v>9879</v>
      </c>
      <c r="G664" s="10" t="s">
        <v>9419</v>
      </c>
      <c r="H664" s="10" t="s">
        <v>661</v>
      </c>
      <c r="I664" s="10" t="s">
        <v>55</v>
      </c>
      <c r="K664" s="10" t="s">
        <v>9880</v>
      </c>
      <c r="L664" s="10" t="s">
        <v>42</v>
      </c>
    </row>
    <row r="665" ht="15.75" customHeight="1">
      <c r="A665" s="64">
        <v>45490.0</v>
      </c>
      <c r="B665" s="55" t="str">
        <f>HYPERLINK("https://jobright.ai/jobs/info/66985879c78f72e176341f6b?utm_campaign=1052&amp;utm_source=sheet", "Apply")</f>
        <v>Apply</v>
      </c>
      <c r="C665" s="10" t="s">
        <v>10436</v>
      </c>
      <c r="D665" s="56" t="s">
        <v>9878</v>
      </c>
      <c r="E665" s="10" t="s">
        <v>79</v>
      </c>
      <c r="F665" s="10" t="s">
        <v>9879</v>
      </c>
      <c r="G665" s="10" t="s">
        <v>9419</v>
      </c>
      <c r="H665" s="10" t="s">
        <v>887</v>
      </c>
      <c r="I665" s="10" t="s">
        <v>55</v>
      </c>
      <c r="J665" s="64"/>
      <c r="K665" s="10" t="s">
        <v>9880</v>
      </c>
      <c r="L665" s="10" t="s">
        <v>42</v>
      </c>
    </row>
    <row r="666" ht="15.75" customHeight="1">
      <c r="A666" s="64">
        <v>45490.0</v>
      </c>
      <c r="B666" s="55" t="str">
        <f>HYPERLINK("https://jobright.ai/jobs/info/66984eee6ace611cbf3c796c?utm_campaign=1052&amp;utm_source=sheet", "Apply")</f>
        <v>Apply</v>
      </c>
      <c r="C666" s="10" t="s">
        <v>10429</v>
      </c>
      <c r="D666" s="56" t="s">
        <v>9878</v>
      </c>
      <c r="E666" s="10" t="s">
        <v>79</v>
      </c>
      <c r="F666" s="10" t="s">
        <v>9879</v>
      </c>
      <c r="G666" s="10" t="s">
        <v>9419</v>
      </c>
      <c r="H666" s="10" t="s">
        <v>10437</v>
      </c>
      <c r="I666" s="10" t="s">
        <v>55</v>
      </c>
      <c r="K666" s="10" t="s">
        <v>9880</v>
      </c>
      <c r="L666" s="10" t="s">
        <v>42</v>
      </c>
    </row>
    <row r="667" ht="15.75" customHeight="1">
      <c r="A667" s="64">
        <v>45490.0</v>
      </c>
      <c r="B667" s="55" t="str">
        <f>HYPERLINK("https://jobright.ai/jobs/info/669834b142f8a0cca17e1611?utm_campaign=1052&amp;utm_source=sheet", "Apply")</f>
        <v>Apply</v>
      </c>
      <c r="C667" s="10" t="s">
        <v>10429</v>
      </c>
      <c r="D667" s="56" t="s">
        <v>9878</v>
      </c>
      <c r="E667" s="10" t="s">
        <v>79</v>
      </c>
      <c r="F667" s="10" t="s">
        <v>9879</v>
      </c>
      <c r="G667" s="10" t="s">
        <v>9419</v>
      </c>
      <c r="H667" s="10" t="s">
        <v>765</v>
      </c>
      <c r="I667" s="10" t="s">
        <v>55</v>
      </c>
      <c r="K667" s="10" t="s">
        <v>9880</v>
      </c>
      <c r="L667" s="10" t="s">
        <v>42</v>
      </c>
    </row>
    <row r="668" ht="15.75" customHeight="1">
      <c r="A668" s="64">
        <v>45490.0</v>
      </c>
      <c r="B668" s="55" t="str">
        <f>HYPERLINK("https://jobright.ai/jobs/info/669834b142f8a0cca17e1681?utm_campaign=1052&amp;utm_source=sheet", "Apply")</f>
        <v>Apply</v>
      </c>
      <c r="C668" s="10" t="s">
        <v>10438</v>
      </c>
      <c r="D668" s="56" t="s">
        <v>9878</v>
      </c>
      <c r="E668" s="10" t="s">
        <v>79</v>
      </c>
      <c r="F668" s="10" t="s">
        <v>9879</v>
      </c>
      <c r="G668" s="10" t="s">
        <v>9419</v>
      </c>
      <c r="H668" s="10" t="s">
        <v>661</v>
      </c>
      <c r="I668" s="10" t="s">
        <v>55</v>
      </c>
      <c r="K668" s="10" t="s">
        <v>9880</v>
      </c>
      <c r="L668" s="10" t="s">
        <v>42</v>
      </c>
    </row>
    <row r="669" ht="15.75" customHeight="1">
      <c r="A669" s="64">
        <v>45490.0</v>
      </c>
      <c r="B669" s="55" t="str">
        <f>HYPERLINK("https://jobright.ai/jobs/info/669834b142f8a0cca17e15fc?utm_campaign=1052&amp;utm_source=sheet", "Apply")</f>
        <v>Apply</v>
      </c>
      <c r="C669" s="10" t="s">
        <v>10436</v>
      </c>
      <c r="D669" s="56" t="s">
        <v>9878</v>
      </c>
      <c r="E669" s="10" t="s">
        <v>79</v>
      </c>
      <c r="F669" s="10" t="s">
        <v>9879</v>
      </c>
      <c r="G669" s="10" t="s">
        <v>9419</v>
      </c>
      <c r="H669" s="10" t="s">
        <v>962</v>
      </c>
      <c r="I669" s="10" t="s">
        <v>55</v>
      </c>
      <c r="K669" s="10" t="s">
        <v>9880</v>
      </c>
      <c r="L669" s="10" t="s">
        <v>42</v>
      </c>
    </row>
    <row r="670" ht="15.75" customHeight="1">
      <c r="A670" s="64">
        <v>45490.0</v>
      </c>
      <c r="B670" s="55" t="str">
        <f>HYPERLINK("https://jobright.ai/jobs/info/6698419d19b3a20daf3b9383?utm_campaign=1052&amp;utm_source=sheet", "Apply")</f>
        <v>Apply</v>
      </c>
      <c r="C670" s="10" t="s">
        <v>10436</v>
      </c>
      <c r="D670" s="56" t="s">
        <v>9878</v>
      </c>
      <c r="E670" s="10" t="s">
        <v>79</v>
      </c>
      <c r="F670" s="10" t="s">
        <v>9879</v>
      </c>
      <c r="G670" s="10" t="s">
        <v>9419</v>
      </c>
      <c r="H670" s="10" t="s">
        <v>765</v>
      </c>
      <c r="I670" s="10" t="s">
        <v>55</v>
      </c>
      <c r="K670" s="10" t="s">
        <v>9880</v>
      </c>
      <c r="L670" s="10" t="s">
        <v>42</v>
      </c>
    </row>
    <row r="671" ht="15.75" customHeight="1">
      <c r="A671" s="64">
        <v>45490.0</v>
      </c>
      <c r="B671" s="55" t="str">
        <f>HYPERLINK("https://jobright.ai/jobs/info/66983a63d3c641c08c621c08?utm_campaign=1052&amp;utm_source=sheet", "Apply")</f>
        <v>Apply</v>
      </c>
      <c r="C671" s="10" t="s">
        <v>10436</v>
      </c>
      <c r="D671" s="56" t="s">
        <v>9878</v>
      </c>
      <c r="E671" s="10" t="s">
        <v>79</v>
      </c>
      <c r="F671" s="10" t="s">
        <v>9879</v>
      </c>
      <c r="G671" s="10" t="s">
        <v>9419</v>
      </c>
      <c r="H671" s="10" t="s">
        <v>938</v>
      </c>
      <c r="I671" s="10" t="s">
        <v>55</v>
      </c>
      <c r="K671" s="10" t="s">
        <v>9880</v>
      </c>
      <c r="L671" s="10" t="s">
        <v>42</v>
      </c>
    </row>
    <row r="672" ht="15.75" customHeight="1">
      <c r="A672" s="64">
        <v>45490.0</v>
      </c>
      <c r="B672" s="55" t="str">
        <f>HYPERLINK("https://jobright.ai/jobs/info/66982c70a1ad48f2c2e1a2dc?utm_campaign=1052&amp;utm_source=sheet", "Apply")</f>
        <v>Apply</v>
      </c>
      <c r="C672" s="10" t="s">
        <v>10439</v>
      </c>
      <c r="D672" s="56" t="s">
        <v>10414</v>
      </c>
      <c r="E672" s="10" t="s">
        <v>65</v>
      </c>
      <c r="F672" s="10" t="s">
        <v>1601</v>
      </c>
      <c r="G672" s="10" t="s">
        <v>9414</v>
      </c>
      <c r="H672" s="10" t="s">
        <v>423</v>
      </c>
      <c r="I672" s="10" t="s">
        <v>48</v>
      </c>
      <c r="J672" s="10" t="s">
        <v>10440</v>
      </c>
      <c r="K672" s="10" t="s">
        <v>10441</v>
      </c>
      <c r="L672" s="10" t="s">
        <v>42</v>
      </c>
    </row>
    <row r="673" ht="15.75" customHeight="1">
      <c r="A673" s="64">
        <v>45490.0</v>
      </c>
      <c r="B673" s="55" t="str">
        <f>HYPERLINK("https://jobright.ai/jobs/info/6698226d21cf5e4fad8e7ef3?utm_campaign=1052&amp;utm_source=sheet", "Apply")</f>
        <v>Apply</v>
      </c>
      <c r="C673" s="10" t="s">
        <v>10442</v>
      </c>
      <c r="D673" s="56" t="s">
        <v>10443</v>
      </c>
      <c r="E673" s="10" t="s">
        <v>45</v>
      </c>
      <c r="F673" s="10" t="s">
        <v>2431</v>
      </c>
      <c r="G673" s="10" t="s">
        <v>1159</v>
      </c>
      <c r="H673" s="10" t="s">
        <v>255</v>
      </c>
      <c r="I673" s="10" t="s">
        <v>48</v>
      </c>
      <c r="K673" s="10" t="s">
        <v>10444</v>
      </c>
      <c r="L673" s="10" t="s">
        <v>42</v>
      </c>
    </row>
    <row r="674" ht="15.75" customHeight="1">
      <c r="A674" s="64">
        <v>45490.0</v>
      </c>
      <c r="B674" s="55" t="str">
        <f>HYPERLINK("https://jobright.ai/jobs/info/669827e2fdc29f5016bc11e0?utm_campaign=1052&amp;utm_source=sheet", "Apply")</f>
        <v>Apply</v>
      </c>
      <c r="C674" s="10" t="s">
        <v>10445</v>
      </c>
      <c r="D674" s="56" t="s">
        <v>10446</v>
      </c>
      <c r="E674" s="10" t="s">
        <v>137</v>
      </c>
      <c r="F674" s="10" t="s">
        <v>10216</v>
      </c>
      <c r="G674" s="10" t="s">
        <v>9414</v>
      </c>
      <c r="H674" s="10" t="s">
        <v>636</v>
      </c>
      <c r="I674" s="10" t="s">
        <v>55</v>
      </c>
      <c r="J674" s="10" t="s">
        <v>1984</v>
      </c>
      <c r="K674" s="10" t="s">
        <v>10447</v>
      </c>
      <c r="L674" s="10" t="s">
        <v>42</v>
      </c>
    </row>
    <row r="675" ht="15.75" customHeight="1">
      <c r="A675" s="64">
        <v>45490.0</v>
      </c>
      <c r="B675" s="55" t="str">
        <f>HYPERLINK("https://jobright.ai/jobs/info/66981d7de0097c674f186860?utm_campaign=1052&amp;utm_source=sheet", "Apply")</f>
        <v>Apply</v>
      </c>
      <c r="C675" s="10" t="s">
        <v>10273</v>
      </c>
      <c r="D675" s="56" t="s">
        <v>10169</v>
      </c>
      <c r="E675" s="10" t="s">
        <v>45</v>
      </c>
      <c r="F675" s="10" t="s">
        <v>10170</v>
      </c>
      <c r="G675" s="10" t="s">
        <v>1159</v>
      </c>
      <c r="H675" s="10" t="s">
        <v>10448</v>
      </c>
      <c r="I675" s="10" t="s">
        <v>48</v>
      </c>
      <c r="J675" s="10" t="s">
        <v>581</v>
      </c>
      <c r="K675" s="10" t="s">
        <v>10275</v>
      </c>
      <c r="L675" s="10" t="s">
        <v>42</v>
      </c>
    </row>
    <row r="676" ht="15.75" customHeight="1">
      <c r="A676" s="64">
        <v>45490.0</v>
      </c>
      <c r="B676" s="55" t="str">
        <f>HYPERLINK("https://jobright.ai/jobs/info/66a128b5fa3a47870ba08bcc?utm_campaign=1052&amp;utm_source=sheet", "Apply")</f>
        <v>Apply</v>
      </c>
      <c r="C676" s="10" t="s">
        <v>9422</v>
      </c>
      <c r="D676" s="56" t="s">
        <v>9418</v>
      </c>
      <c r="E676" s="10" t="s">
        <v>276</v>
      </c>
      <c r="F676" s="10" t="s">
        <v>568</v>
      </c>
      <c r="G676" s="10" t="s">
        <v>9419</v>
      </c>
      <c r="H676" s="10" t="s">
        <v>4001</v>
      </c>
      <c r="I676" s="10" t="s">
        <v>55</v>
      </c>
      <c r="J676" s="64"/>
      <c r="K676" s="10" t="s">
        <v>10449</v>
      </c>
      <c r="L676" s="10" t="s">
        <v>42</v>
      </c>
    </row>
    <row r="677" ht="15.75" customHeight="1">
      <c r="A677" s="64">
        <v>45490.0</v>
      </c>
      <c r="B677" s="55" t="str">
        <f>HYPERLINK("https://jobright.ai/jobs/info/66a124945ba8e8b40347a300?utm_campaign=1052&amp;utm_source=sheet", "Apply")</f>
        <v>Apply</v>
      </c>
      <c r="C677" s="10" t="s">
        <v>10450</v>
      </c>
      <c r="D677" s="56" t="s">
        <v>1846</v>
      </c>
      <c r="E677" s="10" t="s">
        <v>45</v>
      </c>
      <c r="F677" s="10" t="s">
        <v>1485</v>
      </c>
      <c r="G677" s="10" t="s">
        <v>9414</v>
      </c>
      <c r="H677" s="10" t="s">
        <v>794</v>
      </c>
      <c r="I677" s="10" t="s">
        <v>55</v>
      </c>
      <c r="J677" s="10" t="s">
        <v>10451</v>
      </c>
      <c r="K677" s="10" t="s">
        <v>10452</v>
      </c>
      <c r="L677" s="10" t="s">
        <v>42</v>
      </c>
    </row>
    <row r="678" ht="15.75" customHeight="1">
      <c r="A678" s="64">
        <v>45490.0</v>
      </c>
      <c r="B678" s="55" t="str">
        <f>HYPERLINK("https://jobright.ai/jobs/info/669805a96fa646b1a71f0430?utm_campaign=1052&amp;utm_source=sheet", "Apply")</f>
        <v>Apply</v>
      </c>
      <c r="C678" s="10" t="s">
        <v>10453</v>
      </c>
      <c r="D678" s="56" t="s">
        <v>10454</v>
      </c>
      <c r="E678" s="10" t="s">
        <v>79</v>
      </c>
      <c r="F678" s="10" t="s">
        <v>10455</v>
      </c>
      <c r="G678" s="10" t="s">
        <v>1159</v>
      </c>
      <c r="H678" s="10" t="s">
        <v>10456</v>
      </c>
      <c r="I678" s="10" t="s">
        <v>55</v>
      </c>
      <c r="J678" s="64"/>
      <c r="K678" s="10" t="s">
        <v>10457</v>
      </c>
      <c r="L678" s="10" t="s">
        <v>42</v>
      </c>
    </row>
    <row r="679" ht="15.75" customHeight="1">
      <c r="A679" s="64">
        <v>45490.0</v>
      </c>
      <c r="B679" s="55" t="str">
        <f>HYPERLINK("https://jobright.ai/jobs/info/669a7513608a5562480adfd9?utm_campaign=1052&amp;utm_source=sheet", "Apply")</f>
        <v>Apply</v>
      </c>
      <c r="C679" s="10" t="s">
        <v>10458</v>
      </c>
      <c r="D679" s="56" t="s">
        <v>10459</v>
      </c>
      <c r="E679" s="10" t="s">
        <v>276</v>
      </c>
      <c r="F679" s="10" t="s">
        <v>10460</v>
      </c>
      <c r="G679" s="10" t="s">
        <v>9414</v>
      </c>
      <c r="H679" s="10" t="s">
        <v>96</v>
      </c>
      <c r="I679" s="10" t="s">
        <v>55</v>
      </c>
      <c r="K679" s="10" t="s">
        <v>10461</v>
      </c>
      <c r="L679" s="10" t="s">
        <v>42</v>
      </c>
    </row>
    <row r="680" ht="15.75" customHeight="1">
      <c r="A680" s="64">
        <v>45490.0</v>
      </c>
      <c r="B680" s="55" t="str">
        <f>HYPERLINK("https://jobright.ai/jobs/info/669fb0fb759501f6dafe35c8?utm_campaign=1052&amp;utm_source=sheet", "Apply")</f>
        <v>Apply</v>
      </c>
      <c r="C680" s="10" t="s">
        <v>9662</v>
      </c>
      <c r="D680" s="56" t="s">
        <v>4651</v>
      </c>
      <c r="E680" s="10" t="s">
        <v>45</v>
      </c>
      <c r="F680" s="10" t="s">
        <v>2527</v>
      </c>
      <c r="G680" s="10" t="s">
        <v>9414</v>
      </c>
      <c r="H680" s="10" t="s">
        <v>9663</v>
      </c>
      <c r="I680" s="10" t="s">
        <v>55</v>
      </c>
      <c r="J680" s="64"/>
      <c r="K680" s="10" t="s">
        <v>9664</v>
      </c>
      <c r="L680" s="10" t="s">
        <v>42</v>
      </c>
    </row>
    <row r="681" ht="15.75" customHeight="1">
      <c r="A681" s="64">
        <v>45490.0</v>
      </c>
      <c r="B681" s="55" t="str">
        <f>HYPERLINK("https://jobright.ai/jobs/info/6697c221ae9bea869c6f9176?utm_campaign=1052&amp;utm_source=sheet", "Apply")</f>
        <v>Apply</v>
      </c>
      <c r="C681" s="10" t="s">
        <v>9611</v>
      </c>
      <c r="D681" s="56" t="s">
        <v>10462</v>
      </c>
      <c r="E681" s="59">
        <v>45301.0</v>
      </c>
      <c r="F681" s="10" t="s">
        <v>722</v>
      </c>
      <c r="G681" s="10" t="s">
        <v>9419</v>
      </c>
      <c r="H681" s="10" t="s">
        <v>854</v>
      </c>
      <c r="I681" s="10" t="s">
        <v>55</v>
      </c>
      <c r="K681" s="10" t="s">
        <v>10463</v>
      </c>
      <c r="L681" s="10" t="s">
        <v>42</v>
      </c>
    </row>
    <row r="682" ht="15.75" customHeight="1">
      <c r="A682" s="64">
        <v>45490.0</v>
      </c>
      <c r="B682" s="55" t="str">
        <f>HYPERLINK("https://jobright.ai/jobs/info/669ba8f6b14cf70eadd8b712?utm_campaign=1052&amp;utm_source=sheet", "Apply")</f>
        <v>Apply</v>
      </c>
      <c r="C682" s="10" t="s">
        <v>10464</v>
      </c>
      <c r="D682" s="56" t="s">
        <v>10465</v>
      </c>
      <c r="E682" s="10" t="s">
        <v>249</v>
      </c>
      <c r="F682" s="10" t="s">
        <v>2950</v>
      </c>
      <c r="G682" s="10" t="s">
        <v>9414</v>
      </c>
      <c r="H682" s="10" t="s">
        <v>587</v>
      </c>
      <c r="I682" s="10" t="s">
        <v>55</v>
      </c>
      <c r="J682" s="64"/>
      <c r="K682" s="10" t="s">
        <v>10466</v>
      </c>
      <c r="L682" s="10" t="s">
        <v>42</v>
      </c>
    </row>
    <row r="683" ht="15.75" customHeight="1">
      <c r="A683" s="64">
        <v>45490.0</v>
      </c>
      <c r="B683" s="55" t="str">
        <f>HYPERLINK("https://jobright.ai/jobs/info/669903537a1a867c6b893a9e?utm_campaign=1052&amp;utm_source=sheet", "Apply")</f>
        <v>Apply</v>
      </c>
      <c r="C683" s="10" t="s">
        <v>10467</v>
      </c>
      <c r="D683" s="56" t="s">
        <v>10468</v>
      </c>
      <c r="E683" s="10" t="s">
        <v>45</v>
      </c>
      <c r="F683" s="10" t="s">
        <v>10469</v>
      </c>
      <c r="G683" s="10" t="s">
        <v>9419</v>
      </c>
      <c r="H683" s="10" t="s">
        <v>10470</v>
      </c>
      <c r="I683" s="10" t="s">
        <v>55</v>
      </c>
      <c r="J683" s="10" t="s">
        <v>581</v>
      </c>
      <c r="K683" s="10" t="s">
        <v>10471</v>
      </c>
      <c r="L683" s="10" t="s">
        <v>42</v>
      </c>
    </row>
    <row r="684" ht="15.75" customHeight="1">
      <c r="A684" s="64">
        <v>45490.0</v>
      </c>
      <c r="B684" s="55" t="str">
        <f>HYPERLINK("https://jobright.ai/jobs/info/66a0e2a0b056846ad15eff8a?utm_campaign=1052&amp;utm_source=sheet", "Apply")</f>
        <v>Apply</v>
      </c>
      <c r="C684" s="10" t="s">
        <v>9517</v>
      </c>
      <c r="D684" s="56" t="s">
        <v>10472</v>
      </c>
      <c r="E684" s="10" t="s">
        <v>249</v>
      </c>
      <c r="F684" s="10" t="s">
        <v>2824</v>
      </c>
      <c r="G684" s="10" t="s">
        <v>1159</v>
      </c>
      <c r="H684" s="10" t="s">
        <v>10473</v>
      </c>
      <c r="I684" s="10" t="s">
        <v>55</v>
      </c>
      <c r="J684" s="10" t="s">
        <v>1244</v>
      </c>
      <c r="K684" s="10" t="s">
        <v>10474</v>
      </c>
      <c r="L684" s="10" t="s">
        <v>42</v>
      </c>
    </row>
    <row r="685" ht="15.75" customHeight="1">
      <c r="A685" s="64">
        <v>45490.0</v>
      </c>
      <c r="B685" s="55" t="str">
        <f>HYPERLINK("https://jobright.ai/jobs/info/667feeb1c72a4cb5f3dd7460?utm_campaign=1052&amp;utm_source=sheet", "Apply")</f>
        <v>Apply</v>
      </c>
      <c r="C685" s="10" t="s">
        <v>10475</v>
      </c>
      <c r="D685" s="56" t="s">
        <v>9623</v>
      </c>
      <c r="E685" s="10">
        <v>52219.0</v>
      </c>
      <c r="G685" s="10" t="s">
        <v>9419</v>
      </c>
      <c r="H685" s="10" t="s">
        <v>165</v>
      </c>
      <c r="I685" s="10" t="s">
        <v>55</v>
      </c>
      <c r="K685" s="10" t="s">
        <v>9624</v>
      </c>
      <c r="L685" s="10" t="s">
        <v>42</v>
      </c>
    </row>
    <row r="686" ht="15.75" customHeight="1">
      <c r="A686" s="64">
        <v>45490.0</v>
      </c>
      <c r="B686" s="55" t="str">
        <f>HYPERLINK("https://jobright.ai/jobs/info/667b65a2dfc11611c8515f6c?utm_campaign=1052&amp;utm_source=sheet", "Apply")</f>
        <v>Apply</v>
      </c>
      <c r="C686" s="10" t="s">
        <v>10476</v>
      </c>
      <c r="D686" s="56" t="s">
        <v>7287</v>
      </c>
      <c r="E686" s="10" t="s">
        <v>45</v>
      </c>
      <c r="F686" s="10" t="s">
        <v>7288</v>
      </c>
      <c r="G686" s="10" t="s">
        <v>9414</v>
      </c>
      <c r="H686" s="10" t="s">
        <v>278</v>
      </c>
      <c r="I686" s="10" t="s">
        <v>55</v>
      </c>
      <c r="K686" s="10" t="s">
        <v>10477</v>
      </c>
      <c r="L686" s="10" t="s">
        <v>42</v>
      </c>
    </row>
    <row r="687" ht="15.75" customHeight="1">
      <c r="A687" s="64">
        <v>45490.0</v>
      </c>
      <c r="B687" s="55" t="str">
        <f>HYPERLINK("https://jobright.ai/jobs/info/66436da53f0ac7159803cbe2?utm_campaign=1052&amp;utm_source=sheet", "Apply")</f>
        <v>Apply</v>
      </c>
      <c r="C687" s="10" t="s">
        <v>10478</v>
      </c>
      <c r="D687" s="56" t="s">
        <v>10479</v>
      </c>
      <c r="E687" s="10">
        <v>98.0</v>
      </c>
      <c r="G687" s="10" t="s">
        <v>9419</v>
      </c>
      <c r="H687" s="10" t="s">
        <v>6150</v>
      </c>
      <c r="I687" s="10" t="s">
        <v>55</v>
      </c>
      <c r="K687" s="10" t="s">
        <v>10480</v>
      </c>
      <c r="L687" s="10" t="s">
        <v>42</v>
      </c>
    </row>
    <row r="688" ht="15.75" customHeight="1">
      <c r="A688" s="64">
        <v>45490.0</v>
      </c>
      <c r="B688" s="55" t="str">
        <f>HYPERLINK("https://jobright.ai/jobs/info/662868e9092a09c53f51a58c?utm_campaign=1052&amp;utm_source=sheet", "Apply")</f>
        <v>Apply</v>
      </c>
      <c r="C688" s="10" t="s">
        <v>10481</v>
      </c>
      <c r="D688" s="56" t="s">
        <v>9585</v>
      </c>
      <c r="E688" s="10" t="s">
        <v>65</v>
      </c>
      <c r="F688" s="10" t="s">
        <v>722</v>
      </c>
      <c r="G688" s="10" t="s">
        <v>9419</v>
      </c>
      <c r="H688" s="10" t="s">
        <v>10482</v>
      </c>
      <c r="I688" s="10" t="s">
        <v>55</v>
      </c>
      <c r="K688" s="10" t="s">
        <v>9586</v>
      </c>
      <c r="L688" s="10" t="s">
        <v>42</v>
      </c>
    </row>
    <row r="689" ht="15.75" customHeight="1">
      <c r="A689" s="64">
        <v>45490.0</v>
      </c>
      <c r="B689" s="55" t="str">
        <f>HYPERLINK("https://jobright.ai/jobs/info/6677ecbd2ffca2bcf66915b7?utm_campaign=1052&amp;utm_source=sheet", "Apply")</f>
        <v>Apply</v>
      </c>
      <c r="C689" s="10" t="s">
        <v>10483</v>
      </c>
      <c r="D689" s="56" t="s">
        <v>9585</v>
      </c>
      <c r="E689" s="10" t="s">
        <v>65</v>
      </c>
      <c r="F689" s="10" t="s">
        <v>722</v>
      </c>
      <c r="G689" s="10" t="s">
        <v>9419</v>
      </c>
      <c r="H689" s="10" t="s">
        <v>108</v>
      </c>
      <c r="I689" s="10" t="s">
        <v>55</v>
      </c>
      <c r="K689" s="10" t="s">
        <v>9586</v>
      </c>
      <c r="L689" s="10" t="s">
        <v>42</v>
      </c>
    </row>
    <row r="690" ht="15.75" customHeight="1">
      <c r="A690" s="64">
        <v>45490.0</v>
      </c>
      <c r="B690" s="55" t="str">
        <f>HYPERLINK("https://jobright.ai/jobs/info/6675a323a05c85bb25afa2a1?utm_campaign=1052&amp;utm_source=sheet", "Apply")</f>
        <v>Apply</v>
      </c>
      <c r="C690" s="10" t="s">
        <v>9786</v>
      </c>
      <c r="D690" s="56" t="s">
        <v>9623</v>
      </c>
      <c r="E690" s="10">
        <v>52219.0</v>
      </c>
      <c r="G690" s="10" t="s">
        <v>9419</v>
      </c>
      <c r="H690" s="10" t="s">
        <v>794</v>
      </c>
      <c r="I690" s="10" t="s">
        <v>55</v>
      </c>
      <c r="J690" s="64"/>
      <c r="K690" s="10" t="s">
        <v>9787</v>
      </c>
      <c r="L690" s="10" t="s">
        <v>42</v>
      </c>
    </row>
    <row r="691" ht="15.75" customHeight="1">
      <c r="A691" s="64">
        <v>45490.0</v>
      </c>
      <c r="B691" s="55" t="str">
        <f>HYPERLINK("https://jobright.ai/jobs/info/66020e81c986341e67cbe39b?utm_campaign=1052&amp;utm_source=sheet", "Apply")</f>
        <v>Apply</v>
      </c>
      <c r="C691" s="10" t="s">
        <v>10484</v>
      </c>
      <c r="D691" s="56" t="s">
        <v>9585</v>
      </c>
      <c r="E691" s="10" t="s">
        <v>65</v>
      </c>
      <c r="F691" s="10" t="s">
        <v>722</v>
      </c>
      <c r="G691" s="10" t="s">
        <v>9419</v>
      </c>
      <c r="H691" s="10" t="s">
        <v>2687</v>
      </c>
      <c r="I691" s="10" t="s">
        <v>55</v>
      </c>
      <c r="K691" s="10" t="s">
        <v>9586</v>
      </c>
      <c r="L691" s="10" t="s">
        <v>42</v>
      </c>
    </row>
    <row r="692" ht="15.75" customHeight="1">
      <c r="A692" s="64">
        <v>45490.0</v>
      </c>
      <c r="B692" s="55" t="str">
        <f>HYPERLINK("https://jobright.ai/jobs/info/667b592246c6f972c505d2d8?utm_campaign=1052&amp;utm_source=sheet", "Apply")</f>
        <v>Apply</v>
      </c>
      <c r="C692" s="10" t="s">
        <v>10485</v>
      </c>
      <c r="D692" s="56" t="s">
        <v>9581</v>
      </c>
      <c r="E692" s="10" t="s">
        <v>65</v>
      </c>
      <c r="F692" s="10" t="s">
        <v>722</v>
      </c>
      <c r="G692" s="10" t="s">
        <v>9419</v>
      </c>
      <c r="H692" s="10" t="s">
        <v>113</v>
      </c>
      <c r="I692" s="10" t="s">
        <v>55</v>
      </c>
      <c r="J692" s="10" t="s">
        <v>9582</v>
      </c>
      <c r="K692" s="10" t="s">
        <v>9603</v>
      </c>
      <c r="L692" s="10" t="s">
        <v>42</v>
      </c>
    </row>
    <row r="693" ht="15.75" customHeight="1">
      <c r="A693" s="64">
        <v>45490.0</v>
      </c>
      <c r="B693" s="55" t="str">
        <f>HYPERLINK("https://jobright.ai/jobs/info/6698de2da067c0b813d42001?utm_campaign=1052&amp;utm_source=sheet", "Apply")</f>
        <v>Apply</v>
      </c>
      <c r="C693" s="10" t="s">
        <v>10475</v>
      </c>
      <c r="D693" s="56" t="s">
        <v>9623</v>
      </c>
      <c r="E693" s="10">
        <v>52219.0</v>
      </c>
      <c r="G693" s="10" t="s">
        <v>9419</v>
      </c>
      <c r="H693" s="10" t="s">
        <v>153</v>
      </c>
      <c r="I693" s="10" t="s">
        <v>55</v>
      </c>
      <c r="K693" s="10" t="s">
        <v>9624</v>
      </c>
      <c r="L693" s="10" t="s">
        <v>42</v>
      </c>
    </row>
    <row r="694" ht="15.75" customHeight="1">
      <c r="A694" s="64">
        <v>45490.0</v>
      </c>
      <c r="B694" s="55" t="str">
        <f>HYPERLINK("https://jobright.ai/jobs/info/667b592246c6f972c505d2c7?utm_campaign=1052&amp;utm_source=sheet", "Apply")</f>
        <v>Apply</v>
      </c>
      <c r="C694" s="10" t="s">
        <v>10486</v>
      </c>
      <c r="D694" s="56" t="s">
        <v>9581</v>
      </c>
      <c r="E694" s="10" t="s">
        <v>65</v>
      </c>
      <c r="F694" s="10" t="s">
        <v>722</v>
      </c>
      <c r="G694" s="10" t="s">
        <v>9419</v>
      </c>
      <c r="H694" s="10" t="s">
        <v>113</v>
      </c>
      <c r="I694" s="10" t="s">
        <v>55</v>
      </c>
      <c r="J694" s="10" t="s">
        <v>9582</v>
      </c>
      <c r="K694" s="10" t="s">
        <v>9603</v>
      </c>
      <c r="L694" s="10" t="s">
        <v>42</v>
      </c>
    </row>
    <row r="695" ht="15.75" customHeight="1">
      <c r="A695" s="64">
        <v>45490.0</v>
      </c>
      <c r="B695" s="55" t="str">
        <f>HYPERLINK("https://jobright.ai/jobs/info/65e86d33edfa37cc1cffc425?utm_campaign=1052&amp;utm_source=sheet", "Apply")</f>
        <v>Apply</v>
      </c>
      <c r="C695" s="10" t="s">
        <v>9858</v>
      </c>
      <c r="D695" s="56" t="s">
        <v>9656</v>
      </c>
      <c r="E695" s="10" t="s">
        <v>79</v>
      </c>
      <c r="F695" s="10" t="s">
        <v>85</v>
      </c>
      <c r="G695" s="10" t="s">
        <v>9419</v>
      </c>
      <c r="H695" s="10" t="s">
        <v>153</v>
      </c>
      <c r="I695" s="10" t="s">
        <v>55</v>
      </c>
      <c r="J695" s="64"/>
      <c r="K695" s="10" t="s">
        <v>10487</v>
      </c>
      <c r="L695" s="10" t="s">
        <v>42</v>
      </c>
    </row>
    <row r="696" ht="15.75" customHeight="1">
      <c r="A696" s="64">
        <v>45490.0</v>
      </c>
      <c r="B696" s="55" t="str">
        <f>HYPERLINK("https://jobright.ai/jobs/info/664e2050b45b688e7b70f878?utm_campaign=1052&amp;utm_source=sheet", "Apply")</f>
        <v>Apply</v>
      </c>
      <c r="C696" s="10" t="s">
        <v>10488</v>
      </c>
      <c r="D696" s="56" t="s">
        <v>9585</v>
      </c>
      <c r="E696" s="10" t="s">
        <v>65</v>
      </c>
      <c r="F696" s="10" t="s">
        <v>722</v>
      </c>
      <c r="G696" s="10" t="s">
        <v>9419</v>
      </c>
      <c r="H696" s="10" t="s">
        <v>10489</v>
      </c>
      <c r="I696" s="10" t="s">
        <v>55</v>
      </c>
      <c r="K696" s="10" t="s">
        <v>9586</v>
      </c>
      <c r="L696" s="10" t="s">
        <v>42</v>
      </c>
    </row>
    <row r="697" ht="15.75" customHeight="1">
      <c r="A697" s="64">
        <v>45490.0</v>
      </c>
      <c r="B697" s="55" t="str">
        <f>HYPERLINK("https://jobright.ai/jobs/info/665a148ca4eed4db57250263?utm_campaign=1052&amp;utm_source=sheet", "Apply")</f>
        <v>Apply</v>
      </c>
      <c r="C697" s="10" t="s">
        <v>10490</v>
      </c>
      <c r="D697" s="56" t="s">
        <v>9585</v>
      </c>
      <c r="E697" s="10" t="s">
        <v>65</v>
      </c>
      <c r="F697" s="10" t="s">
        <v>722</v>
      </c>
      <c r="G697" s="10" t="s">
        <v>9419</v>
      </c>
      <c r="H697" s="10" t="s">
        <v>791</v>
      </c>
      <c r="I697" s="10" t="s">
        <v>55</v>
      </c>
      <c r="K697" s="10" t="s">
        <v>9586</v>
      </c>
      <c r="L697" s="10" t="s">
        <v>42</v>
      </c>
    </row>
    <row r="698" ht="15.75" customHeight="1">
      <c r="A698" s="64">
        <v>45490.0</v>
      </c>
      <c r="B698" s="55" t="str">
        <f>HYPERLINK("https://jobright.ai/jobs/info/6677ecc82ffca2bcf6691658?utm_campaign=1052&amp;utm_source=sheet", "Apply")</f>
        <v>Apply</v>
      </c>
      <c r="C698" s="10" t="s">
        <v>10491</v>
      </c>
      <c r="D698" s="56" t="s">
        <v>9585</v>
      </c>
      <c r="E698" s="10" t="s">
        <v>65</v>
      </c>
      <c r="F698" s="10" t="s">
        <v>722</v>
      </c>
      <c r="G698" s="10" t="s">
        <v>9419</v>
      </c>
      <c r="H698" s="10" t="s">
        <v>4434</v>
      </c>
      <c r="I698" s="10" t="s">
        <v>55</v>
      </c>
      <c r="K698" s="10" t="s">
        <v>9586</v>
      </c>
      <c r="L698" s="10" t="s">
        <v>42</v>
      </c>
    </row>
    <row r="699" ht="15.75" customHeight="1">
      <c r="A699" s="64">
        <v>45490.0</v>
      </c>
      <c r="B699" s="55" t="str">
        <f>HYPERLINK("https://jobright.ai/jobs/info/667b592246c6f972c505d331?utm_campaign=1052&amp;utm_source=sheet", "Apply")</f>
        <v>Apply</v>
      </c>
      <c r="C699" s="10" t="s">
        <v>10492</v>
      </c>
      <c r="D699" s="56" t="s">
        <v>9581</v>
      </c>
      <c r="E699" s="10" t="s">
        <v>65</v>
      </c>
      <c r="F699" s="10" t="s">
        <v>722</v>
      </c>
      <c r="G699" s="10" t="s">
        <v>9419</v>
      </c>
      <c r="H699" s="10" t="s">
        <v>9605</v>
      </c>
      <c r="I699" s="10" t="s">
        <v>55</v>
      </c>
      <c r="J699" s="10" t="s">
        <v>9582</v>
      </c>
      <c r="K699" s="10" t="s">
        <v>9603</v>
      </c>
      <c r="L699" s="10" t="s">
        <v>42</v>
      </c>
    </row>
    <row r="700" ht="15.75" customHeight="1">
      <c r="A700" s="64">
        <v>45490.0</v>
      </c>
      <c r="B700" s="55" t="str">
        <f>HYPERLINK("https://jobright.ai/jobs/info/65eb33cb9441bff617be4c32?utm_campaign=1052&amp;utm_source=sheet", "Apply")</f>
        <v>Apply</v>
      </c>
      <c r="C700" s="10" t="s">
        <v>10493</v>
      </c>
      <c r="D700" s="56" t="s">
        <v>9585</v>
      </c>
      <c r="E700" s="10" t="s">
        <v>65</v>
      </c>
      <c r="F700" s="10" t="s">
        <v>722</v>
      </c>
      <c r="G700" s="10" t="s">
        <v>9419</v>
      </c>
      <c r="H700" s="10" t="s">
        <v>153</v>
      </c>
      <c r="I700" s="10" t="s">
        <v>55</v>
      </c>
      <c r="K700" s="10" t="s">
        <v>9586</v>
      </c>
      <c r="L700" s="10" t="s">
        <v>42</v>
      </c>
    </row>
    <row r="701" ht="15.75" customHeight="1">
      <c r="A701" s="64">
        <v>45490.0</v>
      </c>
      <c r="B701" s="55" t="str">
        <f>HYPERLINK("https://jobright.ai/jobs/info/667ab0fd9d71c22d4959b9fb?utm_campaign=1052&amp;utm_source=sheet", "Apply")</f>
        <v>Apply</v>
      </c>
      <c r="C701" s="10" t="s">
        <v>9818</v>
      </c>
      <c r="D701" s="56" t="s">
        <v>6129</v>
      </c>
      <c r="E701" s="10" t="s">
        <v>45</v>
      </c>
      <c r="F701" s="10" t="s">
        <v>6130</v>
      </c>
      <c r="G701" s="10" t="s">
        <v>9419</v>
      </c>
      <c r="H701" s="10" t="s">
        <v>131</v>
      </c>
      <c r="I701" s="10" t="s">
        <v>48</v>
      </c>
      <c r="K701" s="10" t="s">
        <v>9819</v>
      </c>
      <c r="L701" s="10" t="s">
        <v>42</v>
      </c>
    </row>
    <row r="702" ht="15.75" customHeight="1">
      <c r="A702" s="64">
        <v>45490.0</v>
      </c>
      <c r="B702" s="55" t="str">
        <f>HYPERLINK("https://jobright.ai/jobs/info/663d9708d2360c1cb6c4d81a?utm_campaign=1052&amp;utm_source=sheet", "Apply")</f>
        <v>Apply</v>
      </c>
      <c r="C702" s="10" t="s">
        <v>10494</v>
      </c>
      <c r="D702" s="56" t="s">
        <v>10495</v>
      </c>
      <c r="E702" s="10" t="s">
        <v>45</v>
      </c>
      <c r="F702" s="10" t="s">
        <v>665</v>
      </c>
      <c r="G702" s="10" t="s">
        <v>1159</v>
      </c>
      <c r="H702" s="10" t="s">
        <v>5436</v>
      </c>
      <c r="I702" s="10" t="s">
        <v>55</v>
      </c>
      <c r="J702" s="10" t="s">
        <v>10496</v>
      </c>
      <c r="K702" s="10" t="s">
        <v>10497</v>
      </c>
      <c r="L702" s="10" t="s">
        <v>42</v>
      </c>
    </row>
    <row r="703" ht="15.75" customHeight="1">
      <c r="A703" s="64">
        <v>45490.0</v>
      </c>
      <c r="B703" s="55" t="str">
        <f>HYPERLINK("https://jobright.ai/jobs/info/667b629533a389e0c495e54d?utm_campaign=1052&amp;utm_source=sheet", "Apply")</f>
        <v>Apply</v>
      </c>
      <c r="C703" s="10" t="s">
        <v>10498</v>
      </c>
      <c r="D703" s="56" t="s">
        <v>9581</v>
      </c>
      <c r="E703" s="10" t="s">
        <v>65</v>
      </c>
      <c r="F703" s="10" t="s">
        <v>722</v>
      </c>
      <c r="G703" s="10" t="s">
        <v>9419</v>
      </c>
      <c r="H703" s="10" t="s">
        <v>5373</v>
      </c>
      <c r="I703" s="10" t="s">
        <v>55</v>
      </c>
      <c r="J703" s="10" t="s">
        <v>9582</v>
      </c>
      <c r="K703" s="10" t="s">
        <v>9603</v>
      </c>
      <c r="L703" s="10" t="s">
        <v>42</v>
      </c>
    </row>
    <row r="704" ht="15.75" customHeight="1">
      <c r="A704" s="64">
        <v>45490.0</v>
      </c>
      <c r="B704" s="55" t="str">
        <f>HYPERLINK("https://jobright.ai/jobs/info/6677e1ec783a239da84179df?utm_campaign=1052&amp;utm_source=sheet", "Apply")</f>
        <v>Apply</v>
      </c>
      <c r="C704" s="10" t="s">
        <v>10499</v>
      </c>
      <c r="D704" s="56" t="s">
        <v>9585</v>
      </c>
      <c r="E704" s="10" t="s">
        <v>65</v>
      </c>
      <c r="F704" s="10" t="s">
        <v>722</v>
      </c>
      <c r="G704" s="10" t="s">
        <v>9419</v>
      </c>
      <c r="H704" s="10" t="s">
        <v>411</v>
      </c>
      <c r="I704" s="10" t="s">
        <v>55</v>
      </c>
      <c r="K704" s="10" t="s">
        <v>9586</v>
      </c>
      <c r="L704" s="10" t="s">
        <v>42</v>
      </c>
    </row>
    <row r="705" ht="15.75" customHeight="1">
      <c r="A705" s="64">
        <v>45490.0</v>
      </c>
      <c r="B705" s="55" t="str">
        <f>HYPERLINK("https://jobright.ai/jobs/info/662868df092a09c53f51a4ae?utm_campaign=1052&amp;utm_source=sheet", "Apply")</f>
        <v>Apply</v>
      </c>
      <c r="C705" s="10" t="s">
        <v>10500</v>
      </c>
      <c r="D705" s="56" t="s">
        <v>9585</v>
      </c>
      <c r="E705" s="10" t="s">
        <v>65</v>
      </c>
      <c r="F705" s="10" t="s">
        <v>722</v>
      </c>
      <c r="G705" s="10" t="s">
        <v>9419</v>
      </c>
      <c r="H705" s="10" t="s">
        <v>168</v>
      </c>
      <c r="I705" s="10" t="s">
        <v>55</v>
      </c>
      <c r="K705" s="10" t="s">
        <v>9586</v>
      </c>
      <c r="L705" s="10" t="s">
        <v>42</v>
      </c>
    </row>
    <row r="706" ht="15.75" customHeight="1">
      <c r="A706" s="64">
        <v>45490.0</v>
      </c>
      <c r="B706" s="55" t="str">
        <f>HYPERLINK("https://jobright.ai/jobs/info/65ec61fdc9121a7617866848?utm_campaign=1052&amp;utm_source=sheet", "Apply")</f>
        <v>Apply</v>
      </c>
      <c r="C706" s="10" t="s">
        <v>10501</v>
      </c>
      <c r="D706" s="56" t="s">
        <v>9585</v>
      </c>
      <c r="E706" s="10" t="s">
        <v>65</v>
      </c>
      <c r="F706" s="10" t="s">
        <v>722</v>
      </c>
      <c r="G706" s="10" t="s">
        <v>9419</v>
      </c>
      <c r="H706" s="10" t="s">
        <v>4434</v>
      </c>
      <c r="I706" s="10" t="s">
        <v>55</v>
      </c>
      <c r="K706" s="10" t="s">
        <v>9586</v>
      </c>
      <c r="L706" s="10" t="s">
        <v>42</v>
      </c>
    </row>
    <row r="707" ht="15.75" customHeight="1">
      <c r="A707" s="64">
        <v>45490.0</v>
      </c>
      <c r="B707" s="55" t="str">
        <f>HYPERLINK("https://jobright.ai/jobs/info/6633da7a6dd8adf32b3080a3?utm_campaign=1052&amp;utm_source=sheet", "Apply")</f>
        <v>Apply</v>
      </c>
      <c r="C707" s="10" t="s">
        <v>10402</v>
      </c>
      <c r="D707" s="56" t="s">
        <v>10403</v>
      </c>
      <c r="E707" s="10" t="s">
        <v>65</v>
      </c>
      <c r="F707" s="10" t="s">
        <v>534</v>
      </c>
      <c r="G707" s="10" t="s">
        <v>9419</v>
      </c>
      <c r="H707" s="10" t="s">
        <v>994</v>
      </c>
      <c r="I707" s="10" t="s">
        <v>55</v>
      </c>
      <c r="J707" s="10" t="s">
        <v>10404</v>
      </c>
      <c r="K707" s="10" t="s">
        <v>10405</v>
      </c>
      <c r="L707" s="10" t="s">
        <v>42</v>
      </c>
    </row>
    <row r="708" ht="15.75" customHeight="1">
      <c r="A708" s="64">
        <v>45490.0</v>
      </c>
      <c r="B708" s="55" t="str">
        <f>HYPERLINK("https://jobright.ai/jobs/info/667b3af9bbd383089817f3dd?utm_campaign=1052&amp;utm_source=sheet", "Apply")</f>
        <v>Apply</v>
      </c>
      <c r="C708" s="10" t="s">
        <v>9691</v>
      </c>
      <c r="D708" s="56" t="s">
        <v>10502</v>
      </c>
      <c r="E708" s="10" t="s">
        <v>65</v>
      </c>
      <c r="F708" s="10" t="s">
        <v>10503</v>
      </c>
      <c r="G708" s="10" t="s">
        <v>9419</v>
      </c>
      <c r="H708" s="10" t="s">
        <v>868</v>
      </c>
      <c r="I708" s="10" t="s">
        <v>55</v>
      </c>
      <c r="K708" s="10" t="s">
        <v>10504</v>
      </c>
      <c r="L708" s="10" t="s">
        <v>42</v>
      </c>
    </row>
    <row r="709" ht="15.75" customHeight="1">
      <c r="A709" s="64">
        <v>45490.0</v>
      </c>
      <c r="B709" s="55" t="str">
        <f>HYPERLINK("https://jobright.ai/jobs/info/667b629533a389e0c495e550?utm_campaign=1052&amp;utm_source=sheet", "Apply")</f>
        <v>Apply</v>
      </c>
      <c r="C709" s="10" t="s">
        <v>10505</v>
      </c>
      <c r="D709" s="56" t="s">
        <v>9581</v>
      </c>
      <c r="E709" s="10" t="s">
        <v>65</v>
      </c>
      <c r="F709" s="10" t="s">
        <v>722</v>
      </c>
      <c r="G709" s="10" t="s">
        <v>9419</v>
      </c>
      <c r="H709" s="10" t="s">
        <v>5373</v>
      </c>
      <c r="I709" s="10" t="s">
        <v>55</v>
      </c>
      <c r="J709" s="10" t="s">
        <v>9582</v>
      </c>
      <c r="K709" s="10" t="s">
        <v>9603</v>
      </c>
      <c r="L709" s="10" t="s">
        <v>42</v>
      </c>
    </row>
    <row r="710" ht="15.75" customHeight="1">
      <c r="A710" s="64">
        <v>45490.0</v>
      </c>
      <c r="B710" s="55" t="str">
        <f>HYPERLINK("https://jobright.ai/jobs/info/667812bee8d1b28d7a8abbd7?utm_campaign=1052&amp;utm_source=sheet", "Apply")</f>
        <v>Apply</v>
      </c>
      <c r="C710" s="10" t="s">
        <v>10475</v>
      </c>
      <c r="D710" s="56" t="s">
        <v>9623</v>
      </c>
      <c r="E710" s="10">
        <v>52219.0</v>
      </c>
      <c r="G710" s="10" t="s">
        <v>9419</v>
      </c>
      <c r="H710" s="10" t="s">
        <v>965</v>
      </c>
      <c r="I710" s="10" t="s">
        <v>55</v>
      </c>
      <c r="K710" s="10" t="s">
        <v>9624</v>
      </c>
      <c r="L710" s="10" t="s">
        <v>42</v>
      </c>
    </row>
    <row r="711" ht="15.75" customHeight="1">
      <c r="A711" s="64">
        <v>45490.0</v>
      </c>
      <c r="B711" s="55" t="str">
        <f>HYPERLINK("https://jobright.ai/jobs/info/667b5c07144544f4c57b51d6?utm_campaign=1052&amp;utm_source=sheet", "Apply")</f>
        <v>Apply</v>
      </c>
      <c r="C711" s="10" t="s">
        <v>10506</v>
      </c>
      <c r="D711" s="56" t="s">
        <v>9581</v>
      </c>
      <c r="E711" s="10" t="s">
        <v>65</v>
      </c>
      <c r="F711" s="10" t="s">
        <v>722</v>
      </c>
      <c r="G711" s="10" t="s">
        <v>9419</v>
      </c>
      <c r="H711" s="10" t="s">
        <v>113</v>
      </c>
      <c r="I711" s="10" t="s">
        <v>55</v>
      </c>
      <c r="J711" s="10" t="s">
        <v>9582</v>
      </c>
      <c r="K711" s="10" t="s">
        <v>9603</v>
      </c>
      <c r="L711" s="10" t="s">
        <v>42</v>
      </c>
    </row>
    <row r="712" ht="15.75" customHeight="1">
      <c r="A712" s="64">
        <v>45490.0</v>
      </c>
      <c r="B712" s="55" t="str">
        <f>HYPERLINK("https://jobright.ai/jobs/info/65e5bad054e1657962c36689?utm_campaign=1052&amp;utm_source=sheet", "Apply")</f>
        <v>Apply</v>
      </c>
      <c r="C712" s="10" t="s">
        <v>10507</v>
      </c>
      <c r="D712" s="56" t="s">
        <v>9585</v>
      </c>
      <c r="E712" s="10" t="s">
        <v>65</v>
      </c>
      <c r="F712" s="10" t="s">
        <v>722</v>
      </c>
      <c r="G712" s="10" t="s">
        <v>9419</v>
      </c>
      <c r="H712" s="10" t="s">
        <v>607</v>
      </c>
      <c r="I712" s="10" t="s">
        <v>55</v>
      </c>
      <c r="K712" s="10" t="s">
        <v>9586</v>
      </c>
      <c r="L712" s="10" t="s">
        <v>42</v>
      </c>
    </row>
    <row r="713" ht="15.75" customHeight="1">
      <c r="A713" s="64">
        <v>45490.0</v>
      </c>
      <c r="B713" s="55" t="str">
        <f>HYPERLINK("https://jobright.ai/jobs/info/667ffc7da319fbf7beedd69b?utm_campaign=1052&amp;utm_source=sheet", "Apply")</f>
        <v>Apply</v>
      </c>
      <c r="C713" s="10" t="s">
        <v>10475</v>
      </c>
      <c r="D713" s="56" t="s">
        <v>9623</v>
      </c>
      <c r="E713" s="10">
        <v>52219.0</v>
      </c>
      <c r="G713" s="10" t="s">
        <v>9419</v>
      </c>
      <c r="H713" s="10" t="s">
        <v>201</v>
      </c>
      <c r="I713" s="10" t="s">
        <v>55</v>
      </c>
      <c r="K713" s="10" t="s">
        <v>9624</v>
      </c>
      <c r="L713" s="10" t="s">
        <v>42</v>
      </c>
    </row>
    <row r="714" ht="15.75" customHeight="1">
      <c r="A714" s="64">
        <v>45490.0</v>
      </c>
      <c r="B714" s="55" t="str">
        <f>HYPERLINK("https://jobright.ai/jobs/info/6633d0e645f310233ca3f062?utm_campaign=1052&amp;utm_source=sheet", "Apply")</f>
        <v>Apply</v>
      </c>
      <c r="C714" s="10" t="s">
        <v>10402</v>
      </c>
      <c r="D714" s="56" t="s">
        <v>10403</v>
      </c>
      <c r="E714" s="10" t="s">
        <v>65</v>
      </c>
      <c r="F714" s="10" t="s">
        <v>534</v>
      </c>
      <c r="G714" s="10" t="s">
        <v>9419</v>
      </c>
      <c r="H714" s="10" t="s">
        <v>572</v>
      </c>
      <c r="I714" s="10" t="s">
        <v>55</v>
      </c>
      <c r="J714" s="10" t="s">
        <v>10404</v>
      </c>
      <c r="K714" s="10" t="s">
        <v>10405</v>
      </c>
      <c r="L714" s="10" t="s">
        <v>42</v>
      </c>
    </row>
    <row r="715" ht="15.75" customHeight="1">
      <c r="A715" s="64">
        <v>45490.0</v>
      </c>
      <c r="B715" s="55" t="str">
        <f>HYPERLINK("https://jobright.ai/jobs/info/667b592246c6f972c505d2cb?utm_campaign=1052&amp;utm_source=sheet", "Apply")</f>
        <v>Apply</v>
      </c>
      <c r="C715" s="10" t="s">
        <v>10508</v>
      </c>
      <c r="D715" s="56" t="s">
        <v>9581</v>
      </c>
      <c r="E715" s="10" t="s">
        <v>65</v>
      </c>
      <c r="F715" s="10" t="s">
        <v>722</v>
      </c>
      <c r="G715" s="10" t="s">
        <v>9419</v>
      </c>
      <c r="H715" s="10" t="s">
        <v>9605</v>
      </c>
      <c r="I715" s="10" t="s">
        <v>55</v>
      </c>
      <c r="J715" s="10" t="s">
        <v>9582</v>
      </c>
      <c r="K715" s="10" t="s">
        <v>9603</v>
      </c>
      <c r="L715" s="10" t="s">
        <v>42</v>
      </c>
    </row>
    <row r="716" ht="15.75" customHeight="1">
      <c r="A716" s="64">
        <v>45490.0</v>
      </c>
      <c r="B716" s="55" t="str">
        <f>HYPERLINK("https://jobright.ai/jobs/info/6633d12f45f310233ca3f8bb?utm_campaign=1052&amp;utm_source=sheet", "Apply")</f>
        <v>Apply</v>
      </c>
      <c r="C716" s="10" t="s">
        <v>10402</v>
      </c>
      <c r="D716" s="56" t="s">
        <v>10403</v>
      </c>
      <c r="E716" s="10" t="s">
        <v>65</v>
      </c>
      <c r="F716" s="10" t="s">
        <v>534</v>
      </c>
      <c r="G716" s="10" t="s">
        <v>9419</v>
      </c>
      <c r="H716" s="10" t="s">
        <v>96</v>
      </c>
      <c r="I716" s="10" t="s">
        <v>55</v>
      </c>
      <c r="J716" s="10" t="s">
        <v>10404</v>
      </c>
      <c r="K716" s="10" t="s">
        <v>10405</v>
      </c>
      <c r="L716" s="10" t="s">
        <v>42</v>
      </c>
    </row>
    <row r="717" ht="15.75" customHeight="1">
      <c r="A717" s="64">
        <v>45490.0</v>
      </c>
      <c r="B717" s="55" t="str">
        <f>HYPERLINK("https://jobright.ai/jobs/info/65ec61efc9121a761786676c?utm_campaign=1052&amp;utm_source=sheet", "Apply")</f>
        <v>Apply</v>
      </c>
      <c r="C717" s="10" t="s">
        <v>10509</v>
      </c>
      <c r="D717" s="56" t="s">
        <v>9585</v>
      </c>
      <c r="E717" s="10" t="s">
        <v>65</v>
      </c>
      <c r="F717" s="10" t="s">
        <v>722</v>
      </c>
      <c r="G717" s="10" t="s">
        <v>9419</v>
      </c>
      <c r="H717" s="10" t="s">
        <v>4434</v>
      </c>
      <c r="I717" s="10" t="s">
        <v>55</v>
      </c>
      <c r="K717" s="10" t="s">
        <v>9586</v>
      </c>
      <c r="L717" s="10" t="s">
        <v>42</v>
      </c>
    </row>
    <row r="718" ht="15.75" customHeight="1">
      <c r="A718" s="64">
        <v>45490.0</v>
      </c>
      <c r="B718" s="55" t="str">
        <f>HYPERLINK("https://jobright.ai/jobs/info/667b592246c6f972c505d319?utm_campaign=1052&amp;utm_source=sheet", "Apply")</f>
        <v>Apply</v>
      </c>
      <c r="C718" s="10" t="s">
        <v>10510</v>
      </c>
      <c r="D718" s="56" t="s">
        <v>9581</v>
      </c>
      <c r="E718" s="10" t="s">
        <v>65</v>
      </c>
      <c r="F718" s="10" t="s">
        <v>722</v>
      </c>
      <c r="G718" s="10" t="s">
        <v>9419</v>
      </c>
      <c r="H718" s="10" t="s">
        <v>9605</v>
      </c>
      <c r="I718" s="10" t="s">
        <v>55</v>
      </c>
      <c r="J718" s="10" t="s">
        <v>9582</v>
      </c>
      <c r="K718" s="10" t="s">
        <v>9603</v>
      </c>
      <c r="L718" s="10" t="s">
        <v>42</v>
      </c>
    </row>
    <row r="719" ht="15.75" customHeight="1">
      <c r="A719" s="64">
        <v>45490.0</v>
      </c>
      <c r="B719" s="55" t="str">
        <f>HYPERLINK("https://jobright.ai/jobs/info/665e0f11265ca8b48b452250?utm_campaign=1052&amp;utm_source=sheet", "Apply")</f>
        <v>Apply</v>
      </c>
      <c r="C719" s="10" t="s">
        <v>9517</v>
      </c>
      <c r="D719" s="56" t="s">
        <v>10169</v>
      </c>
      <c r="E719" s="10" t="s">
        <v>45</v>
      </c>
      <c r="F719" s="10" t="s">
        <v>10170</v>
      </c>
      <c r="G719" s="10" t="s">
        <v>1159</v>
      </c>
      <c r="H719" s="10" t="s">
        <v>188</v>
      </c>
      <c r="I719" s="10" t="s">
        <v>55</v>
      </c>
      <c r="J719" s="10" t="s">
        <v>1797</v>
      </c>
      <c r="K719" s="10" t="s">
        <v>10511</v>
      </c>
      <c r="L719" s="10" t="s">
        <v>42</v>
      </c>
    </row>
    <row r="720" ht="15.75" customHeight="1">
      <c r="A720" s="64">
        <v>45490.0</v>
      </c>
      <c r="B720" s="55" t="str">
        <f>HYPERLINK("https://jobright.ai/jobs/info/6677ecd12ffca2bcf66916c4?utm_campaign=1052&amp;utm_source=sheet", "Apply")</f>
        <v>Apply</v>
      </c>
      <c r="C720" s="10" t="s">
        <v>10512</v>
      </c>
      <c r="D720" s="56" t="s">
        <v>9585</v>
      </c>
      <c r="E720" s="10" t="s">
        <v>65</v>
      </c>
      <c r="F720" s="10" t="s">
        <v>722</v>
      </c>
      <c r="G720" s="10" t="s">
        <v>9419</v>
      </c>
      <c r="H720" s="10" t="s">
        <v>108</v>
      </c>
      <c r="I720" s="10" t="s">
        <v>55</v>
      </c>
      <c r="J720" s="64"/>
      <c r="K720" s="10" t="s">
        <v>9586</v>
      </c>
      <c r="L720" s="10" t="s">
        <v>42</v>
      </c>
    </row>
    <row r="721" ht="15.75" customHeight="1">
      <c r="A721" s="64">
        <v>45490.0</v>
      </c>
      <c r="B721" s="55" t="str">
        <f>HYPERLINK("https://jobright.ai/jobs/info/65e70ba14004ccb262ab8ffc?utm_campaign=1052&amp;utm_source=sheet", "Apply")</f>
        <v>Apply</v>
      </c>
      <c r="C721" s="10" t="s">
        <v>10513</v>
      </c>
      <c r="D721" s="56" t="s">
        <v>9585</v>
      </c>
      <c r="E721" s="10" t="s">
        <v>65</v>
      </c>
      <c r="F721" s="10" t="s">
        <v>722</v>
      </c>
      <c r="G721" s="10" t="s">
        <v>9419</v>
      </c>
      <c r="H721" s="10" t="s">
        <v>607</v>
      </c>
      <c r="I721" s="10" t="s">
        <v>55</v>
      </c>
      <c r="K721" s="10" t="s">
        <v>9586</v>
      </c>
      <c r="L721" s="10" t="s">
        <v>42</v>
      </c>
    </row>
    <row r="722" ht="15.75" customHeight="1">
      <c r="A722" s="64">
        <v>45490.0</v>
      </c>
      <c r="B722" s="55" t="str">
        <f>HYPERLINK("https://jobright.ai/jobs/info/662868df092a09c53f51a4a3?utm_campaign=1052&amp;utm_source=sheet", "Apply")</f>
        <v>Apply</v>
      </c>
      <c r="C722" s="10" t="s">
        <v>10514</v>
      </c>
      <c r="D722" s="56" t="s">
        <v>9585</v>
      </c>
      <c r="E722" s="10" t="s">
        <v>65</v>
      </c>
      <c r="F722" s="10" t="s">
        <v>722</v>
      </c>
      <c r="G722" s="10" t="s">
        <v>9419</v>
      </c>
      <c r="H722" s="10" t="s">
        <v>168</v>
      </c>
      <c r="I722" s="10" t="s">
        <v>55</v>
      </c>
      <c r="K722" s="10" t="s">
        <v>9586</v>
      </c>
      <c r="L722" s="10" t="s">
        <v>42</v>
      </c>
    </row>
    <row r="723" ht="15.75" customHeight="1">
      <c r="A723" s="64">
        <v>45490.0</v>
      </c>
      <c r="B723" s="55" t="str">
        <f>HYPERLINK("https://jobright.ai/jobs/info/667b71e720cdb15491e3eb2d?utm_campaign=1052&amp;utm_source=sheet", "Apply")</f>
        <v>Apply</v>
      </c>
      <c r="C723" s="10" t="s">
        <v>9436</v>
      </c>
      <c r="D723" s="56" t="s">
        <v>10515</v>
      </c>
      <c r="E723" s="10" t="s">
        <v>65</v>
      </c>
      <c r="F723" s="10" t="s">
        <v>7649</v>
      </c>
      <c r="G723" s="10" t="s">
        <v>9414</v>
      </c>
      <c r="H723" s="10" t="s">
        <v>10516</v>
      </c>
      <c r="I723" s="10" t="s">
        <v>55</v>
      </c>
      <c r="K723" s="10" t="s">
        <v>10517</v>
      </c>
      <c r="L723" s="10" t="s">
        <v>42</v>
      </c>
    </row>
    <row r="724" ht="15.75" customHeight="1">
      <c r="A724" s="64">
        <v>45490.0</v>
      </c>
      <c r="B724" s="55" t="str">
        <f>HYPERLINK("https://jobright.ai/jobs/info/662868df092a09c53f51a4ab?utm_campaign=1052&amp;utm_source=sheet", "Apply")</f>
        <v>Apply</v>
      </c>
      <c r="C724" s="10" t="s">
        <v>10518</v>
      </c>
      <c r="D724" s="56" t="s">
        <v>9585</v>
      </c>
      <c r="E724" s="10" t="s">
        <v>65</v>
      </c>
      <c r="F724" s="10" t="s">
        <v>722</v>
      </c>
      <c r="G724" s="10" t="s">
        <v>9419</v>
      </c>
      <c r="H724" s="10" t="s">
        <v>10482</v>
      </c>
      <c r="I724" s="10" t="s">
        <v>55</v>
      </c>
      <c r="K724" s="10" t="s">
        <v>9586</v>
      </c>
      <c r="L724" s="10" t="s">
        <v>42</v>
      </c>
    </row>
    <row r="725" ht="15.75" customHeight="1">
      <c r="A725" s="64">
        <v>45490.0</v>
      </c>
      <c r="B725" s="55" t="str">
        <f>HYPERLINK("https://jobright.ai/jobs/info/65e33b4f211d8c991fd229fa?utm_campaign=1052&amp;utm_source=sheet", "Apply")</f>
        <v>Apply</v>
      </c>
      <c r="C725" s="10" t="s">
        <v>10519</v>
      </c>
      <c r="D725" s="56" t="s">
        <v>9585</v>
      </c>
      <c r="E725" s="10" t="s">
        <v>65</v>
      </c>
      <c r="F725" s="10" t="s">
        <v>722</v>
      </c>
      <c r="G725" s="10" t="s">
        <v>9419</v>
      </c>
      <c r="H725" s="10" t="s">
        <v>153</v>
      </c>
      <c r="I725" s="10" t="s">
        <v>55</v>
      </c>
      <c r="K725" s="10" t="s">
        <v>10520</v>
      </c>
      <c r="L725" s="10" t="s">
        <v>42</v>
      </c>
    </row>
    <row r="726" ht="15.75" customHeight="1">
      <c r="A726" s="64">
        <v>45490.0</v>
      </c>
      <c r="B726" s="55" t="str">
        <f>HYPERLINK("https://jobright.ai/jobs/info/6633ddc5229cde7d295558cc?utm_campaign=1052&amp;utm_source=sheet", "Apply")</f>
        <v>Apply</v>
      </c>
      <c r="C726" s="10" t="s">
        <v>10402</v>
      </c>
      <c r="D726" s="56" t="s">
        <v>10403</v>
      </c>
      <c r="E726" s="10" t="s">
        <v>65</v>
      </c>
      <c r="F726" s="10" t="s">
        <v>534</v>
      </c>
      <c r="G726" s="10" t="s">
        <v>9419</v>
      </c>
      <c r="H726" s="10" t="s">
        <v>607</v>
      </c>
      <c r="I726" s="10" t="s">
        <v>55</v>
      </c>
      <c r="J726" s="10" t="s">
        <v>10404</v>
      </c>
      <c r="K726" s="10" t="s">
        <v>10405</v>
      </c>
      <c r="L726" s="10" t="s">
        <v>42</v>
      </c>
    </row>
    <row r="727" ht="15.75" customHeight="1">
      <c r="A727" s="64">
        <v>45490.0</v>
      </c>
      <c r="B727" s="55" t="str">
        <f>HYPERLINK("https://jobright.ai/jobs/info/6633da7a6dd8adf32b3080a1?utm_campaign=1052&amp;utm_source=sheet", "Apply")</f>
        <v>Apply</v>
      </c>
      <c r="C727" s="10" t="s">
        <v>10402</v>
      </c>
      <c r="D727" s="56" t="s">
        <v>10403</v>
      </c>
      <c r="E727" s="10" t="s">
        <v>65</v>
      </c>
      <c r="F727" s="10" t="s">
        <v>534</v>
      </c>
      <c r="G727" s="10" t="s">
        <v>9419</v>
      </c>
      <c r="H727" s="10" t="s">
        <v>153</v>
      </c>
      <c r="I727" s="10" t="s">
        <v>55</v>
      </c>
      <c r="J727" s="10" t="s">
        <v>10404</v>
      </c>
      <c r="K727" s="10" t="s">
        <v>10405</v>
      </c>
      <c r="L727" s="10" t="s">
        <v>42</v>
      </c>
    </row>
    <row r="728" ht="15.75" customHeight="1">
      <c r="A728" s="64">
        <v>45490.0</v>
      </c>
      <c r="B728" s="55" t="str">
        <f>HYPERLINK("https://jobright.ai/jobs/info/667b592246c6f972c505d31d?utm_campaign=1052&amp;utm_source=sheet", "Apply")</f>
        <v>Apply</v>
      </c>
      <c r="C728" s="10" t="s">
        <v>10521</v>
      </c>
      <c r="D728" s="56" t="s">
        <v>9581</v>
      </c>
      <c r="E728" s="10" t="s">
        <v>65</v>
      </c>
      <c r="F728" s="10" t="s">
        <v>722</v>
      </c>
      <c r="G728" s="10" t="s">
        <v>9419</v>
      </c>
      <c r="H728" s="10" t="s">
        <v>5373</v>
      </c>
      <c r="I728" s="10" t="s">
        <v>55</v>
      </c>
      <c r="J728" s="10" t="s">
        <v>9582</v>
      </c>
      <c r="K728" s="10" t="s">
        <v>9603</v>
      </c>
      <c r="L728" s="10" t="s">
        <v>42</v>
      </c>
    </row>
    <row r="729" ht="15.75" customHeight="1">
      <c r="A729" s="64">
        <v>45490.0</v>
      </c>
      <c r="B729" s="55" t="str">
        <f>HYPERLINK("https://jobright.ai/jobs/info/66425108cbe8706b74d83aa5?utm_campaign=1052&amp;utm_source=sheet", "Apply")</f>
        <v>Apply</v>
      </c>
      <c r="C729" s="10" t="s">
        <v>10522</v>
      </c>
      <c r="D729" s="56" t="s">
        <v>9607</v>
      </c>
      <c r="E729" s="10" t="s">
        <v>45</v>
      </c>
      <c r="F729" s="10" t="s">
        <v>722</v>
      </c>
      <c r="G729" s="10" t="s">
        <v>9419</v>
      </c>
      <c r="H729" s="10" t="s">
        <v>1022</v>
      </c>
      <c r="I729" s="10" t="s">
        <v>48</v>
      </c>
      <c r="J729" s="10" t="s">
        <v>9641</v>
      </c>
      <c r="K729" s="10" t="s">
        <v>9609</v>
      </c>
      <c r="L729" s="10" t="s">
        <v>42</v>
      </c>
    </row>
    <row r="730" ht="15.75" customHeight="1">
      <c r="A730" s="64">
        <v>45490.0</v>
      </c>
      <c r="B730" s="55" t="str">
        <f>HYPERLINK("https://jobright.ai/jobs/info/667b7ec97460c095f0edccde?utm_campaign=1052&amp;utm_source=sheet", "Apply")</f>
        <v>Apply</v>
      </c>
      <c r="C730" s="10" t="s">
        <v>10522</v>
      </c>
      <c r="D730" s="56" t="s">
        <v>9607</v>
      </c>
      <c r="E730" s="10" t="s">
        <v>45</v>
      </c>
      <c r="F730" s="10" t="s">
        <v>722</v>
      </c>
      <c r="G730" s="10" t="s">
        <v>9419</v>
      </c>
      <c r="H730" s="10" t="s">
        <v>131</v>
      </c>
      <c r="I730" s="10" t="s">
        <v>48</v>
      </c>
      <c r="J730" s="10" t="s">
        <v>9795</v>
      </c>
      <c r="K730" s="10" t="s">
        <v>9609</v>
      </c>
      <c r="L730" s="10" t="s">
        <v>42</v>
      </c>
    </row>
    <row r="731" ht="15.75" customHeight="1">
      <c r="A731" s="64">
        <v>45490.0</v>
      </c>
      <c r="B731" s="55" t="str">
        <f>HYPERLINK("https://jobright.ai/jobs/info/6693c25e0a9f4673e316682f?utm_campaign=1052&amp;utm_source=sheet", "Apply")</f>
        <v>Apply</v>
      </c>
      <c r="C731" s="10" t="s">
        <v>10402</v>
      </c>
      <c r="D731" s="56" t="s">
        <v>10403</v>
      </c>
      <c r="E731" s="10" t="s">
        <v>65</v>
      </c>
      <c r="F731" s="10" t="s">
        <v>534</v>
      </c>
      <c r="G731" s="10" t="s">
        <v>9419</v>
      </c>
      <c r="H731" s="10" t="s">
        <v>10523</v>
      </c>
      <c r="I731" s="10" t="s">
        <v>55</v>
      </c>
      <c r="J731" s="10" t="s">
        <v>10404</v>
      </c>
      <c r="K731" s="10" t="s">
        <v>10405</v>
      </c>
      <c r="L731" s="10" t="s">
        <v>42</v>
      </c>
    </row>
    <row r="732" ht="15.75" customHeight="1">
      <c r="A732" s="64">
        <v>45490.0</v>
      </c>
      <c r="B732" s="55" t="str">
        <f>HYPERLINK("https://jobright.ai/jobs/info/6633ddc5229cde7d295558cb?utm_campaign=1052&amp;utm_source=sheet", "Apply")</f>
        <v>Apply</v>
      </c>
      <c r="C732" s="10" t="s">
        <v>10402</v>
      </c>
      <c r="D732" s="56" t="s">
        <v>10403</v>
      </c>
      <c r="E732" s="10" t="s">
        <v>65</v>
      </c>
      <c r="F732" s="10" t="s">
        <v>534</v>
      </c>
      <c r="G732" s="10" t="s">
        <v>9419</v>
      </c>
      <c r="H732" s="10" t="s">
        <v>1203</v>
      </c>
      <c r="I732" s="10" t="s">
        <v>55</v>
      </c>
      <c r="J732" s="10" t="s">
        <v>10404</v>
      </c>
      <c r="K732" s="10" t="s">
        <v>10405</v>
      </c>
      <c r="L732" s="10" t="s">
        <v>42</v>
      </c>
    </row>
    <row r="733" ht="15.75" customHeight="1">
      <c r="A733" s="64">
        <v>45490.0</v>
      </c>
      <c r="B733" s="55" t="str">
        <f>HYPERLINK("https://jobright.ai/jobs/info/66976c62b6c85abd22b53a36?utm_campaign=1052&amp;utm_source=sheet", "Apply")</f>
        <v>Apply</v>
      </c>
      <c r="C733" s="10" t="s">
        <v>10524</v>
      </c>
      <c r="D733" s="56" t="s">
        <v>10525</v>
      </c>
      <c r="E733" s="10" t="s">
        <v>45</v>
      </c>
      <c r="F733" s="10" t="s">
        <v>2480</v>
      </c>
      <c r="G733" s="10" t="s">
        <v>9414</v>
      </c>
      <c r="H733" s="10" t="s">
        <v>10526</v>
      </c>
      <c r="I733" s="10" t="s">
        <v>48</v>
      </c>
      <c r="J733" s="10" t="s">
        <v>10527</v>
      </c>
      <c r="K733" s="10" t="s">
        <v>10528</v>
      </c>
      <c r="L733" s="10" t="s">
        <v>42</v>
      </c>
    </row>
    <row r="734" ht="15.75" customHeight="1">
      <c r="A734" s="64">
        <v>45490.0</v>
      </c>
      <c r="B734" s="55" t="str">
        <f>HYPERLINK("https://jobright.ai/jobs/info/6699f9d8a8dbd3e3aece618f?utm_campaign=1052&amp;utm_source=sheet", "Apply")</f>
        <v>Apply</v>
      </c>
      <c r="C734" s="10" t="s">
        <v>10529</v>
      </c>
      <c r="D734" s="56" t="s">
        <v>10030</v>
      </c>
      <c r="E734" s="10">
        <v>25.0</v>
      </c>
      <c r="G734" s="10" t="s">
        <v>1159</v>
      </c>
      <c r="H734" s="10" t="s">
        <v>1013</v>
      </c>
      <c r="I734" s="10" t="s">
        <v>48</v>
      </c>
      <c r="J734" s="10" t="s">
        <v>9551</v>
      </c>
      <c r="K734" s="10" t="s">
        <v>10212</v>
      </c>
      <c r="L734" s="10" t="s">
        <v>42</v>
      </c>
    </row>
    <row r="735" ht="15.75" customHeight="1">
      <c r="A735" s="64">
        <v>45490.0</v>
      </c>
      <c r="B735" s="55" t="str">
        <f>HYPERLINK("https://jobright.ai/jobs/info/6699f4b4818163790035f807?utm_campaign=1052&amp;utm_source=sheet", "Apply")</f>
        <v>Apply</v>
      </c>
      <c r="C735" s="10" t="s">
        <v>10530</v>
      </c>
      <c r="D735" s="56" t="s">
        <v>10030</v>
      </c>
      <c r="E735" s="10">
        <v>25.0</v>
      </c>
      <c r="G735" s="10" t="s">
        <v>9419</v>
      </c>
      <c r="H735" s="10" t="s">
        <v>843</v>
      </c>
      <c r="I735" s="10" t="s">
        <v>55</v>
      </c>
      <c r="K735" s="10" t="s">
        <v>10531</v>
      </c>
      <c r="L735" s="10" t="s">
        <v>42</v>
      </c>
    </row>
    <row r="736" ht="15.75" customHeight="1">
      <c r="A736" s="64">
        <v>45490.0</v>
      </c>
      <c r="B736" s="55" t="str">
        <f>HYPERLINK("https://jobright.ai/jobs/info/669753a45d7825fc35caa19a?utm_campaign=1052&amp;utm_source=sheet", "Apply")</f>
        <v>Apply</v>
      </c>
      <c r="C736" s="10" t="s">
        <v>10532</v>
      </c>
      <c r="D736" s="56" t="s">
        <v>3376</v>
      </c>
      <c r="E736" s="10" t="s">
        <v>45</v>
      </c>
      <c r="F736" s="10" t="s">
        <v>3377</v>
      </c>
      <c r="G736" s="10" t="s">
        <v>9414</v>
      </c>
      <c r="H736" s="10" t="s">
        <v>4799</v>
      </c>
      <c r="I736" s="10" t="s">
        <v>55</v>
      </c>
      <c r="K736" s="10" t="s">
        <v>10533</v>
      </c>
      <c r="L736" s="10" t="s">
        <v>42</v>
      </c>
    </row>
    <row r="737" ht="15.75" customHeight="1">
      <c r="A737" s="64">
        <v>45490.0</v>
      </c>
      <c r="B737" s="55" t="str">
        <f>HYPERLINK("https://jobright.ai/jobs/info/669748cdea99e22770cc977a?utm_campaign=1052&amp;utm_source=sheet", "Apply")</f>
        <v>Apply</v>
      </c>
      <c r="C737" s="10" t="s">
        <v>10534</v>
      </c>
      <c r="D737" s="56" t="s">
        <v>10535</v>
      </c>
      <c r="E737" s="10" t="s">
        <v>137</v>
      </c>
      <c r="F737" s="10" t="s">
        <v>3898</v>
      </c>
      <c r="G737" s="10" t="s">
        <v>1159</v>
      </c>
      <c r="H737" s="10" t="s">
        <v>165</v>
      </c>
      <c r="I737" s="10" t="s">
        <v>48</v>
      </c>
      <c r="K737" s="10" t="s">
        <v>10536</v>
      </c>
      <c r="L737" s="10" t="s">
        <v>42</v>
      </c>
    </row>
    <row r="738" ht="15.75" customHeight="1">
      <c r="A738" s="64">
        <v>45490.0</v>
      </c>
      <c r="B738" s="55" t="str">
        <f>HYPERLINK("https://jobright.ai/jobs/info/6697ad9b1c55d63f4b198e48?utm_campaign=1052&amp;utm_source=sheet", "Apply")</f>
        <v>Apply</v>
      </c>
      <c r="C738" s="10" t="s">
        <v>10537</v>
      </c>
      <c r="D738" s="56" t="s">
        <v>10414</v>
      </c>
      <c r="E738" s="10" t="s">
        <v>65</v>
      </c>
      <c r="F738" s="10" t="s">
        <v>1601</v>
      </c>
      <c r="G738" s="10" t="s">
        <v>9414</v>
      </c>
      <c r="H738" s="10" t="s">
        <v>5258</v>
      </c>
      <c r="I738" s="10" t="s">
        <v>55</v>
      </c>
      <c r="J738" s="10" t="s">
        <v>10416</v>
      </c>
      <c r="K738" s="10" t="s">
        <v>10538</v>
      </c>
      <c r="L738" s="10" t="s">
        <v>42</v>
      </c>
    </row>
    <row r="739" ht="15.75" customHeight="1">
      <c r="A739" s="64">
        <v>45490.0</v>
      </c>
      <c r="B739" s="55" t="str">
        <f>HYPERLINK("https://jobright.ai/jobs/info/6697308c4f77dc04809cc9be?utm_campaign=1052&amp;utm_source=sheet", "Apply")</f>
        <v>Apply</v>
      </c>
      <c r="C739" s="10" t="s">
        <v>10539</v>
      </c>
      <c r="D739" s="56" t="s">
        <v>10540</v>
      </c>
      <c r="E739" s="10" t="s">
        <v>276</v>
      </c>
      <c r="F739" s="10" t="s">
        <v>2950</v>
      </c>
      <c r="G739" s="10" t="s">
        <v>9414</v>
      </c>
      <c r="H739" s="10" t="s">
        <v>106</v>
      </c>
      <c r="I739" s="10" t="s">
        <v>55</v>
      </c>
      <c r="K739" s="10" t="s">
        <v>10541</v>
      </c>
      <c r="L739" s="10" t="s">
        <v>42</v>
      </c>
    </row>
    <row r="740" ht="15.75" customHeight="1">
      <c r="A740" s="64">
        <v>45490.0</v>
      </c>
      <c r="B740" s="55" t="str">
        <f>HYPERLINK("https://jobright.ai/jobs/info/66972d7baf38d385ca871efe?utm_campaign=1052&amp;utm_source=sheet", "Apply")</f>
        <v>Apply</v>
      </c>
      <c r="C740" s="10" t="s">
        <v>10542</v>
      </c>
      <c r="D740" s="56" t="s">
        <v>9418</v>
      </c>
      <c r="E740" s="10" t="s">
        <v>276</v>
      </c>
      <c r="F740" s="10" t="s">
        <v>568</v>
      </c>
      <c r="G740" s="10" t="s">
        <v>9419</v>
      </c>
      <c r="H740" s="10" t="s">
        <v>9420</v>
      </c>
      <c r="I740" s="10" t="s">
        <v>48</v>
      </c>
      <c r="K740" s="10" t="s">
        <v>10449</v>
      </c>
      <c r="L740" s="10" t="s">
        <v>42</v>
      </c>
    </row>
    <row r="741" ht="15.75" customHeight="1">
      <c r="A741" s="64">
        <v>45490.0</v>
      </c>
      <c r="B741" s="55" t="str">
        <f>HYPERLINK("https://jobright.ai/jobs/info/66985b9cbcc7083fede2a62d?utm_campaign=1052&amp;utm_source=sheet", "Apply")</f>
        <v>Apply</v>
      </c>
      <c r="C741" s="10" t="s">
        <v>10543</v>
      </c>
      <c r="D741" s="56" t="s">
        <v>10544</v>
      </c>
      <c r="E741" s="10" t="s">
        <v>276</v>
      </c>
      <c r="F741" s="10" t="s">
        <v>1833</v>
      </c>
      <c r="G741" s="10" t="s">
        <v>1159</v>
      </c>
      <c r="H741" s="10" t="s">
        <v>165</v>
      </c>
      <c r="I741" s="10" t="s">
        <v>55</v>
      </c>
      <c r="K741" s="10" t="s">
        <v>10545</v>
      </c>
      <c r="L741" s="10" t="s">
        <v>42</v>
      </c>
    </row>
    <row r="742" ht="15.75" customHeight="1">
      <c r="A742" s="64">
        <v>45490.0</v>
      </c>
      <c r="B742" s="55" t="str">
        <f>HYPERLINK("https://jobright.ai/jobs/info/66972018784b42e836777a42?utm_campaign=1052&amp;utm_source=sheet", "Apply")</f>
        <v>Apply</v>
      </c>
      <c r="C742" s="10" t="s">
        <v>10546</v>
      </c>
      <c r="D742" s="56" t="s">
        <v>9418</v>
      </c>
      <c r="E742" s="10" t="s">
        <v>276</v>
      </c>
      <c r="F742" s="10" t="s">
        <v>568</v>
      </c>
      <c r="G742" s="10" t="s">
        <v>9419</v>
      </c>
      <c r="H742" s="10" t="s">
        <v>9423</v>
      </c>
      <c r="I742" s="10" t="s">
        <v>48</v>
      </c>
      <c r="K742" s="10" t="s">
        <v>10449</v>
      </c>
      <c r="L742" s="10" t="s">
        <v>42</v>
      </c>
    </row>
    <row r="743" ht="15.75" customHeight="1">
      <c r="A743" s="64">
        <v>45490.0</v>
      </c>
      <c r="B743" s="55" t="str">
        <f>HYPERLINK("https://jobright.ai/jobs/info/669714a442783c0a8d8596d6?utm_campaign=1052&amp;utm_source=sheet", "Apply")</f>
        <v>Apply</v>
      </c>
      <c r="C743" s="10" t="s">
        <v>10534</v>
      </c>
      <c r="D743" s="56" t="s">
        <v>10535</v>
      </c>
      <c r="E743" s="10" t="s">
        <v>137</v>
      </c>
      <c r="F743" s="10" t="s">
        <v>3898</v>
      </c>
      <c r="G743" s="10" t="s">
        <v>1159</v>
      </c>
      <c r="H743" s="10" t="s">
        <v>10547</v>
      </c>
      <c r="I743" s="10" t="s">
        <v>48</v>
      </c>
      <c r="K743" s="10" t="s">
        <v>10536</v>
      </c>
      <c r="L743" s="10" t="s">
        <v>42</v>
      </c>
    </row>
    <row r="744" ht="15.75" customHeight="1">
      <c r="A744" s="64">
        <v>45489.0</v>
      </c>
      <c r="B744" s="55" t="str">
        <f>HYPERLINK("https://jobright.ai/jobs/info/66972013784b42e836777a1a?utm_campaign=1052&amp;utm_source=sheet", "Apply")</f>
        <v>Apply</v>
      </c>
      <c r="C744" s="10" t="s">
        <v>10548</v>
      </c>
      <c r="D744" s="56" t="s">
        <v>10549</v>
      </c>
      <c r="E744" s="10">
        <v>17263.0</v>
      </c>
      <c r="G744" s="10" t="s">
        <v>9419</v>
      </c>
      <c r="H744" s="10" t="s">
        <v>165</v>
      </c>
      <c r="I744" s="10" t="s">
        <v>48</v>
      </c>
      <c r="J744" s="10" t="s">
        <v>10550</v>
      </c>
      <c r="K744" s="10" t="s">
        <v>10551</v>
      </c>
      <c r="L744" s="10" t="s">
        <v>42</v>
      </c>
    </row>
    <row r="745" ht="15.75" customHeight="1">
      <c r="A745" s="64">
        <v>45489.0</v>
      </c>
      <c r="B745" s="55" t="str">
        <f>HYPERLINK("https://jobright.ai/jobs/info/6697126cff29392ce4bfb982?utm_campaign=1052&amp;utm_source=sheet", "Apply")</f>
        <v>Apply</v>
      </c>
      <c r="C745" s="10" t="s">
        <v>9517</v>
      </c>
      <c r="D745" s="56" t="s">
        <v>1863</v>
      </c>
      <c r="E745" s="10" t="s">
        <v>249</v>
      </c>
      <c r="F745" s="10" t="s">
        <v>1864</v>
      </c>
      <c r="G745" s="10" t="s">
        <v>1159</v>
      </c>
      <c r="H745" s="10" t="s">
        <v>1865</v>
      </c>
      <c r="I745" s="10" t="s">
        <v>55</v>
      </c>
      <c r="K745" s="10" t="s">
        <v>10552</v>
      </c>
      <c r="L745" s="10" t="s">
        <v>42</v>
      </c>
    </row>
    <row r="746" ht="15.75" customHeight="1">
      <c r="A746" s="64">
        <v>45489.0</v>
      </c>
      <c r="B746" s="55" t="str">
        <f>HYPERLINK("https://jobright.ai/jobs/info/66970986f69735390cd954bb?utm_campaign=1052&amp;utm_source=sheet", "Apply")</f>
        <v>Apply</v>
      </c>
      <c r="C746" s="10" t="s">
        <v>10553</v>
      </c>
      <c r="D746" s="56" t="s">
        <v>1966</v>
      </c>
      <c r="E746" s="10">
        <v>1209.0</v>
      </c>
      <c r="G746" s="10" t="s">
        <v>9414</v>
      </c>
      <c r="H746" s="10" t="s">
        <v>154</v>
      </c>
      <c r="I746" s="10" t="s">
        <v>55</v>
      </c>
      <c r="J746" s="10" t="s">
        <v>10554</v>
      </c>
      <c r="K746" s="10" t="s">
        <v>10555</v>
      </c>
      <c r="L746" s="10" t="s">
        <v>42</v>
      </c>
    </row>
    <row r="747" ht="15.75" customHeight="1">
      <c r="A747" s="64">
        <v>45489.0</v>
      </c>
      <c r="B747" s="55" t="str">
        <f>HYPERLINK("https://jobright.ai/jobs/info/6696fb5aff384bf5ba3faf66?utm_campaign=1052&amp;utm_source=sheet", "Apply")</f>
        <v>Apply</v>
      </c>
      <c r="C747" s="10" t="s">
        <v>9513</v>
      </c>
      <c r="D747" s="56" t="s">
        <v>10556</v>
      </c>
      <c r="E747" s="10" t="s">
        <v>65</v>
      </c>
      <c r="G747" s="10" t="s">
        <v>9414</v>
      </c>
      <c r="H747" s="10" t="s">
        <v>759</v>
      </c>
      <c r="I747" s="10" t="s">
        <v>48</v>
      </c>
      <c r="J747" s="10" t="s">
        <v>1873</v>
      </c>
      <c r="K747" s="10" t="s">
        <v>10557</v>
      </c>
      <c r="L747" s="10" t="s">
        <v>42</v>
      </c>
    </row>
    <row r="748" ht="15.75" customHeight="1">
      <c r="A748" s="64">
        <v>45489.0</v>
      </c>
      <c r="B748" s="55" t="str">
        <f>HYPERLINK("https://jobright.ai/jobs/info/6697087f1d542bc7ed5a1ec0?utm_campaign=1052&amp;utm_source=sheet", "Apply")</f>
        <v>Apply</v>
      </c>
      <c r="C748" s="10" t="s">
        <v>10558</v>
      </c>
      <c r="D748" s="56" t="s">
        <v>10559</v>
      </c>
      <c r="E748" s="10" t="s">
        <v>209</v>
      </c>
      <c r="F748" s="10" t="s">
        <v>9943</v>
      </c>
      <c r="G748" s="10" t="s">
        <v>9414</v>
      </c>
      <c r="H748" s="10" t="s">
        <v>785</v>
      </c>
      <c r="I748" s="10" t="s">
        <v>55</v>
      </c>
      <c r="K748" s="10" t="s">
        <v>10560</v>
      </c>
      <c r="L748" s="10" t="s">
        <v>42</v>
      </c>
    </row>
    <row r="749" ht="15.75" customHeight="1">
      <c r="A749" s="64">
        <v>45489.0</v>
      </c>
      <c r="B749" s="55" t="str">
        <f>HYPERLINK("https://jobright.ai/jobs/info/6696f4148fdcab953eb0a6c1?utm_campaign=1052&amp;utm_source=sheet", "Apply")</f>
        <v>Apply</v>
      </c>
      <c r="C749" s="10" t="s">
        <v>10145</v>
      </c>
      <c r="D749" s="56" t="s">
        <v>9578</v>
      </c>
      <c r="E749" s="10" t="s">
        <v>65</v>
      </c>
      <c r="F749" s="10" t="s">
        <v>722</v>
      </c>
      <c r="G749" s="10" t="s">
        <v>1159</v>
      </c>
      <c r="H749" s="10" t="s">
        <v>708</v>
      </c>
      <c r="I749" s="10" t="s">
        <v>48</v>
      </c>
      <c r="K749" s="10" t="s">
        <v>9579</v>
      </c>
      <c r="L749" s="10" t="s">
        <v>42</v>
      </c>
    </row>
    <row r="750" ht="15.75" customHeight="1">
      <c r="A750" s="64">
        <v>45489.0</v>
      </c>
      <c r="B750" s="55" t="str">
        <f>HYPERLINK("https://jobright.ai/jobs/info/6696fe8dfa5297ff7b4b1197?utm_campaign=1052&amp;utm_source=sheet", "Apply")</f>
        <v>Apply</v>
      </c>
      <c r="C750" s="10" t="s">
        <v>10561</v>
      </c>
      <c r="D750" s="56" t="s">
        <v>3402</v>
      </c>
      <c r="E750" s="10" t="s">
        <v>45</v>
      </c>
      <c r="F750" s="10" t="s">
        <v>3403</v>
      </c>
      <c r="G750" s="10" t="s">
        <v>9414</v>
      </c>
      <c r="H750" s="10" t="s">
        <v>10562</v>
      </c>
      <c r="I750" s="10" t="s">
        <v>55</v>
      </c>
      <c r="K750" s="10" t="s">
        <v>10563</v>
      </c>
      <c r="L750" s="10" t="s">
        <v>42</v>
      </c>
    </row>
    <row r="751" ht="15.75" customHeight="1">
      <c r="A751" s="64">
        <v>45489.0</v>
      </c>
      <c r="B751" s="55" t="str">
        <f>HYPERLINK("https://jobright.ai/jobs/info/66448ad482e22a1af25d203b?utm_campaign=1052&amp;utm_source=sheet", "Apply")</f>
        <v>Apply</v>
      </c>
      <c r="C751" s="10" t="s">
        <v>10564</v>
      </c>
      <c r="D751" s="56" t="s">
        <v>9695</v>
      </c>
      <c r="E751" s="10" t="s">
        <v>65</v>
      </c>
      <c r="F751" s="10" t="s">
        <v>1312</v>
      </c>
      <c r="G751" s="10" t="s">
        <v>9419</v>
      </c>
      <c r="H751" s="10" t="s">
        <v>154</v>
      </c>
      <c r="I751" s="10" t="s">
        <v>55</v>
      </c>
      <c r="K751" s="10" t="s">
        <v>10565</v>
      </c>
      <c r="L751" s="10" t="s">
        <v>42</v>
      </c>
    </row>
    <row r="752" ht="15.75" customHeight="1">
      <c r="A752" s="64">
        <v>45489.0</v>
      </c>
      <c r="B752" s="55" t="str">
        <f>HYPERLINK("https://jobright.ai/jobs/info/6696f4148fdcab953eb0a6e1?utm_campaign=1052&amp;utm_source=sheet", "Apply")</f>
        <v>Apply</v>
      </c>
      <c r="C752" s="10" t="s">
        <v>10566</v>
      </c>
      <c r="D752" s="56" t="s">
        <v>10567</v>
      </c>
      <c r="E752" s="10" t="s">
        <v>249</v>
      </c>
      <c r="F752" s="10" t="s">
        <v>1084</v>
      </c>
      <c r="G752" s="10" t="s">
        <v>1159</v>
      </c>
      <c r="H752" s="10" t="s">
        <v>113</v>
      </c>
      <c r="I752" s="10" t="s">
        <v>48</v>
      </c>
      <c r="K752" s="10" t="s">
        <v>10568</v>
      </c>
      <c r="L752" s="10" t="s">
        <v>42</v>
      </c>
    </row>
    <row r="753" ht="15.75" customHeight="1">
      <c r="A753" s="64">
        <v>45489.0</v>
      </c>
      <c r="B753" s="55" t="str">
        <f>HYPERLINK("https://jobright.ai/jobs/info/66970c0eac76ee9b417daa62?utm_campaign=1052&amp;utm_source=sheet", "Apply")</f>
        <v>Apply</v>
      </c>
      <c r="C753" s="10" t="s">
        <v>10569</v>
      </c>
      <c r="D753" s="56" t="s">
        <v>10570</v>
      </c>
      <c r="E753" s="10" t="s">
        <v>65</v>
      </c>
      <c r="F753" s="10" t="s">
        <v>1084</v>
      </c>
      <c r="G753" s="10" t="s">
        <v>9414</v>
      </c>
      <c r="H753" s="10" t="s">
        <v>146</v>
      </c>
      <c r="I753" s="10" t="s">
        <v>55</v>
      </c>
      <c r="K753" s="10" t="s">
        <v>10571</v>
      </c>
      <c r="L753" s="10" t="s">
        <v>42</v>
      </c>
    </row>
    <row r="754" ht="15.75" customHeight="1">
      <c r="A754" s="64">
        <v>45489.0</v>
      </c>
      <c r="B754" s="55" t="str">
        <f>HYPERLINK("https://jobright.ai/jobs/info/6696ebe977810d8ddf334e82?utm_campaign=1052&amp;utm_source=sheet", "Apply")</f>
        <v>Apply</v>
      </c>
      <c r="C754" s="10" t="s">
        <v>10572</v>
      </c>
      <c r="D754" s="56" t="s">
        <v>1846</v>
      </c>
      <c r="E754" s="10" t="s">
        <v>45</v>
      </c>
      <c r="F754" s="10" t="s">
        <v>1485</v>
      </c>
      <c r="G754" s="10" t="s">
        <v>9414</v>
      </c>
      <c r="H754" s="10" t="s">
        <v>154</v>
      </c>
      <c r="I754" s="10" t="s">
        <v>55</v>
      </c>
      <c r="K754" s="10" t="s">
        <v>5365</v>
      </c>
      <c r="L754" s="10" t="s">
        <v>42</v>
      </c>
    </row>
    <row r="755" ht="15.75" customHeight="1">
      <c r="A755" s="64">
        <v>45489.0</v>
      </c>
      <c r="B755" s="55" t="str">
        <f>HYPERLINK("https://jobright.ai/jobs/info/6696ebe977810d8ddf334e85?utm_campaign=1052&amp;utm_source=sheet", "Apply")</f>
        <v>Apply</v>
      </c>
      <c r="C755" s="10" t="s">
        <v>10572</v>
      </c>
      <c r="D755" s="56" t="s">
        <v>1846</v>
      </c>
      <c r="E755" s="10" t="s">
        <v>45</v>
      </c>
      <c r="F755" s="10" t="s">
        <v>1485</v>
      </c>
      <c r="G755" s="10" t="s">
        <v>9414</v>
      </c>
      <c r="H755" s="10" t="s">
        <v>994</v>
      </c>
      <c r="I755" s="10" t="s">
        <v>55</v>
      </c>
      <c r="K755" s="10" t="s">
        <v>5365</v>
      </c>
      <c r="L755" s="10" t="s">
        <v>42</v>
      </c>
    </row>
    <row r="756" ht="15.75" customHeight="1">
      <c r="A756" s="64">
        <v>45489.0</v>
      </c>
      <c r="B756" s="55" t="str">
        <f>HYPERLINK("https://jobright.ai/jobs/info/6696ebe977810d8ddf334e57?utm_campaign=1052&amp;utm_source=sheet", "Apply")</f>
        <v>Apply</v>
      </c>
      <c r="C756" s="10" t="s">
        <v>10572</v>
      </c>
      <c r="D756" s="56" t="s">
        <v>1846</v>
      </c>
      <c r="E756" s="10" t="s">
        <v>45</v>
      </c>
      <c r="F756" s="10" t="s">
        <v>1485</v>
      </c>
      <c r="G756" s="10" t="s">
        <v>9414</v>
      </c>
      <c r="H756" s="10" t="s">
        <v>794</v>
      </c>
      <c r="I756" s="10" t="s">
        <v>55</v>
      </c>
      <c r="K756" s="10" t="s">
        <v>5365</v>
      </c>
      <c r="L756" s="10" t="s">
        <v>42</v>
      </c>
    </row>
    <row r="757" ht="15.75" customHeight="1">
      <c r="A757" s="64">
        <v>45489.0</v>
      </c>
      <c r="B757" s="55" t="str">
        <f>HYPERLINK("https://jobright.ai/jobs/info/668c00b20bcedeecb9547d82?utm_campaign=1052&amp;utm_source=sheet", "Apply")</f>
        <v>Apply</v>
      </c>
      <c r="C757" s="10" t="s">
        <v>10573</v>
      </c>
      <c r="D757" s="56" t="s">
        <v>3211</v>
      </c>
      <c r="E757" s="10" t="s">
        <v>45</v>
      </c>
      <c r="F757" s="10" t="s">
        <v>3212</v>
      </c>
      <c r="G757" s="10" t="s">
        <v>1159</v>
      </c>
      <c r="H757" s="10" t="s">
        <v>1022</v>
      </c>
      <c r="I757" s="10" t="s">
        <v>55</v>
      </c>
      <c r="J757" s="64"/>
      <c r="K757" s="10" t="s">
        <v>10574</v>
      </c>
      <c r="L757" s="10" t="s">
        <v>42</v>
      </c>
    </row>
    <row r="758" ht="15.75" customHeight="1">
      <c r="A758" s="64">
        <v>45489.0</v>
      </c>
      <c r="B758" s="55" t="str">
        <f>HYPERLINK("https://jobright.ai/jobs/info/6696eb4e8d504cef49ac38f0?utm_campaign=1052&amp;utm_source=sheet", "Apply")</f>
        <v>Apply</v>
      </c>
      <c r="C758" s="10" t="s">
        <v>10575</v>
      </c>
      <c r="D758" s="56" t="s">
        <v>10576</v>
      </c>
      <c r="E758" s="10" t="s">
        <v>45</v>
      </c>
      <c r="F758" s="10" t="s">
        <v>1312</v>
      </c>
      <c r="G758" s="10" t="s">
        <v>9414</v>
      </c>
      <c r="H758" s="10" t="s">
        <v>10577</v>
      </c>
      <c r="I758" s="10" t="s">
        <v>48</v>
      </c>
      <c r="K758" s="10" t="s">
        <v>10578</v>
      </c>
      <c r="L758" s="10" t="s">
        <v>42</v>
      </c>
    </row>
    <row r="759" ht="15.75" customHeight="1">
      <c r="A759" s="64">
        <v>45489.0</v>
      </c>
      <c r="B759" s="55" t="str">
        <f>HYPERLINK("https://jobright.ai/jobs/info/6696d73823e2470fcdc1a690?utm_campaign=1052&amp;utm_source=sheet", "Apply")</f>
        <v>Apply</v>
      </c>
      <c r="C759" s="10" t="s">
        <v>10579</v>
      </c>
      <c r="D759" s="56" t="s">
        <v>10580</v>
      </c>
      <c r="E759" s="10" t="s">
        <v>276</v>
      </c>
      <c r="F759" s="10" t="s">
        <v>3382</v>
      </c>
      <c r="G759" s="10" t="s">
        <v>9419</v>
      </c>
      <c r="H759" s="10" t="s">
        <v>434</v>
      </c>
      <c r="I759" s="10" t="s">
        <v>48</v>
      </c>
      <c r="J759" s="10" t="s">
        <v>7363</v>
      </c>
      <c r="K759" s="10" t="s">
        <v>10581</v>
      </c>
      <c r="L759" s="10" t="s">
        <v>42</v>
      </c>
    </row>
    <row r="760" ht="15.75" customHeight="1">
      <c r="A760" s="64">
        <v>45489.0</v>
      </c>
      <c r="B760" s="55" t="str">
        <f>HYPERLINK("https://jobright.ai/jobs/info/6696dac72f83dd9d179ecb0a?utm_campaign=1052&amp;utm_source=sheet", "Apply")</f>
        <v>Apply</v>
      </c>
      <c r="C760" s="10" t="s">
        <v>10546</v>
      </c>
      <c r="D760" s="56" t="s">
        <v>9418</v>
      </c>
      <c r="E760" s="10" t="s">
        <v>276</v>
      </c>
      <c r="F760" s="10" t="s">
        <v>568</v>
      </c>
      <c r="G760" s="10" t="s">
        <v>9419</v>
      </c>
      <c r="H760" s="10" t="s">
        <v>4001</v>
      </c>
      <c r="I760" s="10" t="s">
        <v>55</v>
      </c>
      <c r="K760" s="10" t="s">
        <v>10449</v>
      </c>
      <c r="L760" s="10" t="s">
        <v>42</v>
      </c>
    </row>
    <row r="761" ht="15.75" customHeight="1">
      <c r="A761" s="64">
        <v>45489.0</v>
      </c>
      <c r="B761" s="55" t="str">
        <f>HYPERLINK("https://jobright.ai/jobs/info/6696dac72f83dd9d179ecb0b?utm_campaign=1052&amp;utm_source=sheet", "Apply")</f>
        <v>Apply</v>
      </c>
      <c r="C761" s="10" t="s">
        <v>10542</v>
      </c>
      <c r="D761" s="56" t="s">
        <v>9418</v>
      </c>
      <c r="E761" s="10" t="s">
        <v>276</v>
      </c>
      <c r="F761" s="10" t="s">
        <v>568</v>
      </c>
      <c r="G761" s="10" t="s">
        <v>9419</v>
      </c>
      <c r="H761" s="10" t="s">
        <v>4001</v>
      </c>
      <c r="I761" s="10" t="s">
        <v>55</v>
      </c>
      <c r="K761" s="10" t="s">
        <v>10449</v>
      </c>
      <c r="L761" s="10" t="s">
        <v>42</v>
      </c>
    </row>
    <row r="762" ht="15.75" customHeight="1">
      <c r="A762" s="64">
        <v>45489.0</v>
      </c>
      <c r="B762" s="55" t="str">
        <f>HYPERLINK("https://jobright.ai/jobs/info/6696dac72f83dd9d179ecb0d?utm_campaign=1052&amp;utm_source=sheet", "Apply")</f>
        <v>Apply</v>
      </c>
      <c r="C762" s="10" t="s">
        <v>9422</v>
      </c>
      <c r="D762" s="56" t="s">
        <v>9418</v>
      </c>
      <c r="E762" s="10" t="s">
        <v>276</v>
      </c>
      <c r="F762" s="10" t="s">
        <v>568</v>
      </c>
      <c r="G762" s="10" t="s">
        <v>9419</v>
      </c>
      <c r="H762" s="10" t="s">
        <v>4208</v>
      </c>
      <c r="I762" s="10" t="s">
        <v>48</v>
      </c>
      <c r="K762" s="10" t="s">
        <v>10449</v>
      </c>
      <c r="L762" s="10" t="s">
        <v>42</v>
      </c>
    </row>
    <row r="763" ht="15.75" customHeight="1">
      <c r="A763" s="64">
        <v>45489.0</v>
      </c>
      <c r="B763" s="55" t="str">
        <f>HYPERLINK("https://jobright.ai/jobs/info/6696f44e8fdcab953eb0abac?utm_campaign=1052&amp;utm_source=sheet", "Apply")</f>
        <v>Apply</v>
      </c>
      <c r="C763" s="10" t="s">
        <v>9846</v>
      </c>
      <c r="D763" s="56" t="s">
        <v>9418</v>
      </c>
      <c r="E763" s="10" t="s">
        <v>276</v>
      </c>
      <c r="F763" s="10" t="s">
        <v>568</v>
      </c>
      <c r="G763" s="10" t="s">
        <v>1159</v>
      </c>
      <c r="H763" s="10" t="s">
        <v>4001</v>
      </c>
      <c r="I763" s="10" t="s">
        <v>55</v>
      </c>
      <c r="K763" s="10" t="s">
        <v>10449</v>
      </c>
      <c r="L763" s="10" t="s">
        <v>42</v>
      </c>
    </row>
    <row r="764" ht="15.75" customHeight="1">
      <c r="A764" s="64">
        <v>45489.0</v>
      </c>
      <c r="B764" s="55" t="str">
        <f>HYPERLINK("https://jobright.ai/jobs/info/6696cadc9062f6e9133d18ee?utm_campaign=1052&amp;utm_source=sheet", "Apply")</f>
        <v>Apply</v>
      </c>
      <c r="C764" s="10" t="s">
        <v>10582</v>
      </c>
      <c r="D764" s="56" t="s">
        <v>10580</v>
      </c>
      <c r="E764" s="10" t="s">
        <v>276</v>
      </c>
      <c r="F764" s="10" t="s">
        <v>3382</v>
      </c>
      <c r="G764" s="10" t="s">
        <v>9419</v>
      </c>
      <c r="H764" s="10" t="s">
        <v>113</v>
      </c>
      <c r="I764" s="10" t="s">
        <v>48</v>
      </c>
      <c r="J764" s="10" t="s">
        <v>7363</v>
      </c>
      <c r="K764" s="10" t="s">
        <v>10581</v>
      </c>
      <c r="L764" s="10" t="s">
        <v>42</v>
      </c>
    </row>
    <row r="765" ht="15.75" customHeight="1">
      <c r="A765" s="64">
        <v>45489.0</v>
      </c>
      <c r="B765" s="55" t="str">
        <f>HYPERLINK("https://jobright.ai/jobs/info/6696bf6fcb1ab9274b8bd385?utm_campaign=1052&amp;utm_source=sheet", "Apply")</f>
        <v>Apply</v>
      </c>
      <c r="C765" s="10" t="s">
        <v>10583</v>
      </c>
      <c r="D765" s="56" t="s">
        <v>9821</v>
      </c>
      <c r="E765" s="10" t="s">
        <v>45</v>
      </c>
      <c r="F765" s="10" t="s">
        <v>3594</v>
      </c>
      <c r="G765" s="10" t="s">
        <v>9414</v>
      </c>
      <c r="H765" s="10" t="s">
        <v>989</v>
      </c>
      <c r="I765" s="10" t="s">
        <v>55</v>
      </c>
      <c r="J765" s="10" t="s">
        <v>6003</v>
      </c>
      <c r="K765" s="10" t="s">
        <v>10584</v>
      </c>
      <c r="L765" s="10" t="s">
        <v>42</v>
      </c>
    </row>
    <row r="766" ht="15.75" customHeight="1">
      <c r="A766" s="64">
        <v>45489.0</v>
      </c>
      <c r="B766" s="55" t="str">
        <f>HYPERLINK("https://jobright.ai/jobs/info/66744a7988040d7a1d92cad1?utm_campaign=1052&amp;utm_source=sheet", "Apply")</f>
        <v>Apply</v>
      </c>
      <c r="C766" s="10" t="s">
        <v>10585</v>
      </c>
      <c r="D766" s="56" t="s">
        <v>1158</v>
      </c>
      <c r="E766" s="10" t="s">
        <v>276</v>
      </c>
      <c r="F766" s="10" t="s">
        <v>1159</v>
      </c>
      <c r="G766" s="10" t="s">
        <v>9414</v>
      </c>
      <c r="H766" s="10" t="s">
        <v>1160</v>
      </c>
      <c r="I766" s="10" t="s">
        <v>55</v>
      </c>
      <c r="K766" s="10" t="s">
        <v>10586</v>
      </c>
      <c r="L766" s="10" t="s">
        <v>42</v>
      </c>
    </row>
    <row r="767" ht="15.75" customHeight="1">
      <c r="A767" s="64">
        <v>45489.0</v>
      </c>
      <c r="B767" s="55" t="str">
        <f>HYPERLINK("https://jobright.ai/jobs/info/6696b792c03b5b865a71670f?utm_campaign=1052&amp;utm_source=sheet", "Apply")</f>
        <v>Apply</v>
      </c>
      <c r="C767" s="10" t="s">
        <v>10539</v>
      </c>
      <c r="D767" s="56" t="s">
        <v>10540</v>
      </c>
      <c r="E767" s="10" t="s">
        <v>276</v>
      </c>
      <c r="F767" s="10" t="s">
        <v>2950</v>
      </c>
      <c r="G767" s="10" t="s">
        <v>9414</v>
      </c>
      <c r="H767" s="10" t="s">
        <v>2654</v>
      </c>
      <c r="I767" s="10" t="s">
        <v>55</v>
      </c>
      <c r="K767" s="10" t="s">
        <v>10587</v>
      </c>
      <c r="L767" s="10" t="s">
        <v>42</v>
      </c>
    </row>
    <row r="768" ht="15.75" customHeight="1">
      <c r="A768" s="64">
        <v>45489.0</v>
      </c>
      <c r="B768" s="55" t="str">
        <f>HYPERLINK("https://jobright.ai/jobs/info/6696a9e0d7f80cba36b69784?utm_campaign=1052&amp;utm_source=sheet", "Apply")</f>
        <v>Apply</v>
      </c>
      <c r="C768" s="10" t="s">
        <v>9517</v>
      </c>
      <c r="D768" s="56" t="s">
        <v>10588</v>
      </c>
      <c r="E768" s="10" t="s">
        <v>79</v>
      </c>
      <c r="F768" s="10" t="s">
        <v>259</v>
      </c>
      <c r="G768" s="10" t="s">
        <v>1159</v>
      </c>
      <c r="H768" s="10" t="s">
        <v>10589</v>
      </c>
      <c r="I768" s="10" t="s">
        <v>55</v>
      </c>
      <c r="K768" s="10" t="s">
        <v>10590</v>
      </c>
      <c r="L768" s="10" t="s">
        <v>42</v>
      </c>
    </row>
    <row r="769" ht="15.75" customHeight="1">
      <c r="A769" s="64">
        <v>45489.0</v>
      </c>
      <c r="B769" s="55" t="str">
        <f>HYPERLINK("https://jobright.ai/jobs/info/6696a9e0d7f80cba36b6972b?utm_campaign=1052&amp;utm_source=sheet", "Apply")</f>
        <v>Apply</v>
      </c>
      <c r="C769" s="10" t="s">
        <v>10591</v>
      </c>
      <c r="D769" s="56" t="s">
        <v>9821</v>
      </c>
      <c r="E769" s="10" t="s">
        <v>45</v>
      </c>
      <c r="F769" s="10" t="s">
        <v>3594</v>
      </c>
      <c r="G769" s="10" t="s">
        <v>9414</v>
      </c>
      <c r="H769" s="10" t="s">
        <v>10592</v>
      </c>
      <c r="I769" s="10" t="s">
        <v>48</v>
      </c>
      <c r="K769" s="10" t="s">
        <v>10593</v>
      </c>
      <c r="L769" s="10" t="s">
        <v>42</v>
      </c>
    </row>
    <row r="770" ht="15.75" customHeight="1">
      <c r="A770" s="64">
        <v>45489.0</v>
      </c>
      <c r="B770" s="55" t="str">
        <f>HYPERLINK("https://jobright.ai/jobs/info/669be73d1d8081904b2703c1?utm_campaign=1052&amp;utm_source=sheet", "Apply")</f>
        <v>Apply</v>
      </c>
      <c r="C770" s="10" t="s">
        <v>10594</v>
      </c>
      <c r="D770" s="56" t="s">
        <v>10030</v>
      </c>
      <c r="E770" s="10">
        <v>25.0</v>
      </c>
      <c r="G770" s="10" t="s">
        <v>1159</v>
      </c>
      <c r="H770" s="10" t="s">
        <v>1263</v>
      </c>
      <c r="I770" s="10" t="s">
        <v>55</v>
      </c>
      <c r="J770" s="10" t="s">
        <v>10595</v>
      </c>
      <c r="K770" s="10" t="s">
        <v>10596</v>
      </c>
      <c r="L770" s="10" t="s">
        <v>42</v>
      </c>
    </row>
    <row r="771" ht="15.75" customHeight="1">
      <c r="A771" s="64">
        <v>45489.0</v>
      </c>
      <c r="B771" s="55" t="str">
        <f>HYPERLINK("https://jobright.ai/jobs/info/668c7ca4b17b35a9ab810fc8?utm_campaign=1052&amp;utm_source=sheet", "Apply")</f>
        <v>Apply</v>
      </c>
      <c r="C771" s="10" t="s">
        <v>10597</v>
      </c>
      <c r="D771" s="56" t="s">
        <v>1273</v>
      </c>
      <c r="E771" s="10" t="s">
        <v>45</v>
      </c>
      <c r="F771" s="10" t="s">
        <v>1274</v>
      </c>
      <c r="G771" s="10" t="s">
        <v>9414</v>
      </c>
      <c r="H771" s="10" t="s">
        <v>2154</v>
      </c>
      <c r="I771" s="10" t="s">
        <v>55</v>
      </c>
      <c r="K771" s="10" t="s">
        <v>10598</v>
      </c>
      <c r="L771" s="10" t="s">
        <v>42</v>
      </c>
    </row>
    <row r="772" ht="15.75" customHeight="1">
      <c r="A772" s="64">
        <v>45489.0</v>
      </c>
      <c r="B772" s="55" t="str">
        <f>HYPERLINK("https://jobright.ai/jobs/info/669fcdf29720391081d196b8?utm_campaign=1052&amp;utm_source=sheet", "Apply")</f>
        <v>Apply</v>
      </c>
      <c r="C772" s="10" t="s">
        <v>10467</v>
      </c>
      <c r="D772" s="56" t="s">
        <v>10468</v>
      </c>
      <c r="E772" s="10" t="s">
        <v>45</v>
      </c>
      <c r="F772" s="10" t="s">
        <v>10469</v>
      </c>
      <c r="G772" s="10" t="s">
        <v>9419</v>
      </c>
      <c r="H772" s="10" t="s">
        <v>9476</v>
      </c>
      <c r="I772" s="10" t="s">
        <v>55</v>
      </c>
      <c r="J772" s="10" t="s">
        <v>581</v>
      </c>
      <c r="K772" s="10" t="s">
        <v>10471</v>
      </c>
      <c r="L772" s="10" t="s">
        <v>42</v>
      </c>
    </row>
    <row r="773" ht="15.75" customHeight="1">
      <c r="A773" s="64">
        <v>45489.0</v>
      </c>
      <c r="B773" s="55" t="str">
        <f>HYPERLINK("https://jobright.ai/jobs/info/66969a826df5fce96b1b6a35?utm_campaign=1052&amp;utm_source=sheet", "Apply")</f>
        <v>Apply</v>
      </c>
      <c r="C773" s="10" t="s">
        <v>10174</v>
      </c>
      <c r="D773" s="56" t="s">
        <v>9550</v>
      </c>
      <c r="E773" s="10" t="s">
        <v>249</v>
      </c>
      <c r="F773" s="10" t="s">
        <v>722</v>
      </c>
      <c r="G773" s="10" t="s">
        <v>1159</v>
      </c>
      <c r="H773" s="10" t="s">
        <v>9732</v>
      </c>
      <c r="I773" s="10" t="s">
        <v>48</v>
      </c>
      <c r="J773" s="10" t="s">
        <v>1616</v>
      </c>
      <c r="K773" s="10" t="s">
        <v>10355</v>
      </c>
      <c r="L773" s="10" t="s">
        <v>42</v>
      </c>
    </row>
    <row r="774" ht="15.75" customHeight="1">
      <c r="A774" s="64">
        <v>45489.0</v>
      </c>
      <c r="B774" s="55" t="str">
        <f>HYPERLINK("https://jobright.ai/jobs/info/669fc94cfa502da757865097?utm_campaign=1052&amp;utm_source=sheet", "Apply")</f>
        <v>Apply</v>
      </c>
      <c r="C774" s="10" t="s">
        <v>10467</v>
      </c>
      <c r="D774" s="56" t="s">
        <v>10468</v>
      </c>
      <c r="E774" s="10" t="s">
        <v>45</v>
      </c>
      <c r="F774" s="10" t="s">
        <v>10469</v>
      </c>
      <c r="G774" s="10" t="s">
        <v>9419</v>
      </c>
      <c r="H774" s="10" t="s">
        <v>1254</v>
      </c>
      <c r="I774" s="10" t="s">
        <v>55</v>
      </c>
      <c r="J774" s="10" t="s">
        <v>581</v>
      </c>
      <c r="K774" s="10" t="s">
        <v>10471</v>
      </c>
      <c r="L774" s="10" t="s">
        <v>42</v>
      </c>
    </row>
    <row r="775" ht="15.75" customHeight="1">
      <c r="A775" s="64">
        <v>45489.0</v>
      </c>
      <c r="B775" s="55" t="str">
        <f>HYPERLINK("https://jobright.ai/jobs/info/66992a0551cbb3cd564b43fe?utm_campaign=1052&amp;utm_source=sheet", "Apply")</f>
        <v>Apply</v>
      </c>
      <c r="C775" s="10" t="s">
        <v>10599</v>
      </c>
      <c r="D775" s="56" t="s">
        <v>1094</v>
      </c>
      <c r="E775" s="10" t="s">
        <v>45</v>
      </c>
      <c r="F775" s="10" t="s">
        <v>731</v>
      </c>
      <c r="G775" s="10" t="s">
        <v>9414</v>
      </c>
      <c r="H775" s="10" t="s">
        <v>965</v>
      </c>
      <c r="I775" s="10" t="s">
        <v>55</v>
      </c>
      <c r="K775" s="10" t="s">
        <v>10600</v>
      </c>
      <c r="L775" s="10" t="s">
        <v>42</v>
      </c>
    </row>
    <row r="776" ht="15.75" customHeight="1">
      <c r="A776" s="64">
        <v>45489.0</v>
      </c>
      <c r="B776" s="55" t="str">
        <f>HYPERLINK("https://jobright.ai/jobs/info/669696d2af0fd9c2a227e618?utm_campaign=1052&amp;utm_source=sheet", "Apply")</f>
        <v>Apply</v>
      </c>
      <c r="C776" s="10" t="s">
        <v>10184</v>
      </c>
      <c r="D776" s="56" t="s">
        <v>10185</v>
      </c>
      <c r="E776" s="10" t="s">
        <v>276</v>
      </c>
      <c r="F776" s="10" t="s">
        <v>3382</v>
      </c>
      <c r="G776" s="10" t="s">
        <v>1159</v>
      </c>
      <c r="H776" s="10" t="s">
        <v>113</v>
      </c>
      <c r="I776" s="10" t="s">
        <v>55</v>
      </c>
      <c r="J776" s="10" t="s">
        <v>9551</v>
      </c>
      <c r="K776" s="10" t="s">
        <v>10186</v>
      </c>
      <c r="L776" s="10" t="s">
        <v>42</v>
      </c>
    </row>
    <row r="777" ht="15.75" customHeight="1">
      <c r="A777" s="64">
        <v>45489.0</v>
      </c>
      <c r="B777" s="55" t="str">
        <f>HYPERLINK("https://jobright.ai/jobs/info/669d0ef1882781b0ee6b955a?utm_campaign=1052&amp;utm_source=sheet", "Apply")</f>
        <v>Apply</v>
      </c>
      <c r="C777" s="10" t="s">
        <v>9517</v>
      </c>
      <c r="D777" s="56" t="s">
        <v>10601</v>
      </c>
      <c r="E777" s="10" t="s">
        <v>137</v>
      </c>
      <c r="F777" s="10" t="s">
        <v>10602</v>
      </c>
      <c r="G777" s="10" t="s">
        <v>1159</v>
      </c>
      <c r="H777" s="10" t="s">
        <v>10603</v>
      </c>
      <c r="I777" s="10" t="s">
        <v>55</v>
      </c>
      <c r="J777" s="10" t="s">
        <v>10604</v>
      </c>
      <c r="K777" s="10" t="s">
        <v>10605</v>
      </c>
      <c r="L777" s="10" t="s">
        <v>42</v>
      </c>
    </row>
    <row r="778" ht="15.75" customHeight="1">
      <c r="A778" s="64">
        <v>45489.0</v>
      </c>
      <c r="B778" s="55" t="str">
        <f>HYPERLINK("https://jobright.ai/jobs/info/669d0a6804c007d24af47d1b?utm_campaign=1052&amp;utm_source=sheet", "Apply")</f>
        <v>Apply</v>
      </c>
      <c r="C778" s="10" t="s">
        <v>10606</v>
      </c>
      <c r="D778" s="56" t="s">
        <v>1094</v>
      </c>
      <c r="E778" s="10" t="s">
        <v>45</v>
      </c>
      <c r="F778" s="10" t="s">
        <v>731</v>
      </c>
      <c r="G778" s="10" t="s">
        <v>9414</v>
      </c>
      <c r="H778" s="10" t="s">
        <v>96</v>
      </c>
      <c r="I778" s="10" t="s">
        <v>55</v>
      </c>
      <c r="K778" s="10" t="s">
        <v>10600</v>
      </c>
      <c r="L778" s="10" t="s">
        <v>42</v>
      </c>
    </row>
    <row r="779" ht="15.75" customHeight="1">
      <c r="A779" s="64">
        <v>45489.0</v>
      </c>
      <c r="B779" s="55" t="str">
        <f>HYPERLINK("https://jobright.ai/jobs/info/669e5e3076c6144940234b2e?utm_campaign=1052&amp;utm_source=sheet", "Apply")</f>
        <v>Apply</v>
      </c>
      <c r="C779" s="10" t="s">
        <v>9517</v>
      </c>
      <c r="D779" s="56" t="s">
        <v>10607</v>
      </c>
      <c r="E779" s="10" t="s">
        <v>276</v>
      </c>
      <c r="F779" s="10" t="s">
        <v>10608</v>
      </c>
      <c r="G779" s="10" t="s">
        <v>1159</v>
      </c>
      <c r="H779" s="10" t="s">
        <v>6066</v>
      </c>
      <c r="I779" s="10" t="s">
        <v>55</v>
      </c>
      <c r="J779" s="10" t="s">
        <v>10609</v>
      </c>
      <c r="K779" s="10" t="s">
        <v>10610</v>
      </c>
      <c r="L779" s="10" t="s">
        <v>42</v>
      </c>
    </row>
    <row r="780" ht="15.75" customHeight="1">
      <c r="A780" s="64">
        <v>45489.0</v>
      </c>
      <c r="B780" s="55" t="str">
        <f>HYPERLINK("https://jobright.ai/jobs/info/66990ed573d5af3493603d67?utm_campaign=1052&amp;utm_source=sheet", "Apply")</f>
        <v>Apply</v>
      </c>
      <c r="C780" s="10" t="s">
        <v>10611</v>
      </c>
      <c r="D780" s="56" t="s">
        <v>1094</v>
      </c>
      <c r="E780" s="10" t="s">
        <v>45</v>
      </c>
      <c r="F780" s="10" t="s">
        <v>731</v>
      </c>
      <c r="G780" s="10" t="s">
        <v>9414</v>
      </c>
      <c r="H780" s="10" t="s">
        <v>113</v>
      </c>
      <c r="I780" s="10" t="s">
        <v>55</v>
      </c>
      <c r="K780" s="10" t="s">
        <v>9764</v>
      </c>
      <c r="L780" s="10" t="s">
        <v>42</v>
      </c>
    </row>
    <row r="781" ht="15.75" customHeight="1">
      <c r="A781" s="64">
        <v>45489.0</v>
      </c>
      <c r="B781" s="55" t="str">
        <f>HYPERLINK("https://jobright.ai/jobs/info/66990bbac8a59dc96df53adb?utm_campaign=1052&amp;utm_source=sheet", "Apply")</f>
        <v>Apply</v>
      </c>
      <c r="C781" s="10" t="s">
        <v>10612</v>
      </c>
      <c r="D781" s="56" t="s">
        <v>1094</v>
      </c>
      <c r="E781" s="10" t="s">
        <v>45</v>
      </c>
      <c r="F781" s="10" t="s">
        <v>731</v>
      </c>
      <c r="G781" s="10" t="s">
        <v>9414</v>
      </c>
      <c r="H781" s="10" t="s">
        <v>965</v>
      </c>
      <c r="I781" s="10" t="s">
        <v>55</v>
      </c>
      <c r="K781" s="10" t="s">
        <v>10600</v>
      </c>
      <c r="L781" s="10" t="s">
        <v>42</v>
      </c>
    </row>
    <row r="782" ht="15.75" customHeight="1">
      <c r="A782" s="64">
        <v>45489.0</v>
      </c>
      <c r="B782" s="55" t="str">
        <f>HYPERLINK("https://jobright.ai/jobs/info/6699002f3ff35d25bbba37fe?utm_campaign=1052&amp;utm_source=sheet", "Apply")</f>
        <v>Apply</v>
      </c>
      <c r="C782" s="10" t="s">
        <v>10613</v>
      </c>
      <c r="D782" s="56" t="s">
        <v>1094</v>
      </c>
      <c r="E782" s="10" t="s">
        <v>45</v>
      </c>
      <c r="F782" s="10" t="s">
        <v>731</v>
      </c>
      <c r="G782" s="10" t="s">
        <v>1159</v>
      </c>
      <c r="H782" s="10" t="s">
        <v>803</v>
      </c>
      <c r="I782" s="10" t="s">
        <v>55</v>
      </c>
      <c r="K782" s="10" t="s">
        <v>10600</v>
      </c>
      <c r="L782" s="10" t="s">
        <v>42</v>
      </c>
    </row>
    <row r="783" ht="15.75" customHeight="1">
      <c r="A783" s="64">
        <v>45489.0</v>
      </c>
      <c r="B783" s="55" t="str">
        <f>HYPERLINK("https://jobright.ai/jobs/info/6679a405278f72d4fa97d705?utm_campaign=1052&amp;utm_source=sheet", "Apply")</f>
        <v>Apply</v>
      </c>
      <c r="C783" s="10" t="s">
        <v>10614</v>
      </c>
      <c r="D783" s="56" t="s">
        <v>9761</v>
      </c>
      <c r="E783" s="10" t="s">
        <v>45</v>
      </c>
      <c r="F783" s="10" t="s">
        <v>2534</v>
      </c>
      <c r="G783" s="10" t="s">
        <v>1159</v>
      </c>
      <c r="H783" s="10" t="s">
        <v>113</v>
      </c>
      <c r="I783" s="10" t="s">
        <v>55</v>
      </c>
      <c r="K783" s="10" t="s">
        <v>10615</v>
      </c>
      <c r="L783" s="10" t="s">
        <v>42</v>
      </c>
    </row>
    <row r="784" ht="15.75" customHeight="1">
      <c r="A784" s="64">
        <v>45489.0</v>
      </c>
      <c r="B784" s="55" t="str">
        <f>HYPERLINK("https://jobright.ai/jobs/info/6677c6e064f2e472ffd62615?utm_campaign=1052&amp;utm_source=sheet", "Apply")</f>
        <v>Apply</v>
      </c>
      <c r="C784" s="10" t="s">
        <v>10616</v>
      </c>
      <c r="D784" s="56" t="s">
        <v>1094</v>
      </c>
      <c r="E784" s="10" t="s">
        <v>45</v>
      </c>
      <c r="F784" s="10" t="s">
        <v>731</v>
      </c>
      <c r="G784" s="10" t="s">
        <v>9414</v>
      </c>
      <c r="H784" s="10" t="s">
        <v>113</v>
      </c>
      <c r="I784" s="10" t="s">
        <v>55</v>
      </c>
      <c r="K784" s="10" t="s">
        <v>10252</v>
      </c>
      <c r="L784" s="10" t="s">
        <v>42</v>
      </c>
    </row>
    <row r="785" ht="15.75" customHeight="1">
      <c r="A785" s="64">
        <v>45489.0</v>
      </c>
      <c r="B785" s="55" t="str">
        <f>HYPERLINK("https://jobright.ai/jobs/info/665d01015e28ddcfd7dcc3fe?utm_campaign=1052&amp;utm_source=sheet", "Apply")</f>
        <v>Apply</v>
      </c>
      <c r="C785" s="10" t="s">
        <v>10617</v>
      </c>
      <c r="D785" s="56" t="s">
        <v>1094</v>
      </c>
      <c r="E785" s="10" t="s">
        <v>45</v>
      </c>
      <c r="F785" s="10" t="s">
        <v>731</v>
      </c>
      <c r="G785" s="10" t="s">
        <v>9419</v>
      </c>
      <c r="H785" s="10" t="s">
        <v>740</v>
      </c>
      <c r="I785" s="10" t="s">
        <v>55</v>
      </c>
      <c r="K785" s="10" t="s">
        <v>10618</v>
      </c>
      <c r="L785" s="10" t="s">
        <v>42</v>
      </c>
    </row>
    <row r="786" ht="15.75" customHeight="1">
      <c r="A786" s="64">
        <v>45489.0</v>
      </c>
      <c r="B786" s="55" t="str">
        <f>HYPERLINK("https://jobright.ai/jobs/info/6677d17a97271e26801e1d42?utm_campaign=1052&amp;utm_source=sheet", "Apply")</f>
        <v>Apply</v>
      </c>
      <c r="C786" s="10" t="s">
        <v>10619</v>
      </c>
      <c r="D786" s="56" t="s">
        <v>1094</v>
      </c>
      <c r="E786" s="10" t="s">
        <v>45</v>
      </c>
      <c r="F786" s="10" t="s">
        <v>731</v>
      </c>
      <c r="G786" s="10" t="s">
        <v>9419</v>
      </c>
      <c r="H786" s="10" t="s">
        <v>918</v>
      </c>
      <c r="I786" s="10" t="s">
        <v>55</v>
      </c>
      <c r="K786" s="10" t="s">
        <v>10618</v>
      </c>
      <c r="L786" s="10" t="s">
        <v>42</v>
      </c>
    </row>
    <row r="787" ht="15.75" customHeight="1">
      <c r="A787" s="64">
        <v>45489.0</v>
      </c>
      <c r="B787" s="55" t="str">
        <f>HYPERLINK("https://jobright.ai/jobs/info/665d1406a57c06e51f7cef62?utm_campaign=1052&amp;utm_source=sheet", "Apply")</f>
        <v>Apply</v>
      </c>
      <c r="C787" s="10" t="s">
        <v>10620</v>
      </c>
      <c r="D787" s="56" t="s">
        <v>1094</v>
      </c>
      <c r="E787" s="10" t="s">
        <v>45</v>
      </c>
      <c r="F787" s="10" t="s">
        <v>731</v>
      </c>
      <c r="G787" s="10" t="s">
        <v>9419</v>
      </c>
      <c r="H787" s="10" t="s">
        <v>965</v>
      </c>
      <c r="I787" s="10" t="s">
        <v>55</v>
      </c>
      <c r="K787" s="10" t="s">
        <v>10618</v>
      </c>
      <c r="L787" s="10" t="s">
        <v>42</v>
      </c>
    </row>
    <row r="788" ht="15.75" customHeight="1">
      <c r="A788" s="64">
        <v>45489.0</v>
      </c>
      <c r="B788" s="55" t="str">
        <f>HYPERLINK("https://jobright.ai/jobs/info/669647906eb71b21fb140c2a?utm_campaign=1052&amp;utm_source=sheet", "Apply")</f>
        <v>Apply</v>
      </c>
      <c r="C788" s="10" t="s">
        <v>10621</v>
      </c>
      <c r="D788" s="56" t="s">
        <v>634</v>
      </c>
      <c r="E788" s="10" t="s">
        <v>65</v>
      </c>
      <c r="F788" s="10" t="s">
        <v>635</v>
      </c>
      <c r="G788" s="10" t="s">
        <v>9414</v>
      </c>
      <c r="H788" s="10" t="s">
        <v>636</v>
      </c>
      <c r="I788" s="10" t="s">
        <v>48</v>
      </c>
      <c r="J788" s="64"/>
      <c r="K788" s="10" t="s">
        <v>10622</v>
      </c>
      <c r="L788" s="10" t="s">
        <v>42</v>
      </c>
    </row>
    <row r="789" ht="15.75" customHeight="1">
      <c r="A789" s="64">
        <v>45489.0</v>
      </c>
      <c r="B789" s="55" t="str">
        <f>HYPERLINK("https://jobright.ai/jobs/info/66963cd37e1560ca41b59a2c?utm_campaign=1052&amp;utm_source=sheet", "Apply")</f>
        <v>Apply</v>
      </c>
      <c r="C789" s="10" t="s">
        <v>10623</v>
      </c>
      <c r="D789" s="56" t="s">
        <v>634</v>
      </c>
      <c r="E789" s="10" t="s">
        <v>65</v>
      </c>
      <c r="F789" s="10" t="s">
        <v>635</v>
      </c>
      <c r="G789" s="10" t="s">
        <v>1159</v>
      </c>
      <c r="H789" s="10" t="s">
        <v>636</v>
      </c>
      <c r="I789" s="10" t="s">
        <v>48</v>
      </c>
      <c r="K789" s="10" t="s">
        <v>10624</v>
      </c>
      <c r="L789" s="10" t="s">
        <v>42</v>
      </c>
    </row>
    <row r="790" ht="15.75" customHeight="1">
      <c r="A790" s="64">
        <v>45489.0</v>
      </c>
      <c r="B790" s="55" t="str">
        <f>HYPERLINK("https://jobright.ai/jobs/info/669623be15a81b337d3dd04a?utm_campaign=1052&amp;utm_source=sheet", "Apply")</f>
        <v>Apply</v>
      </c>
      <c r="C790" s="10" t="s">
        <v>9807</v>
      </c>
      <c r="D790" s="56" t="s">
        <v>10625</v>
      </c>
      <c r="E790" s="10" t="s">
        <v>137</v>
      </c>
      <c r="F790" s="10" t="s">
        <v>10626</v>
      </c>
      <c r="G790" s="10" t="s">
        <v>9414</v>
      </c>
      <c r="H790" s="10" t="s">
        <v>10627</v>
      </c>
      <c r="I790" s="10" t="s">
        <v>55</v>
      </c>
      <c r="K790" s="10" t="s">
        <v>10628</v>
      </c>
      <c r="L790" s="10" t="s">
        <v>42</v>
      </c>
    </row>
    <row r="791" ht="15.75" customHeight="1">
      <c r="A791" s="64">
        <v>45489.0</v>
      </c>
      <c r="B791" s="55" t="str">
        <f>HYPERLINK("https://jobright.ai/jobs/info/6699f4c0818163790035f8f6?utm_campaign=1052&amp;utm_source=sheet", "Apply")</f>
        <v>Apply</v>
      </c>
      <c r="C791" s="10" t="s">
        <v>10594</v>
      </c>
      <c r="D791" s="56" t="s">
        <v>10030</v>
      </c>
      <c r="E791" s="10">
        <v>25.0</v>
      </c>
      <c r="G791" s="10" t="s">
        <v>1159</v>
      </c>
      <c r="H791" s="10" t="s">
        <v>10629</v>
      </c>
      <c r="I791" s="10" t="s">
        <v>55</v>
      </c>
      <c r="K791" s="10" t="s">
        <v>10596</v>
      </c>
      <c r="L791" s="10" t="s">
        <v>42</v>
      </c>
    </row>
    <row r="792" ht="15.75" customHeight="1">
      <c r="A792" s="64">
        <v>45489.0</v>
      </c>
      <c r="B792" s="55" t="str">
        <f>HYPERLINK("https://jobright.ai/jobs/info/6695ea4e35367859a290fa79?utm_campaign=1052&amp;utm_source=sheet", "Apply")</f>
        <v>Apply</v>
      </c>
      <c r="C792" s="10" t="s">
        <v>10583</v>
      </c>
      <c r="D792" s="56" t="s">
        <v>10630</v>
      </c>
      <c r="E792" s="10" t="s">
        <v>79</v>
      </c>
      <c r="F792" s="10" t="s">
        <v>10631</v>
      </c>
      <c r="G792" s="10" t="s">
        <v>9414</v>
      </c>
      <c r="H792" s="10" t="s">
        <v>131</v>
      </c>
      <c r="I792" s="10" t="s">
        <v>48</v>
      </c>
      <c r="K792" s="10" t="s">
        <v>10632</v>
      </c>
      <c r="L792" s="10" t="s">
        <v>42</v>
      </c>
    </row>
    <row r="793" ht="15.75" customHeight="1">
      <c r="A793" s="64">
        <v>45489.0</v>
      </c>
      <c r="B793" s="55" t="str">
        <f>HYPERLINK("https://jobright.ai/jobs/info/669703de02c012c979e065f3?utm_campaign=1052&amp;utm_source=sheet", "Apply")</f>
        <v>Apply</v>
      </c>
      <c r="C793" s="10" t="s">
        <v>10633</v>
      </c>
      <c r="D793" s="56" t="s">
        <v>10634</v>
      </c>
      <c r="E793" s="10" t="s">
        <v>71</v>
      </c>
      <c r="F793" s="10" t="s">
        <v>1801</v>
      </c>
      <c r="G793" s="10" t="s">
        <v>1159</v>
      </c>
      <c r="H793" s="10" t="s">
        <v>10635</v>
      </c>
      <c r="I793" s="10" t="s">
        <v>55</v>
      </c>
      <c r="J793" s="10" t="s">
        <v>9198</v>
      </c>
      <c r="K793" s="10" t="s">
        <v>10636</v>
      </c>
      <c r="L793" s="10" t="s">
        <v>42</v>
      </c>
    </row>
    <row r="794" ht="15.75" customHeight="1">
      <c r="A794" s="64">
        <v>45489.0</v>
      </c>
      <c r="B794" s="55" t="str">
        <f>HYPERLINK("https://jobright.ai/jobs/info/66966d0615a36abab5c066a6?utm_campaign=1052&amp;utm_source=sheet", "Apply")</f>
        <v>Apply</v>
      </c>
      <c r="C794" s="10" t="s">
        <v>10637</v>
      </c>
      <c r="D794" s="56" t="s">
        <v>4945</v>
      </c>
      <c r="E794" s="10" t="s">
        <v>45</v>
      </c>
      <c r="F794" s="10" t="s">
        <v>4946</v>
      </c>
      <c r="G794" s="10" t="s">
        <v>9414</v>
      </c>
      <c r="H794" s="10" t="s">
        <v>10638</v>
      </c>
      <c r="I794" s="10" t="s">
        <v>55</v>
      </c>
      <c r="K794" s="10" t="s">
        <v>10639</v>
      </c>
      <c r="L794" s="10" t="s">
        <v>42</v>
      </c>
    </row>
    <row r="795" ht="15.75" customHeight="1">
      <c r="A795" s="64">
        <v>45489.0</v>
      </c>
      <c r="B795" s="55" t="str">
        <f>HYPERLINK("https://jobright.ai/jobs/info/6697197018798443c42ae92a?utm_campaign=1052&amp;utm_source=sheet", "Apply")</f>
        <v>Apply</v>
      </c>
      <c r="C795" s="10" t="s">
        <v>9513</v>
      </c>
      <c r="D795" s="56" t="s">
        <v>10556</v>
      </c>
      <c r="E795" s="10" t="s">
        <v>65</v>
      </c>
      <c r="G795" s="10" t="s">
        <v>9414</v>
      </c>
      <c r="H795" s="10" t="s">
        <v>10640</v>
      </c>
      <c r="I795" s="10" t="s">
        <v>55</v>
      </c>
      <c r="J795" s="10" t="s">
        <v>1873</v>
      </c>
      <c r="K795" s="10" t="s">
        <v>10641</v>
      </c>
      <c r="L795" s="10" t="s">
        <v>42</v>
      </c>
    </row>
    <row r="796" ht="15.75" customHeight="1">
      <c r="A796" s="64">
        <v>45489.0</v>
      </c>
      <c r="B796" s="55" t="str">
        <f>HYPERLINK("https://jobright.ai/jobs/info/66a19b1579b79d29681d66b0?utm_campaign=1052&amp;utm_source=sheet", "Apply")</f>
        <v>Apply</v>
      </c>
      <c r="C796" s="10" t="s">
        <v>3748</v>
      </c>
      <c r="D796" s="56" t="s">
        <v>10642</v>
      </c>
      <c r="E796" s="10" t="s">
        <v>276</v>
      </c>
      <c r="F796" s="10" t="s">
        <v>10216</v>
      </c>
      <c r="G796" s="10" t="s">
        <v>9419</v>
      </c>
      <c r="H796" s="10" t="s">
        <v>10643</v>
      </c>
      <c r="I796" s="10" t="s">
        <v>55</v>
      </c>
      <c r="K796" s="10" t="s">
        <v>10644</v>
      </c>
      <c r="L796" s="10" t="s">
        <v>42</v>
      </c>
    </row>
    <row r="797" ht="15.75" customHeight="1">
      <c r="A797" s="64">
        <v>45489.0</v>
      </c>
      <c r="B797" s="55" t="str">
        <f>HYPERLINK("https://jobright.ai/jobs/info/6696c7f820a0f940cf170e0d?utm_campaign=1052&amp;utm_source=sheet", "Apply")</f>
        <v>Apply</v>
      </c>
      <c r="C797" s="10" t="s">
        <v>10090</v>
      </c>
      <c r="D797" s="56" t="s">
        <v>1344</v>
      </c>
      <c r="E797" s="10" t="s">
        <v>65</v>
      </c>
      <c r="F797" s="10" t="s">
        <v>1345</v>
      </c>
      <c r="G797" s="10" t="s">
        <v>9414</v>
      </c>
      <c r="H797" s="10" t="s">
        <v>10645</v>
      </c>
      <c r="I797" s="10" t="s">
        <v>55</v>
      </c>
      <c r="J797" s="10" t="s">
        <v>10091</v>
      </c>
      <c r="K797" s="10" t="s">
        <v>10092</v>
      </c>
      <c r="L797" s="10" t="s">
        <v>42</v>
      </c>
    </row>
    <row r="798" ht="15.75" customHeight="1">
      <c r="A798" s="64">
        <v>45488.0</v>
      </c>
      <c r="B798" s="55" t="str">
        <f>HYPERLINK("https://jobright.ai/jobs/info/6691c77d55fdc8d51c7e4503?utm_campaign=1052&amp;utm_source=sheet", "Apply")</f>
        <v>Apply</v>
      </c>
      <c r="C798" s="10" t="s">
        <v>10646</v>
      </c>
      <c r="D798" s="56" t="s">
        <v>1966</v>
      </c>
      <c r="E798" s="10">
        <v>1209.0</v>
      </c>
      <c r="G798" s="10" t="s">
        <v>1159</v>
      </c>
      <c r="H798" s="10" t="s">
        <v>96</v>
      </c>
      <c r="I798" s="10" t="s">
        <v>55</v>
      </c>
      <c r="J798" s="10" t="s">
        <v>8321</v>
      </c>
      <c r="K798" s="10" t="s">
        <v>10647</v>
      </c>
      <c r="L798" s="10" t="s">
        <v>42</v>
      </c>
    </row>
    <row r="799" ht="15.75" customHeight="1">
      <c r="A799" s="64">
        <v>45488.0</v>
      </c>
      <c r="B799" s="55" t="str">
        <f>HYPERLINK("https://jobright.ai/jobs/info/6691bd4efd9555930f1fda68?utm_campaign=1052&amp;utm_source=sheet", "Apply")</f>
        <v>Apply</v>
      </c>
      <c r="C799" s="10" t="s">
        <v>10648</v>
      </c>
      <c r="D799" s="56" t="s">
        <v>1966</v>
      </c>
      <c r="E799" s="10">
        <v>1209.0</v>
      </c>
      <c r="G799" s="10" t="s">
        <v>9414</v>
      </c>
      <c r="H799" s="10" t="s">
        <v>96</v>
      </c>
      <c r="I799" s="10" t="s">
        <v>55</v>
      </c>
      <c r="J799" s="10" t="s">
        <v>6541</v>
      </c>
      <c r="K799" s="10" t="s">
        <v>10649</v>
      </c>
      <c r="L799" s="10" t="s">
        <v>42</v>
      </c>
    </row>
    <row r="800" ht="15.75" customHeight="1">
      <c r="A800" s="64">
        <v>45488.0</v>
      </c>
      <c r="B800" s="55" t="str">
        <f>HYPERLINK("https://jobright.ai/jobs/info/6695cf298d7ddb617433fbf0?utm_campaign=1052&amp;utm_source=sheet", "Apply")</f>
        <v>Apply</v>
      </c>
      <c r="C800" s="10" t="s">
        <v>10650</v>
      </c>
      <c r="D800" s="56" t="s">
        <v>533</v>
      </c>
      <c r="E800" s="10" t="s">
        <v>209</v>
      </c>
      <c r="F800" s="10" t="s">
        <v>534</v>
      </c>
      <c r="G800" s="10" t="s">
        <v>9419</v>
      </c>
      <c r="H800" s="10" t="s">
        <v>994</v>
      </c>
      <c r="I800" s="10" t="s">
        <v>48</v>
      </c>
      <c r="J800" s="10" t="s">
        <v>10347</v>
      </c>
      <c r="K800" s="10" t="s">
        <v>10362</v>
      </c>
      <c r="L800" s="10" t="s">
        <v>42</v>
      </c>
    </row>
    <row r="801" ht="15.75" customHeight="1">
      <c r="A801" s="64">
        <v>45488.0</v>
      </c>
      <c r="B801" s="55" t="str">
        <f>HYPERLINK("https://jobright.ai/jobs/info/6695a663edeaa1f1d405baa4?utm_campaign=1052&amp;utm_source=sheet", "Apply")</f>
        <v>Apply</v>
      </c>
      <c r="C801" s="10" t="s">
        <v>10651</v>
      </c>
      <c r="D801" s="56" t="s">
        <v>1966</v>
      </c>
      <c r="E801" s="10">
        <v>1209.0</v>
      </c>
      <c r="G801" s="10" t="s">
        <v>9414</v>
      </c>
      <c r="H801" s="10" t="s">
        <v>96</v>
      </c>
      <c r="I801" s="10" t="s">
        <v>55</v>
      </c>
      <c r="J801" s="10" t="s">
        <v>6541</v>
      </c>
      <c r="K801" s="10" t="s">
        <v>10652</v>
      </c>
      <c r="L801" s="10" t="s">
        <v>42</v>
      </c>
    </row>
    <row r="802" ht="15.75" customHeight="1">
      <c r="A802" s="64">
        <v>45488.0</v>
      </c>
      <c r="B802" s="55" t="str">
        <f>HYPERLINK("https://jobright.ai/jobs/info/6695a663edeaa1f1d405babd?utm_campaign=1052&amp;utm_source=sheet", "Apply")</f>
        <v>Apply</v>
      </c>
      <c r="C802" s="10" t="s">
        <v>9517</v>
      </c>
      <c r="D802" s="56" t="s">
        <v>10653</v>
      </c>
      <c r="E802" s="10" t="s">
        <v>249</v>
      </c>
      <c r="F802" s="10" t="s">
        <v>529</v>
      </c>
      <c r="G802" s="10" t="s">
        <v>1159</v>
      </c>
      <c r="H802" s="10" t="s">
        <v>10654</v>
      </c>
      <c r="I802" s="10" t="s">
        <v>55</v>
      </c>
      <c r="K802" s="10" t="s">
        <v>10655</v>
      </c>
      <c r="L802" s="10" t="s">
        <v>42</v>
      </c>
    </row>
    <row r="803" ht="15.75" customHeight="1">
      <c r="A803" s="64">
        <v>45488.0</v>
      </c>
      <c r="B803" s="55" t="str">
        <f>HYPERLINK("https://jobright.ai/jobs/info/6695c0d027b8d0ea6ca6f045?utm_campaign=1052&amp;utm_source=sheet", "Apply")</f>
        <v>Apply</v>
      </c>
      <c r="C803" s="10" t="s">
        <v>10656</v>
      </c>
      <c r="D803" s="56" t="s">
        <v>124</v>
      </c>
      <c r="E803" s="10" t="s">
        <v>45</v>
      </c>
      <c r="F803" s="10" t="s">
        <v>125</v>
      </c>
      <c r="G803" s="10" t="s">
        <v>1159</v>
      </c>
      <c r="H803" s="10" t="s">
        <v>126</v>
      </c>
      <c r="I803" s="10" t="s">
        <v>55</v>
      </c>
      <c r="K803" s="10" t="s">
        <v>10657</v>
      </c>
      <c r="L803" s="10" t="s">
        <v>42</v>
      </c>
    </row>
    <row r="804" ht="15.75" customHeight="1">
      <c r="A804" s="64">
        <v>45488.0</v>
      </c>
      <c r="B804" s="55" t="str">
        <f>HYPERLINK("https://jobright.ai/jobs/info/66958adf8c82d15a242a001b?utm_campaign=1052&amp;utm_source=sheet", "Apply")</f>
        <v>Apply</v>
      </c>
      <c r="C804" s="10" t="s">
        <v>10658</v>
      </c>
      <c r="D804" s="56" t="s">
        <v>10659</v>
      </c>
      <c r="E804" s="10" t="s">
        <v>276</v>
      </c>
      <c r="F804" s="10" t="s">
        <v>2617</v>
      </c>
      <c r="G804" s="10" t="s">
        <v>1159</v>
      </c>
      <c r="H804" s="10" t="s">
        <v>1007</v>
      </c>
      <c r="I804" s="10" t="s">
        <v>55</v>
      </c>
      <c r="J804" s="10" t="s">
        <v>10660</v>
      </c>
      <c r="K804" s="10" t="s">
        <v>10661</v>
      </c>
      <c r="L804" s="10" t="s">
        <v>42</v>
      </c>
    </row>
    <row r="805" ht="15.75" customHeight="1">
      <c r="A805" s="64">
        <v>45488.0</v>
      </c>
      <c r="B805" s="55" t="str">
        <f>HYPERLINK("https://jobright.ai/jobs/info/669586a5c0d12ac3a29a24cf?utm_campaign=1052&amp;utm_source=sheet", "Apply")</f>
        <v>Apply</v>
      </c>
      <c r="C805" s="10" t="s">
        <v>10662</v>
      </c>
      <c r="D805" s="56" t="s">
        <v>10663</v>
      </c>
      <c r="E805" s="10" t="s">
        <v>65</v>
      </c>
      <c r="F805" s="10" t="s">
        <v>10664</v>
      </c>
      <c r="G805" s="10" t="s">
        <v>1159</v>
      </c>
      <c r="H805" s="10" t="s">
        <v>10665</v>
      </c>
      <c r="I805" s="10" t="s">
        <v>55</v>
      </c>
      <c r="J805" s="10" t="s">
        <v>10666</v>
      </c>
      <c r="K805" s="10" t="s">
        <v>10667</v>
      </c>
      <c r="L805" s="10" t="s">
        <v>42</v>
      </c>
    </row>
    <row r="806" ht="15.75" customHeight="1">
      <c r="A806" s="64">
        <v>45488.0</v>
      </c>
      <c r="B806" s="55" t="str">
        <f>HYPERLINK("https://jobright.ai/jobs/info/66956067f60ae0856be2f9e3?utm_campaign=1052&amp;utm_source=sheet", "Apply")</f>
        <v>Apply</v>
      </c>
      <c r="C806" s="10" t="s">
        <v>10668</v>
      </c>
      <c r="D806" s="56" t="s">
        <v>9821</v>
      </c>
      <c r="E806" s="10" t="s">
        <v>45</v>
      </c>
      <c r="F806" s="10" t="s">
        <v>3594</v>
      </c>
      <c r="G806" s="10" t="s">
        <v>9414</v>
      </c>
      <c r="H806" s="10" t="s">
        <v>10669</v>
      </c>
      <c r="I806" s="10" t="s">
        <v>55</v>
      </c>
      <c r="J806" s="10" t="s">
        <v>10670</v>
      </c>
      <c r="K806" s="10" t="s">
        <v>10671</v>
      </c>
      <c r="L806" s="10" t="s">
        <v>42</v>
      </c>
    </row>
    <row r="807" ht="15.75" customHeight="1">
      <c r="A807" s="64">
        <v>45488.0</v>
      </c>
      <c r="B807" s="55" t="str">
        <f>HYPERLINK("https://jobright.ai/jobs/info/66955b121c130559cedb6596?utm_campaign=1052&amp;utm_source=sheet", "Apply")</f>
        <v>Apply</v>
      </c>
      <c r="C807" s="10" t="s">
        <v>10672</v>
      </c>
      <c r="D807" s="56" t="s">
        <v>9821</v>
      </c>
      <c r="E807" s="10" t="s">
        <v>45</v>
      </c>
      <c r="F807" s="10" t="s">
        <v>3594</v>
      </c>
      <c r="G807" s="10" t="s">
        <v>9414</v>
      </c>
      <c r="H807" s="10" t="s">
        <v>10669</v>
      </c>
      <c r="I807" s="10" t="s">
        <v>55</v>
      </c>
      <c r="J807" s="10" t="s">
        <v>10673</v>
      </c>
      <c r="K807" s="10" t="s">
        <v>10674</v>
      </c>
      <c r="L807" s="10" t="s">
        <v>42</v>
      </c>
    </row>
    <row r="808" ht="15.75" customHeight="1">
      <c r="A808" s="64">
        <v>45488.0</v>
      </c>
      <c r="B808" s="55" t="str">
        <f>HYPERLINK("https://jobright.ai/jobs/info/669553eb6b7ce10077ec5948?utm_campaign=1052&amp;utm_source=sheet", "Apply")</f>
        <v>Apply</v>
      </c>
      <c r="C808" s="10" t="s">
        <v>10662</v>
      </c>
      <c r="D808" s="56" t="s">
        <v>10663</v>
      </c>
      <c r="E808" s="10" t="s">
        <v>65</v>
      </c>
      <c r="F808" s="10" t="s">
        <v>10664</v>
      </c>
      <c r="G808" s="10" t="s">
        <v>1159</v>
      </c>
      <c r="H808" s="10" t="s">
        <v>10675</v>
      </c>
      <c r="I808" s="10" t="s">
        <v>55</v>
      </c>
      <c r="J808" s="10" t="s">
        <v>10666</v>
      </c>
      <c r="K808" s="10" t="s">
        <v>10667</v>
      </c>
      <c r="L808" s="10" t="s">
        <v>42</v>
      </c>
    </row>
    <row r="809" ht="15.75" customHeight="1">
      <c r="A809" s="64">
        <v>45488.0</v>
      </c>
      <c r="B809" s="55" t="str">
        <f>HYPERLINK("https://jobright.ai/jobs/info/66953a762c2e1bc0336e0aaa?utm_campaign=1052&amp;utm_source=sheet", "Apply")</f>
        <v>Apply</v>
      </c>
      <c r="C809" s="10" t="s">
        <v>9611</v>
      </c>
      <c r="D809" s="56" t="s">
        <v>10676</v>
      </c>
      <c r="E809" s="10" t="s">
        <v>276</v>
      </c>
      <c r="F809" s="10" t="s">
        <v>534</v>
      </c>
      <c r="G809" s="10" t="s">
        <v>9419</v>
      </c>
      <c r="H809" s="10" t="s">
        <v>10677</v>
      </c>
      <c r="I809" s="10" t="s">
        <v>55</v>
      </c>
      <c r="K809" s="10" t="s">
        <v>10678</v>
      </c>
      <c r="L809" s="10" t="s">
        <v>42</v>
      </c>
    </row>
    <row r="810" ht="15.75" customHeight="1">
      <c r="A810" s="64">
        <v>45488.0</v>
      </c>
      <c r="B810" s="55" t="str">
        <f>HYPERLINK("https://jobright.ai/jobs/info/669546b9fc10172a3c8d3dfb?utm_campaign=1052&amp;utm_source=sheet", "Apply")</f>
        <v>Apply</v>
      </c>
      <c r="C810" s="10" t="s">
        <v>10529</v>
      </c>
      <c r="D810" s="56" t="s">
        <v>9550</v>
      </c>
      <c r="E810" s="10" t="s">
        <v>249</v>
      </c>
      <c r="F810" s="10" t="s">
        <v>722</v>
      </c>
      <c r="G810" s="10" t="s">
        <v>1159</v>
      </c>
      <c r="H810" s="10" t="s">
        <v>1013</v>
      </c>
      <c r="I810" s="10" t="s">
        <v>48</v>
      </c>
      <c r="J810" s="10" t="s">
        <v>9551</v>
      </c>
      <c r="K810" s="10" t="s">
        <v>10355</v>
      </c>
      <c r="L810" s="10" t="s">
        <v>42</v>
      </c>
    </row>
    <row r="811" ht="15.75" customHeight="1">
      <c r="A811" s="64">
        <v>45488.0</v>
      </c>
      <c r="B811" s="55" t="str">
        <f>HYPERLINK("https://jobright.ai/jobs/info/669e60d497d87febbccc64d0?utm_campaign=1052&amp;utm_source=sheet", "Apply")</f>
        <v>Apply</v>
      </c>
      <c r="C811" s="10" t="s">
        <v>9577</v>
      </c>
      <c r="D811" s="56" t="s">
        <v>9578</v>
      </c>
      <c r="E811" s="10" t="s">
        <v>65</v>
      </c>
      <c r="F811" s="10" t="s">
        <v>722</v>
      </c>
      <c r="G811" s="10" t="s">
        <v>1159</v>
      </c>
      <c r="H811" s="10" t="s">
        <v>1009</v>
      </c>
      <c r="I811" s="10" t="s">
        <v>55</v>
      </c>
      <c r="J811" s="10" t="s">
        <v>1616</v>
      </c>
      <c r="K811" s="10" t="s">
        <v>10146</v>
      </c>
      <c r="L811" s="10" t="s">
        <v>42</v>
      </c>
    </row>
    <row r="812" ht="15.75" customHeight="1">
      <c r="A812" s="64">
        <v>45488.0</v>
      </c>
      <c r="B812" s="55" t="str">
        <f>HYPERLINK("https://jobright.ai/jobs/info/669e5932c1b409aba18625c6?utm_campaign=1052&amp;utm_source=sheet", "Apply")</f>
        <v>Apply</v>
      </c>
      <c r="C812" s="10" t="s">
        <v>10367</v>
      </c>
      <c r="D812" s="56" t="s">
        <v>9591</v>
      </c>
      <c r="E812" s="10" t="s">
        <v>209</v>
      </c>
      <c r="F812" s="10" t="s">
        <v>534</v>
      </c>
      <c r="G812" s="10" t="s">
        <v>9419</v>
      </c>
      <c r="H812" s="10" t="s">
        <v>835</v>
      </c>
      <c r="I812" s="10" t="s">
        <v>55</v>
      </c>
      <c r="K812" s="10" t="s">
        <v>9592</v>
      </c>
      <c r="L812" s="10" t="s">
        <v>42</v>
      </c>
    </row>
    <row r="813" ht="15.75" customHeight="1">
      <c r="A813" s="64">
        <v>45488.0</v>
      </c>
      <c r="B813" s="55" t="str">
        <f>HYPERLINK("https://jobright.ai/jobs/info/669523ed6e5ad9bdf98e9109?utm_campaign=1052&amp;utm_source=sheet", "Apply")</f>
        <v>Apply</v>
      </c>
      <c r="C813" s="10" t="s">
        <v>10679</v>
      </c>
      <c r="D813" s="56" t="s">
        <v>10680</v>
      </c>
      <c r="E813" s="10">
        <v>18.0</v>
      </c>
      <c r="G813" s="10" t="s">
        <v>1159</v>
      </c>
      <c r="H813" s="10" t="s">
        <v>1004</v>
      </c>
      <c r="I813" s="10" t="s">
        <v>55</v>
      </c>
      <c r="K813" s="10" t="s">
        <v>10681</v>
      </c>
      <c r="L813" s="10" t="s">
        <v>42</v>
      </c>
    </row>
    <row r="814" ht="15.75" customHeight="1">
      <c r="A814" s="64">
        <v>45488.0</v>
      </c>
      <c r="B814" s="55" t="str">
        <f>HYPERLINK("https://jobright.ai/jobs/info/669e4f2d4761975356c3524d?utm_campaign=1052&amp;utm_source=sheet", "Apply")</f>
        <v>Apply</v>
      </c>
      <c r="C814" s="10" t="s">
        <v>9494</v>
      </c>
      <c r="D814" s="56" t="s">
        <v>10030</v>
      </c>
      <c r="E814" s="10">
        <v>25.0</v>
      </c>
      <c r="G814" s="10" t="s">
        <v>9414</v>
      </c>
      <c r="H814" s="10" t="s">
        <v>411</v>
      </c>
      <c r="I814" s="10" t="s">
        <v>55</v>
      </c>
      <c r="J814" s="10" t="s">
        <v>10682</v>
      </c>
      <c r="K814" s="10" t="s">
        <v>10683</v>
      </c>
      <c r="L814" s="10" t="s">
        <v>42</v>
      </c>
    </row>
    <row r="815" ht="15.75" customHeight="1">
      <c r="A815" s="64">
        <v>45488.0</v>
      </c>
      <c r="B815" s="55" t="str">
        <f>HYPERLINK("https://jobright.ai/jobs/info/669e49921bef9e02d106cc60?utm_campaign=1052&amp;utm_source=sheet", "Apply")</f>
        <v>Apply</v>
      </c>
      <c r="C815" s="10" t="s">
        <v>10684</v>
      </c>
      <c r="D815" s="56" t="s">
        <v>1094</v>
      </c>
      <c r="E815" s="10" t="s">
        <v>45</v>
      </c>
      <c r="F815" s="10" t="s">
        <v>731</v>
      </c>
      <c r="G815" s="10" t="s">
        <v>9414</v>
      </c>
      <c r="H815" s="10" t="s">
        <v>96</v>
      </c>
      <c r="I815" s="10" t="s">
        <v>55</v>
      </c>
      <c r="K815" s="10" t="s">
        <v>10685</v>
      </c>
      <c r="L815" s="10" t="s">
        <v>42</v>
      </c>
    </row>
    <row r="816" ht="15.75" customHeight="1">
      <c r="A816" s="64">
        <v>45488.0</v>
      </c>
      <c r="B816" s="55" t="str">
        <f>HYPERLINK("https://jobright.ai/jobs/info/669e40b84ef9507440b485f2?utm_campaign=1052&amp;utm_source=sheet", "Apply")</f>
        <v>Apply</v>
      </c>
      <c r="C816" s="10" t="s">
        <v>10686</v>
      </c>
      <c r="D816" s="56" t="s">
        <v>1094</v>
      </c>
      <c r="E816" s="10" t="s">
        <v>45</v>
      </c>
      <c r="F816" s="10" t="s">
        <v>731</v>
      </c>
      <c r="G816" s="10" t="s">
        <v>9414</v>
      </c>
      <c r="H816" s="10" t="s">
        <v>96</v>
      </c>
      <c r="I816" s="10" t="s">
        <v>55</v>
      </c>
      <c r="K816" s="10" t="s">
        <v>10687</v>
      </c>
      <c r="L816" s="10" t="s">
        <v>42</v>
      </c>
    </row>
    <row r="817" ht="15.75" customHeight="1">
      <c r="A817" s="64">
        <v>45488.0</v>
      </c>
      <c r="B817" s="55" t="str">
        <f>HYPERLINK("https://jobright.ai/jobs/info/669e3d6376c0aef2b8d2a12a?utm_campaign=1052&amp;utm_source=sheet", "Apply")</f>
        <v>Apply</v>
      </c>
      <c r="C817" s="10" t="s">
        <v>10597</v>
      </c>
      <c r="D817" s="56" t="s">
        <v>7075</v>
      </c>
      <c r="E817" s="10" t="s">
        <v>45</v>
      </c>
      <c r="F817" s="10" t="s">
        <v>7076</v>
      </c>
      <c r="G817" s="10" t="s">
        <v>9414</v>
      </c>
      <c r="H817" s="10" t="s">
        <v>2154</v>
      </c>
      <c r="I817" s="10" t="s">
        <v>55</v>
      </c>
      <c r="K817" s="10" t="s">
        <v>10598</v>
      </c>
      <c r="L817" s="10" t="s">
        <v>42</v>
      </c>
    </row>
    <row r="818" ht="15.75" customHeight="1">
      <c r="A818" s="64">
        <v>45488.0</v>
      </c>
      <c r="B818" s="55" t="str">
        <f>HYPERLINK("https://jobright.ai/jobs/info/6679554a39ca2f81c43704a1?utm_campaign=1052&amp;utm_source=sheet", "Apply")</f>
        <v>Apply</v>
      </c>
      <c r="C818" s="10" t="s">
        <v>10688</v>
      </c>
      <c r="D818" s="56" t="s">
        <v>730</v>
      </c>
      <c r="E818" s="10" t="s">
        <v>45</v>
      </c>
      <c r="F818" s="10" t="s">
        <v>731</v>
      </c>
      <c r="G818" s="10" t="s">
        <v>9419</v>
      </c>
      <c r="H818" s="10" t="s">
        <v>740</v>
      </c>
      <c r="I818" s="10" t="s">
        <v>55</v>
      </c>
      <c r="K818" s="10" t="s">
        <v>10689</v>
      </c>
      <c r="L818" s="10" t="s">
        <v>42</v>
      </c>
    </row>
    <row r="819" ht="15.75" customHeight="1">
      <c r="A819" s="64">
        <v>45488.0</v>
      </c>
      <c r="B819" s="55" t="str">
        <f>HYPERLINK("https://jobright.ai/jobs/info/6694f699ac0d8feec02ae82e?utm_campaign=1052&amp;utm_source=sheet", "Apply")</f>
        <v>Apply</v>
      </c>
      <c r="C819" s="10" t="s">
        <v>10690</v>
      </c>
      <c r="D819" s="56" t="s">
        <v>730</v>
      </c>
      <c r="E819" s="10" t="s">
        <v>45</v>
      </c>
      <c r="F819" s="10" t="s">
        <v>731</v>
      </c>
      <c r="G819" s="10" t="s">
        <v>9414</v>
      </c>
      <c r="H819" s="10" t="s">
        <v>96</v>
      </c>
      <c r="I819" s="10" t="s">
        <v>55</v>
      </c>
      <c r="K819" s="10" t="s">
        <v>10691</v>
      </c>
      <c r="L819" s="10" t="s">
        <v>42</v>
      </c>
    </row>
    <row r="820" ht="15.75" customHeight="1">
      <c r="A820" s="64">
        <v>45488.0</v>
      </c>
      <c r="B820" s="55" t="str">
        <f>HYPERLINK("https://jobright.ai/jobs/info/65ef02b4420854bcd73bd87e?utm_campaign=1052&amp;utm_source=sheet", "Apply")</f>
        <v>Apply</v>
      </c>
      <c r="C820" s="10" t="s">
        <v>10692</v>
      </c>
      <c r="D820" s="56" t="s">
        <v>9581</v>
      </c>
      <c r="E820" s="10" t="s">
        <v>65</v>
      </c>
      <c r="F820" s="10" t="s">
        <v>722</v>
      </c>
      <c r="G820" s="10" t="s">
        <v>9419</v>
      </c>
      <c r="H820" s="10" t="s">
        <v>153</v>
      </c>
      <c r="I820" s="10" t="s">
        <v>55</v>
      </c>
      <c r="J820" s="10" t="s">
        <v>9582</v>
      </c>
      <c r="K820" s="10" t="s">
        <v>9603</v>
      </c>
      <c r="L820" s="10" t="s">
        <v>42</v>
      </c>
    </row>
    <row r="821" ht="15.75" customHeight="1">
      <c r="A821" s="64">
        <v>45488.0</v>
      </c>
      <c r="B821" s="55" t="str">
        <f>HYPERLINK("https://jobright.ai/jobs/info/65ef02a9420854bcd73bd7c7?utm_campaign=1052&amp;utm_source=sheet", "Apply")</f>
        <v>Apply</v>
      </c>
      <c r="C821" s="10" t="s">
        <v>10693</v>
      </c>
      <c r="D821" s="56" t="s">
        <v>9581</v>
      </c>
      <c r="E821" s="10" t="s">
        <v>65</v>
      </c>
      <c r="F821" s="10" t="s">
        <v>722</v>
      </c>
      <c r="G821" s="10" t="s">
        <v>9419</v>
      </c>
      <c r="H821" s="10" t="s">
        <v>154</v>
      </c>
      <c r="I821" s="10" t="s">
        <v>55</v>
      </c>
      <c r="J821" s="10" t="s">
        <v>9582</v>
      </c>
      <c r="K821" s="10" t="s">
        <v>9603</v>
      </c>
      <c r="L821" s="10" t="s">
        <v>42</v>
      </c>
    </row>
    <row r="822" ht="15.75" customHeight="1">
      <c r="A822" s="64">
        <v>45488.0</v>
      </c>
      <c r="B822" s="55" t="str">
        <f>HYPERLINK("https://jobright.ai/jobs/info/65ec61efc9121a7617866792?utm_campaign=1052&amp;utm_source=sheet", "Apply")</f>
        <v>Apply</v>
      </c>
      <c r="C822" s="10" t="s">
        <v>10694</v>
      </c>
      <c r="D822" s="56" t="s">
        <v>9581</v>
      </c>
      <c r="E822" s="10" t="s">
        <v>65</v>
      </c>
      <c r="F822" s="10" t="s">
        <v>722</v>
      </c>
      <c r="G822" s="10" t="s">
        <v>9419</v>
      </c>
      <c r="H822" s="10" t="s">
        <v>4799</v>
      </c>
      <c r="I822" s="10" t="s">
        <v>55</v>
      </c>
      <c r="J822" s="10" t="s">
        <v>9582</v>
      </c>
      <c r="K822" s="10" t="s">
        <v>9603</v>
      </c>
      <c r="L822" s="10" t="s">
        <v>42</v>
      </c>
    </row>
    <row r="823" ht="15.75" customHeight="1">
      <c r="A823" s="64">
        <v>45488.0</v>
      </c>
      <c r="B823" s="55" t="str">
        <f>HYPERLINK("https://jobright.ai/jobs/info/667968a6d86d626ab8b77b6f?utm_campaign=1052&amp;utm_source=sheet", "Apply")</f>
        <v>Apply</v>
      </c>
      <c r="C823" s="10" t="s">
        <v>10695</v>
      </c>
      <c r="D823" s="56" t="s">
        <v>730</v>
      </c>
      <c r="E823" s="10" t="s">
        <v>45</v>
      </c>
      <c r="F823" s="10" t="s">
        <v>731</v>
      </c>
      <c r="G823" s="10" t="s">
        <v>9414</v>
      </c>
      <c r="H823" s="10" t="s">
        <v>994</v>
      </c>
      <c r="I823" s="10" t="s">
        <v>55</v>
      </c>
      <c r="K823" s="10" t="s">
        <v>10696</v>
      </c>
      <c r="L823" s="10" t="s">
        <v>42</v>
      </c>
    </row>
    <row r="824" ht="15.75" customHeight="1">
      <c r="A824" s="64">
        <v>45488.0</v>
      </c>
      <c r="B824" s="55" t="str">
        <f>HYPERLINK("https://jobright.ai/jobs/info/664007548e176460a7fc1ce6?utm_campaign=1052&amp;utm_source=sheet", "Apply")</f>
        <v>Apply</v>
      </c>
      <c r="C824" s="10" t="s">
        <v>10697</v>
      </c>
      <c r="D824" s="56" t="s">
        <v>10698</v>
      </c>
      <c r="E824" s="10" t="s">
        <v>65</v>
      </c>
      <c r="F824" s="10" t="s">
        <v>1485</v>
      </c>
      <c r="G824" s="10" t="s">
        <v>1159</v>
      </c>
      <c r="H824" s="10" t="s">
        <v>96</v>
      </c>
      <c r="I824" s="10" t="s">
        <v>48</v>
      </c>
      <c r="J824" s="10" t="s">
        <v>1244</v>
      </c>
      <c r="K824" s="10" t="s">
        <v>10699</v>
      </c>
      <c r="L824" s="10" t="s">
        <v>42</v>
      </c>
    </row>
    <row r="825" ht="15.75" customHeight="1">
      <c r="A825" s="64">
        <v>45488.0</v>
      </c>
      <c r="B825" s="55" t="str">
        <f>HYPERLINK("https://jobright.ai/jobs/info/65ef02a9420854bcd73bd841?utm_campaign=1052&amp;utm_source=sheet", "Apply")</f>
        <v>Apply</v>
      </c>
      <c r="C825" s="10" t="s">
        <v>10700</v>
      </c>
      <c r="D825" s="56" t="s">
        <v>9581</v>
      </c>
      <c r="E825" s="10" t="s">
        <v>65</v>
      </c>
      <c r="F825" s="10" t="s">
        <v>722</v>
      </c>
      <c r="G825" s="10" t="s">
        <v>9419</v>
      </c>
      <c r="H825" s="10" t="s">
        <v>153</v>
      </c>
      <c r="I825" s="10" t="s">
        <v>55</v>
      </c>
      <c r="J825" s="10" t="s">
        <v>9582</v>
      </c>
      <c r="K825" s="10" t="s">
        <v>9603</v>
      </c>
      <c r="L825" s="10" t="s">
        <v>42</v>
      </c>
    </row>
    <row r="826" ht="15.75" customHeight="1">
      <c r="A826" s="64">
        <v>45488.0</v>
      </c>
      <c r="B826" s="55" t="str">
        <f>HYPERLINK("https://jobright.ai/jobs/info/65ef029c420854bcd73bd7a8?utm_campaign=1052&amp;utm_source=sheet", "Apply")</f>
        <v>Apply</v>
      </c>
      <c r="C826" s="10" t="s">
        <v>10701</v>
      </c>
      <c r="D826" s="56" t="s">
        <v>9581</v>
      </c>
      <c r="E826" s="10" t="s">
        <v>65</v>
      </c>
      <c r="F826" s="10" t="s">
        <v>722</v>
      </c>
      <c r="G826" s="10" t="s">
        <v>9419</v>
      </c>
      <c r="H826" s="10" t="s">
        <v>802</v>
      </c>
      <c r="I826" s="10" t="s">
        <v>55</v>
      </c>
      <c r="K826" s="10" t="s">
        <v>9603</v>
      </c>
      <c r="L826" s="10" t="s">
        <v>42</v>
      </c>
    </row>
    <row r="827" ht="15.75" customHeight="1">
      <c r="A827" s="64">
        <v>45488.0</v>
      </c>
      <c r="B827" s="55" t="str">
        <f>HYPERLINK("https://jobright.ai/jobs/info/65eeeaa759c8b6e3549e5c46?utm_campaign=1052&amp;utm_source=sheet", "Apply")</f>
        <v>Apply</v>
      </c>
      <c r="C827" s="10" t="s">
        <v>10702</v>
      </c>
      <c r="D827" s="56" t="s">
        <v>9581</v>
      </c>
      <c r="E827" s="10" t="s">
        <v>65</v>
      </c>
      <c r="F827" s="10" t="s">
        <v>722</v>
      </c>
      <c r="G827" s="10" t="s">
        <v>9419</v>
      </c>
      <c r="H827" s="10" t="s">
        <v>4799</v>
      </c>
      <c r="I827" s="10" t="s">
        <v>55</v>
      </c>
      <c r="J827" s="10" t="s">
        <v>9582</v>
      </c>
      <c r="K827" s="10" t="s">
        <v>9603</v>
      </c>
      <c r="L827" s="10" t="s">
        <v>42</v>
      </c>
    </row>
    <row r="828" ht="15.75" customHeight="1">
      <c r="A828" s="64">
        <v>45488.0</v>
      </c>
      <c r="B828" s="55" t="str">
        <f>HYPERLINK("https://jobright.ai/jobs/info/665b134860515a1092af7c3d?utm_campaign=1052&amp;utm_source=sheet", "Apply")</f>
        <v>Apply</v>
      </c>
      <c r="C828" s="10" t="s">
        <v>10703</v>
      </c>
      <c r="D828" s="56" t="s">
        <v>730</v>
      </c>
      <c r="E828" s="10" t="s">
        <v>45</v>
      </c>
      <c r="F828" s="10" t="s">
        <v>731</v>
      </c>
      <c r="G828" s="10" t="s">
        <v>9419</v>
      </c>
      <c r="H828" s="10" t="s">
        <v>740</v>
      </c>
      <c r="I828" s="10" t="s">
        <v>55</v>
      </c>
      <c r="K828" s="10" t="s">
        <v>10704</v>
      </c>
      <c r="L828" s="10" t="s">
        <v>42</v>
      </c>
    </row>
    <row r="829" ht="15.75" customHeight="1">
      <c r="A829" s="64">
        <v>45488.0</v>
      </c>
      <c r="B829" s="55" t="str">
        <f>HYPERLINK("https://jobright.ai/jobs/info/6694d27eef3066f98ea99ec5?utm_campaign=1052&amp;utm_source=sheet", "Apply")</f>
        <v>Apply</v>
      </c>
      <c r="C829" s="10" t="s">
        <v>10705</v>
      </c>
      <c r="D829" s="56" t="s">
        <v>6736</v>
      </c>
      <c r="E829" s="10" t="s">
        <v>65</v>
      </c>
      <c r="F829" s="10" t="s">
        <v>1234</v>
      </c>
      <c r="G829" s="10" t="s">
        <v>1159</v>
      </c>
      <c r="H829" s="10" t="s">
        <v>6737</v>
      </c>
      <c r="I829" s="10" t="s">
        <v>55</v>
      </c>
      <c r="J829" s="10" t="s">
        <v>10706</v>
      </c>
      <c r="K829" s="10" t="s">
        <v>10707</v>
      </c>
      <c r="L829" s="10" t="s">
        <v>42</v>
      </c>
    </row>
    <row r="830" ht="15.75" customHeight="1">
      <c r="A830" s="64">
        <v>45488.0</v>
      </c>
      <c r="B830" s="55" t="str">
        <f>HYPERLINK("https://jobright.ai/jobs/info/6695ad72558c652286483798?utm_campaign=1052&amp;utm_source=sheet", "Apply")</f>
        <v>Apply</v>
      </c>
      <c r="C830" s="10" t="s">
        <v>10708</v>
      </c>
      <c r="D830" s="56" t="s">
        <v>5763</v>
      </c>
      <c r="E830" s="10" t="s">
        <v>276</v>
      </c>
      <c r="F830" s="10" t="s">
        <v>3770</v>
      </c>
      <c r="G830" s="10" t="s">
        <v>9414</v>
      </c>
      <c r="H830" s="10" t="s">
        <v>5764</v>
      </c>
      <c r="I830" s="10" t="s">
        <v>55</v>
      </c>
      <c r="K830" s="10" t="s">
        <v>10709</v>
      </c>
      <c r="L830" s="10" t="s">
        <v>42</v>
      </c>
    </row>
    <row r="831" ht="15.75" customHeight="1">
      <c r="A831" s="64">
        <v>45487.0</v>
      </c>
      <c r="B831" s="55" t="str">
        <f>HYPERLINK("https://jobright.ai/jobs/info/669a7f8bd6a8ad59ac565472?utm_campaign=1052&amp;utm_source=sheet", "Apply")</f>
        <v>Apply</v>
      </c>
      <c r="C831" s="10" t="s">
        <v>9517</v>
      </c>
      <c r="D831" s="56" t="s">
        <v>10710</v>
      </c>
      <c r="E831" s="10" t="s">
        <v>79</v>
      </c>
      <c r="F831" s="10" t="s">
        <v>1224</v>
      </c>
      <c r="G831" s="10" t="s">
        <v>1159</v>
      </c>
      <c r="H831" s="10" t="s">
        <v>10711</v>
      </c>
      <c r="I831" s="10" t="s">
        <v>55</v>
      </c>
      <c r="K831" s="10" t="s">
        <v>10712</v>
      </c>
      <c r="L831" s="10" t="s">
        <v>42</v>
      </c>
    </row>
    <row r="832" ht="15.75" customHeight="1">
      <c r="A832" s="64">
        <v>45487.0</v>
      </c>
      <c r="B832" s="55" t="str">
        <f>HYPERLINK("https://jobright.ai/jobs/info/669d1a9772759dfd144b8162?utm_campaign=1052&amp;utm_source=sheet", "Apply")</f>
        <v>Apply</v>
      </c>
      <c r="C832" s="10" t="s">
        <v>9577</v>
      </c>
      <c r="D832" s="56" t="s">
        <v>9578</v>
      </c>
      <c r="E832" s="10" t="s">
        <v>65</v>
      </c>
      <c r="F832" s="10" t="s">
        <v>722</v>
      </c>
      <c r="G832" s="10" t="s">
        <v>1159</v>
      </c>
      <c r="H832" s="10" t="s">
        <v>10713</v>
      </c>
      <c r="I832" s="10" t="s">
        <v>55</v>
      </c>
      <c r="K832" s="10" t="s">
        <v>10714</v>
      </c>
      <c r="L832" s="10" t="s">
        <v>42</v>
      </c>
    </row>
    <row r="833" ht="15.75" customHeight="1">
      <c r="A833" s="64">
        <v>45487.0</v>
      </c>
      <c r="B833" s="55" t="str">
        <f>HYPERLINK("https://jobright.ai/jobs/info/669d1733cc2913c69c0f3e26?utm_campaign=1052&amp;utm_source=sheet", "Apply")</f>
        <v>Apply</v>
      </c>
      <c r="C833" s="10" t="s">
        <v>10715</v>
      </c>
      <c r="D833" s="56" t="s">
        <v>180</v>
      </c>
      <c r="E833" s="10">
        <v>3092.0</v>
      </c>
      <c r="G833" s="10" t="s">
        <v>9414</v>
      </c>
      <c r="H833" s="10" t="s">
        <v>181</v>
      </c>
      <c r="I833" s="10" t="s">
        <v>55</v>
      </c>
      <c r="K833" s="10" t="s">
        <v>10716</v>
      </c>
      <c r="L833" s="10" t="s">
        <v>42</v>
      </c>
    </row>
    <row r="834" ht="15.75" customHeight="1">
      <c r="A834" s="64">
        <v>45487.0</v>
      </c>
      <c r="B834" s="55" t="str">
        <f>HYPERLINK("https://jobright.ai/jobs/info/669d1733cc2913c69c0f3e53?utm_campaign=1052&amp;utm_source=sheet", "Apply")</f>
        <v>Apply</v>
      </c>
      <c r="C834" s="10" t="s">
        <v>10145</v>
      </c>
      <c r="D834" s="56" t="s">
        <v>9578</v>
      </c>
      <c r="E834" s="10" t="s">
        <v>65</v>
      </c>
      <c r="F834" s="10" t="s">
        <v>722</v>
      </c>
      <c r="G834" s="10" t="s">
        <v>1159</v>
      </c>
      <c r="H834" s="10" t="s">
        <v>860</v>
      </c>
      <c r="I834" s="10" t="s">
        <v>55</v>
      </c>
      <c r="K834" s="10" t="s">
        <v>10714</v>
      </c>
      <c r="L834" s="10" t="s">
        <v>42</v>
      </c>
    </row>
    <row r="835" ht="15.75" customHeight="1">
      <c r="A835" s="64">
        <v>45487.0</v>
      </c>
      <c r="B835" s="55" t="str">
        <f>HYPERLINK("https://jobright.ai/jobs/info/669a6d1eca20b9c392f2b636?utm_campaign=1052&amp;utm_source=sheet", "Apply")</f>
        <v>Apply</v>
      </c>
      <c r="C835" s="10" t="s">
        <v>10717</v>
      </c>
      <c r="D835" s="56" t="s">
        <v>730</v>
      </c>
      <c r="E835" s="10" t="s">
        <v>45</v>
      </c>
      <c r="F835" s="10" t="s">
        <v>731</v>
      </c>
      <c r="G835" s="10" t="s">
        <v>9414</v>
      </c>
      <c r="H835" s="10" t="s">
        <v>113</v>
      </c>
      <c r="I835" s="10" t="s">
        <v>55</v>
      </c>
      <c r="K835" s="10" t="s">
        <v>10718</v>
      </c>
      <c r="L835" s="10" t="s">
        <v>42</v>
      </c>
    </row>
    <row r="836" ht="15.75" customHeight="1">
      <c r="A836" s="64">
        <v>45487.0</v>
      </c>
      <c r="B836" s="55" t="str">
        <f>HYPERLINK("https://jobright.ai/jobs/info/669d0f06882781b0ee6b9667?utm_campaign=1052&amp;utm_source=sheet", "Apply")</f>
        <v>Apply</v>
      </c>
      <c r="C836" s="10" t="s">
        <v>10719</v>
      </c>
      <c r="D836" s="56" t="s">
        <v>10369</v>
      </c>
      <c r="E836" s="10" t="s">
        <v>249</v>
      </c>
      <c r="F836" s="10" t="s">
        <v>10370</v>
      </c>
      <c r="G836" s="10" t="s">
        <v>9414</v>
      </c>
      <c r="H836" s="10" t="s">
        <v>765</v>
      </c>
      <c r="I836" s="10" t="s">
        <v>55</v>
      </c>
      <c r="K836" s="10" t="s">
        <v>10720</v>
      </c>
      <c r="L836" s="10" t="s">
        <v>42</v>
      </c>
    </row>
    <row r="837" ht="15.75" customHeight="1">
      <c r="A837" s="64">
        <v>45487.0</v>
      </c>
      <c r="B837" s="55" t="str">
        <f>HYPERLINK("https://jobright.ai/jobs/info/66966fe6c042ef592bddc2e4?utm_campaign=1052&amp;utm_source=sheet", "Apply")</f>
        <v>Apply</v>
      </c>
      <c r="C837" s="10" t="s">
        <v>10721</v>
      </c>
      <c r="D837" s="56" t="s">
        <v>2699</v>
      </c>
      <c r="E837" s="10" t="s">
        <v>249</v>
      </c>
      <c r="F837" s="10" t="s">
        <v>722</v>
      </c>
      <c r="G837" s="10" t="s">
        <v>9419</v>
      </c>
      <c r="H837" s="10" t="s">
        <v>965</v>
      </c>
      <c r="I837" s="10" t="s">
        <v>48</v>
      </c>
      <c r="K837" s="10" t="s">
        <v>9617</v>
      </c>
      <c r="L837" s="10" t="s">
        <v>42</v>
      </c>
    </row>
    <row r="838" ht="15.75" customHeight="1">
      <c r="A838" s="64">
        <v>45487.0</v>
      </c>
      <c r="B838" s="55" t="str">
        <f>HYPERLINK("https://jobright.ai/jobs/info/66966fe6c042ef592bddc32b?utm_campaign=1052&amp;utm_source=sheet", "Apply")</f>
        <v>Apply</v>
      </c>
      <c r="C838" s="10" t="s">
        <v>10722</v>
      </c>
      <c r="D838" s="56" t="s">
        <v>533</v>
      </c>
      <c r="E838" s="10" t="s">
        <v>209</v>
      </c>
      <c r="F838" s="10" t="s">
        <v>534</v>
      </c>
      <c r="G838" s="10" t="s">
        <v>9419</v>
      </c>
      <c r="H838" s="10" t="s">
        <v>886</v>
      </c>
      <c r="I838" s="10" t="s">
        <v>55</v>
      </c>
      <c r="J838" s="10" t="s">
        <v>9680</v>
      </c>
      <c r="K838" s="10" t="s">
        <v>9681</v>
      </c>
      <c r="L838" s="10" t="s">
        <v>42</v>
      </c>
    </row>
    <row r="839" ht="15.75" customHeight="1">
      <c r="A839" s="64">
        <v>45487.0</v>
      </c>
      <c r="B839" s="55" t="str">
        <f>HYPERLINK("https://jobright.ai/jobs/info/669669e995acdb70e27826f9?utm_campaign=1052&amp;utm_source=sheet", "Apply")</f>
        <v>Apply</v>
      </c>
      <c r="C839" s="10" t="s">
        <v>10723</v>
      </c>
      <c r="D839" s="56" t="s">
        <v>533</v>
      </c>
      <c r="E839" s="10" t="s">
        <v>209</v>
      </c>
      <c r="F839" s="10" t="s">
        <v>534</v>
      </c>
      <c r="G839" s="10" t="s">
        <v>9419</v>
      </c>
      <c r="H839" s="10" t="s">
        <v>860</v>
      </c>
      <c r="I839" s="10" t="s">
        <v>55</v>
      </c>
      <c r="J839" s="10" t="s">
        <v>10724</v>
      </c>
      <c r="K839" s="10" t="s">
        <v>9597</v>
      </c>
      <c r="L839" s="10" t="s">
        <v>42</v>
      </c>
    </row>
    <row r="840" ht="15.75" customHeight="1">
      <c r="A840" s="64">
        <v>45487.0</v>
      </c>
      <c r="B840" s="55" t="str">
        <f>HYPERLINK("https://jobright.ai/jobs/info/6697b2a10f3f19c85006ee75?utm_campaign=1052&amp;utm_source=sheet", "Apply")</f>
        <v>Apply</v>
      </c>
      <c r="C840" s="10" t="s">
        <v>10725</v>
      </c>
      <c r="D840" s="56" t="s">
        <v>533</v>
      </c>
      <c r="E840" s="10" t="s">
        <v>209</v>
      </c>
      <c r="F840" s="10" t="s">
        <v>534</v>
      </c>
      <c r="G840" s="10" t="s">
        <v>9414</v>
      </c>
      <c r="H840" s="10" t="s">
        <v>144</v>
      </c>
      <c r="I840" s="10" t="s">
        <v>55</v>
      </c>
      <c r="J840" s="10" t="s">
        <v>535</v>
      </c>
      <c r="K840" s="10" t="s">
        <v>9677</v>
      </c>
      <c r="L840" s="10" t="s">
        <v>42</v>
      </c>
    </row>
    <row r="841" ht="15.75" customHeight="1">
      <c r="A841" s="64">
        <v>45487.0</v>
      </c>
      <c r="B841" s="55" t="str">
        <f>HYPERLINK("https://jobright.ai/jobs/info/669ba122cb0a9b5c47de8104?utm_campaign=1052&amp;utm_source=sheet", "Apply")</f>
        <v>Apply</v>
      </c>
      <c r="C841" s="10" t="s">
        <v>10719</v>
      </c>
      <c r="D841" s="56" t="s">
        <v>10369</v>
      </c>
      <c r="E841" s="10" t="s">
        <v>249</v>
      </c>
      <c r="F841" s="10" t="s">
        <v>10370</v>
      </c>
      <c r="G841" s="10" t="s">
        <v>9414</v>
      </c>
      <c r="H841" s="10" t="s">
        <v>977</v>
      </c>
      <c r="I841" s="10" t="s">
        <v>55</v>
      </c>
      <c r="K841" s="10" t="s">
        <v>10720</v>
      </c>
      <c r="L841" s="10" t="s">
        <v>42</v>
      </c>
    </row>
    <row r="842" ht="15.75" customHeight="1">
      <c r="A842" s="64">
        <v>45487.0</v>
      </c>
      <c r="B842" s="55" t="str">
        <f>HYPERLINK("https://jobright.ai/jobs/info/6696574652c3c9d4b390a6b3?utm_campaign=1052&amp;utm_source=sheet", "Apply")</f>
        <v>Apply</v>
      </c>
      <c r="C842" s="10" t="s">
        <v>10726</v>
      </c>
      <c r="D842" s="56" t="s">
        <v>533</v>
      </c>
      <c r="E842" s="10" t="s">
        <v>209</v>
      </c>
      <c r="F842" s="10" t="s">
        <v>534</v>
      </c>
      <c r="G842" s="10" t="s">
        <v>9419</v>
      </c>
      <c r="H842" s="10" t="s">
        <v>144</v>
      </c>
      <c r="I842" s="10" t="s">
        <v>55</v>
      </c>
      <c r="J842" s="10" t="s">
        <v>535</v>
      </c>
      <c r="K842" s="10" t="s">
        <v>9597</v>
      </c>
      <c r="L842" s="10" t="s">
        <v>42</v>
      </c>
    </row>
    <row r="843" ht="15.75" customHeight="1">
      <c r="A843" s="64">
        <v>45487.0</v>
      </c>
      <c r="B843" s="55" t="str">
        <f>HYPERLINK("https://jobright.ai/jobs/info/6696574652c3c9d4b390a6b7?utm_campaign=1052&amp;utm_source=sheet", "Apply")</f>
        <v>Apply</v>
      </c>
      <c r="C843" s="10" t="s">
        <v>10727</v>
      </c>
      <c r="D843" s="56" t="s">
        <v>533</v>
      </c>
      <c r="E843" s="10" t="s">
        <v>209</v>
      </c>
      <c r="F843" s="10" t="s">
        <v>534</v>
      </c>
      <c r="G843" s="10" t="s">
        <v>9419</v>
      </c>
      <c r="H843" s="10" t="s">
        <v>159</v>
      </c>
      <c r="I843" s="10" t="s">
        <v>55</v>
      </c>
      <c r="J843" s="10" t="s">
        <v>535</v>
      </c>
      <c r="K843" s="10" t="s">
        <v>9597</v>
      </c>
      <c r="L843" s="10" t="s">
        <v>42</v>
      </c>
    </row>
    <row r="844" ht="15.75" customHeight="1">
      <c r="A844" s="64">
        <v>45487.0</v>
      </c>
      <c r="B844" s="55" t="str">
        <f>HYPERLINK("https://jobright.ai/jobs/info/669651fcb7f3928f49a21947?utm_campaign=1052&amp;utm_source=sheet", "Apply")</f>
        <v>Apply</v>
      </c>
      <c r="C844" s="10" t="s">
        <v>10728</v>
      </c>
      <c r="D844" s="56" t="s">
        <v>533</v>
      </c>
      <c r="E844" s="10" t="s">
        <v>209</v>
      </c>
      <c r="F844" s="10" t="s">
        <v>534</v>
      </c>
      <c r="G844" s="10" t="s">
        <v>9419</v>
      </c>
      <c r="H844" s="10" t="s">
        <v>578</v>
      </c>
      <c r="I844" s="10" t="s">
        <v>55</v>
      </c>
      <c r="J844" s="10" t="s">
        <v>535</v>
      </c>
      <c r="K844" s="10" t="s">
        <v>9597</v>
      </c>
      <c r="L844" s="10" t="s">
        <v>42</v>
      </c>
    </row>
    <row r="845" ht="15.75" customHeight="1">
      <c r="A845" s="64">
        <v>45487.0</v>
      </c>
      <c r="B845" s="55" t="str">
        <f>HYPERLINK("https://jobright.ai/jobs/info/664e97b3f97ff61ecf83a597?utm_campaign=1052&amp;utm_source=sheet", "Apply")</f>
        <v>Apply</v>
      </c>
      <c r="C845" s="10" t="s">
        <v>10729</v>
      </c>
      <c r="D845" s="56" t="s">
        <v>9588</v>
      </c>
      <c r="E845" s="10" t="s">
        <v>65</v>
      </c>
      <c r="F845" s="10" t="s">
        <v>722</v>
      </c>
      <c r="G845" s="10" t="s">
        <v>9419</v>
      </c>
      <c r="H845" s="10" t="s">
        <v>3271</v>
      </c>
      <c r="I845" s="10" t="s">
        <v>55</v>
      </c>
      <c r="K845" s="10" t="s">
        <v>10730</v>
      </c>
      <c r="L845" s="10" t="s">
        <v>42</v>
      </c>
    </row>
    <row r="846" ht="15.75" customHeight="1">
      <c r="A846" s="64">
        <v>45487.0</v>
      </c>
      <c r="B846" s="55" t="str">
        <f>HYPERLINK("https://jobright.ai/jobs/info/6676015ff1b86992c36461ba?utm_campaign=1052&amp;utm_source=sheet", "Apply")</f>
        <v>Apply</v>
      </c>
      <c r="C846" s="10" t="s">
        <v>10729</v>
      </c>
      <c r="D846" s="56" t="s">
        <v>9588</v>
      </c>
      <c r="E846" s="10" t="s">
        <v>65</v>
      </c>
      <c r="F846" s="10" t="s">
        <v>722</v>
      </c>
      <c r="G846" s="10" t="s">
        <v>9419</v>
      </c>
      <c r="H846" s="10" t="s">
        <v>520</v>
      </c>
      <c r="I846" s="10" t="s">
        <v>55</v>
      </c>
      <c r="K846" s="10" t="s">
        <v>10730</v>
      </c>
      <c r="L846" s="10" t="s">
        <v>42</v>
      </c>
    </row>
    <row r="847" ht="15.75" customHeight="1">
      <c r="A847" s="64">
        <v>45487.0</v>
      </c>
      <c r="B847" s="55" t="str">
        <f>HYPERLINK("https://jobright.ai/jobs/info/664ea7044e197fc8adcf929d?utm_campaign=1052&amp;utm_source=sheet", "Apply")</f>
        <v>Apply</v>
      </c>
      <c r="C847" s="10" t="s">
        <v>10731</v>
      </c>
      <c r="D847" s="56" t="s">
        <v>9588</v>
      </c>
      <c r="E847" s="10" t="s">
        <v>65</v>
      </c>
      <c r="F847" s="10" t="s">
        <v>722</v>
      </c>
      <c r="G847" s="10" t="s">
        <v>9419</v>
      </c>
      <c r="H847" s="10" t="s">
        <v>3270</v>
      </c>
      <c r="I847" s="10" t="s">
        <v>55</v>
      </c>
      <c r="K847" s="10" t="s">
        <v>10732</v>
      </c>
      <c r="L847" s="10" t="s">
        <v>42</v>
      </c>
    </row>
    <row r="848" ht="15.75" customHeight="1">
      <c r="A848" s="64">
        <v>45487.0</v>
      </c>
      <c r="B848" s="55" t="str">
        <f>HYPERLINK("https://jobright.ai/jobs/info/66779457023ec2d026d3bd6a?utm_campaign=1052&amp;utm_source=sheet", "Apply")</f>
        <v>Apply</v>
      </c>
      <c r="C848" s="10" t="s">
        <v>10733</v>
      </c>
      <c r="D848" s="56" t="s">
        <v>9588</v>
      </c>
      <c r="E848" s="10" t="s">
        <v>65</v>
      </c>
      <c r="F848" s="10" t="s">
        <v>722</v>
      </c>
      <c r="G848" s="10" t="s">
        <v>9419</v>
      </c>
      <c r="H848" s="10" t="s">
        <v>520</v>
      </c>
      <c r="I848" s="10" t="s">
        <v>55</v>
      </c>
      <c r="K848" s="10" t="s">
        <v>10398</v>
      </c>
      <c r="L848" s="10" t="s">
        <v>42</v>
      </c>
    </row>
    <row r="849" ht="15.75" customHeight="1">
      <c r="A849" s="64">
        <v>45487.0</v>
      </c>
      <c r="B849" s="55" t="str">
        <f>HYPERLINK("https://jobright.ai/jobs/info/664ea5f84e197fc8adcf7b5f?utm_campaign=1052&amp;utm_source=sheet", "Apply")</f>
        <v>Apply</v>
      </c>
      <c r="C849" s="10" t="s">
        <v>10734</v>
      </c>
      <c r="D849" s="56" t="s">
        <v>10215</v>
      </c>
      <c r="E849" s="10" t="s">
        <v>249</v>
      </c>
      <c r="F849" s="10" t="s">
        <v>10216</v>
      </c>
      <c r="G849" s="10" t="s">
        <v>1159</v>
      </c>
      <c r="H849" s="10" t="s">
        <v>10432</v>
      </c>
      <c r="I849" s="10" t="s">
        <v>55</v>
      </c>
      <c r="K849" s="10" t="s">
        <v>10217</v>
      </c>
      <c r="L849" s="10" t="s">
        <v>42</v>
      </c>
    </row>
    <row r="850" ht="15.75" customHeight="1">
      <c r="A850" s="64">
        <v>45487.0</v>
      </c>
      <c r="B850" s="55" t="str">
        <f>HYPERLINK("https://jobright.ai/jobs/info/6676cf78131cc9dd67df3283?utm_campaign=1052&amp;utm_source=sheet", "Apply")</f>
        <v>Apply</v>
      </c>
      <c r="C850" s="10" t="s">
        <v>10735</v>
      </c>
      <c r="D850" s="56" t="s">
        <v>10389</v>
      </c>
      <c r="E850" s="10" t="s">
        <v>79</v>
      </c>
      <c r="F850" s="10" t="s">
        <v>3382</v>
      </c>
      <c r="G850" s="10" t="s">
        <v>1159</v>
      </c>
      <c r="H850" s="10" t="s">
        <v>153</v>
      </c>
      <c r="I850" s="10" t="s">
        <v>55</v>
      </c>
      <c r="J850" s="10" t="s">
        <v>10736</v>
      </c>
      <c r="K850" s="10" t="s">
        <v>10390</v>
      </c>
      <c r="L850" s="10" t="s">
        <v>42</v>
      </c>
    </row>
    <row r="851" ht="15.75" customHeight="1">
      <c r="A851" s="64">
        <v>45487.0</v>
      </c>
      <c r="B851" s="55" t="str">
        <f>HYPERLINK("https://jobright.ai/jobs/info/6676e004c909276a3772d3f1?utm_campaign=1052&amp;utm_source=sheet", "Apply")</f>
        <v>Apply</v>
      </c>
      <c r="C851" s="10" t="s">
        <v>10737</v>
      </c>
      <c r="D851" s="56" t="s">
        <v>9588</v>
      </c>
      <c r="E851" s="10" t="s">
        <v>65</v>
      </c>
      <c r="F851" s="10" t="s">
        <v>722</v>
      </c>
      <c r="G851" s="10" t="s">
        <v>9419</v>
      </c>
      <c r="H851" s="10" t="s">
        <v>3270</v>
      </c>
      <c r="I851" s="10" t="s">
        <v>55</v>
      </c>
      <c r="K851" s="10" t="s">
        <v>10738</v>
      </c>
      <c r="L851" s="10" t="s">
        <v>42</v>
      </c>
    </row>
    <row r="852" ht="15.75" customHeight="1">
      <c r="A852" s="64">
        <v>45487.0</v>
      </c>
      <c r="B852" s="55" t="str">
        <f>HYPERLINK("https://jobright.ai/jobs/info/65f195de2518764ebd29556e?utm_campaign=1052&amp;utm_source=sheet", "Apply")</f>
        <v>Apply</v>
      </c>
      <c r="C852" s="10" t="s">
        <v>10739</v>
      </c>
      <c r="D852" s="56" t="s">
        <v>9581</v>
      </c>
      <c r="E852" s="10" t="s">
        <v>65</v>
      </c>
      <c r="F852" s="10" t="s">
        <v>722</v>
      </c>
      <c r="G852" s="10" t="s">
        <v>9419</v>
      </c>
      <c r="H852" s="10" t="s">
        <v>909</v>
      </c>
      <c r="I852" s="10" t="s">
        <v>55</v>
      </c>
      <c r="J852" s="10" t="s">
        <v>9582</v>
      </c>
      <c r="K852" s="10" t="s">
        <v>9603</v>
      </c>
      <c r="L852" s="10" t="s">
        <v>42</v>
      </c>
    </row>
    <row r="853" ht="15.75" customHeight="1">
      <c r="A853" s="64">
        <v>45487.0</v>
      </c>
      <c r="B853" s="55" t="str">
        <f>HYPERLINK("https://jobright.ai/jobs/info/667d4f4b205769d09115085e?utm_campaign=1052&amp;utm_source=sheet", "Apply")</f>
        <v>Apply</v>
      </c>
      <c r="C853" s="10" t="s">
        <v>9786</v>
      </c>
      <c r="D853" s="56" t="s">
        <v>9623</v>
      </c>
      <c r="E853" s="10">
        <v>52219.0</v>
      </c>
      <c r="G853" s="10" t="s">
        <v>9419</v>
      </c>
      <c r="H853" s="10" t="s">
        <v>9143</v>
      </c>
      <c r="I853" s="10" t="s">
        <v>55</v>
      </c>
      <c r="K853" s="10" t="s">
        <v>9787</v>
      </c>
      <c r="L853" s="10" t="s">
        <v>42</v>
      </c>
    </row>
    <row r="854" ht="15.75" customHeight="1">
      <c r="A854" s="64">
        <v>45487.0</v>
      </c>
      <c r="B854" s="55" t="str">
        <f>HYPERLINK("https://jobright.ai/jobs/info/664dffa6d79e0cf765500bab?utm_campaign=1052&amp;utm_source=sheet", "Apply")</f>
        <v>Apply</v>
      </c>
      <c r="C854" s="10" t="s">
        <v>9920</v>
      </c>
      <c r="D854" s="56" t="s">
        <v>9921</v>
      </c>
      <c r="E854" s="10" t="s">
        <v>249</v>
      </c>
      <c r="F854" s="10" t="s">
        <v>722</v>
      </c>
      <c r="G854" s="10" t="s">
        <v>9419</v>
      </c>
      <c r="H854" s="10" t="s">
        <v>139</v>
      </c>
      <c r="I854" s="10" t="s">
        <v>55</v>
      </c>
      <c r="K854" s="10" t="s">
        <v>9922</v>
      </c>
      <c r="L854" s="10" t="s">
        <v>42</v>
      </c>
    </row>
    <row r="855" ht="15.75" customHeight="1">
      <c r="A855" s="64">
        <v>45487.0</v>
      </c>
      <c r="B855" s="55" t="str">
        <f>HYPERLINK("https://jobright.ai/jobs/info/6676cebc131cc9dd67df25db?utm_campaign=1052&amp;utm_source=sheet", "Apply")</f>
        <v>Apply</v>
      </c>
      <c r="C855" s="10" t="s">
        <v>10740</v>
      </c>
      <c r="D855" s="56" t="s">
        <v>9557</v>
      </c>
      <c r="E855" s="10" t="s">
        <v>209</v>
      </c>
      <c r="F855" s="10" t="s">
        <v>1159</v>
      </c>
      <c r="G855" s="10" t="s">
        <v>9419</v>
      </c>
      <c r="H855" s="10" t="s">
        <v>245</v>
      </c>
      <c r="I855" s="10" t="s">
        <v>48</v>
      </c>
      <c r="K855" s="10" t="s">
        <v>10741</v>
      </c>
      <c r="L855" s="10" t="s">
        <v>42</v>
      </c>
    </row>
    <row r="856" ht="15.75" customHeight="1">
      <c r="A856" s="64">
        <v>45487.0</v>
      </c>
      <c r="B856" s="55" t="str">
        <f>HYPERLINK("https://jobright.ai/jobs/info/664e109410b4f1df2998249d?utm_campaign=1052&amp;utm_source=sheet", "Apply")</f>
        <v>Apply</v>
      </c>
      <c r="C856" s="10" t="s">
        <v>10742</v>
      </c>
      <c r="D856" s="56" t="s">
        <v>2699</v>
      </c>
      <c r="E856" s="10" t="s">
        <v>249</v>
      </c>
      <c r="F856" s="10" t="s">
        <v>722</v>
      </c>
      <c r="G856" s="10" t="s">
        <v>9419</v>
      </c>
      <c r="H856" s="10" t="s">
        <v>73</v>
      </c>
      <c r="I856" s="10" t="s">
        <v>48</v>
      </c>
      <c r="K856" s="10" t="s">
        <v>9617</v>
      </c>
      <c r="L856" s="10" t="s">
        <v>42</v>
      </c>
    </row>
    <row r="857" ht="15.75" customHeight="1">
      <c r="A857" s="64">
        <v>45487.0</v>
      </c>
      <c r="B857" s="55" t="str">
        <f>HYPERLINK("https://jobright.ai/jobs/info/664dff9dd79e0cf765500b0a?utm_campaign=1052&amp;utm_source=sheet", "Apply")</f>
        <v>Apply</v>
      </c>
      <c r="C857" s="10" t="s">
        <v>9920</v>
      </c>
      <c r="D857" s="56" t="s">
        <v>9921</v>
      </c>
      <c r="E857" s="10" t="s">
        <v>249</v>
      </c>
      <c r="F857" s="10" t="s">
        <v>722</v>
      </c>
      <c r="G857" s="10" t="s">
        <v>9419</v>
      </c>
      <c r="H857" s="10" t="s">
        <v>154</v>
      </c>
      <c r="I857" s="10" t="s">
        <v>55</v>
      </c>
      <c r="K857" s="10" t="s">
        <v>9922</v>
      </c>
      <c r="L857" s="10" t="s">
        <v>42</v>
      </c>
    </row>
    <row r="858" ht="15.75" customHeight="1">
      <c r="A858" s="64">
        <v>45487.0</v>
      </c>
      <c r="B858" s="55" t="str">
        <f>HYPERLINK("https://jobright.ai/jobs/info/664e10d410b4f1df29982a1d?utm_campaign=1052&amp;utm_source=sheet", "Apply")</f>
        <v>Apply</v>
      </c>
      <c r="C858" s="10" t="s">
        <v>9616</v>
      </c>
      <c r="D858" s="56" t="s">
        <v>2699</v>
      </c>
      <c r="E858" s="10" t="s">
        <v>249</v>
      </c>
      <c r="F858" s="10" t="s">
        <v>722</v>
      </c>
      <c r="G858" s="10" t="s">
        <v>9419</v>
      </c>
      <c r="H858" s="10" t="s">
        <v>965</v>
      </c>
      <c r="I858" s="10" t="s">
        <v>48</v>
      </c>
      <c r="K858" s="10" t="s">
        <v>9617</v>
      </c>
      <c r="L858" s="10" t="s">
        <v>42</v>
      </c>
    </row>
    <row r="859" ht="15.75" customHeight="1">
      <c r="A859" s="64">
        <v>45487.0</v>
      </c>
      <c r="B859" s="55" t="str">
        <f>HYPERLINK("https://jobright.ai/jobs/info/65e5e7d9dd4dfcbd6af639fe?utm_campaign=1052&amp;utm_source=sheet", "Apply")</f>
        <v>Apply</v>
      </c>
      <c r="C859" s="10" t="s">
        <v>10743</v>
      </c>
      <c r="D859" s="56" t="s">
        <v>9588</v>
      </c>
      <c r="E859" s="10" t="s">
        <v>65</v>
      </c>
      <c r="F859" s="10" t="s">
        <v>722</v>
      </c>
      <c r="G859" s="10" t="s">
        <v>9419</v>
      </c>
      <c r="H859" s="10" t="s">
        <v>520</v>
      </c>
      <c r="I859" s="10" t="s">
        <v>55</v>
      </c>
      <c r="K859" s="10" t="s">
        <v>10394</v>
      </c>
      <c r="L859" s="10" t="s">
        <v>42</v>
      </c>
    </row>
    <row r="860" ht="15.75" customHeight="1">
      <c r="A860" s="64">
        <v>45487.0</v>
      </c>
      <c r="B860" s="55" t="str">
        <f>HYPERLINK("https://jobright.ai/jobs/info/66779754417c3aa48b86eb46?utm_campaign=1052&amp;utm_source=sheet", "Apply")</f>
        <v>Apply</v>
      </c>
      <c r="C860" s="10" t="s">
        <v>10744</v>
      </c>
      <c r="D860" s="56" t="s">
        <v>9581</v>
      </c>
      <c r="E860" s="10" t="s">
        <v>65</v>
      </c>
      <c r="F860" s="10" t="s">
        <v>722</v>
      </c>
      <c r="G860" s="10" t="s">
        <v>9419</v>
      </c>
      <c r="H860" s="10" t="s">
        <v>168</v>
      </c>
      <c r="I860" s="10" t="s">
        <v>55</v>
      </c>
      <c r="J860" s="10" t="s">
        <v>9582</v>
      </c>
      <c r="K860" s="10" t="s">
        <v>9603</v>
      </c>
      <c r="L860" s="10" t="s">
        <v>42</v>
      </c>
    </row>
    <row r="861" ht="15.75" customHeight="1">
      <c r="A861" s="64">
        <v>45487.0</v>
      </c>
      <c r="B861" s="55" t="str">
        <f>HYPERLINK("https://jobright.ai/jobs/info/65ec6ecef13ac00501c850fa?utm_campaign=1052&amp;utm_source=sheet", "Apply")</f>
        <v>Apply</v>
      </c>
      <c r="C861" s="10" t="s">
        <v>10745</v>
      </c>
      <c r="D861" s="56" t="s">
        <v>9643</v>
      </c>
      <c r="E861" s="10" t="s">
        <v>249</v>
      </c>
      <c r="F861" s="10" t="s">
        <v>534</v>
      </c>
      <c r="G861" s="10" t="s">
        <v>9419</v>
      </c>
      <c r="H861" s="10" t="s">
        <v>927</v>
      </c>
      <c r="I861" s="10" t="s">
        <v>55</v>
      </c>
      <c r="K861" s="10" t="s">
        <v>10746</v>
      </c>
      <c r="L861" s="10" t="s">
        <v>42</v>
      </c>
    </row>
    <row r="862" ht="15.75" customHeight="1">
      <c r="A862" s="64">
        <v>45487.0</v>
      </c>
      <c r="B862" s="55" t="str">
        <f>HYPERLINK("https://jobright.ai/jobs/info/65eeea9c59c8b6e3549e5bd4?utm_campaign=1052&amp;utm_source=sheet", "Apply")</f>
        <v>Apply</v>
      </c>
      <c r="C862" s="10" t="s">
        <v>10747</v>
      </c>
      <c r="D862" s="56" t="s">
        <v>9581</v>
      </c>
      <c r="E862" s="10" t="s">
        <v>65</v>
      </c>
      <c r="F862" s="10" t="s">
        <v>722</v>
      </c>
      <c r="G862" s="10" t="s">
        <v>9419</v>
      </c>
      <c r="H862" s="10" t="s">
        <v>923</v>
      </c>
      <c r="I862" s="10" t="s">
        <v>55</v>
      </c>
      <c r="J862" s="10" t="s">
        <v>9582</v>
      </c>
      <c r="K862" s="10" t="s">
        <v>9603</v>
      </c>
      <c r="L862" s="10" t="s">
        <v>42</v>
      </c>
    </row>
    <row r="863" ht="15.75" customHeight="1">
      <c r="A863" s="64">
        <v>45487.0</v>
      </c>
      <c r="B863" s="55" t="str">
        <f>HYPERLINK("https://jobright.ai/jobs/info/6676bbf09b9f24e2dbdca74a?utm_campaign=1052&amp;utm_source=sheet", "Apply")</f>
        <v>Apply</v>
      </c>
      <c r="C863" s="10" t="s">
        <v>10748</v>
      </c>
      <c r="D863" s="56" t="s">
        <v>9643</v>
      </c>
      <c r="E863" s="10" t="s">
        <v>249</v>
      </c>
      <c r="F863" s="10" t="s">
        <v>534</v>
      </c>
      <c r="G863" s="10" t="s">
        <v>9419</v>
      </c>
      <c r="H863" s="10" t="s">
        <v>10749</v>
      </c>
      <c r="I863" s="10" t="s">
        <v>55</v>
      </c>
      <c r="K863" s="10" t="s">
        <v>9724</v>
      </c>
      <c r="L863" s="10" t="s">
        <v>42</v>
      </c>
    </row>
    <row r="864" ht="15.75" customHeight="1">
      <c r="A864" s="64">
        <v>45487.0</v>
      </c>
      <c r="B864" s="55" t="str">
        <f>HYPERLINK("https://jobright.ai/jobs/info/6679635af6b36b4aa01a3769?utm_campaign=1052&amp;utm_source=sheet", "Apply")</f>
        <v>Apply</v>
      </c>
      <c r="C864" s="10" t="s">
        <v>10750</v>
      </c>
      <c r="D864" s="56" t="s">
        <v>730</v>
      </c>
      <c r="E864" s="10" t="s">
        <v>45</v>
      </c>
      <c r="F864" s="10" t="s">
        <v>731</v>
      </c>
      <c r="G864" s="10" t="s">
        <v>9414</v>
      </c>
      <c r="H864" s="10" t="s">
        <v>918</v>
      </c>
      <c r="I864" s="10" t="s">
        <v>55</v>
      </c>
      <c r="K864" s="10" t="s">
        <v>10751</v>
      </c>
      <c r="L864" s="10" t="s">
        <v>42</v>
      </c>
    </row>
    <row r="865" ht="15.75" customHeight="1">
      <c r="A865" s="64">
        <v>45487.0</v>
      </c>
      <c r="B865" s="55" t="str">
        <f>HYPERLINK("https://jobright.ai/jobs/info/66911bc8fd200e8bbc3c061a?utm_campaign=1052&amp;utm_source=sheet", "Apply")</f>
        <v>Apply</v>
      </c>
      <c r="C865" s="10" t="s">
        <v>10717</v>
      </c>
      <c r="D865" s="56" t="s">
        <v>730</v>
      </c>
      <c r="E865" s="10" t="s">
        <v>45</v>
      </c>
      <c r="F865" s="10" t="s">
        <v>731</v>
      </c>
      <c r="G865" s="10" t="s">
        <v>9414</v>
      </c>
      <c r="H865" s="10" t="s">
        <v>154</v>
      </c>
      <c r="I865" s="10" t="s">
        <v>55</v>
      </c>
      <c r="K865" s="10" t="s">
        <v>10718</v>
      </c>
      <c r="L865" s="10" t="s">
        <v>42</v>
      </c>
    </row>
    <row r="866" ht="15.75" customHeight="1">
      <c r="A866" s="64">
        <v>45487.0</v>
      </c>
      <c r="B866" s="55" t="str">
        <f>HYPERLINK("https://jobright.ai/jobs/info/6686ac4f114345e05a6c576c?utm_campaign=1052&amp;utm_source=sheet", "Apply")</f>
        <v>Apply</v>
      </c>
      <c r="C866" s="10" t="s">
        <v>10752</v>
      </c>
      <c r="D866" s="56" t="s">
        <v>10369</v>
      </c>
      <c r="E866" s="10" t="s">
        <v>249</v>
      </c>
      <c r="F866" s="10" t="s">
        <v>10370</v>
      </c>
      <c r="G866" s="10" t="s">
        <v>9414</v>
      </c>
      <c r="H866" s="10" t="s">
        <v>974</v>
      </c>
      <c r="I866" s="10" t="s">
        <v>55</v>
      </c>
      <c r="K866" s="10" t="s">
        <v>10753</v>
      </c>
      <c r="L866" s="10" t="s">
        <v>42</v>
      </c>
    </row>
    <row r="867" ht="15.75" customHeight="1">
      <c r="A867" s="64">
        <v>45487.0</v>
      </c>
      <c r="B867" s="55" t="str">
        <f>HYPERLINK("https://jobright.ai/jobs/info/664e9948f97ff61ecf83cac3?utm_campaign=1052&amp;utm_source=sheet", "Apply")</f>
        <v>Apply</v>
      </c>
      <c r="C867" s="10" t="s">
        <v>10729</v>
      </c>
      <c r="D867" s="56" t="s">
        <v>9588</v>
      </c>
      <c r="E867" s="10" t="s">
        <v>65</v>
      </c>
      <c r="F867" s="10" t="s">
        <v>722</v>
      </c>
      <c r="G867" s="10" t="s">
        <v>9419</v>
      </c>
      <c r="H867" s="10" t="s">
        <v>3270</v>
      </c>
      <c r="I867" s="10" t="s">
        <v>55</v>
      </c>
      <c r="K867" s="10" t="s">
        <v>10730</v>
      </c>
      <c r="L867" s="10" t="s">
        <v>42</v>
      </c>
    </row>
    <row r="868" ht="15.75" customHeight="1">
      <c r="A868" s="64">
        <v>45487.0</v>
      </c>
      <c r="B868" s="55" t="str">
        <f>HYPERLINK("https://jobright.ai/jobs/info/665b094218ab3d9c47da916f?utm_campaign=1052&amp;utm_source=sheet", "Apply")</f>
        <v>Apply</v>
      </c>
      <c r="C868" s="10" t="s">
        <v>10754</v>
      </c>
      <c r="D868" s="56" t="s">
        <v>730</v>
      </c>
      <c r="E868" s="10" t="s">
        <v>45</v>
      </c>
      <c r="F868" s="10" t="s">
        <v>731</v>
      </c>
      <c r="G868" s="10" t="s">
        <v>9414</v>
      </c>
      <c r="H868" s="10" t="s">
        <v>96</v>
      </c>
      <c r="I868" s="10" t="s">
        <v>55</v>
      </c>
      <c r="K868" s="10" t="s">
        <v>10755</v>
      </c>
      <c r="L868" s="10" t="s">
        <v>42</v>
      </c>
    </row>
    <row r="869" ht="15.75" customHeight="1">
      <c r="A869" s="64">
        <v>45487.0</v>
      </c>
      <c r="B869" s="55" t="str">
        <f>HYPERLINK("https://jobright.ai/jobs/info/65ef029c420854bcd73bd6fa?utm_campaign=1052&amp;utm_source=sheet", "Apply")</f>
        <v>Apply</v>
      </c>
      <c r="C869" s="10" t="s">
        <v>10756</v>
      </c>
      <c r="D869" s="56" t="s">
        <v>9581</v>
      </c>
      <c r="E869" s="10" t="s">
        <v>65</v>
      </c>
      <c r="F869" s="10" t="s">
        <v>722</v>
      </c>
      <c r="G869" s="10" t="s">
        <v>9419</v>
      </c>
      <c r="H869" s="10" t="s">
        <v>152</v>
      </c>
      <c r="I869" s="10" t="s">
        <v>55</v>
      </c>
      <c r="K869" s="10" t="s">
        <v>9603</v>
      </c>
      <c r="L869" s="10" t="s">
        <v>42</v>
      </c>
    </row>
    <row r="870" ht="15.75" customHeight="1">
      <c r="A870" s="64">
        <v>45487.0</v>
      </c>
      <c r="B870" s="55" t="str">
        <f>HYPERLINK("https://jobright.ai/jobs/info/65eeea9c59c8b6e3549e5bcb?utm_campaign=1052&amp;utm_source=sheet", "Apply")</f>
        <v>Apply</v>
      </c>
      <c r="C870" s="10" t="s">
        <v>10757</v>
      </c>
      <c r="D870" s="56" t="s">
        <v>9581</v>
      </c>
      <c r="E870" s="10" t="s">
        <v>65</v>
      </c>
      <c r="F870" s="10" t="s">
        <v>722</v>
      </c>
      <c r="G870" s="10" t="s">
        <v>9419</v>
      </c>
      <c r="H870" s="10" t="s">
        <v>923</v>
      </c>
      <c r="I870" s="10" t="s">
        <v>55</v>
      </c>
      <c r="J870" s="10" t="s">
        <v>9582</v>
      </c>
      <c r="K870" s="10" t="s">
        <v>9603</v>
      </c>
      <c r="L870" s="10" t="s">
        <v>42</v>
      </c>
    </row>
    <row r="871" ht="15.75" customHeight="1">
      <c r="A871" s="64">
        <v>45487.0</v>
      </c>
      <c r="B871" s="55" t="str">
        <f>HYPERLINK("https://jobright.ai/jobs/info/66779408023ec2d026d3b751?utm_campaign=1052&amp;utm_source=sheet", "Apply")</f>
        <v>Apply</v>
      </c>
      <c r="C871" s="10" t="s">
        <v>10758</v>
      </c>
      <c r="D871" s="56" t="s">
        <v>10215</v>
      </c>
      <c r="E871" s="10" t="s">
        <v>249</v>
      </c>
      <c r="F871" s="10" t="s">
        <v>10216</v>
      </c>
      <c r="G871" s="10" t="s">
        <v>9419</v>
      </c>
      <c r="H871" s="10" t="s">
        <v>5529</v>
      </c>
      <c r="I871" s="10" t="s">
        <v>48</v>
      </c>
      <c r="K871" s="10" t="s">
        <v>10217</v>
      </c>
      <c r="L871" s="10" t="s">
        <v>42</v>
      </c>
    </row>
    <row r="872" ht="15.75" customHeight="1">
      <c r="A872" s="64">
        <v>45487.0</v>
      </c>
      <c r="B872" s="55" t="str">
        <f>HYPERLINK("https://jobright.ai/jobs/info/667490567ec77479dcaeb2ac?utm_campaign=1052&amp;utm_source=sheet", "Apply")</f>
        <v>Apply</v>
      </c>
      <c r="C872" s="10" t="s">
        <v>10759</v>
      </c>
      <c r="D872" s="56" t="s">
        <v>9612</v>
      </c>
      <c r="E872" s="10" t="s">
        <v>45</v>
      </c>
      <c r="F872" s="10" t="s">
        <v>2534</v>
      </c>
      <c r="G872" s="10" t="s">
        <v>9419</v>
      </c>
      <c r="H872" s="10" t="s">
        <v>131</v>
      </c>
      <c r="I872" s="10" t="s">
        <v>55</v>
      </c>
      <c r="K872" s="10" t="s">
        <v>10760</v>
      </c>
      <c r="L872" s="10" t="s">
        <v>42</v>
      </c>
    </row>
    <row r="873" ht="15.75" customHeight="1">
      <c r="A873" s="64">
        <v>45487.0</v>
      </c>
      <c r="B873" s="55" t="str">
        <f>HYPERLINK("https://jobright.ai/jobs/info/65e5d2f96af7bafe86c74962?utm_campaign=1052&amp;utm_source=sheet", "Apply")</f>
        <v>Apply</v>
      </c>
      <c r="C873" s="10" t="s">
        <v>9535</v>
      </c>
      <c r="D873" s="56" t="s">
        <v>9607</v>
      </c>
      <c r="E873" s="10" t="s">
        <v>45</v>
      </c>
      <c r="F873" s="10" t="s">
        <v>722</v>
      </c>
      <c r="G873" s="10" t="s">
        <v>9419</v>
      </c>
      <c r="H873" s="10" t="s">
        <v>505</v>
      </c>
      <c r="I873" s="10" t="s">
        <v>48</v>
      </c>
      <c r="J873" s="10" t="s">
        <v>9653</v>
      </c>
      <c r="K873" s="10" t="s">
        <v>9609</v>
      </c>
      <c r="L873" s="10" t="s">
        <v>42</v>
      </c>
    </row>
    <row r="874" ht="15.75" customHeight="1">
      <c r="A874" s="64">
        <v>45487.0</v>
      </c>
      <c r="B874" s="55" t="str">
        <f>HYPERLINK("https://jobright.ai/jobs/info/6677971a417c3aa48b86e746?utm_campaign=1052&amp;utm_source=sheet", "Apply")</f>
        <v>Apply</v>
      </c>
      <c r="C874" s="10" t="s">
        <v>10761</v>
      </c>
      <c r="D874" s="56" t="s">
        <v>533</v>
      </c>
      <c r="E874" s="10" t="s">
        <v>209</v>
      </c>
      <c r="F874" s="10" t="s">
        <v>534</v>
      </c>
      <c r="G874" s="10" t="s">
        <v>9419</v>
      </c>
      <c r="H874" s="10" t="s">
        <v>854</v>
      </c>
      <c r="I874" s="10" t="s">
        <v>48</v>
      </c>
      <c r="J874" s="10" t="s">
        <v>10347</v>
      </c>
      <c r="K874" s="10" t="s">
        <v>10382</v>
      </c>
      <c r="L874" s="10" t="s">
        <v>42</v>
      </c>
    </row>
    <row r="875" ht="15.75" customHeight="1">
      <c r="A875" s="64">
        <v>45487.0</v>
      </c>
      <c r="B875" s="55" t="str">
        <f>HYPERLINK("https://jobright.ai/jobs/info/6615c901feaed1e740274432?utm_campaign=1052&amp;utm_source=sheet", "Apply")</f>
        <v>Apply</v>
      </c>
      <c r="C875" s="10" t="s">
        <v>10762</v>
      </c>
      <c r="D875" s="56" t="s">
        <v>533</v>
      </c>
      <c r="E875" s="10" t="s">
        <v>209</v>
      </c>
      <c r="F875" s="10" t="s">
        <v>534</v>
      </c>
      <c r="G875" s="10" t="s">
        <v>9419</v>
      </c>
      <c r="H875" s="10" t="s">
        <v>854</v>
      </c>
      <c r="I875" s="10" t="s">
        <v>48</v>
      </c>
      <c r="J875" s="10" t="s">
        <v>10347</v>
      </c>
      <c r="K875" s="10" t="s">
        <v>10763</v>
      </c>
      <c r="L875" s="10" t="s">
        <v>42</v>
      </c>
    </row>
    <row r="876" ht="15.75" customHeight="1">
      <c r="A876" s="64">
        <v>45487.0</v>
      </c>
      <c r="B876" s="55" t="str">
        <f>HYPERLINK("https://jobright.ai/jobs/info/66571b2dace48c3138bc1ca9?utm_campaign=1052&amp;utm_source=sheet", "Apply")</f>
        <v>Apply</v>
      </c>
      <c r="C876" s="10" t="s">
        <v>10764</v>
      </c>
      <c r="D876" s="56" t="s">
        <v>533</v>
      </c>
      <c r="E876" s="10" t="s">
        <v>209</v>
      </c>
      <c r="F876" s="10" t="s">
        <v>534</v>
      </c>
      <c r="G876" s="10" t="s">
        <v>9419</v>
      </c>
      <c r="H876" s="10" t="s">
        <v>144</v>
      </c>
      <c r="I876" s="10" t="s">
        <v>48</v>
      </c>
      <c r="J876" s="10" t="s">
        <v>535</v>
      </c>
      <c r="K876" s="10" t="s">
        <v>9621</v>
      </c>
      <c r="L876" s="10" t="s">
        <v>42</v>
      </c>
    </row>
    <row r="877" ht="15.75" customHeight="1">
      <c r="A877" s="64">
        <v>45487.0</v>
      </c>
      <c r="B877" s="55" t="str">
        <f>HYPERLINK("https://jobright.ai/jobs/info/6677f1d69c81148ccaaed354?utm_campaign=1052&amp;utm_source=sheet", "Apply")</f>
        <v>Apply</v>
      </c>
      <c r="C877" s="10" t="s">
        <v>10765</v>
      </c>
      <c r="D877" s="56" t="s">
        <v>533</v>
      </c>
      <c r="E877" s="10" t="s">
        <v>209</v>
      </c>
      <c r="F877" s="10" t="s">
        <v>534</v>
      </c>
      <c r="G877" s="10" t="s">
        <v>9419</v>
      </c>
      <c r="H877" s="10" t="s">
        <v>144</v>
      </c>
      <c r="I877" s="10" t="s">
        <v>48</v>
      </c>
      <c r="J877" s="10" t="s">
        <v>10347</v>
      </c>
      <c r="K877" s="10" t="s">
        <v>10362</v>
      </c>
      <c r="L877" s="10" t="s">
        <v>42</v>
      </c>
    </row>
    <row r="878" ht="15.75" customHeight="1">
      <c r="A878" s="64">
        <v>45487.0</v>
      </c>
      <c r="B878" s="55" t="str">
        <f>HYPERLINK("https://jobright.ai/jobs/info/6676bb759b9f24e2dbdc9f4c?utm_campaign=1052&amp;utm_source=sheet", "Apply")</f>
        <v>Apply</v>
      </c>
      <c r="C878" s="10" t="s">
        <v>10766</v>
      </c>
      <c r="D878" s="56" t="s">
        <v>533</v>
      </c>
      <c r="E878" s="10" t="s">
        <v>209</v>
      </c>
      <c r="F878" s="10" t="s">
        <v>534</v>
      </c>
      <c r="G878" s="10" t="s">
        <v>9419</v>
      </c>
      <c r="H878" s="10" t="s">
        <v>965</v>
      </c>
      <c r="I878" s="10" t="s">
        <v>48</v>
      </c>
      <c r="J878" s="10" t="s">
        <v>535</v>
      </c>
      <c r="K878" s="10" t="s">
        <v>9621</v>
      </c>
      <c r="L878" s="10" t="s">
        <v>42</v>
      </c>
    </row>
    <row r="879" ht="15.75" customHeight="1">
      <c r="A879" s="64">
        <v>45487.0</v>
      </c>
      <c r="B879" s="55" t="str">
        <f>HYPERLINK("https://jobright.ai/jobs/info/6676cf01131cc9dd67df2a5d?utm_campaign=1052&amp;utm_source=sheet", "Apply")</f>
        <v>Apply</v>
      </c>
      <c r="C879" s="10" t="s">
        <v>10767</v>
      </c>
      <c r="D879" s="56" t="s">
        <v>9643</v>
      </c>
      <c r="E879" s="10" t="s">
        <v>249</v>
      </c>
      <c r="F879" s="10" t="s">
        <v>534</v>
      </c>
      <c r="G879" s="10" t="s">
        <v>9419</v>
      </c>
      <c r="H879" s="10" t="s">
        <v>7659</v>
      </c>
      <c r="I879" s="10" t="s">
        <v>55</v>
      </c>
      <c r="K879" s="10" t="s">
        <v>9724</v>
      </c>
      <c r="L879" s="10" t="s">
        <v>42</v>
      </c>
    </row>
    <row r="880" ht="15.75" customHeight="1">
      <c r="A880" s="64">
        <v>45487.0</v>
      </c>
      <c r="B880" s="55" t="str">
        <f>HYPERLINK("https://jobright.ai/jobs/info/664de0bc0790ade97e15ee20?utm_campaign=1052&amp;utm_source=sheet", "Apply")</f>
        <v>Apply</v>
      </c>
      <c r="C880" s="10" t="s">
        <v>10768</v>
      </c>
      <c r="D880" s="56" t="s">
        <v>9581</v>
      </c>
      <c r="E880" s="10" t="s">
        <v>65</v>
      </c>
      <c r="F880" s="10" t="s">
        <v>722</v>
      </c>
      <c r="G880" s="10" t="s">
        <v>9419</v>
      </c>
      <c r="H880" s="10" t="s">
        <v>610</v>
      </c>
      <c r="I880" s="10" t="s">
        <v>55</v>
      </c>
      <c r="J880" s="10" t="s">
        <v>9582</v>
      </c>
      <c r="K880" s="10" t="s">
        <v>9603</v>
      </c>
      <c r="L880" s="10" t="s">
        <v>42</v>
      </c>
    </row>
    <row r="881" ht="15.75" customHeight="1">
      <c r="A881" s="64">
        <v>45487.0</v>
      </c>
      <c r="B881" s="55" t="str">
        <f>HYPERLINK("https://jobright.ai/jobs/info/65e5cb28e8a32a09adfb55fa?utm_campaign=1052&amp;utm_source=sheet", "Apply")</f>
        <v>Apply</v>
      </c>
      <c r="C881" s="10" t="s">
        <v>9793</v>
      </c>
      <c r="D881" s="56" t="s">
        <v>9607</v>
      </c>
      <c r="E881" s="10" t="s">
        <v>45</v>
      </c>
      <c r="F881" s="10" t="s">
        <v>722</v>
      </c>
      <c r="G881" s="10" t="s">
        <v>9419</v>
      </c>
      <c r="H881" s="10" t="s">
        <v>636</v>
      </c>
      <c r="I881" s="10" t="s">
        <v>48</v>
      </c>
      <c r="J881" s="10" t="s">
        <v>10769</v>
      </c>
      <c r="K881" s="10" t="s">
        <v>9609</v>
      </c>
      <c r="L881" s="10" t="s">
        <v>42</v>
      </c>
    </row>
    <row r="882" ht="15.75" customHeight="1">
      <c r="A882" s="64">
        <v>45487.0</v>
      </c>
      <c r="B882" s="55" t="str">
        <f>HYPERLINK("https://jobright.ai/jobs/info/6659596050d048b518cf2227?utm_campaign=1052&amp;utm_source=sheet", "Apply")</f>
        <v>Apply</v>
      </c>
      <c r="C882" s="10" t="s">
        <v>10770</v>
      </c>
      <c r="D882" s="56" t="s">
        <v>1846</v>
      </c>
      <c r="E882" s="10" t="s">
        <v>45</v>
      </c>
      <c r="F882" s="10" t="s">
        <v>1485</v>
      </c>
      <c r="G882" s="10" t="s">
        <v>9419</v>
      </c>
      <c r="H882" s="10" t="s">
        <v>5367</v>
      </c>
      <c r="I882" s="10" t="s">
        <v>55</v>
      </c>
      <c r="J882" s="10" t="s">
        <v>10771</v>
      </c>
      <c r="K882" s="10" t="s">
        <v>5365</v>
      </c>
      <c r="L882" s="10" t="s">
        <v>42</v>
      </c>
    </row>
    <row r="883" ht="15.75" customHeight="1">
      <c r="A883" s="64">
        <v>45487.0</v>
      </c>
      <c r="B883" s="55" t="str">
        <f>HYPERLINK("https://jobright.ai/jobs/info/65e5cb20e8a32a09adfb554f?utm_campaign=1052&amp;utm_source=sheet", "Apply")</f>
        <v>Apply</v>
      </c>
      <c r="C883" s="10" t="s">
        <v>9535</v>
      </c>
      <c r="D883" s="56" t="s">
        <v>9607</v>
      </c>
      <c r="E883" s="10" t="s">
        <v>45</v>
      </c>
      <c r="F883" s="10" t="s">
        <v>722</v>
      </c>
      <c r="G883" s="10" t="s">
        <v>9419</v>
      </c>
      <c r="H883" s="10" t="s">
        <v>843</v>
      </c>
      <c r="I883" s="10" t="s">
        <v>48</v>
      </c>
      <c r="J883" s="10" t="s">
        <v>10769</v>
      </c>
      <c r="K883" s="10" t="s">
        <v>9799</v>
      </c>
      <c r="L883" s="10" t="s">
        <v>42</v>
      </c>
    </row>
    <row r="884" ht="15.75" customHeight="1">
      <c r="A884" s="64">
        <v>45487.0</v>
      </c>
      <c r="B884" s="55" t="str">
        <f>HYPERLINK("https://jobright.ai/jobs/info/65ef09355645c0d3ca471acd?utm_campaign=1052&amp;utm_source=sheet", "Apply")</f>
        <v>Apply</v>
      </c>
      <c r="C884" s="10" t="s">
        <v>10772</v>
      </c>
      <c r="D884" s="56" t="s">
        <v>9581</v>
      </c>
      <c r="E884" s="10" t="s">
        <v>65</v>
      </c>
      <c r="F884" s="10" t="s">
        <v>722</v>
      </c>
      <c r="G884" s="10" t="s">
        <v>9419</v>
      </c>
      <c r="H884" s="10" t="s">
        <v>802</v>
      </c>
      <c r="I884" s="10" t="s">
        <v>55</v>
      </c>
      <c r="J884" s="10" t="s">
        <v>9582</v>
      </c>
      <c r="K884" s="10" t="s">
        <v>9603</v>
      </c>
      <c r="L884" s="10" t="s">
        <v>42</v>
      </c>
    </row>
    <row r="885" ht="15.75" customHeight="1">
      <c r="A885" s="64">
        <v>45487.0</v>
      </c>
      <c r="B885" s="55" t="str">
        <f>HYPERLINK("https://jobright.ai/jobs/info/65f500cb4ecda343646223cd?utm_campaign=1052&amp;utm_source=sheet", "Apply")</f>
        <v>Apply</v>
      </c>
      <c r="C885" s="10" t="s">
        <v>9587</v>
      </c>
      <c r="D885" s="56" t="s">
        <v>9588</v>
      </c>
      <c r="E885" s="10" t="s">
        <v>65</v>
      </c>
      <c r="F885" s="10" t="s">
        <v>722</v>
      </c>
      <c r="G885" s="10" t="s">
        <v>9419</v>
      </c>
      <c r="H885" s="10" t="s">
        <v>3309</v>
      </c>
      <c r="I885" s="10" t="s">
        <v>55</v>
      </c>
      <c r="K885" s="10" t="s">
        <v>9589</v>
      </c>
      <c r="L885" s="10" t="s">
        <v>42</v>
      </c>
    </row>
    <row r="886" ht="15.75" customHeight="1">
      <c r="A886" s="64">
        <v>45487.0</v>
      </c>
      <c r="B886" s="55" t="str">
        <f>HYPERLINK("https://jobright.ai/jobs/info/6676c61f807f31af72076c20?utm_campaign=1052&amp;utm_source=sheet", "Apply")</f>
        <v>Apply</v>
      </c>
      <c r="C886" s="10" t="s">
        <v>10773</v>
      </c>
      <c r="D886" s="56" t="s">
        <v>2810</v>
      </c>
      <c r="E886" s="10" t="s">
        <v>209</v>
      </c>
      <c r="F886" s="10" t="s">
        <v>2811</v>
      </c>
      <c r="G886" s="10" t="s">
        <v>1159</v>
      </c>
      <c r="H886" s="10" t="s">
        <v>2812</v>
      </c>
      <c r="I886" s="10" t="s">
        <v>55</v>
      </c>
      <c r="J886" s="10" t="s">
        <v>2165</v>
      </c>
      <c r="K886" s="10" t="s">
        <v>10774</v>
      </c>
      <c r="L886" s="10" t="s">
        <v>42</v>
      </c>
    </row>
    <row r="887" ht="15.75" customHeight="1">
      <c r="A887" s="64">
        <v>45487.0</v>
      </c>
      <c r="B887" s="55" t="str">
        <f>HYPERLINK("https://jobright.ai/jobs/info/65ec8420ed00fb7c38d11821?utm_campaign=1052&amp;utm_source=sheet", "Apply")</f>
        <v>Apply</v>
      </c>
      <c r="C887" s="10" t="s">
        <v>10775</v>
      </c>
      <c r="D887" s="56" t="s">
        <v>9581</v>
      </c>
      <c r="E887" s="10" t="s">
        <v>65</v>
      </c>
      <c r="F887" s="10" t="s">
        <v>722</v>
      </c>
      <c r="G887" s="10" t="s">
        <v>9419</v>
      </c>
      <c r="H887" s="10" t="s">
        <v>154</v>
      </c>
      <c r="I887" s="10" t="s">
        <v>55</v>
      </c>
      <c r="K887" s="10" t="s">
        <v>9603</v>
      </c>
      <c r="L887" s="10" t="s">
        <v>42</v>
      </c>
    </row>
    <row r="888" ht="15.75" customHeight="1">
      <c r="A888" s="64">
        <v>45487.0</v>
      </c>
      <c r="B888" s="55" t="str">
        <f>HYPERLINK("https://jobright.ai/jobs/info/65f1a667a763019c694e3e7d?utm_campaign=1052&amp;utm_source=sheet", "Apply")</f>
        <v>Apply</v>
      </c>
      <c r="C888" s="10" t="s">
        <v>10776</v>
      </c>
      <c r="D888" s="56" t="s">
        <v>9581</v>
      </c>
      <c r="E888" s="10" t="s">
        <v>65</v>
      </c>
      <c r="F888" s="10" t="s">
        <v>722</v>
      </c>
      <c r="G888" s="10" t="s">
        <v>9419</v>
      </c>
      <c r="H888" s="10" t="s">
        <v>909</v>
      </c>
      <c r="I888" s="10" t="s">
        <v>55</v>
      </c>
      <c r="J888" s="10" t="s">
        <v>9582</v>
      </c>
      <c r="K888" s="10" t="s">
        <v>9603</v>
      </c>
      <c r="L888" s="10" t="s">
        <v>42</v>
      </c>
    </row>
    <row r="889" ht="15.75" customHeight="1">
      <c r="A889" s="64">
        <v>45487.0</v>
      </c>
      <c r="B889" s="55" t="str">
        <f>HYPERLINK("https://jobright.ai/jobs/info/665b091f18ab3d9c47da8f11?utm_campaign=1052&amp;utm_source=sheet", "Apply")</f>
        <v>Apply</v>
      </c>
      <c r="C889" s="10" t="s">
        <v>10703</v>
      </c>
      <c r="D889" s="56" t="s">
        <v>730</v>
      </c>
      <c r="E889" s="10" t="s">
        <v>45</v>
      </c>
      <c r="F889" s="10" t="s">
        <v>731</v>
      </c>
      <c r="G889" s="10" t="s">
        <v>9419</v>
      </c>
      <c r="H889" s="10" t="s">
        <v>154</v>
      </c>
      <c r="I889" s="10" t="s">
        <v>55</v>
      </c>
      <c r="K889" s="10" t="s">
        <v>10704</v>
      </c>
      <c r="L889" s="10" t="s">
        <v>42</v>
      </c>
    </row>
    <row r="890" ht="15.75" customHeight="1">
      <c r="A890" s="64">
        <v>45487.0</v>
      </c>
      <c r="B890" s="55" t="str">
        <f>HYPERLINK("https://jobright.ai/jobs/info/65e33f37e199f18fc7b81154?utm_campaign=1052&amp;utm_source=sheet", "Apply")</f>
        <v>Apply</v>
      </c>
      <c r="C890" s="10" t="s">
        <v>10743</v>
      </c>
      <c r="D890" s="56" t="s">
        <v>9588</v>
      </c>
      <c r="E890" s="10" t="s">
        <v>65</v>
      </c>
      <c r="F890" s="10" t="s">
        <v>722</v>
      </c>
      <c r="G890" s="10" t="s">
        <v>9419</v>
      </c>
      <c r="H890" s="10" t="s">
        <v>3309</v>
      </c>
      <c r="I890" s="10" t="s">
        <v>55</v>
      </c>
      <c r="K890" s="10" t="s">
        <v>10394</v>
      </c>
      <c r="L890" s="10" t="s">
        <v>42</v>
      </c>
    </row>
    <row r="891" ht="15.75" customHeight="1">
      <c r="A891" s="64">
        <v>45487.0</v>
      </c>
      <c r="B891" s="55" t="str">
        <f>HYPERLINK("https://jobright.ai/jobs/info/66596030d3407050407297af?utm_campaign=1052&amp;utm_source=sheet", "Apply")</f>
        <v>Apply</v>
      </c>
      <c r="C891" s="10" t="s">
        <v>10770</v>
      </c>
      <c r="D891" s="56" t="s">
        <v>1846</v>
      </c>
      <c r="E891" s="10" t="s">
        <v>45</v>
      </c>
      <c r="F891" s="10" t="s">
        <v>1485</v>
      </c>
      <c r="G891" s="10" t="s">
        <v>9419</v>
      </c>
      <c r="H891" s="10" t="s">
        <v>10777</v>
      </c>
      <c r="I891" s="10" t="s">
        <v>55</v>
      </c>
      <c r="J891" s="10" t="s">
        <v>10771</v>
      </c>
      <c r="K891" s="10" t="s">
        <v>5365</v>
      </c>
      <c r="L891" s="10" t="s">
        <v>42</v>
      </c>
    </row>
    <row r="892" ht="15.75" customHeight="1">
      <c r="A892" s="64">
        <v>45487.0</v>
      </c>
      <c r="B892" s="55" t="str">
        <f>HYPERLINK("https://jobright.ai/jobs/info/6679553d39ca2f81c437043b?utm_campaign=1052&amp;utm_source=sheet", "Apply")</f>
        <v>Apply</v>
      </c>
      <c r="C892" s="10" t="s">
        <v>10754</v>
      </c>
      <c r="D892" s="56" t="s">
        <v>730</v>
      </c>
      <c r="E892" s="10" t="s">
        <v>45</v>
      </c>
      <c r="F892" s="10" t="s">
        <v>731</v>
      </c>
      <c r="G892" s="10" t="s">
        <v>9414</v>
      </c>
      <c r="H892" s="10" t="s">
        <v>741</v>
      </c>
      <c r="I892" s="10" t="s">
        <v>55</v>
      </c>
      <c r="K892" s="10" t="s">
        <v>10755</v>
      </c>
      <c r="L892" s="10" t="s">
        <v>42</v>
      </c>
    </row>
    <row r="893" ht="15.75" customHeight="1">
      <c r="A893" s="64">
        <v>45487.0</v>
      </c>
      <c r="B893" s="55" t="str">
        <f>HYPERLINK("https://jobright.ai/jobs/info/666af434167962b92b6e4544?utm_campaign=1052&amp;utm_source=sheet", "Apply")</f>
        <v>Apply</v>
      </c>
      <c r="C893" s="10" t="s">
        <v>10778</v>
      </c>
      <c r="D893" s="56" t="s">
        <v>9643</v>
      </c>
      <c r="E893" s="10" t="s">
        <v>249</v>
      </c>
      <c r="F893" s="10" t="s">
        <v>534</v>
      </c>
      <c r="G893" s="10" t="s">
        <v>9419</v>
      </c>
      <c r="H893" s="10" t="s">
        <v>9931</v>
      </c>
      <c r="I893" s="10" t="s">
        <v>55</v>
      </c>
      <c r="J893" s="10" t="s">
        <v>3430</v>
      </c>
      <c r="K893" s="10" t="s">
        <v>9724</v>
      </c>
      <c r="L893" s="10" t="s">
        <v>42</v>
      </c>
    </row>
    <row r="894" ht="15.75" customHeight="1">
      <c r="A894" s="64">
        <v>45487.0</v>
      </c>
      <c r="B894" s="55" t="str">
        <f>HYPERLINK("https://jobright.ai/jobs/info/65ef029c420854bcd73bd76c?utm_campaign=1052&amp;utm_source=sheet", "Apply")</f>
        <v>Apply</v>
      </c>
      <c r="C894" s="10" t="s">
        <v>10779</v>
      </c>
      <c r="D894" s="56" t="s">
        <v>9581</v>
      </c>
      <c r="E894" s="10" t="s">
        <v>65</v>
      </c>
      <c r="F894" s="10" t="s">
        <v>722</v>
      </c>
      <c r="G894" s="10" t="s">
        <v>9419</v>
      </c>
      <c r="H894" s="10" t="s">
        <v>1120</v>
      </c>
      <c r="I894" s="10" t="s">
        <v>55</v>
      </c>
      <c r="J894" s="10" t="s">
        <v>9582</v>
      </c>
      <c r="K894" s="10" t="s">
        <v>9603</v>
      </c>
      <c r="L894" s="10" t="s">
        <v>42</v>
      </c>
    </row>
    <row r="895" ht="15.75" customHeight="1">
      <c r="A895" s="64">
        <v>45487.0</v>
      </c>
      <c r="B895" s="55" t="str">
        <f>HYPERLINK("https://jobright.ai/jobs/info/65f2ea6bde1ed111e7f4acb4?utm_campaign=1052&amp;utm_source=sheet", "Apply")</f>
        <v>Apply</v>
      </c>
      <c r="C895" s="10" t="s">
        <v>10780</v>
      </c>
      <c r="D895" s="56" t="s">
        <v>9607</v>
      </c>
      <c r="E895" s="10" t="s">
        <v>45</v>
      </c>
      <c r="F895" s="10" t="s">
        <v>722</v>
      </c>
      <c r="G895" s="10" t="s">
        <v>9419</v>
      </c>
      <c r="H895" s="10" t="s">
        <v>354</v>
      </c>
      <c r="I895" s="10" t="s">
        <v>48</v>
      </c>
      <c r="J895" s="10" t="s">
        <v>10769</v>
      </c>
      <c r="K895" s="10" t="s">
        <v>9609</v>
      </c>
      <c r="L895" s="10" t="s">
        <v>42</v>
      </c>
    </row>
    <row r="896" ht="15.75" customHeight="1">
      <c r="A896" s="64">
        <v>45487.0</v>
      </c>
      <c r="B896" s="55" t="str">
        <f>HYPERLINK("https://jobright.ai/jobs/info/65ec74da0ddcb6416d0f694d?utm_campaign=1052&amp;utm_source=sheet", "Apply")</f>
        <v>Apply</v>
      </c>
      <c r="C896" s="10" t="s">
        <v>10781</v>
      </c>
      <c r="D896" s="56" t="s">
        <v>9581</v>
      </c>
      <c r="E896" s="10" t="s">
        <v>65</v>
      </c>
      <c r="F896" s="10" t="s">
        <v>722</v>
      </c>
      <c r="G896" s="10" t="s">
        <v>9419</v>
      </c>
      <c r="H896" s="10" t="s">
        <v>1120</v>
      </c>
      <c r="I896" s="10" t="s">
        <v>55</v>
      </c>
      <c r="K896" s="10" t="s">
        <v>9603</v>
      </c>
      <c r="L896" s="10" t="s">
        <v>42</v>
      </c>
    </row>
    <row r="897" ht="15.75" customHeight="1">
      <c r="A897" s="64">
        <v>45487.0</v>
      </c>
      <c r="B897" s="55" t="str">
        <f>HYPERLINK("https://jobright.ai/jobs/info/65eb6cb9d58836d6a0880b31?utm_campaign=1052&amp;utm_source=sheet", "Apply")</f>
        <v>Apply</v>
      </c>
      <c r="C897" s="10" t="s">
        <v>10782</v>
      </c>
      <c r="D897" s="56" t="s">
        <v>9607</v>
      </c>
      <c r="E897" s="10" t="s">
        <v>45</v>
      </c>
      <c r="F897" s="10" t="s">
        <v>722</v>
      </c>
      <c r="G897" s="10" t="s">
        <v>9419</v>
      </c>
      <c r="H897" s="10" t="s">
        <v>154</v>
      </c>
      <c r="I897" s="10" t="s">
        <v>48</v>
      </c>
      <c r="J897" s="10" t="s">
        <v>9653</v>
      </c>
      <c r="K897" s="10" t="s">
        <v>9609</v>
      </c>
      <c r="L897" s="10" t="s">
        <v>42</v>
      </c>
    </row>
    <row r="898" ht="15.75" customHeight="1">
      <c r="A898" s="64">
        <v>45487.0</v>
      </c>
      <c r="B898" s="55" t="str">
        <f>HYPERLINK("https://jobright.ai/jobs/info/65ef029c420854bcd73bd7a3?utm_campaign=1052&amp;utm_source=sheet", "Apply")</f>
        <v>Apply</v>
      </c>
      <c r="C898" s="10" t="s">
        <v>10783</v>
      </c>
      <c r="D898" s="56" t="s">
        <v>9581</v>
      </c>
      <c r="E898" s="10" t="s">
        <v>65</v>
      </c>
      <c r="F898" s="10" t="s">
        <v>722</v>
      </c>
      <c r="G898" s="10" t="s">
        <v>9419</v>
      </c>
      <c r="H898" s="10" t="s">
        <v>923</v>
      </c>
      <c r="I898" s="10" t="s">
        <v>55</v>
      </c>
      <c r="J898" s="10" t="s">
        <v>9582</v>
      </c>
      <c r="K898" s="10" t="s">
        <v>9603</v>
      </c>
      <c r="L898" s="10" t="s">
        <v>42</v>
      </c>
    </row>
    <row r="899" ht="15.75" customHeight="1">
      <c r="A899" s="64">
        <v>45487.0</v>
      </c>
      <c r="B899" s="55" t="str">
        <f>HYPERLINK("https://jobright.ai/jobs/info/65eeea9c59c8b6e3549e5bb1?utm_campaign=1052&amp;utm_source=sheet", "Apply")</f>
        <v>Apply</v>
      </c>
      <c r="C899" s="10" t="s">
        <v>10784</v>
      </c>
      <c r="D899" s="56" t="s">
        <v>9581</v>
      </c>
      <c r="E899" s="10" t="s">
        <v>65</v>
      </c>
      <c r="F899" s="10" t="s">
        <v>722</v>
      </c>
      <c r="G899" s="10" t="s">
        <v>9419</v>
      </c>
      <c r="H899" s="10" t="s">
        <v>843</v>
      </c>
      <c r="I899" s="10" t="s">
        <v>55</v>
      </c>
      <c r="K899" s="10" t="s">
        <v>9603</v>
      </c>
      <c r="L899" s="10" t="s">
        <v>42</v>
      </c>
    </row>
    <row r="900" ht="15.75" customHeight="1">
      <c r="A900" s="64">
        <v>45487.0</v>
      </c>
      <c r="B900" s="55" t="str">
        <f>HYPERLINK("https://jobright.ai/jobs/info/65ef02a9420854bcd73bd7b9?utm_campaign=1052&amp;utm_source=sheet", "Apply")</f>
        <v>Apply</v>
      </c>
      <c r="C900" s="10" t="s">
        <v>10785</v>
      </c>
      <c r="D900" s="56" t="s">
        <v>9581</v>
      </c>
      <c r="E900" s="10" t="s">
        <v>65</v>
      </c>
      <c r="F900" s="10" t="s">
        <v>722</v>
      </c>
      <c r="G900" s="10" t="s">
        <v>9419</v>
      </c>
      <c r="H900" s="10" t="s">
        <v>1120</v>
      </c>
      <c r="I900" s="10" t="s">
        <v>55</v>
      </c>
      <c r="J900" s="10" t="s">
        <v>9582</v>
      </c>
      <c r="K900" s="10" t="s">
        <v>9603</v>
      </c>
      <c r="L900" s="10" t="s">
        <v>42</v>
      </c>
    </row>
    <row r="901" ht="15.75" customHeight="1">
      <c r="A901" s="64">
        <v>45487.0</v>
      </c>
      <c r="B901" s="55" t="str">
        <f>HYPERLINK("https://jobright.ai/jobs/info/66795af6dcb1db3fc098e05f?utm_campaign=1052&amp;utm_source=sheet", "Apply")</f>
        <v>Apply</v>
      </c>
      <c r="C901" s="10" t="s">
        <v>10786</v>
      </c>
      <c r="D901" s="56" t="s">
        <v>730</v>
      </c>
      <c r="E901" s="10" t="s">
        <v>45</v>
      </c>
      <c r="F901" s="10" t="s">
        <v>731</v>
      </c>
      <c r="G901" s="10" t="s">
        <v>9414</v>
      </c>
      <c r="H901" s="10" t="s">
        <v>96</v>
      </c>
      <c r="I901" s="10" t="s">
        <v>55</v>
      </c>
      <c r="K901" s="10" t="s">
        <v>10787</v>
      </c>
      <c r="L901" s="10" t="s">
        <v>42</v>
      </c>
    </row>
    <row r="902" ht="15.75" customHeight="1">
      <c r="A902" s="64">
        <v>45487.0</v>
      </c>
      <c r="B902" s="55" t="str">
        <f>HYPERLINK("https://jobright.ai/jobs/info/664eb23acd9154b3e6013e7f?utm_campaign=1052&amp;utm_source=sheet", "Apply")</f>
        <v>Apply</v>
      </c>
      <c r="C902" s="10" t="s">
        <v>10737</v>
      </c>
      <c r="D902" s="56" t="s">
        <v>9588</v>
      </c>
      <c r="E902" s="10" t="s">
        <v>65</v>
      </c>
      <c r="F902" s="10" t="s">
        <v>722</v>
      </c>
      <c r="G902" s="10" t="s">
        <v>9419</v>
      </c>
      <c r="H902" s="10" t="s">
        <v>520</v>
      </c>
      <c r="I902" s="10" t="s">
        <v>55</v>
      </c>
      <c r="K902" s="10" t="s">
        <v>10738</v>
      </c>
      <c r="L902" s="10" t="s">
        <v>42</v>
      </c>
    </row>
    <row r="903" ht="15.75" customHeight="1">
      <c r="A903" s="64">
        <v>45487.0</v>
      </c>
      <c r="B903" s="55" t="str">
        <f>HYPERLINK("https://jobright.ai/jobs/info/663438fcc7e6e9fccc7ff400?utm_campaign=1052&amp;utm_source=sheet", "Apply")</f>
        <v>Apply</v>
      </c>
      <c r="C903" s="10" t="s">
        <v>10788</v>
      </c>
      <c r="D903" s="56" t="s">
        <v>9581</v>
      </c>
      <c r="E903" s="10" t="s">
        <v>65</v>
      </c>
      <c r="F903" s="10" t="s">
        <v>722</v>
      </c>
      <c r="G903" s="10" t="s">
        <v>9419</v>
      </c>
      <c r="H903" s="10" t="s">
        <v>154</v>
      </c>
      <c r="I903" s="10" t="s">
        <v>55</v>
      </c>
      <c r="J903" s="10" t="s">
        <v>9582</v>
      </c>
      <c r="K903" s="10" t="s">
        <v>9603</v>
      </c>
      <c r="L903" s="10" t="s">
        <v>42</v>
      </c>
    </row>
    <row r="904" ht="15.75" customHeight="1">
      <c r="A904" s="64">
        <v>45487.0</v>
      </c>
      <c r="B904" s="55" t="str">
        <f>HYPERLINK("https://jobright.ai/jobs/info/6656fd38370b79848db907f9?utm_campaign=1052&amp;utm_source=sheet", "Apply")</f>
        <v>Apply</v>
      </c>
      <c r="C904" s="10" t="s">
        <v>10789</v>
      </c>
      <c r="D904" s="56" t="s">
        <v>9581</v>
      </c>
      <c r="E904" s="10" t="s">
        <v>65</v>
      </c>
      <c r="F904" s="10" t="s">
        <v>722</v>
      </c>
      <c r="G904" s="10" t="s">
        <v>9419</v>
      </c>
      <c r="H904" s="10" t="s">
        <v>607</v>
      </c>
      <c r="I904" s="10" t="s">
        <v>55</v>
      </c>
      <c r="J904" s="10" t="s">
        <v>9582</v>
      </c>
      <c r="K904" s="10" t="s">
        <v>9603</v>
      </c>
      <c r="L904" s="10" t="s">
        <v>42</v>
      </c>
    </row>
    <row r="905" ht="15.75" customHeight="1">
      <c r="A905" s="64">
        <v>45487.0</v>
      </c>
      <c r="B905" s="55" t="str">
        <f>HYPERLINK("https://jobright.ai/jobs/info/6676cebc131cc9dd67df25d7?utm_campaign=1052&amp;utm_source=sheet", "Apply")</f>
        <v>Apply</v>
      </c>
      <c r="C905" s="10" t="s">
        <v>10790</v>
      </c>
      <c r="D905" s="56" t="s">
        <v>6084</v>
      </c>
      <c r="E905" s="10" t="s">
        <v>45</v>
      </c>
      <c r="F905" s="10" t="s">
        <v>6085</v>
      </c>
      <c r="G905" s="10" t="s">
        <v>9419</v>
      </c>
      <c r="H905" s="10" t="s">
        <v>4251</v>
      </c>
      <c r="I905" s="10" t="s">
        <v>55</v>
      </c>
      <c r="K905" s="10" t="s">
        <v>10791</v>
      </c>
      <c r="L905" s="10" t="s">
        <v>42</v>
      </c>
    </row>
    <row r="906" ht="15.75" customHeight="1">
      <c r="A906" s="64">
        <v>45487.0</v>
      </c>
      <c r="B906" s="55" t="str">
        <f>HYPERLINK("https://jobright.ai/jobs/info/663bb0ffdb752ae6cb167fbc?utm_campaign=1052&amp;utm_source=sheet", "Apply")</f>
        <v>Apply</v>
      </c>
      <c r="C906" s="10" t="s">
        <v>10792</v>
      </c>
      <c r="D906" s="56" t="s">
        <v>9607</v>
      </c>
      <c r="E906" s="10" t="s">
        <v>45</v>
      </c>
      <c r="F906" s="10" t="s">
        <v>722</v>
      </c>
      <c r="G906" s="10" t="s">
        <v>9419</v>
      </c>
      <c r="H906" s="10" t="s">
        <v>354</v>
      </c>
      <c r="I906" s="10" t="s">
        <v>48</v>
      </c>
      <c r="J906" s="10" t="s">
        <v>9641</v>
      </c>
      <c r="K906" s="10" t="s">
        <v>9799</v>
      </c>
      <c r="L906" s="10" t="s">
        <v>42</v>
      </c>
    </row>
    <row r="907" ht="15.75" customHeight="1">
      <c r="A907" s="64">
        <v>45487.0</v>
      </c>
      <c r="B907" s="55" t="str">
        <f>HYPERLINK("https://jobright.ai/jobs/info/6679775e22283fc0c73376c7?utm_campaign=1052&amp;utm_source=sheet", "Apply")</f>
        <v>Apply</v>
      </c>
      <c r="C907" s="10" t="s">
        <v>10793</v>
      </c>
      <c r="D907" s="56" t="s">
        <v>730</v>
      </c>
      <c r="E907" s="10" t="s">
        <v>45</v>
      </c>
      <c r="F907" s="10" t="s">
        <v>731</v>
      </c>
      <c r="G907" s="10" t="s">
        <v>9414</v>
      </c>
      <c r="H907" s="10" t="s">
        <v>96</v>
      </c>
      <c r="I907" s="10" t="s">
        <v>55</v>
      </c>
      <c r="K907" s="10" t="s">
        <v>10787</v>
      </c>
      <c r="L907" s="10" t="s">
        <v>42</v>
      </c>
    </row>
    <row r="908" ht="15.75" customHeight="1">
      <c r="A908" s="64">
        <v>45487.0</v>
      </c>
      <c r="B908" s="55" t="str">
        <f>HYPERLINK("https://jobright.ai/jobs/info/65e5afce57f3ef314e817a2f?utm_campaign=1052&amp;utm_source=sheet", "Apply")</f>
        <v>Apply</v>
      </c>
      <c r="C908" s="10" t="s">
        <v>10794</v>
      </c>
      <c r="D908" s="56" t="s">
        <v>9607</v>
      </c>
      <c r="E908" s="10" t="s">
        <v>45</v>
      </c>
      <c r="F908" s="10" t="s">
        <v>722</v>
      </c>
      <c r="G908" s="10" t="s">
        <v>9419</v>
      </c>
      <c r="H908" s="10" t="s">
        <v>628</v>
      </c>
      <c r="I908" s="10" t="s">
        <v>48</v>
      </c>
      <c r="J908" s="10" t="s">
        <v>10769</v>
      </c>
      <c r="K908" s="10" t="s">
        <v>9609</v>
      </c>
      <c r="L908" s="10" t="s">
        <v>42</v>
      </c>
    </row>
    <row r="909" ht="15.75" customHeight="1">
      <c r="A909" s="64">
        <v>45487.0</v>
      </c>
      <c r="B909" s="55" t="str">
        <f>HYPERLINK("https://jobright.ai/jobs/info/65ef02a9420854bcd73bd7d6?utm_campaign=1052&amp;utm_source=sheet", "Apply")</f>
        <v>Apply</v>
      </c>
      <c r="C909" s="10" t="s">
        <v>10795</v>
      </c>
      <c r="D909" s="56" t="s">
        <v>9581</v>
      </c>
      <c r="E909" s="10" t="s">
        <v>65</v>
      </c>
      <c r="F909" s="10" t="s">
        <v>722</v>
      </c>
      <c r="G909" s="10" t="s">
        <v>9419</v>
      </c>
      <c r="H909" s="10" t="s">
        <v>636</v>
      </c>
      <c r="I909" s="10" t="s">
        <v>55</v>
      </c>
      <c r="J909" s="10" t="s">
        <v>9582</v>
      </c>
      <c r="K909" s="10" t="s">
        <v>9603</v>
      </c>
      <c r="L909" s="10" t="s">
        <v>42</v>
      </c>
    </row>
    <row r="910" ht="15.75" customHeight="1">
      <c r="A910" s="64">
        <v>45487.0</v>
      </c>
      <c r="B910" s="55" t="str">
        <f>HYPERLINK("https://jobright.ai/jobs/info/665b009152bf3657b8d23916?utm_campaign=1052&amp;utm_source=sheet", "Apply")</f>
        <v>Apply</v>
      </c>
      <c r="C910" s="10" t="s">
        <v>10695</v>
      </c>
      <c r="D910" s="56" t="s">
        <v>730</v>
      </c>
      <c r="E910" s="10" t="s">
        <v>45</v>
      </c>
      <c r="F910" s="10" t="s">
        <v>731</v>
      </c>
      <c r="G910" s="10" t="s">
        <v>9414</v>
      </c>
      <c r="H910" s="10" t="s">
        <v>799</v>
      </c>
      <c r="I910" s="10" t="s">
        <v>55</v>
      </c>
      <c r="K910" s="10" t="s">
        <v>10696</v>
      </c>
      <c r="L910" s="10" t="s">
        <v>42</v>
      </c>
    </row>
    <row r="911" ht="15.75" customHeight="1">
      <c r="A911" s="64">
        <v>45487.0</v>
      </c>
      <c r="B911" s="55" t="str">
        <f>HYPERLINK("https://jobright.ai/jobs/info/669143a9c955583661a6e23c?utm_campaign=1052&amp;utm_source=sheet", "Apply")</f>
        <v>Apply</v>
      </c>
      <c r="C911" s="10" t="s">
        <v>10717</v>
      </c>
      <c r="D911" s="56" t="s">
        <v>730</v>
      </c>
      <c r="E911" s="10" t="s">
        <v>45</v>
      </c>
      <c r="F911" s="10" t="s">
        <v>731</v>
      </c>
      <c r="G911" s="10" t="s">
        <v>9414</v>
      </c>
      <c r="H911" s="10" t="s">
        <v>96</v>
      </c>
      <c r="I911" s="10" t="s">
        <v>55</v>
      </c>
      <c r="K911" s="10" t="s">
        <v>10718</v>
      </c>
      <c r="L911" s="10" t="s">
        <v>42</v>
      </c>
    </row>
    <row r="912" ht="15.75" customHeight="1">
      <c r="A912" s="64">
        <v>45487.0</v>
      </c>
      <c r="B912" s="55" t="str">
        <f>HYPERLINK("https://jobright.ai/jobs/info/667620fd4b84ce845b7f1eac?utm_campaign=1052&amp;utm_source=sheet", "Apply")</f>
        <v>Apply</v>
      </c>
      <c r="C912" s="10" t="s">
        <v>10594</v>
      </c>
      <c r="D912" s="56" t="s">
        <v>9578</v>
      </c>
      <c r="E912" s="10" t="s">
        <v>65</v>
      </c>
      <c r="F912" s="10" t="s">
        <v>722</v>
      </c>
      <c r="G912" s="10" t="s">
        <v>1159</v>
      </c>
      <c r="H912" s="10" t="s">
        <v>10796</v>
      </c>
      <c r="I912" s="10" t="s">
        <v>55</v>
      </c>
      <c r="K912" s="10" t="s">
        <v>10797</v>
      </c>
      <c r="L912" s="10" t="s">
        <v>42</v>
      </c>
    </row>
    <row r="913" ht="15.75" customHeight="1">
      <c r="A913" s="64">
        <v>45487.0</v>
      </c>
      <c r="B913" s="55" t="str">
        <f>HYPERLINK("https://jobright.ai/jobs/info/65eafbe2764a8ca1489f6870?utm_campaign=1052&amp;utm_source=sheet", "Apply")</f>
        <v>Apply</v>
      </c>
      <c r="C913" s="10" t="s">
        <v>9793</v>
      </c>
      <c r="D913" s="56" t="s">
        <v>9607</v>
      </c>
      <c r="E913" s="10" t="s">
        <v>45</v>
      </c>
      <c r="F913" s="10" t="s">
        <v>722</v>
      </c>
      <c r="G913" s="10" t="s">
        <v>9419</v>
      </c>
      <c r="H913" s="10" t="s">
        <v>170</v>
      </c>
      <c r="I913" s="10" t="s">
        <v>48</v>
      </c>
      <c r="J913" s="10" t="s">
        <v>10798</v>
      </c>
      <c r="K913" s="10" t="s">
        <v>9609</v>
      </c>
      <c r="L913" s="10" t="s">
        <v>42</v>
      </c>
    </row>
    <row r="914" ht="15.75" customHeight="1">
      <c r="A914" s="64">
        <v>45487.0</v>
      </c>
      <c r="B914" s="55" t="str">
        <f>HYPERLINK("https://jobright.ai/jobs/info/65eb20d7dc2945f39ad141af?utm_campaign=1052&amp;utm_source=sheet", "Apply")</f>
        <v>Apply</v>
      </c>
      <c r="C914" s="10" t="s">
        <v>10167</v>
      </c>
      <c r="D914" s="56" t="s">
        <v>9607</v>
      </c>
      <c r="E914" s="10" t="s">
        <v>45</v>
      </c>
      <c r="F914" s="10" t="s">
        <v>722</v>
      </c>
      <c r="G914" s="10" t="s">
        <v>9419</v>
      </c>
      <c r="H914" s="10" t="s">
        <v>165</v>
      </c>
      <c r="I914" s="10" t="s">
        <v>48</v>
      </c>
      <c r="J914" s="10" t="s">
        <v>9952</v>
      </c>
      <c r="K914" s="10" t="s">
        <v>9609</v>
      </c>
      <c r="L914" s="10" t="s">
        <v>42</v>
      </c>
    </row>
    <row r="915" ht="15.75" customHeight="1">
      <c r="A915" s="64">
        <v>45487.0</v>
      </c>
      <c r="B915" s="55" t="str">
        <f>HYPERLINK("https://jobright.ai/jobs/info/666affed02826848dc7fb045?utm_campaign=1052&amp;utm_source=sheet", "Apply")</f>
        <v>Apply</v>
      </c>
      <c r="C915" s="10" t="s">
        <v>10799</v>
      </c>
      <c r="D915" s="56" t="s">
        <v>9581</v>
      </c>
      <c r="E915" s="10" t="s">
        <v>65</v>
      </c>
      <c r="F915" s="10" t="s">
        <v>722</v>
      </c>
      <c r="G915" s="10" t="s">
        <v>9419</v>
      </c>
      <c r="H915" s="10" t="s">
        <v>168</v>
      </c>
      <c r="I915" s="10" t="s">
        <v>55</v>
      </c>
      <c r="J915" s="10" t="s">
        <v>9582</v>
      </c>
      <c r="K915" s="10" t="s">
        <v>9603</v>
      </c>
      <c r="L915" s="10" t="s">
        <v>42</v>
      </c>
    </row>
    <row r="916" ht="15.75" customHeight="1">
      <c r="A916" s="64">
        <v>45487.0</v>
      </c>
      <c r="B916" s="55" t="str">
        <f>HYPERLINK("https://jobright.ai/jobs/info/661748be7d5eccb5a15caa1b?utm_campaign=1052&amp;utm_source=sheet", "Apply")</f>
        <v>Apply</v>
      </c>
      <c r="C916" s="10" t="s">
        <v>10780</v>
      </c>
      <c r="D916" s="56" t="s">
        <v>9607</v>
      </c>
      <c r="E916" s="10" t="s">
        <v>45</v>
      </c>
      <c r="F916" s="10" t="s">
        <v>722</v>
      </c>
      <c r="G916" s="10" t="s">
        <v>9419</v>
      </c>
      <c r="H916" s="10" t="s">
        <v>411</v>
      </c>
      <c r="I916" s="10" t="s">
        <v>48</v>
      </c>
      <c r="J916" s="10" t="s">
        <v>9608</v>
      </c>
      <c r="K916" s="10" t="s">
        <v>9609</v>
      </c>
      <c r="L916" s="10" t="s">
        <v>42</v>
      </c>
    </row>
    <row r="917" ht="15.75" customHeight="1">
      <c r="A917" s="64">
        <v>45487.0</v>
      </c>
      <c r="B917" s="55" t="str">
        <f>HYPERLINK("https://jobright.ai/jobs/info/66779436023ec2d026d3baed?utm_campaign=1052&amp;utm_source=sheet", "Apply")</f>
        <v>Apply</v>
      </c>
      <c r="C917" s="10" t="s">
        <v>10743</v>
      </c>
      <c r="D917" s="56" t="s">
        <v>9588</v>
      </c>
      <c r="E917" s="10" t="s">
        <v>65</v>
      </c>
      <c r="F917" s="10" t="s">
        <v>722</v>
      </c>
      <c r="G917" s="10" t="s">
        <v>9419</v>
      </c>
      <c r="H917" s="10" t="s">
        <v>3271</v>
      </c>
      <c r="I917" s="10" t="s">
        <v>55</v>
      </c>
      <c r="K917" s="10" t="s">
        <v>10394</v>
      </c>
      <c r="L917" s="10" t="s">
        <v>42</v>
      </c>
    </row>
    <row r="918" ht="15.75" customHeight="1">
      <c r="A918" s="64">
        <v>45487.0</v>
      </c>
      <c r="B918" s="55" t="str">
        <f>HYPERLINK("https://jobright.ai/jobs/info/664dffd4d79e0cf76550102f?utm_campaign=1052&amp;utm_source=sheet", "Apply")</f>
        <v>Apply</v>
      </c>
      <c r="C918" s="10" t="s">
        <v>9793</v>
      </c>
      <c r="D918" s="56" t="s">
        <v>9607</v>
      </c>
      <c r="E918" s="10" t="s">
        <v>45</v>
      </c>
      <c r="F918" s="10" t="s">
        <v>722</v>
      </c>
      <c r="G918" s="10" t="s">
        <v>9419</v>
      </c>
      <c r="H918" s="10" t="s">
        <v>818</v>
      </c>
      <c r="I918" s="10" t="s">
        <v>48</v>
      </c>
      <c r="J918" s="10" t="s">
        <v>9653</v>
      </c>
      <c r="K918" s="10" t="s">
        <v>9609</v>
      </c>
      <c r="L918" s="10" t="s">
        <v>42</v>
      </c>
    </row>
    <row r="919" ht="15.75" customHeight="1">
      <c r="A919" s="64">
        <v>45487.0</v>
      </c>
      <c r="B919" s="55" t="str">
        <f>HYPERLINK("https://jobright.ai/jobs/info/65ef09355645c0d3ca471ae4?utm_campaign=1052&amp;utm_source=sheet", "Apply")</f>
        <v>Apply</v>
      </c>
      <c r="C919" s="10" t="s">
        <v>10800</v>
      </c>
      <c r="D919" s="56" t="s">
        <v>9581</v>
      </c>
      <c r="E919" s="10" t="s">
        <v>65</v>
      </c>
      <c r="F919" s="10" t="s">
        <v>722</v>
      </c>
      <c r="G919" s="10" t="s">
        <v>9419</v>
      </c>
      <c r="H919" s="10" t="s">
        <v>4181</v>
      </c>
      <c r="I919" s="10" t="s">
        <v>55</v>
      </c>
      <c r="J919" s="10" t="s">
        <v>9582</v>
      </c>
      <c r="K919" s="10" t="s">
        <v>9603</v>
      </c>
      <c r="L919" s="10" t="s">
        <v>42</v>
      </c>
    </row>
    <row r="920" ht="15.75" customHeight="1">
      <c r="A920" s="64">
        <v>45487.0</v>
      </c>
      <c r="B920" s="55" t="str">
        <f>HYPERLINK("https://jobright.ai/jobs/info/65f0305bb132db58b4257287?utm_campaign=1052&amp;utm_source=sheet", "Apply")</f>
        <v>Apply</v>
      </c>
      <c r="C920" s="10" t="s">
        <v>10801</v>
      </c>
      <c r="D920" s="56" t="s">
        <v>9581</v>
      </c>
      <c r="E920" s="10" t="s">
        <v>65</v>
      </c>
      <c r="F920" s="10" t="s">
        <v>722</v>
      </c>
      <c r="G920" s="10" t="s">
        <v>9419</v>
      </c>
      <c r="H920" s="10" t="s">
        <v>4799</v>
      </c>
      <c r="I920" s="10" t="s">
        <v>55</v>
      </c>
      <c r="K920" s="10" t="s">
        <v>9603</v>
      </c>
      <c r="L920" s="10" t="s">
        <v>42</v>
      </c>
    </row>
    <row r="921" ht="15.75" customHeight="1">
      <c r="A921" s="64">
        <v>45487.0</v>
      </c>
      <c r="B921" s="55" t="str">
        <f>HYPERLINK("https://jobright.ai/jobs/info/666aeb6f673b2dd2162b6ff1?utm_campaign=1052&amp;utm_source=sheet", "Apply")</f>
        <v>Apply</v>
      </c>
      <c r="C921" s="10" t="s">
        <v>10802</v>
      </c>
      <c r="D921" s="56" t="s">
        <v>9581</v>
      </c>
      <c r="E921" s="10" t="s">
        <v>65</v>
      </c>
      <c r="F921" s="10" t="s">
        <v>722</v>
      </c>
      <c r="G921" s="10" t="s">
        <v>9419</v>
      </c>
      <c r="H921" s="10" t="s">
        <v>607</v>
      </c>
      <c r="I921" s="10" t="s">
        <v>55</v>
      </c>
      <c r="J921" s="10" t="s">
        <v>9582</v>
      </c>
      <c r="K921" s="10" t="s">
        <v>9603</v>
      </c>
      <c r="L921" s="10" t="s">
        <v>42</v>
      </c>
    </row>
    <row r="922" ht="15.75" customHeight="1">
      <c r="A922" s="64">
        <v>45487.0</v>
      </c>
      <c r="B922" s="55" t="str">
        <f>HYPERLINK("https://jobright.ai/jobs/info/6676e035c909276a3772d711?utm_campaign=1052&amp;utm_source=sheet", "Apply")</f>
        <v>Apply</v>
      </c>
      <c r="C922" s="10" t="s">
        <v>10803</v>
      </c>
      <c r="D922" s="56" t="s">
        <v>10389</v>
      </c>
      <c r="E922" s="10" t="s">
        <v>79</v>
      </c>
      <c r="F922" s="10" t="s">
        <v>3382</v>
      </c>
      <c r="G922" s="10" t="s">
        <v>1159</v>
      </c>
      <c r="H922" s="10" t="s">
        <v>882</v>
      </c>
      <c r="I922" s="10" t="s">
        <v>55</v>
      </c>
      <c r="K922" s="10" t="s">
        <v>10390</v>
      </c>
      <c r="L922" s="10" t="s">
        <v>42</v>
      </c>
    </row>
    <row r="923" ht="15.75" customHeight="1">
      <c r="A923" s="64">
        <v>45487.0</v>
      </c>
      <c r="B923" s="55" t="str">
        <f>HYPERLINK("https://jobright.ai/jobs/info/65e5e7d9dd4dfcbd6af63a0f?utm_campaign=1052&amp;utm_source=sheet", "Apply")</f>
        <v>Apply</v>
      </c>
      <c r="C923" s="10" t="s">
        <v>10743</v>
      </c>
      <c r="D923" s="56" t="s">
        <v>9588</v>
      </c>
      <c r="E923" s="10" t="s">
        <v>65</v>
      </c>
      <c r="F923" s="10" t="s">
        <v>722</v>
      </c>
      <c r="G923" s="10" t="s">
        <v>9419</v>
      </c>
      <c r="H923" s="10" t="s">
        <v>3270</v>
      </c>
      <c r="I923" s="10" t="s">
        <v>55</v>
      </c>
      <c r="K923" s="10" t="s">
        <v>10394</v>
      </c>
      <c r="L923" s="10" t="s">
        <v>42</v>
      </c>
    </row>
    <row r="924" ht="15.75" customHeight="1">
      <c r="A924" s="64">
        <v>45487.0</v>
      </c>
      <c r="B924" s="55" t="str">
        <f>HYPERLINK("https://jobright.ai/jobs/info/668bd9f7ac083f979192148b?utm_campaign=1052&amp;utm_source=sheet", "Apply")</f>
        <v>Apply</v>
      </c>
      <c r="C924" s="10" t="s">
        <v>10804</v>
      </c>
      <c r="D924" s="56" t="s">
        <v>533</v>
      </c>
      <c r="E924" s="10" t="s">
        <v>209</v>
      </c>
      <c r="F924" s="10" t="s">
        <v>534</v>
      </c>
      <c r="G924" s="10" t="s">
        <v>9419</v>
      </c>
      <c r="H924" s="10" t="s">
        <v>578</v>
      </c>
      <c r="I924" s="10" t="s">
        <v>55</v>
      </c>
      <c r="J924" s="10" t="s">
        <v>10724</v>
      </c>
      <c r="K924" s="10" t="s">
        <v>9597</v>
      </c>
      <c r="L924" s="10" t="s">
        <v>42</v>
      </c>
    </row>
    <row r="925" ht="15.75" customHeight="1">
      <c r="A925" s="64">
        <v>45487.0</v>
      </c>
      <c r="B925" s="55" t="str">
        <f>HYPERLINK("https://jobright.ai/jobs/info/665a04e2844831dbde0c4847?utm_campaign=1052&amp;utm_source=sheet", "Apply")</f>
        <v>Apply</v>
      </c>
      <c r="C925" s="10" t="s">
        <v>10805</v>
      </c>
      <c r="D925" s="56" t="s">
        <v>10806</v>
      </c>
      <c r="E925" s="10" t="s">
        <v>276</v>
      </c>
      <c r="F925" s="10" t="s">
        <v>3382</v>
      </c>
      <c r="G925" s="10" t="s">
        <v>9414</v>
      </c>
      <c r="H925" s="10" t="s">
        <v>96</v>
      </c>
      <c r="I925" s="10" t="s">
        <v>55</v>
      </c>
      <c r="K925" s="10" t="s">
        <v>10807</v>
      </c>
      <c r="L925" s="10" t="s">
        <v>42</v>
      </c>
    </row>
    <row r="926" ht="15.75" customHeight="1">
      <c r="A926" s="64">
        <v>45487.0</v>
      </c>
      <c r="B926" s="55" t="str">
        <f>HYPERLINK("https://jobright.ai/jobs/info/66740eef5ff28865e7a710df?utm_campaign=1052&amp;utm_source=sheet", "Apply")</f>
        <v>Apply</v>
      </c>
      <c r="C926" s="10" t="s">
        <v>10808</v>
      </c>
      <c r="D926" s="56" t="s">
        <v>10389</v>
      </c>
      <c r="E926" s="10" t="s">
        <v>79</v>
      </c>
      <c r="F926" s="10" t="s">
        <v>3382</v>
      </c>
      <c r="G926" s="10" t="s">
        <v>1159</v>
      </c>
      <c r="H926" s="10" t="s">
        <v>990</v>
      </c>
      <c r="I926" s="10" t="s">
        <v>55</v>
      </c>
      <c r="K926" s="10" t="s">
        <v>10390</v>
      </c>
      <c r="L926" s="10" t="s">
        <v>42</v>
      </c>
    </row>
    <row r="927" ht="15.75" customHeight="1">
      <c r="A927" s="64">
        <v>45487.0</v>
      </c>
      <c r="B927" s="55" t="str">
        <f>HYPERLINK("https://jobright.ai/jobs/info/6676ff892798d14ba8f621a6?utm_campaign=1052&amp;utm_source=sheet", "Apply")</f>
        <v>Apply</v>
      </c>
      <c r="C927" s="10" t="s">
        <v>10737</v>
      </c>
      <c r="D927" s="56" t="s">
        <v>9588</v>
      </c>
      <c r="E927" s="10" t="s">
        <v>65</v>
      </c>
      <c r="F927" s="10" t="s">
        <v>722</v>
      </c>
      <c r="G927" s="10" t="s">
        <v>9419</v>
      </c>
      <c r="H927" s="10" t="s">
        <v>3271</v>
      </c>
      <c r="I927" s="10" t="s">
        <v>55</v>
      </c>
      <c r="K927" s="10" t="s">
        <v>10738</v>
      </c>
      <c r="L927" s="10" t="s">
        <v>42</v>
      </c>
    </row>
    <row r="928" ht="15.75" customHeight="1">
      <c r="A928" s="64">
        <v>45487.0</v>
      </c>
      <c r="B928" s="55" t="str">
        <f>HYPERLINK("https://jobright.ai/jobs/info/66779bce3fb2e61146dd5bae?utm_campaign=1052&amp;utm_source=sheet", "Apply")</f>
        <v>Apply</v>
      </c>
      <c r="C928" s="10" t="s">
        <v>10770</v>
      </c>
      <c r="D928" s="56" t="s">
        <v>1846</v>
      </c>
      <c r="E928" s="10" t="s">
        <v>45</v>
      </c>
      <c r="F928" s="10" t="s">
        <v>1485</v>
      </c>
      <c r="G928" s="10" t="s">
        <v>9419</v>
      </c>
      <c r="H928" s="10" t="s">
        <v>868</v>
      </c>
      <c r="I928" s="10" t="s">
        <v>55</v>
      </c>
      <c r="J928" s="10" t="s">
        <v>10451</v>
      </c>
      <c r="K928" s="10" t="s">
        <v>5365</v>
      </c>
      <c r="L928" s="10" t="s">
        <v>42</v>
      </c>
    </row>
    <row r="929" ht="15.75" customHeight="1">
      <c r="A929" s="64">
        <v>45487.0</v>
      </c>
      <c r="B929" s="55" t="str">
        <f>HYPERLINK("https://jobright.ai/jobs/info/65f43c830d9389f0ab26bd44?utm_campaign=1052&amp;utm_source=sheet", "Apply")</f>
        <v>Apply</v>
      </c>
      <c r="C929" s="10" t="s">
        <v>10809</v>
      </c>
      <c r="D929" s="56" t="s">
        <v>10219</v>
      </c>
      <c r="E929" s="10" t="s">
        <v>79</v>
      </c>
      <c r="G929" s="10" t="s">
        <v>9419</v>
      </c>
      <c r="H929" s="10" t="s">
        <v>628</v>
      </c>
      <c r="I929" s="10" t="s">
        <v>55</v>
      </c>
      <c r="K929" s="10" t="s">
        <v>10810</v>
      </c>
      <c r="L929" s="10" t="s">
        <v>42</v>
      </c>
    </row>
    <row r="930" ht="15.75" customHeight="1">
      <c r="A930" s="64">
        <v>45487.0</v>
      </c>
      <c r="B930" s="55" t="str">
        <f>HYPERLINK("https://jobright.ai/jobs/info/65ef029c420854bcd73bd792?utm_campaign=1052&amp;utm_source=sheet", "Apply")</f>
        <v>Apply</v>
      </c>
      <c r="C930" s="10" t="s">
        <v>10811</v>
      </c>
      <c r="D930" s="56" t="s">
        <v>9581</v>
      </c>
      <c r="E930" s="10" t="s">
        <v>65</v>
      </c>
      <c r="F930" s="10" t="s">
        <v>722</v>
      </c>
      <c r="G930" s="10" t="s">
        <v>9419</v>
      </c>
      <c r="H930" s="10" t="s">
        <v>168</v>
      </c>
      <c r="I930" s="10" t="s">
        <v>55</v>
      </c>
      <c r="J930" s="10" t="s">
        <v>9582</v>
      </c>
      <c r="K930" s="10" t="s">
        <v>9603</v>
      </c>
      <c r="L930" s="10" t="s">
        <v>42</v>
      </c>
    </row>
    <row r="931" ht="15.75" customHeight="1">
      <c r="A931" s="64">
        <v>45487.0</v>
      </c>
      <c r="B931" s="55" t="str">
        <f>HYPERLINK("https://jobright.ai/jobs/info/664eb20ccd9154b3e601391d?utm_campaign=1052&amp;utm_source=sheet", "Apply")</f>
        <v>Apply</v>
      </c>
      <c r="C931" s="10" t="s">
        <v>10594</v>
      </c>
      <c r="D931" s="56" t="s">
        <v>9578</v>
      </c>
      <c r="E931" s="10" t="s">
        <v>65</v>
      </c>
      <c r="F931" s="10" t="s">
        <v>722</v>
      </c>
      <c r="G931" s="10" t="s">
        <v>1159</v>
      </c>
      <c r="H931" s="10" t="s">
        <v>10812</v>
      </c>
      <c r="I931" s="10" t="s">
        <v>55</v>
      </c>
      <c r="K931" s="10" t="s">
        <v>10714</v>
      </c>
      <c r="L931" s="10" t="s">
        <v>42</v>
      </c>
    </row>
    <row r="932" ht="15.75" customHeight="1">
      <c r="A932" s="64">
        <v>45487.0</v>
      </c>
      <c r="B932" s="55" t="str">
        <f>HYPERLINK("https://jobright.ai/jobs/info/6676e01dc909276a3772d52f?utm_campaign=1052&amp;utm_source=sheet", "Apply")</f>
        <v>Apply</v>
      </c>
      <c r="C932" s="10" t="s">
        <v>10770</v>
      </c>
      <c r="D932" s="56" t="s">
        <v>1846</v>
      </c>
      <c r="E932" s="10" t="s">
        <v>45</v>
      </c>
      <c r="F932" s="10" t="s">
        <v>1485</v>
      </c>
      <c r="G932" s="10" t="s">
        <v>9419</v>
      </c>
      <c r="H932" s="10" t="s">
        <v>794</v>
      </c>
      <c r="I932" s="10" t="s">
        <v>55</v>
      </c>
      <c r="J932" s="10" t="s">
        <v>10813</v>
      </c>
      <c r="K932" s="10" t="s">
        <v>5365</v>
      </c>
      <c r="L932" s="10" t="s">
        <v>42</v>
      </c>
    </row>
    <row r="933" ht="15.75" customHeight="1">
      <c r="A933" s="64">
        <v>45487.0</v>
      </c>
      <c r="B933" s="55" t="str">
        <f>HYPERLINK("https://jobright.ai/jobs/info/6656fd51370b79848db90a53?utm_campaign=1052&amp;utm_source=sheet", "Apply")</f>
        <v>Apply</v>
      </c>
      <c r="C933" s="10" t="s">
        <v>10814</v>
      </c>
      <c r="D933" s="56" t="s">
        <v>9581</v>
      </c>
      <c r="E933" s="10" t="s">
        <v>65</v>
      </c>
      <c r="F933" s="10" t="s">
        <v>722</v>
      </c>
      <c r="G933" s="10" t="s">
        <v>9419</v>
      </c>
      <c r="H933" s="10" t="s">
        <v>843</v>
      </c>
      <c r="I933" s="10" t="s">
        <v>55</v>
      </c>
      <c r="J933" s="10" t="s">
        <v>9582</v>
      </c>
      <c r="K933" s="10" t="s">
        <v>9603</v>
      </c>
      <c r="L933" s="10" t="s">
        <v>42</v>
      </c>
    </row>
    <row r="934" ht="15.75" customHeight="1">
      <c r="A934" s="64">
        <v>45487.0</v>
      </c>
      <c r="B934" s="55" t="str">
        <f>HYPERLINK("https://jobright.ai/jobs/info/666ad9ea02c1dc0c9fb9f9fd?utm_campaign=1052&amp;utm_source=sheet", "Apply")</f>
        <v>Apply</v>
      </c>
      <c r="C934" s="10" t="s">
        <v>10815</v>
      </c>
      <c r="D934" s="56" t="s">
        <v>9581</v>
      </c>
      <c r="E934" s="10" t="s">
        <v>65</v>
      </c>
      <c r="F934" s="10" t="s">
        <v>722</v>
      </c>
      <c r="G934" s="10" t="s">
        <v>9419</v>
      </c>
      <c r="H934" s="10" t="s">
        <v>245</v>
      </c>
      <c r="I934" s="10" t="s">
        <v>55</v>
      </c>
      <c r="J934" s="10" t="s">
        <v>9582</v>
      </c>
      <c r="K934" s="10" t="s">
        <v>9603</v>
      </c>
      <c r="L934" s="10" t="s">
        <v>42</v>
      </c>
    </row>
    <row r="935" ht="15.75" customHeight="1">
      <c r="A935" s="64">
        <v>45487.0</v>
      </c>
      <c r="B935" s="55" t="str">
        <f>HYPERLINK("https://jobright.ai/jobs/info/6676cf3c131cc9dd67df2e67?utm_campaign=1052&amp;utm_source=sheet", "Apply")</f>
        <v>Apply</v>
      </c>
      <c r="C935" s="10" t="s">
        <v>10816</v>
      </c>
      <c r="D935" s="56" t="s">
        <v>9643</v>
      </c>
      <c r="E935" s="10" t="s">
        <v>249</v>
      </c>
      <c r="F935" s="10" t="s">
        <v>534</v>
      </c>
      <c r="G935" s="10" t="s">
        <v>9419</v>
      </c>
      <c r="H935" s="10" t="s">
        <v>9931</v>
      </c>
      <c r="I935" s="10" t="s">
        <v>55</v>
      </c>
      <c r="J935" s="10" t="s">
        <v>3430</v>
      </c>
      <c r="K935" s="10" t="s">
        <v>9645</v>
      </c>
      <c r="L935" s="10" t="s">
        <v>42</v>
      </c>
    </row>
    <row r="936" ht="15.75" customHeight="1">
      <c r="A936" s="64">
        <v>45487.0</v>
      </c>
      <c r="B936" s="55" t="str">
        <f>HYPERLINK("https://jobright.ai/jobs/info/665b134360515a1092af7c37?utm_campaign=1052&amp;utm_source=sheet", "Apply")</f>
        <v>Apply</v>
      </c>
      <c r="C936" s="10" t="s">
        <v>10754</v>
      </c>
      <c r="D936" s="56" t="s">
        <v>730</v>
      </c>
      <c r="E936" s="10" t="s">
        <v>45</v>
      </c>
      <c r="F936" s="10" t="s">
        <v>731</v>
      </c>
      <c r="G936" s="10" t="s">
        <v>9414</v>
      </c>
      <c r="H936" s="10" t="s">
        <v>918</v>
      </c>
      <c r="I936" s="10" t="s">
        <v>55</v>
      </c>
      <c r="K936" s="10" t="s">
        <v>10755</v>
      </c>
      <c r="L936" s="10" t="s">
        <v>42</v>
      </c>
    </row>
    <row r="937" ht="15.75" customHeight="1">
      <c r="A937" s="64">
        <v>45487.0</v>
      </c>
      <c r="B937" s="55" t="str">
        <f>HYPERLINK("https://jobright.ai/jobs/info/65ef029c420854bcd73bd711?utm_campaign=1052&amp;utm_source=sheet", "Apply")</f>
        <v>Apply</v>
      </c>
      <c r="C937" s="10" t="s">
        <v>10817</v>
      </c>
      <c r="D937" s="56" t="s">
        <v>9581</v>
      </c>
      <c r="E937" s="10" t="s">
        <v>65</v>
      </c>
      <c r="F937" s="10" t="s">
        <v>722</v>
      </c>
      <c r="G937" s="10" t="s">
        <v>9419</v>
      </c>
      <c r="H937" s="10" t="s">
        <v>245</v>
      </c>
      <c r="I937" s="10" t="s">
        <v>55</v>
      </c>
      <c r="J937" s="10" t="s">
        <v>9582</v>
      </c>
      <c r="K937" s="10" t="s">
        <v>9603</v>
      </c>
      <c r="L937" s="10" t="s">
        <v>42</v>
      </c>
    </row>
    <row r="938" ht="15.75" customHeight="1">
      <c r="A938" s="64">
        <v>45487.0</v>
      </c>
      <c r="B938" s="55" t="str">
        <f>HYPERLINK("https://jobright.ai/jobs/info/66779422023ec2d026d3b97e?utm_campaign=1052&amp;utm_source=sheet", "Apply")</f>
        <v>Apply</v>
      </c>
      <c r="C938" s="10" t="s">
        <v>9587</v>
      </c>
      <c r="D938" s="56" t="s">
        <v>9588</v>
      </c>
      <c r="E938" s="10" t="s">
        <v>65</v>
      </c>
      <c r="F938" s="10" t="s">
        <v>722</v>
      </c>
      <c r="G938" s="10" t="s">
        <v>9419</v>
      </c>
      <c r="H938" s="10" t="s">
        <v>3270</v>
      </c>
      <c r="I938" s="10" t="s">
        <v>55</v>
      </c>
      <c r="K938" s="10" t="s">
        <v>9589</v>
      </c>
      <c r="L938" s="10" t="s">
        <v>42</v>
      </c>
    </row>
    <row r="939" ht="15.75" customHeight="1">
      <c r="A939" s="64">
        <v>45487.0</v>
      </c>
      <c r="B939" s="55" t="str">
        <f>HYPERLINK("https://jobright.ai/jobs/info/65e5c31290f16fe0c3fcd7f5?utm_campaign=1052&amp;utm_source=sheet", "Apply")</f>
        <v>Apply</v>
      </c>
      <c r="C939" s="10" t="s">
        <v>9535</v>
      </c>
      <c r="D939" s="56" t="s">
        <v>9607</v>
      </c>
      <c r="E939" s="10" t="s">
        <v>45</v>
      </c>
      <c r="F939" s="10" t="s">
        <v>722</v>
      </c>
      <c r="G939" s="10" t="s">
        <v>9419</v>
      </c>
      <c r="H939" s="10" t="s">
        <v>174</v>
      </c>
      <c r="I939" s="10" t="s">
        <v>48</v>
      </c>
      <c r="J939" s="10" t="s">
        <v>10769</v>
      </c>
      <c r="K939" s="10" t="s">
        <v>9609</v>
      </c>
      <c r="L939" s="10" t="s">
        <v>42</v>
      </c>
    </row>
    <row r="940" ht="15.75" customHeight="1">
      <c r="A940" s="64">
        <v>45487.0</v>
      </c>
      <c r="B940" s="55" t="str">
        <f>HYPERLINK("https://jobright.ai/jobs/info/65e5b31dc208861341f73b89?utm_campaign=1052&amp;utm_source=sheet", "Apply")</f>
        <v>Apply</v>
      </c>
      <c r="C940" s="10" t="s">
        <v>9793</v>
      </c>
      <c r="D940" s="56" t="s">
        <v>9607</v>
      </c>
      <c r="E940" s="10" t="s">
        <v>45</v>
      </c>
      <c r="F940" s="10" t="s">
        <v>722</v>
      </c>
      <c r="G940" s="10" t="s">
        <v>9419</v>
      </c>
      <c r="H940" s="10" t="s">
        <v>167</v>
      </c>
      <c r="I940" s="10" t="s">
        <v>48</v>
      </c>
      <c r="J940" s="10" t="s">
        <v>9795</v>
      </c>
      <c r="K940" s="10" t="s">
        <v>9609</v>
      </c>
      <c r="L940" s="10" t="s">
        <v>42</v>
      </c>
    </row>
    <row r="941" ht="15.75" customHeight="1">
      <c r="A941" s="64">
        <v>45487.0</v>
      </c>
      <c r="B941" s="55" t="str">
        <f>HYPERLINK("https://jobright.ai/jobs/info/66779b833fb2e61146dd56f6?utm_campaign=1052&amp;utm_source=sheet", "Apply")</f>
        <v>Apply</v>
      </c>
      <c r="C941" s="10" t="s">
        <v>10818</v>
      </c>
      <c r="D941" s="56" t="s">
        <v>533</v>
      </c>
      <c r="E941" s="10" t="s">
        <v>209</v>
      </c>
      <c r="F941" s="10" t="s">
        <v>534</v>
      </c>
      <c r="G941" s="10" t="s">
        <v>9419</v>
      </c>
      <c r="H941" s="10" t="s">
        <v>354</v>
      </c>
      <c r="I941" s="10" t="s">
        <v>48</v>
      </c>
      <c r="J941" s="10" t="s">
        <v>10347</v>
      </c>
      <c r="K941" s="10" t="s">
        <v>10763</v>
      </c>
      <c r="L941" s="10" t="s">
        <v>42</v>
      </c>
    </row>
    <row r="942" ht="15.75" customHeight="1">
      <c r="A942" s="64">
        <v>45487.0</v>
      </c>
      <c r="B942" s="55" t="str">
        <f>HYPERLINK("https://jobright.ai/jobs/info/655c8bc027e6fd31a4f0765f?utm_campaign=1052&amp;utm_source=sheet", "Apply")</f>
        <v>Apply</v>
      </c>
      <c r="C942" s="10" t="s">
        <v>10819</v>
      </c>
      <c r="D942" s="56" t="s">
        <v>10389</v>
      </c>
      <c r="E942" s="10" t="s">
        <v>79</v>
      </c>
      <c r="F942" s="10" t="s">
        <v>3382</v>
      </c>
      <c r="G942" s="10" t="s">
        <v>1159</v>
      </c>
      <c r="H942" s="10" t="s">
        <v>9207</v>
      </c>
      <c r="I942" s="10" t="s">
        <v>55</v>
      </c>
      <c r="K942" s="10" t="s">
        <v>10820</v>
      </c>
      <c r="L942" s="10" t="s">
        <v>42</v>
      </c>
    </row>
    <row r="943" ht="15.75" customHeight="1">
      <c r="A943" s="64">
        <v>45487.0</v>
      </c>
      <c r="B943" s="55" t="str">
        <f>HYPERLINK("https://jobright.ai/jobs/info/6628172263da74834abea502?utm_campaign=1052&amp;utm_source=sheet", "Apply")</f>
        <v>Apply</v>
      </c>
      <c r="C943" s="10" t="s">
        <v>10821</v>
      </c>
      <c r="D943" s="56" t="s">
        <v>1653</v>
      </c>
      <c r="E943" s="10" t="s">
        <v>45</v>
      </c>
      <c r="F943" s="10" t="s">
        <v>1654</v>
      </c>
      <c r="G943" s="10" t="s">
        <v>9414</v>
      </c>
      <c r="H943" s="10" t="s">
        <v>1696</v>
      </c>
      <c r="I943" s="10" t="s">
        <v>48</v>
      </c>
      <c r="J943" s="10" t="s">
        <v>1409</v>
      </c>
      <c r="K943" s="10" t="s">
        <v>10822</v>
      </c>
      <c r="L943" s="10" t="s">
        <v>42</v>
      </c>
    </row>
    <row r="944" ht="15.75" customHeight="1">
      <c r="A944" s="64">
        <v>45487.0</v>
      </c>
      <c r="B944" s="55" t="str">
        <f>HYPERLINK("https://jobright.ai/jobs/info/664e118110b4f1df29983901?utm_campaign=1052&amp;utm_source=sheet", "Apply")</f>
        <v>Apply</v>
      </c>
      <c r="C944" s="10" t="s">
        <v>10823</v>
      </c>
      <c r="D944" s="56" t="s">
        <v>2699</v>
      </c>
      <c r="E944" s="10" t="s">
        <v>249</v>
      </c>
      <c r="F944" s="10" t="s">
        <v>722</v>
      </c>
      <c r="G944" s="10" t="s">
        <v>9419</v>
      </c>
      <c r="H944" s="10" t="s">
        <v>965</v>
      </c>
      <c r="I944" s="10" t="s">
        <v>48</v>
      </c>
      <c r="K944" s="10" t="s">
        <v>9617</v>
      </c>
      <c r="L944" s="10" t="s">
        <v>42</v>
      </c>
    </row>
    <row r="945" ht="15.75" customHeight="1">
      <c r="A945" s="64">
        <v>45487.0</v>
      </c>
      <c r="B945" s="55" t="str">
        <f>HYPERLINK("https://jobright.ai/jobs/info/665b006852bf3657b8d2359f?utm_campaign=1052&amp;utm_source=sheet", "Apply")</f>
        <v>Apply</v>
      </c>
      <c r="C945" s="10" t="s">
        <v>10688</v>
      </c>
      <c r="D945" s="56" t="s">
        <v>730</v>
      </c>
      <c r="E945" s="10" t="s">
        <v>45</v>
      </c>
      <c r="F945" s="10" t="s">
        <v>731</v>
      </c>
      <c r="G945" s="10" t="s">
        <v>9419</v>
      </c>
      <c r="H945" s="10" t="s">
        <v>927</v>
      </c>
      <c r="I945" s="10" t="s">
        <v>55</v>
      </c>
      <c r="K945" s="10" t="s">
        <v>10689</v>
      </c>
      <c r="L945" s="10" t="s">
        <v>42</v>
      </c>
    </row>
    <row r="946" ht="15.75" customHeight="1">
      <c r="A946" s="64">
        <v>45487.0</v>
      </c>
      <c r="B946" s="55" t="str">
        <f>HYPERLINK("https://jobright.ai/jobs/info/665b094218ab3d9c47da9171?utm_campaign=1052&amp;utm_source=sheet", "Apply")</f>
        <v>Apply</v>
      </c>
      <c r="C946" s="10" t="s">
        <v>10695</v>
      </c>
      <c r="D946" s="56" t="s">
        <v>730</v>
      </c>
      <c r="E946" s="10" t="s">
        <v>45</v>
      </c>
      <c r="F946" s="10" t="s">
        <v>731</v>
      </c>
      <c r="G946" s="10" t="s">
        <v>9414</v>
      </c>
      <c r="H946" s="10" t="s">
        <v>927</v>
      </c>
      <c r="I946" s="10" t="s">
        <v>55</v>
      </c>
      <c r="K946" s="10" t="s">
        <v>10696</v>
      </c>
      <c r="L946" s="10" t="s">
        <v>42</v>
      </c>
    </row>
    <row r="947" ht="15.75" customHeight="1">
      <c r="A947" s="64">
        <v>45487.0</v>
      </c>
      <c r="B947" s="55" t="str">
        <f>HYPERLINK("https://jobright.ai/jobs/info/65cd6a5cb463799f0b3e8c49?utm_campaign=1052&amp;utm_source=sheet", "Apply")</f>
        <v>Apply</v>
      </c>
      <c r="C947" s="10" t="s">
        <v>9634</v>
      </c>
      <c r="D947" s="56" t="s">
        <v>2763</v>
      </c>
      <c r="E947" s="10" t="s">
        <v>45</v>
      </c>
      <c r="F947" s="10" t="s">
        <v>1465</v>
      </c>
      <c r="G947" s="10" t="s">
        <v>1159</v>
      </c>
      <c r="H947" s="10" t="s">
        <v>434</v>
      </c>
      <c r="I947" s="10" t="s">
        <v>55</v>
      </c>
      <c r="J947" s="10" t="s">
        <v>9635</v>
      </c>
      <c r="K947" s="10" t="s">
        <v>9636</v>
      </c>
      <c r="L947" s="10" t="s">
        <v>42</v>
      </c>
    </row>
    <row r="948" ht="15.75" customHeight="1">
      <c r="A948" s="64">
        <v>45487.0</v>
      </c>
      <c r="B948" s="55" t="str">
        <f>HYPERLINK("https://jobright.ai/jobs/info/650ad3a95b7ff2c4776a67ef?utm_campaign=1052&amp;utm_source=sheet", "Apply")</f>
        <v>Apply</v>
      </c>
      <c r="C948" s="10" t="s">
        <v>10824</v>
      </c>
      <c r="D948" s="56" t="s">
        <v>10825</v>
      </c>
      <c r="E948" s="10" t="s">
        <v>65</v>
      </c>
      <c r="F948" s="10" t="s">
        <v>3594</v>
      </c>
      <c r="G948" s="10" t="s">
        <v>1159</v>
      </c>
      <c r="H948" s="10" t="s">
        <v>170</v>
      </c>
      <c r="I948" s="10" t="s">
        <v>55</v>
      </c>
      <c r="K948" s="10" t="s">
        <v>10826</v>
      </c>
      <c r="L948" s="10" t="s">
        <v>42</v>
      </c>
    </row>
    <row r="949" ht="15.75" customHeight="1">
      <c r="A949" s="64">
        <v>45487.0</v>
      </c>
      <c r="B949" s="55" t="str">
        <f>HYPERLINK("https://jobright.ai/jobs/info/65f19ea078ec25be5ece33cc?utm_campaign=1052&amp;utm_source=sheet", "Apply")</f>
        <v>Apply</v>
      </c>
      <c r="C949" s="10" t="s">
        <v>10827</v>
      </c>
      <c r="D949" s="56" t="s">
        <v>10828</v>
      </c>
      <c r="E949" s="10" t="s">
        <v>79</v>
      </c>
      <c r="F949" s="10" t="s">
        <v>722</v>
      </c>
      <c r="G949" s="10" t="s">
        <v>9419</v>
      </c>
      <c r="H949" s="10" t="s">
        <v>3196</v>
      </c>
      <c r="I949" s="10" t="s">
        <v>55</v>
      </c>
      <c r="K949" s="10" t="s">
        <v>10829</v>
      </c>
      <c r="L949" s="10" t="s">
        <v>42</v>
      </c>
    </row>
    <row r="950" ht="15.75" customHeight="1">
      <c r="A950" s="64">
        <v>45487.0</v>
      </c>
      <c r="B950" s="55" t="str">
        <f>HYPERLINK("https://jobright.ai/jobs/info/65e07c01f35e5843fa780f51?utm_campaign=1052&amp;utm_source=sheet", "Apply")</f>
        <v>Apply</v>
      </c>
      <c r="C950" s="10" t="s">
        <v>10823</v>
      </c>
      <c r="D950" s="56" t="s">
        <v>2699</v>
      </c>
      <c r="E950" s="10" t="s">
        <v>249</v>
      </c>
      <c r="F950" s="10" t="s">
        <v>722</v>
      </c>
      <c r="G950" s="10" t="s">
        <v>9419</v>
      </c>
      <c r="H950" s="10" t="s">
        <v>73</v>
      </c>
      <c r="I950" s="10" t="s">
        <v>55</v>
      </c>
      <c r="K950" s="10" t="s">
        <v>9617</v>
      </c>
      <c r="L950" s="10" t="s">
        <v>42</v>
      </c>
    </row>
    <row r="951" ht="15.75" customHeight="1">
      <c r="A951" s="64">
        <v>45487.0</v>
      </c>
      <c r="B951" s="55" t="str">
        <f>HYPERLINK("https://jobright.ai/jobs/info/65eca8391681811e0b83d0c7?utm_campaign=1052&amp;utm_source=sheet", "Apply")</f>
        <v>Apply</v>
      </c>
      <c r="C951" s="10" t="s">
        <v>10830</v>
      </c>
      <c r="D951" s="56" t="s">
        <v>9581</v>
      </c>
      <c r="E951" s="10" t="s">
        <v>65</v>
      </c>
      <c r="F951" s="10" t="s">
        <v>722</v>
      </c>
      <c r="G951" s="10" t="s">
        <v>9419</v>
      </c>
      <c r="H951" s="10" t="s">
        <v>1028</v>
      </c>
      <c r="I951" s="10" t="s">
        <v>55</v>
      </c>
      <c r="K951" s="10" t="s">
        <v>9603</v>
      </c>
      <c r="L951" s="10" t="s">
        <v>42</v>
      </c>
    </row>
    <row r="952" ht="15.75" customHeight="1">
      <c r="A952" s="64">
        <v>45487.0</v>
      </c>
      <c r="B952" s="55" t="str">
        <f>HYPERLINK("https://jobright.ai/jobs/info/66150c2b186d98798e6efb7d?utm_campaign=1052&amp;utm_source=sheet", "Apply")</f>
        <v>Apply</v>
      </c>
      <c r="C952" s="10" t="s">
        <v>10831</v>
      </c>
      <c r="D952" s="56" t="s">
        <v>533</v>
      </c>
      <c r="E952" s="10" t="s">
        <v>209</v>
      </c>
      <c r="F952" s="10" t="s">
        <v>534</v>
      </c>
      <c r="G952" s="10" t="s">
        <v>9419</v>
      </c>
      <c r="H952" s="10" t="s">
        <v>794</v>
      </c>
      <c r="I952" s="10" t="s">
        <v>48</v>
      </c>
      <c r="J952" s="10" t="s">
        <v>10347</v>
      </c>
      <c r="K952" s="10" t="s">
        <v>10378</v>
      </c>
      <c r="L952" s="10" t="s">
        <v>42</v>
      </c>
    </row>
    <row r="953" ht="15.75" customHeight="1">
      <c r="A953" s="64">
        <v>45487.0</v>
      </c>
      <c r="B953" s="55" t="str">
        <f>HYPERLINK("https://jobright.ai/jobs/info/665b005252bf3657b8d2343a?utm_campaign=1052&amp;utm_source=sheet", "Apply")</f>
        <v>Apply</v>
      </c>
      <c r="C953" s="10" t="s">
        <v>10832</v>
      </c>
      <c r="D953" s="56" t="s">
        <v>730</v>
      </c>
      <c r="E953" s="10" t="s">
        <v>45</v>
      </c>
      <c r="F953" s="10" t="s">
        <v>731</v>
      </c>
      <c r="G953" s="10" t="s">
        <v>9414</v>
      </c>
      <c r="H953" s="10" t="s">
        <v>144</v>
      </c>
      <c r="I953" s="10" t="s">
        <v>55</v>
      </c>
      <c r="K953" s="10" t="s">
        <v>10833</v>
      </c>
      <c r="L953" s="10" t="s">
        <v>42</v>
      </c>
    </row>
    <row r="954" ht="15.75" customHeight="1">
      <c r="A954" s="64">
        <v>45487.0</v>
      </c>
      <c r="B954" s="55" t="str">
        <f>HYPERLINK("https://jobright.ai/jobs/info/6607830dedde970dec938343?utm_campaign=1052&amp;utm_source=sheet", "Apply")</f>
        <v>Apply</v>
      </c>
      <c r="C954" s="10" t="s">
        <v>10834</v>
      </c>
      <c r="D954" s="56" t="s">
        <v>9643</v>
      </c>
      <c r="E954" s="10" t="s">
        <v>249</v>
      </c>
      <c r="F954" s="10" t="s">
        <v>534</v>
      </c>
      <c r="G954" s="10" t="s">
        <v>9419</v>
      </c>
      <c r="H954" s="10" t="s">
        <v>10749</v>
      </c>
      <c r="I954" s="10" t="s">
        <v>55</v>
      </c>
      <c r="K954" s="10" t="s">
        <v>10835</v>
      </c>
      <c r="L954" s="10" t="s">
        <v>42</v>
      </c>
    </row>
    <row r="955" ht="15.75" customHeight="1">
      <c r="A955" s="64">
        <v>45487.0</v>
      </c>
      <c r="B955" s="55" t="str">
        <f>HYPERLINK("https://jobright.ai/jobs/info/65e5c30690f16fe0c3fcd714?utm_campaign=1052&amp;utm_source=sheet", "Apply")</f>
        <v>Apply</v>
      </c>
      <c r="C955" s="10" t="s">
        <v>9535</v>
      </c>
      <c r="D955" s="56" t="s">
        <v>9607</v>
      </c>
      <c r="E955" s="10" t="s">
        <v>45</v>
      </c>
      <c r="F955" s="10" t="s">
        <v>722</v>
      </c>
      <c r="G955" s="10" t="s">
        <v>9419</v>
      </c>
      <c r="H955" s="10" t="s">
        <v>791</v>
      </c>
      <c r="I955" s="10" t="s">
        <v>48</v>
      </c>
      <c r="J955" s="10" t="s">
        <v>9641</v>
      </c>
      <c r="K955" s="10" t="s">
        <v>9609</v>
      </c>
      <c r="L955" s="10" t="s">
        <v>42</v>
      </c>
    </row>
    <row r="956" ht="15.75" customHeight="1">
      <c r="A956" s="64">
        <v>45487.0</v>
      </c>
      <c r="B956" s="55" t="str">
        <f>HYPERLINK("https://jobright.ai/jobs/info/6676bbe49b9f24e2dbdca643?utm_campaign=1052&amp;utm_source=sheet", "Apply")</f>
        <v>Apply</v>
      </c>
      <c r="C956" s="10" t="s">
        <v>10836</v>
      </c>
      <c r="D956" s="56" t="s">
        <v>9581</v>
      </c>
      <c r="E956" s="10" t="s">
        <v>65</v>
      </c>
      <c r="F956" s="10" t="s">
        <v>722</v>
      </c>
      <c r="G956" s="10" t="s">
        <v>9419</v>
      </c>
      <c r="H956" s="10" t="s">
        <v>572</v>
      </c>
      <c r="I956" s="10" t="s">
        <v>55</v>
      </c>
      <c r="J956" s="10" t="s">
        <v>9582</v>
      </c>
      <c r="K956" s="10" t="s">
        <v>9603</v>
      </c>
      <c r="L956" s="10" t="s">
        <v>42</v>
      </c>
    </row>
    <row r="957" ht="15.75" customHeight="1">
      <c r="A957" s="64">
        <v>45487.0</v>
      </c>
      <c r="B957" s="55" t="str">
        <f>HYPERLINK("https://jobright.ai/jobs/info/6676cf0d131cc9dd67df2adf?utm_campaign=1052&amp;utm_source=sheet", "Apply")</f>
        <v>Apply</v>
      </c>
      <c r="C957" s="10" t="s">
        <v>10837</v>
      </c>
      <c r="D957" s="56" t="s">
        <v>9643</v>
      </c>
      <c r="E957" s="10" t="s">
        <v>249</v>
      </c>
      <c r="F957" s="10" t="s">
        <v>534</v>
      </c>
      <c r="G957" s="10" t="s">
        <v>9419</v>
      </c>
      <c r="H957" s="10" t="s">
        <v>4214</v>
      </c>
      <c r="I957" s="10" t="s">
        <v>55</v>
      </c>
      <c r="J957" s="64"/>
      <c r="K957" s="10" t="s">
        <v>9724</v>
      </c>
      <c r="L957" s="10" t="s">
        <v>42</v>
      </c>
    </row>
    <row r="958" ht="15.75" customHeight="1">
      <c r="A958" s="64">
        <v>45487.0</v>
      </c>
      <c r="B958" s="55" t="str">
        <f>HYPERLINK("https://jobright.ai/jobs/info/6679635af6b36b4aa01a370e?utm_campaign=1052&amp;utm_source=sheet", "Apply")</f>
        <v>Apply</v>
      </c>
      <c r="C958" s="10" t="s">
        <v>10695</v>
      </c>
      <c r="D958" s="56" t="s">
        <v>730</v>
      </c>
      <c r="E958" s="10" t="s">
        <v>45</v>
      </c>
      <c r="F958" s="10" t="s">
        <v>731</v>
      </c>
      <c r="G958" s="10" t="s">
        <v>9414</v>
      </c>
      <c r="H958" s="10" t="s">
        <v>153</v>
      </c>
      <c r="I958" s="10" t="s">
        <v>55</v>
      </c>
      <c r="K958" s="10" t="s">
        <v>10696</v>
      </c>
      <c r="L958" s="10" t="s">
        <v>42</v>
      </c>
    </row>
    <row r="959" ht="15.75" customHeight="1">
      <c r="A959" s="64">
        <v>45487.0</v>
      </c>
      <c r="B959" s="55" t="str">
        <f>HYPERLINK("https://jobright.ai/jobs/info/664ea74a4e197fc8adcf998b?utm_campaign=1052&amp;utm_source=sheet", "Apply")</f>
        <v>Apply</v>
      </c>
      <c r="C959" s="10" t="s">
        <v>10733</v>
      </c>
      <c r="D959" s="56" t="s">
        <v>9588</v>
      </c>
      <c r="E959" s="10" t="s">
        <v>65</v>
      </c>
      <c r="F959" s="10" t="s">
        <v>722</v>
      </c>
      <c r="G959" s="10" t="s">
        <v>9419</v>
      </c>
      <c r="H959" s="10" t="s">
        <v>3309</v>
      </c>
      <c r="I959" s="10" t="s">
        <v>55</v>
      </c>
      <c r="K959" s="10" t="s">
        <v>10398</v>
      </c>
      <c r="L959" s="10" t="s">
        <v>42</v>
      </c>
    </row>
    <row r="960" ht="15.75" customHeight="1">
      <c r="A960" s="64">
        <v>45487.0</v>
      </c>
      <c r="B960" s="55" t="str">
        <f>HYPERLINK("https://jobright.ai/jobs/info/65eb2127dc2945f39ad1467e?utm_campaign=1052&amp;utm_source=sheet", "Apply")</f>
        <v>Apply</v>
      </c>
      <c r="C960" s="10" t="s">
        <v>10838</v>
      </c>
      <c r="D960" s="56" t="s">
        <v>9607</v>
      </c>
      <c r="E960" s="10" t="s">
        <v>45</v>
      </c>
      <c r="F960" s="10" t="s">
        <v>722</v>
      </c>
      <c r="G960" s="10" t="s">
        <v>9419</v>
      </c>
      <c r="H960" s="10" t="s">
        <v>1263</v>
      </c>
      <c r="I960" s="10" t="s">
        <v>48</v>
      </c>
      <c r="J960" s="10" t="s">
        <v>9952</v>
      </c>
      <c r="K960" s="10" t="s">
        <v>9609</v>
      </c>
      <c r="L960" s="10" t="s">
        <v>42</v>
      </c>
    </row>
    <row r="961" ht="15.75" customHeight="1">
      <c r="A961" s="64">
        <v>45487.0</v>
      </c>
      <c r="B961" s="55" t="str">
        <f>HYPERLINK("https://jobright.ai/jobs/info/65a27b7e628c87a3e5f41082?utm_campaign=1052&amp;utm_source=sheet", "Apply")</f>
        <v>Apply</v>
      </c>
      <c r="C961" s="10" t="s">
        <v>10839</v>
      </c>
      <c r="D961" s="56" t="s">
        <v>10389</v>
      </c>
      <c r="E961" s="10" t="s">
        <v>79</v>
      </c>
      <c r="F961" s="10" t="s">
        <v>3382</v>
      </c>
      <c r="G961" s="10" t="s">
        <v>1159</v>
      </c>
      <c r="H961" s="10" t="s">
        <v>10840</v>
      </c>
      <c r="I961" s="10" t="s">
        <v>55</v>
      </c>
      <c r="J961" s="10" t="s">
        <v>10841</v>
      </c>
      <c r="K961" s="10" t="s">
        <v>10842</v>
      </c>
      <c r="L961" s="10" t="s">
        <v>42</v>
      </c>
    </row>
    <row r="962" ht="15.75" customHeight="1">
      <c r="A962" s="64">
        <v>45487.0</v>
      </c>
      <c r="B962" s="55" t="str">
        <f>HYPERLINK("https://jobright.ai/jobs/info/667797cb417c3aa48b86f29f?utm_campaign=1052&amp;utm_source=sheet", "Apply")</f>
        <v>Apply</v>
      </c>
      <c r="C962" s="10" t="s">
        <v>10843</v>
      </c>
      <c r="D962" s="56" t="s">
        <v>9802</v>
      </c>
      <c r="E962" s="10" t="s">
        <v>45</v>
      </c>
      <c r="F962" s="10" t="s">
        <v>731</v>
      </c>
      <c r="G962" s="10" t="s">
        <v>9414</v>
      </c>
      <c r="H962" s="10" t="s">
        <v>131</v>
      </c>
      <c r="I962" s="10" t="s">
        <v>48</v>
      </c>
      <c r="K962" s="10" t="s">
        <v>9998</v>
      </c>
      <c r="L962" s="10" t="s">
        <v>42</v>
      </c>
    </row>
    <row r="963" ht="15.75" customHeight="1">
      <c r="A963" s="64">
        <v>45487.0</v>
      </c>
      <c r="B963" s="55" t="str">
        <f>HYPERLINK("https://jobright.ai/jobs/info/6676b39fa2f49d4e236dc812?utm_campaign=1052&amp;utm_source=sheet", "Apply")</f>
        <v>Apply</v>
      </c>
      <c r="C963" s="10" t="s">
        <v>10844</v>
      </c>
      <c r="D963" s="56" t="s">
        <v>9821</v>
      </c>
      <c r="E963" s="10" t="s">
        <v>45</v>
      </c>
      <c r="F963" s="10" t="s">
        <v>3594</v>
      </c>
      <c r="G963" s="10" t="s">
        <v>9414</v>
      </c>
      <c r="H963" s="10" t="s">
        <v>354</v>
      </c>
      <c r="I963" s="10" t="s">
        <v>48</v>
      </c>
      <c r="J963" s="10" t="s">
        <v>10845</v>
      </c>
      <c r="K963" s="10" t="s">
        <v>10846</v>
      </c>
      <c r="L963" s="10" t="s">
        <v>42</v>
      </c>
    </row>
    <row r="964" ht="15.75" customHeight="1">
      <c r="A964" s="64">
        <v>45487.0</v>
      </c>
      <c r="B964" s="55" t="str">
        <f>HYPERLINK("https://jobright.ai/jobs/info/65eca8391681811e0b83d01e?utm_campaign=1052&amp;utm_source=sheet", "Apply")</f>
        <v>Apply</v>
      </c>
      <c r="C964" s="10" t="s">
        <v>10847</v>
      </c>
      <c r="D964" s="56" t="s">
        <v>9581</v>
      </c>
      <c r="E964" s="10" t="s">
        <v>65</v>
      </c>
      <c r="F964" s="10" t="s">
        <v>722</v>
      </c>
      <c r="G964" s="10" t="s">
        <v>9419</v>
      </c>
      <c r="H964" s="10" t="s">
        <v>1028</v>
      </c>
      <c r="I964" s="10" t="s">
        <v>55</v>
      </c>
      <c r="K964" s="10" t="s">
        <v>9603</v>
      </c>
      <c r="L964" s="10" t="s">
        <v>42</v>
      </c>
    </row>
    <row r="965" ht="15.75" customHeight="1">
      <c r="A965" s="64">
        <v>45487.0</v>
      </c>
      <c r="B965" s="55" t="str">
        <f>HYPERLINK("https://jobright.ai/jobs/info/65e7162d041532c3671148ba?utm_campaign=1052&amp;utm_source=sheet", "Apply")</f>
        <v>Apply</v>
      </c>
      <c r="C965" s="10" t="s">
        <v>10167</v>
      </c>
      <c r="D965" s="56" t="s">
        <v>9607</v>
      </c>
      <c r="E965" s="10" t="s">
        <v>45</v>
      </c>
      <c r="F965" s="10" t="s">
        <v>722</v>
      </c>
      <c r="G965" s="10" t="s">
        <v>9419</v>
      </c>
      <c r="H965" s="10" t="s">
        <v>146</v>
      </c>
      <c r="I965" s="10" t="s">
        <v>48</v>
      </c>
      <c r="J965" s="10" t="s">
        <v>9608</v>
      </c>
      <c r="K965" s="10" t="s">
        <v>9609</v>
      </c>
      <c r="L965" s="10" t="s">
        <v>42</v>
      </c>
    </row>
    <row r="966" ht="15.75" customHeight="1">
      <c r="A966" s="64">
        <v>45487.0</v>
      </c>
      <c r="B966" s="55" t="str">
        <f>HYPERLINK("https://jobright.ai/jobs/info/65393d46839dd94131e4d8ed?utm_campaign=1052&amp;utm_source=sheet", "Apply")</f>
        <v>Apply</v>
      </c>
      <c r="C966" s="10" t="s">
        <v>10848</v>
      </c>
      <c r="D966" s="56" t="s">
        <v>1133</v>
      </c>
      <c r="E966" s="10">
        <v>8727.0</v>
      </c>
      <c r="G966" s="10" t="s">
        <v>9414</v>
      </c>
      <c r="H966" s="10" t="s">
        <v>113</v>
      </c>
      <c r="I966" s="10" t="s">
        <v>55</v>
      </c>
      <c r="K966" s="10" t="s">
        <v>10849</v>
      </c>
      <c r="L966" s="10" t="s">
        <v>42</v>
      </c>
    </row>
    <row r="967" ht="15.75" customHeight="1">
      <c r="A967" s="64">
        <v>45487.0</v>
      </c>
      <c r="B967" s="55" t="str">
        <f>HYPERLINK("https://jobright.ai/jobs/info/6676b3d2a2f49d4e236dcb33?utm_campaign=1052&amp;utm_source=sheet", "Apply")</f>
        <v>Apply</v>
      </c>
      <c r="C967" s="10" t="s">
        <v>10850</v>
      </c>
      <c r="D967" s="56" t="s">
        <v>9581</v>
      </c>
      <c r="E967" s="10" t="s">
        <v>65</v>
      </c>
      <c r="F967" s="10" t="s">
        <v>722</v>
      </c>
      <c r="G967" s="10" t="s">
        <v>9419</v>
      </c>
      <c r="H967" s="10" t="s">
        <v>636</v>
      </c>
      <c r="I967" s="10" t="s">
        <v>55</v>
      </c>
      <c r="J967" s="10" t="s">
        <v>9582</v>
      </c>
      <c r="K967" s="10" t="s">
        <v>10851</v>
      </c>
      <c r="L967" s="10" t="s">
        <v>42</v>
      </c>
    </row>
    <row r="968" ht="15.75" customHeight="1">
      <c r="A968" s="64">
        <v>45487.0</v>
      </c>
      <c r="B968" s="55" t="str">
        <f>HYPERLINK("https://jobright.ai/jobs/info/65e5b31dc208861341f73b96?utm_campaign=1052&amp;utm_source=sheet", "Apply")</f>
        <v>Apply</v>
      </c>
      <c r="C968" s="10" t="s">
        <v>10782</v>
      </c>
      <c r="D968" s="56" t="s">
        <v>9607</v>
      </c>
      <c r="E968" s="10" t="s">
        <v>45</v>
      </c>
      <c r="F968" s="10" t="s">
        <v>722</v>
      </c>
      <c r="G968" s="10" t="s">
        <v>9419</v>
      </c>
      <c r="H968" s="10" t="s">
        <v>1013</v>
      </c>
      <c r="I968" s="10" t="s">
        <v>48</v>
      </c>
      <c r="J968" s="10" t="s">
        <v>10852</v>
      </c>
      <c r="K968" s="10" t="s">
        <v>9609</v>
      </c>
      <c r="L968" s="10" t="s">
        <v>42</v>
      </c>
    </row>
    <row r="969" ht="15.75" customHeight="1">
      <c r="A969" s="64">
        <v>45487.0</v>
      </c>
      <c r="B969" s="55" t="str">
        <f>HYPERLINK("https://jobright.ai/jobs/info/665b20399ff4d1b04c4c825f?utm_campaign=1052&amp;utm_source=sheet", "Apply")</f>
        <v>Apply</v>
      </c>
      <c r="C969" s="10" t="s">
        <v>10750</v>
      </c>
      <c r="D969" s="56" t="s">
        <v>730</v>
      </c>
      <c r="E969" s="10" t="s">
        <v>45</v>
      </c>
      <c r="F969" s="10" t="s">
        <v>731</v>
      </c>
      <c r="G969" s="10" t="s">
        <v>9414</v>
      </c>
      <c r="H969" s="10" t="s">
        <v>741</v>
      </c>
      <c r="I969" s="10" t="s">
        <v>55</v>
      </c>
      <c r="K969" s="10" t="s">
        <v>10751</v>
      </c>
      <c r="L969" s="10" t="s">
        <v>42</v>
      </c>
    </row>
    <row r="970" ht="15.75" customHeight="1">
      <c r="A970" s="64">
        <v>45487.0</v>
      </c>
      <c r="B970" s="55" t="str">
        <f>HYPERLINK("https://jobright.ai/jobs/info/667968cbd86d626ab8b77e19?utm_campaign=1052&amp;utm_source=sheet", "Apply")</f>
        <v>Apply</v>
      </c>
      <c r="C970" s="10" t="s">
        <v>10688</v>
      </c>
      <c r="D970" s="56" t="s">
        <v>730</v>
      </c>
      <c r="E970" s="10" t="s">
        <v>45</v>
      </c>
      <c r="F970" s="10" t="s">
        <v>731</v>
      </c>
      <c r="G970" s="10" t="s">
        <v>9419</v>
      </c>
      <c r="H970" s="10" t="s">
        <v>154</v>
      </c>
      <c r="I970" s="10" t="s">
        <v>55</v>
      </c>
      <c r="K970" s="10" t="s">
        <v>10689</v>
      </c>
      <c r="L970" s="10" t="s">
        <v>42</v>
      </c>
    </row>
    <row r="971" ht="15.75" customHeight="1">
      <c r="A971" s="64">
        <v>45487.0</v>
      </c>
      <c r="B971" s="55" t="str">
        <f>HYPERLINK("https://jobright.ai/jobs/info/664def77cf7bdc8f73b3c23b?utm_campaign=1052&amp;utm_source=sheet", "Apply")</f>
        <v>Apply</v>
      </c>
      <c r="C971" s="10" t="s">
        <v>10167</v>
      </c>
      <c r="D971" s="56" t="s">
        <v>9607</v>
      </c>
      <c r="E971" s="10" t="s">
        <v>45</v>
      </c>
      <c r="F971" s="10" t="s">
        <v>722</v>
      </c>
      <c r="G971" s="10" t="s">
        <v>9419</v>
      </c>
      <c r="H971" s="10" t="s">
        <v>974</v>
      </c>
      <c r="I971" s="10" t="s">
        <v>48</v>
      </c>
      <c r="J971" s="10" t="s">
        <v>9798</v>
      </c>
      <c r="K971" s="10" t="s">
        <v>9609</v>
      </c>
      <c r="L971" s="10" t="s">
        <v>42</v>
      </c>
    </row>
    <row r="972" ht="15.75" customHeight="1">
      <c r="A972" s="64">
        <v>45487.0</v>
      </c>
      <c r="B972" s="55" t="str">
        <f>HYPERLINK("https://jobright.ai/jobs/info/663ec25f114db07efcbf0561?utm_campaign=1052&amp;utm_source=sheet", "Apply")</f>
        <v>Apply</v>
      </c>
      <c r="C972" s="10" t="s">
        <v>10853</v>
      </c>
      <c r="D972" s="56" t="s">
        <v>9607</v>
      </c>
      <c r="E972" s="10" t="s">
        <v>45</v>
      </c>
      <c r="F972" s="10" t="s">
        <v>722</v>
      </c>
      <c r="G972" s="10" t="s">
        <v>9419</v>
      </c>
      <c r="H972" s="10" t="s">
        <v>354</v>
      </c>
      <c r="I972" s="10" t="s">
        <v>48</v>
      </c>
      <c r="J972" s="10" t="s">
        <v>9641</v>
      </c>
      <c r="K972" s="10" t="s">
        <v>9609</v>
      </c>
      <c r="L972" s="10" t="s">
        <v>42</v>
      </c>
    </row>
    <row r="973" ht="15.75" customHeight="1">
      <c r="A973" s="64">
        <v>45487.0</v>
      </c>
      <c r="B973" s="55" t="str">
        <f>HYPERLINK("https://jobright.ai/jobs/info/65eb20f7dc2945f39ad142f7?utm_campaign=1052&amp;utm_source=sheet", "Apply")</f>
        <v>Apply</v>
      </c>
      <c r="C973" s="10" t="s">
        <v>10854</v>
      </c>
      <c r="D973" s="56" t="s">
        <v>9607</v>
      </c>
      <c r="E973" s="10" t="s">
        <v>45</v>
      </c>
      <c r="F973" s="10" t="s">
        <v>722</v>
      </c>
      <c r="G973" s="10" t="s">
        <v>9419</v>
      </c>
      <c r="H973" s="10" t="s">
        <v>165</v>
      </c>
      <c r="I973" s="10" t="s">
        <v>48</v>
      </c>
      <c r="J973" s="10" t="s">
        <v>9952</v>
      </c>
      <c r="K973" s="10" t="s">
        <v>9654</v>
      </c>
      <c r="L973" s="10" t="s">
        <v>42</v>
      </c>
    </row>
    <row r="974" ht="15.75" customHeight="1">
      <c r="A974" s="64">
        <v>45487.0</v>
      </c>
      <c r="B974" s="55" t="str">
        <f>HYPERLINK("https://jobright.ai/jobs/info/6693aa9f69ff1fd58ac5d6de?utm_campaign=1052&amp;utm_source=sheet", "Apply")</f>
        <v>Apply</v>
      </c>
      <c r="C974" s="10" t="s">
        <v>10145</v>
      </c>
      <c r="D974" s="56" t="s">
        <v>9578</v>
      </c>
      <c r="E974" s="10" t="s">
        <v>65</v>
      </c>
      <c r="F974" s="10" t="s">
        <v>722</v>
      </c>
      <c r="G974" s="10" t="s">
        <v>1159</v>
      </c>
      <c r="H974" s="10" t="s">
        <v>2208</v>
      </c>
      <c r="I974" s="10" t="s">
        <v>55</v>
      </c>
      <c r="K974" s="10" t="s">
        <v>9579</v>
      </c>
      <c r="L974" s="10" t="s">
        <v>42</v>
      </c>
    </row>
    <row r="975" ht="15.75" customHeight="1">
      <c r="A975" s="64">
        <v>45487.0</v>
      </c>
      <c r="B975" s="55" t="str">
        <f>HYPERLINK("https://jobright.ai/jobs/info/6677976d417c3aa48b86ece4?utm_campaign=1052&amp;utm_source=sheet", "Apply")</f>
        <v>Apply</v>
      </c>
      <c r="C975" s="10" t="s">
        <v>10733</v>
      </c>
      <c r="D975" s="56" t="s">
        <v>9588</v>
      </c>
      <c r="E975" s="10" t="s">
        <v>65</v>
      </c>
      <c r="F975" s="10" t="s">
        <v>722</v>
      </c>
      <c r="G975" s="10" t="s">
        <v>9419</v>
      </c>
      <c r="H975" s="10" t="s">
        <v>3270</v>
      </c>
      <c r="I975" s="10" t="s">
        <v>55</v>
      </c>
      <c r="K975" s="10" t="s">
        <v>10398</v>
      </c>
      <c r="L975" s="10" t="s">
        <v>42</v>
      </c>
    </row>
    <row r="976" ht="15.75" customHeight="1">
      <c r="A976" s="64">
        <v>45487.0</v>
      </c>
      <c r="B976" s="55" t="str">
        <f>HYPERLINK("https://jobright.ai/jobs/info/666affed02826848dc7fb040?utm_campaign=1052&amp;utm_source=sheet", "Apply")</f>
        <v>Apply</v>
      </c>
      <c r="C976" s="10" t="s">
        <v>10855</v>
      </c>
      <c r="D976" s="56" t="s">
        <v>9581</v>
      </c>
      <c r="E976" s="10" t="s">
        <v>65</v>
      </c>
      <c r="F976" s="10" t="s">
        <v>722</v>
      </c>
      <c r="G976" s="10" t="s">
        <v>9419</v>
      </c>
      <c r="H976" s="10" t="s">
        <v>4181</v>
      </c>
      <c r="I976" s="10" t="s">
        <v>55</v>
      </c>
      <c r="J976" s="10" t="s">
        <v>9582</v>
      </c>
      <c r="K976" s="10" t="s">
        <v>10851</v>
      </c>
      <c r="L976" s="10" t="s">
        <v>42</v>
      </c>
    </row>
    <row r="977" ht="15.75" customHeight="1">
      <c r="A977" s="64">
        <v>45487.0</v>
      </c>
      <c r="B977" s="55" t="str">
        <f>HYPERLINK("https://jobright.ai/jobs/info/6676d8884ffdc62f7b679a04?utm_campaign=1052&amp;utm_source=sheet", "Apply")</f>
        <v>Apply</v>
      </c>
      <c r="C977" s="10" t="s">
        <v>10856</v>
      </c>
      <c r="D977" s="56" t="s">
        <v>9581</v>
      </c>
      <c r="E977" s="10" t="s">
        <v>65</v>
      </c>
      <c r="F977" s="10" t="s">
        <v>722</v>
      </c>
      <c r="G977" s="10" t="s">
        <v>9419</v>
      </c>
      <c r="H977" s="10" t="s">
        <v>610</v>
      </c>
      <c r="I977" s="10" t="s">
        <v>55</v>
      </c>
      <c r="J977" s="10" t="s">
        <v>9582</v>
      </c>
      <c r="K977" s="10" t="s">
        <v>9603</v>
      </c>
      <c r="L977" s="10" t="s">
        <v>42</v>
      </c>
    </row>
    <row r="978" ht="15.75" customHeight="1">
      <c r="A978" s="64">
        <v>45487.0</v>
      </c>
      <c r="B978" s="55" t="str">
        <f>HYPERLINK("https://jobright.ai/jobs/info/667797b4417c3aa48b86f109?utm_campaign=1052&amp;utm_source=sheet", "Apply")</f>
        <v>Apply</v>
      </c>
      <c r="C978" s="10" t="s">
        <v>10857</v>
      </c>
      <c r="D978" s="56" t="s">
        <v>9643</v>
      </c>
      <c r="E978" s="10" t="s">
        <v>249</v>
      </c>
      <c r="F978" s="10" t="s">
        <v>534</v>
      </c>
      <c r="G978" s="10" t="s">
        <v>9419</v>
      </c>
      <c r="H978" s="10" t="s">
        <v>9984</v>
      </c>
      <c r="I978" s="10" t="s">
        <v>55</v>
      </c>
      <c r="K978" s="10" t="s">
        <v>9645</v>
      </c>
      <c r="L978" s="10" t="s">
        <v>42</v>
      </c>
    </row>
    <row r="979" ht="15.75" customHeight="1">
      <c r="A979" s="64">
        <v>45487.0</v>
      </c>
      <c r="B979" s="55" t="str">
        <f>HYPERLINK("https://jobright.ai/jobs/info/6693b2634a877f3af7e0f58a?utm_campaign=1052&amp;utm_source=sheet", "Apply")</f>
        <v>Apply</v>
      </c>
      <c r="C979" s="10" t="s">
        <v>10145</v>
      </c>
      <c r="D979" s="56" t="s">
        <v>9578</v>
      </c>
      <c r="E979" s="10" t="s">
        <v>65</v>
      </c>
      <c r="F979" s="10" t="s">
        <v>722</v>
      </c>
      <c r="G979" s="10" t="s">
        <v>1159</v>
      </c>
      <c r="H979" s="10" t="s">
        <v>1352</v>
      </c>
      <c r="I979" s="10" t="s">
        <v>48</v>
      </c>
      <c r="K979" s="10" t="s">
        <v>9579</v>
      </c>
      <c r="L979" s="10" t="s">
        <v>42</v>
      </c>
    </row>
    <row r="980" ht="15.75" customHeight="1">
      <c r="A980" s="64">
        <v>45487.0</v>
      </c>
      <c r="B980" s="55" t="str">
        <f>HYPERLINK("https://jobright.ai/jobs/info/6676bb759b9f24e2dbdc9f0e?utm_campaign=1052&amp;utm_source=sheet", "Apply")</f>
        <v>Apply</v>
      </c>
      <c r="C980" s="10" t="s">
        <v>10858</v>
      </c>
      <c r="D980" s="56" t="s">
        <v>10859</v>
      </c>
      <c r="E980" s="10" t="s">
        <v>65</v>
      </c>
      <c r="F980" s="10" t="s">
        <v>10216</v>
      </c>
      <c r="G980" s="10" t="s">
        <v>9419</v>
      </c>
      <c r="H980" s="10" t="s">
        <v>607</v>
      </c>
      <c r="I980" s="10" t="s">
        <v>48</v>
      </c>
      <c r="J980" s="10" t="s">
        <v>9582</v>
      </c>
      <c r="K980" s="10" t="s">
        <v>10860</v>
      </c>
      <c r="L980" s="10" t="s">
        <v>42</v>
      </c>
    </row>
    <row r="981" ht="15.75" customHeight="1">
      <c r="A981" s="64">
        <v>45487.0</v>
      </c>
      <c r="B981" s="55" t="str">
        <f>HYPERLINK("https://jobright.ai/jobs/info/65e5b6ee1509ce99a242a601?utm_campaign=1052&amp;utm_source=sheet", "Apply")</f>
        <v>Apply</v>
      </c>
      <c r="C981" s="10" t="s">
        <v>9535</v>
      </c>
      <c r="D981" s="56" t="s">
        <v>9607</v>
      </c>
      <c r="E981" s="10" t="s">
        <v>45</v>
      </c>
      <c r="F981" s="10" t="s">
        <v>722</v>
      </c>
      <c r="G981" s="10" t="s">
        <v>9419</v>
      </c>
      <c r="H981" s="10" t="s">
        <v>113</v>
      </c>
      <c r="I981" s="10" t="s">
        <v>48</v>
      </c>
      <c r="J981" s="10" t="s">
        <v>9610</v>
      </c>
      <c r="K981" s="10" t="s">
        <v>9609</v>
      </c>
      <c r="L981" s="10" t="s">
        <v>42</v>
      </c>
    </row>
    <row r="982" ht="15.75" customHeight="1">
      <c r="A982" s="64">
        <v>45487.0</v>
      </c>
      <c r="B982" s="55" t="str">
        <f>HYPERLINK("https://jobright.ai/jobs/info/65eeea9c59c8b6e3549e5bdc?utm_campaign=1052&amp;utm_source=sheet", "Apply")</f>
        <v>Apply</v>
      </c>
      <c r="C982" s="10" t="s">
        <v>10861</v>
      </c>
      <c r="D982" s="56" t="s">
        <v>9581</v>
      </c>
      <c r="E982" s="10" t="s">
        <v>65</v>
      </c>
      <c r="F982" s="10" t="s">
        <v>722</v>
      </c>
      <c r="G982" s="10" t="s">
        <v>9419</v>
      </c>
      <c r="H982" s="10" t="s">
        <v>607</v>
      </c>
      <c r="I982" s="10" t="s">
        <v>55</v>
      </c>
      <c r="J982" s="10" t="s">
        <v>9582</v>
      </c>
      <c r="K982" s="10" t="s">
        <v>9603</v>
      </c>
      <c r="L982" s="10" t="s">
        <v>42</v>
      </c>
    </row>
    <row r="983" ht="15.75" customHeight="1">
      <c r="A983" s="64">
        <v>45487.0</v>
      </c>
      <c r="B983" s="55" t="str">
        <f>HYPERLINK("https://jobright.ai/jobs/info/665b094218ab3d9c47da9169?utm_campaign=1052&amp;utm_source=sheet", "Apply")</f>
        <v>Apply</v>
      </c>
      <c r="C983" s="10" t="s">
        <v>10688</v>
      </c>
      <c r="D983" s="56" t="s">
        <v>730</v>
      </c>
      <c r="E983" s="10" t="s">
        <v>45</v>
      </c>
      <c r="F983" s="10" t="s">
        <v>731</v>
      </c>
      <c r="G983" s="10" t="s">
        <v>9419</v>
      </c>
      <c r="H983" s="10" t="s">
        <v>994</v>
      </c>
      <c r="I983" s="10" t="s">
        <v>55</v>
      </c>
      <c r="K983" s="10" t="s">
        <v>10689</v>
      </c>
      <c r="L983" s="10" t="s">
        <v>42</v>
      </c>
    </row>
    <row r="984" ht="15.75" customHeight="1">
      <c r="A984" s="64">
        <v>45487.0</v>
      </c>
      <c r="B984" s="55" t="str">
        <f>HYPERLINK("https://jobright.ai/jobs/info/6657cdf61463f7308380ec7a?utm_campaign=1052&amp;utm_source=sheet", "Apply")</f>
        <v>Apply</v>
      </c>
      <c r="C984" s="10" t="s">
        <v>10862</v>
      </c>
      <c r="D984" s="56" t="s">
        <v>10863</v>
      </c>
      <c r="E984" s="10" t="s">
        <v>249</v>
      </c>
      <c r="F984" s="10" t="s">
        <v>1159</v>
      </c>
      <c r="G984" s="10" t="s">
        <v>9419</v>
      </c>
      <c r="H984" s="10" t="s">
        <v>131</v>
      </c>
      <c r="I984" s="10" t="s">
        <v>55</v>
      </c>
      <c r="K984" s="10" t="s">
        <v>10864</v>
      </c>
      <c r="L984" s="10" t="s">
        <v>42</v>
      </c>
    </row>
    <row r="985" ht="15.75" customHeight="1">
      <c r="A985" s="64">
        <v>45487.0</v>
      </c>
      <c r="B985" s="55" t="str">
        <f>HYPERLINK("https://jobright.ai/jobs/info/666ad9ea02c1dc0c9fb9fa2f?utm_campaign=1052&amp;utm_source=sheet", "Apply")</f>
        <v>Apply</v>
      </c>
      <c r="C985" s="10" t="s">
        <v>10865</v>
      </c>
      <c r="D985" s="56" t="s">
        <v>9581</v>
      </c>
      <c r="E985" s="10" t="s">
        <v>65</v>
      </c>
      <c r="F985" s="10" t="s">
        <v>722</v>
      </c>
      <c r="G985" s="10" t="s">
        <v>9419</v>
      </c>
      <c r="H985" s="10" t="s">
        <v>1028</v>
      </c>
      <c r="I985" s="10" t="s">
        <v>55</v>
      </c>
      <c r="J985" s="10" t="s">
        <v>9582</v>
      </c>
      <c r="K985" s="10" t="s">
        <v>9603</v>
      </c>
      <c r="L985" s="10" t="s">
        <v>42</v>
      </c>
    </row>
    <row r="986" ht="15.75" customHeight="1">
      <c r="A986" s="64">
        <v>45487.0</v>
      </c>
      <c r="B986" s="55" t="str">
        <f>HYPERLINK("https://jobright.ai/jobs/info/669116a912153957d1a90a2b?utm_campaign=1052&amp;utm_source=sheet", "Apply")</f>
        <v>Apply</v>
      </c>
      <c r="C986" s="10" t="s">
        <v>10866</v>
      </c>
      <c r="D986" s="56" t="s">
        <v>10867</v>
      </c>
      <c r="E986" s="10" t="s">
        <v>65</v>
      </c>
      <c r="F986" s="10" t="s">
        <v>2824</v>
      </c>
      <c r="G986" s="10" t="s">
        <v>9414</v>
      </c>
      <c r="H986" s="10" t="s">
        <v>915</v>
      </c>
      <c r="I986" s="10" t="s">
        <v>55</v>
      </c>
      <c r="K986" s="10" t="s">
        <v>10868</v>
      </c>
      <c r="L986" s="10" t="s">
        <v>42</v>
      </c>
    </row>
    <row r="987" ht="15.75" customHeight="1">
      <c r="A987" s="64">
        <v>45487.0</v>
      </c>
      <c r="B987" s="55" t="str">
        <f>HYPERLINK("https://jobright.ai/jobs/info/65ef029c420854bcd73bd793?utm_campaign=1052&amp;utm_source=sheet", "Apply")</f>
        <v>Apply</v>
      </c>
      <c r="C987" s="10" t="s">
        <v>10869</v>
      </c>
      <c r="D987" s="56" t="s">
        <v>9581</v>
      </c>
      <c r="E987" s="10" t="s">
        <v>65</v>
      </c>
      <c r="F987" s="10" t="s">
        <v>722</v>
      </c>
      <c r="G987" s="10" t="s">
        <v>9419</v>
      </c>
      <c r="H987" s="10" t="s">
        <v>1028</v>
      </c>
      <c r="I987" s="10" t="s">
        <v>55</v>
      </c>
      <c r="K987" s="10" t="s">
        <v>9603</v>
      </c>
      <c r="L987" s="10" t="s">
        <v>42</v>
      </c>
    </row>
    <row r="988" ht="15.75" customHeight="1">
      <c r="A988" s="64">
        <v>45487.0</v>
      </c>
      <c r="B988" s="55" t="str">
        <f>HYPERLINK("https://jobright.ai/jobs/info/662c29111893502f0472b9f9?utm_campaign=1052&amp;utm_source=sheet", "Apply")</f>
        <v>Apply</v>
      </c>
      <c r="C988" s="10" t="s">
        <v>10870</v>
      </c>
      <c r="D988" s="56" t="s">
        <v>9607</v>
      </c>
      <c r="E988" s="10" t="s">
        <v>45</v>
      </c>
      <c r="F988" s="10" t="s">
        <v>722</v>
      </c>
      <c r="G988" s="10" t="s">
        <v>1159</v>
      </c>
      <c r="H988" s="10" t="s">
        <v>153</v>
      </c>
      <c r="I988" s="10" t="s">
        <v>48</v>
      </c>
      <c r="J988" s="10" t="s">
        <v>9608</v>
      </c>
      <c r="K988" s="10" t="s">
        <v>9609</v>
      </c>
      <c r="L988" s="10" t="s">
        <v>42</v>
      </c>
    </row>
    <row r="989" ht="15.75" customHeight="1">
      <c r="A989" s="64">
        <v>45487.0</v>
      </c>
      <c r="B989" s="55" t="str">
        <f>HYPERLINK("https://jobright.ai/jobs/info/65e5cb20e8a32a09adfb5559?utm_campaign=1052&amp;utm_source=sheet", "Apply")</f>
        <v>Apply</v>
      </c>
      <c r="C989" s="10" t="s">
        <v>9793</v>
      </c>
      <c r="D989" s="56" t="s">
        <v>9607</v>
      </c>
      <c r="E989" s="10" t="s">
        <v>45</v>
      </c>
      <c r="F989" s="10" t="s">
        <v>722</v>
      </c>
      <c r="G989" s="10" t="s">
        <v>9419</v>
      </c>
      <c r="H989" s="10" t="s">
        <v>578</v>
      </c>
      <c r="I989" s="10" t="s">
        <v>48</v>
      </c>
      <c r="J989" s="10" t="s">
        <v>10871</v>
      </c>
      <c r="K989" s="10" t="s">
        <v>9609</v>
      </c>
      <c r="L989" s="10" t="s">
        <v>42</v>
      </c>
    </row>
    <row r="990" ht="15.75" customHeight="1">
      <c r="A990" s="64">
        <v>45487.0</v>
      </c>
      <c r="B990" s="55" t="str">
        <f>HYPERLINK("https://jobright.ai/jobs/info/6676e029c909276a3772d6a1?utm_campaign=1052&amp;utm_source=sheet", "Apply")</f>
        <v>Apply</v>
      </c>
      <c r="C990" s="10" t="s">
        <v>10872</v>
      </c>
      <c r="D990" s="56" t="s">
        <v>9581</v>
      </c>
      <c r="E990" s="10" t="s">
        <v>65</v>
      </c>
      <c r="F990" s="10" t="s">
        <v>722</v>
      </c>
      <c r="G990" s="10" t="s">
        <v>9419</v>
      </c>
      <c r="H990" s="10" t="s">
        <v>245</v>
      </c>
      <c r="I990" s="10" t="s">
        <v>55</v>
      </c>
      <c r="J990" s="10" t="s">
        <v>9582</v>
      </c>
      <c r="K990" s="10" t="s">
        <v>9603</v>
      </c>
      <c r="L990" s="10" t="s">
        <v>42</v>
      </c>
    </row>
    <row r="991" ht="15.75" customHeight="1">
      <c r="A991" s="64">
        <v>45487.0</v>
      </c>
      <c r="B991" s="55" t="str">
        <f>HYPERLINK("https://jobright.ai/jobs/info/65eeea9c59c8b6e3549e5b66?utm_campaign=1052&amp;utm_source=sheet", "Apply")</f>
        <v>Apply</v>
      </c>
      <c r="C991" s="10" t="s">
        <v>10873</v>
      </c>
      <c r="D991" s="56" t="s">
        <v>9581</v>
      </c>
      <c r="E991" s="10" t="s">
        <v>65</v>
      </c>
      <c r="F991" s="10" t="s">
        <v>722</v>
      </c>
      <c r="G991" s="10" t="s">
        <v>9419</v>
      </c>
      <c r="H991" s="10" t="s">
        <v>4799</v>
      </c>
      <c r="I991" s="10" t="s">
        <v>55</v>
      </c>
      <c r="J991" s="10" t="s">
        <v>9582</v>
      </c>
      <c r="K991" s="10" t="s">
        <v>9603</v>
      </c>
      <c r="L991" s="10" t="s">
        <v>42</v>
      </c>
    </row>
    <row r="992" ht="15.75" customHeight="1">
      <c r="A992" s="64">
        <v>45487.0</v>
      </c>
      <c r="B992" s="55" t="str">
        <f>HYPERLINK("https://jobright.ai/jobs/info/65e07c2bf35e5843fa78119b?utm_campaign=1052&amp;utm_source=sheet", "Apply")</f>
        <v>Apply</v>
      </c>
      <c r="C992" s="10" t="s">
        <v>9535</v>
      </c>
      <c r="D992" s="56" t="s">
        <v>9607</v>
      </c>
      <c r="E992" s="10" t="s">
        <v>45</v>
      </c>
      <c r="F992" s="10" t="s">
        <v>722</v>
      </c>
      <c r="G992" s="10" t="s">
        <v>9419</v>
      </c>
      <c r="H992" s="10" t="s">
        <v>153</v>
      </c>
      <c r="I992" s="10" t="s">
        <v>48</v>
      </c>
      <c r="J992" s="10" t="s">
        <v>9608</v>
      </c>
      <c r="K992" s="10" t="s">
        <v>9609</v>
      </c>
      <c r="L992" s="10" t="s">
        <v>42</v>
      </c>
    </row>
    <row r="993" ht="15.75" customHeight="1">
      <c r="A993" s="64">
        <v>45487.0</v>
      </c>
      <c r="B993" s="55" t="str">
        <f>HYPERLINK("https://jobright.ai/jobs/info/666add5b9574fd5b06e8383c?utm_campaign=1052&amp;utm_source=sheet", "Apply")</f>
        <v>Apply</v>
      </c>
      <c r="C993" s="10" t="s">
        <v>10874</v>
      </c>
      <c r="D993" s="56" t="s">
        <v>9581</v>
      </c>
      <c r="E993" s="10" t="s">
        <v>65</v>
      </c>
      <c r="F993" s="10" t="s">
        <v>722</v>
      </c>
      <c r="G993" s="10" t="s">
        <v>9419</v>
      </c>
      <c r="H993" s="10" t="s">
        <v>153</v>
      </c>
      <c r="I993" s="10" t="s">
        <v>55</v>
      </c>
      <c r="J993" s="10" t="s">
        <v>9582</v>
      </c>
      <c r="K993" s="10" t="s">
        <v>9603</v>
      </c>
      <c r="L993" s="10" t="s">
        <v>42</v>
      </c>
    </row>
    <row r="994" ht="15.75" customHeight="1">
      <c r="A994" s="64">
        <v>45487.0</v>
      </c>
      <c r="B994" s="55" t="str">
        <f>HYPERLINK("https://jobright.ai/jobs/info/65ef029c420854bcd73bd72c?utm_campaign=1052&amp;utm_source=sheet", "Apply")</f>
        <v>Apply</v>
      </c>
      <c r="C994" s="10" t="s">
        <v>10875</v>
      </c>
      <c r="D994" s="56" t="s">
        <v>9581</v>
      </c>
      <c r="E994" s="10" t="s">
        <v>65</v>
      </c>
      <c r="F994" s="10" t="s">
        <v>722</v>
      </c>
      <c r="G994" s="10" t="s">
        <v>9419</v>
      </c>
      <c r="H994" s="10" t="s">
        <v>113</v>
      </c>
      <c r="I994" s="10" t="s">
        <v>55</v>
      </c>
      <c r="J994" s="10" t="s">
        <v>9582</v>
      </c>
      <c r="K994" s="10" t="s">
        <v>9603</v>
      </c>
      <c r="L994" s="10" t="s">
        <v>42</v>
      </c>
    </row>
    <row r="995" ht="15.75" customHeight="1">
      <c r="A995" s="64">
        <v>45487.0</v>
      </c>
      <c r="B995" s="55" t="str">
        <f>HYPERLINK("https://jobright.ai/jobs/info/6676d8b74ffdc62f7b679d4b?utm_campaign=1052&amp;utm_source=sheet", "Apply")</f>
        <v>Apply</v>
      </c>
      <c r="C995" s="10" t="s">
        <v>10876</v>
      </c>
      <c r="D995" s="56" t="s">
        <v>9643</v>
      </c>
      <c r="E995" s="10" t="s">
        <v>249</v>
      </c>
      <c r="F995" s="10" t="s">
        <v>534</v>
      </c>
      <c r="G995" s="10" t="s">
        <v>9419</v>
      </c>
      <c r="H995" s="10" t="s">
        <v>96</v>
      </c>
      <c r="I995" s="10" t="s">
        <v>55</v>
      </c>
      <c r="J995" s="10" t="s">
        <v>3430</v>
      </c>
      <c r="K995" s="10" t="s">
        <v>9645</v>
      </c>
      <c r="L995" s="10" t="s">
        <v>42</v>
      </c>
    </row>
    <row r="996" ht="15.75" customHeight="1">
      <c r="A996" s="64">
        <v>45487.0</v>
      </c>
      <c r="B996" s="55" t="str">
        <f>HYPERLINK("https://jobright.ai/jobs/info/663e4a7e5d40b08ea77daa49?utm_campaign=1052&amp;utm_source=sheet", "Apply")</f>
        <v>Apply</v>
      </c>
      <c r="C996" s="10" t="s">
        <v>10877</v>
      </c>
      <c r="D996" s="56" t="s">
        <v>9607</v>
      </c>
      <c r="E996" s="10" t="s">
        <v>45</v>
      </c>
      <c r="F996" s="10" t="s">
        <v>722</v>
      </c>
      <c r="G996" s="10" t="s">
        <v>9419</v>
      </c>
      <c r="H996" s="10" t="s">
        <v>354</v>
      </c>
      <c r="I996" s="10" t="s">
        <v>48</v>
      </c>
      <c r="J996" s="10" t="s">
        <v>9641</v>
      </c>
      <c r="K996" s="10" t="s">
        <v>9609</v>
      </c>
      <c r="L996" s="10" t="s">
        <v>42</v>
      </c>
    </row>
    <row r="997" ht="15.75" customHeight="1">
      <c r="A997" s="64">
        <v>45487.0</v>
      </c>
      <c r="B997" s="55" t="str">
        <f>HYPERLINK("https://jobright.ai/jobs/info/65e5cb20e8a32a09adfb5555?utm_campaign=1052&amp;utm_source=sheet", "Apply")</f>
        <v>Apply</v>
      </c>
      <c r="C997" s="10" t="s">
        <v>9535</v>
      </c>
      <c r="D997" s="56" t="s">
        <v>9607</v>
      </c>
      <c r="E997" s="10" t="s">
        <v>45</v>
      </c>
      <c r="F997" s="10" t="s">
        <v>722</v>
      </c>
      <c r="G997" s="10" t="s">
        <v>9419</v>
      </c>
      <c r="H997" s="10" t="s">
        <v>154</v>
      </c>
      <c r="I997" s="10" t="s">
        <v>48</v>
      </c>
      <c r="J997" s="10" t="s">
        <v>9653</v>
      </c>
      <c r="K997" s="10" t="s">
        <v>9609</v>
      </c>
      <c r="L997" s="10" t="s">
        <v>42</v>
      </c>
    </row>
    <row r="998" ht="15.75" customHeight="1">
      <c r="A998" s="64">
        <v>45487.0</v>
      </c>
      <c r="B998" s="55" t="str">
        <f>HYPERLINK("https://jobright.ai/jobs/info/65e5b6ee1509ce99a242a5d9?utm_campaign=1052&amp;utm_source=sheet", "Apply")</f>
        <v>Apply</v>
      </c>
      <c r="C998" s="10" t="s">
        <v>9535</v>
      </c>
      <c r="D998" s="56" t="s">
        <v>9607</v>
      </c>
      <c r="E998" s="10" t="s">
        <v>45</v>
      </c>
      <c r="F998" s="10" t="s">
        <v>722</v>
      </c>
      <c r="G998" s="10" t="s">
        <v>9419</v>
      </c>
      <c r="H998" s="10" t="s">
        <v>131</v>
      </c>
      <c r="I998" s="10" t="s">
        <v>48</v>
      </c>
      <c r="J998" s="10" t="s">
        <v>9653</v>
      </c>
      <c r="K998" s="10" t="s">
        <v>9609</v>
      </c>
      <c r="L998" s="10" t="s">
        <v>42</v>
      </c>
    </row>
    <row r="999" ht="15.75" customHeight="1">
      <c r="A999" s="64">
        <v>45487.0</v>
      </c>
      <c r="B999" s="55" t="str">
        <f>HYPERLINK("https://jobright.ai/jobs/info/664e5132c0761b8d87f7ca48?utm_campaign=1052&amp;utm_source=sheet", "Apply")</f>
        <v>Apply</v>
      </c>
      <c r="C999" s="10" t="s">
        <v>10729</v>
      </c>
      <c r="D999" s="56" t="s">
        <v>9588</v>
      </c>
      <c r="E999" s="10" t="s">
        <v>65</v>
      </c>
      <c r="F999" s="10" t="s">
        <v>722</v>
      </c>
      <c r="G999" s="10" t="s">
        <v>9419</v>
      </c>
      <c r="H999" s="10" t="s">
        <v>3309</v>
      </c>
      <c r="I999" s="10" t="s">
        <v>55</v>
      </c>
      <c r="K999" s="10" t="s">
        <v>10730</v>
      </c>
      <c r="L999" s="10" t="s">
        <v>42</v>
      </c>
    </row>
    <row r="1000" ht="15.75" customHeight="1">
      <c r="A1000" s="64">
        <v>45487.0</v>
      </c>
      <c r="B1000" s="55" t="str">
        <f>HYPERLINK("https://jobright.ai/jobs/info/6676a926fdeefaeb92e85666?utm_campaign=1052&amp;utm_source=sheet", "Apply")</f>
        <v>Apply</v>
      </c>
      <c r="C1000" s="10" t="s">
        <v>10878</v>
      </c>
      <c r="D1000" s="56" t="s">
        <v>533</v>
      </c>
      <c r="E1000" s="10" t="s">
        <v>209</v>
      </c>
      <c r="F1000" s="10" t="s">
        <v>534</v>
      </c>
      <c r="G1000" s="10" t="s">
        <v>9419</v>
      </c>
      <c r="H1000" s="10" t="s">
        <v>144</v>
      </c>
      <c r="I1000" s="10" t="s">
        <v>48</v>
      </c>
      <c r="J1000" s="10" t="s">
        <v>10347</v>
      </c>
      <c r="K1000" s="10" t="s">
        <v>10879</v>
      </c>
      <c r="L1000" s="10" t="s">
        <v>42</v>
      </c>
    </row>
    <row r="1001" ht="15.75" customHeight="1">
      <c r="A1001" s="64">
        <v>45487.0</v>
      </c>
      <c r="B1001" s="55" t="str">
        <f>HYPERLINK("https://jobright.ai/jobs/info/6676bbca9b9f24e2dbdca4df?utm_campaign=1052&amp;utm_source=sheet", "Apply")</f>
        <v>Apply</v>
      </c>
      <c r="C1001" s="10" t="s">
        <v>10880</v>
      </c>
      <c r="D1001" s="56" t="s">
        <v>9643</v>
      </c>
      <c r="E1001" s="10" t="s">
        <v>249</v>
      </c>
      <c r="F1001" s="10" t="s">
        <v>534</v>
      </c>
      <c r="G1001" s="10" t="s">
        <v>9419</v>
      </c>
      <c r="H1001" s="10" t="s">
        <v>927</v>
      </c>
      <c r="I1001" s="10" t="s">
        <v>55</v>
      </c>
      <c r="K1001" s="10" t="s">
        <v>9645</v>
      </c>
      <c r="L1001" s="10" t="s">
        <v>42</v>
      </c>
    </row>
    <row r="1002" ht="15.75" customHeight="1">
      <c r="A1002" s="64">
        <v>45487.0</v>
      </c>
      <c r="B1002" s="55" t="str">
        <f>HYPERLINK("https://jobright.ai/jobs/info/6676a91afdeefaeb92e855a5?utm_campaign=1052&amp;utm_source=sheet", "Apply")</f>
        <v>Apply</v>
      </c>
      <c r="C1002" s="10" t="s">
        <v>10722</v>
      </c>
      <c r="D1002" s="56" t="s">
        <v>533</v>
      </c>
      <c r="E1002" s="10" t="s">
        <v>209</v>
      </c>
      <c r="F1002" s="10" t="s">
        <v>534</v>
      </c>
      <c r="G1002" s="10" t="s">
        <v>9419</v>
      </c>
      <c r="H1002" s="10" t="s">
        <v>994</v>
      </c>
      <c r="I1002" s="10" t="s">
        <v>48</v>
      </c>
      <c r="J1002" s="10" t="s">
        <v>9680</v>
      </c>
      <c r="K1002" s="10" t="s">
        <v>9681</v>
      </c>
      <c r="L1002" s="10" t="s">
        <v>42</v>
      </c>
    </row>
    <row r="1003" ht="15.75" customHeight="1">
      <c r="A1003" s="64">
        <v>45487.0</v>
      </c>
      <c r="B1003" s="55" t="str">
        <f>HYPERLINK("https://jobright.ai/jobs/info/65e5d2f96af7bafe86c748cf?utm_campaign=1052&amp;utm_source=sheet", "Apply")</f>
        <v>Apply</v>
      </c>
      <c r="C1003" s="10" t="s">
        <v>9535</v>
      </c>
      <c r="D1003" s="56" t="s">
        <v>9607</v>
      </c>
      <c r="E1003" s="10" t="s">
        <v>45</v>
      </c>
      <c r="F1003" s="10" t="s">
        <v>722</v>
      </c>
      <c r="G1003" s="10" t="s">
        <v>9419</v>
      </c>
      <c r="H1003" s="10" t="s">
        <v>144</v>
      </c>
      <c r="I1003" s="10" t="s">
        <v>48</v>
      </c>
      <c r="J1003" s="10" t="s">
        <v>9665</v>
      </c>
      <c r="K1003" s="10" t="s">
        <v>9609</v>
      </c>
      <c r="L1003" s="10" t="s">
        <v>42</v>
      </c>
    </row>
    <row r="1004" ht="15.75" customHeight="1">
      <c r="A1004" s="64">
        <v>45487.0</v>
      </c>
      <c r="B1004" s="55" t="str">
        <f>HYPERLINK("https://jobright.ai/jobs/info/65f1bebf8742cb7db701dc23?utm_campaign=1052&amp;utm_source=sheet", "Apply")</f>
        <v>Apply</v>
      </c>
      <c r="C1004" s="10" t="s">
        <v>10881</v>
      </c>
      <c r="D1004" s="56" t="s">
        <v>9581</v>
      </c>
      <c r="E1004" s="10" t="s">
        <v>65</v>
      </c>
      <c r="F1004" s="10" t="s">
        <v>722</v>
      </c>
      <c r="G1004" s="10" t="s">
        <v>9419</v>
      </c>
      <c r="H1004" s="10" t="s">
        <v>909</v>
      </c>
      <c r="I1004" s="10" t="s">
        <v>55</v>
      </c>
      <c r="J1004" s="10" t="s">
        <v>9582</v>
      </c>
      <c r="K1004" s="10" t="s">
        <v>9603</v>
      </c>
      <c r="L1004" s="10" t="s">
        <v>42</v>
      </c>
    </row>
    <row r="1005" ht="15.75" customHeight="1">
      <c r="A1005" s="64">
        <v>45487.0</v>
      </c>
      <c r="B1005" s="55" t="str">
        <f>HYPERLINK("https://jobright.ai/jobs/info/65abb12075452331508f8e7b?utm_campaign=1052&amp;utm_source=sheet", "Apply")</f>
        <v>Apply</v>
      </c>
      <c r="C1005" s="10" t="s">
        <v>10848</v>
      </c>
      <c r="D1005" s="56" t="s">
        <v>1133</v>
      </c>
      <c r="E1005" s="10">
        <v>8727.0</v>
      </c>
      <c r="G1005" s="10" t="s">
        <v>9414</v>
      </c>
      <c r="H1005" s="10" t="s">
        <v>73</v>
      </c>
      <c r="I1005" s="10" t="s">
        <v>55</v>
      </c>
      <c r="K1005" s="10" t="s">
        <v>10849</v>
      </c>
      <c r="L1005" s="10" t="s">
        <v>42</v>
      </c>
    </row>
    <row r="1006" ht="15.75" customHeight="1">
      <c r="A1006" s="64">
        <v>45487.0</v>
      </c>
      <c r="B1006" s="55" t="str">
        <f>HYPERLINK("https://jobright.ai/jobs/info/65ef02a9420854bcd73bd7be?utm_campaign=1052&amp;utm_source=sheet", "Apply")</f>
        <v>Apply</v>
      </c>
      <c r="C1006" s="10" t="s">
        <v>10882</v>
      </c>
      <c r="D1006" s="56" t="s">
        <v>9581</v>
      </c>
      <c r="E1006" s="10" t="s">
        <v>65</v>
      </c>
      <c r="F1006" s="10" t="s">
        <v>722</v>
      </c>
      <c r="G1006" s="10" t="s">
        <v>9419</v>
      </c>
      <c r="H1006" s="10" t="s">
        <v>153</v>
      </c>
      <c r="I1006" s="10" t="s">
        <v>55</v>
      </c>
      <c r="J1006" s="10" t="s">
        <v>9582</v>
      </c>
      <c r="K1006" s="10" t="s">
        <v>9603</v>
      </c>
      <c r="L1006" s="10" t="s">
        <v>42</v>
      </c>
    </row>
    <row r="1007" ht="15.75" customHeight="1">
      <c r="A1007" s="64">
        <v>45487.0</v>
      </c>
      <c r="B1007" s="55" t="str">
        <f>HYPERLINK("https://jobright.ai/jobs/info/665732c7a080ed027835d500?utm_campaign=1052&amp;utm_source=sheet", "Apply")</f>
        <v>Apply</v>
      </c>
      <c r="C1007" s="10" t="s">
        <v>10883</v>
      </c>
      <c r="D1007" s="56" t="s">
        <v>533</v>
      </c>
      <c r="E1007" s="10" t="s">
        <v>209</v>
      </c>
      <c r="F1007" s="10" t="s">
        <v>534</v>
      </c>
      <c r="G1007" s="10" t="s">
        <v>9419</v>
      </c>
      <c r="H1007" s="10" t="s">
        <v>2380</v>
      </c>
      <c r="I1007" s="10" t="s">
        <v>48</v>
      </c>
      <c r="J1007" s="10" t="s">
        <v>10347</v>
      </c>
      <c r="K1007" s="10" t="s">
        <v>10378</v>
      </c>
      <c r="L1007" s="10" t="s">
        <v>42</v>
      </c>
    </row>
    <row r="1008" ht="15.75" customHeight="1">
      <c r="A1008" s="64">
        <v>45487.0</v>
      </c>
      <c r="B1008" s="55" t="str">
        <f>HYPERLINK("https://jobright.ai/jobs/info/668291e680444982f0ddcbac?utm_campaign=1052&amp;utm_source=sheet", "Apply")</f>
        <v>Apply</v>
      </c>
      <c r="C1008" s="10" t="s">
        <v>10884</v>
      </c>
      <c r="D1008" s="56" t="s">
        <v>533</v>
      </c>
      <c r="E1008" s="10" t="s">
        <v>209</v>
      </c>
      <c r="F1008" s="10" t="s">
        <v>534</v>
      </c>
      <c r="G1008" s="10" t="s">
        <v>9419</v>
      </c>
      <c r="H1008" s="10" t="s">
        <v>5691</v>
      </c>
      <c r="I1008" s="10" t="s">
        <v>48</v>
      </c>
      <c r="J1008" s="10" t="s">
        <v>10724</v>
      </c>
      <c r="K1008" s="10" t="s">
        <v>9621</v>
      </c>
      <c r="L1008" s="10" t="s">
        <v>42</v>
      </c>
    </row>
    <row r="1009" ht="15.75" customHeight="1">
      <c r="A1009" s="64">
        <v>45487.0</v>
      </c>
      <c r="B1009" s="55" t="str">
        <f>HYPERLINK("https://jobright.ai/jobs/info/65e472d0fdcc8b42e8f7b6fd?utm_campaign=1052&amp;utm_source=sheet", "Apply")</f>
        <v>Apply</v>
      </c>
      <c r="C1009" s="10" t="s">
        <v>10885</v>
      </c>
      <c r="D1009" s="56" t="s">
        <v>9607</v>
      </c>
      <c r="E1009" s="10" t="s">
        <v>45</v>
      </c>
      <c r="F1009" s="10" t="s">
        <v>722</v>
      </c>
      <c r="G1009" s="10" t="s">
        <v>9419</v>
      </c>
      <c r="H1009" s="10" t="s">
        <v>2380</v>
      </c>
      <c r="I1009" s="10" t="s">
        <v>48</v>
      </c>
      <c r="J1009" s="10" t="s">
        <v>10798</v>
      </c>
      <c r="K1009" s="10" t="s">
        <v>9609</v>
      </c>
      <c r="L1009" s="10" t="s">
        <v>42</v>
      </c>
    </row>
    <row r="1010" ht="15.75" customHeight="1">
      <c r="A1010" s="64">
        <v>45487.0</v>
      </c>
      <c r="B1010" s="55" t="str">
        <f>HYPERLINK("https://jobright.ai/jobs/info/6678031b22d70373ceb6c940?utm_campaign=1052&amp;utm_source=sheet", "Apply")</f>
        <v>Apply</v>
      </c>
      <c r="C1010" s="10" t="s">
        <v>10886</v>
      </c>
      <c r="D1010" s="56" t="s">
        <v>533</v>
      </c>
      <c r="E1010" s="10" t="s">
        <v>209</v>
      </c>
      <c r="F1010" s="10" t="s">
        <v>534</v>
      </c>
      <c r="G1010" s="10" t="s">
        <v>9419</v>
      </c>
      <c r="H1010" s="10" t="s">
        <v>167</v>
      </c>
      <c r="I1010" s="10" t="s">
        <v>48</v>
      </c>
      <c r="J1010" s="10" t="s">
        <v>10724</v>
      </c>
      <c r="K1010" s="10" t="s">
        <v>9621</v>
      </c>
      <c r="L1010" s="10" t="s">
        <v>42</v>
      </c>
    </row>
    <row r="1011" ht="15.75" customHeight="1">
      <c r="A1011" s="64">
        <v>45487.0</v>
      </c>
      <c r="B1011" s="55" t="str">
        <f>HYPERLINK("https://jobright.ai/jobs/info/66565ed2993d9861d85f6b72?utm_campaign=1052&amp;utm_source=sheet", "Apply")</f>
        <v>Apply</v>
      </c>
      <c r="C1011" s="10" t="s">
        <v>10887</v>
      </c>
      <c r="D1011" s="56" t="s">
        <v>9581</v>
      </c>
      <c r="E1011" s="10" t="s">
        <v>65</v>
      </c>
      <c r="F1011" s="10" t="s">
        <v>722</v>
      </c>
      <c r="G1011" s="10" t="s">
        <v>9419</v>
      </c>
      <c r="H1011" s="10" t="s">
        <v>923</v>
      </c>
      <c r="I1011" s="10" t="s">
        <v>55</v>
      </c>
      <c r="J1011" s="10" t="s">
        <v>9582</v>
      </c>
      <c r="K1011" s="10" t="s">
        <v>10851</v>
      </c>
      <c r="L1011" s="10" t="s">
        <v>42</v>
      </c>
    </row>
    <row r="1012" ht="15.75" customHeight="1">
      <c r="A1012" s="64">
        <v>45487.0</v>
      </c>
      <c r="B1012" s="55" t="str">
        <f>HYPERLINK("https://jobright.ai/jobs/info/6683e1d2bae33281754f4528?utm_campaign=1052&amp;utm_source=sheet", "Apply")</f>
        <v>Apply</v>
      </c>
      <c r="C1012" s="10" t="s">
        <v>10888</v>
      </c>
      <c r="D1012" s="56" t="s">
        <v>533</v>
      </c>
      <c r="E1012" s="10" t="s">
        <v>209</v>
      </c>
      <c r="F1012" s="10" t="s">
        <v>534</v>
      </c>
      <c r="G1012" s="10" t="s">
        <v>9419</v>
      </c>
      <c r="H1012" s="10" t="s">
        <v>794</v>
      </c>
      <c r="I1012" s="10" t="s">
        <v>48</v>
      </c>
      <c r="J1012" s="10" t="s">
        <v>535</v>
      </c>
      <c r="K1012" s="10" t="s">
        <v>9621</v>
      </c>
      <c r="L1012" s="10" t="s">
        <v>42</v>
      </c>
    </row>
    <row r="1013" ht="15.75" customHeight="1">
      <c r="A1013" s="64">
        <v>45487.0</v>
      </c>
      <c r="B1013" s="55" t="str">
        <f>HYPERLINK("https://jobright.ai/jobs/info/666ad9ea02c1dc0c9fb9f9c3?utm_campaign=1052&amp;utm_source=sheet", "Apply")</f>
        <v>Apply</v>
      </c>
      <c r="C1013" s="10" t="s">
        <v>10889</v>
      </c>
      <c r="D1013" s="56" t="s">
        <v>9581</v>
      </c>
      <c r="E1013" s="10" t="s">
        <v>65</v>
      </c>
      <c r="F1013" s="10" t="s">
        <v>722</v>
      </c>
      <c r="G1013" s="10" t="s">
        <v>9419</v>
      </c>
      <c r="H1013" s="10" t="s">
        <v>843</v>
      </c>
      <c r="I1013" s="10" t="s">
        <v>55</v>
      </c>
      <c r="J1013" s="10" t="s">
        <v>9582</v>
      </c>
      <c r="K1013" s="10" t="s">
        <v>9583</v>
      </c>
      <c r="L1013" s="10" t="s">
        <v>42</v>
      </c>
    </row>
    <row r="1014" ht="15.75" customHeight="1">
      <c r="A1014" s="64">
        <v>45487.0</v>
      </c>
      <c r="B1014" s="55" t="str">
        <f>HYPERLINK("https://jobright.ai/jobs/info/6676bb809b9f24e2dbdc9ff8?utm_campaign=1052&amp;utm_source=sheet", "Apply")</f>
        <v>Apply</v>
      </c>
      <c r="C1014" s="10" t="s">
        <v>10890</v>
      </c>
      <c r="D1014" s="56" t="s">
        <v>533</v>
      </c>
      <c r="E1014" s="10" t="s">
        <v>209</v>
      </c>
      <c r="F1014" s="10" t="s">
        <v>534</v>
      </c>
      <c r="G1014" s="10" t="s">
        <v>9419</v>
      </c>
      <c r="H1014" s="10" t="s">
        <v>313</v>
      </c>
      <c r="I1014" s="10" t="s">
        <v>48</v>
      </c>
      <c r="J1014" s="10" t="s">
        <v>535</v>
      </c>
      <c r="K1014" s="10" t="s">
        <v>9597</v>
      </c>
      <c r="L1014" s="10" t="s">
        <v>42</v>
      </c>
    </row>
    <row r="1015" ht="15.75" customHeight="1">
      <c r="A1015" s="64">
        <v>45487.0</v>
      </c>
      <c r="B1015" s="55" t="str">
        <f>HYPERLINK("https://jobright.ai/jobs/info/66779787417c3aa48b86ee4e?utm_campaign=1052&amp;utm_source=sheet", "Apply")</f>
        <v>Apply</v>
      </c>
      <c r="C1015" s="10" t="s">
        <v>10770</v>
      </c>
      <c r="D1015" s="56" t="s">
        <v>1846</v>
      </c>
      <c r="E1015" s="10" t="s">
        <v>45</v>
      </c>
      <c r="F1015" s="10" t="s">
        <v>1485</v>
      </c>
      <c r="G1015" s="10" t="s">
        <v>9419</v>
      </c>
      <c r="H1015" s="10" t="s">
        <v>167</v>
      </c>
      <c r="I1015" s="10" t="s">
        <v>55</v>
      </c>
      <c r="J1015" s="10" t="s">
        <v>10771</v>
      </c>
      <c r="K1015" s="10" t="s">
        <v>5365</v>
      </c>
      <c r="L1015" s="10" t="s">
        <v>42</v>
      </c>
    </row>
    <row r="1016" ht="15.75" customHeight="1">
      <c r="A1016" s="64">
        <v>45487.0</v>
      </c>
      <c r="B1016" s="55" t="str">
        <f>HYPERLINK("https://jobright.ai/jobs/info/6676bb679b9f24e2dbdc9e6b?utm_campaign=1052&amp;utm_source=sheet", "Apply")</f>
        <v>Apply</v>
      </c>
      <c r="C1016" s="10" t="s">
        <v>10891</v>
      </c>
      <c r="D1016" s="56" t="s">
        <v>533</v>
      </c>
      <c r="E1016" s="10" t="s">
        <v>209</v>
      </c>
      <c r="F1016" s="10" t="s">
        <v>534</v>
      </c>
      <c r="G1016" s="10" t="s">
        <v>9419</v>
      </c>
      <c r="H1016" s="10" t="s">
        <v>879</v>
      </c>
      <c r="I1016" s="10" t="s">
        <v>48</v>
      </c>
      <c r="J1016" s="10" t="s">
        <v>579</v>
      </c>
      <c r="K1016" s="10" t="s">
        <v>9621</v>
      </c>
      <c r="L1016" s="10" t="s">
        <v>42</v>
      </c>
    </row>
    <row r="1017" ht="15.75" customHeight="1">
      <c r="A1017" s="64">
        <v>45487.0</v>
      </c>
      <c r="B1017" s="55" t="str">
        <f>HYPERLINK("https://jobright.ai/jobs/info/6679553d39ca2f81c4370417?utm_campaign=1052&amp;utm_source=sheet", "Apply")</f>
        <v>Apply</v>
      </c>
      <c r="C1017" s="10" t="s">
        <v>10892</v>
      </c>
      <c r="D1017" s="56" t="s">
        <v>730</v>
      </c>
      <c r="E1017" s="10" t="s">
        <v>45</v>
      </c>
      <c r="F1017" s="10" t="s">
        <v>731</v>
      </c>
      <c r="G1017" s="10" t="s">
        <v>9414</v>
      </c>
      <c r="H1017" s="10" t="s">
        <v>131</v>
      </c>
      <c r="I1017" s="10" t="s">
        <v>55</v>
      </c>
      <c r="K1017" s="10" t="s">
        <v>10893</v>
      </c>
      <c r="L1017" s="10" t="s">
        <v>42</v>
      </c>
    </row>
    <row r="1018" ht="15.75" customHeight="1">
      <c r="A1018" s="64">
        <v>45487.0</v>
      </c>
      <c r="B1018" s="55" t="str">
        <f>HYPERLINK("https://jobright.ai/jobs/info/65e46432339fbcfd8e557085?utm_campaign=1052&amp;utm_source=sheet", "Apply")</f>
        <v>Apply</v>
      </c>
      <c r="C1018" s="10" t="s">
        <v>10894</v>
      </c>
      <c r="D1018" s="56" t="s">
        <v>9585</v>
      </c>
      <c r="E1018" s="10" t="s">
        <v>65</v>
      </c>
      <c r="F1018" s="10" t="s">
        <v>722</v>
      </c>
      <c r="G1018" s="10" t="s">
        <v>9419</v>
      </c>
      <c r="H1018" s="10" t="s">
        <v>153</v>
      </c>
      <c r="I1018" s="10" t="s">
        <v>55</v>
      </c>
      <c r="K1018" s="10" t="s">
        <v>10520</v>
      </c>
      <c r="L1018" s="10" t="s">
        <v>42</v>
      </c>
    </row>
    <row r="1019" ht="15.75" customHeight="1">
      <c r="A1019" s="64">
        <v>45487.0</v>
      </c>
      <c r="B1019" s="55" t="str">
        <f>HYPERLINK("https://jobright.ai/jobs/info/660ceb520461aacf50cb04d9?utm_campaign=1052&amp;utm_source=sheet", "Apply")</f>
        <v>Apply</v>
      </c>
      <c r="C1019" s="10" t="s">
        <v>9625</v>
      </c>
      <c r="D1019" s="56" t="s">
        <v>9607</v>
      </c>
      <c r="E1019" s="10" t="s">
        <v>45</v>
      </c>
      <c r="F1019" s="10" t="s">
        <v>722</v>
      </c>
      <c r="G1019" s="10" t="s">
        <v>9419</v>
      </c>
      <c r="H1019" s="10" t="s">
        <v>2380</v>
      </c>
      <c r="I1019" s="10" t="s">
        <v>48</v>
      </c>
      <c r="J1019" s="10" t="s">
        <v>9952</v>
      </c>
      <c r="K1019" s="10" t="s">
        <v>9609</v>
      </c>
      <c r="L1019" s="10" t="s">
        <v>42</v>
      </c>
    </row>
    <row r="1020" ht="15.75" customHeight="1">
      <c r="A1020" s="64">
        <v>45487.0</v>
      </c>
      <c r="B1020" s="55" t="str">
        <f>HYPERLINK("https://jobright.ai/jobs/info/65eb2127dc2945f39ad14697?utm_campaign=1052&amp;utm_source=sheet", "Apply")</f>
        <v>Apply</v>
      </c>
      <c r="C1020" s="10" t="s">
        <v>10895</v>
      </c>
      <c r="D1020" s="56" t="s">
        <v>9607</v>
      </c>
      <c r="E1020" s="10" t="s">
        <v>45</v>
      </c>
      <c r="F1020" s="10" t="s">
        <v>722</v>
      </c>
      <c r="G1020" s="10" t="s">
        <v>9419</v>
      </c>
      <c r="H1020" s="10" t="s">
        <v>154</v>
      </c>
      <c r="I1020" s="10" t="s">
        <v>48</v>
      </c>
      <c r="J1020" s="10" t="s">
        <v>9653</v>
      </c>
      <c r="K1020" s="10" t="s">
        <v>9654</v>
      </c>
      <c r="L1020" s="10" t="s">
        <v>42</v>
      </c>
    </row>
    <row r="1021" ht="15.75" customHeight="1">
      <c r="A1021" s="64">
        <v>45487.0</v>
      </c>
      <c r="B1021" s="55" t="str">
        <f>HYPERLINK("https://jobright.ai/jobs/info/66796cd83f452d31d55f8852?utm_campaign=1052&amp;utm_source=sheet", "Apply")</f>
        <v>Apply</v>
      </c>
      <c r="C1021" s="10" t="s">
        <v>10832</v>
      </c>
      <c r="D1021" s="56" t="s">
        <v>730</v>
      </c>
      <c r="E1021" s="10" t="s">
        <v>45</v>
      </c>
      <c r="F1021" s="10" t="s">
        <v>731</v>
      </c>
      <c r="G1021" s="10" t="s">
        <v>9414</v>
      </c>
      <c r="H1021" s="10" t="s">
        <v>96</v>
      </c>
      <c r="I1021" s="10" t="s">
        <v>55</v>
      </c>
      <c r="K1021" s="10" t="s">
        <v>10833</v>
      </c>
      <c r="L1021" s="10" t="s">
        <v>42</v>
      </c>
    </row>
    <row r="1022" ht="15.75" customHeight="1">
      <c r="A1022" s="64">
        <v>45487.0</v>
      </c>
      <c r="B1022" s="55" t="str">
        <f>HYPERLINK("https://jobright.ai/jobs/info/66150298b1bcd01c2192f84b?utm_campaign=1052&amp;utm_source=sheet", "Apply")</f>
        <v>Apply</v>
      </c>
      <c r="C1022" s="10" t="s">
        <v>10896</v>
      </c>
      <c r="D1022" s="56" t="s">
        <v>533</v>
      </c>
      <c r="E1022" s="10" t="s">
        <v>209</v>
      </c>
      <c r="F1022" s="10" t="s">
        <v>534</v>
      </c>
      <c r="G1022" s="10" t="s">
        <v>9419</v>
      </c>
      <c r="H1022" s="10" t="s">
        <v>144</v>
      </c>
      <c r="I1022" s="10" t="s">
        <v>48</v>
      </c>
      <c r="J1022" s="10" t="s">
        <v>10347</v>
      </c>
      <c r="K1022" s="10" t="s">
        <v>10378</v>
      </c>
      <c r="L1022" s="10" t="s">
        <v>42</v>
      </c>
    </row>
    <row r="1023" ht="15.75" customHeight="1">
      <c r="A1023" s="64">
        <v>45487.0</v>
      </c>
      <c r="B1023" s="55" t="str">
        <f>HYPERLINK("https://jobright.ai/jobs/info/65e1b5e7fa18747da6aee994?utm_campaign=1052&amp;utm_source=sheet", "Apply")</f>
        <v>Apply</v>
      </c>
      <c r="C1023" s="10" t="s">
        <v>10838</v>
      </c>
      <c r="D1023" s="56" t="s">
        <v>9607</v>
      </c>
      <c r="E1023" s="10" t="s">
        <v>45</v>
      </c>
      <c r="F1023" s="10" t="s">
        <v>722</v>
      </c>
      <c r="G1023" s="10" t="s">
        <v>9419</v>
      </c>
      <c r="H1023" s="10" t="s">
        <v>938</v>
      </c>
      <c r="I1023" s="10" t="s">
        <v>48</v>
      </c>
      <c r="J1023" s="10" t="s">
        <v>9798</v>
      </c>
      <c r="K1023" s="10" t="s">
        <v>9609</v>
      </c>
      <c r="L1023" s="10" t="s">
        <v>42</v>
      </c>
    </row>
    <row r="1024" ht="15.75" customHeight="1">
      <c r="A1024" s="64">
        <v>45487.0</v>
      </c>
      <c r="B1024" s="55" t="str">
        <f>HYPERLINK("https://jobright.ai/jobs/info/662c443bb32e2a39772a3ceb?utm_campaign=1052&amp;utm_source=sheet", "Apply")</f>
        <v>Apply</v>
      </c>
      <c r="C1024" s="10" t="s">
        <v>10897</v>
      </c>
      <c r="D1024" s="56" t="s">
        <v>9607</v>
      </c>
      <c r="E1024" s="10" t="s">
        <v>45</v>
      </c>
      <c r="F1024" s="10" t="s">
        <v>722</v>
      </c>
      <c r="G1024" s="10" t="s">
        <v>9419</v>
      </c>
      <c r="H1024" s="10" t="s">
        <v>607</v>
      </c>
      <c r="I1024" s="10" t="s">
        <v>48</v>
      </c>
      <c r="J1024" s="10" t="s">
        <v>9608</v>
      </c>
      <c r="K1024" s="10" t="s">
        <v>9609</v>
      </c>
      <c r="L1024" s="10" t="s">
        <v>42</v>
      </c>
    </row>
    <row r="1025" ht="15.75" customHeight="1">
      <c r="A1025" s="64">
        <v>45487.0</v>
      </c>
      <c r="B1025" s="55" t="str">
        <f>HYPERLINK("https://jobright.ai/jobs/info/65e330c85bff9039e44dbcab?utm_campaign=1052&amp;utm_source=sheet", "Apply")</f>
        <v>Apply</v>
      </c>
      <c r="C1025" s="10" t="s">
        <v>10898</v>
      </c>
      <c r="D1025" s="56" t="s">
        <v>533</v>
      </c>
      <c r="E1025" s="10" t="s">
        <v>209</v>
      </c>
      <c r="F1025" s="10" t="s">
        <v>534</v>
      </c>
      <c r="G1025" s="10" t="s">
        <v>9419</v>
      </c>
      <c r="H1025" s="10" t="s">
        <v>860</v>
      </c>
      <c r="I1025" s="10" t="s">
        <v>48</v>
      </c>
      <c r="J1025" s="10" t="s">
        <v>535</v>
      </c>
      <c r="K1025" s="10" t="s">
        <v>9621</v>
      </c>
      <c r="L1025" s="10" t="s">
        <v>42</v>
      </c>
    </row>
    <row r="1026" ht="15.75" customHeight="1">
      <c r="A1026" s="64">
        <v>45487.0</v>
      </c>
      <c r="B1026" s="55" t="str">
        <f>HYPERLINK("https://jobright.ai/jobs/info/66159d3f05b00f7ede45150b?utm_campaign=1052&amp;utm_source=sheet", "Apply")</f>
        <v>Apply</v>
      </c>
      <c r="C1026" s="10" t="s">
        <v>10899</v>
      </c>
      <c r="D1026" s="56" t="s">
        <v>533</v>
      </c>
      <c r="E1026" s="10" t="s">
        <v>209</v>
      </c>
      <c r="F1026" s="10" t="s">
        <v>534</v>
      </c>
      <c r="G1026" s="10" t="s">
        <v>9419</v>
      </c>
      <c r="H1026" s="10" t="s">
        <v>854</v>
      </c>
      <c r="I1026" s="10" t="s">
        <v>48</v>
      </c>
      <c r="J1026" s="10" t="s">
        <v>10347</v>
      </c>
      <c r="K1026" s="10" t="s">
        <v>10378</v>
      </c>
      <c r="L1026" s="10" t="s">
        <v>42</v>
      </c>
    </row>
    <row r="1027" ht="15.75" customHeight="1">
      <c r="A1027" s="64">
        <v>45487.0</v>
      </c>
      <c r="B1027" s="55" t="str">
        <f>HYPERLINK("https://jobright.ai/jobs/info/6677fc0f59f5d0e37fac58bd?utm_campaign=1052&amp;utm_source=sheet", "Apply")</f>
        <v>Apply</v>
      </c>
      <c r="C1027" s="10" t="s">
        <v>10900</v>
      </c>
      <c r="D1027" s="56" t="s">
        <v>533</v>
      </c>
      <c r="E1027" s="10" t="s">
        <v>209</v>
      </c>
      <c r="F1027" s="10" t="s">
        <v>534</v>
      </c>
      <c r="G1027" s="10" t="s">
        <v>9419</v>
      </c>
      <c r="H1027" s="10" t="s">
        <v>159</v>
      </c>
      <c r="I1027" s="10" t="s">
        <v>48</v>
      </c>
      <c r="J1027" s="10" t="s">
        <v>9596</v>
      </c>
      <c r="K1027" s="10" t="s">
        <v>9597</v>
      </c>
      <c r="L1027" s="10" t="s">
        <v>42</v>
      </c>
    </row>
    <row r="1028" ht="15.75" customHeight="1">
      <c r="A1028" s="64">
        <v>45487.0</v>
      </c>
      <c r="B1028" s="55" t="str">
        <f>HYPERLINK("https://jobright.ai/jobs/info/65eeea9c59c8b6e3549e5b72?utm_campaign=1052&amp;utm_source=sheet", "Apply")</f>
        <v>Apply</v>
      </c>
      <c r="C1028" s="10" t="s">
        <v>10901</v>
      </c>
      <c r="D1028" s="56" t="s">
        <v>9581</v>
      </c>
      <c r="E1028" s="10" t="s">
        <v>65</v>
      </c>
      <c r="F1028" s="10" t="s">
        <v>722</v>
      </c>
      <c r="G1028" s="10" t="s">
        <v>9419</v>
      </c>
      <c r="H1028" s="10" t="s">
        <v>278</v>
      </c>
      <c r="I1028" s="10" t="s">
        <v>55</v>
      </c>
      <c r="J1028" s="10" t="s">
        <v>9582</v>
      </c>
      <c r="K1028" s="10" t="s">
        <v>9603</v>
      </c>
      <c r="L1028" s="10" t="s">
        <v>42</v>
      </c>
    </row>
    <row r="1029" ht="15.75" customHeight="1">
      <c r="A1029" s="64">
        <v>45487.0</v>
      </c>
      <c r="B1029" s="55" t="str">
        <f>HYPERLINK("https://jobright.ai/jobs/info/6676a91afdeefaeb92e855da?utm_campaign=1052&amp;utm_source=sheet", "Apply")</f>
        <v>Apply</v>
      </c>
      <c r="C1029" s="10" t="s">
        <v>9817</v>
      </c>
      <c r="D1029" s="56" t="s">
        <v>533</v>
      </c>
      <c r="E1029" s="10" t="s">
        <v>209</v>
      </c>
      <c r="F1029" s="10" t="s">
        <v>534</v>
      </c>
      <c r="G1029" s="10" t="s">
        <v>9419</v>
      </c>
      <c r="H1029" s="10" t="s">
        <v>5691</v>
      </c>
      <c r="I1029" s="10" t="s">
        <v>48</v>
      </c>
      <c r="J1029" s="10" t="s">
        <v>9596</v>
      </c>
      <c r="K1029" s="10" t="s">
        <v>9621</v>
      </c>
      <c r="L1029" s="10" t="s">
        <v>42</v>
      </c>
    </row>
    <row r="1030" ht="15.75" customHeight="1">
      <c r="A1030" s="64">
        <v>45487.0</v>
      </c>
      <c r="B1030" s="55" t="str">
        <f>HYPERLINK("https://jobright.ai/jobs/info/65ec74ce0ddcb6416d0f691e?utm_campaign=1052&amp;utm_source=sheet", "Apply")</f>
        <v>Apply</v>
      </c>
      <c r="C1030" s="10" t="s">
        <v>10902</v>
      </c>
      <c r="D1030" s="56" t="s">
        <v>9581</v>
      </c>
      <c r="E1030" s="10" t="s">
        <v>65</v>
      </c>
      <c r="F1030" s="10" t="s">
        <v>722</v>
      </c>
      <c r="G1030" s="10" t="s">
        <v>9419</v>
      </c>
      <c r="H1030" s="10" t="s">
        <v>278</v>
      </c>
      <c r="I1030" s="10" t="s">
        <v>55</v>
      </c>
      <c r="J1030" s="10" t="s">
        <v>9582</v>
      </c>
      <c r="K1030" s="10" t="s">
        <v>10903</v>
      </c>
      <c r="L1030" s="10" t="s">
        <v>42</v>
      </c>
    </row>
    <row r="1031" ht="15.75" customHeight="1">
      <c r="A1031" s="64">
        <v>45487.0</v>
      </c>
      <c r="B1031" s="55" t="str">
        <f>HYPERLINK("https://jobright.ai/jobs/info/6676b374a2f49d4e236dc47c?utm_campaign=1052&amp;utm_source=sheet", "Apply")</f>
        <v>Apply</v>
      </c>
      <c r="C1031" s="10" t="s">
        <v>10904</v>
      </c>
      <c r="D1031" s="56" t="s">
        <v>533</v>
      </c>
      <c r="E1031" s="10" t="s">
        <v>209</v>
      </c>
      <c r="F1031" s="10" t="s">
        <v>534</v>
      </c>
      <c r="G1031" s="10" t="s">
        <v>9419</v>
      </c>
      <c r="H1031" s="10" t="s">
        <v>607</v>
      </c>
      <c r="I1031" s="10" t="s">
        <v>48</v>
      </c>
      <c r="J1031" s="10" t="s">
        <v>9596</v>
      </c>
      <c r="K1031" s="10" t="s">
        <v>9597</v>
      </c>
      <c r="L1031" s="10" t="s">
        <v>42</v>
      </c>
    </row>
    <row r="1032" ht="15.75" customHeight="1">
      <c r="A1032" s="64">
        <v>45487.0</v>
      </c>
      <c r="B1032" s="55" t="str">
        <f>HYPERLINK("https://jobright.ai/jobs/info/66795f04dd14b36e4d97a945?utm_campaign=1052&amp;utm_source=sheet", "Apply")</f>
        <v>Apply</v>
      </c>
      <c r="C1032" s="10" t="s">
        <v>10703</v>
      </c>
      <c r="D1032" s="56" t="s">
        <v>730</v>
      </c>
      <c r="E1032" s="10" t="s">
        <v>45</v>
      </c>
      <c r="F1032" s="10" t="s">
        <v>731</v>
      </c>
      <c r="G1032" s="10" t="s">
        <v>9419</v>
      </c>
      <c r="H1032" s="10" t="s">
        <v>994</v>
      </c>
      <c r="I1032" s="10" t="s">
        <v>55</v>
      </c>
      <c r="K1032" s="10" t="s">
        <v>10704</v>
      </c>
      <c r="L1032" s="10" t="s">
        <v>42</v>
      </c>
    </row>
    <row r="1033" ht="15.75" customHeight="1">
      <c r="A1033" s="64">
        <v>45487.0</v>
      </c>
      <c r="B1033" s="55" t="str">
        <f>HYPERLINK("https://jobright.ai/jobs/info/667802ec22d70373ceb6c590?utm_campaign=1052&amp;utm_source=sheet", "Apply")</f>
        <v>Apply</v>
      </c>
      <c r="C1033" s="10" t="s">
        <v>10905</v>
      </c>
      <c r="D1033" s="56" t="s">
        <v>533</v>
      </c>
      <c r="E1033" s="10" t="s">
        <v>209</v>
      </c>
      <c r="F1033" s="10" t="s">
        <v>534</v>
      </c>
      <c r="G1033" s="10" t="s">
        <v>9419</v>
      </c>
      <c r="H1033" s="10" t="s">
        <v>819</v>
      </c>
      <c r="I1033" s="10" t="s">
        <v>48</v>
      </c>
      <c r="J1033" s="10" t="s">
        <v>10724</v>
      </c>
      <c r="K1033" s="10" t="s">
        <v>9621</v>
      </c>
      <c r="L1033" s="10" t="s">
        <v>42</v>
      </c>
    </row>
    <row r="1034" ht="15.75" customHeight="1">
      <c r="A1034" s="64">
        <v>45487.0</v>
      </c>
      <c r="B1034" s="55" t="str">
        <f>HYPERLINK("https://jobright.ai/jobs/info/6676cf30131cc9dd67df2d9f?utm_campaign=1052&amp;utm_source=sheet", "Apply")</f>
        <v>Apply</v>
      </c>
      <c r="C1034" s="10" t="s">
        <v>10906</v>
      </c>
      <c r="D1034" s="56" t="s">
        <v>9643</v>
      </c>
      <c r="E1034" s="10" t="s">
        <v>249</v>
      </c>
      <c r="F1034" s="10" t="s">
        <v>534</v>
      </c>
      <c r="G1034" s="10" t="s">
        <v>9419</v>
      </c>
      <c r="H1034" s="10" t="s">
        <v>9644</v>
      </c>
      <c r="I1034" s="10" t="s">
        <v>55</v>
      </c>
      <c r="J1034" s="10" t="s">
        <v>3430</v>
      </c>
      <c r="K1034" s="10" t="s">
        <v>9724</v>
      </c>
      <c r="L1034" s="10" t="s">
        <v>42</v>
      </c>
    </row>
    <row r="1035" ht="15.75" customHeight="1">
      <c r="A1035" s="64">
        <v>45487.0</v>
      </c>
      <c r="B1035" s="55" t="str">
        <f>HYPERLINK("https://jobright.ai/jobs/info/66779754417c3aa48b86eb45?utm_campaign=1052&amp;utm_source=sheet", "Apply")</f>
        <v>Apply</v>
      </c>
      <c r="C1035" s="10" t="s">
        <v>10907</v>
      </c>
      <c r="D1035" s="56" t="s">
        <v>9581</v>
      </c>
      <c r="E1035" s="10" t="s">
        <v>65</v>
      </c>
      <c r="F1035" s="10" t="s">
        <v>722</v>
      </c>
      <c r="G1035" s="10" t="s">
        <v>9419</v>
      </c>
      <c r="H1035" s="10" t="s">
        <v>4149</v>
      </c>
      <c r="I1035" s="10" t="s">
        <v>55</v>
      </c>
      <c r="J1035" s="10" t="s">
        <v>9582</v>
      </c>
      <c r="K1035" s="10" t="s">
        <v>9583</v>
      </c>
      <c r="L1035" s="10" t="s">
        <v>42</v>
      </c>
    </row>
    <row r="1036" ht="15.75" customHeight="1">
      <c r="A1036" s="64">
        <v>45487.0</v>
      </c>
      <c r="B1036" s="55" t="str">
        <f>HYPERLINK("https://jobright.ai/jobs/info/6639afd49e0409f265fb492b?utm_campaign=1052&amp;utm_source=sheet", "Apply")</f>
        <v>Apply</v>
      </c>
      <c r="C1036" s="10" t="s">
        <v>10908</v>
      </c>
      <c r="D1036" s="56" t="s">
        <v>9607</v>
      </c>
      <c r="E1036" s="10" t="s">
        <v>45</v>
      </c>
      <c r="F1036" s="10" t="s">
        <v>722</v>
      </c>
      <c r="G1036" s="10" t="s">
        <v>9419</v>
      </c>
      <c r="H1036" s="10" t="s">
        <v>610</v>
      </c>
      <c r="I1036" s="10" t="s">
        <v>48</v>
      </c>
      <c r="J1036" s="10" t="s">
        <v>260</v>
      </c>
      <c r="K1036" s="10" t="s">
        <v>9609</v>
      </c>
      <c r="L1036" s="10" t="s">
        <v>42</v>
      </c>
    </row>
    <row r="1037" ht="15.75" customHeight="1">
      <c r="A1037" s="64">
        <v>45487.0</v>
      </c>
      <c r="B1037" s="55" t="str">
        <f>HYPERLINK("https://jobright.ai/jobs/info/65e5b6ee1509ce99a242a5fa?utm_campaign=1052&amp;utm_source=sheet", "Apply")</f>
        <v>Apply</v>
      </c>
      <c r="C1037" s="10" t="s">
        <v>9535</v>
      </c>
      <c r="D1037" s="56" t="s">
        <v>9607</v>
      </c>
      <c r="E1037" s="10" t="s">
        <v>45</v>
      </c>
      <c r="F1037" s="10" t="s">
        <v>722</v>
      </c>
      <c r="G1037" s="10" t="s">
        <v>9419</v>
      </c>
      <c r="H1037" s="10" t="s">
        <v>636</v>
      </c>
      <c r="I1037" s="10" t="s">
        <v>48</v>
      </c>
      <c r="J1037" s="10" t="s">
        <v>10769</v>
      </c>
      <c r="K1037" s="10" t="s">
        <v>9609</v>
      </c>
      <c r="L1037" s="10" t="s">
        <v>42</v>
      </c>
    </row>
    <row r="1038" ht="15.75" customHeight="1">
      <c r="A1038" s="64">
        <v>45487.0</v>
      </c>
      <c r="B1038" s="55" t="str">
        <f>HYPERLINK("https://jobright.ai/jobs/info/6676bbf09b9f24e2dbdca702?utm_campaign=1052&amp;utm_source=sheet", "Apply")</f>
        <v>Apply</v>
      </c>
      <c r="C1038" s="10" t="s">
        <v>10909</v>
      </c>
      <c r="D1038" s="56" t="s">
        <v>9581</v>
      </c>
      <c r="E1038" s="10" t="s">
        <v>65</v>
      </c>
      <c r="F1038" s="10" t="s">
        <v>722</v>
      </c>
      <c r="G1038" s="10" t="s">
        <v>9419</v>
      </c>
      <c r="H1038" s="10" t="s">
        <v>610</v>
      </c>
      <c r="I1038" s="10" t="s">
        <v>55</v>
      </c>
      <c r="J1038" s="10" t="s">
        <v>9582</v>
      </c>
      <c r="K1038" s="10" t="s">
        <v>9603</v>
      </c>
      <c r="L1038" s="10" t="s">
        <v>42</v>
      </c>
    </row>
    <row r="1039" ht="15.75" customHeight="1">
      <c r="A1039" s="64">
        <v>45487.0</v>
      </c>
      <c r="B1039" s="55" t="str">
        <f>HYPERLINK("https://jobright.ai/jobs/info/65e49654b9fcb2abea18a741?utm_campaign=1052&amp;utm_source=sheet", "Apply")</f>
        <v>Apply</v>
      </c>
      <c r="C1039" s="10" t="s">
        <v>9535</v>
      </c>
      <c r="D1039" s="56" t="s">
        <v>9607</v>
      </c>
      <c r="E1039" s="10" t="s">
        <v>45</v>
      </c>
      <c r="F1039" s="10" t="s">
        <v>722</v>
      </c>
      <c r="G1039" s="10" t="s">
        <v>9419</v>
      </c>
      <c r="H1039" s="10" t="s">
        <v>810</v>
      </c>
      <c r="I1039" s="10" t="s">
        <v>48</v>
      </c>
      <c r="J1039" s="10" t="s">
        <v>10852</v>
      </c>
      <c r="K1039" s="10" t="s">
        <v>9609</v>
      </c>
      <c r="L1039" s="10" t="s">
        <v>42</v>
      </c>
    </row>
    <row r="1040" ht="15.75" customHeight="1">
      <c r="A1040" s="64">
        <v>45487.0</v>
      </c>
      <c r="B1040" s="55" t="str">
        <f>HYPERLINK("https://jobright.ai/jobs/info/65e5b6ee1509ce99a242a5e9?utm_campaign=1052&amp;utm_source=sheet", "Apply")</f>
        <v>Apply</v>
      </c>
      <c r="C1040" s="10" t="s">
        <v>9535</v>
      </c>
      <c r="D1040" s="56" t="s">
        <v>9607</v>
      </c>
      <c r="E1040" s="10" t="s">
        <v>45</v>
      </c>
      <c r="F1040" s="10" t="s">
        <v>722</v>
      </c>
      <c r="G1040" s="10" t="s">
        <v>9419</v>
      </c>
      <c r="H1040" s="10" t="s">
        <v>923</v>
      </c>
      <c r="I1040" s="10" t="s">
        <v>48</v>
      </c>
      <c r="J1040" s="10" t="s">
        <v>9653</v>
      </c>
      <c r="K1040" s="10" t="s">
        <v>9609</v>
      </c>
      <c r="L1040" s="10" t="s">
        <v>42</v>
      </c>
    </row>
    <row r="1041" ht="15.75" customHeight="1">
      <c r="A1041" s="64">
        <v>45487.0</v>
      </c>
      <c r="B1041" s="55" t="str">
        <f>HYPERLINK("https://jobright.ai/jobs/info/65e5cb20e8a32a09adfb553f?utm_campaign=1052&amp;utm_source=sheet", "Apply")</f>
        <v>Apply</v>
      </c>
      <c r="C1041" s="10" t="s">
        <v>9793</v>
      </c>
      <c r="D1041" s="56" t="s">
        <v>9607</v>
      </c>
      <c r="E1041" s="10" t="s">
        <v>45</v>
      </c>
      <c r="F1041" s="10" t="s">
        <v>722</v>
      </c>
      <c r="G1041" s="10" t="s">
        <v>9419</v>
      </c>
      <c r="H1041" s="10" t="s">
        <v>505</v>
      </c>
      <c r="I1041" s="10" t="s">
        <v>48</v>
      </c>
      <c r="J1041" s="10" t="s">
        <v>9653</v>
      </c>
      <c r="K1041" s="10" t="s">
        <v>9609</v>
      </c>
      <c r="L1041" s="10" t="s">
        <v>42</v>
      </c>
    </row>
    <row r="1042" ht="15.75" customHeight="1">
      <c r="A1042" s="64">
        <v>45487.0</v>
      </c>
      <c r="B1042" s="55" t="str">
        <f>HYPERLINK("https://jobright.ai/jobs/info/665732c7a080ed027835d523?utm_campaign=1052&amp;utm_source=sheet", "Apply")</f>
        <v>Apply</v>
      </c>
      <c r="C1042" s="10" t="s">
        <v>10910</v>
      </c>
      <c r="D1042" s="56" t="s">
        <v>533</v>
      </c>
      <c r="E1042" s="10" t="s">
        <v>209</v>
      </c>
      <c r="F1042" s="10" t="s">
        <v>534</v>
      </c>
      <c r="G1042" s="10" t="s">
        <v>9419</v>
      </c>
      <c r="H1042" s="10" t="s">
        <v>2380</v>
      </c>
      <c r="I1042" s="10" t="s">
        <v>48</v>
      </c>
      <c r="J1042" s="10" t="s">
        <v>10347</v>
      </c>
      <c r="K1042" s="10" t="s">
        <v>10378</v>
      </c>
      <c r="L1042" s="10" t="s">
        <v>42</v>
      </c>
    </row>
    <row r="1043" ht="15.75" customHeight="1">
      <c r="A1043" s="64">
        <v>45487.0</v>
      </c>
      <c r="B1043" s="55" t="str">
        <f>HYPERLINK("https://jobright.ai/jobs/info/65e5c30690f16fe0c3fcd6f1?utm_campaign=1052&amp;utm_source=sheet", "Apply")</f>
        <v>Apply</v>
      </c>
      <c r="C1043" s="10" t="s">
        <v>10911</v>
      </c>
      <c r="D1043" s="56" t="s">
        <v>9585</v>
      </c>
      <c r="E1043" s="10" t="s">
        <v>65</v>
      </c>
      <c r="F1043" s="10" t="s">
        <v>722</v>
      </c>
      <c r="G1043" s="10" t="s">
        <v>9419</v>
      </c>
      <c r="H1043" s="10" t="s">
        <v>935</v>
      </c>
      <c r="I1043" s="10" t="s">
        <v>55</v>
      </c>
      <c r="K1043" s="10" t="s">
        <v>9586</v>
      </c>
      <c r="L1043" s="10" t="s">
        <v>42</v>
      </c>
    </row>
    <row r="1044" ht="15.75" customHeight="1">
      <c r="A1044" s="64">
        <v>45487.0</v>
      </c>
      <c r="B1044" s="55" t="str">
        <f>HYPERLINK("https://jobright.ai/jobs/info/66911bc8fd200e8bbc3c061b?utm_campaign=1052&amp;utm_source=sheet", "Apply")</f>
        <v>Apply</v>
      </c>
      <c r="C1044" s="10" t="s">
        <v>10717</v>
      </c>
      <c r="D1044" s="56" t="s">
        <v>730</v>
      </c>
      <c r="E1044" s="10" t="s">
        <v>45</v>
      </c>
      <c r="F1044" s="10" t="s">
        <v>731</v>
      </c>
      <c r="G1044" s="10" t="s">
        <v>9414</v>
      </c>
      <c r="H1044" s="10" t="s">
        <v>918</v>
      </c>
      <c r="I1044" s="10" t="s">
        <v>55</v>
      </c>
      <c r="K1044" s="10" t="s">
        <v>10718</v>
      </c>
      <c r="L1044" s="10" t="s">
        <v>42</v>
      </c>
    </row>
    <row r="1045" ht="15.75" customHeight="1">
      <c r="A1045" s="64">
        <v>45487.0</v>
      </c>
      <c r="B1045" s="55" t="str">
        <f>HYPERLINK("https://jobright.ai/jobs/info/65f1a667a763019c694e3e1c?utm_campaign=1052&amp;utm_source=sheet", "Apply")</f>
        <v>Apply</v>
      </c>
      <c r="C1045" s="10" t="s">
        <v>10912</v>
      </c>
      <c r="D1045" s="56" t="s">
        <v>9581</v>
      </c>
      <c r="E1045" s="10" t="s">
        <v>65</v>
      </c>
      <c r="F1045" s="10" t="s">
        <v>722</v>
      </c>
      <c r="G1045" s="10" t="s">
        <v>9419</v>
      </c>
      <c r="H1045" s="10" t="s">
        <v>909</v>
      </c>
      <c r="I1045" s="10" t="s">
        <v>55</v>
      </c>
      <c r="J1045" s="10" t="s">
        <v>9582</v>
      </c>
      <c r="K1045" s="10" t="s">
        <v>9603</v>
      </c>
      <c r="L1045" s="10" t="s">
        <v>42</v>
      </c>
    </row>
    <row r="1046" ht="15.75" customHeight="1">
      <c r="A1046" s="64">
        <v>45487.0</v>
      </c>
      <c r="B1046" s="55" t="str">
        <f>HYPERLINK("https://jobright.ai/jobs/info/665b0abb20de66561f917566?utm_campaign=1052&amp;utm_source=sheet", "Apply")</f>
        <v>Apply</v>
      </c>
      <c r="C1046" s="10" t="s">
        <v>10750</v>
      </c>
      <c r="D1046" s="56" t="s">
        <v>730</v>
      </c>
      <c r="E1046" s="10" t="s">
        <v>45</v>
      </c>
      <c r="F1046" s="10" t="s">
        <v>731</v>
      </c>
      <c r="G1046" s="10" t="s">
        <v>9414</v>
      </c>
      <c r="H1046" s="10" t="s">
        <v>96</v>
      </c>
      <c r="I1046" s="10" t="s">
        <v>55</v>
      </c>
      <c r="K1046" s="10" t="s">
        <v>10751</v>
      </c>
      <c r="L1046" s="10" t="s">
        <v>42</v>
      </c>
    </row>
    <row r="1047" ht="15.75" customHeight="1">
      <c r="A1047" s="64">
        <v>45487.0</v>
      </c>
      <c r="B1047" s="55" t="str">
        <f>HYPERLINK("https://jobright.ai/jobs/info/66779787417c3aa48b86ee29?utm_campaign=1052&amp;utm_source=sheet", "Apply")</f>
        <v>Apply</v>
      </c>
      <c r="C1047" s="10" t="s">
        <v>10770</v>
      </c>
      <c r="D1047" s="56" t="s">
        <v>1846</v>
      </c>
      <c r="E1047" s="10" t="s">
        <v>45</v>
      </c>
      <c r="F1047" s="10" t="s">
        <v>1485</v>
      </c>
      <c r="G1047" s="10" t="s">
        <v>9419</v>
      </c>
      <c r="H1047" s="10" t="s">
        <v>154</v>
      </c>
      <c r="I1047" s="10" t="s">
        <v>55</v>
      </c>
      <c r="J1047" s="10" t="s">
        <v>10771</v>
      </c>
      <c r="K1047" s="10" t="s">
        <v>5365</v>
      </c>
      <c r="L1047" s="10" t="s">
        <v>42</v>
      </c>
    </row>
    <row r="1048" ht="15.75" customHeight="1">
      <c r="A1048" s="64">
        <v>45487.0</v>
      </c>
      <c r="B1048" s="55" t="str">
        <f>HYPERLINK("https://jobright.ai/jobs/info/662c443bb32e2a39772a3cf5?utm_campaign=1052&amp;utm_source=sheet", "Apply")</f>
        <v>Apply</v>
      </c>
      <c r="C1048" s="10" t="s">
        <v>9598</v>
      </c>
      <c r="D1048" s="56" t="s">
        <v>9467</v>
      </c>
      <c r="E1048" s="10" t="s">
        <v>45</v>
      </c>
      <c r="F1048" s="10" t="s">
        <v>9468</v>
      </c>
      <c r="G1048" s="10" t="s">
        <v>9414</v>
      </c>
      <c r="H1048" s="10" t="s">
        <v>113</v>
      </c>
      <c r="I1048" s="10" t="s">
        <v>55</v>
      </c>
      <c r="J1048" s="10" t="s">
        <v>9599</v>
      </c>
      <c r="K1048" s="10" t="s">
        <v>9600</v>
      </c>
      <c r="L1048" s="10" t="s">
        <v>42</v>
      </c>
    </row>
    <row r="1049" ht="15.75" customHeight="1">
      <c r="A1049" s="64">
        <v>45487.0</v>
      </c>
      <c r="B1049" s="55" t="str">
        <f>HYPERLINK("https://jobright.ai/jobs/info/667973338f20c6df6b899a62?utm_campaign=1052&amp;utm_source=sheet", "Apply")</f>
        <v>Apply</v>
      </c>
      <c r="C1049" s="10" t="s">
        <v>10717</v>
      </c>
      <c r="D1049" s="56" t="s">
        <v>730</v>
      </c>
      <c r="E1049" s="10" t="s">
        <v>45</v>
      </c>
      <c r="F1049" s="10" t="s">
        <v>731</v>
      </c>
      <c r="G1049" s="10" t="s">
        <v>9414</v>
      </c>
      <c r="H1049" s="10" t="s">
        <v>153</v>
      </c>
      <c r="I1049" s="10" t="s">
        <v>55</v>
      </c>
      <c r="J1049" s="64"/>
      <c r="K1049" s="10" t="s">
        <v>10718</v>
      </c>
      <c r="L1049" s="10" t="s">
        <v>42</v>
      </c>
    </row>
    <row r="1050" ht="15.75" customHeight="1">
      <c r="A1050" s="64">
        <v>45487.0</v>
      </c>
      <c r="B1050" s="55" t="str">
        <f>HYPERLINK("https://jobright.ai/jobs/info/665b099d18ab3d9c47da9849?utm_campaign=1052&amp;utm_source=sheet", "Apply")</f>
        <v>Apply</v>
      </c>
      <c r="C1050" s="10" t="s">
        <v>10703</v>
      </c>
      <c r="D1050" s="56" t="s">
        <v>730</v>
      </c>
      <c r="E1050" s="10" t="s">
        <v>45</v>
      </c>
      <c r="F1050" s="10" t="s">
        <v>731</v>
      </c>
      <c r="G1050" s="10" t="s">
        <v>9419</v>
      </c>
      <c r="H1050" s="10" t="s">
        <v>927</v>
      </c>
      <c r="I1050" s="10" t="s">
        <v>55</v>
      </c>
      <c r="K1050" s="10" t="s">
        <v>10704</v>
      </c>
      <c r="L1050" s="10" t="s">
        <v>42</v>
      </c>
    </row>
    <row r="1051" ht="15.75" customHeight="1">
      <c r="A1051" s="64">
        <v>45487.0</v>
      </c>
      <c r="B1051" s="55" t="str">
        <f>HYPERLINK("https://jobright.ai/jobs/info/66173580de4e59e1513867df?utm_campaign=1052&amp;utm_source=sheet", "Apply")</f>
        <v>Apply</v>
      </c>
      <c r="C1051" s="10" t="s">
        <v>10913</v>
      </c>
      <c r="D1051" s="56" t="s">
        <v>533</v>
      </c>
      <c r="E1051" s="10" t="s">
        <v>209</v>
      </c>
      <c r="F1051" s="10" t="s">
        <v>534</v>
      </c>
      <c r="G1051" s="10" t="s">
        <v>9419</v>
      </c>
      <c r="H1051" s="10" t="s">
        <v>131</v>
      </c>
      <c r="I1051" s="10" t="s">
        <v>48</v>
      </c>
      <c r="J1051" s="10" t="s">
        <v>10347</v>
      </c>
      <c r="K1051" s="10" t="s">
        <v>10382</v>
      </c>
      <c r="L1051" s="10" t="s">
        <v>42</v>
      </c>
    </row>
    <row r="1052" ht="15.75" customHeight="1">
      <c r="A1052" s="64">
        <v>45487.0</v>
      </c>
      <c r="B1052" s="55" t="str">
        <f>HYPERLINK("https://jobright.ai/jobs/info/65d0af7b67217ce3c3d2c1dc?utm_campaign=1052&amp;utm_source=sheet", "Apply")</f>
        <v>Apply</v>
      </c>
      <c r="C1052" s="10" t="s">
        <v>10914</v>
      </c>
      <c r="D1052" s="56" t="s">
        <v>2763</v>
      </c>
      <c r="E1052" s="10" t="s">
        <v>45</v>
      </c>
      <c r="F1052" s="10" t="s">
        <v>1465</v>
      </c>
      <c r="G1052" s="10" t="s">
        <v>1159</v>
      </c>
      <c r="H1052" s="10" t="s">
        <v>2831</v>
      </c>
      <c r="I1052" s="10" t="s">
        <v>55</v>
      </c>
      <c r="J1052" s="10" t="s">
        <v>9635</v>
      </c>
      <c r="K1052" s="10" t="s">
        <v>9636</v>
      </c>
      <c r="L1052" s="10" t="s">
        <v>42</v>
      </c>
    </row>
    <row r="1053" ht="15.75" customHeight="1">
      <c r="A1053" s="64">
        <v>45487.0</v>
      </c>
      <c r="B1053" s="55" t="str">
        <f>HYPERLINK("https://jobright.ai/jobs/info/664dc46428f18f25bfe79ce4?utm_campaign=1052&amp;utm_source=sheet", "Apply")</f>
        <v>Apply</v>
      </c>
      <c r="C1053" s="10" t="s">
        <v>9652</v>
      </c>
      <c r="D1053" s="56" t="s">
        <v>9607</v>
      </c>
      <c r="E1053" s="10" t="s">
        <v>45</v>
      </c>
      <c r="F1053" s="10" t="s">
        <v>722</v>
      </c>
      <c r="G1053" s="10" t="s">
        <v>9419</v>
      </c>
      <c r="H1053" s="10" t="s">
        <v>154</v>
      </c>
      <c r="I1053" s="10" t="s">
        <v>48</v>
      </c>
      <c r="J1053" s="10" t="s">
        <v>9653</v>
      </c>
      <c r="K1053" s="10" t="s">
        <v>9654</v>
      </c>
      <c r="L1053" s="10" t="s">
        <v>42</v>
      </c>
    </row>
    <row r="1054" ht="15.75" customHeight="1">
      <c r="A1054" s="64">
        <v>45487.0</v>
      </c>
      <c r="B1054" s="55" t="str">
        <f>HYPERLINK("https://jobright.ai/jobs/info/65e5c72e8e384481947d779b?utm_campaign=1052&amp;utm_source=sheet", "Apply")</f>
        <v>Apply</v>
      </c>
      <c r="C1054" s="10" t="s">
        <v>9793</v>
      </c>
      <c r="D1054" s="56" t="s">
        <v>9607</v>
      </c>
      <c r="E1054" s="10" t="s">
        <v>45</v>
      </c>
      <c r="F1054" s="10" t="s">
        <v>722</v>
      </c>
      <c r="G1054" s="10" t="s">
        <v>9419</v>
      </c>
      <c r="H1054" s="10" t="s">
        <v>1022</v>
      </c>
      <c r="I1054" s="10" t="s">
        <v>48</v>
      </c>
      <c r="J1054" s="10" t="s">
        <v>10769</v>
      </c>
      <c r="K1054" s="10" t="s">
        <v>9609</v>
      </c>
      <c r="L1054" s="10" t="s">
        <v>42</v>
      </c>
    </row>
    <row r="1055" ht="15.75" customHeight="1">
      <c r="A1055" s="64">
        <v>45487.0</v>
      </c>
      <c r="B1055" s="55" t="str">
        <f>HYPERLINK("https://jobright.ai/jobs/info/66150c21186d98798e6efafa?utm_campaign=1052&amp;utm_source=sheet", "Apply")</f>
        <v>Apply</v>
      </c>
      <c r="C1055" s="10" t="s">
        <v>10915</v>
      </c>
      <c r="D1055" s="56" t="s">
        <v>533</v>
      </c>
      <c r="E1055" s="10" t="s">
        <v>209</v>
      </c>
      <c r="F1055" s="10" t="s">
        <v>534</v>
      </c>
      <c r="G1055" s="10" t="s">
        <v>9419</v>
      </c>
      <c r="H1055" s="10" t="s">
        <v>354</v>
      </c>
      <c r="I1055" s="10" t="s">
        <v>48</v>
      </c>
      <c r="J1055" s="10" t="s">
        <v>10347</v>
      </c>
      <c r="K1055" s="10" t="s">
        <v>10378</v>
      </c>
      <c r="L1055" s="10" t="s">
        <v>42</v>
      </c>
    </row>
    <row r="1056" ht="15.75" customHeight="1">
      <c r="A1056" s="64">
        <v>45487.0</v>
      </c>
      <c r="B1056" s="55" t="str">
        <f>HYPERLINK("https://jobright.ai/jobs/info/666affed02826848dc7fafeb?utm_campaign=1052&amp;utm_source=sheet", "Apply")</f>
        <v>Apply</v>
      </c>
      <c r="C1056" s="10" t="s">
        <v>10916</v>
      </c>
      <c r="D1056" s="56" t="s">
        <v>9581</v>
      </c>
      <c r="E1056" s="10" t="s">
        <v>65</v>
      </c>
      <c r="F1056" s="10" t="s">
        <v>722</v>
      </c>
      <c r="G1056" s="10" t="s">
        <v>9419</v>
      </c>
      <c r="H1056" s="10" t="s">
        <v>245</v>
      </c>
      <c r="I1056" s="10" t="s">
        <v>55</v>
      </c>
      <c r="J1056" s="10" t="s">
        <v>9582</v>
      </c>
      <c r="K1056" s="10" t="s">
        <v>9583</v>
      </c>
      <c r="L1056" s="10" t="s">
        <v>42</v>
      </c>
    </row>
    <row r="1057" ht="15.75" customHeight="1">
      <c r="A1057" s="64">
        <v>45487.0</v>
      </c>
      <c r="B1057" s="55" t="str">
        <f>HYPERLINK("https://jobright.ai/jobs/info/6677fc0f59f5d0e37fac58f5?utm_campaign=1052&amp;utm_source=sheet", "Apply")</f>
        <v>Apply</v>
      </c>
      <c r="C1057" s="10" t="s">
        <v>10917</v>
      </c>
      <c r="D1057" s="56" t="s">
        <v>533</v>
      </c>
      <c r="E1057" s="10" t="s">
        <v>209</v>
      </c>
      <c r="F1057" s="10" t="s">
        <v>534</v>
      </c>
      <c r="G1057" s="10" t="s">
        <v>9419</v>
      </c>
      <c r="H1057" s="10" t="s">
        <v>860</v>
      </c>
      <c r="I1057" s="10" t="s">
        <v>48</v>
      </c>
      <c r="J1057" s="10" t="s">
        <v>535</v>
      </c>
      <c r="K1057" s="10" t="s">
        <v>9597</v>
      </c>
      <c r="L1057" s="10" t="s">
        <v>42</v>
      </c>
    </row>
    <row r="1058" ht="15.75" customHeight="1">
      <c r="A1058" s="64">
        <v>45487.0</v>
      </c>
      <c r="B1058" s="55" t="str">
        <f>HYPERLINK("https://jobright.ai/jobs/info/6676c6a5807f31af720776c1?utm_campaign=1052&amp;utm_source=sheet", "Apply")</f>
        <v>Apply</v>
      </c>
      <c r="C1058" s="10" t="s">
        <v>10918</v>
      </c>
      <c r="D1058" s="56" t="s">
        <v>9581</v>
      </c>
      <c r="E1058" s="10" t="s">
        <v>65</v>
      </c>
      <c r="F1058" s="10" t="s">
        <v>722</v>
      </c>
      <c r="G1058" s="10" t="s">
        <v>9419</v>
      </c>
      <c r="H1058" s="10" t="s">
        <v>1028</v>
      </c>
      <c r="I1058" s="10" t="s">
        <v>55</v>
      </c>
      <c r="J1058" s="10" t="s">
        <v>9582</v>
      </c>
      <c r="K1058" s="10" t="s">
        <v>9603</v>
      </c>
      <c r="L1058" s="10" t="s">
        <v>42</v>
      </c>
    </row>
    <row r="1059" ht="15.75" customHeight="1">
      <c r="A1059" s="64">
        <v>45487.0</v>
      </c>
      <c r="B1059" s="55" t="str">
        <f>HYPERLINK("https://jobright.ai/jobs/info/667973438f20c6df6b899a85?utm_campaign=1052&amp;utm_source=sheet", "Apply")</f>
        <v>Apply</v>
      </c>
      <c r="C1059" s="10" t="s">
        <v>10919</v>
      </c>
      <c r="D1059" s="56" t="s">
        <v>10920</v>
      </c>
      <c r="E1059" s="10" t="s">
        <v>65</v>
      </c>
      <c r="F1059" s="10" t="s">
        <v>2122</v>
      </c>
      <c r="G1059" s="10" t="s">
        <v>9414</v>
      </c>
      <c r="H1059" s="10" t="s">
        <v>167</v>
      </c>
      <c r="I1059" s="10" t="s">
        <v>48</v>
      </c>
      <c r="K1059" s="10" t="s">
        <v>10921</v>
      </c>
      <c r="L1059" s="10" t="s">
        <v>42</v>
      </c>
    </row>
    <row r="1060" ht="15.75" customHeight="1">
      <c r="A1060" s="64">
        <v>45487.0</v>
      </c>
      <c r="B1060" s="55" t="str">
        <f>HYPERLINK("https://jobright.ai/jobs/info/6681455470de3afd9d608144?utm_campaign=1052&amp;utm_source=sheet", "Apply")</f>
        <v>Apply</v>
      </c>
      <c r="C1060" s="10" t="s">
        <v>10922</v>
      </c>
      <c r="D1060" s="56" t="s">
        <v>533</v>
      </c>
      <c r="E1060" s="10" t="s">
        <v>209</v>
      </c>
      <c r="F1060" s="10" t="s">
        <v>534</v>
      </c>
      <c r="G1060" s="10" t="s">
        <v>9419</v>
      </c>
      <c r="H1060" s="10" t="s">
        <v>153</v>
      </c>
      <c r="I1060" s="10" t="s">
        <v>48</v>
      </c>
      <c r="J1060" s="10" t="s">
        <v>10347</v>
      </c>
      <c r="K1060" s="10" t="s">
        <v>10378</v>
      </c>
      <c r="L1060" s="10" t="s">
        <v>42</v>
      </c>
    </row>
    <row r="1061" ht="15.75" customHeight="1">
      <c r="A1061" s="64">
        <v>45487.0</v>
      </c>
      <c r="B1061" s="55" t="str">
        <f>HYPERLINK("https://jobright.ai/jobs/info/6676bb759b9f24e2dbdc9f1b?utm_campaign=1052&amp;utm_source=sheet", "Apply")</f>
        <v>Apply</v>
      </c>
      <c r="C1061" s="10" t="s">
        <v>10884</v>
      </c>
      <c r="D1061" s="56" t="s">
        <v>533</v>
      </c>
      <c r="E1061" s="10" t="s">
        <v>209</v>
      </c>
      <c r="F1061" s="10" t="s">
        <v>534</v>
      </c>
      <c r="G1061" s="10" t="s">
        <v>9419</v>
      </c>
      <c r="H1061" s="10" t="s">
        <v>578</v>
      </c>
      <c r="I1061" s="10" t="s">
        <v>48</v>
      </c>
      <c r="J1061" s="10" t="s">
        <v>10724</v>
      </c>
      <c r="K1061" s="10" t="s">
        <v>9621</v>
      </c>
      <c r="L1061" s="10" t="s">
        <v>42</v>
      </c>
    </row>
    <row r="1062" ht="15.75" customHeight="1">
      <c r="A1062" s="64">
        <v>45487.0</v>
      </c>
      <c r="B1062" s="55" t="str">
        <f>HYPERLINK("https://jobright.ai/jobs/info/6656fd2f370b79848db906e0?utm_campaign=1052&amp;utm_source=sheet", "Apply")</f>
        <v>Apply</v>
      </c>
      <c r="C1062" s="10" t="s">
        <v>10923</v>
      </c>
      <c r="D1062" s="56" t="s">
        <v>9581</v>
      </c>
      <c r="E1062" s="10" t="s">
        <v>65</v>
      </c>
      <c r="F1062" s="10" t="s">
        <v>722</v>
      </c>
      <c r="G1062" s="10" t="s">
        <v>9419</v>
      </c>
      <c r="H1062" s="10" t="s">
        <v>636</v>
      </c>
      <c r="I1062" s="10" t="s">
        <v>55</v>
      </c>
      <c r="J1062" s="10" t="s">
        <v>9582</v>
      </c>
      <c r="K1062" s="10" t="s">
        <v>9603</v>
      </c>
      <c r="L1062" s="10" t="s">
        <v>42</v>
      </c>
    </row>
    <row r="1063" ht="15.75" customHeight="1">
      <c r="A1063" s="64">
        <v>45487.0</v>
      </c>
      <c r="B1063" s="55" t="str">
        <f>HYPERLINK("https://jobright.ai/jobs/info/65ec74da0ddcb6416d0f696c?utm_campaign=1052&amp;utm_source=sheet", "Apply")</f>
        <v>Apply</v>
      </c>
      <c r="C1063" s="10" t="s">
        <v>10924</v>
      </c>
      <c r="D1063" s="56" t="s">
        <v>9581</v>
      </c>
      <c r="E1063" s="10" t="s">
        <v>65</v>
      </c>
      <c r="F1063" s="10" t="s">
        <v>722</v>
      </c>
      <c r="G1063" s="10" t="s">
        <v>9419</v>
      </c>
      <c r="H1063" s="10" t="s">
        <v>1028</v>
      </c>
      <c r="I1063" s="10" t="s">
        <v>55</v>
      </c>
      <c r="K1063" s="10" t="s">
        <v>9603</v>
      </c>
      <c r="L1063" s="10" t="s">
        <v>42</v>
      </c>
    </row>
    <row r="1064" ht="15.75" customHeight="1">
      <c r="A1064" s="64">
        <v>45487.0</v>
      </c>
      <c r="B1064" s="55" t="str">
        <f>HYPERLINK("https://jobright.ai/jobs/info/664e10a710b4f1df2998260e?utm_campaign=1052&amp;utm_source=sheet", "Apply")</f>
        <v>Apply</v>
      </c>
      <c r="C1064" s="10" t="s">
        <v>10866</v>
      </c>
      <c r="D1064" s="56" t="s">
        <v>10925</v>
      </c>
      <c r="E1064" s="10" t="s">
        <v>65</v>
      </c>
      <c r="F1064" s="10" t="s">
        <v>10926</v>
      </c>
      <c r="G1064" s="10" t="s">
        <v>9414</v>
      </c>
      <c r="H1064" s="10" t="s">
        <v>915</v>
      </c>
      <c r="I1064" s="10" t="s">
        <v>55</v>
      </c>
      <c r="J1064" s="64"/>
      <c r="K1064" s="10" t="s">
        <v>10868</v>
      </c>
      <c r="L1064" s="10" t="s">
        <v>42</v>
      </c>
    </row>
    <row r="1065" ht="15.75" customHeight="1">
      <c r="A1065" s="64">
        <v>45487.0</v>
      </c>
      <c r="B1065" s="55" t="str">
        <f>HYPERLINK("https://jobright.ai/jobs/info/663eb0942bd91913184f6082?utm_campaign=1052&amp;utm_source=sheet", "Apply")</f>
        <v>Apply</v>
      </c>
      <c r="C1065" s="10" t="s">
        <v>10927</v>
      </c>
      <c r="D1065" s="56" t="s">
        <v>9607</v>
      </c>
      <c r="E1065" s="10" t="s">
        <v>45</v>
      </c>
      <c r="F1065" s="10" t="s">
        <v>722</v>
      </c>
      <c r="G1065" s="10" t="s">
        <v>9419</v>
      </c>
      <c r="H1065" s="10" t="s">
        <v>354</v>
      </c>
      <c r="I1065" s="10" t="s">
        <v>48</v>
      </c>
      <c r="J1065" s="10" t="s">
        <v>9641</v>
      </c>
      <c r="K1065" s="10" t="s">
        <v>9609</v>
      </c>
      <c r="L1065" s="10" t="s">
        <v>42</v>
      </c>
    </row>
    <row r="1066" ht="15.75" customHeight="1">
      <c r="A1066" s="64">
        <v>45487.0</v>
      </c>
      <c r="B1066" s="55" t="str">
        <f>HYPERLINK("https://jobright.ai/jobs/info/662b0cc50d8da8629c28d855?utm_campaign=1052&amp;utm_source=sheet", "Apply")</f>
        <v>Apply</v>
      </c>
      <c r="C1066" s="10" t="s">
        <v>10928</v>
      </c>
      <c r="D1066" s="56" t="s">
        <v>6305</v>
      </c>
      <c r="E1066" s="10" t="s">
        <v>209</v>
      </c>
      <c r="F1066" s="10" t="s">
        <v>6306</v>
      </c>
      <c r="G1066" s="10" t="s">
        <v>9419</v>
      </c>
      <c r="H1066" s="10" t="s">
        <v>799</v>
      </c>
      <c r="I1066" s="10" t="s">
        <v>55</v>
      </c>
      <c r="K1066" s="10" t="s">
        <v>10929</v>
      </c>
      <c r="L1066" s="10" t="s">
        <v>42</v>
      </c>
    </row>
    <row r="1067" ht="15.75" customHeight="1">
      <c r="A1067" s="64">
        <v>45487.0</v>
      </c>
      <c r="B1067" s="55" t="str">
        <f>HYPERLINK("https://jobright.ai/jobs/info/65e9b3ea28320a22ceb117b1?utm_campaign=1052&amp;utm_source=sheet", "Apply")</f>
        <v>Apply</v>
      </c>
      <c r="C1067" s="10" t="s">
        <v>10895</v>
      </c>
      <c r="D1067" s="56" t="s">
        <v>9607</v>
      </c>
      <c r="E1067" s="10" t="s">
        <v>45</v>
      </c>
      <c r="F1067" s="10" t="s">
        <v>722</v>
      </c>
      <c r="G1067" s="10" t="s">
        <v>9419</v>
      </c>
      <c r="H1067" s="10" t="s">
        <v>168</v>
      </c>
      <c r="I1067" s="10" t="s">
        <v>48</v>
      </c>
      <c r="J1067" s="10" t="s">
        <v>9653</v>
      </c>
      <c r="K1067" s="10" t="s">
        <v>9654</v>
      </c>
      <c r="L1067" s="10" t="s">
        <v>42</v>
      </c>
    </row>
    <row r="1068" ht="15.75" customHeight="1">
      <c r="A1068" s="64">
        <v>45487.0</v>
      </c>
      <c r="B1068" s="55" t="str">
        <f>HYPERLINK("https://jobright.ai/jobs/info/6676cfd2131cc9dd67df3832?utm_campaign=1052&amp;utm_source=sheet", "Apply")</f>
        <v>Apply</v>
      </c>
      <c r="C1068" s="10" t="s">
        <v>10930</v>
      </c>
      <c r="D1068" s="56" t="s">
        <v>9643</v>
      </c>
      <c r="E1068" s="10" t="s">
        <v>249</v>
      </c>
      <c r="F1068" s="10" t="s">
        <v>534</v>
      </c>
      <c r="G1068" s="10" t="s">
        <v>9419</v>
      </c>
      <c r="H1068" s="10" t="s">
        <v>10749</v>
      </c>
      <c r="I1068" s="10" t="s">
        <v>55</v>
      </c>
      <c r="K1068" s="10" t="s">
        <v>9645</v>
      </c>
      <c r="L1068" s="10" t="s">
        <v>42</v>
      </c>
    </row>
    <row r="1069" ht="15.75" customHeight="1">
      <c r="A1069" s="64">
        <v>45487.0</v>
      </c>
      <c r="B1069" s="55" t="str">
        <f>HYPERLINK("https://jobright.ai/jobs/info/6676bb809b9f24e2dbdca022?utm_campaign=1052&amp;utm_source=sheet", "Apply")</f>
        <v>Apply</v>
      </c>
      <c r="C1069" s="10" t="s">
        <v>10931</v>
      </c>
      <c r="D1069" s="56" t="s">
        <v>533</v>
      </c>
      <c r="E1069" s="10" t="s">
        <v>209</v>
      </c>
      <c r="F1069" s="10" t="s">
        <v>534</v>
      </c>
      <c r="G1069" s="10" t="s">
        <v>9419</v>
      </c>
      <c r="H1069" s="10" t="s">
        <v>571</v>
      </c>
      <c r="I1069" s="10" t="s">
        <v>48</v>
      </c>
      <c r="J1069" s="10" t="s">
        <v>10724</v>
      </c>
      <c r="K1069" s="10" t="s">
        <v>9621</v>
      </c>
      <c r="L1069" s="10" t="s">
        <v>42</v>
      </c>
    </row>
    <row r="1070" ht="15.75" customHeight="1">
      <c r="A1070" s="64">
        <v>45487.0</v>
      </c>
      <c r="B1070" s="55" t="str">
        <f>HYPERLINK("https://jobright.ai/jobs/info/6683e1debae33281754f45d9?utm_campaign=1052&amp;utm_source=sheet", "Apply")</f>
        <v>Apply</v>
      </c>
      <c r="C1070" s="10" t="s">
        <v>10932</v>
      </c>
      <c r="D1070" s="56" t="s">
        <v>533</v>
      </c>
      <c r="E1070" s="10" t="s">
        <v>209</v>
      </c>
      <c r="F1070" s="10" t="s">
        <v>534</v>
      </c>
      <c r="G1070" s="10" t="s">
        <v>9419</v>
      </c>
      <c r="H1070" s="10" t="s">
        <v>167</v>
      </c>
      <c r="I1070" s="10" t="s">
        <v>48</v>
      </c>
      <c r="J1070" s="10" t="s">
        <v>10347</v>
      </c>
      <c r="K1070" s="10" t="s">
        <v>10378</v>
      </c>
      <c r="L1070" s="10" t="s">
        <v>42</v>
      </c>
    </row>
    <row r="1071" ht="15.75" customHeight="1">
      <c r="A1071" s="64">
        <v>45487.0</v>
      </c>
      <c r="B1071" s="55" t="str">
        <f>HYPERLINK("https://jobright.ai/jobs/info/6676bb809b9f24e2dbdc9f9f?utm_campaign=1052&amp;utm_source=sheet", "Apply")</f>
        <v>Apply</v>
      </c>
      <c r="C1071" s="10" t="s">
        <v>10933</v>
      </c>
      <c r="D1071" s="56" t="s">
        <v>533</v>
      </c>
      <c r="E1071" s="10" t="s">
        <v>209</v>
      </c>
      <c r="F1071" s="10" t="s">
        <v>534</v>
      </c>
      <c r="G1071" s="10" t="s">
        <v>9419</v>
      </c>
      <c r="H1071" s="10" t="s">
        <v>2380</v>
      </c>
      <c r="I1071" s="10" t="s">
        <v>48</v>
      </c>
      <c r="J1071" s="10" t="s">
        <v>10347</v>
      </c>
      <c r="K1071" s="10" t="s">
        <v>10879</v>
      </c>
      <c r="L1071" s="10" t="s">
        <v>42</v>
      </c>
    </row>
    <row r="1072" ht="15.75" customHeight="1">
      <c r="A1072" s="64">
        <v>45487.0</v>
      </c>
      <c r="B1072" s="55" t="str">
        <f>HYPERLINK("https://jobright.ai/jobs/info/6677971a417c3aa48b86e79b?utm_campaign=1052&amp;utm_source=sheet", "Apply")</f>
        <v>Apply</v>
      </c>
      <c r="C1072" s="10" t="s">
        <v>10934</v>
      </c>
      <c r="D1072" s="56" t="s">
        <v>533</v>
      </c>
      <c r="E1072" s="10" t="s">
        <v>209</v>
      </c>
      <c r="F1072" s="10" t="s">
        <v>534</v>
      </c>
      <c r="G1072" s="10" t="s">
        <v>9419</v>
      </c>
      <c r="H1072" s="10" t="s">
        <v>354</v>
      </c>
      <c r="I1072" s="10" t="s">
        <v>48</v>
      </c>
      <c r="J1072" s="10" t="s">
        <v>535</v>
      </c>
      <c r="K1072" s="10" t="s">
        <v>9621</v>
      </c>
      <c r="L1072" s="10" t="s">
        <v>42</v>
      </c>
    </row>
    <row r="1073" ht="15.75" customHeight="1">
      <c r="A1073" s="64">
        <v>45487.0</v>
      </c>
      <c r="B1073" s="55" t="str">
        <f>HYPERLINK("https://jobright.ai/jobs/info/6677971a417c3aa48b86e738?utm_campaign=1052&amp;utm_source=sheet", "Apply")</f>
        <v>Apply</v>
      </c>
      <c r="C1073" s="10" t="s">
        <v>10935</v>
      </c>
      <c r="D1073" s="56" t="s">
        <v>533</v>
      </c>
      <c r="E1073" s="10" t="s">
        <v>209</v>
      </c>
      <c r="F1073" s="10" t="s">
        <v>534</v>
      </c>
      <c r="G1073" s="10" t="s">
        <v>9419</v>
      </c>
      <c r="H1073" s="10" t="s">
        <v>313</v>
      </c>
      <c r="I1073" s="10" t="s">
        <v>48</v>
      </c>
      <c r="J1073" s="10" t="s">
        <v>10347</v>
      </c>
      <c r="K1073" s="10" t="s">
        <v>10378</v>
      </c>
      <c r="L1073" s="10" t="s">
        <v>42</v>
      </c>
    </row>
    <row r="1074" ht="15.75" customHeight="1">
      <c r="A1074" s="64">
        <v>45487.0</v>
      </c>
      <c r="B1074" s="55" t="str">
        <f>HYPERLINK("https://jobright.ai/jobs/info/667489f6348c2efcd6aa3c49?utm_campaign=1052&amp;utm_source=sheet", "Apply")</f>
        <v>Apply</v>
      </c>
      <c r="C1074" s="10" t="s">
        <v>10936</v>
      </c>
      <c r="D1074" s="56" t="s">
        <v>9671</v>
      </c>
      <c r="E1074" s="10" t="s">
        <v>45</v>
      </c>
      <c r="F1074" s="10" t="s">
        <v>1084</v>
      </c>
      <c r="G1074" s="10" t="s">
        <v>9414</v>
      </c>
      <c r="H1074" s="10" t="s">
        <v>994</v>
      </c>
      <c r="I1074" s="10" t="s">
        <v>55</v>
      </c>
      <c r="J1074" s="10" t="s">
        <v>10937</v>
      </c>
      <c r="K1074" s="10" t="s">
        <v>10938</v>
      </c>
      <c r="L1074" s="10" t="s">
        <v>42</v>
      </c>
    </row>
    <row r="1075" ht="15.75" customHeight="1">
      <c r="A1075" s="64">
        <v>45487.0</v>
      </c>
      <c r="B1075" s="55" t="str">
        <f>HYPERLINK("https://jobright.ai/jobs/info/65ef02a9420854bcd73bd7d4?utm_campaign=1052&amp;utm_source=sheet", "Apply")</f>
        <v>Apply</v>
      </c>
      <c r="C1075" s="10" t="s">
        <v>10939</v>
      </c>
      <c r="D1075" s="56" t="s">
        <v>9581</v>
      </c>
      <c r="E1075" s="10" t="s">
        <v>65</v>
      </c>
      <c r="F1075" s="10" t="s">
        <v>722</v>
      </c>
      <c r="G1075" s="10" t="s">
        <v>9419</v>
      </c>
      <c r="H1075" s="10" t="s">
        <v>572</v>
      </c>
      <c r="I1075" s="10" t="s">
        <v>55</v>
      </c>
      <c r="J1075" s="10" t="s">
        <v>9582</v>
      </c>
      <c r="K1075" s="10" t="s">
        <v>9603</v>
      </c>
      <c r="L1075" s="10" t="s">
        <v>42</v>
      </c>
    </row>
    <row r="1076" ht="15.75" customHeight="1">
      <c r="A1076" s="64">
        <v>45487.0</v>
      </c>
      <c r="B1076" s="55" t="str">
        <f>HYPERLINK("https://jobright.ai/jobs/info/6679554a39ca2f81c43704be?utm_campaign=1052&amp;utm_source=sheet", "Apply")</f>
        <v>Apply</v>
      </c>
      <c r="C1076" s="10" t="s">
        <v>10940</v>
      </c>
      <c r="D1076" s="56" t="s">
        <v>730</v>
      </c>
      <c r="E1076" s="10" t="s">
        <v>45</v>
      </c>
      <c r="F1076" s="10" t="s">
        <v>731</v>
      </c>
      <c r="G1076" s="10" t="s">
        <v>9414</v>
      </c>
      <c r="H1076" s="10" t="s">
        <v>96</v>
      </c>
      <c r="I1076" s="10" t="s">
        <v>55</v>
      </c>
      <c r="K1076" s="10" t="s">
        <v>10941</v>
      </c>
      <c r="L1076" s="10" t="s">
        <v>42</v>
      </c>
    </row>
    <row r="1077" ht="15.75" customHeight="1">
      <c r="A1077" s="64">
        <v>45487.0</v>
      </c>
      <c r="B1077" s="55" t="str">
        <f>HYPERLINK("https://jobright.ai/jobs/info/65efacf4c517100ff2cd9007?utm_campaign=1052&amp;utm_source=sheet", "Apply")</f>
        <v>Apply</v>
      </c>
      <c r="C1077" s="10" t="s">
        <v>9634</v>
      </c>
      <c r="D1077" s="56" t="s">
        <v>2763</v>
      </c>
      <c r="E1077" s="10" t="s">
        <v>45</v>
      </c>
      <c r="F1077" s="10" t="s">
        <v>1465</v>
      </c>
      <c r="G1077" s="10" t="s">
        <v>1159</v>
      </c>
      <c r="H1077" s="10" t="s">
        <v>5963</v>
      </c>
      <c r="I1077" s="10" t="s">
        <v>55</v>
      </c>
      <c r="J1077" s="10" t="s">
        <v>9635</v>
      </c>
      <c r="K1077" s="10" t="s">
        <v>9636</v>
      </c>
      <c r="L1077" s="10" t="s">
        <v>42</v>
      </c>
    </row>
    <row r="1078" ht="15.75" customHeight="1">
      <c r="A1078" s="64">
        <v>45487.0</v>
      </c>
      <c r="B1078" s="55" t="str">
        <f>HYPERLINK("https://jobright.ai/jobs/info/65e5b6ee1509ce99a242a5fc?utm_campaign=1052&amp;utm_source=sheet", "Apply")</f>
        <v>Apply</v>
      </c>
      <c r="C1078" s="10" t="s">
        <v>9793</v>
      </c>
      <c r="D1078" s="56" t="s">
        <v>9607</v>
      </c>
      <c r="E1078" s="10" t="s">
        <v>45</v>
      </c>
      <c r="F1078" s="10" t="s">
        <v>722</v>
      </c>
      <c r="G1078" s="10" t="s">
        <v>9419</v>
      </c>
      <c r="H1078" s="10" t="s">
        <v>965</v>
      </c>
      <c r="I1078" s="10" t="s">
        <v>48</v>
      </c>
      <c r="J1078" s="10" t="s">
        <v>10769</v>
      </c>
      <c r="K1078" s="10" t="s">
        <v>9609</v>
      </c>
      <c r="L1078" s="10" t="s">
        <v>42</v>
      </c>
    </row>
    <row r="1079" ht="15.75" customHeight="1">
      <c r="A1079" s="64">
        <v>45487.0</v>
      </c>
      <c r="B1079" s="55" t="str">
        <f>HYPERLINK("https://jobright.ai/jobs/info/6679557139ca2f81c4370737?utm_campaign=1052&amp;utm_source=sheet", "Apply")</f>
        <v>Apply</v>
      </c>
      <c r="C1079" s="10" t="s">
        <v>10284</v>
      </c>
      <c r="D1079" s="56" t="s">
        <v>730</v>
      </c>
      <c r="E1079" s="10" t="s">
        <v>45</v>
      </c>
      <c r="F1079" s="10" t="s">
        <v>731</v>
      </c>
      <c r="G1079" s="10" t="s">
        <v>9414</v>
      </c>
      <c r="H1079" s="10" t="s">
        <v>154</v>
      </c>
      <c r="I1079" s="10" t="s">
        <v>55</v>
      </c>
      <c r="K1079" s="10" t="s">
        <v>10942</v>
      </c>
      <c r="L1079" s="10" t="s">
        <v>42</v>
      </c>
    </row>
    <row r="1080" ht="15.75" customHeight="1">
      <c r="A1080" s="64">
        <v>45487.0</v>
      </c>
      <c r="B1080" s="55" t="str">
        <f>HYPERLINK("https://jobright.ai/jobs/info/65e5c30690f16fe0c3fcd72e?utm_campaign=1052&amp;utm_source=sheet", "Apply")</f>
        <v>Apply</v>
      </c>
      <c r="C1080" s="10" t="s">
        <v>9793</v>
      </c>
      <c r="D1080" s="56" t="s">
        <v>9607</v>
      </c>
      <c r="E1080" s="10" t="s">
        <v>45</v>
      </c>
      <c r="F1080" s="10" t="s">
        <v>722</v>
      </c>
      <c r="G1080" s="10" t="s">
        <v>9419</v>
      </c>
      <c r="H1080" s="10" t="s">
        <v>2380</v>
      </c>
      <c r="I1080" s="10" t="s">
        <v>48</v>
      </c>
      <c r="J1080" s="10" t="s">
        <v>10798</v>
      </c>
      <c r="K1080" s="10" t="s">
        <v>9609</v>
      </c>
      <c r="L1080" s="10" t="s">
        <v>42</v>
      </c>
    </row>
    <row r="1081" ht="15.75" customHeight="1">
      <c r="A1081" s="64">
        <v>45487.0</v>
      </c>
      <c r="B1081" s="55" t="str">
        <f>HYPERLINK("https://jobright.ai/jobs/info/65e5cb28e8a32a09adfb55e4?utm_campaign=1052&amp;utm_source=sheet", "Apply")</f>
        <v>Apply</v>
      </c>
      <c r="C1081" s="10" t="s">
        <v>9535</v>
      </c>
      <c r="D1081" s="56" t="s">
        <v>9607</v>
      </c>
      <c r="E1081" s="10" t="s">
        <v>45</v>
      </c>
      <c r="F1081" s="10" t="s">
        <v>722</v>
      </c>
      <c r="G1081" s="10" t="s">
        <v>9419</v>
      </c>
      <c r="H1081" s="10" t="s">
        <v>1013</v>
      </c>
      <c r="I1081" s="10" t="s">
        <v>48</v>
      </c>
      <c r="J1081" s="10" t="s">
        <v>10769</v>
      </c>
      <c r="K1081" s="10" t="s">
        <v>9609</v>
      </c>
      <c r="L1081" s="10" t="s">
        <v>42</v>
      </c>
    </row>
    <row r="1082" ht="15.75" customHeight="1">
      <c r="A1082" s="64">
        <v>45487.0</v>
      </c>
      <c r="B1082" s="55" t="str">
        <f>HYPERLINK("https://jobright.ai/jobs/info/65efacf4c517100ff2cd9009?utm_campaign=1052&amp;utm_source=sheet", "Apply")</f>
        <v>Apply</v>
      </c>
      <c r="C1082" s="10" t="s">
        <v>9634</v>
      </c>
      <c r="D1082" s="56" t="s">
        <v>2763</v>
      </c>
      <c r="E1082" s="10" t="s">
        <v>45</v>
      </c>
      <c r="F1082" s="10" t="s">
        <v>1465</v>
      </c>
      <c r="G1082" s="10" t="s">
        <v>1159</v>
      </c>
      <c r="H1082" s="10" t="s">
        <v>3398</v>
      </c>
      <c r="I1082" s="10" t="s">
        <v>55</v>
      </c>
      <c r="J1082" s="10" t="s">
        <v>9635</v>
      </c>
      <c r="K1082" s="10" t="s">
        <v>9636</v>
      </c>
      <c r="L1082" s="10" t="s">
        <v>42</v>
      </c>
    </row>
    <row r="1083" ht="15.75" customHeight="1">
      <c r="A1083" s="64">
        <v>45487.0</v>
      </c>
      <c r="B1083" s="55" t="str">
        <f>HYPERLINK("https://jobright.ai/jobs/info/661efddc7bdb33be004805f3?utm_campaign=1052&amp;utm_source=sheet", "Apply")</f>
        <v>Apply</v>
      </c>
      <c r="C1083" s="10" t="s">
        <v>10943</v>
      </c>
      <c r="D1083" s="56" t="s">
        <v>9607</v>
      </c>
      <c r="E1083" s="10" t="s">
        <v>45</v>
      </c>
      <c r="F1083" s="10" t="s">
        <v>722</v>
      </c>
      <c r="G1083" s="10" t="s">
        <v>9419</v>
      </c>
      <c r="H1083" s="10" t="s">
        <v>578</v>
      </c>
      <c r="I1083" s="10" t="s">
        <v>48</v>
      </c>
      <c r="J1083" s="10" t="s">
        <v>10871</v>
      </c>
      <c r="K1083" s="10" t="s">
        <v>10944</v>
      </c>
      <c r="L1083" s="10" t="s">
        <v>42</v>
      </c>
    </row>
    <row r="1084" ht="15.75" customHeight="1">
      <c r="A1084" s="64">
        <v>45487.0</v>
      </c>
      <c r="B1084" s="55" t="str">
        <f>HYPERLINK("https://jobright.ai/jobs/info/65e5b6fa1509ce99a242a6af?utm_campaign=1052&amp;utm_source=sheet", "Apply")</f>
        <v>Apply</v>
      </c>
      <c r="C1084" s="10" t="s">
        <v>9535</v>
      </c>
      <c r="D1084" s="56" t="s">
        <v>9607</v>
      </c>
      <c r="E1084" s="10" t="s">
        <v>45</v>
      </c>
      <c r="F1084" s="10" t="s">
        <v>722</v>
      </c>
      <c r="G1084" s="10" t="s">
        <v>9419</v>
      </c>
      <c r="H1084" s="10" t="s">
        <v>411</v>
      </c>
      <c r="I1084" s="10" t="s">
        <v>48</v>
      </c>
      <c r="J1084" s="10" t="s">
        <v>260</v>
      </c>
      <c r="K1084" s="10" t="s">
        <v>9609</v>
      </c>
      <c r="L1084" s="10" t="s">
        <v>42</v>
      </c>
    </row>
    <row r="1085" ht="15.75" customHeight="1">
      <c r="A1085" s="64">
        <v>45487.0</v>
      </c>
      <c r="B1085" s="55" t="str">
        <f>HYPERLINK("https://jobright.ai/jobs/info/65efa097c947f63ccd7990e9?utm_campaign=1052&amp;utm_source=sheet", "Apply")</f>
        <v>Apply</v>
      </c>
      <c r="C1085" s="10" t="s">
        <v>9634</v>
      </c>
      <c r="D1085" s="56" t="s">
        <v>2763</v>
      </c>
      <c r="E1085" s="10" t="s">
        <v>45</v>
      </c>
      <c r="F1085" s="10" t="s">
        <v>1465</v>
      </c>
      <c r="G1085" s="10" t="s">
        <v>1159</v>
      </c>
      <c r="H1085" s="10" t="s">
        <v>6124</v>
      </c>
      <c r="I1085" s="10" t="s">
        <v>55</v>
      </c>
      <c r="J1085" s="10" t="s">
        <v>9635</v>
      </c>
      <c r="K1085" s="10" t="s">
        <v>9636</v>
      </c>
      <c r="L1085" s="10" t="s">
        <v>42</v>
      </c>
    </row>
    <row r="1086" ht="15.75" customHeight="1">
      <c r="A1086" s="64">
        <v>45487.0</v>
      </c>
      <c r="B1086" s="55" t="str">
        <f>HYPERLINK("https://jobright.ai/jobs/info/662c43a9b32e2a39772a2f5e?utm_campaign=1052&amp;utm_source=sheet", "Apply")</f>
        <v>Apply</v>
      </c>
      <c r="C1086" s="10" t="s">
        <v>10897</v>
      </c>
      <c r="D1086" s="56" t="s">
        <v>9607</v>
      </c>
      <c r="E1086" s="10" t="s">
        <v>45</v>
      </c>
      <c r="F1086" s="10" t="s">
        <v>722</v>
      </c>
      <c r="G1086" s="10" t="s">
        <v>9419</v>
      </c>
      <c r="H1086" s="10" t="s">
        <v>882</v>
      </c>
      <c r="I1086" s="10" t="s">
        <v>48</v>
      </c>
      <c r="J1086" s="10" t="s">
        <v>260</v>
      </c>
      <c r="K1086" s="10" t="s">
        <v>9609</v>
      </c>
      <c r="L1086" s="10" t="s">
        <v>42</v>
      </c>
    </row>
    <row r="1087" ht="15.75" customHeight="1">
      <c r="A1087" s="64">
        <v>45487.0</v>
      </c>
      <c r="B1087" s="55" t="str">
        <f>HYPERLINK("https://jobright.ai/jobs/info/662c43a9b32e2a39772a2f5f?utm_campaign=1052&amp;utm_source=sheet", "Apply")</f>
        <v>Apply</v>
      </c>
      <c r="C1087" s="10" t="s">
        <v>9618</v>
      </c>
      <c r="D1087" s="56" t="s">
        <v>9607</v>
      </c>
      <c r="E1087" s="10" t="s">
        <v>45</v>
      </c>
      <c r="F1087" s="10" t="s">
        <v>722</v>
      </c>
      <c r="G1087" s="10" t="s">
        <v>9419</v>
      </c>
      <c r="H1087" s="10" t="s">
        <v>153</v>
      </c>
      <c r="I1087" s="10" t="s">
        <v>48</v>
      </c>
      <c r="J1087" s="10" t="s">
        <v>9608</v>
      </c>
      <c r="K1087" s="10" t="s">
        <v>9609</v>
      </c>
      <c r="L1087" s="10" t="s">
        <v>42</v>
      </c>
    </row>
    <row r="1088" ht="15.75" customHeight="1">
      <c r="A1088" s="64">
        <v>45487.0</v>
      </c>
      <c r="B1088" s="55" t="str">
        <f>HYPERLINK("https://jobright.ai/jobs/info/65e5b6ee1509ce99a242a5e4?utm_campaign=1052&amp;utm_source=sheet", "Apply")</f>
        <v>Apply</v>
      </c>
      <c r="C1088" s="10" t="s">
        <v>9625</v>
      </c>
      <c r="D1088" s="56" t="s">
        <v>9607</v>
      </c>
      <c r="E1088" s="10" t="s">
        <v>45</v>
      </c>
      <c r="F1088" s="10" t="s">
        <v>722</v>
      </c>
      <c r="G1088" s="10" t="s">
        <v>9419</v>
      </c>
      <c r="H1088" s="10" t="s">
        <v>860</v>
      </c>
      <c r="I1088" s="10" t="s">
        <v>48</v>
      </c>
      <c r="J1088" s="10" t="s">
        <v>10769</v>
      </c>
      <c r="K1088" s="10" t="s">
        <v>9609</v>
      </c>
      <c r="L1088" s="10" t="s">
        <v>42</v>
      </c>
    </row>
    <row r="1089" ht="15.75" customHeight="1">
      <c r="A1089" s="64">
        <v>45487.0</v>
      </c>
      <c r="B1089" s="55" t="str">
        <f>HYPERLINK("https://jobright.ai/jobs/info/662c43a9b32e2a39772a2f56?utm_campaign=1052&amp;utm_source=sheet", "Apply")</f>
        <v>Apply</v>
      </c>
      <c r="C1089" s="10" t="s">
        <v>10897</v>
      </c>
      <c r="D1089" s="56" t="s">
        <v>9607</v>
      </c>
      <c r="E1089" s="10" t="s">
        <v>45</v>
      </c>
      <c r="F1089" s="10" t="s">
        <v>722</v>
      </c>
      <c r="G1089" s="10" t="s">
        <v>9419</v>
      </c>
      <c r="H1089" s="10" t="s">
        <v>153</v>
      </c>
      <c r="I1089" s="10" t="s">
        <v>48</v>
      </c>
      <c r="J1089" s="10" t="s">
        <v>9608</v>
      </c>
      <c r="K1089" s="10" t="s">
        <v>9609</v>
      </c>
      <c r="L1089" s="10" t="s">
        <v>42</v>
      </c>
    </row>
    <row r="1090" ht="15.75" customHeight="1">
      <c r="A1090" s="64">
        <v>45487.0</v>
      </c>
      <c r="B1090" s="55" t="str">
        <f>HYPERLINK("https://jobright.ai/jobs/info/65e5afd857f3ef314e817b53?utm_campaign=1052&amp;utm_source=sheet", "Apply")</f>
        <v>Apply</v>
      </c>
      <c r="C1090" s="10" t="s">
        <v>9535</v>
      </c>
      <c r="D1090" s="56" t="s">
        <v>9607</v>
      </c>
      <c r="E1090" s="10" t="s">
        <v>45</v>
      </c>
      <c r="F1090" s="10" t="s">
        <v>722</v>
      </c>
      <c r="G1090" s="10" t="s">
        <v>9419</v>
      </c>
      <c r="H1090" s="10" t="s">
        <v>167</v>
      </c>
      <c r="I1090" s="10" t="s">
        <v>48</v>
      </c>
      <c r="J1090" s="10" t="s">
        <v>9795</v>
      </c>
      <c r="K1090" s="10" t="s">
        <v>9609</v>
      </c>
      <c r="L1090" s="10" t="s">
        <v>42</v>
      </c>
    </row>
    <row r="1091" ht="15.75" customHeight="1">
      <c r="A1091" s="64">
        <v>45486.0</v>
      </c>
      <c r="B1091" s="55" t="str">
        <f>HYPERLINK("https://jobright.ai/jobs/info/669bcb1e434221017ea568f0?utm_campaign=1052&amp;utm_source=sheet", "Apply")</f>
        <v>Apply</v>
      </c>
      <c r="C1091" s="10" t="s">
        <v>10945</v>
      </c>
      <c r="D1091" s="56" t="s">
        <v>180</v>
      </c>
      <c r="E1091" s="10">
        <v>3092.0</v>
      </c>
      <c r="G1091" s="10" t="s">
        <v>9414</v>
      </c>
      <c r="H1091" s="10" t="s">
        <v>181</v>
      </c>
      <c r="I1091" s="10" t="s">
        <v>55</v>
      </c>
      <c r="K1091" s="10" t="s">
        <v>10716</v>
      </c>
      <c r="L1091" s="10" t="s">
        <v>42</v>
      </c>
    </row>
    <row r="1092" ht="15.75" customHeight="1">
      <c r="A1092" s="64">
        <v>45486.0</v>
      </c>
      <c r="B1092" s="55" t="str">
        <f>HYPERLINK("https://jobright.ai/jobs/info/6693d65a93305e3387c6ff8f?utm_campaign=1052&amp;utm_source=sheet", "Apply")</f>
        <v>Apply</v>
      </c>
      <c r="C1092" s="10" t="s">
        <v>10886</v>
      </c>
      <c r="D1092" s="56" t="s">
        <v>533</v>
      </c>
      <c r="E1092" s="10" t="s">
        <v>209</v>
      </c>
      <c r="F1092" s="10" t="s">
        <v>534</v>
      </c>
      <c r="G1092" s="10" t="s">
        <v>9419</v>
      </c>
      <c r="H1092" s="10" t="s">
        <v>10946</v>
      </c>
      <c r="I1092" s="10" t="s">
        <v>55</v>
      </c>
      <c r="J1092" s="10" t="s">
        <v>10724</v>
      </c>
      <c r="K1092" s="10" t="s">
        <v>9621</v>
      </c>
      <c r="L1092" s="10" t="s">
        <v>42</v>
      </c>
    </row>
    <row r="1093" ht="15.75" customHeight="1">
      <c r="A1093" s="64">
        <v>45486.0</v>
      </c>
      <c r="B1093" s="55" t="str">
        <f>HYPERLINK("https://jobright.ai/jobs/info/66908571b4c86371cca2204e?utm_campaign=1052&amp;utm_source=sheet", "Apply")</f>
        <v>Apply</v>
      </c>
      <c r="C1093" s="10" t="s">
        <v>10947</v>
      </c>
      <c r="D1093" s="56" t="s">
        <v>10948</v>
      </c>
      <c r="E1093" s="10" t="s">
        <v>249</v>
      </c>
      <c r="F1093" s="10" t="s">
        <v>5585</v>
      </c>
      <c r="G1093" s="10" t="s">
        <v>1159</v>
      </c>
      <c r="H1093" s="10" t="s">
        <v>10949</v>
      </c>
      <c r="I1093" s="10" t="s">
        <v>55</v>
      </c>
      <c r="K1093" s="10" t="s">
        <v>10950</v>
      </c>
      <c r="L1093" s="10" t="s">
        <v>42</v>
      </c>
    </row>
    <row r="1094" ht="15.75" customHeight="1">
      <c r="A1094" s="64">
        <v>45486.0</v>
      </c>
      <c r="B1094" s="55" t="str">
        <f>HYPERLINK("https://jobright.ai/jobs/info/669ba929b14cf70eadd8bb64?utm_campaign=1052&amp;utm_source=sheet", "Apply")</f>
        <v>Apply</v>
      </c>
      <c r="C1094" s="10" t="s">
        <v>10951</v>
      </c>
      <c r="D1094" s="56" t="s">
        <v>180</v>
      </c>
      <c r="E1094" s="10">
        <v>3092.0</v>
      </c>
      <c r="G1094" s="10" t="s">
        <v>9414</v>
      </c>
      <c r="H1094" s="10" t="s">
        <v>181</v>
      </c>
      <c r="I1094" s="10" t="s">
        <v>55</v>
      </c>
      <c r="K1094" s="10" t="s">
        <v>10952</v>
      </c>
      <c r="L1094" s="10" t="s">
        <v>42</v>
      </c>
    </row>
    <row r="1095" ht="15.75" customHeight="1">
      <c r="A1095" s="64">
        <v>45486.0</v>
      </c>
      <c r="B1095" s="55" t="str">
        <f>HYPERLINK("https://jobright.ai/jobs/info/669a51eddab13f5be2360f2b?utm_campaign=1052&amp;utm_source=sheet", "Apply")</f>
        <v>Apply</v>
      </c>
      <c r="C1095" s="10" t="s">
        <v>10953</v>
      </c>
      <c r="D1095" s="56" t="s">
        <v>9623</v>
      </c>
      <c r="E1095" s="10">
        <v>52219.0</v>
      </c>
      <c r="G1095" s="10" t="s">
        <v>9419</v>
      </c>
      <c r="H1095" s="10" t="s">
        <v>96</v>
      </c>
      <c r="I1095" s="10" t="s">
        <v>55</v>
      </c>
      <c r="J1095" s="64"/>
      <c r="K1095" s="10" t="s">
        <v>9624</v>
      </c>
      <c r="L1095" s="10" t="s">
        <v>42</v>
      </c>
    </row>
    <row r="1096" ht="15.75" customHeight="1">
      <c r="A1096" s="64">
        <v>45486.0</v>
      </c>
      <c r="B1096" s="55" t="str">
        <f>HYPERLINK("https://jobright.ai/jobs/info/6699004e3ff35d25bbba3a80?utm_campaign=1052&amp;utm_source=sheet", "Apply")</f>
        <v>Apply</v>
      </c>
      <c r="C1096" s="10" t="s">
        <v>10954</v>
      </c>
      <c r="D1096" s="56" t="s">
        <v>9578</v>
      </c>
      <c r="E1096" s="10" t="s">
        <v>65</v>
      </c>
      <c r="F1096" s="10" t="s">
        <v>722</v>
      </c>
      <c r="G1096" s="10" t="s">
        <v>1159</v>
      </c>
      <c r="H1096" s="10" t="s">
        <v>975</v>
      </c>
      <c r="I1096" s="10" t="s">
        <v>55</v>
      </c>
      <c r="J1096" s="64"/>
      <c r="K1096" s="10" t="s">
        <v>10714</v>
      </c>
      <c r="L1096" s="10" t="s">
        <v>42</v>
      </c>
    </row>
    <row r="1097" ht="15.75" customHeight="1">
      <c r="A1097" s="64">
        <v>45486.0</v>
      </c>
      <c r="B1097" s="55" t="str">
        <f>HYPERLINK("https://jobright.ai/jobs/info/6695077099570c6e6fd3ec7b?utm_campaign=1052&amp;utm_source=sheet", "Apply")</f>
        <v>Apply</v>
      </c>
      <c r="C1097" s="10" t="s">
        <v>9590</v>
      </c>
      <c r="D1097" s="56" t="s">
        <v>9591</v>
      </c>
      <c r="E1097" s="10" t="s">
        <v>209</v>
      </c>
      <c r="F1097" s="10" t="s">
        <v>534</v>
      </c>
      <c r="G1097" s="10" t="s">
        <v>9419</v>
      </c>
      <c r="H1097" s="10" t="s">
        <v>434</v>
      </c>
      <c r="I1097" s="10" t="s">
        <v>55</v>
      </c>
      <c r="J1097" s="10" t="s">
        <v>10955</v>
      </c>
      <c r="K1097" s="10" t="s">
        <v>10956</v>
      </c>
      <c r="L1097" s="10" t="s">
        <v>42</v>
      </c>
    </row>
    <row r="1098" ht="15.75" customHeight="1">
      <c r="A1098" s="64">
        <v>45486.0</v>
      </c>
      <c r="B1098" s="55" t="str">
        <f>HYPERLINK("https://jobright.ai/jobs/info/6697aa36ee7554243ee9e9dc?utm_campaign=1052&amp;utm_source=sheet", "Apply")</f>
        <v>Apply</v>
      </c>
      <c r="C1098" s="10" t="s">
        <v>10957</v>
      </c>
      <c r="D1098" s="56" t="s">
        <v>9567</v>
      </c>
      <c r="E1098" s="10" t="s">
        <v>45</v>
      </c>
      <c r="F1098" s="10" t="s">
        <v>9568</v>
      </c>
      <c r="G1098" s="10" t="s">
        <v>9414</v>
      </c>
      <c r="H1098" s="10" t="s">
        <v>153</v>
      </c>
      <c r="I1098" s="10" t="s">
        <v>48</v>
      </c>
      <c r="J1098" s="10" t="s">
        <v>10958</v>
      </c>
      <c r="K1098" s="10" t="s">
        <v>10959</v>
      </c>
      <c r="L1098" s="10" t="s">
        <v>42</v>
      </c>
    </row>
    <row r="1099" ht="15.75" customHeight="1">
      <c r="A1099" s="64">
        <v>45486.0</v>
      </c>
      <c r="B1099" s="55" t="str">
        <f>HYPERLINK("https://jobright.ai/jobs/info/669a490c604a90a16ea28245?utm_campaign=1052&amp;utm_source=sheet", "Apply")</f>
        <v>Apply</v>
      </c>
      <c r="C1099" s="10" t="s">
        <v>10960</v>
      </c>
      <c r="D1099" s="56" t="s">
        <v>10961</v>
      </c>
      <c r="E1099" s="10" t="s">
        <v>249</v>
      </c>
      <c r="F1099" s="10" t="s">
        <v>1084</v>
      </c>
      <c r="G1099" s="10" t="s">
        <v>9414</v>
      </c>
      <c r="H1099" s="10" t="s">
        <v>1254</v>
      </c>
      <c r="I1099" s="10" t="s">
        <v>55</v>
      </c>
      <c r="J1099" s="10" t="s">
        <v>10962</v>
      </c>
      <c r="K1099" s="10" t="s">
        <v>10963</v>
      </c>
      <c r="L1099" s="10" t="s">
        <v>42</v>
      </c>
    </row>
    <row r="1100" ht="15.75" customHeight="1">
      <c r="A1100" s="64">
        <v>45486.0</v>
      </c>
      <c r="B1100" s="55" t="str">
        <f>HYPERLINK("https://jobright.ai/jobs/info/6698f4d6d17475741a46242a?utm_campaign=1052&amp;utm_source=sheet", "Apply")</f>
        <v>Apply</v>
      </c>
      <c r="C1100" s="10" t="s">
        <v>10594</v>
      </c>
      <c r="D1100" s="56" t="s">
        <v>9578</v>
      </c>
      <c r="E1100" s="10" t="s">
        <v>65</v>
      </c>
      <c r="F1100" s="10" t="s">
        <v>722</v>
      </c>
      <c r="G1100" s="10" t="s">
        <v>1159</v>
      </c>
      <c r="H1100" s="10" t="s">
        <v>6668</v>
      </c>
      <c r="I1100" s="10" t="s">
        <v>55</v>
      </c>
      <c r="J1100" s="64"/>
      <c r="K1100" s="10" t="s">
        <v>10964</v>
      </c>
      <c r="L1100" s="10" t="s">
        <v>42</v>
      </c>
    </row>
    <row r="1101" ht="15.75" customHeight="1">
      <c r="A1101" s="64">
        <v>45486.0</v>
      </c>
      <c r="B1101" s="55" t="str">
        <f>HYPERLINK("https://jobright.ai/jobs/info/65efaca1c517100ff2cd8a36?utm_campaign=1052&amp;utm_source=sheet", "Apply")</f>
        <v>Apply</v>
      </c>
      <c r="C1101" s="10" t="s">
        <v>10965</v>
      </c>
      <c r="D1101" s="56" t="s">
        <v>10097</v>
      </c>
      <c r="E1101" s="10" t="s">
        <v>249</v>
      </c>
      <c r="F1101" s="10" t="s">
        <v>1159</v>
      </c>
      <c r="G1101" s="10" t="s">
        <v>9419</v>
      </c>
      <c r="H1101" s="10" t="s">
        <v>843</v>
      </c>
      <c r="I1101" s="10" t="s">
        <v>55</v>
      </c>
      <c r="K1101" s="10" t="s">
        <v>10966</v>
      </c>
      <c r="L1101" s="10" t="s">
        <v>42</v>
      </c>
    </row>
    <row r="1102" ht="15.75" customHeight="1">
      <c r="A1102" s="64">
        <v>45486.0</v>
      </c>
      <c r="B1102" s="55" t="str">
        <f>HYPERLINK("https://jobright.ai/jobs/info/664ea5c24e197fc8adcf76f3?utm_campaign=1052&amp;utm_source=sheet", "Apply")</f>
        <v>Apply</v>
      </c>
      <c r="C1102" s="10" t="s">
        <v>10967</v>
      </c>
      <c r="D1102" s="56" t="s">
        <v>10215</v>
      </c>
      <c r="E1102" s="10" t="s">
        <v>249</v>
      </c>
      <c r="F1102" s="10" t="s">
        <v>10216</v>
      </c>
      <c r="G1102" s="10" t="s">
        <v>1159</v>
      </c>
      <c r="H1102" s="10" t="s">
        <v>10432</v>
      </c>
      <c r="I1102" s="10" t="s">
        <v>48</v>
      </c>
      <c r="J1102" s="64"/>
      <c r="K1102" s="10" t="s">
        <v>10968</v>
      </c>
      <c r="L1102" s="10" t="s">
        <v>42</v>
      </c>
    </row>
    <row r="1103" ht="15.75" customHeight="1">
      <c r="A1103" s="64">
        <v>45486.0</v>
      </c>
      <c r="B1103" s="55" t="str">
        <f>HYPERLINK("https://jobright.ai/jobs/info/65c4f80f28ec3f166fb3c295?utm_campaign=1052&amp;utm_source=sheet", "Apply")</f>
        <v>Apply</v>
      </c>
      <c r="C1103" s="10" t="s">
        <v>9627</v>
      </c>
      <c r="D1103" s="56" t="s">
        <v>9628</v>
      </c>
      <c r="E1103" s="10" t="s">
        <v>79</v>
      </c>
      <c r="F1103" s="10" t="s">
        <v>9629</v>
      </c>
      <c r="G1103" s="10" t="s">
        <v>1159</v>
      </c>
      <c r="H1103" s="10" t="s">
        <v>245</v>
      </c>
      <c r="I1103" s="10" t="s">
        <v>55</v>
      </c>
      <c r="K1103" s="10" t="s">
        <v>9630</v>
      </c>
      <c r="L1103" s="10" t="s">
        <v>42</v>
      </c>
    </row>
    <row r="1104" ht="15.75" customHeight="1">
      <c r="A1104" s="64">
        <v>45486.0</v>
      </c>
      <c r="B1104" s="55" t="str">
        <f>HYPERLINK("https://jobright.ai/jobs/info/65da2678139ef348cfe515ac?utm_campaign=1052&amp;utm_source=sheet", "Apply")</f>
        <v>Apply</v>
      </c>
      <c r="C1104" s="10" t="s">
        <v>9627</v>
      </c>
      <c r="D1104" s="56" t="s">
        <v>9628</v>
      </c>
      <c r="E1104" s="10" t="s">
        <v>79</v>
      </c>
      <c r="F1104" s="10" t="s">
        <v>9629</v>
      </c>
      <c r="G1104" s="10" t="s">
        <v>1159</v>
      </c>
      <c r="H1104" s="10" t="s">
        <v>10038</v>
      </c>
      <c r="I1104" s="10" t="s">
        <v>55</v>
      </c>
      <c r="K1104" s="10" t="s">
        <v>9630</v>
      </c>
      <c r="L1104" s="10" t="s">
        <v>42</v>
      </c>
    </row>
    <row r="1105" ht="15.75" customHeight="1">
      <c r="A1105" s="64">
        <v>45486.0</v>
      </c>
      <c r="B1105" s="55" t="str">
        <f>HYPERLINK("https://jobright.ai/jobs/info/66761524e5fc016086b1c463?utm_campaign=1052&amp;utm_source=sheet", "Apply")</f>
        <v>Apply</v>
      </c>
      <c r="C1105" s="10" t="s">
        <v>10594</v>
      </c>
      <c r="D1105" s="56" t="s">
        <v>9578</v>
      </c>
      <c r="E1105" s="10" t="s">
        <v>65</v>
      </c>
      <c r="F1105" s="10" t="s">
        <v>722</v>
      </c>
      <c r="G1105" s="10" t="s">
        <v>1159</v>
      </c>
      <c r="H1105" s="10" t="s">
        <v>10629</v>
      </c>
      <c r="I1105" s="10" t="s">
        <v>55</v>
      </c>
      <c r="K1105" s="10" t="s">
        <v>10964</v>
      </c>
      <c r="L1105" s="10" t="s">
        <v>42</v>
      </c>
    </row>
    <row r="1106" ht="15.75" customHeight="1">
      <c r="A1106" s="64">
        <v>45486.0</v>
      </c>
      <c r="B1106" s="55" t="str">
        <f>HYPERLINK("https://jobright.ai/jobs/info/664e366d5ea75b6f96bede35?utm_campaign=1052&amp;utm_source=sheet", "Apply")</f>
        <v>Apply</v>
      </c>
      <c r="C1106" s="10" t="s">
        <v>10969</v>
      </c>
      <c r="D1106" s="56" t="s">
        <v>8233</v>
      </c>
      <c r="E1106" s="10">
        <v>8937.0</v>
      </c>
      <c r="G1106" s="10" t="s">
        <v>9419</v>
      </c>
      <c r="H1106" s="10" t="s">
        <v>117</v>
      </c>
      <c r="I1106" s="10" t="s">
        <v>48</v>
      </c>
      <c r="K1106" s="10" t="s">
        <v>10970</v>
      </c>
      <c r="L1106" s="10" t="s">
        <v>42</v>
      </c>
    </row>
    <row r="1107" ht="15.75" customHeight="1">
      <c r="A1107" s="64">
        <v>45486.0</v>
      </c>
      <c r="B1107" s="55" t="str">
        <f>HYPERLINK("https://jobright.ai/jobs/info/6676d5311d12b0825938344f?utm_campaign=1052&amp;utm_source=sheet", "Apply")</f>
        <v>Apply</v>
      </c>
      <c r="C1107" s="10" t="s">
        <v>10770</v>
      </c>
      <c r="D1107" s="56" t="s">
        <v>1846</v>
      </c>
      <c r="E1107" s="10" t="s">
        <v>45</v>
      </c>
      <c r="F1107" s="10" t="s">
        <v>1485</v>
      </c>
      <c r="G1107" s="10" t="s">
        <v>9419</v>
      </c>
      <c r="H1107" s="10" t="s">
        <v>96</v>
      </c>
      <c r="I1107" s="10" t="s">
        <v>55</v>
      </c>
      <c r="J1107" s="10" t="s">
        <v>10771</v>
      </c>
      <c r="K1107" s="10" t="s">
        <v>5365</v>
      </c>
      <c r="L1107" s="10" t="s">
        <v>42</v>
      </c>
    </row>
    <row r="1108" ht="15.75" customHeight="1">
      <c r="A1108" s="64">
        <v>45486.0</v>
      </c>
      <c r="B1108" s="55" t="str">
        <f>HYPERLINK("https://jobright.ai/jobs/info/664e35f35ea75b6f96bed42b?utm_campaign=1052&amp;utm_source=sheet", "Apply")</f>
        <v>Apply</v>
      </c>
      <c r="C1108" s="10" t="s">
        <v>10594</v>
      </c>
      <c r="D1108" s="56" t="s">
        <v>9578</v>
      </c>
      <c r="E1108" s="10" t="s">
        <v>65</v>
      </c>
      <c r="F1108" s="10" t="s">
        <v>722</v>
      </c>
      <c r="G1108" s="10" t="s">
        <v>1159</v>
      </c>
      <c r="H1108" s="10" t="s">
        <v>975</v>
      </c>
      <c r="I1108" s="10" t="s">
        <v>55</v>
      </c>
      <c r="K1108" s="10" t="s">
        <v>10714</v>
      </c>
      <c r="L1108" s="10" t="s">
        <v>42</v>
      </c>
    </row>
    <row r="1109" ht="15.75" customHeight="1">
      <c r="A1109" s="64">
        <v>45486.0</v>
      </c>
      <c r="B1109" s="55" t="str">
        <f>HYPERLINK("https://jobright.ai/jobs/info/6692ace33903252ea5039f86?utm_campaign=1052&amp;utm_source=sheet", "Apply")</f>
        <v>Apply</v>
      </c>
      <c r="C1109" s="10" t="s">
        <v>10594</v>
      </c>
      <c r="D1109" s="56" t="s">
        <v>9578</v>
      </c>
      <c r="E1109" s="10" t="s">
        <v>65</v>
      </c>
      <c r="F1109" s="10" t="s">
        <v>722</v>
      </c>
      <c r="G1109" s="10" t="s">
        <v>1159</v>
      </c>
      <c r="H1109" s="10" t="s">
        <v>6668</v>
      </c>
      <c r="I1109" s="10" t="s">
        <v>48</v>
      </c>
      <c r="K1109" s="10" t="s">
        <v>10964</v>
      </c>
      <c r="L1109" s="10" t="s">
        <v>42</v>
      </c>
    </row>
    <row r="1110" ht="15.75" customHeight="1">
      <c r="A1110" s="64">
        <v>45486.0</v>
      </c>
      <c r="B1110" s="55" t="str">
        <f>HYPERLINK("https://jobright.ai/jobs/info/6692ace33903252ea5039f89?utm_campaign=1052&amp;utm_source=sheet", "Apply")</f>
        <v>Apply</v>
      </c>
      <c r="C1110" s="10" t="s">
        <v>10145</v>
      </c>
      <c r="D1110" s="56" t="s">
        <v>9578</v>
      </c>
      <c r="E1110" s="10" t="s">
        <v>65</v>
      </c>
      <c r="F1110" s="10" t="s">
        <v>722</v>
      </c>
      <c r="G1110" s="10" t="s">
        <v>1159</v>
      </c>
      <c r="H1110" s="10" t="s">
        <v>796</v>
      </c>
      <c r="I1110" s="10" t="s">
        <v>48</v>
      </c>
      <c r="J1110" s="10" t="s">
        <v>1616</v>
      </c>
      <c r="K1110" s="10" t="s">
        <v>10971</v>
      </c>
      <c r="L1110" s="10" t="s">
        <v>42</v>
      </c>
    </row>
    <row r="1111" ht="15.75" customHeight="1">
      <c r="A1111" s="64">
        <v>45486.0</v>
      </c>
      <c r="B1111" s="55" t="str">
        <f>HYPERLINK("https://jobright.ai/jobs/info/6650c9411abdf07e445e086b?utm_campaign=1052&amp;utm_source=sheet", "Apply")</f>
        <v>Apply</v>
      </c>
      <c r="C1111" s="10" t="s">
        <v>9735</v>
      </c>
      <c r="D1111" s="56" t="s">
        <v>2493</v>
      </c>
      <c r="E1111" s="10" t="s">
        <v>45</v>
      </c>
      <c r="F1111" s="10" t="s">
        <v>2494</v>
      </c>
      <c r="G1111" s="10" t="s">
        <v>9414</v>
      </c>
      <c r="H1111" s="10" t="s">
        <v>10972</v>
      </c>
      <c r="I1111" s="10" t="s">
        <v>55</v>
      </c>
      <c r="K1111" s="10" t="s">
        <v>10973</v>
      </c>
      <c r="L1111" s="10" t="s">
        <v>42</v>
      </c>
    </row>
    <row r="1112" ht="15.75" customHeight="1">
      <c r="A1112" s="64">
        <v>45486.0</v>
      </c>
      <c r="B1112" s="55" t="str">
        <f>HYPERLINK("https://jobright.ai/jobs/info/664ea6f34e197fc8adcf90d6?utm_campaign=1052&amp;utm_source=sheet", "Apply")</f>
        <v>Apply</v>
      </c>
      <c r="C1112" s="10" t="s">
        <v>10731</v>
      </c>
      <c r="D1112" s="56" t="s">
        <v>9588</v>
      </c>
      <c r="E1112" s="10" t="s">
        <v>65</v>
      </c>
      <c r="F1112" s="10" t="s">
        <v>722</v>
      </c>
      <c r="G1112" s="10" t="s">
        <v>9419</v>
      </c>
      <c r="H1112" s="10" t="s">
        <v>3309</v>
      </c>
      <c r="I1112" s="10" t="s">
        <v>55</v>
      </c>
      <c r="K1112" s="10" t="s">
        <v>10732</v>
      </c>
      <c r="L1112" s="10" t="s">
        <v>42</v>
      </c>
    </row>
    <row r="1113" ht="15.75" customHeight="1">
      <c r="A1113" s="64">
        <v>45486.0</v>
      </c>
      <c r="B1113" s="55" t="str">
        <f>HYPERLINK("https://jobright.ai/jobs/info/6676015ff1b86992c36461c8?utm_campaign=1052&amp;utm_source=sheet", "Apply")</f>
        <v>Apply</v>
      </c>
      <c r="C1113" s="10" t="s">
        <v>10300</v>
      </c>
      <c r="D1113" s="56" t="s">
        <v>10301</v>
      </c>
      <c r="E1113" s="10" t="s">
        <v>65</v>
      </c>
      <c r="F1113" s="10" t="s">
        <v>2950</v>
      </c>
      <c r="G1113" s="10" t="s">
        <v>9414</v>
      </c>
      <c r="H1113" s="10" t="s">
        <v>96</v>
      </c>
      <c r="I1113" s="10" t="s">
        <v>55</v>
      </c>
      <c r="J1113" s="10" t="s">
        <v>10426</v>
      </c>
      <c r="K1113" s="10" t="s">
        <v>10303</v>
      </c>
      <c r="L1113" s="10" t="s">
        <v>42</v>
      </c>
    </row>
    <row r="1114" ht="15.75" customHeight="1">
      <c r="A1114" s="64">
        <v>45486.0</v>
      </c>
      <c r="B1114" s="55" t="str">
        <f>HYPERLINK("https://jobright.ai/jobs/info/667972f78f20c6df6b89953e?utm_campaign=1052&amp;utm_source=sheet", "Apply")</f>
        <v>Apply</v>
      </c>
      <c r="C1114" s="10" t="s">
        <v>10974</v>
      </c>
      <c r="D1114" s="56" t="s">
        <v>10975</v>
      </c>
      <c r="E1114" s="10" t="s">
        <v>249</v>
      </c>
      <c r="F1114" s="10" t="s">
        <v>1934</v>
      </c>
      <c r="G1114" s="10" t="s">
        <v>9414</v>
      </c>
      <c r="H1114" s="10" t="s">
        <v>607</v>
      </c>
      <c r="I1114" s="10" t="s">
        <v>55</v>
      </c>
      <c r="K1114" s="10" t="s">
        <v>10976</v>
      </c>
      <c r="L1114" s="10" t="s">
        <v>42</v>
      </c>
    </row>
    <row r="1115" ht="15.75" customHeight="1">
      <c r="A1115" s="64">
        <v>45486.0</v>
      </c>
      <c r="B1115" s="55" t="str">
        <f>HYPERLINK("https://jobright.ai/jobs/info/65bcbd586f4c76c1971530fa?utm_campaign=1052&amp;utm_source=sheet", "Apply")</f>
        <v>Apply</v>
      </c>
      <c r="C1115" s="10" t="s">
        <v>10977</v>
      </c>
      <c r="D1115" s="56" t="s">
        <v>10978</v>
      </c>
      <c r="E1115" s="10" t="s">
        <v>45</v>
      </c>
      <c r="F1115" s="10" t="s">
        <v>3594</v>
      </c>
      <c r="G1115" s="10" t="s">
        <v>9414</v>
      </c>
      <c r="H1115" s="10" t="s">
        <v>2380</v>
      </c>
      <c r="I1115" s="10" t="s">
        <v>55</v>
      </c>
      <c r="K1115" s="10" t="s">
        <v>10979</v>
      </c>
      <c r="L1115" s="10" t="s">
        <v>42</v>
      </c>
    </row>
    <row r="1116" ht="15.75" customHeight="1">
      <c r="A1116" s="64">
        <v>45486.0</v>
      </c>
      <c r="B1116" s="55" t="str">
        <f>HYPERLINK("https://jobright.ai/jobs/info/662c440eb32e2a39772a3856?utm_campaign=1052&amp;utm_source=sheet", "Apply")</f>
        <v>Apply</v>
      </c>
      <c r="C1116" s="10" t="s">
        <v>10870</v>
      </c>
      <c r="D1116" s="56" t="s">
        <v>9607</v>
      </c>
      <c r="E1116" s="10" t="s">
        <v>45</v>
      </c>
      <c r="F1116" s="10" t="s">
        <v>722</v>
      </c>
      <c r="G1116" s="10" t="s">
        <v>1159</v>
      </c>
      <c r="H1116" s="10" t="s">
        <v>607</v>
      </c>
      <c r="I1116" s="10" t="s">
        <v>48</v>
      </c>
      <c r="J1116" s="10" t="s">
        <v>9608</v>
      </c>
      <c r="K1116" s="10" t="s">
        <v>9609</v>
      </c>
      <c r="L1116" s="10" t="s">
        <v>42</v>
      </c>
    </row>
    <row r="1117" ht="15.75" customHeight="1">
      <c r="A1117" s="64">
        <v>45486.0</v>
      </c>
      <c r="B1117" s="55" t="str">
        <f>HYPERLINK("https://jobright.ai/jobs/info/666cc2babac4ff7da205df06?utm_campaign=1052&amp;utm_source=sheet", "Apply")</f>
        <v>Apply</v>
      </c>
      <c r="C1117" s="10" t="s">
        <v>10980</v>
      </c>
      <c r="D1117" s="56" t="s">
        <v>10981</v>
      </c>
      <c r="E1117" s="10" t="s">
        <v>45</v>
      </c>
      <c r="F1117" s="10" t="s">
        <v>10982</v>
      </c>
      <c r="G1117" s="10" t="s">
        <v>9419</v>
      </c>
      <c r="H1117" s="10" t="s">
        <v>96</v>
      </c>
      <c r="I1117" s="10" t="s">
        <v>55</v>
      </c>
      <c r="J1117" s="10" t="s">
        <v>9980</v>
      </c>
      <c r="K1117" s="10" t="s">
        <v>10983</v>
      </c>
      <c r="L1117" s="10" t="s">
        <v>42</v>
      </c>
    </row>
    <row r="1118" ht="15.75" customHeight="1">
      <c r="A1118" s="64">
        <v>45486.0</v>
      </c>
      <c r="B1118" s="55" t="str">
        <f>HYPERLINK("https://jobright.ai/jobs/info/65f6c6053191742135f8ceb8?utm_campaign=1052&amp;utm_source=sheet", "Apply")</f>
        <v>Apply</v>
      </c>
      <c r="C1118" s="10" t="s">
        <v>9590</v>
      </c>
      <c r="D1118" s="56" t="s">
        <v>9591</v>
      </c>
      <c r="E1118" s="10" t="s">
        <v>209</v>
      </c>
      <c r="F1118" s="10" t="s">
        <v>534</v>
      </c>
      <c r="G1118" s="10" t="s">
        <v>9419</v>
      </c>
      <c r="H1118" s="10" t="s">
        <v>144</v>
      </c>
      <c r="I1118" s="10" t="s">
        <v>55</v>
      </c>
      <c r="J1118" s="10" t="s">
        <v>10984</v>
      </c>
      <c r="K1118" s="10" t="s">
        <v>9592</v>
      </c>
      <c r="L1118" s="10" t="s">
        <v>42</v>
      </c>
    </row>
    <row r="1119" ht="15.75" customHeight="1">
      <c r="A1119" s="64">
        <v>45486.0</v>
      </c>
      <c r="B1119" s="55" t="str">
        <f>HYPERLINK("https://jobright.ai/jobs/info/65c63d9bd8923c8d91d4f2c4?utm_campaign=1052&amp;utm_source=sheet", "Apply")</f>
        <v>Apply</v>
      </c>
      <c r="C1119" s="10" t="s">
        <v>9627</v>
      </c>
      <c r="D1119" s="56" t="s">
        <v>9628</v>
      </c>
      <c r="E1119" s="10" t="s">
        <v>79</v>
      </c>
      <c r="F1119" s="10" t="s">
        <v>9629</v>
      </c>
      <c r="G1119" s="10" t="s">
        <v>1159</v>
      </c>
      <c r="H1119" s="10" t="s">
        <v>5005</v>
      </c>
      <c r="I1119" s="10" t="s">
        <v>55</v>
      </c>
      <c r="K1119" s="10" t="s">
        <v>9630</v>
      </c>
      <c r="L1119" s="10" t="s">
        <v>42</v>
      </c>
    </row>
    <row r="1120" ht="15.75" customHeight="1">
      <c r="A1120" s="64">
        <v>45486.0</v>
      </c>
      <c r="B1120" s="55" t="str">
        <f>HYPERLINK("https://jobright.ai/jobs/info/6676747480545507a3748292?utm_campaign=1052&amp;utm_source=sheet", "Apply")</f>
        <v>Apply</v>
      </c>
      <c r="C1120" s="10" t="s">
        <v>10985</v>
      </c>
      <c r="D1120" s="56" t="s">
        <v>9581</v>
      </c>
      <c r="E1120" s="10" t="s">
        <v>65</v>
      </c>
      <c r="F1120" s="10" t="s">
        <v>722</v>
      </c>
      <c r="G1120" s="10" t="s">
        <v>9419</v>
      </c>
      <c r="H1120" s="10" t="s">
        <v>278</v>
      </c>
      <c r="I1120" s="10" t="s">
        <v>55</v>
      </c>
      <c r="J1120" s="10" t="s">
        <v>9582</v>
      </c>
      <c r="K1120" s="10" t="s">
        <v>9583</v>
      </c>
      <c r="L1120" s="10" t="s">
        <v>42</v>
      </c>
    </row>
    <row r="1121" ht="15.75" customHeight="1">
      <c r="A1121" s="64">
        <v>45486.0</v>
      </c>
      <c r="B1121" s="55" t="str">
        <f>HYPERLINK("https://jobright.ai/jobs/info/66766bb693b9404f41dd53af?utm_campaign=1052&amp;utm_source=sheet", "Apply")</f>
        <v>Apply</v>
      </c>
      <c r="C1121" s="10" t="s">
        <v>10986</v>
      </c>
      <c r="D1121" s="56" t="s">
        <v>9581</v>
      </c>
      <c r="E1121" s="10" t="s">
        <v>65</v>
      </c>
      <c r="F1121" s="10" t="s">
        <v>722</v>
      </c>
      <c r="G1121" s="10" t="s">
        <v>9419</v>
      </c>
      <c r="H1121" s="10" t="s">
        <v>4181</v>
      </c>
      <c r="I1121" s="10" t="s">
        <v>55</v>
      </c>
      <c r="J1121" s="10" t="s">
        <v>9582</v>
      </c>
      <c r="K1121" s="10" t="s">
        <v>9583</v>
      </c>
      <c r="L1121" s="10" t="s">
        <v>42</v>
      </c>
    </row>
    <row r="1122" ht="15.75" customHeight="1">
      <c r="A1122" s="64">
        <v>45486.0</v>
      </c>
      <c r="B1122" s="55" t="str">
        <f>HYPERLINK("https://jobright.ai/jobs/info/6632ed532658e0ce7c281f0e?utm_campaign=1052&amp;utm_source=sheet", "Apply")</f>
        <v>Apply</v>
      </c>
      <c r="C1122" s="10" t="s">
        <v>10987</v>
      </c>
      <c r="D1122" s="56" t="s">
        <v>2493</v>
      </c>
      <c r="E1122" s="10" t="s">
        <v>45</v>
      </c>
      <c r="F1122" s="10" t="s">
        <v>2494</v>
      </c>
      <c r="G1122" s="10" t="s">
        <v>9419</v>
      </c>
      <c r="H1122" s="10" t="s">
        <v>936</v>
      </c>
      <c r="I1122" s="10" t="s">
        <v>55</v>
      </c>
      <c r="K1122" s="10" t="s">
        <v>10988</v>
      </c>
      <c r="L1122" s="10" t="s">
        <v>42</v>
      </c>
    </row>
    <row r="1123" ht="15.75" customHeight="1">
      <c r="A1123" s="64">
        <v>45486.0</v>
      </c>
      <c r="B1123" s="55" t="str">
        <f>HYPERLINK("https://jobright.ai/jobs/info/65efacadc517100ff2cd8b06?utm_campaign=1052&amp;utm_source=sheet", "Apply")</f>
        <v>Apply</v>
      </c>
      <c r="C1123" s="10" t="s">
        <v>10989</v>
      </c>
      <c r="D1123" s="56" t="s">
        <v>10097</v>
      </c>
      <c r="E1123" s="10" t="s">
        <v>249</v>
      </c>
      <c r="F1123" s="10" t="s">
        <v>1159</v>
      </c>
      <c r="G1123" s="10" t="s">
        <v>9419</v>
      </c>
      <c r="H1123" s="10" t="s">
        <v>843</v>
      </c>
      <c r="I1123" s="10" t="s">
        <v>55</v>
      </c>
      <c r="J1123" s="64"/>
      <c r="K1123" s="10" t="s">
        <v>10990</v>
      </c>
      <c r="L1123" s="10" t="s">
        <v>42</v>
      </c>
    </row>
    <row r="1124" ht="15.75" customHeight="1">
      <c r="A1124" s="64">
        <v>45486.0</v>
      </c>
      <c r="B1124" s="55" t="str">
        <f>HYPERLINK("https://jobright.ai/jobs/info/66800feb837d16e3277f594f?utm_campaign=1052&amp;utm_source=sheet", "Apply")</f>
        <v>Apply</v>
      </c>
      <c r="C1124" s="10" t="s">
        <v>10991</v>
      </c>
      <c r="D1124" s="56" t="s">
        <v>2493</v>
      </c>
      <c r="E1124" s="10" t="s">
        <v>45</v>
      </c>
      <c r="F1124" s="10" t="s">
        <v>2494</v>
      </c>
      <c r="G1124" s="10" t="s">
        <v>9419</v>
      </c>
      <c r="H1124" s="10" t="s">
        <v>936</v>
      </c>
      <c r="I1124" s="10" t="s">
        <v>55</v>
      </c>
      <c r="K1124" s="10" t="s">
        <v>10992</v>
      </c>
      <c r="L1124" s="10" t="s">
        <v>42</v>
      </c>
    </row>
    <row r="1125" ht="15.75" customHeight="1">
      <c r="A1125" s="64">
        <v>45486.0</v>
      </c>
      <c r="B1125" s="55" t="str">
        <f>HYPERLINK("https://jobright.ai/jobs/info/65e5afce57f3ef314e817a42?utm_campaign=1052&amp;utm_source=sheet", "Apply")</f>
        <v>Apply</v>
      </c>
      <c r="C1125" s="10" t="s">
        <v>9535</v>
      </c>
      <c r="D1125" s="56" t="s">
        <v>9607</v>
      </c>
      <c r="E1125" s="10" t="s">
        <v>45</v>
      </c>
      <c r="F1125" s="10" t="s">
        <v>722</v>
      </c>
      <c r="G1125" s="10" t="s">
        <v>9419</v>
      </c>
      <c r="H1125" s="10" t="s">
        <v>965</v>
      </c>
      <c r="I1125" s="10" t="s">
        <v>48</v>
      </c>
      <c r="J1125" s="10" t="s">
        <v>10769</v>
      </c>
      <c r="K1125" s="10" t="s">
        <v>9609</v>
      </c>
      <c r="L1125" s="10" t="s">
        <v>42</v>
      </c>
    </row>
    <row r="1126" ht="15.75" customHeight="1">
      <c r="A1126" s="64">
        <v>45486.0</v>
      </c>
      <c r="B1126" s="55" t="str">
        <f>HYPERLINK("https://jobright.ai/jobs/info/65c182e48a70905d1894bede?utm_campaign=1052&amp;utm_source=sheet", "Apply")</f>
        <v>Apply</v>
      </c>
      <c r="C1126" s="10" t="s">
        <v>10993</v>
      </c>
      <c r="D1126" s="56" t="s">
        <v>9578</v>
      </c>
      <c r="E1126" s="10" t="s">
        <v>65</v>
      </c>
      <c r="F1126" s="10" t="s">
        <v>722</v>
      </c>
      <c r="G1126" s="10" t="s">
        <v>9419</v>
      </c>
      <c r="H1126" s="10" t="s">
        <v>621</v>
      </c>
      <c r="I1126" s="10" t="s">
        <v>48</v>
      </c>
      <c r="J1126" s="10" t="s">
        <v>467</v>
      </c>
      <c r="K1126" s="10" t="s">
        <v>10994</v>
      </c>
      <c r="L1126" s="10" t="s">
        <v>42</v>
      </c>
    </row>
    <row r="1127" ht="15.75" customHeight="1">
      <c r="A1127" s="64">
        <v>45486.0</v>
      </c>
      <c r="B1127" s="55" t="str">
        <f>HYPERLINK("https://jobright.ai/jobs/info/664e9948f97ff61ecf83cb0f?utm_campaign=1052&amp;utm_source=sheet", "Apply")</f>
        <v>Apply</v>
      </c>
      <c r="C1127" s="10" t="s">
        <v>10731</v>
      </c>
      <c r="D1127" s="56" t="s">
        <v>9588</v>
      </c>
      <c r="E1127" s="10" t="s">
        <v>65</v>
      </c>
      <c r="F1127" s="10" t="s">
        <v>722</v>
      </c>
      <c r="G1127" s="10" t="s">
        <v>9419</v>
      </c>
      <c r="H1127" s="10" t="s">
        <v>520</v>
      </c>
      <c r="I1127" s="10" t="s">
        <v>55</v>
      </c>
      <c r="J1127" s="64"/>
      <c r="K1127" s="10" t="s">
        <v>10732</v>
      </c>
      <c r="L1127" s="10" t="s">
        <v>42</v>
      </c>
    </row>
    <row r="1128" ht="15.75" customHeight="1">
      <c r="A1128" s="64">
        <v>45486.0</v>
      </c>
      <c r="B1128" s="55" t="str">
        <f>HYPERLINK("https://jobright.ai/jobs/info/667684cfc8b21811434bf7f9?utm_campaign=1052&amp;utm_source=sheet", "Apply")</f>
        <v>Apply</v>
      </c>
      <c r="C1128" s="10" t="s">
        <v>10995</v>
      </c>
      <c r="D1128" s="56" t="s">
        <v>9581</v>
      </c>
      <c r="E1128" s="10" t="s">
        <v>65</v>
      </c>
      <c r="F1128" s="10" t="s">
        <v>722</v>
      </c>
      <c r="G1128" s="10" t="s">
        <v>9419</v>
      </c>
      <c r="H1128" s="10" t="s">
        <v>153</v>
      </c>
      <c r="I1128" s="10" t="s">
        <v>55</v>
      </c>
      <c r="J1128" s="10" t="s">
        <v>9582</v>
      </c>
      <c r="K1128" s="10" t="s">
        <v>9603</v>
      </c>
      <c r="L1128" s="10" t="s">
        <v>42</v>
      </c>
    </row>
    <row r="1129" ht="15.75" customHeight="1">
      <c r="A1129" s="64">
        <v>45486.0</v>
      </c>
      <c r="B1129" s="55" t="str">
        <f>HYPERLINK("https://jobright.ai/jobs/info/65c6484d7aca7b3f31d2afe2?utm_campaign=1052&amp;utm_source=sheet", "Apply")</f>
        <v>Apply</v>
      </c>
      <c r="C1129" s="10" t="s">
        <v>9627</v>
      </c>
      <c r="D1129" s="56" t="s">
        <v>9628</v>
      </c>
      <c r="E1129" s="10" t="s">
        <v>79</v>
      </c>
      <c r="F1129" s="10" t="s">
        <v>9629</v>
      </c>
      <c r="G1129" s="10" t="s">
        <v>1159</v>
      </c>
      <c r="H1129" s="10" t="s">
        <v>636</v>
      </c>
      <c r="I1129" s="10" t="s">
        <v>55</v>
      </c>
      <c r="K1129" s="10" t="s">
        <v>9630</v>
      </c>
      <c r="L1129" s="10" t="s">
        <v>42</v>
      </c>
    </row>
    <row r="1130" ht="15.75" customHeight="1">
      <c r="A1130" s="64">
        <v>45486.0</v>
      </c>
      <c r="B1130" s="55" t="str">
        <f>HYPERLINK("https://jobright.ai/jobs/info/664e6b2535a9de44ab4130d0?utm_campaign=1052&amp;utm_source=sheet", "Apply")</f>
        <v>Apply</v>
      </c>
      <c r="C1130" s="10" t="s">
        <v>10145</v>
      </c>
      <c r="D1130" s="56" t="s">
        <v>9578</v>
      </c>
      <c r="E1130" s="10" t="s">
        <v>65</v>
      </c>
      <c r="F1130" s="10" t="s">
        <v>722</v>
      </c>
      <c r="G1130" s="10" t="s">
        <v>1159</v>
      </c>
      <c r="H1130" s="10" t="s">
        <v>10713</v>
      </c>
      <c r="I1130" s="10" t="s">
        <v>48</v>
      </c>
      <c r="K1130" s="10" t="s">
        <v>10714</v>
      </c>
      <c r="L1130" s="10" t="s">
        <v>42</v>
      </c>
    </row>
    <row r="1131" ht="15.75" customHeight="1">
      <c r="A1131" s="64">
        <v>45486.0</v>
      </c>
      <c r="B1131" s="55" t="str">
        <f>HYPERLINK("https://jobright.ai/jobs/info/65e5bad054e1657962c3666c?utm_campaign=1052&amp;utm_source=sheet", "Apply")</f>
        <v>Apply</v>
      </c>
      <c r="C1131" s="10" t="s">
        <v>9535</v>
      </c>
      <c r="D1131" s="56" t="s">
        <v>9607</v>
      </c>
      <c r="E1131" s="10" t="s">
        <v>45</v>
      </c>
      <c r="F1131" s="10" t="s">
        <v>722</v>
      </c>
      <c r="G1131" s="10" t="s">
        <v>9419</v>
      </c>
      <c r="H1131" s="10" t="s">
        <v>146</v>
      </c>
      <c r="I1131" s="10" t="s">
        <v>48</v>
      </c>
      <c r="J1131" s="10" t="s">
        <v>9608</v>
      </c>
      <c r="K1131" s="10" t="s">
        <v>9609</v>
      </c>
      <c r="L1131" s="10" t="s">
        <v>42</v>
      </c>
    </row>
    <row r="1132" ht="15.75" customHeight="1">
      <c r="A1132" s="64">
        <v>45486.0</v>
      </c>
      <c r="B1132" s="55" t="str">
        <f>HYPERLINK("https://jobright.ai/jobs/info/65e0a5bb516082ea5e2e048b?utm_campaign=1052&amp;utm_source=sheet", "Apply")</f>
        <v>Apply</v>
      </c>
      <c r="C1132" s="10" t="s">
        <v>10996</v>
      </c>
      <c r="D1132" s="56" t="s">
        <v>9585</v>
      </c>
      <c r="E1132" s="10" t="s">
        <v>65</v>
      </c>
      <c r="F1132" s="10" t="s">
        <v>722</v>
      </c>
      <c r="G1132" s="10" t="s">
        <v>9419</v>
      </c>
      <c r="H1132" s="10" t="s">
        <v>108</v>
      </c>
      <c r="I1132" s="10" t="s">
        <v>55</v>
      </c>
      <c r="K1132" s="10" t="s">
        <v>9586</v>
      </c>
      <c r="L1132" s="10" t="s">
        <v>42</v>
      </c>
    </row>
    <row r="1133" ht="15.75" customHeight="1">
      <c r="A1133" s="64">
        <v>45486.0</v>
      </c>
      <c r="B1133" s="55" t="str">
        <f>HYPERLINK("https://jobright.ai/jobs/info/65eb20e8dc2945f39ad142d3?utm_campaign=1052&amp;utm_source=sheet", "Apply")</f>
        <v>Apply</v>
      </c>
      <c r="C1133" s="10" t="s">
        <v>10780</v>
      </c>
      <c r="D1133" s="56" t="s">
        <v>9607</v>
      </c>
      <c r="E1133" s="10" t="s">
        <v>45</v>
      </c>
      <c r="F1133" s="10" t="s">
        <v>722</v>
      </c>
      <c r="G1133" s="10" t="s">
        <v>9419</v>
      </c>
      <c r="H1133" s="10" t="s">
        <v>2380</v>
      </c>
      <c r="I1133" s="10" t="s">
        <v>48</v>
      </c>
      <c r="J1133" s="10" t="s">
        <v>9952</v>
      </c>
      <c r="K1133" s="10" t="s">
        <v>9609</v>
      </c>
      <c r="L1133" s="10" t="s">
        <v>42</v>
      </c>
    </row>
    <row r="1134" ht="15.75" customHeight="1">
      <c r="A1134" s="64">
        <v>45486.0</v>
      </c>
      <c r="B1134" s="55" t="str">
        <f>HYPERLINK("https://jobright.ai/jobs/info/6657ccc71463f7308380d15c?utm_campaign=1052&amp;utm_source=sheet", "Apply")</f>
        <v>Apply</v>
      </c>
      <c r="C1134" s="10" t="s">
        <v>10862</v>
      </c>
      <c r="D1134" s="56" t="s">
        <v>10863</v>
      </c>
      <c r="E1134" s="10" t="s">
        <v>249</v>
      </c>
      <c r="F1134" s="10" t="s">
        <v>1159</v>
      </c>
      <c r="G1134" s="10" t="s">
        <v>9419</v>
      </c>
      <c r="H1134" s="10" t="s">
        <v>152</v>
      </c>
      <c r="I1134" s="10" t="s">
        <v>55</v>
      </c>
      <c r="K1134" s="10" t="s">
        <v>10864</v>
      </c>
      <c r="L1134" s="10" t="s">
        <v>42</v>
      </c>
    </row>
    <row r="1135" ht="15.75" customHeight="1">
      <c r="A1135" s="64">
        <v>45486.0</v>
      </c>
      <c r="B1135" s="55" t="str">
        <f>HYPERLINK("https://jobright.ai/jobs/info/66185885b894e92e1f216182?utm_campaign=1052&amp;utm_source=sheet", "Apply")</f>
        <v>Apply</v>
      </c>
      <c r="C1135" s="10" t="s">
        <v>10997</v>
      </c>
      <c r="D1135" s="56" t="s">
        <v>10863</v>
      </c>
      <c r="E1135" s="10" t="s">
        <v>249</v>
      </c>
      <c r="F1135" s="10" t="s">
        <v>1159</v>
      </c>
      <c r="G1135" s="10" t="s">
        <v>9419</v>
      </c>
      <c r="H1135" s="10" t="s">
        <v>152</v>
      </c>
      <c r="I1135" s="10" t="s">
        <v>55</v>
      </c>
      <c r="K1135" s="10" t="s">
        <v>10998</v>
      </c>
      <c r="L1135" s="10" t="s">
        <v>42</v>
      </c>
    </row>
    <row r="1136" ht="15.75" customHeight="1">
      <c r="A1136" s="64">
        <v>45486.0</v>
      </c>
      <c r="B1136" s="55" t="str">
        <f>HYPERLINK("https://jobright.ai/jobs/info/6657cdf61463f7308380ecef?utm_campaign=1052&amp;utm_source=sheet", "Apply")</f>
        <v>Apply</v>
      </c>
      <c r="C1136" s="10" t="s">
        <v>10862</v>
      </c>
      <c r="D1136" s="56" t="s">
        <v>10863</v>
      </c>
      <c r="E1136" s="10" t="s">
        <v>249</v>
      </c>
      <c r="F1136" s="10" t="s">
        <v>1159</v>
      </c>
      <c r="G1136" s="10" t="s">
        <v>9419</v>
      </c>
      <c r="H1136" s="10" t="s">
        <v>10999</v>
      </c>
      <c r="I1136" s="10" t="s">
        <v>55</v>
      </c>
      <c r="K1136" s="10" t="s">
        <v>10864</v>
      </c>
      <c r="L1136" s="10" t="s">
        <v>42</v>
      </c>
    </row>
    <row r="1137" ht="15.75" customHeight="1">
      <c r="A1137" s="64">
        <v>45486.0</v>
      </c>
      <c r="B1137" s="55" t="str">
        <f>HYPERLINK("https://jobright.ai/jobs/info/6676273974a49bf8010a1153?utm_campaign=1052&amp;utm_source=sheet", "Apply")</f>
        <v>Apply</v>
      </c>
      <c r="C1137" s="10" t="s">
        <v>11000</v>
      </c>
      <c r="D1137" s="56" t="s">
        <v>11001</v>
      </c>
      <c r="E1137" s="10" t="s">
        <v>249</v>
      </c>
      <c r="F1137" s="10" t="s">
        <v>534</v>
      </c>
      <c r="G1137" s="10" t="s">
        <v>9419</v>
      </c>
      <c r="H1137" s="10" t="s">
        <v>525</v>
      </c>
      <c r="I1137" s="10" t="s">
        <v>48</v>
      </c>
      <c r="J1137" s="64"/>
      <c r="K1137" s="10" t="s">
        <v>11002</v>
      </c>
      <c r="L1137" s="10" t="s">
        <v>42</v>
      </c>
    </row>
    <row r="1138" ht="15.75" customHeight="1">
      <c r="A1138" s="64">
        <v>45486.0</v>
      </c>
      <c r="B1138" s="55" t="str">
        <f>HYPERLINK("https://jobright.ai/jobs/info/65ef02a9420854bcd73bd7f4?utm_campaign=1052&amp;utm_source=sheet", "Apply")</f>
        <v>Apply</v>
      </c>
      <c r="C1138" s="10" t="s">
        <v>10995</v>
      </c>
      <c r="D1138" s="56" t="s">
        <v>9581</v>
      </c>
      <c r="E1138" s="10" t="s">
        <v>65</v>
      </c>
      <c r="F1138" s="10" t="s">
        <v>722</v>
      </c>
      <c r="G1138" s="10" t="s">
        <v>9419</v>
      </c>
      <c r="H1138" s="10" t="s">
        <v>153</v>
      </c>
      <c r="I1138" s="10" t="s">
        <v>55</v>
      </c>
      <c r="J1138" s="10" t="s">
        <v>9582</v>
      </c>
      <c r="K1138" s="10" t="s">
        <v>9603</v>
      </c>
      <c r="L1138" s="10" t="s">
        <v>42</v>
      </c>
    </row>
    <row r="1139" ht="15.75" customHeight="1">
      <c r="A1139" s="64">
        <v>45486.0</v>
      </c>
      <c r="B1139" s="55" t="str">
        <f>HYPERLINK("https://jobright.ai/jobs/info/66761540e5fc016086b1c5c6?utm_campaign=1052&amp;utm_source=sheet", "Apply")</f>
        <v>Apply</v>
      </c>
      <c r="C1139" s="10" t="s">
        <v>9577</v>
      </c>
      <c r="D1139" s="56" t="s">
        <v>9578</v>
      </c>
      <c r="E1139" s="10" t="s">
        <v>65</v>
      </c>
      <c r="F1139" s="10" t="s">
        <v>722</v>
      </c>
      <c r="G1139" s="10" t="s">
        <v>1159</v>
      </c>
      <c r="H1139" s="10" t="s">
        <v>796</v>
      </c>
      <c r="I1139" s="10" t="s">
        <v>55</v>
      </c>
      <c r="J1139" s="10" t="s">
        <v>1616</v>
      </c>
      <c r="K1139" s="10" t="s">
        <v>9579</v>
      </c>
      <c r="L1139" s="10" t="s">
        <v>42</v>
      </c>
    </row>
    <row r="1140" ht="15.75" customHeight="1">
      <c r="A1140" s="64">
        <v>45486.0</v>
      </c>
      <c r="B1140" s="55" t="str">
        <f>HYPERLINK("https://jobright.ai/jobs/info/664e48f1e2794cc911da55b7?utm_campaign=1052&amp;utm_source=sheet", "Apply")</f>
        <v>Apply</v>
      </c>
      <c r="C1140" s="10" t="s">
        <v>10594</v>
      </c>
      <c r="D1140" s="56" t="s">
        <v>9578</v>
      </c>
      <c r="E1140" s="10" t="s">
        <v>65</v>
      </c>
      <c r="F1140" s="10" t="s">
        <v>722</v>
      </c>
      <c r="G1140" s="10" t="s">
        <v>1159</v>
      </c>
      <c r="H1140" s="10" t="s">
        <v>1263</v>
      </c>
      <c r="I1140" s="10" t="s">
        <v>48</v>
      </c>
      <c r="J1140" s="10" t="s">
        <v>10595</v>
      </c>
      <c r="K1140" s="10" t="s">
        <v>10964</v>
      </c>
      <c r="L1140" s="10" t="s">
        <v>42</v>
      </c>
    </row>
    <row r="1141" ht="15.75" customHeight="1">
      <c r="A1141" s="64">
        <v>45486.0</v>
      </c>
      <c r="B1141" s="55" t="str">
        <f>HYPERLINK("https://jobright.ai/jobs/info/65f6c10d903d1101cc4a1241?utm_campaign=1052&amp;utm_source=sheet", "Apply")</f>
        <v>Apply</v>
      </c>
      <c r="C1141" s="10" t="s">
        <v>10782</v>
      </c>
      <c r="D1141" s="56" t="s">
        <v>9607</v>
      </c>
      <c r="E1141" s="10" t="s">
        <v>45</v>
      </c>
      <c r="F1141" s="10" t="s">
        <v>722</v>
      </c>
      <c r="G1141" s="10" t="s">
        <v>9419</v>
      </c>
      <c r="H1141" s="10" t="s">
        <v>144</v>
      </c>
      <c r="I1141" s="10" t="s">
        <v>48</v>
      </c>
      <c r="J1141" s="10" t="s">
        <v>9665</v>
      </c>
      <c r="K1141" s="10" t="s">
        <v>9609</v>
      </c>
      <c r="L1141" s="10" t="s">
        <v>42</v>
      </c>
    </row>
    <row r="1142" ht="15.75" customHeight="1">
      <c r="A1142" s="64">
        <v>45486.0</v>
      </c>
      <c r="B1142" s="55" t="str">
        <f>HYPERLINK("https://jobright.ai/jobs/info/65e4965cb9fcb2abea18a76c?utm_campaign=1052&amp;utm_source=sheet", "Apply")</f>
        <v>Apply</v>
      </c>
      <c r="C1142" s="10" t="s">
        <v>10908</v>
      </c>
      <c r="D1142" s="56" t="s">
        <v>9607</v>
      </c>
      <c r="E1142" s="10" t="s">
        <v>45</v>
      </c>
      <c r="F1142" s="10" t="s">
        <v>722</v>
      </c>
      <c r="G1142" s="10" t="s">
        <v>9419</v>
      </c>
      <c r="H1142" s="10" t="s">
        <v>794</v>
      </c>
      <c r="I1142" s="10" t="s">
        <v>48</v>
      </c>
      <c r="J1142" s="10" t="s">
        <v>9608</v>
      </c>
      <c r="K1142" s="10" t="s">
        <v>9654</v>
      </c>
      <c r="L1142" s="10" t="s">
        <v>42</v>
      </c>
    </row>
    <row r="1143" ht="15.75" customHeight="1">
      <c r="A1143" s="64">
        <v>45486.0</v>
      </c>
      <c r="B1143" s="55" t="str">
        <f>HYPERLINK("https://jobright.ai/jobs/info/65cd6955b463799f0b3e7dbe?utm_campaign=1052&amp;utm_source=sheet", "Apply")</f>
        <v>Apply</v>
      </c>
      <c r="C1143" s="10" t="s">
        <v>9634</v>
      </c>
      <c r="D1143" s="56" t="s">
        <v>2763</v>
      </c>
      <c r="E1143" s="10" t="s">
        <v>45</v>
      </c>
      <c r="F1143" s="10" t="s">
        <v>1465</v>
      </c>
      <c r="G1143" s="10" t="s">
        <v>1159</v>
      </c>
      <c r="H1143" s="10" t="s">
        <v>2831</v>
      </c>
      <c r="I1143" s="10" t="s">
        <v>55</v>
      </c>
      <c r="J1143" s="10" t="s">
        <v>9635</v>
      </c>
      <c r="K1143" s="10" t="s">
        <v>9636</v>
      </c>
      <c r="L1143" s="10" t="s">
        <v>42</v>
      </c>
    </row>
    <row r="1144" ht="15.75" customHeight="1">
      <c r="A1144" s="64">
        <v>45486.0</v>
      </c>
      <c r="B1144" s="55" t="str">
        <f>HYPERLINK("https://jobright.ai/jobs/info/65ef9f8dc947f63ccd797eef?utm_campaign=1052&amp;utm_source=sheet", "Apply")</f>
        <v>Apply</v>
      </c>
      <c r="C1144" s="10" t="s">
        <v>9634</v>
      </c>
      <c r="D1144" s="56" t="s">
        <v>2763</v>
      </c>
      <c r="E1144" s="10" t="s">
        <v>45</v>
      </c>
      <c r="F1144" s="10" t="s">
        <v>1465</v>
      </c>
      <c r="G1144" s="10" t="s">
        <v>1159</v>
      </c>
      <c r="H1144" s="10" t="s">
        <v>3304</v>
      </c>
      <c r="I1144" s="10" t="s">
        <v>55</v>
      </c>
      <c r="J1144" s="10" t="s">
        <v>9635</v>
      </c>
      <c r="K1144" s="10" t="s">
        <v>9636</v>
      </c>
      <c r="L1144" s="10" t="s">
        <v>42</v>
      </c>
    </row>
    <row r="1145" ht="15.75" customHeight="1">
      <c r="A1145" s="64">
        <v>45486.0</v>
      </c>
      <c r="B1145" s="55" t="str">
        <f>HYPERLINK("https://jobright.ai/jobs/info/663bba3976b8410f8611cc7a?utm_campaign=1052&amp;utm_source=sheet", "Apply")</f>
        <v>Apply</v>
      </c>
      <c r="C1145" s="10" t="s">
        <v>11003</v>
      </c>
      <c r="D1145" s="56" t="s">
        <v>9607</v>
      </c>
      <c r="E1145" s="10" t="s">
        <v>45</v>
      </c>
      <c r="F1145" s="10" t="s">
        <v>722</v>
      </c>
      <c r="G1145" s="10" t="s">
        <v>9419</v>
      </c>
      <c r="H1145" s="10" t="s">
        <v>354</v>
      </c>
      <c r="I1145" s="10" t="s">
        <v>48</v>
      </c>
      <c r="J1145" s="10" t="s">
        <v>9641</v>
      </c>
      <c r="K1145" s="10" t="s">
        <v>9799</v>
      </c>
      <c r="L1145" s="10" t="s">
        <v>42</v>
      </c>
    </row>
    <row r="1146" ht="15.75" customHeight="1">
      <c r="A1146" s="64">
        <v>45486.0</v>
      </c>
      <c r="B1146" s="55" t="str">
        <f>HYPERLINK("https://jobright.ai/jobs/info/6676743680545507a3747d65?utm_campaign=1052&amp;utm_source=sheet", "Apply")</f>
        <v>Apply</v>
      </c>
      <c r="C1146" s="10" t="s">
        <v>11004</v>
      </c>
      <c r="D1146" s="56" t="s">
        <v>9581</v>
      </c>
      <c r="E1146" s="10" t="s">
        <v>65</v>
      </c>
      <c r="F1146" s="10" t="s">
        <v>722</v>
      </c>
      <c r="G1146" s="10" t="s">
        <v>9419</v>
      </c>
      <c r="H1146" s="10" t="s">
        <v>802</v>
      </c>
      <c r="I1146" s="10" t="s">
        <v>55</v>
      </c>
      <c r="J1146" s="10" t="s">
        <v>9582</v>
      </c>
      <c r="K1146" s="10" t="s">
        <v>9603</v>
      </c>
      <c r="L1146" s="10" t="s">
        <v>42</v>
      </c>
    </row>
    <row r="1147" ht="15.75" customHeight="1">
      <c r="A1147" s="64">
        <v>45486.0</v>
      </c>
      <c r="B1147" s="55" t="str">
        <f>HYPERLINK("https://jobright.ai/jobs/info/6676742980545507a3747d61?utm_campaign=1052&amp;utm_source=sheet", "Apply")</f>
        <v>Apply</v>
      </c>
      <c r="C1147" s="10" t="s">
        <v>11005</v>
      </c>
      <c r="D1147" s="56" t="s">
        <v>9581</v>
      </c>
      <c r="E1147" s="10" t="s">
        <v>65</v>
      </c>
      <c r="F1147" s="10" t="s">
        <v>722</v>
      </c>
      <c r="G1147" s="10" t="s">
        <v>9419</v>
      </c>
      <c r="H1147" s="10" t="s">
        <v>1120</v>
      </c>
      <c r="I1147" s="10" t="s">
        <v>55</v>
      </c>
      <c r="J1147" s="10" t="s">
        <v>9582</v>
      </c>
      <c r="K1147" s="10" t="s">
        <v>9603</v>
      </c>
      <c r="L1147" s="10" t="s">
        <v>42</v>
      </c>
    </row>
    <row r="1148" ht="15.75" customHeight="1">
      <c r="A1148" s="64">
        <v>45486.0</v>
      </c>
      <c r="B1148" s="55" t="str">
        <f>HYPERLINK("https://jobright.ai/jobs/info/6679556339ca2f81c4370676?utm_campaign=1052&amp;utm_source=sheet", "Apply")</f>
        <v>Apply</v>
      </c>
      <c r="C1148" s="10" t="s">
        <v>11006</v>
      </c>
      <c r="D1148" s="56" t="s">
        <v>730</v>
      </c>
      <c r="E1148" s="10" t="s">
        <v>45</v>
      </c>
      <c r="F1148" s="10" t="s">
        <v>731</v>
      </c>
      <c r="G1148" s="10" t="s">
        <v>9414</v>
      </c>
      <c r="H1148" s="10" t="s">
        <v>154</v>
      </c>
      <c r="I1148" s="10" t="s">
        <v>55</v>
      </c>
      <c r="K1148" s="10" t="s">
        <v>11007</v>
      </c>
      <c r="L1148" s="10" t="s">
        <v>42</v>
      </c>
    </row>
    <row r="1149" ht="15.75" customHeight="1">
      <c r="A1149" s="64">
        <v>45486.0</v>
      </c>
      <c r="B1149" s="55" t="str">
        <f>HYPERLINK("https://jobright.ai/jobs/info/65eee0a2ca3917cc735b3e04?utm_campaign=1052&amp;utm_source=sheet", "Apply")</f>
        <v>Apply</v>
      </c>
      <c r="C1149" s="10" t="s">
        <v>10986</v>
      </c>
      <c r="D1149" s="56" t="s">
        <v>9581</v>
      </c>
      <c r="E1149" s="10" t="s">
        <v>65</v>
      </c>
      <c r="F1149" s="10" t="s">
        <v>722</v>
      </c>
      <c r="G1149" s="10" t="s">
        <v>9419</v>
      </c>
      <c r="H1149" s="10" t="s">
        <v>4181</v>
      </c>
      <c r="I1149" s="10" t="s">
        <v>55</v>
      </c>
      <c r="J1149" s="10" t="s">
        <v>9582</v>
      </c>
      <c r="K1149" s="10" t="s">
        <v>9603</v>
      </c>
      <c r="L1149" s="10" t="s">
        <v>42</v>
      </c>
    </row>
    <row r="1150" ht="15.75" customHeight="1">
      <c r="A1150" s="64">
        <v>45486.0</v>
      </c>
      <c r="B1150" s="55" t="str">
        <f>HYPERLINK("https://jobright.ai/jobs/info/66813add96c0c6f091f75cee?utm_campaign=1052&amp;utm_source=sheet", "Apply")</f>
        <v>Apply</v>
      </c>
      <c r="C1150" s="10" t="s">
        <v>9590</v>
      </c>
      <c r="D1150" s="56" t="s">
        <v>9591</v>
      </c>
      <c r="E1150" s="10" t="s">
        <v>209</v>
      </c>
      <c r="F1150" s="10" t="s">
        <v>534</v>
      </c>
      <c r="G1150" s="10" t="s">
        <v>9419</v>
      </c>
      <c r="H1150" s="10" t="s">
        <v>835</v>
      </c>
      <c r="I1150" s="10" t="s">
        <v>55</v>
      </c>
      <c r="K1150" s="10" t="s">
        <v>9592</v>
      </c>
      <c r="L1150" s="10" t="s">
        <v>42</v>
      </c>
    </row>
    <row r="1151" ht="15.75" customHeight="1">
      <c r="A1151" s="64">
        <v>45486.0</v>
      </c>
      <c r="B1151" s="55" t="str">
        <f>HYPERLINK("https://jobright.ai/jobs/info/65e5bad054e1657962c3669b?utm_campaign=1052&amp;utm_source=sheet", "Apply")</f>
        <v>Apply</v>
      </c>
      <c r="C1151" s="10" t="s">
        <v>9793</v>
      </c>
      <c r="D1151" s="56" t="s">
        <v>9607</v>
      </c>
      <c r="E1151" s="10" t="s">
        <v>45</v>
      </c>
      <c r="F1151" s="10" t="s">
        <v>722</v>
      </c>
      <c r="G1151" s="10" t="s">
        <v>9419</v>
      </c>
      <c r="H1151" s="10" t="s">
        <v>1696</v>
      </c>
      <c r="I1151" s="10" t="s">
        <v>48</v>
      </c>
      <c r="J1151" s="10" t="s">
        <v>9610</v>
      </c>
      <c r="K1151" s="10" t="s">
        <v>9609</v>
      </c>
      <c r="L1151" s="10" t="s">
        <v>42</v>
      </c>
    </row>
    <row r="1152" ht="15.75" customHeight="1">
      <c r="A1152" s="64">
        <v>45486.0</v>
      </c>
      <c r="B1152" s="55" t="str">
        <f>HYPERLINK("https://jobright.ai/jobs/info/664e9900f97ff61ecf83c375?utm_campaign=1052&amp;utm_source=sheet", "Apply")</f>
        <v>Apply</v>
      </c>
      <c r="C1152" s="10" t="s">
        <v>10594</v>
      </c>
      <c r="D1152" s="56" t="s">
        <v>9578</v>
      </c>
      <c r="E1152" s="10" t="s">
        <v>65</v>
      </c>
      <c r="F1152" s="10" t="s">
        <v>722</v>
      </c>
      <c r="G1152" s="10" t="s">
        <v>1159</v>
      </c>
      <c r="H1152" s="10" t="s">
        <v>10629</v>
      </c>
      <c r="I1152" s="10" t="s">
        <v>48</v>
      </c>
      <c r="K1152" s="10" t="s">
        <v>10964</v>
      </c>
      <c r="L1152" s="10" t="s">
        <v>42</v>
      </c>
    </row>
    <row r="1153" ht="15.75" customHeight="1">
      <c r="A1153" s="64">
        <v>45486.0</v>
      </c>
      <c r="B1153" s="55" t="str">
        <f>HYPERLINK("https://jobright.ai/jobs/info/664e9861f97ff61ecf83b499?utm_campaign=1052&amp;utm_source=sheet", "Apply")</f>
        <v>Apply</v>
      </c>
      <c r="C1153" s="10" t="s">
        <v>10731</v>
      </c>
      <c r="D1153" s="56" t="s">
        <v>9588</v>
      </c>
      <c r="E1153" s="10" t="s">
        <v>65</v>
      </c>
      <c r="F1153" s="10" t="s">
        <v>722</v>
      </c>
      <c r="G1153" s="10" t="s">
        <v>9419</v>
      </c>
      <c r="H1153" s="10" t="s">
        <v>3271</v>
      </c>
      <c r="I1153" s="10" t="s">
        <v>55</v>
      </c>
      <c r="K1153" s="10" t="s">
        <v>10732</v>
      </c>
      <c r="L1153" s="10" t="s">
        <v>42</v>
      </c>
    </row>
    <row r="1154" ht="15.75" customHeight="1">
      <c r="A1154" s="64">
        <v>45486.0</v>
      </c>
      <c r="B1154" s="55" t="str">
        <f>HYPERLINK("https://jobright.ai/jobs/info/6621f46aed041d888f1894d8?utm_campaign=1052&amp;utm_source=sheet", "Apply")</f>
        <v>Apply</v>
      </c>
      <c r="C1154" s="10" t="s">
        <v>11008</v>
      </c>
      <c r="D1154" s="56" t="s">
        <v>10863</v>
      </c>
      <c r="E1154" s="10" t="s">
        <v>249</v>
      </c>
      <c r="F1154" s="10" t="s">
        <v>1159</v>
      </c>
      <c r="G1154" s="10" t="s">
        <v>9419</v>
      </c>
      <c r="H1154" s="10" t="s">
        <v>10999</v>
      </c>
      <c r="I1154" s="10" t="s">
        <v>55</v>
      </c>
      <c r="K1154" s="10" t="s">
        <v>10998</v>
      </c>
      <c r="L1154" s="10" t="s">
        <v>42</v>
      </c>
    </row>
    <row r="1155" ht="15.75" customHeight="1">
      <c r="A1155" s="64">
        <v>45486.0</v>
      </c>
      <c r="B1155" s="55" t="str">
        <f>HYPERLINK("https://jobright.ai/jobs/info/664ea6a34e197fc8adcf8a59?utm_campaign=1052&amp;utm_source=sheet", "Apply")</f>
        <v>Apply</v>
      </c>
      <c r="C1155" s="10" t="s">
        <v>10594</v>
      </c>
      <c r="D1155" s="56" t="s">
        <v>9578</v>
      </c>
      <c r="E1155" s="10" t="s">
        <v>65</v>
      </c>
      <c r="F1155" s="10" t="s">
        <v>722</v>
      </c>
      <c r="G1155" s="10" t="s">
        <v>1159</v>
      </c>
      <c r="H1155" s="10" t="s">
        <v>434</v>
      </c>
      <c r="I1155" s="10" t="s">
        <v>48</v>
      </c>
      <c r="J1155" s="10" t="s">
        <v>11009</v>
      </c>
      <c r="K1155" s="10" t="s">
        <v>10714</v>
      </c>
      <c r="L1155" s="10" t="s">
        <v>42</v>
      </c>
    </row>
    <row r="1156" ht="15.75" customHeight="1">
      <c r="A1156" s="64">
        <v>45486.0</v>
      </c>
      <c r="B1156" s="55" t="str">
        <f>HYPERLINK("https://jobright.ai/jobs/info/65d09173debe2e38888694ef?utm_campaign=1052&amp;utm_source=sheet", "Apply")</f>
        <v>Apply</v>
      </c>
      <c r="C1156" s="10" t="s">
        <v>10914</v>
      </c>
      <c r="D1156" s="56" t="s">
        <v>2763</v>
      </c>
      <c r="E1156" s="10" t="s">
        <v>45</v>
      </c>
      <c r="F1156" s="10" t="s">
        <v>1465</v>
      </c>
      <c r="G1156" s="10" t="s">
        <v>1159</v>
      </c>
      <c r="H1156" s="10" t="s">
        <v>914</v>
      </c>
      <c r="I1156" s="10" t="s">
        <v>55</v>
      </c>
      <c r="J1156" s="10" t="s">
        <v>9635</v>
      </c>
      <c r="K1156" s="10" t="s">
        <v>9636</v>
      </c>
      <c r="L1156" s="10" t="s">
        <v>42</v>
      </c>
    </row>
    <row r="1157" ht="15.75" customHeight="1">
      <c r="A1157" s="64">
        <v>45486.0</v>
      </c>
      <c r="B1157" s="55" t="str">
        <f>HYPERLINK("https://jobright.ai/jobs/info/6676742980545507a3747d60?utm_campaign=1052&amp;utm_source=sheet", "Apply")</f>
        <v>Apply</v>
      </c>
      <c r="C1157" s="10" t="s">
        <v>11010</v>
      </c>
      <c r="D1157" s="56" t="s">
        <v>9581</v>
      </c>
      <c r="E1157" s="10" t="s">
        <v>65</v>
      </c>
      <c r="F1157" s="10" t="s">
        <v>722</v>
      </c>
      <c r="G1157" s="10" t="s">
        <v>9419</v>
      </c>
      <c r="H1157" s="10" t="s">
        <v>607</v>
      </c>
      <c r="I1157" s="10" t="s">
        <v>55</v>
      </c>
      <c r="J1157" s="10" t="s">
        <v>9582</v>
      </c>
      <c r="K1157" s="10" t="s">
        <v>9603</v>
      </c>
      <c r="L1157" s="10" t="s">
        <v>42</v>
      </c>
    </row>
    <row r="1158" ht="15.75" customHeight="1">
      <c r="A1158" s="64">
        <v>45486.0</v>
      </c>
      <c r="B1158" s="55" t="str">
        <f>HYPERLINK("https://jobright.ai/jobs/info/65f58bec312210e3d35ae919?utm_campaign=1052&amp;utm_source=sheet", "Apply")</f>
        <v>Apply</v>
      </c>
      <c r="C1158" s="10" t="s">
        <v>11011</v>
      </c>
      <c r="D1158" s="56" t="s">
        <v>10219</v>
      </c>
      <c r="E1158" s="10" t="s">
        <v>79</v>
      </c>
      <c r="G1158" s="10" t="s">
        <v>9419</v>
      </c>
      <c r="H1158" s="10" t="s">
        <v>628</v>
      </c>
      <c r="I1158" s="10" t="s">
        <v>55</v>
      </c>
      <c r="K1158" s="10" t="s">
        <v>11012</v>
      </c>
      <c r="L1158" s="10" t="s">
        <v>42</v>
      </c>
    </row>
    <row r="1159" ht="15.75" customHeight="1">
      <c r="A1159" s="64">
        <v>45486.0</v>
      </c>
      <c r="B1159" s="55" t="str">
        <f>HYPERLINK("https://jobright.ai/jobs/info/65e5c30690f16fe0c3fcd70b?utm_campaign=1052&amp;utm_source=sheet", "Apply")</f>
        <v>Apply</v>
      </c>
      <c r="C1159" s="10" t="s">
        <v>9793</v>
      </c>
      <c r="D1159" s="56" t="s">
        <v>9607</v>
      </c>
      <c r="E1159" s="10" t="s">
        <v>45</v>
      </c>
      <c r="F1159" s="10" t="s">
        <v>722</v>
      </c>
      <c r="G1159" s="10" t="s">
        <v>9419</v>
      </c>
      <c r="H1159" s="10" t="s">
        <v>923</v>
      </c>
      <c r="I1159" s="10" t="s">
        <v>48</v>
      </c>
      <c r="J1159" s="10" t="s">
        <v>9653</v>
      </c>
      <c r="K1159" s="10" t="s">
        <v>9609</v>
      </c>
      <c r="L1159" s="10" t="s">
        <v>42</v>
      </c>
    </row>
    <row r="1160" ht="15.75" customHeight="1">
      <c r="A1160" s="64">
        <v>45486.0</v>
      </c>
      <c r="B1160" s="55" t="str">
        <f>HYPERLINK("https://jobright.ai/jobs/info/65eeea9c59c8b6e3549e5bb5?utm_campaign=1052&amp;utm_source=sheet", "Apply")</f>
        <v>Apply</v>
      </c>
      <c r="C1160" s="10" t="s">
        <v>11005</v>
      </c>
      <c r="D1160" s="56" t="s">
        <v>9581</v>
      </c>
      <c r="E1160" s="10" t="s">
        <v>65</v>
      </c>
      <c r="F1160" s="10" t="s">
        <v>722</v>
      </c>
      <c r="G1160" s="10" t="s">
        <v>9419</v>
      </c>
      <c r="H1160" s="10" t="s">
        <v>1120</v>
      </c>
      <c r="I1160" s="10" t="s">
        <v>55</v>
      </c>
      <c r="J1160" s="10" t="s">
        <v>9582</v>
      </c>
      <c r="K1160" s="10" t="s">
        <v>9603</v>
      </c>
      <c r="L1160" s="10" t="s">
        <v>42</v>
      </c>
    </row>
    <row r="1161" ht="15.75" customHeight="1">
      <c r="A1161" s="64">
        <v>45486.0</v>
      </c>
      <c r="B1161" s="55" t="str">
        <f>HYPERLINK("https://jobright.ai/jobs/info/6676d5261d12b082593833cc?utm_campaign=1052&amp;utm_source=sheet", "Apply")</f>
        <v>Apply</v>
      </c>
      <c r="C1161" s="10" t="s">
        <v>11013</v>
      </c>
      <c r="D1161" s="56" t="s">
        <v>10389</v>
      </c>
      <c r="E1161" s="10" t="s">
        <v>79</v>
      </c>
      <c r="F1161" s="10" t="s">
        <v>3382</v>
      </c>
      <c r="G1161" s="10" t="s">
        <v>1159</v>
      </c>
      <c r="H1161" s="10" t="s">
        <v>602</v>
      </c>
      <c r="I1161" s="10" t="s">
        <v>55</v>
      </c>
      <c r="K1161" s="10" t="s">
        <v>10390</v>
      </c>
      <c r="L1161" s="10" t="s">
        <v>42</v>
      </c>
    </row>
    <row r="1162" ht="15.75" customHeight="1">
      <c r="A1162" s="64">
        <v>45486.0</v>
      </c>
      <c r="B1162" s="55" t="str">
        <f>HYPERLINK("https://jobright.ai/jobs/info/65c4f80f28ec3f166fb3c294?utm_campaign=1052&amp;utm_source=sheet", "Apply")</f>
        <v>Apply</v>
      </c>
      <c r="C1162" s="10" t="s">
        <v>9627</v>
      </c>
      <c r="D1162" s="56" t="s">
        <v>9628</v>
      </c>
      <c r="E1162" s="10" t="s">
        <v>79</v>
      </c>
      <c r="F1162" s="10" t="s">
        <v>9629</v>
      </c>
      <c r="G1162" s="10" t="s">
        <v>1159</v>
      </c>
      <c r="H1162" s="10" t="s">
        <v>3050</v>
      </c>
      <c r="I1162" s="10" t="s">
        <v>55</v>
      </c>
      <c r="K1162" s="10" t="s">
        <v>9630</v>
      </c>
      <c r="L1162" s="10" t="s">
        <v>42</v>
      </c>
    </row>
    <row r="1163" ht="15.75" customHeight="1">
      <c r="A1163" s="64">
        <v>45486.0</v>
      </c>
      <c r="B1163" s="55" t="str">
        <f>HYPERLINK("https://jobright.ai/jobs/info/65b9a0fb0e9b4e63058f3727?utm_campaign=1052&amp;utm_source=sheet", "Apply")</f>
        <v>Apply</v>
      </c>
      <c r="C1163" s="10" t="s">
        <v>11014</v>
      </c>
      <c r="D1163" s="56" t="s">
        <v>9671</v>
      </c>
      <c r="E1163" s="10" t="s">
        <v>45</v>
      </c>
      <c r="F1163" s="10" t="s">
        <v>1084</v>
      </c>
      <c r="G1163" s="10" t="s">
        <v>9414</v>
      </c>
      <c r="H1163" s="10" t="s">
        <v>131</v>
      </c>
      <c r="I1163" s="10" t="s">
        <v>55</v>
      </c>
      <c r="J1163" s="10" t="s">
        <v>9672</v>
      </c>
      <c r="K1163" s="10" t="s">
        <v>11015</v>
      </c>
      <c r="L1163" s="10" t="s">
        <v>42</v>
      </c>
    </row>
    <row r="1164" ht="15.75" customHeight="1">
      <c r="A1164" s="64">
        <v>45486.0</v>
      </c>
      <c r="B1164" s="55" t="str">
        <f>HYPERLINK("https://jobright.ai/jobs/info/65c648267aca7b3f31d2ad3d?utm_campaign=1052&amp;utm_source=sheet", "Apply")</f>
        <v>Apply</v>
      </c>
      <c r="C1164" s="10" t="s">
        <v>9627</v>
      </c>
      <c r="D1164" s="56" t="s">
        <v>9628</v>
      </c>
      <c r="E1164" s="10" t="s">
        <v>79</v>
      </c>
      <c r="F1164" s="10" t="s">
        <v>9629</v>
      </c>
      <c r="G1164" s="10" t="s">
        <v>1159</v>
      </c>
      <c r="H1164" s="10" t="s">
        <v>843</v>
      </c>
      <c r="I1164" s="10" t="s">
        <v>55</v>
      </c>
      <c r="K1164" s="10" t="s">
        <v>9630</v>
      </c>
      <c r="L1164" s="10" t="s">
        <v>42</v>
      </c>
    </row>
    <row r="1165" ht="15.75" customHeight="1">
      <c r="A1165" s="64">
        <v>45486.0</v>
      </c>
      <c r="B1165" s="55" t="str">
        <f>HYPERLINK("https://jobright.ai/jobs/info/65e29f6658007f9fb205946a?utm_campaign=1052&amp;utm_source=sheet", "Apply")</f>
        <v>Apply</v>
      </c>
      <c r="C1165" s="10" t="s">
        <v>11016</v>
      </c>
      <c r="D1165" s="56" t="s">
        <v>9671</v>
      </c>
      <c r="E1165" s="10" t="s">
        <v>45</v>
      </c>
      <c r="F1165" s="10" t="s">
        <v>1084</v>
      </c>
      <c r="G1165" s="10" t="s">
        <v>9414</v>
      </c>
      <c r="H1165" s="10" t="s">
        <v>113</v>
      </c>
      <c r="I1165" s="10" t="s">
        <v>55</v>
      </c>
      <c r="J1165" s="10" t="s">
        <v>9672</v>
      </c>
      <c r="K1165" s="10" t="s">
        <v>11015</v>
      </c>
      <c r="L1165" s="10" t="s">
        <v>42</v>
      </c>
    </row>
    <row r="1166" ht="15.75" customHeight="1">
      <c r="A1166" s="64">
        <v>45486.0</v>
      </c>
      <c r="B1166" s="55" t="str">
        <f>HYPERLINK("https://jobright.ai/jobs/info/65e715f5041532c367114565?utm_campaign=1052&amp;utm_source=sheet", "Apply")</f>
        <v>Apply</v>
      </c>
      <c r="C1166" s="10" t="s">
        <v>9793</v>
      </c>
      <c r="D1166" s="56" t="s">
        <v>9607</v>
      </c>
      <c r="E1166" s="10" t="s">
        <v>45</v>
      </c>
      <c r="F1166" s="10" t="s">
        <v>722</v>
      </c>
      <c r="G1166" s="10" t="s">
        <v>9419</v>
      </c>
      <c r="H1166" s="10" t="s">
        <v>925</v>
      </c>
      <c r="I1166" s="10" t="s">
        <v>48</v>
      </c>
      <c r="J1166" s="10" t="s">
        <v>9798</v>
      </c>
      <c r="K1166" s="10" t="s">
        <v>9799</v>
      </c>
      <c r="L1166" s="10" t="s">
        <v>42</v>
      </c>
    </row>
    <row r="1167" ht="15.75" customHeight="1">
      <c r="A1167" s="64">
        <v>45486.0</v>
      </c>
      <c r="B1167" s="55" t="str">
        <f>HYPERLINK("https://jobright.ai/jobs/info/6676848dc8b21811434bf3c7?utm_campaign=1052&amp;utm_source=sheet", "Apply")</f>
        <v>Apply</v>
      </c>
      <c r="C1167" s="10" t="s">
        <v>11017</v>
      </c>
      <c r="D1167" s="56" t="s">
        <v>10389</v>
      </c>
      <c r="E1167" s="10" t="s">
        <v>79</v>
      </c>
      <c r="F1167" s="10" t="s">
        <v>3382</v>
      </c>
      <c r="G1167" s="10" t="s">
        <v>1159</v>
      </c>
      <c r="H1167" s="10" t="s">
        <v>168</v>
      </c>
      <c r="I1167" s="10" t="s">
        <v>55</v>
      </c>
      <c r="K1167" s="10" t="s">
        <v>10390</v>
      </c>
      <c r="L1167" s="10" t="s">
        <v>42</v>
      </c>
    </row>
    <row r="1168" ht="15.75" customHeight="1">
      <c r="A1168" s="64">
        <v>45486.0</v>
      </c>
      <c r="B1168" s="55" t="str">
        <f>HYPERLINK("https://jobright.ai/jobs/info/665a124adf3ddce002ad1353?utm_campaign=1052&amp;utm_source=sheet", "Apply")</f>
        <v>Apply</v>
      </c>
      <c r="C1168" s="10" t="s">
        <v>11018</v>
      </c>
      <c r="D1168" s="56" t="s">
        <v>11019</v>
      </c>
      <c r="E1168" s="10" t="s">
        <v>65</v>
      </c>
      <c r="F1168" s="10" t="s">
        <v>2746</v>
      </c>
      <c r="G1168" s="10" t="s">
        <v>1159</v>
      </c>
      <c r="H1168" s="10" t="s">
        <v>661</v>
      </c>
      <c r="I1168" s="10" t="s">
        <v>55</v>
      </c>
      <c r="K1168" s="10" t="s">
        <v>11020</v>
      </c>
      <c r="L1168" s="10" t="s">
        <v>42</v>
      </c>
    </row>
    <row r="1169" ht="15.75" customHeight="1">
      <c r="A1169" s="64">
        <v>45486.0</v>
      </c>
      <c r="B1169" s="55" t="str">
        <f>HYPERLINK("https://jobright.ai/jobs/info/65c2e5e1d8a0ae286889fb28?utm_campaign=1052&amp;utm_source=sheet", "Apply")</f>
        <v>Apply</v>
      </c>
      <c r="C1169" s="10" t="s">
        <v>11021</v>
      </c>
      <c r="D1169" s="56" t="s">
        <v>11022</v>
      </c>
      <c r="E1169" s="10" t="s">
        <v>249</v>
      </c>
      <c r="F1169" s="10" t="s">
        <v>722</v>
      </c>
      <c r="G1169" s="10" t="s">
        <v>9419</v>
      </c>
      <c r="H1169" s="10" t="s">
        <v>438</v>
      </c>
      <c r="I1169" s="10" t="s">
        <v>55</v>
      </c>
      <c r="K1169" s="10" t="s">
        <v>11023</v>
      </c>
      <c r="L1169" s="10" t="s">
        <v>42</v>
      </c>
    </row>
    <row r="1170" ht="15.75" customHeight="1">
      <c r="A1170" s="64">
        <v>45486.0</v>
      </c>
      <c r="B1170" s="55" t="str">
        <f>HYPERLINK("https://jobright.ai/jobs/info/6656fd51370b79848db90a0c?utm_campaign=1052&amp;utm_source=sheet", "Apply")</f>
        <v>Apply</v>
      </c>
      <c r="C1170" s="10" t="s">
        <v>11024</v>
      </c>
      <c r="D1170" s="56" t="s">
        <v>9581</v>
      </c>
      <c r="E1170" s="10" t="s">
        <v>65</v>
      </c>
      <c r="F1170" s="10" t="s">
        <v>722</v>
      </c>
      <c r="G1170" s="10" t="s">
        <v>9419</v>
      </c>
      <c r="H1170" s="10" t="s">
        <v>610</v>
      </c>
      <c r="I1170" s="10" t="s">
        <v>55</v>
      </c>
      <c r="J1170" s="10" t="s">
        <v>9582</v>
      </c>
      <c r="K1170" s="10" t="s">
        <v>9603</v>
      </c>
      <c r="L1170" s="10" t="s">
        <v>42</v>
      </c>
    </row>
    <row r="1171" ht="15.75" customHeight="1">
      <c r="A1171" s="64">
        <v>45486.0</v>
      </c>
      <c r="B1171" s="55" t="str">
        <f>HYPERLINK("https://jobright.ai/jobs/info/6603d236501e5937ffd425a6?utm_campaign=1052&amp;utm_source=sheet", "Apply")</f>
        <v>Apply</v>
      </c>
      <c r="C1171" s="10" t="s">
        <v>11025</v>
      </c>
      <c r="D1171" s="56" t="s">
        <v>10301</v>
      </c>
      <c r="E1171" s="10" t="s">
        <v>65</v>
      </c>
      <c r="F1171" s="10" t="s">
        <v>2950</v>
      </c>
      <c r="G1171" s="10" t="s">
        <v>9414</v>
      </c>
      <c r="H1171" s="10" t="s">
        <v>974</v>
      </c>
      <c r="I1171" s="10" t="s">
        <v>55</v>
      </c>
      <c r="J1171" s="64"/>
      <c r="K1171" s="10" t="s">
        <v>11026</v>
      </c>
      <c r="L1171" s="10" t="s">
        <v>42</v>
      </c>
    </row>
    <row r="1172" ht="15.75" customHeight="1">
      <c r="A1172" s="64">
        <v>45486.0</v>
      </c>
      <c r="B1172" s="55" t="str">
        <f>HYPERLINK("https://jobright.ai/jobs/info/65eeea9c59c8b6e3549e5ba1?utm_campaign=1052&amp;utm_source=sheet", "Apply")</f>
        <v>Apply</v>
      </c>
      <c r="C1172" s="10" t="s">
        <v>11010</v>
      </c>
      <c r="D1172" s="56" t="s">
        <v>9581</v>
      </c>
      <c r="E1172" s="10" t="s">
        <v>65</v>
      </c>
      <c r="F1172" s="10" t="s">
        <v>722</v>
      </c>
      <c r="G1172" s="10" t="s">
        <v>9419</v>
      </c>
      <c r="H1172" s="10" t="s">
        <v>607</v>
      </c>
      <c r="I1172" s="10" t="s">
        <v>55</v>
      </c>
      <c r="J1172" s="10" t="s">
        <v>9582</v>
      </c>
      <c r="K1172" s="10" t="s">
        <v>9603</v>
      </c>
      <c r="L1172" s="10" t="s">
        <v>42</v>
      </c>
    </row>
    <row r="1173" ht="15.75" customHeight="1">
      <c r="A1173" s="64">
        <v>45486.0</v>
      </c>
      <c r="B1173" s="55" t="str">
        <f>HYPERLINK("https://jobright.ai/jobs/info/6673713e8c2e2fe50201e927?utm_campaign=1052&amp;utm_source=sheet", "Apply")</f>
        <v>Apply</v>
      </c>
      <c r="C1173" s="10" t="s">
        <v>10759</v>
      </c>
      <c r="D1173" s="56" t="s">
        <v>11027</v>
      </c>
      <c r="E1173" s="10" t="s">
        <v>65</v>
      </c>
      <c r="F1173" s="10" t="s">
        <v>1357</v>
      </c>
      <c r="G1173" s="10" t="s">
        <v>9419</v>
      </c>
      <c r="H1173" s="10" t="s">
        <v>610</v>
      </c>
      <c r="I1173" s="10" t="s">
        <v>55</v>
      </c>
      <c r="K1173" s="10" t="s">
        <v>11028</v>
      </c>
      <c r="L1173" s="10" t="s">
        <v>42</v>
      </c>
    </row>
    <row r="1174" ht="15.75" customHeight="1">
      <c r="A1174" s="64">
        <v>45486.0</v>
      </c>
      <c r="B1174" s="55" t="str">
        <f>HYPERLINK("https://jobright.ai/jobs/info/65e5c30690f16fe0c3fcd791?utm_campaign=1052&amp;utm_source=sheet", "Apply")</f>
        <v>Apply</v>
      </c>
      <c r="C1174" s="10" t="s">
        <v>9793</v>
      </c>
      <c r="D1174" s="56" t="s">
        <v>9607</v>
      </c>
      <c r="E1174" s="10" t="s">
        <v>45</v>
      </c>
      <c r="F1174" s="10" t="s">
        <v>722</v>
      </c>
      <c r="G1174" s="10" t="s">
        <v>9419</v>
      </c>
      <c r="H1174" s="10" t="s">
        <v>843</v>
      </c>
      <c r="I1174" s="10" t="s">
        <v>48</v>
      </c>
      <c r="J1174" s="10" t="s">
        <v>9641</v>
      </c>
      <c r="K1174" s="10" t="s">
        <v>9799</v>
      </c>
      <c r="L1174" s="10" t="s">
        <v>42</v>
      </c>
    </row>
    <row r="1175" ht="15.75" customHeight="1">
      <c r="A1175" s="64">
        <v>45486.0</v>
      </c>
      <c r="B1175" s="55" t="str">
        <f>HYPERLINK("https://jobright.ai/jobs/info/6675cdcbfde6a7756c635595?utm_campaign=1052&amp;utm_source=sheet", "Apply")</f>
        <v>Apply</v>
      </c>
      <c r="C1175" s="10" t="s">
        <v>11029</v>
      </c>
      <c r="D1175" s="56" t="s">
        <v>11030</v>
      </c>
      <c r="E1175" s="10" t="s">
        <v>249</v>
      </c>
      <c r="F1175" s="10" t="s">
        <v>722</v>
      </c>
      <c r="G1175" s="10" t="s">
        <v>1159</v>
      </c>
      <c r="H1175" s="10" t="s">
        <v>232</v>
      </c>
      <c r="I1175" s="10" t="s">
        <v>55</v>
      </c>
      <c r="J1175" s="10" t="s">
        <v>2742</v>
      </c>
      <c r="K1175" s="10" t="s">
        <v>11031</v>
      </c>
      <c r="L1175" s="10" t="s">
        <v>42</v>
      </c>
    </row>
    <row r="1176" ht="15.75" customHeight="1">
      <c r="A1176" s="64">
        <v>45486.0</v>
      </c>
      <c r="B1176" s="55" t="str">
        <f>HYPERLINK("https://jobright.ai/jobs/info/6633da7a6dd8adf32b3080a4?utm_campaign=1052&amp;utm_source=sheet", "Apply")</f>
        <v>Apply</v>
      </c>
      <c r="C1176" s="10" t="s">
        <v>10402</v>
      </c>
      <c r="D1176" s="56" t="s">
        <v>10403</v>
      </c>
      <c r="E1176" s="10" t="s">
        <v>65</v>
      </c>
      <c r="F1176" s="10" t="s">
        <v>534</v>
      </c>
      <c r="G1176" s="10" t="s">
        <v>9419</v>
      </c>
      <c r="H1176" s="10" t="s">
        <v>131</v>
      </c>
      <c r="I1176" s="10" t="s">
        <v>55</v>
      </c>
      <c r="J1176" s="10" t="s">
        <v>10404</v>
      </c>
      <c r="K1176" s="10" t="s">
        <v>10405</v>
      </c>
      <c r="L1176" s="10" t="s">
        <v>42</v>
      </c>
    </row>
    <row r="1177" ht="15.75" customHeight="1">
      <c r="A1177" s="64">
        <v>45486.0</v>
      </c>
      <c r="B1177" s="55" t="str">
        <f>HYPERLINK("https://jobright.ai/jobs/info/66768e6e3924a645d1123332?utm_campaign=1052&amp;utm_source=sheet", "Apply")</f>
        <v>Apply</v>
      </c>
      <c r="C1177" s="10" t="s">
        <v>11032</v>
      </c>
      <c r="D1177" s="56" t="s">
        <v>10389</v>
      </c>
      <c r="E1177" s="10" t="s">
        <v>79</v>
      </c>
      <c r="F1177" s="10" t="s">
        <v>3382</v>
      </c>
      <c r="G1177" s="10" t="s">
        <v>1159</v>
      </c>
      <c r="H1177" s="10" t="s">
        <v>11033</v>
      </c>
      <c r="I1177" s="10" t="s">
        <v>55</v>
      </c>
      <c r="K1177" s="10" t="s">
        <v>10390</v>
      </c>
      <c r="L1177" s="10" t="s">
        <v>42</v>
      </c>
    </row>
    <row r="1178" ht="15.75" customHeight="1">
      <c r="A1178" s="64">
        <v>45486.0</v>
      </c>
      <c r="B1178" s="55" t="str">
        <f>HYPERLINK("https://jobright.ai/jobs/info/6675e13be95c1a0a225b87e6?utm_campaign=1052&amp;utm_source=sheet", "Apply")</f>
        <v>Apply</v>
      </c>
      <c r="C1178" s="10" t="s">
        <v>11034</v>
      </c>
      <c r="D1178" s="56" t="s">
        <v>11030</v>
      </c>
      <c r="E1178" s="10" t="s">
        <v>249</v>
      </c>
      <c r="F1178" s="10" t="s">
        <v>722</v>
      </c>
      <c r="G1178" s="10" t="s">
        <v>1159</v>
      </c>
      <c r="H1178" s="10" t="s">
        <v>232</v>
      </c>
      <c r="I1178" s="10" t="s">
        <v>55</v>
      </c>
      <c r="J1178" s="10" t="s">
        <v>2742</v>
      </c>
      <c r="K1178" s="10" t="s">
        <v>11035</v>
      </c>
      <c r="L1178" s="10" t="s">
        <v>42</v>
      </c>
    </row>
    <row r="1179" ht="15.75" customHeight="1">
      <c r="A1179" s="64">
        <v>45486.0</v>
      </c>
      <c r="B1179" s="55" t="str">
        <f>HYPERLINK("https://jobright.ai/jobs/info/65f4331bd7c94419483942b7?utm_campaign=1052&amp;utm_source=sheet", "Apply")</f>
        <v>Apply</v>
      </c>
      <c r="C1179" s="10" t="s">
        <v>10780</v>
      </c>
      <c r="D1179" s="56" t="s">
        <v>9607</v>
      </c>
      <c r="E1179" s="10" t="s">
        <v>45</v>
      </c>
      <c r="F1179" s="10" t="s">
        <v>722</v>
      </c>
      <c r="G1179" s="10" t="s">
        <v>9419</v>
      </c>
      <c r="H1179" s="10" t="s">
        <v>154</v>
      </c>
      <c r="I1179" s="10" t="s">
        <v>48</v>
      </c>
      <c r="J1179" s="10" t="s">
        <v>9653</v>
      </c>
      <c r="K1179" s="10" t="s">
        <v>9609</v>
      </c>
      <c r="L1179" s="10" t="s">
        <v>42</v>
      </c>
    </row>
    <row r="1180" ht="15.75" customHeight="1">
      <c r="A1180" s="64">
        <v>45486.0</v>
      </c>
      <c r="B1180" s="55" t="str">
        <f>HYPERLINK("https://jobright.ai/jobs/info/65efa097c947f63ccd7990e8?utm_campaign=1052&amp;utm_source=sheet", "Apply")</f>
        <v>Apply</v>
      </c>
      <c r="C1180" s="10" t="s">
        <v>9634</v>
      </c>
      <c r="D1180" s="56" t="s">
        <v>2763</v>
      </c>
      <c r="E1180" s="10" t="s">
        <v>45</v>
      </c>
      <c r="F1180" s="10" t="s">
        <v>1465</v>
      </c>
      <c r="G1180" s="10" t="s">
        <v>1159</v>
      </c>
      <c r="H1180" s="10" t="s">
        <v>5897</v>
      </c>
      <c r="I1180" s="10" t="s">
        <v>55</v>
      </c>
      <c r="J1180" s="10" t="s">
        <v>9635</v>
      </c>
      <c r="K1180" s="10" t="s">
        <v>9636</v>
      </c>
      <c r="L1180" s="10" t="s">
        <v>42</v>
      </c>
    </row>
    <row r="1181" ht="15.75" customHeight="1">
      <c r="A1181" s="64">
        <v>45486.0</v>
      </c>
      <c r="B1181" s="55" t="str">
        <f>HYPERLINK("https://jobright.ai/jobs/info/663f6bb1ec5c457336024df0?utm_campaign=1052&amp;utm_source=sheet", "Apply")</f>
        <v>Apply</v>
      </c>
      <c r="C1181" s="10" t="s">
        <v>11036</v>
      </c>
      <c r="D1181" s="56" t="s">
        <v>9671</v>
      </c>
      <c r="E1181" s="10" t="s">
        <v>45</v>
      </c>
      <c r="F1181" s="10" t="s">
        <v>1084</v>
      </c>
      <c r="G1181" s="10" t="s">
        <v>9414</v>
      </c>
      <c r="H1181" s="10" t="s">
        <v>96</v>
      </c>
      <c r="I1181" s="10" t="s">
        <v>55</v>
      </c>
      <c r="J1181" s="10" t="s">
        <v>9672</v>
      </c>
      <c r="K1181" s="10" t="s">
        <v>9673</v>
      </c>
      <c r="L1181" s="10" t="s">
        <v>42</v>
      </c>
    </row>
    <row r="1182" ht="15.75" customHeight="1">
      <c r="A1182" s="64">
        <v>45486.0</v>
      </c>
      <c r="B1182" s="55" t="str">
        <f>HYPERLINK("https://jobright.ai/jobs/info/654580d718c73299f6c2f45f?utm_campaign=1052&amp;utm_source=sheet", "Apply")</f>
        <v>Apply</v>
      </c>
      <c r="C1182" s="10" t="s">
        <v>11037</v>
      </c>
      <c r="D1182" s="56" t="s">
        <v>11038</v>
      </c>
      <c r="E1182" s="10" t="s">
        <v>65</v>
      </c>
      <c r="F1182" s="10" t="s">
        <v>11039</v>
      </c>
      <c r="G1182" s="10" t="s">
        <v>1159</v>
      </c>
      <c r="H1182" s="10" t="s">
        <v>8482</v>
      </c>
      <c r="I1182" s="10" t="s">
        <v>55</v>
      </c>
      <c r="K1182" s="10" t="s">
        <v>11040</v>
      </c>
      <c r="L1182" s="10" t="s">
        <v>42</v>
      </c>
    </row>
    <row r="1183" ht="15.75" customHeight="1">
      <c r="A1183" s="64">
        <v>45486.0</v>
      </c>
      <c r="B1183" s="55" t="str">
        <f>HYPERLINK("https://jobright.ai/jobs/info/6528cb60f6faf5c95e6e2962?utm_campaign=1052&amp;utm_source=sheet", "Apply")</f>
        <v>Apply</v>
      </c>
      <c r="C1183" s="10" t="s">
        <v>11041</v>
      </c>
      <c r="D1183" s="56" t="s">
        <v>6050</v>
      </c>
      <c r="E1183" s="10" t="s">
        <v>65</v>
      </c>
      <c r="F1183" s="10" t="s">
        <v>2850</v>
      </c>
      <c r="G1183" s="10" t="s">
        <v>1159</v>
      </c>
      <c r="H1183" s="10" t="s">
        <v>11042</v>
      </c>
      <c r="I1183" s="10" t="s">
        <v>55</v>
      </c>
      <c r="K1183" s="10" t="s">
        <v>11043</v>
      </c>
      <c r="L1183" s="10" t="s">
        <v>42</v>
      </c>
    </row>
    <row r="1184" ht="15.75" customHeight="1">
      <c r="A1184" s="64">
        <v>45486.0</v>
      </c>
      <c r="B1184" s="55" t="str">
        <f>HYPERLINK("https://jobright.ai/jobs/info/662c307bc57ce3c63edc4126?utm_campaign=1052&amp;utm_source=sheet", "Apply")</f>
        <v>Apply</v>
      </c>
      <c r="C1184" s="10" t="s">
        <v>10870</v>
      </c>
      <c r="D1184" s="56" t="s">
        <v>9607</v>
      </c>
      <c r="E1184" s="10" t="s">
        <v>45</v>
      </c>
      <c r="F1184" s="10" t="s">
        <v>722</v>
      </c>
      <c r="G1184" s="10" t="s">
        <v>1159</v>
      </c>
      <c r="H1184" s="10" t="s">
        <v>882</v>
      </c>
      <c r="I1184" s="10" t="s">
        <v>48</v>
      </c>
      <c r="J1184" s="10" t="s">
        <v>260</v>
      </c>
      <c r="K1184" s="10" t="s">
        <v>9609</v>
      </c>
      <c r="L1184" s="10" t="s">
        <v>42</v>
      </c>
    </row>
    <row r="1185" ht="15.75" customHeight="1">
      <c r="A1185" s="64">
        <v>45486.0</v>
      </c>
      <c r="B1185" s="55" t="str">
        <f>HYPERLINK("https://jobright.ai/jobs/info/666302a4844de51657841484?utm_campaign=1052&amp;utm_source=sheet", "Apply")</f>
        <v>Apply</v>
      </c>
      <c r="C1185" s="10" t="s">
        <v>11044</v>
      </c>
      <c r="D1185" s="56" t="s">
        <v>9671</v>
      </c>
      <c r="E1185" s="10" t="s">
        <v>45</v>
      </c>
      <c r="F1185" s="10" t="s">
        <v>1084</v>
      </c>
      <c r="G1185" s="10" t="s">
        <v>9414</v>
      </c>
      <c r="H1185" s="10" t="s">
        <v>96</v>
      </c>
      <c r="I1185" s="10" t="s">
        <v>55</v>
      </c>
      <c r="J1185" s="10" t="s">
        <v>9672</v>
      </c>
      <c r="K1185" s="10" t="s">
        <v>11045</v>
      </c>
      <c r="L1185" s="10" t="s">
        <v>42</v>
      </c>
    </row>
    <row r="1186" ht="15.75" customHeight="1">
      <c r="A1186" s="64">
        <v>45486.0</v>
      </c>
      <c r="B1186" s="55" t="str">
        <f>HYPERLINK("https://jobright.ai/jobs/info/65f578a0742352a5dcd8de59?utm_campaign=1052&amp;utm_source=sheet", "Apply")</f>
        <v>Apply</v>
      </c>
      <c r="C1186" s="10" t="s">
        <v>9793</v>
      </c>
      <c r="D1186" s="56" t="s">
        <v>9607</v>
      </c>
      <c r="E1186" s="10" t="s">
        <v>45</v>
      </c>
      <c r="F1186" s="10" t="s">
        <v>722</v>
      </c>
      <c r="G1186" s="10" t="s">
        <v>9419</v>
      </c>
      <c r="H1186" s="10" t="s">
        <v>11046</v>
      </c>
      <c r="I1186" s="10" t="s">
        <v>48</v>
      </c>
      <c r="J1186" s="10" t="s">
        <v>9641</v>
      </c>
      <c r="K1186" s="10" t="s">
        <v>9799</v>
      </c>
      <c r="L1186" s="10" t="s">
        <v>42</v>
      </c>
    </row>
    <row r="1187" ht="15.75" customHeight="1">
      <c r="A1187" s="64">
        <v>45486.0</v>
      </c>
      <c r="B1187" s="55" t="str">
        <f>HYPERLINK("https://jobright.ai/jobs/info/65e5c30690f16fe0c3fcd712?utm_campaign=1052&amp;utm_source=sheet", "Apply")</f>
        <v>Apply</v>
      </c>
      <c r="C1187" s="10" t="s">
        <v>11047</v>
      </c>
      <c r="D1187" s="56" t="s">
        <v>9607</v>
      </c>
      <c r="E1187" s="10" t="s">
        <v>45</v>
      </c>
      <c r="F1187" s="10" t="s">
        <v>722</v>
      </c>
      <c r="G1187" s="10" t="s">
        <v>1159</v>
      </c>
      <c r="H1187" s="10" t="s">
        <v>921</v>
      </c>
      <c r="I1187" s="10" t="s">
        <v>48</v>
      </c>
      <c r="J1187" s="10" t="s">
        <v>9626</v>
      </c>
      <c r="K1187" s="10" t="s">
        <v>9609</v>
      </c>
      <c r="L1187" s="10" t="s">
        <v>42</v>
      </c>
    </row>
    <row r="1188" ht="15.75" customHeight="1">
      <c r="A1188" s="64">
        <v>45486.0</v>
      </c>
      <c r="B1188" s="55" t="str">
        <f>HYPERLINK("https://jobright.ai/jobs/info/6676dc4652e59db0b1bd4dfa?utm_campaign=1052&amp;utm_source=sheet", "Apply")</f>
        <v>Apply</v>
      </c>
      <c r="C1188" s="10" t="s">
        <v>11048</v>
      </c>
      <c r="D1188" s="56" t="s">
        <v>9671</v>
      </c>
      <c r="E1188" s="10" t="s">
        <v>45</v>
      </c>
      <c r="F1188" s="10" t="s">
        <v>1084</v>
      </c>
      <c r="G1188" s="10" t="s">
        <v>9414</v>
      </c>
      <c r="H1188" s="10" t="s">
        <v>96</v>
      </c>
      <c r="I1188" s="10" t="s">
        <v>55</v>
      </c>
      <c r="J1188" s="10" t="s">
        <v>11049</v>
      </c>
      <c r="K1188" s="10" t="s">
        <v>9673</v>
      </c>
      <c r="L1188" s="10" t="s">
        <v>42</v>
      </c>
    </row>
    <row r="1189" ht="15.75" customHeight="1">
      <c r="A1189" s="64">
        <v>45486.0</v>
      </c>
      <c r="B1189" s="55" t="str">
        <f>HYPERLINK("https://jobright.ai/jobs/info/662c43c1b32e2a39772a3152?utm_campaign=1052&amp;utm_source=sheet", "Apply")</f>
        <v>Apply</v>
      </c>
      <c r="C1189" s="10" t="s">
        <v>11050</v>
      </c>
      <c r="D1189" s="56" t="s">
        <v>9607</v>
      </c>
      <c r="E1189" s="10" t="s">
        <v>45</v>
      </c>
      <c r="F1189" s="10" t="s">
        <v>722</v>
      </c>
      <c r="G1189" s="10" t="s">
        <v>9419</v>
      </c>
      <c r="H1189" s="10" t="s">
        <v>153</v>
      </c>
      <c r="I1189" s="10" t="s">
        <v>48</v>
      </c>
      <c r="J1189" s="10" t="s">
        <v>9608</v>
      </c>
      <c r="K1189" s="10" t="s">
        <v>9609</v>
      </c>
      <c r="L1189" s="10" t="s">
        <v>42</v>
      </c>
    </row>
    <row r="1190" ht="15.75" customHeight="1">
      <c r="A1190" s="64">
        <v>45486.0</v>
      </c>
      <c r="B1190" s="55" t="str">
        <f>HYPERLINK("https://jobright.ai/jobs/info/6676dc2a52e59db0b1bd4bcf?utm_campaign=1052&amp;utm_source=sheet", "Apply")</f>
        <v>Apply</v>
      </c>
      <c r="C1190" s="10" t="s">
        <v>11051</v>
      </c>
      <c r="D1190" s="56" t="s">
        <v>10219</v>
      </c>
      <c r="E1190" s="10" t="s">
        <v>79</v>
      </c>
      <c r="G1190" s="10" t="s">
        <v>9419</v>
      </c>
      <c r="H1190" s="10" t="s">
        <v>628</v>
      </c>
      <c r="I1190" s="10" t="s">
        <v>55</v>
      </c>
      <c r="K1190" s="10" t="s">
        <v>11012</v>
      </c>
      <c r="L1190" s="10" t="s">
        <v>42</v>
      </c>
    </row>
    <row r="1191" ht="15.75" customHeight="1">
      <c r="A1191" s="64">
        <v>45486.0</v>
      </c>
      <c r="B1191" s="55" t="str">
        <f>HYPERLINK("https://jobright.ai/jobs/info/65f4442c39acf69fef0a75a4?utm_campaign=1052&amp;utm_source=sheet", "Apply")</f>
        <v>Apply</v>
      </c>
      <c r="C1191" s="10" t="s">
        <v>11052</v>
      </c>
      <c r="D1191" s="56" t="s">
        <v>10219</v>
      </c>
      <c r="E1191" s="10" t="s">
        <v>79</v>
      </c>
      <c r="G1191" s="10" t="s">
        <v>9419</v>
      </c>
      <c r="H1191" s="10" t="s">
        <v>628</v>
      </c>
      <c r="I1191" s="10" t="s">
        <v>55</v>
      </c>
      <c r="K1191" s="10" t="s">
        <v>10810</v>
      </c>
      <c r="L1191" s="10" t="s">
        <v>42</v>
      </c>
    </row>
    <row r="1192" ht="15.75" customHeight="1">
      <c r="A1192" s="64">
        <v>45486.0</v>
      </c>
      <c r="B1192" s="55" t="str">
        <f>HYPERLINK("https://jobright.ai/jobs/info/66795af6dcb1db3fc098e067?utm_campaign=1052&amp;utm_source=sheet", "Apply")</f>
        <v>Apply</v>
      </c>
      <c r="C1192" s="10" t="s">
        <v>9634</v>
      </c>
      <c r="D1192" s="56" t="s">
        <v>2763</v>
      </c>
      <c r="E1192" s="10" t="s">
        <v>45</v>
      </c>
      <c r="F1192" s="10" t="s">
        <v>1465</v>
      </c>
      <c r="G1192" s="10" t="s">
        <v>1159</v>
      </c>
      <c r="H1192" s="10" t="s">
        <v>4041</v>
      </c>
      <c r="I1192" s="10" t="s">
        <v>55</v>
      </c>
      <c r="J1192" s="10" t="s">
        <v>9635</v>
      </c>
      <c r="K1192" s="10" t="s">
        <v>9636</v>
      </c>
      <c r="L1192" s="10" t="s">
        <v>42</v>
      </c>
    </row>
    <row r="1193" ht="15.75" customHeight="1">
      <c r="A1193" s="64">
        <v>45486.0</v>
      </c>
      <c r="B1193" s="55" t="str">
        <f>HYPERLINK("https://jobright.ai/jobs/info/6681647f2df5458b06b5f71a?utm_campaign=1052&amp;utm_source=sheet", "Apply")</f>
        <v>Apply</v>
      </c>
      <c r="C1193" s="10" t="s">
        <v>9590</v>
      </c>
      <c r="D1193" s="56" t="s">
        <v>9591</v>
      </c>
      <c r="E1193" s="10" t="s">
        <v>209</v>
      </c>
      <c r="F1193" s="10" t="s">
        <v>534</v>
      </c>
      <c r="G1193" s="10" t="s">
        <v>9419</v>
      </c>
      <c r="H1193" s="10" t="s">
        <v>73</v>
      </c>
      <c r="I1193" s="10" t="s">
        <v>55</v>
      </c>
      <c r="K1193" s="10" t="s">
        <v>9592</v>
      </c>
      <c r="L1193" s="10" t="s">
        <v>42</v>
      </c>
    </row>
    <row r="1194" ht="15.75" customHeight="1">
      <c r="A1194" s="64">
        <v>45486.0</v>
      </c>
      <c r="B1194" s="55" t="str">
        <f>HYPERLINK("https://jobright.ai/jobs/info/661dc1e9c404a8c09724c3a9?utm_campaign=1052&amp;utm_source=sheet", "Apply")</f>
        <v>Apply</v>
      </c>
      <c r="C1194" s="10" t="s">
        <v>10210</v>
      </c>
      <c r="D1194" s="56" t="s">
        <v>9607</v>
      </c>
      <c r="E1194" s="10" t="s">
        <v>45</v>
      </c>
      <c r="F1194" s="10" t="s">
        <v>722</v>
      </c>
      <c r="G1194" s="10" t="s">
        <v>9419</v>
      </c>
      <c r="H1194" s="10" t="s">
        <v>1018</v>
      </c>
      <c r="I1194" s="10" t="s">
        <v>48</v>
      </c>
      <c r="J1194" s="10" t="s">
        <v>9626</v>
      </c>
      <c r="K1194" s="10" t="s">
        <v>9609</v>
      </c>
      <c r="L1194" s="10" t="s">
        <v>42</v>
      </c>
    </row>
    <row r="1195" ht="15.75" customHeight="1">
      <c r="A1195" s="64">
        <v>45486.0</v>
      </c>
      <c r="B1195" s="55" t="str">
        <f>HYPERLINK("https://jobright.ai/jobs/info/6659bae1559821b0fd5e5483?utm_campaign=1052&amp;utm_source=sheet", "Apply")</f>
        <v>Apply</v>
      </c>
      <c r="C1195" s="10" t="s">
        <v>9793</v>
      </c>
      <c r="D1195" s="56" t="s">
        <v>9607</v>
      </c>
      <c r="E1195" s="10" t="s">
        <v>45</v>
      </c>
      <c r="F1195" s="10" t="s">
        <v>722</v>
      </c>
      <c r="G1195" s="10" t="s">
        <v>9419</v>
      </c>
      <c r="H1195" s="10" t="s">
        <v>1013</v>
      </c>
      <c r="I1195" s="10" t="s">
        <v>48</v>
      </c>
      <c r="J1195" s="10" t="s">
        <v>9653</v>
      </c>
      <c r="K1195" s="10" t="s">
        <v>9609</v>
      </c>
      <c r="L1195" s="10" t="s">
        <v>42</v>
      </c>
    </row>
    <row r="1196" ht="15.75" customHeight="1">
      <c r="A1196" s="64">
        <v>45486.0</v>
      </c>
      <c r="B1196" s="55" t="str">
        <f>HYPERLINK("https://jobright.ai/jobs/info/66573302a080ed027835db1c?utm_campaign=1052&amp;utm_source=sheet", "Apply")</f>
        <v>Apply</v>
      </c>
      <c r="C1196" s="10" t="s">
        <v>9679</v>
      </c>
      <c r="D1196" s="56" t="s">
        <v>533</v>
      </c>
      <c r="E1196" s="10" t="s">
        <v>209</v>
      </c>
      <c r="F1196" s="10" t="s">
        <v>534</v>
      </c>
      <c r="G1196" s="10" t="s">
        <v>9419</v>
      </c>
      <c r="H1196" s="10" t="s">
        <v>886</v>
      </c>
      <c r="I1196" s="10" t="s">
        <v>48</v>
      </c>
      <c r="J1196" s="10" t="s">
        <v>9680</v>
      </c>
      <c r="K1196" s="10" t="s">
        <v>9681</v>
      </c>
      <c r="L1196" s="10" t="s">
        <v>42</v>
      </c>
    </row>
    <row r="1197" ht="15.75" customHeight="1">
      <c r="A1197" s="64">
        <v>45486.0</v>
      </c>
      <c r="B1197" s="55" t="str">
        <f>HYPERLINK("https://jobright.ai/jobs/info/66761517e5fc016086b1c3a2?utm_campaign=1052&amp;utm_source=sheet", "Apply")</f>
        <v>Apply</v>
      </c>
      <c r="C1197" s="10" t="s">
        <v>11053</v>
      </c>
      <c r="D1197" s="56" t="s">
        <v>1690</v>
      </c>
      <c r="E1197" s="10" t="s">
        <v>45</v>
      </c>
      <c r="F1197" s="10" t="s">
        <v>564</v>
      </c>
      <c r="G1197" s="10" t="s">
        <v>9414</v>
      </c>
      <c r="H1197" s="10" t="s">
        <v>1691</v>
      </c>
      <c r="I1197" s="10" t="s">
        <v>48</v>
      </c>
      <c r="K1197" s="10" t="s">
        <v>11054</v>
      </c>
      <c r="L1197" s="10" t="s">
        <v>42</v>
      </c>
    </row>
    <row r="1198" ht="15.75" customHeight="1">
      <c r="A1198" s="64">
        <v>45486.0</v>
      </c>
      <c r="B1198" s="55" t="str">
        <f>HYPERLINK("https://jobright.ai/jobs/info/66920f9e5f4e680a67db139b?utm_campaign=1052&amp;utm_source=sheet", "Apply")</f>
        <v>Apply</v>
      </c>
      <c r="C1198" s="10" t="s">
        <v>11055</v>
      </c>
      <c r="D1198" s="56" t="s">
        <v>11056</v>
      </c>
      <c r="E1198" s="10" t="s">
        <v>276</v>
      </c>
      <c r="F1198" s="10" t="s">
        <v>11057</v>
      </c>
      <c r="G1198" s="10" t="s">
        <v>9414</v>
      </c>
      <c r="H1198" s="10" t="s">
        <v>11058</v>
      </c>
      <c r="I1198" s="10" t="s">
        <v>55</v>
      </c>
      <c r="K1198" s="10" t="s">
        <v>11059</v>
      </c>
      <c r="L1198" s="10" t="s">
        <v>42</v>
      </c>
    </row>
    <row r="1199" ht="15.75" customHeight="1">
      <c r="A1199" s="64">
        <v>45486.0</v>
      </c>
      <c r="B1199" s="55" t="str">
        <f>HYPERLINK("https://jobright.ai/jobs/info/669217214e02a29a9452ffaf?utm_campaign=1052&amp;utm_source=sheet", "Apply")</f>
        <v>Apply</v>
      </c>
      <c r="C1199" s="10" t="s">
        <v>11060</v>
      </c>
      <c r="D1199" s="56" t="s">
        <v>9557</v>
      </c>
      <c r="E1199" s="10" t="s">
        <v>209</v>
      </c>
      <c r="F1199" s="10" t="s">
        <v>1159</v>
      </c>
      <c r="G1199" s="10" t="s">
        <v>9419</v>
      </c>
      <c r="H1199" s="10" t="s">
        <v>607</v>
      </c>
      <c r="I1199" s="10" t="s">
        <v>55</v>
      </c>
      <c r="K1199" s="10" t="s">
        <v>9558</v>
      </c>
      <c r="L1199" s="10" t="s">
        <v>42</v>
      </c>
    </row>
    <row r="1200" ht="15.75" customHeight="1">
      <c r="A1200" s="64">
        <v>45485.0</v>
      </c>
      <c r="B1200" s="55" t="str">
        <f>HYPERLINK("https://jobright.ai/jobs/info/6691c9b9cf3c8abe59ab6636?utm_campaign=1052&amp;utm_source=sheet", "Apply")</f>
        <v>Apply</v>
      </c>
      <c r="C1200" s="10" t="s">
        <v>11061</v>
      </c>
      <c r="D1200" s="56" t="s">
        <v>1966</v>
      </c>
      <c r="E1200" s="10">
        <v>1209.0</v>
      </c>
      <c r="G1200" s="10" t="s">
        <v>9414</v>
      </c>
      <c r="H1200" s="10" t="s">
        <v>96</v>
      </c>
      <c r="I1200" s="10" t="s">
        <v>55</v>
      </c>
      <c r="J1200" s="10" t="s">
        <v>11062</v>
      </c>
      <c r="K1200" s="10" t="s">
        <v>10649</v>
      </c>
      <c r="L1200" s="10" t="s">
        <v>42</v>
      </c>
    </row>
    <row r="1201" ht="15.75" customHeight="1">
      <c r="A1201" s="64">
        <v>45485.0</v>
      </c>
      <c r="B1201" s="55" t="str">
        <f>HYPERLINK("https://jobright.ai/jobs/info/6691c9b9cf3c8abe59ab6620?utm_campaign=1052&amp;utm_source=sheet", "Apply")</f>
        <v>Apply</v>
      </c>
      <c r="C1201" s="10" t="s">
        <v>11063</v>
      </c>
      <c r="D1201" s="56" t="s">
        <v>1966</v>
      </c>
      <c r="E1201" s="10">
        <v>1209.0</v>
      </c>
      <c r="G1201" s="10" t="s">
        <v>9414</v>
      </c>
      <c r="H1201" s="10" t="s">
        <v>96</v>
      </c>
      <c r="I1201" s="10" t="s">
        <v>55</v>
      </c>
      <c r="J1201" s="10" t="s">
        <v>6541</v>
      </c>
      <c r="K1201" s="10" t="s">
        <v>11064</v>
      </c>
      <c r="L1201" s="10" t="s">
        <v>42</v>
      </c>
    </row>
    <row r="1202" ht="15.75" customHeight="1">
      <c r="A1202" s="64">
        <v>45485.0</v>
      </c>
      <c r="B1202" s="55" t="str">
        <f>HYPERLINK("https://jobright.ai/jobs/info/6691c9b9cf3c8abe59ab662e?utm_campaign=1052&amp;utm_source=sheet", "Apply")</f>
        <v>Apply</v>
      </c>
      <c r="C1202" s="10" t="s">
        <v>11065</v>
      </c>
      <c r="D1202" s="56" t="s">
        <v>1966</v>
      </c>
      <c r="E1202" s="10">
        <v>1209.0</v>
      </c>
      <c r="G1202" s="10" t="s">
        <v>9414</v>
      </c>
      <c r="H1202" s="10" t="s">
        <v>959</v>
      </c>
      <c r="I1202" s="10" t="s">
        <v>55</v>
      </c>
      <c r="J1202" s="10" t="s">
        <v>10554</v>
      </c>
      <c r="K1202" s="10" t="s">
        <v>11066</v>
      </c>
      <c r="L1202" s="10" t="s">
        <v>42</v>
      </c>
    </row>
    <row r="1203" ht="15.75" customHeight="1">
      <c r="A1203" s="64">
        <v>45485.0</v>
      </c>
      <c r="B1203" s="55" t="str">
        <f>HYPERLINK("https://jobright.ai/jobs/info/6691c77455fdc8d51c7e4415?utm_campaign=1052&amp;utm_source=sheet", "Apply")</f>
        <v>Apply</v>
      </c>
      <c r="C1203" s="10" t="s">
        <v>11067</v>
      </c>
      <c r="D1203" s="56" t="s">
        <v>1966</v>
      </c>
      <c r="E1203" s="10">
        <v>1209.0</v>
      </c>
      <c r="G1203" s="10" t="s">
        <v>9414</v>
      </c>
      <c r="H1203" s="10" t="s">
        <v>96</v>
      </c>
      <c r="I1203" s="10" t="s">
        <v>55</v>
      </c>
      <c r="J1203" s="10" t="s">
        <v>11068</v>
      </c>
      <c r="K1203" s="10" t="s">
        <v>11069</v>
      </c>
      <c r="L1203" s="10" t="s">
        <v>42</v>
      </c>
    </row>
    <row r="1204" ht="15.75" customHeight="1">
      <c r="A1204" s="64">
        <v>45485.0</v>
      </c>
      <c r="B1204" s="55" t="str">
        <f>HYPERLINK("https://jobright.ai/jobs/info/6691c77455fdc8d51c7e43fc?utm_campaign=1052&amp;utm_source=sheet", "Apply")</f>
        <v>Apply</v>
      </c>
      <c r="C1204" s="10" t="s">
        <v>11070</v>
      </c>
      <c r="D1204" s="56" t="s">
        <v>1966</v>
      </c>
      <c r="E1204" s="10">
        <v>1209.0</v>
      </c>
      <c r="G1204" s="10" t="s">
        <v>9414</v>
      </c>
      <c r="H1204" s="10" t="s">
        <v>96</v>
      </c>
      <c r="I1204" s="10" t="s">
        <v>55</v>
      </c>
      <c r="J1204" s="10" t="s">
        <v>11068</v>
      </c>
      <c r="K1204" s="10" t="s">
        <v>11071</v>
      </c>
      <c r="L1204" s="10" t="s">
        <v>42</v>
      </c>
    </row>
    <row r="1205" ht="15.75" customHeight="1">
      <c r="A1205" s="64">
        <v>45485.0</v>
      </c>
      <c r="B1205" s="55" t="str">
        <f>HYPERLINK("https://jobright.ai/jobs/info/6691d14b77e9142c196245ba?utm_campaign=1052&amp;utm_source=sheet", "Apply")</f>
        <v>Apply</v>
      </c>
      <c r="C1205" s="10" t="s">
        <v>10646</v>
      </c>
      <c r="D1205" s="56" t="s">
        <v>1966</v>
      </c>
      <c r="E1205" s="10">
        <v>1209.0</v>
      </c>
      <c r="G1205" s="10" t="s">
        <v>1159</v>
      </c>
      <c r="H1205" s="10" t="s">
        <v>911</v>
      </c>
      <c r="I1205" s="10" t="s">
        <v>55</v>
      </c>
      <c r="J1205" s="10" t="s">
        <v>8321</v>
      </c>
      <c r="K1205" s="10" t="s">
        <v>10647</v>
      </c>
      <c r="L1205" s="10" t="s">
        <v>42</v>
      </c>
    </row>
    <row r="1206" ht="15.75" customHeight="1">
      <c r="A1206" s="64">
        <v>45485.0</v>
      </c>
      <c r="B1206" s="55" t="str">
        <f>HYPERLINK("https://jobright.ai/jobs/info/6691d14277e9142c196244c6?utm_campaign=1052&amp;utm_source=sheet", "Apply")</f>
        <v>Apply</v>
      </c>
      <c r="C1206" s="10" t="s">
        <v>11072</v>
      </c>
      <c r="D1206" s="56" t="s">
        <v>1966</v>
      </c>
      <c r="E1206" s="10">
        <v>1209.0</v>
      </c>
      <c r="G1206" s="10" t="s">
        <v>9414</v>
      </c>
      <c r="H1206" s="10" t="s">
        <v>96</v>
      </c>
      <c r="I1206" s="10" t="s">
        <v>55</v>
      </c>
      <c r="J1206" s="10" t="s">
        <v>11073</v>
      </c>
      <c r="K1206" s="10" t="s">
        <v>10649</v>
      </c>
      <c r="L1206" s="10" t="s">
        <v>42</v>
      </c>
    </row>
    <row r="1207" ht="15.75" customHeight="1">
      <c r="A1207" s="64">
        <v>45485.0</v>
      </c>
      <c r="B1207" s="55" t="str">
        <f>HYPERLINK("https://jobright.ai/jobs/info/6691bd44fd9555930f1fd987?utm_campaign=1052&amp;utm_source=sheet", "Apply")</f>
        <v>Apply</v>
      </c>
      <c r="C1207" s="10" t="s">
        <v>10279</v>
      </c>
      <c r="D1207" s="56" t="s">
        <v>11074</v>
      </c>
      <c r="E1207" s="10">
        <v>5015.0</v>
      </c>
      <c r="G1207" s="10" t="s">
        <v>9414</v>
      </c>
      <c r="H1207" s="10" t="s">
        <v>96</v>
      </c>
      <c r="I1207" s="10" t="s">
        <v>48</v>
      </c>
      <c r="J1207" s="10" t="s">
        <v>11075</v>
      </c>
      <c r="K1207" s="10" t="s">
        <v>10280</v>
      </c>
      <c r="L1207" s="10" t="s">
        <v>42</v>
      </c>
    </row>
    <row r="1208" ht="15.75" customHeight="1">
      <c r="A1208" s="64">
        <v>45485.0</v>
      </c>
      <c r="B1208" s="55" t="str">
        <f>HYPERLINK("https://jobright.ai/jobs/info/6691bd44fd9555930f1fd9c2?utm_campaign=1052&amp;utm_source=sheet", "Apply")</f>
        <v>Apply</v>
      </c>
      <c r="C1208" s="10" t="s">
        <v>11076</v>
      </c>
      <c r="D1208" s="56" t="s">
        <v>1966</v>
      </c>
      <c r="E1208" s="10">
        <v>1209.0</v>
      </c>
      <c r="G1208" s="10" t="s">
        <v>9414</v>
      </c>
      <c r="H1208" s="10" t="s">
        <v>96</v>
      </c>
      <c r="I1208" s="10" t="s">
        <v>55</v>
      </c>
      <c r="J1208" s="10" t="s">
        <v>6541</v>
      </c>
      <c r="K1208" s="10" t="s">
        <v>10649</v>
      </c>
      <c r="L1208" s="10" t="s">
        <v>42</v>
      </c>
    </row>
    <row r="1209" ht="15.75" customHeight="1">
      <c r="A1209" s="64">
        <v>45485.0</v>
      </c>
      <c r="B1209" s="55" t="str">
        <f>HYPERLINK("https://jobright.ai/jobs/info/6691c248434cdde412c01f27?utm_campaign=1052&amp;utm_source=sheet", "Apply")</f>
        <v>Apply</v>
      </c>
      <c r="C1209" s="10" t="s">
        <v>11077</v>
      </c>
      <c r="D1209" s="56" t="s">
        <v>11074</v>
      </c>
      <c r="E1209" s="10">
        <v>5015.0</v>
      </c>
      <c r="G1209" s="10" t="s">
        <v>9414</v>
      </c>
      <c r="H1209" s="10" t="s">
        <v>153</v>
      </c>
      <c r="I1209" s="10" t="s">
        <v>48</v>
      </c>
      <c r="K1209" s="10" t="s">
        <v>10280</v>
      </c>
      <c r="L1209" s="10" t="s">
        <v>42</v>
      </c>
    </row>
    <row r="1210" ht="15.75" customHeight="1">
      <c r="A1210" s="64">
        <v>45485.0</v>
      </c>
      <c r="B1210" s="55" t="str">
        <f>HYPERLINK("https://jobright.ai/jobs/info/668deb8c6da13c2496823dcf?utm_campaign=1052&amp;utm_source=sheet", "Apply")</f>
        <v>Apply</v>
      </c>
      <c r="C1210" s="10" t="s">
        <v>11078</v>
      </c>
      <c r="D1210" s="56" t="s">
        <v>1650</v>
      </c>
      <c r="E1210" s="10" t="s">
        <v>209</v>
      </c>
      <c r="F1210" s="10" t="s">
        <v>1243</v>
      </c>
      <c r="G1210" s="10" t="s">
        <v>9414</v>
      </c>
      <c r="H1210" s="10" t="s">
        <v>153</v>
      </c>
      <c r="I1210" s="10" t="s">
        <v>55</v>
      </c>
      <c r="K1210" s="10" t="s">
        <v>11079</v>
      </c>
      <c r="L1210" s="10" t="s">
        <v>42</v>
      </c>
    </row>
    <row r="1211" ht="15.75" customHeight="1">
      <c r="A1211" s="64">
        <v>45485.0</v>
      </c>
      <c r="B1211" s="55" t="str">
        <f>HYPERLINK("https://jobright.ai/jobs/info/6691b8dfcc90539b64763730?utm_campaign=1052&amp;utm_source=sheet", "Apply")</f>
        <v>Apply</v>
      </c>
      <c r="C1211" s="10" t="s">
        <v>11077</v>
      </c>
      <c r="D1211" s="56" t="s">
        <v>1178</v>
      </c>
      <c r="E1211" s="10" t="s">
        <v>137</v>
      </c>
      <c r="F1211" s="10" t="s">
        <v>1179</v>
      </c>
      <c r="G1211" s="10" t="s">
        <v>9414</v>
      </c>
      <c r="H1211" s="10" t="s">
        <v>153</v>
      </c>
      <c r="I1211" s="10" t="s">
        <v>48</v>
      </c>
      <c r="J1211" s="64"/>
      <c r="K1211" s="10" t="s">
        <v>10280</v>
      </c>
      <c r="L1211" s="10" t="s">
        <v>42</v>
      </c>
    </row>
    <row r="1212" ht="15.75" customHeight="1">
      <c r="A1212" s="64">
        <v>45485.0</v>
      </c>
      <c r="B1212" s="55" t="str">
        <f>HYPERLINK("https://jobright.ai/jobs/info/6691a3444c7d2eb620a7bc15?utm_campaign=1052&amp;utm_source=sheet", "Apply")</f>
        <v>Apply</v>
      </c>
      <c r="C1212" s="10" t="s">
        <v>11080</v>
      </c>
      <c r="D1212" s="56" t="s">
        <v>11081</v>
      </c>
      <c r="E1212" s="10" t="s">
        <v>137</v>
      </c>
      <c r="F1212" s="10" t="s">
        <v>1159</v>
      </c>
      <c r="G1212" s="10" t="s">
        <v>9419</v>
      </c>
      <c r="H1212" s="10" t="s">
        <v>2485</v>
      </c>
      <c r="I1212" s="10" t="s">
        <v>48</v>
      </c>
      <c r="K1212" s="10" t="s">
        <v>11082</v>
      </c>
      <c r="L1212" s="10" t="s">
        <v>42</v>
      </c>
    </row>
    <row r="1213" ht="15.75" customHeight="1">
      <c r="A1213" s="64">
        <v>45485.0</v>
      </c>
      <c r="B1213" s="55" t="str">
        <f>HYPERLINK("https://jobright.ai/jobs/info/6691895dac10c1640df7088c?utm_campaign=1052&amp;utm_source=sheet", "Apply")</f>
        <v>Apply</v>
      </c>
      <c r="C1213" s="10" t="s">
        <v>11083</v>
      </c>
      <c r="D1213" s="56" t="s">
        <v>11084</v>
      </c>
      <c r="E1213" s="10" t="s">
        <v>276</v>
      </c>
      <c r="F1213" s="10" t="s">
        <v>331</v>
      </c>
      <c r="G1213" s="10" t="s">
        <v>1159</v>
      </c>
      <c r="H1213" s="10" t="s">
        <v>803</v>
      </c>
      <c r="I1213" s="10" t="s">
        <v>55</v>
      </c>
      <c r="K1213" s="10" t="s">
        <v>11085</v>
      </c>
      <c r="L1213" s="10" t="s">
        <v>42</v>
      </c>
    </row>
    <row r="1214" ht="15.75" customHeight="1">
      <c r="A1214" s="64">
        <v>45485.0</v>
      </c>
      <c r="B1214" s="55" t="str">
        <f>HYPERLINK("https://jobright.ai/jobs/info/669175c48a86121fc080d79e?utm_campaign=1052&amp;utm_source=sheet", "Apply")</f>
        <v>Apply</v>
      </c>
      <c r="C1214" s="10" t="s">
        <v>9436</v>
      </c>
      <c r="D1214" s="56" t="s">
        <v>11086</v>
      </c>
      <c r="E1214" s="10" t="s">
        <v>45</v>
      </c>
      <c r="F1214" s="10" t="s">
        <v>7548</v>
      </c>
      <c r="G1214" s="10" t="s">
        <v>9414</v>
      </c>
      <c r="H1214" s="10" t="s">
        <v>3968</v>
      </c>
      <c r="I1214" s="10" t="s">
        <v>55</v>
      </c>
      <c r="K1214" s="10" t="s">
        <v>11087</v>
      </c>
      <c r="L1214" s="10" t="s">
        <v>42</v>
      </c>
    </row>
    <row r="1215" ht="15.75" customHeight="1">
      <c r="A1215" s="64">
        <v>45485.0</v>
      </c>
      <c r="B1215" s="55" t="str">
        <f>HYPERLINK("https://jobright.ai/jobs/info/669164e1d66fd87165ef0fb9?utm_campaign=1052&amp;utm_source=sheet", "Apply")</f>
        <v>Apply</v>
      </c>
      <c r="C1215" s="10" t="s">
        <v>10349</v>
      </c>
      <c r="D1215" s="56" t="s">
        <v>2836</v>
      </c>
      <c r="E1215" s="10" t="s">
        <v>45</v>
      </c>
      <c r="F1215" s="10" t="s">
        <v>665</v>
      </c>
      <c r="G1215" s="10" t="s">
        <v>9414</v>
      </c>
      <c r="H1215" s="10" t="s">
        <v>5328</v>
      </c>
      <c r="I1215" s="10" t="s">
        <v>48</v>
      </c>
      <c r="J1215" s="10" t="s">
        <v>1797</v>
      </c>
      <c r="K1215" s="10" t="s">
        <v>10350</v>
      </c>
      <c r="L1215" s="10" t="s">
        <v>42</v>
      </c>
    </row>
    <row r="1216" ht="15.75" customHeight="1">
      <c r="A1216" s="64">
        <v>45485.0</v>
      </c>
      <c r="B1216" s="55" t="str">
        <f>HYPERLINK("https://jobright.ai/jobs/info/66a403940d09d8a9054b422e?utm_campaign=1052&amp;utm_source=sheet", "Apply")</f>
        <v>Apply</v>
      </c>
      <c r="C1216" s="10" t="s">
        <v>11088</v>
      </c>
      <c r="D1216" s="56" t="s">
        <v>1094</v>
      </c>
      <c r="E1216" s="10" t="s">
        <v>45</v>
      </c>
      <c r="F1216" s="10" t="s">
        <v>731</v>
      </c>
      <c r="G1216" s="10" t="s">
        <v>9414</v>
      </c>
      <c r="H1216" s="10" t="s">
        <v>96</v>
      </c>
      <c r="I1216" s="10" t="s">
        <v>55</v>
      </c>
      <c r="K1216" s="10" t="s">
        <v>11089</v>
      </c>
      <c r="L1216" s="10" t="s">
        <v>42</v>
      </c>
    </row>
    <row r="1217" ht="15.75" customHeight="1">
      <c r="A1217" s="64">
        <v>45485.0</v>
      </c>
      <c r="B1217" s="55" t="str">
        <f>HYPERLINK("https://jobright.ai/jobs/info/66916f623b6c204d4901d475?utm_campaign=1052&amp;utm_source=sheet", "Apply")</f>
        <v>Apply</v>
      </c>
      <c r="C1217" s="10" t="s">
        <v>11090</v>
      </c>
      <c r="D1217" s="56" t="s">
        <v>11091</v>
      </c>
      <c r="E1217" s="10" t="s">
        <v>79</v>
      </c>
      <c r="F1217" s="10" t="s">
        <v>1485</v>
      </c>
      <c r="G1217" s="10" t="s">
        <v>9414</v>
      </c>
      <c r="H1217" s="10" t="s">
        <v>953</v>
      </c>
      <c r="I1217" s="10" t="s">
        <v>55</v>
      </c>
      <c r="K1217" s="10" t="s">
        <v>11092</v>
      </c>
      <c r="L1217" s="10" t="s">
        <v>42</v>
      </c>
    </row>
    <row r="1218" ht="15.75" customHeight="1">
      <c r="A1218" s="64">
        <v>45485.0</v>
      </c>
      <c r="B1218" s="55" t="str">
        <f>HYPERLINK("https://jobright.ai/jobs/info/66a407ef9d6a30be4eff9f64?utm_campaign=1052&amp;utm_source=sheet", "Apply")</f>
        <v>Apply</v>
      </c>
      <c r="C1218" s="10" t="s">
        <v>11093</v>
      </c>
      <c r="D1218" s="56" t="s">
        <v>533</v>
      </c>
      <c r="E1218" s="10" t="s">
        <v>209</v>
      </c>
      <c r="F1218" s="10" t="s">
        <v>534</v>
      </c>
      <c r="G1218" s="10" t="s">
        <v>9419</v>
      </c>
      <c r="H1218" s="10" t="s">
        <v>96</v>
      </c>
      <c r="I1218" s="10" t="s">
        <v>55</v>
      </c>
      <c r="J1218" s="10" t="s">
        <v>10250</v>
      </c>
      <c r="K1218" s="10" t="s">
        <v>9454</v>
      </c>
      <c r="L1218" s="10" t="s">
        <v>42</v>
      </c>
    </row>
    <row r="1219" ht="15.75" customHeight="1">
      <c r="A1219" s="64">
        <v>45485.0</v>
      </c>
      <c r="B1219" s="55" t="str">
        <f>HYPERLINK("https://jobright.ai/jobs/info/66a3b94ab7664db4f97b9252?utm_campaign=1052&amp;utm_source=sheet", "Apply")</f>
        <v>Apply</v>
      </c>
      <c r="C1219" s="10" t="s">
        <v>11094</v>
      </c>
      <c r="D1219" s="56" t="s">
        <v>11095</v>
      </c>
      <c r="E1219" s="10" t="s">
        <v>45</v>
      </c>
      <c r="F1219" s="10" t="s">
        <v>11096</v>
      </c>
      <c r="G1219" s="10" t="s">
        <v>1159</v>
      </c>
      <c r="H1219" s="10" t="s">
        <v>6990</v>
      </c>
      <c r="I1219" s="10" t="s">
        <v>55</v>
      </c>
      <c r="J1219" s="10" t="s">
        <v>11097</v>
      </c>
      <c r="K1219" s="10" t="s">
        <v>11098</v>
      </c>
      <c r="L1219" s="10" t="s">
        <v>42</v>
      </c>
    </row>
    <row r="1220" ht="15.75" customHeight="1">
      <c r="A1220" s="64">
        <v>45485.0</v>
      </c>
      <c r="B1220" s="55" t="str">
        <f>HYPERLINK("https://jobright.ai/jobs/info/66928638ae0c89423644bf66?utm_campaign=1052&amp;utm_source=sheet", "Apply")</f>
        <v>Apply</v>
      </c>
      <c r="C1220" s="10" t="s">
        <v>11099</v>
      </c>
      <c r="D1220" s="56" t="s">
        <v>11100</v>
      </c>
      <c r="E1220" s="10" t="s">
        <v>71</v>
      </c>
      <c r="F1220" s="10" t="s">
        <v>11101</v>
      </c>
      <c r="G1220" s="10" t="s">
        <v>9414</v>
      </c>
      <c r="H1220" s="10" t="s">
        <v>2708</v>
      </c>
      <c r="I1220" s="10" t="s">
        <v>55</v>
      </c>
      <c r="K1220" s="10" t="s">
        <v>11102</v>
      </c>
      <c r="L1220" s="10" t="s">
        <v>42</v>
      </c>
    </row>
    <row r="1221" ht="15.75" customHeight="1">
      <c r="A1221" s="64">
        <v>45485.0</v>
      </c>
      <c r="B1221" s="55" t="str">
        <f>HYPERLINK("https://jobright.ai/jobs/info/66928638ae0c89423644bf77?utm_campaign=1052&amp;utm_source=sheet", "Apply")</f>
        <v>Apply</v>
      </c>
      <c r="C1221" s="10" t="s">
        <v>11103</v>
      </c>
      <c r="D1221" s="56" t="s">
        <v>11100</v>
      </c>
      <c r="E1221" s="10" t="s">
        <v>71</v>
      </c>
      <c r="F1221" s="10" t="s">
        <v>11101</v>
      </c>
      <c r="G1221" s="10" t="s">
        <v>9414</v>
      </c>
      <c r="H1221" s="10" t="s">
        <v>2708</v>
      </c>
      <c r="I1221" s="10" t="s">
        <v>55</v>
      </c>
      <c r="K1221" s="10" t="s">
        <v>11102</v>
      </c>
      <c r="L1221" s="10" t="s">
        <v>42</v>
      </c>
    </row>
    <row r="1222" ht="15.75" customHeight="1">
      <c r="A1222" s="64">
        <v>45485.0</v>
      </c>
      <c r="B1222" s="55" t="str">
        <f>HYPERLINK("https://jobright.ai/jobs/info/66928638ae0c89423644bf78?utm_campaign=1052&amp;utm_source=sheet", "Apply")</f>
        <v>Apply</v>
      </c>
      <c r="C1222" s="10" t="s">
        <v>11104</v>
      </c>
      <c r="D1222" s="56" t="s">
        <v>11100</v>
      </c>
      <c r="E1222" s="10" t="s">
        <v>71</v>
      </c>
      <c r="F1222" s="10" t="s">
        <v>11101</v>
      </c>
      <c r="G1222" s="10" t="s">
        <v>9414</v>
      </c>
      <c r="H1222" s="10" t="s">
        <v>9748</v>
      </c>
      <c r="I1222" s="10" t="s">
        <v>55</v>
      </c>
      <c r="K1222" s="10" t="s">
        <v>11102</v>
      </c>
      <c r="L1222" s="10" t="s">
        <v>42</v>
      </c>
    </row>
    <row r="1223" ht="15.75" customHeight="1">
      <c r="A1223" s="64">
        <v>45485.0</v>
      </c>
      <c r="B1223" s="55" t="str">
        <f>HYPERLINK("https://jobright.ai/jobs/info/66928638ae0c89423644bfc5?utm_campaign=1052&amp;utm_source=sheet", "Apply")</f>
        <v>Apply</v>
      </c>
      <c r="C1223" s="10" t="s">
        <v>11105</v>
      </c>
      <c r="D1223" s="56" t="s">
        <v>11100</v>
      </c>
      <c r="E1223" s="10" t="s">
        <v>71</v>
      </c>
      <c r="F1223" s="10" t="s">
        <v>11101</v>
      </c>
      <c r="G1223" s="10" t="s">
        <v>9414</v>
      </c>
      <c r="H1223" s="10" t="s">
        <v>2708</v>
      </c>
      <c r="I1223" s="10" t="s">
        <v>55</v>
      </c>
      <c r="K1223" s="10" t="s">
        <v>11102</v>
      </c>
      <c r="L1223" s="10" t="s">
        <v>42</v>
      </c>
    </row>
    <row r="1224" ht="15.75" customHeight="1">
      <c r="A1224" s="64">
        <v>45485.0</v>
      </c>
      <c r="B1224" s="55" t="str">
        <f>HYPERLINK("https://jobright.ai/jobs/info/66a4081e9d6a30be4effa360?utm_campaign=1052&amp;utm_source=sheet", "Apply")</f>
        <v>Apply</v>
      </c>
      <c r="C1224" s="10" t="s">
        <v>11106</v>
      </c>
      <c r="D1224" s="56" t="s">
        <v>5175</v>
      </c>
      <c r="E1224" s="10" t="s">
        <v>45</v>
      </c>
      <c r="F1224" s="10" t="s">
        <v>5176</v>
      </c>
      <c r="G1224" s="10" t="s">
        <v>9414</v>
      </c>
      <c r="H1224" s="10" t="s">
        <v>11107</v>
      </c>
      <c r="I1224" s="10" t="s">
        <v>55</v>
      </c>
      <c r="K1224" s="10" t="s">
        <v>11108</v>
      </c>
      <c r="L1224" s="10" t="s">
        <v>42</v>
      </c>
    </row>
    <row r="1225" ht="15.75" customHeight="1">
      <c r="A1225" s="64">
        <v>45485.0</v>
      </c>
      <c r="B1225" s="55" t="str">
        <f>HYPERLINK("https://jobright.ai/jobs/info/66a408289d6a30be4effa3ff?utm_campaign=1052&amp;utm_source=sheet", "Apply")</f>
        <v>Apply</v>
      </c>
      <c r="C1225" s="10" t="s">
        <v>11109</v>
      </c>
      <c r="D1225" s="58" t="s">
        <v>1572</v>
      </c>
      <c r="E1225" s="10" t="s">
        <v>249</v>
      </c>
      <c r="F1225" s="10" t="s">
        <v>1573</v>
      </c>
      <c r="G1225" s="10" t="s">
        <v>9414</v>
      </c>
      <c r="H1225" s="10" t="s">
        <v>106</v>
      </c>
      <c r="I1225" s="10" t="s">
        <v>48</v>
      </c>
      <c r="K1225" s="10" t="s">
        <v>11110</v>
      </c>
      <c r="L1225" s="10" t="s">
        <v>42</v>
      </c>
    </row>
    <row r="1226" ht="15.75" customHeight="1">
      <c r="A1226" s="64">
        <v>45485.0</v>
      </c>
      <c r="B1226" s="55" t="str">
        <f>HYPERLINK("https://jobright.ai/jobs/info/66a408289d6a30be4effa413?utm_campaign=1052&amp;utm_source=sheet", "Apply")</f>
        <v>Apply</v>
      </c>
      <c r="C1226" s="10" t="s">
        <v>11106</v>
      </c>
      <c r="D1226" s="56" t="s">
        <v>5175</v>
      </c>
      <c r="E1226" s="10" t="s">
        <v>45</v>
      </c>
      <c r="F1226" s="10" t="s">
        <v>5176</v>
      </c>
      <c r="G1226" s="10" t="s">
        <v>9414</v>
      </c>
      <c r="H1226" s="10" t="s">
        <v>278</v>
      </c>
      <c r="I1226" s="10" t="s">
        <v>55</v>
      </c>
      <c r="J1226" s="64"/>
      <c r="K1226" s="10" t="s">
        <v>11111</v>
      </c>
      <c r="L1226" s="10" t="s">
        <v>42</v>
      </c>
    </row>
    <row r="1227" ht="15.75" customHeight="1">
      <c r="A1227" s="64">
        <v>45485.0</v>
      </c>
      <c r="B1227" s="55" t="str">
        <f>HYPERLINK("https://jobright.ai/jobs/info/6694fefa0a69649d3e7798e6?utm_campaign=1052&amp;utm_source=sheet", "Apply")</f>
        <v>Apply</v>
      </c>
      <c r="C1227" s="10" t="s">
        <v>10969</v>
      </c>
      <c r="D1227" s="56" t="s">
        <v>11112</v>
      </c>
      <c r="E1227" s="10" t="s">
        <v>79</v>
      </c>
      <c r="F1227" s="10" t="s">
        <v>1485</v>
      </c>
      <c r="G1227" s="10" t="s">
        <v>9419</v>
      </c>
      <c r="H1227" s="10" t="s">
        <v>174</v>
      </c>
      <c r="I1227" s="10" t="s">
        <v>48</v>
      </c>
      <c r="J1227" s="10" t="s">
        <v>11113</v>
      </c>
      <c r="K1227" s="10" t="s">
        <v>11114</v>
      </c>
      <c r="L1227" s="10" t="s">
        <v>42</v>
      </c>
    </row>
    <row r="1228" ht="15.75" customHeight="1">
      <c r="A1228" s="64">
        <v>45485.0</v>
      </c>
      <c r="B1228" s="55" t="str">
        <f>HYPERLINK("https://jobright.ai/jobs/info/66900fe34a77721ba220eff9?utm_campaign=1052&amp;utm_source=sheet", "Apply")</f>
        <v>Apply</v>
      </c>
      <c r="C1228" s="10" t="s">
        <v>11115</v>
      </c>
      <c r="D1228" s="56" t="s">
        <v>1980</v>
      </c>
      <c r="E1228" s="10" t="s">
        <v>65</v>
      </c>
      <c r="F1228" s="10" t="s">
        <v>722</v>
      </c>
      <c r="G1228" s="10" t="s">
        <v>9419</v>
      </c>
      <c r="H1228" s="10" t="s">
        <v>2380</v>
      </c>
      <c r="I1228" s="10" t="s">
        <v>55</v>
      </c>
      <c r="K1228" s="10" t="s">
        <v>11116</v>
      </c>
      <c r="L1228" s="10" t="s">
        <v>42</v>
      </c>
    </row>
    <row r="1229" ht="15.75" customHeight="1">
      <c r="A1229" s="64">
        <v>45485.0</v>
      </c>
      <c r="B1229" s="55" t="str">
        <f>HYPERLINK("https://jobright.ai/jobs/info/66900fe34a77721ba220efe1?utm_campaign=1052&amp;utm_source=sheet", "Apply")</f>
        <v>Apply</v>
      </c>
      <c r="C1229" s="10" t="s">
        <v>11117</v>
      </c>
      <c r="D1229" s="56" t="s">
        <v>1980</v>
      </c>
      <c r="E1229" s="10" t="s">
        <v>65</v>
      </c>
      <c r="F1229" s="10" t="s">
        <v>722</v>
      </c>
      <c r="G1229" s="10" t="s">
        <v>9419</v>
      </c>
      <c r="H1229" s="10" t="s">
        <v>167</v>
      </c>
      <c r="I1229" s="10" t="s">
        <v>55</v>
      </c>
      <c r="K1229" s="10" t="s">
        <v>11116</v>
      </c>
      <c r="L1229" s="10" t="s">
        <v>42</v>
      </c>
    </row>
    <row r="1230" ht="15.75" customHeight="1">
      <c r="A1230" s="64">
        <v>45485.0</v>
      </c>
      <c r="B1230" s="55" t="str">
        <f>HYPERLINK("https://jobright.ai/jobs/info/6674ae83067738ea3c924f25?utm_campaign=1052&amp;utm_source=sheet", "Apply")</f>
        <v>Apply</v>
      </c>
      <c r="C1230" s="10" t="s">
        <v>9793</v>
      </c>
      <c r="D1230" s="56" t="s">
        <v>9607</v>
      </c>
      <c r="E1230" s="10" t="s">
        <v>45</v>
      </c>
      <c r="F1230" s="10" t="s">
        <v>722</v>
      </c>
      <c r="G1230" s="10" t="s">
        <v>9419</v>
      </c>
      <c r="H1230" s="10" t="s">
        <v>605</v>
      </c>
      <c r="I1230" s="10" t="s">
        <v>48</v>
      </c>
      <c r="J1230" s="10" t="s">
        <v>260</v>
      </c>
      <c r="K1230" s="10" t="s">
        <v>9609</v>
      </c>
      <c r="L1230" s="10" t="s">
        <v>42</v>
      </c>
    </row>
    <row r="1231" ht="15.75" customHeight="1">
      <c r="A1231" s="64">
        <v>45485.0</v>
      </c>
      <c r="B1231" s="55" t="str">
        <f>HYPERLINK("https://jobright.ai/jobs/info/6691042d0e60d58ac1943341?utm_campaign=1052&amp;utm_source=sheet", "Apply")</f>
        <v>Apply</v>
      </c>
      <c r="C1231" s="10" t="s">
        <v>11118</v>
      </c>
      <c r="D1231" s="56" t="s">
        <v>1846</v>
      </c>
      <c r="E1231" s="10" t="s">
        <v>45</v>
      </c>
      <c r="F1231" s="10" t="s">
        <v>1485</v>
      </c>
      <c r="G1231" s="10" t="s">
        <v>9414</v>
      </c>
      <c r="H1231" s="10" t="s">
        <v>154</v>
      </c>
      <c r="I1231" s="10" t="s">
        <v>55</v>
      </c>
      <c r="K1231" s="10" t="s">
        <v>5365</v>
      </c>
      <c r="L1231" s="10" t="s">
        <v>42</v>
      </c>
    </row>
    <row r="1232" ht="15.75" customHeight="1">
      <c r="A1232" s="64">
        <v>45485.0</v>
      </c>
      <c r="B1232" s="55" t="str">
        <f>HYPERLINK("https://jobright.ai/jobs/info/6674b522cd7d9b9c107d0dfd?utm_campaign=1052&amp;utm_source=sheet", "Apply")</f>
        <v>Apply</v>
      </c>
      <c r="C1232" s="10" t="s">
        <v>11119</v>
      </c>
      <c r="D1232" s="56" t="s">
        <v>533</v>
      </c>
      <c r="E1232" s="10" t="s">
        <v>209</v>
      </c>
      <c r="F1232" s="10" t="s">
        <v>534</v>
      </c>
      <c r="G1232" s="10" t="s">
        <v>9419</v>
      </c>
      <c r="H1232" s="10" t="s">
        <v>139</v>
      </c>
      <c r="I1232" s="10" t="s">
        <v>48</v>
      </c>
      <c r="J1232" s="10" t="s">
        <v>10347</v>
      </c>
      <c r="K1232" s="10" t="s">
        <v>10879</v>
      </c>
      <c r="L1232" s="10" t="s">
        <v>42</v>
      </c>
    </row>
    <row r="1233" ht="15.75" customHeight="1">
      <c r="A1233" s="64">
        <v>45485.0</v>
      </c>
      <c r="B1233" s="55" t="str">
        <f>HYPERLINK("https://jobright.ai/jobs/info/66900fe34a77721ba220f00d?utm_campaign=1052&amp;utm_source=sheet", "Apply")</f>
        <v>Apply</v>
      </c>
      <c r="C1233" s="10" t="s">
        <v>11120</v>
      </c>
      <c r="D1233" s="56" t="s">
        <v>1980</v>
      </c>
      <c r="E1233" s="10" t="s">
        <v>65</v>
      </c>
      <c r="F1233" s="10" t="s">
        <v>722</v>
      </c>
      <c r="G1233" s="10" t="s">
        <v>9419</v>
      </c>
      <c r="H1233" s="10" t="s">
        <v>113</v>
      </c>
      <c r="I1233" s="10" t="s">
        <v>55</v>
      </c>
      <c r="K1233" s="10" t="s">
        <v>11116</v>
      </c>
      <c r="L1233" s="10" t="s">
        <v>42</v>
      </c>
    </row>
    <row r="1234" ht="15.75" customHeight="1">
      <c r="A1234" s="64">
        <v>45485.0</v>
      </c>
      <c r="B1234" s="55" t="str">
        <f>HYPERLINK("https://jobright.ai/jobs/info/66900feb4a77721ba220f03a?utm_campaign=1052&amp;utm_source=sheet", "Apply")</f>
        <v>Apply</v>
      </c>
      <c r="C1234" s="10" t="s">
        <v>11121</v>
      </c>
      <c r="D1234" s="56" t="s">
        <v>1980</v>
      </c>
      <c r="E1234" s="10" t="s">
        <v>65</v>
      </c>
      <c r="F1234" s="10" t="s">
        <v>722</v>
      </c>
      <c r="G1234" s="10" t="s">
        <v>9419</v>
      </c>
      <c r="H1234" s="10" t="s">
        <v>11122</v>
      </c>
      <c r="I1234" s="10" t="s">
        <v>55</v>
      </c>
      <c r="K1234" s="10" t="s">
        <v>11116</v>
      </c>
      <c r="L1234" s="10" t="s">
        <v>42</v>
      </c>
    </row>
    <row r="1235" ht="15.75" customHeight="1">
      <c r="A1235" s="64">
        <v>45485.0</v>
      </c>
      <c r="B1235" s="55" t="str">
        <f>HYPERLINK("https://jobright.ai/jobs/info/6691577c3adb4fe5a948eb52?utm_campaign=1052&amp;utm_source=sheet", "Apply")</f>
        <v>Apply</v>
      </c>
      <c r="C1235" s="10" t="s">
        <v>11123</v>
      </c>
      <c r="D1235" s="56" t="s">
        <v>1980</v>
      </c>
      <c r="E1235" s="10" t="s">
        <v>65</v>
      </c>
      <c r="F1235" s="10" t="s">
        <v>722</v>
      </c>
      <c r="G1235" s="10" t="s">
        <v>9419</v>
      </c>
      <c r="H1235" s="10" t="s">
        <v>2727</v>
      </c>
      <c r="I1235" s="10" t="s">
        <v>55</v>
      </c>
      <c r="K1235" s="10" t="s">
        <v>11116</v>
      </c>
      <c r="L1235" s="10" t="s">
        <v>42</v>
      </c>
    </row>
    <row r="1236" ht="15.75" customHeight="1">
      <c r="A1236" s="64">
        <v>45485.0</v>
      </c>
      <c r="B1236" s="55" t="str">
        <f>HYPERLINK("https://jobright.ai/jobs/info/6690d02db9480c9896c8f847?utm_campaign=1052&amp;utm_source=sheet", "Apply")</f>
        <v>Apply</v>
      </c>
      <c r="C1236" s="10" t="s">
        <v>11124</v>
      </c>
      <c r="D1236" s="56" t="s">
        <v>11125</v>
      </c>
      <c r="E1236" s="10" t="s">
        <v>45</v>
      </c>
      <c r="F1236" s="10" t="s">
        <v>2617</v>
      </c>
      <c r="G1236" s="10" t="s">
        <v>9414</v>
      </c>
      <c r="H1236" s="10" t="s">
        <v>6620</v>
      </c>
      <c r="I1236" s="10" t="s">
        <v>55</v>
      </c>
      <c r="K1236" s="10" t="s">
        <v>11126</v>
      </c>
      <c r="L1236" s="10" t="s">
        <v>42</v>
      </c>
    </row>
    <row r="1237" ht="15.75" customHeight="1">
      <c r="A1237" s="64">
        <v>45485.0</v>
      </c>
      <c r="B1237" s="55" t="str">
        <f>HYPERLINK("https://jobright.ai/jobs/info/66935c138363a30561fab76c?utm_campaign=1052&amp;utm_source=sheet", "Apply")</f>
        <v>Apply</v>
      </c>
      <c r="C1237" s="10" t="s">
        <v>11127</v>
      </c>
      <c r="D1237" s="56" t="s">
        <v>10030</v>
      </c>
      <c r="E1237" s="10">
        <v>25.0</v>
      </c>
      <c r="G1237" s="10" t="s">
        <v>1159</v>
      </c>
      <c r="H1237" s="10" t="s">
        <v>167</v>
      </c>
      <c r="I1237" s="10" t="s">
        <v>48</v>
      </c>
      <c r="J1237" s="10" t="s">
        <v>1616</v>
      </c>
      <c r="K1237" s="10" t="s">
        <v>10212</v>
      </c>
      <c r="L1237" s="10" t="s">
        <v>42</v>
      </c>
    </row>
    <row r="1238" ht="15.75" customHeight="1">
      <c r="A1238" s="64">
        <v>45485.0</v>
      </c>
      <c r="B1238" s="55" t="str">
        <f>HYPERLINK("https://jobright.ai/jobs/info/66935c218363a30561fab974?utm_campaign=1052&amp;utm_source=sheet", "Apply")</f>
        <v>Apply</v>
      </c>
      <c r="C1238" s="10" t="s">
        <v>11128</v>
      </c>
      <c r="D1238" s="56" t="s">
        <v>10030</v>
      </c>
      <c r="E1238" s="10">
        <v>25.0</v>
      </c>
      <c r="G1238" s="10" t="s">
        <v>1159</v>
      </c>
      <c r="H1238" s="10" t="s">
        <v>11129</v>
      </c>
      <c r="I1238" s="10" t="s">
        <v>55</v>
      </c>
      <c r="K1238" s="10" t="s">
        <v>10212</v>
      </c>
      <c r="L1238" s="10" t="s">
        <v>42</v>
      </c>
    </row>
    <row r="1239" ht="15.75" customHeight="1">
      <c r="A1239" s="64">
        <v>45485.0</v>
      </c>
      <c r="B1239" s="55" t="str">
        <f>HYPERLINK("https://jobright.ai/jobs/info/66935c218363a30561fab975?utm_campaign=1052&amp;utm_source=sheet", "Apply")</f>
        <v>Apply</v>
      </c>
      <c r="C1239" s="10" t="s">
        <v>11130</v>
      </c>
      <c r="D1239" s="56" t="s">
        <v>10030</v>
      </c>
      <c r="E1239" s="10">
        <v>25.0</v>
      </c>
      <c r="G1239" s="10" t="s">
        <v>1159</v>
      </c>
      <c r="H1239" s="10" t="s">
        <v>11129</v>
      </c>
      <c r="I1239" s="10" t="s">
        <v>48</v>
      </c>
      <c r="J1239" s="10" t="s">
        <v>9551</v>
      </c>
      <c r="K1239" s="10" t="s">
        <v>10212</v>
      </c>
      <c r="L1239" s="10" t="s">
        <v>42</v>
      </c>
    </row>
    <row r="1240" ht="15.75" customHeight="1">
      <c r="A1240" s="64">
        <v>45485.0</v>
      </c>
      <c r="B1240" s="55" t="str">
        <f>HYPERLINK("https://jobright.ai/jobs/info/66935c218363a30561fab977?utm_campaign=1052&amp;utm_source=sheet", "Apply")</f>
        <v>Apply</v>
      </c>
      <c r="C1240" s="10" t="s">
        <v>11131</v>
      </c>
      <c r="D1240" s="56" t="s">
        <v>10030</v>
      </c>
      <c r="E1240" s="10">
        <v>25.0</v>
      </c>
      <c r="G1240" s="10" t="s">
        <v>1159</v>
      </c>
      <c r="H1240" s="10" t="s">
        <v>1328</v>
      </c>
      <c r="I1240" s="10" t="s">
        <v>48</v>
      </c>
      <c r="J1240" s="10" t="s">
        <v>9551</v>
      </c>
      <c r="K1240" s="10" t="s">
        <v>10212</v>
      </c>
      <c r="L1240" s="10" t="s">
        <v>42</v>
      </c>
    </row>
    <row r="1241" ht="15.75" customHeight="1">
      <c r="A1241" s="64">
        <v>45485.0</v>
      </c>
      <c r="B1241" s="55" t="str">
        <f>HYPERLINK("https://jobright.ai/jobs/info/6690f1f071973c20cb601adb?utm_campaign=1052&amp;utm_source=sheet", "Apply")</f>
        <v>Apply</v>
      </c>
      <c r="C1241" s="10" t="s">
        <v>11132</v>
      </c>
      <c r="D1241" s="56" t="s">
        <v>11133</v>
      </c>
      <c r="G1241" s="10" t="s">
        <v>9414</v>
      </c>
      <c r="H1241" s="10" t="s">
        <v>605</v>
      </c>
      <c r="I1241" s="10" t="s">
        <v>55</v>
      </c>
      <c r="K1241" s="10" t="s">
        <v>11134</v>
      </c>
      <c r="L1241" s="10" t="s">
        <v>42</v>
      </c>
    </row>
    <row r="1242" ht="15.75" customHeight="1">
      <c r="A1242" s="64">
        <v>45485.0</v>
      </c>
      <c r="B1242" s="55" t="str">
        <f>HYPERLINK("https://jobright.ai/jobs/info/66a314d46ba8c0dbc0787fcc?utm_campaign=1052&amp;utm_source=sheet", "Apply")</f>
        <v>Apply</v>
      </c>
      <c r="C1242" s="10" t="s">
        <v>11135</v>
      </c>
      <c r="D1242" s="56" t="s">
        <v>11136</v>
      </c>
      <c r="E1242" s="10" t="s">
        <v>65</v>
      </c>
      <c r="F1242" s="10" t="s">
        <v>6645</v>
      </c>
      <c r="G1242" s="10" t="s">
        <v>1159</v>
      </c>
      <c r="H1242" s="10" t="s">
        <v>11137</v>
      </c>
      <c r="I1242" s="10" t="s">
        <v>55</v>
      </c>
      <c r="K1242" s="10" t="s">
        <v>11138</v>
      </c>
      <c r="L1242" s="10" t="s">
        <v>42</v>
      </c>
    </row>
    <row r="1243" ht="15.75" customHeight="1">
      <c r="A1243" s="64">
        <v>45485.0</v>
      </c>
      <c r="B1243" s="55" t="str">
        <f>HYPERLINK("https://jobright.ai/jobs/info/66918f7466c3247c7c4f2481?utm_campaign=1052&amp;utm_source=sheet", "Apply")</f>
        <v>Apply</v>
      </c>
      <c r="C1243" s="10" t="s">
        <v>10349</v>
      </c>
      <c r="D1243" s="56" t="s">
        <v>2836</v>
      </c>
      <c r="E1243" s="10" t="s">
        <v>45</v>
      </c>
      <c r="F1243" s="10" t="s">
        <v>665</v>
      </c>
      <c r="G1243" s="10" t="s">
        <v>9414</v>
      </c>
      <c r="H1243" s="10" t="s">
        <v>11139</v>
      </c>
      <c r="I1243" s="10" t="s">
        <v>48</v>
      </c>
      <c r="J1243" s="10" t="s">
        <v>1797</v>
      </c>
      <c r="K1243" s="10" t="s">
        <v>10350</v>
      </c>
      <c r="L1243" s="10" t="s">
        <v>42</v>
      </c>
    </row>
    <row r="1244" ht="15.75" customHeight="1">
      <c r="A1244" s="64">
        <v>45485.0</v>
      </c>
      <c r="B1244" s="55" t="str">
        <f>HYPERLINK("https://jobright.ai/jobs/info/66918f7466c3247c7c4f2489?utm_campaign=1052&amp;utm_source=sheet", "Apply")</f>
        <v>Apply</v>
      </c>
      <c r="C1244" s="10" t="s">
        <v>10349</v>
      </c>
      <c r="D1244" s="56" t="s">
        <v>2836</v>
      </c>
      <c r="E1244" s="10" t="s">
        <v>45</v>
      </c>
      <c r="F1244" s="10" t="s">
        <v>665</v>
      </c>
      <c r="G1244" s="10" t="s">
        <v>9414</v>
      </c>
      <c r="H1244" s="10" t="s">
        <v>11139</v>
      </c>
      <c r="I1244" s="10" t="s">
        <v>48</v>
      </c>
      <c r="J1244" s="10" t="s">
        <v>1797</v>
      </c>
      <c r="K1244" s="10" t="s">
        <v>10350</v>
      </c>
      <c r="L1244" s="10" t="s">
        <v>42</v>
      </c>
    </row>
    <row r="1245" ht="15.75" customHeight="1">
      <c r="A1245" s="64">
        <v>45485.0</v>
      </c>
      <c r="B1245" s="55" t="str">
        <f>HYPERLINK("https://jobright.ai/jobs/info/66917ea0d48d64247375d78c?utm_campaign=1052&amp;utm_source=sheet", "Apply")</f>
        <v>Apply</v>
      </c>
      <c r="C1245" s="10" t="s">
        <v>10279</v>
      </c>
      <c r="D1245" s="56" t="s">
        <v>11074</v>
      </c>
      <c r="E1245" s="10">
        <v>5015.0</v>
      </c>
      <c r="G1245" s="10" t="s">
        <v>9414</v>
      </c>
      <c r="H1245" s="10" t="s">
        <v>11140</v>
      </c>
      <c r="I1245" s="10" t="s">
        <v>48</v>
      </c>
      <c r="J1245" s="10" t="s">
        <v>11075</v>
      </c>
      <c r="K1245" s="10" t="s">
        <v>10280</v>
      </c>
      <c r="L1245" s="10" t="s">
        <v>42</v>
      </c>
    </row>
    <row r="1246" ht="15.75" customHeight="1">
      <c r="A1246" s="64">
        <v>45485.0</v>
      </c>
      <c r="B1246" s="55" t="str">
        <f>HYPERLINK("https://jobright.ai/jobs/info/66919403a276c7698ffc539a?utm_campaign=1052&amp;utm_source=sheet", "Apply")</f>
        <v>Apply</v>
      </c>
      <c r="C1246" s="10" t="s">
        <v>10383</v>
      </c>
      <c r="D1246" s="56" t="s">
        <v>10384</v>
      </c>
      <c r="E1246" s="10" t="s">
        <v>65</v>
      </c>
      <c r="F1246" s="10" t="s">
        <v>10385</v>
      </c>
      <c r="G1246" s="10" t="s">
        <v>1159</v>
      </c>
      <c r="H1246" s="10" t="s">
        <v>11140</v>
      </c>
      <c r="I1246" s="10" t="s">
        <v>55</v>
      </c>
      <c r="J1246" s="10" t="s">
        <v>509</v>
      </c>
      <c r="K1246" s="10" t="s">
        <v>11141</v>
      </c>
      <c r="L1246" s="10" t="s">
        <v>42</v>
      </c>
    </row>
    <row r="1247" ht="15.75" customHeight="1">
      <c r="A1247" s="64">
        <v>45484.0</v>
      </c>
      <c r="B1247" s="55" t="str">
        <f>HYPERLINK("https://jobright.ai/jobs/info/66909bc50aa6f308865b7d13?utm_campaign=1052&amp;utm_source=sheet", "Apply")</f>
        <v>Apply</v>
      </c>
      <c r="C1247" s="10" t="s">
        <v>11142</v>
      </c>
      <c r="D1247" s="56" t="s">
        <v>9585</v>
      </c>
      <c r="E1247" s="10" t="s">
        <v>65</v>
      </c>
      <c r="F1247" s="10" t="s">
        <v>722</v>
      </c>
      <c r="G1247" s="10" t="s">
        <v>9419</v>
      </c>
      <c r="H1247" s="10" t="s">
        <v>607</v>
      </c>
      <c r="I1247" s="10" t="s">
        <v>55</v>
      </c>
      <c r="K1247" s="10" t="s">
        <v>9586</v>
      </c>
      <c r="L1247" s="10" t="s">
        <v>42</v>
      </c>
    </row>
    <row r="1248" ht="15.75" customHeight="1">
      <c r="A1248" s="64">
        <v>45484.0</v>
      </c>
      <c r="B1248" s="55" t="str">
        <f>HYPERLINK("https://jobright.ai/jobs/info/6690a9680020afd5a76d9fe1?utm_campaign=1052&amp;utm_source=sheet", "Apply")</f>
        <v>Apply</v>
      </c>
      <c r="C1248" s="10" t="s">
        <v>9517</v>
      </c>
      <c r="D1248" s="56" t="s">
        <v>11143</v>
      </c>
      <c r="E1248" s="59">
        <v>45301.0</v>
      </c>
      <c r="F1248" s="10" t="s">
        <v>11144</v>
      </c>
      <c r="G1248" s="10" t="s">
        <v>1159</v>
      </c>
      <c r="H1248" s="10" t="s">
        <v>1015</v>
      </c>
      <c r="I1248" s="10" t="s">
        <v>55</v>
      </c>
      <c r="J1248" s="10" t="s">
        <v>1729</v>
      </c>
      <c r="K1248" s="10" t="s">
        <v>11145</v>
      </c>
      <c r="L1248" s="10" t="s">
        <v>42</v>
      </c>
    </row>
    <row r="1249" ht="15.75" customHeight="1">
      <c r="A1249" s="64">
        <v>45484.0</v>
      </c>
      <c r="B1249" s="55" t="str">
        <f>HYPERLINK("https://jobright.ai/jobs/info/6690a9680020afd5a76da006?utm_campaign=1052&amp;utm_source=sheet", "Apply")</f>
        <v>Apply</v>
      </c>
      <c r="C1249" s="10" t="s">
        <v>11146</v>
      </c>
      <c r="D1249" s="56" t="s">
        <v>11143</v>
      </c>
      <c r="E1249" s="59">
        <v>45301.0</v>
      </c>
      <c r="F1249" s="10" t="s">
        <v>11144</v>
      </c>
      <c r="G1249" s="10" t="s">
        <v>9414</v>
      </c>
      <c r="H1249" s="10" t="s">
        <v>1015</v>
      </c>
      <c r="I1249" s="10" t="s">
        <v>55</v>
      </c>
      <c r="J1249" s="10" t="s">
        <v>11147</v>
      </c>
      <c r="K1249" s="10" t="s">
        <v>11148</v>
      </c>
      <c r="L1249" s="10" t="s">
        <v>42</v>
      </c>
    </row>
    <row r="1250" ht="15.75" customHeight="1">
      <c r="A1250" s="64">
        <v>45484.0</v>
      </c>
      <c r="B1250" s="55" t="str">
        <f>HYPERLINK("https://jobright.ai/jobs/info/66900fe34a77721ba220efef?utm_campaign=1052&amp;utm_source=sheet", "Apply")</f>
        <v>Apply</v>
      </c>
      <c r="C1250" s="10" t="s">
        <v>11149</v>
      </c>
      <c r="D1250" s="56" t="s">
        <v>1980</v>
      </c>
      <c r="E1250" s="10" t="s">
        <v>65</v>
      </c>
      <c r="F1250" s="10" t="s">
        <v>722</v>
      </c>
      <c r="G1250" s="10" t="s">
        <v>9419</v>
      </c>
      <c r="H1250" s="10" t="s">
        <v>3331</v>
      </c>
      <c r="I1250" s="10" t="s">
        <v>55</v>
      </c>
      <c r="K1250" s="10" t="s">
        <v>11116</v>
      </c>
      <c r="L1250" s="10" t="s">
        <v>42</v>
      </c>
    </row>
    <row r="1251" ht="15.75" customHeight="1">
      <c r="A1251" s="64">
        <v>45484.0</v>
      </c>
      <c r="B1251" s="55" t="str">
        <f>HYPERLINK("https://jobright.ai/jobs/info/66900feb4a77721ba220f088?utm_campaign=1052&amp;utm_source=sheet", "Apply")</f>
        <v>Apply</v>
      </c>
      <c r="C1251" s="10" t="s">
        <v>11150</v>
      </c>
      <c r="D1251" s="56" t="s">
        <v>1980</v>
      </c>
      <c r="E1251" s="10" t="s">
        <v>65</v>
      </c>
      <c r="F1251" s="10" t="s">
        <v>722</v>
      </c>
      <c r="G1251" s="10" t="s">
        <v>9419</v>
      </c>
      <c r="H1251" s="10" t="s">
        <v>1160</v>
      </c>
      <c r="I1251" s="10" t="s">
        <v>55</v>
      </c>
      <c r="K1251" s="10" t="s">
        <v>11116</v>
      </c>
      <c r="L1251" s="10" t="s">
        <v>42</v>
      </c>
    </row>
    <row r="1252" ht="15.75" customHeight="1">
      <c r="A1252" s="64">
        <v>45484.0</v>
      </c>
      <c r="B1252" s="55" t="str">
        <f>HYPERLINK("https://jobright.ai/jobs/info/66900feb4a77721ba220f09a?utm_campaign=1052&amp;utm_source=sheet", "Apply")</f>
        <v>Apply</v>
      </c>
      <c r="C1252" s="10" t="s">
        <v>11151</v>
      </c>
      <c r="D1252" s="56" t="s">
        <v>1980</v>
      </c>
      <c r="E1252" s="10" t="s">
        <v>65</v>
      </c>
      <c r="F1252" s="10" t="s">
        <v>722</v>
      </c>
      <c r="G1252" s="10" t="s">
        <v>9419</v>
      </c>
      <c r="H1252" s="10" t="s">
        <v>96</v>
      </c>
      <c r="I1252" s="10" t="s">
        <v>55</v>
      </c>
      <c r="K1252" s="10" t="s">
        <v>11116</v>
      </c>
      <c r="L1252" s="10" t="s">
        <v>42</v>
      </c>
    </row>
    <row r="1253" ht="15.75" customHeight="1">
      <c r="A1253" s="64">
        <v>45484.0</v>
      </c>
      <c r="B1253" s="55" t="str">
        <f>HYPERLINK("https://jobright.ai/jobs/info/6690b59c1acf37e6b248087a?utm_campaign=1052&amp;utm_source=sheet", "Apply")</f>
        <v>Apply</v>
      </c>
      <c r="C1253" s="10" t="s">
        <v>11132</v>
      </c>
      <c r="D1253" s="56" t="s">
        <v>11133</v>
      </c>
      <c r="G1253" s="10" t="s">
        <v>9414</v>
      </c>
      <c r="H1253" s="10" t="s">
        <v>146</v>
      </c>
      <c r="I1253" s="10" t="s">
        <v>55</v>
      </c>
      <c r="K1253" s="10" t="s">
        <v>11134</v>
      </c>
      <c r="L1253" s="10" t="s">
        <v>42</v>
      </c>
    </row>
    <row r="1254" ht="15.75" customHeight="1">
      <c r="A1254" s="64">
        <v>45484.0</v>
      </c>
      <c r="B1254" s="55" t="str">
        <f>HYPERLINK("https://jobright.ai/jobs/info/6690e617707d87f68e5058fb?utm_campaign=1052&amp;utm_source=sheet", "Apply")</f>
        <v>Apply</v>
      </c>
      <c r="C1254" s="10" t="s">
        <v>11152</v>
      </c>
      <c r="D1254" s="56" t="s">
        <v>11153</v>
      </c>
      <c r="E1254" s="10" t="s">
        <v>249</v>
      </c>
      <c r="F1254" s="10" t="s">
        <v>11154</v>
      </c>
      <c r="G1254" s="10" t="s">
        <v>9419</v>
      </c>
      <c r="H1254" s="10" t="s">
        <v>774</v>
      </c>
      <c r="I1254" s="10" t="s">
        <v>55</v>
      </c>
      <c r="K1254" s="10" t="s">
        <v>11155</v>
      </c>
      <c r="L1254" s="10" t="s">
        <v>42</v>
      </c>
    </row>
    <row r="1255" ht="15.75" customHeight="1">
      <c r="A1255" s="64">
        <v>45484.0</v>
      </c>
      <c r="B1255" s="55" t="str">
        <f>HYPERLINK("https://jobright.ai/jobs/info/6690b55c1acf37e6b2480279?utm_campaign=1052&amp;utm_source=sheet", "Apply")</f>
        <v>Apply</v>
      </c>
      <c r="C1255" s="10" t="s">
        <v>11156</v>
      </c>
      <c r="D1255" s="56" t="s">
        <v>11157</v>
      </c>
      <c r="E1255" s="10" t="s">
        <v>249</v>
      </c>
      <c r="F1255" s="10" t="s">
        <v>534</v>
      </c>
      <c r="G1255" s="10" t="s">
        <v>9414</v>
      </c>
      <c r="H1255" s="10" t="s">
        <v>11158</v>
      </c>
      <c r="I1255" s="10" t="s">
        <v>55</v>
      </c>
      <c r="K1255" s="10" t="s">
        <v>11159</v>
      </c>
      <c r="L1255" s="10" t="s">
        <v>42</v>
      </c>
    </row>
    <row r="1256" ht="15.75" customHeight="1">
      <c r="A1256" s="64">
        <v>45484.0</v>
      </c>
      <c r="B1256" s="55" t="str">
        <f>HYPERLINK("https://jobright.ai/jobs/info/6690928ea49d07cc6b583818?utm_campaign=1052&amp;utm_source=sheet", "Apply")</f>
        <v>Apply</v>
      </c>
      <c r="C1256" s="10" t="s">
        <v>11160</v>
      </c>
      <c r="D1256" s="56" t="s">
        <v>10580</v>
      </c>
      <c r="E1256" s="10" t="s">
        <v>276</v>
      </c>
      <c r="F1256" s="10" t="s">
        <v>3382</v>
      </c>
      <c r="G1256" s="10" t="s">
        <v>9419</v>
      </c>
      <c r="H1256" s="10" t="s">
        <v>434</v>
      </c>
      <c r="I1256" s="10" t="s">
        <v>48</v>
      </c>
      <c r="J1256" s="10" t="s">
        <v>7363</v>
      </c>
      <c r="K1256" s="10" t="s">
        <v>10581</v>
      </c>
      <c r="L1256" s="10" t="s">
        <v>42</v>
      </c>
    </row>
    <row r="1257" ht="15.75" customHeight="1">
      <c r="A1257" s="64">
        <v>45484.0</v>
      </c>
      <c r="B1257" s="55" t="str">
        <f>HYPERLINK("https://jobright.ai/jobs/info/6690928ea49d07cc6b583828?utm_campaign=1052&amp;utm_source=sheet", "Apply")</f>
        <v>Apply</v>
      </c>
      <c r="C1257" s="10" t="s">
        <v>11161</v>
      </c>
      <c r="D1257" s="56" t="s">
        <v>10580</v>
      </c>
      <c r="E1257" s="10" t="s">
        <v>276</v>
      </c>
      <c r="F1257" s="10" t="s">
        <v>3382</v>
      </c>
      <c r="G1257" s="10" t="s">
        <v>9419</v>
      </c>
      <c r="H1257" s="10" t="s">
        <v>113</v>
      </c>
      <c r="I1257" s="10" t="s">
        <v>48</v>
      </c>
      <c r="K1257" s="10" t="s">
        <v>10581</v>
      </c>
      <c r="L1257" s="10" t="s">
        <v>42</v>
      </c>
    </row>
    <row r="1258" ht="15.75" customHeight="1">
      <c r="A1258" s="64">
        <v>45484.0</v>
      </c>
      <c r="B1258" s="55" t="str">
        <f>HYPERLINK("https://jobright.ai/jobs/info/667434633e9ad103ffe27202?utm_campaign=1052&amp;utm_source=sheet", "Apply")</f>
        <v>Apply</v>
      </c>
      <c r="C1258" s="10" t="s">
        <v>11162</v>
      </c>
      <c r="D1258" s="56" t="s">
        <v>11163</v>
      </c>
      <c r="E1258" s="10" t="s">
        <v>71</v>
      </c>
      <c r="F1258" s="10" t="s">
        <v>568</v>
      </c>
      <c r="G1258" s="10" t="s">
        <v>9419</v>
      </c>
      <c r="H1258" s="10" t="s">
        <v>1003</v>
      </c>
      <c r="I1258" s="10" t="s">
        <v>55</v>
      </c>
      <c r="J1258" s="10" t="s">
        <v>467</v>
      </c>
      <c r="K1258" s="10" t="s">
        <v>11164</v>
      </c>
      <c r="L1258" s="10" t="s">
        <v>42</v>
      </c>
    </row>
    <row r="1259" ht="15.75" customHeight="1">
      <c r="A1259" s="64">
        <v>45484.0</v>
      </c>
      <c r="B1259" s="55" t="str">
        <f>HYPERLINK("https://jobright.ai/jobs/info/6690b5781acf37e6b24805f0?utm_campaign=1052&amp;utm_source=sheet", "Apply")</f>
        <v>Apply</v>
      </c>
      <c r="C1259" s="10" t="s">
        <v>11165</v>
      </c>
      <c r="D1259" s="56" t="s">
        <v>1982</v>
      </c>
      <c r="E1259" s="10" t="s">
        <v>276</v>
      </c>
      <c r="F1259" s="10" t="s">
        <v>1983</v>
      </c>
      <c r="G1259" s="10" t="s">
        <v>9414</v>
      </c>
      <c r="H1259" s="10" t="s">
        <v>170</v>
      </c>
      <c r="I1259" s="10" t="s">
        <v>55</v>
      </c>
      <c r="J1259" s="10" t="s">
        <v>1984</v>
      </c>
      <c r="K1259" s="10" t="s">
        <v>11166</v>
      </c>
      <c r="L1259" s="10" t="s">
        <v>42</v>
      </c>
    </row>
    <row r="1260" ht="15.75" customHeight="1">
      <c r="A1260" s="64">
        <v>45484.0</v>
      </c>
      <c r="B1260" s="55" t="str">
        <f>HYPERLINK("https://jobright.ai/jobs/info/6690ababd0a327234d9ab669?utm_campaign=1052&amp;utm_source=sheet", "Apply")</f>
        <v>Apply</v>
      </c>
      <c r="C1260" s="10" t="s">
        <v>11167</v>
      </c>
      <c r="D1260" s="56" t="s">
        <v>4878</v>
      </c>
      <c r="E1260" s="10" t="s">
        <v>45</v>
      </c>
      <c r="F1260" s="10" t="s">
        <v>4879</v>
      </c>
      <c r="G1260" s="10" t="s">
        <v>9419</v>
      </c>
      <c r="H1260" s="10" t="s">
        <v>11168</v>
      </c>
      <c r="I1260" s="10" t="s">
        <v>55</v>
      </c>
      <c r="K1260" s="10" t="s">
        <v>11169</v>
      </c>
      <c r="L1260" s="10" t="s">
        <v>42</v>
      </c>
    </row>
    <row r="1261" ht="15.75" customHeight="1">
      <c r="A1261" s="64">
        <v>45484.0</v>
      </c>
      <c r="B1261" s="55" t="str">
        <f>HYPERLINK("https://jobright.ai/jobs/info/6690c036555345cb31084e8e?utm_campaign=1052&amp;utm_source=sheet", "Apply")</f>
        <v>Apply</v>
      </c>
      <c r="C1261" s="10" t="s">
        <v>10494</v>
      </c>
      <c r="D1261" s="56" t="s">
        <v>5698</v>
      </c>
      <c r="E1261" s="10" t="s">
        <v>71</v>
      </c>
      <c r="F1261" s="10" t="s">
        <v>5699</v>
      </c>
      <c r="G1261" s="10" t="s">
        <v>1159</v>
      </c>
      <c r="H1261" s="10" t="s">
        <v>5436</v>
      </c>
      <c r="I1261" s="10" t="s">
        <v>55</v>
      </c>
      <c r="J1261" s="10" t="s">
        <v>10496</v>
      </c>
      <c r="K1261" s="10" t="s">
        <v>10497</v>
      </c>
      <c r="L1261" s="10" t="s">
        <v>42</v>
      </c>
    </row>
    <row r="1262" ht="15.75" customHeight="1">
      <c r="A1262" s="64">
        <v>45484.0</v>
      </c>
      <c r="B1262" s="55" t="str">
        <f>HYPERLINK("https://jobright.ai/jobs/info/6690bf8a555345cb31083f3d?utm_campaign=1052&amp;utm_source=sheet", "Apply")</f>
        <v>Apply</v>
      </c>
      <c r="C1262" s="10" t="s">
        <v>10312</v>
      </c>
      <c r="D1262" s="56" t="s">
        <v>11170</v>
      </c>
      <c r="E1262" s="10" t="s">
        <v>249</v>
      </c>
      <c r="F1262" s="10" t="s">
        <v>1159</v>
      </c>
      <c r="G1262" s="10" t="s">
        <v>9419</v>
      </c>
      <c r="H1262" s="10" t="s">
        <v>11171</v>
      </c>
      <c r="I1262" s="10" t="s">
        <v>55</v>
      </c>
      <c r="J1262" s="64"/>
      <c r="K1262" s="10" t="s">
        <v>11172</v>
      </c>
      <c r="L1262" s="10" t="s">
        <v>42</v>
      </c>
    </row>
    <row r="1263" ht="15.75" customHeight="1">
      <c r="A1263" s="64">
        <v>45484.0</v>
      </c>
      <c r="B1263" s="55" t="str">
        <f>HYPERLINK("https://jobright.ai/jobs/info/66a27b5010e34507ec383c55?utm_campaign=1052&amp;utm_source=sheet", "Apply")</f>
        <v>Apply</v>
      </c>
      <c r="C1263" s="10" t="s">
        <v>10061</v>
      </c>
      <c r="D1263" s="56" t="s">
        <v>11173</v>
      </c>
      <c r="E1263" s="59">
        <v>45301.0</v>
      </c>
      <c r="F1263" s="10" t="s">
        <v>722</v>
      </c>
      <c r="G1263" s="10" t="s">
        <v>9419</v>
      </c>
      <c r="H1263" s="10" t="s">
        <v>11174</v>
      </c>
      <c r="I1263" s="10" t="s">
        <v>55</v>
      </c>
      <c r="J1263" s="10" t="s">
        <v>11175</v>
      </c>
      <c r="K1263" s="10" t="s">
        <v>11176</v>
      </c>
      <c r="L1263" s="10" t="s">
        <v>42</v>
      </c>
    </row>
    <row r="1264" ht="15.75" customHeight="1">
      <c r="A1264" s="64">
        <v>45484.0</v>
      </c>
      <c r="B1264" s="55" t="str">
        <f>HYPERLINK("https://jobright.ai/jobs/info/66a26ff175dfeeec4e614f20?utm_campaign=1052&amp;utm_source=sheet", "Apply")</f>
        <v>Apply</v>
      </c>
      <c r="C1264" s="10" t="s">
        <v>11177</v>
      </c>
      <c r="D1264" s="56" t="s">
        <v>11178</v>
      </c>
      <c r="E1264" s="10" t="s">
        <v>79</v>
      </c>
      <c r="F1264" s="10" t="s">
        <v>722</v>
      </c>
      <c r="G1264" s="10" t="s">
        <v>1159</v>
      </c>
      <c r="H1264" s="10" t="s">
        <v>11179</v>
      </c>
      <c r="I1264" s="10" t="s">
        <v>55</v>
      </c>
      <c r="K1264" s="10" t="s">
        <v>11180</v>
      </c>
      <c r="L1264" s="10" t="s">
        <v>42</v>
      </c>
    </row>
    <row r="1265" ht="15.75" customHeight="1">
      <c r="A1265" s="64">
        <v>45484.0</v>
      </c>
      <c r="B1265" s="55" t="str">
        <f>HYPERLINK("https://jobright.ai/jobs/info/66905d12759f226286d90cd0?utm_campaign=1052&amp;utm_source=sheet", "Apply")</f>
        <v>Apply</v>
      </c>
      <c r="C1265" s="10" t="s">
        <v>11181</v>
      </c>
      <c r="D1265" s="56" t="s">
        <v>2925</v>
      </c>
      <c r="E1265" s="10" t="s">
        <v>45</v>
      </c>
      <c r="F1265" s="10" t="s">
        <v>2926</v>
      </c>
      <c r="G1265" s="10" t="s">
        <v>9419</v>
      </c>
      <c r="H1265" s="10" t="s">
        <v>807</v>
      </c>
      <c r="I1265" s="10" t="s">
        <v>48</v>
      </c>
      <c r="K1265" s="10" t="s">
        <v>4904</v>
      </c>
      <c r="L1265" s="10" t="s">
        <v>42</v>
      </c>
    </row>
    <row r="1266" ht="15.75" customHeight="1">
      <c r="A1266" s="64">
        <v>45484.0</v>
      </c>
      <c r="B1266" s="55" t="str">
        <f>HYPERLINK("https://jobright.ai/jobs/info/66a266f65297dc7b7d57f909?utm_campaign=1052&amp;utm_source=sheet", "Apply")</f>
        <v>Apply</v>
      </c>
      <c r="C1266" s="10" t="s">
        <v>11177</v>
      </c>
      <c r="D1266" s="56" t="s">
        <v>11178</v>
      </c>
      <c r="E1266" s="10" t="s">
        <v>79</v>
      </c>
      <c r="F1266" s="10" t="s">
        <v>722</v>
      </c>
      <c r="G1266" s="10" t="s">
        <v>1159</v>
      </c>
      <c r="H1266" s="10" t="s">
        <v>11182</v>
      </c>
      <c r="I1266" s="10" t="s">
        <v>55</v>
      </c>
      <c r="K1266" s="10" t="s">
        <v>11180</v>
      </c>
      <c r="L1266" s="10" t="s">
        <v>42</v>
      </c>
    </row>
    <row r="1267" ht="15.75" customHeight="1">
      <c r="A1267" s="64">
        <v>45484.0</v>
      </c>
      <c r="B1267" s="55" t="str">
        <f>HYPERLINK("https://jobright.ai/jobs/info/6673b7b15c2298713339f19f?utm_campaign=1052&amp;utm_source=sheet", "Apply")</f>
        <v>Apply</v>
      </c>
      <c r="C1267" s="10" t="s">
        <v>11183</v>
      </c>
      <c r="D1267" s="56" t="s">
        <v>11184</v>
      </c>
      <c r="E1267" s="10" t="s">
        <v>276</v>
      </c>
      <c r="F1267" s="10" t="s">
        <v>10</v>
      </c>
      <c r="G1267" s="10" t="s">
        <v>1159</v>
      </c>
      <c r="H1267" s="10" t="s">
        <v>11185</v>
      </c>
      <c r="I1267" s="10" t="s">
        <v>48</v>
      </c>
      <c r="K1267" s="10" t="s">
        <v>11186</v>
      </c>
      <c r="L1267" s="10" t="s">
        <v>42</v>
      </c>
    </row>
    <row r="1268" ht="15.75" customHeight="1">
      <c r="A1268" s="64">
        <v>45484.0</v>
      </c>
      <c r="B1268" s="55" t="str">
        <f>HYPERLINK("https://jobright.ai/jobs/info/66a25cac0d722babd5bd16d1?utm_campaign=1052&amp;utm_source=sheet", "Apply")</f>
        <v>Apply</v>
      </c>
      <c r="C1268" s="10" t="s">
        <v>11187</v>
      </c>
      <c r="D1268" s="56" t="s">
        <v>11188</v>
      </c>
      <c r="E1268" s="10" t="s">
        <v>79</v>
      </c>
      <c r="F1268" s="10" t="s">
        <v>11189</v>
      </c>
      <c r="G1268" s="10" t="s">
        <v>9419</v>
      </c>
      <c r="H1268" s="10" t="s">
        <v>361</v>
      </c>
      <c r="I1268" s="10" t="s">
        <v>55</v>
      </c>
      <c r="K1268" s="10" t="s">
        <v>11190</v>
      </c>
      <c r="L1268" s="10" t="s">
        <v>42</v>
      </c>
    </row>
    <row r="1269" ht="15.75" customHeight="1">
      <c r="A1269" s="64">
        <v>45484.0</v>
      </c>
      <c r="B1269" s="55" t="str">
        <f>HYPERLINK("https://jobright.ai/jobs/info/66a2593fe289cc1fdbedc1a3?utm_campaign=1052&amp;utm_source=sheet", "Apply")</f>
        <v>Apply</v>
      </c>
      <c r="C1269" s="10" t="s">
        <v>11177</v>
      </c>
      <c r="D1269" s="56" t="s">
        <v>11178</v>
      </c>
      <c r="E1269" s="10" t="s">
        <v>79</v>
      </c>
      <c r="F1269" s="10" t="s">
        <v>722</v>
      </c>
      <c r="G1269" s="10" t="s">
        <v>1159</v>
      </c>
      <c r="H1269" s="10" t="s">
        <v>11191</v>
      </c>
      <c r="I1269" s="10" t="s">
        <v>55</v>
      </c>
      <c r="K1269" s="10" t="s">
        <v>11180</v>
      </c>
      <c r="L1269" s="10" t="s">
        <v>42</v>
      </c>
    </row>
    <row r="1270" ht="15.75" customHeight="1">
      <c r="A1270" s="64">
        <v>45484.0</v>
      </c>
      <c r="B1270" s="55" t="str">
        <f>HYPERLINK("https://jobright.ai/jobs/info/6673131b6a438141ac3b8bab?utm_campaign=1052&amp;utm_source=sheet", "Apply")</f>
        <v>Apply</v>
      </c>
      <c r="C1270" s="10" t="s">
        <v>11192</v>
      </c>
      <c r="D1270" s="56" t="s">
        <v>11193</v>
      </c>
      <c r="E1270" s="10" t="s">
        <v>65</v>
      </c>
      <c r="F1270" s="10" t="s">
        <v>534</v>
      </c>
      <c r="G1270" s="10" t="s">
        <v>9419</v>
      </c>
      <c r="H1270" s="10" t="s">
        <v>628</v>
      </c>
      <c r="I1270" s="10" t="s">
        <v>48</v>
      </c>
      <c r="K1270" s="10" t="s">
        <v>11194</v>
      </c>
      <c r="L1270" s="10" t="s">
        <v>42</v>
      </c>
    </row>
    <row r="1271" ht="15.75" customHeight="1">
      <c r="A1271" s="64">
        <v>45484.0</v>
      </c>
      <c r="B1271" s="55" t="str">
        <f>HYPERLINK("https://jobright.ai/jobs/info/66a24da60b034aa29c4628e5?utm_campaign=1052&amp;utm_source=sheet", "Apply")</f>
        <v>Apply</v>
      </c>
      <c r="C1271" s="10" t="s">
        <v>11177</v>
      </c>
      <c r="D1271" s="56" t="s">
        <v>11178</v>
      </c>
      <c r="E1271" s="10" t="s">
        <v>79</v>
      </c>
      <c r="F1271" s="10" t="s">
        <v>722</v>
      </c>
      <c r="G1271" s="10" t="s">
        <v>1159</v>
      </c>
      <c r="H1271" s="10" t="s">
        <v>11195</v>
      </c>
      <c r="I1271" s="10" t="s">
        <v>55</v>
      </c>
      <c r="K1271" s="10" t="s">
        <v>11180</v>
      </c>
      <c r="L1271" s="10" t="s">
        <v>42</v>
      </c>
    </row>
    <row r="1272" ht="15.75" customHeight="1">
      <c r="A1272" s="64">
        <v>45484.0</v>
      </c>
      <c r="B1272" s="55" t="str">
        <f>HYPERLINK("https://jobright.ai/jobs/info/6670be08d73f690eb5e2cc0f?utm_campaign=1052&amp;utm_source=sheet", "Apply")</f>
        <v>Apply</v>
      </c>
      <c r="C1272" s="10" t="s">
        <v>11196</v>
      </c>
      <c r="D1272" s="56" t="s">
        <v>11193</v>
      </c>
      <c r="E1272" s="10" t="s">
        <v>65</v>
      </c>
      <c r="F1272" s="10" t="s">
        <v>534</v>
      </c>
      <c r="G1272" s="10" t="s">
        <v>9419</v>
      </c>
      <c r="H1272" s="10" t="s">
        <v>9486</v>
      </c>
      <c r="I1272" s="10" t="s">
        <v>55</v>
      </c>
      <c r="K1272" s="10" t="s">
        <v>11197</v>
      </c>
      <c r="L1272" s="10" t="s">
        <v>42</v>
      </c>
    </row>
    <row r="1273" ht="15.75" customHeight="1">
      <c r="A1273" s="64">
        <v>45484.0</v>
      </c>
      <c r="B1273" s="55" t="str">
        <f>HYPERLINK("https://jobright.ai/jobs/info/66a24b1c9a00a2533986e03e?utm_campaign=1052&amp;utm_source=sheet", "Apply")</f>
        <v>Apply</v>
      </c>
      <c r="C1273" s="10" t="s">
        <v>11106</v>
      </c>
      <c r="D1273" s="56" t="s">
        <v>5175</v>
      </c>
      <c r="E1273" s="10" t="s">
        <v>45</v>
      </c>
      <c r="F1273" s="10" t="s">
        <v>5176</v>
      </c>
      <c r="G1273" s="10" t="s">
        <v>9414</v>
      </c>
      <c r="H1273" s="10" t="s">
        <v>1005</v>
      </c>
      <c r="I1273" s="10" t="s">
        <v>55</v>
      </c>
      <c r="K1273" s="10" t="s">
        <v>11198</v>
      </c>
      <c r="L1273" s="10" t="s">
        <v>42</v>
      </c>
    </row>
    <row r="1274" ht="15.75" customHeight="1">
      <c r="A1274" s="64">
        <v>45484.0</v>
      </c>
      <c r="B1274" s="55" t="str">
        <f>HYPERLINK("https://jobright.ai/jobs/info/667316d9a9e50a53acb10c63?utm_campaign=1052&amp;utm_source=sheet", "Apply")</f>
        <v>Apply</v>
      </c>
      <c r="C1274" s="10" t="s">
        <v>11196</v>
      </c>
      <c r="D1274" s="56" t="s">
        <v>11193</v>
      </c>
      <c r="E1274" s="10" t="s">
        <v>65</v>
      </c>
      <c r="F1274" s="10" t="s">
        <v>534</v>
      </c>
      <c r="G1274" s="10" t="s">
        <v>9419</v>
      </c>
      <c r="H1274" s="10" t="s">
        <v>9486</v>
      </c>
      <c r="I1274" s="10" t="s">
        <v>48</v>
      </c>
      <c r="K1274" s="10" t="s">
        <v>11197</v>
      </c>
      <c r="L1274" s="10" t="s">
        <v>42</v>
      </c>
    </row>
    <row r="1275" ht="15.75" customHeight="1">
      <c r="A1275" s="64">
        <v>45484.0</v>
      </c>
      <c r="B1275" s="55" t="str">
        <f>HYPERLINK("https://jobright.ai/jobs/info/66a246ca6dde01000490c743?utm_campaign=1052&amp;utm_source=sheet", "Apply")</f>
        <v>Apply</v>
      </c>
      <c r="C1275" s="10" t="s">
        <v>11177</v>
      </c>
      <c r="D1275" s="56" t="s">
        <v>11178</v>
      </c>
      <c r="E1275" s="10" t="s">
        <v>79</v>
      </c>
      <c r="F1275" s="10" t="s">
        <v>722</v>
      </c>
      <c r="G1275" s="10" t="s">
        <v>1159</v>
      </c>
      <c r="H1275" s="10" t="s">
        <v>11199</v>
      </c>
      <c r="I1275" s="10" t="s">
        <v>55</v>
      </c>
      <c r="K1275" s="10" t="s">
        <v>11180</v>
      </c>
      <c r="L1275" s="10" t="s">
        <v>42</v>
      </c>
    </row>
    <row r="1276" ht="15.75" customHeight="1">
      <c r="A1276" s="64">
        <v>45484.0</v>
      </c>
      <c r="B1276" s="55" t="str">
        <f>HYPERLINK("https://jobright.ai/jobs/info/66a246ca6dde01000490c742?utm_campaign=1052&amp;utm_source=sheet", "Apply")</f>
        <v>Apply</v>
      </c>
      <c r="C1276" s="10" t="s">
        <v>11177</v>
      </c>
      <c r="D1276" s="56" t="s">
        <v>11178</v>
      </c>
      <c r="E1276" s="10" t="s">
        <v>79</v>
      </c>
      <c r="F1276" s="10" t="s">
        <v>722</v>
      </c>
      <c r="G1276" s="10" t="s">
        <v>1159</v>
      </c>
      <c r="H1276" s="10" t="s">
        <v>11200</v>
      </c>
      <c r="I1276" s="10" t="s">
        <v>55</v>
      </c>
      <c r="K1276" s="10" t="s">
        <v>11180</v>
      </c>
      <c r="L1276" s="10" t="s">
        <v>42</v>
      </c>
    </row>
    <row r="1277" ht="15.75" customHeight="1">
      <c r="A1277" s="64">
        <v>45484.0</v>
      </c>
      <c r="B1277" s="55" t="str">
        <f>HYPERLINK("https://jobright.ai/jobs/info/6670c2d8a524d10c2c75e624?utm_campaign=1052&amp;utm_source=sheet", "Apply")</f>
        <v>Apply</v>
      </c>
      <c r="C1277" s="10" t="s">
        <v>11201</v>
      </c>
      <c r="D1277" s="56" t="s">
        <v>11193</v>
      </c>
      <c r="E1277" s="10" t="s">
        <v>65</v>
      </c>
      <c r="F1277" s="10" t="s">
        <v>534</v>
      </c>
      <c r="G1277" s="10" t="s">
        <v>9419</v>
      </c>
      <c r="H1277" s="10" t="s">
        <v>9486</v>
      </c>
      <c r="I1277" s="10" t="s">
        <v>48</v>
      </c>
      <c r="K1277" s="10" t="s">
        <v>11202</v>
      </c>
      <c r="L1277" s="10" t="s">
        <v>42</v>
      </c>
    </row>
    <row r="1278" ht="15.75" customHeight="1">
      <c r="A1278" s="64">
        <v>45484.0</v>
      </c>
      <c r="B1278" s="55" t="str">
        <f>HYPERLINK("https://jobright.ai/jobs/info/66a2428ee1424323d84532c4?utm_campaign=1052&amp;utm_source=sheet", "Apply")</f>
        <v>Apply</v>
      </c>
      <c r="C1278" s="10" t="s">
        <v>11177</v>
      </c>
      <c r="D1278" s="56" t="s">
        <v>11178</v>
      </c>
      <c r="E1278" s="10" t="s">
        <v>79</v>
      </c>
      <c r="F1278" s="10" t="s">
        <v>722</v>
      </c>
      <c r="G1278" s="10" t="s">
        <v>1159</v>
      </c>
      <c r="H1278" s="10" t="s">
        <v>11203</v>
      </c>
      <c r="I1278" s="10" t="s">
        <v>55</v>
      </c>
      <c r="K1278" s="10" t="s">
        <v>11180</v>
      </c>
      <c r="L1278" s="10" t="s">
        <v>42</v>
      </c>
    </row>
    <row r="1279" ht="15.75" customHeight="1">
      <c r="A1279" s="64">
        <v>45484.0</v>
      </c>
      <c r="B1279" s="55" t="str">
        <f>HYPERLINK("https://jobright.ai/jobs/info/667316d9a9e50a53acb10c61?utm_campaign=1052&amp;utm_source=sheet", "Apply")</f>
        <v>Apply</v>
      </c>
      <c r="C1279" s="10" t="s">
        <v>11201</v>
      </c>
      <c r="D1279" s="56" t="s">
        <v>11193</v>
      </c>
      <c r="E1279" s="10" t="s">
        <v>65</v>
      </c>
      <c r="F1279" s="10" t="s">
        <v>534</v>
      </c>
      <c r="G1279" s="10" t="s">
        <v>9419</v>
      </c>
      <c r="H1279" s="10" t="s">
        <v>9486</v>
      </c>
      <c r="I1279" s="10" t="s">
        <v>55</v>
      </c>
      <c r="K1279" s="10" t="s">
        <v>11202</v>
      </c>
      <c r="L1279" s="10" t="s">
        <v>42</v>
      </c>
    </row>
    <row r="1280" ht="15.75" customHeight="1">
      <c r="A1280" s="64">
        <v>45484.0</v>
      </c>
      <c r="B1280" s="55" t="str">
        <f>HYPERLINK("https://jobright.ai/jobs/info/66a23c275c14cdf3ee23e0ea?utm_campaign=1052&amp;utm_source=sheet", "Apply")</f>
        <v>Apply</v>
      </c>
      <c r="C1280" s="10" t="s">
        <v>11177</v>
      </c>
      <c r="D1280" s="56" t="s">
        <v>11178</v>
      </c>
      <c r="E1280" s="10" t="s">
        <v>79</v>
      </c>
      <c r="F1280" s="10" t="s">
        <v>722</v>
      </c>
      <c r="G1280" s="10" t="s">
        <v>1159</v>
      </c>
      <c r="H1280" s="10" t="s">
        <v>10713</v>
      </c>
      <c r="I1280" s="10" t="s">
        <v>55</v>
      </c>
      <c r="K1280" s="10" t="s">
        <v>11180</v>
      </c>
      <c r="L1280" s="10" t="s">
        <v>42</v>
      </c>
    </row>
    <row r="1281" ht="15.75" customHeight="1">
      <c r="A1281" s="64">
        <v>45484.0</v>
      </c>
      <c r="B1281" s="55" t="str">
        <f>HYPERLINK("https://jobright.ai/jobs/info/66732c4b0fa8312a4dbdd875?utm_campaign=1052&amp;utm_source=sheet", "Apply")</f>
        <v>Apply</v>
      </c>
      <c r="C1281" s="10" t="s">
        <v>11204</v>
      </c>
      <c r="D1281" s="56" t="s">
        <v>11193</v>
      </c>
      <c r="E1281" s="10" t="s">
        <v>65</v>
      </c>
      <c r="F1281" s="10" t="s">
        <v>534</v>
      </c>
      <c r="G1281" s="10" t="s">
        <v>9419</v>
      </c>
      <c r="H1281" s="10" t="s">
        <v>810</v>
      </c>
      <c r="I1281" s="10" t="s">
        <v>55</v>
      </c>
      <c r="K1281" s="10" t="s">
        <v>11202</v>
      </c>
      <c r="L1281" s="10" t="s">
        <v>42</v>
      </c>
    </row>
    <row r="1282" ht="15.75" customHeight="1">
      <c r="A1282" s="64">
        <v>45484.0</v>
      </c>
      <c r="B1282" s="55" t="str">
        <f>HYPERLINK("https://jobright.ai/jobs/info/66910aa9118225908d02093c?utm_campaign=1052&amp;utm_source=sheet", "Apply")</f>
        <v>Apply</v>
      </c>
      <c r="C1282" s="10" t="s">
        <v>9517</v>
      </c>
      <c r="D1282" s="56" t="s">
        <v>11205</v>
      </c>
      <c r="E1282" s="10">
        <v>1.0</v>
      </c>
      <c r="G1282" s="10" t="s">
        <v>1159</v>
      </c>
      <c r="H1282" s="10" t="s">
        <v>11206</v>
      </c>
      <c r="I1282" s="10" t="s">
        <v>55</v>
      </c>
      <c r="K1282" s="10" t="s">
        <v>11207</v>
      </c>
      <c r="L1282" s="10" t="s">
        <v>42</v>
      </c>
    </row>
    <row r="1283" ht="15.75" customHeight="1">
      <c r="A1283" s="64">
        <v>45484.0</v>
      </c>
      <c r="B1283" s="55" t="str">
        <f>HYPERLINK("https://jobright.ai/jobs/info/66910af8118225908d021165?utm_campaign=1052&amp;utm_source=sheet", "Apply")</f>
        <v>Apply</v>
      </c>
      <c r="C1283" s="10" t="s">
        <v>11208</v>
      </c>
      <c r="D1283" s="56" t="s">
        <v>1722</v>
      </c>
      <c r="E1283" s="10" t="s">
        <v>65</v>
      </c>
      <c r="F1283" s="10" t="s">
        <v>1723</v>
      </c>
      <c r="G1283" s="10" t="s">
        <v>9414</v>
      </c>
      <c r="H1283" s="10" t="s">
        <v>96</v>
      </c>
      <c r="I1283" s="10" t="s">
        <v>55</v>
      </c>
      <c r="J1283" s="10" t="s">
        <v>11209</v>
      </c>
      <c r="K1283" s="10" t="s">
        <v>11210</v>
      </c>
      <c r="L1283" s="10" t="s">
        <v>42</v>
      </c>
    </row>
    <row r="1284" ht="15.75" customHeight="1">
      <c r="A1284" s="64">
        <v>45484.0</v>
      </c>
      <c r="B1284" s="55" t="str">
        <f>HYPERLINK("https://jobright.ai/jobs/info/6690f2e6e1539dd2bde3565c?utm_campaign=1052&amp;utm_source=sheet", "Apply")</f>
        <v>Apply</v>
      </c>
      <c r="C1284" s="10" t="s">
        <v>11211</v>
      </c>
      <c r="D1284" s="56" t="s">
        <v>11212</v>
      </c>
      <c r="E1284" s="10">
        <v>132.0</v>
      </c>
      <c r="G1284" s="10" t="s">
        <v>1159</v>
      </c>
      <c r="H1284" s="10" t="s">
        <v>113</v>
      </c>
      <c r="I1284" s="10" t="s">
        <v>55</v>
      </c>
      <c r="K1284" s="10" t="s">
        <v>11213</v>
      </c>
      <c r="L1284" s="10" t="s">
        <v>42</v>
      </c>
    </row>
    <row r="1285" ht="15.75" customHeight="1">
      <c r="A1285" s="64">
        <v>45484.0</v>
      </c>
      <c r="B1285" s="55" t="str">
        <f>HYPERLINK("https://jobright.ai/jobs/info/6690f1de71973c20cb6018c8?utm_campaign=1052&amp;utm_source=sheet", "Apply")</f>
        <v>Apply</v>
      </c>
      <c r="C1285" s="10" t="s">
        <v>11214</v>
      </c>
      <c r="D1285" s="56" t="s">
        <v>11215</v>
      </c>
      <c r="E1285" s="10" t="s">
        <v>71</v>
      </c>
      <c r="F1285" s="10" t="s">
        <v>11216</v>
      </c>
      <c r="G1285" s="10" t="s">
        <v>9414</v>
      </c>
      <c r="H1285" s="10" t="s">
        <v>159</v>
      </c>
      <c r="I1285" s="10" t="s">
        <v>55</v>
      </c>
      <c r="K1285" s="10" t="s">
        <v>11217</v>
      </c>
      <c r="L1285" s="10" t="s">
        <v>42</v>
      </c>
    </row>
    <row r="1286" ht="15.75" customHeight="1">
      <c r="A1286" s="64">
        <v>45484.0</v>
      </c>
      <c r="B1286" s="55" t="str">
        <f>HYPERLINK("https://jobright.ai/jobs/info/6690f1de71973c20cb6018d3?utm_campaign=1052&amp;utm_source=sheet", "Apply")</f>
        <v>Apply</v>
      </c>
      <c r="C1286" s="10" t="s">
        <v>11218</v>
      </c>
      <c r="D1286" s="56" t="s">
        <v>9585</v>
      </c>
      <c r="E1286" s="10" t="s">
        <v>65</v>
      </c>
      <c r="F1286" s="10" t="s">
        <v>722</v>
      </c>
      <c r="G1286" s="10" t="s">
        <v>9419</v>
      </c>
      <c r="H1286" s="10" t="s">
        <v>607</v>
      </c>
      <c r="I1286" s="10" t="s">
        <v>55</v>
      </c>
      <c r="K1286" s="10" t="s">
        <v>9586</v>
      </c>
      <c r="L1286" s="10" t="s">
        <v>42</v>
      </c>
    </row>
    <row r="1287" ht="15.75" customHeight="1">
      <c r="A1287" s="64">
        <v>45484.0</v>
      </c>
      <c r="B1287" s="55" t="str">
        <f>HYPERLINK("https://jobright.ai/jobs/info/6690a0d743cab07c25cd0ae4?utm_campaign=1052&amp;utm_source=sheet", "Apply")</f>
        <v>Apply</v>
      </c>
      <c r="C1287" s="10" t="s">
        <v>11219</v>
      </c>
      <c r="D1287" s="56" t="s">
        <v>124</v>
      </c>
      <c r="E1287" s="10" t="s">
        <v>45</v>
      </c>
      <c r="F1287" s="10" t="s">
        <v>125</v>
      </c>
      <c r="G1287" s="10" t="s">
        <v>1159</v>
      </c>
      <c r="H1287" s="10" t="s">
        <v>11220</v>
      </c>
      <c r="I1287" s="10" t="s">
        <v>55</v>
      </c>
      <c r="J1287" s="64"/>
      <c r="K1287" s="10" t="s">
        <v>11221</v>
      </c>
      <c r="L1287" s="10" t="s">
        <v>42</v>
      </c>
    </row>
    <row r="1288" ht="15.75" customHeight="1">
      <c r="A1288" s="64">
        <v>45483.0</v>
      </c>
      <c r="B1288" s="55" t="str">
        <f>HYPERLINK("https://jobright.ai/jobs/info/668fe90b2fc5ba37662c5197?utm_campaign=1052&amp;utm_source=sheet", "Apply")</f>
        <v>Apply</v>
      </c>
      <c r="C1288" s="10" t="s">
        <v>11222</v>
      </c>
      <c r="D1288" s="56" t="s">
        <v>9917</v>
      </c>
      <c r="E1288" s="10" t="s">
        <v>65</v>
      </c>
      <c r="F1288" s="10" t="s">
        <v>9918</v>
      </c>
      <c r="G1288" s="10" t="s">
        <v>9414</v>
      </c>
      <c r="H1288" s="10" t="s">
        <v>1003</v>
      </c>
      <c r="I1288" s="10" t="s">
        <v>55</v>
      </c>
      <c r="K1288" s="10" t="s">
        <v>11223</v>
      </c>
      <c r="L1288" s="10" t="s">
        <v>42</v>
      </c>
    </row>
    <row r="1289" ht="15.75" customHeight="1">
      <c r="A1289" s="64">
        <v>45483.0</v>
      </c>
      <c r="B1289" s="55" t="str">
        <f>HYPERLINK("https://jobright.ai/jobs/info/65bdbb5a71fdb304badc8f12?utm_campaign=1052&amp;utm_source=sheet", "Apply")</f>
        <v>Apply</v>
      </c>
      <c r="C1289" s="10" t="s">
        <v>11224</v>
      </c>
      <c r="D1289" s="56" t="s">
        <v>6575</v>
      </c>
      <c r="E1289" s="10" t="s">
        <v>209</v>
      </c>
      <c r="F1289" s="10" t="s">
        <v>6576</v>
      </c>
      <c r="G1289" s="10" t="s">
        <v>9414</v>
      </c>
      <c r="H1289" s="10" t="s">
        <v>7821</v>
      </c>
      <c r="I1289" s="10" t="s">
        <v>55</v>
      </c>
      <c r="K1289" s="10" t="s">
        <v>11225</v>
      </c>
      <c r="L1289" s="10" t="s">
        <v>42</v>
      </c>
    </row>
    <row r="1290" ht="15.75" customHeight="1">
      <c r="A1290" s="64">
        <v>45483.0</v>
      </c>
      <c r="B1290" s="55" t="str">
        <f>HYPERLINK("https://jobright.ai/jobs/info/6690271040a392ac7323edc6?utm_campaign=1052&amp;utm_source=sheet", "Apply")</f>
        <v>Apply</v>
      </c>
      <c r="C1290" s="10" t="s">
        <v>11226</v>
      </c>
      <c r="D1290" s="56" t="s">
        <v>11227</v>
      </c>
      <c r="E1290" s="10" t="s">
        <v>65</v>
      </c>
      <c r="F1290" s="10" t="s">
        <v>1415</v>
      </c>
      <c r="G1290" s="10" t="s">
        <v>1159</v>
      </c>
      <c r="H1290" s="10" t="s">
        <v>11228</v>
      </c>
      <c r="I1290" s="10" t="s">
        <v>55</v>
      </c>
      <c r="K1290" s="10" t="s">
        <v>11229</v>
      </c>
      <c r="L1290" s="10" t="s">
        <v>42</v>
      </c>
    </row>
    <row r="1291" ht="15.75" customHeight="1">
      <c r="A1291" s="64">
        <v>45483.0</v>
      </c>
      <c r="B1291" s="55" t="str">
        <f>HYPERLINK("https://jobright.ai/jobs/info/6690271040a392ac7323edb6?utm_campaign=1052&amp;utm_source=sheet", "Apply")</f>
        <v>Apply</v>
      </c>
      <c r="C1291" s="10" t="s">
        <v>11230</v>
      </c>
      <c r="D1291" s="56" t="s">
        <v>11227</v>
      </c>
      <c r="E1291" s="10" t="s">
        <v>65</v>
      </c>
      <c r="F1291" s="10" t="s">
        <v>1415</v>
      </c>
      <c r="G1291" s="10" t="s">
        <v>9414</v>
      </c>
      <c r="H1291" s="10" t="s">
        <v>11228</v>
      </c>
      <c r="I1291" s="10" t="s">
        <v>55</v>
      </c>
      <c r="K1291" s="10" t="s">
        <v>11231</v>
      </c>
      <c r="L1291" s="10" t="s">
        <v>42</v>
      </c>
    </row>
    <row r="1292" ht="15.75" customHeight="1">
      <c r="A1292" s="64">
        <v>45483.0</v>
      </c>
      <c r="B1292" s="55" t="str">
        <f>HYPERLINK("https://jobright.ai/jobs/info/66900fe34a77721ba220eff7?utm_campaign=1052&amp;utm_source=sheet", "Apply")</f>
        <v>Apply</v>
      </c>
      <c r="C1292" s="10" t="s">
        <v>9611</v>
      </c>
      <c r="D1292" s="56" t="s">
        <v>11232</v>
      </c>
      <c r="E1292" s="10" t="s">
        <v>71</v>
      </c>
      <c r="F1292" s="10" t="s">
        <v>11233</v>
      </c>
      <c r="G1292" s="10" t="s">
        <v>9419</v>
      </c>
      <c r="H1292" s="10" t="s">
        <v>11234</v>
      </c>
      <c r="I1292" s="10" t="s">
        <v>55</v>
      </c>
      <c r="K1292" s="10" t="s">
        <v>11235</v>
      </c>
      <c r="L1292" s="10" t="s">
        <v>42</v>
      </c>
    </row>
    <row r="1293" ht="15.75" customHeight="1">
      <c r="A1293" s="64">
        <v>45483.0</v>
      </c>
      <c r="B1293" s="55" t="str">
        <f>HYPERLINK("https://jobright.ai/jobs/info/66900ffc4a77721ba220f200?utm_campaign=1052&amp;utm_source=sheet", "Apply")</f>
        <v>Apply</v>
      </c>
      <c r="C1293" s="10" t="s">
        <v>9517</v>
      </c>
      <c r="D1293" s="56" t="s">
        <v>11236</v>
      </c>
      <c r="E1293" s="10" t="s">
        <v>209</v>
      </c>
      <c r="F1293" s="10" t="s">
        <v>6085</v>
      </c>
      <c r="G1293" s="10" t="s">
        <v>1159</v>
      </c>
      <c r="H1293" s="10" t="s">
        <v>1032</v>
      </c>
      <c r="I1293" s="10" t="s">
        <v>55</v>
      </c>
      <c r="K1293" s="10" t="s">
        <v>11237</v>
      </c>
      <c r="L1293" s="10" t="s">
        <v>42</v>
      </c>
    </row>
    <row r="1294" ht="15.75" customHeight="1">
      <c r="A1294" s="64">
        <v>45483.0</v>
      </c>
      <c r="B1294" s="55" t="str">
        <f>HYPERLINK("https://jobright.ai/jobs/info/668fb7c09887949811962269?utm_campaign=1052&amp;utm_source=sheet", "Apply")</f>
        <v>Apply</v>
      </c>
      <c r="C1294" s="10" t="s">
        <v>11238</v>
      </c>
      <c r="D1294" s="56" t="s">
        <v>363</v>
      </c>
      <c r="E1294" s="10" t="s">
        <v>209</v>
      </c>
      <c r="F1294" s="10" t="s">
        <v>364</v>
      </c>
      <c r="G1294" s="10" t="s">
        <v>9414</v>
      </c>
      <c r="H1294" s="10" t="s">
        <v>365</v>
      </c>
      <c r="I1294" s="10" t="s">
        <v>55</v>
      </c>
      <c r="J1294" s="10" t="s">
        <v>366</v>
      </c>
      <c r="K1294" s="10" t="s">
        <v>11239</v>
      </c>
      <c r="L1294" s="10" t="s">
        <v>42</v>
      </c>
    </row>
    <row r="1295" ht="15.75" customHeight="1">
      <c r="A1295" s="64">
        <v>45483.0</v>
      </c>
      <c r="B1295" s="55" t="str">
        <f>HYPERLINK("https://jobright.ai/jobs/info/6697e3c0ad4d1ed329842d48?utm_campaign=1052&amp;utm_source=sheet", "Apply")</f>
        <v>Apply</v>
      </c>
      <c r="C1295" s="10" t="s">
        <v>11240</v>
      </c>
      <c r="D1295" s="56" t="s">
        <v>11241</v>
      </c>
      <c r="E1295" s="10" t="s">
        <v>45</v>
      </c>
      <c r="F1295" s="10" t="s">
        <v>10019</v>
      </c>
      <c r="G1295" s="10" t="s">
        <v>1159</v>
      </c>
      <c r="H1295" s="10" t="s">
        <v>949</v>
      </c>
      <c r="I1295" s="10" t="s">
        <v>55</v>
      </c>
      <c r="J1295" s="64"/>
      <c r="K1295" s="10" t="s">
        <v>11242</v>
      </c>
      <c r="L1295" s="10" t="s">
        <v>42</v>
      </c>
    </row>
    <row r="1296" ht="15.75" customHeight="1">
      <c r="A1296" s="64">
        <v>45483.0</v>
      </c>
      <c r="B1296" s="55" t="str">
        <f>HYPERLINK("https://jobright.ai/jobs/info/668ff9930f79b533b872961a?utm_campaign=1052&amp;utm_source=sheet", "Apply")</f>
        <v>Apply</v>
      </c>
      <c r="C1296" s="10" t="s">
        <v>11243</v>
      </c>
      <c r="D1296" s="56" t="s">
        <v>11244</v>
      </c>
      <c r="E1296" s="10" t="s">
        <v>79</v>
      </c>
      <c r="F1296" s="10" t="s">
        <v>11245</v>
      </c>
      <c r="G1296" s="10" t="s">
        <v>9414</v>
      </c>
      <c r="H1296" s="10" t="s">
        <v>11246</v>
      </c>
      <c r="I1296" s="10" t="s">
        <v>55</v>
      </c>
      <c r="K1296" s="10" t="s">
        <v>11247</v>
      </c>
      <c r="L1296" s="10" t="s">
        <v>42</v>
      </c>
    </row>
    <row r="1297" ht="15.75" customHeight="1">
      <c r="A1297" s="64">
        <v>45483.0</v>
      </c>
      <c r="B1297" s="55" t="str">
        <f>HYPERLINK("https://jobright.ai/jobs/info/6697d4b0824ac959881ae92b?utm_campaign=1052&amp;utm_source=sheet", "Apply")</f>
        <v>Apply</v>
      </c>
      <c r="C1297" s="10" t="s">
        <v>11248</v>
      </c>
      <c r="D1297" s="56" t="s">
        <v>10030</v>
      </c>
      <c r="E1297" s="10">
        <v>25.0</v>
      </c>
      <c r="G1297" s="10" t="s">
        <v>1159</v>
      </c>
      <c r="H1297" s="10" t="s">
        <v>11249</v>
      </c>
      <c r="I1297" s="10" t="s">
        <v>55</v>
      </c>
      <c r="J1297" s="10" t="s">
        <v>9770</v>
      </c>
      <c r="K1297" s="10" t="s">
        <v>11250</v>
      </c>
      <c r="L1297" s="10" t="s">
        <v>42</v>
      </c>
    </row>
    <row r="1298" ht="15.75" customHeight="1">
      <c r="A1298" s="64">
        <v>45483.0</v>
      </c>
      <c r="B1298" s="55" t="str">
        <f>HYPERLINK("https://jobright.ai/jobs/info/666b394e89d295d4f2f2ee83?utm_campaign=1052&amp;utm_source=sheet", "Apply")</f>
        <v>Apply</v>
      </c>
      <c r="C1298" s="10" t="s">
        <v>11251</v>
      </c>
      <c r="D1298" s="56" t="s">
        <v>6954</v>
      </c>
      <c r="E1298" s="10" t="s">
        <v>209</v>
      </c>
      <c r="F1298" s="10" t="s">
        <v>620</v>
      </c>
      <c r="G1298" s="10" t="s">
        <v>1159</v>
      </c>
      <c r="H1298" s="10" t="s">
        <v>245</v>
      </c>
      <c r="I1298" s="10" t="s">
        <v>55</v>
      </c>
      <c r="K1298" s="10" t="s">
        <v>11252</v>
      </c>
      <c r="L1298" s="10" t="s">
        <v>42</v>
      </c>
    </row>
    <row r="1299" ht="15.75" customHeight="1">
      <c r="A1299" s="64">
        <v>45483.0</v>
      </c>
      <c r="B1299" s="55" t="str">
        <f>HYPERLINK("https://jobright.ai/jobs/info/667124e552d3897f28414d58?utm_campaign=1052&amp;utm_source=sheet", "Apply")</f>
        <v>Apply</v>
      </c>
      <c r="C1299" s="10" t="s">
        <v>11253</v>
      </c>
      <c r="D1299" s="56" t="s">
        <v>6954</v>
      </c>
      <c r="E1299" s="10" t="s">
        <v>209</v>
      </c>
      <c r="F1299" s="10" t="s">
        <v>620</v>
      </c>
      <c r="G1299" s="10" t="s">
        <v>1159</v>
      </c>
      <c r="H1299" s="10" t="s">
        <v>245</v>
      </c>
      <c r="I1299" s="10" t="s">
        <v>55</v>
      </c>
      <c r="K1299" s="10" t="s">
        <v>11254</v>
      </c>
      <c r="L1299" s="10" t="s">
        <v>42</v>
      </c>
    </row>
    <row r="1300" ht="15.75" customHeight="1">
      <c r="A1300" s="64">
        <v>45483.0</v>
      </c>
      <c r="B1300" s="55" t="str">
        <f>HYPERLINK("https://jobright.ai/jobs/info/6677b23bd57a2b58a480c6b5?utm_campaign=1052&amp;utm_source=sheet", "Apply")</f>
        <v>Apply</v>
      </c>
      <c r="C1300" s="10" t="s">
        <v>11255</v>
      </c>
      <c r="D1300" s="56" t="s">
        <v>9585</v>
      </c>
      <c r="E1300" s="10" t="s">
        <v>65</v>
      </c>
      <c r="F1300" s="10" t="s">
        <v>722</v>
      </c>
      <c r="G1300" s="10" t="s">
        <v>9419</v>
      </c>
      <c r="H1300" s="10" t="s">
        <v>607</v>
      </c>
      <c r="I1300" s="10" t="s">
        <v>55</v>
      </c>
      <c r="K1300" s="10" t="s">
        <v>9586</v>
      </c>
      <c r="L1300" s="10" t="s">
        <v>42</v>
      </c>
    </row>
    <row r="1301" ht="15.75" customHeight="1">
      <c r="A1301" s="64">
        <v>45483.0</v>
      </c>
      <c r="B1301" s="55" t="str">
        <f>HYPERLINK("https://jobright.ai/jobs/info/6677ad57dc7be138508a296b?utm_campaign=1052&amp;utm_source=sheet", "Apply")</f>
        <v>Apply</v>
      </c>
      <c r="C1301" s="10" t="s">
        <v>11256</v>
      </c>
      <c r="D1301" s="56" t="s">
        <v>533</v>
      </c>
      <c r="E1301" s="10" t="s">
        <v>209</v>
      </c>
      <c r="F1301" s="10" t="s">
        <v>534</v>
      </c>
      <c r="G1301" s="10" t="s">
        <v>9419</v>
      </c>
      <c r="H1301" s="10" t="s">
        <v>607</v>
      </c>
      <c r="I1301" s="10" t="s">
        <v>48</v>
      </c>
      <c r="J1301" s="10" t="s">
        <v>9596</v>
      </c>
      <c r="K1301" s="10" t="s">
        <v>9621</v>
      </c>
      <c r="L1301" s="10" t="s">
        <v>42</v>
      </c>
    </row>
    <row r="1302" ht="15.75" customHeight="1">
      <c r="A1302" s="64">
        <v>45483.0</v>
      </c>
      <c r="B1302" s="55" t="str">
        <f>HYPERLINK("https://jobright.ai/jobs/info/668e5911f76af233b6f99821?utm_campaign=1052&amp;utm_source=sheet", "Apply")</f>
        <v>Apply</v>
      </c>
      <c r="C1302" s="10" t="s">
        <v>11131</v>
      </c>
      <c r="D1302" s="56" t="s">
        <v>9550</v>
      </c>
      <c r="E1302" s="10" t="s">
        <v>249</v>
      </c>
      <c r="F1302" s="10" t="s">
        <v>722</v>
      </c>
      <c r="G1302" s="10" t="s">
        <v>1159</v>
      </c>
      <c r="H1302" s="10" t="s">
        <v>153</v>
      </c>
      <c r="I1302" s="10" t="s">
        <v>48</v>
      </c>
      <c r="J1302" s="10" t="s">
        <v>9551</v>
      </c>
      <c r="K1302" s="10" t="s">
        <v>10355</v>
      </c>
      <c r="L1302" s="10" t="s">
        <v>42</v>
      </c>
    </row>
    <row r="1303" ht="15.75" customHeight="1">
      <c r="A1303" s="64">
        <v>45483.0</v>
      </c>
      <c r="B1303" s="55" t="str">
        <f>HYPERLINK("https://jobright.ai/jobs/info/668e58f7f76af233b6f99614?utm_campaign=1052&amp;utm_source=sheet", "Apply")</f>
        <v>Apply</v>
      </c>
      <c r="C1303" s="10" t="s">
        <v>11127</v>
      </c>
      <c r="D1303" s="56" t="s">
        <v>9550</v>
      </c>
      <c r="E1303" s="10" t="s">
        <v>249</v>
      </c>
      <c r="F1303" s="10" t="s">
        <v>722</v>
      </c>
      <c r="G1303" s="10" t="s">
        <v>1159</v>
      </c>
      <c r="H1303" s="10" t="s">
        <v>167</v>
      </c>
      <c r="I1303" s="10" t="s">
        <v>48</v>
      </c>
      <c r="J1303" s="10" t="s">
        <v>1616</v>
      </c>
      <c r="K1303" s="10" t="s">
        <v>10355</v>
      </c>
      <c r="L1303" s="10" t="s">
        <v>42</v>
      </c>
    </row>
    <row r="1304" ht="15.75" customHeight="1">
      <c r="A1304" s="64">
        <v>45483.0</v>
      </c>
      <c r="B1304" s="55" t="str">
        <f>HYPERLINK("https://jobright.ai/jobs/info/668e6263394cc2e566364b08?utm_campaign=1052&amp;utm_source=sheet", "Apply")</f>
        <v>Apply</v>
      </c>
      <c r="C1304" s="10" t="s">
        <v>9517</v>
      </c>
      <c r="D1304" s="56" t="s">
        <v>11257</v>
      </c>
      <c r="E1304" s="10">
        <v>158.0</v>
      </c>
      <c r="G1304" s="10" t="s">
        <v>1159</v>
      </c>
      <c r="H1304" s="10" t="s">
        <v>11258</v>
      </c>
      <c r="I1304" s="10" t="s">
        <v>55</v>
      </c>
      <c r="K1304" s="10" t="s">
        <v>11259</v>
      </c>
      <c r="L1304" s="10" t="s">
        <v>42</v>
      </c>
    </row>
    <row r="1305" ht="15.75" customHeight="1">
      <c r="A1305" s="64">
        <v>45482.0</v>
      </c>
      <c r="B1305" s="55" t="str">
        <f>HYPERLINK("https://jobright.ai/jobs/info/668e6274394cc2e566364c87?utm_campaign=1052&amp;utm_source=sheet", "Apply")</f>
        <v>Apply</v>
      </c>
      <c r="C1305" s="10" t="s">
        <v>11260</v>
      </c>
      <c r="D1305" s="56" t="s">
        <v>5125</v>
      </c>
      <c r="E1305" s="10" t="s">
        <v>209</v>
      </c>
      <c r="F1305" s="10" t="s">
        <v>1454</v>
      </c>
      <c r="G1305" s="10" t="s">
        <v>9414</v>
      </c>
      <c r="H1305" s="10" t="s">
        <v>108</v>
      </c>
      <c r="I1305" s="10" t="s">
        <v>48</v>
      </c>
      <c r="K1305" s="10" t="s">
        <v>11261</v>
      </c>
      <c r="L1305" s="10" t="s">
        <v>42</v>
      </c>
    </row>
    <row r="1306" ht="15.75" customHeight="1">
      <c r="A1306" s="64">
        <v>45482.0</v>
      </c>
      <c r="B1306" s="55" t="str">
        <f>HYPERLINK("https://jobright.ai/jobs/info/668e626a394cc2e566364c13?utm_campaign=1052&amp;utm_source=sheet", "Apply")</f>
        <v>Apply</v>
      </c>
      <c r="C1306" s="10" t="s">
        <v>11262</v>
      </c>
      <c r="D1306" s="56" t="s">
        <v>5125</v>
      </c>
      <c r="E1306" s="10" t="s">
        <v>209</v>
      </c>
      <c r="F1306" s="10" t="s">
        <v>1454</v>
      </c>
      <c r="G1306" s="10" t="s">
        <v>9414</v>
      </c>
      <c r="H1306" s="10" t="s">
        <v>108</v>
      </c>
      <c r="I1306" s="10" t="s">
        <v>48</v>
      </c>
      <c r="K1306" s="10" t="s">
        <v>11261</v>
      </c>
      <c r="L1306" s="10" t="s">
        <v>42</v>
      </c>
    </row>
    <row r="1307" ht="15.75" customHeight="1">
      <c r="A1307" s="64">
        <v>45482.0</v>
      </c>
      <c r="B1307" s="55" t="str">
        <f>HYPERLINK("https://jobright.ai/jobs/info/664cf77f60201a549dd00f95?utm_campaign=1052&amp;utm_source=sheet", "Apply")</f>
        <v>Apply</v>
      </c>
      <c r="C1307" s="10" t="s">
        <v>11263</v>
      </c>
      <c r="D1307" s="56" t="s">
        <v>1158</v>
      </c>
      <c r="E1307" s="10" t="s">
        <v>276</v>
      </c>
      <c r="F1307" s="10" t="s">
        <v>1159</v>
      </c>
      <c r="G1307" s="10" t="s">
        <v>9414</v>
      </c>
      <c r="H1307" s="10" t="s">
        <v>1160</v>
      </c>
      <c r="I1307" s="10" t="s">
        <v>55</v>
      </c>
      <c r="K1307" s="10" t="s">
        <v>10586</v>
      </c>
      <c r="L1307" s="10" t="s">
        <v>42</v>
      </c>
    </row>
    <row r="1308" ht="15.75" customHeight="1">
      <c r="A1308" s="64">
        <v>45482.0</v>
      </c>
      <c r="B1308" s="55" t="str">
        <f>HYPERLINK("https://jobright.ai/jobs/info/668d882da77fbe807aad347a?utm_campaign=1052&amp;utm_source=sheet", "Apply")</f>
        <v>Apply</v>
      </c>
      <c r="C1308" s="10" t="s">
        <v>11264</v>
      </c>
      <c r="D1308" s="56" t="s">
        <v>11265</v>
      </c>
      <c r="E1308" s="10" t="s">
        <v>79</v>
      </c>
      <c r="F1308" s="10" t="s">
        <v>11233</v>
      </c>
      <c r="G1308" s="10" t="s">
        <v>9419</v>
      </c>
      <c r="H1308" s="10" t="s">
        <v>11266</v>
      </c>
      <c r="I1308" s="10" t="s">
        <v>48</v>
      </c>
      <c r="K1308" s="10" t="s">
        <v>11267</v>
      </c>
      <c r="L1308" s="10" t="s">
        <v>42</v>
      </c>
    </row>
    <row r="1309" ht="15.75" customHeight="1">
      <c r="A1309" s="64">
        <v>45482.0</v>
      </c>
      <c r="B1309" s="55" t="str">
        <f>HYPERLINK("https://jobright.ai/jobs/info/668dac3fb8f822826895dd56?utm_campaign=1052&amp;utm_source=sheet", "Apply")</f>
        <v>Apply</v>
      </c>
      <c r="C1309" s="10" t="s">
        <v>11268</v>
      </c>
      <c r="D1309" s="56" t="s">
        <v>5125</v>
      </c>
      <c r="E1309" s="10" t="s">
        <v>209</v>
      </c>
      <c r="F1309" s="10" t="s">
        <v>1454</v>
      </c>
      <c r="G1309" s="10" t="s">
        <v>9414</v>
      </c>
      <c r="H1309" s="10" t="s">
        <v>108</v>
      </c>
      <c r="I1309" s="10" t="s">
        <v>48</v>
      </c>
      <c r="K1309" s="10" t="s">
        <v>11261</v>
      </c>
      <c r="L1309" s="10" t="s">
        <v>42</v>
      </c>
    </row>
    <row r="1310" ht="15.75" customHeight="1">
      <c r="A1310" s="64">
        <v>45482.0</v>
      </c>
      <c r="B1310" s="55" t="str">
        <f>HYPERLINK("https://jobright.ai/jobs/info/668d8de66abc78b21c1dc8c1?utm_campaign=1052&amp;utm_source=sheet", "Apply")</f>
        <v>Apply</v>
      </c>
      <c r="C1310" s="10" t="s">
        <v>11269</v>
      </c>
      <c r="D1310" s="56" t="s">
        <v>11270</v>
      </c>
      <c r="E1310" s="10" t="s">
        <v>137</v>
      </c>
      <c r="F1310" s="10" t="s">
        <v>11271</v>
      </c>
      <c r="G1310" s="10" t="s">
        <v>9414</v>
      </c>
      <c r="H1310" s="10" t="s">
        <v>970</v>
      </c>
      <c r="I1310" s="10" t="s">
        <v>55</v>
      </c>
      <c r="K1310" s="10" t="s">
        <v>11272</v>
      </c>
      <c r="L1310" s="10" t="s">
        <v>42</v>
      </c>
    </row>
    <row r="1311" ht="15.75" customHeight="1">
      <c r="A1311" s="64">
        <v>45482.0</v>
      </c>
      <c r="B1311" s="55" t="str">
        <f>HYPERLINK("https://jobright.ai/jobs/info/668ecc77bf93d98adcfd54a6?utm_campaign=1052&amp;utm_source=sheet", "Apply")</f>
        <v>Apply</v>
      </c>
      <c r="C1311" s="10" t="s">
        <v>11273</v>
      </c>
      <c r="D1311" s="56" t="s">
        <v>7075</v>
      </c>
      <c r="E1311" s="10" t="s">
        <v>45</v>
      </c>
      <c r="F1311" s="10" t="s">
        <v>7076</v>
      </c>
      <c r="G1311" s="10" t="s">
        <v>9414</v>
      </c>
      <c r="H1311" s="10" t="s">
        <v>11274</v>
      </c>
      <c r="I1311" s="10" t="s">
        <v>55</v>
      </c>
      <c r="J1311" s="10" t="s">
        <v>11275</v>
      </c>
      <c r="K1311" s="10" t="s">
        <v>11276</v>
      </c>
      <c r="L1311" s="10" t="s">
        <v>42</v>
      </c>
    </row>
    <row r="1312" ht="15.75" customHeight="1">
      <c r="A1312" s="64">
        <v>45482.0</v>
      </c>
      <c r="B1312" s="55" t="str">
        <f>HYPERLINK("https://jobright.ai/jobs/info/668ec4c4c916c3695aa7af12?utm_campaign=1052&amp;utm_source=sheet", "Apply")</f>
        <v>Apply</v>
      </c>
      <c r="C1312" s="10" t="s">
        <v>11277</v>
      </c>
      <c r="D1312" s="56" t="s">
        <v>7075</v>
      </c>
      <c r="E1312" s="10" t="s">
        <v>45</v>
      </c>
      <c r="F1312" s="10" t="s">
        <v>7076</v>
      </c>
      <c r="G1312" s="10" t="s">
        <v>1159</v>
      </c>
      <c r="H1312" s="10" t="s">
        <v>3703</v>
      </c>
      <c r="I1312" s="10" t="s">
        <v>55</v>
      </c>
      <c r="K1312" s="10" t="s">
        <v>11278</v>
      </c>
      <c r="L1312" s="10" t="s">
        <v>42</v>
      </c>
    </row>
    <row r="1313" ht="15.75" customHeight="1">
      <c r="A1313" s="64">
        <v>45482.0</v>
      </c>
      <c r="B1313" s="55" t="str">
        <f>HYPERLINK("https://jobright.ai/jobs/info/668ec4c4c916c3695aa7af8e?utm_campaign=1052&amp;utm_source=sheet", "Apply")</f>
        <v>Apply</v>
      </c>
      <c r="C1313" s="10" t="s">
        <v>11279</v>
      </c>
      <c r="D1313" s="56" t="s">
        <v>7075</v>
      </c>
      <c r="E1313" s="10" t="s">
        <v>45</v>
      </c>
      <c r="F1313" s="10" t="s">
        <v>7076</v>
      </c>
      <c r="G1313" s="10" t="s">
        <v>1159</v>
      </c>
      <c r="H1313" s="10" t="s">
        <v>5320</v>
      </c>
      <c r="I1313" s="10" t="s">
        <v>55</v>
      </c>
      <c r="K1313" s="10" t="s">
        <v>11280</v>
      </c>
      <c r="L1313" s="10" t="s">
        <v>42</v>
      </c>
    </row>
    <row r="1314" ht="15.75" customHeight="1">
      <c r="A1314" s="64">
        <v>45482.0</v>
      </c>
      <c r="B1314" s="55" t="str">
        <f>HYPERLINK("https://jobright.ai/jobs/info/668ec4d6c916c3695aa7b117?utm_campaign=1052&amp;utm_source=sheet", "Apply")</f>
        <v>Apply</v>
      </c>
      <c r="C1314" s="10" t="s">
        <v>11281</v>
      </c>
      <c r="D1314" s="56" t="s">
        <v>7075</v>
      </c>
      <c r="E1314" s="10" t="s">
        <v>45</v>
      </c>
      <c r="F1314" s="10" t="s">
        <v>7076</v>
      </c>
      <c r="G1314" s="10" t="s">
        <v>9414</v>
      </c>
      <c r="H1314" s="10" t="s">
        <v>11282</v>
      </c>
      <c r="I1314" s="10" t="s">
        <v>55</v>
      </c>
      <c r="J1314" s="10" t="s">
        <v>11283</v>
      </c>
      <c r="K1314" s="10" t="s">
        <v>11284</v>
      </c>
      <c r="L1314" s="10" t="s">
        <v>42</v>
      </c>
    </row>
    <row r="1315" ht="15.75" customHeight="1">
      <c r="A1315" s="64">
        <v>45482.0</v>
      </c>
      <c r="B1315" s="55" t="str">
        <f>HYPERLINK("https://jobright.ai/jobs/info/668ebbadf8776ede103d119e?utm_campaign=1052&amp;utm_source=sheet", "Apply")</f>
        <v>Apply</v>
      </c>
      <c r="C1315" s="10" t="s">
        <v>11285</v>
      </c>
      <c r="D1315" s="56" t="s">
        <v>7075</v>
      </c>
      <c r="E1315" s="10" t="s">
        <v>45</v>
      </c>
      <c r="F1315" s="10" t="s">
        <v>7076</v>
      </c>
      <c r="G1315" s="10" t="s">
        <v>9414</v>
      </c>
      <c r="H1315" s="10" t="s">
        <v>2154</v>
      </c>
      <c r="I1315" s="10" t="s">
        <v>55</v>
      </c>
      <c r="K1315" s="10" t="s">
        <v>11286</v>
      </c>
      <c r="L1315" s="10" t="s">
        <v>42</v>
      </c>
    </row>
    <row r="1316" ht="15.75" customHeight="1">
      <c r="A1316" s="64">
        <v>45482.0</v>
      </c>
      <c r="B1316" s="55" t="str">
        <f>HYPERLINK("https://jobright.ai/jobs/info/668ebbbff8776ede103d139e?utm_campaign=1052&amp;utm_source=sheet", "Apply")</f>
        <v>Apply</v>
      </c>
      <c r="C1316" s="10" t="s">
        <v>11287</v>
      </c>
      <c r="D1316" s="56" t="s">
        <v>7075</v>
      </c>
      <c r="E1316" s="10" t="s">
        <v>45</v>
      </c>
      <c r="F1316" s="10" t="s">
        <v>7076</v>
      </c>
      <c r="G1316" s="10" t="s">
        <v>9419</v>
      </c>
      <c r="H1316" s="10" t="s">
        <v>9890</v>
      </c>
      <c r="I1316" s="10" t="s">
        <v>55</v>
      </c>
      <c r="K1316" s="10" t="s">
        <v>11288</v>
      </c>
      <c r="L1316" s="10" t="s">
        <v>42</v>
      </c>
    </row>
    <row r="1317" ht="15.75" customHeight="1">
      <c r="A1317" s="64">
        <v>45482.0</v>
      </c>
      <c r="B1317" s="55" t="str">
        <f>HYPERLINK("https://jobright.ai/jobs/info/668d6019f098b78583256d4a?utm_campaign=1052&amp;utm_source=sheet", "Apply")</f>
        <v>Apply</v>
      </c>
      <c r="C1317" s="10" t="s">
        <v>11289</v>
      </c>
      <c r="D1317" s="56" t="s">
        <v>9821</v>
      </c>
      <c r="E1317" s="10" t="s">
        <v>45</v>
      </c>
      <c r="F1317" s="10" t="s">
        <v>3594</v>
      </c>
      <c r="G1317" s="10" t="s">
        <v>9414</v>
      </c>
      <c r="H1317" s="10" t="s">
        <v>854</v>
      </c>
      <c r="I1317" s="10" t="s">
        <v>55</v>
      </c>
      <c r="K1317" s="10" t="s">
        <v>11290</v>
      </c>
      <c r="L1317" s="10" t="s">
        <v>42</v>
      </c>
    </row>
    <row r="1318" ht="15.75" customHeight="1">
      <c r="A1318" s="64">
        <v>45482.0</v>
      </c>
      <c r="B1318" s="55" t="str">
        <f>HYPERLINK("https://jobright.ai/jobs/info/668d6019f098b78583256d8c?utm_campaign=1052&amp;utm_source=sheet", "Apply")</f>
        <v>Apply</v>
      </c>
      <c r="C1318" s="10" t="s">
        <v>9517</v>
      </c>
      <c r="D1318" s="56" t="s">
        <v>11291</v>
      </c>
      <c r="E1318" s="10" t="s">
        <v>137</v>
      </c>
      <c r="F1318" s="10" t="s">
        <v>722</v>
      </c>
      <c r="G1318" s="10" t="s">
        <v>9419</v>
      </c>
      <c r="H1318" s="10" t="s">
        <v>354</v>
      </c>
      <c r="I1318" s="10" t="s">
        <v>55</v>
      </c>
      <c r="K1318" s="10" t="s">
        <v>11292</v>
      </c>
      <c r="L1318" s="10" t="s">
        <v>42</v>
      </c>
    </row>
    <row r="1319" ht="15.75" customHeight="1">
      <c r="A1319" s="64">
        <v>45482.0</v>
      </c>
      <c r="B1319" s="55" t="str">
        <f>HYPERLINK("https://jobright.ai/jobs/info/669145ca166407da661db0cb?utm_campaign=1052&amp;utm_source=sheet", "Apply")</f>
        <v>Apply</v>
      </c>
      <c r="C1319" s="10" t="s">
        <v>9806</v>
      </c>
      <c r="D1319" s="56" t="s">
        <v>533</v>
      </c>
      <c r="E1319" s="10" t="s">
        <v>209</v>
      </c>
      <c r="F1319" s="10" t="s">
        <v>534</v>
      </c>
      <c r="G1319" s="10" t="s">
        <v>9419</v>
      </c>
      <c r="H1319" s="10" t="s">
        <v>854</v>
      </c>
      <c r="I1319" s="10" t="s">
        <v>55</v>
      </c>
      <c r="J1319" s="10" t="s">
        <v>10724</v>
      </c>
      <c r="K1319" s="10" t="s">
        <v>9597</v>
      </c>
      <c r="L1319" s="10" t="s">
        <v>42</v>
      </c>
    </row>
    <row r="1320" ht="15.75" customHeight="1">
      <c r="A1320" s="64">
        <v>45482.0</v>
      </c>
      <c r="B1320" s="55" t="str">
        <f>HYPERLINK("https://jobright.ai/jobs/info/6670ec0949a298a17f482e0f?utm_campaign=1052&amp;utm_source=sheet", "Apply")</f>
        <v>Apply</v>
      </c>
      <c r="C1320" s="10" t="s">
        <v>9517</v>
      </c>
      <c r="D1320" s="56" t="s">
        <v>3261</v>
      </c>
      <c r="E1320" s="10" t="s">
        <v>65</v>
      </c>
      <c r="F1320" s="10" t="s">
        <v>1084</v>
      </c>
      <c r="G1320" s="10" t="s">
        <v>1159</v>
      </c>
      <c r="H1320" s="10" t="s">
        <v>914</v>
      </c>
      <c r="I1320" s="10" t="s">
        <v>55</v>
      </c>
      <c r="J1320" s="64"/>
      <c r="K1320" s="10" t="s">
        <v>11293</v>
      </c>
      <c r="L1320" s="10" t="s">
        <v>42</v>
      </c>
    </row>
    <row r="1321" ht="15.75" customHeight="1">
      <c r="A1321" s="64">
        <v>45482.0</v>
      </c>
      <c r="B1321" s="55" t="str">
        <f>HYPERLINK("https://jobright.ai/jobs/info/6693da5b393f9ec0e9b656a4?utm_campaign=1052&amp;utm_source=sheet", "Apply")</f>
        <v>Apply</v>
      </c>
      <c r="C1321" s="10" t="s">
        <v>11294</v>
      </c>
      <c r="D1321" s="56" t="s">
        <v>533</v>
      </c>
      <c r="E1321" s="10" t="s">
        <v>209</v>
      </c>
      <c r="F1321" s="10" t="s">
        <v>534</v>
      </c>
      <c r="G1321" s="10" t="s">
        <v>9419</v>
      </c>
      <c r="H1321" s="10" t="s">
        <v>794</v>
      </c>
      <c r="I1321" s="10" t="s">
        <v>55</v>
      </c>
      <c r="K1321" s="10" t="s">
        <v>11295</v>
      </c>
      <c r="L1321" s="10" t="s">
        <v>42</v>
      </c>
    </row>
    <row r="1322" ht="15.75" customHeight="1">
      <c r="A1322" s="64">
        <v>45482.0</v>
      </c>
      <c r="B1322" s="55" t="str">
        <f>HYPERLINK("https://jobright.ai/jobs/info/664eb20ccd9154b3e601399f?utm_campaign=1052&amp;utm_source=sheet", "Apply")</f>
        <v>Apply</v>
      </c>
      <c r="C1322" s="10" t="s">
        <v>10733</v>
      </c>
      <c r="D1322" s="56" t="s">
        <v>9588</v>
      </c>
      <c r="E1322" s="10" t="s">
        <v>65</v>
      </c>
      <c r="F1322" s="10" t="s">
        <v>722</v>
      </c>
      <c r="G1322" s="10" t="s">
        <v>9419</v>
      </c>
      <c r="H1322" s="10" t="s">
        <v>3271</v>
      </c>
      <c r="I1322" s="10" t="s">
        <v>55</v>
      </c>
      <c r="K1322" s="10" t="s">
        <v>10398</v>
      </c>
      <c r="L1322" s="10" t="s">
        <v>42</v>
      </c>
    </row>
    <row r="1323" ht="15.75" customHeight="1">
      <c r="A1323" s="64">
        <v>45482.0</v>
      </c>
      <c r="B1323" s="55" t="str">
        <f>HYPERLINK("https://jobright.ai/jobs/info/66911c6b5b4027d2df256ece?utm_campaign=1052&amp;utm_source=sheet", "Apply")</f>
        <v>Apply</v>
      </c>
      <c r="C1323" s="10" t="s">
        <v>9590</v>
      </c>
      <c r="D1323" s="56" t="s">
        <v>9591</v>
      </c>
      <c r="E1323" s="10" t="s">
        <v>209</v>
      </c>
      <c r="F1323" s="10" t="s">
        <v>534</v>
      </c>
      <c r="G1323" s="10" t="s">
        <v>9419</v>
      </c>
      <c r="H1323" s="10" t="s">
        <v>313</v>
      </c>
      <c r="I1323" s="10" t="s">
        <v>55</v>
      </c>
      <c r="K1323" s="10" t="s">
        <v>9592</v>
      </c>
      <c r="L1323" s="10" t="s">
        <v>42</v>
      </c>
    </row>
    <row r="1324" ht="15.75" customHeight="1">
      <c r="A1324" s="64">
        <v>45482.0</v>
      </c>
      <c r="B1324" s="55" t="str">
        <f>HYPERLINK("https://jobright.ai/jobs/info/6628702ae790aeec101cd996?utm_campaign=1052&amp;utm_source=sheet", "Apply")</f>
        <v>Apply</v>
      </c>
      <c r="C1324" s="10" t="s">
        <v>11296</v>
      </c>
      <c r="D1324" s="56" t="s">
        <v>9585</v>
      </c>
      <c r="E1324" s="10" t="s">
        <v>65</v>
      </c>
      <c r="F1324" s="10" t="s">
        <v>722</v>
      </c>
      <c r="G1324" s="10" t="s">
        <v>9419</v>
      </c>
      <c r="H1324" s="10" t="s">
        <v>11297</v>
      </c>
      <c r="I1324" s="10" t="s">
        <v>55</v>
      </c>
      <c r="K1324" s="10" t="s">
        <v>9586</v>
      </c>
      <c r="L1324" s="10" t="s">
        <v>42</v>
      </c>
    </row>
    <row r="1325" ht="15.75" customHeight="1">
      <c r="A1325" s="64">
        <v>45482.0</v>
      </c>
      <c r="B1325" s="55" t="str">
        <f>HYPERLINK("https://jobright.ai/jobs/info/65e07b83f35e5843fa780533?utm_campaign=1052&amp;utm_source=sheet", "Apply")</f>
        <v>Apply</v>
      </c>
      <c r="C1325" s="10" t="s">
        <v>9793</v>
      </c>
      <c r="D1325" s="56" t="s">
        <v>9607</v>
      </c>
      <c r="E1325" s="10" t="s">
        <v>45</v>
      </c>
      <c r="F1325" s="10" t="s">
        <v>722</v>
      </c>
      <c r="G1325" s="10" t="s">
        <v>9419</v>
      </c>
      <c r="H1325" s="10" t="s">
        <v>974</v>
      </c>
      <c r="I1325" s="10" t="s">
        <v>48</v>
      </c>
      <c r="J1325" s="10" t="s">
        <v>9798</v>
      </c>
      <c r="K1325" s="10" t="s">
        <v>9609</v>
      </c>
      <c r="L1325" s="10" t="s">
        <v>42</v>
      </c>
    </row>
    <row r="1326" ht="15.75" customHeight="1">
      <c r="A1326" s="64">
        <v>45482.0</v>
      </c>
      <c r="B1326" s="55" t="str">
        <f>HYPERLINK("https://jobright.ai/jobs/info/65d0af7067217ce3c3d2c182?utm_campaign=1052&amp;utm_source=sheet", "Apply")</f>
        <v>Apply</v>
      </c>
      <c r="C1326" s="10" t="s">
        <v>10914</v>
      </c>
      <c r="D1326" s="56" t="s">
        <v>2763</v>
      </c>
      <c r="E1326" s="10" t="s">
        <v>45</v>
      </c>
      <c r="F1326" s="10" t="s">
        <v>1465</v>
      </c>
      <c r="G1326" s="10" t="s">
        <v>1159</v>
      </c>
      <c r="H1326" s="10" t="s">
        <v>434</v>
      </c>
      <c r="I1326" s="10" t="s">
        <v>55</v>
      </c>
      <c r="J1326" s="10" t="s">
        <v>9635</v>
      </c>
      <c r="K1326" s="10" t="s">
        <v>9636</v>
      </c>
      <c r="L1326" s="10" t="s">
        <v>42</v>
      </c>
    </row>
    <row r="1327" ht="15.75" customHeight="1">
      <c r="A1327" s="64">
        <v>45482.0</v>
      </c>
      <c r="B1327" s="55" t="str">
        <f>HYPERLINK("https://jobright.ai/jobs/info/6670d9686693be2cfa8b0574?utm_campaign=1052&amp;utm_source=sheet", "Apply")</f>
        <v>Apply</v>
      </c>
      <c r="C1327" s="10" t="s">
        <v>11298</v>
      </c>
      <c r="D1327" s="56" t="s">
        <v>11193</v>
      </c>
      <c r="E1327" s="10" t="s">
        <v>65</v>
      </c>
      <c r="F1327" s="10" t="s">
        <v>534</v>
      </c>
      <c r="G1327" s="10" t="s">
        <v>9419</v>
      </c>
      <c r="H1327" s="10" t="s">
        <v>10777</v>
      </c>
      <c r="I1327" s="10" t="s">
        <v>55</v>
      </c>
      <c r="K1327" s="10" t="s">
        <v>11202</v>
      </c>
      <c r="L1327" s="10" t="s">
        <v>42</v>
      </c>
    </row>
    <row r="1328" ht="15.75" customHeight="1">
      <c r="A1328" s="64">
        <v>45482.0</v>
      </c>
      <c r="B1328" s="55" t="str">
        <f>HYPERLINK("https://jobright.ai/jobs/info/6677b2bed57a2b58a480cff4?utm_campaign=1052&amp;utm_source=sheet", "Apply")</f>
        <v>Apply</v>
      </c>
      <c r="C1328" s="10" t="s">
        <v>11299</v>
      </c>
      <c r="D1328" s="56" t="s">
        <v>11300</v>
      </c>
      <c r="E1328" s="10" t="s">
        <v>65</v>
      </c>
      <c r="F1328" s="10" t="s">
        <v>534</v>
      </c>
      <c r="G1328" s="10" t="s">
        <v>9414</v>
      </c>
      <c r="H1328" s="10" t="s">
        <v>949</v>
      </c>
      <c r="I1328" s="10" t="s">
        <v>55</v>
      </c>
      <c r="K1328" s="10" t="s">
        <v>11301</v>
      </c>
      <c r="L1328" s="10" t="s">
        <v>42</v>
      </c>
    </row>
    <row r="1329" ht="15.75" customHeight="1">
      <c r="A1329" s="64">
        <v>45482.0</v>
      </c>
      <c r="B1329" s="55" t="str">
        <f>HYPERLINK("https://jobright.ai/jobs/info/6681410ec47a8b157e1b6cb6?utm_campaign=1052&amp;utm_source=sheet", "Apply")</f>
        <v>Apply</v>
      </c>
      <c r="C1329" s="10" t="s">
        <v>9662</v>
      </c>
      <c r="D1329" s="56" t="s">
        <v>4651</v>
      </c>
      <c r="E1329" s="10" t="s">
        <v>45</v>
      </c>
      <c r="F1329" s="10" t="s">
        <v>2527</v>
      </c>
      <c r="G1329" s="10" t="s">
        <v>9414</v>
      </c>
      <c r="H1329" s="10" t="s">
        <v>9663</v>
      </c>
      <c r="I1329" s="10" t="s">
        <v>55</v>
      </c>
      <c r="K1329" s="10" t="s">
        <v>9664</v>
      </c>
      <c r="L1329" s="10" t="s">
        <v>42</v>
      </c>
    </row>
    <row r="1330" ht="15.75" customHeight="1">
      <c r="A1330" s="64">
        <v>45482.0</v>
      </c>
      <c r="B1330" s="55" t="str">
        <f>HYPERLINK("https://jobright.ai/jobs/info/661e0a05e08c529d8e0910a1?utm_campaign=1052&amp;utm_source=sheet", "Apply")</f>
        <v>Apply</v>
      </c>
      <c r="C1330" s="10" t="s">
        <v>11302</v>
      </c>
      <c r="D1330" s="56" t="s">
        <v>533</v>
      </c>
      <c r="E1330" s="10" t="s">
        <v>209</v>
      </c>
      <c r="F1330" s="10" t="s">
        <v>534</v>
      </c>
      <c r="G1330" s="10" t="s">
        <v>9419</v>
      </c>
      <c r="H1330" s="10" t="s">
        <v>153</v>
      </c>
      <c r="I1330" s="10" t="s">
        <v>48</v>
      </c>
      <c r="J1330" s="10" t="s">
        <v>10347</v>
      </c>
      <c r="K1330" s="10" t="s">
        <v>10879</v>
      </c>
      <c r="L1330" s="10" t="s">
        <v>42</v>
      </c>
    </row>
    <row r="1331" ht="15.75" customHeight="1">
      <c r="A1331" s="64">
        <v>45482.0</v>
      </c>
      <c r="B1331" s="55" t="str">
        <f>HYPERLINK("https://jobright.ai/jobs/info/65e49654b9fcb2abea18a751?utm_campaign=1052&amp;utm_source=sheet", "Apply")</f>
        <v>Apply</v>
      </c>
      <c r="C1331" s="10" t="s">
        <v>9535</v>
      </c>
      <c r="D1331" s="56" t="s">
        <v>9607</v>
      </c>
      <c r="E1331" s="10" t="s">
        <v>45</v>
      </c>
      <c r="F1331" s="10" t="s">
        <v>722</v>
      </c>
      <c r="G1331" s="10" t="s">
        <v>9419</v>
      </c>
      <c r="H1331" s="10" t="s">
        <v>1022</v>
      </c>
      <c r="I1331" s="10" t="s">
        <v>48</v>
      </c>
      <c r="J1331" s="10" t="s">
        <v>10852</v>
      </c>
      <c r="K1331" s="10" t="s">
        <v>9609</v>
      </c>
      <c r="L1331" s="10" t="s">
        <v>42</v>
      </c>
    </row>
    <row r="1332" ht="15.75" customHeight="1">
      <c r="A1332" s="64">
        <v>45482.0</v>
      </c>
      <c r="B1332" s="55" t="str">
        <f>HYPERLINK("https://jobright.ai/jobs/info/6690d0d4b9480c9896c904e6?utm_campaign=1052&amp;utm_source=sheet", "Apply")</f>
        <v>Apply</v>
      </c>
      <c r="C1332" s="10" t="s">
        <v>10594</v>
      </c>
      <c r="D1332" s="56" t="s">
        <v>10030</v>
      </c>
      <c r="E1332" s="10">
        <v>25.0</v>
      </c>
      <c r="G1332" s="10" t="s">
        <v>1159</v>
      </c>
      <c r="H1332" s="10" t="s">
        <v>434</v>
      </c>
      <c r="I1332" s="10" t="s">
        <v>55</v>
      </c>
      <c r="J1332" s="10" t="s">
        <v>11009</v>
      </c>
      <c r="K1332" s="10" t="s">
        <v>11303</v>
      </c>
      <c r="L1332" s="10" t="s">
        <v>42</v>
      </c>
    </row>
    <row r="1333" ht="15.75" customHeight="1">
      <c r="A1333" s="64">
        <v>45482.0</v>
      </c>
      <c r="B1333" s="55" t="str">
        <f>HYPERLINK("https://jobright.ai/jobs/info/668d411dea09f404323654fb?utm_campaign=1052&amp;utm_source=sheet", "Apply")</f>
        <v>Apply</v>
      </c>
      <c r="C1333" s="10" t="s">
        <v>11304</v>
      </c>
      <c r="D1333" s="56" t="s">
        <v>11305</v>
      </c>
      <c r="E1333" s="10">
        <v>1000.0</v>
      </c>
      <c r="G1333" s="10" t="s">
        <v>1159</v>
      </c>
      <c r="H1333" s="10" t="s">
        <v>5337</v>
      </c>
      <c r="I1333" s="10" t="s">
        <v>55</v>
      </c>
      <c r="K1333" s="10" t="s">
        <v>11306</v>
      </c>
      <c r="L1333" s="10" t="s">
        <v>42</v>
      </c>
    </row>
    <row r="1334" ht="15.75" customHeight="1">
      <c r="A1334" s="64">
        <v>45482.0</v>
      </c>
      <c r="B1334" s="55" t="str">
        <f>HYPERLINK("https://jobright.ai/jobs/info/668cc31c3bf213b2cc3c7c14?utm_campaign=1052&amp;utm_source=sheet", "Apply")</f>
        <v>Apply</v>
      </c>
      <c r="C1334" s="10" t="s">
        <v>11307</v>
      </c>
      <c r="D1334" s="56" t="s">
        <v>11308</v>
      </c>
      <c r="E1334" s="10" t="s">
        <v>65</v>
      </c>
      <c r="F1334" s="10" t="s">
        <v>11309</v>
      </c>
      <c r="G1334" s="10" t="s">
        <v>9419</v>
      </c>
      <c r="H1334" s="10" t="s">
        <v>96</v>
      </c>
      <c r="I1334" s="10" t="s">
        <v>48</v>
      </c>
      <c r="J1334" s="10" t="s">
        <v>2100</v>
      </c>
      <c r="K1334" s="10" t="s">
        <v>11310</v>
      </c>
      <c r="L1334" s="10" t="s">
        <v>42</v>
      </c>
    </row>
    <row r="1335" ht="15.75" customHeight="1">
      <c r="A1335" s="64">
        <v>45482.0</v>
      </c>
      <c r="B1335" s="55" t="str">
        <f>HYPERLINK("https://jobright.ai/jobs/info/668cbbc80ee1d5300121316d?utm_campaign=1052&amp;utm_source=sheet", "Apply")</f>
        <v>Apply</v>
      </c>
      <c r="C1335" s="10" t="s">
        <v>11311</v>
      </c>
      <c r="D1335" s="56" t="s">
        <v>11308</v>
      </c>
      <c r="E1335" s="10" t="s">
        <v>65</v>
      </c>
      <c r="F1335" s="10" t="s">
        <v>11309</v>
      </c>
      <c r="G1335" s="10" t="s">
        <v>9419</v>
      </c>
      <c r="H1335" s="10" t="s">
        <v>96</v>
      </c>
      <c r="I1335" s="10" t="s">
        <v>48</v>
      </c>
      <c r="J1335" s="10" t="s">
        <v>2100</v>
      </c>
      <c r="K1335" s="10" t="s">
        <v>11310</v>
      </c>
      <c r="L1335" s="10" t="s">
        <v>42</v>
      </c>
    </row>
    <row r="1336" ht="15.75" customHeight="1">
      <c r="A1336" s="64">
        <v>45482.0</v>
      </c>
      <c r="B1336" s="55" t="str">
        <f>HYPERLINK("https://jobright.ai/jobs/info/668c90f9a04664baea38a2f8?utm_campaign=1052&amp;utm_source=sheet", "Apply")</f>
        <v>Apply</v>
      </c>
      <c r="C1336" s="10" t="s">
        <v>11312</v>
      </c>
      <c r="D1336" s="56" t="s">
        <v>11313</v>
      </c>
      <c r="E1336" s="10" t="s">
        <v>276</v>
      </c>
      <c r="F1336" s="10" t="s">
        <v>1159</v>
      </c>
      <c r="G1336" s="10" t="s">
        <v>9419</v>
      </c>
      <c r="H1336" s="10" t="s">
        <v>11314</v>
      </c>
      <c r="I1336" s="10" t="s">
        <v>55</v>
      </c>
      <c r="K1336" s="10" t="s">
        <v>11315</v>
      </c>
      <c r="L1336" s="10" t="s">
        <v>42</v>
      </c>
    </row>
    <row r="1337" ht="15.75" customHeight="1">
      <c r="A1337" s="64">
        <v>45482.0</v>
      </c>
      <c r="B1337" s="55" t="str">
        <f>HYPERLINK("https://jobright.ai/jobs/info/668dd7723af7f8b2056d4835?utm_campaign=1052&amp;utm_source=sheet", "Apply")</f>
        <v>Apply</v>
      </c>
      <c r="C1337" s="10" t="s">
        <v>11238</v>
      </c>
      <c r="D1337" s="56" t="s">
        <v>363</v>
      </c>
      <c r="E1337" s="10" t="s">
        <v>209</v>
      </c>
      <c r="F1337" s="10" t="s">
        <v>364</v>
      </c>
      <c r="G1337" s="10" t="s">
        <v>9414</v>
      </c>
      <c r="H1337" s="10" t="s">
        <v>511</v>
      </c>
      <c r="I1337" s="10" t="s">
        <v>55</v>
      </c>
      <c r="J1337" s="10" t="s">
        <v>366</v>
      </c>
      <c r="K1337" s="10" t="s">
        <v>11239</v>
      </c>
      <c r="L1337" s="10" t="s">
        <v>42</v>
      </c>
    </row>
    <row r="1338" ht="15.75" customHeight="1">
      <c r="A1338" s="64">
        <v>45481.0</v>
      </c>
      <c r="B1338" s="55" t="str">
        <f>HYPERLINK("https://jobright.ai/jobs/info/668c9113a04664baea38a4fb?utm_campaign=1052&amp;utm_source=sheet", "Apply")</f>
        <v>Apply</v>
      </c>
      <c r="C1338" s="10" t="s">
        <v>11316</v>
      </c>
      <c r="D1338" s="56" t="s">
        <v>11317</v>
      </c>
      <c r="E1338" s="10" t="s">
        <v>249</v>
      </c>
      <c r="F1338" s="10" t="s">
        <v>11318</v>
      </c>
      <c r="G1338" s="10" t="s">
        <v>9419</v>
      </c>
      <c r="H1338" s="10" t="s">
        <v>927</v>
      </c>
      <c r="I1338" s="10" t="s">
        <v>55</v>
      </c>
      <c r="J1338" s="10" t="s">
        <v>6893</v>
      </c>
      <c r="K1338" s="10" t="s">
        <v>11319</v>
      </c>
      <c r="L1338" s="10" t="s">
        <v>42</v>
      </c>
    </row>
    <row r="1339" ht="15.75" customHeight="1">
      <c r="A1339" s="64">
        <v>45481.0</v>
      </c>
      <c r="B1339" s="55" t="str">
        <f>HYPERLINK("https://jobright.ai/jobs/info/668c8145a276b317cb9f261a?utm_campaign=1052&amp;utm_source=sheet", "Apply")</f>
        <v>Apply</v>
      </c>
      <c r="C1339" s="10" t="s">
        <v>11316</v>
      </c>
      <c r="D1339" s="56" t="s">
        <v>11317</v>
      </c>
      <c r="E1339" s="10" t="s">
        <v>249</v>
      </c>
      <c r="F1339" s="10" t="s">
        <v>11318</v>
      </c>
      <c r="G1339" s="10" t="s">
        <v>9419</v>
      </c>
      <c r="H1339" s="10" t="s">
        <v>411</v>
      </c>
      <c r="I1339" s="10" t="s">
        <v>55</v>
      </c>
      <c r="K1339" s="10" t="s">
        <v>11319</v>
      </c>
      <c r="L1339" s="10" t="s">
        <v>42</v>
      </c>
    </row>
    <row r="1340" ht="15.75" customHeight="1">
      <c r="A1340" s="64">
        <v>45481.0</v>
      </c>
      <c r="B1340" s="55" t="str">
        <f>HYPERLINK("https://jobright.ai/jobs/info/668c8bee8ed793187891806c?utm_campaign=1052&amp;utm_source=sheet", "Apply")</f>
        <v>Apply</v>
      </c>
      <c r="C1340" s="10" t="s">
        <v>11316</v>
      </c>
      <c r="D1340" s="56" t="s">
        <v>11317</v>
      </c>
      <c r="E1340" s="10" t="s">
        <v>249</v>
      </c>
      <c r="F1340" s="10" t="s">
        <v>11318</v>
      </c>
      <c r="G1340" s="10" t="s">
        <v>9419</v>
      </c>
      <c r="H1340" s="10" t="s">
        <v>170</v>
      </c>
      <c r="I1340" s="10" t="s">
        <v>55</v>
      </c>
      <c r="J1340" s="10" t="s">
        <v>11320</v>
      </c>
      <c r="K1340" s="10" t="s">
        <v>11319</v>
      </c>
      <c r="L1340" s="10" t="s">
        <v>42</v>
      </c>
    </row>
    <row r="1341" ht="15.75" customHeight="1">
      <c r="A1341" s="64">
        <v>45481.0</v>
      </c>
      <c r="B1341" s="55" t="str">
        <f>HYPERLINK("https://jobright.ai/jobs/info/668c8c1f8ed7931878918341?utm_campaign=1052&amp;utm_source=sheet", "Apply")</f>
        <v>Apply</v>
      </c>
      <c r="C1341" s="10" t="s">
        <v>9627</v>
      </c>
      <c r="D1341" s="56" t="s">
        <v>11321</v>
      </c>
      <c r="E1341" s="10" t="s">
        <v>137</v>
      </c>
      <c r="F1341" s="10" t="s">
        <v>10460</v>
      </c>
      <c r="G1341" s="10" t="s">
        <v>1159</v>
      </c>
      <c r="H1341" s="10" t="s">
        <v>3954</v>
      </c>
      <c r="I1341" s="10" t="s">
        <v>55</v>
      </c>
      <c r="J1341" s="64"/>
      <c r="L1341" s="10" t="s">
        <v>42</v>
      </c>
    </row>
    <row r="1342" ht="15.75" customHeight="1">
      <c r="A1342" s="64">
        <v>45481.0</v>
      </c>
      <c r="B1342" s="55" t="str">
        <f>HYPERLINK("https://jobright.ai/jobs/info/668c9129a04664baea38a64f?utm_campaign=1052&amp;utm_source=sheet", "Apply")</f>
        <v>Apply</v>
      </c>
      <c r="C1342" s="10" t="s">
        <v>11322</v>
      </c>
      <c r="D1342" s="56" t="s">
        <v>11323</v>
      </c>
      <c r="E1342" s="10" t="s">
        <v>65</v>
      </c>
      <c r="F1342" s="10" t="s">
        <v>11324</v>
      </c>
      <c r="G1342" s="10" t="s">
        <v>1159</v>
      </c>
      <c r="H1342" s="10" t="s">
        <v>159</v>
      </c>
      <c r="I1342" s="10" t="s">
        <v>55</v>
      </c>
      <c r="J1342" s="64"/>
      <c r="K1342" s="10" t="s">
        <v>11325</v>
      </c>
      <c r="L1342" s="10" t="s">
        <v>42</v>
      </c>
    </row>
    <row r="1343" ht="15.75" customHeight="1">
      <c r="A1343" s="64">
        <v>45481.0</v>
      </c>
      <c r="B1343" s="55" t="str">
        <f>HYPERLINK("https://jobright.ai/jobs/info/668c7cb0b17b35a9ab8110a3?utm_campaign=1052&amp;utm_source=sheet", "Apply")</f>
        <v>Apply</v>
      </c>
      <c r="C1343" s="10" t="s">
        <v>11326</v>
      </c>
      <c r="D1343" s="56" t="s">
        <v>11327</v>
      </c>
      <c r="E1343" s="10" t="s">
        <v>249</v>
      </c>
      <c r="F1343" s="10" t="s">
        <v>11328</v>
      </c>
      <c r="G1343" s="10" t="s">
        <v>9414</v>
      </c>
      <c r="H1343" s="10" t="s">
        <v>113</v>
      </c>
      <c r="I1343" s="10" t="s">
        <v>55</v>
      </c>
      <c r="K1343" s="10" t="s">
        <v>11329</v>
      </c>
      <c r="L1343" s="10" t="s">
        <v>42</v>
      </c>
    </row>
    <row r="1344" ht="15.75" customHeight="1">
      <c r="A1344" s="64">
        <v>45481.0</v>
      </c>
      <c r="B1344" s="55" t="str">
        <f>HYPERLINK("https://jobright.ai/jobs/info/668c6f49722799dac2280323?utm_campaign=1052&amp;utm_source=sheet", "Apply")</f>
        <v>Apply</v>
      </c>
      <c r="C1344" s="10" t="s">
        <v>11330</v>
      </c>
      <c r="D1344" s="56" t="s">
        <v>1083</v>
      </c>
      <c r="E1344" s="10" t="s">
        <v>209</v>
      </c>
      <c r="F1344" s="10" t="s">
        <v>1084</v>
      </c>
      <c r="G1344" s="10" t="s">
        <v>9414</v>
      </c>
      <c r="H1344" s="10" t="s">
        <v>1008</v>
      </c>
      <c r="I1344" s="10" t="s">
        <v>55</v>
      </c>
      <c r="J1344" s="64"/>
      <c r="K1344" s="10" t="s">
        <v>11331</v>
      </c>
      <c r="L1344" s="10" t="s">
        <v>42</v>
      </c>
    </row>
    <row r="1345" ht="15.75" customHeight="1">
      <c r="A1345" s="64">
        <v>45481.0</v>
      </c>
      <c r="B1345" s="55" t="str">
        <f>HYPERLINK("https://jobright.ai/jobs/info/6684c1cf156c2a84c122e1c2?utm_campaign=1052&amp;utm_source=sheet", "Apply")</f>
        <v>Apply</v>
      </c>
      <c r="C1345" s="10" t="s">
        <v>9517</v>
      </c>
      <c r="D1345" s="56" t="s">
        <v>11332</v>
      </c>
      <c r="E1345" s="10" t="s">
        <v>276</v>
      </c>
      <c r="G1345" s="10" t="s">
        <v>1159</v>
      </c>
      <c r="H1345" s="10" t="s">
        <v>96</v>
      </c>
      <c r="I1345" s="10" t="s">
        <v>55</v>
      </c>
      <c r="J1345" s="10" t="s">
        <v>1960</v>
      </c>
      <c r="K1345" s="10" t="s">
        <v>11333</v>
      </c>
      <c r="L1345" s="10" t="s">
        <v>42</v>
      </c>
    </row>
    <row r="1346" ht="15.75" customHeight="1">
      <c r="A1346" s="64">
        <v>45481.0</v>
      </c>
      <c r="B1346" s="55" t="str">
        <f>HYPERLINK("https://jobright.ai/jobs/info/668c1d6b1c630cef6f1932cc?utm_campaign=1052&amp;utm_source=sheet", "Apply")</f>
        <v>Apply</v>
      </c>
      <c r="C1346" s="10" t="s">
        <v>11316</v>
      </c>
      <c r="D1346" s="56" t="s">
        <v>11317</v>
      </c>
      <c r="E1346" s="10" t="s">
        <v>249</v>
      </c>
      <c r="F1346" s="10" t="s">
        <v>11318</v>
      </c>
      <c r="G1346" s="10" t="s">
        <v>9419</v>
      </c>
      <c r="H1346" s="10" t="s">
        <v>5471</v>
      </c>
      <c r="I1346" s="10" t="s">
        <v>55</v>
      </c>
      <c r="K1346" s="10" t="s">
        <v>11319</v>
      </c>
      <c r="L1346" s="10" t="s">
        <v>42</v>
      </c>
    </row>
    <row r="1347" ht="15.75" customHeight="1">
      <c r="A1347" s="64">
        <v>45481.0</v>
      </c>
      <c r="B1347" s="55" t="str">
        <f>HYPERLINK("https://jobright.ai/jobs/info/668e96034dd337b915ee8e3a?utm_campaign=1052&amp;utm_source=sheet", "Apply")</f>
        <v>Apply</v>
      </c>
      <c r="C1347" s="10" t="s">
        <v>11334</v>
      </c>
      <c r="D1347" s="56" t="s">
        <v>10030</v>
      </c>
      <c r="E1347" s="10">
        <v>25.0</v>
      </c>
      <c r="G1347" s="10" t="s">
        <v>9419</v>
      </c>
      <c r="H1347" s="10" t="s">
        <v>165</v>
      </c>
      <c r="I1347" s="10" t="s">
        <v>55</v>
      </c>
      <c r="J1347" s="10" t="s">
        <v>9770</v>
      </c>
      <c r="K1347" s="10" t="s">
        <v>11250</v>
      </c>
      <c r="L1347" s="10" t="s">
        <v>42</v>
      </c>
    </row>
    <row r="1348" ht="15.75" customHeight="1">
      <c r="A1348" s="64">
        <v>45481.0</v>
      </c>
      <c r="B1348" s="55" t="str">
        <f>HYPERLINK("https://jobright.ai/jobs/info/668e960a4dd337b915ee8e48?utm_campaign=1052&amp;utm_source=sheet", "Apply")</f>
        <v>Apply</v>
      </c>
      <c r="C1348" s="10" t="s">
        <v>10530</v>
      </c>
      <c r="D1348" s="56" t="s">
        <v>10030</v>
      </c>
      <c r="E1348" s="10">
        <v>25.0</v>
      </c>
      <c r="G1348" s="10" t="s">
        <v>9419</v>
      </c>
      <c r="H1348" s="10" t="s">
        <v>810</v>
      </c>
      <c r="I1348" s="10" t="s">
        <v>55</v>
      </c>
      <c r="J1348" s="64"/>
      <c r="K1348" s="10" t="s">
        <v>10531</v>
      </c>
      <c r="L1348" s="10" t="s">
        <v>42</v>
      </c>
    </row>
    <row r="1349" ht="15.75" customHeight="1">
      <c r="A1349" s="64">
        <v>45481.0</v>
      </c>
      <c r="B1349" s="55" t="str">
        <f>HYPERLINK("https://jobright.ai/jobs/info/668e960a4dd337b915ee8e4c?utm_campaign=1052&amp;utm_source=sheet", "Apply")</f>
        <v>Apply</v>
      </c>
      <c r="C1349" s="10" t="s">
        <v>11335</v>
      </c>
      <c r="D1349" s="56" t="s">
        <v>10030</v>
      </c>
      <c r="E1349" s="10">
        <v>25.0</v>
      </c>
      <c r="G1349" s="10" t="s">
        <v>9419</v>
      </c>
      <c r="H1349" s="10" t="s">
        <v>810</v>
      </c>
      <c r="I1349" s="10" t="s">
        <v>55</v>
      </c>
      <c r="J1349" s="64"/>
      <c r="K1349" s="10" t="s">
        <v>10531</v>
      </c>
      <c r="L1349" s="10" t="s">
        <v>42</v>
      </c>
    </row>
    <row r="1350" ht="15.75" customHeight="1">
      <c r="A1350" s="64">
        <v>45481.0</v>
      </c>
      <c r="B1350" s="55" t="str">
        <f>HYPERLINK("https://jobright.ai/jobs/info/669e592cc1b409aba18624e7?utm_campaign=1052&amp;utm_source=sheet", "Apply")</f>
        <v>Apply</v>
      </c>
      <c r="C1350" s="10" t="s">
        <v>10190</v>
      </c>
      <c r="D1350" s="56" t="s">
        <v>10030</v>
      </c>
      <c r="E1350" s="10">
        <v>25.0</v>
      </c>
      <c r="G1350" s="10" t="s">
        <v>9419</v>
      </c>
      <c r="H1350" s="10" t="s">
        <v>848</v>
      </c>
      <c r="I1350" s="10" t="s">
        <v>55</v>
      </c>
      <c r="J1350" s="64"/>
      <c r="K1350" s="10" t="s">
        <v>11336</v>
      </c>
      <c r="L1350" s="10" t="s">
        <v>42</v>
      </c>
    </row>
    <row r="1351" ht="15.75" customHeight="1">
      <c r="A1351" s="64">
        <v>45481.0</v>
      </c>
      <c r="B1351" s="55" t="str">
        <f>HYPERLINK("https://jobright.ai/jobs/info/669e527b1829144f3c797eeb?utm_campaign=1052&amp;utm_source=sheet", "Apply")</f>
        <v>Apply</v>
      </c>
      <c r="C1351" s="10" t="s">
        <v>11337</v>
      </c>
      <c r="D1351" s="56" t="s">
        <v>10030</v>
      </c>
      <c r="E1351" s="10">
        <v>25.0</v>
      </c>
      <c r="G1351" s="10" t="s">
        <v>9419</v>
      </c>
      <c r="H1351" s="10" t="s">
        <v>525</v>
      </c>
      <c r="I1351" s="10" t="s">
        <v>55</v>
      </c>
      <c r="J1351" s="64"/>
      <c r="K1351" s="10" t="s">
        <v>10191</v>
      </c>
      <c r="L1351" s="10" t="s">
        <v>42</v>
      </c>
    </row>
    <row r="1352" ht="15.75" customHeight="1">
      <c r="A1352" s="64">
        <v>45481.0</v>
      </c>
      <c r="B1352" s="55" t="str">
        <f>HYPERLINK("https://jobright.ai/jobs/info/6695023d83a291681bf26629?utm_campaign=1052&amp;utm_source=sheet", "Apply")</f>
        <v>Apply</v>
      </c>
      <c r="C1352" s="10" t="s">
        <v>10190</v>
      </c>
      <c r="D1352" s="56" t="s">
        <v>10030</v>
      </c>
      <c r="E1352" s="10">
        <v>25.0</v>
      </c>
      <c r="G1352" s="10" t="s">
        <v>9419</v>
      </c>
      <c r="H1352" s="10" t="s">
        <v>525</v>
      </c>
      <c r="I1352" s="10" t="s">
        <v>55</v>
      </c>
      <c r="K1352" s="10" t="s">
        <v>10191</v>
      </c>
      <c r="L1352" s="10" t="s">
        <v>42</v>
      </c>
    </row>
    <row r="1353" ht="15.75" customHeight="1">
      <c r="A1353" s="64">
        <v>45481.0</v>
      </c>
      <c r="B1353" s="55" t="str">
        <f>HYPERLINK("https://jobright.ai/jobs/info/6633d12f45f310233ca3f8b8?utm_campaign=1052&amp;utm_source=sheet", "Apply")</f>
        <v>Apply</v>
      </c>
      <c r="C1353" s="10" t="s">
        <v>10402</v>
      </c>
      <c r="D1353" s="56" t="s">
        <v>10403</v>
      </c>
      <c r="E1353" s="10" t="s">
        <v>65</v>
      </c>
      <c r="F1353" s="10" t="s">
        <v>534</v>
      </c>
      <c r="G1353" s="10" t="s">
        <v>9419</v>
      </c>
      <c r="H1353" s="10" t="s">
        <v>965</v>
      </c>
      <c r="I1353" s="10" t="s">
        <v>55</v>
      </c>
      <c r="J1353" s="10" t="s">
        <v>10404</v>
      </c>
      <c r="K1353" s="10" t="s">
        <v>10405</v>
      </c>
      <c r="L1353" s="10" t="s">
        <v>42</v>
      </c>
    </row>
    <row r="1354" ht="15.75" customHeight="1">
      <c r="A1354" s="64">
        <v>45481.0</v>
      </c>
      <c r="B1354" s="55" t="str">
        <f>HYPERLINK("https://jobright.ai/jobs/info/668b8b4747736925fb600f00?utm_campaign=1052&amp;utm_source=sheet", "Apply")</f>
        <v>Apply</v>
      </c>
      <c r="C1354" s="10" t="s">
        <v>9611</v>
      </c>
      <c r="D1354" s="56" t="s">
        <v>11338</v>
      </c>
      <c r="E1354" s="10">
        <v>3.0</v>
      </c>
      <c r="G1354" s="10" t="s">
        <v>9419</v>
      </c>
      <c r="H1354" s="10" t="s">
        <v>11339</v>
      </c>
      <c r="I1354" s="10" t="s">
        <v>48</v>
      </c>
      <c r="K1354" s="10" t="s">
        <v>11340</v>
      </c>
      <c r="L1354" s="10" t="s">
        <v>42</v>
      </c>
    </row>
    <row r="1355" ht="15.75" customHeight="1">
      <c r="A1355" s="64">
        <v>45481.0</v>
      </c>
      <c r="B1355" s="55" t="str">
        <f>HYPERLINK("https://jobright.ai/jobs/info/668c7cbab17b35a9ab8111be?utm_campaign=1052&amp;utm_source=sheet", "Apply")</f>
        <v>Apply</v>
      </c>
      <c r="C1355" s="10" t="s">
        <v>11316</v>
      </c>
      <c r="D1355" s="56" t="s">
        <v>11317</v>
      </c>
      <c r="E1355" s="10" t="s">
        <v>249</v>
      </c>
      <c r="F1355" s="10" t="s">
        <v>11318</v>
      </c>
      <c r="G1355" s="10" t="s">
        <v>9419</v>
      </c>
      <c r="H1355" s="10" t="s">
        <v>898</v>
      </c>
      <c r="I1355" s="10" t="s">
        <v>55</v>
      </c>
      <c r="J1355" s="10" t="s">
        <v>6236</v>
      </c>
      <c r="K1355" s="10" t="s">
        <v>11319</v>
      </c>
      <c r="L1355" s="10" t="s">
        <v>42</v>
      </c>
    </row>
    <row r="1356" ht="15.75" customHeight="1">
      <c r="A1356" s="64">
        <v>45481.0</v>
      </c>
      <c r="B1356" s="55" t="str">
        <f>HYPERLINK("https://jobright.ai/jobs/info/668c7cbab17b35a9ab8111f5?utm_campaign=1052&amp;utm_source=sheet", "Apply")</f>
        <v>Apply</v>
      </c>
      <c r="C1356" s="10" t="s">
        <v>11316</v>
      </c>
      <c r="D1356" s="56" t="s">
        <v>11317</v>
      </c>
      <c r="E1356" s="10" t="s">
        <v>249</v>
      </c>
      <c r="F1356" s="10" t="s">
        <v>11318</v>
      </c>
      <c r="G1356" s="10" t="s">
        <v>9419</v>
      </c>
      <c r="H1356" s="10" t="s">
        <v>11341</v>
      </c>
      <c r="I1356" s="10" t="s">
        <v>55</v>
      </c>
      <c r="J1356" s="10" t="s">
        <v>6236</v>
      </c>
      <c r="K1356" s="10" t="s">
        <v>11319</v>
      </c>
      <c r="L1356" s="10" t="s">
        <v>42</v>
      </c>
    </row>
    <row r="1357" ht="15.75" customHeight="1">
      <c r="A1357" s="64">
        <v>45481.0</v>
      </c>
      <c r="B1357" s="55" t="str">
        <f>HYPERLINK("https://jobright.ai/jobs/info/668c7cbab17b35a9ab8111af?utm_campaign=1052&amp;utm_source=sheet", "Apply")</f>
        <v>Apply</v>
      </c>
      <c r="C1357" s="10" t="s">
        <v>11316</v>
      </c>
      <c r="D1357" s="56" t="s">
        <v>11317</v>
      </c>
      <c r="E1357" s="10" t="s">
        <v>249</v>
      </c>
      <c r="F1357" s="10" t="s">
        <v>11318</v>
      </c>
      <c r="G1357" s="10" t="s">
        <v>9419</v>
      </c>
      <c r="H1357" s="10" t="s">
        <v>80</v>
      </c>
      <c r="I1357" s="10" t="s">
        <v>55</v>
      </c>
      <c r="J1357" s="10" t="s">
        <v>11342</v>
      </c>
      <c r="K1357" s="10" t="s">
        <v>11319</v>
      </c>
      <c r="L1357" s="10" t="s">
        <v>42</v>
      </c>
    </row>
    <row r="1358" ht="15.75" customHeight="1">
      <c r="A1358" s="64">
        <v>45481.0</v>
      </c>
      <c r="B1358" s="55" t="str">
        <f>HYPERLINK("https://jobright.ai/jobs/info/668c7cbab17b35a9ab8111b0?utm_campaign=1052&amp;utm_source=sheet", "Apply")</f>
        <v>Apply</v>
      </c>
      <c r="C1358" s="10" t="s">
        <v>11316</v>
      </c>
      <c r="D1358" s="56" t="s">
        <v>11317</v>
      </c>
      <c r="E1358" s="10" t="s">
        <v>249</v>
      </c>
      <c r="F1358" s="10" t="s">
        <v>11318</v>
      </c>
      <c r="G1358" s="10" t="s">
        <v>9419</v>
      </c>
      <c r="H1358" s="10" t="s">
        <v>165</v>
      </c>
      <c r="I1358" s="10" t="s">
        <v>55</v>
      </c>
      <c r="J1358" s="10" t="s">
        <v>11320</v>
      </c>
      <c r="K1358" s="10" t="s">
        <v>11319</v>
      </c>
      <c r="L1358" s="10" t="s">
        <v>42</v>
      </c>
    </row>
    <row r="1359" ht="15.75" customHeight="1">
      <c r="A1359" s="64">
        <v>45481.0</v>
      </c>
      <c r="B1359" s="55" t="str">
        <f>HYPERLINK("https://jobright.ai/jobs/info/668c3327249a351e2240cf1d?utm_campaign=1052&amp;utm_source=sheet", "Apply")</f>
        <v>Apply</v>
      </c>
      <c r="C1359" s="10" t="s">
        <v>11326</v>
      </c>
      <c r="D1359" s="56" t="s">
        <v>11327</v>
      </c>
      <c r="E1359" s="10" t="s">
        <v>249</v>
      </c>
      <c r="F1359" s="10" t="s">
        <v>11328</v>
      </c>
      <c r="G1359" s="10" t="s">
        <v>9414</v>
      </c>
      <c r="H1359" s="10" t="s">
        <v>11343</v>
      </c>
      <c r="I1359" s="10" t="s">
        <v>55</v>
      </c>
      <c r="J1359" s="64"/>
      <c r="K1359" s="10" t="s">
        <v>11329</v>
      </c>
      <c r="L1359" s="10" t="s">
        <v>42</v>
      </c>
    </row>
    <row r="1360" ht="15.75" customHeight="1">
      <c r="A1360" s="64">
        <v>45481.0</v>
      </c>
      <c r="B1360" s="55" t="str">
        <f>HYPERLINK("https://jobright.ai/jobs/info/668bfc02256f0fd3689d1635?utm_campaign=1052&amp;utm_source=sheet", "Apply")</f>
        <v>Apply</v>
      </c>
      <c r="C1360" s="10" t="s">
        <v>11344</v>
      </c>
      <c r="D1360" s="56" t="s">
        <v>1311</v>
      </c>
      <c r="E1360" s="10" t="s">
        <v>65</v>
      </c>
      <c r="F1360" s="10" t="s">
        <v>1312</v>
      </c>
      <c r="G1360" s="10" t="s">
        <v>9414</v>
      </c>
      <c r="H1360" s="10" t="s">
        <v>1316</v>
      </c>
      <c r="I1360" s="10" t="s">
        <v>55</v>
      </c>
      <c r="J1360" s="64"/>
      <c r="K1360" s="10" t="s">
        <v>11345</v>
      </c>
      <c r="L1360" s="10" t="s">
        <v>42</v>
      </c>
    </row>
    <row r="1361" ht="15.75" customHeight="1">
      <c r="A1361" s="64">
        <v>45481.0</v>
      </c>
      <c r="B1361" s="55" t="str">
        <f>HYPERLINK("https://jobright.ai/jobs/info/668b95416c26d48f61c02746?utm_campaign=1052&amp;utm_source=sheet", "Apply")</f>
        <v>Apply</v>
      </c>
      <c r="C1361" s="10" t="s">
        <v>10573</v>
      </c>
      <c r="D1361" s="56" t="s">
        <v>3211</v>
      </c>
      <c r="E1361" s="10" t="s">
        <v>45</v>
      </c>
      <c r="F1361" s="10" t="s">
        <v>3212</v>
      </c>
      <c r="G1361" s="10" t="s">
        <v>1159</v>
      </c>
      <c r="H1361" s="10" t="s">
        <v>7291</v>
      </c>
      <c r="I1361" s="10" t="s">
        <v>55</v>
      </c>
      <c r="J1361" s="64"/>
      <c r="K1361" s="10" t="s">
        <v>10574</v>
      </c>
      <c r="L1361" s="10" t="s">
        <v>42</v>
      </c>
    </row>
    <row r="1362" ht="15.75" customHeight="1">
      <c r="A1362" s="64">
        <v>45480.0</v>
      </c>
      <c r="B1362" s="55" t="str">
        <f>HYPERLINK("https://jobright.ai/jobs/info/668e971359b1ea156b5717e2?utm_campaign=1052&amp;utm_source=sheet", "Apply")</f>
        <v>Apply</v>
      </c>
      <c r="C1362" s="10" t="s">
        <v>10168</v>
      </c>
      <c r="D1362" s="56" t="s">
        <v>10030</v>
      </c>
      <c r="E1362" s="10">
        <v>25.0</v>
      </c>
      <c r="G1362" s="10" t="s">
        <v>1159</v>
      </c>
      <c r="H1362" s="10" t="s">
        <v>4927</v>
      </c>
      <c r="I1362" s="10" t="s">
        <v>55</v>
      </c>
      <c r="J1362" s="10" t="s">
        <v>1984</v>
      </c>
      <c r="K1362" s="10" t="s">
        <v>10171</v>
      </c>
      <c r="L1362" s="10" t="s">
        <v>42</v>
      </c>
    </row>
    <row r="1363" ht="15.75" customHeight="1">
      <c r="A1363" s="64">
        <v>45480.0</v>
      </c>
      <c r="B1363" s="55" t="str">
        <f>HYPERLINK("https://jobright.ai/jobs/info/668e960a4dd337b915ee8f08?utm_campaign=1052&amp;utm_source=sheet", "Apply")</f>
        <v>Apply</v>
      </c>
      <c r="C1363" s="10" t="s">
        <v>9577</v>
      </c>
      <c r="D1363" s="56" t="s">
        <v>10030</v>
      </c>
      <c r="E1363" s="10">
        <v>25.0</v>
      </c>
      <c r="G1363" s="10" t="s">
        <v>1159</v>
      </c>
      <c r="H1363" s="10" t="s">
        <v>708</v>
      </c>
      <c r="I1363" s="10" t="s">
        <v>55</v>
      </c>
      <c r="J1363" s="10" t="s">
        <v>1616</v>
      </c>
      <c r="K1363" s="10" t="s">
        <v>9579</v>
      </c>
      <c r="L1363" s="10" t="s">
        <v>42</v>
      </c>
    </row>
    <row r="1364" ht="15.75" customHeight="1">
      <c r="A1364" s="64">
        <v>45480.0</v>
      </c>
      <c r="B1364" s="55" t="str">
        <f>HYPERLINK("https://jobright.ai/jobs/info/668e96164dd337b915ee8f0b?utm_campaign=1052&amp;utm_source=sheet", "Apply")</f>
        <v>Apply</v>
      </c>
      <c r="C1364" s="10" t="s">
        <v>10145</v>
      </c>
      <c r="D1364" s="56" t="s">
        <v>10030</v>
      </c>
      <c r="E1364" s="10">
        <v>25.0</v>
      </c>
      <c r="G1364" s="10" t="s">
        <v>1159</v>
      </c>
      <c r="H1364" s="10" t="s">
        <v>860</v>
      </c>
      <c r="I1364" s="10" t="s">
        <v>55</v>
      </c>
      <c r="J1364" s="64"/>
      <c r="K1364" s="10" t="s">
        <v>11303</v>
      </c>
      <c r="L1364" s="10" t="s">
        <v>42</v>
      </c>
    </row>
    <row r="1365" ht="15.75" customHeight="1">
      <c r="A1365" s="64">
        <v>45480.0</v>
      </c>
      <c r="B1365" s="55" t="str">
        <f>HYPERLINK("https://jobright.ai/jobs/info/668e96164dd337b915ee8f0e?utm_campaign=1052&amp;utm_source=sheet", "Apply")</f>
        <v>Apply</v>
      </c>
      <c r="C1365" s="10" t="s">
        <v>9577</v>
      </c>
      <c r="D1365" s="56" t="s">
        <v>10030</v>
      </c>
      <c r="E1365" s="10">
        <v>25.0</v>
      </c>
      <c r="G1365" s="10" t="s">
        <v>1159</v>
      </c>
      <c r="H1365" s="10" t="s">
        <v>1009</v>
      </c>
      <c r="I1365" s="10" t="s">
        <v>55</v>
      </c>
      <c r="J1365" s="10" t="s">
        <v>1616</v>
      </c>
      <c r="K1365" s="10" t="s">
        <v>9579</v>
      </c>
      <c r="L1365" s="10" t="s">
        <v>42</v>
      </c>
    </row>
    <row r="1366" ht="15.75" customHeight="1">
      <c r="A1366" s="64">
        <v>45480.0</v>
      </c>
      <c r="B1366" s="55" t="str">
        <f>HYPERLINK("https://jobright.ai/jobs/info/668e96164dd337b915ee8f20?utm_campaign=1052&amp;utm_source=sheet", "Apply")</f>
        <v>Apply</v>
      </c>
      <c r="C1366" s="10" t="s">
        <v>9577</v>
      </c>
      <c r="D1366" s="56" t="s">
        <v>10030</v>
      </c>
      <c r="E1366" s="10">
        <v>25.0</v>
      </c>
      <c r="G1366" s="10" t="s">
        <v>1159</v>
      </c>
      <c r="H1366" s="10" t="s">
        <v>796</v>
      </c>
      <c r="I1366" s="10" t="s">
        <v>55</v>
      </c>
      <c r="J1366" s="10" t="s">
        <v>1616</v>
      </c>
      <c r="K1366" s="10" t="s">
        <v>9579</v>
      </c>
      <c r="L1366" s="10" t="s">
        <v>42</v>
      </c>
    </row>
    <row r="1367" ht="15.75" customHeight="1">
      <c r="A1367" s="64">
        <v>45480.0</v>
      </c>
      <c r="B1367" s="55" t="str">
        <f>HYPERLINK("https://jobright.ai/jobs/info/668a960bb677e4c6259c2936?utm_campaign=1052&amp;utm_source=sheet", "Apply")</f>
        <v>Apply</v>
      </c>
      <c r="C1367" s="10" t="s">
        <v>11346</v>
      </c>
      <c r="D1367" s="56" t="s">
        <v>11347</v>
      </c>
      <c r="E1367" s="10" t="s">
        <v>276</v>
      </c>
      <c r="F1367" s="10" t="s">
        <v>5210</v>
      </c>
      <c r="G1367" s="10" t="s">
        <v>1159</v>
      </c>
      <c r="H1367" s="10" t="s">
        <v>636</v>
      </c>
      <c r="I1367" s="10" t="s">
        <v>55</v>
      </c>
      <c r="K1367" s="10" t="s">
        <v>11348</v>
      </c>
      <c r="L1367" s="10" t="s">
        <v>42</v>
      </c>
    </row>
    <row r="1368" ht="15.75" customHeight="1">
      <c r="A1368" s="64">
        <v>45480.0</v>
      </c>
      <c r="B1368" s="55" t="str">
        <f>HYPERLINK("https://jobright.ai/jobs/info/668a6eec37de94f9863282d1?utm_campaign=1052&amp;utm_source=sheet", "Apply")</f>
        <v>Apply</v>
      </c>
      <c r="C1368" s="10" t="s">
        <v>11349</v>
      </c>
      <c r="D1368" s="56" t="s">
        <v>7905</v>
      </c>
      <c r="E1368" s="10" t="s">
        <v>45</v>
      </c>
      <c r="F1368" s="10" t="s">
        <v>1942</v>
      </c>
      <c r="G1368" s="10" t="s">
        <v>1159</v>
      </c>
      <c r="H1368" s="10" t="s">
        <v>965</v>
      </c>
      <c r="I1368" s="10" t="s">
        <v>48</v>
      </c>
      <c r="K1368" s="10" t="s">
        <v>11350</v>
      </c>
      <c r="L1368" s="10" t="s">
        <v>42</v>
      </c>
    </row>
    <row r="1369" ht="15.75" customHeight="1">
      <c r="A1369" s="64">
        <v>45479.0</v>
      </c>
      <c r="B1369" s="55" t="str">
        <f>HYPERLINK("https://jobright.ai/jobs/info/668989fff80d3df86fbe569e?utm_campaign=1052&amp;utm_source=sheet", "Apply")</f>
        <v>Apply</v>
      </c>
      <c r="C1369" s="10" t="s">
        <v>11351</v>
      </c>
      <c r="D1369" s="56" t="s">
        <v>9992</v>
      </c>
      <c r="E1369" s="10">
        <v>339.0</v>
      </c>
      <c r="G1369" s="10" t="s">
        <v>9414</v>
      </c>
      <c r="H1369" s="10" t="s">
        <v>6620</v>
      </c>
      <c r="I1369" s="10" t="s">
        <v>55</v>
      </c>
      <c r="K1369" s="10" t="s">
        <v>11352</v>
      </c>
      <c r="L1369" s="10" t="s">
        <v>42</v>
      </c>
    </row>
    <row r="1370" ht="15.75" customHeight="1">
      <c r="A1370" s="64">
        <v>45479.0</v>
      </c>
      <c r="B1370" s="55" t="str">
        <f>HYPERLINK("https://jobright.ai/jobs/info/66897ac815544a03084118f5?utm_campaign=1052&amp;utm_source=sheet", "Apply")</f>
        <v>Apply</v>
      </c>
      <c r="C1370" s="10" t="s">
        <v>11351</v>
      </c>
      <c r="D1370" s="56" t="s">
        <v>9992</v>
      </c>
      <c r="E1370" s="10">
        <v>339.0</v>
      </c>
      <c r="G1370" s="10" t="s">
        <v>9414</v>
      </c>
      <c r="H1370" s="10" t="s">
        <v>3196</v>
      </c>
      <c r="I1370" s="10" t="s">
        <v>55</v>
      </c>
      <c r="K1370" s="10" t="s">
        <v>11352</v>
      </c>
      <c r="L1370" s="10" t="s">
        <v>42</v>
      </c>
    </row>
    <row r="1371" ht="15.75" customHeight="1">
      <c r="A1371" s="64">
        <v>45479.0</v>
      </c>
      <c r="B1371" s="55" t="str">
        <f>HYPERLINK("https://jobright.ai/jobs/info/6633d12f45f310233ca3f8bd?utm_campaign=1052&amp;utm_source=sheet", "Apply")</f>
        <v>Apply</v>
      </c>
      <c r="C1371" s="10" t="s">
        <v>10402</v>
      </c>
      <c r="D1371" s="56" t="s">
        <v>10403</v>
      </c>
      <c r="E1371" s="10" t="s">
        <v>65</v>
      </c>
      <c r="F1371" s="10" t="s">
        <v>534</v>
      </c>
      <c r="G1371" s="10" t="s">
        <v>9419</v>
      </c>
      <c r="H1371" s="10" t="s">
        <v>152</v>
      </c>
      <c r="I1371" s="10" t="s">
        <v>55</v>
      </c>
      <c r="J1371" s="10" t="s">
        <v>10404</v>
      </c>
      <c r="K1371" s="10" t="s">
        <v>10405</v>
      </c>
      <c r="L1371" s="10" t="s">
        <v>42</v>
      </c>
    </row>
    <row r="1372" ht="15.75" customHeight="1">
      <c r="A1372" s="64">
        <v>45479.0</v>
      </c>
      <c r="B1372" s="55" t="str">
        <f>HYPERLINK("https://jobright.ai/jobs/info/6633ddc5229cde7d295558c8?utm_campaign=1052&amp;utm_source=sheet", "Apply")</f>
        <v>Apply</v>
      </c>
      <c r="C1372" s="10" t="s">
        <v>10402</v>
      </c>
      <c r="D1372" s="56" t="s">
        <v>10403</v>
      </c>
      <c r="E1372" s="10" t="s">
        <v>65</v>
      </c>
      <c r="F1372" s="10" t="s">
        <v>534</v>
      </c>
      <c r="G1372" s="10" t="s">
        <v>9419</v>
      </c>
      <c r="H1372" s="10" t="s">
        <v>854</v>
      </c>
      <c r="I1372" s="10" t="s">
        <v>55</v>
      </c>
      <c r="J1372" s="10" t="s">
        <v>10404</v>
      </c>
      <c r="K1372" s="10" t="s">
        <v>10405</v>
      </c>
      <c r="L1372" s="10" t="s">
        <v>42</v>
      </c>
    </row>
    <row r="1373" ht="15.75" customHeight="1">
      <c r="A1373" s="64">
        <v>45479.0</v>
      </c>
      <c r="B1373" s="55" t="str">
        <f>HYPERLINK("https://jobright.ai/jobs/info/6633d12f45f310233ca3f8bc?utm_campaign=1052&amp;utm_source=sheet", "Apply")</f>
        <v>Apply</v>
      </c>
      <c r="C1373" s="10" t="s">
        <v>10402</v>
      </c>
      <c r="D1373" s="56" t="s">
        <v>10403</v>
      </c>
      <c r="E1373" s="10" t="s">
        <v>65</v>
      </c>
      <c r="F1373" s="10" t="s">
        <v>534</v>
      </c>
      <c r="G1373" s="10" t="s">
        <v>9419</v>
      </c>
      <c r="H1373" s="10" t="s">
        <v>844</v>
      </c>
      <c r="I1373" s="10" t="s">
        <v>55</v>
      </c>
      <c r="J1373" s="10" t="s">
        <v>10404</v>
      </c>
      <c r="K1373" s="10" t="s">
        <v>10405</v>
      </c>
      <c r="L1373" s="10" t="s">
        <v>42</v>
      </c>
    </row>
    <row r="1374" ht="15.75" customHeight="1">
      <c r="A1374" s="64">
        <v>45479.0</v>
      </c>
      <c r="B1374" s="55" t="str">
        <f>HYPERLINK("https://jobright.ai/jobs/info/668b91b194caa4cc933bd8ba?utm_campaign=1052&amp;utm_source=sheet", "Apply")</f>
        <v>Apply</v>
      </c>
      <c r="C1374" s="10" t="s">
        <v>10594</v>
      </c>
      <c r="D1374" s="56" t="s">
        <v>10030</v>
      </c>
      <c r="E1374" s="10">
        <v>25.0</v>
      </c>
      <c r="G1374" s="10" t="s">
        <v>1159</v>
      </c>
      <c r="H1374" s="10" t="s">
        <v>10629</v>
      </c>
      <c r="I1374" s="10" t="s">
        <v>55</v>
      </c>
      <c r="K1374" s="10" t="s">
        <v>10596</v>
      </c>
      <c r="L1374" s="10" t="s">
        <v>42</v>
      </c>
    </row>
    <row r="1375" ht="15.75" customHeight="1">
      <c r="A1375" s="64">
        <v>45479.0</v>
      </c>
      <c r="B1375" s="55" t="str">
        <f>HYPERLINK("https://jobright.ai/jobs/info/668b91b194caa4cc933bd8bb?utm_campaign=1052&amp;utm_source=sheet", "Apply")</f>
        <v>Apply</v>
      </c>
      <c r="C1375" s="10" t="s">
        <v>10594</v>
      </c>
      <c r="D1375" s="56" t="s">
        <v>10030</v>
      </c>
      <c r="E1375" s="10">
        <v>25.0</v>
      </c>
      <c r="G1375" s="10" t="s">
        <v>1159</v>
      </c>
      <c r="H1375" s="10" t="s">
        <v>10796</v>
      </c>
      <c r="I1375" s="10" t="s">
        <v>55</v>
      </c>
      <c r="K1375" s="10" t="s">
        <v>11353</v>
      </c>
      <c r="L1375" s="10" t="s">
        <v>42</v>
      </c>
    </row>
    <row r="1376" ht="15.75" customHeight="1">
      <c r="A1376" s="64">
        <v>45479.0</v>
      </c>
      <c r="B1376" s="55" t="str">
        <f>HYPERLINK("https://jobright.ai/jobs/info/668b91b194caa4cc933bd8bc?utm_campaign=1052&amp;utm_source=sheet", "Apply")</f>
        <v>Apply</v>
      </c>
      <c r="C1376" s="10" t="s">
        <v>10145</v>
      </c>
      <c r="D1376" s="56" t="s">
        <v>10030</v>
      </c>
      <c r="E1376" s="10">
        <v>25.0</v>
      </c>
      <c r="G1376" s="10" t="s">
        <v>1159</v>
      </c>
      <c r="H1376" s="10" t="s">
        <v>2208</v>
      </c>
      <c r="I1376" s="10" t="s">
        <v>55</v>
      </c>
      <c r="K1376" s="10" t="s">
        <v>9579</v>
      </c>
      <c r="L1376" s="10" t="s">
        <v>42</v>
      </c>
    </row>
    <row r="1377" ht="15.75" customHeight="1">
      <c r="A1377" s="64">
        <v>45479.0</v>
      </c>
      <c r="B1377" s="55" t="str">
        <f>HYPERLINK("https://jobright.ai/jobs/info/668b91b194caa4cc933bd8bd?utm_campaign=1052&amp;utm_source=sheet", "Apply")</f>
        <v>Apply</v>
      </c>
      <c r="C1377" s="10" t="s">
        <v>10145</v>
      </c>
      <c r="D1377" s="56" t="s">
        <v>10030</v>
      </c>
      <c r="E1377" s="10">
        <v>25.0</v>
      </c>
      <c r="G1377" s="10" t="s">
        <v>1159</v>
      </c>
      <c r="H1377" s="10" t="s">
        <v>10713</v>
      </c>
      <c r="I1377" s="10" t="s">
        <v>55</v>
      </c>
      <c r="J1377" s="64"/>
      <c r="K1377" s="10" t="s">
        <v>11303</v>
      </c>
      <c r="L1377" s="10" t="s">
        <v>42</v>
      </c>
    </row>
    <row r="1378" ht="15.75" customHeight="1">
      <c r="A1378" s="64">
        <v>45479.0</v>
      </c>
      <c r="B1378" s="55" t="str">
        <f>HYPERLINK("https://jobright.ai/jobs/info/668b91b194caa4cc933bd8bf?utm_campaign=1052&amp;utm_source=sheet", "Apply")</f>
        <v>Apply</v>
      </c>
      <c r="C1378" s="10" t="s">
        <v>10145</v>
      </c>
      <c r="D1378" s="56" t="s">
        <v>10030</v>
      </c>
      <c r="E1378" s="10">
        <v>25.0</v>
      </c>
      <c r="G1378" s="10" t="s">
        <v>1159</v>
      </c>
      <c r="H1378" s="10" t="s">
        <v>796</v>
      </c>
      <c r="I1378" s="10" t="s">
        <v>55</v>
      </c>
      <c r="J1378" s="10" t="s">
        <v>1616</v>
      </c>
      <c r="K1378" s="10" t="s">
        <v>10971</v>
      </c>
      <c r="L1378" s="10" t="s">
        <v>42</v>
      </c>
    </row>
    <row r="1379" ht="15.75" customHeight="1">
      <c r="A1379" s="64">
        <v>45479.0</v>
      </c>
      <c r="B1379" s="55" t="str">
        <f>HYPERLINK("https://jobright.ai/jobs/info/668b91b194caa4cc933bd8c2?utm_campaign=1052&amp;utm_source=sheet", "Apply")</f>
        <v>Apply</v>
      </c>
      <c r="C1379" s="10" t="s">
        <v>10145</v>
      </c>
      <c r="D1379" s="56" t="s">
        <v>10030</v>
      </c>
      <c r="E1379" s="10">
        <v>25.0</v>
      </c>
      <c r="G1379" s="10" t="s">
        <v>1159</v>
      </c>
      <c r="H1379" s="10" t="s">
        <v>1352</v>
      </c>
      <c r="I1379" s="10" t="s">
        <v>55</v>
      </c>
      <c r="K1379" s="10" t="s">
        <v>9579</v>
      </c>
      <c r="L1379" s="10" t="s">
        <v>42</v>
      </c>
    </row>
    <row r="1380" ht="15.75" customHeight="1">
      <c r="A1380" s="64">
        <v>45479.0</v>
      </c>
      <c r="B1380" s="55" t="str">
        <f>HYPERLINK("https://jobright.ai/jobs/info/6688d26b10f0f5efef8fcc5d?utm_campaign=1052&amp;utm_source=sheet", "Apply")</f>
        <v>Apply</v>
      </c>
      <c r="C1380" s="10" t="s">
        <v>11354</v>
      </c>
      <c r="D1380" s="56" t="s">
        <v>11355</v>
      </c>
      <c r="E1380" s="10" t="s">
        <v>45</v>
      </c>
      <c r="F1380" s="10" t="s">
        <v>8944</v>
      </c>
      <c r="G1380" s="10" t="s">
        <v>9414</v>
      </c>
      <c r="H1380" s="10" t="s">
        <v>144</v>
      </c>
      <c r="I1380" s="10" t="s">
        <v>48</v>
      </c>
      <c r="J1380" s="10" t="s">
        <v>11356</v>
      </c>
      <c r="K1380" s="10" t="s">
        <v>11357</v>
      </c>
      <c r="L1380" s="10" t="s">
        <v>42</v>
      </c>
    </row>
    <row r="1381" ht="15.75" customHeight="1">
      <c r="A1381" s="64">
        <v>45478.0</v>
      </c>
      <c r="B1381" s="55" t="str">
        <f>HYPERLINK("https://jobright.ai/jobs/info/6688875e060c796bfbb93ae4?utm_campaign=1052&amp;utm_source=sheet", "Apply")</f>
        <v>Apply</v>
      </c>
      <c r="C1381" s="10" t="s">
        <v>9611</v>
      </c>
      <c r="D1381" s="56" t="s">
        <v>11358</v>
      </c>
      <c r="E1381" s="10" t="s">
        <v>71</v>
      </c>
      <c r="F1381" s="10" t="s">
        <v>2824</v>
      </c>
      <c r="G1381" s="10" t="s">
        <v>9419</v>
      </c>
      <c r="H1381" s="10" t="s">
        <v>131</v>
      </c>
      <c r="I1381" s="10" t="s">
        <v>55</v>
      </c>
      <c r="K1381" s="10" t="s">
        <v>10004</v>
      </c>
      <c r="L1381" s="10" t="s">
        <v>42</v>
      </c>
    </row>
    <row r="1382" ht="15.75" customHeight="1">
      <c r="A1382" s="64">
        <v>45478.0</v>
      </c>
      <c r="B1382" s="55" t="str">
        <f>HYPERLINK("https://jobright.ai/jobs/info/66887eb4c8bd0591bd81c508?utm_campaign=1052&amp;utm_source=sheet", "Apply")</f>
        <v>Apply</v>
      </c>
      <c r="C1382" s="10" t="s">
        <v>9611</v>
      </c>
      <c r="D1382" s="56" t="s">
        <v>10002</v>
      </c>
      <c r="E1382" s="10" t="s">
        <v>276</v>
      </c>
      <c r="F1382" s="10" t="s">
        <v>10003</v>
      </c>
      <c r="G1382" s="10" t="s">
        <v>9419</v>
      </c>
      <c r="H1382" s="10" t="s">
        <v>131</v>
      </c>
      <c r="I1382" s="10" t="s">
        <v>55</v>
      </c>
      <c r="J1382" s="64"/>
      <c r="K1382" s="10" t="s">
        <v>10004</v>
      </c>
      <c r="L1382" s="10" t="s">
        <v>42</v>
      </c>
    </row>
    <row r="1383" ht="15.75" customHeight="1">
      <c r="A1383" s="64">
        <v>45478.0</v>
      </c>
      <c r="B1383" s="55" t="str">
        <f>HYPERLINK("https://jobright.ai/jobs/info/6688743fc75a6e7e29dd2050?utm_campaign=1052&amp;utm_source=sheet", "Apply")</f>
        <v>Apply</v>
      </c>
      <c r="C1383" s="10" t="s">
        <v>11359</v>
      </c>
      <c r="D1383" s="56" t="s">
        <v>4878</v>
      </c>
      <c r="E1383" s="10" t="s">
        <v>45</v>
      </c>
      <c r="F1383" s="10" t="s">
        <v>4879</v>
      </c>
      <c r="G1383" s="10" t="s">
        <v>9414</v>
      </c>
      <c r="H1383" s="10" t="s">
        <v>11168</v>
      </c>
      <c r="I1383" s="10" t="s">
        <v>55</v>
      </c>
      <c r="K1383" s="10" t="s">
        <v>4881</v>
      </c>
      <c r="L1383" s="10" t="s">
        <v>42</v>
      </c>
    </row>
    <row r="1384" ht="15.75" customHeight="1">
      <c r="A1384" s="64">
        <v>45478.0</v>
      </c>
      <c r="B1384" s="55" t="str">
        <f>HYPERLINK("https://jobright.ai/jobs/info/66886cd1dc41ac17c470f152?utm_campaign=1052&amp;utm_source=sheet", "Apply")</f>
        <v>Apply</v>
      </c>
      <c r="C1384" s="10" t="s">
        <v>11360</v>
      </c>
      <c r="D1384" s="56" t="s">
        <v>11361</v>
      </c>
      <c r="E1384" s="10" t="s">
        <v>65</v>
      </c>
      <c r="F1384" s="10" t="s">
        <v>11362</v>
      </c>
      <c r="G1384" s="10" t="s">
        <v>9414</v>
      </c>
      <c r="H1384" s="10" t="s">
        <v>411</v>
      </c>
      <c r="I1384" s="10" t="s">
        <v>55</v>
      </c>
      <c r="J1384" s="10" t="s">
        <v>1797</v>
      </c>
      <c r="K1384" s="10" t="s">
        <v>11363</v>
      </c>
      <c r="L1384" s="10" t="s">
        <v>42</v>
      </c>
    </row>
    <row r="1385" ht="15.75" customHeight="1">
      <c r="A1385" s="64">
        <v>45478.0</v>
      </c>
      <c r="B1385" s="55" t="str">
        <f>HYPERLINK("https://jobright.ai/jobs/info/66881e55c5ee055d6138cac3?utm_campaign=1052&amp;utm_source=sheet", "Apply")</f>
        <v>Apply</v>
      </c>
      <c r="C1385" s="10" t="s">
        <v>11364</v>
      </c>
      <c r="D1385" s="56" t="s">
        <v>11365</v>
      </c>
      <c r="E1385" s="10" t="s">
        <v>137</v>
      </c>
      <c r="F1385" s="10" t="s">
        <v>370</v>
      </c>
      <c r="G1385" s="10" t="s">
        <v>1159</v>
      </c>
      <c r="H1385" s="10" t="s">
        <v>153</v>
      </c>
      <c r="I1385" s="10" t="s">
        <v>55</v>
      </c>
      <c r="K1385" s="10" t="s">
        <v>11366</v>
      </c>
      <c r="L1385" s="10" t="s">
        <v>42</v>
      </c>
    </row>
    <row r="1386" ht="15.75" customHeight="1">
      <c r="A1386" s="64">
        <v>45478.0</v>
      </c>
      <c r="B1386" s="55" t="str">
        <f>HYPERLINK("https://jobright.ai/jobs/info/6675e5fb002960a5a8d1ac04?utm_campaign=1052&amp;utm_source=sheet", "Apply")</f>
        <v>Apply</v>
      </c>
      <c r="C1386" s="10" t="s">
        <v>11367</v>
      </c>
      <c r="D1386" s="56" t="s">
        <v>4604</v>
      </c>
      <c r="E1386" s="10" t="s">
        <v>137</v>
      </c>
      <c r="F1386" s="10" t="s">
        <v>4605</v>
      </c>
      <c r="G1386" s="10" t="s">
        <v>9414</v>
      </c>
      <c r="H1386" s="10" t="s">
        <v>11368</v>
      </c>
      <c r="I1386" s="10" t="s">
        <v>55</v>
      </c>
      <c r="K1386" s="10" t="s">
        <v>11369</v>
      </c>
      <c r="L1386" s="10" t="s">
        <v>42</v>
      </c>
    </row>
    <row r="1387" ht="15.75" customHeight="1">
      <c r="A1387" s="64">
        <v>45478.0</v>
      </c>
      <c r="B1387" s="55" t="str">
        <f>HYPERLINK("https://jobright.ai/jobs/info/66881e4cc5ee055d6138c9ee?utm_campaign=1052&amp;utm_source=sheet", "Apply")</f>
        <v>Apply</v>
      </c>
      <c r="C1387" s="10" t="s">
        <v>11370</v>
      </c>
      <c r="D1387" s="56" t="s">
        <v>1183</v>
      </c>
      <c r="E1387" s="10" t="s">
        <v>45</v>
      </c>
      <c r="F1387" s="10" t="s">
        <v>1184</v>
      </c>
      <c r="G1387" s="10" t="s">
        <v>9414</v>
      </c>
      <c r="H1387" s="10" t="s">
        <v>7382</v>
      </c>
      <c r="I1387" s="10" t="s">
        <v>55</v>
      </c>
      <c r="K1387" s="10" t="s">
        <v>11371</v>
      </c>
      <c r="L1387" s="10" t="s">
        <v>42</v>
      </c>
    </row>
    <row r="1388" ht="15.75" customHeight="1">
      <c r="A1388" s="64">
        <v>45478.0</v>
      </c>
      <c r="B1388" s="55" t="str">
        <f>HYPERLINK("https://jobright.ai/jobs/info/669a706f29c89923d54e463a?utm_campaign=1052&amp;utm_source=sheet", "Apply")</f>
        <v>Apply</v>
      </c>
      <c r="C1388" s="10" t="s">
        <v>11372</v>
      </c>
      <c r="D1388" s="56" t="s">
        <v>11373</v>
      </c>
      <c r="E1388" s="10" t="s">
        <v>209</v>
      </c>
      <c r="F1388" s="10" t="s">
        <v>370</v>
      </c>
      <c r="G1388" s="10" t="s">
        <v>1159</v>
      </c>
      <c r="H1388" s="10" t="s">
        <v>113</v>
      </c>
      <c r="I1388" s="10" t="s">
        <v>55</v>
      </c>
      <c r="K1388" s="10" t="s">
        <v>11374</v>
      </c>
      <c r="L1388" s="10" t="s">
        <v>42</v>
      </c>
    </row>
    <row r="1389" ht="15.75" customHeight="1">
      <c r="A1389" s="64">
        <v>45478.0</v>
      </c>
      <c r="B1389" s="55" t="str">
        <f>HYPERLINK("https://jobright.ai/jobs/info/668806851bdbb69a5d4a37d0?utm_campaign=1052&amp;utm_source=sheet", "Apply")</f>
        <v>Apply</v>
      </c>
      <c r="C1389" s="10" t="s">
        <v>11375</v>
      </c>
      <c r="D1389" s="56" t="s">
        <v>1955</v>
      </c>
      <c r="E1389" s="10" t="s">
        <v>45</v>
      </c>
      <c r="F1389" s="10" t="s">
        <v>1234</v>
      </c>
      <c r="G1389" s="10" t="s">
        <v>1159</v>
      </c>
      <c r="H1389" s="10" t="s">
        <v>139</v>
      </c>
      <c r="I1389" s="10" t="s">
        <v>55</v>
      </c>
      <c r="J1389" s="10" t="s">
        <v>1761</v>
      </c>
      <c r="K1389" s="10" t="s">
        <v>11376</v>
      </c>
      <c r="L1389" s="10" t="s">
        <v>42</v>
      </c>
    </row>
    <row r="1390" ht="15.75" customHeight="1">
      <c r="A1390" s="64">
        <v>45478.0</v>
      </c>
      <c r="B1390" s="55" t="str">
        <f>HYPERLINK("https://jobright.ai/jobs/info/66784f87c0ab98b49acc4c57?utm_campaign=1052&amp;utm_source=sheet", "Apply")</f>
        <v>Apply</v>
      </c>
      <c r="C1390" s="10" t="s">
        <v>10953</v>
      </c>
      <c r="D1390" s="56" t="s">
        <v>9623</v>
      </c>
      <c r="E1390" s="10">
        <v>52219.0</v>
      </c>
      <c r="G1390" s="10" t="s">
        <v>9419</v>
      </c>
      <c r="H1390" s="10" t="s">
        <v>113</v>
      </c>
      <c r="I1390" s="10" t="s">
        <v>55</v>
      </c>
      <c r="K1390" s="10" t="s">
        <v>9624</v>
      </c>
      <c r="L1390" s="10" t="s">
        <v>42</v>
      </c>
    </row>
    <row r="1391" ht="15.75" customHeight="1">
      <c r="A1391" s="64">
        <v>45478.0</v>
      </c>
      <c r="B1391" s="55" t="str">
        <f>HYPERLINK("https://jobright.ai/jobs/info/669a5e536b08a5b9f5cc418f?utm_campaign=1052&amp;utm_source=sheet", "Apply")</f>
        <v>Apply</v>
      </c>
      <c r="C1391" s="10" t="s">
        <v>11377</v>
      </c>
      <c r="D1391" s="56" t="s">
        <v>10030</v>
      </c>
      <c r="E1391" s="10">
        <v>25.0</v>
      </c>
      <c r="G1391" s="10" t="s">
        <v>9419</v>
      </c>
      <c r="H1391" s="10" t="s">
        <v>2708</v>
      </c>
      <c r="I1391" s="10" t="s">
        <v>55</v>
      </c>
      <c r="K1391" s="10" t="s">
        <v>10191</v>
      </c>
      <c r="L1391" s="10" t="s">
        <v>42</v>
      </c>
    </row>
    <row r="1392" ht="15.75" customHeight="1">
      <c r="A1392" s="64">
        <v>45478.0</v>
      </c>
      <c r="B1392" s="55" t="str">
        <f>HYPERLINK("https://jobright.ai/jobs/info/65e0b5c4fa0c7af108d2ba4c?utm_campaign=1052&amp;utm_source=sheet", "Apply")</f>
        <v>Apply</v>
      </c>
      <c r="C1392" s="10" t="s">
        <v>11378</v>
      </c>
      <c r="D1392" s="56" t="s">
        <v>9585</v>
      </c>
      <c r="E1392" s="10" t="s">
        <v>65</v>
      </c>
      <c r="F1392" s="10" t="s">
        <v>722</v>
      </c>
      <c r="G1392" s="10" t="s">
        <v>9419</v>
      </c>
      <c r="H1392" s="10" t="s">
        <v>811</v>
      </c>
      <c r="I1392" s="10" t="s">
        <v>55</v>
      </c>
      <c r="J1392" s="64"/>
      <c r="K1392" s="10" t="s">
        <v>9586</v>
      </c>
      <c r="L1392" s="10" t="s">
        <v>42</v>
      </c>
    </row>
    <row r="1393" ht="15.75" customHeight="1">
      <c r="A1393" s="64">
        <v>45478.0</v>
      </c>
      <c r="B1393" s="55" t="str">
        <f>HYPERLINK("https://jobright.ai/jobs/info/6674168c5535aa1101e32b94?utm_campaign=1052&amp;utm_source=sheet", "Apply")</f>
        <v>Apply</v>
      </c>
      <c r="C1393" s="10" t="s">
        <v>11379</v>
      </c>
      <c r="D1393" s="56" t="s">
        <v>9671</v>
      </c>
      <c r="E1393" s="10" t="s">
        <v>45</v>
      </c>
      <c r="F1393" s="10" t="s">
        <v>1084</v>
      </c>
      <c r="G1393" s="10" t="s">
        <v>9414</v>
      </c>
      <c r="H1393" s="10" t="s">
        <v>96</v>
      </c>
      <c r="I1393" s="10" t="s">
        <v>55</v>
      </c>
      <c r="J1393" s="10" t="s">
        <v>9672</v>
      </c>
      <c r="K1393" s="10" t="s">
        <v>11380</v>
      </c>
      <c r="L1393" s="10" t="s">
        <v>42</v>
      </c>
    </row>
    <row r="1394" ht="15.75" customHeight="1">
      <c r="A1394" s="64">
        <v>45478.0</v>
      </c>
      <c r="B1394" s="55" t="str">
        <f>HYPERLINK("https://jobright.ai/jobs/info/668a4dc285ea57ea3780470b?utm_campaign=1052&amp;utm_source=sheet", "Apply")</f>
        <v>Apply</v>
      </c>
      <c r="C1394" s="10" t="s">
        <v>11334</v>
      </c>
      <c r="D1394" s="56" t="s">
        <v>10030</v>
      </c>
      <c r="E1394" s="10">
        <v>25.0</v>
      </c>
      <c r="G1394" s="10" t="s">
        <v>9419</v>
      </c>
      <c r="H1394" s="10" t="s">
        <v>898</v>
      </c>
      <c r="I1394" s="10" t="s">
        <v>55</v>
      </c>
      <c r="J1394" s="10" t="s">
        <v>9770</v>
      </c>
      <c r="K1394" s="10" t="s">
        <v>11250</v>
      </c>
      <c r="L1394" s="10" t="s">
        <v>42</v>
      </c>
    </row>
    <row r="1395" ht="15.75" customHeight="1">
      <c r="A1395" s="64">
        <v>45478.0</v>
      </c>
      <c r="B1395" s="55" t="str">
        <f>HYPERLINK("https://jobright.ai/jobs/info/668a4dc285ea57ea3780470c?utm_campaign=1052&amp;utm_source=sheet", "Apply")</f>
        <v>Apply</v>
      </c>
      <c r="C1395" s="10" t="s">
        <v>10530</v>
      </c>
      <c r="D1395" s="56" t="s">
        <v>10030</v>
      </c>
      <c r="E1395" s="10">
        <v>25.0</v>
      </c>
      <c r="G1395" s="10" t="s">
        <v>9419</v>
      </c>
      <c r="H1395" s="10" t="s">
        <v>794</v>
      </c>
      <c r="I1395" s="10" t="s">
        <v>55</v>
      </c>
      <c r="K1395" s="10" t="s">
        <v>10531</v>
      </c>
      <c r="L1395" s="10" t="s">
        <v>42</v>
      </c>
    </row>
    <row r="1396" ht="15.75" customHeight="1">
      <c r="A1396" s="64">
        <v>45478.0</v>
      </c>
      <c r="B1396" s="55" t="str">
        <f>HYPERLINK("https://jobright.ai/jobs/info/668a4dc285ea57ea37804711?utm_campaign=1052&amp;utm_source=sheet", "Apply")</f>
        <v>Apply</v>
      </c>
      <c r="C1396" s="10" t="s">
        <v>10594</v>
      </c>
      <c r="D1396" s="56" t="s">
        <v>10030</v>
      </c>
      <c r="E1396" s="10">
        <v>25.0</v>
      </c>
      <c r="G1396" s="10" t="s">
        <v>1159</v>
      </c>
      <c r="H1396" s="10" t="s">
        <v>10812</v>
      </c>
      <c r="I1396" s="10" t="s">
        <v>55</v>
      </c>
      <c r="K1396" s="10" t="s">
        <v>11303</v>
      </c>
      <c r="L1396" s="10" t="s">
        <v>42</v>
      </c>
    </row>
    <row r="1397" ht="15.75" customHeight="1">
      <c r="A1397" s="64">
        <v>45478.0</v>
      </c>
      <c r="B1397" s="55" t="str">
        <f>HYPERLINK("https://jobright.ai/jobs/info/668a4dc285ea57ea37804713?utm_campaign=1052&amp;utm_source=sheet", "Apply")</f>
        <v>Apply</v>
      </c>
      <c r="C1397" s="10" t="s">
        <v>11381</v>
      </c>
      <c r="D1397" s="56" t="s">
        <v>10030</v>
      </c>
      <c r="E1397" s="10">
        <v>25.0</v>
      </c>
      <c r="G1397" s="10" t="s">
        <v>9419</v>
      </c>
      <c r="H1397" s="10" t="s">
        <v>165</v>
      </c>
      <c r="I1397" s="10" t="s">
        <v>55</v>
      </c>
      <c r="J1397" s="10" t="s">
        <v>11382</v>
      </c>
      <c r="K1397" s="10" t="s">
        <v>10531</v>
      </c>
      <c r="L1397" s="10" t="s">
        <v>42</v>
      </c>
    </row>
    <row r="1398" ht="15.75" customHeight="1">
      <c r="A1398" s="64">
        <v>45478.0</v>
      </c>
      <c r="B1398" s="55" t="str">
        <f>HYPERLINK("https://jobright.ai/jobs/info/668a4dc285ea57ea37804714?utm_campaign=1052&amp;utm_source=sheet", "Apply")</f>
        <v>Apply</v>
      </c>
      <c r="C1398" s="10" t="s">
        <v>11383</v>
      </c>
      <c r="D1398" s="56" t="s">
        <v>10030</v>
      </c>
      <c r="E1398" s="10">
        <v>25.0</v>
      </c>
      <c r="G1398" s="10" t="s">
        <v>9414</v>
      </c>
      <c r="H1398" s="10" t="s">
        <v>11129</v>
      </c>
      <c r="I1398" s="10" t="s">
        <v>48</v>
      </c>
      <c r="J1398" s="10" t="s">
        <v>9551</v>
      </c>
      <c r="K1398" s="10" t="s">
        <v>11384</v>
      </c>
      <c r="L1398" s="10" t="s">
        <v>42</v>
      </c>
    </row>
    <row r="1399" ht="15.75" customHeight="1">
      <c r="A1399" s="64">
        <v>45478.0</v>
      </c>
      <c r="B1399" s="55" t="str">
        <f>HYPERLINK("https://jobright.ai/jobs/info/668a4dc285ea57ea37804715?utm_campaign=1052&amp;utm_source=sheet", "Apply")</f>
        <v>Apply</v>
      </c>
      <c r="C1399" s="10" t="s">
        <v>11385</v>
      </c>
      <c r="D1399" s="56" t="s">
        <v>10030</v>
      </c>
      <c r="E1399" s="10">
        <v>25.0</v>
      </c>
      <c r="G1399" s="10" t="s">
        <v>1159</v>
      </c>
      <c r="H1399" s="10" t="s">
        <v>96</v>
      </c>
      <c r="I1399" s="10" t="s">
        <v>48</v>
      </c>
      <c r="J1399" s="10" t="s">
        <v>4649</v>
      </c>
      <c r="K1399" s="10" t="s">
        <v>10212</v>
      </c>
      <c r="L1399" s="10" t="s">
        <v>42</v>
      </c>
    </row>
    <row r="1400" ht="15.75" customHeight="1">
      <c r="A1400" s="64">
        <v>45478.0</v>
      </c>
      <c r="B1400" s="55" t="str">
        <f>HYPERLINK("https://jobright.ai/jobs/info/668a4dc585ea57ea37804716?utm_campaign=1052&amp;utm_source=sheet", "Apply")</f>
        <v>Apply</v>
      </c>
      <c r="C1400" s="10" t="s">
        <v>11377</v>
      </c>
      <c r="D1400" s="56" t="s">
        <v>10030</v>
      </c>
      <c r="E1400" s="10">
        <v>25.0</v>
      </c>
      <c r="G1400" s="10" t="s">
        <v>9419</v>
      </c>
      <c r="H1400" s="10" t="s">
        <v>405</v>
      </c>
      <c r="I1400" s="10" t="s">
        <v>55</v>
      </c>
      <c r="J1400" s="10" t="s">
        <v>3246</v>
      </c>
      <c r="K1400" s="10" t="s">
        <v>10191</v>
      </c>
      <c r="L1400" s="10" t="s">
        <v>42</v>
      </c>
    </row>
    <row r="1401" ht="15.75" customHeight="1">
      <c r="A1401" s="64">
        <v>45478.0</v>
      </c>
      <c r="B1401" s="55" t="str">
        <f>HYPERLINK("https://jobright.ai/jobs/info/668a475a95603d4df9f39db1?utm_campaign=1052&amp;utm_source=sheet", "Apply")</f>
        <v>Apply</v>
      </c>
      <c r="C1401" s="10" t="s">
        <v>11335</v>
      </c>
      <c r="D1401" s="56" t="s">
        <v>10030</v>
      </c>
      <c r="E1401" s="10">
        <v>25.0</v>
      </c>
      <c r="G1401" s="10" t="s">
        <v>9419</v>
      </c>
      <c r="H1401" s="10" t="s">
        <v>794</v>
      </c>
      <c r="I1401" s="10" t="s">
        <v>55</v>
      </c>
      <c r="K1401" s="10" t="s">
        <v>10531</v>
      </c>
      <c r="L1401" s="10" t="s">
        <v>42</v>
      </c>
    </row>
    <row r="1402" ht="15.75" customHeight="1">
      <c r="A1402" s="64">
        <v>45478.0</v>
      </c>
      <c r="B1402" s="55" t="str">
        <f>HYPERLINK("https://jobright.ai/jobs/info/668a475a95603d4df9f39db3?utm_campaign=1052&amp;utm_source=sheet", "Apply")</f>
        <v>Apply</v>
      </c>
      <c r="C1402" s="10" t="s">
        <v>11386</v>
      </c>
      <c r="D1402" s="56" t="s">
        <v>10030</v>
      </c>
      <c r="E1402" s="10">
        <v>25.0</v>
      </c>
      <c r="G1402" s="10" t="s">
        <v>9419</v>
      </c>
      <c r="H1402" s="10" t="s">
        <v>810</v>
      </c>
      <c r="I1402" s="10" t="s">
        <v>55</v>
      </c>
      <c r="K1402" s="10" t="s">
        <v>10531</v>
      </c>
      <c r="L1402" s="10" t="s">
        <v>42</v>
      </c>
    </row>
    <row r="1403" ht="15.75" customHeight="1">
      <c r="A1403" s="64">
        <v>45478.0</v>
      </c>
      <c r="B1403" s="55" t="str">
        <f>HYPERLINK("https://jobright.ai/jobs/info/668a475a95603d4df9f39db4?utm_campaign=1052&amp;utm_source=sheet", "Apply")</f>
        <v>Apply</v>
      </c>
      <c r="C1403" s="10" t="s">
        <v>10594</v>
      </c>
      <c r="D1403" s="56" t="s">
        <v>10030</v>
      </c>
      <c r="E1403" s="10">
        <v>25.0</v>
      </c>
      <c r="G1403" s="10" t="s">
        <v>1159</v>
      </c>
      <c r="H1403" s="10" t="s">
        <v>975</v>
      </c>
      <c r="I1403" s="10" t="s">
        <v>55</v>
      </c>
      <c r="K1403" s="10" t="s">
        <v>11303</v>
      </c>
      <c r="L1403" s="10" t="s">
        <v>42</v>
      </c>
    </row>
    <row r="1404" ht="15.75" customHeight="1">
      <c r="A1404" s="64">
        <v>45478.0</v>
      </c>
      <c r="B1404" s="55" t="str">
        <f>HYPERLINK("https://jobright.ai/jobs/info/668a475a95603d4df9f39db5?utm_campaign=1052&amp;utm_source=sheet", "Apply")</f>
        <v>Apply</v>
      </c>
      <c r="C1404" s="10" t="s">
        <v>11334</v>
      </c>
      <c r="D1404" s="56" t="s">
        <v>10030</v>
      </c>
      <c r="E1404" s="10">
        <v>25.0</v>
      </c>
      <c r="G1404" s="10" t="s">
        <v>1159</v>
      </c>
      <c r="H1404" s="10" t="s">
        <v>11249</v>
      </c>
      <c r="I1404" s="10" t="s">
        <v>55</v>
      </c>
      <c r="J1404" s="10" t="s">
        <v>9770</v>
      </c>
      <c r="K1404" s="10" t="s">
        <v>11250</v>
      </c>
      <c r="L1404" s="10" t="s">
        <v>42</v>
      </c>
    </row>
    <row r="1405" ht="15.75" customHeight="1">
      <c r="A1405" s="64">
        <v>45478.0</v>
      </c>
      <c r="B1405" s="55" t="str">
        <f>HYPERLINK("https://jobright.ai/jobs/info/668a475a95603d4df9f39db6?utm_campaign=1052&amp;utm_source=sheet", "Apply")</f>
        <v>Apply</v>
      </c>
      <c r="C1405" s="10" t="s">
        <v>10954</v>
      </c>
      <c r="D1405" s="56" t="s">
        <v>10030</v>
      </c>
      <c r="E1405" s="10">
        <v>25.0</v>
      </c>
      <c r="G1405" s="10" t="s">
        <v>1159</v>
      </c>
      <c r="H1405" s="10" t="s">
        <v>975</v>
      </c>
      <c r="I1405" s="10" t="s">
        <v>55</v>
      </c>
      <c r="K1405" s="10" t="s">
        <v>11303</v>
      </c>
      <c r="L1405" s="10" t="s">
        <v>42</v>
      </c>
    </row>
    <row r="1406" ht="15.75" customHeight="1">
      <c r="A1406" s="64">
        <v>45478.0</v>
      </c>
      <c r="B1406" s="55" t="str">
        <f>HYPERLINK("https://jobright.ai/jobs/info/6688af3c61afde70f527d886?utm_campaign=1052&amp;utm_source=sheet", "Apply")</f>
        <v>Apply</v>
      </c>
      <c r="C1406" s="10" t="s">
        <v>11387</v>
      </c>
      <c r="D1406" s="56" t="s">
        <v>11388</v>
      </c>
      <c r="E1406" s="10" t="s">
        <v>209</v>
      </c>
      <c r="F1406" s="10" t="s">
        <v>11389</v>
      </c>
      <c r="G1406" s="10" t="s">
        <v>1159</v>
      </c>
      <c r="H1406" s="10" t="s">
        <v>11390</v>
      </c>
      <c r="I1406" s="10" t="s">
        <v>55</v>
      </c>
      <c r="K1406" s="10" t="s">
        <v>11391</v>
      </c>
      <c r="L1406" s="10" t="s">
        <v>42</v>
      </c>
    </row>
    <row r="1407" ht="15.75" customHeight="1">
      <c r="A1407" s="64">
        <v>45478.0</v>
      </c>
      <c r="B1407" s="55" t="str">
        <f>HYPERLINK("https://jobright.ai/jobs/info/668850440abd1339a525037a?utm_campaign=1052&amp;utm_source=sheet", "Apply")</f>
        <v>Apply</v>
      </c>
      <c r="C1407" s="10" t="s">
        <v>11392</v>
      </c>
      <c r="D1407" s="56" t="s">
        <v>7571</v>
      </c>
      <c r="E1407" s="10" t="s">
        <v>45</v>
      </c>
      <c r="F1407" s="10" t="s">
        <v>7572</v>
      </c>
      <c r="G1407" s="10" t="s">
        <v>1159</v>
      </c>
      <c r="H1407" s="10" t="s">
        <v>11393</v>
      </c>
      <c r="I1407" s="10" t="s">
        <v>55</v>
      </c>
      <c r="K1407" s="10" t="s">
        <v>11394</v>
      </c>
      <c r="L1407" s="10" t="s">
        <v>42</v>
      </c>
    </row>
    <row r="1408" ht="15.75" customHeight="1">
      <c r="A1408" s="64">
        <v>45477.0</v>
      </c>
      <c r="B1408" s="55" t="str">
        <f>HYPERLINK("https://jobright.ai/jobs/info/6677bcda27c0e726e8f4e01f?utm_campaign=1052&amp;utm_source=sheet", "Apply")</f>
        <v>Apply</v>
      </c>
      <c r="C1408" s="10" t="s">
        <v>10737</v>
      </c>
      <c r="D1408" s="56" t="s">
        <v>9588</v>
      </c>
      <c r="E1408" s="10" t="s">
        <v>65</v>
      </c>
      <c r="F1408" s="10" t="s">
        <v>722</v>
      </c>
      <c r="G1408" s="10" t="s">
        <v>9419</v>
      </c>
      <c r="H1408" s="10" t="s">
        <v>3309</v>
      </c>
      <c r="I1408" s="10" t="s">
        <v>55</v>
      </c>
      <c r="K1408" s="10" t="s">
        <v>10738</v>
      </c>
      <c r="L1408" s="10" t="s">
        <v>42</v>
      </c>
    </row>
    <row r="1409" ht="15.75" customHeight="1">
      <c r="A1409" s="64">
        <v>45477.0</v>
      </c>
      <c r="B1409" s="55" t="str">
        <f>HYPERLINK("https://jobright.ai/jobs/info/6656fd5a370b79848db90abe?utm_campaign=1052&amp;utm_source=sheet", "Apply")</f>
        <v>Apply</v>
      </c>
      <c r="C1409" s="10" t="s">
        <v>11395</v>
      </c>
      <c r="D1409" s="56" t="s">
        <v>9581</v>
      </c>
      <c r="E1409" s="10" t="s">
        <v>65</v>
      </c>
      <c r="F1409" s="10" t="s">
        <v>722</v>
      </c>
      <c r="G1409" s="10" t="s">
        <v>9419</v>
      </c>
      <c r="H1409" s="10" t="s">
        <v>168</v>
      </c>
      <c r="I1409" s="10" t="s">
        <v>55</v>
      </c>
      <c r="J1409" s="10" t="s">
        <v>9582</v>
      </c>
      <c r="K1409" s="10" t="s">
        <v>9603</v>
      </c>
      <c r="L1409" s="10" t="s">
        <v>42</v>
      </c>
    </row>
    <row r="1410" ht="15.75" customHeight="1">
      <c r="A1410" s="64">
        <v>45477.0</v>
      </c>
      <c r="B1410" s="55" t="str">
        <f>HYPERLINK("https://jobright.ai/jobs/info/66892c51b1c4f94603c7ca43?utm_campaign=1052&amp;utm_source=sheet", "Apply")</f>
        <v>Apply</v>
      </c>
      <c r="C1410" s="10" t="s">
        <v>11396</v>
      </c>
      <c r="D1410" s="56" t="s">
        <v>10030</v>
      </c>
      <c r="E1410" s="10">
        <v>25.0</v>
      </c>
      <c r="G1410" s="10" t="s">
        <v>1159</v>
      </c>
      <c r="H1410" s="10" t="s">
        <v>144</v>
      </c>
      <c r="I1410" s="10" t="s">
        <v>55</v>
      </c>
      <c r="J1410" s="10" t="s">
        <v>4649</v>
      </c>
      <c r="K1410" s="10" t="s">
        <v>10212</v>
      </c>
      <c r="L1410" s="10" t="s">
        <v>42</v>
      </c>
    </row>
    <row r="1411" ht="15.75" customHeight="1">
      <c r="A1411" s="64">
        <v>45477.0</v>
      </c>
      <c r="B1411" s="55" t="str">
        <f>HYPERLINK("https://jobright.ai/jobs/info/6677c7b964f2e472ffd63534?utm_campaign=1052&amp;utm_source=sheet", "Apply")</f>
        <v>Apply</v>
      </c>
      <c r="C1411" s="10" t="s">
        <v>11397</v>
      </c>
      <c r="D1411" s="56" t="s">
        <v>9585</v>
      </c>
      <c r="E1411" s="10" t="s">
        <v>65</v>
      </c>
      <c r="F1411" s="10" t="s">
        <v>722</v>
      </c>
      <c r="G1411" s="10" t="s">
        <v>9419</v>
      </c>
      <c r="H1411" s="10" t="s">
        <v>131</v>
      </c>
      <c r="I1411" s="10" t="s">
        <v>55</v>
      </c>
      <c r="K1411" s="10" t="s">
        <v>9586</v>
      </c>
      <c r="L1411" s="10" t="s">
        <v>42</v>
      </c>
    </row>
    <row r="1412" ht="15.75" customHeight="1">
      <c r="A1412" s="64">
        <v>45477.0</v>
      </c>
      <c r="B1412" s="55" t="str">
        <f>HYPERLINK("https://jobright.ai/jobs/info/65e5cb28e8a32a09adfb55df?utm_campaign=1052&amp;utm_source=sheet", "Apply")</f>
        <v>Apply</v>
      </c>
      <c r="C1412" s="10" t="s">
        <v>9793</v>
      </c>
      <c r="D1412" s="56" t="s">
        <v>9607</v>
      </c>
      <c r="E1412" s="10" t="s">
        <v>45</v>
      </c>
      <c r="F1412" s="10" t="s">
        <v>722</v>
      </c>
      <c r="G1412" s="10" t="s">
        <v>9419</v>
      </c>
      <c r="H1412" s="10" t="s">
        <v>1097</v>
      </c>
      <c r="I1412" s="10" t="s">
        <v>48</v>
      </c>
      <c r="J1412" s="10" t="s">
        <v>10769</v>
      </c>
      <c r="K1412" s="10" t="s">
        <v>9609</v>
      </c>
      <c r="L1412" s="10" t="s">
        <v>42</v>
      </c>
    </row>
    <row r="1413" ht="15.75" customHeight="1">
      <c r="A1413" s="64">
        <v>45477.0</v>
      </c>
      <c r="B1413" s="55" t="str">
        <f>HYPERLINK("https://jobright.ai/jobs/info/664e111c10b4f1df299830b6?utm_campaign=1052&amp;utm_source=sheet", "Apply")</f>
        <v>Apply</v>
      </c>
      <c r="C1413" s="10" t="s">
        <v>10721</v>
      </c>
      <c r="D1413" s="56" t="s">
        <v>2699</v>
      </c>
      <c r="E1413" s="10" t="s">
        <v>249</v>
      </c>
      <c r="F1413" s="10" t="s">
        <v>722</v>
      </c>
      <c r="G1413" s="10" t="s">
        <v>9419</v>
      </c>
      <c r="H1413" s="10" t="s">
        <v>73</v>
      </c>
      <c r="I1413" s="10" t="s">
        <v>48</v>
      </c>
      <c r="K1413" s="10" t="s">
        <v>9617</v>
      </c>
      <c r="L1413" s="10" t="s">
        <v>42</v>
      </c>
    </row>
    <row r="1414" ht="15.75" customHeight="1">
      <c r="A1414" s="64">
        <v>45477.0</v>
      </c>
      <c r="B1414" s="55" t="str">
        <f>HYPERLINK("https://jobright.ai/jobs/info/660b904be6e4372fcb551d65?utm_campaign=1052&amp;utm_source=sheet", "Apply")</f>
        <v>Apply</v>
      </c>
      <c r="C1414" s="10" t="s">
        <v>11398</v>
      </c>
      <c r="D1414" s="56" t="s">
        <v>11399</v>
      </c>
      <c r="E1414" s="10">
        <v>247.0</v>
      </c>
      <c r="G1414" s="10" t="s">
        <v>1159</v>
      </c>
      <c r="H1414" s="10" t="s">
        <v>11400</v>
      </c>
      <c r="I1414" s="10" t="s">
        <v>55</v>
      </c>
      <c r="K1414" s="10" t="s">
        <v>11401</v>
      </c>
      <c r="L1414" s="10" t="s">
        <v>42</v>
      </c>
    </row>
    <row r="1415" ht="15.75" customHeight="1">
      <c r="A1415" s="64">
        <v>45477.0</v>
      </c>
      <c r="B1415" s="55" t="str">
        <f>HYPERLINK("https://jobright.ai/jobs/info/65e65fcd9331e6b506509202?utm_campaign=1052&amp;utm_source=sheet", "Apply")</f>
        <v>Apply</v>
      </c>
      <c r="C1415" s="10" t="s">
        <v>10782</v>
      </c>
      <c r="D1415" s="56" t="s">
        <v>9607</v>
      </c>
      <c r="E1415" s="10" t="s">
        <v>45</v>
      </c>
      <c r="F1415" s="10" t="s">
        <v>722</v>
      </c>
      <c r="G1415" s="10" t="s">
        <v>9419</v>
      </c>
      <c r="H1415" s="10" t="s">
        <v>144</v>
      </c>
      <c r="I1415" s="10" t="s">
        <v>48</v>
      </c>
      <c r="J1415" s="10" t="s">
        <v>11402</v>
      </c>
      <c r="K1415" s="10" t="s">
        <v>9609</v>
      </c>
      <c r="L1415" s="10" t="s">
        <v>42</v>
      </c>
    </row>
    <row r="1416" ht="15.75" customHeight="1">
      <c r="A1416" s="64">
        <v>45477.0</v>
      </c>
      <c r="B1416" s="55" t="str">
        <f>HYPERLINK("https://jobright.ai/jobs/info/668a4dc585ea57ea37804717?utm_campaign=1052&amp;utm_source=sheet", "Apply")</f>
        <v>Apply</v>
      </c>
      <c r="C1416" s="10" t="s">
        <v>11403</v>
      </c>
      <c r="D1416" s="56" t="s">
        <v>10030</v>
      </c>
      <c r="E1416" s="10">
        <v>25.0</v>
      </c>
      <c r="G1416" s="10" t="s">
        <v>1159</v>
      </c>
      <c r="H1416" s="10" t="s">
        <v>11404</v>
      </c>
      <c r="I1416" s="10" t="s">
        <v>48</v>
      </c>
      <c r="J1416" s="10" t="s">
        <v>4649</v>
      </c>
      <c r="K1416" s="10" t="s">
        <v>10212</v>
      </c>
      <c r="L1416" s="10" t="s">
        <v>42</v>
      </c>
    </row>
    <row r="1417" ht="15.75" customHeight="1">
      <c r="A1417" s="64">
        <v>45477.0</v>
      </c>
      <c r="B1417" s="55" t="str">
        <f>HYPERLINK("https://jobright.ai/jobs/info/668a4dc585ea57ea37804718?utm_campaign=1052&amp;utm_source=sheet", "Apply")</f>
        <v>Apply</v>
      </c>
      <c r="C1417" s="10" t="s">
        <v>11405</v>
      </c>
      <c r="D1417" s="56" t="s">
        <v>10030</v>
      </c>
      <c r="E1417" s="10">
        <v>25.0</v>
      </c>
      <c r="G1417" s="10" t="s">
        <v>1159</v>
      </c>
      <c r="H1417" s="10" t="s">
        <v>144</v>
      </c>
      <c r="I1417" s="10" t="s">
        <v>48</v>
      </c>
      <c r="J1417" s="10" t="s">
        <v>4649</v>
      </c>
      <c r="K1417" s="10" t="s">
        <v>10212</v>
      </c>
      <c r="L1417" s="10" t="s">
        <v>42</v>
      </c>
    </row>
    <row r="1418" ht="15.75" customHeight="1">
      <c r="A1418" s="64">
        <v>45477.0</v>
      </c>
      <c r="B1418" s="55" t="str">
        <f>HYPERLINK("https://jobright.ai/jobs/info/668a4dc585ea57ea37804719?utm_campaign=1052&amp;utm_source=sheet", "Apply")</f>
        <v>Apply</v>
      </c>
      <c r="C1418" s="10" t="s">
        <v>9517</v>
      </c>
      <c r="D1418" s="56" t="s">
        <v>10030</v>
      </c>
      <c r="E1418" s="10">
        <v>25.0</v>
      </c>
      <c r="G1418" s="10" t="s">
        <v>1159</v>
      </c>
      <c r="H1418" s="10" t="s">
        <v>188</v>
      </c>
      <c r="I1418" s="10" t="s">
        <v>55</v>
      </c>
      <c r="J1418" s="10" t="s">
        <v>1797</v>
      </c>
      <c r="K1418" s="10" t="s">
        <v>10511</v>
      </c>
      <c r="L1418" s="10" t="s">
        <v>42</v>
      </c>
    </row>
    <row r="1419" ht="15.75" customHeight="1">
      <c r="A1419" s="64">
        <v>45477.0</v>
      </c>
      <c r="B1419" s="55" t="str">
        <f>HYPERLINK("https://jobright.ai/jobs/info/668a4dc585ea57ea3780471a?utm_campaign=1052&amp;utm_source=sheet", "Apply")</f>
        <v>Apply</v>
      </c>
      <c r="C1419" s="10" t="s">
        <v>11406</v>
      </c>
      <c r="D1419" s="56" t="s">
        <v>10030</v>
      </c>
      <c r="E1419" s="10">
        <v>25.0</v>
      </c>
      <c r="G1419" s="10" t="s">
        <v>1159</v>
      </c>
      <c r="H1419" s="10" t="s">
        <v>11407</v>
      </c>
      <c r="I1419" s="10" t="s">
        <v>48</v>
      </c>
      <c r="J1419" s="10" t="s">
        <v>467</v>
      </c>
      <c r="K1419" s="10" t="s">
        <v>10212</v>
      </c>
      <c r="L1419" s="10" t="s">
        <v>42</v>
      </c>
    </row>
    <row r="1420" ht="15.75" customHeight="1">
      <c r="A1420" s="64">
        <v>45477.0</v>
      </c>
      <c r="B1420" s="55" t="str">
        <f>HYPERLINK("https://jobright.ai/jobs/info/668a4dc585ea57ea3780471b?utm_campaign=1052&amp;utm_source=sheet", "Apply")</f>
        <v>Apply</v>
      </c>
      <c r="C1420" s="10" t="s">
        <v>11337</v>
      </c>
      <c r="D1420" s="56" t="s">
        <v>10030</v>
      </c>
      <c r="E1420" s="10">
        <v>25.0</v>
      </c>
      <c r="G1420" s="10" t="s">
        <v>9419</v>
      </c>
      <c r="H1420" s="10" t="s">
        <v>405</v>
      </c>
      <c r="I1420" s="10" t="s">
        <v>55</v>
      </c>
      <c r="J1420" s="10" t="s">
        <v>1189</v>
      </c>
      <c r="K1420" s="10" t="s">
        <v>10191</v>
      </c>
      <c r="L1420" s="10" t="s">
        <v>42</v>
      </c>
    </row>
    <row r="1421" ht="15.75" customHeight="1">
      <c r="A1421" s="64">
        <v>45476.0</v>
      </c>
      <c r="B1421" s="55" t="str">
        <f>HYPERLINK("https://jobright.ai/jobs/info/6685f2ecc18bebcab14e3e0c?utm_campaign=1052&amp;utm_source=sheet", "Apply")</f>
        <v>Apply</v>
      </c>
      <c r="C1421" s="10" t="s">
        <v>11408</v>
      </c>
      <c r="D1421" s="56" t="s">
        <v>1636</v>
      </c>
      <c r="E1421" s="10">
        <v>6029.0</v>
      </c>
      <c r="G1421" s="10" t="s">
        <v>9414</v>
      </c>
      <c r="H1421" s="10" t="s">
        <v>170</v>
      </c>
      <c r="I1421" s="10" t="s">
        <v>55</v>
      </c>
      <c r="J1421" s="10" t="s">
        <v>11409</v>
      </c>
      <c r="K1421" s="10" t="s">
        <v>11410</v>
      </c>
      <c r="L1421" s="10" t="s">
        <v>42</v>
      </c>
    </row>
    <row r="1422" ht="15.75" customHeight="1">
      <c r="A1422" s="64">
        <v>45476.0</v>
      </c>
      <c r="B1422" s="55" t="str">
        <f>HYPERLINK("https://jobright.ai/jobs/info/6685e208adbfe96e189b7320?utm_campaign=1052&amp;utm_source=sheet", "Apply")</f>
        <v>Apply</v>
      </c>
      <c r="C1422" s="10" t="s">
        <v>9517</v>
      </c>
      <c r="D1422" s="56" t="s">
        <v>11411</v>
      </c>
      <c r="E1422" s="10" t="s">
        <v>71</v>
      </c>
      <c r="F1422" s="10" t="s">
        <v>4022</v>
      </c>
      <c r="G1422" s="10" t="s">
        <v>1159</v>
      </c>
      <c r="H1422" s="10" t="s">
        <v>411</v>
      </c>
      <c r="I1422" s="10" t="s">
        <v>55</v>
      </c>
      <c r="J1422" s="64"/>
      <c r="K1422" s="10" t="s">
        <v>11412</v>
      </c>
      <c r="L1422" s="10" t="s">
        <v>42</v>
      </c>
    </row>
    <row r="1423" ht="15.75" customHeight="1">
      <c r="A1423" s="64">
        <v>45476.0</v>
      </c>
      <c r="B1423" s="55" t="str">
        <f>HYPERLINK("https://jobright.ai/jobs/info/6685d3517596db7e6ee505f3?utm_campaign=1052&amp;utm_source=sheet", "Apply")</f>
        <v>Apply</v>
      </c>
      <c r="C1423" s="10" t="s">
        <v>11413</v>
      </c>
      <c r="D1423" s="56" t="s">
        <v>11361</v>
      </c>
      <c r="E1423" s="10" t="s">
        <v>65</v>
      </c>
      <c r="F1423" s="10" t="s">
        <v>11362</v>
      </c>
      <c r="G1423" s="10" t="s">
        <v>1159</v>
      </c>
      <c r="H1423" s="10" t="s">
        <v>411</v>
      </c>
      <c r="I1423" s="10" t="s">
        <v>55</v>
      </c>
      <c r="J1423" s="10" t="s">
        <v>1797</v>
      </c>
      <c r="K1423" s="10" t="s">
        <v>11414</v>
      </c>
      <c r="L1423" s="10" t="s">
        <v>42</v>
      </c>
    </row>
    <row r="1424" ht="15.75" customHeight="1">
      <c r="A1424" s="64">
        <v>45476.0</v>
      </c>
      <c r="B1424" s="55" t="str">
        <f>HYPERLINK("https://jobright.ai/jobs/info/6685b03b281ecddae5d3060d?utm_campaign=1052&amp;utm_source=sheet", "Apply")</f>
        <v>Apply</v>
      </c>
      <c r="C1424" s="10" t="s">
        <v>11415</v>
      </c>
      <c r="D1424" s="56" t="s">
        <v>11416</v>
      </c>
      <c r="E1424" s="10" t="s">
        <v>137</v>
      </c>
      <c r="F1424" s="10" t="s">
        <v>11417</v>
      </c>
      <c r="G1424" s="10" t="s">
        <v>9414</v>
      </c>
      <c r="H1424" s="10" t="s">
        <v>131</v>
      </c>
      <c r="I1424" s="10" t="s">
        <v>55</v>
      </c>
      <c r="J1424" s="64"/>
      <c r="K1424" s="10" t="s">
        <v>11418</v>
      </c>
      <c r="L1424" s="10" t="s">
        <v>42</v>
      </c>
    </row>
    <row r="1425" ht="15.75" customHeight="1">
      <c r="A1425" s="64">
        <v>45476.0</v>
      </c>
      <c r="B1425" s="55" t="str">
        <f>HYPERLINK("https://jobright.ai/jobs/info/6670c2ada524d10c2c75e528?utm_campaign=1052&amp;utm_source=sheet", "Apply")</f>
        <v>Apply</v>
      </c>
      <c r="C1425" s="10" t="s">
        <v>11419</v>
      </c>
      <c r="D1425" s="56" t="s">
        <v>11420</v>
      </c>
      <c r="E1425" s="10" t="s">
        <v>45</v>
      </c>
      <c r="F1425" s="10" t="s">
        <v>11421</v>
      </c>
      <c r="G1425" s="10" t="s">
        <v>9414</v>
      </c>
      <c r="H1425" s="10" t="s">
        <v>1260</v>
      </c>
      <c r="I1425" s="10" t="s">
        <v>48</v>
      </c>
      <c r="J1425" s="64"/>
      <c r="K1425" s="10" t="s">
        <v>11422</v>
      </c>
      <c r="L1425" s="10" t="s">
        <v>42</v>
      </c>
    </row>
    <row r="1426" ht="15.75" customHeight="1">
      <c r="A1426" s="64">
        <v>45476.0</v>
      </c>
      <c r="B1426" s="55" t="str">
        <f>HYPERLINK("https://jobright.ai/jobs/info/668637e9fa8b0a7fe3954873?utm_campaign=1052&amp;utm_source=sheet", "Apply")</f>
        <v>Apply</v>
      </c>
      <c r="C1426" s="10" t="s">
        <v>11423</v>
      </c>
      <c r="D1426" s="56" t="s">
        <v>1414</v>
      </c>
      <c r="E1426" s="10" t="s">
        <v>45</v>
      </c>
      <c r="F1426" s="10" t="s">
        <v>1415</v>
      </c>
      <c r="G1426" s="10" t="s">
        <v>1159</v>
      </c>
      <c r="H1426" s="10" t="s">
        <v>11424</v>
      </c>
      <c r="I1426" s="10" t="s">
        <v>55</v>
      </c>
      <c r="J1426" s="10" t="s">
        <v>6003</v>
      </c>
      <c r="K1426" s="10" t="s">
        <v>11425</v>
      </c>
      <c r="L1426" s="10" t="s">
        <v>42</v>
      </c>
    </row>
    <row r="1427" ht="15.75" customHeight="1">
      <c r="A1427" s="64">
        <v>45476.0</v>
      </c>
      <c r="B1427" s="55" t="str">
        <f>HYPERLINK("https://jobright.ai/jobs/info/6687a6f9982dd02798a25a2c?utm_campaign=1052&amp;utm_source=sheet", "Apply")</f>
        <v>Apply</v>
      </c>
      <c r="C1427" s="10" t="s">
        <v>11381</v>
      </c>
      <c r="D1427" s="56" t="s">
        <v>10030</v>
      </c>
      <c r="E1427" s="10">
        <v>25.0</v>
      </c>
      <c r="G1427" s="10" t="s">
        <v>9419</v>
      </c>
      <c r="H1427" s="10" t="s">
        <v>794</v>
      </c>
      <c r="I1427" s="10" t="s">
        <v>55</v>
      </c>
      <c r="J1427" s="64"/>
      <c r="K1427" s="10" t="s">
        <v>10531</v>
      </c>
      <c r="L1427" s="10" t="s">
        <v>42</v>
      </c>
    </row>
    <row r="1428" ht="15.75" customHeight="1">
      <c r="A1428" s="64">
        <v>45476.0</v>
      </c>
      <c r="B1428" s="55" t="str">
        <f>HYPERLINK("https://jobright.ai/jobs/info/668c9d65fb45ee61e95276d7?utm_campaign=1052&amp;utm_source=sheet", "Apply")</f>
        <v>Apply</v>
      </c>
      <c r="C1428" s="10" t="s">
        <v>11426</v>
      </c>
      <c r="D1428" s="56" t="s">
        <v>11427</v>
      </c>
      <c r="E1428" s="10" t="s">
        <v>79</v>
      </c>
      <c r="F1428" s="10" t="s">
        <v>1815</v>
      </c>
      <c r="G1428" s="10" t="s">
        <v>9414</v>
      </c>
      <c r="H1428" s="10" t="s">
        <v>47</v>
      </c>
      <c r="I1428" s="10" t="s">
        <v>55</v>
      </c>
      <c r="K1428" s="10" t="s">
        <v>11428</v>
      </c>
      <c r="L1428" s="10" t="s">
        <v>42</v>
      </c>
    </row>
    <row r="1429" ht="15.75" customHeight="1">
      <c r="A1429" s="64">
        <v>45476.0</v>
      </c>
      <c r="B1429" s="55" t="str">
        <f>HYPERLINK("https://jobright.ai/jobs/info/6684d7a5613b832fe6991a19?utm_campaign=1052&amp;utm_source=sheet", "Apply")</f>
        <v>Apply</v>
      </c>
      <c r="C1429" s="10" t="s">
        <v>11396</v>
      </c>
      <c r="D1429" s="56" t="s">
        <v>9550</v>
      </c>
      <c r="E1429" s="10" t="s">
        <v>249</v>
      </c>
      <c r="F1429" s="10" t="s">
        <v>722</v>
      </c>
      <c r="G1429" s="10" t="s">
        <v>1159</v>
      </c>
      <c r="H1429" s="10" t="s">
        <v>144</v>
      </c>
      <c r="I1429" s="10" t="s">
        <v>55</v>
      </c>
      <c r="J1429" s="10" t="s">
        <v>4649</v>
      </c>
      <c r="K1429" s="10" t="s">
        <v>10355</v>
      </c>
      <c r="L1429" s="10" t="s">
        <v>42</v>
      </c>
    </row>
    <row r="1430" ht="15.75" customHeight="1">
      <c r="A1430" s="64">
        <v>45476.0</v>
      </c>
      <c r="B1430" s="55" t="str">
        <f>HYPERLINK("https://jobright.ai/jobs/info/662943f08794757f8fa41cb5?utm_campaign=1052&amp;utm_source=sheet", "Apply")</f>
        <v>Apply</v>
      </c>
      <c r="C1430" s="10" t="s">
        <v>11429</v>
      </c>
      <c r="D1430" s="56" t="s">
        <v>11430</v>
      </c>
      <c r="E1430" s="10" t="s">
        <v>137</v>
      </c>
      <c r="F1430" s="10" t="s">
        <v>3382</v>
      </c>
      <c r="G1430" s="10" t="s">
        <v>9419</v>
      </c>
      <c r="H1430" s="10" t="s">
        <v>10437</v>
      </c>
      <c r="I1430" s="10" t="s">
        <v>55</v>
      </c>
      <c r="J1430" s="64"/>
      <c r="K1430" s="10" t="s">
        <v>11431</v>
      </c>
      <c r="L1430" s="10" t="s">
        <v>42</v>
      </c>
    </row>
    <row r="1431" ht="15.75" customHeight="1">
      <c r="A1431" s="64">
        <v>45476.0</v>
      </c>
      <c r="B1431" s="55" t="str">
        <f>HYPERLINK("https://jobright.ai/jobs/info/6620272ec66b10320ab47720?utm_campaign=1052&amp;utm_source=sheet", "Apply")</f>
        <v>Apply</v>
      </c>
      <c r="C1431" s="10" t="s">
        <v>9517</v>
      </c>
      <c r="D1431" s="56" t="s">
        <v>11432</v>
      </c>
      <c r="E1431" s="10" t="s">
        <v>276</v>
      </c>
      <c r="F1431" s="10" t="s">
        <v>1281</v>
      </c>
      <c r="G1431" s="10" t="s">
        <v>1159</v>
      </c>
      <c r="H1431" s="10" t="s">
        <v>3847</v>
      </c>
      <c r="I1431" s="10" t="s">
        <v>55</v>
      </c>
      <c r="J1431" s="10" t="s">
        <v>521</v>
      </c>
      <c r="K1431" s="10" t="s">
        <v>11433</v>
      </c>
      <c r="L1431" s="10" t="s">
        <v>42</v>
      </c>
    </row>
    <row r="1432" ht="15.75" customHeight="1">
      <c r="A1432" s="64">
        <v>45476.0</v>
      </c>
      <c r="B1432" s="55" t="str">
        <f>HYPERLINK("https://jobright.ai/jobs/info/6684ae08c9f4c1037d7023c8?utm_campaign=1052&amp;utm_source=sheet", "Apply")</f>
        <v>Apply</v>
      </c>
      <c r="C1432" s="10" t="s">
        <v>9611</v>
      </c>
      <c r="D1432" s="56" t="s">
        <v>9412</v>
      </c>
      <c r="E1432" s="10" t="s">
        <v>249</v>
      </c>
      <c r="F1432" s="10" t="s">
        <v>9413</v>
      </c>
      <c r="G1432" s="10" t="s">
        <v>9419</v>
      </c>
      <c r="H1432" s="10" t="s">
        <v>3482</v>
      </c>
      <c r="I1432" s="10" t="s">
        <v>55</v>
      </c>
      <c r="J1432" s="64"/>
      <c r="K1432" s="10" t="s">
        <v>11434</v>
      </c>
      <c r="L1432" s="10" t="s">
        <v>42</v>
      </c>
    </row>
    <row r="1433" ht="15.75" customHeight="1">
      <c r="A1433" s="64">
        <v>45476.0</v>
      </c>
      <c r="B1433" s="55" t="str">
        <f>HYPERLINK("https://jobright.ai/jobs/info/6684ae08c9f4c1037d7023fa?utm_campaign=1052&amp;utm_source=sheet", "Apply")</f>
        <v>Apply</v>
      </c>
      <c r="C1433" s="10" t="s">
        <v>9611</v>
      </c>
      <c r="D1433" s="56" t="s">
        <v>9412</v>
      </c>
      <c r="E1433" s="10" t="s">
        <v>249</v>
      </c>
      <c r="F1433" s="10" t="s">
        <v>9413</v>
      </c>
      <c r="G1433" s="10" t="s">
        <v>9419</v>
      </c>
      <c r="H1433" s="10" t="s">
        <v>9415</v>
      </c>
      <c r="I1433" s="10" t="s">
        <v>48</v>
      </c>
      <c r="K1433" s="10" t="s">
        <v>11434</v>
      </c>
      <c r="L1433" s="10" t="s">
        <v>42</v>
      </c>
    </row>
    <row r="1434" ht="15.75" customHeight="1">
      <c r="A1434" s="64">
        <v>45476.0</v>
      </c>
      <c r="B1434" s="55" t="str">
        <f>HYPERLINK("https://jobright.ai/jobs/info/662b18ab239fe42c8b2e4d81?utm_campaign=1052&amp;utm_source=sheet", "Apply")</f>
        <v>Apply</v>
      </c>
      <c r="C1434" s="10" t="s">
        <v>9517</v>
      </c>
      <c r="D1434" s="56" t="s">
        <v>11432</v>
      </c>
      <c r="E1434" s="10" t="s">
        <v>276</v>
      </c>
      <c r="F1434" s="10" t="s">
        <v>1281</v>
      </c>
      <c r="G1434" s="10" t="s">
        <v>1159</v>
      </c>
      <c r="H1434" s="10" t="s">
        <v>763</v>
      </c>
      <c r="I1434" s="10" t="s">
        <v>55</v>
      </c>
      <c r="J1434" s="10" t="s">
        <v>521</v>
      </c>
      <c r="K1434" s="10" t="s">
        <v>11435</v>
      </c>
      <c r="L1434" s="10" t="s">
        <v>42</v>
      </c>
    </row>
    <row r="1435" ht="15.75" customHeight="1">
      <c r="A1435" s="64">
        <v>45476.0</v>
      </c>
      <c r="B1435" s="55" t="str">
        <f>HYPERLINK("https://jobright.ai/jobs/info/662b18ab239fe42c8b2e4d80?utm_campaign=1052&amp;utm_source=sheet", "Apply")</f>
        <v>Apply</v>
      </c>
      <c r="C1435" s="10" t="s">
        <v>9517</v>
      </c>
      <c r="D1435" s="56" t="s">
        <v>11432</v>
      </c>
      <c r="E1435" s="10" t="s">
        <v>276</v>
      </c>
      <c r="F1435" s="10" t="s">
        <v>1281</v>
      </c>
      <c r="G1435" s="10" t="s">
        <v>1159</v>
      </c>
      <c r="H1435" s="10" t="s">
        <v>868</v>
      </c>
      <c r="I1435" s="10" t="s">
        <v>55</v>
      </c>
      <c r="J1435" s="10" t="s">
        <v>521</v>
      </c>
      <c r="K1435" s="10" t="s">
        <v>11435</v>
      </c>
      <c r="L1435" s="10" t="s">
        <v>42</v>
      </c>
    </row>
    <row r="1436" ht="15.75" customHeight="1">
      <c r="A1436" s="64">
        <v>45476.0</v>
      </c>
      <c r="B1436" s="55" t="str">
        <f>HYPERLINK("https://jobright.ai/jobs/info/6620272ec66b10320ab4771b?utm_campaign=1052&amp;utm_source=sheet", "Apply")</f>
        <v>Apply</v>
      </c>
      <c r="C1436" s="10" t="s">
        <v>9517</v>
      </c>
      <c r="D1436" s="56" t="s">
        <v>11432</v>
      </c>
      <c r="E1436" s="10" t="s">
        <v>276</v>
      </c>
      <c r="F1436" s="10" t="s">
        <v>1281</v>
      </c>
      <c r="G1436" s="10" t="s">
        <v>1159</v>
      </c>
      <c r="H1436" s="10" t="s">
        <v>146</v>
      </c>
      <c r="I1436" s="10" t="s">
        <v>55</v>
      </c>
      <c r="J1436" s="10" t="s">
        <v>521</v>
      </c>
      <c r="K1436" s="10" t="s">
        <v>11433</v>
      </c>
      <c r="L1436" s="10" t="s">
        <v>42</v>
      </c>
    </row>
    <row r="1437" ht="15.75" customHeight="1">
      <c r="A1437" s="64">
        <v>45476.0</v>
      </c>
      <c r="B1437" s="55" t="str">
        <f>HYPERLINK("https://jobright.ai/jobs/info/662b18ab239fe42c8b2e4d84?utm_campaign=1052&amp;utm_source=sheet", "Apply")</f>
        <v>Apply</v>
      </c>
      <c r="C1437" s="10" t="s">
        <v>9517</v>
      </c>
      <c r="D1437" s="56" t="s">
        <v>11432</v>
      </c>
      <c r="E1437" s="10" t="s">
        <v>276</v>
      </c>
      <c r="F1437" s="10" t="s">
        <v>1281</v>
      </c>
      <c r="G1437" s="10" t="s">
        <v>1159</v>
      </c>
      <c r="H1437" s="10" t="s">
        <v>11436</v>
      </c>
      <c r="I1437" s="10" t="s">
        <v>55</v>
      </c>
      <c r="J1437" s="10" t="s">
        <v>521</v>
      </c>
      <c r="K1437" s="10" t="s">
        <v>11435</v>
      </c>
      <c r="L1437" s="10" t="s">
        <v>42</v>
      </c>
    </row>
    <row r="1438" ht="15.75" customHeight="1">
      <c r="A1438" s="64">
        <v>45476.0</v>
      </c>
      <c r="B1438" s="55" t="str">
        <f>HYPERLINK("https://jobright.ai/jobs/info/66859c0004d7e7f0936fd5a0?utm_campaign=1052&amp;utm_source=sheet", "Apply")</f>
        <v>Apply</v>
      </c>
      <c r="C1438" s="10" t="s">
        <v>11408</v>
      </c>
      <c r="D1438" s="56" t="s">
        <v>1636</v>
      </c>
      <c r="E1438" s="10">
        <v>6029.0</v>
      </c>
      <c r="G1438" s="10" t="s">
        <v>9414</v>
      </c>
      <c r="H1438" s="10" t="s">
        <v>11437</v>
      </c>
      <c r="I1438" s="10" t="s">
        <v>55</v>
      </c>
      <c r="J1438" s="10" t="s">
        <v>11409</v>
      </c>
      <c r="K1438" s="10" t="s">
        <v>11410</v>
      </c>
      <c r="L1438" s="10" t="s">
        <v>42</v>
      </c>
    </row>
    <row r="1439" ht="15.75" customHeight="1">
      <c r="A1439" s="64">
        <v>45475.0</v>
      </c>
      <c r="B1439" s="55" t="str">
        <f>HYPERLINK("https://jobright.ai/jobs/info/6684a7a3c6303b9ad44e49c2?utm_campaign=1052&amp;utm_source=sheet", "Apply")</f>
        <v>Apply</v>
      </c>
      <c r="C1439" s="10" t="s">
        <v>9611</v>
      </c>
      <c r="D1439" s="56" t="s">
        <v>9412</v>
      </c>
      <c r="E1439" s="10" t="s">
        <v>249</v>
      </c>
      <c r="F1439" s="10" t="s">
        <v>9413</v>
      </c>
      <c r="G1439" s="10" t="s">
        <v>9419</v>
      </c>
      <c r="H1439" s="10" t="s">
        <v>11438</v>
      </c>
      <c r="I1439" s="10" t="s">
        <v>55</v>
      </c>
      <c r="J1439" s="64"/>
      <c r="K1439" s="10" t="s">
        <v>11434</v>
      </c>
      <c r="L1439" s="10" t="s">
        <v>42</v>
      </c>
    </row>
    <row r="1440" ht="15.75" customHeight="1">
      <c r="A1440" s="64">
        <v>45475.0</v>
      </c>
      <c r="B1440" s="55" t="str">
        <f>HYPERLINK("https://jobright.ai/jobs/info/6684a7a3c6303b9ad44e49ca?utm_campaign=1052&amp;utm_source=sheet", "Apply")</f>
        <v>Apply</v>
      </c>
      <c r="C1440" s="10" t="s">
        <v>9611</v>
      </c>
      <c r="D1440" s="56" t="s">
        <v>9412</v>
      </c>
      <c r="E1440" s="10" t="s">
        <v>249</v>
      </c>
      <c r="F1440" s="10" t="s">
        <v>9413</v>
      </c>
      <c r="G1440" s="10" t="s">
        <v>9419</v>
      </c>
      <c r="H1440" s="10" t="s">
        <v>11439</v>
      </c>
      <c r="I1440" s="10" t="s">
        <v>55</v>
      </c>
      <c r="J1440" s="64"/>
      <c r="K1440" s="10" t="s">
        <v>11434</v>
      </c>
      <c r="L1440" s="10" t="s">
        <v>42</v>
      </c>
    </row>
    <row r="1441" ht="15.75" customHeight="1">
      <c r="A1441" s="64">
        <v>45475.0</v>
      </c>
      <c r="B1441" s="55" t="str">
        <f>HYPERLINK("https://jobright.ai/jobs/info/6684a7a3c6303b9ad44e49c8?utm_campaign=1052&amp;utm_source=sheet", "Apply")</f>
        <v>Apply</v>
      </c>
      <c r="C1441" s="10" t="s">
        <v>9611</v>
      </c>
      <c r="D1441" s="56" t="s">
        <v>9412</v>
      </c>
      <c r="E1441" s="10" t="s">
        <v>249</v>
      </c>
      <c r="F1441" s="10" t="s">
        <v>9413</v>
      </c>
      <c r="G1441" s="10" t="s">
        <v>9419</v>
      </c>
      <c r="H1441" s="10" t="s">
        <v>2618</v>
      </c>
      <c r="I1441" s="10" t="s">
        <v>55</v>
      </c>
      <c r="J1441" s="64"/>
      <c r="K1441" s="10" t="s">
        <v>11434</v>
      </c>
      <c r="L1441" s="10" t="s">
        <v>42</v>
      </c>
    </row>
    <row r="1442" ht="15.75" customHeight="1">
      <c r="A1442" s="64">
        <v>45475.0</v>
      </c>
      <c r="B1442" s="55" t="str">
        <f>HYPERLINK("https://jobright.ai/jobs/info/6684b6e40ae5ba7c12786d23?utm_campaign=1052&amp;utm_source=sheet", "Apply")</f>
        <v>Apply</v>
      </c>
      <c r="C1442" s="10" t="s">
        <v>9611</v>
      </c>
      <c r="D1442" s="56" t="s">
        <v>9412</v>
      </c>
      <c r="E1442" s="10" t="s">
        <v>249</v>
      </c>
      <c r="F1442" s="10" t="s">
        <v>9413</v>
      </c>
      <c r="G1442" s="10" t="s">
        <v>9419</v>
      </c>
      <c r="H1442" s="10" t="s">
        <v>11440</v>
      </c>
      <c r="I1442" s="10" t="s">
        <v>55</v>
      </c>
      <c r="J1442" s="64"/>
      <c r="K1442" s="10" t="s">
        <v>11434</v>
      </c>
      <c r="L1442" s="10" t="s">
        <v>42</v>
      </c>
    </row>
    <row r="1443" ht="15.75" customHeight="1">
      <c r="A1443" s="64">
        <v>45475.0</v>
      </c>
      <c r="B1443" s="55" t="str">
        <f>HYPERLINK("https://jobright.ai/jobs/info/6684b6e40ae5ba7c12786d02?utm_campaign=1052&amp;utm_source=sheet", "Apply")</f>
        <v>Apply</v>
      </c>
      <c r="C1443" s="10" t="s">
        <v>9611</v>
      </c>
      <c r="D1443" s="56" t="s">
        <v>9412</v>
      </c>
      <c r="E1443" s="10" t="s">
        <v>249</v>
      </c>
      <c r="F1443" s="10" t="s">
        <v>9413</v>
      </c>
      <c r="G1443" s="10" t="s">
        <v>9419</v>
      </c>
      <c r="H1443" s="10" t="s">
        <v>11441</v>
      </c>
      <c r="I1443" s="10" t="s">
        <v>55</v>
      </c>
      <c r="J1443" s="64"/>
      <c r="K1443" s="10" t="s">
        <v>11434</v>
      </c>
      <c r="L1443" s="10" t="s">
        <v>42</v>
      </c>
    </row>
    <row r="1444" ht="15.75" customHeight="1">
      <c r="A1444" s="64">
        <v>45475.0</v>
      </c>
      <c r="B1444" s="55" t="str">
        <f>HYPERLINK("https://jobright.ai/jobs/info/6684b6e40ae5ba7c12786cb1?utm_campaign=1052&amp;utm_source=sheet", "Apply")</f>
        <v>Apply</v>
      </c>
      <c r="C1444" s="10" t="s">
        <v>9611</v>
      </c>
      <c r="D1444" s="56" t="s">
        <v>9412</v>
      </c>
      <c r="E1444" s="10" t="s">
        <v>249</v>
      </c>
      <c r="F1444" s="10" t="s">
        <v>9413</v>
      </c>
      <c r="G1444" s="10" t="s">
        <v>9419</v>
      </c>
      <c r="H1444" s="10" t="s">
        <v>11442</v>
      </c>
      <c r="I1444" s="10" t="s">
        <v>55</v>
      </c>
      <c r="J1444" s="64"/>
      <c r="K1444" s="10" t="s">
        <v>11434</v>
      </c>
      <c r="L1444" s="10" t="s">
        <v>42</v>
      </c>
    </row>
    <row r="1445" ht="15.75" customHeight="1">
      <c r="A1445" s="64">
        <v>45475.0</v>
      </c>
      <c r="B1445" s="55" t="str">
        <f>HYPERLINK("https://jobright.ai/jobs/info/6684b6e40ae5ba7c12786cb5?utm_campaign=1052&amp;utm_source=sheet", "Apply")</f>
        <v>Apply</v>
      </c>
      <c r="C1445" s="10" t="s">
        <v>9611</v>
      </c>
      <c r="D1445" s="56" t="s">
        <v>9412</v>
      </c>
      <c r="E1445" s="10" t="s">
        <v>249</v>
      </c>
      <c r="F1445" s="10" t="s">
        <v>9413</v>
      </c>
      <c r="G1445" s="10" t="s">
        <v>9419</v>
      </c>
      <c r="H1445" s="10" t="s">
        <v>3150</v>
      </c>
      <c r="I1445" s="10" t="s">
        <v>55</v>
      </c>
      <c r="J1445" s="64"/>
      <c r="K1445" s="10" t="s">
        <v>11434</v>
      </c>
      <c r="L1445" s="10" t="s">
        <v>42</v>
      </c>
    </row>
    <row r="1446" ht="15.75" customHeight="1">
      <c r="A1446" s="64">
        <v>45475.0</v>
      </c>
      <c r="B1446" s="55" t="str">
        <f>HYPERLINK("https://jobright.ai/jobs/info/6684b6e40ae5ba7c12786cb2?utm_campaign=1052&amp;utm_source=sheet", "Apply")</f>
        <v>Apply</v>
      </c>
      <c r="C1446" s="10" t="s">
        <v>9611</v>
      </c>
      <c r="D1446" s="56" t="s">
        <v>9412</v>
      </c>
      <c r="E1446" s="10" t="s">
        <v>249</v>
      </c>
      <c r="F1446" s="10" t="s">
        <v>9413</v>
      </c>
      <c r="G1446" s="10" t="s">
        <v>9419</v>
      </c>
      <c r="H1446" s="10" t="s">
        <v>963</v>
      </c>
      <c r="I1446" s="10" t="s">
        <v>55</v>
      </c>
      <c r="J1446" s="64"/>
      <c r="K1446" s="10" t="s">
        <v>11434</v>
      </c>
      <c r="L1446" s="10" t="s">
        <v>42</v>
      </c>
    </row>
    <row r="1447" ht="15.75" customHeight="1">
      <c r="A1447" s="64">
        <v>45475.0</v>
      </c>
      <c r="B1447" s="55" t="str">
        <f>HYPERLINK("https://jobright.ai/jobs/info/662026edc66b10320ab470c5?utm_campaign=1052&amp;utm_source=sheet", "Apply")</f>
        <v>Apply</v>
      </c>
      <c r="C1447" s="10" t="s">
        <v>9517</v>
      </c>
      <c r="D1447" s="56" t="s">
        <v>11432</v>
      </c>
      <c r="E1447" s="10" t="s">
        <v>276</v>
      </c>
      <c r="F1447" s="10" t="s">
        <v>1281</v>
      </c>
      <c r="G1447" s="10" t="s">
        <v>1159</v>
      </c>
      <c r="H1447" s="10" t="s">
        <v>1004</v>
      </c>
      <c r="I1447" s="10" t="s">
        <v>55</v>
      </c>
      <c r="J1447" s="10" t="s">
        <v>521</v>
      </c>
      <c r="K1447" s="10" t="s">
        <v>11433</v>
      </c>
      <c r="L1447" s="10" t="s">
        <v>42</v>
      </c>
    </row>
    <row r="1448" ht="15.75" customHeight="1">
      <c r="A1448" s="64">
        <v>45475.0</v>
      </c>
      <c r="B1448" s="55" t="str">
        <f>HYPERLINK("https://jobright.ai/jobs/info/6684b6e40ae5ba7c12786ccd?utm_campaign=1052&amp;utm_source=sheet", "Apply")</f>
        <v>Apply</v>
      </c>
      <c r="C1448" s="10" t="s">
        <v>9611</v>
      </c>
      <c r="D1448" s="56" t="s">
        <v>9412</v>
      </c>
      <c r="E1448" s="10" t="s">
        <v>249</v>
      </c>
      <c r="F1448" s="10" t="s">
        <v>9413</v>
      </c>
      <c r="G1448" s="10" t="s">
        <v>9419</v>
      </c>
      <c r="H1448" s="10" t="s">
        <v>2623</v>
      </c>
      <c r="I1448" s="10" t="s">
        <v>55</v>
      </c>
      <c r="K1448" s="10" t="s">
        <v>11434</v>
      </c>
      <c r="L1448" s="10" t="s">
        <v>42</v>
      </c>
    </row>
    <row r="1449" ht="15.75" customHeight="1">
      <c r="A1449" s="64">
        <v>45475.0</v>
      </c>
      <c r="B1449" s="55" t="str">
        <f>HYPERLINK("https://jobright.ai/jobs/info/6684b6e40ae5ba7c12786ce0?utm_campaign=1052&amp;utm_source=sheet", "Apply")</f>
        <v>Apply</v>
      </c>
      <c r="C1449" s="10" t="s">
        <v>9611</v>
      </c>
      <c r="D1449" s="56" t="s">
        <v>9412</v>
      </c>
      <c r="E1449" s="10" t="s">
        <v>249</v>
      </c>
      <c r="F1449" s="10" t="s">
        <v>9413</v>
      </c>
      <c r="G1449" s="10" t="s">
        <v>9419</v>
      </c>
      <c r="H1449" s="10" t="s">
        <v>10516</v>
      </c>
      <c r="I1449" s="10" t="s">
        <v>55</v>
      </c>
      <c r="J1449" s="64"/>
      <c r="K1449" s="10" t="s">
        <v>11434</v>
      </c>
      <c r="L1449" s="10" t="s">
        <v>42</v>
      </c>
    </row>
    <row r="1450" ht="15.75" customHeight="1">
      <c r="A1450" s="64">
        <v>45475.0</v>
      </c>
      <c r="B1450" s="55" t="str">
        <f>HYPERLINK("https://jobright.ai/jobs/info/6684b6e40ae5ba7c12786cf9?utm_campaign=1052&amp;utm_source=sheet", "Apply")</f>
        <v>Apply</v>
      </c>
      <c r="C1450" s="10" t="s">
        <v>9611</v>
      </c>
      <c r="D1450" s="56" t="s">
        <v>9412</v>
      </c>
      <c r="E1450" s="10" t="s">
        <v>249</v>
      </c>
      <c r="F1450" s="10" t="s">
        <v>9413</v>
      </c>
      <c r="G1450" s="10" t="s">
        <v>9419</v>
      </c>
      <c r="H1450" s="10" t="s">
        <v>11443</v>
      </c>
      <c r="I1450" s="10" t="s">
        <v>55</v>
      </c>
      <c r="J1450" s="64"/>
      <c r="K1450" s="10" t="s">
        <v>11434</v>
      </c>
      <c r="L1450" s="10" t="s">
        <v>42</v>
      </c>
    </row>
    <row r="1451" ht="15.75" customHeight="1">
      <c r="A1451" s="64">
        <v>45475.0</v>
      </c>
      <c r="B1451" s="55" t="str">
        <f>HYPERLINK("https://jobright.ai/jobs/info/6684b6e40ae5ba7c12786ce6?utm_campaign=1052&amp;utm_source=sheet", "Apply")</f>
        <v>Apply</v>
      </c>
      <c r="C1451" s="10" t="s">
        <v>9611</v>
      </c>
      <c r="D1451" s="56" t="s">
        <v>9412</v>
      </c>
      <c r="E1451" s="10" t="s">
        <v>249</v>
      </c>
      <c r="F1451" s="10" t="s">
        <v>9413</v>
      </c>
      <c r="G1451" s="10" t="s">
        <v>9419</v>
      </c>
      <c r="H1451" s="10" t="s">
        <v>9732</v>
      </c>
      <c r="I1451" s="10" t="s">
        <v>55</v>
      </c>
      <c r="K1451" s="10" t="s">
        <v>11434</v>
      </c>
      <c r="L1451" s="10" t="s">
        <v>42</v>
      </c>
    </row>
    <row r="1452" ht="15.75" customHeight="1">
      <c r="A1452" s="64">
        <v>45475.0</v>
      </c>
      <c r="B1452" s="55" t="str">
        <f>HYPERLINK("https://jobright.ai/jobs/info/6684b6ed0ae5ba7c12786d99?utm_campaign=1052&amp;utm_source=sheet", "Apply")</f>
        <v>Apply</v>
      </c>
      <c r="C1452" s="10" t="s">
        <v>9611</v>
      </c>
      <c r="D1452" s="56" t="s">
        <v>9412</v>
      </c>
      <c r="E1452" s="10" t="s">
        <v>249</v>
      </c>
      <c r="F1452" s="10" t="s">
        <v>9413</v>
      </c>
      <c r="G1452" s="10" t="s">
        <v>9419</v>
      </c>
      <c r="H1452" s="10" t="s">
        <v>4402</v>
      </c>
      <c r="I1452" s="10" t="s">
        <v>55</v>
      </c>
      <c r="J1452" s="64"/>
      <c r="K1452" s="10" t="s">
        <v>11434</v>
      </c>
      <c r="L1452" s="10" t="s">
        <v>42</v>
      </c>
    </row>
    <row r="1453" ht="15.75" customHeight="1">
      <c r="A1453" s="64">
        <v>45475.0</v>
      </c>
      <c r="B1453" s="55" t="str">
        <f>HYPERLINK("https://jobright.ai/jobs/info/6684b6e40ae5ba7c12786d2b?utm_campaign=1052&amp;utm_source=sheet", "Apply")</f>
        <v>Apply</v>
      </c>
      <c r="C1453" s="10" t="s">
        <v>9611</v>
      </c>
      <c r="D1453" s="56" t="s">
        <v>9412</v>
      </c>
      <c r="E1453" s="10" t="s">
        <v>249</v>
      </c>
      <c r="F1453" s="10" t="s">
        <v>9413</v>
      </c>
      <c r="G1453" s="10" t="s">
        <v>9419</v>
      </c>
      <c r="H1453" s="10" t="s">
        <v>361</v>
      </c>
      <c r="I1453" s="10" t="s">
        <v>55</v>
      </c>
      <c r="K1453" s="10" t="s">
        <v>11434</v>
      </c>
      <c r="L1453" s="10" t="s">
        <v>42</v>
      </c>
    </row>
    <row r="1454" ht="15.75" customHeight="1">
      <c r="A1454" s="64">
        <v>45475.0</v>
      </c>
      <c r="B1454" s="55" t="str">
        <f>HYPERLINK("https://jobright.ai/jobs/info/6684a27c593e5fdf1309c572?utm_campaign=1052&amp;utm_source=sheet", "Apply")</f>
        <v>Apply</v>
      </c>
      <c r="C1454" s="10" t="s">
        <v>9611</v>
      </c>
      <c r="D1454" s="56" t="s">
        <v>9412</v>
      </c>
      <c r="E1454" s="10" t="s">
        <v>249</v>
      </c>
      <c r="F1454" s="10" t="s">
        <v>9413</v>
      </c>
      <c r="G1454" s="10" t="s">
        <v>9419</v>
      </c>
      <c r="H1454" s="10" t="s">
        <v>11444</v>
      </c>
      <c r="I1454" s="10" t="s">
        <v>55</v>
      </c>
      <c r="J1454" s="64"/>
      <c r="K1454" s="10" t="s">
        <v>11434</v>
      </c>
      <c r="L1454" s="10" t="s">
        <v>42</v>
      </c>
    </row>
    <row r="1455" ht="15.75" customHeight="1">
      <c r="A1455" s="64">
        <v>45475.0</v>
      </c>
      <c r="B1455" s="55" t="str">
        <f>HYPERLINK("https://jobright.ai/jobs/info/6684a27c593e5fdf1309c576?utm_campaign=1052&amp;utm_source=sheet", "Apply")</f>
        <v>Apply</v>
      </c>
      <c r="C1455" s="10" t="s">
        <v>9611</v>
      </c>
      <c r="D1455" s="56" t="s">
        <v>9412</v>
      </c>
      <c r="E1455" s="10" t="s">
        <v>249</v>
      </c>
      <c r="F1455" s="10" t="s">
        <v>9413</v>
      </c>
      <c r="G1455" s="10" t="s">
        <v>9419</v>
      </c>
      <c r="H1455" s="10" t="s">
        <v>11445</v>
      </c>
      <c r="I1455" s="10" t="s">
        <v>55</v>
      </c>
      <c r="J1455" s="64"/>
      <c r="K1455" s="10" t="s">
        <v>11434</v>
      </c>
      <c r="L1455" s="10" t="s">
        <v>42</v>
      </c>
    </row>
    <row r="1456" ht="15.75" customHeight="1">
      <c r="A1456" s="64">
        <v>45475.0</v>
      </c>
      <c r="B1456" s="55" t="str">
        <f>HYPERLINK("https://jobright.ai/jobs/info/6684a27c593e5fdf1309c56d?utm_campaign=1052&amp;utm_source=sheet", "Apply")</f>
        <v>Apply</v>
      </c>
      <c r="C1456" s="10" t="s">
        <v>9611</v>
      </c>
      <c r="D1456" s="56" t="s">
        <v>9412</v>
      </c>
      <c r="E1456" s="10" t="s">
        <v>249</v>
      </c>
      <c r="F1456" s="10" t="s">
        <v>9413</v>
      </c>
      <c r="G1456" s="10" t="s">
        <v>9419</v>
      </c>
      <c r="H1456" s="10" t="s">
        <v>11446</v>
      </c>
      <c r="I1456" s="10" t="s">
        <v>55</v>
      </c>
      <c r="K1456" s="10" t="s">
        <v>11434</v>
      </c>
      <c r="L1456" s="10" t="s">
        <v>42</v>
      </c>
    </row>
    <row r="1457" ht="15.75" customHeight="1">
      <c r="A1457" s="64">
        <v>45475.0</v>
      </c>
      <c r="B1457" s="55" t="str">
        <f>HYPERLINK("https://jobright.ai/jobs/info/6684a27c593e5fdf1309c567?utm_campaign=1052&amp;utm_source=sheet", "Apply")</f>
        <v>Apply</v>
      </c>
      <c r="C1457" s="10" t="s">
        <v>9611</v>
      </c>
      <c r="D1457" s="56" t="s">
        <v>9412</v>
      </c>
      <c r="E1457" s="10" t="s">
        <v>249</v>
      </c>
      <c r="F1457" s="10" t="s">
        <v>9413</v>
      </c>
      <c r="G1457" s="10" t="s">
        <v>9419</v>
      </c>
      <c r="H1457" s="10" t="s">
        <v>1691</v>
      </c>
      <c r="I1457" s="10" t="s">
        <v>55</v>
      </c>
      <c r="K1457" s="10" t="s">
        <v>11434</v>
      </c>
      <c r="L1457" s="10" t="s">
        <v>42</v>
      </c>
    </row>
    <row r="1458" ht="15.75" customHeight="1">
      <c r="A1458" s="64">
        <v>45475.0</v>
      </c>
      <c r="B1458" s="55" t="str">
        <f>HYPERLINK("https://jobright.ai/jobs/info/66845d1d70c65f3f20cb2a56?utm_campaign=1052&amp;utm_source=sheet", "Apply")</f>
        <v>Apply</v>
      </c>
      <c r="C1458" s="10" t="s">
        <v>9411</v>
      </c>
      <c r="D1458" s="56" t="s">
        <v>9412</v>
      </c>
      <c r="E1458" s="10" t="s">
        <v>249</v>
      </c>
      <c r="F1458" s="10" t="s">
        <v>9413</v>
      </c>
      <c r="G1458" s="10" t="s">
        <v>9414</v>
      </c>
      <c r="H1458" s="10" t="s">
        <v>2618</v>
      </c>
      <c r="I1458" s="10" t="s">
        <v>55</v>
      </c>
      <c r="K1458" s="10" t="s">
        <v>9416</v>
      </c>
      <c r="L1458" s="10" t="s">
        <v>42</v>
      </c>
    </row>
    <row r="1459" ht="15.75" customHeight="1">
      <c r="A1459" s="64">
        <v>45475.0</v>
      </c>
      <c r="B1459" s="55" t="str">
        <f>HYPERLINK("https://jobright.ai/jobs/info/66845d1d70c65f3f20cb2a5c?utm_campaign=1052&amp;utm_source=sheet", "Apply")</f>
        <v>Apply</v>
      </c>
      <c r="C1459" s="10" t="s">
        <v>9411</v>
      </c>
      <c r="D1459" s="56" t="s">
        <v>9412</v>
      </c>
      <c r="E1459" s="10" t="s">
        <v>249</v>
      </c>
      <c r="F1459" s="10" t="s">
        <v>9413</v>
      </c>
      <c r="G1459" s="10" t="s">
        <v>9414</v>
      </c>
      <c r="H1459" s="10" t="s">
        <v>2623</v>
      </c>
      <c r="I1459" s="10" t="s">
        <v>55</v>
      </c>
      <c r="K1459" s="10" t="s">
        <v>9416</v>
      </c>
      <c r="L1459" s="10" t="s">
        <v>42</v>
      </c>
    </row>
    <row r="1460" ht="15.75" customHeight="1">
      <c r="A1460" s="64">
        <v>45475.0</v>
      </c>
      <c r="B1460" s="55" t="str">
        <f>HYPERLINK("https://jobright.ai/jobs/info/66845b0a4975b41d2fe606eb?utm_campaign=1052&amp;utm_source=sheet", "Apply")</f>
        <v>Apply</v>
      </c>
      <c r="C1460" s="10" t="s">
        <v>11447</v>
      </c>
      <c r="D1460" s="56" t="s">
        <v>11448</v>
      </c>
      <c r="E1460" s="10">
        <v>658.0</v>
      </c>
      <c r="G1460" s="10" t="s">
        <v>9414</v>
      </c>
      <c r="H1460" s="10" t="s">
        <v>154</v>
      </c>
      <c r="I1460" s="10" t="s">
        <v>48</v>
      </c>
      <c r="K1460" s="10" t="s">
        <v>11449</v>
      </c>
      <c r="L1460" s="10" t="s">
        <v>42</v>
      </c>
    </row>
    <row r="1461" ht="15.75" customHeight="1">
      <c r="A1461" s="64">
        <v>45475.0</v>
      </c>
      <c r="B1461" s="55" t="str">
        <f>HYPERLINK("https://jobright.ai/jobs/info/66845476030332c425faf657?utm_campaign=1052&amp;utm_source=sheet", "Apply")</f>
        <v>Apply</v>
      </c>
      <c r="C1461" s="10" t="s">
        <v>9411</v>
      </c>
      <c r="D1461" s="56" t="s">
        <v>9412</v>
      </c>
      <c r="E1461" s="10" t="s">
        <v>249</v>
      </c>
      <c r="F1461" s="10" t="s">
        <v>9413</v>
      </c>
      <c r="G1461" s="10" t="s">
        <v>9414</v>
      </c>
      <c r="H1461" s="10" t="s">
        <v>9732</v>
      </c>
      <c r="I1461" s="10" t="s">
        <v>55</v>
      </c>
      <c r="K1461" s="10" t="s">
        <v>9416</v>
      </c>
      <c r="L1461" s="10" t="s">
        <v>42</v>
      </c>
    </row>
    <row r="1462" ht="15.75" customHeight="1">
      <c r="A1462" s="64">
        <v>45475.0</v>
      </c>
      <c r="B1462" s="55" t="str">
        <f>HYPERLINK("https://jobright.ai/jobs/info/66845476030332c425faf655?utm_campaign=1052&amp;utm_source=sheet", "Apply")</f>
        <v>Apply</v>
      </c>
      <c r="C1462" s="10" t="s">
        <v>9411</v>
      </c>
      <c r="D1462" s="56" t="s">
        <v>9412</v>
      </c>
      <c r="E1462" s="10" t="s">
        <v>249</v>
      </c>
      <c r="F1462" s="10" t="s">
        <v>9413</v>
      </c>
      <c r="G1462" s="10" t="s">
        <v>9414</v>
      </c>
      <c r="H1462" s="10" t="s">
        <v>1691</v>
      </c>
      <c r="I1462" s="10" t="s">
        <v>55</v>
      </c>
      <c r="J1462" s="64"/>
      <c r="K1462" s="10" t="s">
        <v>9416</v>
      </c>
      <c r="L1462" s="10" t="s">
        <v>42</v>
      </c>
    </row>
    <row r="1463" ht="15.75" customHeight="1">
      <c r="A1463" s="64">
        <v>45475.0</v>
      </c>
      <c r="B1463" s="55" t="str">
        <f>HYPERLINK("https://jobright.ai/jobs/info/66845476030332c425faf624?utm_campaign=1052&amp;utm_source=sheet", "Apply")</f>
        <v>Apply</v>
      </c>
      <c r="C1463" s="10" t="s">
        <v>9411</v>
      </c>
      <c r="D1463" s="56" t="s">
        <v>9412</v>
      </c>
      <c r="E1463" s="10" t="s">
        <v>249</v>
      </c>
      <c r="F1463" s="10" t="s">
        <v>9413</v>
      </c>
      <c r="G1463" s="10" t="s">
        <v>9414</v>
      </c>
      <c r="H1463" s="10" t="s">
        <v>11446</v>
      </c>
      <c r="I1463" s="10" t="s">
        <v>55</v>
      </c>
      <c r="J1463" s="64"/>
      <c r="K1463" s="10" t="s">
        <v>9416</v>
      </c>
      <c r="L1463" s="10" t="s">
        <v>42</v>
      </c>
    </row>
    <row r="1464" ht="15.75" customHeight="1">
      <c r="A1464" s="64">
        <v>45475.0</v>
      </c>
      <c r="B1464" s="55" t="str">
        <f>HYPERLINK("https://jobright.ai/jobs/info/6684547f030332c425faf677?utm_campaign=1052&amp;utm_source=sheet", "Apply")</f>
        <v>Apply</v>
      </c>
      <c r="C1464" s="10" t="s">
        <v>9411</v>
      </c>
      <c r="D1464" s="56" t="s">
        <v>9412</v>
      </c>
      <c r="E1464" s="10" t="s">
        <v>249</v>
      </c>
      <c r="F1464" s="10" t="s">
        <v>9413</v>
      </c>
      <c r="G1464" s="10" t="s">
        <v>9414</v>
      </c>
      <c r="H1464" s="10" t="s">
        <v>3150</v>
      </c>
      <c r="I1464" s="10" t="s">
        <v>55</v>
      </c>
      <c r="K1464" s="10" t="s">
        <v>9416</v>
      </c>
      <c r="L1464" s="10" t="s">
        <v>42</v>
      </c>
    </row>
    <row r="1465" ht="15.75" customHeight="1">
      <c r="A1465" s="64">
        <v>45475.0</v>
      </c>
      <c r="B1465" s="55" t="str">
        <f>HYPERLINK("https://jobright.ai/jobs/info/66845476030332c425faf628?utm_campaign=1052&amp;utm_source=sheet", "Apply")</f>
        <v>Apply</v>
      </c>
      <c r="C1465" s="10" t="s">
        <v>9411</v>
      </c>
      <c r="D1465" s="56" t="s">
        <v>9412</v>
      </c>
      <c r="E1465" s="10" t="s">
        <v>249</v>
      </c>
      <c r="F1465" s="10" t="s">
        <v>9413</v>
      </c>
      <c r="G1465" s="10" t="s">
        <v>9414</v>
      </c>
      <c r="H1465" s="10" t="s">
        <v>11450</v>
      </c>
      <c r="I1465" s="10" t="s">
        <v>55</v>
      </c>
      <c r="K1465" s="10" t="s">
        <v>9416</v>
      </c>
      <c r="L1465" s="10" t="s">
        <v>42</v>
      </c>
    </row>
    <row r="1466" ht="15.75" customHeight="1">
      <c r="A1466" s="64">
        <v>45475.0</v>
      </c>
      <c r="B1466" s="55" t="str">
        <f>HYPERLINK("https://jobright.ai/jobs/info/668471ac5288e149876b949b?utm_campaign=1052&amp;utm_source=sheet", "Apply")</f>
        <v>Apply</v>
      </c>
      <c r="C1466" s="10" t="s">
        <v>9411</v>
      </c>
      <c r="D1466" s="56" t="s">
        <v>9412</v>
      </c>
      <c r="E1466" s="10" t="s">
        <v>249</v>
      </c>
      <c r="F1466" s="10" t="s">
        <v>9413</v>
      </c>
      <c r="G1466" s="10" t="s">
        <v>9414</v>
      </c>
      <c r="H1466" s="10" t="s">
        <v>963</v>
      </c>
      <c r="I1466" s="10" t="s">
        <v>55</v>
      </c>
      <c r="J1466" s="64"/>
      <c r="K1466" s="10" t="s">
        <v>9416</v>
      </c>
      <c r="L1466" s="10" t="s">
        <v>42</v>
      </c>
    </row>
    <row r="1467" ht="15.75" customHeight="1">
      <c r="A1467" s="64">
        <v>45475.0</v>
      </c>
      <c r="B1467" s="55" t="str">
        <f>HYPERLINK("https://jobright.ai/jobs/info/668471ac5288e149876b94b6?utm_campaign=1052&amp;utm_source=sheet", "Apply")</f>
        <v>Apply</v>
      </c>
      <c r="C1467" s="10" t="s">
        <v>9411</v>
      </c>
      <c r="D1467" s="56" t="s">
        <v>9412</v>
      </c>
      <c r="E1467" s="10" t="s">
        <v>249</v>
      </c>
      <c r="F1467" s="10" t="s">
        <v>9413</v>
      </c>
      <c r="G1467" s="10" t="s">
        <v>9414</v>
      </c>
      <c r="H1467" s="10" t="s">
        <v>11442</v>
      </c>
      <c r="I1467" s="10" t="s">
        <v>55</v>
      </c>
      <c r="J1467" s="64"/>
      <c r="K1467" s="10" t="s">
        <v>9416</v>
      </c>
      <c r="L1467" s="10" t="s">
        <v>42</v>
      </c>
    </row>
    <row r="1468" ht="15.75" customHeight="1">
      <c r="A1468" s="64">
        <v>45475.0</v>
      </c>
      <c r="B1468" s="55" t="str">
        <f>HYPERLINK("https://jobright.ai/jobs/info/6684547f030332c425faf704?utm_campaign=1052&amp;utm_source=sheet", "Apply")</f>
        <v>Apply</v>
      </c>
      <c r="C1468" s="10" t="s">
        <v>9411</v>
      </c>
      <c r="D1468" s="56" t="s">
        <v>9412</v>
      </c>
      <c r="E1468" s="10" t="s">
        <v>249</v>
      </c>
      <c r="F1468" s="10" t="s">
        <v>9413</v>
      </c>
      <c r="G1468" s="10" t="s">
        <v>9414</v>
      </c>
      <c r="H1468" s="10" t="s">
        <v>10516</v>
      </c>
      <c r="I1468" s="10" t="s">
        <v>55</v>
      </c>
      <c r="J1468" s="64"/>
      <c r="K1468" s="10" t="s">
        <v>9416</v>
      </c>
      <c r="L1468" s="10" t="s">
        <v>42</v>
      </c>
    </row>
    <row r="1469" ht="15.75" customHeight="1">
      <c r="A1469" s="64">
        <v>45475.0</v>
      </c>
      <c r="B1469" s="55" t="str">
        <f>HYPERLINK("https://jobright.ai/jobs/info/66848df2f77b2c8f7053f7f9?utm_campaign=1052&amp;utm_source=sheet", "Apply")</f>
        <v>Apply</v>
      </c>
      <c r="C1469" s="10" t="s">
        <v>9411</v>
      </c>
      <c r="D1469" s="56" t="s">
        <v>9412</v>
      </c>
      <c r="E1469" s="10" t="s">
        <v>249</v>
      </c>
      <c r="F1469" s="10" t="s">
        <v>9413</v>
      </c>
      <c r="G1469" s="10" t="s">
        <v>9414</v>
      </c>
      <c r="H1469" s="10" t="s">
        <v>3482</v>
      </c>
      <c r="I1469" s="10" t="s">
        <v>55</v>
      </c>
      <c r="K1469" s="10" t="s">
        <v>9416</v>
      </c>
      <c r="L1469" s="10" t="s">
        <v>42</v>
      </c>
    </row>
    <row r="1470" ht="15.75" customHeight="1">
      <c r="A1470" s="64">
        <v>45475.0</v>
      </c>
      <c r="B1470" s="55" t="str">
        <f>HYPERLINK("https://jobright.ai/jobs/info/66844cf357137359d9606644?utm_campaign=1052&amp;utm_source=sheet", "Apply")</f>
        <v>Apply</v>
      </c>
      <c r="C1470" s="10" t="s">
        <v>9411</v>
      </c>
      <c r="D1470" s="56" t="s">
        <v>9412</v>
      </c>
      <c r="E1470" s="10" t="s">
        <v>249</v>
      </c>
      <c r="F1470" s="10" t="s">
        <v>9413</v>
      </c>
      <c r="G1470" s="10" t="s">
        <v>9414</v>
      </c>
      <c r="H1470" s="10" t="s">
        <v>11440</v>
      </c>
      <c r="I1470" s="10" t="s">
        <v>55</v>
      </c>
      <c r="K1470" s="10" t="s">
        <v>9416</v>
      </c>
      <c r="L1470" s="10" t="s">
        <v>42</v>
      </c>
    </row>
    <row r="1471" ht="15.75" customHeight="1">
      <c r="A1471" s="64">
        <v>45475.0</v>
      </c>
      <c r="B1471" s="55" t="str">
        <f>HYPERLINK("https://jobright.ai/jobs/info/66844ce957137359d9606604?utm_campaign=1052&amp;utm_source=sheet", "Apply")</f>
        <v>Apply</v>
      </c>
      <c r="C1471" s="10" t="s">
        <v>9411</v>
      </c>
      <c r="D1471" s="56" t="s">
        <v>9412</v>
      </c>
      <c r="E1471" s="10" t="s">
        <v>249</v>
      </c>
      <c r="F1471" s="10" t="s">
        <v>9413</v>
      </c>
      <c r="G1471" s="10" t="s">
        <v>9414</v>
      </c>
      <c r="H1471" s="10" t="s">
        <v>11444</v>
      </c>
      <c r="I1471" s="10" t="s">
        <v>55</v>
      </c>
      <c r="J1471" s="64"/>
      <c r="K1471" s="10" t="s">
        <v>9416</v>
      </c>
      <c r="L1471" s="10" t="s">
        <v>42</v>
      </c>
    </row>
    <row r="1472" ht="15.75" customHeight="1">
      <c r="A1472" s="64">
        <v>45475.0</v>
      </c>
      <c r="B1472" s="55" t="str">
        <f>HYPERLINK("https://jobright.ai/jobs/info/66844ce957137359d96065f6?utm_campaign=1052&amp;utm_source=sheet", "Apply")</f>
        <v>Apply</v>
      </c>
      <c r="C1472" s="10" t="s">
        <v>9411</v>
      </c>
      <c r="D1472" s="56" t="s">
        <v>9412</v>
      </c>
      <c r="E1472" s="10" t="s">
        <v>249</v>
      </c>
      <c r="F1472" s="10" t="s">
        <v>9413</v>
      </c>
      <c r="G1472" s="10" t="s">
        <v>9414</v>
      </c>
      <c r="H1472" s="10" t="s">
        <v>11443</v>
      </c>
      <c r="I1472" s="10" t="s">
        <v>55</v>
      </c>
      <c r="J1472" s="64"/>
      <c r="K1472" s="10" t="s">
        <v>9416</v>
      </c>
      <c r="L1472" s="10" t="s">
        <v>42</v>
      </c>
    </row>
    <row r="1473" ht="15.75" customHeight="1">
      <c r="A1473" s="64">
        <v>45475.0</v>
      </c>
      <c r="B1473" s="55" t="str">
        <f>HYPERLINK("https://jobright.ai/jobs/info/66844f696a395e43666f691d?utm_campaign=1052&amp;utm_source=sheet", "Apply")</f>
        <v>Apply</v>
      </c>
      <c r="C1473" s="10" t="s">
        <v>9411</v>
      </c>
      <c r="D1473" s="56" t="s">
        <v>9412</v>
      </c>
      <c r="E1473" s="10" t="s">
        <v>249</v>
      </c>
      <c r="F1473" s="10" t="s">
        <v>9413</v>
      </c>
      <c r="G1473" s="10" t="s">
        <v>9414</v>
      </c>
      <c r="H1473" s="10" t="s">
        <v>361</v>
      </c>
      <c r="I1473" s="10" t="s">
        <v>55</v>
      </c>
      <c r="J1473" s="64"/>
      <c r="K1473" s="10" t="s">
        <v>9416</v>
      </c>
      <c r="L1473" s="10" t="s">
        <v>42</v>
      </c>
    </row>
    <row r="1474" ht="15.75" customHeight="1">
      <c r="A1474" s="64">
        <v>45475.0</v>
      </c>
      <c r="B1474" s="55" t="str">
        <f>HYPERLINK("https://jobright.ai/jobs/info/66844f696a395e43666f6921?utm_campaign=1052&amp;utm_source=sheet", "Apply")</f>
        <v>Apply</v>
      </c>
      <c r="C1474" s="10" t="s">
        <v>9411</v>
      </c>
      <c r="D1474" s="56" t="s">
        <v>9412</v>
      </c>
      <c r="E1474" s="10" t="s">
        <v>249</v>
      </c>
      <c r="F1474" s="10" t="s">
        <v>9413</v>
      </c>
      <c r="G1474" s="10" t="s">
        <v>9414</v>
      </c>
      <c r="H1474" s="10" t="s">
        <v>4402</v>
      </c>
      <c r="I1474" s="10" t="s">
        <v>55</v>
      </c>
      <c r="J1474" s="64"/>
      <c r="K1474" s="10" t="s">
        <v>9416</v>
      </c>
      <c r="L1474" s="10" t="s">
        <v>42</v>
      </c>
    </row>
    <row r="1475" ht="15.75" customHeight="1">
      <c r="A1475" s="64">
        <v>45475.0</v>
      </c>
      <c r="B1475" s="55" t="str">
        <f>HYPERLINK("https://jobright.ai/jobs/info/6686597f9291a12ee2aa8530?utm_campaign=1052&amp;utm_source=sheet", "Apply")</f>
        <v>Apply</v>
      </c>
      <c r="C1475" s="10" t="s">
        <v>10194</v>
      </c>
      <c r="D1475" s="56" t="s">
        <v>10030</v>
      </c>
      <c r="E1475" s="10">
        <v>25.0</v>
      </c>
      <c r="G1475" s="10" t="s">
        <v>1159</v>
      </c>
      <c r="H1475" s="10" t="s">
        <v>3423</v>
      </c>
      <c r="I1475" s="10" t="s">
        <v>48</v>
      </c>
      <c r="J1475" s="10" t="s">
        <v>467</v>
      </c>
      <c r="K1475" s="10" t="s">
        <v>10212</v>
      </c>
      <c r="L1475" s="10" t="s">
        <v>42</v>
      </c>
    </row>
    <row r="1476" ht="15.75" customHeight="1">
      <c r="A1476" s="64">
        <v>45475.0</v>
      </c>
      <c r="B1476" s="55" t="str">
        <f>HYPERLINK("https://jobright.ai/jobs/info/6695f3125a520c98408388e7?utm_campaign=1052&amp;utm_source=sheet", "Apply")</f>
        <v>Apply</v>
      </c>
      <c r="C1476" s="10" t="s">
        <v>11451</v>
      </c>
      <c r="D1476" s="56" t="s">
        <v>11452</v>
      </c>
      <c r="E1476" s="10" t="s">
        <v>137</v>
      </c>
      <c r="F1476" s="10" t="s">
        <v>10216</v>
      </c>
      <c r="G1476" s="10" t="s">
        <v>9419</v>
      </c>
      <c r="H1476" s="10" t="s">
        <v>11453</v>
      </c>
      <c r="I1476" s="10" t="s">
        <v>55</v>
      </c>
      <c r="J1476" s="10" t="s">
        <v>581</v>
      </c>
      <c r="K1476" s="10" t="s">
        <v>11454</v>
      </c>
      <c r="L1476" s="10" t="s">
        <v>42</v>
      </c>
    </row>
    <row r="1477" ht="15.75" customHeight="1">
      <c r="A1477" s="64">
        <v>45475.0</v>
      </c>
      <c r="B1477" s="55" t="str">
        <f>HYPERLINK("https://jobright.ai/jobs/info/6695f3d94758bd9c800b1ce7?utm_campaign=1052&amp;utm_source=sheet", "Apply")</f>
        <v>Apply</v>
      </c>
      <c r="C1477" s="10" t="s">
        <v>9517</v>
      </c>
      <c r="D1477" s="56" t="s">
        <v>11455</v>
      </c>
      <c r="E1477" s="10" t="s">
        <v>137</v>
      </c>
      <c r="F1477" s="10" t="s">
        <v>11456</v>
      </c>
      <c r="G1477" s="10" t="s">
        <v>1159</v>
      </c>
      <c r="H1477" s="10" t="s">
        <v>848</v>
      </c>
      <c r="I1477" s="10" t="s">
        <v>55</v>
      </c>
      <c r="J1477" s="10" t="s">
        <v>11457</v>
      </c>
      <c r="K1477" s="10" t="s">
        <v>11458</v>
      </c>
      <c r="L1477" s="10" t="s">
        <v>42</v>
      </c>
    </row>
    <row r="1478" ht="15.75" customHeight="1">
      <c r="A1478" s="64">
        <v>45475.0</v>
      </c>
      <c r="B1478" s="55" t="str">
        <f>HYPERLINK("https://jobright.ai/jobs/info/668373b4bcab53bca075ab18?utm_campaign=1052&amp;utm_source=sheet", "Apply")</f>
        <v>Apply</v>
      </c>
      <c r="C1478" s="10" t="s">
        <v>9517</v>
      </c>
      <c r="D1478" s="56" t="s">
        <v>11459</v>
      </c>
      <c r="E1478" s="10" t="s">
        <v>65</v>
      </c>
      <c r="F1478" s="10" t="s">
        <v>2673</v>
      </c>
      <c r="G1478" s="10" t="s">
        <v>1159</v>
      </c>
      <c r="H1478" s="10" t="s">
        <v>5845</v>
      </c>
      <c r="I1478" s="10" t="s">
        <v>55</v>
      </c>
      <c r="J1478" s="10" t="s">
        <v>2590</v>
      </c>
      <c r="K1478" s="10" t="s">
        <v>11460</v>
      </c>
      <c r="L1478" s="10" t="s">
        <v>42</v>
      </c>
    </row>
    <row r="1479" ht="15.75" customHeight="1">
      <c r="A1479" s="64">
        <v>45475.0</v>
      </c>
      <c r="B1479" s="55" t="str">
        <f>HYPERLINK("https://jobright.ai/jobs/info/66848380c770f1ca05bcb7f3?utm_campaign=1052&amp;utm_source=sheet", "Apply")</f>
        <v>Apply</v>
      </c>
      <c r="C1479" s="10" t="s">
        <v>11461</v>
      </c>
      <c r="D1479" s="56" t="s">
        <v>11462</v>
      </c>
      <c r="E1479" s="10" t="s">
        <v>45</v>
      </c>
      <c r="F1479" s="10" t="s">
        <v>11463</v>
      </c>
      <c r="G1479" s="10" t="s">
        <v>9414</v>
      </c>
      <c r="H1479" s="10" t="s">
        <v>794</v>
      </c>
      <c r="I1479" s="10" t="s">
        <v>55</v>
      </c>
      <c r="J1479" s="10" t="s">
        <v>11464</v>
      </c>
      <c r="K1479" s="10" t="s">
        <v>11465</v>
      </c>
      <c r="L1479" s="10" t="s">
        <v>42</v>
      </c>
    </row>
    <row r="1480" ht="15.75" customHeight="1">
      <c r="A1480" s="64">
        <v>45475.0</v>
      </c>
      <c r="B1480" s="55" t="str">
        <f>HYPERLINK("https://jobright.ai/jobs/info/6684b70e0ae5ba7c12786fb3?utm_campaign=1052&amp;utm_source=sheet", "Apply")</f>
        <v>Apply</v>
      </c>
      <c r="C1480" s="10" t="s">
        <v>11466</v>
      </c>
      <c r="D1480" s="56" t="s">
        <v>11467</v>
      </c>
      <c r="E1480" s="10" t="s">
        <v>249</v>
      </c>
      <c r="F1480" s="10" t="s">
        <v>9414</v>
      </c>
      <c r="G1480" s="10" t="s">
        <v>9414</v>
      </c>
      <c r="H1480" s="10" t="s">
        <v>977</v>
      </c>
      <c r="I1480" s="10" t="s">
        <v>55</v>
      </c>
      <c r="J1480" s="64"/>
      <c r="K1480" s="10" t="s">
        <v>11468</v>
      </c>
      <c r="L1480" s="10" t="s">
        <v>42</v>
      </c>
    </row>
    <row r="1481" ht="15.75" customHeight="1">
      <c r="A1481" s="64">
        <v>45474.0</v>
      </c>
      <c r="B1481" s="55" t="str">
        <f>HYPERLINK("https://jobright.ai/jobs/info/66834126a77cf77fee2dcace?utm_campaign=1052&amp;utm_source=sheet", "Apply")</f>
        <v>Apply</v>
      </c>
      <c r="C1481" s="10" t="s">
        <v>11469</v>
      </c>
      <c r="D1481" s="56" t="s">
        <v>11470</v>
      </c>
      <c r="E1481" s="10" t="s">
        <v>79</v>
      </c>
      <c r="F1481" s="10" t="s">
        <v>11471</v>
      </c>
      <c r="G1481" s="10" t="s">
        <v>1159</v>
      </c>
      <c r="H1481" s="10" t="s">
        <v>11472</v>
      </c>
      <c r="I1481" s="10" t="s">
        <v>55</v>
      </c>
      <c r="J1481" s="64"/>
      <c r="K1481" s="10" t="s">
        <v>11473</v>
      </c>
      <c r="L1481" s="10" t="s">
        <v>42</v>
      </c>
    </row>
    <row r="1482" ht="15.75" customHeight="1">
      <c r="A1482" s="64">
        <v>45474.0</v>
      </c>
      <c r="B1482" s="55" t="str">
        <f>HYPERLINK("https://jobright.ai/jobs/info/667e3a1682295a58888e761c?utm_campaign=1052&amp;utm_source=sheet", "Apply")</f>
        <v>Apply</v>
      </c>
      <c r="C1482" s="10" t="s">
        <v>9517</v>
      </c>
      <c r="D1482" s="56" t="s">
        <v>11474</v>
      </c>
      <c r="E1482" s="10" t="s">
        <v>65</v>
      </c>
      <c r="F1482" s="10" t="s">
        <v>1274</v>
      </c>
      <c r="G1482" s="10" t="s">
        <v>1159</v>
      </c>
      <c r="H1482" s="10" t="s">
        <v>11475</v>
      </c>
      <c r="I1482" s="10" t="s">
        <v>55</v>
      </c>
      <c r="J1482" s="10" t="s">
        <v>1906</v>
      </c>
      <c r="K1482" s="10" t="s">
        <v>11476</v>
      </c>
      <c r="L1482" s="10" t="s">
        <v>42</v>
      </c>
    </row>
    <row r="1483" ht="15.75" customHeight="1">
      <c r="A1483" s="64">
        <v>45474.0</v>
      </c>
      <c r="B1483" s="55" t="str">
        <f>HYPERLINK("https://jobright.ai/jobs/info/6672112d7de1e75a0e1b4f4b?utm_campaign=1052&amp;utm_source=sheet", "Apply")</f>
        <v>Apply</v>
      </c>
      <c r="C1483" s="10" t="s">
        <v>11477</v>
      </c>
      <c r="D1483" s="56" t="s">
        <v>10468</v>
      </c>
      <c r="E1483" s="10" t="s">
        <v>45</v>
      </c>
      <c r="F1483" s="10" t="s">
        <v>10469</v>
      </c>
      <c r="G1483" s="10" t="s">
        <v>9419</v>
      </c>
      <c r="H1483" s="10" t="s">
        <v>9476</v>
      </c>
      <c r="I1483" s="10" t="s">
        <v>55</v>
      </c>
      <c r="J1483" s="10" t="s">
        <v>581</v>
      </c>
      <c r="K1483" s="10" t="s">
        <v>11478</v>
      </c>
      <c r="L1483" s="10" t="s">
        <v>42</v>
      </c>
    </row>
    <row r="1484" ht="15.75" customHeight="1">
      <c r="A1484" s="64">
        <v>45474.0</v>
      </c>
      <c r="B1484" s="55" t="str">
        <f>HYPERLINK("https://jobright.ai/jobs/info/6682c2316fd38ffe465db4d1?utm_campaign=1052&amp;utm_source=sheet", "Apply")</f>
        <v>Apply</v>
      </c>
      <c r="C1484" s="10" t="s">
        <v>11479</v>
      </c>
      <c r="D1484" s="56" t="s">
        <v>11480</v>
      </c>
      <c r="E1484" s="10" t="s">
        <v>276</v>
      </c>
      <c r="F1484" s="10" t="s">
        <v>11481</v>
      </c>
      <c r="G1484" s="10" t="s">
        <v>9414</v>
      </c>
      <c r="H1484" s="10" t="s">
        <v>11482</v>
      </c>
      <c r="I1484" s="10" t="s">
        <v>55</v>
      </c>
      <c r="J1484" s="64"/>
      <c r="K1484" s="10" t="s">
        <v>11483</v>
      </c>
      <c r="L1484" s="10" t="s">
        <v>42</v>
      </c>
    </row>
    <row r="1485" ht="15.75" customHeight="1">
      <c r="A1485" s="64">
        <v>45474.0</v>
      </c>
      <c r="B1485" s="55" t="str">
        <f>HYPERLINK("https://jobright.ai/jobs/info/664cb32a2736171679534a1c?utm_campaign=1052&amp;utm_source=sheet", "Apply")</f>
        <v>Apply</v>
      </c>
      <c r="C1485" s="10" t="s">
        <v>11484</v>
      </c>
      <c r="D1485" s="56" t="s">
        <v>1158</v>
      </c>
      <c r="E1485" s="10" t="s">
        <v>276</v>
      </c>
      <c r="F1485" s="10" t="s">
        <v>1159</v>
      </c>
      <c r="G1485" s="10" t="s">
        <v>9419</v>
      </c>
      <c r="H1485" s="10" t="s">
        <v>1160</v>
      </c>
      <c r="I1485" s="10" t="s">
        <v>55</v>
      </c>
      <c r="J1485" s="64"/>
      <c r="K1485" s="10" t="s">
        <v>10586</v>
      </c>
      <c r="L1485" s="10" t="s">
        <v>42</v>
      </c>
    </row>
    <row r="1486" ht="15.75" customHeight="1">
      <c r="A1486" s="64">
        <v>45474.0</v>
      </c>
      <c r="B1486" s="55" t="str">
        <f>HYPERLINK("https://jobright.ai/jobs/info/66828733b798bc5d0d734dda?utm_campaign=1052&amp;utm_source=sheet", "Apply")</f>
        <v>Apply</v>
      </c>
      <c r="C1486" s="10" t="s">
        <v>11485</v>
      </c>
      <c r="D1486" s="56" t="s">
        <v>11486</v>
      </c>
      <c r="E1486" s="10" t="s">
        <v>276</v>
      </c>
      <c r="F1486" s="10" t="s">
        <v>11487</v>
      </c>
      <c r="G1486" s="10" t="s">
        <v>9414</v>
      </c>
      <c r="H1486" s="10" t="s">
        <v>11488</v>
      </c>
      <c r="I1486" s="10" t="s">
        <v>55</v>
      </c>
      <c r="J1486" s="64"/>
      <c r="K1486" s="10" t="s">
        <v>11489</v>
      </c>
      <c r="L1486" s="10" t="s">
        <v>42</v>
      </c>
    </row>
    <row r="1487" ht="15.75" customHeight="1">
      <c r="A1487" s="64">
        <v>45474.0</v>
      </c>
      <c r="B1487" s="55" t="str">
        <f>HYPERLINK("https://jobright.ai/jobs/info/66830f9cfc6f67e837dffe66?utm_campaign=1052&amp;utm_source=sheet", "Apply")</f>
        <v>Apply</v>
      </c>
      <c r="C1487" s="10" t="s">
        <v>10021</v>
      </c>
      <c r="D1487" s="56" t="s">
        <v>10022</v>
      </c>
      <c r="E1487" s="10" t="s">
        <v>65</v>
      </c>
      <c r="F1487" s="10" t="s">
        <v>259</v>
      </c>
      <c r="G1487" s="10" t="s">
        <v>9414</v>
      </c>
      <c r="H1487" s="10" t="s">
        <v>11490</v>
      </c>
      <c r="I1487" s="10" t="s">
        <v>55</v>
      </c>
      <c r="J1487" s="10" t="s">
        <v>3430</v>
      </c>
      <c r="K1487" s="10" t="s">
        <v>10023</v>
      </c>
      <c r="L1487" s="10" t="s">
        <v>42</v>
      </c>
    </row>
    <row r="1488" ht="15.75" customHeight="1">
      <c r="A1488" s="64">
        <v>45474.0</v>
      </c>
      <c r="B1488" s="55" t="str">
        <f>HYPERLINK("https://jobright.ai/jobs/info/66830f9cfc6f67e837dffe36?utm_campaign=1052&amp;utm_source=sheet", "Apply")</f>
        <v>Apply</v>
      </c>
      <c r="C1488" s="10" t="s">
        <v>10029</v>
      </c>
      <c r="D1488" s="56" t="s">
        <v>10022</v>
      </c>
      <c r="E1488" s="10" t="s">
        <v>65</v>
      </c>
      <c r="F1488" s="10" t="s">
        <v>259</v>
      </c>
      <c r="G1488" s="10" t="s">
        <v>9414</v>
      </c>
      <c r="H1488" s="10" t="s">
        <v>11491</v>
      </c>
      <c r="I1488" s="10" t="s">
        <v>55</v>
      </c>
      <c r="J1488" s="10" t="s">
        <v>3430</v>
      </c>
      <c r="K1488" s="10" t="s">
        <v>10023</v>
      </c>
      <c r="L1488" s="10" t="s">
        <v>42</v>
      </c>
    </row>
    <row r="1489" ht="15.75" customHeight="1">
      <c r="A1489" s="64">
        <v>45473.0</v>
      </c>
      <c r="B1489" s="55" t="str">
        <f>HYPERLINK("https://jobright.ai/jobs/info/6681d819049173fa673dd2d7?utm_campaign=1052&amp;utm_source=sheet", "Apply")</f>
        <v>Apply</v>
      </c>
      <c r="C1489" s="10" t="s">
        <v>11492</v>
      </c>
      <c r="D1489" s="56" t="s">
        <v>11493</v>
      </c>
      <c r="G1489" s="10" t="s">
        <v>1159</v>
      </c>
      <c r="H1489" s="10" t="s">
        <v>3301</v>
      </c>
      <c r="I1489" s="10" t="s">
        <v>252</v>
      </c>
      <c r="K1489" s="10" t="s">
        <v>11494</v>
      </c>
      <c r="L1489" s="10" t="s">
        <v>42</v>
      </c>
    </row>
    <row r="1490" ht="15.75" customHeight="1">
      <c r="A1490" s="64">
        <v>45473.0</v>
      </c>
      <c r="B1490" s="55" t="str">
        <f>HYPERLINK("https://jobright.ai/jobs/info/66817a55a484d8bc915a8d09?utm_campaign=1052&amp;utm_source=sheet", "Apply")</f>
        <v>Apply</v>
      </c>
      <c r="C1490" s="10" t="s">
        <v>9611</v>
      </c>
      <c r="D1490" s="56" t="s">
        <v>11495</v>
      </c>
      <c r="E1490" s="10" t="s">
        <v>276</v>
      </c>
      <c r="F1490" s="10" t="s">
        <v>722</v>
      </c>
      <c r="G1490" s="10" t="s">
        <v>9419</v>
      </c>
      <c r="H1490" s="10" t="s">
        <v>1013</v>
      </c>
      <c r="I1490" s="10" t="s">
        <v>55</v>
      </c>
      <c r="K1490" s="10" t="s">
        <v>11496</v>
      </c>
      <c r="L1490" s="10" t="s">
        <v>42</v>
      </c>
    </row>
    <row r="1491" ht="15.75" customHeight="1">
      <c r="A1491" s="64">
        <v>45473.0</v>
      </c>
      <c r="B1491" s="55" t="str">
        <f>HYPERLINK("https://jobright.ai/jobs/info/668296af2c48423eb5831fff?utm_campaign=1052&amp;utm_source=sheet", "Apply")</f>
        <v>Apply</v>
      </c>
      <c r="C1491" s="10" t="s">
        <v>11497</v>
      </c>
      <c r="D1491" s="56" t="s">
        <v>11480</v>
      </c>
      <c r="E1491" s="10" t="s">
        <v>276</v>
      </c>
      <c r="F1491" s="10" t="s">
        <v>11481</v>
      </c>
      <c r="G1491" s="10" t="s">
        <v>9414</v>
      </c>
      <c r="H1491" s="10" t="s">
        <v>11482</v>
      </c>
      <c r="I1491" s="10" t="s">
        <v>55</v>
      </c>
      <c r="K1491" s="10" t="s">
        <v>11498</v>
      </c>
      <c r="L1491" s="10" t="s">
        <v>42</v>
      </c>
    </row>
    <row r="1492" ht="15.75" customHeight="1">
      <c r="A1492" s="64">
        <v>45473.0</v>
      </c>
      <c r="B1492" s="55" t="str">
        <f>HYPERLINK("https://jobright.ai/jobs/info/66829fad0b7fd75a371422da?utm_campaign=1052&amp;utm_source=sheet", "Apply")</f>
        <v>Apply</v>
      </c>
      <c r="C1492" s="10" t="s">
        <v>11499</v>
      </c>
      <c r="D1492" s="56" t="s">
        <v>11480</v>
      </c>
      <c r="E1492" s="10" t="s">
        <v>276</v>
      </c>
      <c r="F1492" s="10" t="s">
        <v>11481</v>
      </c>
      <c r="G1492" s="10" t="s">
        <v>1159</v>
      </c>
      <c r="H1492" s="10" t="s">
        <v>11482</v>
      </c>
      <c r="I1492" s="10" t="s">
        <v>55</v>
      </c>
      <c r="J1492" s="64"/>
      <c r="K1492" s="10" t="s">
        <v>11500</v>
      </c>
      <c r="L1492" s="10" t="s">
        <v>42</v>
      </c>
    </row>
    <row r="1493" ht="15.75" customHeight="1">
      <c r="A1493" s="64">
        <v>45473.0</v>
      </c>
      <c r="B1493" s="55" t="str">
        <f>HYPERLINK("https://jobright.ai/jobs/info/66816f54e11f570aa6ada44e?utm_campaign=1052&amp;utm_source=sheet", "Apply")</f>
        <v>Apply</v>
      </c>
      <c r="C1493" s="10" t="s">
        <v>11499</v>
      </c>
      <c r="D1493" s="56" t="s">
        <v>11480</v>
      </c>
      <c r="E1493" s="10" t="s">
        <v>276</v>
      </c>
      <c r="F1493" s="10" t="s">
        <v>11481</v>
      </c>
      <c r="G1493" s="10" t="s">
        <v>1159</v>
      </c>
      <c r="H1493" s="10" t="s">
        <v>11482</v>
      </c>
      <c r="I1493" s="10" t="s">
        <v>48</v>
      </c>
      <c r="J1493" s="64"/>
      <c r="K1493" s="10" t="s">
        <v>11500</v>
      </c>
      <c r="L1493" s="10" t="s">
        <v>42</v>
      </c>
    </row>
    <row r="1494" ht="15.75" customHeight="1">
      <c r="A1494" s="64">
        <v>45472.0</v>
      </c>
      <c r="B1494" s="55" t="str">
        <f>HYPERLINK("https://jobright.ai/jobs/info/667fa7e8e83fa591caf275b6?utm_campaign=1052&amp;utm_source=sheet", "Apply")</f>
        <v>Apply</v>
      </c>
      <c r="C1494" s="10" t="s">
        <v>11501</v>
      </c>
      <c r="D1494" s="56" t="s">
        <v>11502</v>
      </c>
      <c r="E1494" s="10" t="s">
        <v>276</v>
      </c>
      <c r="F1494" s="10" t="s">
        <v>3569</v>
      </c>
      <c r="G1494" s="10" t="s">
        <v>9419</v>
      </c>
      <c r="H1494" s="10" t="s">
        <v>73</v>
      </c>
      <c r="I1494" s="10" t="s">
        <v>55</v>
      </c>
      <c r="K1494" s="10" t="s">
        <v>11503</v>
      </c>
      <c r="L1494" s="10" t="s">
        <v>42</v>
      </c>
    </row>
    <row r="1495" ht="15.75" customHeight="1">
      <c r="A1495" s="64">
        <v>45472.0</v>
      </c>
      <c r="B1495" s="55" t="str">
        <f>HYPERLINK("https://jobright.ai/jobs/info/667fa7f1e83fa591caf275b9?utm_campaign=1052&amp;utm_source=sheet", "Apply")</f>
        <v>Apply</v>
      </c>
      <c r="C1495" s="10" t="s">
        <v>11501</v>
      </c>
      <c r="D1495" s="56" t="s">
        <v>11502</v>
      </c>
      <c r="E1495" s="10" t="s">
        <v>276</v>
      </c>
      <c r="F1495" s="10" t="s">
        <v>3569</v>
      </c>
      <c r="G1495" s="10" t="s">
        <v>9419</v>
      </c>
      <c r="H1495" s="10" t="s">
        <v>738</v>
      </c>
      <c r="I1495" s="10" t="s">
        <v>55</v>
      </c>
      <c r="K1495" s="10" t="s">
        <v>11503</v>
      </c>
      <c r="L1495" s="10" t="s">
        <v>42</v>
      </c>
    </row>
    <row r="1496" ht="15.75" customHeight="1">
      <c r="A1496" s="64">
        <v>45472.0</v>
      </c>
      <c r="B1496" s="55" t="str">
        <f>HYPERLINK("https://jobright.ai/jobs/info/667fb7b061baf0073634ff4f?utm_campaign=1052&amp;utm_source=sheet", "Apply")</f>
        <v>Apply</v>
      </c>
      <c r="C1496" s="10" t="s">
        <v>11501</v>
      </c>
      <c r="D1496" s="56" t="s">
        <v>11502</v>
      </c>
      <c r="E1496" s="10" t="s">
        <v>276</v>
      </c>
      <c r="F1496" s="10" t="s">
        <v>3569</v>
      </c>
      <c r="G1496" s="10" t="s">
        <v>9419</v>
      </c>
      <c r="H1496" s="10" t="s">
        <v>11504</v>
      </c>
      <c r="I1496" s="10" t="s">
        <v>55</v>
      </c>
      <c r="K1496" s="10" t="s">
        <v>11503</v>
      </c>
      <c r="L1496" s="10" t="s">
        <v>42</v>
      </c>
    </row>
    <row r="1497" ht="15.75" customHeight="1">
      <c r="A1497" s="64">
        <v>45472.0</v>
      </c>
      <c r="B1497" s="55" t="str">
        <f>HYPERLINK("https://jobright.ai/jobs/info/667fb7b061baf0073634ff50?utm_campaign=1052&amp;utm_source=sheet", "Apply")</f>
        <v>Apply</v>
      </c>
      <c r="C1497" s="10" t="s">
        <v>11501</v>
      </c>
      <c r="D1497" s="56" t="s">
        <v>11502</v>
      </c>
      <c r="E1497" s="10" t="s">
        <v>276</v>
      </c>
      <c r="F1497" s="10" t="s">
        <v>3569</v>
      </c>
      <c r="G1497" s="10" t="s">
        <v>9419</v>
      </c>
      <c r="H1497" s="10" t="s">
        <v>10592</v>
      </c>
      <c r="I1497" s="10" t="s">
        <v>55</v>
      </c>
      <c r="K1497" s="10" t="s">
        <v>11503</v>
      </c>
      <c r="L1497" s="10" t="s">
        <v>42</v>
      </c>
    </row>
    <row r="1498" ht="15.75" customHeight="1">
      <c r="A1498" s="64">
        <v>45472.0</v>
      </c>
      <c r="B1498" s="55" t="str">
        <f>HYPERLINK("https://jobright.ai/jobs/info/667f927d24886617394649a4?utm_campaign=1052&amp;utm_source=sheet", "Apply")</f>
        <v>Apply</v>
      </c>
      <c r="C1498" s="10" t="s">
        <v>11501</v>
      </c>
      <c r="D1498" s="56" t="s">
        <v>11502</v>
      </c>
      <c r="E1498" s="10" t="s">
        <v>276</v>
      </c>
      <c r="F1498" s="10" t="s">
        <v>3569</v>
      </c>
      <c r="G1498" s="10" t="s">
        <v>9419</v>
      </c>
      <c r="H1498" s="10" t="s">
        <v>996</v>
      </c>
      <c r="I1498" s="10" t="s">
        <v>55</v>
      </c>
      <c r="K1498" s="10" t="s">
        <v>11503</v>
      </c>
      <c r="L1498" s="10" t="s">
        <v>42</v>
      </c>
    </row>
    <row r="1499" ht="15.75" customHeight="1">
      <c r="A1499" s="64">
        <v>45472.0</v>
      </c>
      <c r="B1499" s="55" t="str">
        <f>HYPERLINK("https://jobright.ai/jobs/info/667f927d24886617394649a9?utm_campaign=1052&amp;utm_source=sheet", "Apply")</f>
        <v>Apply</v>
      </c>
      <c r="C1499" s="10" t="s">
        <v>11501</v>
      </c>
      <c r="D1499" s="56" t="s">
        <v>11502</v>
      </c>
      <c r="E1499" s="10" t="s">
        <v>276</v>
      </c>
      <c r="F1499" s="10" t="s">
        <v>3569</v>
      </c>
      <c r="G1499" s="10" t="s">
        <v>9419</v>
      </c>
      <c r="H1499" s="10" t="s">
        <v>11505</v>
      </c>
      <c r="I1499" s="10" t="s">
        <v>55</v>
      </c>
      <c r="K1499" s="10" t="s">
        <v>11503</v>
      </c>
      <c r="L1499" s="10" t="s">
        <v>42</v>
      </c>
    </row>
    <row r="1500" ht="15.75" customHeight="1">
      <c r="A1500" s="64">
        <v>45472.0</v>
      </c>
      <c r="B1500" s="55" t="str">
        <f>HYPERLINK("https://jobright.ai/jobs/info/667f6465f1495e3b5cecc3fe?utm_campaign=1052&amp;utm_source=sheet", "Apply")</f>
        <v>Apply</v>
      </c>
      <c r="C1500" s="10" t="s">
        <v>9517</v>
      </c>
      <c r="D1500" s="56" t="s">
        <v>11506</v>
      </c>
      <c r="E1500" s="10">
        <v>106.0</v>
      </c>
      <c r="G1500" s="10" t="s">
        <v>1159</v>
      </c>
      <c r="H1500" s="10" t="s">
        <v>11228</v>
      </c>
      <c r="I1500" s="10" t="s">
        <v>55</v>
      </c>
      <c r="J1500" s="10" t="s">
        <v>1984</v>
      </c>
      <c r="K1500" s="10" t="s">
        <v>11507</v>
      </c>
      <c r="L1500" s="10" t="s">
        <v>42</v>
      </c>
    </row>
    <row r="1501" ht="15.75" customHeight="1">
      <c r="A1501" s="64">
        <v>45471.0</v>
      </c>
      <c r="B1501" s="55" t="str">
        <f>HYPERLINK("https://jobright.ai/jobs/info/667f5f8f31b2852198192c0a?utm_campaign=1052&amp;utm_source=sheet", "Apply")</f>
        <v>Apply</v>
      </c>
      <c r="C1501" s="10" t="s">
        <v>10103</v>
      </c>
      <c r="D1501" s="56" t="s">
        <v>9904</v>
      </c>
      <c r="E1501" s="10" t="s">
        <v>45</v>
      </c>
      <c r="F1501" s="10" t="s">
        <v>9905</v>
      </c>
      <c r="G1501" s="10" t="s">
        <v>1159</v>
      </c>
      <c r="H1501" s="10" t="s">
        <v>572</v>
      </c>
      <c r="I1501" s="10" t="s">
        <v>48</v>
      </c>
      <c r="K1501" s="10" t="s">
        <v>9906</v>
      </c>
      <c r="L1501" s="10" t="s">
        <v>42</v>
      </c>
    </row>
    <row r="1502" ht="15.75" customHeight="1">
      <c r="A1502" s="64">
        <v>45471.0</v>
      </c>
      <c r="B1502" s="55" t="str">
        <f>HYPERLINK("https://jobright.ai/jobs/info/667efbe736ad47ed17be1d84?utm_campaign=1052&amp;utm_source=sheet", "Apply")</f>
        <v>Apply</v>
      </c>
      <c r="C1502" s="10" t="s">
        <v>11508</v>
      </c>
      <c r="D1502" s="56" t="s">
        <v>8537</v>
      </c>
      <c r="E1502" s="10">
        <v>685.0</v>
      </c>
      <c r="G1502" s="10" t="s">
        <v>1159</v>
      </c>
      <c r="H1502" s="10" t="s">
        <v>572</v>
      </c>
      <c r="I1502" s="10" t="s">
        <v>55</v>
      </c>
      <c r="K1502" s="10" t="s">
        <v>11509</v>
      </c>
      <c r="L1502" s="10" t="s">
        <v>42</v>
      </c>
    </row>
    <row r="1503" ht="15.75" customHeight="1">
      <c r="A1503" s="64">
        <v>45471.0</v>
      </c>
      <c r="B1503" s="55" t="str">
        <f>HYPERLINK("https://jobright.ai/jobs/info/667ee815279a2f751e24f358?utm_campaign=1052&amp;utm_source=sheet", "Apply")</f>
        <v>Apply</v>
      </c>
      <c r="C1503" s="10" t="s">
        <v>9517</v>
      </c>
      <c r="D1503" s="56" t="s">
        <v>11510</v>
      </c>
      <c r="E1503" s="10">
        <v>20.0</v>
      </c>
      <c r="G1503" s="10" t="s">
        <v>1159</v>
      </c>
      <c r="H1503" s="10" t="s">
        <v>96</v>
      </c>
      <c r="I1503" s="10" t="s">
        <v>55</v>
      </c>
      <c r="J1503" s="64"/>
      <c r="K1503" s="10" t="s">
        <v>11511</v>
      </c>
      <c r="L1503" s="10" t="s">
        <v>42</v>
      </c>
    </row>
    <row r="1504" ht="15.75" customHeight="1">
      <c r="A1504" s="64">
        <v>45471.0</v>
      </c>
      <c r="B1504" s="55" t="str">
        <f>HYPERLINK("https://jobright.ai/jobs/info/667fa01168d5f108040add64?utm_campaign=1052&amp;utm_source=sheet", "Apply")</f>
        <v>Apply</v>
      </c>
      <c r="C1504" s="10" t="s">
        <v>9517</v>
      </c>
      <c r="D1504" s="56" t="s">
        <v>11512</v>
      </c>
      <c r="E1504" s="10" t="s">
        <v>137</v>
      </c>
      <c r="F1504" s="10" t="s">
        <v>11513</v>
      </c>
      <c r="G1504" s="10" t="s">
        <v>1159</v>
      </c>
      <c r="H1504" s="10" t="s">
        <v>8480</v>
      </c>
      <c r="I1504" s="10" t="s">
        <v>55</v>
      </c>
      <c r="K1504" s="10" t="s">
        <v>11514</v>
      </c>
      <c r="L1504" s="10" t="s">
        <v>42</v>
      </c>
    </row>
    <row r="1505" ht="15.75" customHeight="1">
      <c r="A1505" s="64">
        <v>45471.0</v>
      </c>
      <c r="B1505" s="55" t="str">
        <f>HYPERLINK("https://jobright.ai/jobs/info/667ea8e3dd632a7962a6b506?utm_campaign=1052&amp;utm_source=sheet", "Apply")</f>
        <v>Apply</v>
      </c>
      <c r="C1505" s="10" t="s">
        <v>11515</v>
      </c>
      <c r="D1505" s="56" t="s">
        <v>11516</v>
      </c>
      <c r="E1505" s="10" t="s">
        <v>137</v>
      </c>
      <c r="F1505" s="10" t="s">
        <v>11057</v>
      </c>
      <c r="G1505" s="10" t="s">
        <v>9414</v>
      </c>
      <c r="H1505" s="10" t="s">
        <v>578</v>
      </c>
      <c r="I1505" s="10" t="s">
        <v>55</v>
      </c>
      <c r="K1505" s="10" t="s">
        <v>11517</v>
      </c>
      <c r="L1505" s="10" t="s">
        <v>42</v>
      </c>
    </row>
    <row r="1506" ht="15.75" customHeight="1">
      <c r="A1506" s="64">
        <v>45471.0</v>
      </c>
      <c r="B1506" s="55" t="str">
        <f>HYPERLINK("https://jobright.ai/jobs/info/666bcdc3c330b9e2aeba4b82?utm_campaign=1052&amp;utm_source=sheet", "Apply")</f>
        <v>Apply</v>
      </c>
      <c r="C1506" s="10" t="s">
        <v>11518</v>
      </c>
      <c r="D1506" s="56" t="s">
        <v>1576</v>
      </c>
      <c r="E1506" s="10" t="s">
        <v>45</v>
      </c>
      <c r="F1506" s="10" t="s">
        <v>1577</v>
      </c>
      <c r="G1506" s="10" t="s">
        <v>1159</v>
      </c>
      <c r="H1506" s="10" t="s">
        <v>1578</v>
      </c>
      <c r="I1506" s="10" t="s">
        <v>55</v>
      </c>
      <c r="J1506" s="10" t="s">
        <v>1579</v>
      </c>
      <c r="K1506" s="10" t="s">
        <v>7724</v>
      </c>
      <c r="L1506" s="10" t="s">
        <v>42</v>
      </c>
    </row>
    <row r="1507" ht="15.75" customHeight="1">
      <c r="A1507" s="64">
        <v>45470.0</v>
      </c>
      <c r="B1507" s="55" t="str">
        <f>HYPERLINK("https://jobright.ai/jobs/info/667dfcd763c037a1350fd4c8?utm_campaign=1052&amp;utm_source=sheet", "Apply")</f>
        <v>Apply</v>
      </c>
      <c r="C1507" s="10" t="s">
        <v>9858</v>
      </c>
      <c r="D1507" s="56" t="s">
        <v>11519</v>
      </c>
      <c r="E1507" s="10" t="s">
        <v>65</v>
      </c>
      <c r="F1507" s="10" t="s">
        <v>1234</v>
      </c>
      <c r="G1507" s="10" t="s">
        <v>9419</v>
      </c>
      <c r="H1507" s="10" t="s">
        <v>3423</v>
      </c>
      <c r="I1507" s="10" t="s">
        <v>55</v>
      </c>
      <c r="J1507" s="10" t="s">
        <v>581</v>
      </c>
      <c r="K1507" s="10" t="s">
        <v>11520</v>
      </c>
      <c r="L1507" s="10" t="s">
        <v>42</v>
      </c>
    </row>
    <row r="1508" ht="15.75" customHeight="1">
      <c r="A1508" s="64">
        <v>45470.0</v>
      </c>
      <c r="B1508" s="55" t="str">
        <f>HYPERLINK("https://jobright.ai/jobs/info/667ff580a01eb282dbd01038?utm_campaign=1052&amp;utm_source=sheet", "Apply")</f>
        <v>Apply</v>
      </c>
      <c r="C1508" s="10" t="s">
        <v>11334</v>
      </c>
      <c r="D1508" s="56" t="s">
        <v>10030</v>
      </c>
      <c r="E1508" s="10">
        <v>25.0</v>
      </c>
      <c r="G1508" s="10" t="s">
        <v>9419</v>
      </c>
      <c r="H1508" s="10" t="s">
        <v>867</v>
      </c>
      <c r="I1508" s="10" t="s">
        <v>55</v>
      </c>
      <c r="J1508" s="10" t="s">
        <v>9770</v>
      </c>
      <c r="K1508" s="10" t="s">
        <v>11250</v>
      </c>
      <c r="L1508" s="10" t="s">
        <v>42</v>
      </c>
    </row>
    <row r="1509" ht="15.75" customHeight="1">
      <c r="A1509" s="64">
        <v>45470.0</v>
      </c>
      <c r="B1509" s="55" t="str">
        <f>HYPERLINK("https://jobright.ai/jobs/info/667e0248ae99fb6a14978769?utm_campaign=1052&amp;utm_source=sheet", "Apply")</f>
        <v>Apply</v>
      </c>
      <c r="C1509" s="10" t="s">
        <v>9517</v>
      </c>
      <c r="D1509" s="56" t="s">
        <v>11521</v>
      </c>
      <c r="E1509" s="10" t="s">
        <v>276</v>
      </c>
      <c r="F1509" s="10" t="s">
        <v>9573</v>
      </c>
      <c r="G1509" s="10" t="s">
        <v>1159</v>
      </c>
      <c r="H1509" s="10" t="s">
        <v>636</v>
      </c>
      <c r="I1509" s="10" t="s">
        <v>48</v>
      </c>
      <c r="J1509" s="64"/>
      <c r="K1509" s="10" t="s">
        <v>11522</v>
      </c>
      <c r="L1509" s="10" t="s">
        <v>42</v>
      </c>
    </row>
    <row r="1510" ht="15.75" customHeight="1">
      <c r="A1510" s="64">
        <v>45470.0</v>
      </c>
      <c r="B1510" s="55" t="str">
        <f>HYPERLINK("https://jobright.ai/jobs/info/667daf9885f8076f244b27b1?utm_campaign=1052&amp;utm_source=sheet", "Apply")</f>
        <v>Apply</v>
      </c>
      <c r="C1510" s="10" t="s">
        <v>11523</v>
      </c>
      <c r="D1510" s="56" t="s">
        <v>11524</v>
      </c>
      <c r="E1510" s="10" t="s">
        <v>65</v>
      </c>
      <c r="F1510" s="10" t="s">
        <v>11525</v>
      </c>
      <c r="G1510" s="10" t="s">
        <v>9419</v>
      </c>
      <c r="H1510" s="10" t="s">
        <v>11526</v>
      </c>
      <c r="I1510" s="10" t="s">
        <v>55</v>
      </c>
      <c r="K1510" s="10" t="s">
        <v>11527</v>
      </c>
      <c r="L1510" s="10" t="s">
        <v>42</v>
      </c>
    </row>
    <row r="1511" ht="15.75" customHeight="1">
      <c r="A1511" s="64">
        <v>45469.0</v>
      </c>
      <c r="B1511" s="55" t="str">
        <f>HYPERLINK("https://jobright.ai/jobs/info/667cbc786c03d6aa6d804ec3?utm_campaign=1052&amp;utm_source=sheet", "Apply")</f>
        <v>Apply</v>
      </c>
      <c r="C1511" s="10" t="s">
        <v>11528</v>
      </c>
      <c r="D1511" s="56" t="s">
        <v>243</v>
      </c>
      <c r="E1511" s="10" t="s">
        <v>45</v>
      </c>
      <c r="F1511" s="10" t="s">
        <v>244</v>
      </c>
      <c r="G1511" s="10" t="s">
        <v>9414</v>
      </c>
      <c r="H1511" s="10" t="s">
        <v>245</v>
      </c>
      <c r="I1511" s="10" t="s">
        <v>48</v>
      </c>
      <c r="K1511" s="10" t="s">
        <v>11529</v>
      </c>
      <c r="L1511" s="10" t="s">
        <v>42</v>
      </c>
    </row>
    <row r="1512" ht="15.75" customHeight="1">
      <c r="A1512" s="64">
        <v>45469.0</v>
      </c>
      <c r="B1512" s="55" t="str">
        <f>HYPERLINK("https://jobright.ai/jobs/info/667cb7297f13acf322d948b1?utm_campaign=1052&amp;utm_source=sheet", "Apply")</f>
        <v>Apply</v>
      </c>
      <c r="C1512" s="10" t="s">
        <v>9701</v>
      </c>
      <c r="D1512" s="56" t="s">
        <v>11530</v>
      </c>
      <c r="E1512" s="10" t="s">
        <v>65</v>
      </c>
      <c r="F1512" s="10" t="s">
        <v>259</v>
      </c>
      <c r="G1512" s="10" t="s">
        <v>9414</v>
      </c>
      <c r="H1512" s="10" t="s">
        <v>740</v>
      </c>
      <c r="I1512" s="10" t="s">
        <v>48</v>
      </c>
      <c r="K1512" s="10" t="s">
        <v>11531</v>
      </c>
      <c r="L1512" s="10" t="s">
        <v>42</v>
      </c>
    </row>
    <row r="1513" ht="15.75" customHeight="1">
      <c r="A1513" s="64">
        <v>45469.0</v>
      </c>
      <c r="B1513" s="55" t="str">
        <f>HYPERLINK("https://jobright.ai/jobs/info/667847805a27b96c7bd9c462?utm_campaign=1052&amp;utm_source=sheet", "Apply")</f>
        <v>Apply</v>
      </c>
      <c r="C1513" s="10" t="s">
        <v>11532</v>
      </c>
      <c r="D1513" s="56" t="s">
        <v>1794</v>
      </c>
      <c r="E1513" s="10" t="s">
        <v>65</v>
      </c>
      <c r="F1513" s="10" t="s">
        <v>1795</v>
      </c>
      <c r="G1513" s="10" t="s">
        <v>9414</v>
      </c>
      <c r="H1513" s="10" t="s">
        <v>1796</v>
      </c>
      <c r="I1513" s="10" t="s">
        <v>55</v>
      </c>
      <c r="J1513" s="10" t="s">
        <v>11533</v>
      </c>
      <c r="K1513" s="10" t="s">
        <v>11534</v>
      </c>
      <c r="L1513" s="10" t="s">
        <v>42</v>
      </c>
    </row>
    <row r="1514" ht="15.75" customHeight="1">
      <c r="A1514" s="64">
        <v>45469.0</v>
      </c>
      <c r="B1514" s="55" t="str">
        <f>HYPERLINK("https://jobright.ai/jobs/info/667cb29a93f123f8bc4b66ea?utm_campaign=1052&amp;utm_source=sheet", "Apply")</f>
        <v>Apply</v>
      </c>
      <c r="C1514" s="10" t="s">
        <v>11535</v>
      </c>
      <c r="D1514" s="56" t="s">
        <v>1794</v>
      </c>
      <c r="E1514" s="10" t="s">
        <v>65</v>
      </c>
      <c r="F1514" s="10" t="s">
        <v>1795</v>
      </c>
      <c r="G1514" s="10" t="s">
        <v>1159</v>
      </c>
      <c r="H1514" s="10" t="s">
        <v>1796</v>
      </c>
      <c r="I1514" s="10" t="s">
        <v>48</v>
      </c>
      <c r="J1514" s="10" t="s">
        <v>3125</v>
      </c>
      <c r="K1514" s="10" t="s">
        <v>11536</v>
      </c>
      <c r="L1514" s="10" t="s">
        <v>42</v>
      </c>
    </row>
    <row r="1515" ht="15.75" customHeight="1">
      <c r="A1515" s="64">
        <v>45469.0</v>
      </c>
      <c r="B1515" s="55" t="str">
        <f>HYPERLINK("https://jobright.ai/jobs/info/667ca074c08973d614a470d4?utm_campaign=1052&amp;utm_source=sheet", "Apply")</f>
        <v>Apply</v>
      </c>
      <c r="C1515" s="10" t="s">
        <v>11532</v>
      </c>
      <c r="D1515" s="56" t="s">
        <v>1794</v>
      </c>
      <c r="E1515" s="10" t="s">
        <v>65</v>
      </c>
      <c r="F1515" s="10" t="s">
        <v>1795</v>
      </c>
      <c r="G1515" s="10" t="s">
        <v>9414</v>
      </c>
      <c r="H1515" s="10" t="s">
        <v>1796</v>
      </c>
      <c r="I1515" s="10" t="s">
        <v>48</v>
      </c>
      <c r="J1515" s="10" t="s">
        <v>11533</v>
      </c>
      <c r="K1515" s="10" t="s">
        <v>11534</v>
      </c>
      <c r="L1515" s="10" t="s">
        <v>42</v>
      </c>
    </row>
    <row r="1516" ht="15.75" customHeight="1">
      <c r="A1516" s="64">
        <v>45469.0</v>
      </c>
      <c r="B1516" s="55" t="str">
        <f>HYPERLINK("https://jobright.ai/jobs/info/667c95508b79c077c3ac1c6c?utm_campaign=1052&amp;utm_source=sheet", "Apply")</f>
        <v>Apply</v>
      </c>
      <c r="C1516" s="10" t="s">
        <v>11537</v>
      </c>
      <c r="D1516" s="56" t="s">
        <v>1794</v>
      </c>
      <c r="E1516" s="10" t="s">
        <v>65</v>
      </c>
      <c r="F1516" s="10" t="s">
        <v>1795</v>
      </c>
      <c r="G1516" s="10" t="s">
        <v>1159</v>
      </c>
      <c r="H1516" s="10" t="s">
        <v>1796</v>
      </c>
      <c r="I1516" s="10" t="s">
        <v>55</v>
      </c>
      <c r="J1516" s="10" t="s">
        <v>1761</v>
      </c>
      <c r="K1516" s="10" t="s">
        <v>11538</v>
      </c>
      <c r="L1516" s="10" t="s">
        <v>42</v>
      </c>
    </row>
    <row r="1517" ht="15.75" customHeight="1">
      <c r="A1517" s="64">
        <v>45469.0</v>
      </c>
      <c r="B1517" s="55" t="str">
        <f>HYPERLINK("https://jobright.ai/jobs/info/667ff4f0a01eb282dbd00329?utm_campaign=1052&amp;utm_source=sheet", "Apply")</f>
        <v>Apply</v>
      </c>
      <c r="C1517" s="10" t="s">
        <v>9577</v>
      </c>
      <c r="D1517" s="56" t="s">
        <v>10030</v>
      </c>
      <c r="E1517" s="10">
        <v>25.0</v>
      </c>
      <c r="G1517" s="10" t="s">
        <v>1159</v>
      </c>
      <c r="H1517" s="10" t="s">
        <v>10713</v>
      </c>
      <c r="I1517" s="10" t="s">
        <v>55</v>
      </c>
      <c r="K1517" s="10" t="s">
        <v>11303</v>
      </c>
      <c r="L1517" s="10" t="s">
        <v>42</v>
      </c>
    </row>
    <row r="1518" ht="15.75" customHeight="1">
      <c r="A1518" s="64">
        <v>45469.0</v>
      </c>
      <c r="B1518" s="55" t="str">
        <f>HYPERLINK("https://jobright.ai/jobs/info/667b9abd111bb22c5147cb67?utm_campaign=1052&amp;utm_source=sheet", "Apply")</f>
        <v>Apply</v>
      </c>
      <c r="C1518" s="10" t="s">
        <v>11539</v>
      </c>
      <c r="D1518" s="56" t="s">
        <v>11540</v>
      </c>
      <c r="E1518" s="10" t="s">
        <v>276</v>
      </c>
      <c r="F1518" s="10" t="s">
        <v>10</v>
      </c>
      <c r="G1518" s="10" t="s">
        <v>9419</v>
      </c>
      <c r="H1518" s="10" t="s">
        <v>572</v>
      </c>
      <c r="I1518" s="10" t="s">
        <v>55</v>
      </c>
      <c r="K1518" s="10" t="s">
        <v>11541</v>
      </c>
      <c r="L1518" s="10" t="s">
        <v>42</v>
      </c>
    </row>
    <row r="1519" ht="15.75" customHeight="1">
      <c r="A1519" s="64">
        <v>45469.0</v>
      </c>
      <c r="B1519" s="55" t="str">
        <f>HYPERLINK("https://jobright.ai/jobs/info/667c67da7e12202882144326?utm_campaign=1052&amp;utm_source=sheet", "Apply")</f>
        <v>Apply</v>
      </c>
      <c r="C1519" s="10" t="s">
        <v>11542</v>
      </c>
      <c r="D1519" s="56" t="s">
        <v>11543</v>
      </c>
      <c r="E1519" s="10" t="s">
        <v>45</v>
      </c>
      <c r="F1519" s="10" t="s">
        <v>1243</v>
      </c>
      <c r="G1519" s="10" t="s">
        <v>9419</v>
      </c>
      <c r="H1519" s="10" t="s">
        <v>988</v>
      </c>
      <c r="I1519" s="10" t="s">
        <v>55</v>
      </c>
      <c r="J1519" s="10" t="s">
        <v>1797</v>
      </c>
      <c r="K1519" s="10" t="s">
        <v>11544</v>
      </c>
      <c r="L1519" s="10" t="s">
        <v>42</v>
      </c>
    </row>
    <row r="1520" ht="15.75" customHeight="1">
      <c r="A1520" s="64">
        <v>45469.0</v>
      </c>
      <c r="B1520" s="55" t="str">
        <f>HYPERLINK("https://jobright.ai/jobs/info/667c620ad7e33de70442fe13?utm_campaign=1052&amp;utm_source=sheet", "Apply")</f>
        <v>Apply</v>
      </c>
      <c r="C1520" s="10" t="s">
        <v>11528</v>
      </c>
      <c r="D1520" s="56" t="s">
        <v>243</v>
      </c>
      <c r="E1520" s="10" t="s">
        <v>45</v>
      </c>
      <c r="F1520" s="10" t="s">
        <v>244</v>
      </c>
      <c r="G1520" s="10" t="s">
        <v>9414</v>
      </c>
      <c r="H1520" s="10" t="s">
        <v>11545</v>
      </c>
      <c r="I1520" s="10" t="s">
        <v>48</v>
      </c>
      <c r="J1520" s="64"/>
      <c r="K1520" s="10" t="s">
        <v>11529</v>
      </c>
      <c r="L1520" s="10" t="s">
        <v>42</v>
      </c>
    </row>
    <row r="1521" ht="15.75" customHeight="1">
      <c r="A1521" s="64">
        <v>45468.0</v>
      </c>
      <c r="B1521" s="55" t="str">
        <f>HYPERLINK("https://jobright.ai/jobs/info/667bab4ca080c303ce1b6253?utm_campaign=1052&amp;utm_source=sheet", "Apply")</f>
        <v>Apply</v>
      </c>
      <c r="C1521" s="10" t="s">
        <v>11546</v>
      </c>
      <c r="D1521" s="56" t="s">
        <v>2986</v>
      </c>
      <c r="E1521" s="10" t="s">
        <v>45</v>
      </c>
      <c r="F1521" s="10" t="s">
        <v>2987</v>
      </c>
      <c r="G1521" s="10" t="s">
        <v>9414</v>
      </c>
      <c r="H1521" s="10" t="s">
        <v>442</v>
      </c>
      <c r="I1521" s="10" t="s">
        <v>48</v>
      </c>
      <c r="J1521" s="10" t="s">
        <v>3979</v>
      </c>
      <c r="K1521" s="10" t="s">
        <v>11547</v>
      </c>
      <c r="L1521" s="10" t="s">
        <v>42</v>
      </c>
    </row>
    <row r="1522" ht="15.75" customHeight="1">
      <c r="A1522" s="64">
        <v>45468.0</v>
      </c>
      <c r="B1522" s="55" t="str">
        <f>HYPERLINK("https://jobright.ai/jobs/info/667d73dbacc51afa47c3d1e5?utm_campaign=1052&amp;utm_source=sheet", "Apply")</f>
        <v>Apply</v>
      </c>
      <c r="C1522" s="10" t="s">
        <v>11548</v>
      </c>
      <c r="D1522" s="56" t="s">
        <v>9557</v>
      </c>
      <c r="E1522" s="10" t="s">
        <v>209</v>
      </c>
      <c r="F1522" s="10" t="s">
        <v>1159</v>
      </c>
      <c r="G1522" s="10" t="s">
        <v>9419</v>
      </c>
      <c r="H1522" s="10" t="s">
        <v>154</v>
      </c>
      <c r="I1522" s="10" t="s">
        <v>55</v>
      </c>
      <c r="J1522" s="64"/>
      <c r="K1522" s="10" t="s">
        <v>10154</v>
      </c>
      <c r="L1522" s="10" t="s">
        <v>42</v>
      </c>
    </row>
    <row r="1523" ht="15.75" customHeight="1">
      <c r="A1523" s="64">
        <v>45468.0</v>
      </c>
      <c r="B1523" s="55" t="str">
        <f>HYPERLINK("https://jobright.ai/jobs/info/667b2fa33ba8e5990a093d9e?utm_campaign=1052&amp;utm_source=sheet", "Apply")</f>
        <v>Apply</v>
      </c>
      <c r="C1523" s="10" t="s">
        <v>10476</v>
      </c>
      <c r="D1523" s="56" t="s">
        <v>7287</v>
      </c>
      <c r="E1523" s="10" t="s">
        <v>45</v>
      </c>
      <c r="F1523" s="10" t="s">
        <v>7288</v>
      </c>
      <c r="G1523" s="10" t="s">
        <v>9414</v>
      </c>
      <c r="H1523" s="10" t="s">
        <v>11549</v>
      </c>
      <c r="I1523" s="10" t="s">
        <v>55</v>
      </c>
      <c r="K1523" s="10" t="s">
        <v>10477</v>
      </c>
      <c r="L1523" s="10" t="s">
        <v>42</v>
      </c>
    </row>
    <row r="1524" ht="15.75" customHeight="1">
      <c r="A1524" s="64">
        <v>45467.0</v>
      </c>
      <c r="B1524" s="55" t="str">
        <f>HYPERLINK("https://jobright.ai/jobs/info/6679690cd86d626ab8b781fe?utm_campaign=1052&amp;utm_source=sheet", "Apply")</f>
        <v>Apply</v>
      </c>
      <c r="C1524" s="10" t="s">
        <v>9436</v>
      </c>
      <c r="D1524" s="56" t="s">
        <v>1273</v>
      </c>
      <c r="E1524" s="10" t="s">
        <v>45</v>
      </c>
      <c r="F1524" s="10" t="s">
        <v>1274</v>
      </c>
      <c r="G1524" s="10" t="s">
        <v>9414</v>
      </c>
      <c r="H1524" s="10" t="s">
        <v>11550</v>
      </c>
      <c r="I1524" s="10" t="s">
        <v>55</v>
      </c>
      <c r="K1524" s="10" t="s">
        <v>11551</v>
      </c>
      <c r="L1524" s="10" t="s">
        <v>42</v>
      </c>
    </row>
    <row r="1525" ht="15.75" customHeight="1">
      <c r="A1525" s="64">
        <v>45467.0</v>
      </c>
      <c r="B1525" s="55" t="str">
        <f>HYPERLINK("https://jobright.ai/jobs/info/6679c7eb1db8ec5328a2a81c?utm_campaign=1052&amp;utm_source=sheet", "Apply")</f>
        <v>Apply</v>
      </c>
      <c r="C1525" s="10" t="s">
        <v>11552</v>
      </c>
      <c r="D1525" s="56" t="s">
        <v>11448</v>
      </c>
      <c r="E1525" s="10">
        <v>658.0</v>
      </c>
      <c r="G1525" s="10" t="s">
        <v>9414</v>
      </c>
      <c r="H1525" s="10" t="s">
        <v>10313</v>
      </c>
      <c r="I1525" s="10" t="s">
        <v>48</v>
      </c>
      <c r="J1525" s="64"/>
      <c r="K1525" s="10" t="s">
        <v>11449</v>
      </c>
      <c r="L1525" s="10" t="s">
        <v>42</v>
      </c>
    </row>
    <row r="1526" ht="15.75" customHeight="1">
      <c r="A1526" s="64">
        <v>45467.0</v>
      </c>
      <c r="B1526" s="55" t="str">
        <f>HYPERLINK("https://jobright.ai/jobs/info/6679a3f9278f72d4fa97d636?utm_campaign=1052&amp;utm_source=sheet", "Apply")</f>
        <v>Apply</v>
      </c>
      <c r="C1526" s="10" t="s">
        <v>11553</v>
      </c>
      <c r="D1526" s="56" t="s">
        <v>11554</v>
      </c>
      <c r="E1526" s="10" t="s">
        <v>276</v>
      </c>
      <c r="F1526" s="10" t="s">
        <v>722</v>
      </c>
      <c r="G1526" s="10" t="s">
        <v>9419</v>
      </c>
      <c r="H1526" s="10" t="s">
        <v>7427</v>
      </c>
      <c r="I1526" s="10" t="s">
        <v>55</v>
      </c>
      <c r="J1526" s="64"/>
      <c r="K1526" s="10" t="s">
        <v>11555</v>
      </c>
      <c r="L1526" s="10" t="s">
        <v>42</v>
      </c>
    </row>
    <row r="1527" ht="15.75" customHeight="1">
      <c r="A1527" s="64">
        <v>45467.0</v>
      </c>
      <c r="B1527" s="55" t="str">
        <f>HYPERLINK("https://jobright.ai/jobs/info/660735cad49a6692660b006b?utm_campaign=1052&amp;utm_source=sheet", "Apply")</f>
        <v>Apply</v>
      </c>
      <c r="C1527" s="10" t="s">
        <v>11556</v>
      </c>
      <c r="D1527" s="56" t="s">
        <v>1158</v>
      </c>
      <c r="E1527" s="10" t="s">
        <v>276</v>
      </c>
      <c r="F1527" s="10" t="s">
        <v>1159</v>
      </c>
      <c r="G1527" s="10" t="s">
        <v>9419</v>
      </c>
      <c r="H1527" s="10" t="s">
        <v>1160</v>
      </c>
      <c r="I1527" s="10" t="s">
        <v>55</v>
      </c>
      <c r="J1527" s="64"/>
      <c r="K1527" s="10" t="s">
        <v>10586</v>
      </c>
      <c r="L1527" s="10" t="s">
        <v>42</v>
      </c>
    </row>
    <row r="1528" ht="15.75" customHeight="1">
      <c r="A1528" s="64">
        <v>45467.0</v>
      </c>
      <c r="B1528" s="55" t="str">
        <f>HYPERLINK("https://jobright.ai/jobs/info/667904b839eabaadffee57bb?utm_campaign=1052&amp;utm_source=sheet", "Apply")</f>
        <v>Apply</v>
      </c>
      <c r="C1528" s="10" t="s">
        <v>11557</v>
      </c>
      <c r="D1528" s="56" t="s">
        <v>2387</v>
      </c>
      <c r="E1528" s="10" t="s">
        <v>45</v>
      </c>
      <c r="F1528" s="10" t="s">
        <v>1084</v>
      </c>
      <c r="G1528" s="10" t="s">
        <v>9414</v>
      </c>
      <c r="H1528" s="10" t="s">
        <v>96</v>
      </c>
      <c r="I1528" s="10" t="s">
        <v>55</v>
      </c>
      <c r="J1528" s="10" t="s">
        <v>9944</v>
      </c>
      <c r="K1528" s="10" t="s">
        <v>11558</v>
      </c>
      <c r="L1528" s="10" t="s">
        <v>42</v>
      </c>
    </row>
    <row r="1529" ht="15.75" customHeight="1">
      <c r="A1529" s="64">
        <v>45467.0</v>
      </c>
      <c r="B1529" s="55" t="str">
        <f>HYPERLINK("https://jobright.ai/jobs/info/6679c66ac6f5ba358787262a?utm_campaign=1052&amp;utm_source=sheet", "Apply")</f>
        <v>Apply</v>
      </c>
      <c r="C1529" s="10" t="s">
        <v>11552</v>
      </c>
      <c r="D1529" s="56" t="s">
        <v>11448</v>
      </c>
      <c r="E1529" s="10">
        <v>658.0</v>
      </c>
      <c r="G1529" s="10" t="s">
        <v>9414</v>
      </c>
      <c r="H1529" s="10" t="s">
        <v>10313</v>
      </c>
      <c r="I1529" s="10" t="s">
        <v>55</v>
      </c>
      <c r="J1529" s="64"/>
      <c r="K1529" s="10" t="s">
        <v>11449</v>
      </c>
      <c r="L1529" s="10" t="s">
        <v>42</v>
      </c>
    </row>
    <row r="1530" ht="15.75" customHeight="1">
      <c r="A1530" s="64">
        <v>45465.0</v>
      </c>
      <c r="B1530" s="55" t="str">
        <f>HYPERLINK("https://jobright.ai/jobs/info/667973338f20c6df6b899a67?utm_campaign=1052&amp;utm_source=sheet", "Apply")</f>
        <v>Apply</v>
      </c>
      <c r="C1530" s="10" t="s">
        <v>11285</v>
      </c>
      <c r="D1530" s="56" t="s">
        <v>1273</v>
      </c>
      <c r="E1530" s="10" t="s">
        <v>45</v>
      </c>
      <c r="F1530" s="10" t="s">
        <v>1274</v>
      </c>
      <c r="G1530" s="10" t="s">
        <v>9414</v>
      </c>
      <c r="H1530" s="10" t="s">
        <v>2154</v>
      </c>
      <c r="I1530" s="10" t="s">
        <v>55</v>
      </c>
      <c r="J1530" s="64"/>
      <c r="K1530" s="10" t="s">
        <v>11286</v>
      </c>
      <c r="L1530" s="10" t="s">
        <v>42</v>
      </c>
    </row>
    <row r="1531" ht="15.75" customHeight="1">
      <c r="A1531" s="64">
        <v>45465.0</v>
      </c>
      <c r="B1531" s="55" t="str">
        <f>HYPERLINK("https://jobright.ai/jobs/info/6624aa77d96d57dcffd6597e?utm_campaign=1052&amp;utm_source=sheet", "Apply")</f>
        <v>Apply</v>
      </c>
      <c r="C1531" s="10" t="s">
        <v>10752</v>
      </c>
      <c r="D1531" s="56" t="s">
        <v>10369</v>
      </c>
      <c r="E1531" s="10" t="s">
        <v>249</v>
      </c>
      <c r="F1531" s="10" t="s">
        <v>10370</v>
      </c>
      <c r="G1531" s="10" t="s">
        <v>9414</v>
      </c>
      <c r="H1531" s="10" t="s">
        <v>977</v>
      </c>
      <c r="I1531" s="10" t="s">
        <v>48</v>
      </c>
      <c r="K1531" s="10" t="s">
        <v>10753</v>
      </c>
      <c r="L1531" s="10" t="s">
        <v>42</v>
      </c>
    </row>
    <row r="1532" ht="15.75" customHeight="1">
      <c r="A1532" s="64">
        <v>45465.0</v>
      </c>
      <c r="B1532" s="55" t="str">
        <f>HYPERLINK("https://jobright.ai/jobs/info/667ff5c8a01eb282dbd015b2?utm_campaign=1052&amp;utm_source=sheet", "Apply")</f>
        <v>Apply</v>
      </c>
      <c r="C1532" s="10" t="s">
        <v>11559</v>
      </c>
      <c r="D1532" s="56" t="s">
        <v>9557</v>
      </c>
      <c r="E1532" s="10" t="s">
        <v>209</v>
      </c>
      <c r="F1532" s="10" t="s">
        <v>1159</v>
      </c>
      <c r="G1532" s="10" t="s">
        <v>9419</v>
      </c>
      <c r="H1532" s="10" t="s">
        <v>886</v>
      </c>
      <c r="I1532" s="10" t="s">
        <v>55</v>
      </c>
      <c r="J1532" s="64"/>
      <c r="K1532" s="10" t="s">
        <v>11560</v>
      </c>
      <c r="L1532" s="10" t="s">
        <v>42</v>
      </c>
    </row>
    <row r="1533" ht="15.75" customHeight="1">
      <c r="A1533" s="64">
        <v>45465.0</v>
      </c>
      <c r="B1533" s="55" t="str">
        <f>HYPERLINK("https://jobright.ai/jobs/info/667ff5d3a01eb282dbd0168c?utm_campaign=1052&amp;utm_source=sheet", "Apply")</f>
        <v>Apply</v>
      </c>
      <c r="C1533" s="10" t="s">
        <v>11561</v>
      </c>
      <c r="D1533" s="56" t="s">
        <v>9695</v>
      </c>
      <c r="E1533" s="10" t="s">
        <v>65</v>
      </c>
      <c r="F1533" s="10" t="s">
        <v>1312</v>
      </c>
      <c r="G1533" s="10" t="s">
        <v>9419</v>
      </c>
      <c r="H1533" s="10" t="s">
        <v>1120</v>
      </c>
      <c r="I1533" s="10" t="s">
        <v>48</v>
      </c>
      <c r="K1533" s="10" t="s">
        <v>9696</v>
      </c>
      <c r="L1533" s="10" t="s">
        <v>42</v>
      </c>
    </row>
    <row r="1534" ht="15.75" customHeight="1">
      <c r="A1534" s="64">
        <v>45465.0</v>
      </c>
      <c r="B1534" s="55" t="str">
        <f>HYPERLINK("https://jobright.ai/jobs/info/667fef01c72a4cb5f3dd7ad1?utm_campaign=1052&amp;utm_source=sheet", "Apply")</f>
        <v>Apply</v>
      </c>
      <c r="C1534" s="10" t="s">
        <v>11562</v>
      </c>
      <c r="D1534" s="56" t="s">
        <v>9695</v>
      </c>
      <c r="E1534" s="10" t="s">
        <v>65</v>
      </c>
      <c r="F1534" s="10" t="s">
        <v>1312</v>
      </c>
      <c r="G1534" s="10" t="s">
        <v>9419</v>
      </c>
      <c r="H1534" s="10" t="s">
        <v>1120</v>
      </c>
      <c r="I1534" s="10" t="s">
        <v>48</v>
      </c>
      <c r="J1534" s="64"/>
      <c r="K1534" s="10" t="s">
        <v>9696</v>
      </c>
      <c r="L1534" s="10" t="s">
        <v>42</v>
      </c>
    </row>
    <row r="1535" ht="15.75" customHeight="1">
      <c r="A1535" s="64">
        <v>45465.0</v>
      </c>
      <c r="B1535" s="55" t="str">
        <f>HYPERLINK("https://jobright.ai/jobs/info/6676c6b7807f31af72077a39?utm_campaign=1052&amp;utm_source=sheet", "Apply")</f>
        <v>Apply</v>
      </c>
      <c r="C1535" s="10" t="s">
        <v>11563</v>
      </c>
      <c r="D1535" s="56" t="s">
        <v>11564</v>
      </c>
      <c r="E1535" s="10" t="s">
        <v>45</v>
      </c>
      <c r="F1535" s="10" t="s">
        <v>11565</v>
      </c>
      <c r="G1535" s="10" t="s">
        <v>9419</v>
      </c>
      <c r="H1535" s="10" t="s">
        <v>636</v>
      </c>
      <c r="I1535" s="10" t="s">
        <v>55</v>
      </c>
      <c r="J1535" s="64"/>
      <c r="K1535" s="10" t="s">
        <v>11566</v>
      </c>
      <c r="L1535" s="10" t="s">
        <v>42</v>
      </c>
    </row>
    <row r="1536" ht="15.75" customHeight="1">
      <c r="A1536" s="64">
        <v>45464.0</v>
      </c>
      <c r="B1536" s="55" t="str">
        <f>HYPERLINK("https://jobright.ai/jobs/info/66779d8a3fb2e61146dd7a48?utm_campaign=1052&amp;utm_source=sheet", "Apply")</f>
        <v>Apply</v>
      </c>
      <c r="C1536" s="10" t="s">
        <v>11567</v>
      </c>
      <c r="D1536" s="56" t="s">
        <v>9695</v>
      </c>
      <c r="E1536" s="10" t="s">
        <v>65</v>
      </c>
      <c r="F1536" s="10" t="s">
        <v>1312</v>
      </c>
      <c r="G1536" s="10" t="s">
        <v>9419</v>
      </c>
      <c r="H1536" s="10" t="s">
        <v>153</v>
      </c>
      <c r="I1536" s="10" t="s">
        <v>48</v>
      </c>
      <c r="K1536" s="10" t="s">
        <v>9696</v>
      </c>
      <c r="L1536" s="10" t="s">
        <v>42</v>
      </c>
    </row>
    <row r="1537" ht="15.75" customHeight="1">
      <c r="A1537" s="64">
        <v>45464.0</v>
      </c>
      <c r="B1537" s="55" t="str">
        <f>HYPERLINK("https://jobright.ai/jobs/info/66779d933fb2e61146dd7a60?utm_campaign=1052&amp;utm_source=sheet", "Apply")</f>
        <v>Apply</v>
      </c>
      <c r="C1537" s="10" t="s">
        <v>11568</v>
      </c>
      <c r="D1537" s="56" t="s">
        <v>9695</v>
      </c>
      <c r="E1537" s="10" t="s">
        <v>65</v>
      </c>
      <c r="F1537" s="10" t="s">
        <v>1312</v>
      </c>
      <c r="G1537" s="10" t="s">
        <v>9419</v>
      </c>
      <c r="H1537" s="10" t="s">
        <v>994</v>
      </c>
      <c r="I1537" s="10" t="s">
        <v>48</v>
      </c>
      <c r="K1537" s="10" t="s">
        <v>9696</v>
      </c>
      <c r="L1537" s="10" t="s">
        <v>42</v>
      </c>
    </row>
    <row r="1538" ht="15.75" customHeight="1">
      <c r="A1538" s="64">
        <v>45464.0</v>
      </c>
      <c r="B1538" s="55" t="str">
        <f>HYPERLINK("https://jobright.ai/jobs/info/6675e13be95c1a0a225b877c?utm_campaign=1052&amp;utm_source=sheet", "Apply")</f>
        <v>Apply</v>
      </c>
      <c r="C1538" s="10" t="s">
        <v>11569</v>
      </c>
      <c r="D1538" s="56" t="s">
        <v>11570</v>
      </c>
      <c r="E1538" s="10">
        <v>6195.0</v>
      </c>
      <c r="G1538" s="10" t="s">
        <v>9419</v>
      </c>
      <c r="H1538" s="10" t="s">
        <v>1168</v>
      </c>
      <c r="I1538" s="10" t="s">
        <v>48</v>
      </c>
      <c r="J1538" s="10" t="s">
        <v>11571</v>
      </c>
      <c r="K1538" s="10" t="s">
        <v>11572</v>
      </c>
      <c r="L1538" s="10" t="s">
        <v>42</v>
      </c>
    </row>
    <row r="1539" ht="15.75" customHeight="1">
      <c r="A1539" s="64">
        <v>45464.0</v>
      </c>
      <c r="B1539" s="55" t="str">
        <f>HYPERLINK("https://jobright.ai/jobs/info/6677a17d82327573f52bfeaa?utm_campaign=1052&amp;utm_source=sheet", "Apply")</f>
        <v>Apply</v>
      </c>
      <c r="C1539" s="10" t="s">
        <v>11573</v>
      </c>
      <c r="D1539" s="56" t="s">
        <v>9695</v>
      </c>
      <c r="E1539" s="10" t="s">
        <v>65</v>
      </c>
      <c r="F1539" s="10" t="s">
        <v>1312</v>
      </c>
      <c r="G1539" s="10" t="s">
        <v>9419</v>
      </c>
      <c r="H1539" s="10" t="s">
        <v>1048</v>
      </c>
      <c r="I1539" s="10" t="s">
        <v>48</v>
      </c>
      <c r="K1539" s="10" t="s">
        <v>10565</v>
      </c>
      <c r="L1539" s="10" t="s">
        <v>42</v>
      </c>
    </row>
    <row r="1540" ht="15.75" customHeight="1">
      <c r="A1540" s="64">
        <v>45464.0</v>
      </c>
      <c r="B1540" s="55" t="str">
        <f>HYPERLINK("https://jobright.ai/jobs/info/6677a18682327573f52bfef5?utm_campaign=1052&amp;utm_source=sheet", "Apply")</f>
        <v>Apply</v>
      </c>
      <c r="C1540" s="10" t="s">
        <v>11574</v>
      </c>
      <c r="D1540" s="56" t="s">
        <v>9695</v>
      </c>
      <c r="E1540" s="10" t="s">
        <v>65</v>
      </c>
      <c r="F1540" s="10" t="s">
        <v>1312</v>
      </c>
      <c r="G1540" s="10" t="s">
        <v>9419</v>
      </c>
      <c r="H1540" s="10" t="s">
        <v>11575</v>
      </c>
      <c r="I1540" s="10" t="s">
        <v>48</v>
      </c>
      <c r="J1540" s="64"/>
      <c r="K1540" s="10" t="s">
        <v>10565</v>
      </c>
      <c r="L1540" s="10" t="s">
        <v>42</v>
      </c>
    </row>
    <row r="1541" ht="15.75" customHeight="1">
      <c r="A1541" s="64">
        <v>45464.0</v>
      </c>
      <c r="B1541" s="55" t="str">
        <f>HYPERLINK("https://jobright.ai/jobs/info/6677a1a782327573f52c0188?utm_campaign=1052&amp;utm_source=sheet", "Apply")</f>
        <v>Apply</v>
      </c>
      <c r="C1541" s="10" t="s">
        <v>11576</v>
      </c>
      <c r="D1541" s="56" t="s">
        <v>9695</v>
      </c>
      <c r="E1541" s="10" t="s">
        <v>65</v>
      </c>
      <c r="F1541" s="10" t="s">
        <v>1312</v>
      </c>
      <c r="G1541" s="10" t="s">
        <v>9419</v>
      </c>
      <c r="H1541" s="10" t="s">
        <v>306</v>
      </c>
      <c r="I1541" s="10" t="s">
        <v>48</v>
      </c>
      <c r="J1541" s="64"/>
      <c r="K1541" s="10" t="s">
        <v>10565</v>
      </c>
      <c r="L1541" s="10" t="s">
        <v>42</v>
      </c>
    </row>
    <row r="1542" ht="15.75" customHeight="1">
      <c r="A1542" s="64">
        <v>45464.0</v>
      </c>
      <c r="B1542" s="55" t="str">
        <f>HYPERLINK("https://jobright.ai/jobs/info/6677a1d382327573f52c04b3?utm_campaign=1052&amp;utm_source=sheet", "Apply")</f>
        <v>Apply</v>
      </c>
      <c r="C1542" s="10" t="s">
        <v>11577</v>
      </c>
      <c r="D1542" s="56" t="s">
        <v>9695</v>
      </c>
      <c r="E1542" s="10" t="s">
        <v>65</v>
      </c>
      <c r="F1542" s="10" t="s">
        <v>1312</v>
      </c>
      <c r="G1542" s="10" t="s">
        <v>9419</v>
      </c>
      <c r="H1542" s="10" t="s">
        <v>11575</v>
      </c>
      <c r="I1542" s="10" t="s">
        <v>48</v>
      </c>
      <c r="J1542" s="64"/>
      <c r="K1542" s="10" t="s">
        <v>10565</v>
      </c>
      <c r="L1542" s="10" t="s">
        <v>42</v>
      </c>
    </row>
    <row r="1543" ht="15.75" customHeight="1">
      <c r="A1543" s="64">
        <v>45464.0</v>
      </c>
      <c r="B1543" s="55" t="str">
        <f>HYPERLINK("https://jobright.ai/jobs/info/6677a1dc82327573f52c050c?utm_campaign=1052&amp;utm_source=sheet", "Apply")</f>
        <v>Apply</v>
      </c>
      <c r="C1543" s="10" t="s">
        <v>11578</v>
      </c>
      <c r="D1543" s="56" t="s">
        <v>9695</v>
      </c>
      <c r="E1543" s="10" t="s">
        <v>65</v>
      </c>
      <c r="F1543" s="10" t="s">
        <v>1312</v>
      </c>
      <c r="G1543" s="10" t="s">
        <v>9419</v>
      </c>
      <c r="H1543" s="10" t="s">
        <v>159</v>
      </c>
      <c r="I1543" s="10" t="s">
        <v>48</v>
      </c>
      <c r="J1543" s="64"/>
      <c r="K1543" s="10" t="s">
        <v>9696</v>
      </c>
      <c r="L1543" s="10" t="s">
        <v>42</v>
      </c>
    </row>
    <row r="1544" ht="15.75" customHeight="1">
      <c r="A1544" s="64">
        <v>45464.0</v>
      </c>
      <c r="B1544" s="55" t="str">
        <f>HYPERLINK("https://jobright.ai/jobs/info/6677a22882327573f52c0b23?utm_campaign=1052&amp;utm_source=sheet", "Apply")</f>
        <v>Apply</v>
      </c>
      <c r="C1544" s="10" t="s">
        <v>11579</v>
      </c>
      <c r="D1544" s="56" t="s">
        <v>9695</v>
      </c>
      <c r="E1544" s="10" t="s">
        <v>65</v>
      </c>
      <c r="F1544" s="10" t="s">
        <v>1312</v>
      </c>
      <c r="G1544" s="10" t="s">
        <v>9419</v>
      </c>
      <c r="H1544" s="10" t="s">
        <v>139</v>
      </c>
      <c r="I1544" s="10" t="s">
        <v>48</v>
      </c>
      <c r="J1544" s="64"/>
      <c r="K1544" s="10" t="s">
        <v>9696</v>
      </c>
      <c r="L1544" s="10" t="s">
        <v>42</v>
      </c>
    </row>
    <row r="1545" ht="15.75" customHeight="1">
      <c r="A1545" s="64">
        <v>45464.0</v>
      </c>
      <c r="B1545" s="55" t="str">
        <f>HYPERLINK("https://jobright.ai/jobs/info/6677a23282327573f52c0b71?utm_campaign=1052&amp;utm_source=sheet", "Apply")</f>
        <v>Apply</v>
      </c>
      <c r="C1545" s="10" t="s">
        <v>11580</v>
      </c>
      <c r="D1545" s="56" t="s">
        <v>9695</v>
      </c>
      <c r="E1545" s="10" t="s">
        <v>65</v>
      </c>
      <c r="F1545" s="10" t="s">
        <v>1312</v>
      </c>
      <c r="G1545" s="10" t="s">
        <v>9419</v>
      </c>
      <c r="H1545" s="10" t="s">
        <v>11575</v>
      </c>
      <c r="I1545" s="10" t="s">
        <v>48</v>
      </c>
      <c r="J1545" s="64"/>
      <c r="K1545" s="10" t="s">
        <v>10565</v>
      </c>
      <c r="L1545" s="10" t="s">
        <v>42</v>
      </c>
    </row>
    <row r="1546" ht="15.75" customHeight="1">
      <c r="A1546" s="64">
        <v>45464.0</v>
      </c>
      <c r="B1546" s="55" t="str">
        <f>HYPERLINK("https://jobright.ai/jobs/info/6677a23282327573f52c0b70?utm_campaign=1052&amp;utm_source=sheet", "Apply")</f>
        <v>Apply</v>
      </c>
      <c r="C1546" s="10" t="s">
        <v>11581</v>
      </c>
      <c r="D1546" s="56" t="s">
        <v>9695</v>
      </c>
      <c r="E1546" s="10" t="s">
        <v>65</v>
      </c>
      <c r="F1546" s="10" t="s">
        <v>1312</v>
      </c>
      <c r="G1546" s="10" t="s">
        <v>9419</v>
      </c>
      <c r="H1546" s="10" t="s">
        <v>7659</v>
      </c>
      <c r="I1546" s="10" t="s">
        <v>48</v>
      </c>
      <c r="J1546" s="64"/>
      <c r="K1546" s="10" t="s">
        <v>9696</v>
      </c>
      <c r="L1546" s="10" t="s">
        <v>42</v>
      </c>
    </row>
    <row r="1547" ht="15.75" customHeight="1">
      <c r="A1547" s="64">
        <v>45464.0</v>
      </c>
      <c r="B1547" s="55" t="str">
        <f>HYPERLINK("https://jobright.ai/jobs/info/6677a27e82327573f52c1113?utm_campaign=1052&amp;utm_source=sheet", "Apply")</f>
        <v>Apply</v>
      </c>
      <c r="C1547" s="10" t="s">
        <v>11582</v>
      </c>
      <c r="D1547" s="56" t="s">
        <v>9695</v>
      </c>
      <c r="E1547" s="10" t="s">
        <v>65</v>
      </c>
      <c r="F1547" s="10" t="s">
        <v>1312</v>
      </c>
      <c r="G1547" s="10" t="s">
        <v>9419</v>
      </c>
      <c r="H1547" s="10" t="s">
        <v>7659</v>
      </c>
      <c r="I1547" s="10" t="s">
        <v>48</v>
      </c>
      <c r="J1547" s="64"/>
      <c r="K1547" s="10" t="s">
        <v>9696</v>
      </c>
      <c r="L1547" s="10" t="s">
        <v>42</v>
      </c>
    </row>
    <row r="1548" ht="15.75" customHeight="1">
      <c r="A1548" s="64">
        <v>45464.0</v>
      </c>
      <c r="B1548" s="55" t="str">
        <f>HYPERLINK("https://jobright.ai/jobs/info/6677a8380cb41ca3d012db39?utm_campaign=1052&amp;utm_source=sheet", "Apply")</f>
        <v>Apply</v>
      </c>
      <c r="C1548" s="10" t="s">
        <v>11583</v>
      </c>
      <c r="D1548" s="56" t="s">
        <v>9695</v>
      </c>
      <c r="E1548" s="10" t="s">
        <v>65</v>
      </c>
      <c r="F1548" s="10" t="s">
        <v>1312</v>
      </c>
      <c r="G1548" s="10" t="s">
        <v>9419</v>
      </c>
      <c r="H1548" s="10" t="s">
        <v>306</v>
      </c>
      <c r="I1548" s="10" t="s">
        <v>48</v>
      </c>
      <c r="J1548" s="64"/>
      <c r="K1548" s="10" t="s">
        <v>10565</v>
      </c>
      <c r="L1548" s="10" t="s">
        <v>42</v>
      </c>
    </row>
    <row r="1549" ht="15.75" customHeight="1">
      <c r="A1549" s="64">
        <v>45464.0</v>
      </c>
      <c r="B1549" s="55" t="str">
        <f>HYPERLINK("https://jobright.ai/jobs/info/6676c1e0c9dc0237d722af7e?utm_campaign=1052&amp;utm_source=sheet", "Apply")</f>
        <v>Apply</v>
      </c>
      <c r="C1549" s="10" t="s">
        <v>11584</v>
      </c>
      <c r="D1549" s="56" t="s">
        <v>9695</v>
      </c>
      <c r="E1549" s="10" t="s">
        <v>65</v>
      </c>
      <c r="F1549" s="10" t="s">
        <v>1312</v>
      </c>
      <c r="G1549" s="10" t="s">
        <v>9419</v>
      </c>
      <c r="H1549" s="10" t="s">
        <v>434</v>
      </c>
      <c r="I1549" s="10" t="s">
        <v>48</v>
      </c>
      <c r="J1549" s="64"/>
      <c r="K1549" s="10" t="s">
        <v>9696</v>
      </c>
      <c r="L1549" s="10" t="s">
        <v>42</v>
      </c>
    </row>
    <row r="1550" ht="15.75" customHeight="1">
      <c r="A1550" s="64">
        <v>45464.0</v>
      </c>
      <c r="B1550" s="55" t="str">
        <f>HYPERLINK("https://jobright.ai/jobs/info/6676c1ebc9dc0237d722afc1?utm_campaign=1052&amp;utm_source=sheet", "Apply")</f>
        <v>Apply</v>
      </c>
      <c r="C1550" s="10" t="s">
        <v>11585</v>
      </c>
      <c r="D1550" s="56" t="s">
        <v>9695</v>
      </c>
      <c r="E1550" s="10" t="s">
        <v>65</v>
      </c>
      <c r="F1550" s="10" t="s">
        <v>1312</v>
      </c>
      <c r="G1550" s="10" t="s">
        <v>9419</v>
      </c>
      <c r="H1550" s="10" t="s">
        <v>11122</v>
      </c>
      <c r="I1550" s="10" t="s">
        <v>48</v>
      </c>
      <c r="J1550" s="64"/>
      <c r="K1550" s="10" t="s">
        <v>9696</v>
      </c>
      <c r="L1550" s="10" t="s">
        <v>42</v>
      </c>
    </row>
    <row r="1551" ht="15.75" customHeight="1">
      <c r="A1551" s="64">
        <v>45464.0</v>
      </c>
      <c r="B1551" s="55" t="str">
        <f>HYPERLINK("https://jobright.ai/jobs/info/6676c1ebc9dc0237d722afd6?utm_campaign=1052&amp;utm_source=sheet", "Apply")</f>
        <v>Apply</v>
      </c>
      <c r="C1551" s="10" t="s">
        <v>11586</v>
      </c>
      <c r="D1551" s="56" t="s">
        <v>9695</v>
      </c>
      <c r="E1551" s="10" t="s">
        <v>65</v>
      </c>
      <c r="F1551" s="10" t="s">
        <v>1312</v>
      </c>
      <c r="G1551" s="10" t="s">
        <v>9419</v>
      </c>
      <c r="H1551" s="10" t="s">
        <v>113</v>
      </c>
      <c r="I1551" s="10" t="s">
        <v>48</v>
      </c>
      <c r="J1551" s="64"/>
      <c r="K1551" s="10" t="s">
        <v>9696</v>
      </c>
      <c r="L1551" s="10" t="s">
        <v>42</v>
      </c>
    </row>
    <row r="1552" ht="15.75" customHeight="1">
      <c r="A1552" s="64">
        <v>45464.0</v>
      </c>
      <c r="B1552" s="55" t="str">
        <f>HYPERLINK("https://jobright.ai/jobs/info/6675be636f7095ca90c077fd?utm_campaign=1052&amp;utm_source=sheet", "Apply")</f>
        <v>Apply</v>
      </c>
      <c r="C1552" s="10" t="s">
        <v>11587</v>
      </c>
      <c r="D1552" s="56" t="s">
        <v>11313</v>
      </c>
      <c r="E1552" s="10" t="s">
        <v>276</v>
      </c>
      <c r="F1552" s="10" t="s">
        <v>1159</v>
      </c>
      <c r="G1552" s="10" t="s">
        <v>9419</v>
      </c>
      <c r="H1552" s="10" t="s">
        <v>11314</v>
      </c>
      <c r="I1552" s="10" t="s">
        <v>55</v>
      </c>
      <c r="J1552" s="64"/>
      <c r="K1552" s="10" t="s">
        <v>11315</v>
      </c>
      <c r="L1552" s="10" t="s">
        <v>42</v>
      </c>
    </row>
    <row r="1553" ht="15.75" customHeight="1">
      <c r="A1553" s="64">
        <v>45464.0</v>
      </c>
      <c r="B1553" s="55" t="str">
        <f>HYPERLINK("https://jobright.ai/jobs/info/6675171a59005313f1c828a9?utm_campaign=1052&amp;utm_source=sheet", "Apply")</f>
        <v>Apply</v>
      </c>
      <c r="C1553" s="10" t="s">
        <v>11588</v>
      </c>
      <c r="D1553" s="56" t="s">
        <v>9425</v>
      </c>
      <c r="E1553" s="10" t="s">
        <v>65</v>
      </c>
      <c r="F1553" s="10" t="s">
        <v>259</v>
      </c>
      <c r="G1553" s="10" t="s">
        <v>9414</v>
      </c>
      <c r="H1553" s="10" t="s">
        <v>9426</v>
      </c>
      <c r="I1553" s="10" t="s">
        <v>55</v>
      </c>
      <c r="J1553" s="10" t="s">
        <v>11589</v>
      </c>
      <c r="K1553" s="10" t="s">
        <v>11590</v>
      </c>
      <c r="L1553" s="10" t="s">
        <v>42</v>
      </c>
    </row>
    <row r="1554" ht="15.75" customHeight="1">
      <c r="A1554" s="64">
        <v>45464.0</v>
      </c>
      <c r="B1554" s="55" t="str">
        <f>HYPERLINK("https://jobright.ai/jobs/info/66750e01c3e4400b3193394c?utm_campaign=1052&amp;utm_source=sheet", "Apply")</f>
        <v>Apply</v>
      </c>
      <c r="C1554" s="10" t="s">
        <v>9517</v>
      </c>
      <c r="D1554" s="56" t="s">
        <v>11591</v>
      </c>
      <c r="E1554" s="10" t="s">
        <v>249</v>
      </c>
      <c r="F1554" s="10" t="s">
        <v>358</v>
      </c>
      <c r="G1554" s="10" t="s">
        <v>1159</v>
      </c>
      <c r="H1554" s="10" t="s">
        <v>1853</v>
      </c>
      <c r="I1554" s="10" t="s">
        <v>55</v>
      </c>
      <c r="J1554" s="64"/>
      <c r="K1554" s="10" t="s">
        <v>11592</v>
      </c>
      <c r="L1554" s="10" t="s">
        <v>42</v>
      </c>
    </row>
    <row r="1555" ht="15.75" customHeight="1">
      <c r="A1555" s="64">
        <v>45464.0</v>
      </c>
      <c r="B1555" s="55" t="str">
        <f>HYPERLINK("https://jobright.ai/jobs/info/66182656634c5f875a317d4c?utm_campaign=1052&amp;utm_source=sheet", "Apply")</f>
        <v>Apply</v>
      </c>
      <c r="C1555" s="10" t="s">
        <v>11593</v>
      </c>
      <c r="D1555" s="56" t="s">
        <v>9695</v>
      </c>
      <c r="E1555" s="10" t="s">
        <v>65</v>
      </c>
      <c r="F1555" s="10" t="s">
        <v>1312</v>
      </c>
      <c r="G1555" s="10" t="s">
        <v>9419</v>
      </c>
      <c r="H1555" s="10" t="s">
        <v>154</v>
      </c>
      <c r="I1555" s="10" t="s">
        <v>55</v>
      </c>
      <c r="J1555" s="64"/>
      <c r="K1555" s="10" t="s">
        <v>11594</v>
      </c>
      <c r="L1555" s="10" t="s">
        <v>42</v>
      </c>
    </row>
    <row r="1556" ht="15.75" customHeight="1">
      <c r="A1556" s="64">
        <v>45463.0</v>
      </c>
      <c r="B1556" s="55" t="str">
        <f>HYPERLINK("https://jobright.ai/jobs/info/6675d3565e546ebdd783a259?utm_campaign=1052&amp;utm_source=sheet", "Apply")</f>
        <v>Apply</v>
      </c>
      <c r="C1556" s="10" t="s">
        <v>11595</v>
      </c>
      <c r="D1556" s="56" t="s">
        <v>9500</v>
      </c>
      <c r="E1556" s="10" t="s">
        <v>79</v>
      </c>
      <c r="F1556" s="10" t="s">
        <v>9501</v>
      </c>
      <c r="G1556" s="10" t="s">
        <v>9419</v>
      </c>
      <c r="H1556" s="10" t="s">
        <v>843</v>
      </c>
      <c r="I1556" s="10" t="s">
        <v>55</v>
      </c>
      <c r="J1556" s="64"/>
      <c r="K1556" s="10" t="s">
        <v>9502</v>
      </c>
      <c r="L1556" s="10" t="s">
        <v>42</v>
      </c>
    </row>
    <row r="1557" ht="15.75" customHeight="1">
      <c r="A1557" s="64">
        <v>45463.0</v>
      </c>
      <c r="B1557" s="55" t="str">
        <f>HYPERLINK("https://jobright.ai/jobs/info/6674bf889174cca5a71dd151?utm_campaign=1052&amp;utm_source=sheet", "Apply")</f>
        <v>Apply</v>
      </c>
      <c r="C1557" s="10" t="s">
        <v>11596</v>
      </c>
      <c r="D1557" s="56" t="s">
        <v>9695</v>
      </c>
      <c r="E1557" s="10" t="s">
        <v>65</v>
      </c>
      <c r="F1557" s="10" t="s">
        <v>1312</v>
      </c>
      <c r="G1557" s="10" t="s">
        <v>9419</v>
      </c>
      <c r="H1557" s="10" t="s">
        <v>1120</v>
      </c>
      <c r="I1557" s="10" t="s">
        <v>48</v>
      </c>
      <c r="J1557" s="64"/>
      <c r="K1557" s="10" t="s">
        <v>9696</v>
      </c>
      <c r="L1557" s="10" t="s">
        <v>42</v>
      </c>
    </row>
    <row r="1558" ht="15.75" customHeight="1">
      <c r="A1558" s="64">
        <v>45463.0</v>
      </c>
      <c r="B1558" s="55" t="str">
        <f>HYPERLINK("https://jobright.ai/jobs/info/6674bf889174cca5a71dd164?utm_campaign=1052&amp;utm_source=sheet", "Apply")</f>
        <v>Apply</v>
      </c>
      <c r="C1558" s="10" t="s">
        <v>11597</v>
      </c>
      <c r="D1558" s="56" t="s">
        <v>9695</v>
      </c>
      <c r="E1558" s="10" t="s">
        <v>65</v>
      </c>
      <c r="F1558" s="10" t="s">
        <v>1312</v>
      </c>
      <c r="G1558" s="10" t="s">
        <v>9419</v>
      </c>
      <c r="H1558" s="10" t="s">
        <v>1048</v>
      </c>
      <c r="I1558" s="10" t="s">
        <v>48</v>
      </c>
      <c r="J1558" s="64"/>
      <c r="K1558" s="10" t="s">
        <v>10565</v>
      </c>
      <c r="L1558" s="10" t="s">
        <v>42</v>
      </c>
    </row>
    <row r="1559" ht="15.75" customHeight="1">
      <c r="A1559" s="64">
        <v>45463.0</v>
      </c>
      <c r="B1559" s="55" t="str">
        <f>HYPERLINK("https://jobright.ai/jobs/info/6674bf889174cca5a71dd160?utm_campaign=1052&amp;utm_source=sheet", "Apply")</f>
        <v>Apply</v>
      </c>
      <c r="C1559" s="10" t="s">
        <v>11598</v>
      </c>
      <c r="D1559" s="56" t="s">
        <v>9695</v>
      </c>
      <c r="E1559" s="10" t="s">
        <v>65</v>
      </c>
      <c r="F1559" s="10" t="s">
        <v>1312</v>
      </c>
      <c r="G1559" s="10" t="s">
        <v>9419</v>
      </c>
      <c r="H1559" s="10" t="s">
        <v>139</v>
      </c>
      <c r="I1559" s="10" t="s">
        <v>48</v>
      </c>
      <c r="J1559" s="64"/>
      <c r="K1559" s="10" t="s">
        <v>9696</v>
      </c>
      <c r="L1559" s="10" t="s">
        <v>42</v>
      </c>
    </row>
    <row r="1560" ht="15.75" customHeight="1">
      <c r="A1560" s="64">
        <v>45463.0</v>
      </c>
      <c r="B1560" s="55" t="str">
        <f>HYPERLINK("https://jobright.ai/jobs/info/6674e273fcd8d0122060ec60?utm_campaign=1052&amp;utm_source=sheet", "Apply")</f>
        <v>Apply</v>
      </c>
      <c r="C1560" s="10" t="s">
        <v>11599</v>
      </c>
      <c r="D1560" s="56" t="s">
        <v>9695</v>
      </c>
      <c r="E1560" s="10" t="s">
        <v>65</v>
      </c>
      <c r="F1560" s="10" t="s">
        <v>1312</v>
      </c>
      <c r="G1560" s="10" t="s">
        <v>9419</v>
      </c>
      <c r="H1560" s="10" t="s">
        <v>139</v>
      </c>
      <c r="I1560" s="10" t="s">
        <v>48</v>
      </c>
      <c r="J1560" s="64"/>
      <c r="K1560" s="10" t="s">
        <v>9696</v>
      </c>
      <c r="L1560" s="10" t="s">
        <v>42</v>
      </c>
    </row>
    <row r="1561" ht="15.75" customHeight="1">
      <c r="A1561" s="64">
        <v>45463.0</v>
      </c>
      <c r="B1561" s="55" t="str">
        <f>HYPERLINK("https://jobright.ai/jobs/info/6674d2f5d2342cb0675636b8?utm_campaign=1052&amp;utm_source=sheet", "Apply")</f>
        <v>Apply</v>
      </c>
      <c r="C1561" s="10" t="s">
        <v>11600</v>
      </c>
      <c r="D1561" s="56" t="s">
        <v>9695</v>
      </c>
      <c r="E1561" s="10" t="s">
        <v>65</v>
      </c>
      <c r="F1561" s="10" t="s">
        <v>1312</v>
      </c>
      <c r="G1561" s="10" t="s">
        <v>9419</v>
      </c>
      <c r="H1561" s="10" t="s">
        <v>11122</v>
      </c>
      <c r="I1561" s="10" t="s">
        <v>48</v>
      </c>
      <c r="J1561" s="64"/>
      <c r="K1561" s="10" t="s">
        <v>9696</v>
      </c>
      <c r="L1561" s="10" t="s">
        <v>42</v>
      </c>
    </row>
    <row r="1562" ht="15.75" customHeight="1">
      <c r="A1562" s="64">
        <v>45463.0</v>
      </c>
      <c r="B1562" s="55" t="str">
        <f>HYPERLINK("https://jobright.ai/jobs/info/6674b504cd7d9b9c107d0bd7?utm_campaign=1052&amp;utm_source=sheet", "Apply")</f>
        <v>Apply</v>
      </c>
      <c r="C1562" s="10" t="s">
        <v>11601</v>
      </c>
      <c r="D1562" s="56" t="s">
        <v>9695</v>
      </c>
      <c r="E1562" s="10" t="s">
        <v>65</v>
      </c>
      <c r="F1562" s="10" t="s">
        <v>1312</v>
      </c>
      <c r="G1562" s="10" t="s">
        <v>9419</v>
      </c>
      <c r="H1562" s="10" t="s">
        <v>154</v>
      </c>
      <c r="I1562" s="10" t="s">
        <v>48</v>
      </c>
      <c r="J1562" s="64"/>
      <c r="K1562" s="10" t="s">
        <v>9696</v>
      </c>
      <c r="L1562" s="10" t="s">
        <v>42</v>
      </c>
    </row>
    <row r="1563" ht="15.75" customHeight="1">
      <c r="A1563" s="64">
        <v>45463.0</v>
      </c>
      <c r="B1563" s="55" t="str">
        <f>HYPERLINK("https://jobright.ai/jobs/info/6674b504cd7d9b9c107d0bc4?utm_campaign=1052&amp;utm_source=sheet", "Apply")</f>
        <v>Apply</v>
      </c>
      <c r="C1563" s="10" t="s">
        <v>11602</v>
      </c>
      <c r="D1563" s="56" t="s">
        <v>9695</v>
      </c>
      <c r="E1563" s="10" t="s">
        <v>65</v>
      </c>
      <c r="F1563" s="10" t="s">
        <v>1312</v>
      </c>
      <c r="G1563" s="10" t="s">
        <v>9419</v>
      </c>
      <c r="H1563" s="10" t="s">
        <v>153</v>
      </c>
      <c r="I1563" s="10" t="s">
        <v>48</v>
      </c>
      <c r="J1563" s="64"/>
      <c r="K1563" s="10" t="s">
        <v>9696</v>
      </c>
      <c r="L1563" s="10" t="s">
        <v>42</v>
      </c>
    </row>
    <row r="1564" ht="15.75" customHeight="1">
      <c r="A1564" s="64">
        <v>45463.0</v>
      </c>
      <c r="B1564" s="55" t="str">
        <f>HYPERLINK("https://jobright.ai/jobs/info/6674b504cd7d9b9c107d0bd9?utm_campaign=1052&amp;utm_source=sheet", "Apply")</f>
        <v>Apply</v>
      </c>
      <c r="C1564" s="10" t="s">
        <v>11603</v>
      </c>
      <c r="D1564" s="56" t="s">
        <v>9695</v>
      </c>
      <c r="E1564" s="10" t="s">
        <v>65</v>
      </c>
      <c r="F1564" s="10" t="s">
        <v>1312</v>
      </c>
      <c r="G1564" s="10" t="s">
        <v>9419</v>
      </c>
      <c r="H1564" s="10" t="s">
        <v>11575</v>
      </c>
      <c r="I1564" s="10" t="s">
        <v>48</v>
      </c>
      <c r="J1564" s="64"/>
      <c r="K1564" s="10" t="s">
        <v>10565</v>
      </c>
      <c r="L1564" s="10" t="s">
        <v>42</v>
      </c>
    </row>
    <row r="1565" ht="15.75" customHeight="1">
      <c r="A1565" s="64">
        <v>45463.0</v>
      </c>
      <c r="B1565" s="55" t="str">
        <f>HYPERLINK("https://jobright.ai/jobs/info/6674b50ecd7d9b9c107d0c94?utm_campaign=1052&amp;utm_source=sheet", "Apply")</f>
        <v>Apply</v>
      </c>
      <c r="C1565" s="10" t="s">
        <v>11604</v>
      </c>
      <c r="D1565" s="56" t="s">
        <v>9695</v>
      </c>
      <c r="E1565" s="10" t="s">
        <v>65</v>
      </c>
      <c r="F1565" s="10" t="s">
        <v>1312</v>
      </c>
      <c r="G1565" s="10" t="s">
        <v>9419</v>
      </c>
      <c r="H1565" s="10" t="s">
        <v>306</v>
      </c>
      <c r="I1565" s="10" t="s">
        <v>48</v>
      </c>
      <c r="J1565" s="64"/>
      <c r="K1565" s="10" t="s">
        <v>11605</v>
      </c>
      <c r="L1565" s="10" t="s">
        <v>42</v>
      </c>
    </row>
    <row r="1566" ht="15.75" customHeight="1">
      <c r="A1566" s="64">
        <v>45463.0</v>
      </c>
      <c r="B1566" s="55" t="str">
        <f>HYPERLINK("https://jobright.ai/jobs/info/6674ce54f7e94a7581ad1d6f?utm_campaign=1052&amp;utm_source=sheet", "Apply")</f>
        <v>Apply</v>
      </c>
      <c r="C1566" s="10" t="s">
        <v>11606</v>
      </c>
      <c r="D1566" s="56" t="s">
        <v>9695</v>
      </c>
      <c r="E1566" s="10" t="s">
        <v>65</v>
      </c>
      <c r="F1566" s="10" t="s">
        <v>1312</v>
      </c>
      <c r="G1566" s="10" t="s">
        <v>9419</v>
      </c>
      <c r="H1566" s="10" t="s">
        <v>1048</v>
      </c>
      <c r="I1566" s="10" t="s">
        <v>48</v>
      </c>
      <c r="J1566" s="64"/>
      <c r="K1566" s="10" t="s">
        <v>10565</v>
      </c>
      <c r="L1566" s="10" t="s">
        <v>42</v>
      </c>
    </row>
    <row r="1567" ht="15.75" customHeight="1">
      <c r="A1567" s="64">
        <v>45463.0</v>
      </c>
      <c r="B1567" s="55" t="str">
        <f>HYPERLINK("https://jobright.ai/jobs/info/6674ce54f7e94a7581ad1d6e?utm_campaign=1052&amp;utm_source=sheet", "Apply")</f>
        <v>Apply</v>
      </c>
      <c r="C1567" s="10" t="s">
        <v>11607</v>
      </c>
      <c r="D1567" s="56" t="s">
        <v>9695</v>
      </c>
      <c r="E1567" s="10" t="s">
        <v>65</v>
      </c>
      <c r="F1567" s="10" t="s">
        <v>1312</v>
      </c>
      <c r="G1567" s="10" t="s">
        <v>9419</v>
      </c>
      <c r="H1567" s="10" t="s">
        <v>139</v>
      </c>
      <c r="I1567" s="10" t="s">
        <v>48</v>
      </c>
      <c r="J1567" s="64"/>
      <c r="K1567" s="10" t="s">
        <v>9696</v>
      </c>
      <c r="L1567" s="10" t="s">
        <v>42</v>
      </c>
    </row>
    <row r="1568" ht="15.75" customHeight="1">
      <c r="A1568" s="64">
        <v>45463.0</v>
      </c>
      <c r="B1568" s="55" t="str">
        <f>HYPERLINK("https://jobright.ai/jobs/info/6674ce54f7e94a7581ad1d5c?utm_campaign=1052&amp;utm_source=sheet", "Apply")</f>
        <v>Apply</v>
      </c>
      <c r="C1568" s="10" t="s">
        <v>11608</v>
      </c>
      <c r="D1568" s="56" t="s">
        <v>9695</v>
      </c>
      <c r="E1568" s="10" t="s">
        <v>65</v>
      </c>
      <c r="F1568" s="10" t="s">
        <v>1312</v>
      </c>
      <c r="G1568" s="10" t="s">
        <v>9419</v>
      </c>
      <c r="H1568" s="10" t="s">
        <v>1048</v>
      </c>
      <c r="I1568" s="10" t="s">
        <v>48</v>
      </c>
      <c r="J1568" s="64"/>
      <c r="K1568" s="10" t="s">
        <v>10565</v>
      </c>
      <c r="L1568" s="10" t="s">
        <v>42</v>
      </c>
    </row>
    <row r="1569" ht="15.75" customHeight="1">
      <c r="A1569" s="64">
        <v>45463.0</v>
      </c>
      <c r="B1569" s="55" t="str">
        <f>HYPERLINK("https://jobright.ai/jobs/info/6674ae83067738ea3c924f56?utm_campaign=1052&amp;utm_source=sheet", "Apply")</f>
        <v>Apply</v>
      </c>
      <c r="C1569" s="10" t="s">
        <v>11609</v>
      </c>
      <c r="D1569" s="56" t="s">
        <v>9695</v>
      </c>
      <c r="E1569" s="10" t="s">
        <v>65</v>
      </c>
      <c r="F1569" s="10" t="s">
        <v>1312</v>
      </c>
      <c r="G1569" s="10" t="s">
        <v>9419</v>
      </c>
      <c r="H1569" s="10" t="s">
        <v>306</v>
      </c>
      <c r="I1569" s="10" t="s">
        <v>48</v>
      </c>
      <c r="K1569" s="10" t="s">
        <v>10565</v>
      </c>
      <c r="L1569" s="10" t="s">
        <v>42</v>
      </c>
    </row>
    <row r="1570" ht="15.75" customHeight="1">
      <c r="A1570" s="64">
        <v>45463.0</v>
      </c>
      <c r="B1570" s="55" t="str">
        <f>HYPERLINK("https://jobright.ai/jobs/info/6677a89a0cb41ca3d012e2a9?utm_campaign=1052&amp;utm_source=sheet", "Apply")</f>
        <v>Apply</v>
      </c>
      <c r="C1570" s="10" t="s">
        <v>11610</v>
      </c>
      <c r="D1570" s="56" t="s">
        <v>9557</v>
      </c>
      <c r="E1570" s="10" t="s">
        <v>209</v>
      </c>
      <c r="F1570" s="10" t="s">
        <v>1159</v>
      </c>
      <c r="G1570" s="10" t="s">
        <v>9419</v>
      </c>
      <c r="H1570" s="10" t="s">
        <v>11611</v>
      </c>
      <c r="I1570" s="10" t="s">
        <v>55</v>
      </c>
      <c r="K1570" s="10" t="s">
        <v>11560</v>
      </c>
      <c r="L1570" s="10" t="s">
        <v>42</v>
      </c>
    </row>
    <row r="1571" ht="15.75" customHeight="1">
      <c r="A1571" s="64">
        <v>45463.0</v>
      </c>
      <c r="B1571" s="55" t="str">
        <f>HYPERLINK("https://jobright.ai/jobs/info/6677a8ca0cb41ca3d012e6ea?utm_campaign=1052&amp;utm_source=sheet", "Apply")</f>
        <v>Apply</v>
      </c>
      <c r="C1571" s="10" t="s">
        <v>11612</v>
      </c>
      <c r="D1571" s="56" t="s">
        <v>9557</v>
      </c>
      <c r="E1571" s="10" t="s">
        <v>209</v>
      </c>
      <c r="F1571" s="10" t="s">
        <v>1159</v>
      </c>
      <c r="G1571" s="10" t="s">
        <v>9419</v>
      </c>
      <c r="H1571" s="10" t="s">
        <v>174</v>
      </c>
      <c r="I1571" s="10" t="s">
        <v>55</v>
      </c>
      <c r="K1571" s="10" t="s">
        <v>11560</v>
      </c>
      <c r="L1571" s="10" t="s">
        <v>42</v>
      </c>
    </row>
    <row r="1572" ht="15.75" customHeight="1">
      <c r="A1572" s="64">
        <v>45463.0</v>
      </c>
      <c r="B1572" s="55" t="str">
        <f>HYPERLINK("https://jobright.ai/jobs/info/667477d6a404bed170399a12?utm_campaign=1052&amp;utm_source=sheet", "Apply")</f>
        <v>Apply</v>
      </c>
      <c r="C1572" s="10" t="s">
        <v>11613</v>
      </c>
      <c r="D1572" s="56" t="s">
        <v>11614</v>
      </c>
      <c r="E1572" s="10" t="s">
        <v>137</v>
      </c>
      <c r="F1572" s="10" t="s">
        <v>1427</v>
      </c>
      <c r="G1572" s="10" t="s">
        <v>9414</v>
      </c>
      <c r="H1572" s="10" t="s">
        <v>11615</v>
      </c>
      <c r="I1572" s="10" t="s">
        <v>55</v>
      </c>
      <c r="K1572" s="10" t="s">
        <v>11616</v>
      </c>
      <c r="L1572" s="10" t="s">
        <v>42</v>
      </c>
    </row>
    <row r="1573" ht="15.75" customHeight="1">
      <c r="A1573" s="64">
        <v>45463.0</v>
      </c>
      <c r="B1573" s="55" t="str">
        <f>HYPERLINK("https://jobright.ai/jobs/info/667c3b960a9146e54461fe80?utm_campaign=1052&amp;utm_source=sheet", "Apply")</f>
        <v>Apply</v>
      </c>
      <c r="C1573" s="10" t="s">
        <v>11617</v>
      </c>
      <c r="D1573" s="56" t="s">
        <v>9557</v>
      </c>
      <c r="E1573" s="10" t="s">
        <v>209</v>
      </c>
      <c r="F1573" s="10" t="s">
        <v>1159</v>
      </c>
      <c r="G1573" s="10" t="s">
        <v>9419</v>
      </c>
      <c r="H1573" s="10" t="s">
        <v>174</v>
      </c>
      <c r="I1573" s="10" t="s">
        <v>55</v>
      </c>
      <c r="K1573" s="10" t="s">
        <v>10741</v>
      </c>
      <c r="L1573" s="10" t="s">
        <v>42</v>
      </c>
    </row>
    <row r="1574" ht="15.75" customHeight="1">
      <c r="A1574" s="64">
        <v>45463.0</v>
      </c>
      <c r="B1574" s="55" t="str">
        <f>HYPERLINK("https://jobright.ai/jobs/info/66759f6786a9490f868bae84?utm_campaign=1052&amp;utm_source=sheet", "Apply")</f>
        <v>Apply</v>
      </c>
      <c r="C1574" s="10" t="s">
        <v>11618</v>
      </c>
      <c r="D1574" s="56" t="s">
        <v>11619</v>
      </c>
      <c r="E1574" s="10" t="s">
        <v>209</v>
      </c>
      <c r="F1574" s="10" t="s">
        <v>1893</v>
      </c>
      <c r="G1574" s="10" t="s">
        <v>9414</v>
      </c>
      <c r="H1574" s="10" t="s">
        <v>791</v>
      </c>
      <c r="I1574" s="10" t="s">
        <v>55</v>
      </c>
      <c r="J1574" s="64"/>
      <c r="K1574" s="10" t="s">
        <v>11620</v>
      </c>
      <c r="L1574" s="10" t="s">
        <v>42</v>
      </c>
    </row>
    <row r="1575" ht="15.75" customHeight="1">
      <c r="A1575" s="64">
        <v>45463.0</v>
      </c>
      <c r="B1575" s="55" t="str">
        <f>HYPERLINK("https://jobright.ai/jobs/info/667ac5f26fec2de82002aaa8?utm_campaign=1052&amp;utm_source=sheet", "Apply")</f>
        <v>Apply</v>
      </c>
      <c r="C1575" s="10" t="s">
        <v>11621</v>
      </c>
      <c r="D1575" s="56" t="s">
        <v>9557</v>
      </c>
      <c r="E1575" s="10" t="s">
        <v>209</v>
      </c>
      <c r="F1575" s="10" t="s">
        <v>1159</v>
      </c>
      <c r="G1575" s="10" t="s">
        <v>9419</v>
      </c>
      <c r="H1575" s="10" t="s">
        <v>886</v>
      </c>
      <c r="I1575" s="10" t="s">
        <v>55</v>
      </c>
      <c r="K1575" s="10" t="s">
        <v>10741</v>
      </c>
      <c r="L1575" s="10" t="s">
        <v>42</v>
      </c>
    </row>
    <row r="1576" ht="15.75" customHeight="1">
      <c r="A1576" s="64">
        <v>45463.0</v>
      </c>
      <c r="B1576" s="55" t="str">
        <f>HYPERLINK("https://jobright.ai/jobs/info/6677acecdc7be138508a21e2?utm_campaign=1052&amp;utm_source=sheet", "Apply")</f>
        <v>Apply</v>
      </c>
      <c r="C1576" s="10" t="s">
        <v>11622</v>
      </c>
      <c r="D1576" s="56" t="s">
        <v>9557</v>
      </c>
      <c r="E1576" s="10" t="s">
        <v>209</v>
      </c>
      <c r="F1576" s="10" t="s">
        <v>1159</v>
      </c>
      <c r="G1576" s="10" t="s">
        <v>9419</v>
      </c>
      <c r="H1576" s="10" t="s">
        <v>886</v>
      </c>
      <c r="I1576" s="10" t="s">
        <v>55</v>
      </c>
      <c r="K1576" s="10" t="s">
        <v>10741</v>
      </c>
      <c r="L1576" s="10" t="s">
        <v>42</v>
      </c>
    </row>
    <row r="1577" ht="15.75" customHeight="1">
      <c r="A1577" s="64">
        <v>45463.0</v>
      </c>
      <c r="B1577" s="55" t="str">
        <f>HYPERLINK("https://jobright.ai/jobs/info/66742fff580e143f44acb5f2?utm_campaign=1052&amp;utm_source=sheet", "Apply")</f>
        <v>Apply</v>
      </c>
      <c r="C1577" s="10" t="s">
        <v>11623</v>
      </c>
      <c r="D1577" s="56" t="s">
        <v>9557</v>
      </c>
      <c r="E1577" s="10" t="s">
        <v>209</v>
      </c>
      <c r="F1577" s="10" t="s">
        <v>1159</v>
      </c>
      <c r="G1577" s="10" t="s">
        <v>9419</v>
      </c>
      <c r="H1577" s="10" t="s">
        <v>886</v>
      </c>
      <c r="I1577" s="10" t="s">
        <v>48</v>
      </c>
      <c r="K1577" s="10" t="s">
        <v>11560</v>
      </c>
      <c r="L1577" s="10" t="s">
        <v>42</v>
      </c>
    </row>
    <row r="1578" ht="15.75" customHeight="1">
      <c r="A1578" s="64">
        <v>45463.0</v>
      </c>
      <c r="B1578" s="55" t="str">
        <f>HYPERLINK("https://jobright.ai/jobs/info/66742fff580e143f44acb5ec?utm_campaign=1052&amp;utm_source=sheet", "Apply")</f>
        <v>Apply</v>
      </c>
      <c r="C1578" s="10" t="s">
        <v>11624</v>
      </c>
      <c r="D1578" s="56" t="s">
        <v>9557</v>
      </c>
      <c r="E1578" s="10" t="s">
        <v>209</v>
      </c>
      <c r="F1578" s="10" t="s">
        <v>1159</v>
      </c>
      <c r="G1578" s="10" t="s">
        <v>9419</v>
      </c>
      <c r="H1578" s="10" t="s">
        <v>11611</v>
      </c>
      <c r="I1578" s="10" t="s">
        <v>48</v>
      </c>
      <c r="K1578" s="10" t="s">
        <v>11560</v>
      </c>
      <c r="L1578" s="10" t="s">
        <v>42</v>
      </c>
    </row>
    <row r="1579" ht="15.75" customHeight="1">
      <c r="A1579" s="64">
        <v>45463.0</v>
      </c>
      <c r="B1579" s="55" t="str">
        <f>HYPERLINK("https://jobright.ai/jobs/info/66740a51d454c29f16cf7bf1?utm_campaign=1052&amp;utm_source=sheet", "Apply")</f>
        <v>Apply</v>
      </c>
      <c r="C1579" s="10" t="s">
        <v>11625</v>
      </c>
      <c r="D1579" s="56" t="s">
        <v>9557</v>
      </c>
      <c r="E1579" s="10" t="s">
        <v>209</v>
      </c>
      <c r="F1579" s="10" t="s">
        <v>1159</v>
      </c>
      <c r="G1579" s="10" t="s">
        <v>9419</v>
      </c>
      <c r="H1579" s="10" t="s">
        <v>153</v>
      </c>
      <c r="I1579" s="10" t="s">
        <v>48</v>
      </c>
      <c r="J1579" s="64"/>
      <c r="K1579" s="10" t="s">
        <v>10154</v>
      </c>
      <c r="L1579" s="10" t="s">
        <v>42</v>
      </c>
    </row>
    <row r="1580" ht="15.75" customHeight="1">
      <c r="A1580" s="64">
        <v>45463.0</v>
      </c>
      <c r="B1580" s="55" t="str">
        <f>HYPERLINK("https://jobright.ai/jobs/info/66740a2ad454c29f16cf7832?utm_campaign=1052&amp;utm_source=sheet", "Apply")</f>
        <v>Apply</v>
      </c>
      <c r="C1580" s="10" t="s">
        <v>11626</v>
      </c>
      <c r="D1580" s="56" t="s">
        <v>9557</v>
      </c>
      <c r="E1580" s="10" t="s">
        <v>209</v>
      </c>
      <c r="F1580" s="10" t="s">
        <v>1159</v>
      </c>
      <c r="G1580" s="10" t="s">
        <v>9419</v>
      </c>
      <c r="H1580" s="10" t="s">
        <v>174</v>
      </c>
      <c r="I1580" s="10" t="s">
        <v>48</v>
      </c>
      <c r="J1580" s="64"/>
      <c r="K1580" s="10" t="s">
        <v>10741</v>
      </c>
      <c r="L1580" s="10" t="s">
        <v>42</v>
      </c>
    </row>
    <row r="1581" ht="15.75" customHeight="1">
      <c r="A1581" s="64">
        <v>45463.0</v>
      </c>
      <c r="B1581" s="55" t="str">
        <f>HYPERLINK("https://jobright.ai/jobs/info/667401aad17c93867a6a3ebd?utm_campaign=1052&amp;utm_source=sheet", "Apply")</f>
        <v>Apply</v>
      </c>
      <c r="C1581" s="10" t="s">
        <v>11627</v>
      </c>
      <c r="D1581" s="56" t="s">
        <v>9557</v>
      </c>
      <c r="E1581" s="10" t="s">
        <v>209</v>
      </c>
      <c r="F1581" s="10" t="s">
        <v>1159</v>
      </c>
      <c r="G1581" s="10" t="s">
        <v>9419</v>
      </c>
      <c r="H1581" s="10" t="s">
        <v>174</v>
      </c>
      <c r="I1581" s="10" t="s">
        <v>48</v>
      </c>
      <c r="J1581" s="64"/>
      <c r="K1581" s="10" t="s">
        <v>10741</v>
      </c>
      <c r="L1581" s="10" t="s">
        <v>42</v>
      </c>
    </row>
    <row r="1582" ht="15.75" customHeight="1">
      <c r="A1582" s="64">
        <v>45463.0</v>
      </c>
      <c r="B1582" s="55" t="str">
        <f>HYPERLINK("https://jobright.ai/jobs/info/667401aad17c93867a6a3eb9?utm_campaign=1052&amp;utm_source=sheet", "Apply")</f>
        <v>Apply</v>
      </c>
      <c r="C1582" s="10" t="s">
        <v>11628</v>
      </c>
      <c r="D1582" s="56" t="s">
        <v>9557</v>
      </c>
      <c r="E1582" s="10" t="s">
        <v>209</v>
      </c>
      <c r="F1582" s="10" t="s">
        <v>1159</v>
      </c>
      <c r="G1582" s="10" t="s">
        <v>9419</v>
      </c>
      <c r="H1582" s="10" t="s">
        <v>886</v>
      </c>
      <c r="I1582" s="10" t="s">
        <v>48</v>
      </c>
      <c r="J1582" s="64"/>
      <c r="K1582" s="10" t="s">
        <v>11560</v>
      </c>
      <c r="L1582" s="10" t="s">
        <v>42</v>
      </c>
    </row>
    <row r="1583" ht="15.75" customHeight="1">
      <c r="A1583" s="64">
        <v>45463.0</v>
      </c>
      <c r="B1583" s="55" t="str">
        <f>HYPERLINK("https://jobright.ai/jobs/info/667401aad17c93867a6a3ee3?utm_campaign=1052&amp;utm_source=sheet", "Apply")</f>
        <v>Apply</v>
      </c>
      <c r="C1583" s="10" t="s">
        <v>11629</v>
      </c>
      <c r="D1583" s="56" t="s">
        <v>9557</v>
      </c>
      <c r="E1583" s="10" t="s">
        <v>209</v>
      </c>
      <c r="F1583" s="10" t="s">
        <v>1159</v>
      </c>
      <c r="G1583" s="10" t="s">
        <v>9419</v>
      </c>
      <c r="H1583" s="10" t="s">
        <v>11611</v>
      </c>
      <c r="I1583" s="10" t="s">
        <v>48</v>
      </c>
      <c r="K1583" s="10" t="s">
        <v>10741</v>
      </c>
      <c r="L1583" s="10" t="s">
        <v>42</v>
      </c>
    </row>
    <row r="1584" ht="15.75" customHeight="1">
      <c r="A1584" s="64">
        <v>45463.0</v>
      </c>
      <c r="B1584" s="55" t="str">
        <f>HYPERLINK("https://jobright.ai/jobs/info/667401aad17c93867a6a3ee6?utm_campaign=1052&amp;utm_source=sheet", "Apply")</f>
        <v>Apply</v>
      </c>
      <c r="C1584" s="10" t="s">
        <v>11630</v>
      </c>
      <c r="D1584" s="56" t="s">
        <v>9557</v>
      </c>
      <c r="E1584" s="10" t="s">
        <v>209</v>
      </c>
      <c r="F1584" s="10" t="s">
        <v>1159</v>
      </c>
      <c r="G1584" s="10" t="s">
        <v>9419</v>
      </c>
      <c r="H1584" s="10" t="s">
        <v>11611</v>
      </c>
      <c r="I1584" s="10" t="s">
        <v>48</v>
      </c>
      <c r="J1584" s="64"/>
      <c r="K1584" s="10" t="s">
        <v>11560</v>
      </c>
      <c r="L1584" s="10" t="s">
        <v>42</v>
      </c>
    </row>
    <row r="1585" ht="15.75" customHeight="1">
      <c r="A1585" s="64">
        <v>45463.0</v>
      </c>
      <c r="B1585" s="55" t="str">
        <f>HYPERLINK("https://jobright.ai/jobs/info/6672183047d0a67405d0f759?utm_campaign=1052&amp;utm_source=sheet", "Apply")</f>
        <v>Apply</v>
      </c>
      <c r="C1585" s="10" t="s">
        <v>11631</v>
      </c>
      <c r="D1585" s="56" t="s">
        <v>8509</v>
      </c>
      <c r="E1585" s="10" t="s">
        <v>45</v>
      </c>
      <c r="F1585" s="10" t="s">
        <v>1459</v>
      </c>
      <c r="G1585" s="10" t="s">
        <v>9414</v>
      </c>
      <c r="H1585" s="10" t="s">
        <v>761</v>
      </c>
      <c r="I1585" s="10" t="s">
        <v>55</v>
      </c>
      <c r="J1585" s="10" t="s">
        <v>366</v>
      </c>
      <c r="K1585" s="10" t="s">
        <v>11632</v>
      </c>
      <c r="L1585" s="10" t="s">
        <v>42</v>
      </c>
    </row>
    <row r="1586" ht="15.75" customHeight="1">
      <c r="A1586" s="64">
        <v>45463.0</v>
      </c>
      <c r="B1586" s="55" t="str">
        <f>HYPERLINK("https://jobright.ai/jobs/info/665d01015e28ddcfd7dcc3e1?utm_campaign=1052&amp;utm_source=sheet", "Apply")</f>
        <v>Apply</v>
      </c>
      <c r="C1586" s="10" t="s">
        <v>11633</v>
      </c>
      <c r="D1586" s="56" t="s">
        <v>11184</v>
      </c>
      <c r="E1586" s="10" t="s">
        <v>276</v>
      </c>
      <c r="F1586" s="10" t="s">
        <v>10</v>
      </c>
      <c r="G1586" s="10" t="s">
        <v>9419</v>
      </c>
      <c r="H1586" s="10" t="s">
        <v>1328</v>
      </c>
      <c r="I1586" s="10" t="s">
        <v>48</v>
      </c>
      <c r="J1586" s="64"/>
      <c r="K1586" s="10" t="s">
        <v>11186</v>
      </c>
      <c r="L1586" s="10" t="s">
        <v>42</v>
      </c>
    </row>
    <row r="1587" ht="15.75" customHeight="1">
      <c r="A1587" s="64">
        <v>45463.0</v>
      </c>
      <c r="B1587" s="55" t="str">
        <f>HYPERLINK("https://jobright.ai/jobs/info/6674aead067738ea3c9252ba?utm_campaign=1052&amp;utm_source=sheet", "Apply")</f>
        <v>Apply</v>
      </c>
      <c r="C1587" s="10" t="s">
        <v>11634</v>
      </c>
      <c r="D1587" s="56" t="s">
        <v>11635</v>
      </c>
      <c r="E1587" s="10">
        <v>371.0</v>
      </c>
      <c r="G1587" s="10" t="s">
        <v>9414</v>
      </c>
      <c r="H1587" s="10" t="s">
        <v>9570</v>
      </c>
      <c r="I1587" s="10" t="s">
        <v>55</v>
      </c>
      <c r="J1587" s="64"/>
      <c r="K1587" s="10" t="s">
        <v>11636</v>
      </c>
      <c r="L1587" s="10" t="s">
        <v>42</v>
      </c>
    </row>
    <row r="1588" ht="15.75" customHeight="1">
      <c r="A1588" s="64">
        <v>45463.0</v>
      </c>
      <c r="B1588" s="55" t="str">
        <f>HYPERLINK("https://jobright.ai/jobs/info/66749de43bb0335d41b2d306?utm_campaign=1052&amp;utm_source=sheet", "Apply")</f>
        <v>Apply</v>
      </c>
      <c r="C1588" s="10" t="s">
        <v>11637</v>
      </c>
      <c r="D1588" s="56" t="s">
        <v>11635</v>
      </c>
      <c r="E1588" s="10">
        <v>371.0</v>
      </c>
      <c r="G1588" s="10" t="s">
        <v>9419</v>
      </c>
      <c r="H1588" s="10" t="s">
        <v>9570</v>
      </c>
      <c r="I1588" s="10" t="s">
        <v>55</v>
      </c>
      <c r="J1588" s="64"/>
      <c r="K1588" s="10" t="s">
        <v>11638</v>
      </c>
      <c r="L1588" s="10" t="s">
        <v>42</v>
      </c>
    </row>
    <row r="1589" ht="15.75" customHeight="1">
      <c r="A1589" s="64">
        <v>45463.0</v>
      </c>
      <c r="B1589" s="55" t="str">
        <f>HYPERLINK("https://jobright.ai/jobs/info/66749ddb3bb0335d41b2d2e3?utm_campaign=1052&amp;utm_source=sheet", "Apply")</f>
        <v>Apply</v>
      </c>
      <c r="C1589" s="10" t="s">
        <v>11639</v>
      </c>
      <c r="D1589" s="56" t="s">
        <v>11635</v>
      </c>
      <c r="E1589" s="10">
        <v>371.0</v>
      </c>
      <c r="G1589" s="10" t="s">
        <v>9419</v>
      </c>
      <c r="H1589" s="10" t="s">
        <v>9570</v>
      </c>
      <c r="I1589" s="10" t="s">
        <v>55</v>
      </c>
      <c r="J1589" s="64"/>
      <c r="K1589" s="10" t="s">
        <v>11640</v>
      </c>
      <c r="L1589" s="10" t="s">
        <v>42</v>
      </c>
    </row>
    <row r="1590" ht="15.75" customHeight="1">
      <c r="A1590" s="64">
        <v>45462.0</v>
      </c>
      <c r="B1590" s="55" t="str">
        <f>HYPERLINK("https://jobright.ai/jobs/info/66733733d2f0021127af3299?utm_campaign=1052&amp;utm_source=sheet", "Apply")</f>
        <v>Apply</v>
      </c>
      <c r="C1590" s="10" t="s">
        <v>11641</v>
      </c>
      <c r="D1590" s="56" t="s">
        <v>8194</v>
      </c>
      <c r="E1590" s="10" t="s">
        <v>79</v>
      </c>
      <c r="F1590" s="10" t="s">
        <v>404</v>
      </c>
      <c r="G1590" s="10" t="s">
        <v>9414</v>
      </c>
      <c r="H1590" s="10" t="s">
        <v>96</v>
      </c>
      <c r="I1590" s="10" t="s">
        <v>55</v>
      </c>
      <c r="J1590" s="64"/>
      <c r="K1590" s="10" t="s">
        <v>11642</v>
      </c>
      <c r="L1590" s="10" t="s">
        <v>42</v>
      </c>
    </row>
    <row r="1591" ht="15.75" customHeight="1">
      <c r="A1591" s="64">
        <v>45462.0</v>
      </c>
      <c r="B1591" s="55" t="str">
        <f>HYPERLINK("https://jobright.ai/jobs/info/667c327d9f00ed44e1dd3820?utm_campaign=1052&amp;utm_source=sheet", "Apply")</f>
        <v>Apply</v>
      </c>
      <c r="C1591" s="10" t="s">
        <v>11643</v>
      </c>
      <c r="D1591" s="56" t="s">
        <v>9557</v>
      </c>
      <c r="E1591" s="10" t="s">
        <v>209</v>
      </c>
      <c r="F1591" s="10" t="s">
        <v>1159</v>
      </c>
      <c r="G1591" s="10" t="s">
        <v>9419</v>
      </c>
      <c r="H1591" s="10" t="s">
        <v>886</v>
      </c>
      <c r="I1591" s="10" t="s">
        <v>55</v>
      </c>
      <c r="J1591" s="64"/>
      <c r="K1591" s="10" t="s">
        <v>11560</v>
      </c>
      <c r="L1591" s="10" t="s">
        <v>42</v>
      </c>
    </row>
    <row r="1592" ht="15.75" customHeight="1">
      <c r="A1592" s="64">
        <v>45462.0</v>
      </c>
      <c r="B1592" s="55" t="str">
        <f>HYPERLINK("https://jobright.ai/jobs/info/6673b7b15c2298713339f15c?utm_campaign=1052&amp;utm_source=sheet", "Apply")</f>
        <v>Apply</v>
      </c>
      <c r="C1592" s="10" t="s">
        <v>11644</v>
      </c>
      <c r="D1592" s="56" t="s">
        <v>11645</v>
      </c>
      <c r="E1592" s="10" t="s">
        <v>137</v>
      </c>
      <c r="F1592" s="10" t="s">
        <v>722</v>
      </c>
      <c r="G1592" s="10" t="s">
        <v>9419</v>
      </c>
      <c r="H1592" s="10" t="s">
        <v>6856</v>
      </c>
      <c r="I1592" s="10" t="s">
        <v>55</v>
      </c>
      <c r="J1592" s="10" t="s">
        <v>521</v>
      </c>
      <c r="K1592" s="10" t="s">
        <v>11646</v>
      </c>
      <c r="L1592" s="10" t="s">
        <v>42</v>
      </c>
    </row>
    <row r="1593" ht="15.75" customHeight="1">
      <c r="A1593" s="64">
        <v>45462.0</v>
      </c>
      <c r="B1593" s="55" t="str">
        <f>HYPERLINK("https://jobright.ai/jobs/info/66736e3621f478e9a4d0fb03?utm_campaign=1052&amp;utm_source=sheet", "Apply")</f>
        <v>Apply</v>
      </c>
      <c r="C1593" s="10" t="s">
        <v>11647</v>
      </c>
      <c r="D1593" s="56" t="s">
        <v>11645</v>
      </c>
      <c r="E1593" s="10" t="s">
        <v>137</v>
      </c>
      <c r="F1593" s="10" t="s">
        <v>722</v>
      </c>
      <c r="G1593" s="10" t="s">
        <v>9419</v>
      </c>
      <c r="H1593" s="10" t="s">
        <v>6856</v>
      </c>
      <c r="I1593" s="10" t="s">
        <v>55</v>
      </c>
      <c r="J1593" s="10" t="s">
        <v>521</v>
      </c>
      <c r="K1593" s="10" t="s">
        <v>11648</v>
      </c>
      <c r="L1593" s="10" t="s">
        <v>42</v>
      </c>
    </row>
    <row r="1594" ht="15.75" customHeight="1">
      <c r="A1594" s="64">
        <v>45461.0</v>
      </c>
      <c r="B1594" s="55" t="str">
        <f>HYPERLINK("https://jobright.ai/jobs/info/6677b216d57a2b58a480c400?utm_campaign=1052&amp;utm_source=sheet", "Apply")</f>
        <v>Apply</v>
      </c>
      <c r="C1594" s="10" t="s">
        <v>11649</v>
      </c>
      <c r="D1594" s="56" t="s">
        <v>9557</v>
      </c>
      <c r="E1594" s="10" t="s">
        <v>209</v>
      </c>
      <c r="F1594" s="10" t="s">
        <v>1159</v>
      </c>
      <c r="G1594" s="10" t="s">
        <v>9419</v>
      </c>
      <c r="H1594" s="10" t="s">
        <v>174</v>
      </c>
      <c r="I1594" s="10" t="s">
        <v>55</v>
      </c>
      <c r="J1594" s="64"/>
      <c r="K1594" s="10" t="s">
        <v>11560</v>
      </c>
      <c r="L1594" s="10" t="s">
        <v>42</v>
      </c>
    </row>
    <row r="1595" ht="15.75" customHeight="1">
      <c r="A1595" s="64">
        <v>45461.0</v>
      </c>
      <c r="B1595" s="55" t="str">
        <f>HYPERLINK("https://jobright.ai/jobs/info/6672de2b6a9a1248b5ba1677?utm_campaign=1052&amp;utm_source=sheet", "Apply")</f>
        <v>Apply</v>
      </c>
      <c r="C1595" s="10" t="s">
        <v>11650</v>
      </c>
      <c r="D1595" s="56" t="s">
        <v>11448</v>
      </c>
      <c r="E1595" s="10">
        <v>658.0</v>
      </c>
      <c r="G1595" s="10" t="s">
        <v>9414</v>
      </c>
      <c r="H1595" s="10" t="s">
        <v>994</v>
      </c>
      <c r="I1595" s="10" t="s">
        <v>55</v>
      </c>
      <c r="J1595" s="64"/>
      <c r="K1595" s="10" t="s">
        <v>11651</v>
      </c>
      <c r="L1595" s="10" t="s">
        <v>42</v>
      </c>
    </row>
    <row r="1596" ht="15.75" customHeight="1">
      <c r="A1596" s="64">
        <v>45461.0</v>
      </c>
      <c r="B1596" s="55" t="str">
        <f>HYPERLINK("https://jobright.ai/jobs/info/66795b74dcb1db3fc098e91d?utm_campaign=1052&amp;utm_source=sheet", "Apply")</f>
        <v>Apply</v>
      </c>
      <c r="C1596" s="10" t="s">
        <v>11652</v>
      </c>
      <c r="D1596" s="56" t="s">
        <v>9557</v>
      </c>
      <c r="E1596" s="10" t="s">
        <v>209</v>
      </c>
      <c r="F1596" s="10" t="s">
        <v>1159</v>
      </c>
      <c r="G1596" s="10" t="s">
        <v>9419</v>
      </c>
      <c r="H1596" s="10" t="s">
        <v>174</v>
      </c>
      <c r="I1596" s="10" t="s">
        <v>55</v>
      </c>
      <c r="J1596" s="64"/>
      <c r="K1596" s="10" t="s">
        <v>10741</v>
      </c>
      <c r="L1596" s="10" t="s">
        <v>42</v>
      </c>
    </row>
    <row r="1597" ht="15.75" customHeight="1">
      <c r="A1597" s="64">
        <v>45461.0</v>
      </c>
      <c r="B1597" s="55" t="str">
        <f>HYPERLINK("https://jobright.ai/jobs/info/667566f206c286fadd140a21?utm_campaign=1052&amp;utm_source=sheet", "Apply")</f>
        <v>Apply</v>
      </c>
      <c r="C1597" s="10" t="s">
        <v>11653</v>
      </c>
      <c r="D1597" s="56" t="s">
        <v>9557</v>
      </c>
      <c r="E1597" s="10" t="s">
        <v>209</v>
      </c>
      <c r="F1597" s="10" t="s">
        <v>1159</v>
      </c>
      <c r="G1597" s="10" t="s">
        <v>9419</v>
      </c>
      <c r="H1597" s="10" t="s">
        <v>886</v>
      </c>
      <c r="I1597" s="10" t="s">
        <v>55</v>
      </c>
      <c r="K1597" s="10" t="s">
        <v>10741</v>
      </c>
      <c r="L1597" s="10" t="s">
        <v>42</v>
      </c>
    </row>
    <row r="1598" ht="15.75" customHeight="1">
      <c r="A1598" s="64">
        <v>45461.0</v>
      </c>
      <c r="B1598" s="55" t="str">
        <f>HYPERLINK("https://jobright.ai/jobs/info/66710824a9f37447c9b49c54?utm_campaign=1052&amp;utm_source=sheet", "Apply")</f>
        <v>Apply</v>
      </c>
      <c r="C1598" s="10" t="s">
        <v>11654</v>
      </c>
      <c r="D1598" s="56" t="s">
        <v>9557</v>
      </c>
      <c r="E1598" s="10" t="s">
        <v>209</v>
      </c>
      <c r="F1598" s="10" t="s">
        <v>1159</v>
      </c>
      <c r="G1598" s="10" t="s">
        <v>9419</v>
      </c>
      <c r="H1598" s="10" t="s">
        <v>11611</v>
      </c>
      <c r="I1598" s="10" t="s">
        <v>48</v>
      </c>
      <c r="J1598" s="64"/>
      <c r="K1598" s="10" t="s">
        <v>11560</v>
      </c>
      <c r="L1598" s="10" t="s">
        <v>42</v>
      </c>
    </row>
    <row r="1599" ht="15.75" customHeight="1">
      <c r="A1599" s="64">
        <v>45461.0</v>
      </c>
      <c r="B1599" s="55" t="str">
        <f>HYPERLINK("https://jobright.ai/jobs/info/6671ec37edd59a6c2956c437?utm_campaign=1052&amp;utm_source=sheet", "Apply")</f>
        <v>Apply</v>
      </c>
      <c r="C1599" s="10" t="s">
        <v>9858</v>
      </c>
      <c r="D1599" s="56" t="s">
        <v>11655</v>
      </c>
      <c r="E1599" s="10" t="s">
        <v>209</v>
      </c>
      <c r="F1599" s="10" t="s">
        <v>1654</v>
      </c>
      <c r="G1599" s="10" t="s">
        <v>9419</v>
      </c>
      <c r="H1599" s="10" t="s">
        <v>9476</v>
      </c>
      <c r="I1599" s="10" t="s">
        <v>55</v>
      </c>
      <c r="J1599" s="10" t="s">
        <v>581</v>
      </c>
      <c r="K1599" s="10" t="s">
        <v>11478</v>
      </c>
      <c r="L1599" s="10" t="s">
        <v>42</v>
      </c>
    </row>
    <row r="1600" ht="15.75" customHeight="1">
      <c r="A1600" s="64">
        <v>45460.0</v>
      </c>
      <c r="B1600" s="55" t="str">
        <f>HYPERLINK("https://jobright.ai/jobs/info/6670b2c94cdf67e41c94adb0?utm_campaign=1052&amp;utm_source=sheet", "Apply")</f>
        <v>Apply</v>
      </c>
      <c r="C1600" s="10" t="s">
        <v>11656</v>
      </c>
      <c r="D1600" s="56" t="s">
        <v>9403</v>
      </c>
      <c r="E1600" s="10" t="s">
        <v>45</v>
      </c>
      <c r="F1600" s="10" t="s">
        <v>722</v>
      </c>
      <c r="G1600" s="10" t="s">
        <v>9419</v>
      </c>
      <c r="H1600" s="10" t="s">
        <v>794</v>
      </c>
      <c r="I1600" s="10" t="s">
        <v>55</v>
      </c>
      <c r="J1600" s="64"/>
      <c r="K1600" s="10" t="s">
        <v>11657</v>
      </c>
      <c r="L1600" s="10" t="s">
        <v>42</v>
      </c>
    </row>
    <row r="1601" ht="15.75" customHeight="1">
      <c r="A1601" s="64">
        <v>45460.0</v>
      </c>
      <c r="B1601" s="55" t="str">
        <f>HYPERLINK("https://jobright.ai/jobs/info/66708ef91722ac77c119fe6d?utm_campaign=1052&amp;utm_source=sheet", "Apply")</f>
        <v>Apply</v>
      </c>
      <c r="C1601" s="10" t="s">
        <v>11658</v>
      </c>
      <c r="D1601" s="56" t="s">
        <v>11659</v>
      </c>
      <c r="E1601" s="10">
        <v>9.0</v>
      </c>
      <c r="G1601" s="10" t="s">
        <v>9414</v>
      </c>
      <c r="H1601" s="10" t="s">
        <v>251</v>
      </c>
      <c r="I1601" s="10" t="s">
        <v>252</v>
      </c>
      <c r="K1601" s="10" t="s">
        <v>11660</v>
      </c>
      <c r="L1601" s="10" t="s">
        <v>42</v>
      </c>
    </row>
    <row r="1602" ht="15.75" customHeight="1">
      <c r="A1602" s="64">
        <v>45460.0</v>
      </c>
      <c r="B1602" s="55" t="str">
        <f>HYPERLINK("https://jobright.ai/jobs/info/667955de39ca2f81c4370f46?utm_campaign=1052&amp;utm_source=sheet", "Apply")</f>
        <v>Apply</v>
      </c>
      <c r="C1602" s="10" t="s">
        <v>10759</v>
      </c>
      <c r="D1602" s="56" t="s">
        <v>11661</v>
      </c>
      <c r="E1602" s="10">
        <v>150.0</v>
      </c>
      <c r="G1602" s="10" t="s">
        <v>9419</v>
      </c>
      <c r="H1602" s="10" t="s">
        <v>1001</v>
      </c>
      <c r="I1602" s="10" t="s">
        <v>55</v>
      </c>
      <c r="K1602" s="10" t="s">
        <v>11662</v>
      </c>
      <c r="L1602" s="10" t="s">
        <v>42</v>
      </c>
    </row>
    <row r="1603" ht="15.75" customHeight="1">
      <c r="A1603" s="64">
        <v>45460.0</v>
      </c>
      <c r="B1603" s="55" t="str">
        <f>HYPERLINK("https://jobright.ai/jobs/info/66700d01e92e2bc2dce831b2?utm_campaign=1052&amp;utm_source=sheet", "Apply")</f>
        <v>Apply</v>
      </c>
      <c r="C1603" s="10" t="s">
        <v>11663</v>
      </c>
      <c r="D1603" s="56" t="s">
        <v>9557</v>
      </c>
      <c r="E1603" s="10" t="s">
        <v>209</v>
      </c>
      <c r="F1603" s="10" t="s">
        <v>1159</v>
      </c>
      <c r="G1603" s="10" t="s">
        <v>9419</v>
      </c>
      <c r="H1603" s="10" t="s">
        <v>174</v>
      </c>
      <c r="I1603" s="10" t="s">
        <v>48</v>
      </c>
      <c r="K1603" s="10" t="s">
        <v>10741</v>
      </c>
      <c r="L1603" s="10" t="s">
        <v>42</v>
      </c>
    </row>
    <row r="1604" ht="15.75" customHeight="1">
      <c r="A1604" s="64">
        <v>45460.0</v>
      </c>
      <c r="B1604" s="55" t="str">
        <f>HYPERLINK("https://jobright.ai/jobs/info/66708262caafd7fe2edf2244?utm_campaign=1052&amp;utm_source=sheet", "Apply")</f>
        <v>Apply</v>
      </c>
      <c r="C1604" s="10" t="s">
        <v>11664</v>
      </c>
      <c r="D1604" s="56" t="s">
        <v>11665</v>
      </c>
      <c r="E1604" s="10" t="s">
        <v>137</v>
      </c>
      <c r="F1604" s="10" t="s">
        <v>3594</v>
      </c>
      <c r="G1604" s="10" t="s">
        <v>9414</v>
      </c>
      <c r="H1604" s="10" t="s">
        <v>3719</v>
      </c>
      <c r="I1604" s="10" t="s">
        <v>48</v>
      </c>
      <c r="K1604" s="10" t="s">
        <v>11666</v>
      </c>
      <c r="L1604" s="10" t="s">
        <v>42</v>
      </c>
    </row>
    <row r="1605" ht="15.75" customHeight="1">
      <c r="A1605" s="64">
        <v>45460.0</v>
      </c>
      <c r="B1605" s="55" t="str">
        <f>HYPERLINK("https://jobright.ai/jobs/info/66708262caafd7fe2edf222a?utm_campaign=1052&amp;utm_source=sheet", "Apply")</f>
        <v>Apply</v>
      </c>
      <c r="C1605" s="10" t="s">
        <v>11667</v>
      </c>
      <c r="D1605" s="56" t="s">
        <v>11668</v>
      </c>
      <c r="G1605" s="10" t="s">
        <v>9414</v>
      </c>
      <c r="H1605" s="10" t="s">
        <v>11669</v>
      </c>
      <c r="I1605" s="10" t="s">
        <v>55</v>
      </c>
      <c r="K1605" s="10" t="s">
        <v>11670</v>
      </c>
      <c r="L1605" s="10" t="s">
        <v>42</v>
      </c>
    </row>
    <row r="1606" ht="15.75" customHeight="1">
      <c r="A1606" s="64">
        <v>45458.0</v>
      </c>
      <c r="B1606" s="55" t="str">
        <f>HYPERLINK("https://jobright.ai/jobs/info/6677b7639c2d9fa5bf087b28?utm_campaign=1052&amp;utm_source=sheet", "Apply")</f>
        <v>Apply</v>
      </c>
      <c r="C1606" s="10" t="s">
        <v>11671</v>
      </c>
      <c r="D1606" s="56" t="s">
        <v>9557</v>
      </c>
      <c r="E1606" s="10" t="s">
        <v>209</v>
      </c>
      <c r="F1606" s="10" t="s">
        <v>1159</v>
      </c>
      <c r="G1606" s="10" t="s">
        <v>9419</v>
      </c>
      <c r="H1606" s="10" t="s">
        <v>1263</v>
      </c>
      <c r="I1606" s="10" t="s">
        <v>55</v>
      </c>
      <c r="K1606" s="10" t="s">
        <v>10154</v>
      </c>
      <c r="L1606" s="10" t="s">
        <v>42</v>
      </c>
    </row>
    <row r="1607" ht="15.75" customHeight="1">
      <c r="A1607" s="64">
        <v>45458.0</v>
      </c>
      <c r="B1607" s="55" t="str">
        <f>HYPERLINK("https://jobright.ai/jobs/info/666dee9885ad284619f29f67?utm_campaign=1052&amp;utm_source=sheet", "Apply")</f>
        <v>Apply</v>
      </c>
      <c r="C1607" s="10" t="s">
        <v>11672</v>
      </c>
      <c r="D1607" s="56" t="s">
        <v>11659</v>
      </c>
      <c r="E1607" s="10">
        <v>9.0</v>
      </c>
      <c r="G1607" s="10" t="s">
        <v>9414</v>
      </c>
      <c r="H1607" s="10" t="s">
        <v>174</v>
      </c>
      <c r="I1607" s="10" t="s">
        <v>55</v>
      </c>
      <c r="K1607" s="10" t="s">
        <v>11673</v>
      </c>
      <c r="L1607" s="10" t="s">
        <v>42</v>
      </c>
    </row>
    <row r="1608" ht="15.75" customHeight="1">
      <c r="A1608" s="64">
        <v>45458.0</v>
      </c>
      <c r="B1608" s="55" t="str">
        <f>HYPERLINK("https://jobright.ai/jobs/info/6677c2432b6ed5133f443ced?utm_campaign=1052&amp;utm_source=sheet", "Apply")</f>
        <v>Apply</v>
      </c>
      <c r="C1608" s="10" t="s">
        <v>11674</v>
      </c>
      <c r="D1608" s="56" t="s">
        <v>9557</v>
      </c>
      <c r="E1608" s="10" t="s">
        <v>209</v>
      </c>
      <c r="F1608" s="10" t="s">
        <v>1159</v>
      </c>
      <c r="G1608" s="10" t="s">
        <v>9419</v>
      </c>
      <c r="H1608" s="10" t="s">
        <v>1263</v>
      </c>
      <c r="I1608" s="10" t="s">
        <v>55</v>
      </c>
      <c r="J1608" s="10" t="s">
        <v>11675</v>
      </c>
      <c r="K1608" s="10" t="s">
        <v>10154</v>
      </c>
      <c r="L1608" s="10" t="s">
        <v>42</v>
      </c>
    </row>
    <row r="1609" ht="15.75" customHeight="1">
      <c r="A1609" s="64">
        <v>45458.0</v>
      </c>
      <c r="B1609" s="55" t="str">
        <f>HYPERLINK("https://jobright.ai/jobs/info/6677c2832b6ed5133f4441ac?utm_campaign=1052&amp;utm_source=sheet", "Apply")</f>
        <v>Apply</v>
      </c>
      <c r="C1609" s="10" t="s">
        <v>9627</v>
      </c>
      <c r="D1609" s="56" t="s">
        <v>11676</v>
      </c>
      <c r="E1609" s="10" t="s">
        <v>71</v>
      </c>
      <c r="F1609" s="10" t="s">
        <v>11677</v>
      </c>
      <c r="G1609" s="10" t="s">
        <v>1159</v>
      </c>
      <c r="H1609" s="10" t="s">
        <v>794</v>
      </c>
      <c r="I1609" s="10" t="s">
        <v>55</v>
      </c>
      <c r="J1609" s="10" t="s">
        <v>1984</v>
      </c>
      <c r="K1609" s="10" t="s">
        <v>11678</v>
      </c>
      <c r="L1609" s="10" t="s">
        <v>42</v>
      </c>
    </row>
    <row r="1610" ht="15.75" customHeight="1">
      <c r="A1610" s="64">
        <v>45458.0</v>
      </c>
      <c r="B1610" s="55" t="str">
        <f>HYPERLINK("https://jobright.ai/jobs/info/6677c3182b6ed5133f444d03?utm_campaign=1052&amp;utm_source=sheet", "Apply")</f>
        <v>Apply</v>
      </c>
      <c r="C1610" s="10" t="s">
        <v>11679</v>
      </c>
      <c r="D1610" s="56" t="s">
        <v>9557</v>
      </c>
      <c r="E1610" s="10" t="s">
        <v>209</v>
      </c>
      <c r="F1610" s="10" t="s">
        <v>1159</v>
      </c>
      <c r="G1610" s="10" t="s">
        <v>9419</v>
      </c>
      <c r="H1610" s="10" t="s">
        <v>10949</v>
      </c>
      <c r="I1610" s="10" t="s">
        <v>55</v>
      </c>
      <c r="J1610" s="64"/>
      <c r="K1610" s="10" t="s">
        <v>10741</v>
      </c>
      <c r="L1610" s="10" t="s">
        <v>42</v>
      </c>
    </row>
    <row r="1611" ht="15.75" customHeight="1">
      <c r="A1611" s="64">
        <v>45458.0</v>
      </c>
      <c r="B1611" s="55" t="str">
        <f>HYPERLINK("https://jobright.ai/jobs/info/6677c3592b6ed5133f4451a4?utm_campaign=1052&amp;utm_source=sheet", "Apply")</f>
        <v>Apply</v>
      </c>
      <c r="C1611" s="10" t="s">
        <v>11680</v>
      </c>
      <c r="D1611" s="56" t="s">
        <v>11681</v>
      </c>
      <c r="E1611" s="10">
        <v>6815.0</v>
      </c>
      <c r="G1611" s="10" t="s">
        <v>9414</v>
      </c>
      <c r="H1611" s="10" t="s">
        <v>843</v>
      </c>
      <c r="I1611" s="10" t="s">
        <v>55</v>
      </c>
      <c r="J1611" s="64"/>
      <c r="K1611" s="10" t="s">
        <v>11682</v>
      </c>
      <c r="L1611" s="10" t="s">
        <v>42</v>
      </c>
    </row>
    <row r="1612" ht="15.75" customHeight="1">
      <c r="A1612" s="64">
        <v>45458.0</v>
      </c>
      <c r="B1612" s="55" t="str">
        <f>HYPERLINK("https://jobright.ai/jobs/info/6677c76b64f2e472ffd630c8?utm_campaign=1052&amp;utm_source=sheet", "Apply")</f>
        <v>Apply</v>
      </c>
      <c r="C1612" s="10" t="s">
        <v>11683</v>
      </c>
      <c r="D1612" s="56" t="s">
        <v>9557</v>
      </c>
      <c r="E1612" s="10" t="s">
        <v>209</v>
      </c>
      <c r="F1612" s="10" t="s">
        <v>1159</v>
      </c>
      <c r="G1612" s="10" t="s">
        <v>9419</v>
      </c>
      <c r="H1612" s="10" t="s">
        <v>1263</v>
      </c>
      <c r="I1612" s="10" t="s">
        <v>55</v>
      </c>
      <c r="K1612" s="10" t="s">
        <v>10154</v>
      </c>
      <c r="L1612" s="10" t="s">
        <v>42</v>
      </c>
    </row>
    <row r="1613" ht="15.75" customHeight="1">
      <c r="A1613" s="64">
        <v>45458.0</v>
      </c>
      <c r="B1613" s="55" t="str">
        <f>HYPERLINK("https://jobright.ai/jobs/info/6677c7ab64f2e472ffd634b2?utm_campaign=1052&amp;utm_source=sheet", "Apply")</f>
        <v>Apply</v>
      </c>
      <c r="C1613" s="10" t="s">
        <v>11684</v>
      </c>
      <c r="D1613" s="56" t="s">
        <v>9557</v>
      </c>
      <c r="E1613" s="10" t="s">
        <v>209</v>
      </c>
      <c r="F1613" s="10" t="s">
        <v>1159</v>
      </c>
      <c r="G1613" s="10" t="s">
        <v>9419</v>
      </c>
      <c r="H1613" s="10" t="s">
        <v>1263</v>
      </c>
      <c r="I1613" s="10" t="s">
        <v>55</v>
      </c>
      <c r="J1613" s="10" t="s">
        <v>11675</v>
      </c>
      <c r="K1613" s="10" t="s">
        <v>10154</v>
      </c>
      <c r="L1613" s="10" t="s">
        <v>42</v>
      </c>
    </row>
    <row r="1614" ht="15.75" customHeight="1">
      <c r="A1614" s="64">
        <v>45458.0</v>
      </c>
      <c r="B1614" s="55" t="str">
        <f>HYPERLINK("https://jobright.ai/jobs/info/6676c29ec9dc0237d722bc90?utm_campaign=1052&amp;utm_source=sheet", "Apply")</f>
        <v>Apply</v>
      </c>
      <c r="C1614" s="10" t="s">
        <v>11685</v>
      </c>
      <c r="D1614" s="56" t="s">
        <v>11686</v>
      </c>
      <c r="E1614" s="10" t="s">
        <v>79</v>
      </c>
      <c r="F1614" s="10" t="s">
        <v>11687</v>
      </c>
      <c r="G1614" s="10" t="s">
        <v>9414</v>
      </c>
      <c r="H1614" s="10" t="s">
        <v>7659</v>
      </c>
      <c r="I1614" s="10" t="s">
        <v>55</v>
      </c>
      <c r="J1614" s="64"/>
      <c r="K1614" s="10" t="s">
        <v>11688</v>
      </c>
      <c r="L1614" s="10" t="s">
        <v>42</v>
      </c>
    </row>
    <row r="1615" ht="15.75" customHeight="1">
      <c r="A1615" s="64">
        <v>45458.0</v>
      </c>
      <c r="B1615" s="55" t="str">
        <f>HYPERLINK("https://jobright.ai/jobs/info/6676b839022d43fb7b688dc4?utm_campaign=1052&amp;utm_source=sheet", "Apply")</f>
        <v>Apply</v>
      </c>
      <c r="C1615" s="10" t="s">
        <v>11689</v>
      </c>
      <c r="D1615" s="56" t="s">
        <v>11690</v>
      </c>
      <c r="E1615" s="10" t="s">
        <v>249</v>
      </c>
      <c r="F1615" s="10" t="s">
        <v>11691</v>
      </c>
      <c r="G1615" s="10" t="s">
        <v>9419</v>
      </c>
      <c r="H1615" s="10" t="s">
        <v>188</v>
      </c>
      <c r="I1615" s="10" t="s">
        <v>55</v>
      </c>
      <c r="J1615" s="64"/>
      <c r="K1615" s="10" t="s">
        <v>11692</v>
      </c>
      <c r="L1615" s="10" t="s">
        <v>42</v>
      </c>
    </row>
    <row r="1616" ht="15.75" customHeight="1">
      <c r="A1616" s="64">
        <v>45458.0</v>
      </c>
      <c r="B1616" s="55" t="str">
        <f>HYPERLINK("https://jobright.ai/jobs/info/665d01015e28ddcfd7dcc432?utm_campaign=1052&amp;utm_source=sheet", "Apply")</f>
        <v>Apply</v>
      </c>
      <c r="C1616" s="10" t="s">
        <v>11183</v>
      </c>
      <c r="D1616" s="56" t="s">
        <v>11184</v>
      </c>
      <c r="E1616" s="10" t="s">
        <v>276</v>
      </c>
      <c r="F1616" s="10" t="s">
        <v>10</v>
      </c>
      <c r="G1616" s="10" t="s">
        <v>1159</v>
      </c>
      <c r="H1616" s="10" t="s">
        <v>3703</v>
      </c>
      <c r="I1616" s="10" t="s">
        <v>48</v>
      </c>
      <c r="J1616" s="64"/>
      <c r="K1616" s="10" t="s">
        <v>11186</v>
      </c>
      <c r="L1616" s="10" t="s">
        <v>42</v>
      </c>
    </row>
    <row r="1617" ht="15.75" customHeight="1">
      <c r="A1617" s="64">
        <v>45457.0</v>
      </c>
      <c r="B1617" s="55" t="str">
        <f>HYPERLINK("https://jobright.ai/jobs/info/6675bec36f7095ca90c07f85?utm_campaign=1052&amp;utm_source=sheet", "Apply")</f>
        <v>Apply</v>
      </c>
      <c r="C1617" s="10" t="s">
        <v>11128</v>
      </c>
      <c r="D1617" s="56" t="s">
        <v>9550</v>
      </c>
      <c r="E1617" s="10" t="s">
        <v>249</v>
      </c>
      <c r="F1617" s="10" t="s">
        <v>722</v>
      </c>
      <c r="G1617" s="10" t="s">
        <v>1159</v>
      </c>
      <c r="H1617" s="10" t="s">
        <v>11129</v>
      </c>
      <c r="I1617" s="10" t="s">
        <v>55</v>
      </c>
      <c r="J1617" s="64"/>
      <c r="K1617" s="10" t="s">
        <v>10355</v>
      </c>
      <c r="L1617" s="10" t="s">
        <v>42</v>
      </c>
    </row>
    <row r="1618" ht="15.75" customHeight="1">
      <c r="A1618" s="64">
        <v>45457.0</v>
      </c>
      <c r="B1618" s="55" t="str">
        <f>HYPERLINK("https://jobright.ai/jobs/info/666c90e8109783a5617fd8ae?utm_campaign=1052&amp;utm_source=sheet", "Apply")</f>
        <v>Apply</v>
      </c>
      <c r="C1618" s="10" t="s">
        <v>9436</v>
      </c>
      <c r="D1618" s="56" t="s">
        <v>11693</v>
      </c>
      <c r="E1618" s="10" t="s">
        <v>65</v>
      </c>
      <c r="F1618" s="10" t="s">
        <v>11694</v>
      </c>
      <c r="G1618" s="10" t="s">
        <v>9414</v>
      </c>
      <c r="H1618" s="10" t="s">
        <v>299</v>
      </c>
      <c r="I1618" s="10" t="s">
        <v>55</v>
      </c>
      <c r="J1618" s="10" t="s">
        <v>1873</v>
      </c>
      <c r="K1618" s="10" t="s">
        <v>11695</v>
      </c>
      <c r="L1618" s="10" t="s">
        <v>42</v>
      </c>
    </row>
    <row r="1619" ht="15.75" customHeight="1">
      <c r="A1619" s="64">
        <v>45457.0</v>
      </c>
      <c r="B1619" s="55" t="str">
        <f>HYPERLINK("https://jobright.ai/jobs/info/66758a99e9630e29ff21437d?utm_campaign=1052&amp;utm_source=sheet", "Apply")</f>
        <v>Apply</v>
      </c>
      <c r="C1619" s="10" t="s">
        <v>11696</v>
      </c>
      <c r="D1619" s="56" t="s">
        <v>5146</v>
      </c>
      <c r="E1619" s="10" t="s">
        <v>65</v>
      </c>
      <c r="F1619" s="10" t="s">
        <v>5147</v>
      </c>
      <c r="G1619" s="10" t="s">
        <v>9414</v>
      </c>
      <c r="H1619" s="10" t="s">
        <v>5148</v>
      </c>
      <c r="I1619" s="10" t="s">
        <v>55</v>
      </c>
      <c r="J1619" s="64"/>
      <c r="K1619" s="10" t="s">
        <v>11697</v>
      </c>
      <c r="L1619" s="10" t="s">
        <v>42</v>
      </c>
    </row>
    <row r="1620" ht="15.75" customHeight="1">
      <c r="A1620" s="64">
        <v>45457.0</v>
      </c>
      <c r="B1620" s="55" t="str">
        <f>HYPERLINK("https://jobright.ai/jobs/info/666c90f6109783a5617fd98e?utm_campaign=1052&amp;utm_source=sheet", "Apply")</f>
        <v>Apply</v>
      </c>
      <c r="C1620" s="10" t="s">
        <v>10980</v>
      </c>
      <c r="D1620" s="56" t="s">
        <v>10981</v>
      </c>
      <c r="E1620" s="10" t="s">
        <v>45</v>
      </c>
      <c r="F1620" s="10" t="s">
        <v>10982</v>
      </c>
      <c r="G1620" s="10" t="s">
        <v>9419</v>
      </c>
      <c r="H1620" s="10" t="s">
        <v>11140</v>
      </c>
      <c r="I1620" s="10" t="s">
        <v>55</v>
      </c>
      <c r="J1620" s="10" t="s">
        <v>9980</v>
      </c>
      <c r="K1620" s="10" t="s">
        <v>10983</v>
      </c>
      <c r="L1620" s="10" t="s">
        <v>42</v>
      </c>
    </row>
    <row r="1621" ht="15.75" customHeight="1">
      <c r="A1621" s="64">
        <v>45456.0</v>
      </c>
      <c r="B1621" s="55" t="str">
        <f>HYPERLINK("https://jobright.ai/jobs/info/666b505b42939568118e7f86?utm_campaign=1052&amp;utm_source=sheet", "Apply")</f>
        <v>Apply</v>
      </c>
      <c r="C1621" s="10" t="s">
        <v>11698</v>
      </c>
      <c r="D1621" s="56" t="s">
        <v>10267</v>
      </c>
      <c r="E1621" s="10" t="s">
        <v>65</v>
      </c>
      <c r="F1621" s="10" t="s">
        <v>259</v>
      </c>
      <c r="G1621" s="10" t="s">
        <v>9414</v>
      </c>
      <c r="H1621" s="10" t="s">
        <v>96</v>
      </c>
      <c r="I1621" s="10" t="s">
        <v>55</v>
      </c>
      <c r="J1621" s="10" t="s">
        <v>11699</v>
      </c>
      <c r="K1621" s="10" t="s">
        <v>11700</v>
      </c>
      <c r="L1621" s="10" t="s">
        <v>42</v>
      </c>
    </row>
    <row r="1622" ht="15.75" customHeight="1">
      <c r="A1622" s="64">
        <v>45456.0</v>
      </c>
      <c r="B1622" s="55" t="str">
        <f>HYPERLINK("https://jobright.ai/jobs/info/666b393889d295d4f2f2ecae?utm_campaign=1052&amp;utm_source=sheet", "Apply")</f>
        <v>Apply</v>
      </c>
      <c r="C1622" s="10" t="s">
        <v>9614</v>
      </c>
      <c r="D1622" s="56" t="s">
        <v>8663</v>
      </c>
      <c r="E1622" s="10">
        <v>1446.0</v>
      </c>
      <c r="G1622" s="10" t="s">
        <v>1159</v>
      </c>
      <c r="H1622" s="10" t="s">
        <v>1035</v>
      </c>
      <c r="I1622" s="10" t="s">
        <v>48</v>
      </c>
      <c r="J1622" s="64"/>
      <c r="K1622" s="10" t="s">
        <v>11701</v>
      </c>
      <c r="L1622" s="10" t="s">
        <v>42</v>
      </c>
    </row>
    <row r="1623" ht="15.75" customHeight="1">
      <c r="A1623" s="64">
        <v>45456.0</v>
      </c>
      <c r="B1623" s="55" t="str">
        <f>HYPERLINK("https://jobright.ai/jobs/info/6663571bb0af08f62d9de7c5?utm_campaign=1052&amp;utm_source=sheet", "Apply")</f>
        <v>Apply</v>
      </c>
      <c r="C1623" s="10" t="s">
        <v>11702</v>
      </c>
      <c r="D1623" s="56" t="s">
        <v>11703</v>
      </c>
      <c r="G1623" s="10" t="s">
        <v>9419</v>
      </c>
      <c r="H1623" s="10" t="s">
        <v>154</v>
      </c>
      <c r="I1623" s="10" t="s">
        <v>48</v>
      </c>
      <c r="J1623" s="64"/>
      <c r="K1623" s="10" t="s">
        <v>11704</v>
      </c>
      <c r="L1623" s="10" t="s">
        <v>42</v>
      </c>
    </row>
    <row r="1624" ht="15.75" customHeight="1">
      <c r="A1624" s="64">
        <v>45456.0</v>
      </c>
      <c r="B1624" s="55" t="str">
        <f>HYPERLINK("https://jobright.ai/jobs/info/6663452b1d82cf7d022e4ac3?utm_campaign=1052&amp;utm_source=sheet", "Apply")</f>
        <v>Apply</v>
      </c>
      <c r="C1624" s="10" t="s">
        <v>11702</v>
      </c>
      <c r="D1624" s="56" t="s">
        <v>11703</v>
      </c>
      <c r="G1624" s="10" t="s">
        <v>9419</v>
      </c>
      <c r="H1624" s="10" t="s">
        <v>661</v>
      </c>
      <c r="I1624" s="10" t="s">
        <v>48</v>
      </c>
      <c r="J1624" s="64"/>
      <c r="K1624" s="10" t="s">
        <v>11704</v>
      </c>
      <c r="L1624" s="10" t="s">
        <v>42</v>
      </c>
    </row>
    <row r="1625" ht="15.75" customHeight="1">
      <c r="A1625" s="64">
        <v>45456.0</v>
      </c>
      <c r="B1625" s="55" t="str">
        <f>HYPERLINK("https://jobright.ai/jobs/info/6672e7ced742a3597e9ab7b8?utm_campaign=1052&amp;utm_source=sheet", "Apply")</f>
        <v>Apply</v>
      </c>
      <c r="C1625" s="10" t="s">
        <v>11705</v>
      </c>
      <c r="D1625" s="56" t="s">
        <v>11706</v>
      </c>
      <c r="E1625" s="10" t="s">
        <v>137</v>
      </c>
      <c r="F1625" s="10" t="s">
        <v>8944</v>
      </c>
      <c r="G1625" s="10" t="s">
        <v>9414</v>
      </c>
      <c r="H1625" s="10" t="s">
        <v>994</v>
      </c>
      <c r="I1625" s="10" t="s">
        <v>55</v>
      </c>
      <c r="J1625" s="64"/>
      <c r="K1625" s="10" t="s">
        <v>11707</v>
      </c>
      <c r="L1625" s="10" t="s">
        <v>42</v>
      </c>
    </row>
    <row r="1626" ht="15.75" customHeight="1">
      <c r="A1626" s="64">
        <v>45456.0</v>
      </c>
      <c r="B1626" s="55" t="str">
        <f>HYPERLINK("https://jobright.ai/jobs/info/667420e316674a8940209240?utm_campaign=1052&amp;utm_source=sheet", "Apply")</f>
        <v>Apply</v>
      </c>
      <c r="C1626" s="10" t="s">
        <v>11708</v>
      </c>
      <c r="D1626" s="56" t="s">
        <v>11709</v>
      </c>
      <c r="E1626" s="10" t="s">
        <v>65</v>
      </c>
      <c r="F1626" s="10" t="s">
        <v>1243</v>
      </c>
      <c r="G1626" s="10" t="s">
        <v>9414</v>
      </c>
      <c r="H1626" s="10" t="s">
        <v>11710</v>
      </c>
      <c r="I1626" s="10" t="s">
        <v>55</v>
      </c>
      <c r="J1626" s="64"/>
      <c r="K1626" s="10" t="s">
        <v>11711</v>
      </c>
      <c r="L1626" s="10" t="s">
        <v>42</v>
      </c>
    </row>
    <row r="1627" ht="15.75" customHeight="1">
      <c r="A1627" s="64">
        <v>45456.0</v>
      </c>
      <c r="B1627" s="55" t="str">
        <f>HYPERLINK("https://jobright.ai/jobs/info/667416ef5535aa1101e3331b?utm_campaign=1052&amp;utm_source=sheet", "Apply")</f>
        <v>Apply</v>
      </c>
      <c r="C1627" s="10" t="s">
        <v>11712</v>
      </c>
      <c r="D1627" s="56" t="s">
        <v>2220</v>
      </c>
      <c r="E1627" s="10" t="s">
        <v>45</v>
      </c>
      <c r="F1627" s="10" t="s">
        <v>2221</v>
      </c>
      <c r="G1627" s="10" t="s">
        <v>1159</v>
      </c>
      <c r="H1627" s="10" t="s">
        <v>6620</v>
      </c>
      <c r="I1627" s="10" t="s">
        <v>55</v>
      </c>
      <c r="J1627" s="64"/>
      <c r="K1627" s="10" t="s">
        <v>7614</v>
      </c>
      <c r="L1627" s="10" t="s">
        <v>42</v>
      </c>
    </row>
    <row r="1628" ht="15.75" customHeight="1">
      <c r="A1628" s="64">
        <v>45455.0</v>
      </c>
      <c r="B1628" s="55" t="str">
        <f>HYPERLINK("https://jobright.ai/jobs/info/666a480e96cd26642f3ce26e?utm_campaign=1052&amp;utm_source=sheet", "Apply")</f>
        <v>Apply</v>
      </c>
      <c r="C1628" s="10" t="s">
        <v>9858</v>
      </c>
      <c r="D1628" s="56" t="s">
        <v>11713</v>
      </c>
      <c r="E1628" s="10" t="s">
        <v>137</v>
      </c>
      <c r="F1628" s="10" t="s">
        <v>1159</v>
      </c>
      <c r="G1628" s="10" t="s">
        <v>9419</v>
      </c>
      <c r="H1628" s="10" t="s">
        <v>807</v>
      </c>
      <c r="I1628" s="10" t="s">
        <v>55</v>
      </c>
      <c r="J1628" s="64"/>
      <c r="K1628" s="10" t="s">
        <v>11714</v>
      </c>
      <c r="L1628" s="10" t="s">
        <v>42</v>
      </c>
    </row>
    <row r="1629" ht="15.75" customHeight="1">
      <c r="A1629" s="64">
        <v>45455.0</v>
      </c>
      <c r="B1629" s="55" t="str">
        <f>HYPERLINK("https://jobright.ai/jobs/info/666a2c080b96ba2c78742a72?utm_campaign=1052&amp;utm_source=sheet", "Apply")</f>
        <v>Apply</v>
      </c>
      <c r="C1629" s="10" t="s">
        <v>11715</v>
      </c>
      <c r="D1629" s="56" t="s">
        <v>11716</v>
      </c>
      <c r="G1629" s="10" t="s">
        <v>9419</v>
      </c>
      <c r="H1629" s="10" t="s">
        <v>914</v>
      </c>
      <c r="I1629" s="10" t="s">
        <v>55</v>
      </c>
      <c r="J1629" s="64"/>
      <c r="K1629" s="10" t="s">
        <v>11717</v>
      </c>
      <c r="L1629" s="10" t="s">
        <v>42</v>
      </c>
    </row>
    <row r="1630" ht="15.75" customHeight="1">
      <c r="A1630" s="64">
        <v>45455.0</v>
      </c>
      <c r="B1630" s="55" t="str">
        <f>HYPERLINK("https://jobright.ai/jobs/info/666a0e08c1380fdcaca3f8d6?utm_campaign=1052&amp;utm_source=sheet", "Apply")</f>
        <v>Apply</v>
      </c>
      <c r="C1630" s="10" t="s">
        <v>11718</v>
      </c>
      <c r="D1630" s="56" t="s">
        <v>11716</v>
      </c>
      <c r="G1630" s="10" t="s">
        <v>9419</v>
      </c>
      <c r="H1630" s="10" t="s">
        <v>788</v>
      </c>
      <c r="I1630" s="10" t="s">
        <v>55</v>
      </c>
      <c r="J1630" s="64"/>
      <c r="K1630" s="10" t="s">
        <v>10154</v>
      </c>
      <c r="L1630" s="10" t="s">
        <v>42</v>
      </c>
    </row>
    <row r="1631" ht="15.75" customHeight="1">
      <c r="A1631" s="64">
        <v>45455.0</v>
      </c>
      <c r="B1631" s="55" t="str">
        <f>HYPERLINK("https://jobright.ai/jobs/info/666a0b9a0f0fdba2b58d2a2d?utm_campaign=1052&amp;utm_source=sheet", "Apply")</f>
        <v>Apply</v>
      </c>
      <c r="C1631" s="10" t="s">
        <v>11719</v>
      </c>
      <c r="D1631" s="56" t="s">
        <v>11716</v>
      </c>
      <c r="G1631" s="10" t="s">
        <v>9419</v>
      </c>
      <c r="H1631" s="10" t="s">
        <v>434</v>
      </c>
      <c r="I1631" s="10" t="s">
        <v>55</v>
      </c>
      <c r="K1631" s="10" t="s">
        <v>10154</v>
      </c>
      <c r="L1631" s="10" t="s">
        <v>42</v>
      </c>
    </row>
    <row r="1632" ht="15.75" customHeight="1">
      <c r="A1632" s="64">
        <v>45455.0</v>
      </c>
      <c r="B1632" s="55" t="str">
        <f>HYPERLINK("https://jobright.ai/jobs/info/666a0b8c0f0fdba2b58d28c6?utm_campaign=1052&amp;utm_source=sheet", "Apply")</f>
        <v>Apply</v>
      </c>
      <c r="C1632" s="10" t="s">
        <v>11720</v>
      </c>
      <c r="D1632" s="56" t="s">
        <v>11716</v>
      </c>
      <c r="G1632" s="10" t="s">
        <v>9419</v>
      </c>
      <c r="H1632" s="10" t="s">
        <v>152</v>
      </c>
      <c r="I1632" s="10" t="s">
        <v>55</v>
      </c>
      <c r="K1632" s="10" t="s">
        <v>10741</v>
      </c>
      <c r="L1632" s="10" t="s">
        <v>42</v>
      </c>
    </row>
    <row r="1633" ht="15.75" customHeight="1">
      <c r="A1633" s="64">
        <v>45455.0</v>
      </c>
      <c r="B1633" s="55" t="str">
        <f>HYPERLINK("https://jobright.ai/jobs/info/665625f4b2a02293b8480809?utm_campaign=1052&amp;utm_source=sheet", "Apply")</f>
        <v>Apply</v>
      </c>
      <c r="C1633" s="10" t="s">
        <v>9858</v>
      </c>
      <c r="D1633" s="56" t="s">
        <v>11721</v>
      </c>
      <c r="E1633" s="10" t="s">
        <v>65</v>
      </c>
      <c r="F1633" s="10" t="s">
        <v>11722</v>
      </c>
      <c r="G1633" s="10" t="s">
        <v>9419</v>
      </c>
      <c r="H1633" s="10" t="s">
        <v>994</v>
      </c>
      <c r="I1633" s="10" t="s">
        <v>55</v>
      </c>
      <c r="J1633" s="64"/>
      <c r="K1633" s="10" t="s">
        <v>11723</v>
      </c>
      <c r="L1633" s="10" t="s">
        <v>42</v>
      </c>
    </row>
    <row r="1634" ht="15.75" customHeight="1">
      <c r="A1634" s="64">
        <v>45455.0</v>
      </c>
      <c r="B1634" s="55" t="str">
        <f>HYPERLINK("https://jobright.ai/jobs/info/6669740e088eeef0ad66cb22?utm_campaign=1052&amp;utm_source=sheet", "Apply")</f>
        <v>Apply</v>
      </c>
      <c r="C1634" s="10" t="s">
        <v>11724</v>
      </c>
      <c r="D1634" s="56" t="s">
        <v>9557</v>
      </c>
      <c r="E1634" s="10" t="s">
        <v>209</v>
      </c>
      <c r="F1634" s="10" t="s">
        <v>1159</v>
      </c>
      <c r="G1634" s="10" t="s">
        <v>9419</v>
      </c>
      <c r="H1634" s="10" t="s">
        <v>313</v>
      </c>
      <c r="I1634" s="10" t="s">
        <v>48</v>
      </c>
      <c r="J1634" s="10" t="s">
        <v>11725</v>
      </c>
      <c r="K1634" s="10" t="s">
        <v>10154</v>
      </c>
      <c r="L1634" s="10" t="s">
        <v>42</v>
      </c>
    </row>
    <row r="1635" ht="15.75" customHeight="1">
      <c r="A1635" s="64">
        <v>45455.0</v>
      </c>
      <c r="B1635" s="55" t="str">
        <f>HYPERLINK("https://jobright.ai/jobs/info/6669740e088eeef0ad66cb00?utm_campaign=1052&amp;utm_source=sheet", "Apply")</f>
        <v>Apply</v>
      </c>
      <c r="C1635" s="10" t="s">
        <v>11726</v>
      </c>
      <c r="D1635" s="56" t="s">
        <v>9557</v>
      </c>
      <c r="E1635" s="10" t="s">
        <v>209</v>
      </c>
      <c r="F1635" s="10" t="s">
        <v>1159</v>
      </c>
      <c r="G1635" s="10" t="s">
        <v>9419</v>
      </c>
      <c r="H1635" s="10" t="s">
        <v>313</v>
      </c>
      <c r="I1635" s="10" t="s">
        <v>48</v>
      </c>
      <c r="J1635" s="64"/>
      <c r="K1635" s="10" t="s">
        <v>10154</v>
      </c>
      <c r="L1635" s="10" t="s">
        <v>42</v>
      </c>
    </row>
    <row r="1636" ht="15.75" customHeight="1">
      <c r="A1636" s="64">
        <v>45455.0</v>
      </c>
      <c r="B1636" s="55" t="str">
        <f>HYPERLINK("https://jobright.ai/jobs/info/6668749533709360ffdc8b64?utm_campaign=1052&amp;utm_source=sheet", "Apply")</f>
        <v>Apply</v>
      </c>
      <c r="C1636" s="10" t="s">
        <v>11727</v>
      </c>
      <c r="D1636" s="56" t="s">
        <v>11728</v>
      </c>
      <c r="E1636" s="10">
        <v>7.0</v>
      </c>
      <c r="G1636" s="10" t="s">
        <v>1159</v>
      </c>
      <c r="H1636" s="10" t="s">
        <v>11729</v>
      </c>
      <c r="I1636" s="10" t="s">
        <v>55</v>
      </c>
      <c r="J1636" s="64"/>
      <c r="K1636" s="10" t="s">
        <v>11730</v>
      </c>
      <c r="L1636" s="10" t="s">
        <v>42</v>
      </c>
    </row>
    <row r="1637" ht="15.75" customHeight="1">
      <c r="A1637" s="64">
        <v>45455.0</v>
      </c>
      <c r="B1637" s="55" t="str">
        <f>HYPERLINK("https://jobright.ai/jobs/info/666a483396cd26642f3ce4cf?utm_campaign=1052&amp;utm_source=sheet", "Apply")</f>
        <v>Apply</v>
      </c>
      <c r="C1637" s="10" t="s">
        <v>9614</v>
      </c>
      <c r="D1637" s="56" t="s">
        <v>5280</v>
      </c>
      <c r="E1637" s="10" t="s">
        <v>209</v>
      </c>
      <c r="F1637" s="10" t="s">
        <v>1512</v>
      </c>
      <c r="G1637" s="10" t="s">
        <v>1159</v>
      </c>
      <c r="H1637" s="10" t="s">
        <v>1035</v>
      </c>
      <c r="I1637" s="10" t="s">
        <v>48</v>
      </c>
      <c r="K1637" s="10" t="s">
        <v>9615</v>
      </c>
      <c r="L1637" s="10" t="s">
        <v>42</v>
      </c>
    </row>
    <row r="1638" ht="15.75" customHeight="1">
      <c r="A1638" s="64">
        <v>45454.0</v>
      </c>
      <c r="B1638" s="55" t="str">
        <f>HYPERLINK("https://jobright.ai/jobs/info/6668f5d82a7f89b2d30a3a6f?utm_campaign=1052&amp;utm_source=sheet", "Apply")</f>
        <v>Apply</v>
      </c>
      <c r="C1638" s="10" t="s">
        <v>11731</v>
      </c>
      <c r="D1638" s="56" t="s">
        <v>11732</v>
      </c>
      <c r="E1638" s="10" t="s">
        <v>71</v>
      </c>
      <c r="F1638" s="10" t="s">
        <v>722</v>
      </c>
      <c r="G1638" s="10" t="s">
        <v>1159</v>
      </c>
      <c r="H1638" s="10" t="s">
        <v>994</v>
      </c>
      <c r="I1638" s="10" t="s">
        <v>55</v>
      </c>
      <c r="J1638" s="64"/>
      <c r="K1638" s="10" t="s">
        <v>11733</v>
      </c>
      <c r="L1638" s="10" t="s">
        <v>42</v>
      </c>
    </row>
    <row r="1639" ht="15.75" customHeight="1">
      <c r="A1639" s="64">
        <v>45454.0</v>
      </c>
      <c r="B1639" s="55" t="str">
        <f>HYPERLINK("https://jobright.ai/jobs/info/6668d51aa61aa343601407cc?utm_campaign=1052&amp;utm_source=sheet", "Apply")</f>
        <v>Apply</v>
      </c>
      <c r="C1639" s="10" t="s">
        <v>11734</v>
      </c>
      <c r="D1639" s="56" t="s">
        <v>11735</v>
      </c>
      <c r="E1639" s="10" t="s">
        <v>137</v>
      </c>
      <c r="F1639" s="10" t="s">
        <v>2409</v>
      </c>
      <c r="G1639" s="10" t="s">
        <v>9414</v>
      </c>
      <c r="H1639" s="10" t="s">
        <v>11736</v>
      </c>
      <c r="I1639" s="10" t="s">
        <v>252</v>
      </c>
      <c r="J1639" s="64"/>
      <c r="K1639" s="10" t="s">
        <v>11737</v>
      </c>
      <c r="L1639" s="10" t="s">
        <v>42</v>
      </c>
    </row>
    <row r="1640" ht="15.75" customHeight="1">
      <c r="A1640" s="64">
        <v>45454.0</v>
      </c>
      <c r="B1640" s="55" t="str">
        <f>HYPERLINK("https://jobright.ai/jobs/info/66681dbc1c2d3f9f50323c91?utm_campaign=1052&amp;utm_source=sheet", "Apply")</f>
        <v>Apply</v>
      </c>
      <c r="C1640" s="10" t="s">
        <v>11738</v>
      </c>
      <c r="D1640" s="56" t="s">
        <v>1496</v>
      </c>
      <c r="E1640" s="10" t="s">
        <v>45</v>
      </c>
      <c r="F1640" s="10" t="s">
        <v>1497</v>
      </c>
      <c r="G1640" s="10" t="s">
        <v>9419</v>
      </c>
      <c r="H1640" s="10" t="s">
        <v>11739</v>
      </c>
      <c r="I1640" s="10" t="s">
        <v>55</v>
      </c>
      <c r="J1640" s="64"/>
      <c r="K1640" s="10" t="s">
        <v>11740</v>
      </c>
      <c r="L1640" s="10" t="s">
        <v>42</v>
      </c>
    </row>
    <row r="1641" ht="15.75" customHeight="1">
      <c r="A1641" s="64">
        <v>45453.0</v>
      </c>
      <c r="B1641" s="55" t="str">
        <f>HYPERLINK("https://jobright.ai/jobs/info/66677ae68af55f9dd82cc964?utm_campaign=1052&amp;utm_source=sheet", "Apply")</f>
        <v>Apply</v>
      </c>
      <c r="C1641" s="10" t="s">
        <v>11741</v>
      </c>
      <c r="D1641" s="56" t="s">
        <v>9557</v>
      </c>
      <c r="E1641" s="10" t="s">
        <v>209</v>
      </c>
      <c r="F1641" s="10" t="s">
        <v>1159</v>
      </c>
      <c r="G1641" s="10" t="s">
        <v>9419</v>
      </c>
      <c r="H1641" s="10" t="s">
        <v>1036</v>
      </c>
      <c r="I1641" s="10" t="s">
        <v>48</v>
      </c>
      <c r="J1641" s="64"/>
      <c r="K1641" s="10" t="s">
        <v>10154</v>
      </c>
      <c r="L1641" s="10" t="s">
        <v>42</v>
      </c>
    </row>
    <row r="1642" ht="15.75" customHeight="1">
      <c r="A1642" s="64">
        <v>45451.0</v>
      </c>
      <c r="B1642" s="55" t="str">
        <f>HYPERLINK("https://jobright.ai/jobs/info/6677cc6374ec1a95a89ae12e?utm_campaign=1052&amp;utm_source=sheet", "Apply")</f>
        <v>Apply</v>
      </c>
      <c r="C1642" s="10" t="s">
        <v>11742</v>
      </c>
      <c r="D1642" s="56" t="s">
        <v>9557</v>
      </c>
      <c r="E1642" s="10" t="s">
        <v>209</v>
      </c>
      <c r="F1642" s="10" t="s">
        <v>1159</v>
      </c>
      <c r="G1642" s="10" t="s">
        <v>9419</v>
      </c>
      <c r="H1642" s="10" t="s">
        <v>843</v>
      </c>
      <c r="I1642" s="10" t="s">
        <v>55</v>
      </c>
      <c r="J1642" s="64"/>
      <c r="K1642" s="10" t="s">
        <v>10154</v>
      </c>
      <c r="L1642" s="10" t="s">
        <v>42</v>
      </c>
    </row>
    <row r="1643" ht="15.75" customHeight="1">
      <c r="A1643" s="64">
        <v>45451.0</v>
      </c>
      <c r="B1643" s="55" t="str">
        <f>HYPERLINK("https://jobright.ai/jobs/info/6677d7655793f82273cb3c59?utm_campaign=1052&amp;utm_source=sheet", "Apply")</f>
        <v>Apply</v>
      </c>
      <c r="C1643" s="10" t="s">
        <v>11680</v>
      </c>
      <c r="D1643" s="56" t="s">
        <v>11681</v>
      </c>
      <c r="E1643" s="10">
        <v>6815.0</v>
      </c>
      <c r="G1643" s="10" t="s">
        <v>9414</v>
      </c>
      <c r="H1643" s="10" t="s">
        <v>11046</v>
      </c>
      <c r="I1643" s="10" t="s">
        <v>55</v>
      </c>
      <c r="J1643" s="64"/>
      <c r="K1643" s="10" t="s">
        <v>11682</v>
      </c>
      <c r="L1643" s="10" t="s">
        <v>42</v>
      </c>
    </row>
    <row r="1644" ht="15.75" customHeight="1">
      <c r="A1644" s="64">
        <v>45450.0</v>
      </c>
      <c r="B1644" s="55" t="str">
        <f>HYPERLINK("https://jobright.ai/jobs/info/6663a6631fcd0b606a5b4cbe?utm_campaign=1052&amp;utm_source=sheet", "Apply")</f>
        <v>Apply</v>
      </c>
      <c r="C1644" s="10" t="s">
        <v>10061</v>
      </c>
      <c r="D1644" s="56" t="s">
        <v>10062</v>
      </c>
      <c r="E1644" s="10" t="s">
        <v>79</v>
      </c>
      <c r="F1644" s="10" t="s">
        <v>10</v>
      </c>
      <c r="G1644" s="10" t="s">
        <v>9419</v>
      </c>
      <c r="H1644" s="10" t="s">
        <v>993</v>
      </c>
      <c r="I1644" s="10" t="s">
        <v>55</v>
      </c>
      <c r="J1644" s="64"/>
      <c r="K1644" s="10" t="s">
        <v>11743</v>
      </c>
      <c r="L1644" s="10" t="s">
        <v>42</v>
      </c>
    </row>
    <row r="1645" ht="15.75" customHeight="1">
      <c r="A1645" s="64">
        <v>45450.0</v>
      </c>
      <c r="B1645" s="55" t="str">
        <f>HYPERLINK("https://jobright.ai/jobs/info/6675ea32a266c24fd0a1537d?utm_campaign=1052&amp;utm_source=sheet", "Apply")</f>
        <v>Apply</v>
      </c>
      <c r="C1645" s="10" t="s">
        <v>11744</v>
      </c>
      <c r="D1645" s="56" t="s">
        <v>11745</v>
      </c>
      <c r="E1645" s="10" t="s">
        <v>276</v>
      </c>
      <c r="F1645" s="10" t="s">
        <v>3382</v>
      </c>
      <c r="G1645" s="10" t="s">
        <v>9419</v>
      </c>
      <c r="H1645" s="10" t="s">
        <v>2988</v>
      </c>
      <c r="I1645" s="10" t="s">
        <v>55</v>
      </c>
      <c r="J1645" s="64"/>
      <c r="K1645" s="10" t="s">
        <v>11746</v>
      </c>
      <c r="L1645" s="10" t="s">
        <v>42</v>
      </c>
    </row>
    <row r="1646" ht="15.75" customHeight="1">
      <c r="A1646" s="64">
        <v>45450.0</v>
      </c>
      <c r="B1646" s="55" t="str">
        <f>HYPERLINK("https://jobright.ai/jobs/info/66634eedc127d17bdd96933a?utm_campaign=1052&amp;utm_source=sheet", "Apply")</f>
        <v>Apply</v>
      </c>
      <c r="C1646" s="10" t="s">
        <v>11747</v>
      </c>
      <c r="D1646" s="56" t="s">
        <v>9992</v>
      </c>
      <c r="E1646" s="10">
        <v>339.0</v>
      </c>
      <c r="G1646" s="10" t="s">
        <v>9414</v>
      </c>
      <c r="H1646" s="10" t="s">
        <v>6620</v>
      </c>
      <c r="I1646" s="10" t="s">
        <v>55</v>
      </c>
      <c r="J1646" s="64"/>
      <c r="K1646" s="10" t="s">
        <v>11352</v>
      </c>
      <c r="L1646" s="10" t="s">
        <v>42</v>
      </c>
    </row>
    <row r="1647" ht="15.75" customHeight="1">
      <c r="A1647" s="64">
        <v>45450.0</v>
      </c>
      <c r="B1647" s="55" t="str">
        <f>HYPERLINK("https://jobright.ai/jobs/info/66634eedc127d17bdd969347?utm_campaign=1052&amp;utm_source=sheet", "Apply")</f>
        <v>Apply</v>
      </c>
      <c r="C1647" s="10" t="s">
        <v>11747</v>
      </c>
      <c r="D1647" s="56" t="s">
        <v>9992</v>
      </c>
      <c r="E1647" s="10">
        <v>339.0</v>
      </c>
      <c r="G1647" s="10" t="s">
        <v>9414</v>
      </c>
      <c r="H1647" s="10" t="s">
        <v>3196</v>
      </c>
      <c r="I1647" s="10" t="s">
        <v>55</v>
      </c>
      <c r="J1647" s="64"/>
      <c r="K1647" s="10" t="s">
        <v>11352</v>
      </c>
      <c r="L1647" s="10" t="s">
        <v>42</v>
      </c>
    </row>
    <row r="1648" ht="15.75" customHeight="1">
      <c r="A1648" s="64">
        <v>45450.0</v>
      </c>
      <c r="B1648" s="55" t="str">
        <f>HYPERLINK("https://jobright.ai/jobs/info/6675afc1242bc4c930f29247?utm_campaign=1052&amp;utm_source=sheet", "Apply")</f>
        <v>Apply</v>
      </c>
      <c r="C1648" s="10" t="s">
        <v>11748</v>
      </c>
      <c r="D1648" s="56" t="s">
        <v>9557</v>
      </c>
      <c r="E1648" s="10" t="s">
        <v>209</v>
      </c>
      <c r="F1648" s="10" t="s">
        <v>1159</v>
      </c>
      <c r="G1648" s="10" t="s">
        <v>9419</v>
      </c>
      <c r="H1648" s="10" t="s">
        <v>572</v>
      </c>
      <c r="I1648" s="10" t="s">
        <v>55</v>
      </c>
      <c r="J1648" s="64"/>
      <c r="K1648" s="10" t="s">
        <v>10741</v>
      </c>
      <c r="L1648" s="10" t="s">
        <v>42</v>
      </c>
    </row>
    <row r="1649" ht="15.75" customHeight="1">
      <c r="A1649" s="64">
        <v>45450.0</v>
      </c>
      <c r="B1649" s="55" t="str">
        <f>HYPERLINK("https://jobright.ai/jobs/info/6675afce242bc4c930f2925b?utm_campaign=1052&amp;utm_source=sheet", "Apply")</f>
        <v>Apply</v>
      </c>
      <c r="C1649" s="10" t="s">
        <v>11749</v>
      </c>
      <c r="D1649" s="56" t="s">
        <v>9557</v>
      </c>
      <c r="E1649" s="10" t="s">
        <v>209</v>
      </c>
      <c r="F1649" s="10" t="s">
        <v>1159</v>
      </c>
      <c r="G1649" s="10" t="s">
        <v>9419</v>
      </c>
      <c r="H1649" s="10" t="s">
        <v>605</v>
      </c>
      <c r="I1649" s="10" t="s">
        <v>55</v>
      </c>
      <c r="J1649" s="64"/>
      <c r="K1649" s="10" t="s">
        <v>10741</v>
      </c>
      <c r="L1649" s="10" t="s">
        <v>42</v>
      </c>
    </row>
    <row r="1650" ht="15.75" customHeight="1">
      <c r="A1650" s="64">
        <v>45450.0</v>
      </c>
      <c r="B1650" s="55" t="str">
        <f>HYPERLINK("https://jobright.ai/jobs/info/6675afce242bc4c930f29253?utm_campaign=1052&amp;utm_source=sheet", "Apply")</f>
        <v>Apply</v>
      </c>
      <c r="C1650" s="10" t="s">
        <v>11750</v>
      </c>
      <c r="D1650" s="56" t="s">
        <v>9557</v>
      </c>
      <c r="E1650" s="10" t="s">
        <v>209</v>
      </c>
      <c r="F1650" s="10" t="s">
        <v>1159</v>
      </c>
      <c r="G1650" s="10" t="s">
        <v>9419</v>
      </c>
      <c r="H1650" s="10" t="s">
        <v>10949</v>
      </c>
      <c r="I1650" s="10" t="s">
        <v>55</v>
      </c>
      <c r="J1650" s="64"/>
      <c r="K1650" s="10" t="s">
        <v>10741</v>
      </c>
      <c r="L1650" s="10" t="s">
        <v>42</v>
      </c>
    </row>
    <row r="1651" ht="15.75" customHeight="1">
      <c r="A1651" s="64">
        <v>45450.0</v>
      </c>
      <c r="B1651" s="55" t="str">
        <f>HYPERLINK("https://jobright.ai/jobs/info/6675a323a05c85bb25afa2c7?utm_campaign=1052&amp;utm_source=sheet", "Apply")</f>
        <v>Apply</v>
      </c>
      <c r="C1651" s="10" t="s">
        <v>11751</v>
      </c>
      <c r="D1651" s="56" t="s">
        <v>9557</v>
      </c>
      <c r="E1651" s="10" t="s">
        <v>209</v>
      </c>
      <c r="F1651" s="10" t="s">
        <v>1159</v>
      </c>
      <c r="G1651" s="10" t="s">
        <v>9419</v>
      </c>
      <c r="H1651" s="10" t="s">
        <v>874</v>
      </c>
      <c r="I1651" s="10" t="s">
        <v>55</v>
      </c>
      <c r="J1651" s="64"/>
      <c r="K1651" s="10" t="s">
        <v>10741</v>
      </c>
      <c r="L1651" s="10" t="s">
        <v>42</v>
      </c>
    </row>
    <row r="1652" ht="15.75" customHeight="1">
      <c r="A1652" s="64">
        <v>45450.0</v>
      </c>
      <c r="B1652" s="55" t="str">
        <f>HYPERLINK("https://jobright.ai/jobs/info/6675a7476fb7d4bb72dd6f8e?utm_campaign=1052&amp;utm_source=sheet", "Apply")</f>
        <v>Apply</v>
      </c>
      <c r="C1652" s="10" t="s">
        <v>11752</v>
      </c>
      <c r="D1652" s="56" t="s">
        <v>9557</v>
      </c>
      <c r="E1652" s="10" t="s">
        <v>209</v>
      </c>
      <c r="F1652" s="10" t="s">
        <v>1159</v>
      </c>
      <c r="G1652" s="10" t="s">
        <v>9419</v>
      </c>
      <c r="H1652" s="10" t="s">
        <v>874</v>
      </c>
      <c r="I1652" s="10" t="s">
        <v>55</v>
      </c>
      <c r="J1652" s="64"/>
      <c r="K1652" s="10" t="s">
        <v>10741</v>
      </c>
      <c r="L1652" s="10" t="s">
        <v>42</v>
      </c>
    </row>
    <row r="1653" ht="15.75" customHeight="1">
      <c r="A1653" s="64">
        <v>45450.0</v>
      </c>
      <c r="B1653" s="55" t="str">
        <f>HYPERLINK("https://jobright.ai/jobs/info/667ec6aafb91a65412d4a806?utm_campaign=1052&amp;utm_source=sheet", "Apply")</f>
        <v>Apply</v>
      </c>
      <c r="C1653" s="10" t="s">
        <v>11753</v>
      </c>
      <c r="D1653" s="56" t="s">
        <v>9557</v>
      </c>
      <c r="E1653" s="10" t="s">
        <v>209</v>
      </c>
      <c r="F1653" s="10" t="s">
        <v>1159</v>
      </c>
      <c r="G1653" s="10" t="s">
        <v>9419</v>
      </c>
      <c r="H1653" s="10" t="s">
        <v>843</v>
      </c>
      <c r="I1653" s="10" t="s">
        <v>55</v>
      </c>
      <c r="J1653" s="64"/>
      <c r="K1653" s="10" t="s">
        <v>11560</v>
      </c>
      <c r="L1653" s="10" t="s">
        <v>42</v>
      </c>
    </row>
    <row r="1654" ht="15.75" customHeight="1">
      <c r="A1654" s="64">
        <v>45450.0</v>
      </c>
      <c r="B1654" s="55" t="str">
        <f>HYPERLINK("https://jobright.ai/jobs/info/667ec28f54cf07d22d228a5b?utm_campaign=1052&amp;utm_source=sheet", "Apply")</f>
        <v>Apply</v>
      </c>
      <c r="C1654" s="10" t="s">
        <v>11754</v>
      </c>
      <c r="D1654" s="56" t="s">
        <v>9557</v>
      </c>
      <c r="E1654" s="10" t="s">
        <v>209</v>
      </c>
      <c r="F1654" s="10" t="s">
        <v>1159</v>
      </c>
      <c r="G1654" s="10" t="s">
        <v>9419</v>
      </c>
      <c r="H1654" s="10" t="s">
        <v>886</v>
      </c>
      <c r="I1654" s="10" t="s">
        <v>55</v>
      </c>
      <c r="J1654" s="64"/>
      <c r="K1654" s="10" t="s">
        <v>11560</v>
      </c>
      <c r="L1654" s="10" t="s">
        <v>42</v>
      </c>
    </row>
    <row r="1655" ht="15.75" customHeight="1">
      <c r="A1655" s="64">
        <v>45450.0</v>
      </c>
      <c r="B1655" s="55" t="str">
        <f>HYPERLINK("https://jobright.ai/jobs/info/667eb90c6474fcf082409acd?utm_campaign=1052&amp;utm_source=sheet", "Apply")</f>
        <v>Apply</v>
      </c>
      <c r="C1655" s="10" t="s">
        <v>11755</v>
      </c>
      <c r="D1655" s="56" t="s">
        <v>9557</v>
      </c>
      <c r="E1655" s="10" t="s">
        <v>209</v>
      </c>
      <c r="F1655" s="10" t="s">
        <v>1159</v>
      </c>
      <c r="G1655" s="10" t="s">
        <v>9419</v>
      </c>
      <c r="H1655" s="10" t="s">
        <v>113</v>
      </c>
      <c r="I1655" s="10" t="s">
        <v>55</v>
      </c>
      <c r="K1655" s="10" t="s">
        <v>10154</v>
      </c>
      <c r="L1655" s="10" t="s">
        <v>42</v>
      </c>
    </row>
    <row r="1656" ht="15.75" customHeight="1">
      <c r="A1656" s="64">
        <v>45450.0</v>
      </c>
      <c r="B1656" s="55" t="str">
        <f>HYPERLINK("https://jobright.ai/jobs/info/667eb90c6474fcf082409b06?utm_campaign=1052&amp;utm_source=sheet", "Apply")</f>
        <v>Apply</v>
      </c>
      <c r="C1656" s="10" t="s">
        <v>11756</v>
      </c>
      <c r="D1656" s="56" t="s">
        <v>9557</v>
      </c>
      <c r="E1656" s="10" t="s">
        <v>209</v>
      </c>
      <c r="F1656" s="10" t="s">
        <v>1159</v>
      </c>
      <c r="G1656" s="10" t="s">
        <v>9419</v>
      </c>
      <c r="H1656" s="10" t="s">
        <v>4279</v>
      </c>
      <c r="I1656" s="10" t="s">
        <v>55</v>
      </c>
      <c r="J1656" s="64"/>
      <c r="K1656" s="10" t="s">
        <v>11560</v>
      </c>
      <c r="L1656" s="10" t="s">
        <v>42</v>
      </c>
    </row>
    <row r="1657" ht="15.75" customHeight="1">
      <c r="A1657" s="64">
        <v>45450.0</v>
      </c>
      <c r="B1657" s="55" t="str">
        <f>HYPERLINK("https://jobright.ai/jobs/info/66757c6418f8e42094328ece?utm_campaign=1052&amp;utm_source=sheet", "Apply")</f>
        <v>Apply</v>
      </c>
      <c r="C1657" s="10" t="s">
        <v>11757</v>
      </c>
      <c r="D1657" s="56" t="s">
        <v>9557</v>
      </c>
      <c r="E1657" s="10" t="s">
        <v>209</v>
      </c>
      <c r="F1657" s="10" t="s">
        <v>1159</v>
      </c>
      <c r="G1657" s="10" t="s">
        <v>9419</v>
      </c>
      <c r="H1657" s="10" t="s">
        <v>780</v>
      </c>
      <c r="I1657" s="10" t="s">
        <v>55</v>
      </c>
      <c r="K1657" s="10" t="s">
        <v>10741</v>
      </c>
      <c r="L1657" s="10" t="s">
        <v>42</v>
      </c>
    </row>
    <row r="1658" ht="15.75" customHeight="1">
      <c r="A1658" s="64">
        <v>45450.0</v>
      </c>
      <c r="B1658" s="55" t="str">
        <f>HYPERLINK("https://jobright.ai/jobs/info/66757c6418f8e42094328eee?utm_campaign=1052&amp;utm_source=sheet", "Apply")</f>
        <v>Apply</v>
      </c>
      <c r="C1658" s="10" t="s">
        <v>11758</v>
      </c>
      <c r="D1658" s="56" t="s">
        <v>9557</v>
      </c>
      <c r="E1658" s="10" t="s">
        <v>209</v>
      </c>
      <c r="F1658" s="10" t="s">
        <v>1159</v>
      </c>
      <c r="G1658" s="10" t="s">
        <v>9419</v>
      </c>
      <c r="H1658" s="10" t="s">
        <v>1041</v>
      </c>
      <c r="I1658" s="10" t="s">
        <v>55</v>
      </c>
      <c r="K1658" s="10" t="s">
        <v>11560</v>
      </c>
      <c r="L1658" s="10" t="s">
        <v>42</v>
      </c>
    </row>
    <row r="1659" ht="15.75" customHeight="1">
      <c r="A1659" s="64">
        <v>45450.0</v>
      </c>
      <c r="B1659" s="55" t="str">
        <f>HYPERLINK("https://jobright.ai/jobs/info/66757c6418f8e42094328ed2?utm_campaign=1052&amp;utm_source=sheet", "Apply")</f>
        <v>Apply</v>
      </c>
      <c r="C1659" s="10" t="s">
        <v>11759</v>
      </c>
      <c r="D1659" s="56" t="s">
        <v>9557</v>
      </c>
      <c r="E1659" s="10" t="s">
        <v>209</v>
      </c>
      <c r="F1659" s="10" t="s">
        <v>1159</v>
      </c>
      <c r="G1659" s="10" t="s">
        <v>9419</v>
      </c>
      <c r="H1659" s="10" t="s">
        <v>882</v>
      </c>
      <c r="I1659" s="10" t="s">
        <v>55</v>
      </c>
      <c r="J1659" s="64"/>
      <c r="K1659" s="10" t="s">
        <v>10741</v>
      </c>
      <c r="L1659" s="10" t="s">
        <v>42</v>
      </c>
    </row>
    <row r="1660" ht="15.75" customHeight="1">
      <c r="A1660" s="64">
        <v>45450.0</v>
      </c>
      <c r="B1660" s="55" t="str">
        <f>HYPERLINK("https://jobright.ai/jobs/info/667eadafea91957b2f4b3af8?utm_campaign=1052&amp;utm_source=sheet", "Apply")</f>
        <v>Apply</v>
      </c>
      <c r="C1660" s="10" t="s">
        <v>11760</v>
      </c>
      <c r="D1660" s="56" t="s">
        <v>9557</v>
      </c>
      <c r="E1660" s="10" t="s">
        <v>209</v>
      </c>
      <c r="F1660" s="10" t="s">
        <v>1159</v>
      </c>
      <c r="G1660" s="10" t="s">
        <v>9419</v>
      </c>
      <c r="H1660" s="10" t="s">
        <v>605</v>
      </c>
      <c r="I1660" s="10" t="s">
        <v>55</v>
      </c>
      <c r="J1660" s="64"/>
      <c r="K1660" s="10" t="s">
        <v>10741</v>
      </c>
      <c r="L1660" s="10" t="s">
        <v>42</v>
      </c>
    </row>
    <row r="1661" ht="15.75" customHeight="1">
      <c r="A1661" s="64">
        <v>45450.0</v>
      </c>
      <c r="B1661" s="55" t="str">
        <f>HYPERLINK("https://jobright.ai/jobs/info/667585bb24f553052c29623d?utm_campaign=1052&amp;utm_source=sheet", "Apply")</f>
        <v>Apply</v>
      </c>
      <c r="C1661" s="10" t="s">
        <v>11761</v>
      </c>
      <c r="D1661" s="56" t="s">
        <v>9557</v>
      </c>
      <c r="E1661" s="10" t="s">
        <v>209</v>
      </c>
      <c r="F1661" s="10" t="s">
        <v>1159</v>
      </c>
      <c r="G1661" s="10" t="s">
        <v>9419</v>
      </c>
      <c r="H1661" s="10" t="s">
        <v>4279</v>
      </c>
      <c r="I1661" s="10" t="s">
        <v>55</v>
      </c>
      <c r="J1661" s="64"/>
      <c r="K1661" s="10" t="s">
        <v>10741</v>
      </c>
      <c r="L1661" s="10" t="s">
        <v>42</v>
      </c>
    </row>
    <row r="1662" ht="15.75" customHeight="1">
      <c r="A1662" s="64">
        <v>45450.0</v>
      </c>
      <c r="B1662" s="55" t="str">
        <f>HYPERLINK("https://jobright.ai/jobs/info/667585bb24f553052c296287?utm_campaign=1052&amp;utm_source=sheet", "Apply")</f>
        <v>Apply</v>
      </c>
      <c r="C1662" s="10" t="s">
        <v>11762</v>
      </c>
      <c r="D1662" s="56" t="s">
        <v>9557</v>
      </c>
      <c r="E1662" s="10" t="s">
        <v>209</v>
      </c>
      <c r="F1662" s="10" t="s">
        <v>1159</v>
      </c>
      <c r="G1662" s="10" t="s">
        <v>9419</v>
      </c>
      <c r="H1662" s="10" t="s">
        <v>993</v>
      </c>
      <c r="I1662" s="10" t="s">
        <v>55</v>
      </c>
      <c r="J1662" s="64"/>
      <c r="K1662" s="10" t="s">
        <v>10741</v>
      </c>
      <c r="L1662" s="10" t="s">
        <v>42</v>
      </c>
    </row>
    <row r="1663" ht="15.75" customHeight="1">
      <c r="A1663" s="64">
        <v>45450.0</v>
      </c>
      <c r="B1663" s="55" t="str">
        <f>HYPERLINK("https://jobright.ai/jobs/info/6675a72c6fb7d4bb72dd6e58?utm_campaign=1052&amp;utm_source=sheet", "Apply")</f>
        <v>Apply</v>
      </c>
      <c r="C1663" s="10" t="s">
        <v>11763</v>
      </c>
      <c r="D1663" s="56" t="s">
        <v>9557</v>
      </c>
      <c r="E1663" s="10" t="s">
        <v>209</v>
      </c>
      <c r="F1663" s="10" t="s">
        <v>1159</v>
      </c>
      <c r="G1663" s="10" t="s">
        <v>9419</v>
      </c>
      <c r="H1663" s="10" t="s">
        <v>923</v>
      </c>
      <c r="I1663" s="10" t="s">
        <v>55</v>
      </c>
      <c r="J1663" s="64"/>
      <c r="K1663" s="10" t="s">
        <v>10741</v>
      </c>
      <c r="L1663" s="10" t="s">
        <v>42</v>
      </c>
    </row>
    <row r="1664" ht="15.75" customHeight="1">
      <c r="A1664" s="64">
        <v>45450.0</v>
      </c>
      <c r="B1664" s="55" t="str">
        <f>HYPERLINK("https://jobright.ai/jobs/info/667ea9bddd632a7962a6c6c0?utm_campaign=1052&amp;utm_source=sheet", "Apply")</f>
        <v>Apply</v>
      </c>
      <c r="C1664" s="10" t="s">
        <v>11764</v>
      </c>
      <c r="D1664" s="56" t="s">
        <v>9557</v>
      </c>
      <c r="E1664" s="10" t="s">
        <v>209</v>
      </c>
      <c r="F1664" s="10" t="s">
        <v>1159</v>
      </c>
      <c r="G1664" s="10" t="s">
        <v>9419</v>
      </c>
      <c r="H1664" s="10" t="s">
        <v>3847</v>
      </c>
      <c r="I1664" s="10" t="s">
        <v>55</v>
      </c>
      <c r="J1664" s="64"/>
      <c r="K1664" s="10" t="s">
        <v>11560</v>
      </c>
      <c r="L1664" s="10" t="s">
        <v>42</v>
      </c>
    </row>
    <row r="1665" ht="15.75" customHeight="1">
      <c r="A1665" s="64">
        <v>45450.0</v>
      </c>
      <c r="B1665" s="55" t="str">
        <f>HYPERLINK("https://jobright.ai/jobs/info/6675a72c6fb7d4bb72dd6eae?utm_campaign=1052&amp;utm_source=sheet", "Apply")</f>
        <v>Apply</v>
      </c>
      <c r="C1665" s="10" t="s">
        <v>11765</v>
      </c>
      <c r="D1665" s="56" t="s">
        <v>9557</v>
      </c>
      <c r="E1665" s="10" t="s">
        <v>209</v>
      </c>
      <c r="F1665" s="10" t="s">
        <v>1159</v>
      </c>
      <c r="G1665" s="10" t="s">
        <v>9419</v>
      </c>
      <c r="H1665" s="10" t="s">
        <v>843</v>
      </c>
      <c r="I1665" s="10" t="s">
        <v>55</v>
      </c>
      <c r="J1665" s="64"/>
      <c r="K1665" s="10" t="s">
        <v>10154</v>
      </c>
      <c r="L1665" s="10" t="s">
        <v>42</v>
      </c>
    </row>
    <row r="1666" ht="15.75" customHeight="1">
      <c r="A1666" s="64">
        <v>45450.0</v>
      </c>
      <c r="B1666" s="55" t="str">
        <f>HYPERLINK("https://jobright.ai/jobs/info/667561de42bae55a9582844a?utm_campaign=1052&amp;utm_source=sheet", "Apply")</f>
        <v>Apply</v>
      </c>
      <c r="C1666" s="10" t="s">
        <v>11766</v>
      </c>
      <c r="D1666" s="56" t="s">
        <v>9557</v>
      </c>
      <c r="E1666" s="10" t="s">
        <v>209</v>
      </c>
      <c r="F1666" s="10" t="s">
        <v>1159</v>
      </c>
      <c r="G1666" s="10" t="s">
        <v>9419</v>
      </c>
      <c r="H1666" s="10" t="s">
        <v>11767</v>
      </c>
      <c r="I1666" s="10" t="s">
        <v>55</v>
      </c>
      <c r="J1666" s="64"/>
      <c r="K1666" s="10" t="s">
        <v>10741</v>
      </c>
      <c r="L1666" s="10" t="s">
        <v>42</v>
      </c>
    </row>
    <row r="1667" ht="15.75" customHeight="1">
      <c r="A1667" s="64">
        <v>45450.0</v>
      </c>
      <c r="B1667" s="55" t="str">
        <f>HYPERLINK("https://jobright.ai/jobs/info/667561de42bae55a9582844e?utm_campaign=1052&amp;utm_source=sheet", "Apply")</f>
        <v>Apply</v>
      </c>
      <c r="C1667" s="10" t="s">
        <v>11768</v>
      </c>
      <c r="D1667" s="56" t="s">
        <v>9557</v>
      </c>
      <c r="E1667" s="10" t="s">
        <v>209</v>
      </c>
      <c r="F1667" s="10" t="s">
        <v>1159</v>
      </c>
      <c r="G1667" s="10" t="s">
        <v>9419</v>
      </c>
      <c r="H1667" s="10" t="s">
        <v>73</v>
      </c>
      <c r="I1667" s="10" t="s">
        <v>55</v>
      </c>
      <c r="J1667" s="64"/>
      <c r="K1667" s="10" t="s">
        <v>10741</v>
      </c>
      <c r="L1667" s="10" t="s">
        <v>42</v>
      </c>
    </row>
    <row r="1668" ht="15.75" customHeight="1">
      <c r="A1668" s="64">
        <v>45450.0</v>
      </c>
      <c r="B1668" s="55" t="str">
        <f>HYPERLINK("https://jobright.ai/jobs/info/6663432a06fc88ab0d0afdd1?utm_campaign=1052&amp;utm_source=sheet", "Apply")</f>
        <v>Apply</v>
      </c>
      <c r="C1668" s="10" t="s">
        <v>11183</v>
      </c>
      <c r="D1668" s="56" t="s">
        <v>11184</v>
      </c>
      <c r="E1668" s="10" t="s">
        <v>276</v>
      </c>
      <c r="F1668" s="10" t="s">
        <v>10</v>
      </c>
      <c r="G1668" s="10" t="s">
        <v>1159</v>
      </c>
      <c r="H1668" s="10" t="s">
        <v>965</v>
      </c>
      <c r="I1668" s="10" t="s">
        <v>48</v>
      </c>
      <c r="J1668" s="64"/>
      <c r="K1668" s="10" t="s">
        <v>11186</v>
      </c>
      <c r="L1668" s="10" t="s">
        <v>42</v>
      </c>
    </row>
    <row r="1669" ht="15.75" customHeight="1">
      <c r="A1669" s="64">
        <v>45450.0</v>
      </c>
      <c r="B1669" s="55" t="str">
        <f>HYPERLINK("https://jobright.ai/jobs/info/66628764f8f866346ea77dae?utm_campaign=1052&amp;utm_source=sheet", "Apply")</f>
        <v>Apply</v>
      </c>
      <c r="C1669" s="10" t="s">
        <v>11769</v>
      </c>
      <c r="D1669" s="56" t="s">
        <v>9557</v>
      </c>
      <c r="E1669" s="10" t="s">
        <v>209</v>
      </c>
      <c r="F1669" s="10" t="s">
        <v>1159</v>
      </c>
      <c r="G1669" s="10" t="s">
        <v>9419</v>
      </c>
      <c r="H1669" s="10" t="s">
        <v>10777</v>
      </c>
      <c r="I1669" s="10" t="s">
        <v>48</v>
      </c>
      <c r="J1669" s="64"/>
      <c r="K1669" s="10" t="s">
        <v>10741</v>
      </c>
      <c r="L1669" s="10" t="s">
        <v>42</v>
      </c>
    </row>
    <row r="1670" ht="15.75" customHeight="1">
      <c r="A1670" s="64">
        <v>45450.0</v>
      </c>
      <c r="B1670" s="55" t="str">
        <f>HYPERLINK("https://jobright.ai/jobs/info/66645d07b2f24e076f1d17a9?utm_campaign=1052&amp;utm_source=sheet", "Apply")</f>
        <v>Apply</v>
      </c>
      <c r="C1670" s="10" t="s">
        <v>11770</v>
      </c>
      <c r="D1670" s="56" t="s">
        <v>11771</v>
      </c>
      <c r="E1670" s="10" t="s">
        <v>71</v>
      </c>
      <c r="F1670" s="10" t="s">
        <v>1485</v>
      </c>
      <c r="G1670" s="10" t="s">
        <v>9414</v>
      </c>
      <c r="H1670" s="10" t="s">
        <v>113</v>
      </c>
      <c r="I1670" s="10" t="s">
        <v>48</v>
      </c>
      <c r="J1670" s="64"/>
      <c r="K1670" s="10" t="s">
        <v>11772</v>
      </c>
      <c r="L1670" s="10" t="s">
        <v>42</v>
      </c>
    </row>
    <row r="1671" ht="15.75" customHeight="1">
      <c r="A1671" s="64">
        <v>45450.0</v>
      </c>
      <c r="B1671" s="55" t="str">
        <f>HYPERLINK("https://jobright.ai/jobs/info/6667d15b0e75e6484ca3f9a1?utm_campaign=1052&amp;utm_source=sheet", "Apply")</f>
        <v>Apply</v>
      </c>
      <c r="C1671" s="10" t="s">
        <v>10155</v>
      </c>
      <c r="D1671" s="56" t="s">
        <v>10156</v>
      </c>
      <c r="E1671" s="10" t="s">
        <v>249</v>
      </c>
      <c r="F1671" s="10" t="s">
        <v>10157</v>
      </c>
      <c r="G1671" s="10" t="s">
        <v>9419</v>
      </c>
      <c r="H1671" s="10" t="s">
        <v>11773</v>
      </c>
      <c r="I1671" s="10" t="s">
        <v>55</v>
      </c>
      <c r="J1671" s="10" t="s">
        <v>10158</v>
      </c>
      <c r="K1671" s="10" t="s">
        <v>10159</v>
      </c>
      <c r="L1671" s="10" t="s">
        <v>42</v>
      </c>
    </row>
    <row r="1672" ht="15.75" customHeight="1">
      <c r="A1672" s="64">
        <v>45450.0</v>
      </c>
      <c r="B1672" s="55" t="str">
        <f>HYPERLINK("https://jobright.ai/jobs/info/6667d3b60e75e6484ca3fff2?utm_campaign=1052&amp;utm_source=sheet", "Apply")</f>
        <v>Apply</v>
      </c>
      <c r="C1672" s="10" t="s">
        <v>11774</v>
      </c>
      <c r="D1672" s="56" t="s">
        <v>1414</v>
      </c>
      <c r="E1672" s="10" t="s">
        <v>45</v>
      </c>
      <c r="F1672" s="10" t="s">
        <v>1415</v>
      </c>
      <c r="G1672" s="10" t="s">
        <v>9414</v>
      </c>
      <c r="H1672" s="10" t="s">
        <v>1533</v>
      </c>
      <c r="I1672" s="10" t="s">
        <v>55</v>
      </c>
      <c r="J1672" s="64"/>
      <c r="K1672" s="10" t="s">
        <v>11775</v>
      </c>
      <c r="L1672" s="10" t="s">
        <v>42</v>
      </c>
    </row>
    <row r="1673" ht="15.75" customHeight="1">
      <c r="A1673" s="64">
        <v>45449.0</v>
      </c>
      <c r="B1673" s="55" t="str">
        <f>HYPERLINK("https://jobright.ai/jobs/info/66625ecb00503219b66e01ce?utm_campaign=1052&amp;utm_source=sheet", "Apply")</f>
        <v>Apply</v>
      </c>
      <c r="C1673" s="10" t="s">
        <v>11776</v>
      </c>
      <c r="D1673" s="56" t="s">
        <v>11777</v>
      </c>
      <c r="E1673" s="10" t="s">
        <v>45</v>
      </c>
      <c r="F1673" s="10" t="s">
        <v>2409</v>
      </c>
      <c r="G1673" s="10" t="s">
        <v>9419</v>
      </c>
      <c r="H1673" s="10" t="s">
        <v>245</v>
      </c>
      <c r="I1673" s="10" t="s">
        <v>48</v>
      </c>
      <c r="J1673" s="10" t="s">
        <v>11778</v>
      </c>
      <c r="K1673" s="10" t="s">
        <v>11779</v>
      </c>
      <c r="L1673" s="10" t="s">
        <v>42</v>
      </c>
    </row>
    <row r="1674" ht="15.75" customHeight="1">
      <c r="A1674" s="64">
        <v>45449.0</v>
      </c>
      <c r="B1674" s="55" t="str">
        <f>HYPERLINK("https://jobright.ai/jobs/info/66622ef27a42dde7245ec5ca?utm_campaign=1052&amp;utm_source=sheet", "Apply")</f>
        <v>Apply</v>
      </c>
      <c r="C1674" s="10" t="s">
        <v>9999</v>
      </c>
      <c r="D1674" s="56" t="s">
        <v>3669</v>
      </c>
      <c r="E1674" s="10" t="s">
        <v>65</v>
      </c>
      <c r="F1674" s="10" t="s">
        <v>3670</v>
      </c>
      <c r="G1674" s="10" t="s">
        <v>9414</v>
      </c>
      <c r="H1674" s="10" t="s">
        <v>1254</v>
      </c>
      <c r="I1674" s="10" t="s">
        <v>48</v>
      </c>
      <c r="J1674" s="10" t="s">
        <v>3671</v>
      </c>
      <c r="K1674" s="10" t="s">
        <v>11780</v>
      </c>
      <c r="L1674" s="10" t="s">
        <v>42</v>
      </c>
    </row>
    <row r="1675" ht="15.75" customHeight="1">
      <c r="A1675" s="64">
        <v>45449.0</v>
      </c>
      <c r="B1675" s="55" t="str">
        <f>HYPERLINK("https://jobright.ai/jobs/info/667d838924e14e3422e7ede7?utm_campaign=1052&amp;utm_source=sheet", "Apply")</f>
        <v>Apply</v>
      </c>
      <c r="C1675" s="10" t="s">
        <v>11781</v>
      </c>
      <c r="D1675" s="56" t="s">
        <v>9557</v>
      </c>
      <c r="E1675" s="10" t="s">
        <v>209</v>
      </c>
      <c r="F1675" s="10" t="s">
        <v>1159</v>
      </c>
      <c r="G1675" s="10" t="s">
        <v>9419</v>
      </c>
      <c r="H1675" s="10" t="s">
        <v>113</v>
      </c>
      <c r="I1675" s="10" t="s">
        <v>55</v>
      </c>
      <c r="J1675" s="64"/>
      <c r="K1675" s="10" t="s">
        <v>10741</v>
      </c>
      <c r="L1675" s="10" t="s">
        <v>42</v>
      </c>
    </row>
    <row r="1676" ht="15.75" customHeight="1">
      <c r="A1676" s="64">
        <v>45449.0</v>
      </c>
      <c r="B1676" s="55" t="str">
        <f>HYPERLINK("https://jobright.ai/jobs/info/667d6915fc46a9c78e587ef2?utm_campaign=1052&amp;utm_source=sheet", "Apply")</f>
        <v>Apply</v>
      </c>
      <c r="C1676" s="10" t="s">
        <v>11782</v>
      </c>
      <c r="D1676" s="56" t="s">
        <v>9557</v>
      </c>
      <c r="E1676" s="10" t="s">
        <v>209</v>
      </c>
      <c r="F1676" s="10" t="s">
        <v>1159</v>
      </c>
      <c r="G1676" s="10" t="s">
        <v>9419</v>
      </c>
      <c r="H1676" s="10" t="s">
        <v>174</v>
      </c>
      <c r="I1676" s="10" t="s">
        <v>55</v>
      </c>
      <c r="J1676" s="64"/>
      <c r="K1676" s="10" t="s">
        <v>10741</v>
      </c>
      <c r="L1676" s="10" t="s">
        <v>42</v>
      </c>
    </row>
    <row r="1677" ht="15.75" customHeight="1">
      <c r="A1677" s="64">
        <v>45449.0</v>
      </c>
      <c r="B1677" s="55" t="str">
        <f>HYPERLINK("https://jobright.ai/jobs/info/667d691dfc46a9c78e587f2d?utm_campaign=1052&amp;utm_source=sheet", "Apply")</f>
        <v>Apply</v>
      </c>
      <c r="C1677" s="10" t="s">
        <v>11783</v>
      </c>
      <c r="D1677" s="56" t="s">
        <v>9557</v>
      </c>
      <c r="E1677" s="10" t="s">
        <v>209</v>
      </c>
      <c r="F1677" s="10" t="s">
        <v>1159</v>
      </c>
      <c r="G1677" s="10" t="s">
        <v>9419</v>
      </c>
      <c r="H1677" s="10" t="s">
        <v>788</v>
      </c>
      <c r="I1677" s="10" t="s">
        <v>55</v>
      </c>
      <c r="J1677" s="64"/>
      <c r="K1677" s="10" t="s">
        <v>10741</v>
      </c>
      <c r="L1677" s="10" t="s">
        <v>42</v>
      </c>
    </row>
    <row r="1678" ht="15.75" customHeight="1">
      <c r="A1678" s="64">
        <v>45449.0</v>
      </c>
      <c r="B1678" s="55" t="str">
        <f>HYPERLINK("https://jobright.ai/jobs/info/667d5bdc149d2a89eaaa4465?utm_campaign=1052&amp;utm_source=sheet", "Apply")</f>
        <v>Apply</v>
      </c>
      <c r="C1678" s="10" t="s">
        <v>11784</v>
      </c>
      <c r="D1678" s="56" t="s">
        <v>9557</v>
      </c>
      <c r="E1678" s="10" t="s">
        <v>209</v>
      </c>
      <c r="F1678" s="10" t="s">
        <v>1159</v>
      </c>
      <c r="G1678" s="10" t="s">
        <v>9419</v>
      </c>
      <c r="H1678" s="10" t="s">
        <v>153</v>
      </c>
      <c r="I1678" s="10" t="s">
        <v>55</v>
      </c>
      <c r="J1678" s="64"/>
      <c r="K1678" s="10" t="s">
        <v>10154</v>
      </c>
      <c r="L1678" s="10" t="s">
        <v>42</v>
      </c>
    </row>
    <row r="1679" ht="15.75" customHeight="1">
      <c r="A1679" s="64">
        <v>45449.0</v>
      </c>
      <c r="B1679" s="55" t="str">
        <f>HYPERLINK("https://jobright.ai/jobs/info/667d5bdc149d2a89eaaa4485?utm_campaign=1052&amp;utm_source=sheet", "Apply")</f>
        <v>Apply</v>
      </c>
      <c r="C1679" s="10" t="s">
        <v>11785</v>
      </c>
      <c r="D1679" s="56" t="s">
        <v>9557</v>
      </c>
      <c r="E1679" s="10" t="s">
        <v>209</v>
      </c>
      <c r="F1679" s="10" t="s">
        <v>1159</v>
      </c>
      <c r="G1679" s="10" t="s">
        <v>9419</v>
      </c>
      <c r="H1679" s="10" t="s">
        <v>886</v>
      </c>
      <c r="I1679" s="10" t="s">
        <v>55</v>
      </c>
      <c r="J1679" s="64"/>
      <c r="K1679" s="10" t="s">
        <v>10741</v>
      </c>
      <c r="L1679" s="10" t="s">
        <v>42</v>
      </c>
    </row>
    <row r="1680" ht="15.75" customHeight="1">
      <c r="A1680" s="64">
        <v>45449.0</v>
      </c>
      <c r="B1680" s="55" t="str">
        <f>HYPERLINK("https://jobright.ai/jobs/info/666150138e02d8a1d53b9164?utm_campaign=1052&amp;utm_source=sheet", "Apply")</f>
        <v>Apply</v>
      </c>
      <c r="C1680" s="10" t="s">
        <v>11786</v>
      </c>
      <c r="D1680" s="56" t="s">
        <v>11554</v>
      </c>
      <c r="E1680" s="10" t="s">
        <v>276</v>
      </c>
      <c r="F1680" s="10" t="s">
        <v>722</v>
      </c>
      <c r="G1680" s="10" t="s">
        <v>9419</v>
      </c>
      <c r="H1680" s="10" t="s">
        <v>8847</v>
      </c>
      <c r="I1680" s="10" t="s">
        <v>55</v>
      </c>
      <c r="J1680" s="64"/>
      <c r="K1680" s="10" t="s">
        <v>11555</v>
      </c>
      <c r="L1680" s="10" t="s">
        <v>42</v>
      </c>
    </row>
    <row r="1681" ht="15.75" customHeight="1">
      <c r="A1681" s="64">
        <v>45449.0</v>
      </c>
      <c r="B1681" s="55" t="str">
        <f>HYPERLINK("https://jobright.ai/jobs/info/6667d5550e75e6484ca40478?utm_campaign=1052&amp;utm_source=sheet", "Apply")</f>
        <v>Apply</v>
      </c>
      <c r="C1681" s="10" t="s">
        <v>11787</v>
      </c>
      <c r="D1681" s="56" t="s">
        <v>1496</v>
      </c>
      <c r="E1681" s="10" t="s">
        <v>45</v>
      </c>
      <c r="F1681" s="10" t="s">
        <v>1497</v>
      </c>
      <c r="G1681" s="10" t="s">
        <v>9419</v>
      </c>
      <c r="H1681" s="10" t="s">
        <v>1533</v>
      </c>
      <c r="I1681" s="10" t="s">
        <v>55</v>
      </c>
      <c r="J1681" s="64"/>
      <c r="K1681" s="10" t="s">
        <v>11788</v>
      </c>
      <c r="L1681" s="10" t="s">
        <v>42</v>
      </c>
    </row>
    <row r="1682" ht="15.75" customHeight="1">
      <c r="A1682" s="64">
        <v>45449.0</v>
      </c>
      <c r="B1682" s="55" t="str">
        <f>HYPERLINK("https://jobright.ai/jobs/info/6667d5e50e75e6484ca40643?utm_campaign=1052&amp;utm_source=sheet", "Apply")</f>
        <v>Apply</v>
      </c>
      <c r="C1682" s="10" t="s">
        <v>11789</v>
      </c>
      <c r="D1682" s="56" t="s">
        <v>1496</v>
      </c>
      <c r="E1682" s="10" t="s">
        <v>45</v>
      </c>
      <c r="F1682" s="10" t="s">
        <v>1497</v>
      </c>
      <c r="G1682" s="10" t="s">
        <v>9419</v>
      </c>
      <c r="H1682" s="10" t="s">
        <v>11790</v>
      </c>
      <c r="I1682" s="10" t="s">
        <v>55</v>
      </c>
      <c r="J1682" s="64"/>
      <c r="K1682" s="10" t="s">
        <v>11740</v>
      </c>
      <c r="L1682" s="10" t="s">
        <v>42</v>
      </c>
    </row>
    <row r="1683" ht="15.75" customHeight="1">
      <c r="A1683" s="64">
        <v>45449.0</v>
      </c>
      <c r="B1683" s="55" t="str">
        <f>HYPERLINK("https://jobright.ai/jobs/info/6667d50f0e75e6484ca403a3?utm_campaign=1052&amp;utm_source=sheet", "Apply")</f>
        <v>Apply</v>
      </c>
      <c r="C1683" s="10" t="s">
        <v>11791</v>
      </c>
      <c r="D1683" s="56" t="s">
        <v>11792</v>
      </c>
      <c r="E1683" s="10" t="s">
        <v>65</v>
      </c>
      <c r="F1683" s="10" t="s">
        <v>7857</v>
      </c>
      <c r="G1683" s="10" t="s">
        <v>1159</v>
      </c>
      <c r="H1683" s="10" t="s">
        <v>131</v>
      </c>
      <c r="I1683" s="10" t="s">
        <v>55</v>
      </c>
      <c r="J1683" s="64"/>
      <c r="K1683" s="10" t="s">
        <v>11793</v>
      </c>
      <c r="L1683" s="10" t="s">
        <v>42</v>
      </c>
    </row>
    <row r="1684" ht="15.75" customHeight="1">
      <c r="A1684" s="64">
        <v>45448.0</v>
      </c>
      <c r="B1684" s="55" t="str">
        <f>HYPERLINK("https://jobright.ai/jobs/info/667c361f6843b888a8f5478a?utm_campaign=1052&amp;utm_source=sheet", "Apply")</f>
        <v>Apply</v>
      </c>
      <c r="C1684" s="10" t="s">
        <v>11794</v>
      </c>
      <c r="D1684" s="56" t="s">
        <v>9557</v>
      </c>
      <c r="E1684" s="10" t="s">
        <v>209</v>
      </c>
      <c r="F1684" s="10" t="s">
        <v>1159</v>
      </c>
      <c r="G1684" s="10" t="s">
        <v>9419</v>
      </c>
      <c r="H1684" s="10" t="s">
        <v>1023</v>
      </c>
      <c r="I1684" s="10" t="s">
        <v>55</v>
      </c>
      <c r="J1684" s="64"/>
      <c r="K1684" s="10" t="s">
        <v>10154</v>
      </c>
      <c r="L1684" s="10" t="s">
        <v>42</v>
      </c>
    </row>
    <row r="1685" ht="15.75" customHeight="1">
      <c r="A1685" s="64">
        <v>45448.0</v>
      </c>
      <c r="B1685" s="55" t="str">
        <f>HYPERLINK("https://jobright.ai/jobs/info/667c32029f00ed44e1dd2fe0?utm_campaign=1052&amp;utm_source=sheet", "Apply")</f>
        <v>Apply</v>
      </c>
      <c r="C1685" s="10" t="s">
        <v>11795</v>
      </c>
      <c r="D1685" s="56" t="s">
        <v>9557</v>
      </c>
      <c r="E1685" s="10" t="s">
        <v>209</v>
      </c>
      <c r="F1685" s="10" t="s">
        <v>1159</v>
      </c>
      <c r="G1685" s="10" t="s">
        <v>9419</v>
      </c>
      <c r="H1685" s="10" t="s">
        <v>882</v>
      </c>
      <c r="I1685" s="10" t="s">
        <v>55</v>
      </c>
      <c r="J1685" s="64"/>
      <c r="K1685" s="10" t="s">
        <v>10154</v>
      </c>
      <c r="L1685" s="10" t="s">
        <v>42</v>
      </c>
    </row>
    <row r="1686" ht="15.75" customHeight="1">
      <c r="A1686" s="64">
        <v>45448.0</v>
      </c>
      <c r="B1686" s="55" t="str">
        <f>HYPERLINK("https://jobright.ai/jobs/info/667c195d2b8263fa603a927b?utm_campaign=1052&amp;utm_source=sheet", "Apply")</f>
        <v>Apply</v>
      </c>
      <c r="C1686" s="10" t="s">
        <v>11796</v>
      </c>
      <c r="D1686" s="56" t="s">
        <v>9557</v>
      </c>
      <c r="E1686" s="10" t="s">
        <v>209</v>
      </c>
      <c r="F1686" s="10" t="s">
        <v>1159</v>
      </c>
      <c r="G1686" s="10" t="s">
        <v>9419</v>
      </c>
      <c r="H1686" s="10" t="s">
        <v>993</v>
      </c>
      <c r="I1686" s="10" t="s">
        <v>55</v>
      </c>
      <c r="J1686" s="64"/>
      <c r="K1686" s="10" t="s">
        <v>10741</v>
      </c>
      <c r="L1686" s="10" t="s">
        <v>42</v>
      </c>
    </row>
    <row r="1687" ht="15.75" customHeight="1">
      <c r="A1687" s="64">
        <v>45448.0</v>
      </c>
      <c r="B1687" s="55" t="str">
        <f>HYPERLINK("https://jobright.ai/jobs/info/667bfab6a7208db8d92b880a?utm_campaign=1052&amp;utm_source=sheet", "Apply")</f>
        <v>Apply</v>
      </c>
      <c r="C1687" s="10" t="s">
        <v>11797</v>
      </c>
      <c r="D1687" s="56" t="s">
        <v>9557</v>
      </c>
      <c r="E1687" s="10" t="s">
        <v>209</v>
      </c>
      <c r="F1687" s="10" t="s">
        <v>1159</v>
      </c>
      <c r="G1687" s="10" t="s">
        <v>9419</v>
      </c>
      <c r="H1687" s="10" t="s">
        <v>788</v>
      </c>
      <c r="I1687" s="10" t="s">
        <v>55</v>
      </c>
      <c r="K1687" s="10" t="s">
        <v>10741</v>
      </c>
      <c r="L1687" s="10" t="s">
        <v>42</v>
      </c>
    </row>
    <row r="1688" ht="15.75" customHeight="1">
      <c r="A1688" s="64">
        <v>45448.0</v>
      </c>
      <c r="B1688" s="55" t="str">
        <f>HYPERLINK("https://jobright.ai/jobs/info/66540f2704c9852b2f717f35?utm_campaign=1052&amp;utm_source=sheet", "Apply")</f>
        <v>Apply</v>
      </c>
      <c r="C1688" s="10" t="s">
        <v>9691</v>
      </c>
      <c r="D1688" s="56" t="s">
        <v>11798</v>
      </c>
      <c r="E1688" s="10" t="s">
        <v>45</v>
      </c>
      <c r="F1688" s="10" t="s">
        <v>2409</v>
      </c>
      <c r="G1688" s="10" t="s">
        <v>9419</v>
      </c>
      <c r="H1688" s="10" t="s">
        <v>9486</v>
      </c>
      <c r="I1688" s="10" t="s">
        <v>55</v>
      </c>
      <c r="K1688" s="10" t="s">
        <v>11799</v>
      </c>
      <c r="L1688" s="10" t="s">
        <v>42</v>
      </c>
    </row>
    <row r="1689" ht="15.75" customHeight="1">
      <c r="A1689" s="64">
        <v>45448.0</v>
      </c>
      <c r="B1689" s="55" t="str">
        <f>HYPERLINK("https://jobright.ai/jobs/info/66680879d19f25c2c7cd0d86?utm_campaign=1052&amp;utm_source=sheet", "Apply")</f>
        <v>Apply</v>
      </c>
      <c r="C1689" s="10" t="s">
        <v>11800</v>
      </c>
      <c r="D1689" s="56" t="s">
        <v>5098</v>
      </c>
      <c r="E1689" s="10" t="s">
        <v>209</v>
      </c>
      <c r="F1689" s="10" t="s">
        <v>259</v>
      </c>
      <c r="G1689" s="10" t="s">
        <v>9414</v>
      </c>
      <c r="H1689" s="10" t="s">
        <v>11801</v>
      </c>
      <c r="I1689" s="10" t="s">
        <v>55</v>
      </c>
      <c r="K1689" s="10" t="s">
        <v>11802</v>
      </c>
      <c r="L1689" s="10" t="s">
        <v>42</v>
      </c>
    </row>
    <row r="1690" ht="15.75" customHeight="1">
      <c r="A1690" s="64">
        <v>45447.0</v>
      </c>
      <c r="B1690" s="55" t="str">
        <f>HYPERLINK("https://jobright.ai/jobs/info/665f689547eee4c694c9d63b?utm_campaign=1052&amp;utm_source=sheet", "Apply")</f>
        <v>Apply</v>
      </c>
      <c r="C1690" s="10" t="s">
        <v>11803</v>
      </c>
      <c r="D1690" s="56" t="s">
        <v>11804</v>
      </c>
      <c r="E1690" s="10" t="s">
        <v>276</v>
      </c>
      <c r="F1690" s="10" t="s">
        <v>11805</v>
      </c>
      <c r="G1690" s="10" t="s">
        <v>9414</v>
      </c>
      <c r="H1690" s="10" t="s">
        <v>3674</v>
      </c>
      <c r="I1690" s="10" t="s">
        <v>55</v>
      </c>
      <c r="J1690" s="64"/>
      <c r="K1690" s="10" t="s">
        <v>11806</v>
      </c>
      <c r="L1690" s="10" t="s">
        <v>42</v>
      </c>
    </row>
    <row r="1691" ht="15.75" customHeight="1">
      <c r="A1691" s="64">
        <v>45447.0</v>
      </c>
      <c r="B1691" s="55" t="str">
        <f>HYPERLINK("https://jobright.ai/jobs/info/667ad35eea7720d72c724419?utm_campaign=1052&amp;utm_source=sheet", "Apply")</f>
        <v>Apply</v>
      </c>
      <c r="C1691" s="10" t="s">
        <v>11807</v>
      </c>
      <c r="D1691" s="56" t="s">
        <v>9557</v>
      </c>
      <c r="E1691" s="10" t="s">
        <v>209</v>
      </c>
      <c r="F1691" s="10" t="s">
        <v>1159</v>
      </c>
      <c r="G1691" s="10" t="s">
        <v>9419</v>
      </c>
      <c r="H1691" s="10" t="s">
        <v>5148</v>
      </c>
      <c r="I1691" s="10" t="s">
        <v>55</v>
      </c>
      <c r="J1691" s="64"/>
      <c r="K1691" s="10" t="s">
        <v>11560</v>
      </c>
      <c r="L1691" s="10" t="s">
        <v>42</v>
      </c>
    </row>
    <row r="1692" ht="15.75" customHeight="1">
      <c r="A1692" s="64">
        <v>45447.0</v>
      </c>
      <c r="B1692" s="55" t="str">
        <f>HYPERLINK("https://jobright.ai/jobs/info/667abfb903ae0be6f1cb0fa7?utm_campaign=1052&amp;utm_source=sheet", "Apply")</f>
        <v>Apply</v>
      </c>
      <c r="C1692" s="10" t="s">
        <v>11808</v>
      </c>
      <c r="D1692" s="56" t="s">
        <v>9557</v>
      </c>
      <c r="E1692" s="10" t="s">
        <v>209</v>
      </c>
      <c r="F1692" s="10" t="s">
        <v>1159</v>
      </c>
      <c r="G1692" s="10" t="s">
        <v>9419</v>
      </c>
      <c r="H1692" s="10" t="s">
        <v>993</v>
      </c>
      <c r="I1692" s="10" t="s">
        <v>55</v>
      </c>
      <c r="K1692" s="10" t="s">
        <v>11560</v>
      </c>
      <c r="L1692" s="10" t="s">
        <v>42</v>
      </c>
    </row>
    <row r="1693" ht="15.75" customHeight="1">
      <c r="A1693" s="64">
        <v>45447.0</v>
      </c>
      <c r="B1693" s="55" t="str">
        <f>HYPERLINK("https://jobright.ai/jobs/info/667ab9131217fcb1c5a1b78c?utm_campaign=1052&amp;utm_source=sheet", "Apply")</f>
        <v>Apply</v>
      </c>
      <c r="C1693" s="10" t="s">
        <v>11809</v>
      </c>
      <c r="D1693" s="56" t="s">
        <v>9557</v>
      </c>
      <c r="E1693" s="10" t="s">
        <v>209</v>
      </c>
      <c r="F1693" s="10" t="s">
        <v>1159</v>
      </c>
      <c r="G1693" s="10" t="s">
        <v>9419</v>
      </c>
      <c r="H1693" s="10" t="s">
        <v>106</v>
      </c>
      <c r="I1693" s="10" t="s">
        <v>55</v>
      </c>
      <c r="J1693" s="64"/>
      <c r="K1693" s="10" t="s">
        <v>10154</v>
      </c>
      <c r="L1693" s="10" t="s">
        <v>42</v>
      </c>
    </row>
    <row r="1694" ht="15.75" customHeight="1">
      <c r="A1694" s="64">
        <v>45447.0</v>
      </c>
      <c r="B1694" s="55" t="str">
        <f>HYPERLINK("https://jobright.ai/jobs/info/667ab20e9d71c22d4959cf5e?utm_campaign=1052&amp;utm_source=sheet", "Apply")</f>
        <v>Apply</v>
      </c>
      <c r="C1694" s="10" t="s">
        <v>11810</v>
      </c>
      <c r="D1694" s="56" t="s">
        <v>9557</v>
      </c>
      <c r="E1694" s="10" t="s">
        <v>209</v>
      </c>
      <c r="F1694" s="10" t="s">
        <v>1159</v>
      </c>
      <c r="G1694" s="10" t="s">
        <v>9419</v>
      </c>
      <c r="H1694" s="10" t="s">
        <v>3847</v>
      </c>
      <c r="I1694" s="10" t="s">
        <v>55</v>
      </c>
      <c r="J1694" s="64"/>
      <c r="K1694" s="10" t="s">
        <v>11560</v>
      </c>
      <c r="L1694" s="10" t="s">
        <v>42</v>
      </c>
    </row>
    <row r="1695" ht="15.75" customHeight="1">
      <c r="A1695" s="64">
        <v>45447.0</v>
      </c>
      <c r="B1695" s="55" t="str">
        <f>HYPERLINK("https://jobright.ai/jobs/info/667ab20e9d71c22d4959cf80?utm_campaign=1052&amp;utm_source=sheet", "Apply")</f>
        <v>Apply</v>
      </c>
      <c r="C1695" s="10" t="s">
        <v>11811</v>
      </c>
      <c r="D1695" s="56" t="s">
        <v>9557</v>
      </c>
      <c r="E1695" s="10" t="s">
        <v>209</v>
      </c>
      <c r="F1695" s="10" t="s">
        <v>1159</v>
      </c>
      <c r="G1695" s="10" t="s">
        <v>9419</v>
      </c>
      <c r="H1695" s="10" t="s">
        <v>113</v>
      </c>
      <c r="I1695" s="10" t="s">
        <v>55</v>
      </c>
      <c r="J1695" s="64"/>
      <c r="K1695" s="10" t="s">
        <v>10154</v>
      </c>
      <c r="L1695" s="10" t="s">
        <v>42</v>
      </c>
    </row>
    <row r="1696" ht="15.75" customHeight="1">
      <c r="A1696" s="64">
        <v>45447.0</v>
      </c>
      <c r="B1696" s="55" t="str">
        <f>HYPERLINK("https://jobright.ai/jobs/info/665bf41fca0a8a2d0fdf0429?utm_campaign=1052&amp;utm_source=sheet", "Apply")</f>
        <v>Apply</v>
      </c>
      <c r="C1696" s="10" t="s">
        <v>11812</v>
      </c>
      <c r="D1696" s="56" t="s">
        <v>9557</v>
      </c>
      <c r="E1696" s="10" t="s">
        <v>209</v>
      </c>
      <c r="F1696" s="10" t="s">
        <v>1159</v>
      </c>
      <c r="G1696" s="10" t="s">
        <v>9419</v>
      </c>
      <c r="H1696" s="10" t="s">
        <v>636</v>
      </c>
      <c r="I1696" s="10" t="s">
        <v>48</v>
      </c>
      <c r="J1696" s="64"/>
      <c r="K1696" s="10" t="s">
        <v>10154</v>
      </c>
      <c r="L1696" s="10" t="s">
        <v>42</v>
      </c>
    </row>
    <row r="1697" ht="15.75" customHeight="1">
      <c r="A1697" s="64">
        <v>45447.0</v>
      </c>
      <c r="B1697" s="55" t="str">
        <f>HYPERLINK("https://jobright.ai/jobs/info/665bf419ca0a8a2d0fdf0304?utm_campaign=1052&amp;utm_source=sheet", "Apply")</f>
        <v>Apply</v>
      </c>
      <c r="C1697" s="10" t="s">
        <v>11813</v>
      </c>
      <c r="D1697" s="56" t="s">
        <v>9557</v>
      </c>
      <c r="E1697" s="10" t="s">
        <v>209</v>
      </c>
      <c r="F1697" s="10" t="s">
        <v>1159</v>
      </c>
      <c r="G1697" s="10" t="s">
        <v>9419</v>
      </c>
      <c r="H1697" s="10" t="s">
        <v>245</v>
      </c>
      <c r="I1697" s="10" t="s">
        <v>48</v>
      </c>
      <c r="K1697" s="10" t="s">
        <v>10154</v>
      </c>
      <c r="L1697" s="10" t="s">
        <v>42</v>
      </c>
    </row>
    <row r="1698" ht="15.75" customHeight="1">
      <c r="A1698" s="64">
        <v>45447.0</v>
      </c>
      <c r="B1698" s="55" t="str">
        <f>HYPERLINK("https://jobright.ai/jobs/info/665bf41fca0a8a2d0fdf0378?utm_campaign=1052&amp;utm_source=sheet", "Apply")</f>
        <v>Apply</v>
      </c>
      <c r="C1698" s="10" t="s">
        <v>11814</v>
      </c>
      <c r="D1698" s="56" t="s">
        <v>9557</v>
      </c>
      <c r="E1698" s="10" t="s">
        <v>209</v>
      </c>
      <c r="F1698" s="10" t="s">
        <v>1159</v>
      </c>
      <c r="G1698" s="10" t="s">
        <v>9419</v>
      </c>
      <c r="H1698" s="10" t="s">
        <v>245</v>
      </c>
      <c r="I1698" s="10" t="s">
        <v>48</v>
      </c>
      <c r="J1698" s="64"/>
      <c r="K1698" s="10" t="s">
        <v>10154</v>
      </c>
      <c r="L1698" s="10" t="s">
        <v>42</v>
      </c>
    </row>
    <row r="1699" ht="15.75" customHeight="1">
      <c r="A1699" s="64">
        <v>45447.0</v>
      </c>
      <c r="B1699" s="55" t="str">
        <f>HYPERLINK("https://jobright.ai/jobs/info/665efbaeb40e17e6f7ae45b0?utm_campaign=1052&amp;utm_source=sheet", "Apply")</f>
        <v>Apply</v>
      </c>
      <c r="C1699" s="10" t="s">
        <v>11815</v>
      </c>
      <c r="D1699" s="56" t="s">
        <v>9557</v>
      </c>
      <c r="E1699" s="10" t="s">
        <v>209</v>
      </c>
      <c r="F1699" s="10" t="s">
        <v>1159</v>
      </c>
      <c r="G1699" s="10" t="s">
        <v>9419</v>
      </c>
      <c r="H1699" s="10" t="s">
        <v>153</v>
      </c>
      <c r="I1699" s="10" t="s">
        <v>48</v>
      </c>
      <c r="J1699" s="64"/>
      <c r="K1699" s="10" t="s">
        <v>10741</v>
      </c>
      <c r="L1699" s="10" t="s">
        <v>42</v>
      </c>
    </row>
    <row r="1700" ht="15.75" customHeight="1">
      <c r="A1700" s="64">
        <v>45447.0</v>
      </c>
      <c r="B1700" s="55" t="str">
        <f>HYPERLINK("https://jobright.ai/jobs/info/665bf41fca0a8a2d0fdf0424?utm_campaign=1052&amp;utm_source=sheet", "Apply")</f>
        <v>Apply</v>
      </c>
      <c r="C1700" s="10" t="s">
        <v>11816</v>
      </c>
      <c r="D1700" s="56" t="s">
        <v>9557</v>
      </c>
      <c r="E1700" s="10" t="s">
        <v>209</v>
      </c>
      <c r="F1700" s="10" t="s">
        <v>1159</v>
      </c>
      <c r="G1700" s="10" t="s">
        <v>9419</v>
      </c>
      <c r="H1700" s="10" t="s">
        <v>636</v>
      </c>
      <c r="I1700" s="10" t="s">
        <v>48</v>
      </c>
      <c r="J1700" s="64"/>
      <c r="K1700" s="10" t="s">
        <v>10154</v>
      </c>
      <c r="L1700" s="10" t="s">
        <v>42</v>
      </c>
    </row>
    <row r="1701" ht="15.75" customHeight="1">
      <c r="A1701" s="64">
        <v>45447.0</v>
      </c>
      <c r="B1701" s="55" t="str">
        <f>HYPERLINK("https://jobright.ai/jobs/info/665bf425ca0a8a2d0fdf04cf?utm_campaign=1052&amp;utm_source=sheet", "Apply")</f>
        <v>Apply</v>
      </c>
      <c r="C1701" s="10" t="s">
        <v>11817</v>
      </c>
      <c r="D1701" s="56" t="s">
        <v>9557</v>
      </c>
      <c r="E1701" s="10" t="s">
        <v>209</v>
      </c>
      <c r="F1701" s="10" t="s">
        <v>1159</v>
      </c>
      <c r="G1701" s="10" t="s">
        <v>9419</v>
      </c>
      <c r="H1701" s="10" t="s">
        <v>245</v>
      </c>
      <c r="I1701" s="10" t="s">
        <v>48</v>
      </c>
      <c r="J1701" s="64"/>
      <c r="K1701" s="10" t="s">
        <v>10154</v>
      </c>
      <c r="L1701" s="10" t="s">
        <v>42</v>
      </c>
    </row>
    <row r="1702" ht="15.75" customHeight="1">
      <c r="A1702" s="64">
        <v>45447.0</v>
      </c>
      <c r="B1702" s="55" t="str">
        <f>HYPERLINK("https://jobright.ai/jobs/info/665bf42bca0a8a2d0fdf05bd?utm_campaign=1052&amp;utm_source=sheet", "Apply")</f>
        <v>Apply</v>
      </c>
      <c r="C1702" s="10" t="s">
        <v>11818</v>
      </c>
      <c r="D1702" s="56" t="s">
        <v>9557</v>
      </c>
      <c r="E1702" s="10" t="s">
        <v>209</v>
      </c>
      <c r="F1702" s="10" t="s">
        <v>1159</v>
      </c>
      <c r="G1702" s="10" t="s">
        <v>9419</v>
      </c>
      <c r="H1702" s="10" t="s">
        <v>245</v>
      </c>
      <c r="I1702" s="10" t="s">
        <v>48</v>
      </c>
      <c r="K1702" s="10" t="s">
        <v>10154</v>
      </c>
      <c r="L1702" s="10" t="s">
        <v>42</v>
      </c>
    </row>
    <row r="1703" ht="15.75" customHeight="1">
      <c r="A1703" s="64">
        <v>45447.0</v>
      </c>
      <c r="B1703" s="55" t="str">
        <f>HYPERLINK("https://jobright.ai/jobs/info/665ec9e09815392c28318111?utm_campaign=1052&amp;utm_source=sheet", "Apply")</f>
        <v>Apply</v>
      </c>
      <c r="C1703" s="10" t="s">
        <v>11819</v>
      </c>
      <c r="D1703" s="56" t="s">
        <v>6700</v>
      </c>
      <c r="E1703" s="10" t="s">
        <v>65</v>
      </c>
      <c r="F1703" s="10" t="s">
        <v>6701</v>
      </c>
      <c r="G1703" s="10" t="s">
        <v>9414</v>
      </c>
      <c r="H1703" s="10" t="s">
        <v>6295</v>
      </c>
      <c r="I1703" s="10" t="s">
        <v>55</v>
      </c>
      <c r="J1703" s="10" t="s">
        <v>1906</v>
      </c>
      <c r="K1703" s="10" t="s">
        <v>11820</v>
      </c>
      <c r="L1703" s="10" t="s">
        <v>42</v>
      </c>
    </row>
    <row r="1704" ht="15.75" customHeight="1">
      <c r="A1704" s="64">
        <v>45447.0</v>
      </c>
      <c r="B1704" s="55" t="str">
        <f>HYPERLINK("https://jobright.ai/jobs/info/665f9fcf8da1ba73a7ae3cf5?utm_campaign=1052&amp;utm_source=sheet", "Apply")</f>
        <v>Apply</v>
      </c>
      <c r="C1704" s="10" t="s">
        <v>11821</v>
      </c>
      <c r="D1704" s="56" t="s">
        <v>11822</v>
      </c>
      <c r="E1704" s="10" t="s">
        <v>79</v>
      </c>
      <c r="F1704" s="10" t="s">
        <v>1159</v>
      </c>
      <c r="G1704" s="10" t="s">
        <v>9419</v>
      </c>
      <c r="H1704" s="10" t="s">
        <v>423</v>
      </c>
      <c r="I1704" s="10" t="s">
        <v>55</v>
      </c>
      <c r="J1704" s="10" t="s">
        <v>5772</v>
      </c>
      <c r="K1704" s="10" t="s">
        <v>11823</v>
      </c>
      <c r="L1704" s="10" t="s">
        <v>42</v>
      </c>
    </row>
    <row r="1705" ht="15.75" customHeight="1">
      <c r="A1705" s="64">
        <v>45447.0</v>
      </c>
      <c r="B1705" s="55" t="str">
        <f>HYPERLINK("https://jobright.ai/jobs/info/665f7e3a4b70bae99941e916?utm_campaign=1052&amp;utm_source=sheet", "Apply")</f>
        <v>Apply</v>
      </c>
      <c r="C1705" s="10" t="s">
        <v>11824</v>
      </c>
      <c r="D1705" s="56" t="s">
        <v>11822</v>
      </c>
      <c r="E1705" s="10" t="s">
        <v>79</v>
      </c>
      <c r="F1705" s="10" t="s">
        <v>1159</v>
      </c>
      <c r="G1705" s="10" t="s">
        <v>9419</v>
      </c>
      <c r="H1705" s="10" t="s">
        <v>423</v>
      </c>
      <c r="I1705" s="10" t="s">
        <v>55</v>
      </c>
      <c r="J1705" s="10" t="s">
        <v>5772</v>
      </c>
      <c r="K1705" s="10" t="s">
        <v>11823</v>
      </c>
      <c r="L1705" s="10" t="s">
        <v>42</v>
      </c>
    </row>
    <row r="1706" ht="15.75" customHeight="1">
      <c r="A1706" s="64">
        <v>45447.0</v>
      </c>
      <c r="B1706" s="55" t="str">
        <f>HYPERLINK("https://jobright.ai/jobs/info/666b1c40b1e1ed2a7c3455f1?utm_campaign=1052&amp;utm_source=sheet", "Apply")</f>
        <v>Apply</v>
      </c>
      <c r="C1706" s="10" t="s">
        <v>11825</v>
      </c>
      <c r="D1706" s="56" t="s">
        <v>11826</v>
      </c>
      <c r="E1706" s="10" t="s">
        <v>249</v>
      </c>
      <c r="F1706" s="10" t="s">
        <v>2950</v>
      </c>
      <c r="G1706" s="10" t="s">
        <v>9414</v>
      </c>
      <c r="H1706" s="10" t="s">
        <v>661</v>
      </c>
      <c r="I1706" s="10" t="s">
        <v>55</v>
      </c>
      <c r="J1706" s="64"/>
      <c r="K1706" s="10" t="s">
        <v>11827</v>
      </c>
      <c r="L1706" s="10" t="s">
        <v>42</v>
      </c>
    </row>
    <row r="1707" ht="15.75" customHeight="1">
      <c r="A1707" s="64">
        <v>45447.0</v>
      </c>
      <c r="B1707" s="55" t="str">
        <f>HYPERLINK("https://jobright.ai/jobs/info/66681e3d1c2d3f9f50323e1c?utm_campaign=1052&amp;utm_source=sheet", "Apply")</f>
        <v>Apply</v>
      </c>
      <c r="C1707" s="10" t="s">
        <v>11828</v>
      </c>
      <c r="D1707" s="56" t="s">
        <v>1559</v>
      </c>
      <c r="E1707" s="10" t="s">
        <v>45</v>
      </c>
      <c r="F1707" s="10" t="s">
        <v>1485</v>
      </c>
      <c r="G1707" s="10" t="s">
        <v>9414</v>
      </c>
      <c r="H1707" s="10" t="s">
        <v>1560</v>
      </c>
      <c r="I1707" s="10" t="s">
        <v>55</v>
      </c>
      <c r="K1707" s="10" t="s">
        <v>11829</v>
      </c>
      <c r="L1707" s="10" t="s">
        <v>42</v>
      </c>
    </row>
    <row r="1708" ht="15.75" customHeight="1">
      <c r="A1708" s="64">
        <v>45446.0</v>
      </c>
      <c r="B1708" s="55" t="str">
        <f>HYPERLINK("https://jobright.ai/jobs/info/661502deb1bcd01c2192fd80?utm_campaign=1052&amp;utm_source=sheet", "Apply")</f>
        <v>Apply</v>
      </c>
      <c r="C1708" s="10" t="s">
        <v>11830</v>
      </c>
      <c r="D1708" s="56" t="s">
        <v>11831</v>
      </c>
      <c r="E1708" s="10" t="s">
        <v>79</v>
      </c>
      <c r="F1708" s="10" t="s">
        <v>11832</v>
      </c>
      <c r="G1708" s="10" t="s">
        <v>9414</v>
      </c>
      <c r="H1708" s="10" t="s">
        <v>96</v>
      </c>
      <c r="I1708" s="10" t="s">
        <v>55</v>
      </c>
      <c r="J1708" s="10" t="s">
        <v>11833</v>
      </c>
      <c r="K1708" s="10" t="s">
        <v>11834</v>
      </c>
      <c r="L1708" s="10" t="s">
        <v>42</v>
      </c>
    </row>
    <row r="1709" ht="15.75" customHeight="1">
      <c r="A1709" s="64">
        <v>45446.0</v>
      </c>
      <c r="B1709" s="55" t="str">
        <f>HYPERLINK("https://jobright.ai/jobs/info/6679785222283fc0c733882f?utm_campaign=1052&amp;utm_source=sheet", "Apply")</f>
        <v>Apply</v>
      </c>
      <c r="C1709" s="10" t="s">
        <v>11835</v>
      </c>
      <c r="D1709" s="56" t="s">
        <v>9557</v>
      </c>
      <c r="E1709" s="10" t="s">
        <v>209</v>
      </c>
      <c r="F1709" s="10" t="s">
        <v>1159</v>
      </c>
      <c r="G1709" s="10" t="s">
        <v>9419</v>
      </c>
      <c r="H1709" s="10" t="s">
        <v>174</v>
      </c>
      <c r="I1709" s="10" t="s">
        <v>55</v>
      </c>
      <c r="J1709" s="64"/>
      <c r="K1709" s="10" t="s">
        <v>11717</v>
      </c>
      <c r="L1709" s="10" t="s">
        <v>42</v>
      </c>
    </row>
    <row r="1710" ht="15.75" customHeight="1">
      <c r="A1710" s="64">
        <v>45446.0</v>
      </c>
      <c r="B1710" s="55" t="str">
        <f>HYPERLINK("https://jobright.ai/jobs/info/667969b0d86d626ab8b78d90?utm_campaign=1052&amp;utm_source=sheet", "Apply")</f>
        <v>Apply</v>
      </c>
      <c r="C1710" s="10" t="s">
        <v>11836</v>
      </c>
      <c r="D1710" s="56" t="s">
        <v>9557</v>
      </c>
      <c r="E1710" s="10" t="s">
        <v>209</v>
      </c>
      <c r="F1710" s="10" t="s">
        <v>1159</v>
      </c>
      <c r="G1710" s="10" t="s">
        <v>9419</v>
      </c>
      <c r="H1710" s="10" t="s">
        <v>788</v>
      </c>
      <c r="I1710" s="10" t="s">
        <v>55</v>
      </c>
      <c r="J1710" s="64"/>
      <c r="K1710" s="10" t="s">
        <v>10741</v>
      </c>
      <c r="L1710" s="10" t="s">
        <v>42</v>
      </c>
    </row>
    <row r="1711" ht="15.75" customHeight="1">
      <c r="A1711" s="64">
        <v>45446.0</v>
      </c>
      <c r="B1711" s="55" t="str">
        <f>HYPERLINK("https://jobright.ai/jobs/info/66795bcedcb1db3fc098ef23?utm_campaign=1052&amp;utm_source=sheet", "Apply")</f>
        <v>Apply</v>
      </c>
      <c r="C1711" s="10" t="s">
        <v>11837</v>
      </c>
      <c r="D1711" s="56" t="s">
        <v>9557</v>
      </c>
      <c r="E1711" s="10" t="s">
        <v>209</v>
      </c>
      <c r="F1711" s="10" t="s">
        <v>1159</v>
      </c>
      <c r="G1711" s="10" t="s">
        <v>9419</v>
      </c>
      <c r="H1711" s="10" t="s">
        <v>886</v>
      </c>
      <c r="I1711" s="10" t="s">
        <v>55</v>
      </c>
      <c r="J1711" s="64"/>
      <c r="K1711" s="10" t="s">
        <v>10741</v>
      </c>
      <c r="L1711" s="10" t="s">
        <v>42</v>
      </c>
    </row>
    <row r="1712" ht="15.75" customHeight="1">
      <c r="A1712" s="64">
        <v>45446.0</v>
      </c>
      <c r="B1712" s="55" t="str">
        <f>HYPERLINK("https://jobright.ai/jobs/info/665bf431ca0a8a2d0fdf0639?utm_campaign=1052&amp;utm_source=sheet", "Apply")</f>
        <v>Apply</v>
      </c>
      <c r="C1712" s="10" t="s">
        <v>11838</v>
      </c>
      <c r="D1712" s="56" t="s">
        <v>9557</v>
      </c>
      <c r="E1712" s="10" t="s">
        <v>209</v>
      </c>
      <c r="F1712" s="10" t="s">
        <v>1159</v>
      </c>
      <c r="G1712" s="10" t="s">
        <v>9419</v>
      </c>
      <c r="H1712" s="10" t="s">
        <v>11611</v>
      </c>
      <c r="I1712" s="10" t="s">
        <v>55</v>
      </c>
      <c r="J1712" s="64"/>
      <c r="K1712" s="10" t="s">
        <v>10154</v>
      </c>
      <c r="L1712" s="10" t="s">
        <v>42</v>
      </c>
    </row>
    <row r="1713" ht="15.75" customHeight="1">
      <c r="A1713" s="64">
        <v>45446.0</v>
      </c>
      <c r="B1713" s="55" t="str">
        <f>HYPERLINK("https://jobright.ai/jobs/info/665bf425ca0a8a2d0fdf0456?utm_campaign=1052&amp;utm_source=sheet", "Apply")</f>
        <v>Apply</v>
      </c>
      <c r="C1713" s="10" t="s">
        <v>11839</v>
      </c>
      <c r="D1713" s="56" t="s">
        <v>9557</v>
      </c>
      <c r="E1713" s="10" t="s">
        <v>209</v>
      </c>
      <c r="F1713" s="10" t="s">
        <v>1159</v>
      </c>
      <c r="G1713" s="10" t="s">
        <v>9419</v>
      </c>
      <c r="H1713" s="10" t="s">
        <v>886</v>
      </c>
      <c r="I1713" s="10" t="s">
        <v>55</v>
      </c>
      <c r="K1713" s="10" t="s">
        <v>10154</v>
      </c>
      <c r="L1713" s="10" t="s">
        <v>42</v>
      </c>
    </row>
    <row r="1714" ht="15.75" customHeight="1">
      <c r="A1714" s="64">
        <v>45446.0</v>
      </c>
      <c r="B1714" s="55" t="str">
        <f>HYPERLINK("https://jobright.ai/jobs/info/665d4df9d3e605b6cf3eff50?utm_campaign=1052&amp;utm_source=sheet", "Apply")</f>
        <v>Apply</v>
      </c>
      <c r="C1714" s="10" t="s">
        <v>10616</v>
      </c>
      <c r="D1714" s="56" t="s">
        <v>1094</v>
      </c>
      <c r="E1714" s="10" t="s">
        <v>45</v>
      </c>
      <c r="F1714" s="10" t="s">
        <v>731</v>
      </c>
      <c r="G1714" s="10" t="s">
        <v>9414</v>
      </c>
      <c r="H1714" s="10" t="s">
        <v>113</v>
      </c>
      <c r="I1714" s="10" t="s">
        <v>55</v>
      </c>
      <c r="K1714" s="10" t="s">
        <v>10252</v>
      </c>
      <c r="L1714" s="10" t="s">
        <v>42</v>
      </c>
    </row>
    <row r="1715" ht="15.75" customHeight="1">
      <c r="A1715" s="64">
        <v>45446.0</v>
      </c>
      <c r="B1715" s="55" t="str">
        <f>HYPERLINK("https://jobright.ai/jobs/info/666831749d7e47024a780bd5?utm_campaign=1052&amp;utm_source=sheet", "Apply")</f>
        <v>Apply</v>
      </c>
      <c r="C1715" s="10" t="s">
        <v>11840</v>
      </c>
      <c r="D1715" s="56" t="s">
        <v>11841</v>
      </c>
      <c r="E1715" s="10" t="s">
        <v>65</v>
      </c>
      <c r="F1715" s="10" t="s">
        <v>1084</v>
      </c>
      <c r="G1715" s="10" t="s">
        <v>9414</v>
      </c>
      <c r="H1715" s="10" t="s">
        <v>994</v>
      </c>
      <c r="I1715" s="10" t="s">
        <v>55</v>
      </c>
      <c r="K1715" s="10" t="s">
        <v>11842</v>
      </c>
      <c r="L1715" s="10" t="s">
        <v>42</v>
      </c>
    </row>
    <row r="1716" ht="15.75" customHeight="1">
      <c r="A1716" s="64">
        <v>45446.0</v>
      </c>
      <c r="B1716" s="55" t="str">
        <f>HYPERLINK("https://jobright.ai/jobs/info/66682e8b9d7e47024a780281?utm_campaign=1052&amp;utm_source=sheet", "Apply")</f>
        <v>Apply</v>
      </c>
      <c r="C1716" s="10" t="s">
        <v>11843</v>
      </c>
      <c r="D1716" s="56" t="s">
        <v>1496</v>
      </c>
      <c r="E1716" s="10" t="s">
        <v>45</v>
      </c>
      <c r="F1716" s="10" t="s">
        <v>1497</v>
      </c>
      <c r="G1716" s="10" t="s">
        <v>1159</v>
      </c>
      <c r="H1716" s="10" t="s">
        <v>1460</v>
      </c>
      <c r="I1716" s="10" t="s">
        <v>55</v>
      </c>
      <c r="K1716" s="10" t="s">
        <v>11844</v>
      </c>
      <c r="L1716" s="10" t="s">
        <v>42</v>
      </c>
    </row>
    <row r="1717" ht="15.75" customHeight="1">
      <c r="A1717" s="64">
        <v>45446.0</v>
      </c>
      <c r="B1717" s="55" t="str">
        <f>HYPERLINK("https://jobright.ai/jobs/info/66682e8b9d7e47024a7802d7?utm_campaign=1052&amp;utm_source=sheet", "Apply")</f>
        <v>Apply</v>
      </c>
      <c r="C1717" s="10" t="s">
        <v>11845</v>
      </c>
      <c r="D1717" s="56" t="s">
        <v>9403</v>
      </c>
      <c r="E1717" s="10" t="s">
        <v>45</v>
      </c>
      <c r="F1717" s="10" t="s">
        <v>722</v>
      </c>
      <c r="G1717" s="10" t="s">
        <v>9419</v>
      </c>
      <c r="H1717" s="10" t="s">
        <v>11846</v>
      </c>
      <c r="I1717" s="10" t="s">
        <v>55</v>
      </c>
      <c r="J1717" s="64"/>
      <c r="K1717" s="10" t="s">
        <v>11847</v>
      </c>
      <c r="L1717" s="10" t="s">
        <v>42</v>
      </c>
    </row>
    <row r="1718" ht="15.75" customHeight="1">
      <c r="A1718" s="64">
        <v>45445.0</v>
      </c>
      <c r="B1718" s="55" t="str">
        <f>HYPERLINK("https://jobright.ai/jobs/info/665cdd5ba2621de72191e9d5?utm_campaign=1052&amp;utm_source=sheet", "Apply")</f>
        <v>Apply</v>
      </c>
      <c r="C1718" s="10" t="s">
        <v>11848</v>
      </c>
      <c r="D1718" s="56" t="s">
        <v>11659</v>
      </c>
      <c r="E1718" s="10">
        <v>9.0</v>
      </c>
      <c r="G1718" s="10" t="s">
        <v>9414</v>
      </c>
      <c r="H1718" s="10" t="s">
        <v>5331</v>
      </c>
      <c r="I1718" s="10" t="s">
        <v>55</v>
      </c>
      <c r="J1718" s="64"/>
      <c r="K1718" s="10" t="s">
        <v>11849</v>
      </c>
      <c r="L1718" s="10" t="s">
        <v>42</v>
      </c>
    </row>
    <row r="1719" ht="15.75" customHeight="1">
      <c r="A1719" s="64">
        <v>45445.0</v>
      </c>
      <c r="B1719" s="55" t="str">
        <f>HYPERLINK("https://jobright.ai/jobs/info/665ccb67040fcef584288f6a?utm_campaign=1052&amp;utm_source=sheet", "Apply")</f>
        <v>Apply</v>
      </c>
      <c r="C1719" s="10" t="s">
        <v>11850</v>
      </c>
      <c r="D1719" s="56" t="s">
        <v>11659</v>
      </c>
      <c r="E1719" s="10">
        <v>9.0</v>
      </c>
      <c r="G1719" s="10" t="s">
        <v>9414</v>
      </c>
      <c r="H1719" s="10" t="s">
        <v>572</v>
      </c>
      <c r="I1719" s="10" t="s">
        <v>55</v>
      </c>
      <c r="J1719" s="64"/>
      <c r="K1719" s="10" t="s">
        <v>11851</v>
      </c>
      <c r="L1719" s="10" t="s">
        <v>42</v>
      </c>
    </row>
    <row r="1720" ht="15.75" customHeight="1">
      <c r="A1720" s="64">
        <v>45445.0</v>
      </c>
      <c r="B1720" s="55" t="str">
        <f>HYPERLINK("https://jobright.ai/jobs/info/665c96056a0aeb835cfa9628?utm_campaign=1052&amp;utm_source=sheet", "Apply")</f>
        <v>Apply</v>
      </c>
      <c r="C1720" s="10" t="s">
        <v>11852</v>
      </c>
      <c r="D1720" s="56" t="s">
        <v>9821</v>
      </c>
      <c r="E1720" s="10" t="s">
        <v>45</v>
      </c>
      <c r="F1720" s="10" t="s">
        <v>3594</v>
      </c>
      <c r="G1720" s="10" t="s">
        <v>9414</v>
      </c>
      <c r="H1720" s="10" t="s">
        <v>904</v>
      </c>
      <c r="I1720" s="10" t="s">
        <v>48</v>
      </c>
      <c r="J1720" s="64"/>
      <c r="K1720" s="10" t="s">
        <v>11853</v>
      </c>
      <c r="L1720" s="10" t="s">
        <v>42</v>
      </c>
    </row>
    <row r="1721" ht="15.75" customHeight="1">
      <c r="A1721" s="64">
        <v>45445.0</v>
      </c>
      <c r="B1721" s="55" t="str">
        <f>HYPERLINK("https://jobright.ai/jobs/info/66781fc1a5a41389c8e7c20f?utm_campaign=1052&amp;utm_source=sheet", "Apply")</f>
        <v>Apply</v>
      </c>
      <c r="C1721" s="10" t="s">
        <v>11854</v>
      </c>
      <c r="D1721" s="56" t="s">
        <v>9557</v>
      </c>
      <c r="E1721" s="10" t="s">
        <v>209</v>
      </c>
      <c r="F1721" s="10" t="s">
        <v>1159</v>
      </c>
      <c r="G1721" s="10" t="s">
        <v>9419</v>
      </c>
      <c r="H1721" s="10" t="s">
        <v>4279</v>
      </c>
      <c r="I1721" s="10" t="s">
        <v>55</v>
      </c>
      <c r="J1721" s="64"/>
      <c r="K1721" s="10" t="s">
        <v>11560</v>
      </c>
      <c r="L1721" s="10" t="s">
        <v>42</v>
      </c>
    </row>
    <row r="1722" ht="15.75" customHeight="1">
      <c r="A1722" s="64">
        <v>45445.0</v>
      </c>
      <c r="B1722" s="55" t="str">
        <f>HYPERLINK("https://jobright.ai/jobs/info/6678159140b6fdfb5084a5ee?utm_campaign=1052&amp;utm_source=sheet", "Apply")</f>
        <v>Apply</v>
      </c>
      <c r="C1722" s="10" t="s">
        <v>11855</v>
      </c>
      <c r="D1722" s="56" t="s">
        <v>9557</v>
      </c>
      <c r="E1722" s="10" t="s">
        <v>209</v>
      </c>
      <c r="F1722" s="10" t="s">
        <v>1159</v>
      </c>
      <c r="G1722" s="10" t="s">
        <v>9419</v>
      </c>
      <c r="H1722" s="10" t="s">
        <v>886</v>
      </c>
      <c r="I1722" s="10" t="s">
        <v>55</v>
      </c>
      <c r="J1722" s="64"/>
      <c r="K1722" s="10" t="s">
        <v>11560</v>
      </c>
      <c r="L1722" s="10" t="s">
        <v>42</v>
      </c>
    </row>
    <row r="1723" ht="15.75" customHeight="1">
      <c r="A1723" s="64">
        <v>45444.0</v>
      </c>
      <c r="B1723" s="55" t="str">
        <f>HYPERLINK("https://jobright.ai/jobs/info/665ba6d5cc92d1ea2bc4c9d3?utm_campaign=1052&amp;utm_source=sheet", "Apply")</f>
        <v>Apply</v>
      </c>
      <c r="C1723" s="10" t="s">
        <v>10969</v>
      </c>
      <c r="D1723" s="56" t="s">
        <v>11856</v>
      </c>
      <c r="E1723" s="10">
        <v>5.0</v>
      </c>
      <c r="G1723" s="10" t="s">
        <v>9419</v>
      </c>
      <c r="H1723" s="10" t="s">
        <v>11857</v>
      </c>
      <c r="I1723" s="10" t="s">
        <v>55</v>
      </c>
      <c r="J1723" s="64"/>
      <c r="K1723" s="10" t="s">
        <v>11858</v>
      </c>
      <c r="L1723" s="10" t="s">
        <v>42</v>
      </c>
    </row>
    <row r="1724" ht="15.75" customHeight="1">
      <c r="A1724" s="64">
        <v>45444.0</v>
      </c>
      <c r="B1724" s="55" t="str">
        <f>HYPERLINK("https://jobright.ai/jobs/info/6677d6ae5793f82273cb3066?utm_campaign=1052&amp;utm_source=sheet", "Apply")</f>
        <v>Apply</v>
      </c>
      <c r="C1724" s="10" t="s">
        <v>11859</v>
      </c>
      <c r="D1724" s="56" t="s">
        <v>9557</v>
      </c>
      <c r="E1724" s="10" t="s">
        <v>209</v>
      </c>
      <c r="F1724" s="10" t="s">
        <v>1159</v>
      </c>
      <c r="G1724" s="10" t="s">
        <v>9419</v>
      </c>
      <c r="H1724" s="10" t="s">
        <v>810</v>
      </c>
      <c r="I1724" s="10" t="s">
        <v>55</v>
      </c>
      <c r="J1724" s="64"/>
      <c r="K1724" s="10" t="s">
        <v>10741</v>
      </c>
      <c r="L1724" s="10" t="s">
        <v>42</v>
      </c>
    </row>
    <row r="1725" ht="15.75" customHeight="1">
      <c r="A1725" s="64">
        <v>45444.0</v>
      </c>
      <c r="B1725" s="55" t="str">
        <f>HYPERLINK("https://jobright.ai/jobs/info/6677d6ae5793f82273cb306f?utm_campaign=1052&amp;utm_source=sheet", "Apply")</f>
        <v>Apply</v>
      </c>
      <c r="C1725" s="10" t="s">
        <v>11860</v>
      </c>
      <c r="D1725" s="56" t="s">
        <v>9557</v>
      </c>
      <c r="E1725" s="10" t="s">
        <v>209</v>
      </c>
      <c r="F1725" s="10" t="s">
        <v>1159</v>
      </c>
      <c r="G1725" s="10" t="s">
        <v>9419</v>
      </c>
      <c r="H1725" s="10" t="s">
        <v>861</v>
      </c>
      <c r="I1725" s="10" t="s">
        <v>55</v>
      </c>
      <c r="J1725" s="64"/>
      <c r="K1725" s="10" t="s">
        <v>10741</v>
      </c>
      <c r="L1725" s="10" t="s">
        <v>42</v>
      </c>
    </row>
    <row r="1726" ht="15.75" customHeight="1">
      <c r="A1726" s="64">
        <v>45444.0</v>
      </c>
      <c r="B1726" s="55" t="str">
        <f>HYPERLINK("https://jobright.ai/jobs/info/6677d7f85793f82273cb4691?utm_campaign=1052&amp;utm_source=sheet", "Apply")</f>
        <v>Apply</v>
      </c>
      <c r="C1726" s="10" t="s">
        <v>11861</v>
      </c>
      <c r="D1726" s="56" t="s">
        <v>9557</v>
      </c>
      <c r="E1726" s="10" t="s">
        <v>209</v>
      </c>
      <c r="F1726" s="10" t="s">
        <v>1159</v>
      </c>
      <c r="G1726" s="10" t="s">
        <v>9419</v>
      </c>
      <c r="H1726" s="10" t="s">
        <v>174</v>
      </c>
      <c r="I1726" s="10" t="s">
        <v>55</v>
      </c>
      <c r="J1726" s="64"/>
      <c r="K1726" s="10" t="s">
        <v>10154</v>
      </c>
      <c r="L1726" s="10" t="s">
        <v>42</v>
      </c>
    </row>
    <row r="1727" ht="15.75" customHeight="1">
      <c r="A1727" s="64">
        <v>45444.0</v>
      </c>
      <c r="B1727" s="55" t="str">
        <f>HYPERLINK("https://jobright.ai/jobs/info/6677d7f85793f82273cb46e9?utm_campaign=1052&amp;utm_source=sheet", "Apply")</f>
        <v>Apply</v>
      </c>
      <c r="C1727" s="10" t="s">
        <v>11862</v>
      </c>
      <c r="D1727" s="56" t="s">
        <v>11863</v>
      </c>
      <c r="E1727" s="10">
        <v>33.0</v>
      </c>
      <c r="G1727" s="10" t="s">
        <v>9419</v>
      </c>
      <c r="H1727" s="10" t="s">
        <v>153</v>
      </c>
      <c r="I1727" s="10" t="s">
        <v>48</v>
      </c>
      <c r="J1727" s="64"/>
      <c r="K1727" s="10" t="s">
        <v>11864</v>
      </c>
      <c r="L1727" s="10" t="s">
        <v>42</v>
      </c>
    </row>
    <row r="1728" ht="15.75" customHeight="1">
      <c r="A1728" s="64">
        <v>45444.0</v>
      </c>
      <c r="B1728" s="55" t="str">
        <f>HYPERLINK("https://jobright.ai/jobs/info/6677d6ae5793f82273cb3080?utm_campaign=1052&amp;utm_source=sheet", "Apply")</f>
        <v>Apply</v>
      </c>
      <c r="C1728" s="10" t="s">
        <v>11865</v>
      </c>
      <c r="D1728" s="56" t="s">
        <v>9557</v>
      </c>
      <c r="E1728" s="10" t="s">
        <v>209</v>
      </c>
      <c r="F1728" s="10" t="s">
        <v>1159</v>
      </c>
      <c r="G1728" s="10" t="s">
        <v>9419</v>
      </c>
      <c r="H1728" s="10" t="s">
        <v>827</v>
      </c>
      <c r="I1728" s="10" t="s">
        <v>55</v>
      </c>
      <c r="J1728" s="64"/>
      <c r="K1728" s="10" t="s">
        <v>11560</v>
      </c>
      <c r="L1728" s="10" t="s">
        <v>42</v>
      </c>
    </row>
    <row r="1729" ht="15.75" customHeight="1">
      <c r="A1729" s="64">
        <v>45444.0</v>
      </c>
      <c r="B1729" s="55" t="str">
        <f>HYPERLINK("https://jobright.ai/jobs/info/6677d6b95793f82273cb30b8?utm_campaign=1052&amp;utm_source=sheet", "Apply")</f>
        <v>Apply</v>
      </c>
      <c r="C1729" s="10" t="s">
        <v>11866</v>
      </c>
      <c r="D1729" s="56" t="s">
        <v>9557</v>
      </c>
      <c r="E1729" s="10" t="s">
        <v>209</v>
      </c>
      <c r="F1729" s="10" t="s">
        <v>1159</v>
      </c>
      <c r="G1729" s="10" t="s">
        <v>9419</v>
      </c>
      <c r="H1729" s="10" t="s">
        <v>4279</v>
      </c>
      <c r="I1729" s="10" t="s">
        <v>55</v>
      </c>
      <c r="J1729" s="64"/>
      <c r="K1729" s="10" t="s">
        <v>10154</v>
      </c>
      <c r="L1729" s="10" t="s">
        <v>42</v>
      </c>
    </row>
    <row r="1730" ht="15.75" customHeight="1">
      <c r="A1730" s="64">
        <v>45444.0</v>
      </c>
      <c r="B1730" s="55" t="str">
        <f>HYPERLINK("https://jobright.ai/jobs/info/6677d6b95793f82273cb309f?utm_campaign=1052&amp;utm_source=sheet", "Apply")</f>
        <v>Apply</v>
      </c>
      <c r="C1730" s="10" t="s">
        <v>11867</v>
      </c>
      <c r="D1730" s="56" t="s">
        <v>9557</v>
      </c>
      <c r="E1730" s="10" t="s">
        <v>209</v>
      </c>
      <c r="F1730" s="10" t="s">
        <v>1159</v>
      </c>
      <c r="G1730" s="10" t="s">
        <v>9419</v>
      </c>
      <c r="H1730" s="10" t="s">
        <v>827</v>
      </c>
      <c r="I1730" s="10" t="s">
        <v>55</v>
      </c>
      <c r="J1730" s="64"/>
      <c r="K1730" s="10" t="s">
        <v>10741</v>
      </c>
      <c r="L1730" s="10" t="s">
        <v>42</v>
      </c>
    </row>
    <row r="1731" ht="15.75" customHeight="1">
      <c r="A1731" s="64">
        <v>45444.0</v>
      </c>
      <c r="B1731" s="55" t="str">
        <f>HYPERLINK("https://jobright.ai/jobs/info/6677d6b95793f82273cb309c?utm_campaign=1052&amp;utm_source=sheet", "Apply")</f>
        <v>Apply</v>
      </c>
      <c r="C1731" s="10" t="s">
        <v>11868</v>
      </c>
      <c r="D1731" s="56" t="s">
        <v>9557</v>
      </c>
      <c r="E1731" s="10" t="s">
        <v>209</v>
      </c>
      <c r="F1731" s="10" t="s">
        <v>1159</v>
      </c>
      <c r="G1731" s="10" t="s">
        <v>9419</v>
      </c>
      <c r="H1731" s="10" t="s">
        <v>993</v>
      </c>
      <c r="I1731" s="10" t="s">
        <v>55</v>
      </c>
      <c r="J1731" s="64"/>
      <c r="K1731" s="10" t="s">
        <v>10741</v>
      </c>
      <c r="L1731" s="10" t="s">
        <v>42</v>
      </c>
    </row>
    <row r="1732" ht="15.75" customHeight="1">
      <c r="A1732" s="64">
        <v>45444.0</v>
      </c>
      <c r="B1732" s="55" t="str">
        <f>HYPERLINK("https://jobright.ai/jobs/info/6677d6b95793f82273cb3144?utm_campaign=1052&amp;utm_source=sheet", "Apply")</f>
        <v>Apply</v>
      </c>
      <c r="C1732" s="10" t="s">
        <v>11869</v>
      </c>
      <c r="D1732" s="56" t="s">
        <v>9557</v>
      </c>
      <c r="E1732" s="10" t="s">
        <v>209</v>
      </c>
      <c r="F1732" s="10" t="s">
        <v>1159</v>
      </c>
      <c r="G1732" s="10" t="s">
        <v>9419</v>
      </c>
      <c r="H1732" s="10" t="s">
        <v>405</v>
      </c>
      <c r="I1732" s="10" t="s">
        <v>55</v>
      </c>
      <c r="J1732" s="10" t="s">
        <v>11870</v>
      </c>
      <c r="K1732" s="10" t="s">
        <v>10741</v>
      </c>
      <c r="L1732" s="10" t="s">
        <v>42</v>
      </c>
    </row>
    <row r="1733" ht="15.75" customHeight="1">
      <c r="A1733" s="64">
        <v>45444.0</v>
      </c>
      <c r="B1733" s="55" t="str">
        <f>HYPERLINK("https://jobright.ai/jobs/info/6677d6b95793f82273cb308c?utm_campaign=1052&amp;utm_source=sheet", "Apply")</f>
        <v>Apply</v>
      </c>
      <c r="C1733" s="10" t="s">
        <v>11871</v>
      </c>
      <c r="D1733" s="56" t="s">
        <v>9557</v>
      </c>
      <c r="E1733" s="10" t="s">
        <v>209</v>
      </c>
      <c r="F1733" s="10" t="s">
        <v>1159</v>
      </c>
      <c r="G1733" s="10" t="s">
        <v>9419</v>
      </c>
      <c r="H1733" s="10" t="s">
        <v>1023</v>
      </c>
      <c r="I1733" s="10" t="s">
        <v>55</v>
      </c>
      <c r="J1733" s="64"/>
      <c r="K1733" s="10" t="s">
        <v>10154</v>
      </c>
      <c r="L1733" s="10" t="s">
        <v>42</v>
      </c>
    </row>
    <row r="1734" ht="15.75" customHeight="1">
      <c r="A1734" s="64">
        <v>45444.0</v>
      </c>
      <c r="B1734" s="55" t="str">
        <f>HYPERLINK("https://jobright.ai/jobs/info/6677d6b95793f82273cb30df?utm_campaign=1052&amp;utm_source=sheet", "Apply")</f>
        <v>Apply</v>
      </c>
      <c r="C1734" s="10" t="s">
        <v>11872</v>
      </c>
      <c r="D1734" s="56" t="s">
        <v>9557</v>
      </c>
      <c r="E1734" s="10" t="s">
        <v>209</v>
      </c>
      <c r="F1734" s="10" t="s">
        <v>1159</v>
      </c>
      <c r="G1734" s="10" t="s">
        <v>9419</v>
      </c>
      <c r="H1734" s="10" t="s">
        <v>1041</v>
      </c>
      <c r="I1734" s="10" t="s">
        <v>55</v>
      </c>
      <c r="J1734" s="64"/>
      <c r="K1734" s="10" t="s">
        <v>10154</v>
      </c>
      <c r="L1734" s="10" t="s">
        <v>42</v>
      </c>
    </row>
    <row r="1735" ht="15.75" customHeight="1">
      <c r="A1735" s="64">
        <v>45444.0</v>
      </c>
      <c r="B1735" s="55" t="str">
        <f>HYPERLINK("https://jobright.ai/jobs/info/6677d6b95793f82273cb30b0?utm_campaign=1052&amp;utm_source=sheet", "Apply")</f>
        <v>Apply</v>
      </c>
      <c r="C1735" s="10" t="s">
        <v>11873</v>
      </c>
      <c r="D1735" s="56" t="s">
        <v>9557</v>
      </c>
      <c r="E1735" s="10" t="s">
        <v>209</v>
      </c>
      <c r="F1735" s="10" t="s">
        <v>1159</v>
      </c>
      <c r="G1735" s="10" t="s">
        <v>9419</v>
      </c>
      <c r="H1735" s="10" t="s">
        <v>113</v>
      </c>
      <c r="I1735" s="10" t="s">
        <v>55</v>
      </c>
      <c r="K1735" s="10" t="s">
        <v>11717</v>
      </c>
      <c r="L1735" s="10" t="s">
        <v>42</v>
      </c>
    </row>
    <row r="1736" ht="15.75" customHeight="1">
      <c r="A1736" s="64">
        <v>45444.0</v>
      </c>
      <c r="B1736" s="55" t="str">
        <f>HYPERLINK("https://jobright.ai/jobs/info/6677d6b95793f82273cb30ba?utm_campaign=1052&amp;utm_source=sheet", "Apply")</f>
        <v>Apply</v>
      </c>
      <c r="C1736" s="10" t="s">
        <v>11874</v>
      </c>
      <c r="D1736" s="56" t="s">
        <v>9557</v>
      </c>
      <c r="E1736" s="10" t="s">
        <v>209</v>
      </c>
      <c r="F1736" s="10" t="s">
        <v>1159</v>
      </c>
      <c r="G1736" s="10" t="s">
        <v>9419</v>
      </c>
      <c r="H1736" s="10" t="s">
        <v>11767</v>
      </c>
      <c r="I1736" s="10" t="s">
        <v>55</v>
      </c>
      <c r="J1736" s="64"/>
      <c r="K1736" s="10" t="s">
        <v>10741</v>
      </c>
      <c r="L1736" s="10" t="s">
        <v>42</v>
      </c>
    </row>
    <row r="1737" ht="15.75" customHeight="1">
      <c r="A1737" s="64">
        <v>45444.0</v>
      </c>
      <c r="B1737" s="55" t="str">
        <f>HYPERLINK("https://jobright.ai/jobs/info/6677d6b95793f82273cb30bb?utm_campaign=1052&amp;utm_source=sheet", "Apply")</f>
        <v>Apply</v>
      </c>
      <c r="C1737" s="10" t="s">
        <v>11875</v>
      </c>
      <c r="D1737" s="56" t="s">
        <v>9557</v>
      </c>
      <c r="E1737" s="10" t="s">
        <v>209</v>
      </c>
      <c r="F1737" s="10" t="s">
        <v>1159</v>
      </c>
      <c r="G1737" s="10" t="s">
        <v>9419</v>
      </c>
      <c r="H1737" s="10" t="s">
        <v>4279</v>
      </c>
      <c r="I1737" s="10" t="s">
        <v>55</v>
      </c>
      <c r="J1737" s="64"/>
      <c r="K1737" s="10" t="s">
        <v>10154</v>
      </c>
      <c r="L1737" s="10" t="s">
        <v>42</v>
      </c>
    </row>
    <row r="1738" ht="15.75" customHeight="1">
      <c r="A1738" s="64">
        <v>45444.0</v>
      </c>
      <c r="B1738" s="55" t="str">
        <f>HYPERLINK("https://jobright.ai/jobs/info/6677d6b95793f82273cb30b7?utm_campaign=1052&amp;utm_source=sheet", "Apply")</f>
        <v>Apply</v>
      </c>
      <c r="C1738" s="10" t="s">
        <v>11876</v>
      </c>
      <c r="D1738" s="56" t="s">
        <v>9557</v>
      </c>
      <c r="E1738" s="10" t="s">
        <v>209</v>
      </c>
      <c r="F1738" s="10" t="s">
        <v>1159</v>
      </c>
      <c r="G1738" s="10" t="s">
        <v>9419</v>
      </c>
      <c r="H1738" s="10" t="s">
        <v>1041</v>
      </c>
      <c r="I1738" s="10" t="s">
        <v>55</v>
      </c>
      <c r="J1738" s="64"/>
      <c r="K1738" s="10" t="s">
        <v>10154</v>
      </c>
      <c r="L1738" s="10" t="s">
        <v>42</v>
      </c>
    </row>
    <row r="1739" ht="15.75" customHeight="1">
      <c r="A1739" s="64">
        <v>45444.0</v>
      </c>
      <c r="B1739" s="55" t="str">
        <f>HYPERLINK("https://jobright.ai/jobs/info/6677d6b95793f82273cb30f8?utm_campaign=1052&amp;utm_source=sheet", "Apply")</f>
        <v>Apply</v>
      </c>
      <c r="C1739" s="10" t="s">
        <v>11877</v>
      </c>
      <c r="D1739" s="56" t="s">
        <v>9557</v>
      </c>
      <c r="E1739" s="10" t="s">
        <v>209</v>
      </c>
      <c r="F1739" s="10" t="s">
        <v>1159</v>
      </c>
      <c r="G1739" s="10" t="s">
        <v>9419</v>
      </c>
      <c r="H1739" s="10" t="s">
        <v>1023</v>
      </c>
      <c r="I1739" s="10" t="s">
        <v>55</v>
      </c>
      <c r="J1739" s="64"/>
      <c r="K1739" s="10" t="s">
        <v>10741</v>
      </c>
      <c r="L1739" s="10" t="s">
        <v>42</v>
      </c>
    </row>
    <row r="1740" ht="15.75" customHeight="1">
      <c r="A1740" s="64">
        <v>45444.0</v>
      </c>
      <c r="B1740" s="55" t="str">
        <f>HYPERLINK("https://jobright.ai/jobs/info/6677d6b95793f82273cb30a2?utm_campaign=1052&amp;utm_source=sheet", "Apply")</f>
        <v>Apply</v>
      </c>
      <c r="C1740" s="10" t="s">
        <v>11878</v>
      </c>
      <c r="D1740" s="56" t="s">
        <v>9557</v>
      </c>
      <c r="E1740" s="10" t="s">
        <v>209</v>
      </c>
      <c r="F1740" s="10" t="s">
        <v>1159</v>
      </c>
      <c r="G1740" s="10" t="s">
        <v>9419</v>
      </c>
      <c r="H1740" s="10" t="s">
        <v>113</v>
      </c>
      <c r="I1740" s="10" t="s">
        <v>55</v>
      </c>
      <c r="K1740" s="10" t="s">
        <v>10741</v>
      </c>
      <c r="L1740" s="10" t="s">
        <v>42</v>
      </c>
    </row>
    <row r="1741" ht="15.75" customHeight="1">
      <c r="A1741" s="64">
        <v>45444.0</v>
      </c>
      <c r="B1741" s="55" t="str">
        <f>HYPERLINK("https://jobright.ai/jobs/info/6677d6b95793f82273cb30b5?utm_campaign=1052&amp;utm_source=sheet", "Apply")</f>
        <v>Apply</v>
      </c>
      <c r="C1741" s="10" t="s">
        <v>11879</v>
      </c>
      <c r="D1741" s="56" t="s">
        <v>9557</v>
      </c>
      <c r="E1741" s="10" t="s">
        <v>209</v>
      </c>
      <c r="F1741" s="10" t="s">
        <v>1159</v>
      </c>
      <c r="G1741" s="10" t="s">
        <v>9419</v>
      </c>
      <c r="H1741" s="10" t="s">
        <v>10777</v>
      </c>
      <c r="I1741" s="10" t="s">
        <v>55</v>
      </c>
      <c r="K1741" s="10" t="s">
        <v>11560</v>
      </c>
      <c r="L1741" s="10" t="s">
        <v>42</v>
      </c>
    </row>
    <row r="1742" ht="15.75" customHeight="1">
      <c r="A1742" s="64">
        <v>45444.0</v>
      </c>
      <c r="B1742" s="55" t="str">
        <f>HYPERLINK("https://jobright.ai/jobs/info/6677d6b95793f82273cb30b2?utm_campaign=1052&amp;utm_source=sheet", "Apply")</f>
        <v>Apply</v>
      </c>
      <c r="C1742" s="10" t="s">
        <v>11880</v>
      </c>
      <c r="D1742" s="56" t="s">
        <v>9557</v>
      </c>
      <c r="E1742" s="10" t="s">
        <v>209</v>
      </c>
      <c r="F1742" s="10" t="s">
        <v>1159</v>
      </c>
      <c r="G1742" s="10" t="s">
        <v>9419</v>
      </c>
      <c r="H1742" s="10" t="s">
        <v>113</v>
      </c>
      <c r="I1742" s="10" t="s">
        <v>55</v>
      </c>
      <c r="K1742" s="10" t="s">
        <v>10741</v>
      </c>
      <c r="L1742" s="10" t="s">
        <v>42</v>
      </c>
    </row>
    <row r="1743" ht="15.75" customHeight="1">
      <c r="A1743" s="64">
        <v>45444.0</v>
      </c>
      <c r="B1743" s="55" t="str">
        <f>HYPERLINK("https://jobright.ai/jobs/info/6677d6b95793f82273cb3101?utm_campaign=1052&amp;utm_source=sheet", "Apply")</f>
        <v>Apply</v>
      </c>
      <c r="C1743" s="10" t="s">
        <v>11881</v>
      </c>
      <c r="D1743" s="56" t="s">
        <v>9557</v>
      </c>
      <c r="E1743" s="10" t="s">
        <v>209</v>
      </c>
      <c r="F1743" s="10" t="s">
        <v>1159</v>
      </c>
      <c r="G1743" s="10" t="s">
        <v>9419</v>
      </c>
      <c r="H1743" s="10" t="s">
        <v>1048</v>
      </c>
      <c r="I1743" s="10" t="s">
        <v>55</v>
      </c>
      <c r="J1743" s="64"/>
      <c r="K1743" s="10" t="s">
        <v>10741</v>
      </c>
      <c r="L1743" s="10" t="s">
        <v>42</v>
      </c>
    </row>
    <row r="1744" ht="15.75" customHeight="1">
      <c r="A1744" s="64">
        <v>45444.0</v>
      </c>
      <c r="B1744" s="55" t="str">
        <f>HYPERLINK("https://jobright.ai/jobs/info/6677d6b95793f82273cb30c0?utm_campaign=1052&amp;utm_source=sheet", "Apply")</f>
        <v>Apply</v>
      </c>
      <c r="C1744" s="10" t="s">
        <v>11882</v>
      </c>
      <c r="D1744" s="56" t="s">
        <v>9557</v>
      </c>
      <c r="E1744" s="10" t="s">
        <v>209</v>
      </c>
      <c r="F1744" s="10" t="s">
        <v>1159</v>
      </c>
      <c r="G1744" s="10" t="s">
        <v>9419</v>
      </c>
      <c r="H1744" s="10" t="s">
        <v>1978</v>
      </c>
      <c r="I1744" s="10" t="s">
        <v>55</v>
      </c>
      <c r="J1744" s="64"/>
      <c r="K1744" s="10" t="s">
        <v>11560</v>
      </c>
      <c r="L1744" s="10" t="s">
        <v>42</v>
      </c>
    </row>
    <row r="1745" ht="15.75" customHeight="1">
      <c r="A1745" s="64">
        <v>45444.0</v>
      </c>
      <c r="B1745" s="55" t="str">
        <f>HYPERLINK("https://jobright.ai/jobs/info/6677d6b95793f82273cb311e?utm_campaign=1052&amp;utm_source=sheet", "Apply")</f>
        <v>Apply</v>
      </c>
      <c r="C1745" s="10" t="s">
        <v>11883</v>
      </c>
      <c r="D1745" s="56" t="s">
        <v>9557</v>
      </c>
      <c r="E1745" s="10" t="s">
        <v>209</v>
      </c>
      <c r="F1745" s="10" t="s">
        <v>1159</v>
      </c>
      <c r="G1745" s="10" t="s">
        <v>9419</v>
      </c>
      <c r="H1745" s="10" t="s">
        <v>73</v>
      </c>
      <c r="I1745" s="10" t="s">
        <v>55</v>
      </c>
      <c r="J1745" s="64"/>
      <c r="K1745" s="10" t="s">
        <v>10154</v>
      </c>
      <c r="L1745" s="10" t="s">
        <v>42</v>
      </c>
    </row>
    <row r="1746" ht="15.75" customHeight="1">
      <c r="A1746" s="64">
        <v>45444.0</v>
      </c>
      <c r="B1746" s="55" t="str">
        <f>HYPERLINK("https://jobright.ai/jobs/info/6677d6b95793f82273cb312e?utm_campaign=1052&amp;utm_source=sheet", "Apply")</f>
        <v>Apply</v>
      </c>
      <c r="C1746" s="10" t="s">
        <v>11884</v>
      </c>
      <c r="D1746" s="56" t="s">
        <v>9557</v>
      </c>
      <c r="E1746" s="10" t="s">
        <v>209</v>
      </c>
      <c r="F1746" s="10" t="s">
        <v>1159</v>
      </c>
      <c r="G1746" s="10" t="s">
        <v>9419</v>
      </c>
      <c r="H1746" s="10" t="s">
        <v>994</v>
      </c>
      <c r="I1746" s="10" t="s">
        <v>55</v>
      </c>
      <c r="J1746" s="64"/>
      <c r="K1746" s="10" t="s">
        <v>10154</v>
      </c>
      <c r="L1746" s="10" t="s">
        <v>42</v>
      </c>
    </row>
    <row r="1747" ht="15.75" customHeight="1">
      <c r="A1747" s="64">
        <v>45444.0</v>
      </c>
      <c r="B1747" s="55" t="str">
        <f>HYPERLINK("https://jobright.ai/jobs/info/6677d6b95793f82273cb311f?utm_campaign=1052&amp;utm_source=sheet", "Apply")</f>
        <v>Apply</v>
      </c>
      <c r="C1747" s="10" t="s">
        <v>11885</v>
      </c>
      <c r="D1747" s="56" t="s">
        <v>9557</v>
      </c>
      <c r="E1747" s="10" t="s">
        <v>209</v>
      </c>
      <c r="F1747" s="10" t="s">
        <v>1159</v>
      </c>
      <c r="G1747" s="10" t="s">
        <v>9419</v>
      </c>
      <c r="H1747" s="10" t="s">
        <v>788</v>
      </c>
      <c r="I1747" s="10" t="s">
        <v>55</v>
      </c>
      <c r="K1747" s="10" t="s">
        <v>10154</v>
      </c>
      <c r="L1747" s="10" t="s">
        <v>42</v>
      </c>
    </row>
    <row r="1748" ht="15.75" customHeight="1">
      <c r="A1748" s="64">
        <v>45444.0</v>
      </c>
      <c r="B1748" s="55" t="str">
        <f>HYPERLINK("https://jobright.ai/jobs/info/6677d6b95793f82273cb312b?utm_campaign=1052&amp;utm_source=sheet", "Apply")</f>
        <v>Apply</v>
      </c>
      <c r="C1748" s="10" t="s">
        <v>11886</v>
      </c>
      <c r="D1748" s="56" t="s">
        <v>9557</v>
      </c>
      <c r="E1748" s="10" t="s">
        <v>209</v>
      </c>
      <c r="F1748" s="10" t="s">
        <v>1159</v>
      </c>
      <c r="G1748" s="10" t="s">
        <v>9419</v>
      </c>
      <c r="H1748" s="10" t="s">
        <v>113</v>
      </c>
      <c r="I1748" s="10" t="s">
        <v>55</v>
      </c>
      <c r="K1748" s="10" t="s">
        <v>10154</v>
      </c>
      <c r="L1748" s="10" t="s">
        <v>42</v>
      </c>
    </row>
    <row r="1749" ht="15.75" customHeight="1">
      <c r="A1749" s="64">
        <v>45444.0</v>
      </c>
      <c r="B1749" s="55" t="str">
        <f>HYPERLINK("https://jobright.ai/jobs/info/6677d6b95793f82273cb311c?utm_campaign=1052&amp;utm_source=sheet", "Apply")</f>
        <v>Apply</v>
      </c>
      <c r="C1749" s="10" t="s">
        <v>11887</v>
      </c>
      <c r="D1749" s="56" t="s">
        <v>9557</v>
      </c>
      <c r="E1749" s="10" t="s">
        <v>209</v>
      </c>
      <c r="F1749" s="10" t="s">
        <v>1159</v>
      </c>
      <c r="G1749" s="10" t="s">
        <v>9419</v>
      </c>
      <c r="H1749" s="10" t="s">
        <v>1036</v>
      </c>
      <c r="I1749" s="10" t="s">
        <v>55</v>
      </c>
      <c r="J1749" s="64"/>
      <c r="K1749" s="10" t="s">
        <v>10741</v>
      </c>
      <c r="L1749" s="10" t="s">
        <v>42</v>
      </c>
    </row>
    <row r="1750" ht="15.75" customHeight="1">
      <c r="A1750" s="64">
        <v>45444.0</v>
      </c>
      <c r="B1750" s="55" t="str">
        <f>HYPERLINK("https://jobright.ai/jobs/info/6677d6b95793f82273cb312d?utm_campaign=1052&amp;utm_source=sheet", "Apply")</f>
        <v>Apply</v>
      </c>
      <c r="C1750" s="10" t="s">
        <v>11888</v>
      </c>
      <c r="D1750" s="56" t="s">
        <v>9557</v>
      </c>
      <c r="E1750" s="10" t="s">
        <v>209</v>
      </c>
      <c r="F1750" s="10" t="s">
        <v>1159</v>
      </c>
      <c r="G1750" s="10" t="s">
        <v>9419</v>
      </c>
      <c r="H1750" s="10" t="s">
        <v>923</v>
      </c>
      <c r="I1750" s="10" t="s">
        <v>55</v>
      </c>
      <c r="K1750" s="10" t="s">
        <v>10154</v>
      </c>
      <c r="L1750" s="10" t="s">
        <v>42</v>
      </c>
    </row>
    <row r="1751" ht="15.75" customHeight="1">
      <c r="A1751" s="64">
        <v>45444.0</v>
      </c>
      <c r="B1751" s="55" t="str">
        <f>HYPERLINK("https://jobright.ai/jobs/info/6677d6b95793f82273cb3137?utm_campaign=1052&amp;utm_source=sheet", "Apply")</f>
        <v>Apply</v>
      </c>
      <c r="C1751" s="10" t="s">
        <v>11889</v>
      </c>
      <c r="D1751" s="56" t="s">
        <v>9557</v>
      </c>
      <c r="E1751" s="10" t="s">
        <v>209</v>
      </c>
      <c r="F1751" s="10" t="s">
        <v>1159</v>
      </c>
      <c r="G1751" s="10" t="s">
        <v>9419</v>
      </c>
      <c r="H1751" s="10" t="s">
        <v>73</v>
      </c>
      <c r="I1751" s="10" t="s">
        <v>55</v>
      </c>
      <c r="K1751" s="10" t="s">
        <v>10154</v>
      </c>
      <c r="L1751" s="10" t="s">
        <v>42</v>
      </c>
    </row>
    <row r="1752" ht="15.75" customHeight="1">
      <c r="A1752" s="64">
        <v>45444.0</v>
      </c>
      <c r="B1752" s="55" t="str">
        <f>HYPERLINK("https://jobright.ai/jobs/info/6677d6b95793f82273cb3120?utm_campaign=1052&amp;utm_source=sheet", "Apply")</f>
        <v>Apply</v>
      </c>
      <c r="C1752" s="10" t="s">
        <v>11890</v>
      </c>
      <c r="D1752" s="56" t="s">
        <v>9557</v>
      </c>
      <c r="E1752" s="10" t="s">
        <v>209</v>
      </c>
      <c r="F1752" s="10" t="s">
        <v>1159</v>
      </c>
      <c r="G1752" s="10" t="s">
        <v>9419</v>
      </c>
      <c r="H1752" s="10" t="s">
        <v>886</v>
      </c>
      <c r="I1752" s="10" t="s">
        <v>55</v>
      </c>
      <c r="J1752" s="64"/>
      <c r="K1752" s="10" t="s">
        <v>10154</v>
      </c>
      <c r="L1752" s="10" t="s">
        <v>42</v>
      </c>
    </row>
    <row r="1753" ht="15.75" customHeight="1">
      <c r="A1753" s="64">
        <v>45444.0</v>
      </c>
      <c r="B1753" s="55" t="str">
        <f>HYPERLINK("https://jobright.ai/jobs/info/6677d6c35793f82273cb317e?utm_campaign=1052&amp;utm_source=sheet", "Apply")</f>
        <v>Apply</v>
      </c>
      <c r="C1753" s="10" t="s">
        <v>11891</v>
      </c>
      <c r="D1753" s="56" t="s">
        <v>9557</v>
      </c>
      <c r="E1753" s="10" t="s">
        <v>209</v>
      </c>
      <c r="F1753" s="10" t="s">
        <v>1159</v>
      </c>
      <c r="G1753" s="10" t="s">
        <v>9419</v>
      </c>
      <c r="H1753" s="10" t="s">
        <v>106</v>
      </c>
      <c r="I1753" s="10" t="s">
        <v>55</v>
      </c>
      <c r="K1753" s="10" t="s">
        <v>10154</v>
      </c>
      <c r="L1753" s="10" t="s">
        <v>42</v>
      </c>
    </row>
    <row r="1754" ht="15.75" customHeight="1">
      <c r="A1754" s="64">
        <v>45444.0</v>
      </c>
      <c r="B1754" s="55" t="str">
        <f>HYPERLINK("https://jobright.ai/jobs/info/6677d6b95793f82273cb3135?utm_campaign=1052&amp;utm_source=sheet", "Apply")</f>
        <v>Apply</v>
      </c>
      <c r="C1754" s="10" t="s">
        <v>11892</v>
      </c>
      <c r="D1754" s="56" t="s">
        <v>9557</v>
      </c>
      <c r="E1754" s="10" t="s">
        <v>209</v>
      </c>
      <c r="F1754" s="10" t="s">
        <v>1159</v>
      </c>
      <c r="G1754" s="10" t="s">
        <v>9419</v>
      </c>
      <c r="H1754" s="10" t="s">
        <v>113</v>
      </c>
      <c r="I1754" s="10" t="s">
        <v>55</v>
      </c>
      <c r="K1754" s="10" t="s">
        <v>11560</v>
      </c>
      <c r="L1754" s="10" t="s">
        <v>42</v>
      </c>
    </row>
    <row r="1755" ht="15.75" customHeight="1">
      <c r="A1755" s="64">
        <v>45444.0</v>
      </c>
      <c r="B1755" s="55" t="str">
        <f>HYPERLINK("https://jobright.ai/jobs/info/6677d6b95793f82273cb3129?utm_campaign=1052&amp;utm_source=sheet", "Apply")</f>
        <v>Apply</v>
      </c>
      <c r="C1755" s="10" t="s">
        <v>11893</v>
      </c>
      <c r="D1755" s="56" t="s">
        <v>9557</v>
      </c>
      <c r="E1755" s="10" t="s">
        <v>209</v>
      </c>
      <c r="F1755" s="10" t="s">
        <v>1159</v>
      </c>
      <c r="G1755" s="10" t="s">
        <v>9419</v>
      </c>
      <c r="H1755" s="10" t="s">
        <v>1036</v>
      </c>
      <c r="I1755" s="10" t="s">
        <v>55</v>
      </c>
      <c r="K1755" s="10" t="s">
        <v>10154</v>
      </c>
      <c r="L1755" s="10" t="s">
        <v>42</v>
      </c>
    </row>
    <row r="1756" ht="15.75" customHeight="1">
      <c r="A1756" s="64">
        <v>45444.0</v>
      </c>
      <c r="B1756" s="55" t="str">
        <f>HYPERLINK("https://jobright.ai/jobs/info/6677d6b95793f82273cb312a?utm_campaign=1052&amp;utm_source=sheet", "Apply")</f>
        <v>Apply</v>
      </c>
      <c r="C1756" s="10" t="s">
        <v>11894</v>
      </c>
      <c r="D1756" s="56" t="s">
        <v>9557</v>
      </c>
      <c r="E1756" s="10" t="s">
        <v>209</v>
      </c>
      <c r="F1756" s="10" t="s">
        <v>1159</v>
      </c>
      <c r="G1756" s="10" t="s">
        <v>9419</v>
      </c>
      <c r="H1756" s="10" t="s">
        <v>923</v>
      </c>
      <c r="I1756" s="10" t="s">
        <v>55</v>
      </c>
      <c r="K1756" s="10" t="s">
        <v>10154</v>
      </c>
      <c r="L1756" s="10" t="s">
        <v>42</v>
      </c>
    </row>
    <row r="1757" ht="15.75" customHeight="1">
      <c r="A1757" s="64">
        <v>45444.0</v>
      </c>
      <c r="B1757" s="55" t="str">
        <f>HYPERLINK("https://jobright.ai/jobs/info/6677d6b95793f82273cb314c?utm_campaign=1052&amp;utm_source=sheet", "Apply")</f>
        <v>Apply</v>
      </c>
      <c r="C1757" s="10" t="s">
        <v>11895</v>
      </c>
      <c r="D1757" s="56" t="s">
        <v>9557</v>
      </c>
      <c r="E1757" s="10" t="s">
        <v>209</v>
      </c>
      <c r="F1757" s="10" t="s">
        <v>1159</v>
      </c>
      <c r="G1757" s="10" t="s">
        <v>9419</v>
      </c>
      <c r="H1757" s="10" t="s">
        <v>174</v>
      </c>
      <c r="I1757" s="10" t="s">
        <v>55</v>
      </c>
      <c r="K1757" s="10" t="s">
        <v>10741</v>
      </c>
      <c r="L1757" s="10" t="s">
        <v>42</v>
      </c>
    </row>
    <row r="1758" ht="15.75" customHeight="1">
      <c r="A1758" s="64">
        <v>45444.0</v>
      </c>
      <c r="B1758" s="55" t="str">
        <f>HYPERLINK("https://jobright.ai/jobs/info/6677d6b95793f82273cb3139?utm_campaign=1052&amp;utm_source=sheet", "Apply")</f>
        <v>Apply</v>
      </c>
      <c r="C1758" s="10" t="s">
        <v>11896</v>
      </c>
      <c r="D1758" s="56" t="s">
        <v>9557</v>
      </c>
      <c r="E1758" s="10" t="s">
        <v>209</v>
      </c>
      <c r="F1758" s="10" t="s">
        <v>1159</v>
      </c>
      <c r="G1758" s="10" t="s">
        <v>9419</v>
      </c>
      <c r="H1758" s="10" t="s">
        <v>113</v>
      </c>
      <c r="I1758" s="10" t="s">
        <v>55</v>
      </c>
      <c r="K1758" s="10" t="s">
        <v>10741</v>
      </c>
      <c r="L1758" s="10" t="s">
        <v>42</v>
      </c>
    </row>
    <row r="1759" ht="15.75" customHeight="1">
      <c r="A1759" s="64">
        <v>45444.0</v>
      </c>
      <c r="B1759" s="55" t="str">
        <f>HYPERLINK("https://jobright.ai/jobs/info/6677d6c35793f82273cb3158?utm_campaign=1052&amp;utm_source=sheet", "Apply")</f>
        <v>Apply</v>
      </c>
      <c r="C1759" s="10" t="s">
        <v>11897</v>
      </c>
      <c r="D1759" s="56" t="s">
        <v>9557</v>
      </c>
      <c r="E1759" s="10" t="s">
        <v>209</v>
      </c>
      <c r="F1759" s="10" t="s">
        <v>1159</v>
      </c>
      <c r="G1759" s="10" t="s">
        <v>9419</v>
      </c>
      <c r="H1759" s="10" t="s">
        <v>843</v>
      </c>
      <c r="I1759" s="10" t="s">
        <v>55</v>
      </c>
      <c r="J1759" s="64"/>
      <c r="K1759" s="10" t="s">
        <v>10741</v>
      </c>
      <c r="L1759" s="10" t="s">
        <v>42</v>
      </c>
    </row>
    <row r="1760" ht="15.75" customHeight="1">
      <c r="A1760" s="64">
        <v>45444.0</v>
      </c>
      <c r="B1760" s="55" t="str">
        <f>HYPERLINK("https://jobright.ai/jobs/info/6677d6c35793f82273cb3155?utm_campaign=1052&amp;utm_source=sheet", "Apply")</f>
        <v>Apply</v>
      </c>
      <c r="C1760" s="10" t="s">
        <v>11898</v>
      </c>
      <c r="D1760" s="56" t="s">
        <v>9557</v>
      </c>
      <c r="E1760" s="10" t="s">
        <v>209</v>
      </c>
      <c r="F1760" s="10" t="s">
        <v>1159</v>
      </c>
      <c r="G1760" s="10" t="s">
        <v>9419</v>
      </c>
      <c r="H1760" s="10" t="s">
        <v>1023</v>
      </c>
      <c r="I1760" s="10" t="s">
        <v>55</v>
      </c>
      <c r="J1760" s="64"/>
      <c r="K1760" s="10" t="s">
        <v>10741</v>
      </c>
      <c r="L1760" s="10" t="s">
        <v>42</v>
      </c>
    </row>
    <row r="1761" ht="15.75" customHeight="1">
      <c r="A1761" s="64">
        <v>45444.0</v>
      </c>
      <c r="B1761" s="55" t="str">
        <f>HYPERLINK("https://jobright.ai/jobs/info/6677d6c35793f82273cb319c?utm_campaign=1052&amp;utm_source=sheet", "Apply")</f>
        <v>Apply</v>
      </c>
      <c r="C1761" s="10" t="s">
        <v>11899</v>
      </c>
      <c r="D1761" s="56" t="s">
        <v>9557</v>
      </c>
      <c r="E1761" s="10" t="s">
        <v>209</v>
      </c>
      <c r="F1761" s="10" t="s">
        <v>1159</v>
      </c>
      <c r="G1761" s="10" t="s">
        <v>9419</v>
      </c>
      <c r="H1761" s="10" t="s">
        <v>153</v>
      </c>
      <c r="I1761" s="10" t="s">
        <v>55</v>
      </c>
      <c r="K1761" s="10" t="s">
        <v>10154</v>
      </c>
      <c r="L1761" s="10" t="s">
        <v>42</v>
      </c>
    </row>
    <row r="1762" ht="15.75" customHeight="1">
      <c r="A1762" s="64">
        <v>45444.0</v>
      </c>
      <c r="B1762" s="55" t="str">
        <f>HYPERLINK("https://jobright.ai/jobs/info/6677d6c35793f82273cb319f?utm_campaign=1052&amp;utm_source=sheet", "Apply")</f>
        <v>Apply</v>
      </c>
      <c r="C1762" s="10" t="s">
        <v>11900</v>
      </c>
      <c r="D1762" s="56" t="s">
        <v>9557</v>
      </c>
      <c r="E1762" s="10" t="s">
        <v>209</v>
      </c>
      <c r="F1762" s="10" t="s">
        <v>1159</v>
      </c>
      <c r="G1762" s="10" t="s">
        <v>9419</v>
      </c>
      <c r="H1762" s="10" t="s">
        <v>810</v>
      </c>
      <c r="I1762" s="10" t="s">
        <v>55</v>
      </c>
      <c r="K1762" s="10" t="s">
        <v>10741</v>
      </c>
      <c r="L1762" s="10" t="s">
        <v>42</v>
      </c>
    </row>
    <row r="1763" ht="15.75" customHeight="1">
      <c r="A1763" s="64">
        <v>45444.0</v>
      </c>
      <c r="B1763" s="55" t="str">
        <f>HYPERLINK("https://jobright.ai/jobs/info/6677d6c35793f82273cb31a1?utm_campaign=1052&amp;utm_source=sheet", "Apply")</f>
        <v>Apply</v>
      </c>
      <c r="C1763" s="10" t="s">
        <v>11901</v>
      </c>
      <c r="D1763" s="56" t="s">
        <v>9557</v>
      </c>
      <c r="E1763" s="10" t="s">
        <v>209</v>
      </c>
      <c r="F1763" s="10" t="s">
        <v>1159</v>
      </c>
      <c r="G1763" s="10" t="s">
        <v>9419</v>
      </c>
      <c r="H1763" s="10" t="s">
        <v>810</v>
      </c>
      <c r="I1763" s="10" t="s">
        <v>55</v>
      </c>
      <c r="J1763" s="64"/>
      <c r="K1763" s="10" t="s">
        <v>10741</v>
      </c>
      <c r="L1763" s="10" t="s">
        <v>42</v>
      </c>
    </row>
    <row r="1764" ht="15.75" customHeight="1">
      <c r="A1764" s="64">
        <v>45444.0</v>
      </c>
      <c r="B1764" s="55" t="str">
        <f>HYPERLINK("https://jobright.ai/jobs/info/6677d6c35793f82273cb31b0?utm_campaign=1052&amp;utm_source=sheet", "Apply")</f>
        <v>Apply</v>
      </c>
      <c r="C1764" s="10" t="s">
        <v>11902</v>
      </c>
      <c r="D1764" s="56" t="s">
        <v>9557</v>
      </c>
      <c r="E1764" s="10" t="s">
        <v>209</v>
      </c>
      <c r="F1764" s="10" t="s">
        <v>1159</v>
      </c>
      <c r="G1764" s="10" t="s">
        <v>9419</v>
      </c>
      <c r="H1764" s="10" t="s">
        <v>10777</v>
      </c>
      <c r="I1764" s="10" t="s">
        <v>55</v>
      </c>
      <c r="J1764" s="64"/>
      <c r="K1764" s="10" t="s">
        <v>10741</v>
      </c>
      <c r="L1764" s="10" t="s">
        <v>42</v>
      </c>
    </row>
    <row r="1765" ht="15.75" customHeight="1">
      <c r="A1765" s="64">
        <v>45444.0</v>
      </c>
      <c r="B1765" s="55" t="str">
        <f>HYPERLINK("https://jobright.ai/jobs/info/6677d6c35793f82273cb3200?utm_campaign=1052&amp;utm_source=sheet", "Apply")</f>
        <v>Apply</v>
      </c>
      <c r="C1765" s="10" t="s">
        <v>11903</v>
      </c>
      <c r="D1765" s="56" t="s">
        <v>9557</v>
      </c>
      <c r="E1765" s="10" t="s">
        <v>209</v>
      </c>
      <c r="F1765" s="10" t="s">
        <v>1159</v>
      </c>
      <c r="G1765" s="10" t="s">
        <v>9419</v>
      </c>
      <c r="H1765" s="10" t="s">
        <v>1048</v>
      </c>
      <c r="I1765" s="10" t="s">
        <v>55</v>
      </c>
      <c r="J1765" s="64"/>
      <c r="K1765" s="10" t="s">
        <v>10154</v>
      </c>
      <c r="L1765" s="10" t="s">
        <v>42</v>
      </c>
    </row>
    <row r="1766" ht="15.75" customHeight="1">
      <c r="A1766" s="64">
        <v>45444.0</v>
      </c>
      <c r="B1766" s="55" t="str">
        <f>HYPERLINK("https://jobright.ai/jobs/info/6677d6c35793f82273cb31bf?utm_campaign=1052&amp;utm_source=sheet", "Apply")</f>
        <v>Apply</v>
      </c>
      <c r="C1766" s="10" t="s">
        <v>11904</v>
      </c>
      <c r="D1766" s="56" t="s">
        <v>9557</v>
      </c>
      <c r="E1766" s="10" t="s">
        <v>209</v>
      </c>
      <c r="F1766" s="10" t="s">
        <v>1159</v>
      </c>
      <c r="G1766" s="10" t="s">
        <v>9419</v>
      </c>
      <c r="H1766" s="10" t="s">
        <v>605</v>
      </c>
      <c r="I1766" s="10" t="s">
        <v>55</v>
      </c>
      <c r="J1766" s="64"/>
      <c r="K1766" s="10" t="s">
        <v>10154</v>
      </c>
      <c r="L1766" s="10" t="s">
        <v>42</v>
      </c>
    </row>
    <row r="1767" ht="15.75" customHeight="1">
      <c r="A1767" s="64">
        <v>45444.0</v>
      </c>
      <c r="B1767" s="55" t="str">
        <f>HYPERLINK("https://jobright.ai/jobs/info/6677d6c35793f82273cb31c3?utm_campaign=1052&amp;utm_source=sheet", "Apply")</f>
        <v>Apply</v>
      </c>
      <c r="C1767" s="10" t="s">
        <v>11905</v>
      </c>
      <c r="D1767" s="56" t="s">
        <v>9557</v>
      </c>
      <c r="E1767" s="10" t="s">
        <v>209</v>
      </c>
      <c r="F1767" s="10" t="s">
        <v>1159</v>
      </c>
      <c r="G1767" s="10" t="s">
        <v>9419</v>
      </c>
      <c r="H1767" s="10" t="s">
        <v>788</v>
      </c>
      <c r="I1767" s="10" t="s">
        <v>55</v>
      </c>
      <c r="J1767" s="64"/>
      <c r="K1767" s="10" t="s">
        <v>10154</v>
      </c>
      <c r="L1767" s="10" t="s">
        <v>42</v>
      </c>
    </row>
    <row r="1768" ht="15.75" customHeight="1">
      <c r="A1768" s="64">
        <v>45444.0</v>
      </c>
      <c r="B1768" s="55" t="str">
        <f>HYPERLINK("https://jobright.ai/jobs/info/6677d6c35793f82273cb31e2?utm_campaign=1052&amp;utm_source=sheet", "Apply")</f>
        <v>Apply</v>
      </c>
      <c r="C1768" s="10" t="s">
        <v>11906</v>
      </c>
      <c r="D1768" s="56" t="s">
        <v>9557</v>
      </c>
      <c r="E1768" s="10" t="s">
        <v>209</v>
      </c>
      <c r="F1768" s="10" t="s">
        <v>1159</v>
      </c>
      <c r="G1768" s="10" t="s">
        <v>9419</v>
      </c>
      <c r="H1768" s="10" t="s">
        <v>106</v>
      </c>
      <c r="I1768" s="10" t="s">
        <v>55</v>
      </c>
      <c r="K1768" s="10" t="s">
        <v>10154</v>
      </c>
      <c r="L1768" s="10" t="s">
        <v>42</v>
      </c>
    </row>
    <row r="1769" ht="15.75" customHeight="1">
      <c r="A1769" s="64">
        <v>45444.0</v>
      </c>
      <c r="B1769" s="55" t="str">
        <f>HYPERLINK("https://jobright.ai/jobs/info/6677d6c35793f82273cb31d4?utm_campaign=1052&amp;utm_source=sheet", "Apply")</f>
        <v>Apply</v>
      </c>
      <c r="C1769" s="10" t="s">
        <v>11907</v>
      </c>
      <c r="D1769" s="56" t="s">
        <v>9557</v>
      </c>
      <c r="E1769" s="10" t="s">
        <v>209</v>
      </c>
      <c r="F1769" s="10" t="s">
        <v>1159</v>
      </c>
      <c r="G1769" s="10" t="s">
        <v>9419</v>
      </c>
      <c r="H1769" s="10" t="s">
        <v>843</v>
      </c>
      <c r="I1769" s="10" t="s">
        <v>55</v>
      </c>
      <c r="K1769" s="10" t="s">
        <v>11560</v>
      </c>
      <c r="L1769" s="10" t="s">
        <v>42</v>
      </c>
    </row>
    <row r="1770" ht="15.75" customHeight="1">
      <c r="A1770" s="64">
        <v>45444.0</v>
      </c>
      <c r="B1770" s="55" t="str">
        <f>HYPERLINK("https://jobright.ai/jobs/info/6677d6c35793f82273cb31d7?utm_campaign=1052&amp;utm_source=sheet", "Apply")</f>
        <v>Apply</v>
      </c>
      <c r="C1770" s="10" t="s">
        <v>11908</v>
      </c>
      <c r="D1770" s="56" t="s">
        <v>9557</v>
      </c>
      <c r="E1770" s="10" t="s">
        <v>209</v>
      </c>
      <c r="F1770" s="10" t="s">
        <v>1159</v>
      </c>
      <c r="G1770" s="10" t="s">
        <v>9419</v>
      </c>
      <c r="H1770" s="10" t="s">
        <v>788</v>
      </c>
      <c r="I1770" s="10" t="s">
        <v>55</v>
      </c>
      <c r="K1770" s="10" t="s">
        <v>10154</v>
      </c>
      <c r="L1770" s="10" t="s">
        <v>42</v>
      </c>
    </row>
    <row r="1771" ht="15.75" customHeight="1">
      <c r="A1771" s="64">
        <v>45444.0</v>
      </c>
      <c r="B1771" s="55" t="str">
        <f>HYPERLINK("https://jobright.ai/jobs/info/6677d6c35793f82273cb31d9?utm_campaign=1052&amp;utm_source=sheet", "Apply")</f>
        <v>Apply</v>
      </c>
      <c r="C1771" s="10" t="s">
        <v>11909</v>
      </c>
      <c r="D1771" s="56" t="s">
        <v>9557</v>
      </c>
      <c r="E1771" s="10" t="s">
        <v>209</v>
      </c>
      <c r="F1771" s="10" t="s">
        <v>1159</v>
      </c>
      <c r="G1771" s="10" t="s">
        <v>9419</v>
      </c>
      <c r="H1771" s="10" t="s">
        <v>245</v>
      </c>
      <c r="I1771" s="10" t="s">
        <v>55</v>
      </c>
      <c r="K1771" s="10" t="s">
        <v>11560</v>
      </c>
      <c r="L1771" s="10" t="s">
        <v>42</v>
      </c>
    </row>
    <row r="1772" ht="15.75" customHeight="1">
      <c r="A1772" s="64">
        <v>45444.0</v>
      </c>
      <c r="B1772" s="55" t="str">
        <f>HYPERLINK("https://jobright.ai/jobs/info/6677d6c35793f82273cb31f1?utm_campaign=1052&amp;utm_source=sheet", "Apply")</f>
        <v>Apply</v>
      </c>
      <c r="C1772" s="10" t="s">
        <v>11910</v>
      </c>
      <c r="D1772" s="56" t="s">
        <v>9557</v>
      </c>
      <c r="E1772" s="10" t="s">
        <v>209</v>
      </c>
      <c r="F1772" s="10" t="s">
        <v>1159</v>
      </c>
      <c r="G1772" s="10" t="s">
        <v>9419</v>
      </c>
      <c r="H1772" s="10" t="s">
        <v>810</v>
      </c>
      <c r="I1772" s="10" t="s">
        <v>55</v>
      </c>
      <c r="K1772" s="10" t="s">
        <v>10154</v>
      </c>
      <c r="L1772" s="10" t="s">
        <v>42</v>
      </c>
    </row>
    <row r="1773" ht="15.75" customHeight="1">
      <c r="A1773" s="64">
        <v>45444.0</v>
      </c>
      <c r="B1773" s="55" t="str">
        <f>HYPERLINK("https://jobright.ai/jobs/info/6677d6c35793f82273cb31f4?utm_campaign=1052&amp;utm_source=sheet", "Apply")</f>
        <v>Apply</v>
      </c>
      <c r="C1773" s="10" t="s">
        <v>11911</v>
      </c>
      <c r="D1773" s="56" t="s">
        <v>9557</v>
      </c>
      <c r="E1773" s="10" t="s">
        <v>209</v>
      </c>
      <c r="F1773" s="10" t="s">
        <v>1159</v>
      </c>
      <c r="G1773" s="10" t="s">
        <v>9419</v>
      </c>
      <c r="H1773" s="10" t="s">
        <v>1041</v>
      </c>
      <c r="I1773" s="10" t="s">
        <v>55</v>
      </c>
      <c r="J1773" s="64"/>
      <c r="K1773" s="10" t="s">
        <v>11560</v>
      </c>
      <c r="L1773" s="10" t="s">
        <v>42</v>
      </c>
    </row>
    <row r="1774" ht="15.75" customHeight="1">
      <c r="A1774" s="64">
        <v>45444.0</v>
      </c>
      <c r="B1774" s="55" t="str">
        <f>HYPERLINK("https://jobright.ai/jobs/info/6677d6c35793f82273cb31d6?utm_campaign=1052&amp;utm_source=sheet", "Apply")</f>
        <v>Apply</v>
      </c>
      <c r="C1774" s="10" t="s">
        <v>11912</v>
      </c>
      <c r="D1774" s="56" t="s">
        <v>9557</v>
      </c>
      <c r="E1774" s="10" t="s">
        <v>209</v>
      </c>
      <c r="F1774" s="10" t="s">
        <v>1159</v>
      </c>
      <c r="G1774" s="10" t="s">
        <v>9419</v>
      </c>
      <c r="H1774" s="10" t="s">
        <v>993</v>
      </c>
      <c r="I1774" s="10" t="s">
        <v>55</v>
      </c>
      <c r="J1774" s="64"/>
      <c r="K1774" s="10" t="s">
        <v>10741</v>
      </c>
      <c r="L1774" s="10" t="s">
        <v>42</v>
      </c>
    </row>
    <row r="1775" ht="15.75" customHeight="1">
      <c r="A1775" s="64">
        <v>45444.0</v>
      </c>
      <c r="B1775" s="55" t="str">
        <f>HYPERLINK("https://jobright.ai/jobs/info/6677d6ce5793f82273cb3215?utm_campaign=1052&amp;utm_source=sheet", "Apply")</f>
        <v>Apply</v>
      </c>
      <c r="C1775" s="10" t="s">
        <v>11913</v>
      </c>
      <c r="D1775" s="56" t="s">
        <v>9557</v>
      </c>
      <c r="E1775" s="10" t="s">
        <v>209</v>
      </c>
      <c r="F1775" s="10" t="s">
        <v>1159</v>
      </c>
      <c r="G1775" s="10" t="s">
        <v>9419</v>
      </c>
      <c r="H1775" s="10" t="s">
        <v>3847</v>
      </c>
      <c r="I1775" s="10" t="s">
        <v>55</v>
      </c>
      <c r="J1775" s="64"/>
      <c r="K1775" s="10" t="s">
        <v>10741</v>
      </c>
      <c r="L1775" s="10" t="s">
        <v>42</v>
      </c>
    </row>
    <row r="1776" ht="15.75" customHeight="1">
      <c r="A1776" s="64">
        <v>45444.0</v>
      </c>
      <c r="B1776" s="55" t="str">
        <f>HYPERLINK("https://jobright.ai/jobs/info/6677d6c35793f82273cb31ef?utm_campaign=1052&amp;utm_source=sheet", "Apply")</f>
        <v>Apply</v>
      </c>
      <c r="C1776" s="10" t="s">
        <v>11914</v>
      </c>
      <c r="D1776" s="56" t="s">
        <v>9557</v>
      </c>
      <c r="E1776" s="10" t="s">
        <v>209</v>
      </c>
      <c r="F1776" s="10" t="s">
        <v>1159</v>
      </c>
      <c r="G1776" s="10" t="s">
        <v>9419</v>
      </c>
      <c r="H1776" s="10" t="s">
        <v>882</v>
      </c>
      <c r="I1776" s="10" t="s">
        <v>55</v>
      </c>
      <c r="J1776" s="64"/>
      <c r="K1776" s="10" t="s">
        <v>10154</v>
      </c>
      <c r="L1776" s="10" t="s">
        <v>42</v>
      </c>
    </row>
    <row r="1777" ht="15.75" customHeight="1">
      <c r="A1777" s="64">
        <v>45444.0</v>
      </c>
      <c r="B1777" s="55" t="str">
        <f>HYPERLINK("https://jobright.ai/jobs/info/6677d6c35793f82273cb31ec?utm_campaign=1052&amp;utm_source=sheet", "Apply")</f>
        <v>Apply</v>
      </c>
      <c r="C1777" s="10" t="s">
        <v>11915</v>
      </c>
      <c r="D1777" s="56" t="s">
        <v>9557</v>
      </c>
      <c r="E1777" s="10" t="s">
        <v>209</v>
      </c>
      <c r="F1777" s="10" t="s">
        <v>1159</v>
      </c>
      <c r="G1777" s="10" t="s">
        <v>9419</v>
      </c>
      <c r="H1777" s="10" t="s">
        <v>860</v>
      </c>
      <c r="I1777" s="10" t="s">
        <v>55</v>
      </c>
      <c r="K1777" s="10" t="s">
        <v>10741</v>
      </c>
      <c r="L1777" s="10" t="s">
        <v>42</v>
      </c>
    </row>
    <row r="1778" ht="15.75" customHeight="1">
      <c r="A1778" s="64">
        <v>45444.0</v>
      </c>
      <c r="B1778" s="55" t="str">
        <f>HYPERLINK("https://jobright.ai/jobs/info/6677d6c35793f82273cb31de?utm_campaign=1052&amp;utm_source=sheet", "Apply")</f>
        <v>Apply</v>
      </c>
      <c r="C1778" s="10" t="s">
        <v>11916</v>
      </c>
      <c r="D1778" s="56" t="s">
        <v>9557</v>
      </c>
      <c r="E1778" s="10" t="s">
        <v>209</v>
      </c>
      <c r="F1778" s="10" t="s">
        <v>1159</v>
      </c>
      <c r="G1778" s="10" t="s">
        <v>9419</v>
      </c>
      <c r="H1778" s="10" t="s">
        <v>1023</v>
      </c>
      <c r="I1778" s="10" t="s">
        <v>55</v>
      </c>
      <c r="K1778" s="10" t="s">
        <v>11560</v>
      </c>
      <c r="L1778" s="10" t="s">
        <v>42</v>
      </c>
    </row>
    <row r="1779" ht="15.75" customHeight="1">
      <c r="A1779" s="64">
        <v>45444.0</v>
      </c>
      <c r="B1779" s="55" t="str">
        <f>HYPERLINK("https://jobright.ai/jobs/info/6677d6c35793f82273cb31f5?utm_campaign=1052&amp;utm_source=sheet", "Apply")</f>
        <v>Apply</v>
      </c>
      <c r="C1779" s="10" t="s">
        <v>11917</v>
      </c>
      <c r="D1779" s="56" t="s">
        <v>9557</v>
      </c>
      <c r="E1779" s="10" t="s">
        <v>209</v>
      </c>
      <c r="F1779" s="10" t="s">
        <v>1159</v>
      </c>
      <c r="G1779" s="10" t="s">
        <v>9419</v>
      </c>
      <c r="H1779" s="10" t="s">
        <v>879</v>
      </c>
      <c r="I1779" s="10" t="s">
        <v>55</v>
      </c>
      <c r="K1779" s="10" t="s">
        <v>10154</v>
      </c>
      <c r="L1779" s="10" t="s">
        <v>42</v>
      </c>
    </row>
    <row r="1780" ht="15.75" customHeight="1">
      <c r="A1780" s="64">
        <v>45444.0</v>
      </c>
      <c r="B1780" s="55" t="str">
        <f>HYPERLINK("https://jobright.ai/jobs/info/6677d6c35793f82273cb31e5?utm_campaign=1052&amp;utm_source=sheet", "Apply")</f>
        <v>Apply</v>
      </c>
      <c r="C1780" s="10" t="s">
        <v>11918</v>
      </c>
      <c r="D1780" s="56" t="s">
        <v>9557</v>
      </c>
      <c r="E1780" s="10" t="s">
        <v>209</v>
      </c>
      <c r="F1780" s="10" t="s">
        <v>1159</v>
      </c>
      <c r="G1780" s="10" t="s">
        <v>9419</v>
      </c>
      <c r="H1780" s="10" t="s">
        <v>9042</v>
      </c>
      <c r="I1780" s="10" t="s">
        <v>55</v>
      </c>
      <c r="J1780" s="64"/>
      <c r="K1780" s="10" t="s">
        <v>10741</v>
      </c>
      <c r="L1780" s="10" t="s">
        <v>42</v>
      </c>
    </row>
    <row r="1781" ht="15.75" customHeight="1">
      <c r="A1781" s="64">
        <v>45444.0</v>
      </c>
      <c r="B1781" s="55" t="str">
        <f>HYPERLINK("https://jobright.ai/jobs/info/6677d6ce5793f82273cb3246?utm_campaign=1052&amp;utm_source=sheet", "Apply")</f>
        <v>Apply</v>
      </c>
      <c r="C1781" s="10" t="s">
        <v>11919</v>
      </c>
      <c r="D1781" s="56" t="s">
        <v>7670</v>
      </c>
      <c r="E1781" s="10" t="s">
        <v>45</v>
      </c>
      <c r="G1781" s="10" t="s">
        <v>9419</v>
      </c>
      <c r="H1781" s="10" t="s">
        <v>131</v>
      </c>
      <c r="I1781" s="10" t="s">
        <v>55</v>
      </c>
      <c r="J1781" s="64"/>
      <c r="K1781" s="10" t="s">
        <v>11920</v>
      </c>
      <c r="L1781" s="10" t="s">
        <v>42</v>
      </c>
    </row>
    <row r="1782" ht="15.75" customHeight="1">
      <c r="A1782" s="64">
        <v>45444.0</v>
      </c>
      <c r="B1782" s="55" t="str">
        <f>HYPERLINK("https://jobright.ai/jobs/info/6677d6ce5793f82273cb3287?utm_campaign=1052&amp;utm_source=sheet", "Apply")</f>
        <v>Apply</v>
      </c>
      <c r="C1782" s="10" t="s">
        <v>10594</v>
      </c>
      <c r="D1782" s="56" t="s">
        <v>11921</v>
      </c>
      <c r="E1782" s="10" t="s">
        <v>276</v>
      </c>
      <c r="F1782" s="10" t="s">
        <v>10608</v>
      </c>
      <c r="G1782" s="10" t="s">
        <v>1159</v>
      </c>
      <c r="H1782" s="10" t="s">
        <v>958</v>
      </c>
      <c r="I1782" s="10" t="s">
        <v>55</v>
      </c>
      <c r="K1782" s="10" t="s">
        <v>11922</v>
      </c>
      <c r="L1782" s="10" t="s">
        <v>42</v>
      </c>
    </row>
    <row r="1783" ht="15.75" customHeight="1">
      <c r="A1783" s="64">
        <v>45444.0</v>
      </c>
      <c r="B1783" s="55" t="str">
        <f>HYPERLINK("https://jobright.ai/jobs/info/6677d6ce5793f82273cb326a?utm_campaign=1052&amp;utm_source=sheet", "Apply")</f>
        <v>Apply</v>
      </c>
      <c r="C1783" s="10" t="s">
        <v>11923</v>
      </c>
      <c r="D1783" s="56" t="s">
        <v>9557</v>
      </c>
      <c r="E1783" s="10" t="s">
        <v>209</v>
      </c>
      <c r="F1783" s="10" t="s">
        <v>1159</v>
      </c>
      <c r="G1783" s="10" t="s">
        <v>9419</v>
      </c>
      <c r="H1783" s="10" t="s">
        <v>9042</v>
      </c>
      <c r="I1783" s="10" t="s">
        <v>55</v>
      </c>
      <c r="K1783" s="10" t="s">
        <v>11560</v>
      </c>
      <c r="L1783" s="10" t="s">
        <v>42</v>
      </c>
    </row>
    <row r="1784" ht="15.75" customHeight="1">
      <c r="A1784" s="64">
        <v>45444.0</v>
      </c>
      <c r="B1784" s="55" t="str">
        <f>HYPERLINK("https://jobright.ai/jobs/info/6677d6ce5793f82273cb3253?utm_campaign=1052&amp;utm_source=sheet", "Apply")</f>
        <v>Apply</v>
      </c>
      <c r="C1784" s="10" t="s">
        <v>11924</v>
      </c>
      <c r="D1784" s="56" t="s">
        <v>9557</v>
      </c>
      <c r="E1784" s="10" t="s">
        <v>209</v>
      </c>
      <c r="F1784" s="10" t="s">
        <v>1159</v>
      </c>
      <c r="G1784" s="10" t="s">
        <v>9419</v>
      </c>
      <c r="H1784" s="10" t="s">
        <v>1120</v>
      </c>
      <c r="I1784" s="10" t="s">
        <v>55</v>
      </c>
      <c r="J1784" s="64"/>
      <c r="K1784" s="10" t="s">
        <v>10154</v>
      </c>
      <c r="L1784" s="10" t="s">
        <v>42</v>
      </c>
    </row>
    <row r="1785" ht="15.75" customHeight="1">
      <c r="A1785" s="64">
        <v>45444.0</v>
      </c>
      <c r="B1785" s="55" t="str">
        <f>HYPERLINK("https://jobright.ai/jobs/info/6677d6ce5793f82273cb3282?utm_campaign=1052&amp;utm_source=sheet", "Apply")</f>
        <v>Apply</v>
      </c>
      <c r="C1785" s="10" t="s">
        <v>11925</v>
      </c>
      <c r="D1785" s="56" t="s">
        <v>11926</v>
      </c>
      <c r="E1785" s="10" t="s">
        <v>276</v>
      </c>
      <c r="F1785" s="10" t="s">
        <v>568</v>
      </c>
      <c r="G1785" s="10" t="s">
        <v>9419</v>
      </c>
      <c r="H1785" s="10" t="s">
        <v>11927</v>
      </c>
      <c r="I1785" s="10" t="s">
        <v>55</v>
      </c>
      <c r="K1785" s="10" t="s">
        <v>11928</v>
      </c>
      <c r="L1785" s="10" t="s">
        <v>42</v>
      </c>
    </row>
    <row r="1786" ht="15.75" customHeight="1">
      <c r="A1786" s="64">
        <v>45444.0</v>
      </c>
      <c r="B1786" s="55" t="str">
        <f>HYPERLINK("https://jobright.ai/jobs/info/6677d6ce5793f82273cb325b?utm_campaign=1052&amp;utm_source=sheet", "Apply")</f>
        <v>Apply</v>
      </c>
      <c r="C1786" s="10" t="s">
        <v>11929</v>
      </c>
      <c r="D1786" s="56" t="s">
        <v>9557</v>
      </c>
      <c r="E1786" s="10" t="s">
        <v>209</v>
      </c>
      <c r="F1786" s="10" t="s">
        <v>1159</v>
      </c>
      <c r="G1786" s="10" t="s">
        <v>9419</v>
      </c>
      <c r="H1786" s="10" t="s">
        <v>153</v>
      </c>
      <c r="I1786" s="10" t="s">
        <v>55</v>
      </c>
      <c r="J1786" s="64"/>
      <c r="K1786" s="10" t="s">
        <v>10154</v>
      </c>
      <c r="L1786" s="10" t="s">
        <v>42</v>
      </c>
    </row>
    <row r="1787" ht="15.75" customHeight="1">
      <c r="A1787" s="64">
        <v>45444.0</v>
      </c>
      <c r="B1787" s="55" t="str">
        <f>HYPERLINK("https://jobright.ai/jobs/info/6677d8b25793f82273cb5604?utm_campaign=1052&amp;utm_source=sheet", "Apply")</f>
        <v>Apply</v>
      </c>
      <c r="C1787" s="10" t="s">
        <v>10594</v>
      </c>
      <c r="D1787" s="56" t="s">
        <v>11921</v>
      </c>
      <c r="E1787" s="10" t="s">
        <v>276</v>
      </c>
      <c r="F1787" s="10" t="s">
        <v>10608</v>
      </c>
      <c r="G1787" s="10" t="s">
        <v>1159</v>
      </c>
      <c r="H1787" s="10" t="s">
        <v>1023</v>
      </c>
      <c r="I1787" s="10" t="s">
        <v>55</v>
      </c>
      <c r="K1787" s="10" t="s">
        <v>11922</v>
      </c>
      <c r="L1787" s="10" t="s">
        <v>42</v>
      </c>
    </row>
    <row r="1788" ht="15.75" customHeight="1">
      <c r="A1788" s="64">
        <v>45444.0</v>
      </c>
      <c r="B1788" s="55" t="str">
        <f>HYPERLINK("https://jobright.ai/jobs/info/6677d6ce5793f82273cb3274?utm_campaign=1052&amp;utm_source=sheet", "Apply")</f>
        <v>Apply</v>
      </c>
      <c r="C1788" s="10" t="s">
        <v>11930</v>
      </c>
      <c r="D1788" s="56" t="s">
        <v>9557</v>
      </c>
      <c r="E1788" s="10" t="s">
        <v>209</v>
      </c>
      <c r="F1788" s="10" t="s">
        <v>1159</v>
      </c>
      <c r="G1788" s="10" t="s">
        <v>9419</v>
      </c>
      <c r="H1788" s="10" t="s">
        <v>636</v>
      </c>
      <c r="I1788" s="10" t="s">
        <v>55</v>
      </c>
      <c r="J1788" s="64"/>
      <c r="K1788" s="10" t="s">
        <v>10741</v>
      </c>
      <c r="L1788" s="10" t="s">
        <v>42</v>
      </c>
    </row>
    <row r="1789" ht="15.75" customHeight="1">
      <c r="A1789" s="64">
        <v>45444.0</v>
      </c>
      <c r="B1789" s="55" t="str">
        <f>HYPERLINK("https://jobright.ai/jobs/info/6677d6ce5793f82273cb3276?utm_campaign=1052&amp;utm_source=sheet", "Apply")</f>
        <v>Apply</v>
      </c>
      <c r="C1789" s="10" t="s">
        <v>11931</v>
      </c>
      <c r="D1789" s="56" t="s">
        <v>9557</v>
      </c>
      <c r="E1789" s="10" t="s">
        <v>209</v>
      </c>
      <c r="F1789" s="10" t="s">
        <v>1159</v>
      </c>
      <c r="G1789" s="10" t="s">
        <v>9419</v>
      </c>
      <c r="H1789" s="10" t="s">
        <v>7569</v>
      </c>
      <c r="I1789" s="10" t="s">
        <v>55</v>
      </c>
      <c r="K1789" s="10" t="s">
        <v>10154</v>
      </c>
      <c r="L1789" s="10" t="s">
        <v>42</v>
      </c>
    </row>
    <row r="1790" ht="15.75" customHeight="1">
      <c r="A1790" s="64">
        <v>45444.0</v>
      </c>
      <c r="B1790" s="55" t="str">
        <f>HYPERLINK("https://jobright.ai/jobs/info/6677d6ce5793f82273cb3277?utm_campaign=1052&amp;utm_source=sheet", "Apply")</f>
        <v>Apply</v>
      </c>
      <c r="C1790" s="10" t="s">
        <v>11932</v>
      </c>
      <c r="D1790" s="56" t="s">
        <v>9557</v>
      </c>
      <c r="E1790" s="10" t="s">
        <v>209</v>
      </c>
      <c r="F1790" s="10" t="s">
        <v>1159</v>
      </c>
      <c r="G1790" s="10" t="s">
        <v>9419</v>
      </c>
      <c r="H1790" s="10" t="s">
        <v>73</v>
      </c>
      <c r="I1790" s="10" t="s">
        <v>55</v>
      </c>
      <c r="K1790" s="10" t="s">
        <v>10154</v>
      </c>
      <c r="L1790" s="10" t="s">
        <v>42</v>
      </c>
    </row>
    <row r="1791" ht="15.75" customHeight="1">
      <c r="A1791" s="64">
        <v>45444.0</v>
      </c>
      <c r="B1791" s="55" t="str">
        <f>HYPERLINK("https://jobright.ai/jobs/info/6677d6ce5793f82273cb328e?utm_campaign=1052&amp;utm_source=sheet", "Apply")</f>
        <v>Apply</v>
      </c>
      <c r="C1791" s="10" t="s">
        <v>11933</v>
      </c>
      <c r="D1791" s="56" t="s">
        <v>9557</v>
      </c>
      <c r="E1791" s="10" t="s">
        <v>209</v>
      </c>
      <c r="F1791" s="10" t="s">
        <v>1159</v>
      </c>
      <c r="G1791" s="10" t="s">
        <v>9419</v>
      </c>
      <c r="H1791" s="10" t="s">
        <v>661</v>
      </c>
      <c r="I1791" s="10" t="s">
        <v>55</v>
      </c>
      <c r="K1791" s="10" t="s">
        <v>10741</v>
      </c>
      <c r="L1791" s="10" t="s">
        <v>42</v>
      </c>
    </row>
    <row r="1792" ht="15.75" customHeight="1">
      <c r="A1792" s="64">
        <v>45444.0</v>
      </c>
      <c r="B1792" s="55" t="str">
        <f>HYPERLINK("https://jobright.ai/jobs/info/6677d6ce5793f82273cb3299?utm_campaign=1052&amp;utm_source=sheet", "Apply")</f>
        <v>Apply</v>
      </c>
      <c r="C1792" s="10" t="s">
        <v>11934</v>
      </c>
      <c r="D1792" s="56" t="s">
        <v>9557</v>
      </c>
      <c r="E1792" s="10" t="s">
        <v>209</v>
      </c>
      <c r="F1792" s="10" t="s">
        <v>1159</v>
      </c>
      <c r="G1792" s="10" t="s">
        <v>9419</v>
      </c>
      <c r="H1792" s="10" t="s">
        <v>131</v>
      </c>
      <c r="I1792" s="10" t="s">
        <v>55</v>
      </c>
      <c r="K1792" s="10" t="s">
        <v>10741</v>
      </c>
      <c r="L1792" s="10" t="s">
        <v>42</v>
      </c>
    </row>
    <row r="1793" ht="15.75" customHeight="1">
      <c r="A1793" s="64">
        <v>45444.0</v>
      </c>
      <c r="B1793" s="55" t="str">
        <f>HYPERLINK("https://jobright.ai/jobs/info/6677dc5afbac42152a1456a3?utm_campaign=1052&amp;utm_source=sheet", "Apply")</f>
        <v>Apply</v>
      </c>
      <c r="C1793" s="10" t="s">
        <v>11935</v>
      </c>
      <c r="D1793" s="56" t="s">
        <v>9557</v>
      </c>
      <c r="E1793" s="10" t="s">
        <v>209</v>
      </c>
      <c r="F1793" s="10" t="s">
        <v>1159</v>
      </c>
      <c r="G1793" s="10" t="s">
        <v>9419</v>
      </c>
      <c r="H1793" s="10" t="s">
        <v>434</v>
      </c>
      <c r="I1793" s="10" t="s">
        <v>55</v>
      </c>
      <c r="K1793" s="10" t="s">
        <v>10154</v>
      </c>
      <c r="L1793" s="10" t="s">
        <v>42</v>
      </c>
    </row>
    <row r="1794" ht="15.75" customHeight="1">
      <c r="A1794" s="64">
        <v>45444.0</v>
      </c>
      <c r="B1794" s="55" t="str">
        <f>HYPERLINK("https://jobright.ai/jobs/info/6677dc5afbac42152a145683?utm_campaign=1052&amp;utm_source=sheet", "Apply")</f>
        <v>Apply</v>
      </c>
      <c r="C1794" s="10" t="s">
        <v>11936</v>
      </c>
      <c r="D1794" s="56" t="s">
        <v>9557</v>
      </c>
      <c r="E1794" s="10" t="s">
        <v>209</v>
      </c>
      <c r="F1794" s="10" t="s">
        <v>1159</v>
      </c>
      <c r="G1794" s="10" t="s">
        <v>9419</v>
      </c>
      <c r="H1794" s="10" t="s">
        <v>605</v>
      </c>
      <c r="I1794" s="10" t="s">
        <v>55</v>
      </c>
      <c r="K1794" s="10" t="s">
        <v>10741</v>
      </c>
      <c r="L1794" s="10" t="s">
        <v>42</v>
      </c>
    </row>
    <row r="1795" ht="15.75" customHeight="1">
      <c r="A1795" s="64">
        <v>45444.0</v>
      </c>
      <c r="B1795" s="55" t="str">
        <f>HYPERLINK("https://jobright.ai/jobs/info/6677dc5afbac42152a145695?utm_campaign=1052&amp;utm_source=sheet", "Apply")</f>
        <v>Apply</v>
      </c>
      <c r="C1795" s="10" t="s">
        <v>11937</v>
      </c>
      <c r="D1795" s="56" t="s">
        <v>9557</v>
      </c>
      <c r="E1795" s="10" t="s">
        <v>209</v>
      </c>
      <c r="F1795" s="10" t="s">
        <v>1159</v>
      </c>
      <c r="G1795" s="10" t="s">
        <v>9419</v>
      </c>
      <c r="H1795" s="10" t="s">
        <v>154</v>
      </c>
      <c r="I1795" s="10" t="s">
        <v>55</v>
      </c>
      <c r="J1795" s="64"/>
      <c r="K1795" s="10" t="s">
        <v>10154</v>
      </c>
      <c r="L1795" s="10" t="s">
        <v>42</v>
      </c>
    </row>
    <row r="1796" ht="15.75" customHeight="1">
      <c r="A1796" s="64">
        <v>45444.0</v>
      </c>
      <c r="B1796" s="55" t="str">
        <f>HYPERLINK("https://jobright.ai/jobs/info/6677dc5afbac42152a145696?utm_campaign=1052&amp;utm_source=sheet", "Apply")</f>
        <v>Apply</v>
      </c>
      <c r="C1796" s="10" t="s">
        <v>11938</v>
      </c>
      <c r="D1796" s="56" t="s">
        <v>9557</v>
      </c>
      <c r="E1796" s="10" t="s">
        <v>209</v>
      </c>
      <c r="F1796" s="10" t="s">
        <v>1159</v>
      </c>
      <c r="G1796" s="10" t="s">
        <v>9419</v>
      </c>
      <c r="H1796" s="10" t="s">
        <v>993</v>
      </c>
      <c r="I1796" s="10" t="s">
        <v>55</v>
      </c>
      <c r="K1796" s="10" t="s">
        <v>10741</v>
      </c>
      <c r="L1796" s="10" t="s">
        <v>42</v>
      </c>
    </row>
    <row r="1797" ht="15.75" customHeight="1">
      <c r="A1797" s="64">
        <v>45444.0</v>
      </c>
      <c r="B1797" s="55" t="str">
        <f>HYPERLINK("https://jobright.ai/jobs/info/6677dc5afbac42152a14568e?utm_campaign=1052&amp;utm_source=sheet", "Apply")</f>
        <v>Apply</v>
      </c>
      <c r="C1797" s="10" t="s">
        <v>11939</v>
      </c>
      <c r="D1797" s="56" t="s">
        <v>9557</v>
      </c>
      <c r="E1797" s="10" t="s">
        <v>209</v>
      </c>
      <c r="F1797" s="10" t="s">
        <v>1159</v>
      </c>
      <c r="G1797" s="10" t="s">
        <v>9419</v>
      </c>
      <c r="H1797" s="10" t="s">
        <v>405</v>
      </c>
      <c r="I1797" s="10" t="s">
        <v>55</v>
      </c>
      <c r="J1797" s="10" t="s">
        <v>11870</v>
      </c>
      <c r="K1797" s="10" t="s">
        <v>11717</v>
      </c>
      <c r="L1797" s="10" t="s">
        <v>42</v>
      </c>
    </row>
    <row r="1798" ht="15.75" customHeight="1">
      <c r="A1798" s="64">
        <v>45444.0</v>
      </c>
      <c r="B1798" s="55" t="str">
        <f>HYPERLINK("https://jobright.ai/jobs/info/6677dc5afbac42152a1456d4?utm_campaign=1052&amp;utm_source=sheet", "Apply")</f>
        <v>Apply</v>
      </c>
      <c r="C1798" s="10" t="s">
        <v>11940</v>
      </c>
      <c r="D1798" s="56" t="s">
        <v>9557</v>
      </c>
      <c r="E1798" s="10" t="s">
        <v>209</v>
      </c>
      <c r="F1798" s="10" t="s">
        <v>1159</v>
      </c>
      <c r="G1798" s="10" t="s">
        <v>9419</v>
      </c>
      <c r="H1798" s="10" t="s">
        <v>780</v>
      </c>
      <c r="I1798" s="10" t="s">
        <v>55</v>
      </c>
      <c r="J1798" s="64"/>
      <c r="K1798" s="10" t="s">
        <v>10741</v>
      </c>
      <c r="L1798" s="10" t="s">
        <v>42</v>
      </c>
    </row>
    <row r="1799" ht="15.75" customHeight="1">
      <c r="A1799" s="64">
        <v>45444.0</v>
      </c>
      <c r="B1799" s="55" t="str">
        <f>HYPERLINK("https://jobright.ai/jobs/info/6677dc5afbac42152a1456a6?utm_campaign=1052&amp;utm_source=sheet", "Apply")</f>
        <v>Apply</v>
      </c>
      <c r="C1799" s="10" t="s">
        <v>11941</v>
      </c>
      <c r="D1799" s="56" t="s">
        <v>9557</v>
      </c>
      <c r="E1799" s="10" t="s">
        <v>209</v>
      </c>
      <c r="F1799" s="10" t="s">
        <v>1159</v>
      </c>
      <c r="G1799" s="10" t="s">
        <v>9419</v>
      </c>
      <c r="H1799" s="10" t="s">
        <v>4799</v>
      </c>
      <c r="I1799" s="10" t="s">
        <v>55</v>
      </c>
      <c r="J1799" s="64"/>
      <c r="K1799" s="10" t="s">
        <v>10154</v>
      </c>
      <c r="L1799" s="10" t="s">
        <v>42</v>
      </c>
    </row>
    <row r="1800" ht="15.75" customHeight="1">
      <c r="A1800" s="64">
        <v>45444.0</v>
      </c>
      <c r="B1800" s="55" t="str">
        <f>HYPERLINK("https://jobright.ai/jobs/info/6677dc5afbac42152a14568c?utm_campaign=1052&amp;utm_source=sheet", "Apply")</f>
        <v>Apply</v>
      </c>
      <c r="C1800" s="10" t="s">
        <v>11942</v>
      </c>
      <c r="D1800" s="56" t="s">
        <v>9557</v>
      </c>
      <c r="E1800" s="10" t="s">
        <v>209</v>
      </c>
      <c r="F1800" s="10" t="s">
        <v>1159</v>
      </c>
      <c r="G1800" s="10" t="s">
        <v>9419</v>
      </c>
      <c r="H1800" s="10" t="s">
        <v>936</v>
      </c>
      <c r="I1800" s="10" t="s">
        <v>55</v>
      </c>
      <c r="K1800" s="10" t="s">
        <v>11560</v>
      </c>
      <c r="L1800" s="10" t="s">
        <v>42</v>
      </c>
    </row>
    <row r="1801" ht="15.75" customHeight="1">
      <c r="A1801" s="64">
        <v>45444.0</v>
      </c>
      <c r="B1801" s="55" t="str">
        <f>HYPERLINK("https://jobright.ai/jobs/info/6677dc5afbac42152a145734?utm_campaign=1052&amp;utm_source=sheet", "Apply")</f>
        <v>Apply</v>
      </c>
      <c r="C1801" s="10" t="s">
        <v>11943</v>
      </c>
      <c r="D1801" s="56" t="s">
        <v>9557</v>
      </c>
      <c r="E1801" s="10" t="s">
        <v>209</v>
      </c>
      <c r="F1801" s="10" t="s">
        <v>1159</v>
      </c>
      <c r="G1801" s="10" t="s">
        <v>9419</v>
      </c>
      <c r="H1801" s="10" t="s">
        <v>994</v>
      </c>
      <c r="I1801" s="10" t="s">
        <v>55</v>
      </c>
      <c r="J1801" s="64"/>
      <c r="K1801" s="10" t="s">
        <v>10741</v>
      </c>
      <c r="L1801" s="10" t="s">
        <v>42</v>
      </c>
    </row>
    <row r="1802" ht="15.75" customHeight="1">
      <c r="A1802" s="64">
        <v>45444.0</v>
      </c>
      <c r="B1802" s="55" t="str">
        <f>HYPERLINK("https://jobright.ai/jobs/info/6677dc5afbac42152a1456a9?utm_campaign=1052&amp;utm_source=sheet", "Apply")</f>
        <v>Apply</v>
      </c>
      <c r="C1802" s="10" t="s">
        <v>11944</v>
      </c>
      <c r="D1802" s="56" t="s">
        <v>9557</v>
      </c>
      <c r="E1802" s="10" t="s">
        <v>209</v>
      </c>
      <c r="F1802" s="10" t="s">
        <v>1159</v>
      </c>
      <c r="G1802" s="10" t="s">
        <v>9419</v>
      </c>
      <c r="H1802" s="10" t="s">
        <v>4279</v>
      </c>
      <c r="I1802" s="10" t="s">
        <v>55</v>
      </c>
      <c r="K1802" s="10" t="s">
        <v>10741</v>
      </c>
      <c r="L1802" s="10" t="s">
        <v>42</v>
      </c>
    </row>
    <row r="1803" ht="15.75" customHeight="1">
      <c r="A1803" s="64">
        <v>45444.0</v>
      </c>
      <c r="B1803" s="55" t="str">
        <f>HYPERLINK("https://jobright.ai/jobs/info/6677dc5afbac42152a145699?utm_campaign=1052&amp;utm_source=sheet", "Apply")</f>
        <v>Apply</v>
      </c>
      <c r="C1803" s="10" t="s">
        <v>11945</v>
      </c>
      <c r="D1803" s="56" t="s">
        <v>9557</v>
      </c>
      <c r="E1803" s="10" t="s">
        <v>209</v>
      </c>
      <c r="F1803" s="10" t="s">
        <v>1159</v>
      </c>
      <c r="G1803" s="10" t="s">
        <v>9419</v>
      </c>
      <c r="H1803" s="10" t="s">
        <v>10949</v>
      </c>
      <c r="I1803" s="10" t="s">
        <v>55</v>
      </c>
      <c r="K1803" s="10" t="s">
        <v>10741</v>
      </c>
      <c r="L1803" s="10" t="s">
        <v>42</v>
      </c>
    </row>
    <row r="1804" ht="15.75" customHeight="1">
      <c r="A1804" s="64">
        <v>45444.0</v>
      </c>
      <c r="B1804" s="55" t="str">
        <f>HYPERLINK("https://jobright.ai/jobs/info/6677dc5afbac42152a1456f5?utm_campaign=1052&amp;utm_source=sheet", "Apply")</f>
        <v>Apply</v>
      </c>
      <c r="C1804" s="10" t="s">
        <v>11946</v>
      </c>
      <c r="D1804" s="56" t="s">
        <v>9557</v>
      </c>
      <c r="E1804" s="10" t="s">
        <v>209</v>
      </c>
      <c r="F1804" s="10" t="s">
        <v>1159</v>
      </c>
      <c r="G1804" s="10" t="s">
        <v>9419</v>
      </c>
      <c r="H1804" s="10" t="s">
        <v>168</v>
      </c>
      <c r="I1804" s="10" t="s">
        <v>55</v>
      </c>
      <c r="J1804" s="64"/>
      <c r="K1804" s="10" t="s">
        <v>10741</v>
      </c>
      <c r="L1804" s="10" t="s">
        <v>42</v>
      </c>
    </row>
    <row r="1805" ht="15.75" customHeight="1">
      <c r="A1805" s="64">
        <v>45444.0</v>
      </c>
      <c r="B1805" s="55" t="str">
        <f>HYPERLINK("https://jobright.ai/jobs/info/6677dc5afbac42152a1456ec?utm_campaign=1052&amp;utm_source=sheet", "Apply")</f>
        <v>Apply</v>
      </c>
      <c r="C1805" s="10" t="s">
        <v>11947</v>
      </c>
      <c r="D1805" s="56" t="s">
        <v>9557</v>
      </c>
      <c r="E1805" s="10" t="s">
        <v>209</v>
      </c>
      <c r="F1805" s="10" t="s">
        <v>1159</v>
      </c>
      <c r="G1805" s="10" t="s">
        <v>9419</v>
      </c>
      <c r="H1805" s="10" t="s">
        <v>843</v>
      </c>
      <c r="I1805" s="10" t="s">
        <v>55</v>
      </c>
      <c r="J1805" s="64"/>
      <c r="K1805" s="10" t="s">
        <v>10741</v>
      </c>
      <c r="L1805" s="10" t="s">
        <v>42</v>
      </c>
    </row>
    <row r="1806" ht="15.75" customHeight="1">
      <c r="A1806" s="64">
        <v>45444.0</v>
      </c>
      <c r="B1806" s="55" t="str">
        <f>HYPERLINK("https://jobright.ai/jobs/info/6677dc5afbac42152a1456f1?utm_campaign=1052&amp;utm_source=sheet", "Apply")</f>
        <v>Apply</v>
      </c>
      <c r="C1806" s="10" t="s">
        <v>11948</v>
      </c>
      <c r="D1806" s="56" t="s">
        <v>9557</v>
      </c>
      <c r="E1806" s="10" t="s">
        <v>209</v>
      </c>
      <c r="F1806" s="10" t="s">
        <v>1159</v>
      </c>
      <c r="G1806" s="10" t="s">
        <v>9419</v>
      </c>
      <c r="H1806" s="10" t="s">
        <v>837</v>
      </c>
      <c r="I1806" s="10" t="s">
        <v>55</v>
      </c>
      <c r="J1806" s="64"/>
      <c r="K1806" s="10" t="s">
        <v>10154</v>
      </c>
      <c r="L1806" s="10" t="s">
        <v>42</v>
      </c>
    </row>
    <row r="1807" ht="15.75" customHeight="1">
      <c r="A1807" s="64">
        <v>45444.0</v>
      </c>
      <c r="B1807" s="55" t="str">
        <f>HYPERLINK("https://jobright.ai/jobs/info/6677dc5afbac42152a145684?utm_campaign=1052&amp;utm_source=sheet", "Apply")</f>
        <v>Apply</v>
      </c>
      <c r="C1807" s="10" t="s">
        <v>11949</v>
      </c>
      <c r="D1807" s="56" t="s">
        <v>9557</v>
      </c>
      <c r="E1807" s="10" t="s">
        <v>209</v>
      </c>
      <c r="F1807" s="10" t="s">
        <v>1159</v>
      </c>
      <c r="G1807" s="10" t="s">
        <v>9419</v>
      </c>
      <c r="H1807" s="10" t="s">
        <v>628</v>
      </c>
      <c r="I1807" s="10" t="s">
        <v>55</v>
      </c>
      <c r="K1807" s="10" t="s">
        <v>10154</v>
      </c>
      <c r="L1807" s="10" t="s">
        <v>42</v>
      </c>
    </row>
    <row r="1808" ht="15.75" customHeight="1">
      <c r="A1808" s="64">
        <v>45444.0</v>
      </c>
      <c r="B1808" s="55" t="str">
        <f>HYPERLINK("https://jobright.ai/jobs/info/6677dc5afbac42152a14569a?utm_campaign=1052&amp;utm_source=sheet", "Apply")</f>
        <v>Apply</v>
      </c>
      <c r="C1808" s="10" t="s">
        <v>11950</v>
      </c>
      <c r="D1808" s="56" t="s">
        <v>9557</v>
      </c>
      <c r="E1808" s="10" t="s">
        <v>209</v>
      </c>
      <c r="F1808" s="10" t="s">
        <v>1159</v>
      </c>
      <c r="G1808" s="10" t="s">
        <v>9419</v>
      </c>
      <c r="H1808" s="10" t="s">
        <v>405</v>
      </c>
      <c r="I1808" s="10" t="s">
        <v>55</v>
      </c>
      <c r="J1808" s="10" t="s">
        <v>6565</v>
      </c>
      <c r="K1808" s="10" t="s">
        <v>11717</v>
      </c>
      <c r="L1808" s="10" t="s">
        <v>42</v>
      </c>
    </row>
    <row r="1809" ht="15.75" customHeight="1">
      <c r="A1809" s="64">
        <v>45444.0</v>
      </c>
      <c r="B1809" s="55" t="str">
        <f>HYPERLINK("https://jobright.ai/jobs/info/6677dc5afbac42152a1456b3?utm_campaign=1052&amp;utm_source=sheet", "Apply")</f>
        <v>Apply</v>
      </c>
      <c r="C1809" s="10" t="s">
        <v>11951</v>
      </c>
      <c r="D1809" s="56" t="s">
        <v>9557</v>
      </c>
      <c r="E1809" s="10" t="s">
        <v>209</v>
      </c>
      <c r="F1809" s="10" t="s">
        <v>1159</v>
      </c>
      <c r="G1809" s="10" t="s">
        <v>9419</v>
      </c>
      <c r="H1809" s="10" t="s">
        <v>835</v>
      </c>
      <c r="I1809" s="10" t="s">
        <v>55</v>
      </c>
      <c r="K1809" s="10" t="s">
        <v>10741</v>
      </c>
      <c r="L1809" s="10" t="s">
        <v>42</v>
      </c>
    </row>
    <row r="1810" ht="15.75" customHeight="1">
      <c r="A1810" s="64">
        <v>45444.0</v>
      </c>
      <c r="B1810" s="55" t="str">
        <f>HYPERLINK("https://jobright.ai/jobs/info/6677dc5afbac42152a1456ac?utm_campaign=1052&amp;utm_source=sheet", "Apply")</f>
        <v>Apply</v>
      </c>
      <c r="C1810" s="10" t="s">
        <v>11952</v>
      </c>
      <c r="D1810" s="56" t="s">
        <v>9557</v>
      </c>
      <c r="E1810" s="10" t="s">
        <v>209</v>
      </c>
      <c r="F1810" s="10" t="s">
        <v>1159</v>
      </c>
      <c r="G1810" s="10" t="s">
        <v>9419</v>
      </c>
      <c r="H1810" s="10" t="s">
        <v>5148</v>
      </c>
      <c r="I1810" s="10" t="s">
        <v>55</v>
      </c>
      <c r="J1810" s="64"/>
      <c r="K1810" s="10" t="s">
        <v>10741</v>
      </c>
      <c r="L1810" s="10" t="s">
        <v>42</v>
      </c>
    </row>
    <row r="1811" ht="15.75" customHeight="1">
      <c r="A1811" s="64">
        <v>45444.0</v>
      </c>
      <c r="B1811" s="55" t="str">
        <f>HYPERLINK("https://jobright.ai/jobs/info/6677dc5afbac42152a1456f6?utm_campaign=1052&amp;utm_source=sheet", "Apply")</f>
        <v>Apply</v>
      </c>
      <c r="C1811" s="10" t="s">
        <v>11953</v>
      </c>
      <c r="D1811" s="56" t="s">
        <v>9557</v>
      </c>
      <c r="E1811" s="10" t="s">
        <v>209</v>
      </c>
      <c r="F1811" s="10" t="s">
        <v>1159</v>
      </c>
      <c r="G1811" s="10" t="s">
        <v>9419</v>
      </c>
      <c r="H1811" s="10" t="s">
        <v>73</v>
      </c>
      <c r="I1811" s="10" t="s">
        <v>55</v>
      </c>
      <c r="J1811" s="64"/>
      <c r="K1811" s="10" t="s">
        <v>10154</v>
      </c>
      <c r="L1811" s="10" t="s">
        <v>42</v>
      </c>
    </row>
    <row r="1812" ht="15.75" customHeight="1">
      <c r="A1812" s="64">
        <v>45444.0</v>
      </c>
      <c r="B1812" s="55" t="str">
        <f>HYPERLINK("https://jobright.ai/jobs/info/6677dc5afbac42152a1456ef?utm_campaign=1052&amp;utm_source=sheet", "Apply")</f>
        <v>Apply</v>
      </c>
      <c r="C1812" s="10" t="s">
        <v>11954</v>
      </c>
      <c r="D1812" s="56" t="s">
        <v>9557</v>
      </c>
      <c r="E1812" s="10" t="s">
        <v>209</v>
      </c>
      <c r="F1812" s="10" t="s">
        <v>1159</v>
      </c>
      <c r="G1812" s="10" t="s">
        <v>9419</v>
      </c>
      <c r="H1812" s="10" t="s">
        <v>4799</v>
      </c>
      <c r="I1812" s="10" t="s">
        <v>55</v>
      </c>
      <c r="J1812" s="64"/>
      <c r="K1812" s="10" t="s">
        <v>10741</v>
      </c>
      <c r="L1812" s="10" t="s">
        <v>42</v>
      </c>
    </row>
    <row r="1813" ht="15.75" customHeight="1">
      <c r="A1813" s="64">
        <v>45444.0</v>
      </c>
      <c r="B1813" s="55" t="str">
        <f>HYPERLINK("https://jobright.ai/jobs/info/6677dc5afbac42152a1456f2?utm_campaign=1052&amp;utm_source=sheet", "Apply")</f>
        <v>Apply</v>
      </c>
      <c r="C1813" s="10" t="s">
        <v>11955</v>
      </c>
      <c r="D1813" s="56" t="s">
        <v>9557</v>
      </c>
      <c r="E1813" s="10" t="s">
        <v>209</v>
      </c>
      <c r="F1813" s="10" t="s">
        <v>1159</v>
      </c>
      <c r="G1813" s="10" t="s">
        <v>9419</v>
      </c>
      <c r="H1813" s="10" t="s">
        <v>11956</v>
      </c>
      <c r="I1813" s="10" t="s">
        <v>55</v>
      </c>
      <c r="J1813" s="64"/>
      <c r="K1813" s="10" t="s">
        <v>11560</v>
      </c>
      <c r="L1813" s="10" t="s">
        <v>42</v>
      </c>
    </row>
    <row r="1814" ht="15.75" customHeight="1">
      <c r="A1814" s="64">
        <v>45444.0</v>
      </c>
      <c r="B1814" s="55" t="str">
        <f>HYPERLINK("https://jobright.ai/jobs/info/6677dc5afbac42152a145700?utm_campaign=1052&amp;utm_source=sheet", "Apply")</f>
        <v>Apply</v>
      </c>
      <c r="C1814" s="10" t="s">
        <v>11957</v>
      </c>
      <c r="D1814" s="56" t="s">
        <v>9557</v>
      </c>
      <c r="E1814" s="10" t="s">
        <v>209</v>
      </c>
      <c r="F1814" s="10" t="s">
        <v>1159</v>
      </c>
      <c r="G1814" s="10" t="s">
        <v>9419</v>
      </c>
      <c r="H1814" s="10" t="s">
        <v>10949</v>
      </c>
      <c r="I1814" s="10" t="s">
        <v>55</v>
      </c>
      <c r="J1814" s="64"/>
      <c r="K1814" s="10" t="s">
        <v>10741</v>
      </c>
      <c r="L1814" s="10" t="s">
        <v>42</v>
      </c>
    </row>
    <row r="1815" ht="15.75" customHeight="1">
      <c r="A1815" s="64">
        <v>45444.0</v>
      </c>
      <c r="B1815" s="55" t="str">
        <f>HYPERLINK("https://jobright.ai/jobs/info/6677dc5afbac42152a145712?utm_campaign=1052&amp;utm_source=sheet", "Apply")</f>
        <v>Apply</v>
      </c>
      <c r="C1815" s="10" t="s">
        <v>11958</v>
      </c>
      <c r="D1815" s="56" t="s">
        <v>9557</v>
      </c>
      <c r="E1815" s="10" t="s">
        <v>209</v>
      </c>
      <c r="F1815" s="10" t="s">
        <v>1159</v>
      </c>
      <c r="G1815" s="10" t="s">
        <v>9419</v>
      </c>
      <c r="H1815" s="10" t="s">
        <v>628</v>
      </c>
      <c r="I1815" s="10" t="s">
        <v>55</v>
      </c>
      <c r="J1815" s="64"/>
      <c r="K1815" s="10" t="s">
        <v>10741</v>
      </c>
      <c r="L1815" s="10" t="s">
        <v>42</v>
      </c>
    </row>
    <row r="1816" ht="15.75" customHeight="1">
      <c r="A1816" s="64">
        <v>45444.0</v>
      </c>
      <c r="B1816" s="55" t="str">
        <f>HYPERLINK("https://jobright.ai/jobs/info/6677dc5afbac42152a145735?utm_campaign=1052&amp;utm_source=sheet", "Apply")</f>
        <v>Apply</v>
      </c>
      <c r="C1816" s="10" t="s">
        <v>11959</v>
      </c>
      <c r="D1816" s="56" t="s">
        <v>9557</v>
      </c>
      <c r="E1816" s="10" t="s">
        <v>209</v>
      </c>
      <c r="F1816" s="10" t="s">
        <v>1159</v>
      </c>
      <c r="G1816" s="10" t="s">
        <v>9419</v>
      </c>
      <c r="H1816" s="10" t="s">
        <v>4279</v>
      </c>
      <c r="I1816" s="10" t="s">
        <v>55</v>
      </c>
      <c r="J1816" s="64"/>
      <c r="K1816" s="10" t="s">
        <v>11560</v>
      </c>
      <c r="L1816" s="10" t="s">
        <v>42</v>
      </c>
    </row>
    <row r="1817" ht="15.75" customHeight="1">
      <c r="A1817" s="64">
        <v>45444.0</v>
      </c>
      <c r="B1817" s="55" t="str">
        <f>HYPERLINK("https://jobright.ai/jobs/info/6677dc5afbac42152a14570d?utm_campaign=1052&amp;utm_source=sheet", "Apply")</f>
        <v>Apply</v>
      </c>
      <c r="C1817" s="10" t="s">
        <v>11960</v>
      </c>
      <c r="D1817" s="56" t="s">
        <v>9557</v>
      </c>
      <c r="E1817" s="10" t="s">
        <v>209</v>
      </c>
      <c r="F1817" s="10" t="s">
        <v>1159</v>
      </c>
      <c r="G1817" s="10" t="s">
        <v>9419</v>
      </c>
      <c r="H1817" s="10" t="s">
        <v>113</v>
      </c>
      <c r="I1817" s="10" t="s">
        <v>55</v>
      </c>
      <c r="J1817" s="64"/>
      <c r="K1817" s="10" t="s">
        <v>10154</v>
      </c>
      <c r="L1817" s="10" t="s">
        <v>42</v>
      </c>
    </row>
    <row r="1818" ht="15.75" customHeight="1">
      <c r="A1818" s="64">
        <v>45444.0</v>
      </c>
      <c r="B1818" s="55" t="str">
        <f>HYPERLINK("https://jobright.ai/jobs/info/6677dc5afbac42152a14570a?utm_campaign=1052&amp;utm_source=sheet", "Apply")</f>
        <v>Apply</v>
      </c>
      <c r="C1818" s="10" t="s">
        <v>11961</v>
      </c>
      <c r="D1818" s="56" t="s">
        <v>9557</v>
      </c>
      <c r="E1818" s="10" t="s">
        <v>209</v>
      </c>
      <c r="F1818" s="10" t="s">
        <v>1159</v>
      </c>
      <c r="G1818" s="10" t="s">
        <v>9419</v>
      </c>
      <c r="H1818" s="10" t="s">
        <v>4279</v>
      </c>
      <c r="I1818" s="10" t="s">
        <v>55</v>
      </c>
      <c r="J1818" s="64"/>
      <c r="K1818" s="10" t="s">
        <v>11560</v>
      </c>
      <c r="L1818" s="10" t="s">
        <v>42</v>
      </c>
    </row>
    <row r="1819" ht="15.75" customHeight="1">
      <c r="A1819" s="64">
        <v>45444.0</v>
      </c>
      <c r="B1819" s="55" t="str">
        <f>HYPERLINK("https://jobright.ai/jobs/info/6677dc5afbac42152a145704?utm_campaign=1052&amp;utm_source=sheet", "Apply")</f>
        <v>Apply</v>
      </c>
      <c r="C1819" s="10" t="s">
        <v>11962</v>
      </c>
      <c r="D1819" s="56" t="s">
        <v>9557</v>
      </c>
      <c r="E1819" s="10" t="s">
        <v>209</v>
      </c>
      <c r="F1819" s="10" t="s">
        <v>1159</v>
      </c>
      <c r="G1819" s="10" t="s">
        <v>9419</v>
      </c>
      <c r="H1819" s="10" t="s">
        <v>835</v>
      </c>
      <c r="I1819" s="10" t="s">
        <v>55</v>
      </c>
      <c r="J1819" s="64"/>
      <c r="K1819" s="10" t="s">
        <v>11560</v>
      </c>
      <c r="L1819" s="10" t="s">
        <v>42</v>
      </c>
    </row>
    <row r="1820" ht="15.75" customHeight="1">
      <c r="A1820" s="64">
        <v>45444.0</v>
      </c>
      <c r="B1820" s="55" t="str">
        <f>HYPERLINK("https://jobright.ai/jobs/info/6677dc5afbac42152a14572c?utm_campaign=1052&amp;utm_source=sheet", "Apply")</f>
        <v>Apply</v>
      </c>
      <c r="C1820" s="10" t="s">
        <v>11963</v>
      </c>
      <c r="D1820" s="56" t="s">
        <v>9557</v>
      </c>
      <c r="E1820" s="10" t="s">
        <v>209</v>
      </c>
      <c r="F1820" s="10" t="s">
        <v>1159</v>
      </c>
      <c r="G1820" s="10" t="s">
        <v>9419</v>
      </c>
      <c r="H1820" s="10" t="s">
        <v>1036</v>
      </c>
      <c r="I1820" s="10" t="s">
        <v>55</v>
      </c>
      <c r="K1820" s="10" t="s">
        <v>10154</v>
      </c>
      <c r="L1820" s="10" t="s">
        <v>42</v>
      </c>
    </row>
    <row r="1821" ht="15.75" customHeight="1">
      <c r="A1821" s="64">
        <v>45444.0</v>
      </c>
      <c r="B1821" s="55" t="str">
        <f>HYPERLINK("https://jobright.ai/jobs/info/6677dc65fbac42152a14575d?utm_campaign=1052&amp;utm_source=sheet", "Apply")</f>
        <v>Apply</v>
      </c>
      <c r="C1821" s="10" t="s">
        <v>11964</v>
      </c>
      <c r="D1821" s="56" t="s">
        <v>9557</v>
      </c>
      <c r="E1821" s="10" t="s">
        <v>209</v>
      </c>
      <c r="F1821" s="10" t="s">
        <v>1159</v>
      </c>
      <c r="G1821" s="10" t="s">
        <v>9419</v>
      </c>
      <c r="H1821" s="10" t="s">
        <v>848</v>
      </c>
      <c r="I1821" s="10" t="s">
        <v>55</v>
      </c>
      <c r="J1821" s="64"/>
      <c r="K1821" s="10" t="s">
        <v>10741</v>
      </c>
      <c r="L1821" s="10" t="s">
        <v>42</v>
      </c>
    </row>
    <row r="1822" ht="15.75" customHeight="1">
      <c r="A1822" s="64">
        <v>45444.0</v>
      </c>
      <c r="B1822" s="55" t="str">
        <f>HYPERLINK("https://jobright.ai/jobs/info/6677dc5afbac42152a145741?utm_campaign=1052&amp;utm_source=sheet", "Apply")</f>
        <v>Apply</v>
      </c>
      <c r="C1822" s="10" t="s">
        <v>11965</v>
      </c>
      <c r="D1822" s="56" t="s">
        <v>9557</v>
      </c>
      <c r="E1822" s="10" t="s">
        <v>209</v>
      </c>
      <c r="F1822" s="10" t="s">
        <v>1159</v>
      </c>
      <c r="G1822" s="10" t="s">
        <v>9419</v>
      </c>
      <c r="H1822" s="10" t="s">
        <v>843</v>
      </c>
      <c r="I1822" s="10" t="s">
        <v>55</v>
      </c>
      <c r="J1822" s="64"/>
      <c r="K1822" s="10" t="s">
        <v>10154</v>
      </c>
      <c r="L1822" s="10" t="s">
        <v>42</v>
      </c>
    </row>
    <row r="1823" ht="15.75" customHeight="1">
      <c r="A1823" s="64">
        <v>45444.0</v>
      </c>
      <c r="B1823" s="55" t="str">
        <f>HYPERLINK("https://jobright.ai/jobs/info/6677dcd8fbac42152a146078?utm_campaign=1052&amp;utm_source=sheet", "Apply")</f>
        <v>Apply</v>
      </c>
      <c r="C1823" s="10" t="s">
        <v>11966</v>
      </c>
      <c r="D1823" s="56" t="s">
        <v>9557</v>
      </c>
      <c r="E1823" s="10" t="s">
        <v>209</v>
      </c>
      <c r="F1823" s="10" t="s">
        <v>1159</v>
      </c>
      <c r="G1823" s="10" t="s">
        <v>9419</v>
      </c>
      <c r="H1823" s="10" t="s">
        <v>882</v>
      </c>
      <c r="I1823" s="10" t="s">
        <v>55</v>
      </c>
      <c r="J1823" s="64"/>
      <c r="K1823" s="10" t="s">
        <v>10154</v>
      </c>
      <c r="L1823" s="10" t="s">
        <v>42</v>
      </c>
    </row>
    <row r="1824" ht="15.75" customHeight="1">
      <c r="A1824" s="64">
        <v>45444.0</v>
      </c>
      <c r="B1824" s="55" t="str">
        <f>HYPERLINK("https://jobright.ai/jobs/info/6677dc5afbac42152a145716?utm_campaign=1052&amp;utm_source=sheet", "Apply")</f>
        <v>Apply</v>
      </c>
      <c r="C1824" s="10" t="s">
        <v>11967</v>
      </c>
      <c r="D1824" s="56" t="s">
        <v>9557</v>
      </c>
      <c r="E1824" s="10" t="s">
        <v>209</v>
      </c>
      <c r="F1824" s="10" t="s">
        <v>1159</v>
      </c>
      <c r="G1824" s="10" t="s">
        <v>9419</v>
      </c>
      <c r="H1824" s="10" t="s">
        <v>788</v>
      </c>
      <c r="I1824" s="10" t="s">
        <v>55</v>
      </c>
      <c r="J1824" s="64"/>
      <c r="K1824" s="10" t="s">
        <v>11560</v>
      </c>
      <c r="L1824" s="10" t="s">
        <v>42</v>
      </c>
    </row>
    <row r="1825" ht="15.75" customHeight="1">
      <c r="A1825" s="64">
        <v>45444.0</v>
      </c>
      <c r="B1825" s="55" t="str">
        <f>HYPERLINK("https://jobright.ai/jobs/info/6677dc5afbac42152a145742?utm_campaign=1052&amp;utm_source=sheet", "Apply")</f>
        <v>Apply</v>
      </c>
      <c r="C1825" s="10" t="s">
        <v>11968</v>
      </c>
      <c r="D1825" s="56" t="s">
        <v>9557</v>
      </c>
      <c r="E1825" s="10" t="s">
        <v>209</v>
      </c>
      <c r="F1825" s="10" t="s">
        <v>1159</v>
      </c>
      <c r="G1825" s="10" t="s">
        <v>9419</v>
      </c>
      <c r="H1825" s="10" t="s">
        <v>4279</v>
      </c>
      <c r="I1825" s="10" t="s">
        <v>55</v>
      </c>
      <c r="J1825" s="64"/>
      <c r="K1825" s="10" t="s">
        <v>10154</v>
      </c>
      <c r="L1825" s="10" t="s">
        <v>42</v>
      </c>
    </row>
    <row r="1826" ht="15.75" customHeight="1">
      <c r="A1826" s="64">
        <v>45444.0</v>
      </c>
      <c r="B1826" s="55" t="str">
        <f>HYPERLINK("https://jobright.ai/jobs/info/6677dc5afbac42152a14571c?utm_campaign=1052&amp;utm_source=sheet", "Apply")</f>
        <v>Apply</v>
      </c>
      <c r="C1826" s="10" t="s">
        <v>11969</v>
      </c>
      <c r="D1826" s="56" t="s">
        <v>9557</v>
      </c>
      <c r="E1826" s="10" t="s">
        <v>209</v>
      </c>
      <c r="F1826" s="10" t="s">
        <v>1159</v>
      </c>
      <c r="G1826" s="10" t="s">
        <v>9419</v>
      </c>
      <c r="H1826" s="10" t="s">
        <v>1023</v>
      </c>
      <c r="I1826" s="10" t="s">
        <v>55</v>
      </c>
      <c r="J1826" s="64"/>
      <c r="K1826" s="10" t="s">
        <v>11560</v>
      </c>
      <c r="L1826" s="10" t="s">
        <v>42</v>
      </c>
    </row>
    <row r="1827" ht="15.75" customHeight="1">
      <c r="A1827" s="64">
        <v>45444.0</v>
      </c>
      <c r="B1827" s="55" t="str">
        <f>HYPERLINK("https://jobright.ai/jobs/info/6677dc5afbac42152a145729?utm_campaign=1052&amp;utm_source=sheet", "Apply")</f>
        <v>Apply</v>
      </c>
      <c r="C1827" s="10" t="s">
        <v>11970</v>
      </c>
      <c r="D1827" s="56" t="s">
        <v>9557</v>
      </c>
      <c r="E1827" s="10" t="s">
        <v>209</v>
      </c>
      <c r="F1827" s="10" t="s">
        <v>1159</v>
      </c>
      <c r="G1827" s="10" t="s">
        <v>9419</v>
      </c>
      <c r="H1827" s="10" t="s">
        <v>11611</v>
      </c>
      <c r="I1827" s="10" t="s">
        <v>55</v>
      </c>
      <c r="J1827" s="64"/>
      <c r="K1827" s="10" t="s">
        <v>10741</v>
      </c>
      <c r="L1827" s="10" t="s">
        <v>42</v>
      </c>
    </row>
    <row r="1828" ht="15.75" customHeight="1">
      <c r="A1828" s="64">
        <v>45444.0</v>
      </c>
      <c r="B1828" s="55" t="str">
        <f>HYPERLINK("https://jobright.ai/jobs/info/6677dc65fbac42152a14574b?utm_campaign=1052&amp;utm_source=sheet", "Apply")</f>
        <v>Apply</v>
      </c>
      <c r="C1828" s="10" t="s">
        <v>11971</v>
      </c>
      <c r="D1828" s="56" t="s">
        <v>9557</v>
      </c>
      <c r="E1828" s="10" t="s">
        <v>209</v>
      </c>
      <c r="F1828" s="10" t="s">
        <v>1159</v>
      </c>
      <c r="G1828" s="10" t="s">
        <v>9419</v>
      </c>
      <c r="H1828" s="10" t="s">
        <v>1048</v>
      </c>
      <c r="I1828" s="10" t="s">
        <v>55</v>
      </c>
      <c r="J1828" s="64"/>
      <c r="K1828" s="10" t="s">
        <v>10154</v>
      </c>
      <c r="L1828" s="10" t="s">
        <v>42</v>
      </c>
    </row>
    <row r="1829" ht="15.75" customHeight="1">
      <c r="A1829" s="64">
        <v>45444.0</v>
      </c>
      <c r="B1829" s="55" t="str">
        <f>HYPERLINK("https://jobright.ai/jobs/info/6677dce3fbac42152a1460de?utm_campaign=1052&amp;utm_source=sheet", "Apply")</f>
        <v>Apply</v>
      </c>
      <c r="C1829" s="10" t="s">
        <v>11972</v>
      </c>
      <c r="D1829" s="56" t="s">
        <v>9557</v>
      </c>
      <c r="E1829" s="10" t="s">
        <v>209</v>
      </c>
      <c r="F1829" s="10" t="s">
        <v>1159</v>
      </c>
      <c r="G1829" s="10" t="s">
        <v>9419</v>
      </c>
      <c r="H1829" s="10" t="s">
        <v>843</v>
      </c>
      <c r="I1829" s="10" t="s">
        <v>55</v>
      </c>
      <c r="J1829" s="64"/>
      <c r="K1829" s="10" t="s">
        <v>11560</v>
      </c>
      <c r="L1829" s="10" t="s">
        <v>42</v>
      </c>
    </row>
    <row r="1830" ht="15.75" customHeight="1">
      <c r="A1830" s="64">
        <v>45444.0</v>
      </c>
      <c r="B1830" s="55" t="str">
        <f>HYPERLINK("https://jobright.ai/jobs/info/6677dc5afbac42152a145739?utm_campaign=1052&amp;utm_source=sheet", "Apply")</f>
        <v>Apply</v>
      </c>
      <c r="C1830" s="10" t="s">
        <v>11973</v>
      </c>
      <c r="D1830" s="56" t="s">
        <v>9557</v>
      </c>
      <c r="E1830" s="10" t="s">
        <v>209</v>
      </c>
      <c r="F1830" s="10" t="s">
        <v>1159</v>
      </c>
      <c r="G1830" s="10" t="s">
        <v>9419</v>
      </c>
      <c r="H1830" s="10" t="s">
        <v>9042</v>
      </c>
      <c r="I1830" s="10" t="s">
        <v>55</v>
      </c>
      <c r="J1830" s="64"/>
      <c r="K1830" s="10" t="s">
        <v>10154</v>
      </c>
      <c r="L1830" s="10" t="s">
        <v>42</v>
      </c>
    </row>
    <row r="1831" ht="15.75" customHeight="1">
      <c r="A1831" s="64">
        <v>45444.0</v>
      </c>
      <c r="B1831" s="55" t="str">
        <f>HYPERLINK("https://jobright.ai/jobs/info/6677dc65fbac42152a145756?utm_campaign=1052&amp;utm_source=sheet", "Apply")</f>
        <v>Apply</v>
      </c>
      <c r="C1831" s="10" t="s">
        <v>11974</v>
      </c>
      <c r="D1831" s="56" t="s">
        <v>9557</v>
      </c>
      <c r="E1831" s="10" t="s">
        <v>209</v>
      </c>
      <c r="F1831" s="10" t="s">
        <v>1159</v>
      </c>
      <c r="G1831" s="10" t="s">
        <v>9419</v>
      </c>
      <c r="H1831" s="10" t="s">
        <v>780</v>
      </c>
      <c r="I1831" s="10" t="s">
        <v>55</v>
      </c>
      <c r="J1831" s="64"/>
      <c r="K1831" s="10" t="s">
        <v>10154</v>
      </c>
      <c r="L1831" s="10" t="s">
        <v>42</v>
      </c>
    </row>
    <row r="1832" ht="15.75" customHeight="1">
      <c r="A1832" s="64">
        <v>45444.0</v>
      </c>
      <c r="B1832" s="55" t="str">
        <f>HYPERLINK("https://jobright.ai/jobs/info/6677dc65fbac42152a14574a?utm_campaign=1052&amp;utm_source=sheet", "Apply")</f>
        <v>Apply</v>
      </c>
      <c r="C1832" s="10" t="s">
        <v>11975</v>
      </c>
      <c r="D1832" s="56" t="s">
        <v>9557</v>
      </c>
      <c r="E1832" s="10" t="s">
        <v>209</v>
      </c>
      <c r="F1832" s="10" t="s">
        <v>1159</v>
      </c>
      <c r="G1832" s="10" t="s">
        <v>9419</v>
      </c>
      <c r="H1832" s="10" t="s">
        <v>628</v>
      </c>
      <c r="I1832" s="10" t="s">
        <v>55</v>
      </c>
      <c r="K1832" s="10" t="s">
        <v>10741</v>
      </c>
      <c r="L1832" s="10" t="s">
        <v>42</v>
      </c>
    </row>
    <row r="1833" ht="15.75" customHeight="1">
      <c r="A1833" s="64">
        <v>45444.0</v>
      </c>
      <c r="B1833" s="55" t="str">
        <f>HYPERLINK("https://jobright.ai/jobs/info/6677dc65fbac42152a14578c?utm_campaign=1052&amp;utm_source=sheet", "Apply")</f>
        <v>Apply</v>
      </c>
      <c r="C1833" s="10" t="s">
        <v>11976</v>
      </c>
      <c r="D1833" s="56" t="s">
        <v>9557</v>
      </c>
      <c r="E1833" s="10" t="s">
        <v>209</v>
      </c>
      <c r="F1833" s="10" t="s">
        <v>1159</v>
      </c>
      <c r="G1833" s="10" t="s">
        <v>9419</v>
      </c>
      <c r="H1833" s="10" t="s">
        <v>994</v>
      </c>
      <c r="I1833" s="10" t="s">
        <v>55</v>
      </c>
      <c r="J1833" s="64"/>
      <c r="K1833" s="10" t="s">
        <v>11560</v>
      </c>
      <c r="L1833" s="10" t="s">
        <v>42</v>
      </c>
    </row>
    <row r="1834" ht="15.75" customHeight="1">
      <c r="A1834" s="64">
        <v>45444.0</v>
      </c>
      <c r="B1834" s="55" t="str">
        <f>HYPERLINK("https://jobright.ai/jobs/info/6677dc65fbac42152a145764?utm_campaign=1052&amp;utm_source=sheet", "Apply")</f>
        <v>Apply</v>
      </c>
      <c r="C1834" s="10" t="s">
        <v>11977</v>
      </c>
      <c r="D1834" s="56" t="s">
        <v>9557</v>
      </c>
      <c r="E1834" s="10" t="s">
        <v>209</v>
      </c>
      <c r="F1834" s="10" t="s">
        <v>1159</v>
      </c>
      <c r="G1834" s="10" t="s">
        <v>9419</v>
      </c>
      <c r="H1834" s="10" t="s">
        <v>3847</v>
      </c>
      <c r="I1834" s="10" t="s">
        <v>55</v>
      </c>
      <c r="J1834" s="64"/>
      <c r="K1834" s="10" t="s">
        <v>10741</v>
      </c>
      <c r="L1834" s="10" t="s">
        <v>42</v>
      </c>
    </row>
    <row r="1835" ht="15.75" customHeight="1">
      <c r="A1835" s="64">
        <v>45444.0</v>
      </c>
      <c r="B1835" s="55" t="str">
        <f>HYPERLINK("https://jobright.ai/jobs/info/6677dc65fbac42152a14574e?utm_campaign=1052&amp;utm_source=sheet", "Apply")</f>
        <v>Apply</v>
      </c>
      <c r="C1835" s="10" t="s">
        <v>11978</v>
      </c>
      <c r="D1835" s="56" t="s">
        <v>9557</v>
      </c>
      <c r="E1835" s="10" t="s">
        <v>209</v>
      </c>
      <c r="F1835" s="10" t="s">
        <v>1159</v>
      </c>
      <c r="G1835" s="10" t="s">
        <v>9419</v>
      </c>
      <c r="H1835" s="10" t="s">
        <v>405</v>
      </c>
      <c r="I1835" s="10" t="s">
        <v>55</v>
      </c>
      <c r="J1835" s="10" t="s">
        <v>11870</v>
      </c>
      <c r="K1835" s="10" t="s">
        <v>10741</v>
      </c>
      <c r="L1835" s="10" t="s">
        <v>42</v>
      </c>
    </row>
    <row r="1836" ht="15.75" customHeight="1">
      <c r="A1836" s="64">
        <v>45444.0</v>
      </c>
      <c r="B1836" s="55" t="str">
        <f>HYPERLINK("https://jobright.ai/jobs/info/6677dc65fbac42152a14577c?utm_campaign=1052&amp;utm_source=sheet", "Apply")</f>
        <v>Apply</v>
      </c>
      <c r="C1836" s="10" t="s">
        <v>11979</v>
      </c>
      <c r="D1836" s="56" t="s">
        <v>9557</v>
      </c>
      <c r="E1836" s="10" t="s">
        <v>209</v>
      </c>
      <c r="F1836" s="10" t="s">
        <v>1159</v>
      </c>
      <c r="G1836" s="10" t="s">
        <v>9419</v>
      </c>
      <c r="H1836" s="10" t="s">
        <v>636</v>
      </c>
      <c r="I1836" s="10" t="s">
        <v>55</v>
      </c>
      <c r="J1836" s="64"/>
      <c r="K1836" s="10" t="s">
        <v>11560</v>
      </c>
      <c r="L1836" s="10" t="s">
        <v>42</v>
      </c>
    </row>
    <row r="1837" ht="15.75" customHeight="1">
      <c r="A1837" s="64">
        <v>45444.0</v>
      </c>
      <c r="B1837" s="55" t="str">
        <f>HYPERLINK("https://jobright.ai/jobs/info/6677dc65fbac42152a145768?utm_campaign=1052&amp;utm_source=sheet", "Apply")</f>
        <v>Apply</v>
      </c>
      <c r="C1837" s="10" t="s">
        <v>11980</v>
      </c>
      <c r="D1837" s="56" t="s">
        <v>9557</v>
      </c>
      <c r="E1837" s="10" t="s">
        <v>209</v>
      </c>
      <c r="F1837" s="10" t="s">
        <v>1159</v>
      </c>
      <c r="G1837" s="10" t="s">
        <v>9419</v>
      </c>
      <c r="H1837" s="10" t="s">
        <v>952</v>
      </c>
      <c r="I1837" s="10" t="s">
        <v>55</v>
      </c>
      <c r="J1837" s="64"/>
      <c r="K1837" s="10" t="s">
        <v>11560</v>
      </c>
      <c r="L1837" s="10" t="s">
        <v>42</v>
      </c>
    </row>
    <row r="1838" ht="15.75" customHeight="1">
      <c r="A1838" s="64">
        <v>45444.0</v>
      </c>
      <c r="B1838" s="55" t="str">
        <f>HYPERLINK("https://jobright.ai/jobs/info/6677dc65fbac42152a14579e?utm_campaign=1052&amp;utm_source=sheet", "Apply")</f>
        <v>Apply</v>
      </c>
      <c r="C1838" s="10" t="s">
        <v>11981</v>
      </c>
      <c r="D1838" s="56" t="s">
        <v>9557</v>
      </c>
      <c r="E1838" s="10" t="s">
        <v>209</v>
      </c>
      <c r="F1838" s="10" t="s">
        <v>1159</v>
      </c>
      <c r="G1838" s="10" t="s">
        <v>9419</v>
      </c>
      <c r="H1838" s="10" t="s">
        <v>661</v>
      </c>
      <c r="I1838" s="10" t="s">
        <v>55</v>
      </c>
      <c r="J1838" s="64"/>
      <c r="K1838" s="10" t="s">
        <v>10741</v>
      </c>
      <c r="L1838" s="10" t="s">
        <v>42</v>
      </c>
    </row>
    <row r="1839" ht="15.75" customHeight="1">
      <c r="A1839" s="64">
        <v>45444.0</v>
      </c>
      <c r="B1839" s="55" t="str">
        <f>HYPERLINK("https://jobright.ai/jobs/info/6677dc65fbac42152a14578d?utm_campaign=1052&amp;utm_source=sheet", "Apply")</f>
        <v>Apply</v>
      </c>
      <c r="C1839" s="10" t="s">
        <v>11982</v>
      </c>
      <c r="D1839" s="56" t="s">
        <v>9557</v>
      </c>
      <c r="E1839" s="10" t="s">
        <v>209</v>
      </c>
      <c r="F1839" s="10" t="s">
        <v>1159</v>
      </c>
      <c r="G1839" s="10" t="s">
        <v>9419</v>
      </c>
      <c r="H1839" s="10" t="s">
        <v>605</v>
      </c>
      <c r="I1839" s="10" t="s">
        <v>55</v>
      </c>
      <c r="J1839" s="64"/>
      <c r="K1839" s="10" t="s">
        <v>10741</v>
      </c>
      <c r="L1839" s="10" t="s">
        <v>42</v>
      </c>
    </row>
    <row r="1840" ht="15.75" customHeight="1">
      <c r="A1840" s="64">
        <v>45444.0</v>
      </c>
      <c r="B1840" s="55" t="str">
        <f>HYPERLINK("https://jobright.ai/jobs/info/6677dc65fbac42152a145798?utm_campaign=1052&amp;utm_source=sheet", "Apply")</f>
        <v>Apply</v>
      </c>
      <c r="C1840" s="10" t="s">
        <v>11983</v>
      </c>
      <c r="D1840" s="56" t="s">
        <v>9557</v>
      </c>
      <c r="E1840" s="10" t="s">
        <v>209</v>
      </c>
      <c r="F1840" s="10" t="s">
        <v>1159</v>
      </c>
      <c r="G1840" s="10" t="s">
        <v>9419</v>
      </c>
      <c r="H1840" s="10" t="s">
        <v>628</v>
      </c>
      <c r="I1840" s="10" t="s">
        <v>55</v>
      </c>
      <c r="J1840" s="64"/>
      <c r="K1840" s="10" t="s">
        <v>10154</v>
      </c>
      <c r="L1840" s="10" t="s">
        <v>42</v>
      </c>
    </row>
    <row r="1841" ht="15.75" customHeight="1">
      <c r="A1841" s="64">
        <v>45444.0</v>
      </c>
      <c r="B1841" s="55" t="str">
        <f>HYPERLINK("https://jobright.ai/jobs/info/6677dc65fbac42152a1457a2?utm_campaign=1052&amp;utm_source=sheet", "Apply")</f>
        <v>Apply</v>
      </c>
      <c r="C1841" s="10" t="s">
        <v>11984</v>
      </c>
      <c r="D1841" s="56" t="s">
        <v>9557</v>
      </c>
      <c r="E1841" s="10" t="s">
        <v>209</v>
      </c>
      <c r="F1841" s="10" t="s">
        <v>1159</v>
      </c>
      <c r="G1841" s="10" t="s">
        <v>9419</v>
      </c>
      <c r="H1841" s="10" t="s">
        <v>73</v>
      </c>
      <c r="I1841" s="10" t="s">
        <v>55</v>
      </c>
      <c r="J1841" s="64"/>
      <c r="K1841" s="10" t="s">
        <v>10741</v>
      </c>
      <c r="L1841" s="10" t="s">
        <v>42</v>
      </c>
    </row>
    <row r="1842" ht="15.75" customHeight="1">
      <c r="A1842" s="64">
        <v>45444.0</v>
      </c>
      <c r="B1842" s="55" t="str">
        <f>HYPERLINK("https://jobright.ai/jobs/info/6677dc65fbac42152a14579b?utm_campaign=1052&amp;utm_source=sheet", "Apply")</f>
        <v>Apply</v>
      </c>
      <c r="C1842" s="10" t="s">
        <v>11985</v>
      </c>
      <c r="D1842" s="56" t="s">
        <v>9557</v>
      </c>
      <c r="E1842" s="10" t="s">
        <v>209</v>
      </c>
      <c r="F1842" s="10" t="s">
        <v>1159</v>
      </c>
      <c r="G1842" s="10" t="s">
        <v>9419</v>
      </c>
      <c r="H1842" s="10" t="s">
        <v>3847</v>
      </c>
      <c r="I1842" s="10" t="s">
        <v>55</v>
      </c>
      <c r="J1842" s="64"/>
      <c r="K1842" s="10" t="s">
        <v>10741</v>
      </c>
      <c r="L1842" s="10" t="s">
        <v>42</v>
      </c>
    </row>
    <row r="1843" ht="15.75" customHeight="1">
      <c r="A1843" s="64">
        <v>45444.0</v>
      </c>
      <c r="B1843" s="55" t="str">
        <f>HYPERLINK("https://jobright.ai/jobs/info/6677dc65fbac42152a145796?utm_campaign=1052&amp;utm_source=sheet", "Apply")</f>
        <v>Apply</v>
      </c>
      <c r="C1843" s="10" t="s">
        <v>11986</v>
      </c>
      <c r="D1843" s="56" t="s">
        <v>9557</v>
      </c>
      <c r="E1843" s="10" t="s">
        <v>209</v>
      </c>
      <c r="F1843" s="10" t="s">
        <v>1159</v>
      </c>
      <c r="G1843" s="10" t="s">
        <v>9419</v>
      </c>
      <c r="H1843" s="10" t="s">
        <v>994</v>
      </c>
      <c r="I1843" s="10" t="s">
        <v>55</v>
      </c>
      <c r="J1843" s="64"/>
      <c r="K1843" s="10" t="s">
        <v>10741</v>
      </c>
      <c r="L1843" s="10" t="s">
        <v>42</v>
      </c>
    </row>
    <row r="1844" ht="15.75" customHeight="1">
      <c r="A1844" s="64">
        <v>45444.0</v>
      </c>
      <c r="B1844" s="55" t="str">
        <f>HYPERLINK("https://jobright.ai/jobs/info/6677dc65fbac42152a14579a?utm_campaign=1052&amp;utm_source=sheet", "Apply")</f>
        <v>Apply</v>
      </c>
      <c r="C1844" s="10" t="s">
        <v>11987</v>
      </c>
      <c r="D1844" s="56" t="s">
        <v>9557</v>
      </c>
      <c r="E1844" s="10" t="s">
        <v>209</v>
      </c>
      <c r="F1844" s="10" t="s">
        <v>1159</v>
      </c>
      <c r="G1844" s="10" t="s">
        <v>9419</v>
      </c>
      <c r="H1844" s="10" t="s">
        <v>628</v>
      </c>
      <c r="I1844" s="10" t="s">
        <v>55</v>
      </c>
      <c r="J1844" s="64"/>
      <c r="K1844" s="10" t="s">
        <v>10154</v>
      </c>
      <c r="L1844" s="10" t="s">
        <v>42</v>
      </c>
    </row>
    <row r="1845" ht="15.75" customHeight="1">
      <c r="A1845" s="64">
        <v>45444.0</v>
      </c>
      <c r="B1845" s="55" t="str">
        <f>HYPERLINK("https://jobright.ai/jobs/info/6677dc65fbac42152a1457a1?utm_campaign=1052&amp;utm_source=sheet", "Apply")</f>
        <v>Apply</v>
      </c>
      <c r="C1845" s="10" t="s">
        <v>11988</v>
      </c>
      <c r="D1845" s="56" t="s">
        <v>9557</v>
      </c>
      <c r="E1845" s="10" t="s">
        <v>209</v>
      </c>
      <c r="F1845" s="10" t="s">
        <v>1159</v>
      </c>
      <c r="G1845" s="10" t="s">
        <v>9419</v>
      </c>
      <c r="H1845" s="10" t="s">
        <v>860</v>
      </c>
      <c r="I1845" s="10" t="s">
        <v>55</v>
      </c>
      <c r="K1845" s="10" t="s">
        <v>11560</v>
      </c>
      <c r="L1845" s="10" t="s">
        <v>42</v>
      </c>
    </row>
    <row r="1846" ht="15.75" customHeight="1">
      <c r="A1846" s="64">
        <v>45444.0</v>
      </c>
      <c r="B1846" s="55" t="str">
        <f>HYPERLINK("https://jobright.ai/jobs/info/6677dc65fbac42152a1457ba?utm_campaign=1052&amp;utm_source=sheet", "Apply")</f>
        <v>Apply</v>
      </c>
      <c r="C1846" s="10" t="s">
        <v>11989</v>
      </c>
      <c r="D1846" s="56" t="s">
        <v>9557</v>
      </c>
      <c r="E1846" s="10" t="s">
        <v>209</v>
      </c>
      <c r="F1846" s="10" t="s">
        <v>1159</v>
      </c>
      <c r="G1846" s="10" t="s">
        <v>9419</v>
      </c>
      <c r="H1846" s="10" t="s">
        <v>73</v>
      </c>
      <c r="I1846" s="10" t="s">
        <v>55</v>
      </c>
      <c r="K1846" s="10" t="s">
        <v>10741</v>
      </c>
      <c r="L1846" s="10" t="s">
        <v>42</v>
      </c>
    </row>
    <row r="1847" ht="15.75" customHeight="1">
      <c r="A1847" s="64">
        <v>45444.0</v>
      </c>
      <c r="B1847" s="55" t="str">
        <f>HYPERLINK("https://jobright.ai/jobs/info/6677dc65fbac42152a1457f6?utm_campaign=1052&amp;utm_source=sheet", "Apply")</f>
        <v>Apply</v>
      </c>
      <c r="C1847" s="10" t="s">
        <v>11990</v>
      </c>
      <c r="D1847" s="56" t="s">
        <v>9557</v>
      </c>
      <c r="E1847" s="10" t="s">
        <v>209</v>
      </c>
      <c r="F1847" s="10" t="s">
        <v>1159</v>
      </c>
      <c r="G1847" s="10" t="s">
        <v>9419</v>
      </c>
      <c r="H1847" s="10" t="s">
        <v>405</v>
      </c>
      <c r="I1847" s="10" t="s">
        <v>55</v>
      </c>
      <c r="J1847" s="10" t="s">
        <v>467</v>
      </c>
      <c r="K1847" s="10" t="s">
        <v>10154</v>
      </c>
      <c r="L1847" s="10" t="s">
        <v>42</v>
      </c>
    </row>
    <row r="1848" ht="15.75" customHeight="1">
      <c r="A1848" s="64">
        <v>45444.0</v>
      </c>
      <c r="B1848" s="55" t="str">
        <f>HYPERLINK("https://jobright.ai/jobs/info/6677dc65fbac42152a1457c3?utm_campaign=1052&amp;utm_source=sheet", "Apply")</f>
        <v>Apply</v>
      </c>
      <c r="C1848" s="10" t="s">
        <v>11991</v>
      </c>
      <c r="D1848" s="56" t="s">
        <v>9557</v>
      </c>
      <c r="E1848" s="10" t="s">
        <v>209</v>
      </c>
      <c r="F1848" s="10" t="s">
        <v>1159</v>
      </c>
      <c r="G1848" s="10" t="s">
        <v>9419</v>
      </c>
      <c r="H1848" s="10" t="s">
        <v>810</v>
      </c>
      <c r="I1848" s="10" t="s">
        <v>55</v>
      </c>
      <c r="K1848" s="10" t="s">
        <v>10154</v>
      </c>
      <c r="L1848" s="10" t="s">
        <v>42</v>
      </c>
    </row>
    <row r="1849" ht="15.75" customHeight="1">
      <c r="A1849" s="64">
        <v>45444.0</v>
      </c>
      <c r="B1849" s="55" t="str">
        <f>HYPERLINK("https://jobright.ai/jobs/info/6677dc65fbac42152a1457a3?utm_campaign=1052&amp;utm_source=sheet", "Apply")</f>
        <v>Apply</v>
      </c>
      <c r="C1849" s="10" t="s">
        <v>11992</v>
      </c>
      <c r="D1849" s="56" t="s">
        <v>9557</v>
      </c>
      <c r="E1849" s="10" t="s">
        <v>209</v>
      </c>
      <c r="F1849" s="10" t="s">
        <v>1159</v>
      </c>
      <c r="G1849" s="10" t="s">
        <v>9419</v>
      </c>
      <c r="H1849" s="10" t="s">
        <v>994</v>
      </c>
      <c r="I1849" s="10" t="s">
        <v>55</v>
      </c>
      <c r="J1849" s="64"/>
      <c r="K1849" s="10" t="s">
        <v>10741</v>
      </c>
      <c r="L1849" s="10" t="s">
        <v>42</v>
      </c>
    </row>
    <row r="1850" ht="15.75" customHeight="1">
      <c r="A1850" s="64">
        <v>45444.0</v>
      </c>
      <c r="B1850" s="55" t="str">
        <f>HYPERLINK("https://jobright.ai/jobs/info/6677dc65fbac42152a1457b2?utm_campaign=1052&amp;utm_source=sheet", "Apply")</f>
        <v>Apply</v>
      </c>
      <c r="C1850" s="10" t="s">
        <v>11993</v>
      </c>
      <c r="D1850" s="56" t="s">
        <v>9557</v>
      </c>
      <c r="E1850" s="10" t="s">
        <v>209</v>
      </c>
      <c r="F1850" s="10" t="s">
        <v>1159</v>
      </c>
      <c r="G1850" s="10" t="s">
        <v>9419</v>
      </c>
      <c r="H1850" s="10" t="s">
        <v>405</v>
      </c>
      <c r="I1850" s="10" t="s">
        <v>55</v>
      </c>
      <c r="J1850" s="10" t="s">
        <v>11870</v>
      </c>
      <c r="K1850" s="10" t="s">
        <v>11717</v>
      </c>
      <c r="L1850" s="10" t="s">
        <v>42</v>
      </c>
    </row>
    <row r="1851" ht="15.75" customHeight="1">
      <c r="A1851" s="64">
        <v>45444.0</v>
      </c>
      <c r="B1851" s="55" t="str">
        <f>HYPERLINK("https://jobright.ai/jobs/info/6677dc65fbac42152a1457fa?utm_campaign=1052&amp;utm_source=sheet", "Apply")</f>
        <v>Apply</v>
      </c>
      <c r="C1851" s="10" t="s">
        <v>11994</v>
      </c>
      <c r="D1851" s="56" t="s">
        <v>9557</v>
      </c>
      <c r="E1851" s="10" t="s">
        <v>209</v>
      </c>
      <c r="F1851" s="10" t="s">
        <v>1159</v>
      </c>
      <c r="G1851" s="10" t="s">
        <v>9419</v>
      </c>
      <c r="H1851" s="10" t="s">
        <v>4799</v>
      </c>
      <c r="I1851" s="10" t="s">
        <v>55</v>
      </c>
      <c r="J1851" s="64"/>
      <c r="K1851" s="10" t="s">
        <v>10741</v>
      </c>
      <c r="L1851" s="10" t="s">
        <v>42</v>
      </c>
    </row>
    <row r="1852" ht="15.75" customHeight="1">
      <c r="A1852" s="64">
        <v>45444.0</v>
      </c>
      <c r="B1852" s="55" t="str">
        <f>HYPERLINK("https://jobright.ai/jobs/info/6677dc65fbac42152a1457bb?utm_campaign=1052&amp;utm_source=sheet", "Apply")</f>
        <v>Apply</v>
      </c>
      <c r="C1852" s="10" t="s">
        <v>11995</v>
      </c>
      <c r="D1852" s="56" t="s">
        <v>9557</v>
      </c>
      <c r="E1852" s="10" t="s">
        <v>209</v>
      </c>
      <c r="F1852" s="10" t="s">
        <v>1159</v>
      </c>
      <c r="G1852" s="10" t="s">
        <v>9419</v>
      </c>
      <c r="H1852" s="10" t="s">
        <v>174</v>
      </c>
      <c r="I1852" s="10" t="s">
        <v>55</v>
      </c>
      <c r="J1852" s="64"/>
      <c r="K1852" s="10" t="s">
        <v>11560</v>
      </c>
      <c r="L1852" s="10" t="s">
        <v>42</v>
      </c>
    </row>
    <row r="1853" ht="15.75" customHeight="1">
      <c r="A1853" s="64">
        <v>45444.0</v>
      </c>
      <c r="B1853" s="55" t="str">
        <f>HYPERLINK("https://jobright.ai/jobs/info/6677dc71fbac42152a145813?utm_campaign=1052&amp;utm_source=sheet", "Apply")</f>
        <v>Apply</v>
      </c>
      <c r="C1853" s="10" t="s">
        <v>11996</v>
      </c>
      <c r="D1853" s="56" t="s">
        <v>9557</v>
      </c>
      <c r="E1853" s="10" t="s">
        <v>209</v>
      </c>
      <c r="F1853" s="10" t="s">
        <v>1159</v>
      </c>
      <c r="G1853" s="10" t="s">
        <v>9419</v>
      </c>
      <c r="H1853" s="10" t="s">
        <v>1978</v>
      </c>
      <c r="I1853" s="10" t="s">
        <v>55</v>
      </c>
      <c r="J1853" s="64"/>
      <c r="K1853" s="10" t="s">
        <v>10154</v>
      </c>
      <c r="L1853" s="10" t="s">
        <v>42</v>
      </c>
    </row>
    <row r="1854" ht="15.75" customHeight="1">
      <c r="A1854" s="64">
        <v>45444.0</v>
      </c>
      <c r="B1854" s="55" t="str">
        <f>HYPERLINK("https://jobright.ai/jobs/info/6677dc65fbac42152a1457cc?utm_campaign=1052&amp;utm_source=sheet", "Apply")</f>
        <v>Apply</v>
      </c>
      <c r="C1854" s="10" t="s">
        <v>11997</v>
      </c>
      <c r="D1854" s="56" t="s">
        <v>9557</v>
      </c>
      <c r="E1854" s="10" t="s">
        <v>209</v>
      </c>
      <c r="F1854" s="10" t="s">
        <v>1159</v>
      </c>
      <c r="G1854" s="10" t="s">
        <v>9419</v>
      </c>
      <c r="H1854" s="10" t="s">
        <v>843</v>
      </c>
      <c r="I1854" s="10" t="s">
        <v>55</v>
      </c>
      <c r="K1854" s="10" t="s">
        <v>10154</v>
      </c>
      <c r="L1854" s="10" t="s">
        <v>42</v>
      </c>
    </row>
    <row r="1855" ht="15.75" customHeight="1">
      <c r="A1855" s="64">
        <v>45444.0</v>
      </c>
      <c r="B1855" s="55" t="str">
        <f>HYPERLINK("https://jobright.ai/jobs/info/6677dc65fbac42152a1457c9?utm_campaign=1052&amp;utm_source=sheet", "Apply")</f>
        <v>Apply</v>
      </c>
      <c r="C1855" s="10" t="s">
        <v>11998</v>
      </c>
      <c r="D1855" s="56" t="s">
        <v>9557</v>
      </c>
      <c r="E1855" s="10" t="s">
        <v>209</v>
      </c>
      <c r="F1855" s="10" t="s">
        <v>1159</v>
      </c>
      <c r="G1855" s="10" t="s">
        <v>9419</v>
      </c>
      <c r="H1855" s="10" t="s">
        <v>1041</v>
      </c>
      <c r="I1855" s="10" t="s">
        <v>55</v>
      </c>
      <c r="K1855" s="10" t="s">
        <v>10741</v>
      </c>
      <c r="L1855" s="10" t="s">
        <v>42</v>
      </c>
    </row>
    <row r="1856" ht="15.75" customHeight="1">
      <c r="A1856" s="64">
        <v>45444.0</v>
      </c>
      <c r="B1856" s="55" t="str">
        <f>HYPERLINK("https://jobright.ai/jobs/info/66801041837d16e3277f5eef?utm_campaign=1052&amp;utm_source=sheet", "Apply")</f>
        <v>Apply</v>
      </c>
      <c r="C1856" s="10" t="s">
        <v>11999</v>
      </c>
      <c r="D1856" s="56" t="s">
        <v>9557</v>
      </c>
      <c r="E1856" s="10" t="s">
        <v>209</v>
      </c>
      <c r="F1856" s="10" t="s">
        <v>1159</v>
      </c>
      <c r="G1856" s="10" t="s">
        <v>9419</v>
      </c>
      <c r="H1856" s="10" t="s">
        <v>106</v>
      </c>
      <c r="I1856" s="10" t="s">
        <v>55</v>
      </c>
      <c r="J1856" s="64"/>
      <c r="K1856" s="10" t="s">
        <v>10154</v>
      </c>
      <c r="L1856" s="10" t="s">
        <v>42</v>
      </c>
    </row>
    <row r="1857" ht="15.75" customHeight="1">
      <c r="A1857" s="64">
        <v>45444.0</v>
      </c>
      <c r="B1857" s="55" t="str">
        <f>HYPERLINK("https://jobright.ai/jobs/info/66801041837d16e3277f5efb?utm_campaign=1052&amp;utm_source=sheet", "Apply")</f>
        <v>Apply</v>
      </c>
      <c r="C1857" s="10" t="s">
        <v>12000</v>
      </c>
      <c r="D1857" s="56" t="s">
        <v>9557</v>
      </c>
      <c r="E1857" s="10" t="s">
        <v>209</v>
      </c>
      <c r="F1857" s="10" t="s">
        <v>1159</v>
      </c>
      <c r="G1857" s="10" t="s">
        <v>9419</v>
      </c>
      <c r="H1857" s="10" t="s">
        <v>174</v>
      </c>
      <c r="I1857" s="10" t="s">
        <v>55</v>
      </c>
      <c r="J1857" s="64"/>
      <c r="K1857" s="10" t="s">
        <v>10741</v>
      </c>
      <c r="L1857" s="10" t="s">
        <v>42</v>
      </c>
    </row>
    <row r="1858" ht="15.75" customHeight="1">
      <c r="A1858" s="64">
        <v>45444.0</v>
      </c>
      <c r="B1858" s="55" t="str">
        <f>HYPERLINK("https://jobright.ai/jobs/info/6677dc71fbac42152a145873?utm_campaign=1052&amp;utm_source=sheet", "Apply")</f>
        <v>Apply</v>
      </c>
      <c r="C1858" s="10" t="s">
        <v>12001</v>
      </c>
      <c r="D1858" s="56" t="s">
        <v>9557</v>
      </c>
      <c r="E1858" s="10" t="s">
        <v>209</v>
      </c>
      <c r="F1858" s="10" t="s">
        <v>1159</v>
      </c>
      <c r="G1858" s="10" t="s">
        <v>9419</v>
      </c>
      <c r="H1858" s="10" t="s">
        <v>11956</v>
      </c>
      <c r="I1858" s="10" t="s">
        <v>55</v>
      </c>
      <c r="K1858" s="10" t="s">
        <v>10154</v>
      </c>
      <c r="L1858" s="10" t="s">
        <v>42</v>
      </c>
    </row>
    <row r="1859" ht="15.75" customHeight="1">
      <c r="A1859" s="64">
        <v>45444.0</v>
      </c>
      <c r="B1859" s="55" t="str">
        <f>HYPERLINK("https://jobright.ai/jobs/info/6677dc71fbac42152a14586a?utm_campaign=1052&amp;utm_source=sheet", "Apply")</f>
        <v>Apply</v>
      </c>
      <c r="C1859" s="10" t="s">
        <v>12002</v>
      </c>
      <c r="D1859" s="56" t="s">
        <v>9557</v>
      </c>
      <c r="E1859" s="10" t="s">
        <v>209</v>
      </c>
      <c r="F1859" s="10" t="s">
        <v>1159</v>
      </c>
      <c r="G1859" s="10" t="s">
        <v>9419</v>
      </c>
      <c r="H1859" s="10" t="s">
        <v>860</v>
      </c>
      <c r="I1859" s="10" t="s">
        <v>55</v>
      </c>
      <c r="K1859" s="10" t="s">
        <v>11560</v>
      </c>
      <c r="L1859" s="10" t="s">
        <v>42</v>
      </c>
    </row>
    <row r="1860" ht="15.75" customHeight="1">
      <c r="A1860" s="64">
        <v>45444.0</v>
      </c>
      <c r="B1860" s="55" t="str">
        <f>HYPERLINK("https://jobright.ai/jobs/info/6677dc71fbac42152a145859?utm_campaign=1052&amp;utm_source=sheet", "Apply")</f>
        <v>Apply</v>
      </c>
      <c r="C1860" s="10" t="s">
        <v>12003</v>
      </c>
      <c r="D1860" s="56" t="s">
        <v>9557</v>
      </c>
      <c r="E1860" s="10" t="s">
        <v>209</v>
      </c>
      <c r="F1860" s="10" t="s">
        <v>1159</v>
      </c>
      <c r="G1860" s="10" t="s">
        <v>9419</v>
      </c>
      <c r="H1860" s="10" t="s">
        <v>434</v>
      </c>
      <c r="I1860" s="10" t="s">
        <v>55</v>
      </c>
      <c r="J1860" s="10" t="s">
        <v>11870</v>
      </c>
      <c r="K1860" s="10" t="s">
        <v>10741</v>
      </c>
      <c r="L1860" s="10" t="s">
        <v>42</v>
      </c>
    </row>
    <row r="1861" ht="15.75" customHeight="1">
      <c r="A1861" s="64">
        <v>45444.0</v>
      </c>
      <c r="B1861" s="55" t="str">
        <f>HYPERLINK("https://jobright.ai/jobs/info/6677dc71fbac42152a145840?utm_campaign=1052&amp;utm_source=sheet", "Apply")</f>
        <v>Apply</v>
      </c>
      <c r="C1861" s="10" t="s">
        <v>12004</v>
      </c>
      <c r="D1861" s="56" t="s">
        <v>9557</v>
      </c>
      <c r="E1861" s="10" t="s">
        <v>209</v>
      </c>
      <c r="F1861" s="10" t="s">
        <v>1159</v>
      </c>
      <c r="G1861" s="10" t="s">
        <v>9419</v>
      </c>
      <c r="H1861" s="10" t="s">
        <v>5148</v>
      </c>
      <c r="I1861" s="10" t="s">
        <v>55</v>
      </c>
      <c r="J1861" s="64"/>
      <c r="K1861" s="10" t="s">
        <v>10154</v>
      </c>
      <c r="L1861" s="10" t="s">
        <v>42</v>
      </c>
    </row>
    <row r="1862" ht="15.75" customHeight="1">
      <c r="A1862" s="64">
        <v>45444.0</v>
      </c>
      <c r="B1862" s="55" t="str">
        <f>HYPERLINK("https://jobright.ai/jobs/info/6677dc71fbac42152a145870?utm_campaign=1052&amp;utm_source=sheet", "Apply")</f>
        <v>Apply</v>
      </c>
      <c r="C1862" s="10" t="s">
        <v>12005</v>
      </c>
      <c r="D1862" s="56" t="s">
        <v>9557</v>
      </c>
      <c r="E1862" s="10" t="s">
        <v>209</v>
      </c>
      <c r="F1862" s="10" t="s">
        <v>1159</v>
      </c>
      <c r="G1862" s="10" t="s">
        <v>9419</v>
      </c>
      <c r="H1862" s="10" t="s">
        <v>837</v>
      </c>
      <c r="I1862" s="10" t="s">
        <v>55</v>
      </c>
      <c r="J1862" s="64"/>
      <c r="K1862" s="10" t="s">
        <v>10741</v>
      </c>
      <c r="L1862" s="10" t="s">
        <v>42</v>
      </c>
    </row>
    <row r="1863" ht="15.75" customHeight="1">
      <c r="A1863" s="64">
        <v>45444.0</v>
      </c>
      <c r="B1863" s="55" t="str">
        <f>HYPERLINK("https://jobright.ai/jobs/info/6677dc71fbac42152a145896?utm_campaign=1052&amp;utm_source=sheet", "Apply")</f>
        <v>Apply</v>
      </c>
      <c r="C1863" s="10" t="s">
        <v>12006</v>
      </c>
      <c r="D1863" s="56" t="s">
        <v>9557</v>
      </c>
      <c r="E1863" s="10" t="s">
        <v>209</v>
      </c>
      <c r="F1863" s="10" t="s">
        <v>1159</v>
      </c>
      <c r="G1863" s="10" t="s">
        <v>9419</v>
      </c>
      <c r="H1863" s="10" t="s">
        <v>874</v>
      </c>
      <c r="I1863" s="10" t="s">
        <v>55</v>
      </c>
      <c r="J1863" s="64"/>
      <c r="K1863" s="10" t="s">
        <v>10741</v>
      </c>
      <c r="L1863" s="10" t="s">
        <v>42</v>
      </c>
    </row>
    <row r="1864" ht="15.75" customHeight="1">
      <c r="A1864" s="64">
        <v>45444.0</v>
      </c>
      <c r="B1864" s="55" t="str">
        <f>HYPERLINK("https://jobright.ai/jobs/info/6677dc71fbac42152a14584a?utm_campaign=1052&amp;utm_source=sheet", "Apply")</f>
        <v>Apply</v>
      </c>
      <c r="C1864" s="10" t="s">
        <v>12007</v>
      </c>
      <c r="D1864" s="56" t="s">
        <v>9557</v>
      </c>
      <c r="E1864" s="10" t="s">
        <v>209</v>
      </c>
      <c r="F1864" s="10" t="s">
        <v>1159</v>
      </c>
      <c r="G1864" s="10" t="s">
        <v>9419</v>
      </c>
      <c r="H1864" s="10" t="s">
        <v>5148</v>
      </c>
      <c r="I1864" s="10" t="s">
        <v>55</v>
      </c>
      <c r="K1864" s="10" t="s">
        <v>10154</v>
      </c>
      <c r="L1864" s="10" t="s">
        <v>42</v>
      </c>
    </row>
    <row r="1865" ht="15.75" customHeight="1">
      <c r="A1865" s="64">
        <v>45444.0</v>
      </c>
      <c r="B1865" s="55" t="str">
        <f>HYPERLINK("https://jobright.ai/jobs/info/6677dc71fbac42152a145848?utm_campaign=1052&amp;utm_source=sheet", "Apply")</f>
        <v>Apply</v>
      </c>
      <c r="C1865" s="10" t="s">
        <v>12008</v>
      </c>
      <c r="D1865" s="56" t="s">
        <v>9557</v>
      </c>
      <c r="E1865" s="10" t="s">
        <v>209</v>
      </c>
      <c r="F1865" s="10" t="s">
        <v>1159</v>
      </c>
      <c r="G1865" s="10" t="s">
        <v>9419</v>
      </c>
      <c r="H1865" s="10" t="s">
        <v>994</v>
      </c>
      <c r="I1865" s="10" t="s">
        <v>55</v>
      </c>
      <c r="J1865" s="64"/>
      <c r="K1865" s="10" t="s">
        <v>10154</v>
      </c>
      <c r="L1865" s="10" t="s">
        <v>42</v>
      </c>
    </row>
    <row r="1866" ht="15.75" customHeight="1">
      <c r="A1866" s="64">
        <v>45444.0</v>
      </c>
      <c r="B1866" s="55" t="str">
        <f>HYPERLINK("https://jobright.ai/jobs/info/6677dc71fbac42152a145895?utm_campaign=1052&amp;utm_source=sheet", "Apply")</f>
        <v>Apply</v>
      </c>
      <c r="C1866" s="10" t="s">
        <v>12009</v>
      </c>
      <c r="D1866" s="56" t="s">
        <v>9557</v>
      </c>
      <c r="E1866" s="10" t="s">
        <v>209</v>
      </c>
      <c r="F1866" s="10" t="s">
        <v>1159</v>
      </c>
      <c r="G1866" s="10" t="s">
        <v>9419</v>
      </c>
      <c r="H1866" s="10" t="s">
        <v>3847</v>
      </c>
      <c r="I1866" s="10" t="s">
        <v>55</v>
      </c>
      <c r="J1866" s="64"/>
      <c r="K1866" s="10" t="s">
        <v>10154</v>
      </c>
      <c r="L1866" s="10" t="s">
        <v>42</v>
      </c>
    </row>
    <row r="1867" ht="15.75" customHeight="1">
      <c r="A1867" s="64">
        <v>45444.0</v>
      </c>
      <c r="B1867" s="55" t="str">
        <f>HYPERLINK("https://jobright.ai/jobs/info/6677dc71fbac42152a145856?utm_campaign=1052&amp;utm_source=sheet", "Apply")</f>
        <v>Apply</v>
      </c>
      <c r="C1867" s="10" t="s">
        <v>12010</v>
      </c>
      <c r="D1867" s="56" t="s">
        <v>9557</v>
      </c>
      <c r="E1867" s="10" t="s">
        <v>209</v>
      </c>
      <c r="F1867" s="10" t="s">
        <v>1159</v>
      </c>
      <c r="G1867" s="10" t="s">
        <v>9419</v>
      </c>
      <c r="H1867" s="10" t="s">
        <v>628</v>
      </c>
      <c r="I1867" s="10" t="s">
        <v>55</v>
      </c>
      <c r="K1867" s="10" t="s">
        <v>10154</v>
      </c>
      <c r="L1867" s="10" t="s">
        <v>42</v>
      </c>
    </row>
    <row r="1868" ht="15.75" customHeight="1">
      <c r="A1868" s="64">
        <v>45444.0</v>
      </c>
      <c r="B1868" s="55" t="str">
        <f>HYPERLINK("https://jobright.ai/jobs/info/6677dc71fbac42152a145866?utm_campaign=1052&amp;utm_source=sheet", "Apply")</f>
        <v>Apply</v>
      </c>
      <c r="C1868" s="10" t="s">
        <v>12011</v>
      </c>
      <c r="D1868" s="56" t="s">
        <v>9557</v>
      </c>
      <c r="E1868" s="10" t="s">
        <v>209</v>
      </c>
      <c r="F1868" s="10" t="s">
        <v>1159</v>
      </c>
      <c r="G1868" s="10" t="s">
        <v>9419</v>
      </c>
      <c r="H1868" s="10" t="s">
        <v>810</v>
      </c>
      <c r="I1868" s="10" t="s">
        <v>55</v>
      </c>
      <c r="J1868" s="64"/>
      <c r="K1868" s="10" t="s">
        <v>10741</v>
      </c>
      <c r="L1868" s="10" t="s">
        <v>42</v>
      </c>
    </row>
    <row r="1869" ht="15.75" customHeight="1">
      <c r="A1869" s="64">
        <v>45444.0</v>
      </c>
      <c r="B1869" s="55" t="str">
        <f>HYPERLINK("https://jobright.ai/jobs/info/6677dc71fbac42152a14585c?utm_campaign=1052&amp;utm_source=sheet", "Apply")</f>
        <v>Apply</v>
      </c>
      <c r="C1869" s="10" t="s">
        <v>12012</v>
      </c>
      <c r="D1869" s="56" t="s">
        <v>9557</v>
      </c>
      <c r="E1869" s="10" t="s">
        <v>209</v>
      </c>
      <c r="F1869" s="10" t="s">
        <v>1159</v>
      </c>
      <c r="G1869" s="10" t="s">
        <v>9419</v>
      </c>
      <c r="H1869" s="10" t="s">
        <v>860</v>
      </c>
      <c r="I1869" s="10" t="s">
        <v>55</v>
      </c>
      <c r="K1869" s="10" t="s">
        <v>10154</v>
      </c>
      <c r="L1869" s="10" t="s">
        <v>42</v>
      </c>
    </row>
    <row r="1870" ht="15.75" customHeight="1">
      <c r="A1870" s="64">
        <v>45444.0</v>
      </c>
      <c r="B1870" s="55" t="str">
        <f>HYPERLINK("https://jobright.ai/jobs/info/6677dc71fbac42152a145847?utm_campaign=1052&amp;utm_source=sheet", "Apply")</f>
        <v>Apply</v>
      </c>
      <c r="C1870" s="10" t="s">
        <v>12013</v>
      </c>
      <c r="D1870" s="56" t="s">
        <v>9557</v>
      </c>
      <c r="E1870" s="10" t="s">
        <v>209</v>
      </c>
      <c r="F1870" s="10" t="s">
        <v>1159</v>
      </c>
      <c r="G1870" s="10" t="s">
        <v>9419</v>
      </c>
      <c r="H1870" s="10" t="s">
        <v>405</v>
      </c>
      <c r="I1870" s="10" t="s">
        <v>55</v>
      </c>
      <c r="J1870" s="10" t="s">
        <v>11870</v>
      </c>
      <c r="K1870" s="10" t="s">
        <v>12014</v>
      </c>
      <c r="L1870" s="10" t="s">
        <v>42</v>
      </c>
    </row>
    <row r="1871" ht="15.75" customHeight="1">
      <c r="A1871" s="64">
        <v>45444.0</v>
      </c>
      <c r="B1871" s="55" t="str">
        <f>HYPERLINK("https://jobright.ai/jobs/info/6677dc71fbac42152a14588e?utm_campaign=1052&amp;utm_source=sheet", "Apply")</f>
        <v>Apply</v>
      </c>
      <c r="C1871" s="10" t="s">
        <v>12015</v>
      </c>
      <c r="D1871" s="56" t="s">
        <v>9557</v>
      </c>
      <c r="E1871" s="10" t="s">
        <v>209</v>
      </c>
      <c r="F1871" s="10" t="s">
        <v>1159</v>
      </c>
      <c r="G1871" s="10" t="s">
        <v>9419</v>
      </c>
      <c r="H1871" s="10" t="s">
        <v>788</v>
      </c>
      <c r="I1871" s="10" t="s">
        <v>55</v>
      </c>
      <c r="K1871" s="10" t="s">
        <v>10741</v>
      </c>
      <c r="L1871" s="10" t="s">
        <v>42</v>
      </c>
    </row>
    <row r="1872" ht="15.75" customHeight="1">
      <c r="A1872" s="64">
        <v>45444.0</v>
      </c>
      <c r="B1872" s="55" t="str">
        <f>HYPERLINK("https://jobright.ai/jobs/info/66800a71ea6c0b10693cf4ac?utm_campaign=1052&amp;utm_source=sheet", "Apply")</f>
        <v>Apply</v>
      </c>
      <c r="C1872" s="10" t="s">
        <v>12016</v>
      </c>
      <c r="D1872" s="56" t="s">
        <v>9557</v>
      </c>
      <c r="E1872" s="10" t="s">
        <v>209</v>
      </c>
      <c r="F1872" s="10" t="s">
        <v>1159</v>
      </c>
      <c r="G1872" s="10" t="s">
        <v>9419</v>
      </c>
      <c r="H1872" s="10" t="s">
        <v>788</v>
      </c>
      <c r="I1872" s="10" t="s">
        <v>55</v>
      </c>
      <c r="K1872" s="10" t="s">
        <v>10741</v>
      </c>
      <c r="L1872" s="10" t="s">
        <v>42</v>
      </c>
    </row>
    <row r="1873" ht="15.75" customHeight="1">
      <c r="A1873" s="64">
        <v>45444.0</v>
      </c>
      <c r="B1873" s="55" t="str">
        <f>HYPERLINK("https://jobright.ai/jobs/info/6677dc71fbac42152a145871?utm_campaign=1052&amp;utm_source=sheet", "Apply")</f>
        <v>Apply</v>
      </c>
      <c r="C1873" s="10" t="s">
        <v>12017</v>
      </c>
      <c r="D1873" s="56" t="s">
        <v>9557</v>
      </c>
      <c r="E1873" s="10" t="s">
        <v>209</v>
      </c>
      <c r="F1873" s="10" t="s">
        <v>1159</v>
      </c>
      <c r="G1873" s="10" t="s">
        <v>9419</v>
      </c>
      <c r="H1873" s="10" t="s">
        <v>994</v>
      </c>
      <c r="I1873" s="10" t="s">
        <v>55</v>
      </c>
      <c r="J1873" s="64"/>
      <c r="K1873" s="10" t="s">
        <v>11560</v>
      </c>
      <c r="L1873" s="10" t="s">
        <v>42</v>
      </c>
    </row>
    <row r="1874" ht="15.75" customHeight="1">
      <c r="A1874" s="64">
        <v>45444.0</v>
      </c>
      <c r="B1874" s="55" t="str">
        <f>HYPERLINK("https://jobright.ai/jobs/info/6677dc71fbac42152a145855?utm_campaign=1052&amp;utm_source=sheet", "Apply")</f>
        <v>Apply</v>
      </c>
      <c r="C1874" s="10" t="s">
        <v>12018</v>
      </c>
      <c r="D1874" s="56" t="s">
        <v>9557</v>
      </c>
      <c r="E1874" s="10" t="s">
        <v>209</v>
      </c>
      <c r="F1874" s="10" t="s">
        <v>1159</v>
      </c>
      <c r="G1874" s="10" t="s">
        <v>9419</v>
      </c>
      <c r="H1874" s="10" t="s">
        <v>73</v>
      </c>
      <c r="I1874" s="10" t="s">
        <v>55</v>
      </c>
      <c r="J1874" s="64"/>
      <c r="K1874" s="10" t="s">
        <v>11560</v>
      </c>
      <c r="L1874" s="10" t="s">
        <v>42</v>
      </c>
    </row>
    <row r="1875" ht="15.75" customHeight="1">
      <c r="A1875" s="64">
        <v>45444.0</v>
      </c>
      <c r="B1875" s="55" t="str">
        <f>HYPERLINK("https://jobright.ai/jobs/info/6677dc71fbac42152a145867?utm_campaign=1052&amp;utm_source=sheet", "Apply")</f>
        <v>Apply</v>
      </c>
      <c r="C1875" s="10" t="s">
        <v>12019</v>
      </c>
      <c r="D1875" s="56" t="s">
        <v>9557</v>
      </c>
      <c r="E1875" s="10" t="s">
        <v>209</v>
      </c>
      <c r="F1875" s="10" t="s">
        <v>1159</v>
      </c>
      <c r="G1875" s="10" t="s">
        <v>9419</v>
      </c>
      <c r="H1875" s="10" t="s">
        <v>810</v>
      </c>
      <c r="I1875" s="10" t="s">
        <v>55</v>
      </c>
      <c r="J1875" s="64"/>
      <c r="K1875" s="10" t="s">
        <v>10154</v>
      </c>
      <c r="L1875" s="10" t="s">
        <v>42</v>
      </c>
    </row>
    <row r="1876" ht="15.75" customHeight="1">
      <c r="A1876" s="64">
        <v>45444.0</v>
      </c>
      <c r="B1876" s="55" t="str">
        <f>HYPERLINK("https://jobright.ai/jobs/info/66800588c0e1fee486ee943d?utm_campaign=1052&amp;utm_source=sheet", "Apply")</f>
        <v>Apply</v>
      </c>
      <c r="C1876" s="10" t="s">
        <v>12020</v>
      </c>
      <c r="D1876" s="56" t="s">
        <v>9557</v>
      </c>
      <c r="E1876" s="10" t="s">
        <v>209</v>
      </c>
      <c r="F1876" s="10" t="s">
        <v>1159</v>
      </c>
      <c r="G1876" s="10" t="s">
        <v>9419</v>
      </c>
      <c r="H1876" s="10" t="s">
        <v>5148</v>
      </c>
      <c r="I1876" s="10" t="s">
        <v>55</v>
      </c>
      <c r="J1876" s="64"/>
      <c r="K1876" s="10" t="s">
        <v>11717</v>
      </c>
      <c r="L1876" s="10" t="s">
        <v>42</v>
      </c>
    </row>
    <row r="1877" ht="15.75" customHeight="1">
      <c r="A1877" s="64">
        <v>45444.0</v>
      </c>
      <c r="B1877" s="55" t="str">
        <f>HYPERLINK("https://jobright.ai/jobs/info/66800592c0e1fee486ee9448?utm_campaign=1052&amp;utm_source=sheet", "Apply")</f>
        <v>Apply</v>
      </c>
      <c r="C1877" s="10" t="s">
        <v>12021</v>
      </c>
      <c r="D1877" s="56" t="s">
        <v>9557</v>
      </c>
      <c r="E1877" s="10" t="s">
        <v>209</v>
      </c>
      <c r="F1877" s="10" t="s">
        <v>1159</v>
      </c>
      <c r="G1877" s="10" t="s">
        <v>9419</v>
      </c>
      <c r="H1877" s="10" t="s">
        <v>788</v>
      </c>
      <c r="I1877" s="10" t="s">
        <v>55</v>
      </c>
      <c r="K1877" s="10" t="s">
        <v>10741</v>
      </c>
      <c r="L1877" s="10" t="s">
        <v>42</v>
      </c>
    </row>
    <row r="1878" ht="15.75" customHeight="1">
      <c r="A1878" s="64">
        <v>45444.0</v>
      </c>
      <c r="B1878" s="55" t="str">
        <f>HYPERLINK("https://jobright.ai/jobs/info/667ffd07a319fbf7beede0c8?utm_campaign=1052&amp;utm_source=sheet", "Apply")</f>
        <v>Apply</v>
      </c>
      <c r="C1878" s="10" t="s">
        <v>12022</v>
      </c>
      <c r="D1878" s="56" t="s">
        <v>9557</v>
      </c>
      <c r="E1878" s="10" t="s">
        <v>209</v>
      </c>
      <c r="F1878" s="10" t="s">
        <v>1159</v>
      </c>
      <c r="G1878" s="10" t="s">
        <v>9419</v>
      </c>
      <c r="H1878" s="10" t="s">
        <v>153</v>
      </c>
      <c r="I1878" s="10" t="s">
        <v>55</v>
      </c>
      <c r="J1878" s="64"/>
      <c r="K1878" s="10" t="s">
        <v>11560</v>
      </c>
      <c r="L1878" s="10" t="s">
        <v>42</v>
      </c>
    </row>
    <row r="1879" ht="15.75" customHeight="1">
      <c r="A1879" s="64">
        <v>45444.0</v>
      </c>
      <c r="B1879" s="55" t="str">
        <f>HYPERLINK("https://jobright.ai/jobs/info/6677dc7cfbac42152a1458e5?utm_campaign=1052&amp;utm_source=sheet", "Apply")</f>
        <v>Apply</v>
      </c>
      <c r="C1879" s="10" t="s">
        <v>12023</v>
      </c>
      <c r="D1879" s="56" t="s">
        <v>9557</v>
      </c>
      <c r="E1879" s="10" t="s">
        <v>209</v>
      </c>
      <c r="F1879" s="10" t="s">
        <v>1159</v>
      </c>
      <c r="G1879" s="10" t="s">
        <v>9419</v>
      </c>
      <c r="H1879" s="10" t="s">
        <v>993</v>
      </c>
      <c r="I1879" s="10" t="s">
        <v>55</v>
      </c>
      <c r="J1879" s="64"/>
      <c r="K1879" s="10" t="s">
        <v>10154</v>
      </c>
      <c r="L1879" s="10" t="s">
        <v>42</v>
      </c>
    </row>
    <row r="1880" ht="15.75" customHeight="1">
      <c r="A1880" s="64">
        <v>45444.0</v>
      </c>
      <c r="B1880" s="55" t="str">
        <f>HYPERLINK("https://jobright.ai/jobs/info/6677dc7cfbac42152a1458f6?utm_campaign=1052&amp;utm_source=sheet", "Apply")</f>
        <v>Apply</v>
      </c>
      <c r="C1880" s="10" t="s">
        <v>12024</v>
      </c>
      <c r="D1880" s="56" t="s">
        <v>9557</v>
      </c>
      <c r="E1880" s="10" t="s">
        <v>209</v>
      </c>
      <c r="F1880" s="10" t="s">
        <v>1159</v>
      </c>
      <c r="G1880" s="10" t="s">
        <v>9419</v>
      </c>
      <c r="H1880" s="10" t="s">
        <v>106</v>
      </c>
      <c r="I1880" s="10" t="s">
        <v>55</v>
      </c>
      <c r="J1880" s="64"/>
      <c r="K1880" s="10" t="s">
        <v>11560</v>
      </c>
      <c r="L1880" s="10" t="s">
        <v>42</v>
      </c>
    </row>
    <row r="1881" ht="15.75" customHeight="1">
      <c r="A1881" s="64">
        <v>45444.0</v>
      </c>
      <c r="B1881" s="55" t="str">
        <f>HYPERLINK("https://jobright.ai/jobs/info/6677dc7cfbac42152a1458e9?utm_campaign=1052&amp;utm_source=sheet", "Apply")</f>
        <v>Apply</v>
      </c>
      <c r="C1881" s="10" t="s">
        <v>12025</v>
      </c>
      <c r="D1881" s="56" t="s">
        <v>9557</v>
      </c>
      <c r="E1881" s="10" t="s">
        <v>209</v>
      </c>
      <c r="F1881" s="10" t="s">
        <v>1159</v>
      </c>
      <c r="G1881" s="10" t="s">
        <v>9419</v>
      </c>
      <c r="H1881" s="10" t="s">
        <v>827</v>
      </c>
      <c r="I1881" s="10" t="s">
        <v>55</v>
      </c>
      <c r="J1881" s="64"/>
      <c r="K1881" s="10" t="s">
        <v>10154</v>
      </c>
      <c r="L1881" s="10" t="s">
        <v>42</v>
      </c>
    </row>
    <row r="1882" ht="15.75" customHeight="1">
      <c r="A1882" s="64">
        <v>45444.0</v>
      </c>
      <c r="B1882" s="55" t="str">
        <f>HYPERLINK("https://jobright.ai/jobs/info/6677dc7cfbac42152a1458dd?utm_campaign=1052&amp;utm_source=sheet", "Apply")</f>
        <v>Apply</v>
      </c>
      <c r="C1882" s="10" t="s">
        <v>12026</v>
      </c>
      <c r="D1882" s="56" t="s">
        <v>9557</v>
      </c>
      <c r="E1882" s="10" t="s">
        <v>209</v>
      </c>
      <c r="F1882" s="10" t="s">
        <v>1159</v>
      </c>
      <c r="G1882" s="10" t="s">
        <v>9419</v>
      </c>
      <c r="H1882" s="10" t="s">
        <v>405</v>
      </c>
      <c r="I1882" s="10" t="s">
        <v>55</v>
      </c>
      <c r="J1882" s="10" t="s">
        <v>467</v>
      </c>
      <c r="K1882" s="10" t="s">
        <v>10154</v>
      </c>
      <c r="L1882" s="10" t="s">
        <v>42</v>
      </c>
    </row>
    <row r="1883" ht="15.75" customHeight="1">
      <c r="A1883" s="64">
        <v>45444.0</v>
      </c>
      <c r="B1883" s="55" t="str">
        <f>HYPERLINK("https://jobright.ai/jobs/info/6677dc7cfbac42152a1458ee?utm_campaign=1052&amp;utm_source=sheet", "Apply")</f>
        <v>Apply</v>
      </c>
      <c r="C1883" s="10" t="s">
        <v>12027</v>
      </c>
      <c r="D1883" s="56" t="s">
        <v>9557</v>
      </c>
      <c r="E1883" s="10" t="s">
        <v>209</v>
      </c>
      <c r="F1883" s="10" t="s">
        <v>1159</v>
      </c>
      <c r="G1883" s="10" t="s">
        <v>9419</v>
      </c>
      <c r="H1883" s="10" t="s">
        <v>5148</v>
      </c>
      <c r="I1883" s="10" t="s">
        <v>55</v>
      </c>
      <c r="J1883" s="64"/>
      <c r="K1883" s="10" t="s">
        <v>10154</v>
      </c>
      <c r="L1883" s="10" t="s">
        <v>42</v>
      </c>
    </row>
    <row r="1884" ht="15.75" customHeight="1">
      <c r="A1884" s="64">
        <v>45444.0</v>
      </c>
      <c r="B1884" s="55" t="str">
        <f>HYPERLINK("https://jobright.ai/jobs/info/6677dc7cfbac42152a1458ff?utm_campaign=1052&amp;utm_source=sheet", "Apply")</f>
        <v>Apply</v>
      </c>
      <c r="C1884" s="10" t="s">
        <v>12028</v>
      </c>
      <c r="D1884" s="56" t="s">
        <v>9557</v>
      </c>
      <c r="E1884" s="10" t="s">
        <v>209</v>
      </c>
      <c r="F1884" s="10" t="s">
        <v>1159</v>
      </c>
      <c r="G1884" s="10" t="s">
        <v>9419</v>
      </c>
      <c r="H1884" s="10" t="s">
        <v>434</v>
      </c>
      <c r="I1884" s="10" t="s">
        <v>55</v>
      </c>
      <c r="J1884" s="10" t="s">
        <v>11870</v>
      </c>
      <c r="K1884" s="10" t="s">
        <v>12029</v>
      </c>
      <c r="L1884" s="10" t="s">
        <v>42</v>
      </c>
    </row>
    <row r="1885" ht="15.75" customHeight="1">
      <c r="A1885" s="64">
        <v>45444.0</v>
      </c>
      <c r="B1885" s="55" t="str">
        <f>HYPERLINK("https://jobright.ai/jobs/info/6677dc7cfbac42152a1458d8?utm_campaign=1052&amp;utm_source=sheet", "Apply")</f>
        <v>Apply</v>
      </c>
      <c r="C1885" s="10" t="s">
        <v>12030</v>
      </c>
      <c r="D1885" s="56" t="s">
        <v>9557</v>
      </c>
      <c r="E1885" s="10" t="s">
        <v>209</v>
      </c>
      <c r="F1885" s="10" t="s">
        <v>1159</v>
      </c>
      <c r="G1885" s="10" t="s">
        <v>9419</v>
      </c>
      <c r="H1885" s="10" t="s">
        <v>628</v>
      </c>
      <c r="I1885" s="10" t="s">
        <v>55</v>
      </c>
      <c r="J1885" s="64"/>
      <c r="K1885" s="10" t="s">
        <v>11560</v>
      </c>
      <c r="L1885" s="10" t="s">
        <v>42</v>
      </c>
    </row>
    <row r="1886" ht="15.75" customHeight="1">
      <c r="A1886" s="64">
        <v>45444.0</v>
      </c>
      <c r="B1886" s="55" t="str">
        <f>HYPERLINK("https://jobright.ai/jobs/info/6677ddbbfbac42152a14704c?utm_campaign=1052&amp;utm_source=sheet", "Apply")</f>
        <v>Apply</v>
      </c>
      <c r="C1886" s="10" t="s">
        <v>12031</v>
      </c>
      <c r="D1886" s="56" t="s">
        <v>9557</v>
      </c>
      <c r="E1886" s="10" t="s">
        <v>209</v>
      </c>
      <c r="F1886" s="10" t="s">
        <v>1159</v>
      </c>
      <c r="G1886" s="10" t="s">
        <v>9419</v>
      </c>
      <c r="H1886" s="10" t="s">
        <v>1120</v>
      </c>
      <c r="I1886" s="10" t="s">
        <v>55</v>
      </c>
      <c r="J1886" s="64"/>
      <c r="K1886" s="10" t="s">
        <v>10741</v>
      </c>
      <c r="L1886" s="10" t="s">
        <v>42</v>
      </c>
    </row>
    <row r="1887" ht="15.75" customHeight="1">
      <c r="A1887" s="64">
        <v>45444.0</v>
      </c>
      <c r="B1887" s="55" t="str">
        <f>HYPERLINK("https://jobright.ai/jobs/info/6677dc7cfbac42152a1458f0?utm_campaign=1052&amp;utm_source=sheet", "Apply")</f>
        <v>Apply</v>
      </c>
      <c r="C1887" s="10" t="s">
        <v>12032</v>
      </c>
      <c r="D1887" s="56" t="s">
        <v>9557</v>
      </c>
      <c r="E1887" s="10" t="s">
        <v>209</v>
      </c>
      <c r="F1887" s="10" t="s">
        <v>1159</v>
      </c>
      <c r="G1887" s="10" t="s">
        <v>9419</v>
      </c>
      <c r="H1887" s="10" t="s">
        <v>827</v>
      </c>
      <c r="I1887" s="10" t="s">
        <v>55</v>
      </c>
      <c r="J1887" s="64"/>
      <c r="K1887" s="10" t="s">
        <v>11560</v>
      </c>
      <c r="L1887" s="10" t="s">
        <v>42</v>
      </c>
    </row>
    <row r="1888" ht="15.75" customHeight="1">
      <c r="A1888" s="64">
        <v>45444.0</v>
      </c>
      <c r="B1888" s="55" t="str">
        <f>HYPERLINK("https://jobright.ai/jobs/info/6677dc7cfbac42152a145935?utm_campaign=1052&amp;utm_source=sheet", "Apply")</f>
        <v>Apply</v>
      </c>
      <c r="C1888" s="10" t="s">
        <v>12033</v>
      </c>
      <c r="D1888" s="56" t="s">
        <v>9557</v>
      </c>
      <c r="E1888" s="10" t="s">
        <v>209</v>
      </c>
      <c r="F1888" s="10" t="s">
        <v>1159</v>
      </c>
      <c r="G1888" s="10" t="s">
        <v>9419</v>
      </c>
      <c r="H1888" s="10" t="s">
        <v>4799</v>
      </c>
      <c r="I1888" s="10" t="s">
        <v>55</v>
      </c>
      <c r="J1888" s="64"/>
      <c r="K1888" s="10" t="s">
        <v>10741</v>
      </c>
      <c r="L1888" s="10" t="s">
        <v>42</v>
      </c>
    </row>
    <row r="1889" ht="15.75" customHeight="1">
      <c r="A1889" s="64">
        <v>45444.0</v>
      </c>
      <c r="B1889" s="55" t="str">
        <f>HYPERLINK("https://jobright.ai/jobs/info/6677dc7cfbac42152a14591f?utm_campaign=1052&amp;utm_source=sheet", "Apply")</f>
        <v>Apply</v>
      </c>
      <c r="C1889" s="10" t="s">
        <v>12034</v>
      </c>
      <c r="D1889" s="56" t="s">
        <v>9557</v>
      </c>
      <c r="E1889" s="10" t="s">
        <v>209</v>
      </c>
      <c r="F1889" s="10" t="s">
        <v>1159</v>
      </c>
      <c r="G1889" s="10" t="s">
        <v>9419</v>
      </c>
      <c r="H1889" s="10" t="s">
        <v>835</v>
      </c>
      <c r="I1889" s="10" t="s">
        <v>55</v>
      </c>
      <c r="J1889" s="64"/>
      <c r="K1889" s="10" t="s">
        <v>10154</v>
      </c>
      <c r="L1889" s="10" t="s">
        <v>42</v>
      </c>
    </row>
    <row r="1890" ht="15.75" customHeight="1">
      <c r="A1890" s="64">
        <v>45444.0</v>
      </c>
      <c r="B1890" s="55" t="str">
        <f>HYPERLINK("https://jobright.ai/jobs/info/6677dc7cfbac42152a1458f1?utm_campaign=1052&amp;utm_source=sheet", "Apply")</f>
        <v>Apply</v>
      </c>
      <c r="C1890" s="10" t="s">
        <v>12035</v>
      </c>
      <c r="D1890" s="56" t="s">
        <v>9557</v>
      </c>
      <c r="E1890" s="10" t="s">
        <v>209</v>
      </c>
      <c r="F1890" s="10" t="s">
        <v>1159</v>
      </c>
      <c r="G1890" s="10" t="s">
        <v>9419</v>
      </c>
      <c r="H1890" s="10" t="s">
        <v>1036</v>
      </c>
      <c r="I1890" s="10" t="s">
        <v>55</v>
      </c>
      <c r="K1890" s="10" t="s">
        <v>10154</v>
      </c>
      <c r="L1890" s="10" t="s">
        <v>42</v>
      </c>
    </row>
    <row r="1891" ht="15.75" customHeight="1">
      <c r="A1891" s="64">
        <v>45444.0</v>
      </c>
      <c r="B1891" s="55" t="str">
        <f>HYPERLINK("https://jobright.ai/jobs/info/6677ddbbfbac42152a1470db?utm_campaign=1052&amp;utm_source=sheet", "Apply")</f>
        <v>Apply</v>
      </c>
      <c r="C1891" s="10" t="s">
        <v>12036</v>
      </c>
      <c r="D1891" s="56" t="s">
        <v>9557</v>
      </c>
      <c r="E1891" s="10" t="s">
        <v>209</v>
      </c>
      <c r="F1891" s="10" t="s">
        <v>1159</v>
      </c>
      <c r="G1891" s="10" t="s">
        <v>9419</v>
      </c>
      <c r="H1891" s="10" t="s">
        <v>572</v>
      </c>
      <c r="I1891" s="10" t="s">
        <v>55</v>
      </c>
      <c r="K1891" s="10" t="s">
        <v>10154</v>
      </c>
      <c r="L1891" s="10" t="s">
        <v>42</v>
      </c>
    </row>
    <row r="1892" ht="15.75" customHeight="1">
      <c r="A1892" s="64">
        <v>45444.0</v>
      </c>
      <c r="B1892" s="55" t="str">
        <f>HYPERLINK("https://jobright.ai/jobs/info/6677dc7cfbac42152a14592e?utm_campaign=1052&amp;utm_source=sheet", "Apply")</f>
        <v>Apply</v>
      </c>
      <c r="C1892" s="10" t="s">
        <v>12037</v>
      </c>
      <c r="D1892" s="56" t="s">
        <v>9557</v>
      </c>
      <c r="E1892" s="10" t="s">
        <v>209</v>
      </c>
      <c r="F1892" s="10" t="s">
        <v>1159</v>
      </c>
      <c r="G1892" s="10" t="s">
        <v>9419</v>
      </c>
      <c r="H1892" s="10" t="s">
        <v>605</v>
      </c>
      <c r="I1892" s="10" t="s">
        <v>55</v>
      </c>
      <c r="J1892" s="64"/>
      <c r="K1892" s="10" t="s">
        <v>10154</v>
      </c>
      <c r="L1892" s="10" t="s">
        <v>42</v>
      </c>
    </row>
    <row r="1893" ht="15.75" customHeight="1">
      <c r="A1893" s="64">
        <v>45444.0</v>
      </c>
      <c r="B1893" s="55" t="str">
        <f>HYPERLINK("https://jobright.ai/jobs/info/6677dc7cfbac42152a14591d?utm_campaign=1052&amp;utm_source=sheet", "Apply")</f>
        <v>Apply</v>
      </c>
      <c r="C1893" s="10" t="s">
        <v>12038</v>
      </c>
      <c r="D1893" s="56" t="s">
        <v>9557</v>
      </c>
      <c r="E1893" s="10" t="s">
        <v>209</v>
      </c>
      <c r="F1893" s="10" t="s">
        <v>1159</v>
      </c>
      <c r="G1893" s="10" t="s">
        <v>9419</v>
      </c>
      <c r="H1893" s="10" t="s">
        <v>434</v>
      </c>
      <c r="I1893" s="10" t="s">
        <v>55</v>
      </c>
      <c r="J1893" s="10" t="s">
        <v>11870</v>
      </c>
      <c r="K1893" s="10" t="s">
        <v>12014</v>
      </c>
      <c r="L1893" s="10" t="s">
        <v>42</v>
      </c>
    </row>
    <row r="1894" ht="15.75" customHeight="1">
      <c r="A1894" s="64">
        <v>45444.0</v>
      </c>
      <c r="B1894" s="55" t="str">
        <f>HYPERLINK("https://jobright.ai/jobs/info/6677dc7cfbac42152a145945?utm_campaign=1052&amp;utm_source=sheet", "Apply")</f>
        <v>Apply</v>
      </c>
      <c r="C1894" s="10" t="s">
        <v>12039</v>
      </c>
      <c r="D1894" s="56" t="s">
        <v>9557</v>
      </c>
      <c r="E1894" s="10" t="s">
        <v>209</v>
      </c>
      <c r="F1894" s="10" t="s">
        <v>1159</v>
      </c>
      <c r="G1894" s="10" t="s">
        <v>9419</v>
      </c>
      <c r="H1894" s="10" t="s">
        <v>73</v>
      </c>
      <c r="I1894" s="10" t="s">
        <v>55</v>
      </c>
      <c r="J1894" s="64"/>
      <c r="K1894" s="10" t="s">
        <v>10741</v>
      </c>
      <c r="L1894" s="10" t="s">
        <v>42</v>
      </c>
    </row>
    <row r="1895" ht="15.75" customHeight="1">
      <c r="A1895" s="64">
        <v>45444.0</v>
      </c>
      <c r="B1895" s="55" t="str">
        <f>HYPERLINK("https://jobright.ai/jobs/info/6677dc7cfbac42152a1458e8?utm_campaign=1052&amp;utm_source=sheet", "Apply")</f>
        <v>Apply</v>
      </c>
      <c r="C1895" s="10" t="s">
        <v>12040</v>
      </c>
      <c r="D1895" s="56" t="s">
        <v>9557</v>
      </c>
      <c r="E1895" s="10" t="s">
        <v>209</v>
      </c>
      <c r="F1895" s="10" t="s">
        <v>1159</v>
      </c>
      <c r="G1895" s="10" t="s">
        <v>9419</v>
      </c>
      <c r="H1895" s="10" t="s">
        <v>936</v>
      </c>
      <c r="I1895" s="10" t="s">
        <v>55</v>
      </c>
      <c r="J1895" s="64"/>
      <c r="K1895" s="10" t="s">
        <v>11560</v>
      </c>
      <c r="L1895" s="10" t="s">
        <v>42</v>
      </c>
    </row>
    <row r="1896" ht="15.75" customHeight="1">
      <c r="A1896" s="64">
        <v>45444.0</v>
      </c>
      <c r="B1896" s="55" t="str">
        <f>HYPERLINK("https://jobright.ai/jobs/info/6677dc7cfbac42152a145904?utm_campaign=1052&amp;utm_source=sheet", "Apply")</f>
        <v>Apply</v>
      </c>
      <c r="C1896" s="10" t="s">
        <v>12041</v>
      </c>
      <c r="D1896" s="56" t="s">
        <v>9557</v>
      </c>
      <c r="E1896" s="10" t="s">
        <v>209</v>
      </c>
      <c r="F1896" s="10" t="s">
        <v>1159</v>
      </c>
      <c r="G1896" s="10" t="s">
        <v>9419</v>
      </c>
      <c r="H1896" s="10" t="s">
        <v>1048</v>
      </c>
      <c r="I1896" s="10" t="s">
        <v>55</v>
      </c>
      <c r="J1896" s="64"/>
      <c r="K1896" s="10" t="s">
        <v>10154</v>
      </c>
      <c r="L1896" s="10" t="s">
        <v>42</v>
      </c>
    </row>
    <row r="1897" ht="15.75" customHeight="1">
      <c r="A1897" s="64">
        <v>45444.0</v>
      </c>
      <c r="B1897" s="55" t="str">
        <f>HYPERLINK("https://jobright.ai/jobs/info/6677dc7cfbac42152a1458f3?utm_campaign=1052&amp;utm_source=sheet", "Apply")</f>
        <v>Apply</v>
      </c>
      <c r="C1897" s="10" t="s">
        <v>12042</v>
      </c>
      <c r="D1897" s="56" t="s">
        <v>9557</v>
      </c>
      <c r="E1897" s="10" t="s">
        <v>209</v>
      </c>
      <c r="F1897" s="10" t="s">
        <v>1159</v>
      </c>
      <c r="G1897" s="10" t="s">
        <v>9419</v>
      </c>
      <c r="H1897" s="10" t="s">
        <v>153</v>
      </c>
      <c r="I1897" s="10" t="s">
        <v>55</v>
      </c>
      <c r="J1897" s="64"/>
      <c r="K1897" s="10" t="s">
        <v>10154</v>
      </c>
      <c r="L1897" s="10" t="s">
        <v>42</v>
      </c>
    </row>
    <row r="1898" ht="15.75" customHeight="1">
      <c r="A1898" s="64">
        <v>45444.0</v>
      </c>
      <c r="B1898" s="55" t="str">
        <f>HYPERLINK("https://jobright.ai/jobs/info/6677dde2fbac42152a147415?utm_campaign=1052&amp;utm_source=sheet", "Apply")</f>
        <v>Apply</v>
      </c>
      <c r="C1898" s="10" t="s">
        <v>12043</v>
      </c>
      <c r="D1898" s="56" t="s">
        <v>9557</v>
      </c>
      <c r="E1898" s="10" t="s">
        <v>209</v>
      </c>
      <c r="F1898" s="10" t="s">
        <v>1159</v>
      </c>
      <c r="G1898" s="10" t="s">
        <v>9419</v>
      </c>
      <c r="H1898" s="10" t="s">
        <v>810</v>
      </c>
      <c r="I1898" s="10" t="s">
        <v>55</v>
      </c>
      <c r="J1898" s="64"/>
      <c r="K1898" s="10" t="s">
        <v>10741</v>
      </c>
      <c r="L1898" s="10" t="s">
        <v>42</v>
      </c>
    </row>
    <row r="1899" ht="15.75" customHeight="1">
      <c r="A1899" s="64">
        <v>45444.0</v>
      </c>
      <c r="B1899" s="55" t="str">
        <f>HYPERLINK("https://jobright.ai/jobs/info/665bf413ca0a8a2d0fdf0221?utm_campaign=1052&amp;utm_source=sheet", "Apply")</f>
        <v>Apply</v>
      </c>
      <c r="C1899" s="10" t="s">
        <v>12044</v>
      </c>
      <c r="D1899" s="56" t="s">
        <v>9557</v>
      </c>
      <c r="E1899" s="10" t="s">
        <v>209</v>
      </c>
      <c r="F1899" s="10" t="s">
        <v>1159</v>
      </c>
      <c r="G1899" s="10" t="s">
        <v>9419</v>
      </c>
      <c r="H1899" s="10" t="s">
        <v>10949</v>
      </c>
      <c r="I1899" s="10" t="s">
        <v>55</v>
      </c>
      <c r="J1899" s="64"/>
      <c r="K1899" s="10" t="s">
        <v>11560</v>
      </c>
      <c r="L1899" s="10" t="s">
        <v>42</v>
      </c>
    </row>
    <row r="1900" ht="15.75" customHeight="1">
      <c r="A1900" s="64">
        <v>45444.0</v>
      </c>
      <c r="B1900" s="55" t="str">
        <f>HYPERLINK("https://jobright.ai/jobs/info/665bf413ca0a8a2d0fdf0231?utm_campaign=1052&amp;utm_source=sheet", "Apply")</f>
        <v>Apply</v>
      </c>
      <c r="C1900" s="10" t="s">
        <v>12045</v>
      </c>
      <c r="D1900" s="56" t="s">
        <v>9557</v>
      </c>
      <c r="E1900" s="10" t="s">
        <v>209</v>
      </c>
      <c r="F1900" s="10" t="s">
        <v>1159</v>
      </c>
      <c r="G1900" s="10" t="s">
        <v>9419</v>
      </c>
      <c r="H1900" s="10" t="s">
        <v>1263</v>
      </c>
      <c r="I1900" s="10" t="s">
        <v>55</v>
      </c>
      <c r="J1900" s="10" t="s">
        <v>12046</v>
      </c>
      <c r="K1900" s="10" t="s">
        <v>12014</v>
      </c>
      <c r="L1900" s="10" t="s">
        <v>42</v>
      </c>
    </row>
    <row r="1901" ht="15.75" customHeight="1">
      <c r="A1901" s="64">
        <v>45444.0</v>
      </c>
      <c r="B1901" s="55" t="str">
        <f>HYPERLINK("https://jobright.ai/jobs/info/665bf413ca0a8a2d0fdf022d?utm_campaign=1052&amp;utm_source=sheet", "Apply")</f>
        <v>Apply</v>
      </c>
      <c r="C1901" s="10" t="s">
        <v>12047</v>
      </c>
      <c r="D1901" s="56" t="s">
        <v>9557</v>
      </c>
      <c r="E1901" s="10" t="s">
        <v>209</v>
      </c>
      <c r="F1901" s="10" t="s">
        <v>1159</v>
      </c>
      <c r="G1901" s="10" t="s">
        <v>9419</v>
      </c>
      <c r="H1901" s="10" t="s">
        <v>572</v>
      </c>
      <c r="I1901" s="10" t="s">
        <v>55</v>
      </c>
      <c r="J1901" s="64"/>
      <c r="K1901" s="10" t="s">
        <v>11560</v>
      </c>
      <c r="L1901" s="10" t="s">
        <v>42</v>
      </c>
    </row>
    <row r="1902" ht="15.75" customHeight="1">
      <c r="A1902" s="64">
        <v>45444.0</v>
      </c>
      <c r="B1902" s="55" t="str">
        <f>HYPERLINK("https://jobright.ai/jobs/info/665bf413ca0a8a2d0fdf023d?utm_campaign=1052&amp;utm_source=sheet", "Apply")</f>
        <v>Apply</v>
      </c>
      <c r="C1902" s="10" t="s">
        <v>12048</v>
      </c>
      <c r="D1902" s="56" t="s">
        <v>9557</v>
      </c>
      <c r="E1902" s="10" t="s">
        <v>209</v>
      </c>
      <c r="F1902" s="10" t="s">
        <v>1159</v>
      </c>
      <c r="G1902" s="10" t="s">
        <v>9419</v>
      </c>
      <c r="H1902" s="10" t="s">
        <v>882</v>
      </c>
      <c r="I1902" s="10" t="s">
        <v>55</v>
      </c>
      <c r="K1902" s="10" t="s">
        <v>10154</v>
      </c>
      <c r="L1902" s="10" t="s">
        <v>42</v>
      </c>
    </row>
    <row r="1903" ht="15.75" customHeight="1">
      <c r="A1903" s="64">
        <v>45444.0</v>
      </c>
      <c r="B1903" s="55" t="str">
        <f>HYPERLINK("https://jobright.ai/jobs/info/665bf413ca0a8a2d0fdf023b?utm_campaign=1052&amp;utm_source=sheet", "Apply")</f>
        <v>Apply</v>
      </c>
      <c r="C1903" s="10" t="s">
        <v>12049</v>
      </c>
      <c r="D1903" s="56" t="s">
        <v>9557</v>
      </c>
      <c r="E1903" s="10" t="s">
        <v>209</v>
      </c>
      <c r="F1903" s="10" t="s">
        <v>1159</v>
      </c>
      <c r="G1903" s="10" t="s">
        <v>9419</v>
      </c>
      <c r="H1903" s="10" t="s">
        <v>661</v>
      </c>
      <c r="I1903" s="10" t="s">
        <v>55</v>
      </c>
      <c r="J1903" s="64"/>
      <c r="K1903" s="10" t="s">
        <v>10741</v>
      </c>
      <c r="L1903" s="10" t="s">
        <v>42</v>
      </c>
    </row>
    <row r="1904" ht="15.75" customHeight="1">
      <c r="A1904" s="64">
        <v>45444.0</v>
      </c>
      <c r="B1904" s="55" t="str">
        <f>HYPERLINK("https://jobright.ai/jobs/info/665bf413ca0a8a2d0fdf023c?utm_campaign=1052&amp;utm_source=sheet", "Apply")</f>
        <v>Apply</v>
      </c>
      <c r="C1904" s="10" t="s">
        <v>12050</v>
      </c>
      <c r="D1904" s="56" t="s">
        <v>9557</v>
      </c>
      <c r="E1904" s="10" t="s">
        <v>209</v>
      </c>
      <c r="F1904" s="10" t="s">
        <v>1159</v>
      </c>
      <c r="G1904" s="10" t="s">
        <v>9419</v>
      </c>
      <c r="H1904" s="10" t="s">
        <v>168</v>
      </c>
      <c r="I1904" s="10" t="s">
        <v>55</v>
      </c>
      <c r="J1904" s="64"/>
      <c r="K1904" s="10" t="s">
        <v>10741</v>
      </c>
      <c r="L1904" s="10" t="s">
        <v>42</v>
      </c>
    </row>
    <row r="1905" ht="15.75" customHeight="1">
      <c r="A1905" s="64">
        <v>45444.0</v>
      </c>
      <c r="B1905" s="55" t="str">
        <f>HYPERLINK("https://jobright.ai/jobs/info/665bf413ca0a8a2d0fdf0239?utm_campaign=1052&amp;utm_source=sheet", "Apply")</f>
        <v>Apply</v>
      </c>
      <c r="C1905" s="10" t="s">
        <v>12051</v>
      </c>
      <c r="D1905" s="56" t="s">
        <v>9557</v>
      </c>
      <c r="E1905" s="10" t="s">
        <v>209</v>
      </c>
      <c r="F1905" s="10" t="s">
        <v>1159</v>
      </c>
      <c r="G1905" s="10" t="s">
        <v>9419</v>
      </c>
      <c r="H1905" s="10" t="s">
        <v>10777</v>
      </c>
      <c r="I1905" s="10" t="s">
        <v>55</v>
      </c>
      <c r="J1905" s="64"/>
      <c r="K1905" s="10" t="s">
        <v>10741</v>
      </c>
      <c r="L1905" s="10" t="s">
        <v>42</v>
      </c>
    </row>
    <row r="1906" ht="15.75" customHeight="1">
      <c r="A1906" s="64">
        <v>45444.0</v>
      </c>
      <c r="B1906" s="55" t="str">
        <f>HYPERLINK("https://jobright.ai/jobs/info/665bf413ca0a8a2d0fdf023f?utm_campaign=1052&amp;utm_source=sheet", "Apply")</f>
        <v>Apply</v>
      </c>
      <c r="C1906" s="10" t="s">
        <v>12052</v>
      </c>
      <c r="D1906" s="56" t="s">
        <v>9557</v>
      </c>
      <c r="E1906" s="10" t="s">
        <v>209</v>
      </c>
      <c r="F1906" s="10" t="s">
        <v>1159</v>
      </c>
      <c r="G1906" s="10" t="s">
        <v>9419</v>
      </c>
      <c r="H1906" s="10" t="s">
        <v>661</v>
      </c>
      <c r="I1906" s="10" t="s">
        <v>55</v>
      </c>
      <c r="K1906" s="10" t="s">
        <v>10741</v>
      </c>
      <c r="L1906" s="10" t="s">
        <v>42</v>
      </c>
    </row>
    <row r="1907" ht="15.75" customHeight="1">
      <c r="A1907" s="64">
        <v>45444.0</v>
      </c>
      <c r="B1907" s="55" t="str">
        <f>HYPERLINK("https://jobright.ai/jobs/info/665bf413ca0a8a2d0fdf0243?utm_campaign=1052&amp;utm_source=sheet", "Apply")</f>
        <v>Apply</v>
      </c>
      <c r="C1907" s="10" t="s">
        <v>12053</v>
      </c>
      <c r="D1907" s="56" t="s">
        <v>9557</v>
      </c>
      <c r="E1907" s="10" t="s">
        <v>209</v>
      </c>
      <c r="F1907" s="10" t="s">
        <v>1159</v>
      </c>
      <c r="G1907" s="10" t="s">
        <v>9419</v>
      </c>
      <c r="H1907" s="10" t="s">
        <v>810</v>
      </c>
      <c r="I1907" s="10" t="s">
        <v>55</v>
      </c>
      <c r="K1907" s="10" t="s">
        <v>10741</v>
      </c>
      <c r="L1907" s="10" t="s">
        <v>42</v>
      </c>
    </row>
    <row r="1908" ht="15.75" customHeight="1">
      <c r="A1908" s="64">
        <v>45444.0</v>
      </c>
      <c r="B1908" s="55" t="str">
        <f>HYPERLINK("https://jobright.ai/jobs/info/665bf413ca0a8a2d0fdf0242?utm_campaign=1052&amp;utm_source=sheet", "Apply")</f>
        <v>Apply</v>
      </c>
      <c r="C1908" s="10" t="s">
        <v>12054</v>
      </c>
      <c r="D1908" s="56" t="s">
        <v>9557</v>
      </c>
      <c r="E1908" s="10" t="s">
        <v>209</v>
      </c>
      <c r="F1908" s="10" t="s">
        <v>1159</v>
      </c>
      <c r="G1908" s="10" t="s">
        <v>9419</v>
      </c>
      <c r="H1908" s="10" t="s">
        <v>952</v>
      </c>
      <c r="I1908" s="10" t="s">
        <v>55</v>
      </c>
      <c r="J1908" s="64"/>
      <c r="K1908" s="10" t="s">
        <v>11560</v>
      </c>
      <c r="L1908" s="10" t="s">
        <v>42</v>
      </c>
    </row>
    <row r="1909" ht="15.75" customHeight="1">
      <c r="A1909" s="64">
        <v>45444.0</v>
      </c>
      <c r="B1909" s="55" t="str">
        <f>HYPERLINK("https://jobright.ai/jobs/info/665bf413ca0a8a2d0fdf0255?utm_campaign=1052&amp;utm_source=sheet", "Apply")</f>
        <v>Apply</v>
      </c>
      <c r="C1909" s="10" t="s">
        <v>12055</v>
      </c>
      <c r="D1909" s="56" t="s">
        <v>9557</v>
      </c>
      <c r="E1909" s="10" t="s">
        <v>209</v>
      </c>
      <c r="F1909" s="10" t="s">
        <v>1159</v>
      </c>
      <c r="G1909" s="10" t="s">
        <v>9419</v>
      </c>
      <c r="H1909" s="10" t="s">
        <v>874</v>
      </c>
      <c r="I1909" s="10" t="s">
        <v>55</v>
      </c>
      <c r="J1909" s="64"/>
      <c r="K1909" s="10" t="s">
        <v>11560</v>
      </c>
      <c r="L1909" s="10" t="s">
        <v>42</v>
      </c>
    </row>
    <row r="1910" ht="15.75" customHeight="1">
      <c r="A1910" s="64">
        <v>45444.0</v>
      </c>
      <c r="B1910" s="55" t="str">
        <f>HYPERLINK("https://jobright.ai/jobs/info/665bf413ca0a8a2d0fdf0250?utm_campaign=1052&amp;utm_source=sheet", "Apply")</f>
        <v>Apply</v>
      </c>
      <c r="C1910" s="10" t="s">
        <v>12056</v>
      </c>
      <c r="D1910" s="56" t="s">
        <v>9557</v>
      </c>
      <c r="E1910" s="10" t="s">
        <v>209</v>
      </c>
      <c r="F1910" s="10" t="s">
        <v>1159</v>
      </c>
      <c r="G1910" s="10" t="s">
        <v>9419</v>
      </c>
      <c r="H1910" s="10" t="s">
        <v>837</v>
      </c>
      <c r="I1910" s="10" t="s">
        <v>55</v>
      </c>
      <c r="J1910" s="64"/>
      <c r="K1910" s="10" t="s">
        <v>11560</v>
      </c>
      <c r="L1910" s="10" t="s">
        <v>42</v>
      </c>
    </row>
    <row r="1911" ht="15.75" customHeight="1">
      <c r="A1911" s="64">
        <v>45444.0</v>
      </c>
      <c r="B1911" s="55" t="str">
        <f>HYPERLINK("https://jobright.ai/jobs/info/665bf413ca0a8a2d0fdf0266?utm_campaign=1052&amp;utm_source=sheet", "Apply")</f>
        <v>Apply</v>
      </c>
      <c r="C1911" s="10" t="s">
        <v>12057</v>
      </c>
      <c r="D1911" s="56" t="s">
        <v>9557</v>
      </c>
      <c r="E1911" s="10" t="s">
        <v>209</v>
      </c>
      <c r="F1911" s="10" t="s">
        <v>1159</v>
      </c>
      <c r="G1911" s="10" t="s">
        <v>9419</v>
      </c>
      <c r="H1911" s="10" t="s">
        <v>886</v>
      </c>
      <c r="I1911" s="10" t="s">
        <v>55</v>
      </c>
      <c r="J1911" s="64"/>
      <c r="K1911" s="10" t="s">
        <v>10154</v>
      </c>
      <c r="L1911" s="10" t="s">
        <v>42</v>
      </c>
    </row>
    <row r="1912" ht="15.75" customHeight="1">
      <c r="A1912" s="64">
        <v>45444.0</v>
      </c>
      <c r="B1912" s="55" t="str">
        <f>HYPERLINK("https://jobright.ai/jobs/info/665bf413ca0a8a2d0fdf027c?utm_campaign=1052&amp;utm_source=sheet", "Apply")</f>
        <v>Apply</v>
      </c>
      <c r="C1912" s="10" t="s">
        <v>12058</v>
      </c>
      <c r="D1912" s="56" t="s">
        <v>9557</v>
      </c>
      <c r="E1912" s="10" t="s">
        <v>209</v>
      </c>
      <c r="F1912" s="10" t="s">
        <v>1159</v>
      </c>
      <c r="G1912" s="10" t="s">
        <v>9419</v>
      </c>
      <c r="H1912" s="10" t="s">
        <v>7569</v>
      </c>
      <c r="I1912" s="10" t="s">
        <v>55</v>
      </c>
      <c r="J1912" s="64"/>
      <c r="K1912" s="10" t="s">
        <v>10154</v>
      </c>
      <c r="L1912" s="10" t="s">
        <v>42</v>
      </c>
    </row>
    <row r="1913" ht="15.75" customHeight="1">
      <c r="A1913" s="64">
        <v>45444.0</v>
      </c>
      <c r="B1913" s="55" t="str">
        <f>HYPERLINK("https://jobright.ai/jobs/info/665bf413ca0a8a2d0fdf026e?utm_campaign=1052&amp;utm_source=sheet", "Apply")</f>
        <v>Apply</v>
      </c>
      <c r="C1913" s="10" t="s">
        <v>12059</v>
      </c>
      <c r="D1913" s="56" t="s">
        <v>9557</v>
      </c>
      <c r="E1913" s="10" t="s">
        <v>209</v>
      </c>
      <c r="F1913" s="10" t="s">
        <v>1159</v>
      </c>
      <c r="G1913" s="10" t="s">
        <v>9419</v>
      </c>
      <c r="H1913" s="10" t="s">
        <v>835</v>
      </c>
      <c r="I1913" s="10" t="s">
        <v>55</v>
      </c>
      <c r="J1913" s="64"/>
      <c r="K1913" s="10" t="s">
        <v>11717</v>
      </c>
      <c r="L1913" s="10" t="s">
        <v>42</v>
      </c>
    </row>
    <row r="1914" ht="15.75" customHeight="1">
      <c r="A1914" s="64">
        <v>45444.0</v>
      </c>
      <c r="B1914" s="55" t="str">
        <f>HYPERLINK("https://jobright.ai/jobs/info/665bf413ca0a8a2d0fdf026b?utm_campaign=1052&amp;utm_source=sheet", "Apply")</f>
        <v>Apply</v>
      </c>
      <c r="C1914" s="10" t="s">
        <v>12060</v>
      </c>
      <c r="D1914" s="56" t="s">
        <v>9557</v>
      </c>
      <c r="E1914" s="10" t="s">
        <v>209</v>
      </c>
      <c r="F1914" s="10" t="s">
        <v>1159</v>
      </c>
      <c r="G1914" s="10" t="s">
        <v>9419</v>
      </c>
      <c r="H1914" s="10" t="s">
        <v>923</v>
      </c>
      <c r="I1914" s="10" t="s">
        <v>55</v>
      </c>
      <c r="J1914" s="64"/>
      <c r="K1914" s="10" t="s">
        <v>10154</v>
      </c>
      <c r="L1914" s="10" t="s">
        <v>42</v>
      </c>
    </row>
    <row r="1915" ht="15.75" customHeight="1">
      <c r="A1915" s="64">
        <v>45444.0</v>
      </c>
      <c r="B1915" s="55" t="str">
        <f>HYPERLINK("https://jobright.ai/jobs/info/665bf413ca0a8a2d0fdf027d?utm_campaign=1052&amp;utm_source=sheet", "Apply")</f>
        <v>Apply</v>
      </c>
      <c r="C1915" s="10" t="s">
        <v>12061</v>
      </c>
      <c r="D1915" s="56" t="s">
        <v>9557</v>
      </c>
      <c r="E1915" s="10" t="s">
        <v>209</v>
      </c>
      <c r="F1915" s="10" t="s">
        <v>1159</v>
      </c>
      <c r="G1915" s="10" t="s">
        <v>9419</v>
      </c>
      <c r="H1915" s="10" t="s">
        <v>810</v>
      </c>
      <c r="I1915" s="10" t="s">
        <v>55</v>
      </c>
      <c r="J1915" s="64"/>
      <c r="K1915" s="10" t="s">
        <v>11717</v>
      </c>
      <c r="L1915" s="10" t="s">
        <v>42</v>
      </c>
    </row>
    <row r="1916" ht="15.75" customHeight="1">
      <c r="A1916" s="64">
        <v>45444.0</v>
      </c>
      <c r="B1916" s="55" t="str">
        <f>HYPERLINK("https://jobright.ai/jobs/info/665bf413ca0a8a2d0fdf0289?utm_campaign=1052&amp;utm_source=sheet", "Apply")</f>
        <v>Apply</v>
      </c>
      <c r="C1916" s="10" t="s">
        <v>12062</v>
      </c>
      <c r="D1916" s="56" t="s">
        <v>9557</v>
      </c>
      <c r="E1916" s="10" t="s">
        <v>209</v>
      </c>
      <c r="F1916" s="10" t="s">
        <v>1159</v>
      </c>
      <c r="G1916" s="10" t="s">
        <v>9419</v>
      </c>
      <c r="H1916" s="10" t="s">
        <v>994</v>
      </c>
      <c r="I1916" s="10" t="s">
        <v>55</v>
      </c>
      <c r="J1916" s="64"/>
      <c r="K1916" s="10" t="s">
        <v>11560</v>
      </c>
      <c r="L1916" s="10" t="s">
        <v>42</v>
      </c>
    </row>
    <row r="1917" ht="15.75" customHeight="1">
      <c r="A1917" s="64">
        <v>45444.0</v>
      </c>
      <c r="B1917" s="55" t="str">
        <f>HYPERLINK("https://jobright.ai/jobs/info/665bf413ca0a8a2d0fdf028d?utm_campaign=1052&amp;utm_source=sheet", "Apply")</f>
        <v>Apply</v>
      </c>
      <c r="C1917" s="10" t="s">
        <v>12063</v>
      </c>
      <c r="D1917" s="56" t="s">
        <v>9557</v>
      </c>
      <c r="E1917" s="10" t="s">
        <v>209</v>
      </c>
      <c r="F1917" s="10" t="s">
        <v>1159</v>
      </c>
      <c r="G1917" s="10" t="s">
        <v>9419</v>
      </c>
      <c r="H1917" s="10" t="s">
        <v>1048</v>
      </c>
      <c r="I1917" s="10" t="s">
        <v>55</v>
      </c>
      <c r="J1917" s="64"/>
      <c r="K1917" s="10" t="s">
        <v>10154</v>
      </c>
      <c r="L1917" s="10" t="s">
        <v>42</v>
      </c>
    </row>
    <row r="1918" ht="15.75" customHeight="1">
      <c r="A1918" s="64">
        <v>45444.0</v>
      </c>
      <c r="B1918" s="55" t="str">
        <f>HYPERLINK("https://jobright.ai/jobs/info/665bf413ca0a8a2d0fdf0286?utm_campaign=1052&amp;utm_source=sheet", "Apply")</f>
        <v>Apply</v>
      </c>
      <c r="C1918" s="10" t="s">
        <v>12064</v>
      </c>
      <c r="D1918" s="56" t="s">
        <v>9557</v>
      </c>
      <c r="E1918" s="10" t="s">
        <v>209</v>
      </c>
      <c r="F1918" s="10" t="s">
        <v>1159</v>
      </c>
      <c r="G1918" s="10" t="s">
        <v>9419</v>
      </c>
      <c r="H1918" s="10" t="s">
        <v>788</v>
      </c>
      <c r="I1918" s="10" t="s">
        <v>55</v>
      </c>
      <c r="J1918" s="64"/>
      <c r="K1918" s="10" t="s">
        <v>10741</v>
      </c>
      <c r="L1918" s="10" t="s">
        <v>42</v>
      </c>
    </row>
    <row r="1919" ht="15.75" customHeight="1">
      <c r="A1919" s="64">
        <v>45444.0</v>
      </c>
      <c r="B1919" s="55" t="str">
        <f>HYPERLINK("https://jobright.ai/jobs/info/665bf413ca0a8a2d0fdf029d?utm_campaign=1052&amp;utm_source=sheet", "Apply")</f>
        <v>Apply</v>
      </c>
      <c r="C1919" s="10" t="s">
        <v>12065</v>
      </c>
      <c r="D1919" s="56" t="s">
        <v>9557</v>
      </c>
      <c r="E1919" s="10" t="s">
        <v>209</v>
      </c>
      <c r="F1919" s="10" t="s">
        <v>1159</v>
      </c>
      <c r="G1919" s="10" t="s">
        <v>9419</v>
      </c>
      <c r="H1919" s="10" t="s">
        <v>837</v>
      </c>
      <c r="I1919" s="10" t="s">
        <v>55</v>
      </c>
      <c r="J1919" s="64"/>
      <c r="K1919" s="10" t="s">
        <v>10154</v>
      </c>
      <c r="L1919" s="10" t="s">
        <v>42</v>
      </c>
    </row>
    <row r="1920" ht="15.75" customHeight="1">
      <c r="A1920" s="64">
        <v>45444.0</v>
      </c>
      <c r="B1920" s="55" t="str">
        <f>HYPERLINK("https://jobright.ai/jobs/info/665bf413ca0a8a2d0fdf0297?utm_campaign=1052&amp;utm_source=sheet", "Apply")</f>
        <v>Apply</v>
      </c>
      <c r="C1920" s="10" t="s">
        <v>12066</v>
      </c>
      <c r="D1920" s="56" t="s">
        <v>9557</v>
      </c>
      <c r="E1920" s="10" t="s">
        <v>209</v>
      </c>
      <c r="F1920" s="10" t="s">
        <v>1159</v>
      </c>
      <c r="G1920" s="10" t="s">
        <v>9419</v>
      </c>
      <c r="H1920" s="10" t="s">
        <v>827</v>
      </c>
      <c r="I1920" s="10" t="s">
        <v>55</v>
      </c>
      <c r="J1920" s="64"/>
      <c r="K1920" s="10" t="s">
        <v>10741</v>
      </c>
      <c r="L1920" s="10" t="s">
        <v>42</v>
      </c>
    </row>
    <row r="1921" ht="15.75" customHeight="1">
      <c r="A1921" s="64">
        <v>45444.0</v>
      </c>
      <c r="B1921" s="55" t="str">
        <f>HYPERLINK("https://jobright.ai/jobs/info/665bf413ca0a8a2d0fdf02a5?utm_campaign=1052&amp;utm_source=sheet", "Apply")</f>
        <v>Apply</v>
      </c>
      <c r="C1921" s="10" t="s">
        <v>12067</v>
      </c>
      <c r="D1921" s="56" t="s">
        <v>9557</v>
      </c>
      <c r="E1921" s="10" t="s">
        <v>209</v>
      </c>
      <c r="F1921" s="10" t="s">
        <v>1159</v>
      </c>
      <c r="G1921" s="10" t="s">
        <v>9419</v>
      </c>
      <c r="H1921" s="10" t="s">
        <v>4799</v>
      </c>
      <c r="I1921" s="10" t="s">
        <v>55</v>
      </c>
      <c r="J1921" s="64"/>
      <c r="K1921" s="10" t="s">
        <v>10154</v>
      </c>
      <c r="L1921" s="10" t="s">
        <v>42</v>
      </c>
    </row>
    <row r="1922" ht="15.75" customHeight="1">
      <c r="A1922" s="64">
        <v>45444.0</v>
      </c>
      <c r="B1922" s="55" t="str">
        <f>HYPERLINK("https://jobright.ai/jobs/info/665bf419ca0a8a2d0fdf02c3?utm_campaign=1052&amp;utm_source=sheet", "Apply")</f>
        <v>Apply</v>
      </c>
      <c r="C1922" s="10" t="s">
        <v>12068</v>
      </c>
      <c r="D1922" s="56" t="s">
        <v>9557</v>
      </c>
      <c r="E1922" s="10" t="s">
        <v>209</v>
      </c>
      <c r="F1922" s="10" t="s">
        <v>1159</v>
      </c>
      <c r="G1922" s="10" t="s">
        <v>9419</v>
      </c>
      <c r="H1922" s="10" t="s">
        <v>952</v>
      </c>
      <c r="I1922" s="10" t="s">
        <v>55</v>
      </c>
      <c r="J1922" s="64"/>
      <c r="K1922" s="10" t="s">
        <v>10741</v>
      </c>
      <c r="L1922" s="10" t="s">
        <v>42</v>
      </c>
    </row>
    <row r="1923" ht="15.75" customHeight="1">
      <c r="A1923" s="64">
        <v>45444.0</v>
      </c>
      <c r="B1923" s="55" t="str">
        <f>HYPERLINK("https://jobright.ai/jobs/info/665bf419ca0a8a2d0fdf02d1?utm_campaign=1052&amp;utm_source=sheet", "Apply")</f>
        <v>Apply</v>
      </c>
      <c r="C1923" s="10" t="s">
        <v>11629</v>
      </c>
      <c r="D1923" s="56" t="s">
        <v>9557</v>
      </c>
      <c r="E1923" s="10" t="s">
        <v>209</v>
      </c>
      <c r="F1923" s="10" t="s">
        <v>1159</v>
      </c>
      <c r="G1923" s="10" t="s">
        <v>9419</v>
      </c>
      <c r="H1923" s="10" t="s">
        <v>11611</v>
      </c>
      <c r="I1923" s="10" t="s">
        <v>55</v>
      </c>
      <c r="J1923" s="64"/>
      <c r="K1923" s="10" t="s">
        <v>11560</v>
      </c>
      <c r="L1923" s="10" t="s">
        <v>42</v>
      </c>
    </row>
    <row r="1924" ht="15.75" customHeight="1">
      <c r="A1924" s="64">
        <v>45444.0</v>
      </c>
      <c r="B1924" s="55" t="str">
        <f>HYPERLINK("https://jobright.ai/jobs/info/665bf419ca0a8a2d0fdf02d6?utm_campaign=1052&amp;utm_source=sheet", "Apply")</f>
        <v>Apply</v>
      </c>
      <c r="C1924" s="10" t="s">
        <v>12069</v>
      </c>
      <c r="D1924" s="56" t="s">
        <v>9557</v>
      </c>
      <c r="E1924" s="10" t="s">
        <v>209</v>
      </c>
      <c r="F1924" s="10" t="s">
        <v>1159</v>
      </c>
      <c r="G1924" s="10" t="s">
        <v>9419</v>
      </c>
      <c r="H1924" s="10" t="s">
        <v>914</v>
      </c>
      <c r="I1924" s="10" t="s">
        <v>55</v>
      </c>
      <c r="J1924" s="64"/>
      <c r="K1924" s="10" t="s">
        <v>10741</v>
      </c>
      <c r="L1924" s="10" t="s">
        <v>42</v>
      </c>
    </row>
    <row r="1925" ht="15.75" customHeight="1">
      <c r="A1925" s="64">
        <v>45444.0</v>
      </c>
      <c r="B1925" s="55" t="str">
        <f>HYPERLINK("https://jobright.ai/jobs/info/665bf419ca0a8a2d0fdf02eb?utm_campaign=1052&amp;utm_source=sheet", "Apply")</f>
        <v>Apply</v>
      </c>
      <c r="C1925" s="10" t="s">
        <v>12070</v>
      </c>
      <c r="D1925" s="56" t="s">
        <v>9557</v>
      </c>
      <c r="E1925" s="10" t="s">
        <v>209</v>
      </c>
      <c r="F1925" s="10" t="s">
        <v>1159</v>
      </c>
      <c r="G1925" s="10" t="s">
        <v>9419</v>
      </c>
      <c r="H1925" s="10" t="s">
        <v>11611</v>
      </c>
      <c r="I1925" s="10" t="s">
        <v>55</v>
      </c>
      <c r="J1925" s="64"/>
      <c r="K1925" s="10" t="s">
        <v>10154</v>
      </c>
      <c r="L1925" s="10" t="s">
        <v>42</v>
      </c>
    </row>
    <row r="1926" ht="15.75" customHeight="1">
      <c r="A1926" s="64">
        <v>45444.0</v>
      </c>
      <c r="B1926" s="55" t="str">
        <f>HYPERLINK("https://jobright.ai/jobs/info/665bf419ca0a8a2d0fdf02ec?utm_campaign=1052&amp;utm_source=sheet", "Apply")</f>
        <v>Apply</v>
      </c>
      <c r="C1926" s="10" t="s">
        <v>12071</v>
      </c>
      <c r="D1926" s="56" t="s">
        <v>9557</v>
      </c>
      <c r="E1926" s="10" t="s">
        <v>209</v>
      </c>
      <c r="F1926" s="10" t="s">
        <v>1159</v>
      </c>
      <c r="G1926" s="10" t="s">
        <v>9419</v>
      </c>
      <c r="H1926" s="10" t="s">
        <v>993</v>
      </c>
      <c r="I1926" s="10" t="s">
        <v>55</v>
      </c>
      <c r="J1926" s="64"/>
      <c r="K1926" s="10" t="s">
        <v>10154</v>
      </c>
      <c r="L1926" s="10" t="s">
        <v>42</v>
      </c>
    </row>
    <row r="1927" ht="15.75" customHeight="1">
      <c r="A1927" s="64">
        <v>45444.0</v>
      </c>
      <c r="B1927" s="55" t="str">
        <f>HYPERLINK("https://jobright.ai/jobs/info/665bf419ca0a8a2d0fdf02e1?utm_campaign=1052&amp;utm_source=sheet", "Apply")</f>
        <v>Apply</v>
      </c>
      <c r="C1927" s="10" t="s">
        <v>12072</v>
      </c>
      <c r="D1927" s="56" t="s">
        <v>9557</v>
      </c>
      <c r="E1927" s="10" t="s">
        <v>209</v>
      </c>
      <c r="F1927" s="10" t="s">
        <v>1159</v>
      </c>
      <c r="G1927" s="10" t="s">
        <v>9419</v>
      </c>
      <c r="H1927" s="10" t="s">
        <v>936</v>
      </c>
      <c r="I1927" s="10" t="s">
        <v>55</v>
      </c>
      <c r="J1927" s="64"/>
      <c r="K1927" s="10" t="s">
        <v>11560</v>
      </c>
      <c r="L1927" s="10" t="s">
        <v>42</v>
      </c>
    </row>
    <row r="1928" ht="15.75" customHeight="1">
      <c r="A1928" s="64">
        <v>45444.0</v>
      </c>
      <c r="B1928" s="55" t="str">
        <f>HYPERLINK("https://jobright.ai/jobs/info/665bf419ca0a8a2d0fdf02e9?utm_campaign=1052&amp;utm_source=sheet", "Apply")</f>
        <v>Apply</v>
      </c>
      <c r="C1928" s="10" t="s">
        <v>12073</v>
      </c>
      <c r="D1928" s="56" t="s">
        <v>9557</v>
      </c>
      <c r="E1928" s="10" t="s">
        <v>209</v>
      </c>
      <c r="F1928" s="10" t="s">
        <v>1159</v>
      </c>
      <c r="G1928" s="10" t="s">
        <v>9419</v>
      </c>
      <c r="H1928" s="10" t="s">
        <v>73</v>
      </c>
      <c r="I1928" s="10" t="s">
        <v>55</v>
      </c>
      <c r="K1928" s="10" t="s">
        <v>10741</v>
      </c>
      <c r="L1928" s="10" t="s">
        <v>42</v>
      </c>
    </row>
    <row r="1929" ht="15.75" customHeight="1">
      <c r="A1929" s="64">
        <v>45444.0</v>
      </c>
      <c r="B1929" s="55" t="str">
        <f>HYPERLINK("https://jobright.ai/jobs/info/665bf419ca0a8a2d0fdf02e3?utm_campaign=1052&amp;utm_source=sheet", "Apply")</f>
        <v>Apply</v>
      </c>
      <c r="C1929" s="10" t="s">
        <v>12074</v>
      </c>
      <c r="D1929" s="56" t="s">
        <v>9557</v>
      </c>
      <c r="E1929" s="10" t="s">
        <v>209</v>
      </c>
      <c r="F1929" s="10" t="s">
        <v>1159</v>
      </c>
      <c r="G1929" s="10" t="s">
        <v>9419</v>
      </c>
      <c r="H1929" s="10" t="s">
        <v>780</v>
      </c>
      <c r="I1929" s="10" t="s">
        <v>55</v>
      </c>
      <c r="K1929" s="10" t="s">
        <v>11560</v>
      </c>
      <c r="L1929" s="10" t="s">
        <v>42</v>
      </c>
    </row>
    <row r="1930" ht="15.75" customHeight="1">
      <c r="A1930" s="64">
        <v>45444.0</v>
      </c>
      <c r="B1930" s="55" t="str">
        <f>HYPERLINK("https://jobright.ai/jobs/info/665bf419ca0a8a2d0fdf02e7?utm_campaign=1052&amp;utm_source=sheet", "Apply")</f>
        <v>Apply</v>
      </c>
      <c r="C1930" s="10" t="s">
        <v>12075</v>
      </c>
      <c r="D1930" s="56" t="s">
        <v>9557</v>
      </c>
      <c r="E1930" s="10" t="s">
        <v>209</v>
      </c>
      <c r="F1930" s="10" t="s">
        <v>1159</v>
      </c>
      <c r="G1930" s="10" t="s">
        <v>9419</v>
      </c>
      <c r="H1930" s="10" t="s">
        <v>168</v>
      </c>
      <c r="I1930" s="10" t="s">
        <v>55</v>
      </c>
      <c r="J1930" s="64"/>
      <c r="K1930" s="10" t="s">
        <v>11560</v>
      </c>
      <c r="L1930" s="10" t="s">
        <v>42</v>
      </c>
    </row>
    <row r="1931" ht="15.75" customHeight="1">
      <c r="A1931" s="64">
        <v>45444.0</v>
      </c>
      <c r="B1931" s="55" t="str">
        <f>HYPERLINK("https://jobright.ai/jobs/info/665bf419ca0a8a2d0fdf0300?utm_campaign=1052&amp;utm_source=sheet", "Apply")</f>
        <v>Apply</v>
      </c>
      <c r="C1931" s="10" t="s">
        <v>12076</v>
      </c>
      <c r="D1931" s="56" t="s">
        <v>9557</v>
      </c>
      <c r="E1931" s="10" t="s">
        <v>209</v>
      </c>
      <c r="F1931" s="10" t="s">
        <v>1159</v>
      </c>
      <c r="G1931" s="10" t="s">
        <v>9419</v>
      </c>
      <c r="H1931" s="10" t="s">
        <v>780</v>
      </c>
      <c r="I1931" s="10" t="s">
        <v>55</v>
      </c>
      <c r="J1931" s="64"/>
      <c r="K1931" s="10" t="s">
        <v>10154</v>
      </c>
      <c r="L1931" s="10" t="s">
        <v>42</v>
      </c>
    </row>
    <row r="1932" ht="15.75" customHeight="1">
      <c r="A1932" s="64">
        <v>45444.0</v>
      </c>
      <c r="B1932" s="55" t="str">
        <f>HYPERLINK("https://jobright.ai/jobs/info/665bf419ca0a8a2d0fdf02ff?utm_campaign=1052&amp;utm_source=sheet", "Apply")</f>
        <v>Apply</v>
      </c>
      <c r="C1932" s="10" t="s">
        <v>12077</v>
      </c>
      <c r="D1932" s="56" t="s">
        <v>9557</v>
      </c>
      <c r="E1932" s="10" t="s">
        <v>209</v>
      </c>
      <c r="F1932" s="10" t="s">
        <v>1159</v>
      </c>
      <c r="G1932" s="10" t="s">
        <v>9419</v>
      </c>
      <c r="H1932" s="10" t="s">
        <v>1036</v>
      </c>
      <c r="I1932" s="10" t="s">
        <v>55</v>
      </c>
      <c r="K1932" s="10" t="s">
        <v>11560</v>
      </c>
      <c r="L1932" s="10" t="s">
        <v>42</v>
      </c>
    </row>
    <row r="1933" ht="15.75" customHeight="1">
      <c r="A1933" s="64">
        <v>45444.0</v>
      </c>
      <c r="B1933" s="55" t="str">
        <f>HYPERLINK("https://jobright.ai/jobs/info/665bf419ca0a8a2d0fdf02f5?utm_campaign=1052&amp;utm_source=sheet", "Apply")</f>
        <v>Apply</v>
      </c>
      <c r="C1933" s="10" t="s">
        <v>12078</v>
      </c>
      <c r="D1933" s="56" t="s">
        <v>9557</v>
      </c>
      <c r="E1933" s="10" t="s">
        <v>209</v>
      </c>
      <c r="F1933" s="10" t="s">
        <v>1159</v>
      </c>
      <c r="G1933" s="10" t="s">
        <v>9419</v>
      </c>
      <c r="H1933" s="10" t="s">
        <v>106</v>
      </c>
      <c r="I1933" s="10" t="s">
        <v>55</v>
      </c>
      <c r="J1933" s="64"/>
      <c r="K1933" s="10" t="s">
        <v>10154</v>
      </c>
      <c r="L1933" s="10" t="s">
        <v>42</v>
      </c>
    </row>
    <row r="1934" ht="15.75" customHeight="1">
      <c r="A1934" s="64">
        <v>45444.0</v>
      </c>
      <c r="B1934" s="55" t="str">
        <f>HYPERLINK("https://jobright.ai/jobs/info/665bf419ca0a8a2d0fdf032a?utm_campaign=1052&amp;utm_source=sheet", "Apply")</f>
        <v>Apply</v>
      </c>
      <c r="C1934" s="10" t="s">
        <v>12079</v>
      </c>
      <c r="D1934" s="56" t="s">
        <v>9557</v>
      </c>
      <c r="E1934" s="10" t="s">
        <v>209</v>
      </c>
      <c r="F1934" s="10" t="s">
        <v>1159</v>
      </c>
      <c r="G1934" s="10" t="s">
        <v>9419</v>
      </c>
      <c r="H1934" s="10" t="s">
        <v>113</v>
      </c>
      <c r="I1934" s="10" t="s">
        <v>55</v>
      </c>
      <c r="K1934" s="10" t="s">
        <v>11560</v>
      </c>
      <c r="L1934" s="10" t="s">
        <v>42</v>
      </c>
    </row>
    <row r="1935" ht="15.75" customHeight="1">
      <c r="A1935" s="64">
        <v>45444.0</v>
      </c>
      <c r="B1935" s="55" t="str">
        <f>HYPERLINK("https://jobright.ai/jobs/info/665bf419ca0a8a2d0fdf0324?utm_campaign=1052&amp;utm_source=sheet", "Apply")</f>
        <v>Apply</v>
      </c>
      <c r="C1935" s="10" t="s">
        <v>12080</v>
      </c>
      <c r="D1935" s="56" t="s">
        <v>9557</v>
      </c>
      <c r="E1935" s="10" t="s">
        <v>209</v>
      </c>
      <c r="F1935" s="10" t="s">
        <v>1159</v>
      </c>
      <c r="G1935" s="10" t="s">
        <v>9419</v>
      </c>
      <c r="H1935" s="10" t="s">
        <v>245</v>
      </c>
      <c r="I1935" s="10" t="s">
        <v>55</v>
      </c>
      <c r="J1935" s="64"/>
      <c r="K1935" s="10" t="s">
        <v>11560</v>
      </c>
      <c r="L1935" s="10" t="s">
        <v>42</v>
      </c>
    </row>
    <row r="1936" ht="15.75" customHeight="1">
      <c r="A1936" s="64">
        <v>45444.0</v>
      </c>
      <c r="B1936" s="55" t="str">
        <f>HYPERLINK("https://jobright.ai/jobs/info/665bf419ca0a8a2d0fdf031c?utm_campaign=1052&amp;utm_source=sheet", "Apply")</f>
        <v>Apply</v>
      </c>
      <c r="C1936" s="10" t="s">
        <v>12081</v>
      </c>
      <c r="D1936" s="56" t="s">
        <v>9557</v>
      </c>
      <c r="E1936" s="10" t="s">
        <v>209</v>
      </c>
      <c r="F1936" s="10" t="s">
        <v>1159</v>
      </c>
      <c r="G1936" s="10" t="s">
        <v>9419</v>
      </c>
      <c r="H1936" s="10" t="s">
        <v>628</v>
      </c>
      <c r="I1936" s="10" t="s">
        <v>55</v>
      </c>
      <c r="K1936" s="10" t="s">
        <v>10741</v>
      </c>
      <c r="L1936" s="10" t="s">
        <v>42</v>
      </c>
    </row>
    <row r="1937" ht="15.75" customHeight="1">
      <c r="A1937" s="64">
        <v>45444.0</v>
      </c>
      <c r="B1937" s="55" t="str">
        <f>HYPERLINK("https://jobright.ai/jobs/info/665bf419ca0a8a2d0fdf033c?utm_campaign=1052&amp;utm_source=sheet", "Apply")</f>
        <v>Apply</v>
      </c>
      <c r="C1937" s="10" t="s">
        <v>12082</v>
      </c>
      <c r="D1937" s="56" t="s">
        <v>9557</v>
      </c>
      <c r="E1937" s="10" t="s">
        <v>209</v>
      </c>
      <c r="F1937" s="10" t="s">
        <v>1159</v>
      </c>
      <c r="G1937" s="10" t="s">
        <v>9419</v>
      </c>
      <c r="H1937" s="10" t="s">
        <v>952</v>
      </c>
      <c r="I1937" s="10" t="s">
        <v>55</v>
      </c>
      <c r="K1937" s="10" t="s">
        <v>10741</v>
      </c>
      <c r="L1937" s="10" t="s">
        <v>42</v>
      </c>
    </row>
    <row r="1938" ht="15.75" customHeight="1">
      <c r="A1938" s="64">
        <v>45444.0</v>
      </c>
      <c r="B1938" s="55" t="str">
        <f>HYPERLINK("https://jobright.ai/jobs/info/665bf419ca0a8a2d0fdf0342?utm_campaign=1052&amp;utm_source=sheet", "Apply")</f>
        <v>Apply</v>
      </c>
      <c r="C1938" s="10" t="s">
        <v>12083</v>
      </c>
      <c r="D1938" s="56" t="s">
        <v>9557</v>
      </c>
      <c r="E1938" s="10" t="s">
        <v>209</v>
      </c>
      <c r="F1938" s="10" t="s">
        <v>1159</v>
      </c>
      <c r="G1938" s="10" t="s">
        <v>9419</v>
      </c>
      <c r="H1938" s="10" t="s">
        <v>1120</v>
      </c>
      <c r="I1938" s="10" t="s">
        <v>55</v>
      </c>
      <c r="J1938" s="64"/>
      <c r="K1938" s="10" t="s">
        <v>10154</v>
      </c>
      <c r="L1938" s="10" t="s">
        <v>42</v>
      </c>
    </row>
    <row r="1939" ht="15.75" customHeight="1">
      <c r="A1939" s="64">
        <v>45444.0</v>
      </c>
      <c r="B1939" s="55" t="str">
        <f>HYPERLINK("https://jobright.ai/jobs/info/665bf419ca0a8a2d0fdf0341?utm_campaign=1052&amp;utm_source=sheet", "Apply")</f>
        <v>Apply</v>
      </c>
      <c r="C1939" s="10" t="s">
        <v>12084</v>
      </c>
      <c r="D1939" s="56" t="s">
        <v>9557</v>
      </c>
      <c r="E1939" s="10" t="s">
        <v>209</v>
      </c>
      <c r="F1939" s="10" t="s">
        <v>1159</v>
      </c>
      <c r="G1939" s="10" t="s">
        <v>9419</v>
      </c>
      <c r="H1939" s="10" t="s">
        <v>4799</v>
      </c>
      <c r="I1939" s="10" t="s">
        <v>55</v>
      </c>
      <c r="J1939" s="64"/>
      <c r="K1939" s="10" t="s">
        <v>10154</v>
      </c>
      <c r="L1939" s="10" t="s">
        <v>42</v>
      </c>
    </row>
    <row r="1940" ht="15.75" customHeight="1">
      <c r="A1940" s="64">
        <v>45444.0</v>
      </c>
      <c r="B1940" s="55" t="str">
        <f>HYPERLINK("https://jobright.ai/jobs/info/665bf41fca0a8a2d0fdf0375?utm_campaign=1052&amp;utm_source=sheet", "Apply")</f>
        <v>Apply</v>
      </c>
      <c r="C1940" s="10" t="s">
        <v>12085</v>
      </c>
      <c r="D1940" s="56" t="s">
        <v>9557</v>
      </c>
      <c r="E1940" s="10" t="s">
        <v>209</v>
      </c>
      <c r="F1940" s="10" t="s">
        <v>1159</v>
      </c>
      <c r="G1940" s="10" t="s">
        <v>9419</v>
      </c>
      <c r="H1940" s="10" t="s">
        <v>923</v>
      </c>
      <c r="I1940" s="10" t="s">
        <v>55</v>
      </c>
      <c r="K1940" s="10" t="s">
        <v>10154</v>
      </c>
      <c r="L1940" s="10" t="s">
        <v>42</v>
      </c>
    </row>
    <row r="1941" ht="15.75" customHeight="1">
      <c r="A1941" s="64">
        <v>45444.0</v>
      </c>
      <c r="B1941" s="55" t="str">
        <f>HYPERLINK("https://jobright.ai/jobs/info/665bf419ca0a8a2d0fdf036b?utm_campaign=1052&amp;utm_source=sheet", "Apply")</f>
        <v>Apply</v>
      </c>
      <c r="C1941" s="10" t="s">
        <v>12086</v>
      </c>
      <c r="D1941" s="56" t="s">
        <v>9557</v>
      </c>
      <c r="E1941" s="10" t="s">
        <v>209</v>
      </c>
      <c r="F1941" s="10" t="s">
        <v>1159</v>
      </c>
      <c r="G1941" s="10" t="s">
        <v>9419</v>
      </c>
      <c r="H1941" s="10" t="s">
        <v>174</v>
      </c>
      <c r="I1941" s="10" t="s">
        <v>55</v>
      </c>
      <c r="K1941" s="10" t="s">
        <v>10154</v>
      </c>
      <c r="L1941" s="10" t="s">
        <v>42</v>
      </c>
    </row>
    <row r="1942" ht="15.75" customHeight="1">
      <c r="A1942" s="64">
        <v>45444.0</v>
      </c>
      <c r="B1942" s="55" t="str">
        <f>HYPERLINK("https://jobright.ai/jobs/info/665bf41fca0a8a2d0fdf0389?utm_campaign=1052&amp;utm_source=sheet", "Apply")</f>
        <v>Apply</v>
      </c>
      <c r="C1942" s="10" t="s">
        <v>12087</v>
      </c>
      <c r="D1942" s="56" t="s">
        <v>9557</v>
      </c>
      <c r="E1942" s="10" t="s">
        <v>209</v>
      </c>
      <c r="F1942" s="10" t="s">
        <v>1159</v>
      </c>
      <c r="G1942" s="10" t="s">
        <v>9419</v>
      </c>
      <c r="H1942" s="10" t="s">
        <v>434</v>
      </c>
      <c r="I1942" s="10" t="s">
        <v>55</v>
      </c>
      <c r="J1942" s="10" t="s">
        <v>11870</v>
      </c>
      <c r="K1942" s="10" t="s">
        <v>11560</v>
      </c>
      <c r="L1942" s="10" t="s">
        <v>42</v>
      </c>
    </row>
    <row r="1943" ht="15.75" customHeight="1">
      <c r="A1943" s="64">
        <v>45444.0</v>
      </c>
      <c r="B1943" s="55" t="str">
        <f>HYPERLINK("https://jobright.ai/jobs/info/665bf41fca0a8a2d0fdf038b?utm_campaign=1052&amp;utm_source=sheet", "Apply")</f>
        <v>Apply</v>
      </c>
      <c r="C1943" s="10" t="s">
        <v>12088</v>
      </c>
      <c r="D1943" s="56" t="s">
        <v>9557</v>
      </c>
      <c r="E1943" s="10" t="s">
        <v>209</v>
      </c>
      <c r="F1943" s="10" t="s">
        <v>1159</v>
      </c>
      <c r="G1943" s="10" t="s">
        <v>9419</v>
      </c>
      <c r="H1943" s="10" t="s">
        <v>153</v>
      </c>
      <c r="I1943" s="10" t="s">
        <v>55</v>
      </c>
      <c r="K1943" s="10" t="s">
        <v>11717</v>
      </c>
      <c r="L1943" s="10" t="s">
        <v>42</v>
      </c>
    </row>
    <row r="1944" ht="15.75" customHeight="1">
      <c r="A1944" s="64">
        <v>45444.0</v>
      </c>
      <c r="B1944" s="55" t="str">
        <f>HYPERLINK("https://jobright.ai/jobs/info/665bf41fca0a8a2d0fdf037a?utm_campaign=1052&amp;utm_source=sheet", "Apply")</f>
        <v>Apply</v>
      </c>
      <c r="C1944" s="10" t="s">
        <v>12089</v>
      </c>
      <c r="D1944" s="56" t="s">
        <v>9557</v>
      </c>
      <c r="E1944" s="10" t="s">
        <v>209</v>
      </c>
      <c r="F1944" s="10" t="s">
        <v>1159</v>
      </c>
      <c r="G1944" s="10" t="s">
        <v>9419</v>
      </c>
      <c r="H1944" s="10" t="s">
        <v>780</v>
      </c>
      <c r="I1944" s="10" t="s">
        <v>55</v>
      </c>
      <c r="K1944" s="10" t="s">
        <v>11560</v>
      </c>
      <c r="L1944" s="10" t="s">
        <v>42</v>
      </c>
    </row>
    <row r="1945" ht="15.75" customHeight="1">
      <c r="A1945" s="64">
        <v>45444.0</v>
      </c>
      <c r="B1945" s="55" t="str">
        <f>HYPERLINK("https://jobright.ai/jobs/info/665bf41fca0a8a2d0fdf039e?utm_campaign=1052&amp;utm_source=sheet", "Apply")</f>
        <v>Apply</v>
      </c>
      <c r="C1945" s="10" t="s">
        <v>12090</v>
      </c>
      <c r="D1945" s="56" t="s">
        <v>9557</v>
      </c>
      <c r="E1945" s="10" t="s">
        <v>209</v>
      </c>
      <c r="F1945" s="10" t="s">
        <v>1159</v>
      </c>
      <c r="G1945" s="10" t="s">
        <v>9419</v>
      </c>
      <c r="H1945" s="10" t="s">
        <v>879</v>
      </c>
      <c r="I1945" s="10" t="s">
        <v>55</v>
      </c>
      <c r="K1945" s="10" t="s">
        <v>10741</v>
      </c>
      <c r="L1945" s="10" t="s">
        <v>42</v>
      </c>
    </row>
    <row r="1946" ht="15.75" customHeight="1">
      <c r="A1946" s="64">
        <v>45444.0</v>
      </c>
      <c r="B1946" s="55" t="str">
        <f>HYPERLINK("https://jobright.ai/jobs/info/665bf41fca0a8a2d0fdf039c?utm_campaign=1052&amp;utm_source=sheet", "Apply")</f>
        <v>Apply</v>
      </c>
      <c r="C1946" s="10" t="s">
        <v>12091</v>
      </c>
      <c r="D1946" s="56" t="s">
        <v>9557</v>
      </c>
      <c r="E1946" s="10" t="s">
        <v>209</v>
      </c>
      <c r="F1946" s="10" t="s">
        <v>1159</v>
      </c>
      <c r="G1946" s="10" t="s">
        <v>9419</v>
      </c>
      <c r="H1946" s="10" t="s">
        <v>1120</v>
      </c>
      <c r="I1946" s="10" t="s">
        <v>55</v>
      </c>
      <c r="K1946" s="10" t="s">
        <v>11560</v>
      </c>
      <c r="L1946" s="10" t="s">
        <v>42</v>
      </c>
    </row>
    <row r="1947" ht="15.75" customHeight="1">
      <c r="A1947" s="64">
        <v>45444.0</v>
      </c>
      <c r="B1947" s="55" t="str">
        <f>HYPERLINK("https://jobright.ai/jobs/info/665bf41fca0a8a2d0fdf03a2?utm_campaign=1052&amp;utm_source=sheet", "Apply")</f>
        <v>Apply</v>
      </c>
      <c r="C1947" s="10" t="s">
        <v>12092</v>
      </c>
      <c r="D1947" s="56" t="s">
        <v>9557</v>
      </c>
      <c r="E1947" s="10" t="s">
        <v>209</v>
      </c>
      <c r="F1947" s="10" t="s">
        <v>1159</v>
      </c>
      <c r="G1947" s="10" t="s">
        <v>9419</v>
      </c>
      <c r="H1947" s="10" t="s">
        <v>936</v>
      </c>
      <c r="I1947" s="10" t="s">
        <v>55</v>
      </c>
      <c r="J1947" s="64"/>
      <c r="K1947" s="10" t="s">
        <v>10741</v>
      </c>
      <c r="L1947" s="10" t="s">
        <v>42</v>
      </c>
    </row>
    <row r="1948" ht="15.75" customHeight="1">
      <c r="A1948" s="64">
        <v>45444.0</v>
      </c>
      <c r="B1948" s="55" t="str">
        <f>HYPERLINK("https://jobright.ai/jobs/info/665bf41fca0a8a2d0fdf03ad?utm_campaign=1052&amp;utm_source=sheet", "Apply")</f>
        <v>Apply</v>
      </c>
      <c r="C1948" s="10" t="s">
        <v>12093</v>
      </c>
      <c r="D1948" s="56" t="s">
        <v>9557</v>
      </c>
      <c r="E1948" s="10" t="s">
        <v>209</v>
      </c>
      <c r="F1948" s="10" t="s">
        <v>1159</v>
      </c>
      <c r="G1948" s="10" t="s">
        <v>9419</v>
      </c>
      <c r="H1948" s="10" t="s">
        <v>886</v>
      </c>
      <c r="I1948" s="10" t="s">
        <v>55</v>
      </c>
      <c r="J1948" s="64"/>
      <c r="K1948" s="10" t="s">
        <v>10154</v>
      </c>
      <c r="L1948" s="10" t="s">
        <v>42</v>
      </c>
    </row>
    <row r="1949" ht="15.75" customHeight="1">
      <c r="A1949" s="64">
        <v>45444.0</v>
      </c>
      <c r="B1949" s="55" t="str">
        <f>HYPERLINK("https://jobright.ai/jobs/info/665bf41fca0a8a2d0fdf03a4?utm_campaign=1052&amp;utm_source=sheet", "Apply")</f>
        <v>Apply</v>
      </c>
      <c r="C1949" s="10" t="s">
        <v>12094</v>
      </c>
      <c r="D1949" s="56" t="s">
        <v>9557</v>
      </c>
      <c r="E1949" s="10" t="s">
        <v>209</v>
      </c>
      <c r="F1949" s="10" t="s">
        <v>1159</v>
      </c>
      <c r="G1949" s="10" t="s">
        <v>9419</v>
      </c>
      <c r="H1949" s="10" t="s">
        <v>434</v>
      </c>
      <c r="I1949" s="10" t="s">
        <v>55</v>
      </c>
      <c r="J1949" s="10" t="s">
        <v>6565</v>
      </c>
      <c r="K1949" s="10" t="s">
        <v>12014</v>
      </c>
      <c r="L1949" s="10" t="s">
        <v>42</v>
      </c>
    </row>
    <row r="1950" ht="15.75" customHeight="1">
      <c r="A1950" s="64">
        <v>45444.0</v>
      </c>
      <c r="B1950" s="55" t="str">
        <f>HYPERLINK("https://jobright.ai/jobs/info/665bf41fca0a8a2d0fdf03ae?utm_campaign=1052&amp;utm_source=sheet", "Apply")</f>
        <v>Apply</v>
      </c>
      <c r="C1950" s="10" t="s">
        <v>12095</v>
      </c>
      <c r="D1950" s="56" t="s">
        <v>9557</v>
      </c>
      <c r="E1950" s="10" t="s">
        <v>209</v>
      </c>
      <c r="F1950" s="10" t="s">
        <v>1159</v>
      </c>
      <c r="G1950" s="10" t="s">
        <v>9419</v>
      </c>
      <c r="H1950" s="10" t="s">
        <v>628</v>
      </c>
      <c r="I1950" s="10" t="s">
        <v>55</v>
      </c>
      <c r="J1950" s="64"/>
      <c r="K1950" s="10" t="s">
        <v>10154</v>
      </c>
      <c r="L1950" s="10" t="s">
        <v>42</v>
      </c>
    </row>
    <row r="1951" ht="15.75" customHeight="1">
      <c r="A1951" s="64">
        <v>45444.0</v>
      </c>
      <c r="B1951" s="55" t="str">
        <f>HYPERLINK("https://jobright.ai/jobs/info/665bf41fca0a8a2d0fdf03b0?utm_campaign=1052&amp;utm_source=sheet", "Apply")</f>
        <v>Apply</v>
      </c>
      <c r="C1951" s="10" t="s">
        <v>12096</v>
      </c>
      <c r="D1951" s="56" t="s">
        <v>9557</v>
      </c>
      <c r="E1951" s="10" t="s">
        <v>209</v>
      </c>
      <c r="F1951" s="10" t="s">
        <v>1159</v>
      </c>
      <c r="G1951" s="10" t="s">
        <v>9419</v>
      </c>
      <c r="H1951" s="10" t="s">
        <v>835</v>
      </c>
      <c r="I1951" s="10" t="s">
        <v>55</v>
      </c>
      <c r="K1951" s="10" t="s">
        <v>11560</v>
      </c>
      <c r="L1951" s="10" t="s">
        <v>42</v>
      </c>
    </row>
    <row r="1952" ht="15.75" customHeight="1">
      <c r="A1952" s="64">
        <v>45444.0</v>
      </c>
      <c r="B1952" s="55" t="str">
        <f>HYPERLINK("https://jobright.ai/jobs/info/665bf41fca0a8a2d0fdf03b6?utm_campaign=1052&amp;utm_source=sheet", "Apply")</f>
        <v>Apply</v>
      </c>
      <c r="C1952" s="10" t="s">
        <v>12097</v>
      </c>
      <c r="D1952" s="56" t="s">
        <v>9557</v>
      </c>
      <c r="E1952" s="10" t="s">
        <v>209</v>
      </c>
      <c r="F1952" s="10" t="s">
        <v>1159</v>
      </c>
      <c r="G1952" s="10" t="s">
        <v>9419</v>
      </c>
      <c r="H1952" s="10" t="s">
        <v>788</v>
      </c>
      <c r="I1952" s="10" t="s">
        <v>55</v>
      </c>
      <c r="K1952" s="10" t="s">
        <v>10741</v>
      </c>
      <c r="L1952" s="10" t="s">
        <v>42</v>
      </c>
    </row>
    <row r="1953" ht="15.75" customHeight="1">
      <c r="A1953" s="64">
        <v>45444.0</v>
      </c>
      <c r="B1953" s="55" t="str">
        <f>HYPERLINK("https://jobright.ai/jobs/info/665bf41fca0a8a2d0fdf03a5?utm_campaign=1052&amp;utm_source=sheet", "Apply")</f>
        <v>Apply</v>
      </c>
      <c r="C1953" s="10" t="s">
        <v>12098</v>
      </c>
      <c r="D1953" s="56" t="s">
        <v>9557</v>
      </c>
      <c r="E1953" s="10" t="s">
        <v>209</v>
      </c>
      <c r="F1953" s="10" t="s">
        <v>1159</v>
      </c>
      <c r="G1953" s="10" t="s">
        <v>9419</v>
      </c>
      <c r="H1953" s="10" t="s">
        <v>106</v>
      </c>
      <c r="I1953" s="10" t="s">
        <v>55</v>
      </c>
      <c r="J1953" s="64"/>
      <c r="K1953" s="10" t="s">
        <v>10741</v>
      </c>
      <c r="L1953" s="10" t="s">
        <v>42</v>
      </c>
    </row>
    <row r="1954" ht="15.75" customHeight="1">
      <c r="A1954" s="64">
        <v>45444.0</v>
      </c>
      <c r="B1954" s="55" t="str">
        <f>HYPERLINK("https://jobright.ai/jobs/info/665bf41fca0a8a2d0fdf03a8?utm_campaign=1052&amp;utm_source=sheet", "Apply")</f>
        <v>Apply</v>
      </c>
      <c r="C1954" s="10" t="s">
        <v>12099</v>
      </c>
      <c r="D1954" s="56" t="s">
        <v>9557</v>
      </c>
      <c r="E1954" s="10" t="s">
        <v>209</v>
      </c>
      <c r="F1954" s="10" t="s">
        <v>1159</v>
      </c>
      <c r="G1954" s="10" t="s">
        <v>9419</v>
      </c>
      <c r="H1954" s="10" t="s">
        <v>861</v>
      </c>
      <c r="I1954" s="10" t="s">
        <v>55</v>
      </c>
      <c r="J1954" s="64"/>
      <c r="K1954" s="10" t="s">
        <v>12100</v>
      </c>
      <c r="L1954" s="10" t="s">
        <v>42</v>
      </c>
    </row>
    <row r="1955" ht="15.75" customHeight="1">
      <c r="A1955" s="64">
        <v>45444.0</v>
      </c>
      <c r="B1955" s="55" t="str">
        <f>HYPERLINK("https://jobright.ai/jobs/info/665bf41fca0a8a2d0fdf03ed?utm_campaign=1052&amp;utm_source=sheet", "Apply")</f>
        <v>Apply</v>
      </c>
      <c r="C1955" s="10" t="s">
        <v>12101</v>
      </c>
      <c r="D1955" s="56" t="s">
        <v>9557</v>
      </c>
      <c r="E1955" s="10" t="s">
        <v>209</v>
      </c>
      <c r="F1955" s="10" t="s">
        <v>1159</v>
      </c>
      <c r="G1955" s="10" t="s">
        <v>9419</v>
      </c>
      <c r="H1955" s="10" t="s">
        <v>1978</v>
      </c>
      <c r="I1955" s="10" t="s">
        <v>55</v>
      </c>
      <c r="J1955" s="64"/>
      <c r="K1955" s="10" t="s">
        <v>12014</v>
      </c>
      <c r="L1955" s="10" t="s">
        <v>42</v>
      </c>
    </row>
    <row r="1956" ht="15.75" customHeight="1">
      <c r="A1956" s="64">
        <v>45444.0</v>
      </c>
      <c r="B1956" s="55" t="str">
        <f>HYPERLINK("https://jobright.ai/jobs/info/665bf41fca0a8a2d0fdf03f9?utm_campaign=1052&amp;utm_source=sheet", "Apply")</f>
        <v>Apply</v>
      </c>
      <c r="C1956" s="10" t="s">
        <v>12102</v>
      </c>
      <c r="D1956" s="56" t="s">
        <v>9557</v>
      </c>
      <c r="E1956" s="10" t="s">
        <v>209</v>
      </c>
      <c r="F1956" s="10" t="s">
        <v>1159</v>
      </c>
      <c r="G1956" s="10" t="s">
        <v>9419</v>
      </c>
      <c r="H1956" s="10" t="s">
        <v>245</v>
      </c>
      <c r="I1956" s="10" t="s">
        <v>55</v>
      </c>
      <c r="J1956" s="64"/>
      <c r="K1956" s="10" t="s">
        <v>11560</v>
      </c>
      <c r="L1956" s="10" t="s">
        <v>42</v>
      </c>
    </row>
    <row r="1957" ht="15.75" customHeight="1">
      <c r="A1957" s="64">
        <v>45444.0</v>
      </c>
      <c r="B1957" s="55" t="str">
        <f>HYPERLINK("https://jobright.ai/jobs/info/665bf41fca0a8a2d0fdf03f6?utm_campaign=1052&amp;utm_source=sheet", "Apply")</f>
        <v>Apply</v>
      </c>
      <c r="C1957" s="10" t="s">
        <v>12103</v>
      </c>
      <c r="D1957" s="56" t="s">
        <v>9557</v>
      </c>
      <c r="E1957" s="10" t="s">
        <v>209</v>
      </c>
      <c r="F1957" s="10" t="s">
        <v>1159</v>
      </c>
      <c r="G1957" s="10" t="s">
        <v>9419</v>
      </c>
      <c r="H1957" s="10" t="s">
        <v>993</v>
      </c>
      <c r="I1957" s="10" t="s">
        <v>55</v>
      </c>
      <c r="J1957" s="64"/>
      <c r="K1957" s="10" t="s">
        <v>10741</v>
      </c>
      <c r="L1957" s="10" t="s">
        <v>42</v>
      </c>
    </row>
    <row r="1958" ht="15.75" customHeight="1">
      <c r="A1958" s="64">
        <v>45444.0</v>
      </c>
      <c r="B1958" s="55" t="str">
        <f>HYPERLINK("https://jobright.ai/jobs/info/665bf41fca0a8a2d0fdf0404?utm_campaign=1052&amp;utm_source=sheet", "Apply")</f>
        <v>Apply</v>
      </c>
      <c r="C1958" s="10" t="s">
        <v>12104</v>
      </c>
      <c r="D1958" s="56" t="s">
        <v>9557</v>
      </c>
      <c r="E1958" s="10" t="s">
        <v>209</v>
      </c>
      <c r="F1958" s="10" t="s">
        <v>1159</v>
      </c>
      <c r="G1958" s="10" t="s">
        <v>9419</v>
      </c>
      <c r="H1958" s="10" t="s">
        <v>434</v>
      </c>
      <c r="I1958" s="10" t="s">
        <v>55</v>
      </c>
      <c r="J1958" s="10" t="s">
        <v>6565</v>
      </c>
      <c r="K1958" s="10" t="s">
        <v>12014</v>
      </c>
      <c r="L1958" s="10" t="s">
        <v>42</v>
      </c>
    </row>
    <row r="1959" ht="15.75" customHeight="1">
      <c r="A1959" s="64">
        <v>45444.0</v>
      </c>
      <c r="B1959" s="55" t="str">
        <f>HYPERLINK("https://jobright.ai/jobs/info/665bf41fca0a8a2d0fdf0403?utm_campaign=1052&amp;utm_source=sheet", "Apply")</f>
        <v>Apply</v>
      </c>
      <c r="C1959" s="10" t="s">
        <v>12105</v>
      </c>
      <c r="D1959" s="56" t="s">
        <v>9557</v>
      </c>
      <c r="E1959" s="10" t="s">
        <v>209</v>
      </c>
      <c r="F1959" s="10" t="s">
        <v>1159</v>
      </c>
      <c r="G1959" s="10" t="s">
        <v>9419</v>
      </c>
      <c r="H1959" s="10" t="s">
        <v>780</v>
      </c>
      <c r="I1959" s="10" t="s">
        <v>55</v>
      </c>
      <c r="J1959" s="64"/>
      <c r="K1959" s="10" t="s">
        <v>10741</v>
      </c>
      <c r="L1959" s="10" t="s">
        <v>42</v>
      </c>
    </row>
    <row r="1960" ht="15.75" customHeight="1">
      <c r="A1960" s="64">
        <v>45444.0</v>
      </c>
      <c r="B1960" s="55" t="str">
        <f>HYPERLINK("https://jobright.ai/jobs/info/665bf41fca0a8a2d0fdf0415?utm_campaign=1052&amp;utm_source=sheet", "Apply")</f>
        <v>Apply</v>
      </c>
      <c r="C1960" s="10" t="s">
        <v>12106</v>
      </c>
      <c r="D1960" s="56" t="s">
        <v>9557</v>
      </c>
      <c r="E1960" s="10" t="s">
        <v>209</v>
      </c>
      <c r="F1960" s="10" t="s">
        <v>1159</v>
      </c>
      <c r="G1960" s="10" t="s">
        <v>9419</v>
      </c>
      <c r="H1960" s="10" t="s">
        <v>860</v>
      </c>
      <c r="I1960" s="10" t="s">
        <v>55</v>
      </c>
      <c r="J1960" s="64"/>
      <c r="K1960" s="10" t="s">
        <v>10741</v>
      </c>
      <c r="L1960" s="10" t="s">
        <v>42</v>
      </c>
    </row>
    <row r="1961" ht="15.75" customHeight="1">
      <c r="A1961" s="64">
        <v>45444.0</v>
      </c>
      <c r="B1961" s="55" t="str">
        <f>HYPERLINK("https://jobright.ai/jobs/info/665bf41fca0a8a2d0fdf040f?utm_campaign=1052&amp;utm_source=sheet", "Apply")</f>
        <v>Apply</v>
      </c>
      <c r="C1961" s="10" t="s">
        <v>12107</v>
      </c>
      <c r="D1961" s="56" t="s">
        <v>9557</v>
      </c>
      <c r="E1961" s="10" t="s">
        <v>209</v>
      </c>
      <c r="F1961" s="10" t="s">
        <v>1159</v>
      </c>
      <c r="G1961" s="10" t="s">
        <v>9419</v>
      </c>
      <c r="H1961" s="10" t="s">
        <v>106</v>
      </c>
      <c r="I1961" s="10" t="s">
        <v>55</v>
      </c>
      <c r="K1961" s="10" t="s">
        <v>11560</v>
      </c>
      <c r="L1961" s="10" t="s">
        <v>42</v>
      </c>
    </row>
    <row r="1962" ht="15.75" customHeight="1">
      <c r="A1962" s="64">
        <v>45444.0</v>
      </c>
      <c r="B1962" s="55" t="str">
        <f>HYPERLINK("https://jobright.ai/jobs/info/665bf41fca0a8a2d0fdf0410?utm_campaign=1052&amp;utm_source=sheet", "Apply")</f>
        <v>Apply</v>
      </c>
      <c r="C1962" s="10" t="s">
        <v>12108</v>
      </c>
      <c r="D1962" s="56" t="s">
        <v>9557</v>
      </c>
      <c r="E1962" s="10" t="s">
        <v>209</v>
      </c>
      <c r="F1962" s="10" t="s">
        <v>1159</v>
      </c>
      <c r="G1962" s="10" t="s">
        <v>9419</v>
      </c>
      <c r="H1962" s="10" t="s">
        <v>4799</v>
      </c>
      <c r="I1962" s="10" t="s">
        <v>55</v>
      </c>
      <c r="J1962" s="64"/>
      <c r="K1962" s="10" t="s">
        <v>10741</v>
      </c>
      <c r="L1962" s="10" t="s">
        <v>42</v>
      </c>
    </row>
    <row r="1963" ht="15.75" customHeight="1">
      <c r="A1963" s="64">
        <v>45444.0</v>
      </c>
      <c r="B1963" s="55" t="str">
        <f>HYPERLINK("https://jobright.ai/jobs/info/665bf41fca0a8a2d0fdf041a?utm_campaign=1052&amp;utm_source=sheet", "Apply")</f>
        <v>Apply</v>
      </c>
      <c r="C1963" s="10" t="s">
        <v>12109</v>
      </c>
      <c r="D1963" s="56" t="s">
        <v>9557</v>
      </c>
      <c r="E1963" s="10" t="s">
        <v>209</v>
      </c>
      <c r="F1963" s="10" t="s">
        <v>1159</v>
      </c>
      <c r="G1963" s="10" t="s">
        <v>9419</v>
      </c>
      <c r="H1963" s="10" t="s">
        <v>113</v>
      </c>
      <c r="I1963" s="10" t="s">
        <v>55</v>
      </c>
      <c r="K1963" s="10" t="s">
        <v>10741</v>
      </c>
      <c r="L1963" s="10" t="s">
        <v>42</v>
      </c>
    </row>
    <row r="1964" ht="15.75" customHeight="1">
      <c r="A1964" s="64">
        <v>45444.0</v>
      </c>
      <c r="B1964" s="55" t="str">
        <f>HYPERLINK("https://jobright.ai/jobs/info/665bf41fca0a8a2d0fdf042b?utm_campaign=1052&amp;utm_source=sheet", "Apply")</f>
        <v>Apply</v>
      </c>
      <c r="C1964" s="10" t="s">
        <v>12110</v>
      </c>
      <c r="D1964" s="56" t="s">
        <v>9557</v>
      </c>
      <c r="E1964" s="10" t="s">
        <v>209</v>
      </c>
      <c r="F1964" s="10" t="s">
        <v>1159</v>
      </c>
      <c r="G1964" s="10" t="s">
        <v>9419</v>
      </c>
      <c r="H1964" s="10" t="s">
        <v>174</v>
      </c>
      <c r="I1964" s="10" t="s">
        <v>55</v>
      </c>
      <c r="K1964" s="10" t="s">
        <v>10154</v>
      </c>
      <c r="L1964" s="10" t="s">
        <v>42</v>
      </c>
    </row>
    <row r="1965" ht="15.75" customHeight="1">
      <c r="A1965" s="64">
        <v>45444.0</v>
      </c>
      <c r="B1965" s="55" t="str">
        <f>HYPERLINK("https://jobright.ai/jobs/info/665bf41fca0a8a2d0fdf0430?utm_campaign=1052&amp;utm_source=sheet", "Apply")</f>
        <v>Apply</v>
      </c>
      <c r="C1965" s="10" t="s">
        <v>12111</v>
      </c>
      <c r="D1965" s="56" t="s">
        <v>9557</v>
      </c>
      <c r="E1965" s="10" t="s">
        <v>209</v>
      </c>
      <c r="F1965" s="10" t="s">
        <v>1159</v>
      </c>
      <c r="G1965" s="10" t="s">
        <v>9419</v>
      </c>
      <c r="H1965" s="10" t="s">
        <v>7569</v>
      </c>
      <c r="I1965" s="10" t="s">
        <v>55</v>
      </c>
      <c r="J1965" s="64"/>
      <c r="K1965" s="10" t="s">
        <v>10154</v>
      </c>
      <c r="L1965" s="10" t="s">
        <v>42</v>
      </c>
    </row>
    <row r="1966" ht="15.75" customHeight="1">
      <c r="A1966" s="64">
        <v>45444.0</v>
      </c>
      <c r="B1966" s="55" t="str">
        <f>HYPERLINK("https://jobright.ai/jobs/info/665bf425ca0a8a2d0fdf0440?utm_campaign=1052&amp;utm_source=sheet", "Apply")</f>
        <v>Apply</v>
      </c>
      <c r="C1966" s="10" t="s">
        <v>12112</v>
      </c>
      <c r="D1966" s="56" t="s">
        <v>9557</v>
      </c>
      <c r="E1966" s="10" t="s">
        <v>209</v>
      </c>
      <c r="F1966" s="10" t="s">
        <v>1159</v>
      </c>
      <c r="G1966" s="10" t="s">
        <v>9419</v>
      </c>
      <c r="H1966" s="10" t="s">
        <v>780</v>
      </c>
      <c r="I1966" s="10" t="s">
        <v>55</v>
      </c>
      <c r="J1966" s="64"/>
      <c r="K1966" s="10" t="s">
        <v>10154</v>
      </c>
      <c r="L1966" s="10" t="s">
        <v>42</v>
      </c>
    </row>
    <row r="1967" ht="15.75" customHeight="1">
      <c r="A1967" s="64">
        <v>45444.0</v>
      </c>
      <c r="B1967" s="55" t="str">
        <f>HYPERLINK("https://jobright.ai/jobs/info/665bf425ca0a8a2d0fdf045f?utm_campaign=1052&amp;utm_source=sheet", "Apply")</f>
        <v>Apply</v>
      </c>
      <c r="C1967" s="10" t="s">
        <v>12113</v>
      </c>
      <c r="D1967" s="56" t="s">
        <v>9557</v>
      </c>
      <c r="E1967" s="10" t="s">
        <v>209</v>
      </c>
      <c r="F1967" s="10" t="s">
        <v>1159</v>
      </c>
      <c r="G1967" s="10" t="s">
        <v>9419</v>
      </c>
      <c r="H1967" s="10" t="s">
        <v>154</v>
      </c>
      <c r="I1967" s="10" t="s">
        <v>55</v>
      </c>
      <c r="J1967" s="64"/>
      <c r="K1967" s="10" t="s">
        <v>10154</v>
      </c>
      <c r="L1967" s="10" t="s">
        <v>42</v>
      </c>
    </row>
    <row r="1968" ht="15.75" customHeight="1">
      <c r="A1968" s="64">
        <v>45444.0</v>
      </c>
      <c r="B1968" s="55" t="str">
        <f>HYPERLINK("https://jobright.ai/jobs/info/665bf425ca0a8a2d0fdf0460?utm_campaign=1052&amp;utm_source=sheet", "Apply")</f>
        <v>Apply</v>
      </c>
      <c r="C1968" s="10" t="s">
        <v>12114</v>
      </c>
      <c r="D1968" s="56" t="s">
        <v>9557</v>
      </c>
      <c r="E1968" s="10" t="s">
        <v>209</v>
      </c>
      <c r="F1968" s="10" t="s">
        <v>1159</v>
      </c>
      <c r="G1968" s="10" t="s">
        <v>9419</v>
      </c>
      <c r="H1968" s="10" t="s">
        <v>886</v>
      </c>
      <c r="I1968" s="10" t="s">
        <v>55</v>
      </c>
      <c r="K1968" s="10" t="s">
        <v>11560</v>
      </c>
      <c r="L1968" s="10" t="s">
        <v>42</v>
      </c>
    </row>
    <row r="1969" ht="15.75" customHeight="1">
      <c r="A1969" s="64">
        <v>45444.0</v>
      </c>
      <c r="B1969" s="55" t="str">
        <f>HYPERLINK("https://jobright.ai/jobs/info/665bf425ca0a8a2d0fdf046c?utm_campaign=1052&amp;utm_source=sheet", "Apply")</f>
        <v>Apply</v>
      </c>
      <c r="C1969" s="10" t="s">
        <v>12115</v>
      </c>
      <c r="D1969" s="56" t="s">
        <v>9557</v>
      </c>
      <c r="E1969" s="10" t="s">
        <v>209</v>
      </c>
      <c r="F1969" s="10" t="s">
        <v>1159</v>
      </c>
      <c r="G1969" s="10" t="s">
        <v>9419</v>
      </c>
      <c r="H1969" s="10" t="s">
        <v>882</v>
      </c>
      <c r="I1969" s="10" t="s">
        <v>55</v>
      </c>
      <c r="J1969" s="64"/>
      <c r="K1969" s="10" t="s">
        <v>10154</v>
      </c>
      <c r="L1969" s="10" t="s">
        <v>42</v>
      </c>
    </row>
    <row r="1970" ht="15.75" customHeight="1">
      <c r="A1970" s="64">
        <v>45444.0</v>
      </c>
      <c r="B1970" s="55" t="str">
        <f>HYPERLINK("https://jobright.ai/jobs/info/665bf425ca0a8a2d0fdf0491?utm_campaign=1052&amp;utm_source=sheet", "Apply")</f>
        <v>Apply</v>
      </c>
      <c r="C1970" s="10" t="s">
        <v>12116</v>
      </c>
      <c r="D1970" s="56" t="s">
        <v>9557</v>
      </c>
      <c r="E1970" s="10" t="s">
        <v>209</v>
      </c>
      <c r="F1970" s="10" t="s">
        <v>1159</v>
      </c>
      <c r="G1970" s="10" t="s">
        <v>9419</v>
      </c>
      <c r="H1970" s="10" t="s">
        <v>4279</v>
      </c>
      <c r="I1970" s="10" t="s">
        <v>55</v>
      </c>
      <c r="K1970" s="10" t="s">
        <v>10741</v>
      </c>
      <c r="L1970" s="10" t="s">
        <v>42</v>
      </c>
    </row>
    <row r="1971" ht="15.75" customHeight="1">
      <c r="A1971" s="64">
        <v>45444.0</v>
      </c>
      <c r="B1971" s="55" t="str">
        <f>HYPERLINK("https://jobright.ai/jobs/info/665bf425ca0a8a2d0fdf048f?utm_campaign=1052&amp;utm_source=sheet", "Apply")</f>
        <v>Apply</v>
      </c>
      <c r="C1971" s="10" t="s">
        <v>12117</v>
      </c>
      <c r="D1971" s="56" t="s">
        <v>9557</v>
      </c>
      <c r="E1971" s="10" t="s">
        <v>209</v>
      </c>
      <c r="F1971" s="10" t="s">
        <v>1159</v>
      </c>
      <c r="G1971" s="10" t="s">
        <v>9419</v>
      </c>
      <c r="H1971" s="10" t="s">
        <v>952</v>
      </c>
      <c r="I1971" s="10" t="s">
        <v>55</v>
      </c>
      <c r="J1971" s="64"/>
      <c r="K1971" s="10" t="s">
        <v>11560</v>
      </c>
      <c r="L1971" s="10" t="s">
        <v>42</v>
      </c>
    </row>
    <row r="1972" ht="15.75" customHeight="1">
      <c r="A1972" s="64">
        <v>45444.0</v>
      </c>
      <c r="B1972" s="55" t="str">
        <f>HYPERLINK("https://jobright.ai/jobs/info/665bf425ca0a8a2d0fdf0492?utm_campaign=1052&amp;utm_source=sheet", "Apply")</f>
        <v>Apply</v>
      </c>
      <c r="C1972" s="10" t="s">
        <v>12118</v>
      </c>
      <c r="D1972" s="56" t="s">
        <v>9557</v>
      </c>
      <c r="E1972" s="10" t="s">
        <v>209</v>
      </c>
      <c r="F1972" s="10" t="s">
        <v>1159</v>
      </c>
      <c r="G1972" s="10" t="s">
        <v>9419</v>
      </c>
      <c r="H1972" s="10" t="s">
        <v>106</v>
      </c>
      <c r="I1972" s="10" t="s">
        <v>55</v>
      </c>
      <c r="J1972" s="64"/>
      <c r="K1972" s="10" t="s">
        <v>11560</v>
      </c>
      <c r="L1972" s="10" t="s">
        <v>42</v>
      </c>
    </row>
    <row r="1973" ht="15.75" customHeight="1">
      <c r="A1973" s="64">
        <v>45444.0</v>
      </c>
      <c r="B1973" s="55" t="str">
        <f>HYPERLINK("https://jobright.ai/jobs/info/665bf425ca0a8a2d0fdf049c?utm_campaign=1052&amp;utm_source=sheet", "Apply")</f>
        <v>Apply</v>
      </c>
      <c r="C1973" s="10" t="s">
        <v>12119</v>
      </c>
      <c r="D1973" s="56" t="s">
        <v>9557</v>
      </c>
      <c r="E1973" s="10" t="s">
        <v>209</v>
      </c>
      <c r="F1973" s="10" t="s">
        <v>1159</v>
      </c>
      <c r="G1973" s="10" t="s">
        <v>9419</v>
      </c>
      <c r="H1973" s="10" t="s">
        <v>1041</v>
      </c>
      <c r="I1973" s="10" t="s">
        <v>55</v>
      </c>
      <c r="J1973" s="64"/>
      <c r="K1973" s="10" t="s">
        <v>11560</v>
      </c>
      <c r="L1973" s="10" t="s">
        <v>42</v>
      </c>
    </row>
    <row r="1974" ht="15.75" customHeight="1">
      <c r="A1974" s="64">
        <v>45444.0</v>
      </c>
      <c r="B1974" s="55" t="str">
        <f>HYPERLINK("https://jobright.ai/jobs/info/665bf425ca0a8a2d0fdf04ae?utm_campaign=1052&amp;utm_source=sheet", "Apply")</f>
        <v>Apply</v>
      </c>
      <c r="C1974" s="10" t="s">
        <v>12120</v>
      </c>
      <c r="D1974" s="56" t="s">
        <v>9557</v>
      </c>
      <c r="E1974" s="10" t="s">
        <v>209</v>
      </c>
      <c r="F1974" s="10" t="s">
        <v>1159</v>
      </c>
      <c r="G1974" s="10" t="s">
        <v>9419</v>
      </c>
      <c r="H1974" s="10" t="s">
        <v>113</v>
      </c>
      <c r="I1974" s="10" t="s">
        <v>55</v>
      </c>
      <c r="J1974" s="64"/>
      <c r="K1974" s="10" t="s">
        <v>10154</v>
      </c>
      <c r="L1974" s="10" t="s">
        <v>42</v>
      </c>
    </row>
    <row r="1975" ht="15.75" customHeight="1">
      <c r="A1975" s="64">
        <v>45444.0</v>
      </c>
      <c r="B1975" s="55" t="str">
        <f>HYPERLINK("https://jobright.ai/jobs/info/665bf425ca0a8a2d0fdf04ac?utm_campaign=1052&amp;utm_source=sheet", "Apply")</f>
        <v>Apply</v>
      </c>
      <c r="C1975" s="10" t="s">
        <v>12121</v>
      </c>
      <c r="D1975" s="56" t="s">
        <v>9557</v>
      </c>
      <c r="E1975" s="10" t="s">
        <v>209</v>
      </c>
      <c r="F1975" s="10" t="s">
        <v>1159</v>
      </c>
      <c r="G1975" s="10" t="s">
        <v>9419</v>
      </c>
      <c r="H1975" s="10" t="s">
        <v>73</v>
      </c>
      <c r="I1975" s="10" t="s">
        <v>55</v>
      </c>
      <c r="J1975" s="64"/>
      <c r="K1975" s="10" t="s">
        <v>11560</v>
      </c>
      <c r="L1975" s="10" t="s">
        <v>42</v>
      </c>
    </row>
    <row r="1976" ht="15.75" customHeight="1">
      <c r="A1976" s="64">
        <v>45444.0</v>
      </c>
      <c r="B1976" s="55" t="str">
        <f>HYPERLINK("https://jobright.ai/jobs/info/665bf425ca0a8a2d0fdf04a5?utm_campaign=1052&amp;utm_source=sheet", "Apply")</f>
        <v>Apply</v>
      </c>
      <c r="C1976" s="10" t="s">
        <v>12122</v>
      </c>
      <c r="D1976" s="56" t="s">
        <v>9557</v>
      </c>
      <c r="E1976" s="10" t="s">
        <v>209</v>
      </c>
      <c r="F1976" s="10" t="s">
        <v>1159</v>
      </c>
      <c r="G1976" s="10" t="s">
        <v>9419</v>
      </c>
      <c r="H1976" s="10" t="s">
        <v>7569</v>
      </c>
      <c r="I1976" s="10" t="s">
        <v>55</v>
      </c>
      <c r="J1976" s="64"/>
      <c r="K1976" s="10" t="s">
        <v>10154</v>
      </c>
      <c r="L1976" s="10" t="s">
        <v>42</v>
      </c>
    </row>
    <row r="1977" ht="15.75" customHeight="1">
      <c r="A1977" s="64">
        <v>45444.0</v>
      </c>
      <c r="B1977" s="55" t="str">
        <f>HYPERLINK("https://jobright.ai/jobs/info/665bf425ca0a8a2d0fdf04ab?utm_campaign=1052&amp;utm_source=sheet", "Apply")</f>
        <v>Apply</v>
      </c>
      <c r="C1977" s="10" t="s">
        <v>12123</v>
      </c>
      <c r="D1977" s="56" t="s">
        <v>9557</v>
      </c>
      <c r="E1977" s="10" t="s">
        <v>209</v>
      </c>
      <c r="F1977" s="10" t="s">
        <v>1159</v>
      </c>
      <c r="G1977" s="10" t="s">
        <v>9419</v>
      </c>
      <c r="H1977" s="10" t="s">
        <v>1263</v>
      </c>
      <c r="I1977" s="10" t="s">
        <v>55</v>
      </c>
      <c r="J1977" s="10" t="s">
        <v>12046</v>
      </c>
      <c r="K1977" s="10" t="s">
        <v>10741</v>
      </c>
      <c r="L1977" s="10" t="s">
        <v>42</v>
      </c>
    </row>
    <row r="1978" ht="15.75" customHeight="1">
      <c r="A1978" s="64">
        <v>45444.0</v>
      </c>
      <c r="B1978" s="55" t="str">
        <f>HYPERLINK("https://jobright.ai/jobs/info/665bf425ca0a8a2d0fdf04bc?utm_campaign=1052&amp;utm_source=sheet", "Apply")</f>
        <v>Apply</v>
      </c>
      <c r="C1978" s="10" t="s">
        <v>12124</v>
      </c>
      <c r="D1978" s="56" t="s">
        <v>9557</v>
      </c>
      <c r="E1978" s="10" t="s">
        <v>209</v>
      </c>
      <c r="F1978" s="10" t="s">
        <v>1159</v>
      </c>
      <c r="G1978" s="10" t="s">
        <v>9419</v>
      </c>
      <c r="H1978" s="10" t="s">
        <v>1120</v>
      </c>
      <c r="I1978" s="10" t="s">
        <v>55</v>
      </c>
      <c r="J1978" s="64"/>
      <c r="K1978" s="10" t="s">
        <v>10741</v>
      </c>
      <c r="L1978" s="10" t="s">
        <v>42</v>
      </c>
    </row>
    <row r="1979" ht="15.75" customHeight="1">
      <c r="A1979" s="64">
        <v>45444.0</v>
      </c>
      <c r="B1979" s="55" t="str">
        <f>HYPERLINK("https://jobright.ai/jobs/info/665bf425ca0a8a2d0fdf04cc?utm_campaign=1052&amp;utm_source=sheet", "Apply")</f>
        <v>Apply</v>
      </c>
      <c r="C1979" s="10" t="s">
        <v>12125</v>
      </c>
      <c r="D1979" s="56" t="s">
        <v>9557</v>
      </c>
      <c r="E1979" s="10" t="s">
        <v>209</v>
      </c>
      <c r="F1979" s="10" t="s">
        <v>1159</v>
      </c>
      <c r="G1979" s="10" t="s">
        <v>9419</v>
      </c>
      <c r="H1979" s="10" t="s">
        <v>73</v>
      </c>
      <c r="I1979" s="10" t="s">
        <v>55</v>
      </c>
      <c r="J1979" s="64"/>
      <c r="K1979" s="10" t="s">
        <v>10154</v>
      </c>
      <c r="L1979" s="10" t="s">
        <v>42</v>
      </c>
    </row>
    <row r="1980" ht="15.75" customHeight="1">
      <c r="A1980" s="64">
        <v>45444.0</v>
      </c>
      <c r="B1980" s="55" t="str">
        <f>HYPERLINK("https://jobright.ai/jobs/info/665bf425ca0a8a2d0fdf04c6?utm_campaign=1052&amp;utm_source=sheet", "Apply")</f>
        <v>Apply</v>
      </c>
      <c r="C1980" s="10" t="s">
        <v>12126</v>
      </c>
      <c r="D1980" s="56" t="s">
        <v>9557</v>
      </c>
      <c r="E1980" s="10" t="s">
        <v>209</v>
      </c>
      <c r="F1980" s="10" t="s">
        <v>1159</v>
      </c>
      <c r="G1980" s="10" t="s">
        <v>9419</v>
      </c>
      <c r="H1980" s="10" t="s">
        <v>861</v>
      </c>
      <c r="I1980" s="10" t="s">
        <v>55</v>
      </c>
      <c r="K1980" s="10" t="s">
        <v>10154</v>
      </c>
      <c r="L1980" s="10" t="s">
        <v>42</v>
      </c>
    </row>
    <row r="1981" ht="15.75" customHeight="1">
      <c r="A1981" s="64">
        <v>45444.0</v>
      </c>
      <c r="B1981" s="55" t="str">
        <f>HYPERLINK("https://jobright.ai/jobs/info/665bf425ca0a8a2d0fdf04bd?utm_campaign=1052&amp;utm_source=sheet", "Apply")</f>
        <v>Apply</v>
      </c>
      <c r="C1981" s="10" t="s">
        <v>12127</v>
      </c>
      <c r="D1981" s="56" t="s">
        <v>9557</v>
      </c>
      <c r="E1981" s="10" t="s">
        <v>209</v>
      </c>
      <c r="F1981" s="10" t="s">
        <v>1159</v>
      </c>
      <c r="G1981" s="10" t="s">
        <v>9419</v>
      </c>
      <c r="H1981" s="10" t="s">
        <v>810</v>
      </c>
      <c r="I1981" s="10" t="s">
        <v>55</v>
      </c>
      <c r="J1981" s="64"/>
      <c r="K1981" s="10" t="s">
        <v>10741</v>
      </c>
      <c r="L1981" s="10" t="s">
        <v>42</v>
      </c>
    </row>
    <row r="1982" ht="15.75" customHeight="1">
      <c r="A1982" s="64">
        <v>45444.0</v>
      </c>
      <c r="B1982" s="55" t="str">
        <f>HYPERLINK("https://jobright.ai/jobs/info/665bf425ca0a8a2d0fdf04c5?utm_campaign=1052&amp;utm_source=sheet", "Apply")</f>
        <v>Apply</v>
      </c>
      <c r="C1982" s="10" t="s">
        <v>12128</v>
      </c>
      <c r="D1982" s="56" t="s">
        <v>9557</v>
      </c>
      <c r="E1982" s="10" t="s">
        <v>209</v>
      </c>
      <c r="F1982" s="10" t="s">
        <v>1159</v>
      </c>
      <c r="G1982" s="10" t="s">
        <v>9419</v>
      </c>
      <c r="H1982" s="10" t="s">
        <v>4279</v>
      </c>
      <c r="I1982" s="10" t="s">
        <v>55</v>
      </c>
      <c r="J1982" s="64"/>
      <c r="K1982" s="10" t="s">
        <v>10741</v>
      </c>
      <c r="L1982" s="10" t="s">
        <v>42</v>
      </c>
    </row>
    <row r="1983" ht="15.75" customHeight="1">
      <c r="A1983" s="64">
        <v>45444.0</v>
      </c>
      <c r="B1983" s="55" t="str">
        <f>HYPERLINK("https://jobright.ai/jobs/info/665bf425ca0a8a2d0fdf04b5?utm_campaign=1052&amp;utm_source=sheet", "Apply")</f>
        <v>Apply</v>
      </c>
      <c r="C1983" s="10" t="s">
        <v>12129</v>
      </c>
      <c r="D1983" s="56" t="s">
        <v>9557</v>
      </c>
      <c r="E1983" s="10" t="s">
        <v>209</v>
      </c>
      <c r="F1983" s="10" t="s">
        <v>1159</v>
      </c>
      <c r="G1983" s="10" t="s">
        <v>9419</v>
      </c>
      <c r="H1983" s="10" t="s">
        <v>131</v>
      </c>
      <c r="I1983" s="10" t="s">
        <v>55</v>
      </c>
      <c r="J1983" s="64"/>
      <c r="K1983" s="10" t="s">
        <v>10154</v>
      </c>
      <c r="L1983" s="10" t="s">
        <v>42</v>
      </c>
    </row>
    <row r="1984" ht="15.75" customHeight="1">
      <c r="A1984" s="64">
        <v>45444.0</v>
      </c>
      <c r="B1984" s="55" t="str">
        <f>HYPERLINK("https://jobright.ai/jobs/info/665bf425ca0a8a2d0fdf04c3?utm_campaign=1052&amp;utm_source=sheet", "Apply")</f>
        <v>Apply</v>
      </c>
      <c r="C1984" s="10" t="s">
        <v>12130</v>
      </c>
      <c r="D1984" s="56" t="s">
        <v>9557</v>
      </c>
      <c r="E1984" s="10" t="s">
        <v>209</v>
      </c>
      <c r="F1984" s="10" t="s">
        <v>1159</v>
      </c>
      <c r="G1984" s="10" t="s">
        <v>9419</v>
      </c>
      <c r="H1984" s="10" t="s">
        <v>1036</v>
      </c>
      <c r="I1984" s="10" t="s">
        <v>55</v>
      </c>
      <c r="J1984" s="64"/>
      <c r="K1984" s="10" t="s">
        <v>10154</v>
      </c>
      <c r="L1984" s="10" t="s">
        <v>42</v>
      </c>
    </row>
    <row r="1985" ht="15.75" customHeight="1">
      <c r="A1985" s="64">
        <v>45444.0</v>
      </c>
      <c r="B1985" s="55" t="str">
        <f>HYPERLINK("https://jobright.ai/jobs/info/665bf425ca0a8a2d0fdf04d7?utm_campaign=1052&amp;utm_source=sheet", "Apply")</f>
        <v>Apply</v>
      </c>
      <c r="C1985" s="10" t="s">
        <v>12131</v>
      </c>
      <c r="D1985" s="56" t="s">
        <v>9557</v>
      </c>
      <c r="E1985" s="10" t="s">
        <v>209</v>
      </c>
      <c r="F1985" s="10" t="s">
        <v>1159</v>
      </c>
      <c r="G1985" s="10" t="s">
        <v>9419</v>
      </c>
      <c r="H1985" s="10" t="s">
        <v>5148</v>
      </c>
      <c r="I1985" s="10" t="s">
        <v>55</v>
      </c>
      <c r="K1985" s="10" t="s">
        <v>10154</v>
      </c>
      <c r="L1985" s="10" t="s">
        <v>42</v>
      </c>
    </row>
    <row r="1986" ht="15.75" customHeight="1">
      <c r="A1986" s="64">
        <v>45444.0</v>
      </c>
      <c r="B1986" s="55" t="str">
        <f>HYPERLINK("https://jobright.ai/jobs/info/665bf425ca0a8a2d0fdf04f4?utm_campaign=1052&amp;utm_source=sheet", "Apply")</f>
        <v>Apply</v>
      </c>
      <c r="C1986" s="10" t="s">
        <v>12132</v>
      </c>
      <c r="D1986" s="56" t="s">
        <v>9557</v>
      </c>
      <c r="E1986" s="10" t="s">
        <v>209</v>
      </c>
      <c r="F1986" s="10" t="s">
        <v>1159</v>
      </c>
      <c r="G1986" s="10" t="s">
        <v>9419</v>
      </c>
      <c r="H1986" s="10" t="s">
        <v>952</v>
      </c>
      <c r="I1986" s="10" t="s">
        <v>55</v>
      </c>
      <c r="K1986" s="10" t="s">
        <v>10741</v>
      </c>
      <c r="L1986" s="10" t="s">
        <v>42</v>
      </c>
    </row>
    <row r="1987" ht="15.75" customHeight="1">
      <c r="A1987" s="64">
        <v>45444.0</v>
      </c>
      <c r="B1987" s="55" t="str">
        <f>HYPERLINK("https://jobright.ai/jobs/info/665bf425ca0a8a2d0fdf04f3?utm_campaign=1052&amp;utm_source=sheet", "Apply")</f>
        <v>Apply</v>
      </c>
      <c r="C1987" s="10" t="s">
        <v>12133</v>
      </c>
      <c r="D1987" s="56" t="s">
        <v>9557</v>
      </c>
      <c r="E1987" s="10" t="s">
        <v>209</v>
      </c>
      <c r="F1987" s="10" t="s">
        <v>1159</v>
      </c>
      <c r="G1987" s="10" t="s">
        <v>9419</v>
      </c>
      <c r="H1987" s="10" t="s">
        <v>10949</v>
      </c>
      <c r="I1987" s="10" t="s">
        <v>55</v>
      </c>
      <c r="K1987" s="10" t="s">
        <v>10741</v>
      </c>
      <c r="L1987" s="10" t="s">
        <v>42</v>
      </c>
    </row>
    <row r="1988" ht="15.75" customHeight="1">
      <c r="A1988" s="64">
        <v>45444.0</v>
      </c>
      <c r="B1988" s="55" t="str">
        <f>HYPERLINK("https://jobright.ai/jobs/info/665bf425ca0a8a2d0fdf04ee?utm_campaign=1052&amp;utm_source=sheet", "Apply")</f>
        <v>Apply</v>
      </c>
      <c r="C1988" s="10" t="s">
        <v>12134</v>
      </c>
      <c r="D1988" s="56" t="s">
        <v>9557</v>
      </c>
      <c r="E1988" s="10" t="s">
        <v>209</v>
      </c>
      <c r="F1988" s="10" t="s">
        <v>1159</v>
      </c>
      <c r="G1988" s="10" t="s">
        <v>9419</v>
      </c>
      <c r="H1988" s="10" t="s">
        <v>780</v>
      </c>
      <c r="I1988" s="10" t="s">
        <v>55</v>
      </c>
      <c r="J1988" s="64"/>
      <c r="K1988" s="10" t="s">
        <v>10154</v>
      </c>
      <c r="L1988" s="10" t="s">
        <v>42</v>
      </c>
    </row>
    <row r="1989" ht="15.75" customHeight="1">
      <c r="A1989" s="64">
        <v>45444.0</v>
      </c>
      <c r="B1989" s="55" t="str">
        <f>HYPERLINK("https://jobright.ai/jobs/info/665bf425ca0a8a2d0fdf04fd?utm_campaign=1052&amp;utm_source=sheet", "Apply")</f>
        <v>Apply</v>
      </c>
      <c r="C1989" s="10" t="s">
        <v>12135</v>
      </c>
      <c r="D1989" s="56" t="s">
        <v>9557</v>
      </c>
      <c r="E1989" s="10" t="s">
        <v>209</v>
      </c>
      <c r="F1989" s="10" t="s">
        <v>1159</v>
      </c>
      <c r="G1989" s="10" t="s">
        <v>9419</v>
      </c>
      <c r="H1989" s="10" t="s">
        <v>628</v>
      </c>
      <c r="I1989" s="10" t="s">
        <v>55</v>
      </c>
      <c r="K1989" s="10" t="s">
        <v>10154</v>
      </c>
      <c r="L1989" s="10" t="s">
        <v>42</v>
      </c>
    </row>
    <row r="1990" ht="15.75" customHeight="1">
      <c r="A1990" s="64">
        <v>45444.0</v>
      </c>
      <c r="B1990" s="55" t="str">
        <f>HYPERLINK("https://jobright.ai/jobs/info/665bf42bca0a8a2d0fdf0510?utm_campaign=1052&amp;utm_source=sheet", "Apply")</f>
        <v>Apply</v>
      </c>
      <c r="C1990" s="10" t="s">
        <v>12136</v>
      </c>
      <c r="D1990" s="56" t="s">
        <v>9557</v>
      </c>
      <c r="E1990" s="10" t="s">
        <v>209</v>
      </c>
      <c r="F1990" s="10" t="s">
        <v>1159</v>
      </c>
      <c r="G1990" s="10" t="s">
        <v>9419</v>
      </c>
      <c r="H1990" s="10" t="s">
        <v>788</v>
      </c>
      <c r="I1990" s="10" t="s">
        <v>55</v>
      </c>
      <c r="J1990" s="64"/>
      <c r="K1990" s="10" t="s">
        <v>11560</v>
      </c>
      <c r="L1990" s="10" t="s">
        <v>42</v>
      </c>
    </row>
    <row r="1991" ht="15.75" customHeight="1">
      <c r="A1991" s="64">
        <v>45444.0</v>
      </c>
      <c r="B1991" s="55" t="str">
        <f>HYPERLINK("https://jobright.ai/jobs/info/665bf42bca0a8a2d0fdf0511?utm_campaign=1052&amp;utm_source=sheet", "Apply")</f>
        <v>Apply</v>
      </c>
      <c r="C1991" s="10" t="s">
        <v>12137</v>
      </c>
      <c r="D1991" s="56" t="s">
        <v>9557</v>
      </c>
      <c r="E1991" s="10" t="s">
        <v>209</v>
      </c>
      <c r="F1991" s="10" t="s">
        <v>1159</v>
      </c>
      <c r="G1991" s="10" t="s">
        <v>9419</v>
      </c>
      <c r="H1991" s="10" t="s">
        <v>994</v>
      </c>
      <c r="I1991" s="10" t="s">
        <v>55</v>
      </c>
      <c r="J1991" s="64"/>
      <c r="K1991" s="10" t="s">
        <v>10741</v>
      </c>
      <c r="L1991" s="10" t="s">
        <v>42</v>
      </c>
    </row>
    <row r="1992" ht="15.75" customHeight="1">
      <c r="A1992" s="64">
        <v>45444.0</v>
      </c>
      <c r="B1992" s="55" t="str">
        <f>HYPERLINK("https://jobright.ai/jobs/info/665bf42bca0a8a2d0fdf0514?utm_campaign=1052&amp;utm_source=sheet", "Apply")</f>
        <v>Apply</v>
      </c>
      <c r="C1992" s="10" t="s">
        <v>12138</v>
      </c>
      <c r="D1992" s="56" t="s">
        <v>9557</v>
      </c>
      <c r="E1992" s="10" t="s">
        <v>209</v>
      </c>
      <c r="F1992" s="10" t="s">
        <v>1159</v>
      </c>
      <c r="G1992" s="10" t="s">
        <v>9419</v>
      </c>
      <c r="H1992" s="10" t="s">
        <v>605</v>
      </c>
      <c r="I1992" s="10" t="s">
        <v>55</v>
      </c>
      <c r="K1992" s="10" t="s">
        <v>10741</v>
      </c>
      <c r="L1992" s="10" t="s">
        <v>42</v>
      </c>
    </row>
    <row r="1993" ht="15.75" customHeight="1">
      <c r="A1993" s="64">
        <v>45444.0</v>
      </c>
      <c r="B1993" s="55" t="str">
        <f>HYPERLINK("https://jobright.ai/jobs/info/665bf42bca0a8a2d0fdf051e?utm_campaign=1052&amp;utm_source=sheet", "Apply")</f>
        <v>Apply</v>
      </c>
      <c r="C1993" s="10" t="s">
        <v>12139</v>
      </c>
      <c r="D1993" s="56" t="s">
        <v>9557</v>
      </c>
      <c r="E1993" s="10" t="s">
        <v>209</v>
      </c>
      <c r="F1993" s="10" t="s">
        <v>1159</v>
      </c>
      <c r="G1993" s="10" t="s">
        <v>9419</v>
      </c>
      <c r="H1993" s="10" t="s">
        <v>3847</v>
      </c>
      <c r="I1993" s="10" t="s">
        <v>55</v>
      </c>
      <c r="K1993" s="10" t="s">
        <v>10741</v>
      </c>
      <c r="L1993" s="10" t="s">
        <v>42</v>
      </c>
    </row>
    <row r="1994" ht="15.75" customHeight="1">
      <c r="A1994" s="64">
        <v>45444.0</v>
      </c>
      <c r="B1994" s="55" t="str">
        <f>HYPERLINK("https://jobright.ai/jobs/info/665bf42bca0a8a2d0fdf0519?utm_campaign=1052&amp;utm_source=sheet", "Apply")</f>
        <v>Apply</v>
      </c>
      <c r="C1994" s="10" t="s">
        <v>12140</v>
      </c>
      <c r="D1994" s="56" t="s">
        <v>9557</v>
      </c>
      <c r="E1994" s="10" t="s">
        <v>209</v>
      </c>
      <c r="F1994" s="10" t="s">
        <v>1159</v>
      </c>
      <c r="G1994" s="10" t="s">
        <v>9419</v>
      </c>
      <c r="H1994" s="10" t="s">
        <v>405</v>
      </c>
      <c r="I1994" s="10" t="s">
        <v>55</v>
      </c>
      <c r="J1994" s="10" t="s">
        <v>6565</v>
      </c>
      <c r="K1994" s="10" t="s">
        <v>12014</v>
      </c>
      <c r="L1994" s="10" t="s">
        <v>42</v>
      </c>
    </row>
    <row r="1995" ht="15.75" customHeight="1">
      <c r="A1995" s="64">
        <v>45444.0</v>
      </c>
      <c r="B1995" s="55" t="str">
        <f>HYPERLINK("https://jobright.ai/jobs/info/665bf42bca0a8a2d0fdf0536?utm_campaign=1052&amp;utm_source=sheet", "Apply")</f>
        <v>Apply</v>
      </c>
      <c r="C1995" s="10" t="s">
        <v>12141</v>
      </c>
      <c r="D1995" s="56" t="s">
        <v>9557</v>
      </c>
      <c r="E1995" s="10" t="s">
        <v>209</v>
      </c>
      <c r="F1995" s="10" t="s">
        <v>1159</v>
      </c>
      <c r="G1995" s="10" t="s">
        <v>9419</v>
      </c>
      <c r="H1995" s="10" t="s">
        <v>636</v>
      </c>
      <c r="I1995" s="10" t="s">
        <v>55</v>
      </c>
      <c r="J1995" s="64"/>
      <c r="K1995" s="10" t="s">
        <v>10741</v>
      </c>
      <c r="L1995" s="10" t="s">
        <v>42</v>
      </c>
    </row>
    <row r="1996" ht="15.75" customHeight="1">
      <c r="A1996" s="64">
        <v>45444.0</v>
      </c>
      <c r="B1996" s="55" t="str">
        <f>HYPERLINK("https://jobright.ai/jobs/info/665bf42bca0a8a2d0fdf0533?utm_campaign=1052&amp;utm_source=sheet", "Apply")</f>
        <v>Apply</v>
      </c>
      <c r="C1996" s="10" t="s">
        <v>12142</v>
      </c>
      <c r="D1996" s="56" t="s">
        <v>9557</v>
      </c>
      <c r="E1996" s="10" t="s">
        <v>209</v>
      </c>
      <c r="F1996" s="10" t="s">
        <v>1159</v>
      </c>
      <c r="G1996" s="10" t="s">
        <v>9419</v>
      </c>
      <c r="H1996" s="10" t="s">
        <v>5148</v>
      </c>
      <c r="I1996" s="10" t="s">
        <v>55</v>
      </c>
      <c r="J1996" s="64"/>
      <c r="K1996" s="10" t="s">
        <v>10741</v>
      </c>
      <c r="L1996" s="10" t="s">
        <v>42</v>
      </c>
    </row>
    <row r="1997" ht="15.75" customHeight="1">
      <c r="A1997" s="64">
        <v>45444.0</v>
      </c>
      <c r="B1997" s="55" t="str">
        <f>HYPERLINK("https://jobright.ai/jobs/info/665bf42bca0a8a2d0fdf0530?utm_campaign=1052&amp;utm_source=sheet", "Apply")</f>
        <v>Apply</v>
      </c>
      <c r="C1997" s="10" t="s">
        <v>12143</v>
      </c>
      <c r="D1997" s="56" t="s">
        <v>9557</v>
      </c>
      <c r="E1997" s="10" t="s">
        <v>209</v>
      </c>
      <c r="F1997" s="10" t="s">
        <v>1159</v>
      </c>
      <c r="G1997" s="10" t="s">
        <v>9419</v>
      </c>
      <c r="H1997" s="10" t="s">
        <v>3847</v>
      </c>
      <c r="I1997" s="10" t="s">
        <v>55</v>
      </c>
      <c r="J1997" s="64"/>
      <c r="K1997" s="10" t="s">
        <v>11560</v>
      </c>
      <c r="L1997" s="10" t="s">
        <v>42</v>
      </c>
    </row>
    <row r="1998" ht="15.75" customHeight="1">
      <c r="A1998" s="64">
        <v>45444.0</v>
      </c>
      <c r="B1998" s="55" t="str">
        <f>HYPERLINK("https://jobright.ai/jobs/info/665bf42bca0a8a2d0fdf0540?utm_campaign=1052&amp;utm_source=sheet", "Apply")</f>
        <v>Apply</v>
      </c>
      <c r="C1998" s="10" t="s">
        <v>12144</v>
      </c>
      <c r="D1998" s="56" t="s">
        <v>9557</v>
      </c>
      <c r="E1998" s="10" t="s">
        <v>209</v>
      </c>
      <c r="F1998" s="10" t="s">
        <v>1159</v>
      </c>
      <c r="G1998" s="10" t="s">
        <v>9419</v>
      </c>
      <c r="H1998" s="10" t="s">
        <v>1041</v>
      </c>
      <c r="I1998" s="10" t="s">
        <v>55</v>
      </c>
      <c r="J1998" s="64"/>
      <c r="K1998" s="10" t="s">
        <v>10741</v>
      </c>
      <c r="L1998" s="10" t="s">
        <v>42</v>
      </c>
    </row>
    <row r="1999" ht="15.75" customHeight="1">
      <c r="A1999" s="64">
        <v>45444.0</v>
      </c>
      <c r="B1999" s="55" t="str">
        <f>HYPERLINK("https://jobright.ai/jobs/info/665bf42bca0a8a2d0fdf052f?utm_campaign=1052&amp;utm_source=sheet", "Apply")</f>
        <v>Apply</v>
      </c>
      <c r="C1999" s="10" t="s">
        <v>12145</v>
      </c>
      <c r="D1999" s="56" t="s">
        <v>9557</v>
      </c>
      <c r="E1999" s="10" t="s">
        <v>209</v>
      </c>
      <c r="F1999" s="10" t="s">
        <v>1159</v>
      </c>
      <c r="G1999" s="10" t="s">
        <v>9419</v>
      </c>
      <c r="H1999" s="10" t="s">
        <v>154</v>
      </c>
      <c r="I1999" s="10" t="s">
        <v>55</v>
      </c>
      <c r="J1999" s="64"/>
      <c r="K1999" s="10" t="s">
        <v>10741</v>
      </c>
      <c r="L1999" s="10" t="s">
        <v>42</v>
      </c>
    </row>
    <row r="2000" ht="15.75" customHeight="1">
      <c r="A2000" s="64">
        <v>45444.0</v>
      </c>
      <c r="B2000" s="55" t="str">
        <f>HYPERLINK("https://jobright.ai/jobs/info/665bf42bca0a8a2d0fdf0532?utm_campaign=1052&amp;utm_source=sheet", "Apply")</f>
        <v>Apply</v>
      </c>
      <c r="C2000" s="10" t="s">
        <v>12146</v>
      </c>
      <c r="D2000" s="56" t="s">
        <v>9557</v>
      </c>
      <c r="E2000" s="10" t="s">
        <v>209</v>
      </c>
      <c r="F2000" s="10" t="s">
        <v>1159</v>
      </c>
      <c r="G2000" s="10" t="s">
        <v>9419</v>
      </c>
      <c r="H2000" s="10" t="s">
        <v>923</v>
      </c>
      <c r="I2000" s="10" t="s">
        <v>55</v>
      </c>
      <c r="J2000" s="64"/>
      <c r="K2000" s="10" t="s">
        <v>11560</v>
      </c>
      <c r="L2000" s="10" t="s">
        <v>42</v>
      </c>
    </row>
    <row r="2001" ht="15.75" customHeight="1">
      <c r="A2001" s="64">
        <v>45444.0</v>
      </c>
      <c r="B2001" s="55" t="str">
        <f>HYPERLINK("https://jobright.ai/jobs/info/665bf42bca0a8a2d0fdf054c?utm_campaign=1052&amp;utm_source=sheet", "Apply")</f>
        <v>Apply</v>
      </c>
      <c r="C2001" s="10" t="s">
        <v>12147</v>
      </c>
      <c r="D2001" s="56" t="s">
        <v>9557</v>
      </c>
      <c r="E2001" s="10" t="s">
        <v>209</v>
      </c>
      <c r="F2001" s="10" t="s">
        <v>1159</v>
      </c>
      <c r="G2001" s="10" t="s">
        <v>9419</v>
      </c>
      <c r="H2001" s="10" t="s">
        <v>131</v>
      </c>
      <c r="I2001" s="10" t="s">
        <v>55</v>
      </c>
      <c r="J2001" s="64"/>
      <c r="K2001" s="10" t="s">
        <v>10741</v>
      </c>
      <c r="L2001" s="10" t="s">
        <v>42</v>
      </c>
    </row>
    <row r="2002" ht="15.75" customHeight="1">
      <c r="A2002" s="64">
        <v>45444.0</v>
      </c>
      <c r="B2002" s="55" t="str">
        <f>HYPERLINK("https://jobright.ai/jobs/info/665bf42bca0a8a2d0fdf0567?utm_campaign=1052&amp;utm_source=sheet", "Apply")</f>
        <v>Apply</v>
      </c>
      <c r="C2002" s="10" t="s">
        <v>12148</v>
      </c>
      <c r="D2002" s="56" t="s">
        <v>9557</v>
      </c>
      <c r="E2002" s="10" t="s">
        <v>209</v>
      </c>
      <c r="F2002" s="10" t="s">
        <v>1159</v>
      </c>
      <c r="G2002" s="10" t="s">
        <v>9419</v>
      </c>
      <c r="H2002" s="10" t="s">
        <v>154</v>
      </c>
      <c r="I2002" s="10" t="s">
        <v>55</v>
      </c>
      <c r="J2002" s="64"/>
      <c r="K2002" s="10" t="s">
        <v>10154</v>
      </c>
      <c r="L2002" s="10" t="s">
        <v>42</v>
      </c>
    </row>
    <row r="2003" ht="15.75" customHeight="1">
      <c r="A2003" s="64">
        <v>45444.0</v>
      </c>
      <c r="B2003" s="55" t="str">
        <f>HYPERLINK("https://jobright.ai/jobs/info/665bf42bca0a8a2d0fdf0583?utm_campaign=1052&amp;utm_source=sheet", "Apply")</f>
        <v>Apply</v>
      </c>
      <c r="C2003" s="10" t="s">
        <v>12149</v>
      </c>
      <c r="D2003" s="56" t="s">
        <v>9557</v>
      </c>
      <c r="E2003" s="10" t="s">
        <v>209</v>
      </c>
      <c r="F2003" s="10" t="s">
        <v>1159</v>
      </c>
      <c r="G2003" s="10" t="s">
        <v>9419</v>
      </c>
      <c r="H2003" s="10" t="s">
        <v>1023</v>
      </c>
      <c r="I2003" s="10" t="s">
        <v>55</v>
      </c>
      <c r="J2003" s="64"/>
      <c r="K2003" s="10" t="s">
        <v>10154</v>
      </c>
      <c r="L2003" s="10" t="s">
        <v>42</v>
      </c>
    </row>
    <row r="2004" ht="15.75" customHeight="1">
      <c r="A2004" s="64">
        <v>45444.0</v>
      </c>
      <c r="B2004" s="55" t="str">
        <f>HYPERLINK("https://jobright.ai/jobs/info/665bf42bca0a8a2d0fdf05a6?utm_campaign=1052&amp;utm_source=sheet", "Apply")</f>
        <v>Apply</v>
      </c>
      <c r="C2004" s="10" t="s">
        <v>12150</v>
      </c>
      <c r="D2004" s="56" t="s">
        <v>9557</v>
      </c>
      <c r="E2004" s="10" t="s">
        <v>209</v>
      </c>
      <c r="F2004" s="10" t="s">
        <v>1159</v>
      </c>
      <c r="G2004" s="10" t="s">
        <v>9419</v>
      </c>
      <c r="H2004" s="10" t="s">
        <v>4279</v>
      </c>
      <c r="I2004" s="10" t="s">
        <v>55</v>
      </c>
      <c r="K2004" s="10" t="s">
        <v>10154</v>
      </c>
      <c r="L2004" s="10" t="s">
        <v>42</v>
      </c>
    </row>
    <row r="2005" ht="15.75" customHeight="1">
      <c r="A2005" s="64">
        <v>45444.0</v>
      </c>
      <c r="B2005" s="55" t="str">
        <f>HYPERLINK("https://jobright.ai/jobs/info/665bf42bca0a8a2d0fdf0590?utm_campaign=1052&amp;utm_source=sheet", "Apply")</f>
        <v>Apply</v>
      </c>
      <c r="C2005" s="10" t="s">
        <v>12151</v>
      </c>
      <c r="D2005" s="56" t="s">
        <v>9557</v>
      </c>
      <c r="E2005" s="10" t="s">
        <v>209</v>
      </c>
      <c r="F2005" s="10" t="s">
        <v>1159</v>
      </c>
      <c r="G2005" s="10" t="s">
        <v>9419</v>
      </c>
      <c r="H2005" s="10" t="s">
        <v>153</v>
      </c>
      <c r="I2005" s="10" t="s">
        <v>55</v>
      </c>
      <c r="K2005" s="10" t="s">
        <v>10154</v>
      </c>
      <c r="L2005" s="10" t="s">
        <v>42</v>
      </c>
    </row>
    <row r="2006" ht="15.75" customHeight="1">
      <c r="A2006" s="64">
        <v>45444.0</v>
      </c>
      <c r="B2006" s="55" t="str">
        <f>HYPERLINK("https://jobright.ai/jobs/info/665bf42bca0a8a2d0fdf059e?utm_campaign=1052&amp;utm_source=sheet", "Apply")</f>
        <v>Apply</v>
      </c>
      <c r="C2006" s="10" t="s">
        <v>12152</v>
      </c>
      <c r="D2006" s="56" t="s">
        <v>9557</v>
      </c>
      <c r="E2006" s="10" t="s">
        <v>209</v>
      </c>
      <c r="F2006" s="10" t="s">
        <v>1159</v>
      </c>
      <c r="G2006" s="10" t="s">
        <v>9419</v>
      </c>
      <c r="H2006" s="10" t="s">
        <v>1978</v>
      </c>
      <c r="I2006" s="10" t="s">
        <v>55</v>
      </c>
      <c r="K2006" s="10" t="s">
        <v>10154</v>
      </c>
      <c r="L2006" s="10" t="s">
        <v>42</v>
      </c>
    </row>
    <row r="2007" ht="15.75" customHeight="1">
      <c r="A2007" s="64">
        <v>45444.0</v>
      </c>
      <c r="B2007" s="55" t="str">
        <f>HYPERLINK("https://jobright.ai/jobs/info/665bf42bca0a8a2d0fdf0599?utm_campaign=1052&amp;utm_source=sheet", "Apply")</f>
        <v>Apply</v>
      </c>
      <c r="C2007" s="10" t="s">
        <v>12153</v>
      </c>
      <c r="D2007" s="56" t="s">
        <v>9557</v>
      </c>
      <c r="E2007" s="10" t="s">
        <v>209</v>
      </c>
      <c r="F2007" s="10" t="s">
        <v>1159</v>
      </c>
      <c r="G2007" s="10" t="s">
        <v>9419</v>
      </c>
      <c r="H2007" s="10" t="s">
        <v>993</v>
      </c>
      <c r="I2007" s="10" t="s">
        <v>55</v>
      </c>
      <c r="K2007" s="10" t="s">
        <v>10154</v>
      </c>
      <c r="L2007" s="10" t="s">
        <v>42</v>
      </c>
    </row>
    <row r="2008" ht="15.75" customHeight="1">
      <c r="A2008" s="64">
        <v>45444.0</v>
      </c>
      <c r="B2008" s="55" t="str">
        <f>HYPERLINK("https://jobright.ai/jobs/info/665bf42bca0a8a2d0fdf059c?utm_campaign=1052&amp;utm_source=sheet", "Apply")</f>
        <v>Apply</v>
      </c>
      <c r="C2008" s="10" t="s">
        <v>12154</v>
      </c>
      <c r="D2008" s="56" t="s">
        <v>9557</v>
      </c>
      <c r="E2008" s="10" t="s">
        <v>209</v>
      </c>
      <c r="F2008" s="10" t="s">
        <v>1159</v>
      </c>
      <c r="G2008" s="10" t="s">
        <v>9419</v>
      </c>
      <c r="H2008" s="10" t="s">
        <v>837</v>
      </c>
      <c r="I2008" s="10" t="s">
        <v>55</v>
      </c>
      <c r="K2008" s="10" t="s">
        <v>10154</v>
      </c>
      <c r="L2008" s="10" t="s">
        <v>42</v>
      </c>
    </row>
    <row r="2009" ht="15.75" customHeight="1">
      <c r="A2009" s="64">
        <v>45444.0</v>
      </c>
      <c r="B2009" s="55" t="str">
        <f>HYPERLINK("https://jobright.ai/jobs/info/665bf42bca0a8a2d0fdf05b4?utm_campaign=1052&amp;utm_source=sheet", "Apply")</f>
        <v>Apply</v>
      </c>
      <c r="C2009" s="10" t="s">
        <v>12155</v>
      </c>
      <c r="D2009" s="56" t="s">
        <v>9557</v>
      </c>
      <c r="E2009" s="10" t="s">
        <v>209</v>
      </c>
      <c r="F2009" s="10" t="s">
        <v>1159</v>
      </c>
      <c r="G2009" s="10" t="s">
        <v>9419</v>
      </c>
      <c r="H2009" s="10" t="s">
        <v>73</v>
      </c>
      <c r="I2009" s="10" t="s">
        <v>55</v>
      </c>
      <c r="K2009" s="10" t="s">
        <v>10154</v>
      </c>
      <c r="L2009" s="10" t="s">
        <v>42</v>
      </c>
    </row>
    <row r="2010" ht="15.75" customHeight="1">
      <c r="A2010" s="64">
        <v>45444.0</v>
      </c>
      <c r="B2010" s="55" t="str">
        <f>HYPERLINK("https://jobright.ai/jobs/info/665bf42bca0a8a2d0fdf05b7?utm_campaign=1052&amp;utm_source=sheet", "Apply")</f>
        <v>Apply</v>
      </c>
      <c r="C2010" s="10" t="s">
        <v>12156</v>
      </c>
      <c r="D2010" s="56" t="s">
        <v>9557</v>
      </c>
      <c r="E2010" s="10" t="s">
        <v>209</v>
      </c>
      <c r="F2010" s="10" t="s">
        <v>1159</v>
      </c>
      <c r="G2010" s="10" t="s">
        <v>9419</v>
      </c>
      <c r="H2010" s="10" t="s">
        <v>113</v>
      </c>
      <c r="I2010" s="10" t="s">
        <v>55</v>
      </c>
      <c r="K2010" s="10" t="s">
        <v>10154</v>
      </c>
      <c r="L2010" s="10" t="s">
        <v>42</v>
      </c>
    </row>
    <row r="2011" ht="15.75" customHeight="1">
      <c r="A2011" s="64">
        <v>45444.0</v>
      </c>
      <c r="B2011" s="55" t="str">
        <f>HYPERLINK("https://jobright.ai/jobs/info/665bf431ca0a8a2d0fdf05de?utm_campaign=1052&amp;utm_source=sheet", "Apply")</f>
        <v>Apply</v>
      </c>
      <c r="C2011" s="10" t="s">
        <v>12157</v>
      </c>
      <c r="D2011" s="56" t="s">
        <v>9557</v>
      </c>
      <c r="E2011" s="10" t="s">
        <v>209</v>
      </c>
      <c r="F2011" s="10" t="s">
        <v>1159</v>
      </c>
      <c r="G2011" s="10" t="s">
        <v>9419</v>
      </c>
      <c r="H2011" s="10" t="s">
        <v>1041</v>
      </c>
      <c r="I2011" s="10" t="s">
        <v>55</v>
      </c>
      <c r="K2011" s="10" t="s">
        <v>10154</v>
      </c>
      <c r="L2011" s="10" t="s">
        <v>42</v>
      </c>
    </row>
    <row r="2012" ht="15.75" customHeight="1">
      <c r="A2012" s="64">
        <v>45444.0</v>
      </c>
      <c r="B2012" s="55" t="str">
        <f>HYPERLINK("https://jobright.ai/jobs/info/665bf431ca0a8a2d0fdf05d3?utm_campaign=1052&amp;utm_source=sheet", "Apply")</f>
        <v>Apply</v>
      </c>
      <c r="C2012" s="10" t="s">
        <v>12158</v>
      </c>
      <c r="D2012" s="56" t="s">
        <v>9557</v>
      </c>
      <c r="E2012" s="10" t="s">
        <v>209</v>
      </c>
      <c r="F2012" s="10" t="s">
        <v>1159</v>
      </c>
      <c r="G2012" s="10" t="s">
        <v>9419</v>
      </c>
      <c r="H2012" s="10" t="s">
        <v>879</v>
      </c>
      <c r="I2012" s="10" t="s">
        <v>55</v>
      </c>
      <c r="K2012" s="10" t="s">
        <v>10154</v>
      </c>
      <c r="L2012" s="10" t="s">
        <v>42</v>
      </c>
    </row>
    <row r="2013" ht="15.75" customHeight="1">
      <c r="A2013" s="64">
        <v>45444.0</v>
      </c>
      <c r="B2013" s="55" t="str">
        <f>HYPERLINK("https://jobright.ai/jobs/info/665bf431ca0a8a2d0fdf05db?utm_campaign=1052&amp;utm_source=sheet", "Apply")</f>
        <v>Apply</v>
      </c>
      <c r="C2013" s="10" t="s">
        <v>12159</v>
      </c>
      <c r="D2013" s="56" t="s">
        <v>9557</v>
      </c>
      <c r="E2013" s="10" t="s">
        <v>209</v>
      </c>
      <c r="F2013" s="10" t="s">
        <v>1159</v>
      </c>
      <c r="G2013" s="10" t="s">
        <v>9419</v>
      </c>
      <c r="H2013" s="10" t="s">
        <v>572</v>
      </c>
      <c r="I2013" s="10" t="s">
        <v>55</v>
      </c>
      <c r="K2013" s="10" t="s">
        <v>10741</v>
      </c>
      <c r="L2013" s="10" t="s">
        <v>42</v>
      </c>
    </row>
    <row r="2014" ht="15.75" customHeight="1">
      <c r="A2014" s="64">
        <v>45444.0</v>
      </c>
      <c r="B2014" s="55" t="str">
        <f>HYPERLINK("https://jobright.ai/jobs/info/665bf431ca0a8a2d0fdf05f2?utm_campaign=1052&amp;utm_source=sheet", "Apply")</f>
        <v>Apply</v>
      </c>
      <c r="C2014" s="10" t="s">
        <v>12160</v>
      </c>
      <c r="D2014" s="56" t="s">
        <v>9557</v>
      </c>
      <c r="E2014" s="10" t="s">
        <v>209</v>
      </c>
      <c r="F2014" s="10" t="s">
        <v>1159</v>
      </c>
      <c r="G2014" s="10" t="s">
        <v>9419</v>
      </c>
      <c r="H2014" s="10" t="s">
        <v>661</v>
      </c>
      <c r="I2014" s="10" t="s">
        <v>55</v>
      </c>
      <c r="K2014" s="10" t="s">
        <v>10741</v>
      </c>
      <c r="L2014" s="10" t="s">
        <v>42</v>
      </c>
    </row>
    <row r="2015" ht="15.75" customHeight="1">
      <c r="A2015" s="64">
        <v>45444.0</v>
      </c>
      <c r="B2015" s="55" t="str">
        <f>HYPERLINK("https://jobright.ai/jobs/info/665bf431ca0a8a2d0fdf05ec?utm_campaign=1052&amp;utm_source=sheet", "Apply")</f>
        <v>Apply</v>
      </c>
      <c r="C2015" s="10" t="s">
        <v>12161</v>
      </c>
      <c r="D2015" s="56" t="s">
        <v>9557</v>
      </c>
      <c r="E2015" s="10" t="s">
        <v>209</v>
      </c>
      <c r="F2015" s="10" t="s">
        <v>1159</v>
      </c>
      <c r="G2015" s="10" t="s">
        <v>9419</v>
      </c>
      <c r="H2015" s="10" t="s">
        <v>168</v>
      </c>
      <c r="I2015" s="10" t="s">
        <v>55</v>
      </c>
      <c r="K2015" s="10" t="s">
        <v>11560</v>
      </c>
      <c r="L2015" s="10" t="s">
        <v>42</v>
      </c>
    </row>
    <row r="2016" ht="15.75" customHeight="1">
      <c r="A2016" s="64">
        <v>45444.0</v>
      </c>
      <c r="B2016" s="55" t="str">
        <f>HYPERLINK("https://jobright.ai/jobs/info/665bf431ca0a8a2d0fdf0601?utm_campaign=1052&amp;utm_source=sheet", "Apply")</f>
        <v>Apply</v>
      </c>
      <c r="C2016" s="10" t="s">
        <v>12162</v>
      </c>
      <c r="D2016" s="56" t="s">
        <v>9557</v>
      </c>
      <c r="E2016" s="10" t="s">
        <v>209</v>
      </c>
      <c r="F2016" s="10" t="s">
        <v>1159</v>
      </c>
      <c r="G2016" s="10" t="s">
        <v>9419</v>
      </c>
      <c r="H2016" s="10" t="s">
        <v>628</v>
      </c>
      <c r="I2016" s="10" t="s">
        <v>55</v>
      </c>
      <c r="J2016" s="64"/>
      <c r="K2016" s="10" t="s">
        <v>10741</v>
      </c>
      <c r="L2016" s="10" t="s">
        <v>42</v>
      </c>
    </row>
    <row r="2017" ht="15.75" customHeight="1">
      <c r="A2017" s="64">
        <v>45444.0</v>
      </c>
      <c r="B2017" s="55" t="str">
        <f>HYPERLINK("https://jobright.ai/jobs/info/665bf431ca0a8a2d0fdf0603?utm_campaign=1052&amp;utm_source=sheet", "Apply")</f>
        <v>Apply</v>
      </c>
      <c r="C2017" s="10" t="s">
        <v>12163</v>
      </c>
      <c r="D2017" s="56" t="s">
        <v>9557</v>
      </c>
      <c r="E2017" s="10" t="s">
        <v>209</v>
      </c>
      <c r="F2017" s="10" t="s">
        <v>1159</v>
      </c>
      <c r="G2017" s="10" t="s">
        <v>9419</v>
      </c>
      <c r="H2017" s="10" t="s">
        <v>628</v>
      </c>
      <c r="I2017" s="10" t="s">
        <v>55</v>
      </c>
      <c r="K2017" s="10" t="s">
        <v>11717</v>
      </c>
      <c r="L2017" s="10" t="s">
        <v>42</v>
      </c>
    </row>
    <row r="2018" ht="15.75" customHeight="1">
      <c r="A2018" s="64">
        <v>45444.0</v>
      </c>
      <c r="B2018" s="55" t="str">
        <f>HYPERLINK("https://jobright.ai/jobs/info/665bf431ca0a8a2d0fdf05fb?utm_campaign=1052&amp;utm_source=sheet", "Apply")</f>
        <v>Apply</v>
      </c>
      <c r="C2018" s="10" t="s">
        <v>12164</v>
      </c>
      <c r="D2018" s="56" t="s">
        <v>9557</v>
      </c>
      <c r="E2018" s="10" t="s">
        <v>209</v>
      </c>
      <c r="F2018" s="10" t="s">
        <v>1159</v>
      </c>
      <c r="G2018" s="10" t="s">
        <v>9419</v>
      </c>
      <c r="H2018" s="10" t="s">
        <v>661</v>
      </c>
      <c r="I2018" s="10" t="s">
        <v>55</v>
      </c>
      <c r="J2018" s="64"/>
      <c r="K2018" s="10" t="s">
        <v>11560</v>
      </c>
      <c r="L2018" s="10" t="s">
        <v>42</v>
      </c>
    </row>
    <row r="2019" ht="15.75" customHeight="1">
      <c r="A2019" s="64">
        <v>45444.0</v>
      </c>
      <c r="B2019" s="55" t="str">
        <f>HYPERLINK("https://jobright.ai/jobs/info/665bf431ca0a8a2d0fdf060b?utm_campaign=1052&amp;utm_source=sheet", "Apply")</f>
        <v>Apply</v>
      </c>
      <c r="C2019" s="10" t="s">
        <v>12165</v>
      </c>
      <c r="D2019" s="56" t="s">
        <v>9557</v>
      </c>
      <c r="E2019" s="10" t="s">
        <v>209</v>
      </c>
      <c r="F2019" s="10" t="s">
        <v>1159</v>
      </c>
      <c r="G2019" s="10" t="s">
        <v>9419</v>
      </c>
      <c r="H2019" s="10" t="s">
        <v>605</v>
      </c>
      <c r="I2019" s="10" t="s">
        <v>55</v>
      </c>
      <c r="K2019" s="10" t="s">
        <v>10741</v>
      </c>
      <c r="L2019" s="10" t="s">
        <v>42</v>
      </c>
    </row>
    <row r="2020" ht="15.75" customHeight="1">
      <c r="A2020" s="64">
        <v>45444.0</v>
      </c>
      <c r="B2020" s="55" t="str">
        <f>HYPERLINK("https://jobright.ai/jobs/info/665bf431ca0a8a2d0fdf0611?utm_campaign=1052&amp;utm_source=sheet", "Apply")</f>
        <v>Apply</v>
      </c>
      <c r="C2020" s="10" t="s">
        <v>12166</v>
      </c>
      <c r="D2020" s="56" t="s">
        <v>9557</v>
      </c>
      <c r="E2020" s="10" t="s">
        <v>209</v>
      </c>
      <c r="F2020" s="10" t="s">
        <v>1159</v>
      </c>
      <c r="G2020" s="10" t="s">
        <v>9419</v>
      </c>
      <c r="H2020" s="10" t="s">
        <v>154</v>
      </c>
      <c r="I2020" s="10" t="s">
        <v>55</v>
      </c>
      <c r="K2020" s="10" t="s">
        <v>10154</v>
      </c>
      <c r="L2020" s="10" t="s">
        <v>42</v>
      </c>
    </row>
    <row r="2021" ht="15.75" customHeight="1">
      <c r="A2021" s="64">
        <v>45444.0</v>
      </c>
      <c r="B2021" s="55" t="str">
        <f>HYPERLINK("https://jobright.ai/jobs/info/665bf431ca0a8a2d0fdf0617?utm_campaign=1052&amp;utm_source=sheet", "Apply")</f>
        <v>Apply</v>
      </c>
      <c r="C2021" s="10" t="s">
        <v>12167</v>
      </c>
      <c r="D2021" s="56" t="s">
        <v>9557</v>
      </c>
      <c r="E2021" s="10" t="s">
        <v>209</v>
      </c>
      <c r="F2021" s="10" t="s">
        <v>1159</v>
      </c>
      <c r="G2021" s="10" t="s">
        <v>9419</v>
      </c>
      <c r="H2021" s="10" t="s">
        <v>7569</v>
      </c>
      <c r="I2021" s="10" t="s">
        <v>55</v>
      </c>
      <c r="J2021" s="64"/>
      <c r="K2021" s="10" t="s">
        <v>11717</v>
      </c>
      <c r="L2021" s="10" t="s">
        <v>42</v>
      </c>
    </row>
    <row r="2022" ht="15.75" customHeight="1">
      <c r="A2022" s="64">
        <v>45444.0</v>
      </c>
      <c r="B2022" s="55" t="str">
        <f>HYPERLINK("https://jobright.ai/jobs/info/665bf431ca0a8a2d0fdf061d?utm_campaign=1052&amp;utm_source=sheet", "Apply")</f>
        <v>Apply</v>
      </c>
      <c r="C2022" s="10" t="s">
        <v>12168</v>
      </c>
      <c r="D2022" s="56" t="s">
        <v>9557</v>
      </c>
      <c r="E2022" s="10" t="s">
        <v>209</v>
      </c>
      <c r="F2022" s="10" t="s">
        <v>1159</v>
      </c>
      <c r="G2022" s="10" t="s">
        <v>9419</v>
      </c>
      <c r="H2022" s="10" t="s">
        <v>994</v>
      </c>
      <c r="I2022" s="10" t="s">
        <v>55</v>
      </c>
      <c r="J2022" s="64"/>
      <c r="K2022" s="10" t="s">
        <v>11560</v>
      </c>
      <c r="L2022" s="10" t="s">
        <v>42</v>
      </c>
    </row>
    <row r="2023" ht="15.75" customHeight="1">
      <c r="A2023" s="64">
        <v>45444.0</v>
      </c>
      <c r="B2023" s="55" t="str">
        <f>HYPERLINK("https://jobright.ai/jobs/info/665bf431ca0a8a2d0fdf0625?utm_campaign=1052&amp;utm_source=sheet", "Apply")</f>
        <v>Apply</v>
      </c>
      <c r="C2023" s="10" t="s">
        <v>12169</v>
      </c>
      <c r="D2023" s="56" t="s">
        <v>9557</v>
      </c>
      <c r="E2023" s="10" t="s">
        <v>209</v>
      </c>
      <c r="F2023" s="10" t="s">
        <v>1159</v>
      </c>
      <c r="G2023" s="10" t="s">
        <v>9419</v>
      </c>
      <c r="H2023" s="10" t="s">
        <v>572</v>
      </c>
      <c r="I2023" s="10" t="s">
        <v>55</v>
      </c>
      <c r="K2023" s="10" t="s">
        <v>10154</v>
      </c>
      <c r="L2023" s="10" t="s">
        <v>42</v>
      </c>
    </row>
    <row r="2024" ht="15.75" customHeight="1">
      <c r="A2024" s="64">
        <v>45444.0</v>
      </c>
      <c r="B2024" s="55" t="str">
        <f>HYPERLINK("https://jobright.ai/jobs/info/665bf431ca0a8a2d0fdf0620?utm_campaign=1052&amp;utm_source=sheet", "Apply")</f>
        <v>Apply</v>
      </c>
      <c r="C2024" s="10" t="s">
        <v>12170</v>
      </c>
      <c r="D2024" s="56" t="s">
        <v>9557</v>
      </c>
      <c r="E2024" s="10" t="s">
        <v>209</v>
      </c>
      <c r="F2024" s="10" t="s">
        <v>1159</v>
      </c>
      <c r="G2024" s="10" t="s">
        <v>9419</v>
      </c>
      <c r="H2024" s="10" t="s">
        <v>434</v>
      </c>
      <c r="I2024" s="10" t="s">
        <v>55</v>
      </c>
      <c r="J2024" s="10" t="s">
        <v>12171</v>
      </c>
      <c r="K2024" s="10" t="s">
        <v>10154</v>
      </c>
      <c r="L2024" s="10" t="s">
        <v>42</v>
      </c>
    </row>
    <row r="2025" ht="15.75" customHeight="1">
      <c r="A2025" s="64">
        <v>45444.0</v>
      </c>
      <c r="B2025" s="55" t="str">
        <f>HYPERLINK("https://jobright.ai/jobs/info/665bf431ca0a8a2d0fdf066b?utm_campaign=1052&amp;utm_source=sheet", "Apply")</f>
        <v>Apply</v>
      </c>
      <c r="C2025" s="10" t="s">
        <v>12172</v>
      </c>
      <c r="D2025" s="56" t="s">
        <v>9557</v>
      </c>
      <c r="E2025" s="10" t="s">
        <v>209</v>
      </c>
      <c r="F2025" s="10" t="s">
        <v>1159</v>
      </c>
      <c r="G2025" s="10" t="s">
        <v>9419</v>
      </c>
      <c r="H2025" s="10" t="s">
        <v>572</v>
      </c>
      <c r="I2025" s="10" t="s">
        <v>55</v>
      </c>
      <c r="J2025" s="64"/>
      <c r="K2025" s="10" t="s">
        <v>10154</v>
      </c>
      <c r="L2025" s="10" t="s">
        <v>42</v>
      </c>
    </row>
    <row r="2026" ht="15.75" customHeight="1">
      <c r="A2026" s="64">
        <v>45444.0</v>
      </c>
      <c r="B2026" s="55" t="str">
        <f>HYPERLINK("https://jobright.ai/jobs/info/665bf431ca0a8a2d0fdf067a?utm_campaign=1052&amp;utm_source=sheet", "Apply")</f>
        <v>Apply</v>
      </c>
      <c r="C2026" s="10" t="s">
        <v>12173</v>
      </c>
      <c r="D2026" s="56" t="s">
        <v>9557</v>
      </c>
      <c r="E2026" s="10" t="s">
        <v>209</v>
      </c>
      <c r="F2026" s="10" t="s">
        <v>1159</v>
      </c>
      <c r="G2026" s="10" t="s">
        <v>9419</v>
      </c>
      <c r="H2026" s="10" t="s">
        <v>1120</v>
      </c>
      <c r="I2026" s="10" t="s">
        <v>55</v>
      </c>
      <c r="K2026" s="10" t="s">
        <v>10154</v>
      </c>
      <c r="L2026" s="10" t="s">
        <v>42</v>
      </c>
    </row>
    <row r="2027" ht="15.75" customHeight="1">
      <c r="A2027" s="64">
        <v>45444.0</v>
      </c>
      <c r="B2027" s="55" t="str">
        <f>HYPERLINK("https://jobright.ai/jobs/info/665bf431ca0a8a2d0fdf0690?utm_campaign=1052&amp;utm_source=sheet", "Apply")</f>
        <v>Apply</v>
      </c>
      <c r="C2027" s="10" t="s">
        <v>12174</v>
      </c>
      <c r="D2027" s="56" t="s">
        <v>9557</v>
      </c>
      <c r="E2027" s="10" t="s">
        <v>209</v>
      </c>
      <c r="F2027" s="10" t="s">
        <v>1159</v>
      </c>
      <c r="G2027" s="10" t="s">
        <v>9419</v>
      </c>
      <c r="H2027" s="10" t="s">
        <v>174</v>
      </c>
      <c r="I2027" s="10" t="s">
        <v>55</v>
      </c>
      <c r="K2027" s="10" t="s">
        <v>10154</v>
      </c>
      <c r="L2027" s="10" t="s">
        <v>42</v>
      </c>
    </row>
    <row r="2028" ht="15.75" customHeight="1">
      <c r="A2028" s="64">
        <v>45444.0</v>
      </c>
      <c r="B2028" s="55" t="str">
        <f>HYPERLINK("https://jobright.ai/jobs/info/665af7ed79f68d0a9512f5cb?utm_campaign=1052&amp;utm_source=sheet", "Apply")</f>
        <v>Apply</v>
      </c>
      <c r="C2028" s="10" t="s">
        <v>12175</v>
      </c>
      <c r="D2028" s="56" t="s">
        <v>9557</v>
      </c>
      <c r="E2028" s="10" t="s">
        <v>209</v>
      </c>
      <c r="F2028" s="10" t="s">
        <v>1159</v>
      </c>
      <c r="G2028" s="10" t="s">
        <v>9419</v>
      </c>
      <c r="H2028" s="10" t="s">
        <v>313</v>
      </c>
      <c r="I2028" s="10" t="s">
        <v>48</v>
      </c>
      <c r="J2028" s="10" t="s">
        <v>12176</v>
      </c>
      <c r="K2028" s="10" t="s">
        <v>11717</v>
      </c>
      <c r="L2028" s="10" t="s">
        <v>42</v>
      </c>
    </row>
    <row r="2029" ht="15.75" customHeight="1">
      <c r="A2029" s="64">
        <v>45444.0</v>
      </c>
      <c r="B2029" s="55" t="str">
        <f>HYPERLINK("https://jobright.ai/jobs/info/665af7ed79f68d0a9512f5cc?utm_campaign=1052&amp;utm_source=sheet", "Apply")</f>
        <v>Apply</v>
      </c>
      <c r="C2029" s="10" t="s">
        <v>12177</v>
      </c>
      <c r="D2029" s="56" t="s">
        <v>9557</v>
      </c>
      <c r="E2029" s="10" t="s">
        <v>209</v>
      </c>
      <c r="F2029" s="10" t="s">
        <v>1159</v>
      </c>
      <c r="G2029" s="10" t="s">
        <v>9419</v>
      </c>
      <c r="H2029" s="10" t="s">
        <v>106</v>
      </c>
      <c r="I2029" s="10" t="s">
        <v>48</v>
      </c>
      <c r="J2029" s="64"/>
      <c r="K2029" s="10" t="s">
        <v>11560</v>
      </c>
      <c r="L2029" s="10" t="s">
        <v>42</v>
      </c>
    </row>
    <row r="2030" ht="15.75" customHeight="1">
      <c r="A2030" s="64">
        <v>45444.0</v>
      </c>
      <c r="B2030" s="55" t="str">
        <f>HYPERLINK("https://jobright.ai/jobs/info/665af7ed79f68d0a9512f5d8?utm_campaign=1052&amp;utm_source=sheet", "Apply")</f>
        <v>Apply</v>
      </c>
      <c r="C2030" s="10" t="s">
        <v>12178</v>
      </c>
      <c r="D2030" s="56" t="s">
        <v>9557</v>
      </c>
      <c r="E2030" s="10" t="s">
        <v>209</v>
      </c>
      <c r="F2030" s="10" t="s">
        <v>1159</v>
      </c>
      <c r="G2030" s="10" t="s">
        <v>9419</v>
      </c>
      <c r="H2030" s="10" t="s">
        <v>1978</v>
      </c>
      <c r="I2030" s="10" t="s">
        <v>48</v>
      </c>
      <c r="K2030" s="10" t="s">
        <v>11560</v>
      </c>
      <c r="L2030" s="10" t="s">
        <v>42</v>
      </c>
    </row>
    <row r="2031" ht="15.75" customHeight="1">
      <c r="A2031" s="64">
        <v>45444.0</v>
      </c>
      <c r="B2031" s="55" t="str">
        <f>HYPERLINK("https://jobright.ai/jobs/info/665af7ed79f68d0a9512f5cf?utm_campaign=1052&amp;utm_source=sheet", "Apply")</f>
        <v>Apply</v>
      </c>
      <c r="C2031" s="10" t="s">
        <v>12179</v>
      </c>
      <c r="D2031" s="56" t="s">
        <v>9557</v>
      </c>
      <c r="E2031" s="10" t="s">
        <v>209</v>
      </c>
      <c r="F2031" s="10" t="s">
        <v>1159</v>
      </c>
      <c r="G2031" s="10" t="s">
        <v>9419</v>
      </c>
      <c r="H2031" s="10" t="s">
        <v>882</v>
      </c>
      <c r="I2031" s="10" t="s">
        <v>48</v>
      </c>
      <c r="K2031" s="10" t="s">
        <v>11560</v>
      </c>
      <c r="L2031" s="10" t="s">
        <v>42</v>
      </c>
    </row>
    <row r="2032" ht="15.75" customHeight="1">
      <c r="A2032" s="64">
        <v>45444.0</v>
      </c>
      <c r="B2032" s="55" t="str">
        <f>HYPERLINK("https://jobright.ai/jobs/info/665af7ed79f68d0a9512f5cd?utm_campaign=1052&amp;utm_source=sheet", "Apply")</f>
        <v>Apply</v>
      </c>
      <c r="C2032" s="10" t="s">
        <v>12180</v>
      </c>
      <c r="D2032" s="56" t="s">
        <v>9557</v>
      </c>
      <c r="E2032" s="10" t="s">
        <v>209</v>
      </c>
      <c r="F2032" s="10" t="s">
        <v>1159</v>
      </c>
      <c r="G2032" s="10" t="s">
        <v>9419</v>
      </c>
      <c r="H2032" s="10" t="s">
        <v>952</v>
      </c>
      <c r="I2032" s="10" t="s">
        <v>48</v>
      </c>
      <c r="J2032" s="64"/>
      <c r="K2032" s="10" t="s">
        <v>10741</v>
      </c>
      <c r="L2032" s="10" t="s">
        <v>42</v>
      </c>
    </row>
    <row r="2033" ht="15.75" customHeight="1">
      <c r="A2033" s="64">
        <v>45444.0</v>
      </c>
      <c r="B2033" s="55" t="str">
        <f>HYPERLINK("https://jobright.ai/jobs/info/665af7ed79f68d0a9512f5db?utm_campaign=1052&amp;utm_source=sheet", "Apply")</f>
        <v>Apply</v>
      </c>
      <c r="C2033" s="10" t="s">
        <v>12181</v>
      </c>
      <c r="D2033" s="56" t="s">
        <v>9557</v>
      </c>
      <c r="E2033" s="10" t="s">
        <v>209</v>
      </c>
      <c r="F2033" s="10" t="s">
        <v>1159</v>
      </c>
      <c r="G2033" s="10" t="s">
        <v>9419</v>
      </c>
      <c r="H2033" s="10" t="s">
        <v>405</v>
      </c>
      <c r="I2033" s="10" t="s">
        <v>48</v>
      </c>
      <c r="J2033" s="10" t="s">
        <v>11870</v>
      </c>
      <c r="K2033" s="10" t="s">
        <v>12014</v>
      </c>
      <c r="L2033" s="10" t="s">
        <v>42</v>
      </c>
    </row>
    <row r="2034" ht="15.75" customHeight="1">
      <c r="A2034" s="64">
        <v>45444.0</v>
      </c>
      <c r="B2034" s="55" t="str">
        <f>HYPERLINK("https://jobright.ai/jobs/info/665af7ed79f68d0a9512f5e1?utm_campaign=1052&amp;utm_source=sheet", "Apply")</f>
        <v>Apply</v>
      </c>
      <c r="C2034" s="10" t="s">
        <v>11954</v>
      </c>
      <c r="D2034" s="56" t="s">
        <v>9557</v>
      </c>
      <c r="E2034" s="10" t="s">
        <v>209</v>
      </c>
      <c r="F2034" s="10" t="s">
        <v>1159</v>
      </c>
      <c r="G2034" s="10" t="s">
        <v>9419</v>
      </c>
      <c r="H2034" s="10" t="s">
        <v>4799</v>
      </c>
      <c r="I2034" s="10" t="s">
        <v>48</v>
      </c>
      <c r="J2034" s="64"/>
      <c r="K2034" s="10" t="s">
        <v>11560</v>
      </c>
      <c r="L2034" s="10" t="s">
        <v>42</v>
      </c>
    </row>
    <row r="2035" ht="15.75" customHeight="1">
      <c r="A2035" s="64">
        <v>45444.0</v>
      </c>
      <c r="B2035" s="55" t="str">
        <f>HYPERLINK("https://jobright.ai/jobs/info/665af7ed79f68d0a9512f5ea?utm_campaign=1052&amp;utm_source=sheet", "Apply")</f>
        <v>Apply</v>
      </c>
      <c r="C2035" s="10" t="s">
        <v>12182</v>
      </c>
      <c r="D2035" s="56" t="s">
        <v>9557</v>
      </c>
      <c r="E2035" s="10" t="s">
        <v>209</v>
      </c>
      <c r="F2035" s="10" t="s">
        <v>1159</v>
      </c>
      <c r="G2035" s="10" t="s">
        <v>9419</v>
      </c>
      <c r="H2035" s="10" t="s">
        <v>605</v>
      </c>
      <c r="I2035" s="10" t="s">
        <v>48</v>
      </c>
      <c r="K2035" s="10" t="s">
        <v>10154</v>
      </c>
      <c r="L2035" s="10" t="s">
        <v>42</v>
      </c>
    </row>
    <row r="2036" ht="15.75" customHeight="1">
      <c r="A2036" s="64">
        <v>45444.0</v>
      </c>
      <c r="B2036" s="55" t="str">
        <f>HYPERLINK("https://jobright.ai/jobs/info/665af7ed79f68d0a9512f5e5?utm_campaign=1052&amp;utm_source=sheet", "Apply")</f>
        <v>Apply</v>
      </c>
      <c r="C2036" s="10" t="s">
        <v>12183</v>
      </c>
      <c r="D2036" s="56" t="s">
        <v>9557</v>
      </c>
      <c r="E2036" s="10" t="s">
        <v>209</v>
      </c>
      <c r="F2036" s="10" t="s">
        <v>1159</v>
      </c>
      <c r="G2036" s="10" t="s">
        <v>9419</v>
      </c>
      <c r="H2036" s="10" t="s">
        <v>434</v>
      </c>
      <c r="I2036" s="10" t="s">
        <v>48</v>
      </c>
      <c r="J2036" s="10" t="s">
        <v>11870</v>
      </c>
      <c r="K2036" s="10" t="s">
        <v>12014</v>
      </c>
      <c r="L2036" s="10" t="s">
        <v>42</v>
      </c>
    </row>
    <row r="2037" ht="15.75" customHeight="1">
      <c r="A2037" s="64">
        <v>45444.0</v>
      </c>
      <c r="B2037" s="55" t="str">
        <f>HYPERLINK("https://jobright.ai/jobs/info/665af7ed79f68d0a9512f5e6?utm_campaign=1052&amp;utm_source=sheet", "Apply")</f>
        <v>Apply</v>
      </c>
      <c r="C2037" s="10" t="s">
        <v>12184</v>
      </c>
      <c r="D2037" s="56" t="s">
        <v>9557</v>
      </c>
      <c r="E2037" s="10" t="s">
        <v>209</v>
      </c>
      <c r="F2037" s="10" t="s">
        <v>1159</v>
      </c>
      <c r="G2037" s="10" t="s">
        <v>9419</v>
      </c>
      <c r="H2037" s="10" t="s">
        <v>153</v>
      </c>
      <c r="I2037" s="10" t="s">
        <v>48</v>
      </c>
      <c r="J2037" s="64"/>
      <c r="K2037" s="10" t="s">
        <v>10741</v>
      </c>
      <c r="L2037" s="10" t="s">
        <v>42</v>
      </c>
    </row>
    <row r="2038" ht="15.75" customHeight="1">
      <c r="A2038" s="64">
        <v>45444.0</v>
      </c>
      <c r="B2038" s="55" t="str">
        <f>HYPERLINK("https://jobright.ai/jobs/info/665af7ed79f68d0a9512f5eb?utm_campaign=1052&amp;utm_source=sheet", "Apply")</f>
        <v>Apply</v>
      </c>
      <c r="C2038" s="10" t="s">
        <v>12185</v>
      </c>
      <c r="D2038" s="56" t="s">
        <v>9557</v>
      </c>
      <c r="E2038" s="10" t="s">
        <v>209</v>
      </c>
      <c r="F2038" s="10" t="s">
        <v>1159</v>
      </c>
      <c r="G2038" s="10" t="s">
        <v>9419</v>
      </c>
      <c r="H2038" s="10" t="s">
        <v>73</v>
      </c>
      <c r="I2038" s="10" t="s">
        <v>48</v>
      </c>
      <c r="J2038" s="64"/>
      <c r="K2038" s="10" t="s">
        <v>11560</v>
      </c>
      <c r="L2038" s="10" t="s">
        <v>42</v>
      </c>
    </row>
    <row r="2039" ht="15.75" customHeight="1">
      <c r="A2039" s="64">
        <v>45444.0</v>
      </c>
      <c r="B2039" s="55" t="str">
        <f>HYPERLINK("https://jobright.ai/jobs/info/665af7ed79f68d0a9512f5e0?utm_campaign=1052&amp;utm_source=sheet", "Apply")</f>
        <v>Apply</v>
      </c>
      <c r="C2039" s="10" t="s">
        <v>12186</v>
      </c>
      <c r="D2039" s="56" t="s">
        <v>9557</v>
      </c>
      <c r="E2039" s="10" t="s">
        <v>209</v>
      </c>
      <c r="F2039" s="10" t="s">
        <v>1159</v>
      </c>
      <c r="G2039" s="10" t="s">
        <v>9419</v>
      </c>
      <c r="H2039" s="10" t="s">
        <v>73</v>
      </c>
      <c r="I2039" s="10" t="s">
        <v>48</v>
      </c>
      <c r="J2039" s="64"/>
      <c r="K2039" s="10" t="s">
        <v>10741</v>
      </c>
      <c r="L2039" s="10" t="s">
        <v>42</v>
      </c>
    </row>
    <row r="2040" ht="15.75" customHeight="1">
      <c r="A2040" s="64">
        <v>45444.0</v>
      </c>
      <c r="B2040" s="55" t="str">
        <f>HYPERLINK("https://jobright.ai/jobs/info/665af7f479f68d0a9512f5f4?utm_campaign=1052&amp;utm_source=sheet", "Apply")</f>
        <v>Apply</v>
      </c>
      <c r="C2040" s="10" t="s">
        <v>12187</v>
      </c>
      <c r="D2040" s="56" t="s">
        <v>9557</v>
      </c>
      <c r="E2040" s="10" t="s">
        <v>209</v>
      </c>
      <c r="F2040" s="10" t="s">
        <v>1159</v>
      </c>
      <c r="G2040" s="10" t="s">
        <v>9419</v>
      </c>
      <c r="H2040" s="10" t="s">
        <v>3847</v>
      </c>
      <c r="I2040" s="10" t="s">
        <v>48</v>
      </c>
      <c r="J2040" s="64"/>
      <c r="K2040" s="10" t="s">
        <v>10154</v>
      </c>
      <c r="L2040" s="10" t="s">
        <v>42</v>
      </c>
    </row>
    <row r="2041" ht="15.75" customHeight="1">
      <c r="A2041" s="64">
        <v>45444.0</v>
      </c>
      <c r="B2041" s="55" t="str">
        <f>HYPERLINK("https://jobright.ai/jobs/info/665af7f479f68d0a9512f5f3?utm_campaign=1052&amp;utm_source=sheet", "Apply")</f>
        <v>Apply</v>
      </c>
      <c r="C2041" s="10" t="s">
        <v>12188</v>
      </c>
      <c r="D2041" s="56" t="s">
        <v>9557</v>
      </c>
      <c r="E2041" s="10" t="s">
        <v>209</v>
      </c>
      <c r="F2041" s="10" t="s">
        <v>1159</v>
      </c>
      <c r="G2041" s="10" t="s">
        <v>9419</v>
      </c>
      <c r="H2041" s="10" t="s">
        <v>113</v>
      </c>
      <c r="I2041" s="10" t="s">
        <v>48</v>
      </c>
      <c r="J2041" s="64"/>
      <c r="K2041" s="10" t="s">
        <v>10741</v>
      </c>
      <c r="L2041" s="10" t="s">
        <v>42</v>
      </c>
    </row>
    <row r="2042" ht="15.75" customHeight="1">
      <c r="A2042" s="64">
        <v>45444.0</v>
      </c>
      <c r="B2042" s="55" t="str">
        <f>HYPERLINK("https://jobright.ai/jobs/info/665af7f479f68d0a9512f5f0?utm_campaign=1052&amp;utm_source=sheet", "Apply")</f>
        <v>Apply</v>
      </c>
      <c r="C2042" s="10" t="s">
        <v>12189</v>
      </c>
      <c r="D2042" s="56" t="s">
        <v>9557</v>
      </c>
      <c r="E2042" s="10" t="s">
        <v>209</v>
      </c>
      <c r="F2042" s="10" t="s">
        <v>1159</v>
      </c>
      <c r="G2042" s="10" t="s">
        <v>9419</v>
      </c>
      <c r="H2042" s="10" t="s">
        <v>661</v>
      </c>
      <c r="I2042" s="10" t="s">
        <v>48</v>
      </c>
      <c r="K2042" s="10" t="s">
        <v>11560</v>
      </c>
      <c r="L2042" s="10" t="s">
        <v>42</v>
      </c>
    </row>
    <row r="2043" ht="15.75" customHeight="1">
      <c r="A2043" s="64">
        <v>45444.0</v>
      </c>
      <c r="B2043" s="55" t="str">
        <f>HYPERLINK("https://jobright.ai/jobs/info/665af7f479f68d0a9512f5f7?utm_campaign=1052&amp;utm_source=sheet", "Apply")</f>
        <v>Apply</v>
      </c>
      <c r="C2043" s="10" t="s">
        <v>12190</v>
      </c>
      <c r="D2043" s="56" t="s">
        <v>9557</v>
      </c>
      <c r="E2043" s="10" t="s">
        <v>209</v>
      </c>
      <c r="F2043" s="10" t="s">
        <v>1159</v>
      </c>
      <c r="G2043" s="10" t="s">
        <v>9419</v>
      </c>
      <c r="H2043" s="10" t="s">
        <v>936</v>
      </c>
      <c r="I2043" s="10" t="s">
        <v>48</v>
      </c>
      <c r="K2043" s="10" t="s">
        <v>11560</v>
      </c>
      <c r="L2043" s="10" t="s">
        <v>42</v>
      </c>
    </row>
    <row r="2044" ht="15.75" customHeight="1">
      <c r="A2044" s="64">
        <v>45444.0</v>
      </c>
      <c r="B2044" s="55" t="str">
        <f>HYPERLINK("https://jobright.ai/jobs/info/665af7f479f68d0a9512f5f2?utm_campaign=1052&amp;utm_source=sheet", "Apply")</f>
        <v>Apply</v>
      </c>
      <c r="C2044" s="10" t="s">
        <v>12191</v>
      </c>
      <c r="D2044" s="56" t="s">
        <v>9557</v>
      </c>
      <c r="E2044" s="10" t="s">
        <v>209</v>
      </c>
      <c r="F2044" s="10" t="s">
        <v>1159</v>
      </c>
      <c r="G2044" s="10" t="s">
        <v>9419</v>
      </c>
      <c r="H2044" s="10" t="s">
        <v>879</v>
      </c>
      <c r="I2044" s="10" t="s">
        <v>48</v>
      </c>
      <c r="J2044" s="64"/>
      <c r="K2044" s="10" t="s">
        <v>10154</v>
      </c>
      <c r="L2044" s="10" t="s">
        <v>42</v>
      </c>
    </row>
    <row r="2045" ht="15.75" customHeight="1">
      <c r="A2045" s="64">
        <v>45444.0</v>
      </c>
      <c r="B2045" s="55" t="str">
        <f>HYPERLINK("https://jobright.ai/jobs/info/665af7f479f68d0a9512f603?utm_campaign=1052&amp;utm_source=sheet", "Apply")</f>
        <v>Apply</v>
      </c>
      <c r="C2045" s="10" t="s">
        <v>12192</v>
      </c>
      <c r="D2045" s="56" t="s">
        <v>9557</v>
      </c>
      <c r="E2045" s="10" t="s">
        <v>209</v>
      </c>
      <c r="F2045" s="10" t="s">
        <v>1159</v>
      </c>
      <c r="G2045" s="10" t="s">
        <v>9419</v>
      </c>
      <c r="H2045" s="10" t="s">
        <v>882</v>
      </c>
      <c r="I2045" s="10" t="s">
        <v>48</v>
      </c>
      <c r="K2045" s="10" t="s">
        <v>10154</v>
      </c>
      <c r="L2045" s="10" t="s">
        <v>42</v>
      </c>
    </row>
    <row r="2046" ht="15.75" customHeight="1">
      <c r="A2046" s="64">
        <v>45444.0</v>
      </c>
      <c r="B2046" s="55" t="str">
        <f>HYPERLINK("https://jobright.ai/jobs/info/665af7f479f68d0a9512f60a?utm_campaign=1052&amp;utm_source=sheet", "Apply")</f>
        <v>Apply</v>
      </c>
      <c r="C2046" s="10" t="s">
        <v>12193</v>
      </c>
      <c r="D2046" s="56" t="s">
        <v>9557</v>
      </c>
      <c r="E2046" s="10" t="s">
        <v>209</v>
      </c>
      <c r="F2046" s="10" t="s">
        <v>1159</v>
      </c>
      <c r="G2046" s="10" t="s">
        <v>9419</v>
      </c>
      <c r="H2046" s="10" t="s">
        <v>993</v>
      </c>
      <c r="I2046" s="10" t="s">
        <v>48</v>
      </c>
      <c r="J2046" s="64"/>
      <c r="K2046" s="10" t="s">
        <v>11560</v>
      </c>
      <c r="L2046" s="10" t="s">
        <v>42</v>
      </c>
    </row>
    <row r="2047" ht="15.75" customHeight="1">
      <c r="A2047" s="64">
        <v>45444.0</v>
      </c>
      <c r="B2047" s="55" t="str">
        <f>HYPERLINK("https://jobright.ai/jobs/info/665af7f479f68d0a9512f5fa?utm_campaign=1052&amp;utm_source=sheet", "Apply")</f>
        <v>Apply</v>
      </c>
      <c r="C2047" s="10" t="s">
        <v>12194</v>
      </c>
      <c r="D2047" s="56" t="s">
        <v>9557</v>
      </c>
      <c r="E2047" s="10" t="s">
        <v>209</v>
      </c>
      <c r="F2047" s="10" t="s">
        <v>1159</v>
      </c>
      <c r="G2047" s="10" t="s">
        <v>9419</v>
      </c>
      <c r="H2047" s="10" t="s">
        <v>1120</v>
      </c>
      <c r="I2047" s="10" t="s">
        <v>48</v>
      </c>
      <c r="K2047" s="10" t="s">
        <v>10154</v>
      </c>
      <c r="L2047" s="10" t="s">
        <v>42</v>
      </c>
    </row>
    <row r="2048" ht="15.75" customHeight="1">
      <c r="A2048" s="64">
        <v>45444.0</v>
      </c>
      <c r="B2048" s="55" t="str">
        <f>HYPERLINK("https://jobright.ai/jobs/info/665af7f479f68d0a9512f606?utm_campaign=1052&amp;utm_source=sheet", "Apply")</f>
        <v>Apply</v>
      </c>
      <c r="C2048" s="10" t="s">
        <v>12195</v>
      </c>
      <c r="D2048" s="56" t="s">
        <v>9557</v>
      </c>
      <c r="E2048" s="10" t="s">
        <v>209</v>
      </c>
      <c r="F2048" s="10" t="s">
        <v>1159</v>
      </c>
      <c r="G2048" s="10" t="s">
        <v>9419</v>
      </c>
      <c r="H2048" s="10" t="s">
        <v>882</v>
      </c>
      <c r="I2048" s="10" t="s">
        <v>48</v>
      </c>
      <c r="K2048" s="10" t="s">
        <v>11560</v>
      </c>
      <c r="L2048" s="10" t="s">
        <v>42</v>
      </c>
    </row>
    <row r="2049" ht="15.75" customHeight="1">
      <c r="A2049" s="64">
        <v>45444.0</v>
      </c>
      <c r="B2049" s="55" t="str">
        <f>HYPERLINK("https://jobright.ai/jobs/info/665af7f479f68d0a9512f5fe?utm_campaign=1052&amp;utm_source=sheet", "Apply")</f>
        <v>Apply</v>
      </c>
      <c r="C2049" s="10" t="s">
        <v>12196</v>
      </c>
      <c r="D2049" s="56" t="s">
        <v>9557</v>
      </c>
      <c r="E2049" s="10" t="s">
        <v>209</v>
      </c>
      <c r="F2049" s="10" t="s">
        <v>1159</v>
      </c>
      <c r="G2049" s="10" t="s">
        <v>9419</v>
      </c>
      <c r="H2049" s="10" t="s">
        <v>993</v>
      </c>
      <c r="I2049" s="10" t="s">
        <v>48</v>
      </c>
      <c r="J2049" s="64"/>
      <c r="K2049" s="10" t="s">
        <v>10154</v>
      </c>
      <c r="L2049" s="10" t="s">
        <v>42</v>
      </c>
    </row>
    <row r="2050" ht="15.75" customHeight="1">
      <c r="A2050" s="64">
        <v>45444.0</v>
      </c>
      <c r="B2050" s="55" t="str">
        <f>HYPERLINK("https://jobright.ai/jobs/info/665af7f479f68d0a9512f5fd?utm_campaign=1052&amp;utm_source=sheet", "Apply")</f>
        <v>Apply</v>
      </c>
      <c r="C2050" s="10" t="s">
        <v>12197</v>
      </c>
      <c r="D2050" s="56" t="s">
        <v>9557</v>
      </c>
      <c r="E2050" s="10" t="s">
        <v>209</v>
      </c>
      <c r="F2050" s="10" t="s">
        <v>1159</v>
      </c>
      <c r="G2050" s="10" t="s">
        <v>9419</v>
      </c>
      <c r="H2050" s="10" t="s">
        <v>879</v>
      </c>
      <c r="I2050" s="10" t="s">
        <v>48</v>
      </c>
      <c r="K2050" s="10" t="s">
        <v>10154</v>
      </c>
      <c r="L2050" s="10" t="s">
        <v>42</v>
      </c>
    </row>
    <row r="2051" ht="15.75" customHeight="1">
      <c r="A2051" s="64">
        <v>45444.0</v>
      </c>
      <c r="B2051" s="55" t="str">
        <f>HYPERLINK("https://jobright.ai/jobs/info/665af7f479f68d0a9512f614?utm_campaign=1052&amp;utm_source=sheet", "Apply")</f>
        <v>Apply</v>
      </c>
      <c r="C2051" s="10" t="s">
        <v>12198</v>
      </c>
      <c r="D2051" s="56" t="s">
        <v>9557</v>
      </c>
      <c r="E2051" s="10" t="s">
        <v>209</v>
      </c>
      <c r="F2051" s="10" t="s">
        <v>1159</v>
      </c>
      <c r="G2051" s="10" t="s">
        <v>9419</v>
      </c>
      <c r="H2051" s="10" t="s">
        <v>405</v>
      </c>
      <c r="I2051" s="10" t="s">
        <v>48</v>
      </c>
      <c r="K2051" s="10" t="s">
        <v>10154</v>
      </c>
      <c r="L2051" s="10" t="s">
        <v>42</v>
      </c>
    </row>
    <row r="2052" ht="15.75" customHeight="1">
      <c r="A2052" s="64">
        <v>45444.0</v>
      </c>
      <c r="B2052" s="55" t="str">
        <f>HYPERLINK("https://jobright.ai/jobs/info/665af7f479f68d0a9512f617?utm_campaign=1052&amp;utm_source=sheet", "Apply")</f>
        <v>Apply</v>
      </c>
      <c r="C2052" s="10" t="s">
        <v>12199</v>
      </c>
      <c r="D2052" s="56" t="s">
        <v>9557</v>
      </c>
      <c r="E2052" s="10" t="s">
        <v>209</v>
      </c>
      <c r="F2052" s="10" t="s">
        <v>1159</v>
      </c>
      <c r="G2052" s="10" t="s">
        <v>9419</v>
      </c>
      <c r="H2052" s="10" t="s">
        <v>810</v>
      </c>
      <c r="I2052" s="10" t="s">
        <v>48</v>
      </c>
      <c r="J2052" s="64"/>
      <c r="K2052" s="10" t="s">
        <v>10154</v>
      </c>
      <c r="L2052" s="10" t="s">
        <v>42</v>
      </c>
    </row>
    <row r="2053" ht="15.75" customHeight="1">
      <c r="A2053" s="64">
        <v>45444.0</v>
      </c>
      <c r="B2053" s="55" t="str">
        <f>HYPERLINK("https://jobright.ai/jobs/info/665af7f479f68d0a9512f619?utm_campaign=1052&amp;utm_source=sheet", "Apply")</f>
        <v>Apply</v>
      </c>
      <c r="C2053" s="10" t="s">
        <v>12200</v>
      </c>
      <c r="D2053" s="56" t="s">
        <v>9557</v>
      </c>
      <c r="E2053" s="10" t="s">
        <v>209</v>
      </c>
      <c r="F2053" s="10" t="s">
        <v>1159</v>
      </c>
      <c r="G2053" s="10" t="s">
        <v>9419</v>
      </c>
      <c r="H2053" s="10" t="s">
        <v>827</v>
      </c>
      <c r="I2053" s="10" t="s">
        <v>48</v>
      </c>
      <c r="J2053" s="64"/>
      <c r="K2053" s="10" t="s">
        <v>10741</v>
      </c>
      <c r="L2053" s="10" t="s">
        <v>42</v>
      </c>
    </row>
    <row r="2054" ht="15.75" customHeight="1">
      <c r="A2054" s="64">
        <v>45444.0</v>
      </c>
      <c r="B2054" s="55" t="str">
        <f>HYPERLINK("https://jobright.ai/jobs/info/665af7f479f68d0a9512f61e?utm_campaign=1052&amp;utm_source=sheet", "Apply")</f>
        <v>Apply</v>
      </c>
      <c r="C2054" s="10" t="s">
        <v>12201</v>
      </c>
      <c r="D2054" s="56" t="s">
        <v>9557</v>
      </c>
      <c r="E2054" s="10" t="s">
        <v>209</v>
      </c>
      <c r="F2054" s="10" t="s">
        <v>1159</v>
      </c>
      <c r="G2054" s="10" t="s">
        <v>9419</v>
      </c>
      <c r="H2054" s="10" t="s">
        <v>10949</v>
      </c>
      <c r="I2054" s="10" t="s">
        <v>48</v>
      </c>
      <c r="K2054" s="10" t="s">
        <v>11560</v>
      </c>
      <c r="L2054" s="10" t="s">
        <v>42</v>
      </c>
    </row>
    <row r="2055" ht="15.75" customHeight="1">
      <c r="A2055" s="64">
        <v>45444.0</v>
      </c>
      <c r="B2055" s="55" t="str">
        <f>HYPERLINK("https://jobright.ai/jobs/info/665af7f479f68d0a9512f620?utm_campaign=1052&amp;utm_source=sheet", "Apply")</f>
        <v>Apply</v>
      </c>
      <c r="C2055" s="10" t="s">
        <v>12202</v>
      </c>
      <c r="D2055" s="56" t="s">
        <v>9557</v>
      </c>
      <c r="E2055" s="10" t="s">
        <v>209</v>
      </c>
      <c r="F2055" s="10" t="s">
        <v>1159</v>
      </c>
      <c r="G2055" s="10" t="s">
        <v>9419</v>
      </c>
      <c r="H2055" s="10" t="s">
        <v>434</v>
      </c>
      <c r="I2055" s="10" t="s">
        <v>48</v>
      </c>
      <c r="J2055" s="10" t="s">
        <v>6565</v>
      </c>
      <c r="K2055" s="10" t="s">
        <v>12029</v>
      </c>
      <c r="L2055" s="10" t="s">
        <v>42</v>
      </c>
    </row>
    <row r="2056" ht="15.75" customHeight="1">
      <c r="A2056" s="64">
        <v>45444.0</v>
      </c>
      <c r="B2056" s="55" t="str">
        <f>HYPERLINK("https://jobright.ai/jobs/info/665af7f479f68d0a9512f62a?utm_campaign=1052&amp;utm_source=sheet", "Apply")</f>
        <v>Apply</v>
      </c>
      <c r="C2056" s="10" t="s">
        <v>12203</v>
      </c>
      <c r="D2056" s="56" t="s">
        <v>9557</v>
      </c>
      <c r="E2056" s="10" t="s">
        <v>209</v>
      </c>
      <c r="F2056" s="10" t="s">
        <v>1159</v>
      </c>
      <c r="G2056" s="10" t="s">
        <v>9419</v>
      </c>
      <c r="H2056" s="10" t="s">
        <v>5148</v>
      </c>
      <c r="I2056" s="10" t="s">
        <v>48</v>
      </c>
      <c r="K2056" s="10" t="s">
        <v>11560</v>
      </c>
      <c r="L2056" s="10" t="s">
        <v>42</v>
      </c>
    </row>
    <row r="2057" ht="15.75" customHeight="1">
      <c r="A2057" s="64">
        <v>45444.0</v>
      </c>
      <c r="B2057" s="55" t="str">
        <f>HYPERLINK("https://jobright.ai/jobs/info/665af7f479f68d0a9512f626?utm_campaign=1052&amp;utm_source=sheet", "Apply")</f>
        <v>Apply</v>
      </c>
      <c r="C2057" s="10" t="s">
        <v>12204</v>
      </c>
      <c r="D2057" s="56" t="s">
        <v>9557</v>
      </c>
      <c r="E2057" s="10" t="s">
        <v>209</v>
      </c>
      <c r="F2057" s="10" t="s">
        <v>1159</v>
      </c>
      <c r="G2057" s="10" t="s">
        <v>9419</v>
      </c>
      <c r="H2057" s="10" t="s">
        <v>661</v>
      </c>
      <c r="I2057" s="10" t="s">
        <v>48</v>
      </c>
      <c r="K2057" s="10" t="s">
        <v>10741</v>
      </c>
      <c r="L2057" s="10" t="s">
        <v>42</v>
      </c>
    </row>
    <row r="2058" ht="15.75" customHeight="1">
      <c r="A2058" s="64">
        <v>45444.0</v>
      </c>
      <c r="B2058" s="55" t="str">
        <f>HYPERLINK("https://jobright.ai/jobs/info/665af7f479f68d0a9512f628?utm_campaign=1052&amp;utm_source=sheet", "Apply")</f>
        <v>Apply</v>
      </c>
      <c r="C2058" s="10" t="s">
        <v>12205</v>
      </c>
      <c r="D2058" s="56" t="s">
        <v>9557</v>
      </c>
      <c r="E2058" s="10" t="s">
        <v>209</v>
      </c>
      <c r="F2058" s="10" t="s">
        <v>1159</v>
      </c>
      <c r="G2058" s="10" t="s">
        <v>9419</v>
      </c>
      <c r="H2058" s="10" t="s">
        <v>434</v>
      </c>
      <c r="I2058" s="10" t="s">
        <v>48</v>
      </c>
      <c r="J2058" s="10" t="s">
        <v>12206</v>
      </c>
      <c r="K2058" s="10" t="s">
        <v>10741</v>
      </c>
      <c r="L2058" s="10" t="s">
        <v>42</v>
      </c>
    </row>
    <row r="2059" ht="15.75" customHeight="1">
      <c r="A2059" s="64">
        <v>45444.0</v>
      </c>
      <c r="B2059" s="55" t="str">
        <f>HYPERLINK("https://jobright.ai/jobs/info/665af7f479f68d0a9512f627?utm_campaign=1052&amp;utm_source=sheet", "Apply")</f>
        <v>Apply</v>
      </c>
      <c r="C2059" s="10" t="s">
        <v>12207</v>
      </c>
      <c r="D2059" s="56" t="s">
        <v>9557</v>
      </c>
      <c r="E2059" s="10" t="s">
        <v>209</v>
      </c>
      <c r="F2059" s="10" t="s">
        <v>1159</v>
      </c>
      <c r="G2059" s="10" t="s">
        <v>9419</v>
      </c>
      <c r="H2059" s="10" t="s">
        <v>153</v>
      </c>
      <c r="I2059" s="10" t="s">
        <v>48</v>
      </c>
      <c r="J2059" s="64"/>
      <c r="K2059" s="10" t="s">
        <v>10154</v>
      </c>
      <c r="L2059" s="10" t="s">
        <v>42</v>
      </c>
    </row>
    <row r="2060" ht="15.75" customHeight="1">
      <c r="A2060" s="64">
        <v>45444.0</v>
      </c>
      <c r="B2060" s="55" t="str">
        <f>HYPERLINK("https://jobright.ai/jobs/info/665af63e471e6d698455b061?utm_campaign=1052&amp;utm_source=sheet", "Apply")</f>
        <v>Apply</v>
      </c>
      <c r="C2060" s="10" t="s">
        <v>12208</v>
      </c>
      <c r="D2060" s="56" t="s">
        <v>9557</v>
      </c>
      <c r="E2060" s="10" t="s">
        <v>209</v>
      </c>
      <c r="F2060" s="10" t="s">
        <v>1159</v>
      </c>
      <c r="G2060" s="10" t="s">
        <v>9419</v>
      </c>
      <c r="H2060" s="10" t="s">
        <v>11767</v>
      </c>
      <c r="I2060" s="10" t="s">
        <v>48</v>
      </c>
      <c r="K2060" s="10" t="s">
        <v>10741</v>
      </c>
      <c r="L2060" s="10" t="s">
        <v>42</v>
      </c>
    </row>
    <row r="2061" ht="15.75" customHeight="1">
      <c r="A2061" s="64">
        <v>45444.0</v>
      </c>
      <c r="B2061" s="55" t="str">
        <f>HYPERLINK("https://jobright.ai/jobs/info/665af63e471e6d698455b068?utm_campaign=1052&amp;utm_source=sheet", "Apply")</f>
        <v>Apply</v>
      </c>
      <c r="C2061" s="10" t="s">
        <v>12209</v>
      </c>
      <c r="D2061" s="56" t="s">
        <v>9557</v>
      </c>
      <c r="E2061" s="10" t="s">
        <v>209</v>
      </c>
      <c r="F2061" s="10" t="s">
        <v>1159</v>
      </c>
      <c r="G2061" s="10" t="s">
        <v>9419</v>
      </c>
      <c r="H2061" s="10" t="s">
        <v>788</v>
      </c>
      <c r="I2061" s="10" t="s">
        <v>48</v>
      </c>
      <c r="J2061" s="64"/>
      <c r="K2061" s="10" t="s">
        <v>10154</v>
      </c>
      <c r="L2061" s="10" t="s">
        <v>42</v>
      </c>
    </row>
    <row r="2062" ht="15.75" customHeight="1">
      <c r="A2062" s="64">
        <v>45444.0</v>
      </c>
      <c r="B2062" s="55" t="str">
        <f>HYPERLINK("https://jobright.ai/jobs/info/665af63e471e6d698455b072?utm_campaign=1052&amp;utm_source=sheet", "Apply")</f>
        <v>Apply</v>
      </c>
      <c r="C2062" s="10" t="s">
        <v>12210</v>
      </c>
      <c r="D2062" s="56" t="s">
        <v>9557</v>
      </c>
      <c r="E2062" s="10" t="s">
        <v>209</v>
      </c>
      <c r="F2062" s="10" t="s">
        <v>1159</v>
      </c>
      <c r="G2062" s="10" t="s">
        <v>9419</v>
      </c>
      <c r="H2062" s="10" t="s">
        <v>131</v>
      </c>
      <c r="I2062" s="10" t="s">
        <v>48</v>
      </c>
      <c r="K2062" s="10" t="s">
        <v>10154</v>
      </c>
      <c r="L2062" s="10" t="s">
        <v>42</v>
      </c>
    </row>
    <row r="2063" ht="15.75" customHeight="1">
      <c r="A2063" s="64">
        <v>45444.0</v>
      </c>
      <c r="B2063" s="55" t="str">
        <f>HYPERLINK("https://jobright.ai/jobs/info/665af63e471e6d698455b078?utm_campaign=1052&amp;utm_source=sheet", "Apply")</f>
        <v>Apply</v>
      </c>
      <c r="C2063" s="10" t="s">
        <v>12211</v>
      </c>
      <c r="D2063" s="56" t="s">
        <v>9557</v>
      </c>
      <c r="E2063" s="10" t="s">
        <v>209</v>
      </c>
      <c r="F2063" s="10" t="s">
        <v>1159</v>
      </c>
      <c r="G2063" s="10" t="s">
        <v>9419</v>
      </c>
      <c r="H2063" s="10" t="s">
        <v>835</v>
      </c>
      <c r="I2063" s="10" t="s">
        <v>48</v>
      </c>
      <c r="K2063" s="10" t="s">
        <v>10741</v>
      </c>
      <c r="L2063" s="10" t="s">
        <v>42</v>
      </c>
    </row>
    <row r="2064" ht="15.75" customHeight="1">
      <c r="A2064" s="64">
        <v>45444.0</v>
      </c>
      <c r="B2064" s="55" t="str">
        <f>HYPERLINK("https://jobright.ai/jobs/info/665af63e471e6d698455b07d?utm_campaign=1052&amp;utm_source=sheet", "Apply")</f>
        <v>Apply</v>
      </c>
      <c r="C2064" s="10" t="s">
        <v>12212</v>
      </c>
      <c r="D2064" s="56" t="s">
        <v>9557</v>
      </c>
      <c r="E2064" s="10" t="s">
        <v>209</v>
      </c>
      <c r="F2064" s="10" t="s">
        <v>1159</v>
      </c>
      <c r="G2064" s="10" t="s">
        <v>9419</v>
      </c>
      <c r="H2064" s="10" t="s">
        <v>5148</v>
      </c>
      <c r="I2064" s="10" t="s">
        <v>48</v>
      </c>
      <c r="K2064" s="10" t="s">
        <v>10154</v>
      </c>
      <c r="L2064" s="10" t="s">
        <v>42</v>
      </c>
    </row>
    <row r="2065" ht="15.75" customHeight="1">
      <c r="A2065" s="64">
        <v>45444.0</v>
      </c>
      <c r="B2065" s="55" t="str">
        <f>HYPERLINK("https://jobright.ai/jobs/info/665af63e471e6d698455b07c?utm_campaign=1052&amp;utm_source=sheet", "Apply")</f>
        <v>Apply</v>
      </c>
      <c r="C2065" s="10" t="s">
        <v>12213</v>
      </c>
      <c r="D2065" s="56" t="s">
        <v>9557</v>
      </c>
      <c r="E2065" s="10" t="s">
        <v>209</v>
      </c>
      <c r="F2065" s="10" t="s">
        <v>1159</v>
      </c>
      <c r="G2065" s="10" t="s">
        <v>9419</v>
      </c>
      <c r="H2065" s="10" t="s">
        <v>106</v>
      </c>
      <c r="I2065" s="10" t="s">
        <v>48</v>
      </c>
      <c r="K2065" s="10" t="s">
        <v>10741</v>
      </c>
      <c r="L2065" s="10" t="s">
        <v>42</v>
      </c>
    </row>
    <row r="2066" ht="15.75" customHeight="1">
      <c r="A2066" s="64">
        <v>45444.0</v>
      </c>
      <c r="B2066" s="55" t="str">
        <f>HYPERLINK("https://jobright.ai/jobs/info/665af63e471e6d698455b07b?utm_campaign=1052&amp;utm_source=sheet", "Apply")</f>
        <v>Apply</v>
      </c>
      <c r="C2066" s="10" t="s">
        <v>12214</v>
      </c>
      <c r="D2066" s="56" t="s">
        <v>9557</v>
      </c>
      <c r="E2066" s="10" t="s">
        <v>209</v>
      </c>
      <c r="F2066" s="10" t="s">
        <v>1159</v>
      </c>
      <c r="G2066" s="10" t="s">
        <v>9419</v>
      </c>
      <c r="H2066" s="10" t="s">
        <v>810</v>
      </c>
      <c r="I2066" s="10" t="s">
        <v>48</v>
      </c>
      <c r="K2066" s="10" t="s">
        <v>10154</v>
      </c>
      <c r="L2066" s="10" t="s">
        <v>42</v>
      </c>
    </row>
    <row r="2067" ht="15.75" customHeight="1">
      <c r="A2067" s="64">
        <v>45444.0</v>
      </c>
      <c r="B2067" s="55" t="str">
        <f>HYPERLINK("https://jobright.ai/jobs/info/665af63e471e6d698455b077?utm_campaign=1052&amp;utm_source=sheet", "Apply")</f>
        <v>Apply</v>
      </c>
      <c r="C2067" s="10" t="s">
        <v>12215</v>
      </c>
      <c r="D2067" s="56" t="s">
        <v>9557</v>
      </c>
      <c r="E2067" s="10" t="s">
        <v>209</v>
      </c>
      <c r="F2067" s="10" t="s">
        <v>1159</v>
      </c>
      <c r="G2067" s="10" t="s">
        <v>9419</v>
      </c>
      <c r="H2067" s="10" t="s">
        <v>572</v>
      </c>
      <c r="I2067" s="10" t="s">
        <v>48</v>
      </c>
      <c r="K2067" s="10" t="s">
        <v>10741</v>
      </c>
      <c r="L2067" s="10" t="s">
        <v>42</v>
      </c>
    </row>
    <row r="2068" ht="15.75" customHeight="1">
      <c r="A2068" s="64">
        <v>45444.0</v>
      </c>
      <c r="B2068" s="55" t="str">
        <f>HYPERLINK("https://jobright.ai/jobs/info/665af647471e6d698455b08e?utm_campaign=1052&amp;utm_source=sheet", "Apply")</f>
        <v>Apply</v>
      </c>
      <c r="C2068" s="10" t="s">
        <v>12216</v>
      </c>
      <c r="D2068" s="56" t="s">
        <v>9557</v>
      </c>
      <c r="E2068" s="10" t="s">
        <v>209</v>
      </c>
      <c r="F2068" s="10" t="s">
        <v>1159</v>
      </c>
      <c r="G2068" s="10" t="s">
        <v>9419</v>
      </c>
      <c r="H2068" s="10" t="s">
        <v>1978</v>
      </c>
      <c r="I2068" s="10" t="s">
        <v>48</v>
      </c>
      <c r="K2068" s="10" t="s">
        <v>10741</v>
      </c>
      <c r="L2068" s="10" t="s">
        <v>42</v>
      </c>
    </row>
    <row r="2069" ht="15.75" customHeight="1">
      <c r="A2069" s="64">
        <v>45444.0</v>
      </c>
      <c r="B2069" s="55" t="str">
        <f>HYPERLINK("https://jobright.ai/jobs/info/665af647471e6d698455b08c?utm_campaign=1052&amp;utm_source=sheet", "Apply")</f>
        <v>Apply</v>
      </c>
      <c r="C2069" s="10" t="s">
        <v>12217</v>
      </c>
      <c r="D2069" s="56" t="s">
        <v>9557</v>
      </c>
      <c r="E2069" s="10" t="s">
        <v>209</v>
      </c>
      <c r="F2069" s="10" t="s">
        <v>1159</v>
      </c>
      <c r="G2069" s="10" t="s">
        <v>9419</v>
      </c>
      <c r="H2069" s="10" t="s">
        <v>5148</v>
      </c>
      <c r="I2069" s="10" t="s">
        <v>48</v>
      </c>
      <c r="J2069" s="64"/>
      <c r="K2069" s="10" t="s">
        <v>11717</v>
      </c>
      <c r="L2069" s="10" t="s">
        <v>42</v>
      </c>
    </row>
    <row r="2070" ht="15.75" customHeight="1">
      <c r="A2070" s="64">
        <v>45444.0</v>
      </c>
      <c r="B2070" s="55" t="str">
        <f>HYPERLINK("https://jobright.ai/jobs/info/665af647471e6d698455b08d?utm_campaign=1052&amp;utm_source=sheet", "Apply")</f>
        <v>Apply</v>
      </c>
      <c r="C2070" s="10" t="s">
        <v>12218</v>
      </c>
      <c r="D2070" s="56" t="s">
        <v>9557</v>
      </c>
      <c r="E2070" s="10" t="s">
        <v>209</v>
      </c>
      <c r="F2070" s="10" t="s">
        <v>1159</v>
      </c>
      <c r="G2070" s="10" t="s">
        <v>9419</v>
      </c>
      <c r="H2070" s="10" t="s">
        <v>131</v>
      </c>
      <c r="I2070" s="10" t="s">
        <v>48</v>
      </c>
      <c r="K2070" s="10" t="s">
        <v>10741</v>
      </c>
      <c r="L2070" s="10" t="s">
        <v>42</v>
      </c>
    </row>
    <row r="2071" ht="15.75" customHeight="1">
      <c r="A2071" s="64">
        <v>45444.0</v>
      </c>
      <c r="B2071" s="55" t="str">
        <f>HYPERLINK("https://jobright.ai/jobs/info/665af647471e6d698455b091?utm_campaign=1052&amp;utm_source=sheet", "Apply")</f>
        <v>Apply</v>
      </c>
      <c r="C2071" s="10" t="s">
        <v>12219</v>
      </c>
      <c r="D2071" s="56" t="s">
        <v>9557</v>
      </c>
      <c r="E2071" s="10" t="s">
        <v>209</v>
      </c>
      <c r="F2071" s="10" t="s">
        <v>1159</v>
      </c>
      <c r="G2071" s="10" t="s">
        <v>9419</v>
      </c>
      <c r="H2071" s="10" t="s">
        <v>113</v>
      </c>
      <c r="I2071" s="10" t="s">
        <v>48</v>
      </c>
      <c r="K2071" s="10" t="s">
        <v>10741</v>
      </c>
      <c r="L2071" s="10" t="s">
        <v>42</v>
      </c>
    </row>
    <row r="2072" ht="15.75" customHeight="1">
      <c r="A2072" s="64">
        <v>45444.0</v>
      </c>
      <c r="B2072" s="55" t="str">
        <f>HYPERLINK("https://jobright.ai/jobs/info/665af647471e6d698455b093?utm_campaign=1052&amp;utm_source=sheet", "Apply")</f>
        <v>Apply</v>
      </c>
      <c r="C2072" s="10" t="s">
        <v>12220</v>
      </c>
      <c r="D2072" s="56" t="s">
        <v>9557</v>
      </c>
      <c r="E2072" s="10" t="s">
        <v>209</v>
      </c>
      <c r="F2072" s="10" t="s">
        <v>1159</v>
      </c>
      <c r="G2072" s="10" t="s">
        <v>9419</v>
      </c>
      <c r="H2072" s="10" t="s">
        <v>5148</v>
      </c>
      <c r="I2072" s="10" t="s">
        <v>48</v>
      </c>
      <c r="K2072" s="10" t="s">
        <v>11717</v>
      </c>
      <c r="L2072" s="10" t="s">
        <v>42</v>
      </c>
    </row>
    <row r="2073" ht="15.75" customHeight="1">
      <c r="A2073" s="64">
        <v>45444.0</v>
      </c>
      <c r="B2073" s="55" t="str">
        <f>HYPERLINK("https://jobright.ai/jobs/info/665af647471e6d698455b096?utm_campaign=1052&amp;utm_source=sheet", "Apply")</f>
        <v>Apply</v>
      </c>
      <c r="C2073" s="10" t="s">
        <v>12221</v>
      </c>
      <c r="D2073" s="56" t="s">
        <v>9557</v>
      </c>
      <c r="E2073" s="10" t="s">
        <v>209</v>
      </c>
      <c r="F2073" s="10" t="s">
        <v>1159</v>
      </c>
      <c r="G2073" s="10" t="s">
        <v>9419</v>
      </c>
      <c r="H2073" s="10" t="s">
        <v>7569</v>
      </c>
      <c r="I2073" s="10" t="s">
        <v>48</v>
      </c>
      <c r="J2073" s="64"/>
      <c r="K2073" s="10" t="s">
        <v>11560</v>
      </c>
      <c r="L2073" s="10" t="s">
        <v>42</v>
      </c>
    </row>
    <row r="2074" ht="15.75" customHeight="1">
      <c r="A2074" s="64">
        <v>45444.0</v>
      </c>
      <c r="B2074" s="55" t="str">
        <f>HYPERLINK("https://jobright.ai/jobs/info/665af647471e6d698455b09c?utm_campaign=1052&amp;utm_source=sheet", "Apply")</f>
        <v>Apply</v>
      </c>
      <c r="C2074" s="10" t="s">
        <v>12222</v>
      </c>
      <c r="D2074" s="56" t="s">
        <v>9557</v>
      </c>
      <c r="E2074" s="10" t="s">
        <v>209</v>
      </c>
      <c r="F2074" s="10" t="s">
        <v>1159</v>
      </c>
      <c r="G2074" s="10" t="s">
        <v>9419</v>
      </c>
      <c r="H2074" s="10" t="s">
        <v>882</v>
      </c>
      <c r="I2074" s="10" t="s">
        <v>48</v>
      </c>
      <c r="J2074" s="64"/>
      <c r="K2074" s="10" t="s">
        <v>10741</v>
      </c>
      <c r="L2074" s="10" t="s">
        <v>42</v>
      </c>
    </row>
    <row r="2075" ht="15.75" customHeight="1">
      <c r="A2075" s="64">
        <v>45444.0</v>
      </c>
      <c r="B2075" s="55" t="str">
        <f>HYPERLINK("https://jobright.ai/jobs/info/665af647471e6d698455b09e?utm_campaign=1052&amp;utm_source=sheet", "Apply")</f>
        <v>Apply</v>
      </c>
      <c r="C2075" s="10" t="s">
        <v>12223</v>
      </c>
      <c r="D2075" s="56" t="s">
        <v>9557</v>
      </c>
      <c r="E2075" s="10" t="s">
        <v>209</v>
      </c>
      <c r="F2075" s="10" t="s">
        <v>1159</v>
      </c>
      <c r="G2075" s="10" t="s">
        <v>9419</v>
      </c>
      <c r="H2075" s="10" t="s">
        <v>5148</v>
      </c>
      <c r="I2075" s="10" t="s">
        <v>48</v>
      </c>
      <c r="K2075" s="10" t="s">
        <v>10741</v>
      </c>
      <c r="L2075" s="10" t="s">
        <v>42</v>
      </c>
    </row>
    <row r="2076" ht="15.75" customHeight="1">
      <c r="A2076" s="64">
        <v>45444.0</v>
      </c>
      <c r="B2076" s="55" t="str">
        <f>HYPERLINK("https://jobright.ai/jobs/info/665af647471e6d698455b0a5?utm_campaign=1052&amp;utm_source=sheet", "Apply")</f>
        <v>Apply</v>
      </c>
      <c r="C2076" s="10" t="s">
        <v>12224</v>
      </c>
      <c r="D2076" s="56" t="s">
        <v>9557</v>
      </c>
      <c r="E2076" s="10" t="s">
        <v>209</v>
      </c>
      <c r="F2076" s="10" t="s">
        <v>1159</v>
      </c>
      <c r="G2076" s="10" t="s">
        <v>9419</v>
      </c>
      <c r="H2076" s="10" t="s">
        <v>882</v>
      </c>
      <c r="I2076" s="10" t="s">
        <v>48</v>
      </c>
      <c r="J2076" s="64"/>
      <c r="K2076" s="10" t="s">
        <v>10741</v>
      </c>
      <c r="L2076" s="10" t="s">
        <v>42</v>
      </c>
    </row>
    <row r="2077" ht="15.75" customHeight="1">
      <c r="A2077" s="64">
        <v>45444.0</v>
      </c>
      <c r="B2077" s="55" t="str">
        <f>HYPERLINK("https://jobright.ai/jobs/info/665af647471e6d698455b0a4?utm_campaign=1052&amp;utm_source=sheet", "Apply")</f>
        <v>Apply</v>
      </c>
      <c r="C2077" s="10" t="s">
        <v>12225</v>
      </c>
      <c r="D2077" s="56" t="s">
        <v>9557</v>
      </c>
      <c r="E2077" s="10" t="s">
        <v>209</v>
      </c>
      <c r="F2077" s="10" t="s">
        <v>1159</v>
      </c>
      <c r="G2077" s="10" t="s">
        <v>9419</v>
      </c>
      <c r="H2077" s="10" t="s">
        <v>993</v>
      </c>
      <c r="I2077" s="10" t="s">
        <v>48</v>
      </c>
      <c r="J2077" s="64"/>
      <c r="K2077" s="10" t="s">
        <v>10741</v>
      </c>
      <c r="L2077" s="10" t="s">
        <v>42</v>
      </c>
    </row>
    <row r="2078" ht="15.75" customHeight="1">
      <c r="A2078" s="64">
        <v>45444.0</v>
      </c>
      <c r="B2078" s="55" t="str">
        <f>HYPERLINK("https://jobright.ai/jobs/info/665bf439ca0a8a2d0fdf0718?utm_campaign=1052&amp;utm_source=sheet", "Apply")</f>
        <v>Apply</v>
      </c>
      <c r="C2078" s="10" t="s">
        <v>12226</v>
      </c>
      <c r="D2078" s="56" t="s">
        <v>9557</v>
      </c>
      <c r="E2078" s="10" t="s">
        <v>209</v>
      </c>
      <c r="F2078" s="10" t="s">
        <v>1159</v>
      </c>
      <c r="G2078" s="10" t="s">
        <v>9419</v>
      </c>
      <c r="H2078" s="10" t="s">
        <v>434</v>
      </c>
      <c r="I2078" s="10" t="s">
        <v>55</v>
      </c>
      <c r="J2078" s="10" t="s">
        <v>11870</v>
      </c>
      <c r="K2078" s="10" t="s">
        <v>12014</v>
      </c>
      <c r="L2078" s="10" t="s">
        <v>42</v>
      </c>
    </row>
    <row r="2079" ht="15.75" customHeight="1">
      <c r="A2079" s="64">
        <v>45444.0</v>
      </c>
      <c r="B2079" s="55" t="str">
        <f>HYPERLINK("https://jobright.ai/jobs/info/665bf439ca0a8a2d0fdf071d?utm_campaign=1052&amp;utm_source=sheet", "Apply")</f>
        <v>Apply</v>
      </c>
      <c r="C2079" s="10" t="s">
        <v>12227</v>
      </c>
      <c r="D2079" s="56" t="s">
        <v>9557</v>
      </c>
      <c r="E2079" s="10" t="s">
        <v>209</v>
      </c>
      <c r="F2079" s="10" t="s">
        <v>1159</v>
      </c>
      <c r="G2079" s="10" t="s">
        <v>9419</v>
      </c>
      <c r="H2079" s="10" t="s">
        <v>405</v>
      </c>
      <c r="I2079" s="10" t="s">
        <v>55</v>
      </c>
      <c r="J2079" s="10" t="s">
        <v>6565</v>
      </c>
      <c r="K2079" s="10" t="s">
        <v>12014</v>
      </c>
      <c r="L2079" s="10" t="s">
        <v>42</v>
      </c>
    </row>
    <row r="2080" ht="15.75" customHeight="1">
      <c r="A2080" s="64">
        <v>45444.0</v>
      </c>
      <c r="B2080" s="55" t="str">
        <f>HYPERLINK("https://jobright.ai/jobs/info/665bf439ca0a8a2d0fdf071e?utm_campaign=1052&amp;utm_source=sheet", "Apply")</f>
        <v>Apply</v>
      </c>
      <c r="C2080" s="10" t="s">
        <v>12228</v>
      </c>
      <c r="D2080" s="56" t="s">
        <v>9557</v>
      </c>
      <c r="E2080" s="10" t="s">
        <v>209</v>
      </c>
      <c r="F2080" s="10" t="s">
        <v>1159</v>
      </c>
      <c r="G2080" s="10" t="s">
        <v>9419</v>
      </c>
      <c r="H2080" s="10" t="s">
        <v>154</v>
      </c>
      <c r="I2080" s="10" t="s">
        <v>55</v>
      </c>
      <c r="J2080" s="64"/>
      <c r="K2080" s="10" t="s">
        <v>11560</v>
      </c>
      <c r="L2080" s="10" t="s">
        <v>42</v>
      </c>
    </row>
    <row r="2081" ht="15.75" customHeight="1">
      <c r="A2081" s="64">
        <v>45444.0</v>
      </c>
      <c r="B2081" s="55" t="str">
        <f>HYPERLINK("https://jobright.ai/jobs/info/665bf439ca0a8a2d0fdf072b?utm_campaign=1052&amp;utm_source=sheet", "Apply")</f>
        <v>Apply</v>
      </c>
      <c r="C2081" s="10" t="s">
        <v>12229</v>
      </c>
      <c r="D2081" s="56" t="s">
        <v>9557</v>
      </c>
      <c r="E2081" s="10" t="s">
        <v>209</v>
      </c>
      <c r="F2081" s="10" t="s">
        <v>1159</v>
      </c>
      <c r="G2081" s="10" t="s">
        <v>9419</v>
      </c>
      <c r="H2081" s="10" t="s">
        <v>1041</v>
      </c>
      <c r="I2081" s="10" t="s">
        <v>55</v>
      </c>
      <c r="J2081" s="64"/>
      <c r="K2081" s="10" t="s">
        <v>10741</v>
      </c>
      <c r="L2081" s="10" t="s">
        <v>42</v>
      </c>
    </row>
    <row r="2082" ht="15.75" customHeight="1">
      <c r="A2082" s="64">
        <v>45444.0</v>
      </c>
      <c r="B2082" s="55" t="str">
        <f>HYPERLINK("https://jobright.ai/jobs/info/665ae90e51ca9a4b39809863?utm_campaign=1052&amp;utm_source=sheet", "Apply")</f>
        <v>Apply</v>
      </c>
      <c r="C2082" s="10" t="s">
        <v>12230</v>
      </c>
      <c r="D2082" s="56" t="s">
        <v>730</v>
      </c>
      <c r="E2082" s="10" t="s">
        <v>45</v>
      </c>
      <c r="F2082" s="10" t="s">
        <v>731</v>
      </c>
      <c r="G2082" s="10" t="s">
        <v>9414</v>
      </c>
      <c r="H2082" s="10" t="s">
        <v>159</v>
      </c>
      <c r="I2082" s="10" t="s">
        <v>55</v>
      </c>
      <c r="J2082" s="64"/>
      <c r="K2082" s="10" t="s">
        <v>12231</v>
      </c>
      <c r="L2082" s="10" t="s">
        <v>42</v>
      </c>
    </row>
    <row r="2083" ht="15.75" customHeight="1">
      <c r="A2083" s="64">
        <v>45444.0</v>
      </c>
      <c r="B2083" s="55" t="str">
        <f>HYPERLINK("https://jobright.ai/jobs/info/665ad9af16cc3bb1eb038a00?utm_campaign=1052&amp;utm_source=sheet", "Apply")</f>
        <v>Apply</v>
      </c>
      <c r="C2083" s="10" t="s">
        <v>12232</v>
      </c>
      <c r="D2083" s="56" t="s">
        <v>730</v>
      </c>
      <c r="E2083" s="10" t="s">
        <v>45</v>
      </c>
      <c r="F2083" s="10" t="s">
        <v>731</v>
      </c>
      <c r="G2083" s="10" t="s">
        <v>9414</v>
      </c>
      <c r="H2083" s="10" t="s">
        <v>154</v>
      </c>
      <c r="I2083" s="10" t="s">
        <v>55</v>
      </c>
      <c r="J2083" s="64"/>
      <c r="K2083" s="10" t="s">
        <v>12233</v>
      </c>
      <c r="L2083" s="10" t="s">
        <v>42</v>
      </c>
    </row>
    <row r="2084" ht="15.75" customHeight="1">
      <c r="A2084" s="64">
        <v>45444.0</v>
      </c>
      <c r="B2084" s="55" t="str">
        <f>HYPERLINK("https://jobright.ai/jobs/info/665ad9af16cc3bb1eb0389f2?utm_campaign=1052&amp;utm_source=sheet", "Apply")</f>
        <v>Apply</v>
      </c>
      <c r="C2084" s="10" t="s">
        <v>10703</v>
      </c>
      <c r="D2084" s="56" t="s">
        <v>730</v>
      </c>
      <c r="E2084" s="10" t="s">
        <v>45</v>
      </c>
      <c r="F2084" s="10" t="s">
        <v>731</v>
      </c>
      <c r="G2084" s="10" t="s">
        <v>9419</v>
      </c>
      <c r="H2084" s="10" t="s">
        <v>159</v>
      </c>
      <c r="I2084" s="10" t="s">
        <v>55</v>
      </c>
      <c r="J2084" s="64"/>
      <c r="K2084" s="10" t="s">
        <v>12234</v>
      </c>
      <c r="L2084" s="10" t="s">
        <v>42</v>
      </c>
    </row>
    <row r="2085" ht="15.75" customHeight="1">
      <c r="A2085" s="64">
        <v>45444.0</v>
      </c>
      <c r="B2085" s="55" t="str">
        <f>HYPERLINK("https://jobright.ai/jobs/info/665d461e13c44faf9b189fc1?utm_campaign=1052&amp;utm_source=sheet", "Apply")</f>
        <v>Apply</v>
      </c>
      <c r="C2085" s="10" t="s">
        <v>10695</v>
      </c>
      <c r="D2085" s="56" t="s">
        <v>730</v>
      </c>
      <c r="E2085" s="10" t="s">
        <v>45</v>
      </c>
      <c r="F2085" s="10" t="s">
        <v>731</v>
      </c>
      <c r="G2085" s="10" t="s">
        <v>9414</v>
      </c>
      <c r="H2085" s="10" t="s">
        <v>994</v>
      </c>
      <c r="I2085" s="10" t="s">
        <v>55</v>
      </c>
      <c r="K2085" s="10" t="s">
        <v>10696</v>
      </c>
      <c r="L2085" s="10" t="s">
        <v>42</v>
      </c>
    </row>
    <row r="2086" ht="15.75" customHeight="1">
      <c r="A2086" s="64">
        <v>45444.0</v>
      </c>
      <c r="B2086" s="55" t="str">
        <f>HYPERLINK("https://jobright.ai/jobs/info/665ae3887db5889c8bf9e44c?utm_campaign=1052&amp;utm_source=sheet", "Apply")</f>
        <v>Apply</v>
      </c>
      <c r="C2086" s="10" t="s">
        <v>10892</v>
      </c>
      <c r="D2086" s="56" t="s">
        <v>730</v>
      </c>
      <c r="E2086" s="10" t="s">
        <v>45</v>
      </c>
      <c r="F2086" s="10" t="s">
        <v>731</v>
      </c>
      <c r="G2086" s="10" t="s">
        <v>9414</v>
      </c>
      <c r="H2086" s="10" t="s">
        <v>131</v>
      </c>
      <c r="I2086" s="10" t="s">
        <v>55</v>
      </c>
      <c r="K2086" s="10" t="s">
        <v>10893</v>
      </c>
      <c r="L2086" s="10" t="s">
        <v>42</v>
      </c>
    </row>
    <row r="2087" ht="15.75" customHeight="1">
      <c r="A2087" s="64">
        <v>45444.0</v>
      </c>
      <c r="B2087" s="55" t="str">
        <f>HYPERLINK("https://jobright.ai/jobs/info/665ac038b10ca21a522e3aa4?utm_campaign=1052&amp;utm_source=sheet", "Apply")</f>
        <v>Apply</v>
      </c>
      <c r="C2087" s="10" t="s">
        <v>12235</v>
      </c>
      <c r="D2087" s="56" t="s">
        <v>12236</v>
      </c>
      <c r="E2087" s="10">
        <v>215.0</v>
      </c>
      <c r="G2087" s="10" t="s">
        <v>9414</v>
      </c>
      <c r="H2087" s="10" t="s">
        <v>11424</v>
      </c>
      <c r="I2087" s="10" t="s">
        <v>55</v>
      </c>
      <c r="K2087" s="10" t="s">
        <v>12237</v>
      </c>
      <c r="L2087" s="10" t="s">
        <v>42</v>
      </c>
    </row>
    <row r="2088" ht="15.75" customHeight="1">
      <c r="A2088" s="64">
        <v>45443.0</v>
      </c>
      <c r="B2088" s="55" t="str">
        <f>HYPERLINK("https://jobright.ai/jobs/info/665a7a5b172c0ee16fa540bc?utm_campaign=1052&amp;utm_source=sheet", "Apply")</f>
        <v>Apply</v>
      </c>
      <c r="C2088" s="10" t="s">
        <v>9517</v>
      </c>
      <c r="D2088" s="56" t="s">
        <v>1484</v>
      </c>
      <c r="E2088" s="10" t="s">
        <v>71</v>
      </c>
      <c r="F2088" s="10" t="s">
        <v>1485</v>
      </c>
      <c r="G2088" s="10" t="s">
        <v>1159</v>
      </c>
      <c r="H2088" s="10" t="s">
        <v>113</v>
      </c>
      <c r="I2088" s="10" t="s">
        <v>55</v>
      </c>
      <c r="K2088" s="10" t="s">
        <v>12238</v>
      </c>
      <c r="L2088" s="10" t="s">
        <v>42</v>
      </c>
    </row>
    <row r="2089" ht="15.75" customHeight="1">
      <c r="A2089" s="64">
        <v>45443.0</v>
      </c>
      <c r="B2089" s="55" t="str">
        <f>HYPERLINK("https://jobright.ai/jobs/info/665a5b1d95e91bdd6ecfe296?utm_campaign=1052&amp;utm_source=sheet", "Apply")</f>
        <v>Apply</v>
      </c>
      <c r="C2089" s="10" t="s">
        <v>12239</v>
      </c>
      <c r="D2089" s="56" t="s">
        <v>1484</v>
      </c>
      <c r="E2089" s="10" t="s">
        <v>71</v>
      </c>
      <c r="F2089" s="10" t="s">
        <v>1485</v>
      </c>
      <c r="G2089" s="10" t="s">
        <v>9414</v>
      </c>
      <c r="H2089" s="10" t="s">
        <v>113</v>
      </c>
      <c r="I2089" s="10" t="s">
        <v>55</v>
      </c>
      <c r="K2089" s="10" t="s">
        <v>12240</v>
      </c>
      <c r="L2089" s="10" t="s">
        <v>42</v>
      </c>
    </row>
    <row r="2090" ht="15.75" customHeight="1">
      <c r="A2090" s="64">
        <v>45443.0</v>
      </c>
      <c r="B2090" s="55" t="str">
        <f>HYPERLINK("https://jobright.ai/jobs/info/665a0f79f0911836c70322e1?utm_campaign=1052&amp;utm_source=sheet", "Apply")</f>
        <v>Apply</v>
      </c>
      <c r="C2090" s="10" t="s">
        <v>12241</v>
      </c>
      <c r="D2090" s="56" t="s">
        <v>2022</v>
      </c>
      <c r="E2090" s="10" t="s">
        <v>45</v>
      </c>
      <c r="F2090" s="10" t="s">
        <v>1893</v>
      </c>
      <c r="G2090" s="10" t="s">
        <v>1159</v>
      </c>
      <c r="H2090" s="10" t="s">
        <v>159</v>
      </c>
      <c r="I2090" s="10" t="s">
        <v>55</v>
      </c>
      <c r="K2090" s="10" t="s">
        <v>12242</v>
      </c>
      <c r="L2090" s="10" t="s">
        <v>42</v>
      </c>
    </row>
    <row r="2091" ht="15.75" customHeight="1">
      <c r="A2091" s="64">
        <v>45443.0</v>
      </c>
      <c r="B2091" s="55" t="str">
        <f>HYPERLINK("https://jobright.ai/jobs/info/6675f80480091fbf5e3ecc19?utm_campaign=1052&amp;utm_source=sheet", "Apply")</f>
        <v>Apply</v>
      </c>
      <c r="C2091" s="10" t="s">
        <v>12243</v>
      </c>
      <c r="D2091" s="56" t="s">
        <v>11745</v>
      </c>
      <c r="E2091" s="10" t="s">
        <v>276</v>
      </c>
      <c r="F2091" s="10" t="s">
        <v>3382</v>
      </c>
      <c r="G2091" s="10" t="s">
        <v>9419</v>
      </c>
      <c r="H2091" s="10" t="s">
        <v>2988</v>
      </c>
      <c r="I2091" s="10" t="s">
        <v>55</v>
      </c>
      <c r="J2091" s="64"/>
      <c r="K2091" s="10" t="s">
        <v>12244</v>
      </c>
      <c r="L2091" s="10" t="s">
        <v>42</v>
      </c>
    </row>
    <row r="2092" ht="15.75" customHeight="1">
      <c r="A2092" s="64">
        <v>45443.0</v>
      </c>
      <c r="B2092" s="55" t="str">
        <f>HYPERLINK("https://jobright.ai/jobs/info/666c24c141bd8bbbc79fd128?utm_campaign=1052&amp;utm_source=sheet", "Apply")</f>
        <v>Apply</v>
      </c>
      <c r="C2092" s="10" t="s">
        <v>10969</v>
      </c>
      <c r="D2092" s="56" t="s">
        <v>12245</v>
      </c>
      <c r="E2092" s="59">
        <v>45301.0</v>
      </c>
      <c r="F2092" s="10" t="s">
        <v>12246</v>
      </c>
      <c r="G2092" s="10" t="s">
        <v>9419</v>
      </c>
      <c r="H2092" s="10" t="s">
        <v>11857</v>
      </c>
      <c r="I2092" s="10" t="s">
        <v>55</v>
      </c>
      <c r="J2092" s="64"/>
      <c r="K2092" s="10" t="s">
        <v>12247</v>
      </c>
      <c r="L2092" s="10" t="s">
        <v>42</v>
      </c>
    </row>
    <row r="2093" ht="15.75" customHeight="1">
      <c r="A2093" s="64">
        <v>45443.0</v>
      </c>
      <c r="B2093" s="55" t="str">
        <f>HYPERLINK("https://jobright.ai/jobs/info/6659595650d048b518cf2135?utm_campaign=1052&amp;utm_source=sheet", "Apply")</f>
        <v>Apply</v>
      </c>
      <c r="C2093" s="10" t="s">
        <v>9436</v>
      </c>
      <c r="D2093" s="56" t="s">
        <v>12248</v>
      </c>
      <c r="E2093" s="10" t="s">
        <v>276</v>
      </c>
      <c r="F2093" s="10" t="s">
        <v>12249</v>
      </c>
      <c r="G2093" s="10" t="s">
        <v>9414</v>
      </c>
      <c r="H2093" s="10" t="s">
        <v>4868</v>
      </c>
      <c r="I2093" s="10" t="s">
        <v>55</v>
      </c>
      <c r="K2093" s="10" t="s">
        <v>12250</v>
      </c>
      <c r="L2093" s="10" t="s">
        <v>42</v>
      </c>
    </row>
    <row r="2094" ht="15.75" customHeight="1">
      <c r="A2094" s="64">
        <v>45442.0</v>
      </c>
      <c r="B2094" s="55" t="str">
        <f>HYPERLINK("https://jobright.ai/jobs/info/665902ffd9f10b0b654ff3be?utm_campaign=1052&amp;utm_source=sheet", "Apply")</f>
        <v>Apply</v>
      </c>
      <c r="C2094" s="10" t="s">
        <v>12251</v>
      </c>
      <c r="D2094" s="56" t="s">
        <v>12252</v>
      </c>
      <c r="E2094" s="10" t="s">
        <v>71</v>
      </c>
      <c r="F2094" s="10" t="s">
        <v>12253</v>
      </c>
      <c r="G2094" s="10" t="s">
        <v>1159</v>
      </c>
      <c r="H2094" s="10" t="s">
        <v>4073</v>
      </c>
      <c r="I2094" s="10" t="s">
        <v>55</v>
      </c>
      <c r="J2094" s="64"/>
      <c r="K2094" s="10" t="s">
        <v>12254</v>
      </c>
      <c r="L2094" s="10" t="s">
        <v>42</v>
      </c>
    </row>
    <row r="2095" ht="15.75" customHeight="1">
      <c r="A2095" s="64">
        <v>45442.0</v>
      </c>
      <c r="B2095" s="55" t="str">
        <f>HYPERLINK("https://jobright.ai/jobs/info/66686a508208ff983dbcec68?utm_campaign=1052&amp;utm_source=sheet", "Apply")</f>
        <v>Apply</v>
      </c>
      <c r="C2095" s="10" t="s">
        <v>12255</v>
      </c>
      <c r="D2095" s="56" t="s">
        <v>1496</v>
      </c>
      <c r="E2095" s="10" t="s">
        <v>45</v>
      </c>
      <c r="F2095" s="10" t="s">
        <v>1497</v>
      </c>
      <c r="G2095" s="10" t="s">
        <v>9414</v>
      </c>
      <c r="H2095" s="10" t="s">
        <v>1533</v>
      </c>
      <c r="I2095" s="10" t="s">
        <v>55</v>
      </c>
      <c r="J2095" s="64"/>
      <c r="K2095" s="10" t="s">
        <v>12256</v>
      </c>
      <c r="L2095" s="10" t="s">
        <v>42</v>
      </c>
    </row>
    <row r="2096" ht="15.75" customHeight="1">
      <c r="A2096" s="64">
        <v>45441.0</v>
      </c>
      <c r="B2096" s="55" t="str">
        <f>HYPERLINK("https://jobright.ai/jobs/info/66686cc88208ff983dbcf34e?utm_campaign=1052&amp;utm_source=sheet", "Apply")</f>
        <v>Apply</v>
      </c>
      <c r="C2096" s="10" t="s">
        <v>12257</v>
      </c>
      <c r="D2096" s="56" t="s">
        <v>2426</v>
      </c>
      <c r="E2096" s="10" t="s">
        <v>209</v>
      </c>
      <c r="G2096" s="10" t="s">
        <v>9414</v>
      </c>
      <c r="H2096" s="10" t="s">
        <v>2427</v>
      </c>
      <c r="I2096" s="10" t="s">
        <v>55</v>
      </c>
      <c r="J2096" s="64"/>
      <c r="K2096" s="10" t="s">
        <v>12258</v>
      </c>
      <c r="L2096" s="10" t="s">
        <v>42</v>
      </c>
    </row>
    <row r="2097" ht="15.75" customHeight="1">
      <c r="A2097" s="64">
        <v>45440.0</v>
      </c>
      <c r="B2097" s="55" t="str">
        <f>HYPERLINK("https://jobright.ai/jobs/info/66568ce79038477a0e0d040e?utm_campaign=1052&amp;utm_source=sheet", "Apply")</f>
        <v>Apply</v>
      </c>
      <c r="C2097" s="10" t="s">
        <v>9511</v>
      </c>
      <c r="D2097" s="56" t="s">
        <v>2174</v>
      </c>
      <c r="E2097" s="10">
        <v>294.0</v>
      </c>
      <c r="G2097" s="10" t="s">
        <v>9414</v>
      </c>
      <c r="H2097" s="10" t="s">
        <v>96</v>
      </c>
      <c r="I2097" s="10" t="s">
        <v>55</v>
      </c>
      <c r="J2097" s="10" t="s">
        <v>1608</v>
      </c>
      <c r="K2097" s="10" t="s">
        <v>12259</v>
      </c>
      <c r="L2097" s="10" t="s">
        <v>42</v>
      </c>
    </row>
    <row r="2098" ht="15.75" customHeight="1">
      <c r="A2098" s="64">
        <v>45440.0</v>
      </c>
      <c r="B2098" s="55" t="str">
        <f>HYPERLINK("https://jobright.ai/jobs/info/6656727c81bea9115712f69f?utm_campaign=1052&amp;utm_source=sheet", "Apply")</f>
        <v>Apply</v>
      </c>
      <c r="C2098" s="10" t="s">
        <v>12260</v>
      </c>
      <c r="D2098" s="56" t="s">
        <v>2174</v>
      </c>
      <c r="E2098" s="10">
        <v>294.0</v>
      </c>
      <c r="G2098" s="10" t="s">
        <v>9419</v>
      </c>
      <c r="H2098" s="10" t="s">
        <v>96</v>
      </c>
      <c r="I2098" s="10" t="s">
        <v>55</v>
      </c>
      <c r="J2098" s="10" t="s">
        <v>1608</v>
      </c>
      <c r="K2098" s="10" t="s">
        <v>12261</v>
      </c>
      <c r="L2098" s="10" t="s">
        <v>42</v>
      </c>
    </row>
    <row r="2099" ht="15.75" customHeight="1">
      <c r="A2099" s="64">
        <v>45440.0</v>
      </c>
      <c r="B2099" s="55" t="str">
        <f>HYPERLINK("https://jobright.ai/jobs/info/66567a90d03dbae0ead727cb?utm_campaign=1052&amp;utm_source=sheet", "Apply")</f>
        <v>Apply</v>
      </c>
      <c r="C2099" s="10" t="s">
        <v>12262</v>
      </c>
      <c r="D2099" s="56" t="s">
        <v>2174</v>
      </c>
      <c r="E2099" s="10">
        <v>294.0</v>
      </c>
      <c r="G2099" s="10" t="s">
        <v>1159</v>
      </c>
      <c r="H2099" s="10" t="s">
        <v>96</v>
      </c>
      <c r="I2099" s="10" t="s">
        <v>55</v>
      </c>
      <c r="J2099" s="10" t="s">
        <v>1608</v>
      </c>
      <c r="K2099" s="10" t="s">
        <v>12263</v>
      </c>
      <c r="L2099" s="10" t="s">
        <v>42</v>
      </c>
    </row>
    <row r="2100" ht="15.75" customHeight="1">
      <c r="A2100" s="64">
        <v>45440.0</v>
      </c>
      <c r="B2100" s="55" t="str">
        <f>HYPERLINK("https://jobright.ai/jobs/info/66567a90d03dbae0ead727a1?utm_campaign=1052&amp;utm_source=sheet", "Apply")</f>
        <v>Apply</v>
      </c>
      <c r="C2100" s="10" t="s">
        <v>12264</v>
      </c>
      <c r="D2100" s="56" t="s">
        <v>2174</v>
      </c>
      <c r="E2100" s="10">
        <v>294.0</v>
      </c>
      <c r="G2100" s="10" t="s">
        <v>9419</v>
      </c>
      <c r="H2100" s="10" t="s">
        <v>96</v>
      </c>
      <c r="I2100" s="10" t="s">
        <v>55</v>
      </c>
      <c r="J2100" s="10" t="s">
        <v>1608</v>
      </c>
      <c r="K2100" s="10" t="s">
        <v>12265</v>
      </c>
      <c r="L2100" s="10" t="s">
        <v>42</v>
      </c>
    </row>
    <row r="2101" ht="15.75" customHeight="1">
      <c r="A2101" s="64">
        <v>45440.0</v>
      </c>
      <c r="B2101" s="55" t="str">
        <f>HYPERLINK("https://jobright.ai/jobs/info/66566e789dfa60b19fadc12d?utm_campaign=1052&amp;utm_source=sheet", "Apply")</f>
        <v>Apply</v>
      </c>
      <c r="C2101" s="10" t="s">
        <v>12266</v>
      </c>
      <c r="D2101" s="56" t="s">
        <v>2174</v>
      </c>
      <c r="E2101" s="10">
        <v>294.0</v>
      </c>
      <c r="G2101" s="10" t="s">
        <v>9414</v>
      </c>
      <c r="H2101" s="10" t="s">
        <v>96</v>
      </c>
      <c r="I2101" s="10" t="s">
        <v>55</v>
      </c>
      <c r="J2101" s="10" t="s">
        <v>1608</v>
      </c>
      <c r="K2101" s="10" t="s">
        <v>12267</v>
      </c>
      <c r="L2101" s="10" t="s">
        <v>42</v>
      </c>
    </row>
    <row r="2102" ht="15.75" customHeight="1">
      <c r="A2102" s="64">
        <v>45440.0</v>
      </c>
      <c r="B2102" s="55" t="str">
        <f>HYPERLINK("https://jobright.ai/jobs/info/665618c73ac56718f6e8bd35?utm_campaign=1052&amp;utm_source=sheet", "Apply")</f>
        <v>Apply</v>
      </c>
      <c r="C2102" s="10" t="s">
        <v>12268</v>
      </c>
      <c r="D2102" s="56" t="s">
        <v>11804</v>
      </c>
      <c r="E2102" s="10" t="s">
        <v>276</v>
      </c>
      <c r="F2102" s="10" t="s">
        <v>11805</v>
      </c>
      <c r="G2102" s="10" t="s">
        <v>9414</v>
      </c>
      <c r="H2102" s="10" t="s">
        <v>3674</v>
      </c>
      <c r="I2102" s="10" t="s">
        <v>48</v>
      </c>
      <c r="K2102" s="10" t="s">
        <v>11806</v>
      </c>
      <c r="L2102" s="10" t="s">
        <v>42</v>
      </c>
    </row>
    <row r="2103" ht="15.75" customHeight="1">
      <c r="A2103" s="64">
        <v>45440.0</v>
      </c>
      <c r="B2103" s="55" t="str">
        <f>HYPERLINK("https://jobright.ai/jobs/info/667177122401e0f56d8f72c3?utm_campaign=1052&amp;utm_source=sheet", "Apply")</f>
        <v>Apply</v>
      </c>
      <c r="C2103" s="10" t="s">
        <v>12269</v>
      </c>
      <c r="D2103" s="56" t="s">
        <v>12270</v>
      </c>
      <c r="E2103" s="10" t="s">
        <v>65</v>
      </c>
      <c r="F2103" s="10" t="s">
        <v>1234</v>
      </c>
      <c r="G2103" s="10" t="s">
        <v>9419</v>
      </c>
      <c r="H2103" s="10" t="s">
        <v>12271</v>
      </c>
      <c r="I2103" s="10" t="s">
        <v>55</v>
      </c>
      <c r="K2103" s="10" t="s">
        <v>12272</v>
      </c>
      <c r="L2103" s="10" t="s">
        <v>42</v>
      </c>
    </row>
    <row r="2104" ht="15.75" customHeight="1">
      <c r="A2104" s="64">
        <v>45440.0</v>
      </c>
      <c r="B2104" s="55" t="str">
        <f>HYPERLINK("https://jobright.ai/jobs/info/6675ea79a266c24fd0a1579d?utm_campaign=1052&amp;utm_source=sheet", "Apply")</f>
        <v>Apply</v>
      </c>
      <c r="C2104" s="10" t="s">
        <v>12273</v>
      </c>
      <c r="D2104" s="56" t="s">
        <v>11798</v>
      </c>
      <c r="E2104" s="10" t="s">
        <v>45</v>
      </c>
      <c r="F2104" s="10" t="s">
        <v>2409</v>
      </c>
      <c r="G2104" s="10" t="s">
        <v>9419</v>
      </c>
      <c r="H2104" s="10" t="s">
        <v>9486</v>
      </c>
      <c r="I2104" s="10" t="s">
        <v>55</v>
      </c>
      <c r="K2104" s="10" t="s">
        <v>11799</v>
      </c>
      <c r="L2104" s="10" t="s">
        <v>42</v>
      </c>
    </row>
    <row r="2105" ht="15.75" customHeight="1">
      <c r="A2105" s="64">
        <v>45438.0</v>
      </c>
      <c r="B2105" s="55" t="str">
        <f>HYPERLINK("https://jobright.ai/jobs/info/667aab3ba579680bce919752?utm_campaign=1052&amp;utm_source=sheet", "Apply")</f>
        <v>Apply</v>
      </c>
      <c r="C2105" s="10" t="s">
        <v>9436</v>
      </c>
      <c r="D2105" s="56" t="s">
        <v>12274</v>
      </c>
      <c r="E2105" s="10">
        <v>73.0</v>
      </c>
      <c r="G2105" s="10" t="s">
        <v>9414</v>
      </c>
      <c r="H2105" s="10" t="s">
        <v>8054</v>
      </c>
      <c r="I2105" s="10" t="s">
        <v>55</v>
      </c>
      <c r="J2105" s="64"/>
      <c r="K2105" s="10" t="s">
        <v>12275</v>
      </c>
      <c r="L2105" s="10" t="s">
        <v>42</v>
      </c>
    </row>
    <row r="2106" ht="15.75" customHeight="1">
      <c r="A2106" s="64">
        <v>45438.0</v>
      </c>
      <c r="B2106" s="55" t="str">
        <f>HYPERLINK("https://jobright.ai/jobs/info/66658d16e0b22e24b6017330?utm_campaign=1052&amp;utm_source=sheet", "Apply")</f>
        <v>Apply</v>
      </c>
      <c r="C2106" s="10" t="s">
        <v>12276</v>
      </c>
      <c r="D2106" s="56" t="s">
        <v>12277</v>
      </c>
      <c r="E2106" s="10">
        <v>51.0</v>
      </c>
      <c r="G2106" s="10" t="s">
        <v>9414</v>
      </c>
      <c r="H2106" s="10" t="s">
        <v>170</v>
      </c>
      <c r="I2106" s="10" t="s">
        <v>55</v>
      </c>
      <c r="K2106" s="10" t="s">
        <v>12278</v>
      </c>
      <c r="L2106" s="10" t="s">
        <v>42</v>
      </c>
    </row>
    <row r="2107" ht="15.75" customHeight="1">
      <c r="A2107" s="64">
        <v>45437.0</v>
      </c>
      <c r="B2107" s="55" t="str">
        <f>HYPERLINK("https://jobright.ai/jobs/info/66570db7e64dfb6b2866ee59?utm_campaign=1052&amp;utm_source=sheet", "Apply")</f>
        <v>Apply</v>
      </c>
      <c r="C2107" s="10" t="s">
        <v>12279</v>
      </c>
      <c r="D2107" s="56" t="s">
        <v>12280</v>
      </c>
      <c r="E2107" s="10" t="s">
        <v>276</v>
      </c>
      <c r="F2107" s="10" t="s">
        <v>12281</v>
      </c>
      <c r="G2107" s="10" t="s">
        <v>9414</v>
      </c>
      <c r="H2107" s="10" t="s">
        <v>11158</v>
      </c>
      <c r="I2107" s="10" t="s">
        <v>55</v>
      </c>
      <c r="K2107" s="10" t="s">
        <v>12282</v>
      </c>
      <c r="L2107" s="10" t="s">
        <v>42</v>
      </c>
    </row>
    <row r="2108" ht="15.75" customHeight="1">
      <c r="A2108" s="64">
        <v>45437.0</v>
      </c>
      <c r="B2108" s="55" t="str">
        <f>HYPERLINK("https://jobright.ai/jobs/info/6677de07fbac42152a14774c?utm_campaign=1052&amp;utm_source=sheet", "Apply")</f>
        <v>Apply</v>
      </c>
      <c r="C2108" s="10" t="s">
        <v>9611</v>
      </c>
      <c r="D2108" s="56" t="s">
        <v>12283</v>
      </c>
      <c r="E2108" s="10" t="s">
        <v>79</v>
      </c>
      <c r="F2108" s="10" t="s">
        <v>12284</v>
      </c>
      <c r="G2108" s="10" t="s">
        <v>9419</v>
      </c>
      <c r="H2108" s="10" t="s">
        <v>153</v>
      </c>
      <c r="I2108" s="10" t="s">
        <v>55</v>
      </c>
      <c r="K2108" s="10" t="s">
        <v>12285</v>
      </c>
      <c r="L2108" s="10" t="s">
        <v>42</v>
      </c>
    </row>
    <row r="2109" ht="15.75" customHeight="1">
      <c r="A2109" s="64">
        <v>45437.0</v>
      </c>
      <c r="B2109" s="55" t="str">
        <f>HYPERLINK("https://jobright.ai/jobs/info/6652260c48005e033eb0871f?utm_campaign=1052&amp;utm_source=sheet", "Apply")</f>
        <v>Apply</v>
      </c>
      <c r="C2109" s="10" t="s">
        <v>10374</v>
      </c>
      <c r="D2109" s="56" t="s">
        <v>12286</v>
      </c>
      <c r="E2109" s="10" t="s">
        <v>65</v>
      </c>
      <c r="F2109" s="10" t="s">
        <v>2454</v>
      </c>
      <c r="G2109" s="10" t="s">
        <v>9414</v>
      </c>
      <c r="H2109" s="10" t="s">
        <v>2380</v>
      </c>
      <c r="I2109" s="10" t="s">
        <v>48</v>
      </c>
      <c r="K2109" s="10" t="s">
        <v>10376</v>
      </c>
      <c r="L2109" s="10" t="s">
        <v>42</v>
      </c>
    </row>
    <row r="2110" ht="15.75" customHeight="1">
      <c r="A2110" s="64">
        <v>45436.0</v>
      </c>
      <c r="B2110" s="55" t="str">
        <f>HYPERLINK("https://jobright.ai/jobs/info/6650d90c065f3ba5cccc7dff?utm_campaign=1052&amp;utm_source=sheet", "Apply")</f>
        <v>Apply</v>
      </c>
      <c r="C2110" s="10" t="s">
        <v>12287</v>
      </c>
      <c r="D2110" s="56" t="s">
        <v>12288</v>
      </c>
      <c r="E2110" s="10" t="s">
        <v>209</v>
      </c>
      <c r="F2110" s="10" t="s">
        <v>2617</v>
      </c>
      <c r="G2110" s="10" t="s">
        <v>1159</v>
      </c>
      <c r="H2110" s="10" t="s">
        <v>3196</v>
      </c>
      <c r="I2110" s="10" t="s">
        <v>55</v>
      </c>
      <c r="J2110" s="10" t="s">
        <v>9071</v>
      </c>
      <c r="K2110" s="10" t="s">
        <v>7614</v>
      </c>
      <c r="L2110" s="10" t="s">
        <v>42</v>
      </c>
    </row>
    <row r="2111" ht="15.75" customHeight="1">
      <c r="A2111" s="64">
        <v>45436.0</v>
      </c>
      <c r="B2111" s="55" t="str">
        <f>HYPERLINK("https://jobright.ai/jobs/info/6678159a40b6fdfb5084a666?utm_campaign=1052&amp;utm_source=sheet", "Apply")</f>
        <v>Apply</v>
      </c>
      <c r="C2111" s="10" t="s">
        <v>12289</v>
      </c>
      <c r="D2111" s="56" t="s">
        <v>12290</v>
      </c>
      <c r="E2111" s="10" t="s">
        <v>276</v>
      </c>
      <c r="F2111" s="10" t="s">
        <v>12291</v>
      </c>
      <c r="G2111" s="10" t="s">
        <v>1159</v>
      </c>
      <c r="H2111" s="10" t="s">
        <v>12292</v>
      </c>
      <c r="I2111" s="10" t="s">
        <v>55</v>
      </c>
      <c r="K2111" s="10" t="s">
        <v>12293</v>
      </c>
      <c r="L2111" s="10" t="s">
        <v>42</v>
      </c>
    </row>
    <row r="2112" ht="15.75" customHeight="1">
      <c r="A2112" s="64">
        <v>45436.0</v>
      </c>
      <c r="B2112" s="55" t="str">
        <f>HYPERLINK("https://jobright.ai/jobs/info/66688fff7f6ba556721b6c06?utm_campaign=1052&amp;utm_source=sheet", "Apply")</f>
        <v>Apply</v>
      </c>
      <c r="C2112" s="10" t="s">
        <v>12294</v>
      </c>
      <c r="D2112" s="56" t="s">
        <v>1496</v>
      </c>
      <c r="E2112" s="10" t="s">
        <v>45</v>
      </c>
      <c r="F2112" s="10" t="s">
        <v>1497</v>
      </c>
      <c r="G2112" s="10" t="s">
        <v>9414</v>
      </c>
      <c r="H2112" s="10" t="s">
        <v>1460</v>
      </c>
      <c r="I2112" s="10" t="s">
        <v>55</v>
      </c>
      <c r="K2112" s="10" t="s">
        <v>12295</v>
      </c>
      <c r="L2112" s="10" t="s">
        <v>42</v>
      </c>
    </row>
    <row r="2113" ht="15.75" customHeight="1">
      <c r="A2113" s="64">
        <v>45436.0</v>
      </c>
      <c r="B2113" s="55" t="str">
        <f>HYPERLINK("https://jobright.ai/jobs/info/66688fbd7f6ba556721b6bcf?utm_campaign=1052&amp;utm_source=sheet", "Apply")</f>
        <v>Apply</v>
      </c>
      <c r="C2113" s="10" t="s">
        <v>12296</v>
      </c>
      <c r="D2113" s="56" t="s">
        <v>10978</v>
      </c>
      <c r="E2113" s="10" t="s">
        <v>45</v>
      </c>
      <c r="F2113" s="10" t="s">
        <v>3594</v>
      </c>
      <c r="G2113" s="10" t="s">
        <v>9414</v>
      </c>
      <c r="H2113" s="10" t="s">
        <v>12297</v>
      </c>
      <c r="I2113" s="10" t="s">
        <v>55</v>
      </c>
      <c r="J2113" s="10" t="s">
        <v>12298</v>
      </c>
      <c r="K2113" s="10" t="s">
        <v>12299</v>
      </c>
      <c r="L2113" s="10" t="s">
        <v>42</v>
      </c>
    </row>
    <row r="2114" ht="15.75" customHeight="1">
      <c r="A2114" s="64">
        <v>45435.0</v>
      </c>
      <c r="B2114" s="55" t="str">
        <f>HYPERLINK("https://jobright.ai/jobs/info/6677e2b3783a239da8418961?utm_campaign=1052&amp;utm_source=sheet", "Apply")</f>
        <v>Apply</v>
      </c>
      <c r="C2114" s="10" t="s">
        <v>9807</v>
      </c>
      <c r="D2114" s="56" t="s">
        <v>12300</v>
      </c>
      <c r="E2114" s="10" t="s">
        <v>71</v>
      </c>
      <c r="F2114" s="10" t="s">
        <v>731</v>
      </c>
      <c r="G2114" s="10" t="s">
        <v>9414</v>
      </c>
      <c r="H2114" s="10" t="s">
        <v>5622</v>
      </c>
      <c r="I2114" s="10" t="s">
        <v>55</v>
      </c>
      <c r="J2114" s="64"/>
      <c r="K2114" s="10" t="s">
        <v>12301</v>
      </c>
      <c r="L2114" s="10" t="s">
        <v>42</v>
      </c>
    </row>
    <row r="2115" ht="15.75" customHeight="1">
      <c r="A2115" s="64">
        <v>45435.0</v>
      </c>
      <c r="B2115" s="55" t="str">
        <f>HYPERLINK("https://jobright.ai/jobs/info/6677e1f6783a239da8417a0b?utm_campaign=1052&amp;utm_source=sheet", "Apply")</f>
        <v>Apply</v>
      </c>
      <c r="C2115" s="10" t="s">
        <v>12302</v>
      </c>
      <c r="D2115" s="56" t="s">
        <v>12303</v>
      </c>
      <c r="E2115" s="10" t="s">
        <v>45</v>
      </c>
      <c r="F2115" s="10" t="s">
        <v>1723</v>
      </c>
      <c r="G2115" s="10" t="s">
        <v>9414</v>
      </c>
      <c r="H2115" s="10" t="s">
        <v>1052</v>
      </c>
      <c r="I2115" s="10" t="s">
        <v>48</v>
      </c>
      <c r="J2115" s="64"/>
      <c r="K2115" s="10" t="s">
        <v>12304</v>
      </c>
      <c r="L2115" s="10" t="s">
        <v>42</v>
      </c>
    </row>
    <row r="2116" ht="15.75" customHeight="1">
      <c r="A2116" s="64">
        <v>45435.0</v>
      </c>
      <c r="B2116" s="55" t="str">
        <f>HYPERLINK("https://jobright.ai/jobs/info/6677e212783a239da8417c79?utm_campaign=1052&amp;utm_source=sheet", "Apply")</f>
        <v>Apply</v>
      </c>
      <c r="C2116" s="10" t="s">
        <v>12305</v>
      </c>
      <c r="D2116" s="56" t="s">
        <v>12306</v>
      </c>
      <c r="E2116" s="10">
        <v>40.0</v>
      </c>
      <c r="G2116" s="10" t="s">
        <v>1159</v>
      </c>
      <c r="H2116" s="10" t="s">
        <v>843</v>
      </c>
      <c r="I2116" s="10" t="s">
        <v>55</v>
      </c>
      <c r="J2116" s="64"/>
      <c r="K2116" s="10" t="s">
        <v>12307</v>
      </c>
      <c r="L2116" s="10" t="s">
        <v>42</v>
      </c>
    </row>
    <row r="2117" ht="15.75" customHeight="1">
      <c r="A2117" s="64">
        <v>45435.0</v>
      </c>
      <c r="B2117" s="55" t="str">
        <f>HYPERLINK("https://jobright.ai/jobs/info/6677e7988edbb3fe78f320fd?utm_campaign=1052&amp;utm_source=sheet", "Apply")</f>
        <v>Apply</v>
      </c>
      <c r="C2117" s="10" t="s">
        <v>12308</v>
      </c>
      <c r="D2117" s="56" t="s">
        <v>1218</v>
      </c>
      <c r="E2117" s="10" t="s">
        <v>45</v>
      </c>
      <c r="F2117" s="10" t="s">
        <v>1219</v>
      </c>
      <c r="G2117" s="10" t="s">
        <v>9414</v>
      </c>
      <c r="H2117" s="10" t="s">
        <v>167</v>
      </c>
      <c r="I2117" s="10" t="s">
        <v>55</v>
      </c>
      <c r="J2117" s="64"/>
      <c r="K2117" s="10" t="s">
        <v>12309</v>
      </c>
      <c r="L2117" s="10" t="s">
        <v>42</v>
      </c>
    </row>
    <row r="2118" ht="15.75" customHeight="1">
      <c r="A2118" s="64">
        <v>45435.0</v>
      </c>
      <c r="B2118" s="55" t="str">
        <f>HYPERLINK("https://jobright.ai/jobs/info/6677ed7b2ffca2bcf669248d?utm_campaign=1052&amp;utm_source=sheet", "Apply")</f>
        <v>Apply</v>
      </c>
      <c r="C2118" s="10" t="s">
        <v>12310</v>
      </c>
      <c r="D2118" s="56" t="s">
        <v>2533</v>
      </c>
      <c r="E2118" s="10" t="s">
        <v>45</v>
      </c>
      <c r="F2118" s="10" t="s">
        <v>2534</v>
      </c>
      <c r="G2118" s="10" t="s">
        <v>9419</v>
      </c>
      <c r="H2118" s="10" t="s">
        <v>11368</v>
      </c>
      <c r="I2118" s="10" t="s">
        <v>55</v>
      </c>
      <c r="J2118" s="64"/>
      <c r="K2118" s="10" t="s">
        <v>12311</v>
      </c>
      <c r="L2118" s="10" t="s">
        <v>42</v>
      </c>
    </row>
    <row r="2119" ht="15.75" customHeight="1">
      <c r="A2119" s="64">
        <v>45435.0</v>
      </c>
      <c r="B2119" s="55" t="str">
        <f>HYPERLINK("https://jobright.ai/jobs/info/6677ed862ffca2bcf6692559?utm_campaign=1052&amp;utm_source=sheet", "Apply")</f>
        <v>Apply</v>
      </c>
      <c r="C2119" s="10" t="s">
        <v>12312</v>
      </c>
      <c r="D2119" s="56" t="s">
        <v>2289</v>
      </c>
      <c r="E2119" s="10" t="s">
        <v>71</v>
      </c>
      <c r="F2119" s="10" t="s">
        <v>2290</v>
      </c>
      <c r="G2119" s="10" t="s">
        <v>9414</v>
      </c>
      <c r="H2119" s="10" t="s">
        <v>2291</v>
      </c>
      <c r="I2119" s="10" t="s">
        <v>55</v>
      </c>
      <c r="J2119" s="10" t="s">
        <v>1761</v>
      </c>
      <c r="K2119" s="10" t="s">
        <v>12313</v>
      </c>
      <c r="L2119" s="10" t="s">
        <v>42</v>
      </c>
    </row>
    <row r="2120" ht="15.75" customHeight="1">
      <c r="A2120" s="64">
        <v>45435.0</v>
      </c>
      <c r="B2120" s="55" t="str">
        <f>HYPERLINK("https://jobright.ai/jobs/info/6677f1cc9c81148ccaaed237?utm_campaign=1052&amp;utm_source=sheet", "Apply")</f>
        <v>Apply</v>
      </c>
      <c r="C2120" s="10" t="s">
        <v>12314</v>
      </c>
      <c r="D2120" s="56" t="s">
        <v>1722</v>
      </c>
      <c r="E2120" s="10" t="s">
        <v>65</v>
      </c>
      <c r="F2120" s="10" t="s">
        <v>1723</v>
      </c>
      <c r="G2120" s="10" t="s">
        <v>9414</v>
      </c>
      <c r="H2120" s="10" t="s">
        <v>1254</v>
      </c>
      <c r="I2120" s="10" t="s">
        <v>55</v>
      </c>
      <c r="J2120" s="10" t="s">
        <v>12315</v>
      </c>
      <c r="K2120" s="10" t="s">
        <v>12316</v>
      </c>
      <c r="L2120" s="10" t="s">
        <v>42</v>
      </c>
    </row>
    <row r="2121" ht="15.75" customHeight="1">
      <c r="A2121" s="64">
        <v>45435.0</v>
      </c>
      <c r="B2121" s="55" t="str">
        <f>HYPERLINK("https://jobright.ai/jobs/info/6677f1fc9c81148ccaaed5cf?utm_campaign=1052&amp;utm_source=sheet", "Apply")</f>
        <v>Apply</v>
      </c>
      <c r="C2121" s="10" t="s">
        <v>11367</v>
      </c>
      <c r="D2121" s="56" t="s">
        <v>2533</v>
      </c>
      <c r="E2121" s="10" t="s">
        <v>45</v>
      </c>
      <c r="F2121" s="10" t="s">
        <v>2534</v>
      </c>
      <c r="G2121" s="10" t="s">
        <v>9414</v>
      </c>
      <c r="H2121" s="10" t="s">
        <v>11368</v>
      </c>
      <c r="I2121" s="10" t="s">
        <v>55</v>
      </c>
      <c r="J2121" s="64"/>
      <c r="K2121" s="10" t="s">
        <v>12317</v>
      </c>
      <c r="L2121" s="10" t="s">
        <v>42</v>
      </c>
    </row>
    <row r="2122" ht="15.75" customHeight="1">
      <c r="A2122" s="64">
        <v>45435.0</v>
      </c>
      <c r="B2122" s="55" t="str">
        <f>HYPERLINK("https://jobright.ai/jobs/info/667439174bad03f9b0389e9f?utm_campaign=1052&amp;utm_source=sheet", "Apply")</f>
        <v>Apply</v>
      </c>
      <c r="C2122" s="10" t="s">
        <v>12318</v>
      </c>
      <c r="D2122" s="56" t="s">
        <v>12319</v>
      </c>
      <c r="E2122" s="10" t="s">
        <v>249</v>
      </c>
      <c r="F2122" s="10" t="s">
        <v>1654</v>
      </c>
      <c r="G2122" s="10" t="s">
        <v>1159</v>
      </c>
      <c r="H2122" s="10" t="s">
        <v>6359</v>
      </c>
      <c r="I2122" s="10" t="s">
        <v>48</v>
      </c>
      <c r="J2122" s="64"/>
      <c r="K2122" s="10" t="s">
        <v>12320</v>
      </c>
      <c r="L2122" s="10" t="s">
        <v>42</v>
      </c>
    </row>
    <row r="2123" ht="15.75" customHeight="1">
      <c r="A2123" s="64">
        <v>45435.0</v>
      </c>
      <c r="B2123" s="55" t="str">
        <f>HYPERLINK("https://jobright.ai/jobs/info/664e51a1c0761b8d87f7d45d?utm_campaign=1052&amp;utm_source=sheet", "Apply")</f>
        <v>Apply</v>
      </c>
      <c r="C2123" s="10" t="s">
        <v>12321</v>
      </c>
      <c r="D2123" s="56" t="s">
        <v>9028</v>
      </c>
      <c r="E2123" s="10" t="s">
        <v>79</v>
      </c>
      <c r="F2123" s="10" t="s">
        <v>2964</v>
      </c>
      <c r="G2123" s="10" t="s">
        <v>9414</v>
      </c>
      <c r="H2123" s="10" t="s">
        <v>9029</v>
      </c>
      <c r="I2123" s="10" t="s">
        <v>55</v>
      </c>
      <c r="K2123" s="10" t="s">
        <v>12322</v>
      </c>
      <c r="L2123" s="10" t="s">
        <v>42</v>
      </c>
    </row>
    <row r="2124" ht="15.75" customHeight="1">
      <c r="A2124" s="64">
        <v>45434.0</v>
      </c>
      <c r="B2124" s="55" t="str">
        <f>HYPERLINK("https://jobright.ai/jobs/info/667633bae272243dcd4f63e7?utm_campaign=1052&amp;utm_source=sheet", "Apply")</f>
        <v>Apply</v>
      </c>
      <c r="C2124" s="10" t="s">
        <v>9858</v>
      </c>
      <c r="D2124" s="56" t="s">
        <v>12323</v>
      </c>
      <c r="E2124" s="10" t="s">
        <v>276</v>
      </c>
      <c r="F2124" s="10" t="s">
        <v>534</v>
      </c>
      <c r="G2124" s="10" t="s">
        <v>9419</v>
      </c>
      <c r="H2124" s="10" t="s">
        <v>2361</v>
      </c>
      <c r="I2124" s="10" t="s">
        <v>48</v>
      </c>
      <c r="J2124" s="64"/>
      <c r="K2124" s="10" t="s">
        <v>12324</v>
      </c>
      <c r="L2124" s="10" t="s">
        <v>42</v>
      </c>
    </row>
    <row r="2125" ht="15.75" customHeight="1">
      <c r="A2125" s="64">
        <v>45434.0</v>
      </c>
      <c r="B2125" s="55" t="str">
        <f>HYPERLINK("https://jobright.ai/jobs/info/6676338be272243dcd4f60c2?utm_campaign=1052&amp;utm_source=sheet", "Apply")</f>
        <v>Apply</v>
      </c>
      <c r="C2125" s="10" t="s">
        <v>12325</v>
      </c>
      <c r="D2125" s="56" t="s">
        <v>12326</v>
      </c>
      <c r="E2125" s="59"/>
      <c r="F2125" s="10" t="s">
        <v>12327</v>
      </c>
      <c r="G2125" s="10" t="s">
        <v>9419</v>
      </c>
      <c r="H2125" s="10" t="s">
        <v>2380</v>
      </c>
      <c r="I2125" s="10" t="s">
        <v>55</v>
      </c>
      <c r="J2125" s="64"/>
      <c r="K2125" s="10" t="s">
        <v>12328</v>
      </c>
      <c r="L2125" s="10" t="s">
        <v>42</v>
      </c>
    </row>
    <row r="2126" ht="15.75" customHeight="1">
      <c r="A2126" s="64">
        <v>45434.0</v>
      </c>
      <c r="B2126" s="55" t="str">
        <f>HYPERLINK("https://jobright.ai/jobs/info/66690bd5d012eff80f8447e7?utm_campaign=1052&amp;utm_source=sheet", "Apply")</f>
        <v>Apply</v>
      </c>
      <c r="C2126" s="10" t="s">
        <v>10107</v>
      </c>
      <c r="D2126" s="56" t="s">
        <v>12329</v>
      </c>
      <c r="E2126" s="10">
        <v>96.0</v>
      </c>
      <c r="G2126" s="10" t="s">
        <v>9414</v>
      </c>
      <c r="H2126" s="10" t="s">
        <v>12330</v>
      </c>
      <c r="I2126" s="10" t="s">
        <v>55</v>
      </c>
      <c r="J2126" s="64"/>
      <c r="K2126" s="10" t="s">
        <v>12331</v>
      </c>
      <c r="L2126" s="10" t="s">
        <v>42</v>
      </c>
    </row>
    <row r="2127" ht="15.75" customHeight="1">
      <c r="A2127" s="64">
        <v>45434.0</v>
      </c>
      <c r="B2127" s="55" t="str">
        <f>HYPERLINK("https://jobright.ai/jobs/info/66690bc8d012eff80f84470f?utm_campaign=1052&amp;utm_source=sheet", "Apply")</f>
        <v>Apply</v>
      </c>
      <c r="C2127" s="10" t="s">
        <v>12332</v>
      </c>
      <c r="D2127" s="56" t="s">
        <v>9403</v>
      </c>
      <c r="E2127" s="10" t="s">
        <v>45</v>
      </c>
      <c r="F2127" s="10" t="s">
        <v>722</v>
      </c>
      <c r="G2127" s="10" t="s">
        <v>9419</v>
      </c>
      <c r="H2127" s="10" t="s">
        <v>12333</v>
      </c>
      <c r="I2127" s="10" t="s">
        <v>55</v>
      </c>
      <c r="J2127" s="64"/>
      <c r="K2127" s="10" t="s">
        <v>12334</v>
      </c>
      <c r="L2127" s="10" t="s">
        <v>42</v>
      </c>
    </row>
    <row r="2128" ht="15.75" customHeight="1">
      <c r="A2128" s="64">
        <v>45433.0</v>
      </c>
      <c r="B2128" s="55" t="str">
        <f>HYPERLINK("https://jobright.ai/jobs/info/66749e733bb0335d41b2df97?utm_campaign=1052&amp;utm_source=sheet", "Apply")</f>
        <v>Apply</v>
      </c>
      <c r="C2128" s="10" t="s">
        <v>11132</v>
      </c>
      <c r="D2128" s="56" t="s">
        <v>11133</v>
      </c>
      <c r="G2128" s="10" t="s">
        <v>9414</v>
      </c>
      <c r="H2128" s="10" t="s">
        <v>423</v>
      </c>
      <c r="I2128" s="10" t="s">
        <v>55</v>
      </c>
      <c r="K2128" s="10" t="s">
        <v>11134</v>
      </c>
      <c r="L2128" s="10" t="s">
        <v>42</v>
      </c>
    </row>
    <row r="2129" ht="15.75" customHeight="1">
      <c r="A2129" s="64">
        <v>45433.0</v>
      </c>
      <c r="B2129" s="55" t="str">
        <f>HYPERLINK("https://jobright.ai/jobs/info/666917deef71c96a7fcbc789?utm_campaign=1052&amp;utm_source=sheet", "Apply")</f>
        <v>Apply</v>
      </c>
      <c r="C2129" s="10" t="s">
        <v>12335</v>
      </c>
      <c r="D2129" s="56" t="s">
        <v>1453</v>
      </c>
      <c r="E2129" s="10" t="s">
        <v>45</v>
      </c>
      <c r="F2129" s="10" t="s">
        <v>1454</v>
      </c>
      <c r="G2129" s="10" t="s">
        <v>9414</v>
      </c>
      <c r="H2129" s="10" t="s">
        <v>12336</v>
      </c>
      <c r="I2129" s="10" t="s">
        <v>48</v>
      </c>
      <c r="K2129" s="10" t="s">
        <v>12337</v>
      </c>
      <c r="L2129" s="10" t="s">
        <v>42</v>
      </c>
    </row>
    <row r="2130" ht="15.75" customHeight="1">
      <c r="A2130" s="64">
        <v>45433.0</v>
      </c>
      <c r="B2130" s="55" t="str">
        <f>HYPERLINK("https://jobright.ai/jobs/info/666917deef71c96a7fcbc773?utm_campaign=1052&amp;utm_source=sheet", "Apply")</f>
        <v>Apply</v>
      </c>
      <c r="C2130" s="10" t="s">
        <v>12338</v>
      </c>
      <c r="D2130" s="56" t="s">
        <v>12339</v>
      </c>
      <c r="E2130" s="10" t="s">
        <v>65</v>
      </c>
      <c r="F2130" s="10" t="s">
        <v>12340</v>
      </c>
      <c r="G2130" s="10" t="s">
        <v>9419</v>
      </c>
      <c r="H2130" s="10" t="s">
        <v>12341</v>
      </c>
      <c r="I2130" s="10" t="s">
        <v>48</v>
      </c>
      <c r="J2130" s="64"/>
      <c r="K2130" s="10" t="s">
        <v>12342</v>
      </c>
      <c r="L2130" s="10" t="s">
        <v>42</v>
      </c>
    </row>
    <row r="2131" ht="15.75" customHeight="1">
      <c r="A2131" s="64">
        <v>45433.0</v>
      </c>
      <c r="B2131" s="55" t="str">
        <f>HYPERLINK("https://jobright.ai/jobs/info/666917c3ef71c96a7fcbc5c0?utm_campaign=1052&amp;utm_source=sheet", "Apply")</f>
        <v>Apply</v>
      </c>
      <c r="C2131" s="10" t="s">
        <v>12343</v>
      </c>
      <c r="D2131" s="56" t="s">
        <v>12344</v>
      </c>
      <c r="E2131" s="10" t="s">
        <v>65</v>
      </c>
      <c r="F2131" s="10" t="s">
        <v>12345</v>
      </c>
      <c r="G2131" s="10" t="s">
        <v>9414</v>
      </c>
      <c r="H2131" s="10" t="s">
        <v>2275</v>
      </c>
      <c r="I2131" s="10" t="s">
        <v>55</v>
      </c>
      <c r="J2131" s="64"/>
      <c r="K2131" s="10" t="s">
        <v>12346</v>
      </c>
      <c r="L2131" s="10" t="s">
        <v>42</v>
      </c>
    </row>
    <row r="2132" ht="15.75" customHeight="1">
      <c r="A2132" s="64">
        <v>45432.0</v>
      </c>
      <c r="B2132" s="55" t="str">
        <f>HYPERLINK("https://jobright.ai/jobs/info/664b7fb66dbebeabf88827b8?utm_campaign=1052&amp;utm_source=sheet", "Apply")</f>
        <v>Apply</v>
      </c>
      <c r="C2132" s="10" t="s">
        <v>11825</v>
      </c>
      <c r="D2132" s="56" t="s">
        <v>11826</v>
      </c>
      <c r="E2132" s="10" t="s">
        <v>249</v>
      </c>
      <c r="F2132" s="10" t="s">
        <v>2950</v>
      </c>
      <c r="G2132" s="10" t="s">
        <v>9414</v>
      </c>
      <c r="H2132" s="10" t="s">
        <v>661</v>
      </c>
      <c r="I2132" s="10" t="s">
        <v>55</v>
      </c>
      <c r="J2132" s="64"/>
      <c r="K2132" s="10" t="s">
        <v>11827</v>
      </c>
      <c r="L2132" s="10" t="s">
        <v>42</v>
      </c>
    </row>
    <row r="2133" ht="15.75" customHeight="1">
      <c r="A2133" s="64">
        <v>45432.0</v>
      </c>
      <c r="B2133" s="55" t="str">
        <f>HYPERLINK("https://jobright.ai/jobs/info/666917f8ef71c96a7fcbc928?utm_campaign=1052&amp;utm_source=sheet", "Apply")</f>
        <v>Apply</v>
      </c>
      <c r="C2133" s="10" t="s">
        <v>12347</v>
      </c>
      <c r="D2133" s="56" t="s">
        <v>11524</v>
      </c>
      <c r="E2133" s="10" t="s">
        <v>65</v>
      </c>
      <c r="F2133" s="10" t="s">
        <v>11525</v>
      </c>
      <c r="G2133" s="10" t="s">
        <v>9414</v>
      </c>
      <c r="H2133" s="10" t="s">
        <v>11526</v>
      </c>
      <c r="I2133" s="10" t="s">
        <v>55</v>
      </c>
      <c r="J2133" s="64"/>
      <c r="K2133" s="10" t="s">
        <v>12348</v>
      </c>
      <c r="L2133" s="10" t="s">
        <v>42</v>
      </c>
    </row>
    <row r="2134" ht="15.75" customHeight="1">
      <c r="A2134" s="64">
        <v>45432.0</v>
      </c>
      <c r="B2134" s="55" t="str">
        <f>HYPERLINK("https://jobright.ai/jobs/info/666917ebef71c96a7fcbc7bb?utm_campaign=1052&amp;utm_source=sheet", "Apply")</f>
        <v>Apply</v>
      </c>
      <c r="C2134" s="10" t="s">
        <v>9926</v>
      </c>
      <c r="D2134" s="56" t="s">
        <v>9927</v>
      </c>
      <c r="E2134" s="10" t="s">
        <v>45</v>
      </c>
      <c r="F2134" s="10" t="s">
        <v>2431</v>
      </c>
      <c r="G2134" s="10" t="s">
        <v>1159</v>
      </c>
      <c r="H2134" s="10" t="s">
        <v>245</v>
      </c>
      <c r="I2134" s="10" t="s">
        <v>55</v>
      </c>
      <c r="J2134" s="10" t="s">
        <v>9928</v>
      </c>
      <c r="K2134" s="10" t="s">
        <v>9929</v>
      </c>
      <c r="L2134" s="10" t="s">
        <v>42</v>
      </c>
    </row>
    <row r="2135" ht="15.75" customHeight="1">
      <c r="A2135" s="64">
        <v>45431.0</v>
      </c>
      <c r="B2135" s="55" t="str">
        <f>HYPERLINK("https://jobright.ai/jobs/info/6646f76477bde81d0c0b4c92?utm_campaign=1052&amp;utm_source=sheet", "Apply")</f>
        <v>Apply</v>
      </c>
      <c r="C2135" s="10" t="s">
        <v>12349</v>
      </c>
      <c r="D2135" s="56" t="s">
        <v>12350</v>
      </c>
      <c r="E2135" s="10" t="s">
        <v>276</v>
      </c>
      <c r="F2135" s="10" t="s">
        <v>10</v>
      </c>
      <c r="G2135" s="10" t="s">
        <v>9419</v>
      </c>
      <c r="H2135" s="10" t="s">
        <v>7378</v>
      </c>
      <c r="I2135" s="10" t="s">
        <v>55</v>
      </c>
      <c r="K2135" s="10" t="s">
        <v>12351</v>
      </c>
      <c r="L2135" s="10" t="s">
        <v>42</v>
      </c>
    </row>
    <row r="2136" ht="15.75" customHeight="1">
      <c r="A2136" s="64">
        <v>45429.0</v>
      </c>
      <c r="B2136" s="55" t="str">
        <f>HYPERLINK("https://jobright.ai/jobs/info/6646e27baa52ab03f5d38abe?utm_campaign=1052&amp;utm_source=sheet", "Apply")</f>
        <v>Apply</v>
      </c>
      <c r="C2136" s="10" t="s">
        <v>12352</v>
      </c>
      <c r="D2136" s="56" t="s">
        <v>12353</v>
      </c>
      <c r="E2136" s="59">
        <v>45301.0</v>
      </c>
      <c r="F2136" s="10" t="s">
        <v>11687</v>
      </c>
      <c r="G2136" s="10" t="s">
        <v>9414</v>
      </c>
      <c r="H2136" s="10" t="s">
        <v>170</v>
      </c>
      <c r="I2136" s="10" t="s">
        <v>55</v>
      </c>
      <c r="J2136" s="64"/>
      <c r="K2136" s="10" t="s">
        <v>12354</v>
      </c>
      <c r="L2136" s="10" t="s">
        <v>42</v>
      </c>
    </row>
    <row r="2137" ht="15.75" customHeight="1">
      <c r="A2137" s="64">
        <v>45429.0</v>
      </c>
      <c r="B2137" s="55" t="str">
        <f>HYPERLINK("https://jobright.ai/jobs/info/66691866ef71c96a7fcbd047?utm_campaign=1052&amp;utm_source=sheet", "Apply")</f>
        <v>Apply</v>
      </c>
      <c r="C2137" s="10" t="s">
        <v>12355</v>
      </c>
      <c r="D2137" s="56" t="s">
        <v>1496</v>
      </c>
      <c r="E2137" s="10" t="s">
        <v>45</v>
      </c>
      <c r="F2137" s="10" t="s">
        <v>1497</v>
      </c>
      <c r="G2137" s="10" t="s">
        <v>9419</v>
      </c>
      <c r="H2137" s="10" t="s">
        <v>1460</v>
      </c>
      <c r="I2137" s="10" t="s">
        <v>55</v>
      </c>
      <c r="J2137" s="64"/>
      <c r="K2137" s="10" t="s">
        <v>12356</v>
      </c>
      <c r="L2137" s="10" t="s">
        <v>42</v>
      </c>
    </row>
    <row r="2138" ht="15.75" customHeight="1">
      <c r="A2138" s="64">
        <v>45429.0</v>
      </c>
      <c r="B2138" s="55" t="str">
        <f>HYPERLINK("https://jobright.ai/jobs/info/6669184fef71c96a7fcbce3d?utm_campaign=1052&amp;utm_source=sheet", "Apply")</f>
        <v>Apply</v>
      </c>
      <c r="C2138" s="10" t="s">
        <v>12357</v>
      </c>
      <c r="D2138" s="56" t="s">
        <v>1496</v>
      </c>
      <c r="E2138" s="10" t="s">
        <v>45</v>
      </c>
      <c r="F2138" s="10" t="s">
        <v>1497</v>
      </c>
      <c r="G2138" s="10" t="s">
        <v>9419</v>
      </c>
      <c r="H2138" s="10" t="s">
        <v>11846</v>
      </c>
      <c r="I2138" s="10" t="s">
        <v>55</v>
      </c>
      <c r="K2138" s="10" t="s">
        <v>12358</v>
      </c>
      <c r="L2138" s="10" t="s">
        <v>42</v>
      </c>
    </row>
    <row r="2139" ht="15.75" customHeight="1">
      <c r="A2139" s="64">
        <v>45428.0</v>
      </c>
      <c r="B2139" s="55" t="str">
        <f>HYPERLINK("https://jobright.ai/jobs/info/6649f71ab474d1d76fd8520f?utm_campaign=1052&amp;utm_source=sheet", "Apply")</f>
        <v>Apply</v>
      </c>
      <c r="C2139" s="10" t="s">
        <v>11557</v>
      </c>
      <c r="D2139" s="56" t="s">
        <v>12359</v>
      </c>
      <c r="E2139" s="10" t="s">
        <v>209</v>
      </c>
      <c r="F2139" s="10" t="s">
        <v>1084</v>
      </c>
      <c r="G2139" s="10" t="s">
        <v>9414</v>
      </c>
      <c r="H2139" s="10" t="s">
        <v>96</v>
      </c>
      <c r="I2139" s="10" t="s">
        <v>55</v>
      </c>
      <c r="J2139" s="10" t="s">
        <v>9944</v>
      </c>
      <c r="K2139" s="10" t="s">
        <v>11558</v>
      </c>
      <c r="L2139" s="10" t="s">
        <v>42</v>
      </c>
    </row>
    <row r="2140" ht="15.75" customHeight="1">
      <c r="A2140" s="64">
        <v>45428.0</v>
      </c>
      <c r="B2140" s="55" t="str">
        <f>HYPERLINK("https://jobright.ai/jobs/info/664c9f423da907ff859747ad?utm_campaign=1052&amp;utm_source=sheet", "Apply")</f>
        <v>Apply</v>
      </c>
      <c r="C2140" s="10" t="s">
        <v>9946</v>
      </c>
      <c r="D2140" s="56" t="s">
        <v>12359</v>
      </c>
      <c r="E2140" s="10" t="s">
        <v>209</v>
      </c>
      <c r="F2140" s="10" t="s">
        <v>1084</v>
      </c>
      <c r="G2140" s="10" t="s">
        <v>9414</v>
      </c>
      <c r="H2140" s="10" t="s">
        <v>96</v>
      </c>
      <c r="I2140" s="10" t="s">
        <v>55</v>
      </c>
      <c r="J2140" s="10" t="s">
        <v>9944</v>
      </c>
      <c r="K2140" s="10" t="s">
        <v>11558</v>
      </c>
      <c r="L2140" s="10" t="s">
        <v>42</v>
      </c>
    </row>
    <row r="2141" ht="15.75" customHeight="1">
      <c r="A2141" s="64">
        <v>45428.0</v>
      </c>
      <c r="B2141" s="55" t="str">
        <f>HYPERLINK("https://jobright.ai/jobs/info/6645f53d403fee6483b4ea57?utm_campaign=1052&amp;utm_source=sheet", "Apply")</f>
        <v>Apply</v>
      </c>
      <c r="C2141" s="10" t="s">
        <v>10858</v>
      </c>
      <c r="D2141" s="56" t="s">
        <v>11863</v>
      </c>
      <c r="E2141" s="10">
        <v>33.0</v>
      </c>
      <c r="G2141" s="10" t="s">
        <v>9419</v>
      </c>
      <c r="H2141" s="10" t="s">
        <v>607</v>
      </c>
      <c r="I2141" s="10" t="s">
        <v>48</v>
      </c>
      <c r="K2141" s="10" t="s">
        <v>10860</v>
      </c>
      <c r="L2141" s="10" t="s">
        <v>42</v>
      </c>
    </row>
    <row r="2142" ht="15.75" customHeight="1">
      <c r="A2142" s="64">
        <v>45428.0</v>
      </c>
      <c r="B2142" s="55" t="str">
        <f>HYPERLINK("https://jobright.ai/jobs/info/66692053c327d9911b6d4bde?utm_campaign=1052&amp;utm_source=sheet", "Apply")</f>
        <v>Apply</v>
      </c>
      <c r="C2142" s="10" t="s">
        <v>12360</v>
      </c>
      <c r="D2142" s="56" t="s">
        <v>1496</v>
      </c>
      <c r="E2142" s="10" t="s">
        <v>45</v>
      </c>
      <c r="F2142" s="10" t="s">
        <v>1497</v>
      </c>
      <c r="G2142" s="10" t="s">
        <v>9419</v>
      </c>
      <c r="H2142" s="10" t="s">
        <v>1460</v>
      </c>
      <c r="I2142" s="10" t="s">
        <v>55</v>
      </c>
      <c r="J2142" s="64"/>
      <c r="K2142" s="10" t="s">
        <v>12361</v>
      </c>
      <c r="L2142" s="10" t="s">
        <v>42</v>
      </c>
    </row>
    <row r="2143" ht="15.75" customHeight="1">
      <c r="A2143" s="64">
        <v>45427.0</v>
      </c>
      <c r="B2143" s="55" t="str">
        <f>HYPERLINK("https://jobright.ai/jobs/info/6669208ec327d9911b6d4f51?utm_campaign=1052&amp;utm_source=sheet", "Apply")</f>
        <v>Apply</v>
      </c>
      <c r="C2143" s="10" t="s">
        <v>12362</v>
      </c>
      <c r="D2143" s="56" t="s">
        <v>1496</v>
      </c>
      <c r="E2143" s="10" t="s">
        <v>45</v>
      </c>
      <c r="F2143" s="10" t="s">
        <v>1497</v>
      </c>
      <c r="G2143" s="10" t="s">
        <v>9414</v>
      </c>
      <c r="H2143" s="10" t="s">
        <v>12363</v>
      </c>
      <c r="I2143" s="10" t="s">
        <v>55</v>
      </c>
      <c r="K2143" s="10" t="s">
        <v>12364</v>
      </c>
      <c r="L2143" s="10" t="s">
        <v>42</v>
      </c>
    </row>
    <row r="2144" ht="15.75" customHeight="1">
      <c r="A2144" s="64">
        <v>45426.0</v>
      </c>
      <c r="B2144" s="55" t="str">
        <f>HYPERLINK("https://jobright.ai/jobs/info/666920d3c327d9911b6d53fa?utm_campaign=1052&amp;utm_source=sheet", "Apply")</f>
        <v>Apply</v>
      </c>
      <c r="C2144" s="10" t="s">
        <v>12365</v>
      </c>
      <c r="D2144" s="56" t="s">
        <v>1496</v>
      </c>
      <c r="E2144" s="10" t="s">
        <v>45</v>
      </c>
      <c r="F2144" s="10" t="s">
        <v>1497</v>
      </c>
      <c r="G2144" s="10" t="s">
        <v>1159</v>
      </c>
      <c r="H2144" s="10" t="s">
        <v>1460</v>
      </c>
      <c r="I2144" s="10" t="s">
        <v>55</v>
      </c>
      <c r="K2144" s="10" t="s">
        <v>12366</v>
      </c>
      <c r="L2144" s="10" t="s">
        <v>42</v>
      </c>
    </row>
    <row r="2145" ht="15.75" customHeight="1">
      <c r="A2145" s="64">
        <v>45425.0</v>
      </c>
      <c r="B2145" s="55" t="str">
        <f>HYPERLINK("https://jobright.ai/jobs/info/6642aa54a6ba30d2ef81ffb8?utm_campaign=1052&amp;utm_source=sheet", "Apply")</f>
        <v>Apply</v>
      </c>
      <c r="C2145" s="10" t="s">
        <v>12325</v>
      </c>
      <c r="D2145" s="56" t="s">
        <v>12326</v>
      </c>
      <c r="F2145" s="10" t="s">
        <v>12327</v>
      </c>
      <c r="G2145" s="10" t="s">
        <v>9419</v>
      </c>
      <c r="H2145" s="10" t="s">
        <v>1120</v>
      </c>
      <c r="I2145" s="10" t="s">
        <v>55</v>
      </c>
      <c r="J2145" s="64"/>
      <c r="K2145" s="10" t="s">
        <v>12328</v>
      </c>
      <c r="L2145" s="10" t="s">
        <v>42</v>
      </c>
    </row>
    <row r="2146" ht="15.75" customHeight="1">
      <c r="A2146" s="64">
        <v>45425.0</v>
      </c>
      <c r="B2146" s="55" t="str">
        <f>HYPERLINK("https://jobright.ai/jobs/info/664316526318ee63263e31e2?utm_campaign=1052&amp;utm_source=sheet", "Apply")</f>
        <v>Apply</v>
      </c>
      <c r="C2146" s="10" t="s">
        <v>12367</v>
      </c>
      <c r="D2146" s="56" t="s">
        <v>12368</v>
      </c>
      <c r="E2146" s="10" t="s">
        <v>276</v>
      </c>
      <c r="F2146" s="10" t="s">
        <v>3382</v>
      </c>
      <c r="G2146" s="10" t="s">
        <v>9419</v>
      </c>
      <c r="H2146" s="10" t="s">
        <v>232</v>
      </c>
      <c r="I2146" s="10" t="s">
        <v>55</v>
      </c>
      <c r="J2146" s="10" t="s">
        <v>509</v>
      </c>
      <c r="K2146" s="10" t="s">
        <v>12369</v>
      </c>
      <c r="L2146" s="10" t="s">
        <v>42</v>
      </c>
    </row>
    <row r="2147" ht="15.75" customHeight="1">
      <c r="A2147" s="64">
        <v>45425.0</v>
      </c>
      <c r="B2147" s="55" t="str">
        <f>HYPERLINK("https://jobright.ai/jobs/info/66692639e4014402c8870e31?utm_campaign=1052&amp;utm_source=sheet", "Apply")</f>
        <v>Apply</v>
      </c>
      <c r="C2147" s="10" t="s">
        <v>12370</v>
      </c>
      <c r="D2147" s="56" t="s">
        <v>1496</v>
      </c>
      <c r="E2147" s="10" t="s">
        <v>45</v>
      </c>
      <c r="F2147" s="10" t="s">
        <v>1497</v>
      </c>
      <c r="G2147" s="10" t="s">
        <v>9414</v>
      </c>
      <c r="H2147" s="10" t="s">
        <v>1533</v>
      </c>
      <c r="I2147" s="10" t="s">
        <v>55</v>
      </c>
      <c r="K2147" s="10" t="s">
        <v>12371</v>
      </c>
      <c r="L2147" s="10" t="s">
        <v>42</v>
      </c>
    </row>
    <row r="2148" ht="15.75" customHeight="1">
      <c r="A2148" s="64">
        <v>45425.0</v>
      </c>
      <c r="B2148" s="55" t="str">
        <f>HYPERLINK("https://jobright.ai/jobs/info/6669261fe4014402c8870cbe?utm_campaign=1052&amp;utm_source=sheet", "Apply")</f>
        <v>Apply</v>
      </c>
      <c r="C2148" s="10" t="s">
        <v>12372</v>
      </c>
      <c r="D2148" s="56" t="s">
        <v>12373</v>
      </c>
      <c r="E2148" s="10" t="s">
        <v>209</v>
      </c>
      <c r="F2148" s="10" t="s">
        <v>11154</v>
      </c>
      <c r="G2148" s="10" t="s">
        <v>9419</v>
      </c>
      <c r="H2148" s="10" t="s">
        <v>12374</v>
      </c>
      <c r="I2148" s="10" t="s">
        <v>55</v>
      </c>
      <c r="J2148" s="64"/>
      <c r="K2148" s="10" t="s">
        <v>12375</v>
      </c>
      <c r="L2148" s="10" t="s">
        <v>42</v>
      </c>
    </row>
    <row r="2149" ht="15.75" customHeight="1">
      <c r="A2149" s="64">
        <v>45422.0</v>
      </c>
      <c r="B2149" s="55" t="str">
        <f>HYPERLINK("https://jobright.ai/jobs/info/6641f63d5a70ed6547b68922?utm_campaign=1052&amp;utm_source=sheet", "Apply")</f>
        <v>Apply</v>
      </c>
      <c r="C2149" s="10" t="s">
        <v>12376</v>
      </c>
      <c r="D2149" s="56" t="s">
        <v>12377</v>
      </c>
      <c r="E2149" s="10" t="s">
        <v>79</v>
      </c>
      <c r="G2149" s="10" t="s">
        <v>9414</v>
      </c>
      <c r="H2149" s="10" t="s">
        <v>12378</v>
      </c>
      <c r="I2149" s="10" t="s">
        <v>55</v>
      </c>
      <c r="J2149" s="10" t="s">
        <v>12379</v>
      </c>
      <c r="K2149" s="10" t="s">
        <v>12380</v>
      </c>
      <c r="L2149" s="10" t="s">
        <v>42</v>
      </c>
    </row>
    <row r="2150" ht="15.75" customHeight="1">
      <c r="A2150" s="64">
        <v>45421.0</v>
      </c>
      <c r="B2150" s="55" t="str">
        <f>HYPERLINK("https://jobright.ai/jobs/info/663d24bcbf656cd4c269ae01?utm_campaign=1052&amp;utm_source=sheet", "Apply")</f>
        <v>Apply</v>
      </c>
      <c r="C2150" s="10" t="s">
        <v>12381</v>
      </c>
      <c r="D2150" s="56" t="s">
        <v>12382</v>
      </c>
      <c r="E2150" s="10" t="s">
        <v>79</v>
      </c>
      <c r="F2150" s="10" t="s">
        <v>12383</v>
      </c>
      <c r="G2150" s="10" t="s">
        <v>9414</v>
      </c>
      <c r="H2150" s="10" t="s">
        <v>12384</v>
      </c>
      <c r="I2150" s="10" t="s">
        <v>55</v>
      </c>
      <c r="J2150" s="64"/>
      <c r="K2150" s="10" t="s">
        <v>12385</v>
      </c>
      <c r="L2150" s="10" t="s">
        <v>42</v>
      </c>
    </row>
    <row r="2151" ht="15.75" customHeight="1">
      <c r="A2151" s="64">
        <v>45420.0</v>
      </c>
      <c r="B2151" s="55" t="str">
        <f>HYPERLINK("https://jobright.ai/jobs/info/6669316232b5c01ae0398063?utm_campaign=1052&amp;utm_source=sheet", "Apply")</f>
        <v>Apply</v>
      </c>
      <c r="C2151" s="10" t="s">
        <v>12386</v>
      </c>
      <c r="D2151" s="56" t="s">
        <v>2426</v>
      </c>
      <c r="E2151" s="10" t="s">
        <v>209</v>
      </c>
      <c r="G2151" s="10" t="s">
        <v>1159</v>
      </c>
      <c r="H2151" s="10" t="s">
        <v>12387</v>
      </c>
      <c r="I2151" s="10" t="s">
        <v>55</v>
      </c>
      <c r="J2151" s="64"/>
      <c r="K2151" s="10" t="s">
        <v>12388</v>
      </c>
      <c r="L2151" s="10" t="s">
        <v>42</v>
      </c>
    </row>
    <row r="2152" ht="15.75" customHeight="1">
      <c r="A2152" s="64">
        <v>45419.0</v>
      </c>
      <c r="B2152" s="55" t="str">
        <f>HYPERLINK("https://jobright.ai/jobs/info/663acd3df0de668355f051ad?utm_campaign=1052&amp;utm_source=sheet", "Apply")</f>
        <v>Apply</v>
      </c>
      <c r="C2152" s="10" t="s">
        <v>9517</v>
      </c>
      <c r="D2152" s="56" t="s">
        <v>12389</v>
      </c>
      <c r="E2152" s="10" t="s">
        <v>249</v>
      </c>
      <c r="F2152" s="10" t="s">
        <v>1465</v>
      </c>
      <c r="G2152" s="10" t="s">
        <v>1159</v>
      </c>
      <c r="H2152" s="10" t="s">
        <v>3258</v>
      </c>
      <c r="I2152" s="10" t="s">
        <v>55</v>
      </c>
      <c r="J2152" s="10" t="s">
        <v>366</v>
      </c>
      <c r="K2152" s="10" t="s">
        <v>12390</v>
      </c>
      <c r="L2152" s="10" t="s">
        <v>42</v>
      </c>
    </row>
    <row r="2153" ht="15.75" customHeight="1">
      <c r="A2153" s="64">
        <v>45419.0</v>
      </c>
      <c r="B2153" s="55" t="str">
        <f>HYPERLINK("https://jobright.ai/jobs/info/66391cebd5ef5ed81334bb65?utm_campaign=1052&amp;utm_source=sheet", "Apply")</f>
        <v>Apply</v>
      </c>
      <c r="C2153" s="10" t="s">
        <v>12391</v>
      </c>
      <c r="D2153" s="56" t="s">
        <v>11554</v>
      </c>
      <c r="E2153" s="10" t="s">
        <v>276</v>
      </c>
      <c r="F2153" s="10" t="s">
        <v>722</v>
      </c>
      <c r="G2153" s="10" t="s">
        <v>9419</v>
      </c>
      <c r="H2153" s="10" t="s">
        <v>8847</v>
      </c>
      <c r="I2153" s="10" t="s">
        <v>55</v>
      </c>
      <c r="J2153" s="64"/>
      <c r="K2153" s="10" t="s">
        <v>12392</v>
      </c>
      <c r="L2153" s="10" t="s">
        <v>42</v>
      </c>
    </row>
    <row r="2154" ht="15.75" customHeight="1">
      <c r="A2154" s="64">
        <v>45419.0</v>
      </c>
      <c r="B2154" s="55" t="str">
        <f>HYPERLINK("https://jobright.ai/jobs/info/663b4df75edaced1ef1d15d6?utm_campaign=1052&amp;utm_source=sheet", "Apply")</f>
        <v>Apply</v>
      </c>
      <c r="C2154" s="10" t="s">
        <v>9941</v>
      </c>
      <c r="D2154" s="56" t="s">
        <v>12359</v>
      </c>
      <c r="E2154" s="10" t="s">
        <v>209</v>
      </c>
      <c r="F2154" s="10" t="s">
        <v>1084</v>
      </c>
      <c r="G2154" s="10" t="s">
        <v>9414</v>
      </c>
      <c r="H2154" s="10" t="s">
        <v>96</v>
      </c>
      <c r="I2154" s="10" t="s">
        <v>55</v>
      </c>
      <c r="J2154" s="10" t="s">
        <v>9944</v>
      </c>
      <c r="K2154" s="10" t="s">
        <v>9945</v>
      </c>
      <c r="L2154" s="10" t="s">
        <v>42</v>
      </c>
    </row>
    <row r="2155" ht="15.75" customHeight="1">
      <c r="A2155" s="64">
        <v>45419.0</v>
      </c>
      <c r="B2155" s="55" t="str">
        <f>HYPERLINK("https://jobright.ai/jobs/info/6669319132b5c01ae0398363?utm_campaign=1052&amp;utm_source=sheet", "Apply")</f>
        <v>Apply</v>
      </c>
      <c r="C2155" s="10" t="s">
        <v>12393</v>
      </c>
      <c r="D2155" s="56" t="s">
        <v>8803</v>
      </c>
      <c r="E2155" s="10">
        <v>8.0</v>
      </c>
      <c r="G2155" s="10" t="s">
        <v>9414</v>
      </c>
      <c r="H2155" s="10" t="s">
        <v>2275</v>
      </c>
      <c r="I2155" s="10" t="s">
        <v>55</v>
      </c>
      <c r="J2155" s="64"/>
      <c r="K2155" s="10" t="s">
        <v>12394</v>
      </c>
      <c r="L2155" s="10" t="s">
        <v>42</v>
      </c>
    </row>
    <row r="2156" ht="15.75" customHeight="1">
      <c r="A2156" s="64">
        <v>45419.0</v>
      </c>
      <c r="B2156" s="55" t="str">
        <f>HYPERLINK("https://jobright.ai/jobs/info/6669318532b5c01ae0398212?utm_campaign=1052&amp;utm_source=sheet", "Apply")</f>
        <v>Apply</v>
      </c>
      <c r="C2156" s="10" t="s">
        <v>12395</v>
      </c>
      <c r="D2156" s="56" t="s">
        <v>6095</v>
      </c>
      <c r="E2156" s="10" t="s">
        <v>209</v>
      </c>
      <c r="F2156" s="10" t="s">
        <v>2098</v>
      </c>
      <c r="G2156" s="10" t="s">
        <v>9414</v>
      </c>
      <c r="H2156" s="10" t="s">
        <v>12396</v>
      </c>
      <c r="I2156" s="10" t="s">
        <v>55</v>
      </c>
      <c r="J2156" s="64"/>
      <c r="K2156" s="10" t="s">
        <v>12397</v>
      </c>
      <c r="L2156" s="10" t="s">
        <v>42</v>
      </c>
    </row>
    <row r="2157" ht="15.75" customHeight="1">
      <c r="A2157" s="64">
        <v>45419.0</v>
      </c>
      <c r="B2157" s="55" t="str">
        <f>HYPERLINK("https://jobright.ai/jobs/info/6669319132b5c01ae0398306?utm_campaign=1052&amp;utm_source=sheet", "Apply")</f>
        <v>Apply</v>
      </c>
      <c r="C2157" s="10" t="s">
        <v>9517</v>
      </c>
      <c r="D2157" s="56" t="s">
        <v>12389</v>
      </c>
      <c r="E2157" s="10" t="s">
        <v>249</v>
      </c>
      <c r="F2157" s="10" t="s">
        <v>1465</v>
      </c>
      <c r="G2157" s="10" t="s">
        <v>1159</v>
      </c>
      <c r="H2157" s="10" t="s">
        <v>12398</v>
      </c>
      <c r="I2157" s="10" t="s">
        <v>55</v>
      </c>
      <c r="J2157" s="10" t="s">
        <v>366</v>
      </c>
      <c r="K2157" s="10" t="s">
        <v>12390</v>
      </c>
      <c r="L2157" s="10" t="s">
        <v>42</v>
      </c>
    </row>
    <row r="2158" ht="15.75" customHeight="1">
      <c r="A2158" s="64">
        <v>45418.0</v>
      </c>
      <c r="B2158" s="55" t="str">
        <f>HYPERLINK("https://jobright.ai/jobs/info/661613ef99064a16a8105332?utm_campaign=1052&amp;utm_source=sheet", "Apply")</f>
        <v>Apply</v>
      </c>
      <c r="C2158" s="10" t="s">
        <v>12399</v>
      </c>
      <c r="D2158" s="56" t="s">
        <v>243</v>
      </c>
      <c r="E2158" s="10" t="s">
        <v>45</v>
      </c>
      <c r="F2158" s="10" t="s">
        <v>244</v>
      </c>
      <c r="G2158" s="10" t="s">
        <v>9414</v>
      </c>
      <c r="H2158" s="10" t="s">
        <v>245</v>
      </c>
      <c r="I2158" s="10" t="s">
        <v>55</v>
      </c>
      <c r="J2158" s="64"/>
      <c r="K2158" s="10" t="s">
        <v>12400</v>
      </c>
      <c r="L2158" s="10" t="s">
        <v>42</v>
      </c>
    </row>
    <row r="2159" ht="15.75" customHeight="1">
      <c r="A2159" s="64">
        <v>45418.0</v>
      </c>
      <c r="B2159" s="55" t="str">
        <f>HYPERLINK("https://jobright.ai/jobs/info/6639320f840d1d1819cb6c77?utm_campaign=1052&amp;utm_source=sheet", "Apply")</f>
        <v>Apply</v>
      </c>
      <c r="C2159" s="10" t="s">
        <v>12401</v>
      </c>
      <c r="D2159" s="56" t="s">
        <v>11554</v>
      </c>
      <c r="E2159" s="10" t="s">
        <v>276</v>
      </c>
      <c r="F2159" s="10" t="s">
        <v>722</v>
      </c>
      <c r="G2159" s="10" t="s">
        <v>9419</v>
      </c>
      <c r="H2159" s="10" t="s">
        <v>7427</v>
      </c>
      <c r="I2159" s="10" t="s">
        <v>55</v>
      </c>
      <c r="J2159" s="64"/>
      <c r="K2159" s="10" t="s">
        <v>12402</v>
      </c>
      <c r="L2159" s="10" t="s">
        <v>42</v>
      </c>
    </row>
    <row r="2160" ht="15.75" customHeight="1">
      <c r="A2160" s="64">
        <v>45418.0</v>
      </c>
      <c r="B2160" s="55" t="str">
        <f>HYPERLINK("https://jobright.ai/jobs/info/663921761d1c0ec226e01d7b?utm_campaign=1052&amp;utm_source=sheet", "Apply")</f>
        <v>Apply</v>
      </c>
      <c r="C2160" s="10" t="s">
        <v>12403</v>
      </c>
      <c r="D2160" s="56" t="s">
        <v>11554</v>
      </c>
      <c r="E2160" s="10" t="s">
        <v>276</v>
      </c>
      <c r="F2160" s="10" t="s">
        <v>722</v>
      </c>
      <c r="G2160" s="10" t="s">
        <v>9419</v>
      </c>
      <c r="H2160" s="10" t="s">
        <v>4880</v>
      </c>
      <c r="I2160" s="10" t="s">
        <v>55</v>
      </c>
      <c r="J2160" s="64"/>
      <c r="K2160" s="10" t="s">
        <v>11555</v>
      </c>
      <c r="L2160" s="10" t="s">
        <v>42</v>
      </c>
    </row>
    <row r="2161" ht="15.75" customHeight="1">
      <c r="A2161" s="64">
        <v>45418.0</v>
      </c>
      <c r="B2161" s="55" t="str">
        <f>HYPERLINK("https://jobright.ai/jobs/info/66393c0b78a4a2512015b039?utm_campaign=1052&amp;utm_source=sheet", "Apply")</f>
        <v>Apply</v>
      </c>
      <c r="C2161" s="10" t="s">
        <v>12404</v>
      </c>
      <c r="D2161" s="56" t="s">
        <v>11554</v>
      </c>
      <c r="E2161" s="10" t="s">
        <v>276</v>
      </c>
      <c r="F2161" s="10" t="s">
        <v>722</v>
      </c>
      <c r="G2161" s="10" t="s">
        <v>9419</v>
      </c>
      <c r="H2161" s="10" t="s">
        <v>8847</v>
      </c>
      <c r="I2161" s="10" t="s">
        <v>55</v>
      </c>
      <c r="J2161" s="64"/>
      <c r="K2161" s="10" t="s">
        <v>11555</v>
      </c>
      <c r="L2161" s="10" t="s">
        <v>42</v>
      </c>
    </row>
    <row r="2162" ht="15.75" customHeight="1">
      <c r="A2162" s="64">
        <v>45418.0</v>
      </c>
      <c r="B2162" s="55" t="str">
        <f>HYPERLINK("https://jobright.ai/jobs/info/6639406b5b302dc3c6117920?utm_campaign=1052&amp;utm_source=sheet", "Apply")</f>
        <v>Apply</v>
      </c>
      <c r="C2162" s="10" t="s">
        <v>12405</v>
      </c>
      <c r="D2162" s="56" t="s">
        <v>11554</v>
      </c>
      <c r="E2162" s="10" t="s">
        <v>276</v>
      </c>
      <c r="F2162" s="10" t="s">
        <v>722</v>
      </c>
      <c r="G2162" s="10" t="s">
        <v>9419</v>
      </c>
      <c r="H2162" s="10" t="s">
        <v>7427</v>
      </c>
      <c r="I2162" s="10" t="s">
        <v>55</v>
      </c>
      <c r="J2162" s="64"/>
      <c r="K2162" s="10" t="s">
        <v>12402</v>
      </c>
      <c r="L2162" s="10" t="s">
        <v>42</v>
      </c>
    </row>
    <row r="2163" ht="15.75" customHeight="1">
      <c r="A2163" s="64">
        <v>45418.0</v>
      </c>
      <c r="B2163" s="55" t="str">
        <f>HYPERLINK("https://jobright.ai/jobs/info/6639218d1d1c0ec226e0203b?utm_campaign=1052&amp;utm_source=sheet", "Apply")</f>
        <v>Apply</v>
      </c>
      <c r="C2163" s="10" t="s">
        <v>12406</v>
      </c>
      <c r="D2163" s="56" t="s">
        <v>11554</v>
      </c>
      <c r="E2163" s="10" t="s">
        <v>276</v>
      </c>
      <c r="F2163" s="10" t="s">
        <v>722</v>
      </c>
      <c r="G2163" s="10" t="s">
        <v>9419</v>
      </c>
      <c r="H2163" s="10" t="s">
        <v>9894</v>
      </c>
      <c r="I2163" s="10" t="s">
        <v>55</v>
      </c>
      <c r="J2163" s="64"/>
      <c r="K2163" s="10" t="s">
        <v>12402</v>
      </c>
      <c r="L2163" s="10" t="s">
        <v>42</v>
      </c>
    </row>
    <row r="2164" ht="15.75" customHeight="1">
      <c r="A2164" s="64">
        <v>45418.0</v>
      </c>
      <c r="B2164" s="55" t="str">
        <f>HYPERLINK("https://jobright.ai/jobs/info/6639218d1d1c0ec226e0205a?utm_campaign=1052&amp;utm_source=sheet", "Apply")</f>
        <v>Apply</v>
      </c>
      <c r="C2164" s="10" t="s">
        <v>12407</v>
      </c>
      <c r="D2164" s="56" t="s">
        <v>11554</v>
      </c>
      <c r="E2164" s="10" t="s">
        <v>276</v>
      </c>
      <c r="F2164" s="10" t="s">
        <v>722</v>
      </c>
      <c r="G2164" s="10" t="s">
        <v>9419</v>
      </c>
      <c r="H2164" s="10" t="s">
        <v>8847</v>
      </c>
      <c r="I2164" s="10" t="s">
        <v>55</v>
      </c>
      <c r="J2164" s="64"/>
      <c r="K2164" s="10" t="s">
        <v>11555</v>
      </c>
      <c r="L2164" s="10" t="s">
        <v>42</v>
      </c>
    </row>
    <row r="2165" ht="15.75" customHeight="1">
      <c r="A2165" s="64">
        <v>45418.0</v>
      </c>
      <c r="B2165" s="55" t="str">
        <f>HYPERLINK("https://jobright.ai/jobs/info/6639218d1d1c0ec226e0203a?utm_campaign=1052&amp;utm_source=sheet", "Apply")</f>
        <v>Apply</v>
      </c>
      <c r="C2165" s="10" t="s">
        <v>12408</v>
      </c>
      <c r="D2165" s="56" t="s">
        <v>11554</v>
      </c>
      <c r="E2165" s="10" t="s">
        <v>276</v>
      </c>
      <c r="F2165" s="10" t="s">
        <v>722</v>
      </c>
      <c r="G2165" s="10" t="s">
        <v>9419</v>
      </c>
      <c r="H2165" s="10" t="s">
        <v>12409</v>
      </c>
      <c r="I2165" s="10" t="s">
        <v>55</v>
      </c>
      <c r="J2165" s="64"/>
      <c r="K2165" s="10" t="s">
        <v>12402</v>
      </c>
      <c r="L2165" s="10" t="s">
        <v>42</v>
      </c>
    </row>
    <row r="2166" ht="15.75" customHeight="1">
      <c r="A2166" s="64">
        <v>45418.0</v>
      </c>
      <c r="B2166" s="55" t="str">
        <f>HYPERLINK("https://jobright.ai/jobs/info/6639218d1d1c0ec226e02033?utm_campaign=1052&amp;utm_source=sheet", "Apply")</f>
        <v>Apply</v>
      </c>
      <c r="C2166" s="10" t="s">
        <v>12410</v>
      </c>
      <c r="D2166" s="56" t="s">
        <v>11554</v>
      </c>
      <c r="E2166" s="10" t="s">
        <v>276</v>
      </c>
      <c r="F2166" s="10" t="s">
        <v>722</v>
      </c>
      <c r="G2166" s="10" t="s">
        <v>9419</v>
      </c>
      <c r="H2166" s="10" t="s">
        <v>4880</v>
      </c>
      <c r="I2166" s="10" t="s">
        <v>55</v>
      </c>
      <c r="J2166" s="64"/>
      <c r="K2166" s="10" t="s">
        <v>12402</v>
      </c>
      <c r="L2166" s="10" t="s">
        <v>42</v>
      </c>
    </row>
    <row r="2167" ht="15.75" customHeight="1">
      <c r="A2167" s="64">
        <v>45418.0</v>
      </c>
      <c r="B2167" s="55" t="str">
        <f>HYPERLINK("https://jobright.ai/jobs/info/663910cd7fc3266d1328e95a?utm_campaign=1052&amp;utm_source=sheet", "Apply")</f>
        <v>Apply</v>
      </c>
      <c r="C2167" s="10" t="s">
        <v>12411</v>
      </c>
      <c r="D2167" s="56" t="s">
        <v>11554</v>
      </c>
      <c r="E2167" s="10" t="s">
        <v>276</v>
      </c>
      <c r="F2167" s="10" t="s">
        <v>722</v>
      </c>
      <c r="G2167" s="10" t="s">
        <v>9419</v>
      </c>
      <c r="H2167" s="10" t="s">
        <v>4880</v>
      </c>
      <c r="I2167" s="10" t="s">
        <v>55</v>
      </c>
      <c r="J2167" s="64"/>
      <c r="K2167" s="10" t="s">
        <v>12402</v>
      </c>
      <c r="L2167" s="10" t="s">
        <v>42</v>
      </c>
    </row>
    <row r="2168" ht="15.75" customHeight="1">
      <c r="A2168" s="64">
        <v>45418.0</v>
      </c>
      <c r="B2168" s="55" t="str">
        <f>HYPERLINK("https://jobright.ai/jobs/info/66391cebd5ef5ed81334bb5e?utm_campaign=1052&amp;utm_source=sheet", "Apply")</f>
        <v>Apply</v>
      </c>
      <c r="C2168" s="10" t="s">
        <v>12412</v>
      </c>
      <c r="D2168" s="56" t="s">
        <v>11554</v>
      </c>
      <c r="E2168" s="10" t="s">
        <v>276</v>
      </c>
      <c r="F2168" s="10" t="s">
        <v>722</v>
      </c>
      <c r="G2168" s="10" t="s">
        <v>9419</v>
      </c>
      <c r="H2168" s="10" t="s">
        <v>7427</v>
      </c>
      <c r="I2168" s="10" t="s">
        <v>55</v>
      </c>
      <c r="J2168" s="64"/>
      <c r="K2168" s="10" t="s">
        <v>12392</v>
      </c>
      <c r="L2168" s="10" t="s">
        <v>42</v>
      </c>
    </row>
    <row r="2169" ht="15.75" customHeight="1">
      <c r="A2169" s="64">
        <v>45418.0</v>
      </c>
      <c r="B2169" s="55" t="str">
        <f>HYPERLINK("https://jobright.ai/jobs/info/66391cebd5ef5ed81334bb9f?utm_campaign=1052&amp;utm_source=sheet", "Apply")</f>
        <v>Apply</v>
      </c>
      <c r="C2169" s="10" t="s">
        <v>12413</v>
      </c>
      <c r="D2169" s="56" t="s">
        <v>11554</v>
      </c>
      <c r="E2169" s="10" t="s">
        <v>276</v>
      </c>
      <c r="F2169" s="10" t="s">
        <v>722</v>
      </c>
      <c r="G2169" s="10" t="s">
        <v>9419</v>
      </c>
      <c r="H2169" s="10" t="s">
        <v>8847</v>
      </c>
      <c r="I2169" s="10" t="s">
        <v>55</v>
      </c>
      <c r="J2169" s="64"/>
      <c r="K2169" s="10" t="s">
        <v>12402</v>
      </c>
      <c r="L2169" s="10" t="s">
        <v>42</v>
      </c>
    </row>
    <row r="2170" ht="15.75" customHeight="1">
      <c r="A2170" s="64">
        <v>45418.0</v>
      </c>
      <c r="B2170" s="55" t="str">
        <f>HYPERLINK("https://jobright.ai/jobs/info/66391cf3d5ef5ed81334bbb3?utm_campaign=1052&amp;utm_source=sheet", "Apply")</f>
        <v>Apply</v>
      </c>
      <c r="C2170" s="10" t="s">
        <v>12414</v>
      </c>
      <c r="D2170" s="56" t="s">
        <v>11554</v>
      </c>
      <c r="E2170" s="10" t="s">
        <v>276</v>
      </c>
      <c r="F2170" s="10" t="s">
        <v>722</v>
      </c>
      <c r="G2170" s="10" t="s">
        <v>9419</v>
      </c>
      <c r="H2170" s="10" t="s">
        <v>8847</v>
      </c>
      <c r="I2170" s="10" t="s">
        <v>55</v>
      </c>
      <c r="K2170" s="10" t="s">
        <v>12402</v>
      </c>
      <c r="L2170" s="10" t="s">
        <v>42</v>
      </c>
    </row>
    <row r="2171" ht="15.75" customHeight="1">
      <c r="A2171" s="64">
        <v>45418.0</v>
      </c>
      <c r="B2171" s="55" t="str">
        <f>HYPERLINK("https://jobright.ai/jobs/info/663910cd7fc3266d1328e970?utm_campaign=1052&amp;utm_source=sheet", "Apply")</f>
        <v>Apply</v>
      </c>
      <c r="C2171" s="10" t="s">
        <v>12415</v>
      </c>
      <c r="D2171" s="56" t="s">
        <v>11554</v>
      </c>
      <c r="E2171" s="10" t="s">
        <v>276</v>
      </c>
      <c r="F2171" s="10" t="s">
        <v>722</v>
      </c>
      <c r="G2171" s="10" t="s">
        <v>9419</v>
      </c>
      <c r="H2171" s="10" t="s">
        <v>9894</v>
      </c>
      <c r="I2171" s="10" t="s">
        <v>55</v>
      </c>
      <c r="J2171" s="64"/>
      <c r="K2171" s="10" t="s">
        <v>11555</v>
      </c>
      <c r="L2171" s="10" t="s">
        <v>42</v>
      </c>
    </row>
    <row r="2172" ht="15.75" customHeight="1">
      <c r="A2172" s="64">
        <v>45418.0</v>
      </c>
      <c r="B2172" s="55" t="str">
        <f>HYPERLINK("https://jobright.ai/jobs/info/663910cd7fc3266d1328e961?utm_campaign=1052&amp;utm_source=sheet", "Apply")</f>
        <v>Apply</v>
      </c>
      <c r="C2172" s="10" t="s">
        <v>12416</v>
      </c>
      <c r="D2172" s="56" t="s">
        <v>11554</v>
      </c>
      <c r="E2172" s="10" t="s">
        <v>276</v>
      </c>
      <c r="F2172" s="10" t="s">
        <v>722</v>
      </c>
      <c r="G2172" s="10" t="s">
        <v>9419</v>
      </c>
      <c r="H2172" s="10" t="s">
        <v>7427</v>
      </c>
      <c r="I2172" s="10" t="s">
        <v>55</v>
      </c>
      <c r="J2172" s="64"/>
      <c r="K2172" s="10" t="s">
        <v>11555</v>
      </c>
      <c r="L2172" s="10" t="s">
        <v>42</v>
      </c>
    </row>
    <row r="2173" ht="15.75" customHeight="1">
      <c r="A2173" s="64">
        <v>45418.0</v>
      </c>
      <c r="B2173" s="55" t="str">
        <f>HYPERLINK("https://jobright.ai/jobs/info/66391cf3d5ef5ed81334bbaa?utm_campaign=1052&amp;utm_source=sheet", "Apply")</f>
        <v>Apply</v>
      </c>
      <c r="C2173" s="10" t="s">
        <v>12404</v>
      </c>
      <c r="D2173" s="56" t="s">
        <v>11554</v>
      </c>
      <c r="E2173" s="10" t="s">
        <v>276</v>
      </c>
      <c r="F2173" s="10" t="s">
        <v>722</v>
      </c>
      <c r="G2173" s="10" t="s">
        <v>9419</v>
      </c>
      <c r="H2173" s="10" t="s">
        <v>4623</v>
      </c>
      <c r="I2173" s="10" t="s">
        <v>55</v>
      </c>
      <c r="J2173" s="64"/>
      <c r="K2173" s="10" t="s">
        <v>11555</v>
      </c>
      <c r="L2173" s="10" t="s">
        <v>42</v>
      </c>
    </row>
    <row r="2174" ht="15.75" customHeight="1">
      <c r="A2174" s="64">
        <v>45418.0</v>
      </c>
      <c r="B2174" s="55" t="str">
        <f>HYPERLINK("https://jobright.ai/jobs/info/66391cebd5ef5ed81334bb84?utm_campaign=1052&amp;utm_source=sheet", "Apply")</f>
        <v>Apply</v>
      </c>
      <c r="C2174" s="10" t="s">
        <v>12417</v>
      </c>
      <c r="D2174" s="56" t="s">
        <v>11554</v>
      </c>
      <c r="E2174" s="10" t="s">
        <v>276</v>
      </c>
      <c r="F2174" s="10" t="s">
        <v>722</v>
      </c>
      <c r="G2174" s="10" t="s">
        <v>9419</v>
      </c>
      <c r="H2174" s="10" t="s">
        <v>12418</v>
      </c>
      <c r="I2174" s="10" t="s">
        <v>55</v>
      </c>
      <c r="J2174" s="64"/>
      <c r="K2174" s="10" t="s">
        <v>12402</v>
      </c>
      <c r="L2174" s="10" t="s">
        <v>42</v>
      </c>
    </row>
    <row r="2175" ht="15.75" customHeight="1">
      <c r="A2175" s="64">
        <v>45418.0</v>
      </c>
      <c r="B2175" s="55" t="str">
        <f>HYPERLINK("https://jobright.ai/jobs/info/66391cf9d5ef5ed81334bc73?utm_campaign=1052&amp;utm_source=sheet", "Apply")</f>
        <v>Apply</v>
      </c>
      <c r="C2175" s="10" t="s">
        <v>12419</v>
      </c>
      <c r="D2175" s="56" t="s">
        <v>11554</v>
      </c>
      <c r="E2175" s="10" t="s">
        <v>276</v>
      </c>
      <c r="F2175" s="10" t="s">
        <v>722</v>
      </c>
      <c r="G2175" s="10" t="s">
        <v>9419</v>
      </c>
      <c r="H2175" s="10" t="s">
        <v>9894</v>
      </c>
      <c r="I2175" s="10" t="s">
        <v>55</v>
      </c>
      <c r="J2175" s="64"/>
      <c r="K2175" s="10" t="s">
        <v>12402</v>
      </c>
      <c r="L2175" s="10" t="s">
        <v>42</v>
      </c>
    </row>
    <row r="2176" ht="15.75" customHeight="1">
      <c r="A2176" s="64">
        <v>45418.0</v>
      </c>
      <c r="B2176" s="55" t="str">
        <f>HYPERLINK("https://jobright.ai/jobs/info/66391cf3d5ef5ed81334bbdb?utm_campaign=1052&amp;utm_source=sheet", "Apply")</f>
        <v>Apply</v>
      </c>
      <c r="C2176" s="10" t="s">
        <v>12420</v>
      </c>
      <c r="D2176" s="56" t="s">
        <v>11554</v>
      </c>
      <c r="E2176" s="10" t="s">
        <v>276</v>
      </c>
      <c r="F2176" s="10" t="s">
        <v>722</v>
      </c>
      <c r="G2176" s="10" t="s">
        <v>9419</v>
      </c>
      <c r="H2176" s="10" t="s">
        <v>4623</v>
      </c>
      <c r="I2176" s="10" t="s">
        <v>55</v>
      </c>
      <c r="J2176" s="64"/>
      <c r="K2176" s="10" t="s">
        <v>12402</v>
      </c>
      <c r="L2176" s="10" t="s">
        <v>42</v>
      </c>
    </row>
    <row r="2177" ht="15.75" customHeight="1">
      <c r="A2177" s="64">
        <v>45418.0</v>
      </c>
      <c r="B2177" s="55" t="str">
        <f>HYPERLINK("https://jobright.ai/jobs/info/66390d1c57c73ca4ea5ff261?utm_campaign=1052&amp;utm_source=sheet", "Apply")</f>
        <v>Apply</v>
      </c>
      <c r="C2177" s="10" t="s">
        <v>12421</v>
      </c>
      <c r="D2177" s="56" t="s">
        <v>12422</v>
      </c>
      <c r="E2177" s="10" t="s">
        <v>276</v>
      </c>
      <c r="G2177" s="10" t="s">
        <v>9419</v>
      </c>
      <c r="H2177" s="10" t="s">
        <v>12423</v>
      </c>
      <c r="I2177" s="10" t="s">
        <v>48</v>
      </c>
      <c r="J2177" s="64"/>
      <c r="K2177" s="10" t="s">
        <v>12424</v>
      </c>
      <c r="L2177" s="10" t="s">
        <v>42</v>
      </c>
    </row>
    <row r="2178" ht="15.75" customHeight="1">
      <c r="A2178" s="64">
        <v>45418.0</v>
      </c>
      <c r="B2178" s="55" t="str">
        <f>HYPERLINK("https://jobright.ai/jobs/info/66693fd88f0265d34931b09a?utm_campaign=1052&amp;utm_source=sheet", "Apply")</f>
        <v>Apply</v>
      </c>
      <c r="C2178" s="10" t="s">
        <v>12425</v>
      </c>
      <c r="D2178" s="56" t="s">
        <v>2426</v>
      </c>
      <c r="E2178" s="10" t="s">
        <v>209</v>
      </c>
      <c r="G2178" s="10" t="s">
        <v>9419</v>
      </c>
      <c r="H2178" s="10" t="s">
        <v>12387</v>
      </c>
      <c r="I2178" s="10" t="s">
        <v>55</v>
      </c>
      <c r="K2178" s="10" t="s">
        <v>12426</v>
      </c>
      <c r="L2178" s="10" t="s">
        <v>42</v>
      </c>
    </row>
    <row r="2179" ht="15.75" customHeight="1">
      <c r="A2179" s="64">
        <v>45418.0</v>
      </c>
      <c r="B2179" s="55" t="str">
        <f>HYPERLINK("https://jobright.ai/jobs/info/666937e382917d36f1d90451?utm_campaign=1052&amp;utm_source=sheet", "Apply")</f>
        <v>Apply</v>
      </c>
      <c r="C2179" s="10" t="s">
        <v>12427</v>
      </c>
      <c r="D2179" s="56" t="s">
        <v>1559</v>
      </c>
      <c r="E2179" s="10" t="s">
        <v>45</v>
      </c>
      <c r="F2179" s="10" t="s">
        <v>1485</v>
      </c>
      <c r="G2179" s="10" t="s">
        <v>9414</v>
      </c>
      <c r="H2179" s="10" t="s">
        <v>1560</v>
      </c>
      <c r="I2179" s="10" t="s">
        <v>55</v>
      </c>
      <c r="K2179" s="10" t="s">
        <v>12428</v>
      </c>
      <c r="L2179" s="10" t="s">
        <v>42</v>
      </c>
    </row>
    <row r="2180" ht="15.75" customHeight="1">
      <c r="A2180" s="64">
        <v>45418.0</v>
      </c>
      <c r="B2180" s="55" t="str">
        <f>HYPERLINK("https://jobright.ai/jobs/info/66629312d207c74779ac8295?utm_campaign=1052&amp;utm_source=sheet", "Apply")</f>
        <v>Apply</v>
      </c>
      <c r="C2180" s="10" t="s">
        <v>12429</v>
      </c>
      <c r="D2180" s="56" t="s">
        <v>12430</v>
      </c>
      <c r="E2180" s="10" t="s">
        <v>79</v>
      </c>
      <c r="F2180" s="10" t="s">
        <v>250</v>
      </c>
      <c r="G2180" s="10" t="s">
        <v>9414</v>
      </c>
      <c r="H2180" s="10" t="s">
        <v>2275</v>
      </c>
      <c r="I2180" s="10" t="s">
        <v>48</v>
      </c>
      <c r="J2180" s="10" t="s">
        <v>12431</v>
      </c>
      <c r="K2180" s="10" t="s">
        <v>12432</v>
      </c>
      <c r="L2180" s="10" t="s">
        <v>42</v>
      </c>
    </row>
    <row r="2181" ht="15.75" customHeight="1">
      <c r="A2181" s="64">
        <v>45417.0</v>
      </c>
      <c r="B2181" s="55" t="str">
        <f>HYPERLINK("https://jobright.ai/jobs/info/6678479d5a27b96c7bd9c6b3?utm_campaign=1052&amp;utm_source=sheet", "Apply")</f>
        <v>Apply</v>
      </c>
      <c r="C2181" s="10" t="s">
        <v>12433</v>
      </c>
      <c r="D2181" s="56" t="s">
        <v>12434</v>
      </c>
      <c r="E2181" s="10" t="s">
        <v>79</v>
      </c>
      <c r="F2181" s="10" t="s">
        <v>534</v>
      </c>
      <c r="G2181" s="10" t="s">
        <v>9419</v>
      </c>
      <c r="H2181" s="10" t="s">
        <v>607</v>
      </c>
      <c r="I2181" s="10" t="s">
        <v>55</v>
      </c>
      <c r="J2181" s="64"/>
      <c r="K2181" s="10" t="s">
        <v>12435</v>
      </c>
      <c r="L2181" s="10" t="s">
        <v>42</v>
      </c>
    </row>
    <row r="2182" ht="15.75" customHeight="1">
      <c r="A2182" s="64">
        <v>45416.0</v>
      </c>
      <c r="B2182" s="55" t="str">
        <f>HYPERLINK("https://jobright.ai/jobs/info/661a1274b8483125c2a3c97c?utm_campaign=1052&amp;utm_source=sheet", "Apply")</f>
        <v>Apply</v>
      </c>
      <c r="C2182" s="10" t="s">
        <v>12436</v>
      </c>
      <c r="D2182" s="56" t="s">
        <v>12303</v>
      </c>
      <c r="E2182" s="10" t="s">
        <v>45</v>
      </c>
      <c r="F2182" s="10" t="s">
        <v>1723</v>
      </c>
      <c r="G2182" s="10" t="s">
        <v>9414</v>
      </c>
      <c r="H2182" s="10" t="s">
        <v>4396</v>
      </c>
      <c r="I2182" s="10" t="s">
        <v>55</v>
      </c>
      <c r="J2182" s="64"/>
      <c r="K2182" s="10" t="s">
        <v>12437</v>
      </c>
      <c r="L2182" s="10" t="s">
        <v>42</v>
      </c>
    </row>
    <row r="2183" ht="15.75" customHeight="1">
      <c r="A2183" s="64">
        <v>45416.0</v>
      </c>
      <c r="B2183" s="55" t="str">
        <f>HYPERLINK("https://jobright.ai/jobs/info/661a126cb8483125c2a3c927?utm_campaign=1052&amp;utm_source=sheet", "Apply")</f>
        <v>Apply</v>
      </c>
      <c r="C2183" s="10" t="s">
        <v>12438</v>
      </c>
      <c r="D2183" s="56" t="s">
        <v>12303</v>
      </c>
      <c r="E2183" s="10" t="s">
        <v>45</v>
      </c>
      <c r="F2183" s="10" t="s">
        <v>1723</v>
      </c>
      <c r="G2183" s="10" t="s">
        <v>9414</v>
      </c>
      <c r="H2183" s="10" t="s">
        <v>12439</v>
      </c>
      <c r="I2183" s="10" t="s">
        <v>55</v>
      </c>
      <c r="K2183" s="10" t="s">
        <v>12440</v>
      </c>
      <c r="L2183" s="10" t="s">
        <v>42</v>
      </c>
    </row>
    <row r="2184" ht="15.75" customHeight="1">
      <c r="A2184" s="64">
        <v>45416.0</v>
      </c>
      <c r="B2184" s="55" t="str">
        <f>HYPERLINK("https://jobright.ai/jobs/info/6635bf51bdc2491e861848c0?utm_campaign=1052&amp;utm_source=sheet", "Apply")</f>
        <v>Apply</v>
      </c>
      <c r="C2184" s="10" t="s">
        <v>12441</v>
      </c>
      <c r="D2184" s="56" t="s">
        <v>3800</v>
      </c>
      <c r="E2184" s="10" t="s">
        <v>65</v>
      </c>
      <c r="F2184" s="10" t="s">
        <v>3801</v>
      </c>
      <c r="G2184" s="10" t="s">
        <v>1159</v>
      </c>
      <c r="H2184" s="10" t="s">
        <v>929</v>
      </c>
      <c r="I2184" s="10" t="s">
        <v>55</v>
      </c>
      <c r="K2184" s="10" t="s">
        <v>12442</v>
      </c>
      <c r="L2184" s="10" t="s">
        <v>42</v>
      </c>
    </row>
    <row r="2185" ht="15.75" customHeight="1">
      <c r="A2185" s="64">
        <v>45414.0</v>
      </c>
      <c r="B2185" s="55" t="str">
        <f>HYPERLINK("https://jobright.ai/jobs/info/66345b53c8bc97eebcf27631?utm_campaign=1052&amp;utm_source=sheet", "Apply")</f>
        <v>Apply</v>
      </c>
      <c r="C2185" s="10" t="s">
        <v>11132</v>
      </c>
      <c r="D2185" s="56" t="s">
        <v>11133</v>
      </c>
      <c r="G2185" s="10" t="s">
        <v>9414</v>
      </c>
      <c r="H2185" s="10" t="s">
        <v>1017</v>
      </c>
      <c r="I2185" s="10" t="s">
        <v>252</v>
      </c>
      <c r="J2185" s="64"/>
      <c r="K2185" s="10" t="s">
        <v>11134</v>
      </c>
      <c r="L2185" s="10" t="s">
        <v>42</v>
      </c>
    </row>
    <row r="2186" ht="15.75" customHeight="1">
      <c r="A2186" s="64">
        <v>45414.0</v>
      </c>
      <c r="B2186" s="55" t="str">
        <f>HYPERLINK("https://jobright.ai/jobs/info/66342aeafa8eab2c5541ca7b?utm_campaign=1052&amp;utm_source=sheet", "Apply")</f>
        <v>Apply</v>
      </c>
      <c r="C2186" s="10" t="s">
        <v>11132</v>
      </c>
      <c r="D2186" s="56" t="s">
        <v>11133</v>
      </c>
      <c r="G2186" s="10" t="s">
        <v>9414</v>
      </c>
      <c r="H2186" s="10" t="s">
        <v>188</v>
      </c>
      <c r="I2186" s="10" t="s">
        <v>252</v>
      </c>
      <c r="J2186" s="64"/>
      <c r="K2186" s="10" t="s">
        <v>11134</v>
      </c>
      <c r="L2186" s="10" t="s">
        <v>42</v>
      </c>
    </row>
    <row r="2187" ht="15.75" customHeight="1">
      <c r="A2187" s="64">
        <v>45414.0</v>
      </c>
      <c r="B2187" s="55" t="str">
        <f>HYPERLINK("https://jobright.ai/jobs/info/666940318f0265d34931b528?utm_campaign=1052&amp;utm_source=sheet", "Apply")</f>
        <v>Apply</v>
      </c>
      <c r="C2187" s="10" t="s">
        <v>12443</v>
      </c>
      <c r="D2187" s="56" t="s">
        <v>12344</v>
      </c>
      <c r="E2187" s="10" t="s">
        <v>65</v>
      </c>
      <c r="F2187" s="10" t="s">
        <v>12345</v>
      </c>
      <c r="G2187" s="10" t="s">
        <v>9419</v>
      </c>
      <c r="H2187" s="10" t="s">
        <v>2275</v>
      </c>
      <c r="I2187" s="10" t="s">
        <v>55</v>
      </c>
      <c r="J2187" s="64"/>
      <c r="K2187" s="10" t="s">
        <v>12444</v>
      </c>
      <c r="L2187" s="10" t="s">
        <v>42</v>
      </c>
    </row>
    <row r="2188" ht="15.75" customHeight="1">
      <c r="A2188" s="64">
        <v>45413.0</v>
      </c>
      <c r="B2188" s="55" t="str">
        <f>HYPERLINK("https://jobright.ai/jobs/info/663226aeea560f339758f8ac?utm_campaign=1052&amp;utm_source=sheet", "Apply")</f>
        <v>Apply</v>
      </c>
      <c r="C2188" s="10" t="s">
        <v>12445</v>
      </c>
      <c r="D2188" s="56" t="s">
        <v>12446</v>
      </c>
      <c r="E2188" s="10" t="s">
        <v>45</v>
      </c>
      <c r="F2188" s="10" t="s">
        <v>1084</v>
      </c>
      <c r="G2188" s="10" t="s">
        <v>9419</v>
      </c>
      <c r="H2188" s="10" t="s">
        <v>96</v>
      </c>
      <c r="I2188" s="10" t="s">
        <v>55</v>
      </c>
      <c r="J2188" s="10" t="s">
        <v>8200</v>
      </c>
      <c r="K2188" s="10" t="s">
        <v>12447</v>
      </c>
      <c r="L2188" s="10" t="s">
        <v>42</v>
      </c>
    </row>
    <row r="2189" ht="15.75" customHeight="1">
      <c r="A2189" s="64">
        <v>45413.0</v>
      </c>
      <c r="B2189" s="55" t="str">
        <f>HYPERLINK("https://jobright.ai/jobs/info/6631d1a32993c3db3ad30123?utm_campaign=1052&amp;utm_source=sheet", "Apply")</f>
        <v>Apply</v>
      </c>
      <c r="C2189" s="10" t="s">
        <v>12448</v>
      </c>
      <c r="D2189" s="56" t="s">
        <v>2430</v>
      </c>
      <c r="E2189" s="10" t="s">
        <v>209</v>
      </c>
      <c r="F2189" s="10" t="s">
        <v>2431</v>
      </c>
      <c r="G2189" s="10" t="s">
        <v>1159</v>
      </c>
      <c r="H2189" s="10" t="s">
        <v>167</v>
      </c>
      <c r="I2189" s="10" t="s">
        <v>55</v>
      </c>
      <c r="J2189" s="64"/>
      <c r="K2189" s="10" t="s">
        <v>12449</v>
      </c>
      <c r="L2189" s="10" t="s">
        <v>42</v>
      </c>
    </row>
    <row r="2190" ht="15.75" customHeight="1">
      <c r="A2190" s="64">
        <v>45413.0</v>
      </c>
      <c r="B2190" s="55" t="str">
        <f>HYPERLINK("https://jobright.ai/jobs/info/6669405c8f0265d34931b799?utm_campaign=1052&amp;utm_source=sheet", "Apply")</f>
        <v>Apply</v>
      </c>
      <c r="C2190" s="10" t="s">
        <v>12450</v>
      </c>
      <c r="D2190" s="56" t="s">
        <v>1496</v>
      </c>
      <c r="E2190" s="10" t="s">
        <v>45</v>
      </c>
      <c r="F2190" s="10" t="s">
        <v>1497</v>
      </c>
      <c r="G2190" s="10" t="s">
        <v>9419</v>
      </c>
      <c r="H2190" s="10" t="s">
        <v>1460</v>
      </c>
      <c r="I2190" s="10" t="s">
        <v>55</v>
      </c>
      <c r="J2190" s="64"/>
      <c r="K2190" s="10" t="s">
        <v>12451</v>
      </c>
      <c r="L2190" s="10" t="s">
        <v>42</v>
      </c>
    </row>
    <row r="2191" ht="15.75" customHeight="1">
      <c r="A2191" s="64">
        <v>45413.0</v>
      </c>
      <c r="B2191" s="55" t="str">
        <f>HYPERLINK("https://jobright.ai/jobs/info/6669404d8f0265d34931b6a2?utm_campaign=1052&amp;utm_source=sheet", "Apply")</f>
        <v>Apply</v>
      </c>
      <c r="C2191" s="10" t="s">
        <v>12452</v>
      </c>
      <c r="D2191" s="56" t="s">
        <v>1496</v>
      </c>
      <c r="E2191" s="10" t="s">
        <v>45</v>
      </c>
      <c r="F2191" s="10" t="s">
        <v>1497</v>
      </c>
      <c r="G2191" s="10" t="s">
        <v>9419</v>
      </c>
      <c r="H2191" s="10" t="s">
        <v>1460</v>
      </c>
      <c r="I2191" s="10" t="s">
        <v>55</v>
      </c>
      <c r="J2191" s="64"/>
      <c r="K2191" s="10" t="s">
        <v>12453</v>
      </c>
      <c r="L2191" s="10" t="s">
        <v>42</v>
      </c>
    </row>
    <row r="2192" ht="15.75" customHeight="1">
      <c r="A2192" s="64">
        <v>45413.0</v>
      </c>
      <c r="B2192" s="55" t="str">
        <f>HYPERLINK("https://jobright.ai/jobs/info/6669405c8f0265d34931b789?utm_campaign=1052&amp;utm_source=sheet", "Apply")</f>
        <v>Apply</v>
      </c>
      <c r="C2192" s="10" t="s">
        <v>10308</v>
      </c>
      <c r="D2192" s="56" t="s">
        <v>10267</v>
      </c>
      <c r="E2192" s="10" t="s">
        <v>65</v>
      </c>
      <c r="F2192" s="10" t="s">
        <v>259</v>
      </c>
      <c r="G2192" s="10" t="s">
        <v>9414</v>
      </c>
      <c r="H2192" s="10" t="s">
        <v>12454</v>
      </c>
      <c r="I2192" s="10" t="s">
        <v>55</v>
      </c>
      <c r="J2192" s="10" t="s">
        <v>1868</v>
      </c>
      <c r="K2192" s="10" t="s">
        <v>10309</v>
      </c>
      <c r="L2192" s="10" t="s">
        <v>42</v>
      </c>
    </row>
    <row r="2193" ht="15.75" customHeight="1">
      <c r="A2193" s="64">
        <v>45413.0</v>
      </c>
      <c r="B2193" s="55" t="str">
        <f>HYPERLINK("https://jobright.ai/jobs/info/6669405c8f0265d34931b750?utm_campaign=1052&amp;utm_source=sheet", "Apply")</f>
        <v>Apply</v>
      </c>
      <c r="C2193" s="10" t="s">
        <v>10317</v>
      </c>
      <c r="D2193" s="56" t="s">
        <v>10267</v>
      </c>
      <c r="E2193" s="10" t="s">
        <v>65</v>
      </c>
      <c r="F2193" s="10" t="s">
        <v>259</v>
      </c>
      <c r="G2193" s="10" t="s">
        <v>9414</v>
      </c>
      <c r="H2193" s="10" t="s">
        <v>12455</v>
      </c>
      <c r="I2193" s="10" t="s">
        <v>55</v>
      </c>
      <c r="J2193" s="10" t="s">
        <v>1868</v>
      </c>
      <c r="K2193" s="10" t="s">
        <v>10318</v>
      </c>
      <c r="L2193" s="10" t="s">
        <v>42</v>
      </c>
    </row>
    <row r="2194">
      <c r="A2194" s="64"/>
      <c r="D2194" s="56"/>
      <c r="J2194" s="64"/>
    </row>
    <row r="2195">
      <c r="A2195" s="64"/>
      <c r="D2195" s="56"/>
      <c r="J2195" s="64"/>
    </row>
    <row r="2196">
      <c r="A2196" s="64"/>
      <c r="D2196" s="56"/>
      <c r="J2196" s="64"/>
    </row>
    <row r="2197">
      <c r="A2197" s="64"/>
      <c r="D2197" s="56"/>
      <c r="J2197" s="64"/>
    </row>
    <row r="2198">
      <c r="A2198" s="64"/>
      <c r="D2198" s="56"/>
      <c r="J2198" s="64"/>
    </row>
    <row r="2199">
      <c r="A2199" s="64"/>
      <c r="D2199" s="56"/>
      <c r="J2199" s="64"/>
    </row>
    <row r="2200">
      <c r="A2200" s="64"/>
      <c r="D2200" s="56"/>
      <c r="J2200" s="64"/>
    </row>
    <row r="2201">
      <c r="A2201" s="64"/>
      <c r="D2201" s="56"/>
      <c r="J2201" s="64"/>
    </row>
    <row r="2202">
      <c r="A2202" s="64"/>
      <c r="D2202" s="56"/>
      <c r="J2202" s="64"/>
    </row>
    <row r="2203">
      <c r="A2203" s="64"/>
      <c r="D2203" s="56"/>
      <c r="J2203" s="64"/>
    </row>
    <row r="2204">
      <c r="A2204" s="64"/>
      <c r="D2204" s="56"/>
      <c r="J2204" s="64"/>
    </row>
    <row r="2205">
      <c r="A2205" s="64"/>
      <c r="D2205" s="56"/>
      <c r="J2205" s="64"/>
    </row>
    <row r="2206">
      <c r="A2206" s="64"/>
      <c r="D2206" s="56"/>
      <c r="J2206" s="64"/>
    </row>
    <row r="2207">
      <c r="A2207" s="64"/>
      <c r="D2207" s="56"/>
      <c r="J2207" s="64"/>
    </row>
    <row r="2208">
      <c r="A2208" s="64"/>
      <c r="D2208" s="56"/>
      <c r="J2208" s="64"/>
    </row>
    <row r="2209">
      <c r="A2209" s="64"/>
      <c r="D2209" s="56"/>
      <c r="J2209" s="64"/>
    </row>
    <row r="2210">
      <c r="A2210" s="64"/>
      <c r="D2210" s="56"/>
      <c r="J2210" s="64"/>
    </row>
    <row r="2211">
      <c r="A2211" s="64"/>
      <c r="D2211" s="56"/>
      <c r="J2211" s="64"/>
    </row>
    <row r="2212">
      <c r="A2212" s="64"/>
      <c r="D2212" s="56"/>
      <c r="J2212" s="64"/>
    </row>
    <row r="2213">
      <c r="A2213" s="64"/>
      <c r="D2213" s="56"/>
      <c r="J2213" s="64"/>
    </row>
    <row r="2214">
      <c r="A2214" s="64"/>
      <c r="D2214" s="56"/>
      <c r="J2214" s="64"/>
    </row>
    <row r="2215">
      <c r="A2215" s="64"/>
      <c r="D2215" s="56"/>
      <c r="J2215" s="64"/>
    </row>
    <row r="2216">
      <c r="A2216" s="64"/>
      <c r="D2216" s="56"/>
      <c r="J2216" s="64"/>
    </row>
    <row r="2217">
      <c r="A2217" s="64"/>
      <c r="D2217" s="56"/>
      <c r="J2217" s="64"/>
    </row>
    <row r="2218">
      <c r="A2218" s="64"/>
      <c r="D2218" s="56"/>
      <c r="J2218" s="64"/>
    </row>
    <row r="2219">
      <c r="A2219" s="64"/>
      <c r="D2219" s="56"/>
      <c r="J2219" s="64"/>
    </row>
    <row r="2220">
      <c r="A2220" s="64"/>
      <c r="D2220" s="56"/>
      <c r="J2220" s="64"/>
    </row>
    <row r="2221">
      <c r="A2221" s="64"/>
      <c r="D2221" s="56"/>
      <c r="J2221" s="64"/>
    </row>
    <row r="2222">
      <c r="A2222" s="64"/>
      <c r="D2222" s="56"/>
      <c r="J2222" s="64"/>
    </row>
    <row r="2223">
      <c r="A2223" s="64"/>
      <c r="D2223" s="56"/>
      <c r="J2223" s="64"/>
    </row>
    <row r="2224">
      <c r="A2224" s="64"/>
      <c r="D2224" s="56"/>
      <c r="J2224" s="64"/>
    </row>
    <row r="2225">
      <c r="A2225" s="64"/>
      <c r="D2225" s="56"/>
      <c r="J2225" s="64"/>
    </row>
    <row r="2226">
      <c r="A2226" s="64"/>
      <c r="D2226" s="56"/>
      <c r="J2226" s="64"/>
    </row>
    <row r="2227">
      <c r="A2227" s="64"/>
      <c r="D2227" s="56"/>
      <c r="J2227" s="64"/>
    </row>
    <row r="2228">
      <c r="A2228" s="64"/>
      <c r="D2228" s="56"/>
      <c r="J2228" s="64"/>
    </row>
    <row r="2229">
      <c r="A2229" s="64"/>
      <c r="D2229" s="56"/>
      <c r="J2229" s="64"/>
    </row>
    <row r="2230">
      <c r="A2230" s="64"/>
      <c r="D2230" s="56"/>
      <c r="J2230" s="64"/>
    </row>
    <row r="2231">
      <c r="A2231" s="64"/>
      <c r="D2231" s="56"/>
      <c r="J2231" s="64"/>
    </row>
    <row r="2232">
      <c r="A2232" s="64"/>
      <c r="D2232" s="56"/>
      <c r="J2232" s="64"/>
    </row>
    <row r="2233">
      <c r="A2233" s="64"/>
      <c r="D2233" s="56"/>
      <c r="J2233" s="64"/>
    </row>
    <row r="2234">
      <c r="A2234" s="64"/>
      <c r="D2234" s="56"/>
      <c r="J2234" s="64"/>
    </row>
    <row r="2235">
      <c r="A2235" s="64"/>
      <c r="D2235" s="56"/>
      <c r="J2235" s="64"/>
    </row>
    <row r="2236">
      <c r="A2236" s="64"/>
      <c r="D2236" s="56"/>
      <c r="J2236" s="64"/>
    </row>
    <row r="2237">
      <c r="A2237" s="64"/>
      <c r="D2237" s="56"/>
      <c r="J2237" s="64"/>
    </row>
    <row r="2238">
      <c r="A2238" s="64"/>
      <c r="D2238" s="56"/>
      <c r="J2238" s="64"/>
    </row>
    <row r="2239">
      <c r="A2239" s="64"/>
      <c r="D2239" s="56"/>
      <c r="J2239" s="64"/>
    </row>
    <row r="2240">
      <c r="A2240" s="64"/>
      <c r="D2240" s="56"/>
      <c r="J2240" s="64"/>
    </row>
    <row r="2241">
      <c r="A2241" s="64"/>
      <c r="D2241" s="56"/>
      <c r="J2241" s="64"/>
    </row>
    <row r="2242">
      <c r="A2242" s="64"/>
      <c r="D2242" s="56"/>
      <c r="J2242" s="64"/>
    </row>
    <row r="2243">
      <c r="A2243" s="64"/>
      <c r="D2243" s="56"/>
      <c r="J2243" s="64"/>
    </row>
    <row r="2244">
      <c r="A2244" s="64"/>
      <c r="D2244" s="56"/>
      <c r="J2244" s="64"/>
    </row>
    <row r="2245">
      <c r="A2245" s="64"/>
      <c r="D2245" s="56"/>
      <c r="J2245" s="64"/>
    </row>
    <row r="2246">
      <c r="A2246" s="64"/>
      <c r="D2246" s="56"/>
      <c r="J2246" s="64"/>
    </row>
    <row r="2247">
      <c r="A2247" s="64"/>
      <c r="D2247" s="56"/>
      <c r="J2247" s="64"/>
    </row>
    <row r="2248">
      <c r="A2248" s="64"/>
      <c r="D2248" s="56"/>
      <c r="J2248" s="64"/>
    </row>
    <row r="2249">
      <c r="A2249" s="64"/>
      <c r="D2249" s="56"/>
      <c r="J2249" s="64"/>
    </row>
    <row r="2250">
      <c r="A2250" s="64"/>
      <c r="D2250" s="56"/>
      <c r="J2250" s="64"/>
    </row>
    <row r="2251">
      <c r="A2251" s="64"/>
      <c r="D2251" s="56"/>
      <c r="J2251" s="64"/>
    </row>
    <row r="2252">
      <c r="A2252" s="64"/>
      <c r="D2252" s="56"/>
      <c r="J2252" s="64"/>
    </row>
    <row r="2253">
      <c r="A2253" s="64"/>
      <c r="D2253" s="56"/>
      <c r="J2253" s="64"/>
    </row>
    <row r="2254">
      <c r="A2254" s="64"/>
      <c r="D2254" s="56"/>
      <c r="J2254" s="64"/>
    </row>
    <row r="2255">
      <c r="A2255" s="64"/>
      <c r="D2255" s="56"/>
      <c r="J2255" s="64"/>
    </row>
    <row r="2256">
      <c r="A2256" s="64"/>
      <c r="D2256" s="56"/>
      <c r="J2256" s="64"/>
    </row>
    <row r="2257">
      <c r="A2257" s="64"/>
      <c r="D2257" s="56"/>
      <c r="J2257" s="64"/>
    </row>
    <row r="2258">
      <c r="A2258" s="64"/>
      <c r="D2258" s="56"/>
      <c r="J2258" s="64"/>
    </row>
    <row r="2259">
      <c r="A2259" s="64"/>
      <c r="D2259" s="56"/>
      <c r="J2259" s="64"/>
    </row>
    <row r="2260">
      <c r="A2260" s="64"/>
      <c r="D2260" s="56"/>
      <c r="J2260" s="64"/>
    </row>
    <row r="2261">
      <c r="A2261" s="64"/>
      <c r="D2261" s="56"/>
      <c r="J2261" s="64"/>
    </row>
    <row r="2262">
      <c r="A2262" s="64"/>
      <c r="D2262" s="56"/>
      <c r="J2262" s="64"/>
    </row>
    <row r="2263">
      <c r="A2263" s="64"/>
      <c r="D2263" s="56"/>
      <c r="J2263" s="64"/>
    </row>
    <row r="2264">
      <c r="A2264" s="64"/>
      <c r="D2264" s="56"/>
      <c r="J2264" s="64"/>
    </row>
    <row r="2265">
      <c r="A2265" s="64"/>
      <c r="D2265" s="56"/>
      <c r="J2265" s="64"/>
    </row>
    <row r="2266">
      <c r="A2266" s="64"/>
      <c r="D2266" s="56"/>
      <c r="J2266" s="64"/>
    </row>
    <row r="2267">
      <c r="A2267" s="64"/>
      <c r="D2267" s="56"/>
      <c r="J2267" s="64"/>
    </row>
    <row r="2268">
      <c r="A2268" s="64"/>
      <c r="D2268" s="56"/>
      <c r="J2268" s="64"/>
    </row>
    <row r="2269">
      <c r="A2269" s="64"/>
      <c r="D2269" s="56"/>
      <c r="J2269" s="64"/>
    </row>
    <row r="2270">
      <c r="A2270" s="64"/>
      <c r="D2270" s="56"/>
      <c r="J2270" s="64"/>
    </row>
    <row r="2271">
      <c r="A2271" s="64"/>
      <c r="D2271" s="56"/>
      <c r="J2271" s="64"/>
    </row>
    <row r="2272">
      <c r="A2272" s="64"/>
      <c r="D2272" s="56"/>
      <c r="J2272" s="64"/>
    </row>
    <row r="2273">
      <c r="A2273" s="64"/>
      <c r="D2273" s="56"/>
      <c r="J2273" s="64"/>
    </row>
    <row r="2274">
      <c r="A2274" s="64"/>
      <c r="D2274" s="56"/>
      <c r="J2274" s="64"/>
    </row>
    <row r="2275">
      <c r="A2275" s="64"/>
      <c r="D2275" s="56"/>
      <c r="J2275" s="64"/>
    </row>
    <row r="2276">
      <c r="A2276" s="64"/>
      <c r="D2276" s="56"/>
      <c r="J2276" s="64"/>
    </row>
    <row r="2277">
      <c r="A2277" s="64"/>
      <c r="D2277" s="56"/>
      <c r="J2277" s="64"/>
    </row>
    <row r="2278">
      <c r="A2278" s="64"/>
      <c r="D2278" s="56"/>
      <c r="J2278" s="64"/>
    </row>
    <row r="2279">
      <c r="A2279" s="64"/>
      <c r="D2279" s="56"/>
      <c r="J2279" s="64"/>
    </row>
    <row r="2280">
      <c r="A2280" s="64"/>
      <c r="D2280" s="56"/>
      <c r="J2280" s="64"/>
    </row>
    <row r="2281">
      <c r="A2281" s="64"/>
      <c r="D2281" s="56"/>
      <c r="J2281" s="64"/>
    </row>
    <row r="2282">
      <c r="A2282" s="64"/>
      <c r="D2282" s="56"/>
      <c r="J2282" s="64"/>
    </row>
    <row r="2283">
      <c r="A2283" s="64"/>
      <c r="D2283" s="56"/>
      <c r="J2283" s="64"/>
    </row>
    <row r="2284">
      <c r="A2284" s="64"/>
      <c r="D2284" s="56"/>
      <c r="J2284" s="64"/>
    </row>
    <row r="2285">
      <c r="A2285" s="64"/>
      <c r="D2285" s="56"/>
      <c r="J2285" s="64"/>
    </row>
    <row r="2286">
      <c r="A2286" s="64"/>
      <c r="D2286" s="56"/>
      <c r="J2286" s="64"/>
    </row>
    <row r="2287">
      <c r="A2287" s="64"/>
      <c r="D2287" s="56"/>
      <c r="J2287" s="64"/>
    </row>
    <row r="2288">
      <c r="A2288" s="64"/>
      <c r="D2288" s="56"/>
      <c r="J2288" s="64"/>
    </row>
    <row r="2289">
      <c r="A2289" s="64"/>
      <c r="D2289" s="56"/>
      <c r="J2289" s="64"/>
    </row>
    <row r="2290">
      <c r="A2290" s="64"/>
      <c r="D2290" s="56"/>
      <c r="J2290" s="64"/>
    </row>
    <row r="2291">
      <c r="A2291" s="64"/>
      <c r="D2291" s="56"/>
      <c r="J2291" s="64"/>
    </row>
    <row r="2292">
      <c r="A2292" s="64"/>
      <c r="D2292" s="56"/>
      <c r="J2292" s="64"/>
    </row>
    <row r="2293">
      <c r="A2293" s="64"/>
      <c r="D2293" s="56"/>
      <c r="J2293" s="64"/>
    </row>
    <row r="2294">
      <c r="A2294" s="64"/>
      <c r="D2294" s="56"/>
      <c r="J2294" s="64"/>
    </row>
    <row r="2295">
      <c r="A2295" s="64"/>
      <c r="D2295" s="56"/>
      <c r="J2295" s="64"/>
    </row>
    <row r="2296">
      <c r="A2296" s="64"/>
      <c r="D2296" s="56"/>
      <c r="J2296" s="64"/>
    </row>
    <row r="2297">
      <c r="A2297" s="64"/>
      <c r="D2297" s="56"/>
      <c r="J2297" s="64"/>
    </row>
    <row r="2298">
      <c r="A2298" s="64"/>
      <c r="D2298" s="56"/>
      <c r="J2298" s="64"/>
    </row>
    <row r="2299">
      <c r="A2299" s="64"/>
      <c r="D2299" s="56"/>
      <c r="J2299" s="64"/>
    </row>
    <row r="2300">
      <c r="A2300" s="64"/>
      <c r="D2300" s="56"/>
      <c r="J2300" s="64"/>
    </row>
    <row r="2301">
      <c r="A2301" s="64"/>
      <c r="D2301" s="56"/>
      <c r="J2301" s="64"/>
    </row>
    <row r="2302">
      <c r="A2302" s="64"/>
      <c r="D2302" s="56"/>
      <c r="J2302" s="64"/>
    </row>
    <row r="2303">
      <c r="A2303" s="64"/>
      <c r="D2303" s="56"/>
      <c r="J2303" s="64"/>
    </row>
    <row r="2304">
      <c r="A2304" s="64"/>
      <c r="D2304" s="56"/>
      <c r="J2304" s="64"/>
    </row>
    <row r="2305">
      <c r="A2305" s="64"/>
      <c r="D2305" s="56"/>
      <c r="J2305" s="64"/>
    </row>
    <row r="2306">
      <c r="A2306" s="64"/>
      <c r="D2306" s="56"/>
      <c r="J2306" s="64"/>
    </row>
    <row r="2307">
      <c r="A2307" s="64"/>
      <c r="D2307" s="56"/>
      <c r="J2307" s="64"/>
    </row>
    <row r="2308">
      <c r="A2308" s="64"/>
      <c r="D2308" s="56"/>
      <c r="J2308" s="64"/>
    </row>
    <row r="2309">
      <c r="A2309" s="64"/>
      <c r="D2309" s="56"/>
      <c r="J2309" s="64"/>
    </row>
    <row r="2310">
      <c r="A2310" s="64"/>
      <c r="D2310" s="56"/>
      <c r="J2310" s="64"/>
    </row>
    <row r="2311">
      <c r="A2311" s="64"/>
      <c r="D2311" s="56"/>
      <c r="J2311" s="64"/>
    </row>
    <row r="2312">
      <c r="A2312" s="64"/>
      <c r="D2312" s="56"/>
      <c r="J2312" s="64"/>
    </row>
    <row r="2313">
      <c r="A2313" s="64"/>
      <c r="D2313" s="56"/>
      <c r="J2313" s="64"/>
    </row>
    <row r="2314">
      <c r="A2314" s="64"/>
      <c r="D2314" s="56"/>
      <c r="J2314" s="64"/>
    </row>
    <row r="2315">
      <c r="A2315" s="64"/>
      <c r="D2315" s="56"/>
      <c r="J2315" s="64"/>
    </row>
    <row r="2316">
      <c r="A2316" s="64"/>
      <c r="D2316" s="56"/>
      <c r="J2316" s="64"/>
    </row>
    <row r="2317">
      <c r="A2317" s="64"/>
      <c r="D2317" s="56"/>
      <c r="J2317" s="64"/>
    </row>
    <row r="2318">
      <c r="A2318" s="64"/>
      <c r="D2318" s="56"/>
      <c r="J2318" s="64"/>
    </row>
    <row r="2319">
      <c r="A2319" s="64"/>
      <c r="D2319" s="56"/>
      <c r="J2319" s="64"/>
    </row>
    <row r="2320">
      <c r="A2320" s="64"/>
      <c r="D2320" s="56"/>
      <c r="J2320" s="64"/>
    </row>
    <row r="2321">
      <c r="A2321" s="64"/>
      <c r="D2321" s="56"/>
      <c r="J2321" s="64"/>
    </row>
    <row r="2322">
      <c r="A2322" s="64"/>
      <c r="D2322" s="56"/>
      <c r="J2322" s="64"/>
    </row>
    <row r="2323">
      <c r="A2323" s="64"/>
      <c r="D2323" s="56"/>
      <c r="J2323" s="64"/>
    </row>
    <row r="2324">
      <c r="A2324" s="64"/>
      <c r="D2324" s="56"/>
      <c r="J2324" s="64"/>
    </row>
    <row r="2325">
      <c r="A2325" s="64"/>
      <c r="D2325" s="56"/>
      <c r="J2325" s="64"/>
    </row>
    <row r="2326">
      <c r="A2326" s="64"/>
      <c r="D2326" s="56"/>
      <c r="J2326" s="64"/>
    </row>
    <row r="2327">
      <c r="A2327" s="64"/>
      <c r="D2327" s="56"/>
      <c r="J2327" s="64"/>
    </row>
    <row r="2328">
      <c r="A2328" s="64"/>
      <c r="D2328" s="56"/>
      <c r="J2328" s="64"/>
    </row>
    <row r="2329">
      <c r="A2329" s="64"/>
      <c r="D2329" s="56"/>
      <c r="J2329" s="64"/>
    </row>
    <row r="2330">
      <c r="A2330" s="64"/>
      <c r="D2330" s="56"/>
      <c r="J2330" s="64"/>
    </row>
    <row r="2331">
      <c r="A2331" s="64"/>
      <c r="D2331" s="56"/>
      <c r="J2331" s="64"/>
    </row>
    <row r="2332">
      <c r="A2332" s="64"/>
      <c r="D2332" s="56"/>
      <c r="J2332" s="64"/>
    </row>
    <row r="2333">
      <c r="A2333" s="64"/>
      <c r="D2333" s="56"/>
      <c r="J2333" s="64"/>
    </row>
    <row r="2334">
      <c r="A2334" s="64"/>
      <c r="D2334" s="56"/>
      <c r="J2334" s="64"/>
    </row>
    <row r="2335">
      <c r="A2335" s="64"/>
      <c r="D2335" s="56"/>
      <c r="J2335" s="64"/>
    </row>
    <row r="2336">
      <c r="A2336" s="64"/>
      <c r="D2336" s="56"/>
      <c r="J2336" s="64"/>
    </row>
    <row r="2337">
      <c r="A2337" s="64"/>
      <c r="D2337" s="56"/>
      <c r="J2337" s="64"/>
    </row>
    <row r="2338">
      <c r="A2338" s="64"/>
      <c r="D2338" s="56"/>
      <c r="J2338" s="64"/>
    </row>
    <row r="2339">
      <c r="A2339" s="64"/>
      <c r="D2339" s="56"/>
      <c r="J2339" s="64"/>
    </row>
    <row r="2340">
      <c r="A2340" s="64"/>
      <c r="D2340" s="56"/>
      <c r="J2340" s="64"/>
    </row>
    <row r="2341">
      <c r="A2341" s="64"/>
      <c r="D2341" s="56"/>
      <c r="J2341" s="64"/>
    </row>
    <row r="2342">
      <c r="A2342" s="64"/>
      <c r="D2342" s="56"/>
      <c r="J2342" s="64"/>
    </row>
    <row r="2343">
      <c r="A2343" s="64"/>
      <c r="D2343" s="56"/>
      <c r="J2343" s="64"/>
    </row>
    <row r="2344">
      <c r="A2344" s="64"/>
      <c r="D2344" s="56"/>
      <c r="J2344" s="64"/>
    </row>
    <row r="2345">
      <c r="A2345" s="64"/>
      <c r="D2345" s="56"/>
      <c r="J2345" s="64"/>
    </row>
    <row r="2346">
      <c r="A2346" s="64"/>
      <c r="D2346" s="56"/>
      <c r="J2346" s="64"/>
    </row>
    <row r="2347">
      <c r="A2347" s="64"/>
      <c r="D2347" s="56"/>
      <c r="J2347" s="64"/>
    </row>
    <row r="2348">
      <c r="A2348" s="64"/>
      <c r="D2348" s="56"/>
      <c r="J2348" s="64"/>
    </row>
    <row r="2349">
      <c r="A2349" s="64"/>
      <c r="D2349" s="56"/>
      <c r="J2349" s="64"/>
    </row>
    <row r="2350">
      <c r="A2350" s="64"/>
      <c r="D2350" s="56"/>
      <c r="J2350" s="64"/>
    </row>
    <row r="2351">
      <c r="A2351" s="64"/>
      <c r="D2351" s="56"/>
      <c r="J2351" s="64"/>
    </row>
    <row r="2352">
      <c r="A2352" s="64"/>
      <c r="D2352" s="56"/>
      <c r="J2352" s="64"/>
    </row>
    <row r="2353">
      <c r="A2353" s="64"/>
      <c r="D2353" s="56"/>
      <c r="J2353" s="64"/>
    </row>
    <row r="2354">
      <c r="A2354" s="64"/>
      <c r="D2354" s="56"/>
      <c r="J2354" s="64"/>
    </row>
    <row r="2355">
      <c r="A2355" s="64"/>
      <c r="D2355" s="56"/>
      <c r="J2355" s="64"/>
    </row>
    <row r="2356">
      <c r="A2356" s="64"/>
      <c r="D2356" s="56"/>
      <c r="J2356" s="64"/>
    </row>
    <row r="2357">
      <c r="A2357" s="64"/>
      <c r="D2357" s="56"/>
      <c r="J2357" s="64"/>
    </row>
    <row r="2358">
      <c r="A2358" s="64"/>
      <c r="D2358" s="56"/>
      <c r="J2358" s="64"/>
    </row>
    <row r="2359">
      <c r="A2359" s="64"/>
      <c r="D2359" s="56"/>
      <c r="J2359" s="64"/>
    </row>
    <row r="2360">
      <c r="A2360" s="64"/>
      <c r="D2360" s="56"/>
      <c r="J2360" s="64"/>
    </row>
    <row r="2361">
      <c r="A2361" s="64"/>
      <c r="D2361" s="56"/>
      <c r="J2361" s="64"/>
    </row>
    <row r="2362">
      <c r="A2362" s="64"/>
      <c r="D2362" s="56"/>
      <c r="J2362" s="64"/>
    </row>
    <row r="2363">
      <c r="A2363" s="64"/>
      <c r="D2363" s="56"/>
      <c r="J2363" s="64"/>
    </row>
    <row r="2364">
      <c r="A2364" s="64"/>
      <c r="D2364" s="56"/>
      <c r="J2364" s="64"/>
    </row>
    <row r="2365">
      <c r="A2365" s="64"/>
      <c r="D2365" s="56"/>
      <c r="J2365" s="64"/>
    </row>
    <row r="2366">
      <c r="A2366" s="64"/>
      <c r="D2366" s="56"/>
      <c r="J2366" s="64"/>
    </row>
    <row r="2367">
      <c r="A2367" s="64"/>
      <c r="D2367" s="56"/>
      <c r="J2367" s="64"/>
    </row>
    <row r="2368">
      <c r="A2368" s="64"/>
      <c r="D2368" s="56"/>
      <c r="J2368" s="64"/>
    </row>
    <row r="2369">
      <c r="A2369" s="64"/>
      <c r="D2369" s="56"/>
      <c r="J2369" s="64"/>
    </row>
    <row r="2370">
      <c r="A2370" s="64"/>
      <c r="D2370" s="56"/>
      <c r="J2370" s="64"/>
    </row>
    <row r="2371">
      <c r="A2371" s="64"/>
      <c r="D2371" s="56"/>
      <c r="J2371" s="64"/>
    </row>
    <row r="2372">
      <c r="A2372" s="64"/>
      <c r="D2372" s="56"/>
      <c r="J2372" s="64"/>
    </row>
    <row r="2373">
      <c r="A2373" s="64"/>
      <c r="D2373" s="56"/>
      <c r="J2373" s="64"/>
    </row>
    <row r="2374">
      <c r="A2374" s="64"/>
      <c r="D2374" s="56"/>
      <c r="J2374" s="64"/>
    </row>
    <row r="2375">
      <c r="A2375" s="64"/>
      <c r="D2375" s="56"/>
      <c r="J2375" s="64"/>
    </row>
    <row r="2376">
      <c r="A2376" s="64"/>
      <c r="D2376" s="56"/>
      <c r="J2376" s="64"/>
    </row>
    <row r="2377">
      <c r="A2377" s="64"/>
      <c r="D2377" s="56"/>
      <c r="J2377" s="64"/>
    </row>
    <row r="2378">
      <c r="A2378" s="64"/>
      <c r="D2378" s="56"/>
      <c r="J2378" s="64"/>
    </row>
    <row r="2379">
      <c r="A2379" s="64"/>
      <c r="D2379" s="56"/>
      <c r="J2379" s="64"/>
    </row>
    <row r="2380">
      <c r="A2380" s="64"/>
      <c r="D2380" s="56"/>
      <c r="J2380" s="64"/>
    </row>
    <row r="2381">
      <c r="A2381" s="64"/>
      <c r="D2381" s="56"/>
      <c r="J2381" s="64"/>
    </row>
    <row r="2382">
      <c r="A2382" s="64"/>
      <c r="D2382" s="56"/>
      <c r="J2382" s="64"/>
    </row>
    <row r="2383">
      <c r="A2383" s="64"/>
      <c r="D2383" s="56"/>
      <c r="J2383" s="64"/>
    </row>
    <row r="2384">
      <c r="A2384" s="64"/>
      <c r="D2384" s="56"/>
      <c r="J2384" s="64"/>
    </row>
    <row r="2385">
      <c r="A2385" s="64"/>
      <c r="D2385" s="56"/>
      <c r="J2385" s="64"/>
    </row>
    <row r="2386">
      <c r="A2386" s="64"/>
      <c r="D2386" s="56"/>
      <c r="J2386" s="64"/>
    </row>
    <row r="2387">
      <c r="A2387" s="64"/>
      <c r="D2387" s="56"/>
      <c r="J2387" s="64"/>
    </row>
    <row r="2388">
      <c r="A2388" s="64"/>
      <c r="D2388" s="56"/>
      <c r="J2388" s="64"/>
    </row>
    <row r="2389">
      <c r="A2389" s="64"/>
      <c r="D2389" s="56"/>
      <c r="J2389" s="64"/>
    </row>
    <row r="2390">
      <c r="A2390" s="64"/>
      <c r="D2390" s="56"/>
      <c r="J2390" s="64"/>
    </row>
    <row r="2391">
      <c r="A2391" s="64"/>
      <c r="D2391" s="56"/>
      <c r="J2391" s="64"/>
    </row>
    <row r="2392">
      <c r="A2392" s="64"/>
      <c r="D2392" s="56"/>
      <c r="J2392" s="64"/>
    </row>
    <row r="2393">
      <c r="A2393" s="64"/>
      <c r="D2393" s="56"/>
      <c r="J2393" s="64"/>
    </row>
    <row r="2394">
      <c r="A2394" s="64"/>
      <c r="D2394" s="56"/>
      <c r="J2394" s="64"/>
    </row>
    <row r="2395">
      <c r="A2395" s="64"/>
      <c r="D2395" s="56"/>
      <c r="J2395" s="64"/>
    </row>
    <row r="2396">
      <c r="A2396" s="64"/>
      <c r="D2396" s="56"/>
      <c r="J2396" s="64"/>
    </row>
    <row r="2397">
      <c r="A2397" s="64"/>
      <c r="D2397" s="56"/>
      <c r="J2397" s="64"/>
    </row>
    <row r="2398">
      <c r="A2398" s="64"/>
      <c r="D2398" s="56"/>
      <c r="J2398" s="64"/>
    </row>
    <row r="2399">
      <c r="A2399" s="64"/>
      <c r="D2399" s="56"/>
      <c r="J2399" s="64"/>
    </row>
    <row r="2400">
      <c r="A2400" s="64"/>
      <c r="D2400" s="56"/>
      <c r="J2400" s="64"/>
    </row>
    <row r="2401">
      <c r="A2401" s="64"/>
      <c r="D2401" s="56"/>
      <c r="J2401" s="64"/>
    </row>
    <row r="2402">
      <c r="A2402" s="64"/>
      <c r="D2402" s="56"/>
      <c r="J2402" s="64"/>
    </row>
    <row r="2403">
      <c r="A2403" s="64"/>
      <c r="D2403" s="56"/>
      <c r="J2403" s="64"/>
    </row>
    <row r="2404">
      <c r="A2404" s="64"/>
      <c r="D2404" s="56"/>
      <c r="J2404" s="64"/>
    </row>
    <row r="2405">
      <c r="A2405" s="64"/>
      <c r="D2405" s="56"/>
      <c r="J2405" s="64"/>
    </row>
    <row r="2406">
      <c r="A2406" s="64"/>
      <c r="D2406" s="56"/>
      <c r="J2406" s="64"/>
    </row>
    <row r="2407">
      <c r="A2407" s="64"/>
      <c r="D2407" s="56"/>
      <c r="J2407" s="64"/>
    </row>
    <row r="2408">
      <c r="A2408" s="64"/>
      <c r="D2408" s="56"/>
      <c r="J2408" s="64"/>
    </row>
    <row r="2409">
      <c r="A2409" s="64"/>
      <c r="D2409" s="56"/>
      <c r="J2409" s="64"/>
    </row>
    <row r="2410">
      <c r="A2410" s="64"/>
      <c r="D2410" s="56"/>
      <c r="J2410" s="64"/>
    </row>
    <row r="2411">
      <c r="A2411" s="64"/>
      <c r="D2411" s="56"/>
      <c r="J2411" s="64"/>
    </row>
    <row r="2412">
      <c r="A2412" s="64"/>
      <c r="D2412" s="56"/>
      <c r="J2412" s="64"/>
    </row>
    <row r="2413">
      <c r="A2413" s="64"/>
      <c r="D2413" s="56"/>
      <c r="J2413" s="64"/>
    </row>
    <row r="2414">
      <c r="A2414" s="64"/>
      <c r="D2414" s="56"/>
      <c r="J2414" s="64"/>
    </row>
    <row r="2415">
      <c r="A2415" s="64"/>
      <c r="D2415" s="56"/>
      <c r="J2415" s="64"/>
    </row>
    <row r="2416">
      <c r="A2416" s="64"/>
      <c r="D2416" s="56"/>
      <c r="J2416" s="64"/>
    </row>
    <row r="2417">
      <c r="A2417" s="64"/>
      <c r="D2417" s="56"/>
      <c r="J2417" s="64"/>
    </row>
    <row r="2418">
      <c r="A2418" s="64"/>
      <c r="D2418" s="56"/>
      <c r="J2418" s="64"/>
    </row>
    <row r="2419">
      <c r="A2419" s="64"/>
      <c r="D2419" s="56"/>
      <c r="J2419" s="64"/>
    </row>
    <row r="2420">
      <c r="A2420" s="64"/>
      <c r="D2420" s="56"/>
      <c r="J2420" s="64"/>
    </row>
    <row r="2421">
      <c r="A2421" s="64"/>
      <c r="D2421" s="56"/>
      <c r="J2421" s="64"/>
    </row>
    <row r="2422">
      <c r="A2422" s="64"/>
      <c r="D2422" s="56"/>
      <c r="J2422" s="64"/>
    </row>
    <row r="2423">
      <c r="A2423" s="64"/>
      <c r="D2423" s="56"/>
      <c r="J2423" s="64"/>
    </row>
    <row r="2424">
      <c r="A2424" s="64"/>
      <c r="D2424" s="56"/>
      <c r="J2424" s="64"/>
    </row>
    <row r="2425">
      <c r="A2425" s="64"/>
      <c r="D2425" s="56"/>
      <c r="J2425" s="64"/>
    </row>
    <row r="2426">
      <c r="A2426" s="64"/>
      <c r="D2426" s="56"/>
      <c r="J2426" s="64"/>
    </row>
    <row r="2427">
      <c r="A2427" s="64"/>
      <c r="D2427" s="56"/>
      <c r="J2427" s="64"/>
    </row>
    <row r="2428">
      <c r="A2428" s="64"/>
      <c r="D2428" s="56"/>
      <c r="J2428" s="64"/>
    </row>
    <row r="2429">
      <c r="A2429" s="64"/>
      <c r="D2429" s="56"/>
      <c r="J2429" s="64"/>
    </row>
    <row r="2430">
      <c r="A2430" s="64"/>
      <c r="D2430" s="56"/>
      <c r="J2430" s="64"/>
    </row>
    <row r="2431">
      <c r="A2431" s="64"/>
      <c r="D2431" s="56"/>
      <c r="J2431" s="64"/>
    </row>
    <row r="2432">
      <c r="A2432" s="64"/>
      <c r="D2432" s="56"/>
      <c r="J2432" s="64"/>
    </row>
    <row r="2433">
      <c r="A2433" s="64"/>
      <c r="D2433" s="56"/>
      <c r="J2433" s="64"/>
    </row>
    <row r="2434">
      <c r="A2434" s="64"/>
      <c r="D2434" s="56"/>
      <c r="J2434" s="64"/>
    </row>
    <row r="2435">
      <c r="A2435" s="64"/>
      <c r="D2435" s="56"/>
      <c r="J2435" s="64"/>
    </row>
    <row r="2436">
      <c r="A2436" s="64"/>
      <c r="D2436" s="56"/>
      <c r="J2436" s="64"/>
    </row>
    <row r="2437">
      <c r="A2437" s="64"/>
      <c r="D2437" s="56"/>
      <c r="J2437" s="64"/>
    </row>
    <row r="2438">
      <c r="A2438" s="64"/>
      <c r="D2438" s="56"/>
      <c r="J2438" s="64"/>
    </row>
    <row r="2439">
      <c r="A2439" s="64"/>
      <c r="D2439" s="56"/>
      <c r="J2439" s="64"/>
    </row>
    <row r="2440">
      <c r="A2440" s="64"/>
      <c r="D2440" s="56"/>
      <c r="J2440" s="64"/>
    </row>
    <row r="2441">
      <c r="A2441" s="64"/>
      <c r="D2441" s="56"/>
      <c r="J2441" s="64"/>
    </row>
    <row r="2442">
      <c r="A2442" s="64"/>
      <c r="D2442" s="56"/>
      <c r="J2442" s="64"/>
    </row>
    <row r="2443">
      <c r="A2443" s="64"/>
      <c r="D2443" s="56"/>
      <c r="J2443" s="64"/>
    </row>
    <row r="2444">
      <c r="A2444" s="64"/>
      <c r="D2444" s="56"/>
      <c r="J2444" s="64"/>
    </row>
    <row r="2445">
      <c r="A2445" s="64"/>
      <c r="D2445" s="56"/>
      <c r="J2445" s="64"/>
    </row>
    <row r="2446">
      <c r="A2446" s="64"/>
      <c r="D2446" s="56"/>
      <c r="J2446" s="64"/>
    </row>
    <row r="2447">
      <c r="A2447" s="64"/>
      <c r="D2447" s="56"/>
      <c r="J2447" s="64"/>
    </row>
    <row r="2448">
      <c r="A2448" s="64"/>
      <c r="D2448" s="56"/>
      <c r="J2448" s="64"/>
    </row>
    <row r="2449">
      <c r="A2449" s="64"/>
      <c r="D2449" s="56"/>
      <c r="J2449" s="64"/>
    </row>
    <row r="2450">
      <c r="A2450" s="64"/>
      <c r="D2450" s="56"/>
      <c r="J2450" s="64"/>
    </row>
    <row r="2451">
      <c r="A2451" s="64"/>
      <c r="D2451" s="56"/>
      <c r="J2451" s="64"/>
    </row>
    <row r="2452">
      <c r="A2452" s="64"/>
      <c r="D2452" s="56"/>
      <c r="J2452" s="64"/>
    </row>
    <row r="2453">
      <c r="A2453" s="64"/>
      <c r="D2453" s="56"/>
      <c r="J2453" s="64"/>
    </row>
    <row r="2454">
      <c r="A2454" s="64"/>
      <c r="D2454" s="56"/>
      <c r="J2454" s="64"/>
    </row>
    <row r="2455">
      <c r="A2455" s="64"/>
      <c r="D2455" s="56"/>
      <c r="J2455" s="64"/>
    </row>
    <row r="2456">
      <c r="A2456" s="64"/>
      <c r="D2456" s="56"/>
      <c r="J2456" s="64"/>
    </row>
    <row r="2457">
      <c r="A2457" s="64"/>
      <c r="D2457" s="56"/>
      <c r="J2457" s="64"/>
    </row>
    <row r="2458">
      <c r="A2458" s="64"/>
      <c r="D2458" s="56"/>
      <c r="J2458" s="64"/>
    </row>
    <row r="2459">
      <c r="A2459" s="64"/>
      <c r="D2459" s="56"/>
      <c r="J2459" s="64"/>
    </row>
    <row r="2460">
      <c r="A2460" s="64"/>
      <c r="D2460" s="56"/>
      <c r="J2460" s="64"/>
    </row>
    <row r="2461">
      <c r="A2461" s="64"/>
      <c r="D2461" s="56"/>
      <c r="J2461" s="64"/>
    </row>
    <row r="2462">
      <c r="A2462" s="64"/>
      <c r="D2462" s="56"/>
      <c r="J2462" s="64"/>
    </row>
    <row r="2463">
      <c r="A2463" s="64"/>
      <c r="D2463" s="56"/>
      <c r="J2463" s="64"/>
    </row>
    <row r="2464">
      <c r="A2464" s="64"/>
      <c r="D2464" s="56"/>
      <c r="J2464" s="64"/>
    </row>
    <row r="2465">
      <c r="A2465" s="64"/>
      <c r="D2465" s="56"/>
      <c r="J2465" s="64"/>
    </row>
    <row r="2466">
      <c r="A2466" s="64"/>
      <c r="D2466" s="56"/>
      <c r="J2466" s="64"/>
    </row>
    <row r="2467">
      <c r="A2467" s="64"/>
      <c r="D2467" s="56"/>
      <c r="J2467" s="64"/>
    </row>
    <row r="2468">
      <c r="A2468" s="64"/>
      <c r="D2468" s="56"/>
      <c r="J2468" s="64"/>
    </row>
    <row r="2469">
      <c r="A2469" s="64"/>
      <c r="D2469" s="56"/>
      <c r="J2469" s="64"/>
    </row>
    <row r="2470">
      <c r="A2470" s="64"/>
      <c r="D2470" s="56"/>
      <c r="J2470" s="64"/>
    </row>
    <row r="2471">
      <c r="A2471" s="64"/>
      <c r="D2471" s="56"/>
      <c r="J2471" s="64"/>
    </row>
    <row r="2472">
      <c r="A2472" s="64"/>
      <c r="D2472" s="56"/>
      <c r="J2472" s="64"/>
    </row>
    <row r="2473">
      <c r="A2473" s="64"/>
      <c r="D2473" s="56"/>
      <c r="J2473" s="64"/>
    </row>
    <row r="2474">
      <c r="A2474" s="64"/>
      <c r="D2474" s="56"/>
      <c r="J2474" s="64"/>
    </row>
    <row r="2475">
      <c r="A2475" s="64"/>
      <c r="D2475" s="56"/>
      <c r="J2475" s="64"/>
    </row>
    <row r="2476">
      <c r="A2476" s="64"/>
      <c r="D2476" s="56"/>
      <c r="J2476" s="64"/>
    </row>
    <row r="2477">
      <c r="A2477" s="64"/>
      <c r="D2477" s="56"/>
      <c r="J2477" s="64"/>
    </row>
    <row r="2478">
      <c r="A2478" s="64"/>
      <c r="D2478" s="56"/>
      <c r="J2478" s="64"/>
    </row>
    <row r="2479">
      <c r="A2479" s="64"/>
      <c r="D2479" s="56"/>
      <c r="J2479" s="64"/>
    </row>
    <row r="2480">
      <c r="A2480" s="64"/>
      <c r="D2480" s="56"/>
      <c r="J2480" s="64"/>
    </row>
    <row r="2481">
      <c r="A2481" s="64"/>
      <c r="D2481" s="56"/>
      <c r="J2481" s="64"/>
    </row>
    <row r="2482">
      <c r="A2482" s="64"/>
      <c r="D2482" s="56"/>
      <c r="J2482" s="64"/>
    </row>
    <row r="2483">
      <c r="A2483" s="64"/>
      <c r="D2483" s="56"/>
      <c r="J2483" s="64"/>
    </row>
    <row r="2484">
      <c r="A2484" s="64"/>
      <c r="D2484" s="56"/>
      <c r="J2484" s="64"/>
    </row>
    <row r="2485">
      <c r="A2485" s="64"/>
      <c r="D2485" s="56"/>
      <c r="J2485" s="64"/>
    </row>
    <row r="2486">
      <c r="A2486" s="64"/>
      <c r="D2486" s="56"/>
      <c r="J2486" s="64"/>
    </row>
    <row r="2487">
      <c r="A2487" s="64"/>
      <c r="D2487" s="56"/>
      <c r="J2487" s="64"/>
    </row>
    <row r="2488">
      <c r="A2488" s="64"/>
      <c r="D2488" s="56"/>
      <c r="J2488" s="64"/>
    </row>
    <row r="2489">
      <c r="A2489" s="64"/>
      <c r="D2489" s="56"/>
      <c r="J2489" s="64"/>
    </row>
    <row r="2490">
      <c r="A2490" s="64"/>
      <c r="D2490" s="56"/>
      <c r="J2490" s="64"/>
    </row>
    <row r="2491">
      <c r="A2491" s="64"/>
      <c r="D2491" s="56"/>
      <c r="J2491" s="64"/>
    </row>
    <row r="2492">
      <c r="A2492" s="64"/>
      <c r="D2492" s="56"/>
      <c r="J2492" s="64"/>
    </row>
    <row r="2493">
      <c r="A2493" s="64"/>
      <c r="D2493" s="63"/>
      <c r="J2493" s="64"/>
    </row>
    <row r="2494">
      <c r="A2494" s="64"/>
      <c r="D2494" s="63"/>
      <c r="J2494" s="64"/>
    </row>
    <row r="2495">
      <c r="A2495" s="64"/>
      <c r="D2495" s="63"/>
      <c r="J2495" s="64"/>
    </row>
    <row r="2496">
      <c r="A2496" s="64"/>
      <c r="D2496" s="63"/>
      <c r="J2496" s="64"/>
    </row>
    <row r="2497">
      <c r="A2497" s="64"/>
      <c r="D2497" s="63"/>
      <c r="J2497" s="64"/>
    </row>
    <row r="2498">
      <c r="A2498" s="64"/>
      <c r="D2498" s="63"/>
      <c r="J2498" s="64"/>
    </row>
    <row r="2499">
      <c r="A2499" s="64"/>
      <c r="D2499" s="62"/>
      <c r="J2499" s="64"/>
    </row>
    <row r="2500">
      <c r="A2500" s="64"/>
      <c r="D2500" s="63"/>
      <c r="J2500" s="64"/>
    </row>
    <row r="2501">
      <c r="A2501" s="64"/>
      <c r="D2501" s="63"/>
      <c r="J2501" s="64"/>
    </row>
    <row r="2502">
      <c r="A2502" s="64"/>
      <c r="D2502" s="63"/>
      <c r="J2502" s="64"/>
    </row>
    <row r="2503">
      <c r="A2503" s="64"/>
      <c r="D2503" s="63"/>
      <c r="J2503" s="64"/>
    </row>
    <row r="2504">
      <c r="A2504" s="64"/>
      <c r="D2504" s="63"/>
      <c r="J2504" s="64"/>
    </row>
    <row r="2505">
      <c r="A2505" s="64"/>
      <c r="D2505" s="63"/>
      <c r="J2505" s="64"/>
    </row>
    <row r="2506">
      <c r="A2506" s="64"/>
      <c r="D2506" s="63"/>
      <c r="J2506" s="64"/>
    </row>
    <row r="2507">
      <c r="A2507" s="64"/>
      <c r="D2507" s="63"/>
      <c r="J2507" s="64"/>
    </row>
    <row r="2508">
      <c r="A2508" s="64"/>
      <c r="D2508" s="63"/>
      <c r="J2508" s="64"/>
    </row>
    <row r="2509">
      <c r="A2509" s="64"/>
      <c r="D2509" s="63"/>
      <c r="J2509" s="64"/>
    </row>
    <row r="2510">
      <c r="A2510" s="64"/>
      <c r="D2510" s="63"/>
      <c r="J2510" s="64"/>
    </row>
    <row r="2511">
      <c r="A2511" s="64"/>
      <c r="D2511" s="63"/>
      <c r="J2511" s="64"/>
    </row>
    <row r="2512">
      <c r="A2512" s="64"/>
      <c r="D2512" s="63"/>
      <c r="J2512" s="64"/>
    </row>
    <row r="2513">
      <c r="A2513" s="64"/>
      <c r="D2513" s="63"/>
      <c r="J2513" s="64"/>
    </row>
    <row r="2514">
      <c r="A2514" s="64"/>
      <c r="D2514" s="63"/>
      <c r="J2514" s="64"/>
    </row>
    <row r="2515">
      <c r="A2515" s="64"/>
      <c r="D2515" s="63"/>
      <c r="J2515" s="64"/>
    </row>
    <row r="2516">
      <c r="A2516" s="64"/>
      <c r="D2516" s="63"/>
      <c r="J2516" s="64"/>
    </row>
    <row r="2517">
      <c r="A2517" s="64"/>
      <c r="D2517" s="63"/>
      <c r="J2517" s="64"/>
    </row>
    <row r="2518">
      <c r="A2518" s="64"/>
      <c r="D2518" s="63"/>
      <c r="J2518" s="64"/>
    </row>
    <row r="2519">
      <c r="A2519" s="64"/>
      <c r="D2519" s="63"/>
      <c r="J2519" s="64"/>
    </row>
    <row r="2520">
      <c r="A2520" s="64"/>
      <c r="D2520" s="63"/>
      <c r="J2520" s="64"/>
    </row>
    <row r="2521">
      <c r="A2521" s="64"/>
      <c r="D2521" s="63"/>
      <c r="J2521" s="64"/>
    </row>
    <row r="2522">
      <c r="A2522" s="64"/>
      <c r="D2522" s="63"/>
      <c r="J2522" s="64"/>
    </row>
    <row r="2523">
      <c r="A2523" s="64"/>
      <c r="D2523" s="63"/>
      <c r="J2523" s="64"/>
    </row>
    <row r="2524">
      <c r="A2524" s="64"/>
      <c r="D2524" s="63"/>
      <c r="J2524" s="64"/>
    </row>
    <row r="2525">
      <c r="A2525" s="64"/>
      <c r="D2525" s="63"/>
      <c r="J2525" s="64"/>
    </row>
    <row r="2526">
      <c r="A2526" s="64"/>
      <c r="D2526" s="63"/>
      <c r="J2526" s="64"/>
    </row>
    <row r="2527">
      <c r="A2527" s="64"/>
      <c r="D2527" s="63"/>
      <c r="J2527" s="64"/>
    </row>
    <row r="2528">
      <c r="A2528" s="64"/>
      <c r="D2528" s="63"/>
      <c r="J2528" s="64"/>
    </row>
    <row r="2529">
      <c r="A2529" s="64"/>
      <c r="D2529" s="63"/>
      <c r="J2529" s="64"/>
    </row>
    <row r="2530">
      <c r="A2530" s="64"/>
      <c r="D2530" s="63"/>
      <c r="J2530" s="64"/>
    </row>
    <row r="2531">
      <c r="A2531" s="64"/>
      <c r="D2531" s="63"/>
      <c r="J2531" s="64"/>
    </row>
    <row r="2532">
      <c r="A2532" s="64"/>
      <c r="D2532" s="63"/>
      <c r="J2532" s="64"/>
    </row>
    <row r="2533">
      <c r="A2533" s="64"/>
      <c r="D2533" s="63"/>
      <c r="J2533" s="64"/>
    </row>
    <row r="2534">
      <c r="A2534" s="64"/>
      <c r="D2534" s="63"/>
      <c r="J2534" s="64"/>
    </row>
    <row r="2535">
      <c r="A2535" s="64"/>
      <c r="D2535" s="63"/>
      <c r="J2535" s="64"/>
    </row>
    <row r="2536">
      <c r="A2536" s="64"/>
      <c r="D2536" s="63"/>
      <c r="J2536" s="64"/>
    </row>
    <row r="2537">
      <c r="A2537" s="64"/>
      <c r="D2537" s="63"/>
      <c r="J2537" s="64"/>
    </row>
    <row r="2538">
      <c r="A2538" s="64"/>
      <c r="D2538" s="63"/>
      <c r="J2538" s="64"/>
    </row>
    <row r="2539">
      <c r="A2539" s="64"/>
      <c r="D2539" s="63"/>
      <c r="J2539" s="64"/>
    </row>
    <row r="2540">
      <c r="A2540" s="64"/>
      <c r="D2540" s="63"/>
      <c r="J2540" s="64"/>
    </row>
    <row r="2541">
      <c r="A2541" s="64"/>
      <c r="D2541" s="63"/>
      <c r="J2541" s="64"/>
    </row>
    <row r="2542">
      <c r="A2542" s="64"/>
      <c r="D2542" s="63"/>
      <c r="J2542" s="64"/>
    </row>
    <row r="2543">
      <c r="A2543" s="64"/>
      <c r="D2543" s="63"/>
      <c r="J2543" s="64"/>
    </row>
    <row r="2544">
      <c r="A2544" s="64"/>
      <c r="D2544" s="63"/>
      <c r="J2544" s="64"/>
    </row>
    <row r="2545">
      <c r="A2545" s="64"/>
      <c r="D2545" s="63"/>
      <c r="J2545" s="64"/>
    </row>
    <row r="2546">
      <c r="A2546" s="64"/>
      <c r="D2546" s="63"/>
      <c r="J2546" s="64"/>
    </row>
    <row r="2547">
      <c r="A2547" s="64"/>
      <c r="D2547" s="63"/>
      <c r="J2547" s="64"/>
    </row>
    <row r="2548">
      <c r="A2548" s="64"/>
      <c r="D2548" s="63"/>
      <c r="J2548" s="64"/>
    </row>
    <row r="2549">
      <c r="A2549" s="64"/>
      <c r="D2549" s="63"/>
      <c r="J2549" s="64"/>
    </row>
    <row r="2550">
      <c r="A2550" s="64"/>
      <c r="D2550" s="63"/>
      <c r="J2550" s="64"/>
    </row>
    <row r="2551">
      <c r="A2551" s="64"/>
      <c r="D2551" s="63"/>
      <c r="J2551" s="64"/>
    </row>
    <row r="2552">
      <c r="A2552" s="64"/>
      <c r="D2552" s="63"/>
      <c r="J2552" s="64"/>
    </row>
    <row r="2553">
      <c r="A2553" s="64"/>
      <c r="D2553" s="63"/>
      <c r="J2553" s="64"/>
    </row>
    <row r="2554">
      <c r="A2554" s="64"/>
      <c r="D2554" s="63"/>
      <c r="J2554" s="64"/>
    </row>
    <row r="2555">
      <c r="A2555" s="64"/>
      <c r="D2555" s="63"/>
      <c r="J2555" s="64"/>
    </row>
    <row r="2556">
      <c r="A2556" s="64"/>
      <c r="D2556" s="63"/>
      <c r="J2556" s="64"/>
    </row>
    <row r="2557">
      <c r="A2557" s="64"/>
      <c r="D2557" s="63"/>
      <c r="J2557" s="64"/>
    </row>
    <row r="2558">
      <c r="A2558" s="64"/>
      <c r="D2558" s="63"/>
      <c r="J2558" s="64"/>
    </row>
    <row r="2559">
      <c r="A2559" s="64"/>
      <c r="D2559" s="63"/>
      <c r="J2559" s="64"/>
    </row>
    <row r="2560">
      <c r="A2560" s="64"/>
      <c r="D2560" s="63"/>
      <c r="J2560" s="64"/>
    </row>
    <row r="2561">
      <c r="A2561" s="64"/>
      <c r="D2561" s="63"/>
      <c r="J2561" s="64"/>
    </row>
    <row r="2562">
      <c r="A2562" s="64"/>
      <c r="D2562" s="63"/>
      <c r="J2562" s="64"/>
    </row>
    <row r="2563">
      <c r="A2563" s="64"/>
      <c r="D2563" s="63"/>
      <c r="J2563" s="64"/>
    </row>
    <row r="2564">
      <c r="A2564" s="64"/>
      <c r="D2564" s="63"/>
      <c r="J2564" s="64"/>
    </row>
    <row r="2565">
      <c r="A2565" s="64"/>
      <c r="D2565" s="63"/>
      <c r="J2565" s="64"/>
    </row>
    <row r="2566">
      <c r="A2566" s="64"/>
      <c r="D2566" s="63"/>
      <c r="J2566" s="64"/>
    </row>
    <row r="2567">
      <c r="A2567" s="64"/>
      <c r="D2567" s="63"/>
      <c r="J2567" s="64"/>
    </row>
    <row r="2568">
      <c r="A2568" s="64"/>
      <c r="D2568" s="63"/>
      <c r="J2568" s="64"/>
    </row>
    <row r="2569">
      <c r="A2569" s="64"/>
      <c r="D2569" s="63"/>
      <c r="J2569" s="64"/>
    </row>
    <row r="2570">
      <c r="A2570" s="64"/>
      <c r="D2570" s="63"/>
      <c r="J2570" s="64"/>
    </row>
    <row r="2571">
      <c r="A2571" s="64"/>
      <c r="D2571" s="63"/>
      <c r="J2571" s="64"/>
    </row>
    <row r="2572">
      <c r="A2572" s="64"/>
      <c r="D2572" s="63"/>
      <c r="J2572" s="64"/>
    </row>
    <row r="2573">
      <c r="A2573" s="64"/>
      <c r="D2573" s="63"/>
      <c r="J2573" s="64"/>
    </row>
    <row r="2574">
      <c r="A2574" s="64"/>
      <c r="D2574" s="63"/>
      <c r="J2574" s="64"/>
    </row>
    <row r="2575">
      <c r="A2575" s="64"/>
      <c r="D2575" s="63"/>
      <c r="J2575" s="64"/>
    </row>
    <row r="2576">
      <c r="A2576" s="64"/>
      <c r="D2576" s="63"/>
      <c r="J2576" s="64"/>
    </row>
    <row r="2577">
      <c r="A2577" s="64"/>
      <c r="D2577" s="63"/>
      <c r="J2577" s="64"/>
    </row>
    <row r="2578">
      <c r="A2578" s="64"/>
      <c r="D2578" s="63"/>
      <c r="J2578" s="64"/>
    </row>
    <row r="2579">
      <c r="A2579" s="64"/>
      <c r="D2579" s="63"/>
      <c r="J2579" s="64"/>
    </row>
    <row r="2580">
      <c r="A2580" s="64"/>
      <c r="D2580" s="63"/>
      <c r="J2580" s="64"/>
    </row>
    <row r="2581">
      <c r="A2581" s="64"/>
      <c r="D2581" s="63"/>
      <c r="J2581" s="64"/>
    </row>
    <row r="2582">
      <c r="A2582" s="64"/>
      <c r="D2582" s="63"/>
      <c r="J2582" s="64"/>
    </row>
    <row r="2583">
      <c r="A2583" s="64"/>
      <c r="D2583" s="63"/>
      <c r="J2583" s="64"/>
    </row>
    <row r="2584">
      <c r="A2584" s="64"/>
      <c r="D2584" s="63"/>
      <c r="J2584" s="64"/>
    </row>
    <row r="2585">
      <c r="A2585" s="64"/>
      <c r="D2585" s="63"/>
      <c r="J2585" s="64"/>
    </row>
    <row r="2586">
      <c r="A2586" s="64"/>
      <c r="D2586" s="63"/>
      <c r="J2586" s="64"/>
    </row>
    <row r="2587">
      <c r="A2587" s="64"/>
      <c r="D2587" s="63"/>
      <c r="J2587" s="64"/>
    </row>
    <row r="2588">
      <c r="A2588" s="64"/>
      <c r="D2588" s="62"/>
      <c r="J2588" s="64"/>
    </row>
    <row r="2589">
      <c r="A2589" s="64"/>
      <c r="D2589" s="63"/>
      <c r="J2589" s="64"/>
    </row>
    <row r="2590">
      <c r="A2590" s="64"/>
      <c r="D2590" s="63"/>
      <c r="J2590" s="64"/>
    </row>
    <row r="2591">
      <c r="A2591" s="64"/>
      <c r="D2591" s="63"/>
      <c r="J2591" s="64"/>
    </row>
    <row r="2592">
      <c r="A2592" s="64"/>
      <c r="D2592" s="63"/>
      <c r="J2592" s="64"/>
    </row>
    <row r="2593">
      <c r="A2593" s="64"/>
      <c r="D2593" s="63"/>
      <c r="J2593" s="64"/>
    </row>
    <row r="2594">
      <c r="A2594" s="64"/>
      <c r="D2594" s="63"/>
      <c r="J2594" s="64"/>
    </row>
    <row r="2595">
      <c r="A2595" s="64"/>
      <c r="D2595" s="63"/>
      <c r="J2595" s="64"/>
    </row>
    <row r="2596">
      <c r="A2596" s="64"/>
      <c r="D2596" s="63"/>
      <c r="J2596" s="64"/>
    </row>
    <row r="2597">
      <c r="A2597" s="64"/>
      <c r="D2597" s="63"/>
      <c r="J2597" s="64"/>
    </row>
    <row r="2598">
      <c r="A2598" s="64"/>
      <c r="D2598" s="63"/>
      <c r="J2598" s="64"/>
    </row>
    <row r="2599">
      <c r="A2599" s="64"/>
      <c r="D2599" s="63"/>
      <c r="J2599" s="64"/>
    </row>
    <row r="2600">
      <c r="A2600" s="64"/>
      <c r="D2600" s="63"/>
      <c r="J2600" s="64"/>
    </row>
    <row r="2601">
      <c r="A2601" s="64"/>
      <c r="D2601" s="63"/>
      <c r="J2601" s="64"/>
    </row>
    <row r="2602">
      <c r="A2602" s="64"/>
      <c r="D2602" s="63"/>
      <c r="J2602" s="64"/>
    </row>
    <row r="2603">
      <c r="A2603" s="64"/>
      <c r="D2603" s="63"/>
      <c r="J2603" s="64"/>
    </row>
    <row r="2604">
      <c r="A2604" s="64"/>
      <c r="D2604" s="63"/>
      <c r="J2604" s="64"/>
    </row>
    <row r="2605">
      <c r="A2605" s="64"/>
      <c r="D2605" s="63"/>
      <c r="J2605" s="64"/>
    </row>
    <row r="2606">
      <c r="A2606" s="64"/>
      <c r="D2606" s="63"/>
      <c r="J2606" s="64"/>
    </row>
    <row r="2607">
      <c r="A2607" s="64"/>
      <c r="D2607" s="63"/>
      <c r="J2607" s="64"/>
    </row>
    <row r="2608">
      <c r="A2608" s="64"/>
      <c r="D2608" s="63"/>
      <c r="J2608" s="64"/>
    </row>
    <row r="2609">
      <c r="A2609" s="64"/>
      <c r="D2609" s="63"/>
      <c r="J2609" s="64"/>
    </row>
    <row r="2610">
      <c r="A2610" s="64"/>
      <c r="D2610" s="63"/>
      <c r="J2610" s="64"/>
    </row>
    <row r="2611">
      <c r="A2611" s="64"/>
      <c r="D2611" s="63"/>
      <c r="J2611" s="64"/>
    </row>
    <row r="2612">
      <c r="A2612" s="64"/>
      <c r="D2612" s="63"/>
      <c r="J2612" s="64"/>
    </row>
    <row r="2613">
      <c r="A2613" s="64"/>
      <c r="D2613" s="63"/>
      <c r="J2613" s="64"/>
    </row>
    <row r="2614">
      <c r="A2614" s="64"/>
      <c r="D2614" s="63"/>
      <c r="J2614" s="64"/>
    </row>
    <row r="2615">
      <c r="A2615" s="64"/>
      <c r="D2615" s="63"/>
      <c r="J2615" s="64"/>
    </row>
    <row r="2616">
      <c r="A2616" s="64"/>
      <c r="D2616" s="63"/>
      <c r="J2616" s="64"/>
    </row>
    <row r="2617">
      <c r="A2617" s="64"/>
      <c r="D2617" s="63"/>
      <c r="J2617" s="64"/>
    </row>
    <row r="2618">
      <c r="A2618" s="64"/>
      <c r="D2618" s="63"/>
      <c r="J2618" s="64"/>
    </row>
    <row r="2619">
      <c r="A2619" s="64"/>
      <c r="D2619" s="63"/>
      <c r="J2619" s="64"/>
    </row>
    <row r="2620">
      <c r="A2620" s="64"/>
      <c r="D2620" s="63"/>
      <c r="J2620" s="64"/>
    </row>
    <row r="2621">
      <c r="A2621" s="64"/>
      <c r="D2621" s="63"/>
      <c r="J2621" s="64"/>
    </row>
    <row r="2622">
      <c r="A2622" s="64"/>
      <c r="D2622" s="63"/>
      <c r="J2622" s="64"/>
    </row>
    <row r="2623">
      <c r="A2623" s="64"/>
      <c r="D2623" s="63"/>
      <c r="J2623" s="64"/>
    </row>
    <row r="2624">
      <c r="A2624" s="64"/>
      <c r="D2624" s="63"/>
      <c r="J2624" s="64"/>
    </row>
    <row r="2625">
      <c r="A2625" s="64"/>
      <c r="D2625" s="63"/>
      <c r="J2625" s="64"/>
    </row>
    <row r="2626">
      <c r="A2626" s="64"/>
      <c r="D2626" s="63"/>
      <c r="J2626" s="64"/>
    </row>
    <row r="2627">
      <c r="A2627" s="64"/>
      <c r="D2627" s="63"/>
      <c r="J2627" s="64"/>
    </row>
    <row r="2628">
      <c r="A2628" s="64"/>
      <c r="D2628" s="63"/>
      <c r="J2628" s="64"/>
    </row>
    <row r="2629">
      <c r="A2629" s="64"/>
      <c r="D2629" s="63"/>
      <c r="J2629" s="64"/>
    </row>
    <row r="2630">
      <c r="A2630" s="64"/>
      <c r="D2630" s="63"/>
      <c r="J2630" s="64"/>
    </row>
    <row r="2631">
      <c r="A2631" s="64"/>
      <c r="D2631" s="63"/>
      <c r="J2631" s="64"/>
    </row>
    <row r="2632">
      <c r="A2632" s="64"/>
      <c r="D2632" s="63"/>
      <c r="J2632" s="64"/>
    </row>
    <row r="2633">
      <c r="A2633" s="64"/>
      <c r="D2633" s="63"/>
      <c r="J2633" s="64"/>
    </row>
    <row r="2634">
      <c r="A2634" s="64"/>
      <c r="D2634" s="63"/>
      <c r="J2634" s="64"/>
    </row>
    <row r="2635">
      <c r="A2635" s="64"/>
      <c r="D2635" s="63"/>
      <c r="J2635" s="64"/>
    </row>
    <row r="2636">
      <c r="A2636" s="64"/>
      <c r="D2636" s="63"/>
      <c r="J2636" s="64"/>
    </row>
    <row r="2637">
      <c r="A2637" s="64"/>
      <c r="D2637" s="63"/>
      <c r="J2637" s="64"/>
    </row>
    <row r="2638">
      <c r="A2638" s="64"/>
      <c r="D2638" s="63"/>
      <c r="J2638" s="64"/>
    </row>
    <row r="2639">
      <c r="A2639" s="64"/>
      <c r="D2639" s="63"/>
      <c r="J2639" s="64"/>
    </row>
    <row r="2640">
      <c r="A2640" s="64"/>
      <c r="D2640" s="63"/>
      <c r="J2640" s="64"/>
    </row>
    <row r="2641">
      <c r="A2641" s="64"/>
      <c r="D2641" s="63"/>
      <c r="J2641" s="64"/>
    </row>
    <row r="2642">
      <c r="A2642" s="64"/>
      <c r="D2642" s="63"/>
      <c r="J2642" s="64"/>
    </row>
    <row r="2643">
      <c r="A2643" s="64"/>
      <c r="D2643" s="63"/>
      <c r="J2643" s="64"/>
    </row>
    <row r="2644">
      <c r="A2644" s="64"/>
      <c r="D2644" s="63"/>
      <c r="J2644" s="64"/>
    </row>
    <row r="2645">
      <c r="A2645" s="64"/>
      <c r="D2645" s="63"/>
      <c r="J2645" s="64"/>
    </row>
    <row r="2646">
      <c r="A2646" s="64"/>
      <c r="D2646" s="63"/>
      <c r="J2646" s="64"/>
    </row>
    <row r="2647">
      <c r="A2647" s="64"/>
      <c r="D2647" s="63"/>
      <c r="J2647" s="64"/>
    </row>
    <row r="2648">
      <c r="A2648" s="64"/>
      <c r="D2648" s="63"/>
      <c r="J2648" s="64"/>
    </row>
    <row r="2649">
      <c r="A2649" s="64"/>
      <c r="D2649" s="63"/>
      <c r="J2649" s="64"/>
    </row>
    <row r="2650">
      <c r="A2650" s="64"/>
      <c r="D2650" s="63"/>
      <c r="J2650" s="64"/>
    </row>
    <row r="2651">
      <c r="A2651" s="64"/>
      <c r="D2651" s="63"/>
      <c r="J2651" s="64"/>
    </row>
    <row r="2652">
      <c r="A2652" s="64"/>
      <c r="D2652" s="63"/>
      <c r="J2652" s="64"/>
    </row>
    <row r="2653">
      <c r="A2653" s="64"/>
      <c r="D2653" s="63"/>
      <c r="J2653" s="64"/>
    </row>
    <row r="2654">
      <c r="A2654" s="64"/>
      <c r="D2654" s="63"/>
      <c r="J2654" s="64"/>
    </row>
    <row r="2655">
      <c r="A2655" s="64"/>
      <c r="D2655" s="63"/>
      <c r="J2655" s="64"/>
    </row>
    <row r="2656">
      <c r="A2656" s="64"/>
      <c r="D2656" s="63"/>
      <c r="J2656" s="64"/>
    </row>
    <row r="2657">
      <c r="A2657" s="64"/>
      <c r="D2657" s="63"/>
      <c r="J2657" s="64"/>
    </row>
    <row r="2658">
      <c r="A2658" s="64"/>
      <c r="D2658" s="63"/>
      <c r="J2658" s="64"/>
    </row>
    <row r="2659">
      <c r="A2659" s="64"/>
      <c r="D2659" s="63"/>
      <c r="J2659" s="64"/>
    </row>
    <row r="2660">
      <c r="A2660" s="64"/>
      <c r="D2660" s="63"/>
      <c r="J2660" s="64"/>
    </row>
    <row r="2661">
      <c r="A2661" s="64"/>
      <c r="D2661" s="63"/>
      <c r="J2661" s="64"/>
    </row>
    <row r="2662">
      <c r="A2662" s="64"/>
      <c r="D2662" s="63"/>
      <c r="J2662" s="64"/>
    </row>
    <row r="2663">
      <c r="A2663" s="64"/>
      <c r="D2663" s="63"/>
      <c r="J2663" s="64"/>
    </row>
    <row r="2664">
      <c r="A2664" s="64"/>
      <c r="D2664" s="63"/>
      <c r="J2664" s="64"/>
    </row>
    <row r="2665">
      <c r="A2665" s="64"/>
      <c r="D2665" s="63"/>
      <c r="J2665" s="64"/>
    </row>
    <row r="2666">
      <c r="A2666" s="64"/>
      <c r="D2666" s="63"/>
      <c r="J2666" s="64"/>
    </row>
    <row r="2667">
      <c r="A2667" s="64"/>
      <c r="D2667" s="63"/>
      <c r="J2667" s="64"/>
    </row>
    <row r="2668">
      <c r="A2668" s="64"/>
      <c r="D2668" s="63"/>
      <c r="J2668" s="64"/>
    </row>
    <row r="2669">
      <c r="A2669" s="64"/>
      <c r="D2669" s="63"/>
      <c r="J2669" s="64"/>
    </row>
    <row r="2670">
      <c r="A2670" s="64"/>
      <c r="D2670" s="63"/>
      <c r="J2670" s="64"/>
    </row>
    <row r="2671">
      <c r="A2671" s="64"/>
      <c r="D2671" s="63"/>
      <c r="J2671" s="64"/>
    </row>
    <row r="2672">
      <c r="A2672" s="64"/>
      <c r="D2672" s="63"/>
      <c r="J2672" s="64"/>
    </row>
    <row r="2673">
      <c r="A2673" s="64"/>
      <c r="D2673" s="63"/>
      <c r="J2673" s="64"/>
    </row>
    <row r="2674">
      <c r="A2674" s="64"/>
      <c r="D2674" s="63"/>
      <c r="J2674" s="64"/>
    </row>
    <row r="2675">
      <c r="A2675" s="64"/>
      <c r="D2675" s="63"/>
      <c r="J2675" s="64"/>
    </row>
    <row r="2676">
      <c r="A2676" s="64"/>
      <c r="D2676" s="63"/>
      <c r="J2676" s="64"/>
    </row>
    <row r="2677">
      <c r="A2677" s="64"/>
      <c r="D2677" s="63"/>
      <c r="J2677" s="64"/>
    </row>
    <row r="2678">
      <c r="A2678" s="64"/>
      <c r="D2678" s="63"/>
      <c r="J2678" s="64"/>
    </row>
    <row r="2679">
      <c r="A2679" s="64"/>
      <c r="D2679" s="63"/>
      <c r="J2679" s="64"/>
    </row>
    <row r="2680">
      <c r="A2680" s="64"/>
      <c r="D2680" s="63"/>
      <c r="J2680" s="64"/>
    </row>
    <row r="2681">
      <c r="A2681" s="64"/>
      <c r="D2681" s="63"/>
      <c r="J2681" s="64"/>
    </row>
    <row r="2682">
      <c r="A2682" s="64"/>
      <c r="D2682" s="63"/>
      <c r="J2682" s="64"/>
    </row>
    <row r="2683">
      <c r="A2683" s="64"/>
      <c r="D2683" s="63"/>
      <c r="J2683" s="64"/>
    </row>
    <row r="2684">
      <c r="A2684" s="64"/>
      <c r="D2684" s="63"/>
      <c r="J2684" s="64"/>
    </row>
    <row r="2685">
      <c r="A2685" s="64"/>
      <c r="D2685" s="63"/>
      <c r="J2685" s="64"/>
    </row>
    <row r="2686">
      <c r="A2686" s="64"/>
      <c r="D2686" s="63"/>
      <c r="J2686" s="64"/>
    </row>
    <row r="2687">
      <c r="A2687" s="64"/>
      <c r="D2687" s="63"/>
      <c r="J2687" s="64"/>
    </row>
    <row r="2688">
      <c r="A2688" s="64"/>
      <c r="D2688" s="63"/>
      <c r="J2688" s="64"/>
    </row>
    <row r="2689">
      <c r="A2689" s="64"/>
      <c r="D2689" s="63"/>
      <c r="J2689" s="64"/>
    </row>
    <row r="2690">
      <c r="A2690" s="64"/>
      <c r="D2690" s="63"/>
      <c r="J2690" s="64"/>
    </row>
    <row r="2691">
      <c r="A2691" s="64"/>
      <c r="D2691" s="63"/>
      <c r="J2691" s="64"/>
    </row>
    <row r="2692">
      <c r="A2692" s="64"/>
      <c r="D2692" s="63"/>
      <c r="J2692" s="64"/>
    </row>
    <row r="2693">
      <c r="A2693" s="64"/>
      <c r="D2693" s="63"/>
      <c r="J2693" s="64"/>
    </row>
    <row r="2694">
      <c r="A2694" s="64"/>
      <c r="D2694" s="63"/>
      <c r="J2694" s="64"/>
    </row>
    <row r="2695">
      <c r="A2695" s="64"/>
      <c r="D2695" s="63"/>
      <c r="J2695" s="64"/>
    </row>
    <row r="2696">
      <c r="A2696" s="64"/>
      <c r="D2696" s="63"/>
      <c r="J2696" s="64"/>
    </row>
    <row r="2697">
      <c r="A2697" s="64"/>
      <c r="D2697" s="63"/>
      <c r="J2697" s="64"/>
    </row>
    <row r="2698">
      <c r="A2698" s="64"/>
      <c r="D2698" s="63"/>
      <c r="J2698" s="64"/>
    </row>
    <row r="2699">
      <c r="A2699" s="64"/>
      <c r="D2699" s="63"/>
      <c r="J2699" s="64"/>
    </row>
    <row r="2700">
      <c r="A2700" s="64"/>
      <c r="D2700" s="63"/>
      <c r="J2700" s="64"/>
    </row>
    <row r="2701">
      <c r="A2701" s="64"/>
      <c r="D2701" s="63"/>
      <c r="J2701" s="64"/>
    </row>
    <row r="2702">
      <c r="A2702" s="64"/>
      <c r="D2702" s="63"/>
      <c r="J2702" s="64"/>
    </row>
    <row r="2703">
      <c r="A2703" s="64"/>
      <c r="D2703" s="63"/>
      <c r="J2703" s="64"/>
    </row>
    <row r="2704">
      <c r="A2704" s="64"/>
      <c r="D2704" s="63"/>
      <c r="J2704" s="64"/>
    </row>
    <row r="2705">
      <c r="A2705" s="64"/>
      <c r="D2705" s="63"/>
      <c r="J2705" s="64"/>
    </row>
    <row r="2706">
      <c r="A2706" s="64"/>
      <c r="D2706" s="63"/>
      <c r="J2706" s="64"/>
    </row>
    <row r="2707">
      <c r="A2707" s="64"/>
      <c r="D2707" s="63"/>
      <c r="J2707" s="64"/>
    </row>
    <row r="2708">
      <c r="A2708" s="64"/>
      <c r="D2708" s="63"/>
      <c r="J2708" s="64"/>
    </row>
    <row r="2709">
      <c r="A2709" s="64"/>
      <c r="D2709" s="63"/>
      <c r="J2709" s="64"/>
    </row>
    <row r="2710">
      <c r="A2710" s="64"/>
      <c r="D2710" s="63"/>
      <c r="J2710" s="64"/>
    </row>
    <row r="2711">
      <c r="A2711" s="64"/>
      <c r="D2711" s="63"/>
      <c r="J2711" s="64"/>
    </row>
    <row r="2712">
      <c r="A2712" s="64"/>
      <c r="D2712" s="63"/>
      <c r="J2712" s="64"/>
    </row>
    <row r="2713">
      <c r="A2713" s="64"/>
      <c r="D2713" s="63"/>
      <c r="J2713" s="64"/>
    </row>
    <row r="2714">
      <c r="A2714" s="64"/>
      <c r="D2714" s="63"/>
      <c r="J2714" s="64"/>
    </row>
    <row r="2715">
      <c r="A2715" s="64"/>
      <c r="D2715" s="63"/>
      <c r="J2715" s="64"/>
    </row>
    <row r="2716">
      <c r="A2716" s="64"/>
      <c r="D2716" s="63"/>
      <c r="J2716" s="64"/>
    </row>
    <row r="2717">
      <c r="A2717" s="64"/>
      <c r="D2717" s="63"/>
      <c r="J2717" s="64"/>
    </row>
    <row r="2718">
      <c r="A2718" s="64"/>
      <c r="D2718" s="63"/>
      <c r="J2718" s="64"/>
    </row>
    <row r="2719">
      <c r="A2719" s="64"/>
      <c r="D2719" s="63"/>
      <c r="J2719" s="64"/>
    </row>
    <row r="2720">
      <c r="A2720" s="64"/>
      <c r="D2720" s="63"/>
      <c r="J2720" s="64"/>
    </row>
    <row r="2721">
      <c r="A2721" s="64"/>
      <c r="D2721" s="63"/>
      <c r="J2721" s="64"/>
    </row>
    <row r="2722">
      <c r="A2722" s="64"/>
      <c r="D2722" s="63"/>
      <c r="J2722" s="64"/>
    </row>
    <row r="2723">
      <c r="A2723" s="64"/>
      <c r="D2723" s="63"/>
      <c r="J2723" s="64"/>
    </row>
    <row r="2724">
      <c r="A2724" s="64"/>
      <c r="D2724" s="63"/>
      <c r="J2724" s="64"/>
    </row>
    <row r="2725">
      <c r="A2725" s="64"/>
      <c r="D2725" s="63"/>
      <c r="J2725" s="64"/>
    </row>
    <row r="2726">
      <c r="A2726" s="64"/>
      <c r="D2726" s="63"/>
      <c r="J2726" s="64"/>
    </row>
    <row r="2727">
      <c r="A2727" s="64"/>
      <c r="D2727" s="63"/>
      <c r="J2727" s="64"/>
    </row>
    <row r="2728">
      <c r="A2728" s="64"/>
      <c r="D2728" s="63"/>
      <c r="J2728" s="64"/>
    </row>
    <row r="2729">
      <c r="A2729" s="64"/>
      <c r="D2729" s="63"/>
      <c r="J2729" s="64"/>
    </row>
    <row r="2730">
      <c r="A2730" s="64"/>
      <c r="D2730" s="63"/>
      <c r="J2730" s="64"/>
    </row>
    <row r="2731">
      <c r="A2731" s="64"/>
      <c r="D2731" s="63"/>
      <c r="J2731" s="64"/>
    </row>
    <row r="2732">
      <c r="A2732" s="64"/>
      <c r="D2732" s="63"/>
      <c r="J2732" s="64"/>
    </row>
    <row r="2733">
      <c r="A2733" s="64"/>
      <c r="D2733" s="63"/>
      <c r="J2733" s="64"/>
    </row>
    <row r="2734">
      <c r="A2734" s="64"/>
      <c r="D2734" s="63"/>
      <c r="J2734" s="64"/>
    </row>
    <row r="2735">
      <c r="A2735" s="64"/>
      <c r="D2735" s="63"/>
      <c r="J2735" s="64"/>
    </row>
    <row r="2736">
      <c r="A2736" s="64"/>
      <c r="D2736" s="63"/>
      <c r="J2736" s="64"/>
    </row>
    <row r="2737">
      <c r="A2737" s="64"/>
      <c r="D2737" s="63"/>
      <c r="J2737" s="64"/>
    </row>
    <row r="2738">
      <c r="A2738" s="64"/>
      <c r="D2738" s="63"/>
      <c r="J2738" s="64"/>
    </row>
    <row r="2739">
      <c r="A2739" s="64"/>
      <c r="D2739" s="63"/>
      <c r="J2739" s="64"/>
    </row>
    <row r="2740">
      <c r="A2740" s="64"/>
      <c r="D2740" s="63"/>
      <c r="J2740" s="64"/>
    </row>
    <row r="2741">
      <c r="A2741" s="64"/>
      <c r="D2741" s="63"/>
      <c r="J2741" s="64"/>
    </row>
    <row r="2742">
      <c r="A2742" s="64"/>
      <c r="D2742" s="63"/>
      <c r="J2742" s="64"/>
    </row>
    <row r="2743">
      <c r="A2743" s="64"/>
      <c r="D2743" s="63"/>
      <c r="J2743" s="64"/>
    </row>
    <row r="2744">
      <c r="A2744" s="64"/>
      <c r="D2744" s="63"/>
      <c r="J2744" s="64"/>
    </row>
    <row r="2745">
      <c r="A2745" s="64"/>
      <c r="D2745" s="63"/>
      <c r="J2745" s="64"/>
    </row>
    <row r="2746">
      <c r="A2746" s="64"/>
      <c r="D2746" s="63"/>
      <c r="J2746" s="64"/>
    </row>
    <row r="2747">
      <c r="A2747" s="64"/>
      <c r="D2747" s="63"/>
      <c r="J2747" s="64"/>
    </row>
    <row r="2748">
      <c r="A2748" s="64"/>
      <c r="D2748" s="63"/>
      <c r="J2748" s="64"/>
    </row>
    <row r="2749">
      <c r="A2749" s="64"/>
      <c r="D2749" s="63"/>
      <c r="J2749" s="64"/>
    </row>
    <row r="2750">
      <c r="A2750" s="64"/>
      <c r="D2750" s="63"/>
      <c r="J2750" s="64"/>
    </row>
    <row r="2751">
      <c r="A2751" s="64"/>
      <c r="D2751" s="63"/>
      <c r="J2751" s="64"/>
    </row>
    <row r="2752">
      <c r="A2752" s="64"/>
      <c r="D2752" s="63"/>
      <c r="J2752" s="64"/>
    </row>
    <row r="2753">
      <c r="A2753" s="64"/>
      <c r="D2753" s="63"/>
      <c r="J2753" s="64"/>
    </row>
    <row r="2754">
      <c r="A2754" s="64"/>
      <c r="D2754" s="63"/>
      <c r="J2754" s="64"/>
    </row>
    <row r="2755">
      <c r="A2755" s="64"/>
      <c r="D2755" s="63"/>
      <c r="J2755" s="64"/>
    </row>
    <row r="2756">
      <c r="A2756" s="64"/>
      <c r="D2756" s="63"/>
      <c r="J2756" s="64"/>
    </row>
    <row r="2757">
      <c r="A2757" s="64"/>
      <c r="D2757" s="63"/>
      <c r="J2757" s="64"/>
    </row>
    <row r="2758">
      <c r="A2758" s="64"/>
      <c r="D2758" s="63"/>
      <c r="J2758" s="64"/>
    </row>
    <row r="2759">
      <c r="A2759" s="64"/>
      <c r="D2759" s="63"/>
      <c r="J2759" s="64"/>
    </row>
    <row r="2760">
      <c r="A2760" s="64"/>
      <c r="D2760" s="63"/>
      <c r="J2760" s="64"/>
    </row>
    <row r="2761">
      <c r="A2761" s="64"/>
      <c r="D2761" s="63"/>
      <c r="J2761" s="64"/>
    </row>
    <row r="2762">
      <c r="A2762" s="64"/>
      <c r="D2762" s="63"/>
      <c r="J2762" s="64"/>
    </row>
    <row r="2763">
      <c r="A2763" s="64"/>
      <c r="D2763" s="63"/>
      <c r="J2763" s="64"/>
    </row>
    <row r="2764">
      <c r="A2764" s="64"/>
      <c r="D2764" s="63"/>
      <c r="J2764" s="64"/>
    </row>
    <row r="2765">
      <c r="A2765" s="64"/>
      <c r="D2765" s="63"/>
      <c r="J2765" s="64"/>
    </row>
    <row r="2766">
      <c r="A2766" s="64"/>
      <c r="D2766" s="63"/>
      <c r="J2766" s="64"/>
    </row>
    <row r="2767">
      <c r="A2767" s="64"/>
      <c r="D2767" s="63"/>
      <c r="J2767" s="64"/>
    </row>
    <row r="2768">
      <c r="A2768" s="64"/>
      <c r="D2768" s="63"/>
      <c r="J2768" s="64"/>
    </row>
    <row r="2769">
      <c r="A2769" s="64"/>
      <c r="D2769" s="63"/>
      <c r="J2769" s="64"/>
    </row>
    <row r="2770">
      <c r="A2770" s="64"/>
      <c r="D2770" s="63"/>
      <c r="J2770" s="64"/>
    </row>
    <row r="2771">
      <c r="A2771" s="64"/>
      <c r="D2771" s="63"/>
      <c r="J2771" s="64"/>
    </row>
    <row r="2772">
      <c r="A2772" s="64"/>
      <c r="D2772" s="63"/>
      <c r="J2772" s="64"/>
    </row>
    <row r="2773">
      <c r="A2773" s="64"/>
      <c r="D2773" s="63"/>
      <c r="J2773" s="64"/>
    </row>
    <row r="2774">
      <c r="A2774" s="64"/>
      <c r="D2774" s="63"/>
      <c r="J2774" s="64"/>
    </row>
    <row r="2775">
      <c r="A2775" s="64"/>
      <c r="D2775" s="63"/>
      <c r="J2775" s="64"/>
    </row>
    <row r="2776">
      <c r="A2776" s="64"/>
      <c r="D2776" s="63"/>
      <c r="J2776" s="64"/>
    </row>
    <row r="2777">
      <c r="A2777" s="64"/>
      <c r="D2777" s="63"/>
      <c r="J2777" s="64"/>
    </row>
    <row r="2778">
      <c r="A2778" s="64"/>
      <c r="D2778" s="63"/>
      <c r="J2778" s="64"/>
    </row>
    <row r="2779">
      <c r="A2779" s="64"/>
      <c r="D2779" s="63"/>
      <c r="J2779" s="64"/>
    </row>
    <row r="2780">
      <c r="A2780" s="64"/>
      <c r="D2780" s="63"/>
      <c r="J2780" s="64"/>
    </row>
    <row r="2781">
      <c r="A2781" s="64"/>
      <c r="D2781" s="63"/>
      <c r="J2781" s="64"/>
    </row>
    <row r="2782">
      <c r="A2782" s="64"/>
      <c r="D2782" s="63"/>
      <c r="J2782" s="64"/>
    </row>
    <row r="2783">
      <c r="A2783" s="64"/>
      <c r="D2783" s="63"/>
      <c r="J2783" s="64"/>
    </row>
    <row r="2784">
      <c r="A2784" s="64"/>
      <c r="D2784" s="63"/>
      <c r="J2784" s="64"/>
    </row>
    <row r="2785">
      <c r="A2785" s="64"/>
      <c r="D2785" s="63"/>
      <c r="J2785" s="64"/>
    </row>
    <row r="2786">
      <c r="A2786" s="64"/>
      <c r="D2786" s="63"/>
      <c r="J2786" s="64"/>
    </row>
    <row r="2787">
      <c r="A2787" s="64"/>
      <c r="D2787" s="62"/>
      <c r="J2787" s="64"/>
    </row>
    <row r="2788">
      <c r="A2788" s="64"/>
      <c r="D2788" s="62"/>
      <c r="J2788" s="64"/>
    </row>
    <row r="2789">
      <c r="A2789" s="64"/>
      <c r="D2789" s="62"/>
      <c r="J2789" s="64"/>
    </row>
    <row r="2790">
      <c r="A2790" s="64"/>
      <c r="D2790" s="62"/>
      <c r="J2790" s="64"/>
    </row>
    <row r="2791">
      <c r="A2791" s="64"/>
      <c r="D2791" s="63"/>
      <c r="J2791" s="64"/>
    </row>
    <row r="2792">
      <c r="A2792" s="64"/>
      <c r="D2792" s="63"/>
      <c r="J2792" s="64"/>
    </row>
    <row r="2793">
      <c r="A2793" s="64"/>
      <c r="D2793" s="63"/>
      <c r="J2793" s="64"/>
    </row>
    <row r="2794">
      <c r="A2794" s="64"/>
      <c r="D2794" s="63"/>
      <c r="J2794" s="64"/>
    </row>
    <row r="2795">
      <c r="A2795" s="64"/>
      <c r="D2795" s="63"/>
      <c r="J2795" s="64"/>
    </row>
    <row r="2796">
      <c r="A2796" s="64"/>
      <c r="D2796" s="63"/>
      <c r="J2796" s="64"/>
    </row>
    <row r="2797">
      <c r="A2797" s="64"/>
      <c r="D2797" s="63"/>
      <c r="J2797" s="64"/>
    </row>
    <row r="2798">
      <c r="A2798" s="64"/>
      <c r="D2798" s="62"/>
      <c r="J2798" s="64"/>
    </row>
    <row r="2799">
      <c r="A2799" s="64"/>
      <c r="D2799" s="63"/>
      <c r="J2799" s="64"/>
    </row>
    <row r="2800">
      <c r="A2800" s="64"/>
      <c r="D2800" s="63"/>
      <c r="J2800" s="64"/>
    </row>
    <row r="2801">
      <c r="A2801" s="64"/>
      <c r="D2801" s="63"/>
      <c r="J2801" s="64"/>
    </row>
    <row r="2802">
      <c r="A2802" s="64"/>
      <c r="D2802" s="63"/>
      <c r="J2802" s="64"/>
    </row>
    <row r="2803">
      <c r="A2803" s="64"/>
      <c r="D2803" s="63"/>
      <c r="J2803" s="64"/>
    </row>
    <row r="2804">
      <c r="A2804" s="64"/>
      <c r="D2804" s="63"/>
      <c r="J2804" s="64"/>
    </row>
    <row r="2805">
      <c r="A2805" s="64"/>
      <c r="D2805" s="63"/>
      <c r="J2805" s="64"/>
    </row>
    <row r="2806">
      <c r="A2806" s="64"/>
      <c r="D2806" s="63"/>
      <c r="J2806" s="64"/>
    </row>
    <row r="2807">
      <c r="A2807" s="64"/>
      <c r="D2807" s="63"/>
      <c r="J2807" s="64"/>
    </row>
    <row r="2808">
      <c r="A2808" s="64"/>
      <c r="D2808" s="63"/>
      <c r="J2808" s="64"/>
    </row>
    <row r="2809">
      <c r="A2809" s="64"/>
      <c r="D2809" s="63"/>
      <c r="J2809" s="64"/>
    </row>
    <row r="2810">
      <c r="A2810" s="64"/>
      <c r="D2810" s="63"/>
      <c r="J2810" s="64"/>
    </row>
    <row r="2811">
      <c r="A2811" s="64"/>
      <c r="D2811" s="63"/>
      <c r="J2811" s="64"/>
    </row>
    <row r="2812">
      <c r="A2812" s="64"/>
      <c r="D2812" s="63"/>
      <c r="J2812" s="64"/>
    </row>
    <row r="2813">
      <c r="A2813" s="64"/>
      <c r="D2813" s="63"/>
      <c r="J2813" s="64"/>
    </row>
    <row r="2814">
      <c r="A2814" s="64"/>
      <c r="D2814" s="63"/>
      <c r="J2814" s="64"/>
    </row>
    <row r="2815">
      <c r="A2815" s="64"/>
      <c r="D2815" s="63"/>
      <c r="J2815" s="64"/>
    </row>
    <row r="2816">
      <c r="A2816" s="64"/>
      <c r="D2816" s="63"/>
      <c r="J2816" s="64"/>
    </row>
    <row r="2817">
      <c r="A2817" s="64"/>
      <c r="D2817" s="63"/>
      <c r="J2817" s="64"/>
    </row>
    <row r="2818">
      <c r="A2818" s="64"/>
      <c r="D2818" s="63"/>
      <c r="J2818" s="64"/>
    </row>
    <row r="2819">
      <c r="A2819" s="64"/>
      <c r="D2819" s="63"/>
      <c r="J2819" s="64"/>
    </row>
    <row r="2820">
      <c r="A2820" s="64"/>
      <c r="D2820" s="63"/>
      <c r="J2820" s="64"/>
    </row>
    <row r="2821">
      <c r="A2821" s="64"/>
      <c r="D2821" s="63"/>
      <c r="J2821" s="64"/>
    </row>
    <row r="2822">
      <c r="A2822" s="64"/>
      <c r="D2822" s="63"/>
      <c r="J2822" s="64"/>
    </row>
    <row r="2823">
      <c r="A2823" s="64"/>
      <c r="D2823" s="62"/>
      <c r="J2823" s="64"/>
    </row>
    <row r="2824">
      <c r="A2824" s="64"/>
      <c r="D2824" s="62"/>
      <c r="J2824" s="64"/>
    </row>
    <row r="2825">
      <c r="A2825" s="64"/>
      <c r="D2825" s="62"/>
      <c r="J2825" s="64"/>
    </row>
    <row r="2826">
      <c r="A2826" s="64"/>
      <c r="D2826" s="62"/>
      <c r="J2826" s="64"/>
    </row>
    <row r="2827">
      <c r="A2827" s="64"/>
      <c r="D2827" s="63"/>
      <c r="J2827" s="64"/>
    </row>
    <row r="2828">
      <c r="A2828" s="64"/>
      <c r="D2828" s="63"/>
      <c r="J2828" s="64"/>
    </row>
    <row r="2829">
      <c r="A2829" s="64"/>
      <c r="D2829" s="63"/>
      <c r="J2829" s="64"/>
    </row>
    <row r="2830">
      <c r="A2830" s="64"/>
      <c r="D2830" s="63"/>
      <c r="J2830" s="64"/>
    </row>
    <row r="2831">
      <c r="A2831" s="64"/>
      <c r="D2831" s="63"/>
      <c r="J2831" s="64"/>
    </row>
    <row r="2832">
      <c r="A2832" s="64"/>
      <c r="D2832" s="63"/>
      <c r="J2832" s="64"/>
    </row>
    <row r="2833">
      <c r="A2833" s="64"/>
      <c r="D2833" s="63"/>
      <c r="J2833" s="64"/>
    </row>
    <row r="2834">
      <c r="A2834" s="64"/>
      <c r="D2834" s="62"/>
      <c r="J2834" s="64"/>
    </row>
    <row r="2835">
      <c r="A2835" s="64"/>
      <c r="D2835" s="63"/>
      <c r="J2835" s="64"/>
    </row>
    <row r="2836">
      <c r="A2836" s="64"/>
      <c r="D2836" s="63"/>
      <c r="J2836" s="64"/>
    </row>
    <row r="2837">
      <c r="A2837" s="64"/>
      <c r="D2837" s="63"/>
      <c r="J2837" s="64"/>
    </row>
    <row r="2838">
      <c r="A2838" s="64"/>
      <c r="D2838" s="63"/>
      <c r="J2838" s="64"/>
    </row>
    <row r="2839">
      <c r="A2839" s="64"/>
      <c r="D2839" s="63"/>
      <c r="J2839" s="64"/>
    </row>
    <row r="2840">
      <c r="A2840" s="64"/>
      <c r="D2840" s="63"/>
      <c r="J2840" s="64"/>
    </row>
    <row r="2841">
      <c r="A2841" s="64"/>
      <c r="D2841" s="63"/>
      <c r="J2841" s="64"/>
    </row>
    <row r="2842">
      <c r="A2842" s="64"/>
      <c r="D2842" s="63"/>
      <c r="J2842" s="64"/>
    </row>
    <row r="2843">
      <c r="A2843" s="64"/>
      <c r="D2843" s="63"/>
      <c r="J2843" s="64"/>
    </row>
    <row r="2844">
      <c r="A2844" s="64"/>
      <c r="D2844" s="63"/>
      <c r="J2844" s="64"/>
    </row>
    <row r="2845">
      <c r="A2845" s="64"/>
      <c r="D2845" s="63"/>
      <c r="J2845" s="64"/>
    </row>
    <row r="2846">
      <c r="A2846" s="64"/>
      <c r="D2846" s="63"/>
      <c r="J2846" s="64"/>
    </row>
    <row r="2847">
      <c r="A2847" s="64"/>
      <c r="D2847" s="63"/>
      <c r="J2847" s="64"/>
    </row>
    <row r="2848">
      <c r="A2848" s="64"/>
      <c r="D2848" s="63"/>
      <c r="J2848" s="64"/>
    </row>
    <row r="2849">
      <c r="A2849" s="64"/>
      <c r="D2849" s="63"/>
      <c r="J2849" s="64"/>
    </row>
    <row r="2850">
      <c r="A2850" s="64"/>
      <c r="D2850" s="63"/>
      <c r="J2850" s="64"/>
    </row>
    <row r="2851">
      <c r="A2851" s="64"/>
      <c r="D2851" s="63"/>
      <c r="J2851" s="64"/>
    </row>
    <row r="2852">
      <c r="A2852" s="64"/>
      <c r="D2852" s="63"/>
      <c r="J2852" s="64"/>
    </row>
    <row r="2853">
      <c r="A2853" s="64"/>
      <c r="D2853" s="63"/>
      <c r="J2853" s="64"/>
    </row>
    <row r="2854">
      <c r="A2854" s="64"/>
      <c r="D2854" s="63"/>
      <c r="J2854" s="64"/>
    </row>
    <row r="2855">
      <c r="A2855" s="64"/>
      <c r="D2855" s="63"/>
      <c r="J2855" s="64"/>
    </row>
    <row r="2856">
      <c r="A2856" s="64"/>
      <c r="D2856" s="62"/>
      <c r="J2856" s="64"/>
    </row>
    <row r="2857">
      <c r="A2857" s="64"/>
      <c r="D2857" s="62"/>
      <c r="J2857" s="64"/>
    </row>
    <row r="2858">
      <c r="A2858" s="64"/>
      <c r="D2858" s="62"/>
      <c r="J2858" s="64"/>
    </row>
    <row r="2859">
      <c r="A2859" s="64"/>
      <c r="D2859" s="62"/>
      <c r="J2859" s="64"/>
    </row>
    <row r="2860">
      <c r="A2860" s="64"/>
      <c r="D2860" s="63"/>
      <c r="J2860" s="64"/>
    </row>
    <row r="2861">
      <c r="A2861" s="64"/>
      <c r="D2861" s="63"/>
      <c r="J2861" s="64"/>
    </row>
    <row r="2862">
      <c r="A2862" s="64"/>
      <c r="D2862" s="63"/>
      <c r="J2862" s="64"/>
    </row>
    <row r="2863">
      <c r="A2863" s="64"/>
      <c r="D2863" s="63"/>
      <c r="J2863" s="64"/>
    </row>
    <row r="2864">
      <c r="A2864" s="64"/>
      <c r="D2864" s="63"/>
      <c r="J2864" s="64"/>
    </row>
    <row r="2865">
      <c r="A2865" s="64"/>
      <c r="D2865" s="63"/>
      <c r="J2865" s="64"/>
    </row>
    <row r="2866">
      <c r="A2866" s="64"/>
      <c r="D2866" s="63"/>
      <c r="J2866" s="64"/>
    </row>
    <row r="2867">
      <c r="A2867" s="64"/>
      <c r="D2867" s="63"/>
      <c r="J2867" s="64"/>
    </row>
    <row r="2868">
      <c r="A2868" s="64"/>
      <c r="D2868" s="62"/>
      <c r="J2868" s="64"/>
    </row>
    <row r="2869">
      <c r="A2869" s="64"/>
      <c r="D2869" s="63"/>
      <c r="J2869" s="64"/>
    </row>
    <row r="2870">
      <c r="A2870" s="64"/>
      <c r="D2870" s="63"/>
      <c r="J2870" s="64"/>
    </row>
    <row r="2871">
      <c r="A2871" s="64"/>
      <c r="D2871" s="63"/>
      <c r="J2871" s="64"/>
    </row>
    <row r="2872">
      <c r="A2872" s="64"/>
      <c r="D2872" s="63"/>
      <c r="J2872" s="64"/>
    </row>
    <row r="2873">
      <c r="A2873" s="64"/>
      <c r="D2873" s="63"/>
      <c r="J2873" s="64"/>
    </row>
    <row r="2874">
      <c r="A2874" s="64"/>
      <c r="D2874" s="63"/>
      <c r="J2874" s="64"/>
    </row>
    <row r="2875">
      <c r="A2875" s="64"/>
      <c r="D2875" s="63"/>
      <c r="J2875" s="64"/>
    </row>
    <row r="2876">
      <c r="A2876" s="64"/>
      <c r="D2876" s="63"/>
      <c r="J2876" s="64"/>
    </row>
    <row r="2877">
      <c r="A2877" s="64"/>
      <c r="D2877" s="63"/>
      <c r="J2877" s="64"/>
    </row>
    <row r="2878">
      <c r="A2878" s="64"/>
      <c r="D2878" s="63"/>
      <c r="J2878" s="64"/>
    </row>
    <row r="2879">
      <c r="A2879" s="64"/>
      <c r="D2879" s="63"/>
      <c r="J2879" s="64"/>
    </row>
    <row r="2880">
      <c r="A2880" s="64"/>
      <c r="D2880" s="63"/>
      <c r="J2880" s="64"/>
    </row>
    <row r="2881">
      <c r="A2881" s="64"/>
      <c r="D2881" s="63"/>
      <c r="J2881" s="64"/>
    </row>
    <row r="2882">
      <c r="A2882" s="64"/>
      <c r="D2882" s="63"/>
      <c r="J2882" s="64"/>
    </row>
    <row r="2883">
      <c r="A2883" s="64"/>
      <c r="D2883" s="63"/>
      <c r="J2883" s="64"/>
    </row>
    <row r="2884">
      <c r="A2884" s="64"/>
      <c r="D2884" s="63"/>
      <c r="J2884" s="64"/>
    </row>
    <row r="2885">
      <c r="A2885" s="64"/>
      <c r="D2885" s="63"/>
      <c r="J2885" s="64"/>
    </row>
    <row r="2886">
      <c r="A2886" s="64"/>
      <c r="D2886" s="63"/>
      <c r="J2886" s="64"/>
    </row>
    <row r="2887">
      <c r="A2887" s="64"/>
      <c r="D2887" s="63"/>
      <c r="J2887" s="64"/>
    </row>
    <row r="2888">
      <c r="A2888" s="64"/>
      <c r="D2888" s="63"/>
      <c r="J2888" s="64"/>
    </row>
    <row r="2889">
      <c r="A2889" s="64"/>
      <c r="D2889" s="63"/>
      <c r="J2889" s="64"/>
    </row>
    <row r="2890">
      <c r="A2890" s="64"/>
      <c r="D2890" s="63"/>
      <c r="J2890" s="64"/>
    </row>
    <row r="2891">
      <c r="A2891" s="64"/>
      <c r="D2891" s="63"/>
      <c r="J2891" s="64"/>
    </row>
    <row r="2892">
      <c r="A2892" s="64"/>
      <c r="D2892" s="63"/>
      <c r="J2892" s="64"/>
    </row>
    <row r="2893">
      <c r="A2893" s="64"/>
      <c r="D2893" s="63"/>
      <c r="J2893" s="64"/>
    </row>
    <row r="2894">
      <c r="A2894" s="64"/>
      <c r="D2894" s="63"/>
      <c r="J2894" s="64"/>
    </row>
    <row r="2895">
      <c r="A2895" s="64"/>
      <c r="D2895" s="63"/>
      <c r="J2895" s="64"/>
    </row>
    <row r="2896">
      <c r="A2896" s="64"/>
      <c r="D2896" s="63"/>
      <c r="J2896" s="64"/>
    </row>
    <row r="2897">
      <c r="A2897" s="64"/>
      <c r="D2897" s="63"/>
      <c r="J2897" s="64"/>
    </row>
    <row r="2898">
      <c r="A2898" s="64"/>
      <c r="D2898" s="63"/>
      <c r="J2898" s="64"/>
    </row>
    <row r="2899">
      <c r="A2899" s="64"/>
      <c r="D2899" s="63"/>
      <c r="J2899" s="64"/>
    </row>
    <row r="2900">
      <c r="A2900" s="64"/>
      <c r="D2900" s="63"/>
      <c r="J2900" s="64"/>
    </row>
    <row r="2901">
      <c r="A2901" s="64"/>
      <c r="D2901" s="63"/>
      <c r="J2901" s="64"/>
    </row>
    <row r="2902">
      <c r="A2902" s="64"/>
      <c r="D2902" s="63"/>
      <c r="J2902" s="64"/>
    </row>
    <row r="2903">
      <c r="A2903" s="64"/>
      <c r="D2903" s="63"/>
      <c r="J2903" s="64"/>
    </row>
    <row r="2904">
      <c r="A2904" s="64"/>
      <c r="D2904" s="63"/>
      <c r="J2904" s="64"/>
    </row>
    <row r="2905">
      <c r="A2905" s="64"/>
      <c r="D2905" s="63"/>
      <c r="J2905" s="64"/>
    </row>
    <row r="2906">
      <c r="A2906" s="64"/>
      <c r="D2906" s="63"/>
      <c r="J2906" s="64"/>
    </row>
    <row r="2907">
      <c r="A2907" s="64"/>
      <c r="D2907" s="63"/>
      <c r="J2907" s="64"/>
    </row>
    <row r="2908">
      <c r="A2908" s="64"/>
      <c r="D2908" s="63"/>
      <c r="J2908" s="64"/>
    </row>
    <row r="2909">
      <c r="A2909" s="64"/>
      <c r="D2909" s="63"/>
      <c r="J2909" s="64"/>
    </row>
    <row r="2910">
      <c r="A2910" s="64"/>
      <c r="D2910" s="63"/>
      <c r="J2910" s="64"/>
    </row>
    <row r="2911">
      <c r="A2911" s="64"/>
      <c r="D2911" s="63"/>
      <c r="J2911" s="64"/>
    </row>
    <row r="2912">
      <c r="A2912" s="64"/>
      <c r="D2912" s="63"/>
      <c r="J2912" s="64"/>
    </row>
    <row r="2913">
      <c r="A2913" s="64"/>
      <c r="D2913" s="63"/>
      <c r="J2913" s="64"/>
    </row>
    <row r="2914">
      <c r="A2914" s="64"/>
      <c r="D2914" s="63"/>
      <c r="J2914" s="64"/>
    </row>
    <row r="2915">
      <c r="A2915" s="64"/>
      <c r="D2915" s="63"/>
      <c r="J2915" s="64"/>
    </row>
    <row r="2916">
      <c r="A2916" s="64"/>
      <c r="D2916" s="63"/>
      <c r="J2916" s="64"/>
    </row>
    <row r="2917">
      <c r="A2917" s="64"/>
      <c r="D2917" s="63"/>
      <c r="J2917" s="64"/>
    </row>
    <row r="2918">
      <c r="A2918" s="64"/>
      <c r="D2918" s="63"/>
      <c r="J2918" s="64"/>
    </row>
    <row r="2919">
      <c r="A2919" s="64"/>
      <c r="D2919" s="63"/>
      <c r="J2919" s="64"/>
    </row>
    <row r="2920">
      <c r="A2920" s="64"/>
      <c r="D2920" s="63"/>
      <c r="J2920" s="64"/>
    </row>
    <row r="2921">
      <c r="A2921" s="64"/>
      <c r="D2921" s="63"/>
      <c r="J2921" s="64"/>
    </row>
    <row r="2922">
      <c r="A2922" s="64"/>
      <c r="D2922" s="63"/>
      <c r="J2922" s="64"/>
    </row>
    <row r="2923">
      <c r="A2923" s="64"/>
      <c r="D2923" s="63"/>
      <c r="J2923" s="64"/>
    </row>
    <row r="2924">
      <c r="A2924" s="64"/>
      <c r="D2924" s="63"/>
      <c r="J2924" s="64"/>
    </row>
    <row r="2925">
      <c r="A2925" s="64"/>
      <c r="D2925" s="63"/>
      <c r="J2925" s="64"/>
    </row>
    <row r="2926">
      <c r="A2926" s="64"/>
      <c r="D2926" s="63"/>
      <c r="J2926" s="64"/>
    </row>
    <row r="2927">
      <c r="A2927" s="64"/>
      <c r="D2927" s="63"/>
      <c r="J2927" s="64"/>
    </row>
    <row r="2928">
      <c r="A2928" s="64"/>
      <c r="D2928" s="63"/>
      <c r="J2928" s="64"/>
    </row>
    <row r="2929">
      <c r="A2929" s="64"/>
      <c r="D2929" s="63"/>
      <c r="J2929" s="64"/>
    </row>
    <row r="2930">
      <c r="A2930" s="64"/>
      <c r="D2930" s="63"/>
      <c r="J2930" s="64"/>
    </row>
    <row r="2931">
      <c r="A2931" s="64"/>
      <c r="D2931" s="63"/>
      <c r="J2931" s="64"/>
    </row>
    <row r="2932">
      <c r="A2932" s="64"/>
      <c r="D2932" s="63"/>
      <c r="J2932" s="64"/>
    </row>
    <row r="2933">
      <c r="A2933" s="64"/>
      <c r="D2933" s="63"/>
      <c r="J2933" s="64"/>
    </row>
    <row r="2934">
      <c r="A2934" s="64"/>
      <c r="D2934" s="63"/>
      <c r="J2934" s="64"/>
    </row>
    <row r="2935">
      <c r="A2935" s="64"/>
      <c r="D2935" s="63"/>
      <c r="J2935" s="64"/>
    </row>
    <row r="2936">
      <c r="A2936" s="64"/>
      <c r="D2936" s="63"/>
      <c r="J2936" s="64"/>
    </row>
    <row r="2937">
      <c r="A2937" s="64"/>
      <c r="D2937" s="63"/>
      <c r="J2937" s="64"/>
    </row>
    <row r="2938">
      <c r="A2938" s="64"/>
      <c r="D2938" s="63"/>
      <c r="J2938" s="64"/>
    </row>
    <row r="2939">
      <c r="A2939" s="64"/>
      <c r="D2939" s="63"/>
      <c r="J2939" s="64"/>
    </row>
    <row r="2940">
      <c r="A2940" s="64"/>
      <c r="D2940" s="63"/>
      <c r="J2940" s="64"/>
    </row>
    <row r="2941">
      <c r="A2941" s="64"/>
      <c r="D2941" s="63"/>
      <c r="J2941" s="64"/>
    </row>
    <row r="2942">
      <c r="A2942" s="64"/>
      <c r="D2942" s="63"/>
      <c r="J2942" s="64"/>
    </row>
    <row r="2943">
      <c r="A2943" s="64"/>
      <c r="D2943" s="63"/>
      <c r="J2943" s="64"/>
    </row>
    <row r="2944">
      <c r="A2944" s="64"/>
      <c r="D2944" s="63"/>
      <c r="J2944" s="64"/>
    </row>
    <row r="2945">
      <c r="A2945" s="64"/>
      <c r="D2945" s="63"/>
      <c r="J2945" s="64"/>
    </row>
    <row r="2946">
      <c r="A2946" s="64"/>
      <c r="D2946" s="63"/>
      <c r="J2946" s="64"/>
    </row>
    <row r="2947">
      <c r="A2947" s="64"/>
      <c r="D2947" s="63"/>
      <c r="J2947" s="64"/>
    </row>
    <row r="2948">
      <c r="A2948" s="64"/>
      <c r="D2948" s="63"/>
      <c r="J2948" s="64"/>
    </row>
    <row r="2949">
      <c r="A2949" s="64"/>
      <c r="D2949" s="63"/>
      <c r="J2949" s="64"/>
    </row>
    <row r="2950">
      <c r="A2950" s="64"/>
      <c r="D2950" s="63"/>
      <c r="J2950" s="64"/>
    </row>
    <row r="2951">
      <c r="A2951" s="64"/>
      <c r="D2951" s="63"/>
      <c r="J2951" s="64"/>
    </row>
    <row r="2952">
      <c r="A2952" s="64"/>
      <c r="D2952" s="63"/>
      <c r="J2952" s="64"/>
    </row>
    <row r="2953">
      <c r="A2953" s="64"/>
      <c r="D2953" s="63"/>
      <c r="J2953" s="64"/>
    </row>
    <row r="2954">
      <c r="A2954" s="64"/>
      <c r="D2954" s="63"/>
      <c r="J2954" s="64"/>
    </row>
    <row r="2955">
      <c r="A2955" s="64"/>
      <c r="D2955" s="63"/>
      <c r="J2955" s="64"/>
    </row>
    <row r="2956">
      <c r="A2956" s="64"/>
      <c r="D2956" s="63"/>
      <c r="J2956" s="64"/>
    </row>
    <row r="2957">
      <c r="A2957" s="64"/>
      <c r="D2957" s="63"/>
      <c r="J2957" s="64"/>
    </row>
    <row r="2958">
      <c r="A2958" s="64"/>
      <c r="D2958" s="63"/>
      <c r="J2958" s="64"/>
    </row>
    <row r="2959">
      <c r="A2959" s="64"/>
      <c r="D2959" s="63"/>
      <c r="J2959" s="64"/>
    </row>
    <row r="2960">
      <c r="A2960" s="64"/>
      <c r="D2960" s="63"/>
      <c r="J2960" s="64"/>
    </row>
    <row r="2961">
      <c r="A2961" s="64"/>
      <c r="D2961" s="62"/>
      <c r="J2961" s="64"/>
    </row>
    <row r="2962">
      <c r="A2962" s="64"/>
      <c r="D2962" s="62"/>
      <c r="J2962" s="64"/>
    </row>
    <row r="2963">
      <c r="A2963" s="64"/>
      <c r="D2963" s="62"/>
      <c r="J2963" s="64"/>
    </row>
    <row r="2964">
      <c r="A2964" s="64"/>
      <c r="D2964" s="62"/>
      <c r="J2964" s="64"/>
    </row>
    <row r="2965">
      <c r="A2965" s="64"/>
      <c r="D2965" s="63"/>
      <c r="J2965" s="64"/>
    </row>
    <row r="2966">
      <c r="A2966" s="64"/>
      <c r="D2966" s="63"/>
      <c r="J2966" s="64"/>
    </row>
    <row r="2967">
      <c r="A2967" s="64"/>
      <c r="D2967" s="63"/>
      <c r="J2967" s="64"/>
    </row>
    <row r="2968">
      <c r="A2968" s="64"/>
      <c r="D2968" s="63"/>
      <c r="J2968" s="64"/>
    </row>
    <row r="2969">
      <c r="A2969" s="64"/>
      <c r="D2969" s="63"/>
      <c r="J2969" s="64"/>
    </row>
    <row r="2970">
      <c r="A2970" s="64"/>
      <c r="D2970" s="63"/>
      <c r="J2970" s="64"/>
    </row>
    <row r="2971">
      <c r="A2971" s="64"/>
      <c r="D2971" s="63"/>
      <c r="J2971" s="64"/>
    </row>
    <row r="2972">
      <c r="A2972" s="64"/>
      <c r="D2972" s="63"/>
      <c r="J2972" s="64"/>
    </row>
    <row r="2973">
      <c r="A2973" s="64"/>
      <c r="D2973" s="62"/>
      <c r="J2973" s="64"/>
    </row>
    <row r="2974">
      <c r="A2974" s="64"/>
      <c r="D2974" s="63"/>
      <c r="J2974" s="64"/>
    </row>
    <row r="2975">
      <c r="A2975" s="64"/>
      <c r="D2975" s="63"/>
      <c r="J2975" s="64"/>
    </row>
    <row r="2976">
      <c r="A2976" s="64"/>
      <c r="D2976" s="63"/>
      <c r="J2976" s="64"/>
    </row>
    <row r="2977">
      <c r="A2977" s="64"/>
      <c r="D2977" s="63"/>
      <c r="J2977" s="64"/>
    </row>
    <row r="2978">
      <c r="A2978" s="64"/>
      <c r="D2978" s="63"/>
      <c r="J2978" s="64"/>
    </row>
    <row r="2979">
      <c r="A2979" s="64"/>
      <c r="D2979" s="63"/>
      <c r="J2979" s="64"/>
    </row>
    <row r="2980">
      <c r="A2980" s="64"/>
      <c r="D2980" s="63"/>
      <c r="J2980" s="64"/>
    </row>
    <row r="2981">
      <c r="A2981" s="64"/>
      <c r="D2981" s="63"/>
      <c r="J2981" s="64"/>
    </row>
    <row r="2982">
      <c r="A2982" s="64"/>
      <c r="D2982" s="63"/>
      <c r="J2982" s="64"/>
    </row>
    <row r="2983">
      <c r="A2983" s="64"/>
      <c r="D2983" s="63"/>
      <c r="J2983" s="64"/>
    </row>
    <row r="2984">
      <c r="A2984" s="64"/>
      <c r="D2984" s="63"/>
      <c r="J2984" s="64"/>
    </row>
    <row r="2985">
      <c r="A2985" s="64"/>
      <c r="D2985" s="63"/>
      <c r="J2985" s="64"/>
    </row>
    <row r="2986">
      <c r="A2986" s="64"/>
      <c r="D2986" s="63"/>
      <c r="J2986" s="64"/>
    </row>
    <row r="2987">
      <c r="A2987" s="64"/>
      <c r="D2987" s="63"/>
      <c r="J2987" s="64"/>
    </row>
    <row r="2988">
      <c r="A2988" s="64"/>
      <c r="D2988" s="63"/>
      <c r="J2988" s="64"/>
    </row>
    <row r="2989">
      <c r="A2989" s="64"/>
      <c r="D2989" s="63"/>
      <c r="J2989" s="64"/>
    </row>
    <row r="2990">
      <c r="A2990" s="64"/>
      <c r="D2990" s="63"/>
      <c r="J2990" s="64"/>
    </row>
    <row r="2991">
      <c r="A2991" s="64"/>
      <c r="D2991" s="63"/>
      <c r="J2991" s="64"/>
    </row>
    <row r="2992">
      <c r="A2992" s="64"/>
      <c r="D2992" s="63"/>
      <c r="J2992" s="64"/>
    </row>
    <row r="2993">
      <c r="A2993" s="64"/>
      <c r="D2993" s="63"/>
      <c r="J2993" s="64"/>
    </row>
    <row r="2994">
      <c r="A2994" s="64"/>
      <c r="D2994" s="63"/>
      <c r="J2994" s="64"/>
    </row>
    <row r="2995">
      <c r="A2995" s="64"/>
      <c r="D2995" s="63"/>
      <c r="J2995" s="64"/>
    </row>
    <row r="2996">
      <c r="A2996" s="64"/>
      <c r="D2996" s="63"/>
      <c r="J2996" s="64"/>
    </row>
    <row r="2997">
      <c r="A2997" s="64"/>
      <c r="D2997" s="63"/>
      <c r="J2997" s="64"/>
    </row>
    <row r="2998">
      <c r="A2998" s="64"/>
      <c r="D2998" s="63"/>
      <c r="J2998" s="64"/>
    </row>
    <row r="2999">
      <c r="A2999" s="64"/>
      <c r="D2999" s="63"/>
      <c r="J2999" s="64"/>
    </row>
    <row r="3000">
      <c r="A3000" s="64"/>
      <c r="D3000" s="63"/>
      <c r="J3000" s="64"/>
    </row>
    <row r="3001">
      <c r="A3001" s="64"/>
      <c r="D3001" s="63"/>
      <c r="J3001" s="64"/>
    </row>
    <row r="3002">
      <c r="A3002" s="64"/>
      <c r="D3002" s="63"/>
      <c r="J3002" s="64"/>
    </row>
    <row r="3003">
      <c r="A3003" s="64"/>
      <c r="D3003" s="63"/>
      <c r="J3003" s="64"/>
    </row>
    <row r="3004">
      <c r="A3004" s="64"/>
      <c r="D3004" s="63"/>
      <c r="J3004" s="64"/>
    </row>
    <row r="3005">
      <c r="A3005" s="64"/>
      <c r="D3005" s="63"/>
      <c r="J3005" s="64"/>
    </row>
    <row r="3006">
      <c r="A3006" s="64"/>
      <c r="D3006" s="63"/>
      <c r="J3006" s="64"/>
    </row>
    <row r="3007">
      <c r="A3007" s="64"/>
      <c r="D3007" s="62"/>
      <c r="J3007" s="64"/>
    </row>
    <row r="3008">
      <c r="A3008" s="64"/>
      <c r="D3008" s="62"/>
      <c r="J3008" s="64"/>
    </row>
    <row r="3009">
      <c r="A3009" s="64"/>
      <c r="D3009" s="62"/>
      <c r="J3009" s="64"/>
    </row>
    <row r="3010">
      <c r="A3010" s="64"/>
      <c r="D3010" s="62"/>
      <c r="J3010" s="64"/>
    </row>
    <row r="3011">
      <c r="A3011" s="64"/>
      <c r="D3011" s="63"/>
      <c r="J3011" s="64"/>
    </row>
    <row r="3012">
      <c r="A3012" s="64"/>
      <c r="D3012" s="63"/>
      <c r="J3012" s="64"/>
    </row>
    <row r="3013">
      <c r="A3013" s="64"/>
      <c r="D3013" s="63"/>
      <c r="J3013" s="64"/>
    </row>
    <row r="3014">
      <c r="A3014" s="64"/>
      <c r="D3014" s="63"/>
      <c r="J3014" s="64"/>
    </row>
    <row r="3015">
      <c r="A3015" s="64"/>
      <c r="D3015" s="63"/>
      <c r="J3015" s="64"/>
    </row>
    <row r="3016">
      <c r="A3016" s="64"/>
      <c r="D3016" s="63"/>
      <c r="J3016" s="64"/>
    </row>
    <row r="3017">
      <c r="A3017" s="64"/>
      <c r="D3017" s="63"/>
      <c r="J3017" s="64"/>
    </row>
    <row r="3018">
      <c r="A3018" s="64"/>
      <c r="D3018" s="63"/>
      <c r="J3018" s="64"/>
    </row>
    <row r="3019">
      <c r="A3019" s="64"/>
      <c r="D3019" s="63"/>
      <c r="J3019" s="64"/>
    </row>
    <row r="3020">
      <c r="A3020" s="64"/>
      <c r="D3020" s="62"/>
      <c r="J3020" s="64"/>
    </row>
    <row r="3021">
      <c r="A3021" s="64"/>
      <c r="D3021" s="63"/>
      <c r="J3021" s="64"/>
    </row>
    <row r="3022">
      <c r="A3022" s="64"/>
      <c r="D3022" s="63"/>
      <c r="J3022" s="64"/>
    </row>
    <row r="3023">
      <c r="A3023" s="64"/>
      <c r="D3023" s="63"/>
      <c r="J3023" s="64"/>
    </row>
    <row r="3024">
      <c r="A3024" s="64"/>
      <c r="D3024" s="63"/>
      <c r="J3024" s="64"/>
    </row>
    <row r="3025">
      <c r="A3025" s="64"/>
      <c r="D3025" s="63"/>
      <c r="J3025" s="64"/>
    </row>
    <row r="3026">
      <c r="A3026" s="64"/>
      <c r="D3026" s="63"/>
      <c r="J3026" s="64"/>
    </row>
    <row r="3027">
      <c r="A3027" s="64"/>
      <c r="D3027" s="63"/>
      <c r="J3027" s="64"/>
    </row>
    <row r="3028">
      <c r="A3028" s="64"/>
      <c r="D3028" s="63"/>
      <c r="J3028" s="64"/>
    </row>
    <row r="3029">
      <c r="A3029" s="64"/>
      <c r="D3029" s="63"/>
      <c r="J3029" s="64"/>
    </row>
    <row r="3030">
      <c r="A3030" s="64"/>
      <c r="D3030" s="63"/>
      <c r="J3030" s="64"/>
    </row>
    <row r="3031">
      <c r="A3031" s="64"/>
      <c r="D3031" s="63"/>
      <c r="J3031" s="64"/>
    </row>
    <row r="3032">
      <c r="A3032" s="64"/>
      <c r="D3032" s="63"/>
      <c r="J3032" s="64"/>
    </row>
    <row r="3033">
      <c r="A3033" s="64"/>
      <c r="D3033" s="63"/>
      <c r="J3033" s="64"/>
    </row>
    <row r="3034">
      <c r="A3034" s="64"/>
      <c r="D3034" s="63"/>
      <c r="J3034" s="64"/>
    </row>
    <row r="3035">
      <c r="A3035" s="64"/>
      <c r="D3035" s="63"/>
      <c r="J3035" s="64"/>
    </row>
    <row r="3036">
      <c r="A3036" s="64"/>
      <c r="D3036" s="63"/>
      <c r="J3036" s="64"/>
    </row>
    <row r="3037">
      <c r="A3037" s="64"/>
      <c r="D3037" s="63"/>
      <c r="J3037" s="64"/>
    </row>
    <row r="3038">
      <c r="A3038" s="64"/>
      <c r="D3038" s="63"/>
      <c r="J3038" s="64"/>
    </row>
    <row r="3039">
      <c r="A3039" s="64"/>
      <c r="D3039" s="63"/>
      <c r="J3039" s="64"/>
    </row>
    <row r="3040">
      <c r="A3040" s="64"/>
      <c r="D3040" s="63"/>
      <c r="J3040" s="64"/>
    </row>
    <row r="3041">
      <c r="A3041" s="64"/>
      <c r="D3041" s="63"/>
      <c r="J3041" s="64"/>
    </row>
    <row r="3042">
      <c r="A3042" s="64"/>
      <c r="D3042" s="63"/>
      <c r="J3042" s="64"/>
    </row>
    <row r="3043">
      <c r="A3043" s="64"/>
      <c r="D3043" s="63"/>
      <c r="J3043" s="64"/>
    </row>
    <row r="3044">
      <c r="A3044" s="64"/>
      <c r="D3044" s="63"/>
      <c r="J3044" s="64"/>
    </row>
    <row r="3045">
      <c r="A3045" s="64"/>
      <c r="D3045" s="63"/>
      <c r="J3045" s="64"/>
    </row>
    <row r="3046">
      <c r="A3046" s="64"/>
      <c r="D3046" s="63"/>
      <c r="J3046" s="64"/>
    </row>
    <row r="3047">
      <c r="A3047" s="64"/>
      <c r="D3047" s="63"/>
      <c r="J3047" s="64"/>
    </row>
    <row r="3048">
      <c r="A3048" s="64"/>
      <c r="D3048" s="63"/>
      <c r="J3048" s="64"/>
    </row>
    <row r="3049">
      <c r="A3049" s="64"/>
      <c r="D3049" s="63"/>
      <c r="J3049" s="64"/>
    </row>
    <row r="3050">
      <c r="A3050" s="64"/>
      <c r="D3050" s="63"/>
      <c r="J3050" s="64"/>
    </row>
    <row r="3051">
      <c r="A3051" s="64"/>
      <c r="D3051" s="63"/>
      <c r="J3051" s="64"/>
    </row>
    <row r="3052">
      <c r="A3052" s="64"/>
      <c r="D3052" s="63"/>
      <c r="J3052" s="64"/>
    </row>
    <row r="3053">
      <c r="A3053" s="64"/>
      <c r="D3053" s="63"/>
      <c r="J3053" s="64"/>
    </row>
    <row r="3054">
      <c r="A3054" s="64"/>
      <c r="D3054" s="63"/>
      <c r="J3054" s="64"/>
    </row>
    <row r="3055">
      <c r="A3055" s="64"/>
      <c r="D3055" s="63"/>
      <c r="J3055" s="64"/>
    </row>
    <row r="3056">
      <c r="A3056" s="64"/>
      <c r="D3056" s="63"/>
      <c r="J3056" s="64"/>
    </row>
    <row r="3057">
      <c r="A3057" s="64"/>
      <c r="D3057" s="63"/>
      <c r="J3057" s="64"/>
    </row>
    <row r="3058">
      <c r="A3058" s="64"/>
      <c r="D3058" s="63"/>
      <c r="J3058" s="64"/>
    </row>
    <row r="3059">
      <c r="A3059" s="64"/>
      <c r="D3059" s="63"/>
      <c r="J3059" s="64"/>
    </row>
    <row r="3060">
      <c r="A3060" s="64"/>
      <c r="D3060" s="63"/>
      <c r="J3060" s="64"/>
    </row>
    <row r="3061">
      <c r="A3061" s="64"/>
      <c r="D3061" s="63"/>
      <c r="J3061" s="64"/>
    </row>
    <row r="3062">
      <c r="A3062" s="64"/>
      <c r="D3062" s="63"/>
      <c r="J3062" s="64"/>
    </row>
    <row r="3063">
      <c r="A3063" s="64"/>
      <c r="D3063" s="63"/>
      <c r="J3063" s="64"/>
    </row>
    <row r="3064">
      <c r="A3064" s="64"/>
      <c r="D3064" s="63"/>
      <c r="J3064" s="64"/>
    </row>
    <row r="3065">
      <c r="A3065" s="64"/>
      <c r="D3065" s="63"/>
      <c r="J3065" s="64"/>
    </row>
    <row r="3066">
      <c r="A3066" s="64"/>
      <c r="D3066" s="63"/>
      <c r="J3066" s="64"/>
    </row>
    <row r="3067">
      <c r="A3067" s="64"/>
      <c r="D3067" s="63"/>
      <c r="J3067" s="64"/>
    </row>
    <row r="3068">
      <c r="A3068" s="64"/>
      <c r="D3068" s="63"/>
      <c r="J3068" s="64"/>
    </row>
    <row r="3069">
      <c r="A3069" s="64"/>
      <c r="D3069" s="63"/>
      <c r="J3069" s="64"/>
    </row>
    <row r="3070">
      <c r="A3070" s="64"/>
      <c r="D3070" s="63"/>
      <c r="J3070" s="64"/>
    </row>
    <row r="3071">
      <c r="A3071" s="64"/>
      <c r="D3071" s="63"/>
      <c r="J3071" s="64"/>
    </row>
    <row r="3072">
      <c r="A3072" s="64"/>
      <c r="D3072" s="63"/>
      <c r="J3072" s="64"/>
    </row>
    <row r="3073">
      <c r="A3073" s="64"/>
      <c r="D3073" s="63"/>
      <c r="J3073" s="64"/>
    </row>
    <row r="3074">
      <c r="A3074" s="64"/>
      <c r="D3074" s="63"/>
      <c r="J3074" s="64"/>
    </row>
    <row r="3075">
      <c r="A3075" s="64"/>
      <c r="D3075" s="63"/>
      <c r="J3075" s="64"/>
    </row>
    <row r="3076">
      <c r="A3076" s="64"/>
      <c r="D3076" s="63"/>
      <c r="J3076" s="64"/>
    </row>
    <row r="3077">
      <c r="A3077" s="64"/>
      <c r="D3077" s="63"/>
      <c r="J3077" s="64"/>
    </row>
    <row r="3078">
      <c r="A3078" s="64"/>
      <c r="D3078" s="63"/>
      <c r="J3078" s="64"/>
    </row>
    <row r="3079">
      <c r="A3079" s="64"/>
      <c r="D3079" s="63"/>
      <c r="J3079" s="64"/>
    </row>
    <row r="3080">
      <c r="A3080" s="64"/>
      <c r="D3080" s="63"/>
      <c r="J3080" s="64"/>
    </row>
    <row r="3081">
      <c r="A3081" s="64"/>
      <c r="D3081" s="63"/>
      <c r="J3081" s="64"/>
    </row>
    <row r="3082">
      <c r="A3082" s="64"/>
      <c r="D3082" s="63"/>
      <c r="J3082" s="64"/>
    </row>
    <row r="3083">
      <c r="A3083" s="64"/>
      <c r="D3083" s="63"/>
      <c r="J3083" s="64"/>
    </row>
    <row r="3084">
      <c r="A3084" s="64"/>
      <c r="D3084" s="63"/>
      <c r="J3084" s="64"/>
    </row>
    <row r="3085">
      <c r="A3085" s="64"/>
      <c r="D3085" s="63"/>
      <c r="J3085" s="64"/>
    </row>
    <row r="3086">
      <c r="A3086" s="64"/>
      <c r="D3086" s="63"/>
      <c r="J3086" s="64"/>
    </row>
    <row r="3087">
      <c r="A3087" s="64"/>
      <c r="D3087" s="63"/>
      <c r="J3087" s="64"/>
    </row>
    <row r="3088">
      <c r="A3088" s="64"/>
      <c r="D3088" s="63"/>
      <c r="J3088" s="64"/>
    </row>
    <row r="3089">
      <c r="A3089" s="64"/>
      <c r="D3089" s="63"/>
      <c r="J3089" s="64"/>
    </row>
    <row r="3090">
      <c r="A3090" s="64"/>
      <c r="D3090" s="63"/>
      <c r="J3090" s="64"/>
    </row>
    <row r="3091">
      <c r="A3091" s="64"/>
      <c r="D3091" s="63"/>
      <c r="J3091" s="64"/>
    </row>
    <row r="3092">
      <c r="A3092" s="64"/>
      <c r="D3092" s="63"/>
      <c r="J3092" s="64"/>
    </row>
    <row r="3093">
      <c r="A3093" s="64"/>
      <c r="D3093" s="63"/>
      <c r="J3093" s="64"/>
    </row>
    <row r="3094">
      <c r="A3094" s="64"/>
      <c r="D3094" s="63"/>
      <c r="J3094" s="64"/>
    </row>
    <row r="3095">
      <c r="A3095" s="64"/>
      <c r="D3095" s="63"/>
      <c r="J3095" s="64"/>
    </row>
    <row r="3096">
      <c r="A3096" s="64"/>
      <c r="D3096" s="63"/>
      <c r="J3096" s="64"/>
    </row>
    <row r="3097">
      <c r="A3097" s="64"/>
      <c r="D3097" s="63"/>
      <c r="J3097" s="64"/>
    </row>
    <row r="3098">
      <c r="A3098" s="64"/>
      <c r="D3098" s="63"/>
      <c r="J3098" s="64"/>
    </row>
    <row r="3099">
      <c r="A3099" s="64"/>
      <c r="D3099" s="63"/>
      <c r="J3099" s="64"/>
    </row>
    <row r="3100">
      <c r="A3100" s="64"/>
      <c r="D3100" s="63"/>
      <c r="J3100" s="64"/>
    </row>
    <row r="3101">
      <c r="A3101" s="64"/>
      <c r="D3101" s="63"/>
      <c r="J3101" s="64"/>
    </row>
    <row r="3102">
      <c r="A3102" s="64"/>
      <c r="D3102" s="63"/>
      <c r="J3102" s="64"/>
    </row>
    <row r="3103">
      <c r="A3103" s="64"/>
      <c r="D3103" s="63"/>
      <c r="J3103" s="64"/>
    </row>
    <row r="3104">
      <c r="A3104" s="64"/>
      <c r="D3104" s="63"/>
      <c r="J3104" s="64"/>
    </row>
    <row r="3105">
      <c r="A3105" s="64"/>
      <c r="D3105" s="63"/>
      <c r="J3105" s="64"/>
    </row>
    <row r="3106">
      <c r="A3106" s="64"/>
      <c r="D3106" s="63"/>
      <c r="J3106" s="64"/>
    </row>
    <row r="3107">
      <c r="A3107" s="64"/>
      <c r="D3107" s="63"/>
      <c r="J3107" s="64"/>
    </row>
    <row r="3108">
      <c r="A3108" s="64"/>
      <c r="D3108" s="63"/>
      <c r="J3108" s="64"/>
    </row>
    <row r="3109">
      <c r="A3109" s="64"/>
      <c r="D3109" s="63"/>
      <c r="J3109" s="64"/>
    </row>
    <row r="3110">
      <c r="A3110" s="64"/>
      <c r="D3110" s="63"/>
      <c r="J3110" s="64"/>
    </row>
    <row r="3111">
      <c r="A3111" s="64"/>
      <c r="D3111" s="63"/>
      <c r="J3111" s="64"/>
    </row>
    <row r="3112">
      <c r="A3112" s="64"/>
      <c r="D3112" s="63"/>
      <c r="J3112" s="64"/>
    </row>
    <row r="3113">
      <c r="A3113" s="64"/>
      <c r="D3113" s="63"/>
      <c r="J3113" s="64"/>
    </row>
    <row r="3114">
      <c r="A3114" s="64"/>
      <c r="D3114" s="63"/>
      <c r="J3114" s="64"/>
    </row>
    <row r="3115">
      <c r="A3115" s="64"/>
      <c r="D3115" s="63"/>
      <c r="J3115" s="64"/>
    </row>
    <row r="3116">
      <c r="A3116" s="64"/>
      <c r="D3116" s="63"/>
      <c r="J3116" s="64"/>
    </row>
    <row r="3117">
      <c r="A3117" s="64"/>
      <c r="D3117" s="63"/>
      <c r="J3117" s="64"/>
    </row>
    <row r="3118">
      <c r="A3118" s="64"/>
      <c r="D3118" s="63"/>
      <c r="J3118" s="64"/>
    </row>
    <row r="3119">
      <c r="A3119" s="64"/>
      <c r="D3119" s="63"/>
      <c r="J3119" s="64"/>
    </row>
    <row r="3120">
      <c r="A3120" s="64"/>
      <c r="D3120" s="63"/>
      <c r="J3120" s="64"/>
    </row>
    <row r="3121">
      <c r="A3121" s="64"/>
      <c r="D3121" s="63"/>
      <c r="J3121" s="64"/>
    </row>
    <row r="3122">
      <c r="A3122" s="64"/>
      <c r="D3122" s="63"/>
      <c r="J3122" s="64"/>
    </row>
    <row r="3123">
      <c r="A3123" s="64"/>
      <c r="D3123" s="63"/>
      <c r="J3123" s="64"/>
    </row>
    <row r="3124">
      <c r="A3124" s="64"/>
      <c r="D3124" s="63"/>
      <c r="J3124" s="64"/>
    </row>
    <row r="3125">
      <c r="A3125" s="64"/>
      <c r="D3125" s="63"/>
      <c r="J3125" s="64"/>
    </row>
    <row r="3126">
      <c r="A3126" s="64"/>
      <c r="D3126" s="63"/>
      <c r="J3126" s="64"/>
    </row>
    <row r="3127">
      <c r="A3127" s="64"/>
      <c r="D3127" s="63"/>
      <c r="J3127" s="64"/>
    </row>
    <row r="3128">
      <c r="A3128" s="64"/>
      <c r="D3128" s="63"/>
      <c r="J3128" s="64"/>
    </row>
    <row r="3129">
      <c r="A3129" s="64"/>
      <c r="D3129" s="63"/>
      <c r="J3129" s="64"/>
    </row>
    <row r="3130">
      <c r="A3130" s="64"/>
      <c r="D3130" s="63"/>
      <c r="J3130" s="64"/>
    </row>
    <row r="3131">
      <c r="A3131" s="64"/>
      <c r="D3131" s="63"/>
      <c r="J3131" s="64"/>
    </row>
    <row r="3132">
      <c r="A3132" s="64"/>
      <c r="D3132" s="63"/>
      <c r="J3132" s="64"/>
    </row>
    <row r="3133">
      <c r="A3133" s="64"/>
      <c r="D3133" s="63"/>
      <c r="J3133" s="64"/>
    </row>
    <row r="3134">
      <c r="A3134" s="64"/>
      <c r="D3134" s="63"/>
      <c r="J3134" s="64"/>
    </row>
    <row r="3135">
      <c r="A3135" s="64"/>
      <c r="D3135" s="63"/>
      <c r="J3135" s="64"/>
    </row>
    <row r="3136">
      <c r="A3136" s="64"/>
      <c r="D3136" s="63"/>
      <c r="J3136" s="64"/>
    </row>
    <row r="3137">
      <c r="A3137" s="64"/>
      <c r="D3137" s="63"/>
      <c r="J3137" s="64"/>
    </row>
    <row r="3138">
      <c r="A3138" s="64"/>
      <c r="D3138" s="63"/>
      <c r="J3138" s="64"/>
    </row>
    <row r="3139">
      <c r="A3139" s="64"/>
      <c r="D3139" s="63"/>
      <c r="J3139" s="64"/>
    </row>
    <row r="3140">
      <c r="A3140" s="64"/>
      <c r="D3140" s="63"/>
      <c r="J3140" s="64"/>
    </row>
    <row r="3141">
      <c r="A3141" s="64"/>
      <c r="D3141" s="63"/>
      <c r="J3141" s="64"/>
    </row>
    <row r="3142">
      <c r="A3142" s="64"/>
      <c r="D3142" s="63"/>
      <c r="J3142" s="64"/>
    </row>
    <row r="3143">
      <c r="A3143" s="64"/>
      <c r="D3143" s="63"/>
      <c r="J3143" s="64"/>
    </row>
    <row r="3144">
      <c r="A3144" s="64"/>
      <c r="D3144" s="63"/>
      <c r="J3144" s="64"/>
    </row>
    <row r="3145">
      <c r="A3145" s="64"/>
      <c r="D3145" s="63"/>
      <c r="J3145" s="64"/>
    </row>
    <row r="3146">
      <c r="A3146" s="64"/>
      <c r="D3146" s="63"/>
      <c r="J3146" s="64"/>
    </row>
    <row r="3147">
      <c r="A3147" s="64"/>
      <c r="D3147" s="63"/>
      <c r="J3147" s="64"/>
    </row>
    <row r="3148">
      <c r="A3148" s="64"/>
      <c r="D3148" s="63"/>
      <c r="J3148" s="64"/>
    </row>
    <row r="3149">
      <c r="A3149" s="64"/>
      <c r="D3149" s="63"/>
      <c r="J3149" s="64"/>
    </row>
    <row r="3150">
      <c r="A3150" s="64"/>
      <c r="D3150" s="63"/>
      <c r="J3150" s="64"/>
    </row>
    <row r="3151">
      <c r="A3151" s="64"/>
      <c r="D3151" s="63"/>
      <c r="J3151" s="64"/>
    </row>
    <row r="3152">
      <c r="A3152" s="64"/>
      <c r="D3152" s="63"/>
      <c r="J3152" s="64"/>
    </row>
    <row r="3153">
      <c r="A3153" s="64"/>
      <c r="D3153" s="63"/>
      <c r="J3153" s="64"/>
    </row>
    <row r="3154">
      <c r="A3154" s="64"/>
      <c r="D3154" s="63"/>
      <c r="J3154" s="64"/>
    </row>
    <row r="3155">
      <c r="A3155" s="64"/>
      <c r="D3155" s="63"/>
      <c r="J3155" s="64"/>
    </row>
    <row r="3156">
      <c r="A3156" s="64"/>
      <c r="D3156" s="63"/>
      <c r="J3156" s="64"/>
    </row>
    <row r="3157">
      <c r="A3157" s="64"/>
      <c r="D3157" s="63"/>
      <c r="J3157" s="64"/>
    </row>
    <row r="3158">
      <c r="A3158" s="64"/>
      <c r="D3158" s="63"/>
      <c r="J3158" s="64"/>
    </row>
    <row r="3159">
      <c r="A3159" s="64"/>
      <c r="D3159" s="63"/>
      <c r="J3159" s="64"/>
    </row>
    <row r="3160">
      <c r="A3160" s="64"/>
      <c r="D3160" s="63"/>
      <c r="J3160" s="64"/>
    </row>
    <row r="3161">
      <c r="A3161" s="64"/>
      <c r="D3161" s="63"/>
      <c r="J3161" s="64"/>
    </row>
    <row r="3162">
      <c r="A3162" s="64"/>
      <c r="D3162" s="63"/>
      <c r="J3162" s="64"/>
    </row>
    <row r="3163">
      <c r="A3163" s="64"/>
      <c r="D3163" s="63"/>
      <c r="J3163" s="64"/>
    </row>
    <row r="3164">
      <c r="A3164" s="64"/>
      <c r="D3164" s="63"/>
      <c r="J3164" s="64"/>
    </row>
    <row r="3165">
      <c r="A3165" s="64"/>
      <c r="D3165" s="63"/>
      <c r="J3165" s="64"/>
    </row>
    <row r="3166">
      <c r="A3166" s="64"/>
      <c r="D3166" s="63"/>
      <c r="J3166" s="64"/>
    </row>
    <row r="3167">
      <c r="A3167" s="64"/>
      <c r="D3167" s="63"/>
      <c r="J3167" s="64"/>
    </row>
    <row r="3168">
      <c r="A3168" s="64"/>
      <c r="D3168" s="63"/>
      <c r="J3168" s="64"/>
    </row>
    <row r="3169">
      <c r="A3169" s="64"/>
      <c r="D3169" s="63"/>
      <c r="J3169" s="64"/>
    </row>
    <row r="3170">
      <c r="A3170" s="64"/>
      <c r="D3170" s="63"/>
      <c r="J3170" s="64"/>
    </row>
    <row r="3171">
      <c r="A3171" s="64"/>
      <c r="D3171" s="63"/>
      <c r="J3171" s="64"/>
    </row>
    <row r="3172">
      <c r="A3172" s="64"/>
      <c r="D3172" s="63"/>
      <c r="J3172" s="64"/>
    </row>
    <row r="3173">
      <c r="A3173" s="64"/>
      <c r="D3173" s="63"/>
      <c r="J3173" s="64"/>
    </row>
    <row r="3174">
      <c r="A3174" s="64"/>
      <c r="D3174" s="63"/>
      <c r="J3174" s="64"/>
    </row>
    <row r="3175">
      <c r="A3175" s="64"/>
      <c r="D3175" s="63"/>
      <c r="J3175" s="64"/>
    </row>
    <row r="3176">
      <c r="A3176" s="64"/>
      <c r="D3176" s="63"/>
      <c r="J3176" s="64"/>
    </row>
    <row r="3177">
      <c r="A3177" s="64"/>
      <c r="D3177" s="63"/>
      <c r="J3177" s="64"/>
    </row>
    <row r="3178">
      <c r="A3178" s="64"/>
      <c r="D3178" s="63"/>
      <c r="J3178" s="64"/>
    </row>
    <row r="3179">
      <c r="A3179" s="64"/>
      <c r="D3179" s="63"/>
      <c r="J3179" s="64"/>
    </row>
    <row r="3180">
      <c r="A3180" s="64"/>
      <c r="D3180" s="63"/>
      <c r="J3180" s="64"/>
    </row>
    <row r="3181">
      <c r="A3181" s="64"/>
      <c r="D3181" s="63"/>
      <c r="J3181" s="64"/>
    </row>
    <row r="3182">
      <c r="A3182" s="64"/>
      <c r="D3182" s="63"/>
      <c r="J3182" s="64"/>
    </row>
    <row r="3183">
      <c r="A3183" s="64"/>
      <c r="D3183" s="63"/>
      <c r="J3183" s="64"/>
    </row>
    <row r="3184">
      <c r="A3184" s="64"/>
      <c r="D3184" s="63"/>
      <c r="J3184" s="64"/>
    </row>
    <row r="3185">
      <c r="A3185" s="64"/>
      <c r="D3185" s="63"/>
      <c r="J3185" s="64"/>
    </row>
    <row r="3186">
      <c r="A3186" s="64"/>
      <c r="D3186" s="63"/>
      <c r="J3186" s="64"/>
    </row>
    <row r="3187">
      <c r="A3187" s="64"/>
      <c r="D3187" s="63"/>
      <c r="J3187" s="64"/>
    </row>
    <row r="3188">
      <c r="A3188" s="64"/>
      <c r="D3188" s="63"/>
      <c r="J3188" s="64"/>
    </row>
    <row r="3189">
      <c r="A3189" s="64"/>
      <c r="D3189" s="63"/>
      <c r="J3189" s="64"/>
    </row>
    <row r="3190">
      <c r="A3190" s="64"/>
      <c r="D3190" s="63"/>
      <c r="J3190" s="64"/>
    </row>
    <row r="3191">
      <c r="A3191" s="64"/>
      <c r="D3191" s="63"/>
      <c r="J3191" s="64"/>
    </row>
    <row r="3192">
      <c r="A3192" s="64"/>
      <c r="D3192" s="63"/>
      <c r="J3192" s="64"/>
    </row>
    <row r="3193">
      <c r="A3193" s="64"/>
      <c r="D3193" s="63"/>
      <c r="J3193" s="64"/>
    </row>
    <row r="3194">
      <c r="A3194" s="64"/>
      <c r="D3194" s="63"/>
      <c r="J3194" s="64"/>
    </row>
    <row r="3195">
      <c r="A3195" s="64"/>
      <c r="D3195" s="63"/>
      <c r="J3195" s="64"/>
    </row>
    <row r="3196">
      <c r="A3196" s="64"/>
      <c r="D3196" s="63"/>
      <c r="J3196" s="64"/>
    </row>
    <row r="3197">
      <c r="A3197" s="64"/>
      <c r="D3197" s="63"/>
      <c r="J3197" s="64"/>
    </row>
    <row r="3198">
      <c r="A3198" s="64"/>
      <c r="D3198" s="63"/>
      <c r="J3198" s="64"/>
    </row>
    <row r="3199">
      <c r="A3199" s="64"/>
      <c r="D3199" s="63"/>
      <c r="J3199" s="64"/>
    </row>
    <row r="3200">
      <c r="A3200" s="64"/>
      <c r="D3200" s="63"/>
      <c r="J3200" s="64"/>
    </row>
    <row r="3201">
      <c r="A3201" s="64"/>
      <c r="D3201" s="63"/>
      <c r="J3201" s="64"/>
    </row>
    <row r="3202">
      <c r="A3202" s="64"/>
      <c r="D3202" s="63"/>
      <c r="J3202" s="64"/>
    </row>
    <row r="3203">
      <c r="A3203" s="64"/>
      <c r="D3203" s="63"/>
      <c r="J3203" s="64"/>
    </row>
    <row r="3204">
      <c r="A3204" s="64"/>
      <c r="D3204" s="63"/>
      <c r="J3204" s="64"/>
    </row>
    <row r="3205">
      <c r="A3205" s="64"/>
      <c r="D3205" s="63"/>
      <c r="J3205" s="64"/>
    </row>
    <row r="3206">
      <c r="A3206" s="64"/>
      <c r="D3206" s="63"/>
      <c r="J3206" s="64"/>
    </row>
    <row r="3207">
      <c r="A3207" s="64"/>
      <c r="D3207" s="63"/>
      <c r="J3207" s="64"/>
    </row>
    <row r="3208">
      <c r="A3208" s="64"/>
      <c r="D3208" s="63"/>
      <c r="J3208" s="64"/>
    </row>
    <row r="3209">
      <c r="A3209" s="64"/>
      <c r="D3209" s="63"/>
      <c r="J3209" s="64"/>
    </row>
    <row r="3210">
      <c r="A3210" s="64"/>
      <c r="D3210" s="63"/>
      <c r="J3210" s="64"/>
    </row>
    <row r="3211">
      <c r="A3211" s="64"/>
      <c r="D3211" s="63"/>
      <c r="J3211" s="64"/>
    </row>
    <row r="3212">
      <c r="A3212" s="64"/>
      <c r="D3212" s="63"/>
      <c r="J3212" s="64"/>
    </row>
    <row r="3213">
      <c r="A3213" s="64"/>
      <c r="D3213" s="63"/>
      <c r="J3213" s="64"/>
    </row>
    <row r="3214">
      <c r="A3214" s="64"/>
      <c r="D3214" s="63"/>
      <c r="J3214" s="64"/>
    </row>
    <row r="3215">
      <c r="A3215" s="64"/>
      <c r="D3215" s="63"/>
      <c r="J3215" s="64"/>
    </row>
    <row r="3216">
      <c r="A3216" s="64"/>
      <c r="D3216" s="63"/>
      <c r="J3216" s="64"/>
    </row>
    <row r="3217">
      <c r="A3217" s="64"/>
      <c r="D3217" s="63"/>
      <c r="J3217" s="64"/>
    </row>
    <row r="3218">
      <c r="A3218" s="64"/>
      <c r="D3218" s="63"/>
      <c r="J3218" s="64"/>
    </row>
    <row r="3219">
      <c r="A3219" s="64"/>
      <c r="D3219" s="63"/>
      <c r="J3219" s="64"/>
    </row>
    <row r="3220">
      <c r="A3220" s="64"/>
      <c r="D3220" s="63"/>
      <c r="J3220" s="64"/>
    </row>
    <row r="3221">
      <c r="A3221" s="64"/>
      <c r="D3221" s="63"/>
      <c r="J3221" s="64"/>
    </row>
    <row r="3222">
      <c r="A3222" s="64"/>
      <c r="D3222" s="63"/>
      <c r="J3222" s="64"/>
    </row>
    <row r="3223">
      <c r="A3223" s="64"/>
      <c r="D3223" s="63"/>
      <c r="J3223" s="64"/>
    </row>
    <row r="3224">
      <c r="A3224" s="64"/>
      <c r="D3224" s="63"/>
      <c r="J3224" s="64"/>
    </row>
    <row r="3225">
      <c r="A3225" s="64"/>
      <c r="D3225" s="63"/>
      <c r="J3225" s="64"/>
    </row>
    <row r="3226">
      <c r="A3226" s="64"/>
      <c r="D3226" s="63"/>
      <c r="J3226" s="64"/>
    </row>
    <row r="3227">
      <c r="A3227" s="64"/>
      <c r="D3227" s="63"/>
      <c r="J3227" s="64"/>
    </row>
    <row r="3228">
      <c r="A3228" s="64"/>
      <c r="D3228" s="63"/>
      <c r="J3228" s="64"/>
    </row>
    <row r="3229">
      <c r="A3229" s="64"/>
      <c r="D3229" s="63"/>
      <c r="J3229" s="64"/>
    </row>
    <row r="3230">
      <c r="A3230" s="64"/>
      <c r="D3230" s="63"/>
      <c r="J3230" s="64"/>
    </row>
    <row r="3231">
      <c r="A3231" s="64"/>
      <c r="D3231" s="63"/>
      <c r="J3231" s="64"/>
    </row>
    <row r="3232">
      <c r="A3232" s="64"/>
      <c r="D3232" s="63"/>
      <c r="J3232" s="64"/>
    </row>
    <row r="3233">
      <c r="A3233" s="64"/>
      <c r="D3233" s="63"/>
      <c r="J3233" s="64"/>
    </row>
    <row r="3234">
      <c r="A3234" s="64"/>
      <c r="D3234" s="63"/>
      <c r="J3234" s="64"/>
    </row>
    <row r="3235">
      <c r="A3235" s="64"/>
      <c r="D3235" s="63"/>
      <c r="J3235" s="64"/>
    </row>
    <row r="3236">
      <c r="A3236" s="64"/>
      <c r="D3236" s="63"/>
      <c r="J3236" s="64"/>
    </row>
    <row r="3237">
      <c r="A3237" s="64"/>
      <c r="D3237" s="63"/>
      <c r="J3237" s="64"/>
    </row>
    <row r="3238">
      <c r="A3238" s="64"/>
      <c r="D3238" s="63"/>
      <c r="J3238" s="64"/>
    </row>
    <row r="3239">
      <c r="A3239" s="64"/>
      <c r="D3239" s="63"/>
      <c r="J3239" s="64"/>
    </row>
    <row r="3240">
      <c r="A3240" s="64"/>
      <c r="D3240" s="63"/>
      <c r="J3240" s="64"/>
    </row>
    <row r="3241">
      <c r="A3241" s="64"/>
      <c r="D3241" s="63"/>
      <c r="J3241" s="64"/>
    </row>
    <row r="3242">
      <c r="A3242" s="64"/>
      <c r="D3242" s="63"/>
      <c r="J3242" s="64"/>
    </row>
    <row r="3243">
      <c r="A3243" s="64"/>
      <c r="D3243" s="63"/>
      <c r="J3243" s="64"/>
    </row>
    <row r="3244">
      <c r="A3244" s="64"/>
      <c r="D3244" s="63"/>
      <c r="J3244" s="64"/>
    </row>
    <row r="3245">
      <c r="A3245" s="64"/>
      <c r="D3245" s="63"/>
      <c r="J3245" s="64"/>
    </row>
    <row r="3246">
      <c r="A3246" s="64"/>
      <c r="D3246" s="63"/>
      <c r="J3246" s="64"/>
    </row>
    <row r="3247">
      <c r="A3247" s="64"/>
      <c r="D3247" s="63"/>
      <c r="J3247" s="64"/>
    </row>
    <row r="3248">
      <c r="A3248" s="64"/>
      <c r="D3248" s="63"/>
      <c r="J3248" s="64"/>
    </row>
    <row r="3249">
      <c r="A3249" s="64"/>
      <c r="D3249" s="63"/>
      <c r="J3249" s="64"/>
    </row>
    <row r="3250">
      <c r="A3250" s="64"/>
      <c r="D3250" s="63"/>
      <c r="J3250" s="64"/>
    </row>
    <row r="3251">
      <c r="A3251" s="64"/>
      <c r="D3251" s="63"/>
      <c r="J3251" s="64"/>
    </row>
    <row r="3252">
      <c r="A3252" s="64"/>
      <c r="D3252" s="63"/>
      <c r="J3252" s="64"/>
    </row>
    <row r="3253">
      <c r="A3253" s="64"/>
      <c r="D3253" s="63"/>
      <c r="J3253" s="64"/>
    </row>
    <row r="3254">
      <c r="A3254" s="64"/>
      <c r="D3254" s="63"/>
      <c r="J3254" s="64"/>
    </row>
    <row r="3255">
      <c r="A3255" s="64"/>
      <c r="D3255" s="63"/>
      <c r="J3255" s="64"/>
    </row>
    <row r="3256">
      <c r="A3256" s="64"/>
      <c r="D3256" s="63"/>
      <c r="J3256" s="64"/>
    </row>
    <row r="3257">
      <c r="A3257" s="64"/>
      <c r="D3257" s="63"/>
      <c r="J3257" s="64"/>
    </row>
    <row r="3258">
      <c r="A3258" s="64"/>
      <c r="D3258" s="63"/>
      <c r="J3258" s="64"/>
    </row>
    <row r="3259">
      <c r="A3259" s="64"/>
      <c r="D3259" s="63"/>
      <c r="J3259" s="64"/>
    </row>
    <row r="3260">
      <c r="A3260" s="64"/>
      <c r="D3260" s="63"/>
      <c r="J3260" s="64"/>
    </row>
    <row r="3261">
      <c r="A3261" s="64"/>
      <c r="D3261" s="63"/>
      <c r="J3261" s="64"/>
    </row>
    <row r="3262">
      <c r="A3262" s="64"/>
      <c r="D3262" s="63"/>
      <c r="J3262" s="64"/>
    </row>
    <row r="3263">
      <c r="A3263" s="64"/>
      <c r="D3263" s="63"/>
      <c r="J3263" s="64"/>
    </row>
    <row r="3264">
      <c r="A3264" s="64"/>
      <c r="D3264" s="63"/>
      <c r="J3264" s="64"/>
    </row>
    <row r="3265">
      <c r="A3265" s="64"/>
      <c r="D3265" s="63"/>
      <c r="J3265" s="64"/>
    </row>
    <row r="3266">
      <c r="A3266" s="64"/>
      <c r="D3266" s="63"/>
      <c r="J3266" s="64"/>
    </row>
    <row r="3267">
      <c r="A3267" s="64"/>
      <c r="D3267" s="63"/>
      <c r="J3267" s="64"/>
    </row>
    <row r="3268">
      <c r="A3268" s="64"/>
      <c r="D3268" s="63"/>
      <c r="J3268" s="64"/>
    </row>
    <row r="3269">
      <c r="A3269" s="64"/>
      <c r="D3269" s="63"/>
      <c r="J3269" s="64"/>
    </row>
    <row r="3270">
      <c r="A3270" s="64"/>
      <c r="D3270" s="63"/>
      <c r="J3270" s="64"/>
    </row>
    <row r="3271">
      <c r="A3271" s="64"/>
      <c r="D3271" s="63"/>
      <c r="J3271" s="64"/>
    </row>
    <row r="3272">
      <c r="A3272" s="64"/>
      <c r="D3272" s="63"/>
      <c r="J3272" s="64"/>
    </row>
    <row r="3273">
      <c r="A3273" s="64"/>
      <c r="D3273" s="63"/>
      <c r="J3273" s="64"/>
    </row>
    <row r="3274">
      <c r="A3274" s="64"/>
      <c r="D3274" s="63"/>
      <c r="J3274" s="64"/>
    </row>
    <row r="3275">
      <c r="A3275" s="64"/>
      <c r="D3275" s="63"/>
      <c r="J3275" s="64"/>
    </row>
    <row r="3276">
      <c r="A3276" s="64"/>
      <c r="D3276" s="63"/>
      <c r="J3276" s="64"/>
    </row>
    <row r="3277">
      <c r="A3277" s="64"/>
      <c r="D3277" s="63"/>
      <c r="J3277" s="64"/>
    </row>
    <row r="3278">
      <c r="A3278" s="64"/>
      <c r="D3278" s="63"/>
      <c r="J3278" s="64"/>
    </row>
    <row r="3279">
      <c r="A3279" s="64"/>
      <c r="D3279" s="63"/>
      <c r="J3279" s="64"/>
    </row>
    <row r="3280">
      <c r="A3280" s="64"/>
      <c r="D3280" s="63"/>
      <c r="J3280" s="64"/>
    </row>
    <row r="3281">
      <c r="A3281" s="64"/>
      <c r="D3281" s="63"/>
      <c r="J3281" s="64"/>
    </row>
    <row r="3282">
      <c r="A3282" s="64"/>
      <c r="D3282" s="63"/>
      <c r="J3282" s="64"/>
    </row>
    <row r="3283">
      <c r="A3283" s="64"/>
      <c r="D3283" s="63"/>
      <c r="J3283" s="64"/>
    </row>
    <row r="3284">
      <c r="A3284" s="64"/>
      <c r="D3284" s="63"/>
      <c r="J3284" s="64"/>
    </row>
    <row r="3285">
      <c r="A3285" s="64"/>
      <c r="D3285" s="63"/>
      <c r="J3285" s="64"/>
    </row>
    <row r="3286">
      <c r="A3286" s="64"/>
      <c r="D3286" s="63"/>
      <c r="J3286" s="64"/>
    </row>
    <row r="3287">
      <c r="A3287" s="64"/>
      <c r="D3287" s="63"/>
      <c r="J3287" s="64"/>
    </row>
    <row r="3288">
      <c r="A3288" s="64"/>
      <c r="D3288" s="63"/>
      <c r="J3288" s="64"/>
    </row>
    <row r="3289">
      <c r="A3289" s="64"/>
      <c r="D3289" s="63"/>
      <c r="J3289" s="64"/>
    </row>
    <row r="3290">
      <c r="A3290" s="64"/>
      <c r="D3290" s="63"/>
      <c r="J3290" s="64"/>
    </row>
    <row r="3291">
      <c r="A3291" s="64"/>
      <c r="D3291" s="63"/>
      <c r="J3291" s="64"/>
    </row>
    <row r="3292">
      <c r="A3292" s="64"/>
      <c r="D3292" s="63"/>
      <c r="J3292" s="64"/>
    </row>
    <row r="3293">
      <c r="A3293" s="64"/>
      <c r="D3293" s="63"/>
      <c r="J3293" s="64"/>
    </row>
    <row r="3294">
      <c r="A3294" s="64"/>
      <c r="D3294" s="63"/>
      <c r="J3294" s="64"/>
    </row>
    <row r="3295">
      <c r="A3295" s="64"/>
      <c r="D3295" s="63"/>
      <c r="J3295" s="64"/>
    </row>
    <row r="3296">
      <c r="A3296" s="64"/>
      <c r="D3296" s="63"/>
      <c r="J3296" s="64"/>
    </row>
    <row r="3297">
      <c r="A3297" s="64"/>
      <c r="D3297" s="63"/>
      <c r="J3297" s="64"/>
    </row>
    <row r="3298">
      <c r="A3298" s="64"/>
      <c r="D3298" s="63"/>
      <c r="J3298" s="64"/>
    </row>
    <row r="3299">
      <c r="A3299" s="64"/>
      <c r="D3299" s="63"/>
      <c r="J3299" s="64"/>
    </row>
    <row r="3300">
      <c r="A3300" s="64"/>
      <c r="D3300" s="63"/>
      <c r="J3300" s="64"/>
    </row>
    <row r="3301">
      <c r="A3301" s="64"/>
      <c r="D3301" s="63"/>
      <c r="J3301" s="64"/>
    </row>
    <row r="3302">
      <c r="A3302" s="64"/>
      <c r="D3302" s="63"/>
      <c r="J3302" s="64"/>
    </row>
    <row r="3303">
      <c r="A3303" s="64"/>
      <c r="D3303" s="63"/>
      <c r="J3303" s="64"/>
    </row>
    <row r="3304">
      <c r="A3304" s="64"/>
      <c r="D3304" s="63"/>
      <c r="J3304" s="64"/>
    </row>
    <row r="3305">
      <c r="A3305" s="64"/>
      <c r="D3305" s="63"/>
      <c r="J3305" s="64"/>
    </row>
    <row r="3306">
      <c r="A3306" s="64"/>
      <c r="D3306" s="63"/>
      <c r="J3306" s="64"/>
    </row>
    <row r="3307">
      <c r="A3307" s="64"/>
      <c r="D3307" s="63"/>
      <c r="J3307" s="64"/>
    </row>
    <row r="3308">
      <c r="A3308" s="64"/>
      <c r="D3308" s="63"/>
      <c r="J3308" s="64"/>
    </row>
    <row r="3309">
      <c r="A3309" s="64"/>
      <c r="D3309" s="63"/>
      <c r="J3309" s="64"/>
    </row>
    <row r="3310">
      <c r="A3310" s="64"/>
      <c r="D3310" s="63"/>
      <c r="J3310" s="64"/>
    </row>
    <row r="3311">
      <c r="A3311" s="64"/>
      <c r="D3311" s="63"/>
      <c r="J3311" s="64"/>
    </row>
    <row r="3312">
      <c r="A3312" s="64"/>
      <c r="D3312" s="63"/>
      <c r="J3312" s="64"/>
    </row>
    <row r="3313">
      <c r="A3313" s="64"/>
      <c r="D3313" s="63"/>
      <c r="J3313" s="64"/>
    </row>
    <row r="3314">
      <c r="A3314" s="64"/>
      <c r="D3314" s="63"/>
      <c r="J3314" s="64"/>
    </row>
    <row r="3315">
      <c r="A3315" s="64"/>
      <c r="D3315" s="63"/>
      <c r="J3315" s="64"/>
    </row>
    <row r="3316">
      <c r="A3316" s="64"/>
      <c r="D3316" s="63"/>
      <c r="J3316" s="64"/>
    </row>
    <row r="3317">
      <c r="A3317" s="64"/>
      <c r="D3317" s="63"/>
      <c r="J3317" s="64"/>
    </row>
    <row r="3318">
      <c r="A3318" s="64"/>
      <c r="D3318" s="63"/>
      <c r="J3318" s="64"/>
    </row>
    <row r="3319">
      <c r="A3319" s="64"/>
      <c r="D3319" s="63"/>
      <c r="J3319" s="64"/>
    </row>
    <row r="3320">
      <c r="A3320" s="64"/>
      <c r="D3320" s="63"/>
      <c r="J3320" s="64"/>
    </row>
    <row r="3321">
      <c r="A3321" s="64"/>
      <c r="D3321" s="63"/>
      <c r="J3321" s="64"/>
    </row>
    <row r="3322">
      <c r="A3322" s="64"/>
      <c r="D3322" s="63"/>
      <c r="J3322" s="64"/>
    </row>
    <row r="3323">
      <c r="A3323" s="64"/>
      <c r="D3323" s="63"/>
      <c r="J3323" s="64"/>
    </row>
    <row r="3324">
      <c r="A3324" s="64"/>
      <c r="D3324" s="63"/>
      <c r="J3324" s="64"/>
    </row>
    <row r="3325">
      <c r="A3325" s="64"/>
      <c r="D3325" s="63"/>
      <c r="J3325" s="64"/>
    </row>
    <row r="3326">
      <c r="A3326" s="64"/>
      <c r="D3326" s="63"/>
      <c r="J3326" s="64"/>
    </row>
    <row r="3327">
      <c r="A3327" s="64"/>
      <c r="D3327" s="63"/>
      <c r="J3327" s="64"/>
    </row>
    <row r="3328">
      <c r="A3328" s="64"/>
      <c r="D3328" s="63"/>
      <c r="J3328" s="64"/>
    </row>
    <row r="3329">
      <c r="A3329" s="64"/>
      <c r="D3329" s="63"/>
      <c r="J3329" s="64"/>
    </row>
    <row r="3330">
      <c r="A3330" s="64"/>
      <c r="D3330" s="63"/>
      <c r="J3330" s="64"/>
    </row>
    <row r="3331">
      <c r="A3331" s="64"/>
      <c r="D3331" s="63"/>
      <c r="J3331" s="64"/>
    </row>
    <row r="3332">
      <c r="A3332" s="64"/>
      <c r="D3332" s="63"/>
      <c r="J3332" s="64"/>
    </row>
    <row r="3333">
      <c r="A3333" s="64"/>
      <c r="D3333" s="63"/>
      <c r="J3333" s="64"/>
    </row>
    <row r="3334">
      <c r="A3334" s="64"/>
      <c r="D3334" s="63"/>
      <c r="J3334" s="64"/>
    </row>
    <row r="3335">
      <c r="A3335" s="64"/>
      <c r="D3335" s="63"/>
      <c r="J3335" s="64"/>
    </row>
    <row r="3336">
      <c r="A3336" s="64"/>
      <c r="D3336" s="63"/>
      <c r="J3336" s="64"/>
    </row>
    <row r="3337">
      <c r="A3337" s="64"/>
      <c r="D3337" s="63"/>
      <c r="J3337" s="64"/>
    </row>
    <row r="3338">
      <c r="A3338" s="64"/>
      <c r="D3338" s="63"/>
      <c r="J3338" s="64"/>
    </row>
    <row r="3339">
      <c r="A3339" s="64"/>
      <c r="D3339" s="63"/>
      <c r="J3339" s="64"/>
    </row>
    <row r="3340">
      <c r="A3340" s="64"/>
      <c r="D3340" s="63"/>
      <c r="J3340" s="64"/>
    </row>
    <row r="3341">
      <c r="A3341" s="64"/>
      <c r="D3341" s="63"/>
      <c r="J3341" s="64"/>
    </row>
    <row r="3342">
      <c r="A3342" s="64"/>
      <c r="D3342" s="63"/>
      <c r="J3342" s="64"/>
    </row>
    <row r="3343">
      <c r="A3343" s="64"/>
      <c r="D3343" s="63"/>
      <c r="J3343" s="64"/>
    </row>
    <row r="3344">
      <c r="A3344" s="64"/>
      <c r="D3344" s="63"/>
      <c r="J3344" s="64"/>
    </row>
    <row r="3345">
      <c r="A3345" s="64"/>
      <c r="D3345" s="63"/>
      <c r="J3345" s="64"/>
    </row>
    <row r="3346">
      <c r="A3346" s="64"/>
      <c r="D3346" s="63"/>
      <c r="J3346" s="64"/>
    </row>
    <row r="3347">
      <c r="A3347" s="64"/>
      <c r="D3347" s="63"/>
      <c r="J3347" s="64"/>
    </row>
    <row r="3348">
      <c r="A3348" s="64"/>
      <c r="D3348" s="63"/>
      <c r="J3348" s="64"/>
    </row>
    <row r="3349">
      <c r="A3349" s="64"/>
      <c r="D3349" s="63"/>
      <c r="J3349" s="64"/>
    </row>
    <row r="3350">
      <c r="A3350" s="64"/>
      <c r="D3350" s="63"/>
      <c r="J3350" s="64"/>
    </row>
    <row r="3351">
      <c r="A3351" s="64"/>
      <c r="D3351" s="63"/>
      <c r="J3351" s="64"/>
    </row>
    <row r="3352">
      <c r="A3352" s="64"/>
      <c r="D3352" s="63"/>
      <c r="J3352" s="64"/>
    </row>
    <row r="3353">
      <c r="A3353" s="64"/>
      <c r="D3353" s="63"/>
      <c r="J3353" s="64"/>
    </row>
    <row r="3354">
      <c r="A3354" s="64"/>
      <c r="D3354" s="63"/>
      <c r="J3354" s="64"/>
    </row>
    <row r="3355">
      <c r="A3355" s="64"/>
      <c r="D3355" s="63"/>
      <c r="J3355" s="64"/>
    </row>
    <row r="3356">
      <c r="A3356" s="64"/>
      <c r="D3356" s="63"/>
      <c r="J3356" s="64"/>
    </row>
    <row r="3357">
      <c r="A3357" s="64"/>
      <c r="D3357" s="63"/>
      <c r="J3357" s="64"/>
    </row>
    <row r="3358">
      <c r="A3358" s="64"/>
      <c r="D3358" s="63"/>
      <c r="J3358" s="64"/>
    </row>
    <row r="3359">
      <c r="A3359" s="64"/>
      <c r="D3359" s="63"/>
      <c r="J3359" s="64"/>
    </row>
    <row r="3360">
      <c r="A3360" s="64"/>
      <c r="D3360" s="63"/>
      <c r="J3360" s="64"/>
    </row>
    <row r="3361">
      <c r="A3361" s="64"/>
      <c r="D3361" s="63"/>
      <c r="J3361" s="64"/>
    </row>
    <row r="3362">
      <c r="A3362" s="64"/>
      <c r="D3362" s="63"/>
      <c r="J3362" s="64"/>
    </row>
    <row r="3363">
      <c r="A3363" s="64"/>
      <c r="D3363" s="63"/>
      <c r="J3363" s="64"/>
    </row>
    <row r="3364">
      <c r="A3364" s="64"/>
      <c r="D3364" s="63"/>
      <c r="J3364" s="64"/>
    </row>
    <row r="3365">
      <c r="A3365" s="64"/>
      <c r="D3365" s="63"/>
      <c r="J3365" s="64"/>
    </row>
    <row r="3366">
      <c r="A3366" s="64"/>
      <c r="D3366" s="63"/>
      <c r="J3366" s="64"/>
    </row>
    <row r="3367">
      <c r="A3367" s="64"/>
      <c r="D3367" s="63"/>
      <c r="J3367" s="64"/>
    </row>
    <row r="3368">
      <c r="A3368" s="64"/>
      <c r="D3368" s="63"/>
      <c r="J3368" s="64"/>
    </row>
    <row r="3369">
      <c r="A3369" s="64"/>
      <c r="D3369" s="63"/>
      <c r="J3369" s="64"/>
    </row>
    <row r="3370">
      <c r="A3370" s="64"/>
      <c r="D3370" s="63"/>
      <c r="J3370" s="64"/>
    </row>
    <row r="3371">
      <c r="A3371" s="64"/>
      <c r="D3371" s="63"/>
      <c r="J3371" s="64"/>
    </row>
    <row r="3372">
      <c r="A3372" s="64"/>
      <c r="D3372" s="63"/>
      <c r="J3372" s="64"/>
    </row>
    <row r="3373">
      <c r="A3373" s="64"/>
      <c r="D3373" s="63"/>
      <c r="J3373" s="64"/>
    </row>
    <row r="3374">
      <c r="A3374" s="64"/>
      <c r="D3374" s="63"/>
      <c r="J3374" s="64"/>
    </row>
    <row r="3375">
      <c r="A3375" s="64"/>
      <c r="D3375" s="63"/>
      <c r="J3375" s="64"/>
    </row>
    <row r="3376">
      <c r="A3376" s="64"/>
      <c r="D3376" s="63"/>
      <c r="J3376" s="64"/>
    </row>
    <row r="3377">
      <c r="A3377" s="64"/>
      <c r="D3377" s="63"/>
      <c r="J3377" s="64"/>
    </row>
    <row r="3378">
      <c r="A3378" s="64"/>
      <c r="D3378" s="63"/>
      <c r="J3378" s="64"/>
    </row>
    <row r="3379">
      <c r="A3379" s="64"/>
      <c r="D3379" s="63"/>
      <c r="J3379" s="64"/>
    </row>
    <row r="3380">
      <c r="A3380" s="64"/>
      <c r="D3380" s="63"/>
      <c r="J3380" s="64"/>
    </row>
    <row r="3381">
      <c r="A3381" s="64"/>
      <c r="D3381" s="63"/>
      <c r="J3381" s="64"/>
    </row>
    <row r="3382">
      <c r="A3382" s="64"/>
      <c r="D3382" s="63"/>
      <c r="J3382" s="64"/>
    </row>
    <row r="3383">
      <c r="A3383" s="64"/>
      <c r="D3383" s="63"/>
      <c r="J3383" s="64"/>
    </row>
    <row r="3384">
      <c r="A3384" s="64"/>
      <c r="D3384" s="63"/>
      <c r="J3384" s="64"/>
    </row>
    <row r="3385">
      <c r="A3385" s="64"/>
      <c r="D3385" s="63"/>
      <c r="J3385" s="64"/>
    </row>
    <row r="3386">
      <c r="A3386" s="64"/>
      <c r="D3386" s="63"/>
      <c r="J3386" s="64"/>
    </row>
    <row r="3387">
      <c r="A3387" s="64"/>
      <c r="D3387" s="63"/>
      <c r="J3387" s="64"/>
    </row>
    <row r="3388">
      <c r="A3388" s="64"/>
      <c r="D3388" s="63"/>
      <c r="J3388" s="64"/>
    </row>
    <row r="3389">
      <c r="A3389" s="64"/>
      <c r="D3389" s="63"/>
      <c r="J3389" s="64"/>
    </row>
    <row r="3390">
      <c r="A3390" s="64"/>
      <c r="D3390" s="63"/>
      <c r="J3390" s="64"/>
    </row>
    <row r="3391">
      <c r="A3391" s="64"/>
      <c r="D3391" s="63"/>
      <c r="J3391" s="64"/>
    </row>
    <row r="3392">
      <c r="A3392" s="64"/>
      <c r="D3392" s="63"/>
      <c r="J3392" s="64"/>
    </row>
    <row r="3393">
      <c r="A3393" s="64"/>
      <c r="D3393" s="63"/>
      <c r="J3393" s="64"/>
    </row>
    <row r="3394">
      <c r="A3394" s="64"/>
      <c r="D3394" s="63"/>
      <c r="J3394" s="64"/>
    </row>
    <row r="3395">
      <c r="A3395" s="64"/>
      <c r="D3395" s="63"/>
      <c r="J3395" s="64"/>
    </row>
    <row r="3396">
      <c r="A3396" s="64"/>
      <c r="D3396" s="63"/>
      <c r="J3396" s="64"/>
    </row>
    <row r="3397">
      <c r="A3397" s="64"/>
      <c r="D3397" s="63"/>
      <c r="J3397" s="64"/>
    </row>
    <row r="3398">
      <c r="A3398" s="64"/>
      <c r="D3398" s="63"/>
      <c r="J3398" s="64"/>
    </row>
    <row r="3399">
      <c r="A3399" s="64"/>
      <c r="D3399" s="63"/>
      <c r="J3399" s="64"/>
    </row>
    <row r="3400">
      <c r="A3400" s="64"/>
      <c r="D3400" s="63"/>
      <c r="J3400" s="64"/>
    </row>
    <row r="3401">
      <c r="A3401" s="64"/>
      <c r="D3401" s="63"/>
      <c r="J3401" s="64"/>
    </row>
    <row r="3402">
      <c r="A3402" s="66"/>
      <c r="D3402" s="63"/>
      <c r="J3402" s="64"/>
    </row>
    <row r="3403">
      <c r="A3403" s="66"/>
      <c r="D3403" s="63"/>
      <c r="J3403" s="64"/>
    </row>
    <row r="3404">
      <c r="A3404" s="66"/>
      <c r="D3404" s="63"/>
      <c r="J3404" s="64"/>
    </row>
    <row r="3405">
      <c r="A3405" s="66"/>
      <c r="D3405" s="63"/>
      <c r="J3405" s="64"/>
    </row>
    <row r="3406">
      <c r="A3406" s="66"/>
      <c r="D3406" s="63"/>
      <c r="J3406" s="64"/>
    </row>
    <row r="3407">
      <c r="A3407" s="66"/>
      <c r="D3407" s="63"/>
      <c r="J3407" s="64"/>
    </row>
    <row r="3408">
      <c r="A3408" s="66"/>
      <c r="D3408" s="63"/>
      <c r="J3408" s="64"/>
    </row>
    <row r="3409">
      <c r="A3409" s="66"/>
      <c r="D3409" s="63"/>
      <c r="J3409" s="64"/>
    </row>
    <row r="3410">
      <c r="A3410" s="66"/>
      <c r="D3410" s="63"/>
      <c r="J3410" s="64"/>
    </row>
    <row r="3411">
      <c r="A3411" s="66"/>
      <c r="D3411" s="63"/>
      <c r="J3411" s="64"/>
    </row>
    <row r="3412">
      <c r="A3412" s="66"/>
      <c r="D3412" s="63"/>
      <c r="J3412" s="64"/>
    </row>
    <row r="3413">
      <c r="A3413" s="66"/>
      <c r="D3413" s="63"/>
      <c r="J3413" s="64"/>
    </row>
    <row r="3414">
      <c r="A3414" s="66"/>
      <c r="D3414" s="63"/>
      <c r="J3414" s="64"/>
    </row>
    <row r="3415">
      <c r="A3415" s="66"/>
      <c r="D3415" s="63"/>
      <c r="J3415" s="64"/>
    </row>
    <row r="3416">
      <c r="A3416" s="66"/>
      <c r="D3416" s="63"/>
      <c r="J3416" s="64"/>
    </row>
    <row r="3417">
      <c r="A3417" s="66"/>
      <c r="D3417" s="63"/>
      <c r="J3417" s="64"/>
    </row>
    <row r="3418">
      <c r="A3418" s="66"/>
      <c r="D3418" s="63"/>
      <c r="J3418" s="64"/>
    </row>
    <row r="3419">
      <c r="A3419" s="66"/>
      <c r="D3419" s="63"/>
      <c r="J3419" s="64"/>
    </row>
    <row r="3420">
      <c r="A3420" s="66"/>
      <c r="D3420" s="63"/>
      <c r="J3420" s="64"/>
    </row>
    <row r="3421">
      <c r="A3421" s="66"/>
      <c r="D3421" s="63"/>
      <c r="J3421" s="64"/>
    </row>
    <row r="3422">
      <c r="A3422" s="66"/>
      <c r="D3422" s="63"/>
      <c r="J3422" s="64"/>
    </row>
    <row r="3423">
      <c r="A3423" s="66"/>
      <c r="D3423" s="63"/>
      <c r="J3423" s="64"/>
    </row>
    <row r="3424">
      <c r="A3424" s="66"/>
      <c r="D3424" s="63"/>
      <c r="J3424" s="64"/>
    </row>
    <row r="3425">
      <c r="A3425" s="66"/>
      <c r="D3425" s="63"/>
      <c r="J3425" s="64"/>
    </row>
    <row r="3426">
      <c r="A3426" s="66"/>
      <c r="D3426" s="63"/>
      <c r="J3426" s="64"/>
    </row>
    <row r="3427">
      <c r="A3427" s="66"/>
      <c r="D3427" s="63"/>
      <c r="J3427" s="64"/>
    </row>
    <row r="3428">
      <c r="A3428" s="66"/>
      <c r="D3428" s="63"/>
      <c r="J3428" s="64"/>
    </row>
    <row r="3429">
      <c r="A3429" s="66"/>
      <c r="D3429" s="63"/>
      <c r="J3429" s="64"/>
    </row>
    <row r="3430">
      <c r="A3430" s="66"/>
      <c r="D3430" s="63"/>
      <c r="J3430" s="64"/>
    </row>
    <row r="3431">
      <c r="A3431" s="66"/>
      <c r="D3431" s="63"/>
      <c r="J3431" s="64"/>
    </row>
    <row r="3432">
      <c r="A3432" s="66"/>
      <c r="D3432" s="63"/>
      <c r="J3432" s="64"/>
    </row>
    <row r="3433">
      <c r="A3433" s="66"/>
      <c r="D3433" s="63"/>
      <c r="J3433" s="64"/>
    </row>
    <row r="3434">
      <c r="A3434" s="66"/>
      <c r="D3434" s="63"/>
      <c r="J3434" s="64"/>
    </row>
    <row r="3435">
      <c r="A3435" s="66"/>
      <c r="D3435" s="63"/>
      <c r="J3435" s="64"/>
    </row>
    <row r="3436">
      <c r="A3436" s="66"/>
      <c r="D3436" s="63"/>
      <c r="J3436" s="64"/>
    </row>
    <row r="3437">
      <c r="A3437" s="66"/>
      <c r="D3437" s="63"/>
      <c r="J3437" s="64"/>
    </row>
    <row r="3438">
      <c r="A3438" s="66"/>
      <c r="D3438" s="63"/>
      <c r="J3438" s="64"/>
    </row>
    <row r="3439">
      <c r="A3439" s="66"/>
      <c r="D3439" s="63"/>
      <c r="J3439" s="64"/>
    </row>
    <row r="3440">
      <c r="A3440" s="66"/>
      <c r="D3440" s="63"/>
      <c r="J3440" s="64"/>
    </row>
    <row r="3441">
      <c r="A3441" s="66"/>
      <c r="D3441" s="63"/>
      <c r="J3441" s="64"/>
    </row>
    <row r="3442">
      <c r="A3442" s="66"/>
      <c r="D3442" s="63"/>
      <c r="J3442" s="64"/>
    </row>
    <row r="3443">
      <c r="A3443" s="66"/>
      <c r="D3443" s="63"/>
      <c r="J3443" s="64"/>
    </row>
    <row r="3444">
      <c r="A3444" s="66"/>
      <c r="D3444" s="63"/>
      <c r="J3444" s="64"/>
    </row>
    <row r="3445">
      <c r="A3445" s="66"/>
      <c r="D3445" s="63"/>
      <c r="J3445" s="64"/>
    </row>
    <row r="3446">
      <c r="A3446" s="66"/>
      <c r="D3446" s="63"/>
      <c r="J3446" s="64"/>
    </row>
    <row r="3447">
      <c r="A3447" s="66"/>
      <c r="D3447" s="63"/>
      <c r="J3447" s="64"/>
    </row>
    <row r="3448">
      <c r="A3448" s="66"/>
      <c r="D3448" s="63"/>
      <c r="J3448" s="64"/>
    </row>
    <row r="3449">
      <c r="A3449" s="66"/>
      <c r="D3449" s="63"/>
      <c r="J3449" s="64"/>
    </row>
    <row r="3450">
      <c r="A3450" s="66"/>
      <c r="D3450" s="63"/>
      <c r="J3450" s="64"/>
    </row>
    <row r="3451">
      <c r="A3451" s="66"/>
      <c r="D3451" s="63"/>
      <c r="J3451" s="64"/>
    </row>
    <row r="3452">
      <c r="A3452" s="66"/>
      <c r="D3452" s="63"/>
      <c r="J3452" s="64"/>
    </row>
    <row r="3453">
      <c r="A3453" s="66"/>
      <c r="D3453" s="63"/>
      <c r="J3453" s="64"/>
    </row>
    <row r="3454">
      <c r="A3454" s="66"/>
      <c r="D3454" s="63"/>
      <c r="J3454" s="64"/>
    </row>
    <row r="3455">
      <c r="A3455" s="66"/>
      <c r="D3455" s="63"/>
      <c r="J3455" s="64"/>
    </row>
    <row r="3456">
      <c r="A3456" s="66"/>
      <c r="D3456" s="63"/>
      <c r="J3456" s="64"/>
    </row>
    <row r="3457">
      <c r="A3457" s="66"/>
      <c r="D3457" s="63"/>
      <c r="J3457" s="64"/>
    </row>
    <row r="3458">
      <c r="A3458" s="66"/>
      <c r="D3458" s="63"/>
      <c r="J3458" s="64"/>
    </row>
    <row r="3459">
      <c r="A3459" s="66"/>
      <c r="D3459" s="63"/>
      <c r="J3459" s="64"/>
    </row>
    <row r="3460">
      <c r="A3460" s="66"/>
      <c r="D3460" s="63"/>
      <c r="J3460" s="64"/>
    </row>
    <row r="3461">
      <c r="A3461" s="66"/>
      <c r="D3461" s="63"/>
      <c r="J3461" s="64"/>
    </row>
    <row r="3462">
      <c r="A3462" s="66"/>
      <c r="D3462" s="63"/>
      <c r="J3462" s="64"/>
    </row>
    <row r="3463">
      <c r="A3463" s="66"/>
      <c r="D3463" s="63"/>
      <c r="J3463" s="64"/>
    </row>
    <row r="3464">
      <c r="A3464" s="66"/>
      <c r="D3464" s="63"/>
      <c r="J3464" s="64"/>
    </row>
    <row r="3465">
      <c r="A3465" s="66"/>
      <c r="D3465" s="63"/>
      <c r="J3465" s="64"/>
    </row>
    <row r="3466">
      <c r="A3466" s="66"/>
      <c r="D3466" s="63"/>
      <c r="J3466" s="64"/>
    </row>
    <row r="3467">
      <c r="A3467" s="66"/>
      <c r="D3467" s="63"/>
      <c r="J3467" s="64"/>
    </row>
    <row r="3468">
      <c r="A3468" s="66"/>
      <c r="D3468" s="63"/>
      <c r="J3468" s="66"/>
    </row>
    <row r="3469">
      <c r="A3469" s="66"/>
      <c r="D3469" s="63"/>
      <c r="J3469" s="66"/>
    </row>
    <row r="3470">
      <c r="A3470" s="66"/>
      <c r="D3470" s="63"/>
      <c r="J3470" s="66"/>
    </row>
    <row r="3471">
      <c r="A3471" s="66"/>
      <c r="D3471" s="63"/>
      <c r="J3471" s="66"/>
    </row>
    <row r="3472">
      <c r="A3472" s="66"/>
      <c r="D3472" s="63"/>
      <c r="J3472" s="66"/>
    </row>
    <row r="3473">
      <c r="A3473" s="66"/>
      <c r="D3473" s="63"/>
      <c r="J3473" s="66"/>
    </row>
    <row r="3474">
      <c r="A3474" s="66"/>
      <c r="D3474" s="63"/>
      <c r="J3474" s="66"/>
    </row>
    <row r="3475">
      <c r="A3475" s="66"/>
      <c r="D3475" s="63"/>
      <c r="J3475" s="66"/>
    </row>
    <row r="3476">
      <c r="A3476" s="66"/>
      <c r="D3476" s="63"/>
      <c r="J3476" s="66"/>
    </row>
    <row r="3477">
      <c r="A3477" s="66"/>
      <c r="D3477" s="63"/>
      <c r="J3477" s="66"/>
    </row>
    <row r="3478">
      <c r="A3478" s="66"/>
      <c r="D3478" s="63"/>
      <c r="J3478" s="66"/>
    </row>
    <row r="3479">
      <c r="A3479" s="66"/>
      <c r="D3479" s="63"/>
      <c r="J3479" s="66"/>
    </row>
    <row r="3480">
      <c r="A3480" s="66"/>
      <c r="D3480" s="63"/>
      <c r="J3480" s="66"/>
    </row>
    <row r="3481">
      <c r="A3481" s="66"/>
      <c r="D3481" s="63"/>
      <c r="J3481" s="66"/>
    </row>
    <row r="3482">
      <c r="A3482" s="66"/>
      <c r="D3482" s="63"/>
      <c r="J3482" s="66"/>
    </row>
    <row r="3483">
      <c r="A3483" s="66"/>
      <c r="D3483" s="63"/>
      <c r="J3483" s="66"/>
    </row>
    <row r="3484">
      <c r="A3484" s="66"/>
      <c r="D3484" s="63"/>
      <c r="J3484" s="66"/>
    </row>
    <row r="3485">
      <c r="A3485" s="66"/>
      <c r="D3485" s="63"/>
      <c r="J3485" s="66"/>
    </row>
    <row r="3486">
      <c r="A3486" s="66"/>
      <c r="D3486" s="63"/>
      <c r="J3486" s="66"/>
    </row>
    <row r="3487">
      <c r="A3487" s="66"/>
      <c r="D3487" s="63"/>
      <c r="J3487" s="66"/>
    </row>
    <row r="3488">
      <c r="A3488" s="66"/>
      <c r="D3488" s="63"/>
      <c r="J3488" s="66"/>
    </row>
    <row r="3489">
      <c r="A3489" s="66"/>
      <c r="D3489" s="63"/>
      <c r="J3489" s="66"/>
    </row>
    <row r="3490">
      <c r="A3490" s="66"/>
      <c r="D3490" s="63"/>
      <c r="J3490" s="66"/>
    </row>
    <row r="3491">
      <c r="A3491" s="66"/>
      <c r="D3491" s="63"/>
      <c r="J3491" s="66"/>
    </row>
    <row r="3492">
      <c r="A3492" s="66"/>
      <c r="D3492" s="63"/>
      <c r="J3492" s="66"/>
    </row>
    <row r="3493">
      <c r="A3493" s="66"/>
      <c r="D3493" s="63"/>
      <c r="J3493" s="66"/>
    </row>
    <row r="3494">
      <c r="A3494" s="66"/>
      <c r="D3494" s="63"/>
      <c r="J3494" s="66"/>
    </row>
    <row r="3495">
      <c r="A3495" s="66"/>
      <c r="D3495" s="63"/>
      <c r="J3495" s="66"/>
    </row>
    <row r="3496">
      <c r="A3496" s="66"/>
      <c r="D3496" s="63"/>
      <c r="J3496" s="66"/>
    </row>
    <row r="3497">
      <c r="A3497" s="66"/>
      <c r="D3497" s="63"/>
      <c r="J3497" s="66"/>
    </row>
    <row r="3498">
      <c r="A3498" s="66"/>
      <c r="D3498" s="63"/>
      <c r="J3498" s="66"/>
    </row>
    <row r="3499">
      <c r="A3499" s="66"/>
      <c r="D3499" s="63"/>
      <c r="J3499" s="66"/>
    </row>
    <row r="3500">
      <c r="A3500" s="66"/>
      <c r="D3500" s="63"/>
      <c r="J3500" s="66"/>
    </row>
    <row r="3501">
      <c r="A3501" s="66"/>
      <c r="D3501" s="63"/>
      <c r="J3501" s="66"/>
    </row>
    <row r="3502">
      <c r="A3502" s="66"/>
      <c r="D3502" s="63"/>
      <c r="J3502" s="66"/>
    </row>
    <row r="3503">
      <c r="A3503" s="66"/>
      <c r="D3503" s="63"/>
      <c r="J3503" s="66"/>
    </row>
    <row r="3504">
      <c r="A3504" s="66"/>
      <c r="D3504" s="63"/>
      <c r="J3504" s="66"/>
    </row>
    <row r="3505">
      <c r="A3505" s="66"/>
      <c r="D3505" s="63"/>
      <c r="J3505" s="66"/>
    </row>
    <row r="3506">
      <c r="A3506" s="66"/>
      <c r="D3506" s="63"/>
      <c r="J3506" s="66"/>
    </row>
    <row r="3507">
      <c r="A3507" s="66"/>
      <c r="D3507" s="63"/>
      <c r="J3507" s="66"/>
    </row>
    <row r="3508">
      <c r="A3508" s="66"/>
      <c r="D3508" s="63"/>
      <c r="J3508" s="66"/>
    </row>
    <row r="3509">
      <c r="A3509" s="66"/>
      <c r="D3509" s="63"/>
      <c r="J3509" s="66"/>
    </row>
    <row r="3510">
      <c r="A3510" s="66"/>
      <c r="D3510" s="63"/>
      <c r="J3510" s="66"/>
    </row>
    <row r="3511">
      <c r="A3511" s="66"/>
      <c r="D3511" s="63"/>
      <c r="J3511" s="66"/>
    </row>
    <row r="3512">
      <c r="A3512" s="66"/>
      <c r="D3512" s="63"/>
      <c r="J3512" s="66"/>
    </row>
    <row r="3513">
      <c r="A3513" s="66"/>
      <c r="D3513" s="63"/>
      <c r="J3513" s="66"/>
    </row>
    <row r="3514">
      <c r="A3514" s="66"/>
      <c r="D3514" s="63"/>
      <c r="J3514" s="66"/>
    </row>
    <row r="3515">
      <c r="A3515" s="66"/>
      <c r="D3515" s="63"/>
      <c r="J3515" s="66"/>
    </row>
    <row r="3516">
      <c r="A3516" s="66"/>
      <c r="D3516" s="63"/>
      <c r="J3516" s="66"/>
    </row>
    <row r="3517">
      <c r="A3517" s="66"/>
      <c r="D3517" s="63"/>
      <c r="J3517" s="66"/>
    </row>
    <row r="3518">
      <c r="A3518" s="66"/>
      <c r="D3518" s="63"/>
      <c r="J3518" s="66"/>
    </row>
    <row r="3519">
      <c r="A3519" s="66"/>
      <c r="D3519" s="63"/>
      <c r="J3519" s="66"/>
    </row>
    <row r="3520">
      <c r="A3520" s="66"/>
      <c r="D3520" s="63"/>
      <c r="J3520" s="66"/>
    </row>
    <row r="3521">
      <c r="A3521" s="66"/>
      <c r="D3521" s="63"/>
      <c r="J3521" s="66"/>
    </row>
    <row r="3522">
      <c r="A3522" s="66"/>
      <c r="D3522" s="63"/>
      <c r="J3522" s="66"/>
    </row>
    <row r="3523">
      <c r="A3523" s="66"/>
      <c r="D3523" s="63"/>
      <c r="J3523" s="66"/>
    </row>
    <row r="3524">
      <c r="A3524" s="66"/>
      <c r="D3524" s="63"/>
      <c r="J3524" s="66"/>
    </row>
    <row r="3525">
      <c r="A3525" s="66"/>
      <c r="D3525" s="63"/>
      <c r="J3525" s="66"/>
    </row>
    <row r="3526">
      <c r="A3526" s="66"/>
      <c r="D3526" s="63"/>
      <c r="J3526" s="66"/>
    </row>
    <row r="3527">
      <c r="A3527" s="66"/>
      <c r="D3527" s="63"/>
      <c r="J3527" s="66"/>
    </row>
    <row r="3528">
      <c r="A3528" s="66"/>
      <c r="D3528" s="63"/>
      <c r="J3528" s="66"/>
    </row>
    <row r="3529">
      <c r="A3529" s="66"/>
      <c r="D3529" s="63"/>
      <c r="J3529" s="66"/>
    </row>
    <row r="3530">
      <c r="A3530" s="66"/>
      <c r="D3530" s="63"/>
      <c r="J3530" s="66"/>
    </row>
    <row r="3531">
      <c r="A3531" s="66"/>
      <c r="D3531" s="63"/>
      <c r="J3531" s="66"/>
    </row>
    <row r="3532">
      <c r="A3532" s="66"/>
      <c r="D3532" s="63"/>
      <c r="J3532" s="66"/>
    </row>
    <row r="3533">
      <c r="A3533" s="66"/>
      <c r="D3533" s="63"/>
      <c r="J3533" s="66"/>
    </row>
    <row r="3534">
      <c r="A3534" s="66"/>
      <c r="D3534" s="63"/>
      <c r="J3534" s="66"/>
    </row>
    <row r="3535">
      <c r="A3535" s="66"/>
      <c r="D3535" s="63"/>
      <c r="J3535" s="66"/>
    </row>
    <row r="3536">
      <c r="A3536" s="66"/>
      <c r="D3536" s="63"/>
      <c r="J3536" s="66"/>
    </row>
    <row r="3537">
      <c r="A3537" s="66"/>
      <c r="D3537" s="63"/>
      <c r="J3537" s="66"/>
    </row>
    <row r="3538">
      <c r="A3538" s="66"/>
      <c r="D3538" s="63"/>
      <c r="J3538" s="66"/>
    </row>
    <row r="3539">
      <c r="A3539" s="66"/>
      <c r="D3539" s="63"/>
      <c r="J3539" s="66"/>
    </row>
    <row r="3540">
      <c r="A3540" s="66"/>
      <c r="D3540" s="63"/>
      <c r="J3540" s="66"/>
    </row>
    <row r="3541">
      <c r="A3541" s="66"/>
      <c r="D3541" s="63"/>
      <c r="J3541" s="66"/>
    </row>
    <row r="3542">
      <c r="A3542" s="66"/>
      <c r="D3542" s="63"/>
      <c r="J3542" s="66"/>
    </row>
    <row r="3543">
      <c r="A3543" s="66"/>
      <c r="D3543" s="63"/>
      <c r="J3543" s="66"/>
    </row>
    <row r="3544">
      <c r="A3544" s="66"/>
      <c r="D3544" s="63"/>
      <c r="J3544" s="66"/>
    </row>
    <row r="3545">
      <c r="A3545" s="66"/>
      <c r="D3545" s="63"/>
      <c r="J3545" s="66"/>
    </row>
    <row r="3546">
      <c r="A3546" s="66"/>
      <c r="D3546" s="63"/>
      <c r="J3546" s="66"/>
    </row>
    <row r="3547">
      <c r="A3547" s="66"/>
      <c r="D3547" s="63"/>
      <c r="J3547" s="66"/>
    </row>
    <row r="3548">
      <c r="A3548" s="66"/>
      <c r="D3548" s="63"/>
      <c r="J3548" s="66"/>
    </row>
    <row r="3549">
      <c r="A3549" s="66"/>
      <c r="D3549" s="63"/>
      <c r="J3549" s="66"/>
    </row>
    <row r="3550">
      <c r="A3550" s="66"/>
      <c r="D3550" s="63"/>
      <c r="J3550" s="66"/>
    </row>
    <row r="3551">
      <c r="A3551" s="66"/>
      <c r="D3551" s="63"/>
      <c r="J3551" s="66"/>
    </row>
    <row r="3552">
      <c r="A3552" s="66"/>
      <c r="D3552" s="63"/>
      <c r="J3552" s="66"/>
    </row>
    <row r="3553">
      <c r="A3553" s="66"/>
      <c r="D3553" s="63"/>
      <c r="J3553" s="66"/>
    </row>
    <row r="3554">
      <c r="A3554" s="66"/>
      <c r="D3554" s="63"/>
      <c r="J3554" s="66"/>
    </row>
    <row r="3555">
      <c r="A3555" s="66"/>
      <c r="D3555" s="63"/>
      <c r="J3555" s="66"/>
    </row>
    <row r="3556">
      <c r="A3556" s="66"/>
      <c r="D3556" s="63"/>
      <c r="J3556" s="66"/>
    </row>
    <row r="3557">
      <c r="A3557" s="66"/>
      <c r="D3557" s="63"/>
      <c r="J3557" s="66"/>
    </row>
    <row r="3558">
      <c r="A3558" s="66"/>
      <c r="D3558" s="63"/>
      <c r="J3558" s="66"/>
    </row>
    <row r="3559">
      <c r="A3559" s="66"/>
      <c r="D3559" s="63"/>
      <c r="J3559" s="66"/>
    </row>
    <row r="3560">
      <c r="A3560" s="66"/>
      <c r="D3560" s="63"/>
      <c r="J3560" s="66"/>
    </row>
    <row r="3561">
      <c r="A3561" s="66"/>
      <c r="D3561" s="63"/>
      <c r="J3561" s="66"/>
    </row>
    <row r="3562">
      <c r="A3562" s="66"/>
      <c r="D3562" s="63"/>
      <c r="J3562" s="66"/>
    </row>
    <row r="3563">
      <c r="A3563" s="66"/>
      <c r="D3563" s="63"/>
      <c r="J3563" s="66"/>
    </row>
    <row r="3564">
      <c r="A3564" s="66"/>
      <c r="D3564" s="63"/>
      <c r="J3564" s="66"/>
    </row>
    <row r="3565">
      <c r="A3565" s="66"/>
      <c r="D3565" s="63"/>
      <c r="J3565" s="66"/>
    </row>
    <row r="3566">
      <c r="A3566" s="66"/>
      <c r="D3566" s="63"/>
      <c r="J3566" s="66"/>
    </row>
    <row r="3567">
      <c r="A3567" s="66"/>
      <c r="D3567" s="63"/>
      <c r="J3567" s="66"/>
    </row>
    <row r="3568">
      <c r="A3568" s="66"/>
      <c r="D3568" s="63"/>
      <c r="J3568" s="66"/>
    </row>
    <row r="3569">
      <c r="A3569" s="66"/>
      <c r="D3569" s="63"/>
      <c r="J3569" s="66"/>
    </row>
    <row r="3570">
      <c r="A3570" s="66"/>
      <c r="D3570" s="63"/>
      <c r="J3570" s="66"/>
    </row>
    <row r="3571">
      <c r="A3571" s="66"/>
      <c r="D3571" s="63"/>
      <c r="J3571" s="66"/>
    </row>
    <row r="3572">
      <c r="A3572" s="66"/>
      <c r="D3572" s="63"/>
      <c r="J3572" s="66"/>
    </row>
    <row r="3573">
      <c r="A3573" s="66"/>
      <c r="D3573" s="63"/>
      <c r="J3573" s="66"/>
    </row>
    <row r="3574">
      <c r="A3574" s="66"/>
      <c r="D3574" s="63"/>
      <c r="J3574" s="66"/>
    </row>
    <row r="3575">
      <c r="A3575" s="66"/>
      <c r="D3575" s="63"/>
      <c r="J3575" s="66"/>
    </row>
    <row r="3576">
      <c r="A3576" s="66"/>
      <c r="D3576" s="63"/>
      <c r="J3576" s="66"/>
    </row>
    <row r="3577">
      <c r="A3577" s="66"/>
      <c r="D3577" s="63"/>
      <c r="J3577" s="66"/>
    </row>
    <row r="3578">
      <c r="A3578" s="66"/>
      <c r="D3578" s="63"/>
      <c r="J3578" s="66"/>
    </row>
    <row r="3579">
      <c r="A3579" s="66"/>
      <c r="D3579" s="63"/>
      <c r="J3579" s="66"/>
    </row>
    <row r="3580">
      <c r="A3580" s="66"/>
      <c r="D3580" s="63"/>
      <c r="J3580" s="66"/>
    </row>
    <row r="3581">
      <c r="A3581" s="66"/>
      <c r="D3581" s="63"/>
      <c r="J3581" s="66"/>
    </row>
    <row r="3582">
      <c r="A3582" s="66"/>
      <c r="D3582" s="63"/>
      <c r="J3582" s="66"/>
    </row>
    <row r="3583">
      <c r="A3583" s="66"/>
      <c r="D3583" s="63"/>
      <c r="J3583" s="66"/>
    </row>
    <row r="3584">
      <c r="A3584" s="66"/>
      <c r="D3584" s="63"/>
      <c r="J3584" s="66"/>
    </row>
    <row r="3585">
      <c r="A3585" s="66"/>
      <c r="D3585" s="63"/>
      <c r="J3585" s="66"/>
    </row>
    <row r="3586">
      <c r="A3586" s="66"/>
      <c r="D3586" s="63"/>
      <c r="J3586" s="66"/>
    </row>
    <row r="3587">
      <c r="A3587" s="66"/>
      <c r="D3587" s="63"/>
      <c r="J3587" s="66"/>
    </row>
    <row r="3588">
      <c r="A3588" s="66"/>
      <c r="D3588" s="63"/>
      <c r="J3588" s="66"/>
    </row>
    <row r="3589">
      <c r="A3589" s="66"/>
      <c r="D3589" s="63"/>
      <c r="J3589" s="66"/>
    </row>
    <row r="3590">
      <c r="A3590" s="66"/>
      <c r="D3590" s="63"/>
      <c r="J3590" s="66"/>
    </row>
    <row r="3591">
      <c r="A3591" s="66"/>
      <c r="D3591" s="63"/>
      <c r="J3591" s="66"/>
    </row>
    <row r="3592">
      <c r="A3592" s="66"/>
      <c r="D3592" s="63"/>
      <c r="J3592" s="66"/>
    </row>
    <row r="3593">
      <c r="A3593" s="66"/>
      <c r="D3593" s="63"/>
      <c r="J3593" s="66"/>
    </row>
    <row r="3594">
      <c r="A3594" s="66"/>
      <c r="D3594" s="63"/>
      <c r="J3594" s="66"/>
    </row>
    <row r="3595">
      <c r="A3595" s="66"/>
      <c r="D3595" s="63"/>
      <c r="J3595" s="66"/>
    </row>
    <row r="3596">
      <c r="A3596" s="66"/>
      <c r="D3596" s="63"/>
      <c r="J3596" s="66"/>
    </row>
    <row r="3597">
      <c r="A3597" s="66"/>
      <c r="D3597" s="63"/>
      <c r="J3597" s="66"/>
    </row>
    <row r="3598">
      <c r="A3598" s="66"/>
      <c r="D3598" s="63"/>
      <c r="J3598" s="66"/>
    </row>
    <row r="3599">
      <c r="A3599" s="66"/>
      <c r="D3599" s="63"/>
      <c r="J3599" s="66"/>
    </row>
    <row r="3600">
      <c r="A3600" s="66"/>
      <c r="D3600" s="63"/>
      <c r="J3600" s="66"/>
    </row>
    <row r="3601">
      <c r="A3601" s="66"/>
      <c r="D3601" s="63"/>
      <c r="J3601" s="66"/>
    </row>
    <row r="3602">
      <c r="A3602" s="66"/>
      <c r="D3602" s="63"/>
      <c r="J3602" s="66"/>
    </row>
    <row r="3603">
      <c r="A3603" s="66"/>
      <c r="D3603" s="63"/>
      <c r="J3603" s="66"/>
    </row>
    <row r="3604">
      <c r="A3604" s="66"/>
      <c r="D3604" s="63"/>
      <c r="J3604" s="66"/>
    </row>
    <row r="3605">
      <c r="A3605" s="66"/>
      <c r="D3605" s="63"/>
      <c r="J3605" s="66"/>
    </row>
    <row r="3606">
      <c r="A3606" s="66"/>
      <c r="D3606" s="63"/>
      <c r="J3606" s="66"/>
    </row>
    <row r="3607">
      <c r="A3607" s="66"/>
      <c r="D3607" s="63"/>
      <c r="J3607" s="66"/>
    </row>
    <row r="3608">
      <c r="A3608" s="66"/>
      <c r="D3608" s="63"/>
      <c r="J3608" s="66"/>
    </row>
    <row r="3609">
      <c r="A3609" s="66"/>
      <c r="D3609" s="63"/>
      <c r="J3609" s="66"/>
    </row>
    <row r="3610">
      <c r="A3610" s="66"/>
      <c r="D3610" s="63"/>
      <c r="J3610" s="66"/>
    </row>
    <row r="3611">
      <c r="A3611" s="66"/>
      <c r="D3611" s="63"/>
      <c r="J3611" s="66"/>
    </row>
    <row r="3612">
      <c r="A3612" s="66"/>
      <c r="D3612" s="63"/>
      <c r="J3612" s="66"/>
    </row>
    <row r="3613">
      <c r="A3613" s="66"/>
      <c r="D3613" s="63"/>
      <c r="J3613" s="66"/>
    </row>
    <row r="3614">
      <c r="A3614" s="66"/>
      <c r="D3614" s="63"/>
      <c r="J3614" s="66"/>
    </row>
    <row r="3615">
      <c r="A3615" s="66"/>
      <c r="D3615" s="63"/>
      <c r="J3615" s="66"/>
    </row>
    <row r="3616">
      <c r="A3616" s="66"/>
      <c r="D3616" s="63"/>
      <c r="J3616" s="66"/>
    </row>
    <row r="3617">
      <c r="A3617" s="66"/>
      <c r="D3617" s="63"/>
      <c r="J3617" s="66"/>
    </row>
    <row r="3618">
      <c r="A3618" s="66"/>
      <c r="D3618" s="63"/>
      <c r="J3618" s="66"/>
    </row>
    <row r="3619">
      <c r="A3619" s="66"/>
      <c r="D3619" s="63"/>
      <c r="J3619" s="66"/>
    </row>
    <row r="3620">
      <c r="A3620" s="66"/>
      <c r="D3620" s="63"/>
      <c r="J3620" s="66"/>
    </row>
    <row r="3621">
      <c r="A3621" s="66"/>
      <c r="D3621" s="63"/>
      <c r="J3621" s="66"/>
    </row>
    <row r="3622">
      <c r="A3622" s="66"/>
      <c r="D3622" s="63"/>
      <c r="J3622" s="66"/>
    </row>
    <row r="3623">
      <c r="A3623" s="66"/>
      <c r="D3623" s="63"/>
      <c r="J3623" s="66"/>
    </row>
    <row r="3624">
      <c r="A3624" s="66"/>
      <c r="D3624" s="63"/>
      <c r="J3624" s="66"/>
    </row>
    <row r="3625">
      <c r="A3625" s="66"/>
      <c r="D3625" s="63"/>
      <c r="J3625" s="66"/>
    </row>
    <row r="3626">
      <c r="A3626" s="66"/>
      <c r="D3626" s="63"/>
      <c r="J3626" s="66"/>
    </row>
    <row r="3627">
      <c r="A3627" s="66"/>
      <c r="D3627" s="63"/>
      <c r="J3627" s="66"/>
    </row>
    <row r="3628">
      <c r="A3628" s="66"/>
      <c r="D3628" s="63"/>
      <c r="J3628" s="66"/>
    </row>
    <row r="3629">
      <c r="A3629" s="66"/>
      <c r="D3629" s="63"/>
      <c r="J3629" s="66"/>
    </row>
    <row r="3630">
      <c r="A3630" s="66"/>
      <c r="D3630" s="63"/>
      <c r="J3630" s="66"/>
    </row>
    <row r="3631">
      <c r="A3631" s="66"/>
      <c r="D3631" s="63"/>
      <c r="J3631" s="66"/>
    </row>
    <row r="3632">
      <c r="A3632" s="66"/>
      <c r="D3632" s="63"/>
      <c r="J3632" s="66"/>
    </row>
    <row r="3633">
      <c r="A3633" s="66"/>
      <c r="D3633" s="63"/>
      <c r="J3633" s="66"/>
    </row>
    <row r="3634">
      <c r="A3634" s="66"/>
      <c r="D3634" s="63"/>
      <c r="J3634" s="66"/>
    </row>
    <row r="3635">
      <c r="A3635" s="66"/>
      <c r="D3635" s="63"/>
      <c r="J3635" s="66"/>
    </row>
    <row r="3636">
      <c r="A3636" s="66"/>
      <c r="D3636" s="63"/>
      <c r="J3636" s="66"/>
    </row>
    <row r="3637">
      <c r="A3637" s="66"/>
      <c r="D3637" s="63"/>
      <c r="J3637" s="66"/>
    </row>
    <row r="3638">
      <c r="A3638" s="66"/>
      <c r="D3638" s="63"/>
      <c r="J3638" s="66"/>
    </row>
    <row r="3639">
      <c r="A3639" s="66"/>
      <c r="D3639" s="63"/>
      <c r="J3639" s="66"/>
    </row>
    <row r="3640">
      <c r="A3640" s="66"/>
      <c r="D3640" s="63"/>
      <c r="J3640" s="66"/>
    </row>
    <row r="3641">
      <c r="A3641" s="66"/>
      <c r="D3641" s="63"/>
      <c r="J3641" s="66"/>
    </row>
    <row r="3642">
      <c r="A3642" s="66"/>
      <c r="D3642" s="63"/>
      <c r="J3642" s="66"/>
    </row>
    <row r="3643">
      <c r="A3643" s="66"/>
      <c r="D3643" s="63"/>
      <c r="J3643" s="66"/>
    </row>
    <row r="3644">
      <c r="A3644" s="66"/>
      <c r="D3644" s="63"/>
      <c r="J3644" s="66"/>
    </row>
    <row r="3645">
      <c r="A3645" s="66"/>
      <c r="D3645" s="63"/>
      <c r="J3645" s="66"/>
    </row>
    <row r="3646">
      <c r="A3646" s="66"/>
      <c r="D3646" s="63"/>
      <c r="J3646" s="66"/>
    </row>
    <row r="3647">
      <c r="A3647" s="66"/>
      <c r="D3647" s="63"/>
      <c r="J3647" s="66"/>
    </row>
    <row r="3648">
      <c r="A3648" s="66"/>
      <c r="D3648" s="63"/>
      <c r="J3648" s="66"/>
    </row>
    <row r="3649">
      <c r="A3649" s="66"/>
      <c r="D3649" s="63"/>
      <c r="J3649" s="66"/>
    </row>
    <row r="3650">
      <c r="A3650" s="66"/>
      <c r="D3650" s="63"/>
      <c r="J3650" s="66"/>
    </row>
    <row r="3651">
      <c r="A3651" s="66"/>
      <c r="D3651" s="63"/>
      <c r="J3651" s="66"/>
    </row>
    <row r="3652">
      <c r="A3652" s="66"/>
      <c r="D3652" s="63"/>
      <c r="J3652" s="66"/>
    </row>
    <row r="3653">
      <c r="A3653" s="66"/>
      <c r="D3653" s="63"/>
      <c r="J3653" s="66"/>
    </row>
    <row r="3654">
      <c r="A3654" s="66"/>
      <c r="D3654" s="63"/>
      <c r="J3654" s="66"/>
    </row>
    <row r="3655">
      <c r="A3655" s="66"/>
      <c r="D3655" s="63"/>
      <c r="J3655" s="66"/>
    </row>
    <row r="3656">
      <c r="A3656" s="66"/>
      <c r="D3656" s="63"/>
      <c r="J3656" s="66"/>
    </row>
    <row r="3657">
      <c r="A3657" s="66"/>
      <c r="D3657" s="63"/>
      <c r="J3657" s="66"/>
    </row>
    <row r="3658">
      <c r="A3658" s="66"/>
      <c r="D3658" s="63"/>
      <c r="J3658" s="66"/>
    </row>
    <row r="3659">
      <c r="A3659" s="66"/>
      <c r="D3659" s="63"/>
      <c r="J3659" s="66"/>
    </row>
    <row r="3660">
      <c r="A3660" s="66"/>
      <c r="D3660" s="63"/>
      <c r="J3660" s="66"/>
    </row>
    <row r="3661">
      <c r="A3661" s="66"/>
      <c r="D3661" s="63"/>
      <c r="J3661" s="66"/>
    </row>
    <row r="3662">
      <c r="A3662" s="66"/>
      <c r="D3662" s="63"/>
      <c r="J3662" s="66"/>
    </row>
    <row r="3663">
      <c r="A3663" s="66"/>
      <c r="D3663" s="63"/>
      <c r="J3663" s="66"/>
    </row>
    <row r="3664">
      <c r="A3664" s="66"/>
      <c r="D3664" s="63"/>
      <c r="J3664" s="66"/>
    </row>
    <row r="3665">
      <c r="A3665" s="66"/>
      <c r="D3665" s="63"/>
      <c r="J3665" s="66"/>
    </row>
    <row r="3666">
      <c r="A3666" s="66"/>
      <c r="D3666" s="63"/>
      <c r="J3666" s="66"/>
    </row>
    <row r="3667">
      <c r="A3667" s="66"/>
      <c r="D3667" s="63"/>
      <c r="J3667" s="66"/>
    </row>
    <row r="3668">
      <c r="A3668" s="66"/>
      <c r="D3668" s="63"/>
      <c r="J3668" s="66"/>
    </row>
    <row r="3669">
      <c r="A3669" s="66"/>
      <c r="D3669" s="63"/>
      <c r="J3669" s="66"/>
    </row>
    <row r="3670">
      <c r="A3670" s="66"/>
      <c r="D3670" s="63"/>
      <c r="J3670" s="66"/>
    </row>
    <row r="3671">
      <c r="A3671" s="66"/>
      <c r="D3671" s="63"/>
      <c r="J3671" s="66"/>
    </row>
    <row r="3672">
      <c r="A3672" s="66"/>
      <c r="D3672" s="63"/>
      <c r="J3672" s="66"/>
    </row>
    <row r="3673">
      <c r="A3673" s="66"/>
      <c r="D3673" s="63"/>
      <c r="J3673" s="66"/>
    </row>
    <row r="3674">
      <c r="A3674" s="66"/>
      <c r="D3674" s="63"/>
      <c r="J3674" s="66"/>
    </row>
    <row r="3675">
      <c r="A3675" s="66"/>
      <c r="D3675" s="63"/>
      <c r="J3675" s="66"/>
    </row>
    <row r="3676">
      <c r="A3676" s="66"/>
      <c r="D3676" s="63"/>
      <c r="J3676" s="66"/>
    </row>
    <row r="3677">
      <c r="A3677" s="66"/>
      <c r="D3677" s="63"/>
      <c r="J3677" s="66"/>
    </row>
    <row r="3678">
      <c r="A3678" s="66"/>
      <c r="D3678" s="63"/>
      <c r="J3678" s="66"/>
    </row>
    <row r="3679">
      <c r="A3679" s="66"/>
      <c r="D3679" s="63"/>
      <c r="J3679" s="66"/>
    </row>
    <row r="3680">
      <c r="A3680" s="66"/>
      <c r="D3680" s="63"/>
      <c r="J3680" s="66"/>
    </row>
    <row r="3681">
      <c r="A3681" s="66"/>
      <c r="D3681" s="63"/>
      <c r="J3681" s="66"/>
    </row>
    <row r="3682">
      <c r="A3682" s="66"/>
      <c r="D3682" s="63"/>
      <c r="J3682" s="66"/>
    </row>
    <row r="3683">
      <c r="A3683" s="66"/>
      <c r="D3683" s="63"/>
      <c r="J3683" s="66"/>
    </row>
    <row r="3684">
      <c r="A3684" s="66"/>
      <c r="D3684" s="63"/>
      <c r="J3684" s="66"/>
    </row>
    <row r="3685">
      <c r="A3685" s="66"/>
      <c r="D3685" s="63"/>
      <c r="J3685" s="66"/>
    </row>
    <row r="3686">
      <c r="A3686" s="66"/>
      <c r="D3686" s="63"/>
      <c r="J3686" s="66"/>
    </row>
    <row r="3687">
      <c r="A3687" s="66"/>
      <c r="D3687" s="63"/>
      <c r="J3687" s="66"/>
    </row>
    <row r="3688">
      <c r="A3688" s="66"/>
      <c r="D3688" s="63"/>
      <c r="J3688" s="66"/>
    </row>
    <row r="3689">
      <c r="A3689" s="66"/>
      <c r="D3689" s="63"/>
      <c r="J3689" s="66"/>
    </row>
    <row r="3690">
      <c r="A3690" s="66"/>
      <c r="D3690" s="63"/>
      <c r="J3690" s="66"/>
    </row>
    <row r="3691">
      <c r="A3691" s="66"/>
      <c r="D3691" s="63"/>
      <c r="J3691" s="66"/>
    </row>
    <row r="3692">
      <c r="A3692" s="66"/>
      <c r="D3692" s="63"/>
      <c r="J3692" s="66"/>
    </row>
    <row r="3693">
      <c r="A3693" s="66"/>
      <c r="D3693" s="63"/>
      <c r="J3693" s="66"/>
    </row>
    <row r="3694">
      <c r="A3694" s="66"/>
      <c r="D3694" s="63"/>
      <c r="J3694" s="66"/>
    </row>
    <row r="3695">
      <c r="A3695" s="66"/>
      <c r="D3695" s="63"/>
      <c r="J3695" s="66"/>
    </row>
    <row r="3696">
      <c r="A3696" s="66"/>
      <c r="D3696" s="63"/>
      <c r="J3696" s="66"/>
    </row>
    <row r="3697">
      <c r="A3697" s="66"/>
      <c r="D3697" s="63"/>
      <c r="J3697" s="66"/>
    </row>
    <row r="3698">
      <c r="A3698" s="66"/>
      <c r="D3698" s="63"/>
      <c r="J3698" s="66"/>
    </row>
    <row r="3699">
      <c r="A3699" s="66"/>
      <c r="D3699" s="63"/>
      <c r="J3699" s="66"/>
    </row>
    <row r="3700">
      <c r="A3700" s="66"/>
      <c r="D3700" s="63"/>
      <c r="J3700" s="66"/>
    </row>
    <row r="3701">
      <c r="A3701" s="66"/>
      <c r="D3701" s="63"/>
      <c r="J3701" s="66"/>
    </row>
    <row r="3702">
      <c r="A3702" s="66"/>
      <c r="D3702" s="63"/>
      <c r="J3702" s="66"/>
    </row>
    <row r="3703">
      <c r="A3703" s="66"/>
      <c r="D3703" s="63"/>
      <c r="J3703" s="66"/>
    </row>
    <row r="3704">
      <c r="A3704" s="66"/>
      <c r="D3704" s="63"/>
      <c r="J3704" s="66"/>
    </row>
    <row r="3705">
      <c r="A3705" s="66"/>
      <c r="D3705" s="63"/>
      <c r="J3705" s="66"/>
    </row>
    <row r="3706">
      <c r="A3706" s="66"/>
      <c r="D3706" s="63"/>
      <c r="J3706" s="66"/>
    </row>
    <row r="3707">
      <c r="A3707" s="66"/>
      <c r="D3707" s="63"/>
      <c r="J3707" s="66"/>
    </row>
    <row r="3708">
      <c r="A3708" s="66"/>
      <c r="D3708" s="63"/>
      <c r="J3708" s="66"/>
    </row>
    <row r="3709">
      <c r="A3709" s="66"/>
      <c r="D3709" s="63"/>
      <c r="J3709" s="66"/>
    </row>
    <row r="3710">
      <c r="A3710" s="66"/>
      <c r="D3710" s="63"/>
      <c r="J3710" s="66"/>
    </row>
    <row r="3711">
      <c r="A3711" s="66"/>
      <c r="D3711" s="63"/>
      <c r="J3711" s="66"/>
    </row>
    <row r="3712">
      <c r="A3712" s="66"/>
      <c r="D3712" s="63"/>
      <c r="J3712" s="66"/>
    </row>
    <row r="3713">
      <c r="A3713" s="66"/>
      <c r="D3713" s="63"/>
      <c r="J3713" s="66"/>
    </row>
    <row r="3714">
      <c r="A3714" s="66"/>
      <c r="D3714" s="63"/>
      <c r="J3714" s="66"/>
    </row>
    <row r="3715">
      <c r="A3715" s="66"/>
      <c r="D3715" s="63"/>
      <c r="J3715" s="66"/>
    </row>
    <row r="3716">
      <c r="A3716" s="66"/>
      <c r="D3716" s="63"/>
      <c r="J3716" s="66"/>
    </row>
    <row r="3717">
      <c r="A3717" s="66"/>
      <c r="D3717" s="63"/>
      <c r="J3717" s="66"/>
    </row>
    <row r="3718">
      <c r="A3718" s="66"/>
      <c r="D3718" s="63"/>
      <c r="J3718" s="66"/>
    </row>
    <row r="3719">
      <c r="A3719" s="66"/>
      <c r="D3719" s="63"/>
      <c r="J3719" s="66"/>
    </row>
    <row r="3720">
      <c r="A3720" s="66"/>
      <c r="D3720" s="63"/>
      <c r="J3720" s="66"/>
    </row>
    <row r="3721">
      <c r="A3721" s="66"/>
      <c r="D3721" s="63"/>
      <c r="J3721" s="66"/>
    </row>
    <row r="3722">
      <c r="A3722" s="66"/>
      <c r="D3722" s="63"/>
      <c r="J3722" s="66"/>
    </row>
    <row r="3723">
      <c r="A3723" s="66"/>
      <c r="D3723" s="63"/>
      <c r="J3723" s="66"/>
    </row>
    <row r="3724">
      <c r="A3724" s="66"/>
      <c r="D3724" s="63"/>
      <c r="J3724" s="66"/>
    </row>
    <row r="3725">
      <c r="A3725" s="66"/>
      <c r="D3725" s="63"/>
      <c r="J3725" s="66"/>
    </row>
    <row r="3726">
      <c r="A3726" s="66"/>
      <c r="D3726" s="63"/>
      <c r="J3726" s="66"/>
    </row>
    <row r="3727">
      <c r="A3727" s="66"/>
      <c r="D3727" s="63"/>
      <c r="J3727" s="66"/>
    </row>
    <row r="3728">
      <c r="A3728" s="66"/>
      <c r="D3728" s="63"/>
      <c r="J3728" s="66"/>
    </row>
    <row r="3729">
      <c r="A3729" s="66"/>
      <c r="D3729" s="63"/>
      <c r="J3729" s="66"/>
    </row>
    <row r="3730">
      <c r="A3730" s="66"/>
      <c r="D3730" s="63"/>
      <c r="J3730" s="66"/>
    </row>
    <row r="3731">
      <c r="A3731" s="66"/>
      <c r="D3731" s="63"/>
      <c r="J3731" s="66"/>
    </row>
    <row r="3732">
      <c r="A3732" s="66"/>
      <c r="D3732" s="63"/>
      <c r="J3732" s="66"/>
    </row>
    <row r="3733">
      <c r="A3733" s="66"/>
      <c r="D3733" s="63"/>
      <c r="J3733" s="66"/>
    </row>
    <row r="3734">
      <c r="A3734" s="66"/>
      <c r="D3734" s="63"/>
      <c r="J3734" s="66"/>
    </row>
    <row r="3735">
      <c r="A3735" s="66"/>
      <c r="D3735" s="63"/>
      <c r="J3735" s="66"/>
    </row>
    <row r="3736">
      <c r="A3736" s="66"/>
      <c r="D3736" s="63"/>
      <c r="J3736" s="66"/>
    </row>
    <row r="3737">
      <c r="A3737" s="66"/>
      <c r="D3737" s="63"/>
      <c r="J3737" s="66"/>
    </row>
    <row r="3738">
      <c r="A3738" s="66"/>
      <c r="D3738" s="63"/>
      <c r="J3738" s="66"/>
    </row>
    <row r="3739">
      <c r="A3739" s="66"/>
      <c r="D3739" s="63"/>
      <c r="J3739" s="66"/>
    </row>
    <row r="3740">
      <c r="A3740" s="66"/>
      <c r="D3740" s="63"/>
      <c r="J3740" s="66"/>
    </row>
    <row r="3741">
      <c r="A3741" s="66"/>
      <c r="D3741" s="63"/>
      <c r="J3741" s="66"/>
    </row>
    <row r="3742">
      <c r="A3742" s="66"/>
      <c r="D3742" s="63"/>
      <c r="J3742" s="66"/>
    </row>
    <row r="3743">
      <c r="A3743" s="66"/>
      <c r="D3743" s="63"/>
      <c r="J3743" s="66"/>
    </row>
    <row r="3744">
      <c r="A3744" s="66"/>
      <c r="D3744" s="63"/>
      <c r="J3744" s="66"/>
    </row>
    <row r="3745">
      <c r="A3745" s="66"/>
      <c r="D3745" s="63"/>
      <c r="J3745" s="66"/>
    </row>
    <row r="3746">
      <c r="A3746" s="66"/>
      <c r="D3746" s="63"/>
      <c r="J3746" s="66"/>
    </row>
    <row r="3747">
      <c r="A3747" s="66"/>
      <c r="D3747" s="63"/>
      <c r="J3747" s="66"/>
    </row>
    <row r="3748">
      <c r="A3748" s="66"/>
      <c r="D3748" s="63"/>
      <c r="J3748" s="66"/>
    </row>
    <row r="3749">
      <c r="A3749" s="66"/>
      <c r="D3749" s="63"/>
      <c r="J3749" s="66"/>
    </row>
    <row r="3750">
      <c r="A3750" s="66"/>
      <c r="D3750" s="63"/>
      <c r="J3750" s="66"/>
    </row>
    <row r="3751">
      <c r="A3751" s="66"/>
      <c r="D3751" s="63"/>
      <c r="J3751" s="66"/>
    </row>
    <row r="3752">
      <c r="A3752" s="66"/>
      <c r="D3752" s="63"/>
      <c r="J3752" s="66"/>
    </row>
    <row r="3753">
      <c r="A3753" s="66"/>
      <c r="D3753" s="63"/>
      <c r="J3753" s="66"/>
    </row>
    <row r="3754">
      <c r="A3754" s="66"/>
      <c r="D3754" s="63"/>
      <c r="J3754" s="66"/>
    </row>
    <row r="3755">
      <c r="A3755" s="66"/>
      <c r="D3755" s="63"/>
      <c r="J3755" s="66"/>
    </row>
    <row r="3756">
      <c r="A3756" s="66"/>
      <c r="D3756" s="63"/>
      <c r="J3756" s="66"/>
    </row>
    <row r="3757">
      <c r="A3757" s="66"/>
      <c r="D3757" s="63"/>
      <c r="J3757" s="66"/>
    </row>
    <row r="3758">
      <c r="A3758" s="66"/>
      <c r="D3758" s="63"/>
      <c r="J3758" s="66"/>
    </row>
    <row r="3759">
      <c r="A3759" s="66"/>
      <c r="D3759" s="63"/>
      <c r="J3759" s="66"/>
    </row>
    <row r="3760">
      <c r="A3760" s="66"/>
      <c r="D3760" s="63"/>
      <c r="J3760" s="66"/>
    </row>
    <row r="3761">
      <c r="A3761" s="66"/>
      <c r="D3761" s="63"/>
      <c r="J3761" s="66"/>
    </row>
    <row r="3762">
      <c r="A3762" s="66"/>
      <c r="D3762" s="63"/>
      <c r="J3762" s="66"/>
    </row>
    <row r="3763">
      <c r="A3763" s="66"/>
      <c r="D3763" s="63"/>
      <c r="J3763" s="66"/>
    </row>
    <row r="3764">
      <c r="A3764" s="66"/>
      <c r="D3764" s="63"/>
      <c r="J3764" s="66"/>
    </row>
    <row r="3765">
      <c r="A3765" s="66"/>
      <c r="D3765" s="63"/>
      <c r="J3765" s="66"/>
    </row>
    <row r="3766">
      <c r="A3766" s="66"/>
      <c r="D3766" s="63"/>
      <c r="J3766" s="66"/>
    </row>
    <row r="3767">
      <c r="A3767" s="66"/>
      <c r="D3767" s="63"/>
      <c r="J3767" s="66"/>
    </row>
    <row r="3768">
      <c r="A3768" s="66"/>
      <c r="D3768" s="63"/>
      <c r="J3768" s="66"/>
    </row>
    <row r="3769">
      <c r="A3769" s="66"/>
      <c r="D3769" s="63"/>
      <c r="J3769" s="66"/>
    </row>
    <row r="3770">
      <c r="A3770" s="66"/>
      <c r="D3770" s="63"/>
      <c r="J3770" s="66"/>
    </row>
    <row r="3771">
      <c r="A3771" s="66"/>
      <c r="D3771" s="63"/>
      <c r="J3771" s="66"/>
    </row>
    <row r="3772">
      <c r="A3772" s="66"/>
      <c r="D3772" s="63"/>
      <c r="J3772" s="66"/>
    </row>
    <row r="3773">
      <c r="A3773" s="66"/>
      <c r="D3773" s="63"/>
      <c r="J3773" s="66"/>
    </row>
    <row r="3774">
      <c r="A3774" s="66"/>
      <c r="D3774" s="63"/>
      <c r="J3774" s="66"/>
    </row>
    <row r="3775">
      <c r="A3775" s="66"/>
      <c r="D3775" s="63"/>
      <c r="J3775" s="66"/>
    </row>
    <row r="3776">
      <c r="A3776" s="66"/>
      <c r="D3776" s="63"/>
      <c r="J3776" s="66"/>
    </row>
    <row r="3777">
      <c r="A3777" s="66"/>
      <c r="D3777" s="63"/>
      <c r="J3777" s="66"/>
    </row>
    <row r="3778">
      <c r="A3778" s="66"/>
      <c r="D3778" s="63"/>
      <c r="J3778" s="66"/>
    </row>
    <row r="3779">
      <c r="A3779" s="66"/>
      <c r="D3779" s="63"/>
      <c r="J3779" s="66"/>
    </row>
    <row r="3780">
      <c r="A3780" s="66"/>
      <c r="D3780" s="63"/>
      <c r="J3780" s="66"/>
    </row>
    <row r="3781">
      <c r="A3781" s="66"/>
      <c r="D3781" s="63"/>
      <c r="J3781" s="66"/>
    </row>
    <row r="3782">
      <c r="A3782" s="66"/>
      <c r="D3782" s="63"/>
      <c r="J3782" s="66"/>
    </row>
    <row r="3783">
      <c r="A3783" s="66"/>
      <c r="D3783" s="63"/>
      <c r="J3783" s="66"/>
    </row>
    <row r="3784">
      <c r="A3784" s="66"/>
      <c r="D3784" s="63"/>
      <c r="J3784" s="66"/>
    </row>
    <row r="3785">
      <c r="A3785" s="66"/>
      <c r="D3785" s="63"/>
      <c r="J3785" s="66"/>
    </row>
    <row r="3786">
      <c r="A3786" s="66"/>
      <c r="D3786" s="63"/>
      <c r="J3786" s="66"/>
    </row>
    <row r="3787">
      <c r="A3787" s="66"/>
      <c r="D3787" s="63"/>
      <c r="J3787" s="66"/>
    </row>
    <row r="3788">
      <c r="A3788" s="66"/>
      <c r="D3788" s="63"/>
      <c r="J3788" s="66"/>
    </row>
    <row r="3789">
      <c r="A3789" s="66"/>
      <c r="D3789" s="63"/>
      <c r="J3789" s="66"/>
    </row>
    <row r="3790">
      <c r="A3790" s="66"/>
      <c r="D3790" s="63"/>
      <c r="J3790" s="66"/>
    </row>
    <row r="3791">
      <c r="A3791" s="66"/>
      <c r="D3791" s="63"/>
      <c r="J3791" s="66"/>
    </row>
    <row r="3792">
      <c r="A3792" s="66"/>
      <c r="D3792" s="63"/>
      <c r="J3792" s="66"/>
    </row>
    <row r="3793">
      <c r="A3793" s="66"/>
      <c r="D3793" s="63"/>
      <c r="J3793" s="66"/>
    </row>
    <row r="3794">
      <c r="A3794" s="66"/>
      <c r="D3794" s="63"/>
      <c r="J3794" s="66"/>
    </row>
    <row r="3795">
      <c r="A3795" s="66"/>
      <c r="D3795" s="63"/>
      <c r="J3795" s="66"/>
    </row>
    <row r="3796">
      <c r="A3796" s="66"/>
      <c r="D3796" s="63"/>
      <c r="J3796" s="66"/>
    </row>
    <row r="3797">
      <c r="A3797" s="66"/>
      <c r="D3797" s="63"/>
      <c r="J3797" s="66"/>
    </row>
    <row r="3798">
      <c r="A3798" s="66"/>
      <c r="D3798" s="63"/>
      <c r="J3798" s="66"/>
    </row>
    <row r="3799">
      <c r="A3799" s="66"/>
      <c r="D3799" s="63"/>
      <c r="J3799" s="66"/>
    </row>
    <row r="3800">
      <c r="A3800" s="66"/>
      <c r="D3800" s="63"/>
      <c r="J3800" s="66"/>
    </row>
    <row r="3801">
      <c r="A3801" s="66"/>
      <c r="D3801" s="63"/>
      <c r="J3801" s="66"/>
    </row>
    <row r="3802">
      <c r="A3802" s="66"/>
      <c r="D3802" s="63"/>
      <c r="J3802" s="66"/>
    </row>
    <row r="3803">
      <c r="A3803" s="66"/>
      <c r="D3803" s="63"/>
      <c r="J3803" s="66"/>
    </row>
    <row r="3804">
      <c r="A3804" s="66"/>
      <c r="D3804" s="63"/>
      <c r="J3804" s="66"/>
    </row>
    <row r="3805">
      <c r="A3805" s="66"/>
      <c r="D3805" s="63"/>
      <c r="J3805" s="66"/>
    </row>
    <row r="3806">
      <c r="A3806" s="66"/>
      <c r="D3806" s="63"/>
      <c r="J3806" s="66"/>
    </row>
    <row r="3807">
      <c r="A3807" s="66"/>
      <c r="D3807" s="63"/>
      <c r="J3807" s="66"/>
    </row>
    <row r="3808">
      <c r="A3808" s="66"/>
      <c r="D3808" s="63"/>
      <c r="J3808" s="66"/>
    </row>
    <row r="3809">
      <c r="A3809" s="66"/>
      <c r="D3809" s="63"/>
      <c r="J3809" s="66"/>
    </row>
    <row r="3810">
      <c r="A3810" s="66"/>
      <c r="D3810" s="63"/>
      <c r="J3810" s="66"/>
    </row>
    <row r="3811">
      <c r="A3811" s="66"/>
      <c r="D3811" s="63"/>
      <c r="J3811" s="66"/>
    </row>
    <row r="3812">
      <c r="A3812" s="66"/>
      <c r="D3812" s="63"/>
      <c r="J3812" s="66"/>
    </row>
    <row r="3813">
      <c r="A3813" s="66"/>
      <c r="D3813" s="63"/>
      <c r="J3813" s="66"/>
    </row>
    <row r="3814">
      <c r="A3814" s="66"/>
      <c r="D3814" s="63"/>
      <c r="J3814" s="66"/>
    </row>
    <row r="3815">
      <c r="A3815" s="66"/>
      <c r="D3815" s="63"/>
      <c r="J3815" s="66"/>
    </row>
    <row r="3816">
      <c r="A3816" s="66"/>
      <c r="D3816" s="63"/>
      <c r="J3816" s="66"/>
    </row>
    <row r="3817">
      <c r="A3817" s="66"/>
      <c r="D3817" s="63"/>
      <c r="J3817" s="66"/>
    </row>
    <row r="3818">
      <c r="A3818" s="66"/>
      <c r="D3818" s="63"/>
      <c r="J3818" s="66"/>
    </row>
    <row r="3819">
      <c r="A3819" s="66"/>
      <c r="D3819" s="63"/>
      <c r="J3819" s="66"/>
    </row>
    <row r="3820">
      <c r="A3820" s="66"/>
      <c r="D3820" s="63"/>
      <c r="J3820" s="66"/>
    </row>
    <row r="3821">
      <c r="A3821" s="66"/>
      <c r="D3821" s="63"/>
      <c r="J3821" s="66"/>
    </row>
    <row r="3822">
      <c r="A3822" s="66"/>
      <c r="D3822" s="63"/>
      <c r="J3822" s="66"/>
    </row>
    <row r="3823">
      <c r="A3823" s="66"/>
      <c r="D3823" s="63"/>
      <c r="J3823" s="66"/>
    </row>
    <row r="3824">
      <c r="A3824" s="66"/>
      <c r="D3824" s="63"/>
      <c r="J3824" s="66"/>
    </row>
    <row r="3825">
      <c r="A3825" s="66"/>
      <c r="D3825" s="63"/>
      <c r="J3825" s="66"/>
    </row>
    <row r="3826">
      <c r="A3826" s="66"/>
      <c r="D3826" s="63"/>
      <c r="J3826" s="66"/>
    </row>
    <row r="3827">
      <c r="A3827" s="66"/>
      <c r="D3827" s="63"/>
      <c r="J3827" s="66"/>
    </row>
    <row r="3828">
      <c r="A3828" s="66"/>
      <c r="D3828" s="63"/>
      <c r="J3828" s="66"/>
    </row>
    <row r="3829">
      <c r="A3829" s="66"/>
      <c r="D3829" s="63"/>
      <c r="J3829" s="66"/>
    </row>
    <row r="3830">
      <c r="A3830" s="66"/>
      <c r="D3830" s="63"/>
      <c r="J3830" s="66"/>
    </row>
    <row r="3831">
      <c r="A3831" s="66"/>
      <c r="D3831" s="63"/>
      <c r="J3831" s="66"/>
    </row>
    <row r="3832">
      <c r="A3832" s="66"/>
      <c r="D3832" s="63"/>
      <c r="J3832" s="66"/>
    </row>
    <row r="3833">
      <c r="A3833" s="66"/>
      <c r="D3833" s="63"/>
      <c r="J3833" s="66"/>
    </row>
    <row r="3834">
      <c r="A3834" s="66"/>
      <c r="D3834" s="63"/>
      <c r="J3834" s="66"/>
    </row>
    <row r="3835">
      <c r="A3835" s="66"/>
      <c r="D3835" s="63"/>
      <c r="J3835" s="66"/>
    </row>
    <row r="3836">
      <c r="A3836" s="66"/>
      <c r="D3836" s="63"/>
      <c r="J3836" s="66"/>
    </row>
    <row r="3837">
      <c r="A3837" s="66"/>
      <c r="D3837" s="63"/>
      <c r="J3837" s="66"/>
    </row>
    <row r="3838">
      <c r="A3838" s="66"/>
      <c r="D3838" s="63"/>
      <c r="J3838" s="66"/>
    </row>
    <row r="3839">
      <c r="A3839" s="66"/>
      <c r="D3839" s="63"/>
      <c r="J3839" s="66"/>
    </row>
    <row r="3840">
      <c r="A3840" s="66"/>
      <c r="D3840" s="63"/>
      <c r="J3840" s="66"/>
    </row>
    <row r="3841">
      <c r="A3841" s="66"/>
      <c r="D3841" s="63"/>
      <c r="J3841" s="66"/>
    </row>
    <row r="3842">
      <c r="A3842" s="66"/>
      <c r="D3842" s="63"/>
      <c r="J3842" s="66"/>
    </row>
    <row r="3843">
      <c r="A3843" s="66"/>
      <c r="D3843" s="63"/>
      <c r="J3843" s="66"/>
    </row>
    <row r="3844">
      <c r="A3844" s="66"/>
      <c r="D3844" s="63"/>
      <c r="J3844" s="66"/>
    </row>
    <row r="3845">
      <c r="A3845" s="66"/>
      <c r="D3845" s="63"/>
      <c r="J3845" s="66"/>
    </row>
    <row r="3846">
      <c r="A3846" s="66"/>
      <c r="D3846" s="63"/>
      <c r="J3846" s="66"/>
    </row>
    <row r="3847">
      <c r="A3847" s="66"/>
      <c r="D3847" s="63"/>
      <c r="J3847" s="66"/>
    </row>
    <row r="3848">
      <c r="A3848" s="66"/>
      <c r="D3848" s="63"/>
      <c r="J3848" s="66"/>
    </row>
    <row r="3849">
      <c r="A3849" s="66"/>
      <c r="D3849" s="63"/>
      <c r="J3849" s="66"/>
    </row>
    <row r="3850">
      <c r="A3850" s="66"/>
      <c r="D3850" s="63"/>
      <c r="J3850" s="66"/>
    </row>
    <row r="3851">
      <c r="A3851" s="66"/>
      <c r="D3851" s="63"/>
      <c r="J3851" s="66"/>
    </row>
    <row r="3852">
      <c r="A3852" s="66"/>
      <c r="D3852" s="63"/>
      <c r="J3852" s="66"/>
    </row>
    <row r="3853">
      <c r="A3853" s="66"/>
      <c r="D3853" s="63"/>
      <c r="J3853" s="66"/>
    </row>
    <row r="3854">
      <c r="A3854" s="66"/>
      <c r="D3854" s="63"/>
      <c r="J3854" s="66"/>
    </row>
    <row r="3855">
      <c r="A3855" s="66"/>
      <c r="D3855" s="63"/>
      <c r="J3855" s="66"/>
    </row>
    <row r="3856">
      <c r="A3856" s="66"/>
      <c r="D3856" s="63"/>
      <c r="J3856" s="66"/>
    </row>
    <row r="3857">
      <c r="A3857" s="66"/>
      <c r="D3857" s="63"/>
      <c r="J3857" s="66"/>
    </row>
    <row r="3858">
      <c r="A3858" s="66"/>
      <c r="D3858" s="63"/>
      <c r="J3858" s="66"/>
    </row>
    <row r="3859">
      <c r="A3859" s="66"/>
      <c r="D3859" s="63"/>
      <c r="J3859" s="66"/>
    </row>
    <row r="3860">
      <c r="A3860" s="66"/>
      <c r="D3860" s="63"/>
      <c r="J3860" s="66"/>
    </row>
    <row r="3861">
      <c r="A3861" s="66"/>
      <c r="D3861" s="63"/>
      <c r="J3861" s="66"/>
    </row>
    <row r="3862">
      <c r="A3862" s="66"/>
      <c r="D3862" s="63"/>
      <c r="J3862" s="66"/>
    </row>
    <row r="3863">
      <c r="A3863" s="66"/>
      <c r="D3863" s="63"/>
      <c r="J3863" s="66"/>
    </row>
    <row r="3864">
      <c r="A3864" s="66"/>
      <c r="D3864" s="63"/>
      <c r="J3864" s="66"/>
    </row>
    <row r="3865">
      <c r="A3865" s="66"/>
      <c r="D3865" s="63"/>
      <c r="J3865" s="66"/>
    </row>
    <row r="3866">
      <c r="A3866" s="66"/>
      <c r="D3866" s="63"/>
      <c r="J3866" s="66"/>
    </row>
    <row r="3867">
      <c r="A3867" s="66"/>
      <c r="D3867" s="63"/>
      <c r="J3867" s="66"/>
    </row>
    <row r="3868">
      <c r="A3868" s="66"/>
      <c r="D3868" s="63"/>
      <c r="J3868" s="66"/>
    </row>
    <row r="3869">
      <c r="A3869" s="66"/>
      <c r="D3869" s="63"/>
      <c r="J3869" s="66"/>
    </row>
    <row r="3870">
      <c r="A3870" s="66"/>
      <c r="D3870" s="63"/>
      <c r="J3870" s="66"/>
    </row>
    <row r="3871">
      <c r="A3871" s="66"/>
      <c r="D3871" s="63"/>
      <c r="J3871" s="66"/>
    </row>
    <row r="3872">
      <c r="A3872" s="66"/>
      <c r="D3872" s="63"/>
      <c r="J3872" s="66"/>
    </row>
    <row r="3873">
      <c r="A3873" s="66"/>
      <c r="D3873" s="63"/>
      <c r="J3873" s="66"/>
    </row>
    <row r="3874">
      <c r="A3874" s="66"/>
      <c r="D3874" s="63"/>
      <c r="J3874" s="66"/>
    </row>
    <row r="3875">
      <c r="A3875" s="66"/>
      <c r="D3875" s="63"/>
      <c r="J3875" s="66"/>
    </row>
    <row r="3876">
      <c r="A3876" s="66"/>
      <c r="D3876" s="63"/>
      <c r="J3876" s="66"/>
    </row>
    <row r="3877">
      <c r="A3877" s="66"/>
      <c r="D3877" s="63"/>
      <c r="J3877" s="66"/>
    </row>
    <row r="3878">
      <c r="A3878" s="66"/>
      <c r="D3878" s="63"/>
      <c r="J3878" s="66"/>
    </row>
    <row r="3879">
      <c r="A3879" s="66"/>
      <c r="D3879" s="63"/>
      <c r="J3879" s="66"/>
    </row>
    <row r="3880">
      <c r="A3880" s="66"/>
      <c r="D3880" s="63"/>
      <c r="J3880" s="66"/>
    </row>
    <row r="3881">
      <c r="A3881" s="66"/>
      <c r="D3881" s="63"/>
      <c r="J3881" s="66"/>
    </row>
    <row r="3882">
      <c r="A3882" s="66"/>
      <c r="D3882" s="63"/>
      <c r="J3882" s="66"/>
    </row>
    <row r="3883">
      <c r="A3883" s="66"/>
      <c r="D3883" s="63"/>
      <c r="J3883" s="66"/>
    </row>
    <row r="3884">
      <c r="A3884" s="66"/>
      <c r="D3884" s="63"/>
      <c r="J3884" s="66"/>
    </row>
    <row r="3885">
      <c r="A3885" s="66"/>
      <c r="D3885" s="63"/>
      <c r="J3885" s="66"/>
    </row>
    <row r="3886">
      <c r="A3886" s="66"/>
      <c r="D3886" s="63"/>
      <c r="J3886" s="66"/>
    </row>
    <row r="3887">
      <c r="A3887" s="66"/>
      <c r="D3887" s="63"/>
      <c r="J3887" s="66"/>
    </row>
    <row r="3888">
      <c r="A3888" s="66"/>
      <c r="D3888" s="63"/>
      <c r="J3888" s="66"/>
    </row>
    <row r="3889">
      <c r="A3889" s="66"/>
      <c r="D3889" s="63"/>
      <c r="J3889" s="66"/>
    </row>
    <row r="3890">
      <c r="A3890" s="66"/>
      <c r="D3890" s="63"/>
      <c r="J3890" s="66"/>
    </row>
    <row r="3891">
      <c r="A3891" s="66"/>
      <c r="D3891" s="63"/>
      <c r="J3891" s="66"/>
    </row>
    <row r="3892">
      <c r="A3892" s="66"/>
      <c r="D3892" s="63"/>
      <c r="J3892" s="66"/>
    </row>
    <row r="3893">
      <c r="A3893" s="66"/>
      <c r="D3893" s="63"/>
      <c r="J3893" s="66"/>
    </row>
    <row r="3894">
      <c r="A3894" s="66"/>
      <c r="D3894" s="63"/>
      <c r="J3894" s="66"/>
    </row>
    <row r="3895">
      <c r="A3895" s="66"/>
      <c r="D3895" s="63"/>
      <c r="J3895" s="66"/>
    </row>
    <row r="3896">
      <c r="A3896" s="66"/>
      <c r="D3896" s="63"/>
      <c r="J3896" s="66"/>
    </row>
    <row r="3897">
      <c r="A3897" s="66"/>
      <c r="D3897" s="63"/>
      <c r="J3897" s="66"/>
    </row>
    <row r="3898">
      <c r="A3898" s="66"/>
      <c r="D3898" s="63"/>
      <c r="J3898" s="66"/>
    </row>
    <row r="3899">
      <c r="A3899" s="66"/>
      <c r="D3899" s="63"/>
      <c r="J3899" s="66"/>
    </row>
    <row r="3900">
      <c r="A3900" s="66"/>
      <c r="D3900" s="63"/>
      <c r="J3900" s="66"/>
    </row>
    <row r="3901">
      <c r="A3901" s="66"/>
      <c r="D3901" s="63"/>
      <c r="J3901" s="66"/>
    </row>
    <row r="3902">
      <c r="A3902" s="66"/>
      <c r="D3902" s="63"/>
      <c r="J3902" s="66"/>
    </row>
    <row r="3903">
      <c r="A3903" s="66"/>
      <c r="D3903" s="63"/>
      <c r="J3903" s="66"/>
    </row>
    <row r="3904">
      <c r="A3904" s="66"/>
      <c r="D3904" s="63"/>
      <c r="J3904" s="66"/>
    </row>
    <row r="3905">
      <c r="A3905" s="66"/>
      <c r="D3905" s="63"/>
      <c r="J3905" s="66"/>
    </row>
    <row r="3906">
      <c r="A3906" s="66"/>
      <c r="D3906" s="63"/>
      <c r="J3906" s="66"/>
    </row>
    <row r="3907">
      <c r="A3907" s="66"/>
      <c r="D3907" s="63"/>
      <c r="J3907" s="66"/>
    </row>
    <row r="3908">
      <c r="A3908" s="66"/>
      <c r="D3908" s="63"/>
      <c r="J3908" s="66"/>
    </row>
    <row r="3909">
      <c r="A3909" s="66"/>
      <c r="D3909" s="63"/>
      <c r="J3909" s="66"/>
    </row>
    <row r="3910">
      <c r="A3910" s="66"/>
      <c r="D3910" s="63"/>
      <c r="J3910" s="66"/>
    </row>
    <row r="3911">
      <c r="A3911" s="66"/>
      <c r="D3911" s="63"/>
      <c r="J3911" s="66"/>
    </row>
    <row r="3912">
      <c r="A3912" s="66"/>
      <c r="D3912" s="63"/>
      <c r="J3912" s="66"/>
    </row>
    <row r="3913">
      <c r="A3913" s="66"/>
      <c r="D3913" s="63"/>
      <c r="J3913" s="66"/>
    </row>
    <row r="3914">
      <c r="A3914" s="66"/>
      <c r="D3914" s="63"/>
      <c r="J3914" s="66"/>
    </row>
    <row r="3915">
      <c r="A3915" s="66"/>
      <c r="D3915" s="63"/>
      <c r="J3915" s="66"/>
    </row>
    <row r="3916">
      <c r="A3916" s="66"/>
      <c r="D3916" s="63"/>
      <c r="J3916" s="66"/>
    </row>
    <row r="3917">
      <c r="A3917" s="66"/>
      <c r="D3917" s="63"/>
      <c r="J3917" s="66"/>
    </row>
    <row r="3918">
      <c r="A3918" s="66"/>
      <c r="D3918" s="63"/>
      <c r="J3918" s="66"/>
    </row>
    <row r="3919">
      <c r="A3919" s="66"/>
      <c r="D3919" s="63"/>
      <c r="J3919" s="66"/>
    </row>
    <row r="3920">
      <c r="A3920" s="66"/>
      <c r="D3920" s="63"/>
      <c r="J3920" s="66"/>
    </row>
    <row r="3921">
      <c r="A3921" s="66"/>
      <c r="D3921" s="63"/>
      <c r="J3921" s="66"/>
    </row>
    <row r="3922">
      <c r="A3922" s="66"/>
      <c r="D3922" s="63"/>
      <c r="J3922" s="66"/>
    </row>
    <row r="3923">
      <c r="A3923" s="66"/>
      <c r="D3923" s="63"/>
      <c r="J3923" s="66"/>
    </row>
    <row r="3924">
      <c r="A3924" s="66"/>
      <c r="D3924" s="63"/>
      <c r="J3924" s="66"/>
    </row>
    <row r="3925">
      <c r="A3925" s="66"/>
      <c r="D3925" s="63"/>
      <c r="J3925" s="66"/>
    </row>
    <row r="3926">
      <c r="A3926" s="66"/>
      <c r="D3926" s="63"/>
      <c r="J3926" s="66"/>
    </row>
    <row r="3927">
      <c r="A3927" s="66"/>
      <c r="D3927" s="63"/>
      <c r="J3927" s="66"/>
    </row>
    <row r="3928">
      <c r="A3928" s="66"/>
      <c r="D3928" s="62"/>
      <c r="J3928" s="66"/>
    </row>
    <row r="3929">
      <c r="A3929" s="66"/>
      <c r="D3929" s="63"/>
      <c r="J3929" s="66"/>
    </row>
    <row r="3930">
      <c r="A3930" s="66"/>
      <c r="D3930" s="63"/>
      <c r="J3930" s="66"/>
    </row>
    <row r="3931">
      <c r="A3931" s="66"/>
      <c r="D3931" s="63"/>
      <c r="J3931" s="66"/>
    </row>
    <row r="3932">
      <c r="A3932" s="66"/>
      <c r="D3932" s="63"/>
      <c r="J3932" s="66"/>
    </row>
    <row r="3933">
      <c r="A3933" s="66"/>
      <c r="D3933" s="63"/>
      <c r="J3933" s="66"/>
    </row>
    <row r="3934">
      <c r="A3934" s="66"/>
      <c r="D3934" s="63"/>
      <c r="J3934" s="66"/>
    </row>
    <row r="3935">
      <c r="A3935" s="66"/>
      <c r="D3935" s="63"/>
      <c r="J3935" s="66"/>
    </row>
    <row r="3936">
      <c r="A3936" s="66"/>
      <c r="D3936" s="63"/>
      <c r="J3936" s="66"/>
    </row>
    <row r="3937">
      <c r="A3937" s="67"/>
      <c r="D3937" s="63"/>
      <c r="J3937" s="66"/>
    </row>
    <row r="3938">
      <c r="A3938" s="67"/>
      <c r="D3938" s="63"/>
      <c r="J3938" s="66"/>
    </row>
    <row r="3939">
      <c r="A3939" s="67"/>
      <c r="D3939" s="63"/>
      <c r="J3939" s="66"/>
    </row>
    <row r="3940">
      <c r="A3940" s="67"/>
      <c r="D3940" s="63"/>
      <c r="J3940" s="66"/>
    </row>
    <row r="3941">
      <c r="A3941" s="67"/>
      <c r="D3941" s="63"/>
      <c r="J3941" s="66"/>
    </row>
    <row r="3942">
      <c r="A3942" s="67"/>
      <c r="D3942" s="63"/>
      <c r="J3942" s="66"/>
    </row>
    <row r="3943">
      <c r="A3943" s="67"/>
      <c r="D3943" s="63"/>
      <c r="J3943" s="66"/>
    </row>
    <row r="3944">
      <c r="A3944" s="67"/>
      <c r="D3944" s="63"/>
      <c r="J3944" s="66"/>
    </row>
    <row r="3945">
      <c r="A3945" s="67"/>
      <c r="D3945" s="63"/>
      <c r="J3945" s="66"/>
    </row>
    <row r="3946">
      <c r="A3946" s="67"/>
      <c r="D3946" s="63"/>
      <c r="J3946" s="66"/>
    </row>
    <row r="3947">
      <c r="A3947" s="67"/>
      <c r="D3947" s="63"/>
      <c r="J3947" s="66"/>
    </row>
    <row r="3948">
      <c r="A3948" s="67"/>
      <c r="D3948" s="63"/>
      <c r="J3948" s="66"/>
    </row>
    <row r="3949">
      <c r="A3949" s="67"/>
      <c r="D3949" s="63"/>
      <c r="J3949" s="66"/>
    </row>
    <row r="3950">
      <c r="A3950" s="67"/>
      <c r="D3950" s="63"/>
      <c r="J3950" s="66"/>
    </row>
    <row r="3951">
      <c r="A3951" s="67"/>
      <c r="D3951" s="63"/>
      <c r="J3951" s="66"/>
    </row>
    <row r="3952">
      <c r="A3952" s="67"/>
      <c r="D3952" s="63"/>
      <c r="J3952" s="66"/>
    </row>
    <row r="3953">
      <c r="A3953" s="67"/>
      <c r="D3953" s="63"/>
      <c r="J3953" s="66"/>
    </row>
    <row r="3954">
      <c r="A3954" s="67"/>
      <c r="D3954" s="63"/>
      <c r="J3954" s="66"/>
    </row>
    <row r="3955">
      <c r="A3955" s="67"/>
      <c r="D3955" s="63"/>
      <c r="J3955" s="66"/>
    </row>
    <row r="3956">
      <c r="A3956" s="67"/>
      <c r="D3956" s="63"/>
      <c r="J3956" s="66"/>
    </row>
    <row r="3957">
      <c r="A3957" s="67"/>
      <c r="D3957" s="63"/>
      <c r="J3957" s="66"/>
    </row>
    <row r="3958">
      <c r="A3958" s="67"/>
      <c r="D3958" s="63"/>
      <c r="J3958" s="66"/>
    </row>
    <row r="3959">
      <c r="A3959" s="67"/>
      <c r="D3959" s="63"/>
      <c r="J3959" s="66"/>
    </row>
    <row r="3960">
      <c r="A3960" s="67"/>
      <c r="D3960" s="63"/>
      <c r="J3960" s="66"/>
    </row>
    <row r="3961">
      <c r="A3961" s="67"/>
      <c r="D3961" s="63"/>
      <c r="J3961" s="66"/>
    </row>
    <row r="3962">
      <c r="A3962" s="67"/>
      <c r="D3962" s="63"/>
      <c r="J3962" s="66"/>
    </row>
    <row r="3963">
      <c r="A3963" s="67"/>
      <c r="D3963" s="63"/>
      <c r="J3963" s="66"/>
    </row>
    <row r="3964">
      <c r="A3964" s="67"/>
      <c r="D3964" s="63"/>
      <c r="J3964" s="66"/>
    </row>
    <row r="3965">
      <c r="A3965" s="67"/>
      <c r="D3965" s="63"/>
      <c r="J3965" s="66"/>
    </row>
    <row r="3966">
      <c r="A3966" s="67"/>
      <c r="D3966" s="63"/>
      <c r="J3966" s="66"/>
    </row>
    <row r="3967">
      <c r="A3967" s="67"/>
      <c r="D3967" s="63"/>
      <c r="J3967" s="66"/>
    </row>
    <row r="3968">
      <c r="A3968" s="67"/>
      <c r="D3968" s="63"/>
      <c r="J3968" s="66"/>
    </row>
    <row r="3969">
      <c r="A3969" s="67"/>
      <c r="D3969" s="63"/>
      <c r="J3969" s="66"/>
    </row>
    <row r="3970">
      <c r="A3970" s="67"/>
      <c r="D3970" s="63"/>
      <c r="J3970" s="66"/>
    </row>
    <row r="3971">
      <c r="A3971" s="67"/>
      <c r="D3971" s="63"/>
      <c r="J3971" s="66"/>
    </row>
    <row r="3972">
      <c r="A3972" s="67"/>
      <c r="D3972" s="63"/>
      <c r="J3972" s="66"/>
    </row>
    <row r="3973">
      <c r="A3973" s="67"/>
      <c r="D3973" s="63"/>
      <c r="J3973" s="66"/>
    </row>
    <row r="3974">
      <c r="A3974" s="67"/>
      <c r="D3974" s="63"/>
      <c r="J3974" s="66"/>
    </row>
    <row r="3975">
      <c r="A3975" s="67"/>
      <c r="D3975" s="63"/>
      <c r="J3975" s="66"/>
    </row>
    <row r="3976">
      <c r="A3976" s="67"/>
      <c r="D3976" s="63"/>
      <c r="J3976" s="66"/>
    </row>
    <row r="3977">
      <c r="A3977" s="67"/>
      <c r="D3977" s="63"/>
      <c r="J3977" s="66"/>
    </row>
    <row r="3978">
      <c r="A3978" s="67"/>
      <c r="D3978" s="63"/>
      <c r="J3978" s="66"/>
    </row>
    <row r="3979">
      <c r="A3979" s="67"/>
      <c r="D3979" s="63"/>
      <c r="J3979" s="66"/>
    </row>
    <row r="3980">
      <c r="A3980" s="67"/>
      <c r="D3980" s="63"/>
      <c r="J3980" s="66"/>
    </row>
    <row r="3981">
      <c r="A3981" s="67"/>
      <c r="D3981" s="63"/>
      <c r="J3981" s="66"/>
    </row>
    <row r="3982">
      <c r="A3982" s="67"/>
      <c r="D3982" s="63"/>
      <c r="J3982" s="66"/>
    </row>
    <row r="3983">
      <c r="A3983" s="67"/>
      <c r="D3983" s="63"/>
      <c r="J3983" s="66"/>
    </row>
    <row r="3984">
      <c r="A3984" s="67"/>
      <c r="D3984" s="63"/>
      <c r="J3984" s="66"/>
    </row>
    <row r="3985">
      <c r="A3985" s="67"/>
      <c r="D3985" s="63"/>
      <c r="J3985" s="66"/>
    </row>
    <row r="3986">
      <c r="A3986" s="67"/>
      <c r="D3986" s="63"/>
      <c r="J3986" s="66"/>
    </row>
    <row r="3987">
      <c r="A3987" s="67"/>
      <c r="D3987" s="63"/>
      <c r="J3987" s="66"/>
    </row>
    <row r="3988">
      <c r="A3988" s="67"/>
      <c r="D3988" s="63"/>
      <c r="J3988" s="66"/>
    </row>
    <row r="3989">
      <c r="A3989" s="67"/>
      <c r="D3989" s="63"/>
      <c r="J3989" s="66"/>
    </row>
    <row r="3990">
      <c r="A3990" s="67"/>
      <c r="D3990" s="63"/>
      <c r="J3990" s="66"/>
    </row>
    <row r="3991">
      <c r="A3991" s="67"/>
      <c r="D3991" s="63"/>
      <c r="J3991" s="66"/>
    </row>
    <row r="3992">
      <c r="A3992" s="67"/>
      <c r="D3992" s="63"/>
      <c r="J3992" s="66"/>
    </row>
    <row r="3993">
      <c r="A3993" s="67"/>
      <c r="D3993" s="63"/>
      <c r="J3993" s="66"/>
    </row>
    <row r="3994">
      <c r="A3994" s="67"/>
      <c r="D3994" s="63"/>
      <c r="J3994" s="66"/>
    </row>
    <row r="3995">
      <c r="A3995" s="67"/>
      <c r="D3995" s="63"/>
      <c r="J3995" s="66"/>
    </row>
    <row r="3996">
      <c r="A3996" s="67"/>
      <c r="D3996" s="63"/>
      <c r="J3996" s="66"/>
    </row>
    <row r="3997">
      <c r="A3997" s="67"/>
      <c r="D3997" s="63"/>
      <c r="J3997" s="66"/>
    </row>
    <row r="3998">
      <c r="A3998" s="67"/>
      <c r="D3998" s="63"/>
      <c r="J3998" s="66"/>
    </row>
    <row r="3999">
      <c r="A3999" s="67"/>
      <c r="D3999" s="63"/>
      <c r="J3999" s="66"/>
    </row>
    <row r="4000">
      <c r="A4000" s="67"/>
      <c r="D4000" s="63"/>
      <c r="J4000" s="66"/>
    </row>
    <row r="4001">
      <c r="A4001" s="67"/>
      <c r="D4001" s="63"/>
      <c r="J4001" s="66"/>
    </row>
    <row r="4002">
      <c r="A4002" s="67"/>
      <c r="D4002" s="63"/>
      <c r="J4002" s="66"/>
    </row>
    <row r="4003">
      <c r="A4003" s="67"/>
      <c r="D4003" s="63"/>
      <c r="J4003" s="66"/>
    </row>
    <row r="4004">
      <c r="A4004" s="67"/>
      <c r="D4004" s="63"/>
      <c r="J4004" s="66"/>
    </row>
    <row r="4005">
      <c r="A4005" s="67"/>
      <c r="D4005" s="63"/>
      <c r="J4005" s="66"/>
    </row>
    <row r="4006">
      <c r="A4006" s="67"/>
      <c r="D4006" s="63"/>
      <c r="J4006" s="66"/>
    </row>
    <row r="4007">
      <c r="A4007" s="67"/>
      <c r="D4007" s="63"/>
      <c r="J4007" s="67"/>
    </row>
    <row r="4008">
      <c r="A4008" s="67"/>
      <c r="D4008" s="63"/>
      <c r="J4008" s="67"/>
    </row>
    <row r="4009">
      <c r="A4009" s="67"/>
      <c r="D4009" s="63"/>
      <c r="J4009" s="67"/>
    </row>
    <row r="4010">
      <c r="A4010" s="67"/>
      <c r="D4010" s="63"/>
      <c r="J4010" s="67"/>
    </row>
    <row r="4011">
      <c r="A4011" s="67"/>
      <c r="D4011" s="63"/>
      <c r="J4011" s="67"/>
    </row>
    <row r="4012">
      <c r="A4012" s="67"/>
      <c r="D4012" s="63"/>
      <c r="J4012" s="67"/>
    </row>
    <row r="4013">
      <c r="A4013" s="67"/>
      <c r="D4013" s="63"/>
      <c r="J4013" s="67"/>
    </row>
    <row r="4014">
      <c r="A4014" s="67"/>
      <c r="D4014" s="63"/>
      <c r="J4014" s="67"/>
    </row>
    <row r="4015">
      <c r="A4015" s="67"/>
      <c r="D4015" s="63"/>
      <c r="J4015" s="67"/>
    </row>
    <row r="4016">
      <c r="A4016" s="67"/>
      <c r="D4016" s="63"/>
      <c r="J4016" s="67"/>
    </row>
    <row r="4017">
      <c r="A4017" s="67"/>
      <c r="D4017" s="63"/>
      <c r="J4017" s="67"/>
    </row>
    <row r="4018">
      <c r="A4018" s="67"/>
      <c r="D4018" s="63"/>
      <c r="J4018" s="67"/>
    </row>
    <row r="4019">
      <c r="A4019" s="67"/>
      <c r="D4019" s="63"/>
      <c r="J4019" s="67"/>
    </row>
    <row r="4020">
      <c r="A4020" s="67"/>
      <c r="D4020" s="63"/>
      <c r="J4020" s="67"/>
    </row>
    <row r="4021">
      <c r="A4021" s="67"/>
      <c r="D4021" s="63"/>
      <c r="J4021" s="67"/>
    </row>
    <row r="4022">
      <c r="A4022" s="67"/>
      <c r="D4022" s="63"/>
      <c r="J4022" s="67"/>
    </row>
    <row r="4023">
      <c r="A4023" s="67"/>
      <c r="D4023" s="63"/>
      <c r="J4023" s="67"/>
    </row>
    <row r="4024">
      <c r="A4024" s="67"/>
      <c r="D4024" s="63"/>
      <c r="J4024" s="67"/>
    </row>
    <row r="4025">
      <c r="A4025" s="67"/>
      <c r="D4025" s="63"/>
      <c r="J4025" s="67"/>
    </row>
    <row r="4026">
      <c r="A4026" s="67"/>
      <c r="D4026" s="62"/>
      <c r="J4026" s="67"/>
    </row>
    <row r="4027">
      <c r="A4027" s="67"/>
      <c r="D4027" s="63"/>
      <c r="J4027" s="67"/>
    </row>
    <row r="4028">
      <c r="A4028" s="67"/>
      <c r="D4028" s="63"/>
      <c r="J4028" s="67"/>
    </row>
    <row r="4029">
      <c r="A4029" s="67"/>
      <c r="D4029" s="63"/>
      <c r="J4029" s="67"/>
    </row>
    <row r="4030">
      <c r="A4030" s="67"/>
      <c r="D4030" s="63"/>
      <c r="J4030" s="67"/>
    </row>
    <row r="4031">
      <c r="A4031" s="67"/>
      <c r="D4031" s="63"/>
      <c r="J4031" s="67"/>
    </row>
    <row r="4032">
      <c r="A4032" s="67"/>
      <c r="D4032" s="63"/>
      <c r="J4032" s="67"/>
    </row>
    <row r="4033">
      <c r="A4033" s="67"/>
      <c r="D4033" s="63"/>
      <c r="J4033" s="67"/>
    </row>
    <row r="4034">
      <c r="A4034" s="67"/>
      <c r="D4034" s="63"/>
      <c r="J4034" s="67"/>
    </row>
    <row r="4035">
      <c r="A4035" s="67"/>
      <c r="D4035" s="63"/>
      <c r="J4035" s="67"/>
    </row>
    <row r="4036">
      <c r="A4036" s="67"/>
      <c r="D4036" s="63"/>
      <c r="J4036" s="67"/>
    </row>
    <row r="4037">
      <c r="A4037" s="67"/>
      <c r="D4037" s="63"/>
      <c r="J4037" s="67"/>
    </row>
    <row r="4038">
      <c r="A4038" s="67"/>
      <c r="D4038" s="63"/>
      <c r="J4038" s="67"/>
    </row>
    <row r="4039">
      <c r="A4039" s="67"/>
      <c r="D4039" s="63"/>
      <c r="J4039" s="67"/>
    </row>
    <row r="4040">
      <c r="A4040" s="67"/>
      <c r="D4040" s="63"/>
      <c r="J4040" s="67"/>
    </row>
    <row r="4041">
      <c r="A4041" s="67"/>
      <c r="D4041" s="63"/>
      <c r="J4041" s="67"/>
    </row>
    <row r="4042">
      <c r="A4042" s="67"/>
      <c r="D4042" s="63"/>
      <c r="J4042" s="67"/>
    </row>
    <row r="4043">
      <c r="A4043" s="67"/>
      <c r="D4043" s="63"/>
      <c r="J4043" s="67"/>
    </row>
    <row r="4044">
      <c r="A4044" s="67"/>
      <c r="D4044" s="63"/>
      <c r="J4044" s="67"/>
    </row>
    <row r="4045">
      <c r="A4045" s="67"/>
      <c r="D4045" s="63"/>
      <c r="J4045" s="67"/>
    </row>
    <row r="4046">
      <c r="A4046" s="67"/>
      <c r="D4046" s="63"/>
      <c r="J4046" s="67"/>
    </row>
    <row r="4047">
      <c r="A4047" s="67"/>
      <c r="D4047" s="63"/>
      <c r="J4047" s="67"/>
    </row>
    <row r="4048">
      <c r="A4048" s="67"/>
      <c r="D4048" s="63"/>
      <c r="J4048" s="67"/>
    </row>
    <row r="4049">
      <c r="A4049" s="67"/>
      <c r="D4049" s="63"/>
      <c r="J4049" s="67"/>
    </row>
    <row r="4050">
      <c r="A4050" s="67"/>
      <c r="D4050" s="63"/>
      <c r="J4050" s="67"/>
    </row>
    <row r="4051">
      <c r="A4051" s="67"/>
      <c r="D4051" s="63"/>
      <c r="J4051" s="67"/>
    </row>
    <row r="4052">
      <c r="A4052" s="67"/>
      <c r="D4052" s="63"/>
      <c r="J4052" s="67"/>
    </row>
    <row r="4053">
      <c r="A4053" s="67"/>
      <c r="D4053" s="63"/>
      <c r="J4053" s="67"/>
    </row>
    <row r="4054">
      <c r="A4054" s="67"/>
      <c r="D4054" s="63"/>
      <c r="J4054" s="67"/>
    </row>
    <row r="4055">
      <c r="A4055" s="67"/>
      <c r="D4055" s="63"/>
      <c r="J4055" s="67"/>
    </row>
    <row r="4056">
      <c r="A4056" s="67"/>
      <c r="D4056" s="63"/>
      <c r="J4056" s="67"/>
    </row>
    <row r="4057">
      <c r="A4057" s="67"/>
      <c r="D4057" s="63"/>
      <c r="J4057" s="67"/>
    </row>
    <row r="4058">
      <c r="A4058" s="67"/>
      <c r="D4058" s="63"/>
      <c r="J4058" s="67"/>
    </row>
    <row r="4059">
      <c r="A4059" s="68"/>
      <c r="D4059" s="63"/>
      <c r="J4059" s="67"/>
    </row>
    <row r="4060">
      <c r="A4060" s="68"/>
      <c r="D4060" s="63"/>
      <c r="J4060" s="67"/>
    </row>
    <row r="4061">
      <c r="A4061" s="68"/>
      <c r="D4061" s="63"/>
      <c r="J4061" s="67"/>
    </row>
    <row r="4062">
      <c r="A4062" s="68"/>
      <c r="D4062" s="63"/>
      <c r="J4062" s="67"/>
    </row>
    <row r="4063">
      <c r="A4063" s="68"/>
      <c r="D4063" s="63"/>
      <c r="J4063" s="67"/>
    </row>
    <row r="4064">
      <c r="A4064" s="68"/>
      <c r="D4064" s="63"/>
      <c r="J4064" s="67"/>
    </row>
    <row r="4065">
      <c r="A4065" s="68"/>
      <c r="D4065" s="63"/>
      <c r="J4065" s="67"/>
    </row>
    <row r="4066">
      <c r="A4066" s="68"/>
      <c r="D4066" s="63"/>
      <c r="J4066" s="67"/>
    </row>
    <row r="4067">
      <c r="A4067" s="68"/>
      <c r="D4067" s="63"/>
      <c r="J4067" s="67"/>
    </row>
    <row r="4068">
      <c r="A4068" s="68"/>
      <c r="D4068" s="63"/>
      <c r="J4068" s="67"/>
    </row>
    <row r="4069">
      <c r="A4069" s="68"/>
      <c r="D4069" s="63"/>
      <c r="J4069" s="67"/>
    </row>
    <row r="4070">
      <c r="A4070" s="68"/>
      <c r="D4070" s="63"/>
      <c r="J4070" s="67"/>
    </row>
    <row r="4071">
      <c r="A4071" s="68"/>
      <c r="D4071" s="63"/>
      <c r="J4071" s="67"/>
    </row>
    <row r="4072">
      <c r="A4072" s="68"/>
      <c r="D4072" s="63"/>
      <c r="J4072" s="67"/>
    </row>
    <row r="4073">
      <c r="A4073" s="68"/>
      <c r="D4073" s="63"/>
      <c r="J4073" s="67"/>
    </row>
    <row r="4074">
      <c r="A4074" s="68"/>
      <c r="D4074" s="63"/>
      <c r="J4074" s="67"/>
    </row>
    <row r="4075">
      <c r="A4075" s="68"/>
      <c r="D4075" s="63"/>
      <c r="J4075" s="67"/>
    </row>
    <row r="4076">
      <c r="A4076" s="68"/>
      <c r="D4076" s="63"/>
      <c r="J4076" s="67"/>
    </row>
    <row r="4077">
      <c r="A4077" s="68"/>
      <c r="D4077" s="63"/>
      <c r="J4077" s="67"/>
    </row>
    <row r="4078">
      <c r="A4078" s="68"/>
      <c r="D4078" s="63"/>
      <c r="J4078" s="67"/>
    </row>
    <row r="4079">
      <c r="A4079" s="68"/>
      <c r="D4079" s="63"/>
      <c r="J4079" s="67"/>
    </row>
    <row r="4080">
      <c r="A4080" s="68"/>
      <c r="D4080" s="63"/>
      <c r="J4080" s="67"/>
    </row>
    <row r="4081">
      <c r="A4081" s="68"/>
      <c r="D4081" s="63"/>
      <c r="J4081" s="67"/>
    </row>
    <row r="4082">
      <c r="A4082" s="68"/>
      <c r="D4082" s="63"/>
      <c r="J4082" s="67"/>
    </row>
    <row r="4083">
      <c r="A4083" s="68"/>
      <c r="D4083" s="63"/>
      <c r="J4083" s="67"/>
    </row>
    <row r="4084">
      <c r="A4084" s="68"/>
      <c r="D4084" s="63"/>
      <c r="J4084" s="67"/>
    </row>
    <row r="4085">
      <c r="A4085" s="68"/>
      <c r="D4085" s="63"/>
      <c r="J4085" s="67"/>
    </row>
    <row r="4086">
      <c r="A4086" s="68"/>
      <c r="D4086" s="63"/>
      <c r="J4086" s="67"/>
    </row>
    <row r="4087">
      <c r="A4087" s="68"/>
      <c r="D4087" s="63"/>
      <c r="J4087" s="67"/>
    </row>
    <row r="4088">
      <c r="A4088" s="68"/>
      <c r="D4088" s="63"/>
      <c r="J4088" s="67"/>
    </row>
    <row r="4089">
      <c r="A4089" s="68"/>
      <c r="D4089" s="63"/>
      <c r="J4089" s="67"/>
    </row>
    <row r="4090">
      <c r="A4090" s="68"/>
      <c r="D4090" s="63"/>
      <c r="J4090" s="67"/>
    </row>
    <row r="4091">
      <c r="A4091" s="68"/>
      <c r="D4091" s="63"/>
      <c r="J4091" s="67"/>
    </row>
    <row r="4092">
      <c r="A4092" s="68"/>
      <c r="D4092" s="63"/>
      <c r="J4092" s="67"/>
    </row>
    <row r="4093">
      <c r="A4093" s="68"/>
      <c r="D4093" s="63"/>
      <c r="J4093" s="67"/>
    </row>
    <row r="4094">
      <c r="A4094" s="68"/>
      <c r="D4094" s="63"/>
      <c r="J4094" s="67"/>
    </row>
    <row r="4095">
      <c r="A4095" s="68"/>
      <c r="D4095" s="63"/>
      <c r="J4095" s="67"/>
    </row>
    <row r="4096">
      <c r="A4096" s="68"/>
      <c r="D4096" s="63"/>
      <c r="J4096" s="67"/>
    </row>
    <row r="4097">
      <c r="A4097" s="68"/>
      <c r="D4097" s="63"/>
      <c r="J4097" s="67"/>
    </row>
    <row r="4098">
      <c r="A4098" s="68"/>
      <c r="D4098" s="63"/>
      <c r="J4098" s="67"/>
    </row>
    <row r="4099">
      <c r="A4099" s="68"/>
      <c r="D4099" s="63"/>
      <c r="J4099" s="67"/>
    </row>
    <row r="4100">
      <c r="A4100" s="68"/>
      <c r="D4100" s="63"/>
      <c r="J4100" s="67"/>
    </row>
    <row r="4101">
      <c r="A4101" s="68"/>
      <c r="D4101" s="63"/>
      <c r="J4101" s="67"/>
    </row>
    <row r="4102">
      <c r="A4102" s="68"/>
      <c r="D4102" s="63"/>
      <c r="J4102" s="67"/>
    </row>
    <row r="4103">
      <c r="A4103" s="68"/>
      <c r="D4103" s="63"/>
      <c r="J4103" s="67"/>
    </row>
    <row r="4104">
      <c r="A4104" s="68"/>
      <c r="D4104" s="63"/>
      <c r="J4104" s="67"/>
    </row>
    <row r="4105">
      <c r="A4105" s="68"/>
      <c r="D4105" s="63"/>
      <c r="J4105" s="67"/>
    </row>
    <row r="4106">
      <c r="A4106" s="68"/>
      <c r="D4106" s="63"/>
      <c r="J4106" s="67"/>
    </row>
    <row r="4107">
      <c r="A4107" s="68"/>
      <c r="D4107" s="63"/>
      <c r="J4107" s="67"/>
    </row>
    <row r="4108">
      <c r="A4108" s="68"/>
      <c r="D4108" s="63"/>
      <c r="J4108" s="67"/>
    </row>
    <row r="4109">
      <c r="A4109" s="68"/>
      <c r="D4109" s="63"/>
      <c r="J4109" s="67"/>
    </row>
    <row r="4110">
      <c r="A4110" s="68"/>
      <c r="D4110" s="63"/>
      <c r="J4110" s="67"/>
    </row>
    <row r="4111">
      <c r="A4111" s="68"/>
      <c r="D4111" s="63"/>
      <c r="J4111" s="67"/>
    </row>
    <row r="4112">
      <c r="A4112" s="68"/>
      <c r="D4112" s="63"/>
      <c r="J4112" s="67"/>
    </row>
    <row r="4113">
      <c r="A4113" s="68"/>
      <c r="D4113" s="63"/>
      <c r="J4113" s="67"/>
    </row>
    <row r="4114">
      <c r="A4114" s="68"/>
      <c r="D4114" s="63"/>
      <c r="J4114" s="67"/>
    </row>
    <row r="4115">
      <c r="A4115" s="68"/>
      <c r="D4115" s="63"/>
      <c r="J4115" s="67"/>
    </row>
    <row r="4116">
      <c r="A4116" s="64"/>
      <c r="D4116" s="63"/>
      <c r="J4116" s="67"/>
    </row>
    <row r="4117">
      <c r="A4117" s="64"/>
      <c r="D4117" s="63"/>
      <c r="J4117" s="67"/>
    </row>
    <row r="4118">
      <c r="A4118" s="64"/>
      <c r="D4118" s="63"/>
      <c r="J4118" s="67"/>
    </row>
    <row r="4119">
      <c r="A4119" s="64"/>
      <c r="D4119" s="63"/>
      <c r="J4119" s="67"/>
    </row>
    <row r="4120">
      <c r="A4120" s="64"/>
      <c r="D4120" s="63"/>
      <c r="J4120" s="67"/>
    </row>
    <row r="4121">
      <c r="A4121" s="64"/>
      <c r="D4121" s="63"/>
      <c r="J4121" s="67"/>
    </row>
    <row r="4122">
      <c r="A4122" s="64"/>
      <c r="D4122" s="63"/>
      <c r="J4122" s="67"/>
    </row>
    <row r="4123">
      <c r="A4123" s="64"/>
      <c r="D4123" s="63"/>
      <c r="J4123" s="67"/>
    </row>
    <row r="4124">
      <c r="A4124" s="64"/>
      <c r="D4124" s="63"/>
      <c r="J4124" s="67"/>
    </row>
    <row r="4125">
      <c r="A4125" s="64"/>
      <c r="D4125" s="63"/>
      <c r="J4125" s="67"/>
    </row>
    <row r="4126">
      <c r="A4126" s="64"/>
      <c r="D4126" s="63"/>
      <c r="J4126" s="67"/>
    </row>
    <row r="4127">
      <c r="A4127" s="64"/>
      <c r="D4127" s="63"/>
      <c r="J4127" s="67"/>
    </row>
    <row r="4128">
      <c r="A4128" s="64"/>
      <c r="D4128" s="63"/>
      <c r="J4128" s="67"/>
    </row>
    <row r="4129">
      <c r="A4129" s="64"/>
      <c r="D4129" s="63"/>
      <c r="J4129" s="67"/>
    </row>
    <row r="4130">
      <c r="A4130" s="64"/>
      <c r="D4130" s="63"/>
      <c r="J4130" s="67"/>
    </row>
    <row r="4131">
      <c r="A4131" s="64"/>
      <c r="D4131" s="63"/>
      <c r="J4131" s="67"/>
    </row>
    <row r="4132">
      <c r="A4132" s="64"/>
      <c r="D4132" s="63"/>
      <c r="J4132" s="68"/>
    </row>
    <row r="4133">
      <c r="A4133" s="64"/>
      <c r="D4133" s="63"/>
      <c r="J4133" s="68"/>
    </row>
    <row r="4134">
      <c r="A4134" s="64"/>
      <c r="D4134" s="63"/>
      <c r="J4134" s="68"/>
    </row>
    <row r="4135">
      <c r="A4135" s="64"/>
      <c r="D4135" s="63"/>
      <c r="J4135" s="68"/>
    </row>
    <row r="4136">
      <c r="A4136" s="64"/>
      <c r="D4136" s="63"/>
      <c r="J4136" s="68"/>
    </row>
    <row r="4137">
      <c r="A4137" s="64"/>
      <c r="D4137" s="63"/>
      <c r="J4137" s="68"/>
    </row>
    <row r="4138">
      <c r="A4138" s="64"/>
      <c r="D4138" s="63"/>
      <c r="J4138" s="68"/>
    </row>
    <row r="4139">
      <c r="A4139" s="64"/>
      <c r="D4139" s="63"/>
      <c r="J4139" s="68"/>
    </row>
    <row r="4140">
      <c r="A4140" s="64"/>
      <c r="D4140" s="63"/>
      <c r="J4140" s="68"/>
    </row>
    <row r="4141">
      <c r="A4141" s="64"/>
      <c r="D4141" s="63"/>
      <c r="J4141" s="68"/>
    </row>
    <row r="4142">
      <c r="A4142" s="64"/>
      <c r="D4142" s="63"/>
      <c r="J4142" s="68"/>
    </row>
    <row r="4143">
      <c r="A4143" s="64"/>
      <c r="D4143" s="63"/>
      <c r="J4143" s="68"/>
    </row>
    <row r="4144">
      <c r="A4144" s="64"/>
      <c r="D4144" s="63"/>
      <c r="J4144" s="68"/>
    </row>
    <row r="4145">
      <c r="A4145" s="64"/>
      <c r="D4145" s="63"/>
      <c r="J4145" s="68"/>
    </row>
    <row r="4146">
      <c r="A4146" s="64"/>
      <c r="D4146" s="63"/>
      <c r="J4146" s="68"/>
    </row>
    <row r="4147">
      <c r="A4147" s="64"/>
      <c r="D4147" s="63"/>
      <c r="J4147" s="68"/>
    </row>
    <row r="4148">
      <c r="A4148" s="64"/>
      <c r="D4148" s="63"/>
      <c r="J4148" s="68"/>
    </row>
    <row r="4149">
      <c r="A4149" s="64"/>
      <c r="D4149" s="63"/>
      <c r="J4149" s="68"/>
    </row>
    <row r="4150">
      <c r="A4150" s="64"/>
      <c r="D4150" s="63"/>
      <c r="J4150" s="68"/>
    </row>
    <row r="4151">
      <c r="A4151" s="64"/>
      <c r="D4151" s="63"/>
      <c r="J4151" s="68"/>
    </row>
    <row r="4152">
      <c r="A4152" s="64"/>
      <c r="D4152" s="63"/>
      <c r="J4152" s="68"/>
    </row>
    <row r="4153">
      <c r="A4153" s="64"/>
      <c r="D4153" s="63"/>
      <c r="J4153" s="68"/>
    </row>
    <row r="4154">
      <c r="A4154" s="64"/>
      <c r="D4154" s="63"/>
      <c r="J4154" s="68"/>
    </row>
    <row r="4155">
      <c r="A4155" s="64"/>
      <c r="D4155" s="63"/>
      <c r="J4155" s="68"/>
    </row>
    <row r="4156">
      <c r="A4156" s="64"/>
      <c r="D4156" s="63"/>
      <c r="J4156" s="68"/>
    </row>
    <row r="4157">
      <c r="A4157" s="64"/>
      <c r="D4157" s="63"/>
      <c r="J4157" s="68"/>
    </row>
    <row r="4158">
      <c r="A4158" s="64"/>
      <c r="D4158" s="63"/>
      <c r="J4158" s="68"/>
    </row>
    <row r="4159">
      <c r="A4159" s="64"/>
      <c r="D4159" s="63"/>
      <c r="J4159" s="68"/>
    </row>
    <row r="4160">
      <c r="A4160" s="64"/>
      <c r="D4160" s="63"/>
      <c r="J4160" s="68"/>
    </row>
    <row r="4161">
      <c r="A4161" s="64"/>
      <c r="D4161" s="63"/>
      <c r="J4161" s="68"/>
    </row>
    <row r="4162">
      <c r="A4162" s="64"/>
      <c r="D4162" s="63"/>
      <c r="J4162" s="68"/>
    </row>
    <row r="4163">
      <c r="A4163" s="64"/>
      <c r="D4163" s="63"/>
      <c r="J4163" s="68"/>
    </row>
    <row r="4164">
      <c r="A4164" s="64"/>
      <c r="D4164" s="63"/>
      <c r="J4164" s="68"/>
    </row>
    <row r="4165">
      <c r="A4165" s="64"/>
      <c r="D4165" s="63"/>
      <c r="J4165" s="68"/>
    </row>
    <row r="4166">
      <c r="A4166" s="66"/>
      <c r="D4166" s="63"/>
      <c r="J4166" s="68"/>
    </row>
    <row r="4167">
      <c r="A4167" s="66"/>
      <c r="D4167" s="63"/>
      <c r="J4167" s="68"/>
    </row>
    <row r="4168">
      <c r="A4168" s="66"/>
      <c r="D4168" s="63"/>
      <c r="J4168" s="68"/>
    </row>
    <row r="4169">
      <c r="A4169" s="66"/>
      <c r="D4169" s="63"/>
      <c r="J4169" s="68"/>
    </row>
    <row r="4170">
      <c r="A4170" s="66"/>
      <c r="D4170" s="63"/>
      <c r="J4170" s="68"/>
    </row>
    <row r="4171">
      <c r="A4171" s="66"/>
      <c r="D4171" s="63"/>
      <c r="J4171" s="68"/>
    </row>
    <row r="4172">
      <c r="A4172" s="66"/>
      <c r="D4172" s="63"/>
      <c r="J4172" s="68"/>
    </row>
    <row r="4173">
      <c r="A4173" s="66"/>
      <c r="D4173" s="63"/>
      <c r="J4173" s="68"/>
    </row>
    <row r="4174">
      <c r="A4174" s="66"/>
      <c r="D4174" s="63"/>
      <c r="J4174" s="68"/>
    </row>
    <row r="4175">
      <c r="A4175" s="66"/>
      <c r="D4175" s="63"/>
      <c r="J4175" s="68"/>
    </row>
    <row r="4176">
      <c r="A4176" s="66"/>
      <c r="D4176" s="63"/>
      <c r="J4176" s="68"/>
    </row>
    <row r="4177">
      <c r="A4177" s="66"/>
      <c r="D4177" s="63"/>
      <c r="J4177" s="68"/>
    </row>
    <row r="4178">
      <c r="A4178" s="66"/>
      <c r="D4178" s="63"/>
      <c r="J4178" s="68"/>
    </row>
    <row r="4179">
      <c r="A4179" s="66"/>
      <c r="D4179" s="63"/>
      <c r="J4179" s="68"/>
    </row>
    <row r="4180">
      <c r="A4180" s="66"/>
      <c r="D4180" s="63"/>
      <c r="J4180" s="68"/>
    </row>
    <row r="4181">
      <c r="A4181" s="66"/>
      <c r="D4181" s="63"/>
      <c r="J4181" s="68"/>
    </row>
    <row r="4182">
      <c r="A4182" s="66"/>
      <c r="D4182" s="63"/>
      <c r="J4182" s="68"/>
    </row>
    <row r="4183">
      <c r="A4183" s="66"/>
      <c r="D4183" s="63"/>
      <c r="J4183" s="68"/>
    </row>
    <row r="4184">
      <c r="A4184" s="66"/>
      <c r="D4184" s="63"/>
      <c r="J4184" s="68"/>
    </row>
    <row r="4185">
      <c r="A4185" s="66"/>
      <c r="D4185" s="63"/>
      <c r="J4185" s="68"/>
    </row>
    <row r="4186">
      <c r="A4186" s="66"/>
      <c r="D4186" s="63"/>
      <c r="J4186" s="68"/>
    </row>
    <row r="4187">
      <c r="A4187" s="66"/>
      <c r="D4187" s="63"/>
      <c r="J4187" s="68"/>
    </row>
    <row r="4188">
      <c r="A4188" s="66"/>
      <c r="D4188" s="63"/>
      <c r="J4188" s="68"/>
    </row>
    <row r="4189">
      <c r="A4189" s="64"/>
      <c r="D4189" s="63"/>
      <c r="J4189" s="64"/>
    </row>
    <row r="4190">
      <c r="A4190" s="64"/>
      <c r="D4190" s="63"/>
      <c r="J4190" s="64"/>
    </row>
    <row r="4191">
      <c r="A4191" s="64"/>
      <c r="D4191" s="63"/>
      <c r="J4191" s="64"/>
    </row>
    <row r="4192">
      <c r="A4192" s="64"/>
      <c r="D4192" s="63"/>
      <c r="J4192" s="64"/>
    </row>
    <row r="4193">
      <c r="A4193" s="64"/>
      <c r="D4193" s="63"/>
      <c r="J4193" s="64"/>
    </row>
    <row r="4194">
      <c r="A4194" s="64"/>
      <c r="D4194" s="63"/>
      <c r="J4194" s="64"/>
    </row>
    <row r="4195">
      <c r="A4195" s="64"/>
      <c r="D4195" s="63"/>
      <c r="J4195" s="64"/>
    </row>
    <row r="4196">
      <c r="A4196" s="64"/>
      <c r="D4196" s="63"/>
      <c r="J4196" s="64"/>
    </row>
    <row r="4197">
      <c r="A4197" s="64"/>
      <c r="D4197" s="63"/>
      <c r="J4197" s="64"/>
    </row>
    <row r="4198">
      <c r="A4198" s="64"/>
      <c r="D4198" s="63"/>
      <c r="J4198" s="64"/>
    </row>
    <row r="4199">
      <c r="A4199" s="64"/>
      <c r="D4199" s="63"/>
      <c r="J4199" s="64"/>
    </row>
    <row r="4200">
      <c r="A4200" s="64"/>
      <c r="D4200" s="63"/>
      <c r="J4200" s="64"/>
    </row>
    <row r="4201">
      <c r="A4201" s="64"/>
      <c r="D4201" s="63"/>
      <c r="J4201" s="64"/>
    </row>
    <row r="4202">
      <c r="A4202" s="64"/>
      <c r="D4202" s="63"/>
      <c r="J4202" s="64"/>
    </row>
    <row r="4203">
      <c r="A4203" s="64"/>
      <c r="D4203" s="63"/>
      <c r="J4203" s="64"/>
    </row>
    <row r="4204">
      <c r="A4204" s="64"/>
      <c r="D4204" s="63"/>
      <c r="J4204" s="64"/>
    </row>
    <row r="4205">
      <c r="A4205" s="64"/>
      <c r="D4205" s="63"/>
      <c r="J4205" s="64"/>
    </row>
    <row r="4206">
      <c r="A4206" s="64"/>
      <c r="D4206" s="63"/>
      <c r="J4206" s="64"/>
    </row>
    <row r="4207">
      <c r="A4207" s="64"/>
      <c r="D4207" s="63"/>
      <c r="J4207" s="64"/>
    </row>
    <row r="4208">
      <c r="A4208" s="64"/>
      <c r="D4208" s="63"/>
      <c r="J4208" s="64"/>
    </row>
    <row r="4209">
      <c r="A4209" s="64"/>
      <c r="D4209" s="63"/>
      <c r="J4209" s="64"/>
    </row>
    <row r="4210">
      <c r="A4210" s="64"/>
      <c r="D4210" s="63"/>
      <c r="J4210" s="64"/>
    </row>
    <row r="4211">
      <c r="A4211" s="64"/>
      <c r="D4211" s="63"/>
      <c r="J4211" s="64"/>
    </row>
    <row r="4212">
      <c r="A4212" s="64"/>
      <c r="D4212" s="63"/>
      <c r="J4212" s="64"/>
    </row>
    <row r="4213">
      <c r="A4213" s="64"/>
      <c r="D4213" s="63"/>
      <c r="J4213" s="64"/>
    </row>
    <row r="4214">
      <c r="A4214" s="64"/>
      <c r="D4214" s="63"/>
      <c r="J4214" s="64"/>
    </row>
    <row r="4215">
      <c r="A4215" s="64"/>
      <c r="D4215" s="63"/>
      <c r="J4215" s="64"/>
    </row>
    <row r="4216">
      <c r="A4216" s="64"/>
      <c r="D4216" s="63"/>
      <c r="J4216" s="64"/>
    </row>
    <row r="4217">
      <c r="A4217" s="66"/>
      <c r="D4217" s="63"/>
      <c r="J4217" s="64"/>
    </row>
    <row r="4218">
      <c r="A4218" s="66"/>
      <c r="D4218" s="63"/>
      <c r="J4218" s="64"/>
    </row>
    <row r="4219">
      <c r="A4219" s="66"/>
      <c r="D4219" s="63"/>
      <c r="J4219" s="64"/>
    </row>
    <row r="4220">
      <c r="A4220" s="66"/>
      <c r="D4220" s="63"/>
      <c r="J4220" s="64"/>
    </row>
    <row r="4221">
      <c r="A4221" s="66"/>
      <c r="D4221" s="63"/>
      <c r="J4221" s="64"/>
    </row>
    <row r="4222">
      <c r="A4222" s="66"/>
      <c r="D4222" s="63"/>
      <c r="J4222" s="64"/>
    </row>
    <row r="4223">
      <c r="A4223" s="66"/>
      <c r="D4223" s="63"/>
      <c r="J4223" s="64"/>
    </row>
    <row r="4224">
      <c r="A4224" s="66"/>
      <c r="D4224" s="63"/>
      <c r="J4224" s="64"/>
    </row>
    <row r="4225">
      <c r="A4225" s="66"/>
      <c r="D4225" s="63"/>
      <c r="J4225" s="64"/>
    </row>
    <row r="4226">
      <c r="A4226" s="66"/>
      <c r="D4226" s="63"/>
      <c r="J4226" s="64"/>
    </row>
    <row r="4227">
      <c r="A4227" s="64"/>
      <c r="D4227" s="63"/>
      <c r="J4227" s="64"/>
    </row>
    <row r="4228">
      <c r="A4228" s="64"/>
      <c r="D4228" s="63"/>
      <c r="J4228" s="64"/>
    </row>
    <row r="4229">
      <c r="A4229" s="64"/>
      <c r="D4229" s="63"/>
      <c r="J4229" s="64"/>
    </row>
    <row r="4230">
      <c r="A4230" s="64"/>
      <c r="D4230" s="63"/>
      <c r="J4230" s="64"/>
    </row>
    <row r="4231">
      <c r="A4231" s="64"/>
      <c r="D4231" s="63"/>
      <c r="J4231" s="64"/>
    </row>
    <row r="4232">
      <c r="A4232" s="64"/>
      <c r="D4232" s="63"/>
      <c r="J4232" s="64"/>
    </row>
    <row r="4233">
      <c r="A4233" s="64"/>
      <c r="D4233" s="63"/>
      <c r="J4233" s="64"/>
    </row>
    <row r="4234">
      <c r="A4234" s="64"/>
      <c r="D4234" s="63"/>
      <c r="J4234" s="64"/>
    </row>
    <row r="4235">
      <c r="A4235" s="64"/>
      <c r="D4235" s="63"/>
      <c r="J4235" s="64"/>
    </row>
    <row r="4236">
      <c r="A4236" s="64"/>
      <c r="D4236" s="63"/>
      <c r="J4236" s="64"/>
    </row>
    <row r="4237">
      <c r="A4237" s="64"/>
      <c r="D4237" s="63"/>
      <c r="J4237" s="64"/>
    </row>
    <row r="4238">
      <c r="A4238" s="64"/>
      <c r="D4238" s="63"/>
      <c r="J4238" s="64"/>
    </row>
    <row r="4239">
      <c r="A4239" s="64"/>
      <c r="D4239" s="63"/>
      <c r="J4239" s="64"/>
    </row>
    <row r="4240">
      <c r="A4240" s="64"/>
      <c r="D4240" s="63"/>
      <c r="J4240" s="66"/>
    </row>
    <row r="4241">
      <c r="A4241" s="66"/>
      <c r="D4241" s="63"/>
      <c r="J4241" s="66"/>
    </row>
    <row r="4242">
      <c r="A4242" s="66"/>
      <c r="D4242" s="63"/>
      <c r="J4242" s="66"/>
    </row>
    <row r="4243">
      <c r="A4243" s="66"/>
      <c r="D4243" s="63"/>
      <c r="J4243" s="66"/>
    </row>
    <row r="4244">
      <c r="A4244" s="66"/>
      <c r="D4244" s="63"/>
      <c r="J4244" s="66"/>
    </row>
    <row r="4245">
      <c r="A4245" s="66"/>
      <c r="D4245" s="62"/>
      <c r="J4245" s="66"/>
    </row>
    <row r="4246">
      <c r="A4246" s="66"/>
      <c r="D4246" s="62"/>
      <c r="J4246" s="66"/>
    </row>
    <row r="4247">
      <c r="A4247" s="66"/>
      <c r="D4247" s="62"/>
      <c r="J4247" s="66"/>
    </row>
    <row r="4248">
      <c r="A4248" s="66"/>
      <c r="D4248" s="62"/>
      <c r="J4248" s="66"/>
    </row>
    <row r="4249">
      <c r="A4249" s="66"/>
      <c r="D4249" s="63"/>
      <c r="J4249" s="66"/>
    </row>
    <row r="4250">
      <c r="A4250" s="66"/>
      <c r="D4250" s="63"/>
      <c r="J4250" s="66"/>
    </row>
    <row r="4251">
      <c r="A4251" s="66"/>
      <c r="D4251" s="63"/>
      <c r="J4251" s="66"/>
    </row>
    <row r="4252">
      <c r="A4252" s="64"/>
      <c r="D4252" s="63"/>
      <c r="J4252" s="66"/>
    </row>
    <row r="4253">
      <c r="A4253" s="64"/>
      <c r="D4253" s="63"/>
      <c r="J4253" s="66"/>
    </row>
    <row r="4254">
      <c r="A4254" s="64"/>
      <c r="D4254" s="63"/>
      <c r="J4254" s="66"/>
    </row>
    <row r="4255">
      <c r="A4255" s="64"/>
      <c r="D4255" s="63"/>
      <c r="J4255" s="66"/>
    </row>
    <row r="4256">
      <c r="A4256" s="64"/>
      <c r="D4256" s="63"/>
      <c r="J4256" s="66"/>
    </row>
    <row r="4257">
      <c r="A4257" s="64"/>
      <c r="D4257" s="63"/>
      <c r="J4257" s="66"/>
    </row>
    <row r="4258">
      <c r="A4258" s="64"/>
      <c r="D4258" s="62"/>
      <c r="J4258" s="66"/>
    </row>
    <row r="4259">
      <c r="A4259" s="64"/>
      <c r="D4259" s="63"/>
      <c r="J4259" s="66"/>
    </row>
    <row r="4260">
      <c r="A4260" s="64"/>
      <c r="D4260" s="63"/>
      <c r="J4260" s="66"/>
    </row>
    <row r="4261">
      <c r="A4261" s="64"/>
      <c r="D4261" s="63"/>
      <c r="J4261" s="66"/>
    </row>
    <row r="4262">
      <c r="A4262" s="64"/>
      <c r="D4262" s="63"/>
      <c r="J4262" s="66"/>
    </row>
    <row r="4263">
      <c r="A4263" s="64"/>
      <c r="D4263" s="63"/>
      <c r="J4263" s="64"/>
    </row>
    <row r="4264">
      <c r="A4264" s="64"/>
      <c r="D4264" s="63"/>
      <c r="J4264" s="64"/>
    </row>
    <row r="4265">
      <c r="A4265" s="64"/>
      <c r="D4265" s="63"/>
      <c r="J4265" s="64"/>
    </row>
    <row r="4266">
      <c r="A4266" s="64"/>
      <c r="D4266" s="63"/>
      <c r="J4266" s="64"/>
    </row>
    <row r="4267">
      <c r="A4267" s="64"/>
      <c r="D4267" s="63"/>
      <c r="J4267" s="64"/>
    </row>
    <row r="4268">
      <c r="A4268" s="64"/>
      <c r="D4268" s="63"/>
      <c r="J4268" s="64"/>
    </row>
    <row r="4269">
      <c r="A4269" s="64"/>
      <c r="D4269" s="63"/>
      <c r="J4269" s="64"/>
    </row>
    <row r="4270">
      <c r="A4270" s="64"/>
      <c r="D4270" s="63"/>
      <c r="J4270" s="64"/>
    </row>
    <row r="4271">
      <c r="A4271" s="64"/>
      <c r="D4271" s="63"/>
      <c r="J4271" s="64"/>
    </row>
    <row r="4272">
      <c r="A4272" s="64"/>
      <c r="D4272" s="63"/>
      <c r="J4272" s="64"/>
    </row>
    <row r="4273">
      <c r="A4273" s="64"/>
      <c r="D4273" s="63"/>
      <c r="J4273" s="64"/>
    </row>
    <row r="4274">
      <c r="A4274" s="64"/>
      <c r="D4274" s="63"/>
      <c r="J4274" s="64"/>
    </row>
    <row r="4275">
      <c r="A4275" s="64"/>
      <c r="D4275" s="63"/>
      <c r="J4275" s="64"/>
    </row>
    <row r="4276">
      <c r="A4276" s="64"/>
      <c r="D4276" s="63"/>
      <c r="J4276" s="64"/>
    </row>
    <row r="4277">
      <c r="A4277" s="64"/>
      <c r="D4277" s="63"/>
      <c r="J4277" s="64"/>
    </row>
    <row r="4278">
      <c r="A4278" s="64"/>
      <c r="D4278" s="63"/>
      <c r="J4278" s="64"/>
    </row>
    <row r="4279">
      <c r="A4279" s="66"/>
      <c r="D4279" s="63"/>
      <c r="J4279" s="64"/>
    </row>
    <row r="4280">
      <c r="A4280" s="66"/>
      <c r="D4280" s="63"/>
      <c r="J4280" s="64"/>
    </row>
    <row r="4281">
      <c r="A4281" s="66"/>
      <c r="D4281" s="63"/>
      <c r="J4281" s="64"/>
    </row>
    <row r="4282">
      <c r="A4282" s="66"/>
      <c r="D4282" s="63"/>
      <c r="J4282" s="64"/>
    </row>
    <row r="4283">
      <c r="A4283" s="64"/>
      <c r="D4283" s="63"/>
      <c r="J4283" s="64"/>
    </row>
    <row r="4284">
      <c r="A4284" s="64"/>
      <c r="D4284" s="63"/>
      <c r="J4284" s="64"/>
    </row>
    <row r="4285">
      <c r="A4285" s="64"/>
      <c r="D4285" s="63"/>
      <c r="J4285" s="64"/>
    </row>
    <row r="4286">
      <c r="A4286" s="66"/>
      <c r="D4286" s="63"/>
      <c r="J4286" s="64"/>
    </row>
    <row r="4287">
      <c r="A4287" s="66"/>
      <c r="D4287" s="63"/>
      <c r="J4287" s="64"/>
    </row>
    <row r="4288">
      <c r="A4288" s="64"/>
      <c r="D4288" s="63"/>
      <c r="J4288" s="64"/>
    </row>
    <row r="4289">
      <c r="D4289" s="63"/>
      <c r="J4289" s="64"/>
    </row>
    <row r="4290">
      <c r="D4290" s="63"/>
      <c r="J4290" s="64"/>
    </row>
    <row r="4291">
      <c r="D4291" s="63"/>
      <c r="J4291" s="66"/>
    </row>
    <row r="4292">
      <c r="D4292" s="63"/>
      <c r="J4292" s="66"/>
    </row>
    <row r="4293">
      <c r="D4293" s="63"/>
      <c r="J4293" s="66"/>
    </row>
    <row r="4294">
      <c r="D4294" s="63"/>
      <c r="J4294" s="66"/>
    </row>
    <row r="4295">
      <c r="D4295" s="63"/>
      <c r="J4295" s="66"/>
    </row>
    <row r="4296">
      <c r="D4296" s="63"/>
      <c r="J4296" s="66"/>
    </row>
    <row r="4297">
      <c r="D4297" s="63"/>
      <c r="J4297" s="66"/>
    </row>
    <row r="4298">
      <c r="D4298" s="63"/>
      <c r="J4298" s="66"/>
    </row>
    <row r="4299">
      <c r="D4299" s="63"/>
      <c r="J4299" s="66"/>
    </row>
    <row r="4300">
      <c r="D4300" s="63"/>
      <c r="J4300" s="66"/>
    </row>
    <row r="4301">
      <c r="D4301" s="63"/>
      <c r="J4301" s="64"/>
    </row>
    <row r="4302">
      <c r="D4302" s="63"/>
      <c r="J4302" s="64"/>
    </row>
    <row r="4303">
      <c r="D4303" s="63"/>
      <c r="J4303" s="64"/>
    </row>
    <row r="4304">
      <c r="D4304" s="63"/>
      <c r="J4304" s="64"/>
    </row>
    <row r="4305">
      <c r="D4305" s="63"/>
      <c r="J4305" s="64"/>
    </row>
    <row r="4306">
      <c r="D4306" s="63"/>
      <c r="J4306" s="64"/>
    </row>
    <row r="4307">
      <c r="D4307" s="63"/>
      <c r="J4307" s="64"/>
    </row>
    <row r="4308">
      <c r="D4308" s="63"/>
      <c r="J4308" s="64"/>
    </row>
    <row r="4309">
      <c r="D4309" s="63"/>
      <c r="J4309" s="64"/>
    </row>
    <row r="4310">
      <c r="D4310" s="63"/>
      <c r="J4310" s="64"/>
    </row>
    <row r="4311">
      <c r="D4311" s="63"/>
      <c r="J4311" s="64"/>
    </row>
    <row r="4312">
      <c r="D4312" s="63"/>
      <c r="J4312" s="64"/>
    </row>
    <row r="4313">
      <c r="D4313" s="63"/>
      <c r="J4313" s="64"/>
    </row>
    <row r="4314">
      <c r="D4314" s="63"/>
      <c r="J4314" s="64"/>
    </row>
    <row r="4315">
      <c r="D4315" s="63"/>
      <c r="J4315" s="66"/>
    </row>
    <row r="4316">
      <c r="D4316" s="63"/>
      <c r="J4316" s="66"/>
    </row>
    <row r="4317">
      <c r="D4317" s="63"/>
      <c r="J4317" s="66"/>
    </row>
    <row r="4318">
      <c r="D4318" s="63"/>
      <c r="J4318" s="66"/>
    </row>
    <row r="4319">
      <c r="D4319" s="63"/>
      <c r="J4319" s="66"/>
    </row>
    <row r="4320">
      <c r="D4320" s="63"/>
      <c r="J4320" s="66"/>
    </row>
    <row r="4321">
      <c r="D4321" s="63"/>
      <c r="J4321" s="66"/>
    </row>
    <row r="4322">
      <c r="D4322" s="63"/>
      <c r="J4322" s="66"/>
    </row>
    <row r="4323">
      <c r="D4323" s="63"/>
      <c r="J4323" s="66"/>
    </row>
    <row r="4324">
      <c r="D4324" s="63"/>
      <c r="J4324" s="66"/>
    </row>
    <row r="4325">
      <c r="D4325" s="63"/>
      <c r="J4325" s="66"/>
    </row>
    <row r="4326">
      <c r="D4326" s="63"/>
      <c r="J4326" s="66"/>
    </row>
    <row r="4327">
      <c r="D4327" s="63"/>
      <c r="J4327" s="64"/>
    </row>
    <row r="4328">
      <c r="D4328" s="63"/>
      <c r="J4328" s="64"/>
    </row>
    <row r="4329">
      <c r="D4329" s="63"/>
      <c r="J4329" s="64"/>
    </row>
    <row r="4330">
      <c r="D4330" s="63"/>
      <c r="J4330" s="64"/>
    </row>
    <row r="4331">
      <c r="D4331" s="63"/>
      <c r="J4331" s="64"/>
    </row>
    <row r="4332">
      <c r="D4332" s="63"/>
      <c r="J4332" s="64"/>
    </row>
    <row r="4333">
      <c r="D4333" s="63"/>
      <c r="J4333" s="64"/>
    </row>
    <row r="4334">
      <c r="D4334" s="63"/>
      <c r="J4334" s="64"/>
    </row>
    <row r="4335">
      <c r="D4335" s="63"/>
      <c r="J4335" s="64"/>
    </row>
    <row r="4336">
      <c r="D4336" s="63"/>
      <c r="J4336" s="64"/>
    </row>
    <row r="4337">
      <c r="D4337" s="63"/>
      <c r="J4337" s="64"/>
    </row>
    <row r="4338">
      <c r="D4338" s="63"/>
      <c r="J4338" s="64"/>
    </row>
    <row r="4339">
      <c r="D4339" s="63"/>
      <c r="J4339" s="64"/>
    </row>
    <row r="4340">
      <c r="D4340" s="63"/>
      <c r="J4340" s="64"/>
    </row>
    <row r="4341">
      <c r="D4341" s="63"/>
      <c r="J4341" s="64"/>
    </row>
    <row r="4342">
      <c r="D4342" s="63"/>
      <c r="J4342" s="64"/>
    </row>
    <row r="4343">
      <c r="D4343" s="63"/>
      <c r="J4343" s="64"/>
    </row>
    <row r="4344">
      <c r="D4344" s="63"/>
      <c r="J4344" s="64"/>
    </row>
    <row r="4345">
      <c r="D4345" s="63"/>
      <c r="J4345" s="64"/>
    </row>
    <row r="4346">
      <c r="D4346" s="63"/>
      <c r="J4346" s="64"/>
    </row>
    <row r="4347">
      <c r="D4347" s="63"/>
      <c r="J4347" s="64"/>
    </row>
    <row r="4348">
      <c r="D4348" s="63"/>
      <c r="J4348" s="64"/>
    </row>
    <row r="4349">
      <c r="D4349" s="63"/>
      <c r="J4349" s="64"/>
    </row>
    <row r="4350">
      <c r="D4350" s="63"/>
      <c r="J4350" s="64"/>
    </row>
    <row r="4351">
      <c r="D4351" s="63"/>
      <c r="J4351" s="64"/>
    </row>
    <row r="4352">
      <c r="D4352" s="63"/>
      <c r="J4352" s="64"/>
    </row>
    <row r="4353">
      <c r="D4353" s="63"/>
      <c r="J4353" s="64"/>
    </row>
    <row r="4354">
      <c r="D4354" s="63"/>
      <c r="J4354" s="66"/>
    </row>
    <row r="4355">
      <c r="D4355" s="63"/>
      <c r="J4355" s="66"/>
    </row>
    <row r="4356">
      <c r="D4356" s="63"/>
      <c r="J4356" s="66"/>
    </row>
    <row r="4357">
      <c r="D4357" s="63"/>
      <c r="J4357" s="66"/>
    </row>
    <row r="4358">
      <c r="D4358" s="63"/>
      <c r="J4358" s="64"/>
    </row>
    <row r="4359">
      <c r="D4359" s="63"/>
      <c r="J4359" s="64"/>
    </row>
    <row r="4360">
      <c r="D4360" s="63"/>
      <c r="J4360" s="64"/>
    </row>
    <row r="4361">
      <c r="D4361" s="63"/>
      <c r="J4361" s="66"/>
    </row>
    <row r="4362">
      <c r="D4362" s="63"/>
      <c r="J4362" s="66"/>
    </row>
    <row r="4363">
      <c r="D4363" s="63"/>
      <c r="J4363" s="64"/>
    </row>
    <row r="4364">
      <c r="A4364" s="64"/>
      <c r="D4364" s="63"/>
    </row>
    <row r="4365">
      <c r="A4365" s="64"/>
      <c r="D4365" s="63"/>
    </row>
    <row r="4366">
      <c r="A4366" s="64"/>
      <c r="D4366" s="63"/>
    </row>
    <row r="4367">
      <c r="A4367" s="64"/>
      <c r="D4367" s="63"/>
    </row>
    <row r="4368">
      <c r="A4368" s="66"/>
      <c r="D4368" s="63"/>
    </row>
    <row r="4369">
      <c r="A4369" s="66"/>
      <c r="D4369" s="63"/>
    </row>
    <row r="4370">
      <c r="A4370" s="66"/>
      <c r="D4370" s="63"/>
    </row>
    <row r="4371">
      <c r="A4371" s="66"/>
      <c r="D4371" s="63"/>
    </row>
    <row r="4372">
      <c r="A4372" s="66"/>
      <c r="D4372" s="63"/>
    </row>
    <row r="4373">
      <c r="A4373" s="64"/>
      <c r="D4373" s="63"/>
    </row>
    <row r="4374">
      <c r="A4374" s="64"/>
      <c r="D4374" s="63"/>
    </row>
    <row r="4375">
      <c r="A4375" s="64"/>
      <c r="D4375" s="63"/>
    </row>
    <row r="4376">
      <c r="A4376" s="66"/>
      <c r="D4376" s="63"/>
    </row>
    <row r="4377">
      <c r="A4377" s="66"/>
      <c r="D4377" s="63"/>
    </row>
    <row r="4378">
      <c r="A4378" s="64"/>
      <c r="D4378" s="63"/>
    </row>
    <row r="4379">
      <c r="A4379" s="64"/>
      <c r="D4379" s="63"/>
    </row>
    <row r="4380">
      <c r="A4380" s="71"/>
      <c r="D4380" s="63"/>
    </row>
    <row r="4381">
      <c r="A4381" s="71"/>
      <c r="D4381" s="63"/>
    </row>
    <row r="4382">
      <c r="A4382" s="71"/>
      <c r="D4382" s="63"/>
    </row>
    <row r="4383">
      <c r="A4383" s="71"/>
      <c r="D4383" s="63"/>
    </row>
    <row r="4384">
      <c r="A4384" s="71"/>
      <c r="D4384" s="63"/>
    </row>
    <row r="4385">
      <c r="A4385" s="71"/>
      <c r="D4385" s="63"/>
    </row>
    <row r="4386">
      <c r="A4386" s="71"/>
      <c r="D4386" s="63"/>
    </row>
    <row r="4387">
      <c r="A4387" s="71"/>
      <c r="D4387" s="63"/>
    </row>
    <row r="4388">
      <c r="A4388" s="71"/>
      <c r="D4388" s="63"/>
    </row>
    <row r="4389">
      <c r="A4389" s="71"/>
      <c r="D4389" s="63"/>
    </row>
    <row r="4390">
      <c r="A4390" s="71"/>
      <c r="D4390" s="63"/>
    </row>
    <row r="4391">
      <c r="A4391" s="71"/>
      <c r="D4391" s="63"/>
    </row>
    <row r="4392">
      <c r="A4392" s="71"/>
      <c r="D4392" s="63"/>
    </row>
    <row r="4393">
      <c r="A4393" s="71"/>
      <c r="D4393" s="63"/>
    </row>
    <row r="4394">
      <c r="A4394" s="71"/>
      <c r="D4394" s="63"/>
    </row>
    <row r="4395">
      <c r="A4395" s="71"/>
      <c r="D4395" s="63"/>
    </row>
    <row r="4396">
      <c r="A4396" s="71"/>
      <c r="D4396" s="63"/>
    </row>
    <row r="4397">
      <c r="A4397" s="71"/>
      <c r="D4397" s="63"/>
    </row>
    <row r="4398">
      <c r="A4398" s="71"/>
      <c r="D4398" s="63"/>
    </row>
    <row r="4399">
      <c r="A4399" s="71"/>
      <c r="D4399" s="63"/>
    </row>
    <row r="4400">
      <c r="A4400" s="71"/>
      <c r="D4400" s="63"/>
    </row>
    <row r="4401">
      <c r="A4401" s="71"/>
      <c r="D4401" s="63"/>
    </row>
    <row r="4402">
      <c r="A4402" s="71"/>
      <c r="D4402" s="63"/>
    </row>
    <row r="4403">
      <c r="A4403" s="71"/>
      <c r="D4403" s="63"/>
    </row>
    <row r="4404">
      <c r="A4404" s="71"/>
      <c r="D4404" s="63"/>
    </row>
    <row r="4405">
      <c r="A4405" s="71"/>
      <c r="D4405" s="63"/>
    </row>
    <row r="4406">
      <c r="A4406" s="71"/>
      <c r="D4406" s="63"/>
    </row>
    <row r="4407">
      <c r="A4407" s="71"/>
      <c r="D4407" s="63"/>
    </row>
    <row r="4408">
      <c r="A4408" s="71"/>
      <c r="D4408" s="63"/>
    </row>
    <row r="4409">
      <c r="A4409" s="71"/>
      <c r="D4409" s="63"/>
    </row>
    <row r="4410">
      <c r="A4410" s="71"/>
      <c r="D4410" s="63"/>
    </row>
    <row r="4411">
      <c r="A4411" s="71"/>
      <c r="D4411" s="63"/>
    </row>
    <row r="4412">
      <c r="A4412" s="71"/>
      <c r="D4412" s="63"/>
    </row>
    <row r="4413">
      <c r="A4413" s="71"/>
      <c r="D4413" s="63"/>
    </row>
    <row r="4414">
      <c r="A4414" s="71"/>
      <c r="D4414" s="63"/>
    </row>
    <row r="4415">
      <c r="A4415" s="71"/>
      <c r="D4415" s="63"/>
    </row>
    <row r="4416">
      <c r="A4416" s="71"/>
      <c r="D4416" s="63"/>
    </row>
    <row r="4417">
      <c r="A4417" s="71"/>
      <c r="D4417" s="63"/>
    </row>
    <row r="4418">
      <c r="A4418" s="71"/>
      <c r="D4418" s="63"/>
    </row>
    <row r="4419">
      <c r="A4419" s="71"/>
      <c r="D4419" s="63"/>
    </row>
    <row r="4420">
      <c r="A4420" s="71"/>
      <c r="D4420" s="63"/>
    </row>
    <row r="4421">
      <c r="A4421" s="71"/>
      <c r="D4421" s="63"/>
    </row>
    <row r="4422">
      <c r="A4422" s="71"/>
      <c r="D4422" s="63"/>
    </row>
    <row r="4423">
      <c r="A4423" s="71"/>
      <c r="D4423" s="63"/>
    </row>
    <row r="4424">
      <c r="A4424" s="71"/>
      <c r="D4424" s="63"/>
    </row>
    <row r="4425">
      <c r="A4425" s="71"/>
      <c r="D4425" s="63"/>
    </row>
    <row r="4426">
      <c r="A4426" s="71"/>
      <c r="D4426" s="63"/>
    </row>
    <row r="4427">
      <c r="A4427" s="71"/>
      <c r="D4427" s="63"/>
    </row>
    <row r="4428">
      <c r="A4428" s="71"/>
      <c r="D4428" s="63"/>
    </row>
    <row r="4429">
      <c r="A4429" s="71"/>
      <c r="D4429" s="63"/>
    </row>
    <row r="4430">
      <c r="A4430" s="71"/>
      <c r="D4430" s="63"/>
    </row>
    <row r="4431">
      <c r="A4431" s="71"/>
      <c r="D4431" s="63"/>
    </row>
    <row r="4432">
      <c r="A4432" s="71"/>
      <c r="D4432" s="63"/>
    </row>
    <row r="4433">
      <c r="A4433" s="71"/>
      <c r="D4433" s="63"/>
    </row>
    <row r="4434">
      <c r="A4434" s="71"/>
      <c r="D4434" s="63"/>
    </row>
    <row r="4435">
      <c r="A4435" s="71"/>
      <c r="D4435" s="63"/>
    </row>
    <row r="4436">
      <c r="A4436" s="71"/>
      <c r="D4436" s="63"/>
    </row>
    <row r="4437">
      <c r="A4437" s="71"/>
      <c r="D4437" s="63"/>
    </row>
    <row r="4438">
      <c r="A4438" s="71"/>
      <c r="D4438" s="63"/>
    </row>
    <row r="4439">
      <c r="A4439" s="71"/>
      <c r="D4439" s="63"/>
    </row>
    <row r="4440">
      <c r="A4440" s="71"/>
      <c r="D4440" s="63"/>
    </row>
  </sheetData>
  <autoFilter ref="$A$1:$J$2122"/>
  <hyperlinks>
    <hyperlink r:id="rId1" ref="D71"/>
    <hyperlink r:id="rId2" ref="D213"/>
    <hyperlink r:id="rId3" ref="D1225"/>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row>
    <row r="2" ht="15.75" customHeight="1">
      <c r="A2" s="66">
        <v>45499.0</v>
      </c>
      <c r="B2" s="55" t="str">
        <f>HYPERLINK("https://jobright.ai/jobs/info/66a415fa245df7d0f6632b2a?utm_campaign=1047&amp;utm_source=sheet", "Apply")</f>
        <v>Apply</v>
      </c>
      <c r="C2" s="10" t="s">
        <v>12456</v>
      </c>
      <c r="D2" s="56" t="s">
        <v>12457</v>
      </c>
      <c r="E2" s="10" t="s">
        <v>79</v>
      </c>
      <c r="F2" s="10" t="s">
        <v>12458</v>
      </c>
      <c r="G2" s="10" t="s">
        <v>20</v>
      </c>
      <c r="H2" s="10" t="s">
        <v>1263</v>
      </c>
      <c r="I2" s="10" t="s">
        <v>55</v>
      </c>
      <c r="J2" s="10" t="s">
        <v>1984</v>
      </c>
      <c r="K2" s="10" t="s">
        <v>12459</v>
      </c>
      <c r="L2" s="10" t="s">
        <v>42</v>
      </c>
    </row>
    <row r="3" ht="15.75" customHeight="1">
      <c r="A3" s="66">
        <v>45499.0</v>
      </c>
      <c r="B3" s="55" t="str">
        <f>HYPERLINK("https://jobright.ai/jobs/info/66a41716e30efe1dc24e6825?utm_campaign=1047&amp;utm_source=sheet", "Apply")</f>
        <v>Apply</v>
      </c>
      <c r="C3" s="10" t="s">
        <v>12460</v>
      </c>
      <c r="D3" s="56" t="s">
        <v>2548</v>
      </c>
      <c r="E3" s="10" t="s">
        <v>45</v>
      </c>
      <c r="F3" s="10" t="s">
        <v>2549</v>
      </c>
      <c r="G3" s="10" t="s">
        <v>20</v>
      </c>
      <c r="H3" s="10" t="s">
        <v>2550</v>
      </c>
      <c r="I3" s="10" t="s">
        <v>55</v>
      </c>
      <c r="K3" s="10" t="s">
        <v>12461</v>
      </c>
      <c r="L3" s="10" t="s">
        <v>42</v>
      </c>
    </row>
    <row r="4" ht="15.75" customHeight="1">
      <c r="A4" s="66">
        <v>45499.0</v>
      </c>
      <c r="B4" s="55" t="str">
        <f>HYPERLINK("https://jobright.ai/jobs/info/66a3f4c85fcbfa8457ce11bd?utm_campaign=1047&amp;utm_source=sheet", "Apply")</f>
        <v>Apply</v>
      </c>
      <c r="C4" s="10" t="s">
        <v>12462</v>
      </c>
      <c r="D4" s="56" t="s">
        <v>99</v>
      </c>
      <c r="E4" s="10" t="s">
        <v>45</v>
      </c>
      <c r="F4" s="10" t="s">
        <v>100</v>
      </c>
      <c r="G4" s="10" t="s">
        <v>20</v>
      </c>
      <c r="H4" s="10" t="s">
        <v>106</v>
      </c>
      <c r="I4" s="10" t="s">
        <v>55</v>
      </c>
      <c r="K4" s="10" t="s">
        <v>12463</v>
      </c>
      <c r="L4" s="10" t="s">
        <v>42</v>
      </c>
    </row>
    <row r="5" ht="15.75" customHeight="1">
      <c r="A5" s="66">
        <v>45499.0</v>
      </c>
      <c r="B5" s="55" t="str">
        <f>HYPERLINK("https://jobright.ai/jobs/info/669ce6b518954c9f46ca69ff?utm_campaign=1047&amp;utm_source=sheet", "Apply")</f>
        <v>Apply</v>
      </c>
      <c r="C5" s="10" t="s">
        <v>12464</v>
      </c>
      <c r="D5" s="56" t="s">
        <v>12465</v>
      </c>
      <c r="E5" s="10" t="s">
        <v>209</v>
      </c>
      <c r="F5" s="10" t="s">
        <v>1184</v>
      </c>
      <c r="G5" s="72" t="s">
        <v>20</v>
      </c>
      <c r="H5" s="10" t="s">
        <v>12466</v>
      </c>
      <c r="I5" s="10" t="s">
        <v>55</v>
      </c>
      <c r="J5" s="10" t="s">
        <v>2590</v>
      </c>
      <c r="K5" s="10" t="s">
        <v>12467</v>
      </c>
      <c r="L5" s="10" t="s">
        <v>42</v>
      </c>
    </row>
    <row r="6" ht="15.75" customHeight="1">
      <c r="A6" s="66">
        <v>45499.0</v>
      </c>
      <c r="B6" s="55" t="str">
        <f>HYPERLINK("https://jobright.ai/jobs/info/669d0a8204c007d24af47f24?utm_campaign=1047&amp;utm_source=sheet", "Apply")</f>
        <v>Apply</v>
      </c>
      <c r="C6" s="10" t="s">
        <v>12464</v>
      </c>
      <c r="D6" s="56" t="s">
        <v>12465</v>
      </c>
      <c r="E6" s="10" t="s">
        <v>209</v>
      </c>
      <c r="F6" s="10" t="s">
        <v>1184</v>
      </c>
      <c r="G6" s="10" t="s">
        <v>20</v>
      </c>
      <c r="H6" s="10" t="s">
        <v>1978</v>
      </c>
      <c r="I6" s="10" t="s">
        <v>55</v>
      </c>
      <c r="J6" s="10" t="s">
        <v>2590</v>
      </c>
      <c r="K6" s="10" t="s">
        <v>12467</v>
      </c>
      <c r="L6" s="10" t="s">
        <v>42</v>
      </c>
    </row>
    <row r="7" ht="15.75" customHeight="1">
      <c r="A7" s="66">
        <v>45499.0</v>
      </c>
      <c r="B7" s="55" t="str">
        <f>HYPERLINK("https://jobright.ai/jobs/info/66a3f4e35fcbfa8457ce1478?utm_campaign=1047&amp;utm_source=sheet", "Apply")</f>
        <v>Apply</v>
      </c>
      <c r="C7" s="10" t="s">
        <v>12468</v>
      </c>
      <c r="D7" s="56" t="s">
        <v>1110</v>
      </c>
      <c r="E7" s="10" t="s">
        <v>71</v>
      </c>
      <c r="F7" s="10" t="s">
        <v>1111</v>
      </c>
      <c r="G7" s="10" t="s">
        <v>20</v>
      </c>
      <c r="H7" s="10" t="s">
        <v>898</v>
      </c>
      <c r="I7" s="10" t="s">
        <v>55</v>
      </c>
      <c r="J7" s="10" t="s">
        <v>7269</v>
      </c>
      <c r="K7" s="10" t="s">
        <v>12469</v>
      </c>
      <c r="L7" s="10" t="s">
        <v>42</v>
      </c>
    </row>
    <row r="8" ht="15.75" customHeight="1">
      <c r="A8" s="66">
        <v>45498.0</v>
      </c>
      <c r="B8" s="55" t="str">
        <f>HYPERLINK("https://jobright.ai/jobs/info/66a2560b81ad172a3785491c?utm_campaign=1047&amp;utm_source=sheet", "Apply")</f>
        <v>Apply</v>
      </c>
      <c r="C8" s="10" t="s">
        <v>12470</v>
      </c>
      <c r="D8" s="56" t="s">
        <v>311</v>
      </c>
      <c r="E8" s="10" t="s">
        <v>45</v>
      </c>
      <c r="F8" s="10" t="s">
        <v>312</v>
      </c>
      <c r="G8" s="10" t="s">
        <v>20</v>
      </c>
      <c r="H8" s="10" t="s">
        <v>1254</v>
      </c>
      <c r="I8" s="10" t="s">
        <v>55</v>
      </c>
      <c r="J8" s="10" t="s">
        <v>81</v>
      </c>
      <c r="K8" s="10" t="s">
        <v>12471</v>
      </c>
      <c r="L8" s="10" t="s">
        <v>42</v>
      </c>
    </row>
    <row r="9" ht="15.75" customHeight="1">
      <c r="A9" s="66">
        <v>45498.0</v>
      </c>
      <c r="B9" s="55" t="str">
        <f>HYPERLINK("https://jobright.ai/jobs/info/66a23c165c14cdf3ee23df15?utm_campaign=1047&amp;utm_source=sheet", "Apply")</f>
        <v>Apply</v>
      </c>
      <c r="C9" s="10" t="s">
        <v>12472</v>
      </c>
      <c r="D9" s="56" t="s">
        <v>311</v>
      </c>
      <c r="E9" s="10" t="s">
        <v>45</v>
      </c>
      <c r="F9" s="10" t="s">
        <v>312</v>
      </c>
      <c r="G9" s="10" t="s">
        <v>20</v>
      </c>
      <c r="H9" s="10" t="s">
        <v>1254</v>
      </c>
      <c r="I9" s="10" t="s">
        <v>55</v>
      </c>
      <c r="J9" s="10" t="s">
        <v>81</v>
      </c>
      <c r="K9" s="10" t="s">
        <v>12473</v>
      </c>
      <c r="L9" s="10" t="s">
        <v>42</v>
      </c>
    </row>
    <row r="10" ht="15.75" customHeight="1">
      <c r="A10" s="64">
        <v>45498.0</v>
      </c>
      <c r="B10" s="55" t="str">
        <f>HYPERLINK("https://jobright.ai/jobs/info/66a23889ecab4402ba8f2c69?utm_campaign=1047&amp;utm_source=sheet", "Apply")</f>
        <v>Apply</v>
      </c>
      <c r="C10" s="10" t="s">
        <v>12474</v>
      </c>
      <c r="D10" s="56" t="s">
        <v>12475</v>
      </c>
      <c r="G10" s="10" t="s">
        <v>20</v>
      </c>
      <c r="H10" s="10" t="s">
        <v>994</v>
      </c>
      <c r="I10" s="10" t="s">
        <v>55</v>
      </c>
      <c r="K10" s="10" t="s">
        <v>12476</v>
      </c>
      <c r="L10" s="10" t="s">
        <v>42</v>
      </c>
    </row>
    <row r="11" ht="15.75" customHeight="1">
      <c r="A11" s="64">
        <v>45498.0</v>
      </c>
      <c r="B11" s="55" t="str">
        <f>HYPERLINK("https://jobright.ai/jobs/info/66a1edb9757b9c9fcf407812?utm_campaign=1047&amp;utm_source=sheet", "Apply")</f>
        <v>Apply</v>
      </c>
      <c r="C11" s="10" t="s">
        <v>12477</v>
      </c>
      <c r="D11" s="56" t="s">
        <v>12478</v>
      </c>
      <c r="E11" s="59">
        <v>45301.0</v>
      </c>
      <c r="F11" s="10" t="s">
        <v>12479</v>
      </c>
      <c r="G11" s="10" t="s">
        <v>20</v>
      </c>
      <c r="H11" s="10" t="s">
        <v>251</v>
      </c>
      <c r="I11" s="10" t="s">
        <v>252</v>
      </c>
      <c r="K11" s="10" t="s">
        <v>12480</v>
      </c>
      <c r="L11" s="10" t="s">
        <v>42</v>
      </c>
    </row>
    <row r="12" ht="15.75" customHeight="1">
      <c r="A12" s="64">
        <v>45498.0</v>
      </c>
      <c r="B12" s="55" t="str">
        <f>HYPERLINK("https://jobright.ai/jobs/info/66a1db7b4a1c47d6614d8a11?utm_campaign=1047&amp;utm_source=sheet", "Apply")</f>
        <v>Apply</v>
      </c>
      <c r="C12" s="10" t="s">
        <v>12481</v>
      </c>
      <c r="D12" s="56" t="s">
        <v>258</v>
      </c>
      <c r="E12" s="10" t="s">
        <v>45</v>
      </c>
      <c r="F12" s="10" t="s">
        <v>259</v>
      </c>
      <c r="G12" s="10" t="s">
        <v>20</v>
      </c>
      <c r="H12" s="10" t="s">
        <v>96</v>
      </c>
      <c r="I12" s="10" t="s">
        <v>48</v>
      </c>
      <c r="J12" s="10" t="s">
        <v>260</v>
      </c>
      <c r="K12" s="10" t="s">
        <v>12482</v>
      </c>
      <c r="L12" s="10" t="s">
        <v>42</v>
      </c>
    </row>
    <row r="13" ht="15.75" customHeight="1">
      <c r="A13" s="64">
        <v>45497.0</v>
      </c>
      <c r="B13" s="55" t="str">
        <f>HYPERLINK("https://jobright.ai/jobs/info/66a19896ae0b78373854c501?utm_campaign=1047&amp;utm_source=sheet", "Apply")</f>
        <v>Apply</v>
      </c>
      <c r="C13" s="10" t="s">
        <v>12483</v>
      </c>
      <c r="D13" s="56" t="s">
        <v>12484</v>
      </c>
      <c r="E13" s="10" t="s">
        <v>71</v>
      </c>
      <c r="G13" s="10" t="s">
        <v>20</v>
      </c>
      <c r="H13" s="10" t="s">
        <v>1004</v>
      </c>
      <c r="I13" s="10" t="s">
        <v>55</v>
      </c>
      <c r="K13" s="10" t="s">
        <v>12485</v>
      </c>
      <c r="L13" s="10" t="s">
        <v>42</v>
      </c>
    </row>
    <row r="14" ht="15.75" customHeight="1">
      <c r="A14" s="64">
        <v>45497.0</v>
      </c>
      <c r="B14" s="55" t="str">
        <f>HYPERLINK("https://jobright.ai/jobs/info/66a14c07b48bc70bd7410b52?utm_campaign=1047&amp;utm_source=sheet", "Apply")</f>
        <v>Apply</v>
      </c>
      <c r="C14" s="10" t="s">
        <v>12486</v>
      </c>
      <c r="D14" s="56" t="s">
        <v>99</v>
      </c>
      <c r="E14" s="10" t="s">
        <v>45</v>
      </c>
      <c r="F14" s="10" t="s">
        <v>100</v>
      </c>
      <c r="G14" s="10" t="s">
        <v>20</v>
      </c>
      <c r="H14" s="10" t="s">
        <v>117</v>
      </c>
      <c r="I14" s="10" t="s">
        <v>55</v>
      </c>
      <c r="K14" s="10" t="s">
        <v>12487</v>
      </c>
      <c r="L14" s="10" t="s">
        <v>42</v>
      </c>
    </row>
    <row r="15" ht="15.75" customHeight="1">
      <c r="A15" s="64">
        <v>45496.0</v>
      </c>
      <c r="B15" s="55" t="str">
        <f>HYPERLINK("https://jobright.ai/jobs/info/66a039c02987217d073ecac6?utm_campaign=1047&amp;utm_source=sheet", "Apply")</f>
        <v>Apply</v>
      </c>
      <c r="C15" s="10" t="s">
        <v>12488</v>
      </c>
      <c r="D15" s="56" t="s">
        <v>2474</v>
      </c>
      <c r="E15" s="10" t="s">
        <v>65</v>
      </c>
      <c r="F15" s="10" t="s">
        <v>2475</v>
      </c>
      <c r="G15" s="10" t="s">
        <v>20</v>
      </c>
      <c r="H15" s="10" t="s">
        <v>153</v>
      </c>
      <c r="I15" s="10" t="s">
        <v>48</v>
      </c>
      <c r="K15" s="10" t="s">
        <v>12489</v>
      </c>
      <c r="L15" s="10" t="s">
        <v>42</v>
      </c>
    </row>
    <row r="16" ht="15.75" customHeight="1">
      <c r="A16" s="64">
        <v>45496.0</v>
      </c>
      <c r="B16" s="55" t="str">
        <f>HYPERLINK("https://jobright.ai/jobs/info/669fcb76d18a1aa0a307f960?utm_campaign=1047&amp;utm_source=sheet", "Apply")</f>
        <v>Apply</v>
      </c>
      <c r="C16" s="10" t="s">
        <v>12490</v>
      </c>
      <c r="D16" s="56" t="s">
        <v>12491</v>
      </c>
      <c r="E16" s="10" t="s">
        <v>45</v>
      </c>
      <c r="F16" s="10" t="s">
        <v>12492</v>
      </c>
      <c r="G16" s="10" t="s">
        <v>20</v>
      </c>
      <c r="H16" s="10" t="s">
        <v>139</v>
      </c>
      <c r="I16" s="10" t="s">
        <v>48</v>
      </c>
      <c r="K16" s="10" t="s">
        <v>12493</v>
      </c>
      <c r="L16" s="10" t="s">
        <v>42</v>
      </c>
    </row>
    <row r="17" ht="15.75" customHeight="1">
      <c r="A17" s="64">
        <v>45496.0</v>
      </c>
      <c r="B17" s="55" t="str">
        <f>HYPERLINK("https://jobright.ai/jobs/info/669fcde99720391081d195f0?utm_campaign=1047&amp;utm_source=sheet", "Apply")</f>
        <v>Apply</v>
      </c>
      <c r="C17" s="10" t="s">
        <v>12494</v>
      </c>
      <c r="D17" s="56" t="s">
        <v>311</v>
      </c>
      <c r="E17" s="10" t="s">
        <v>45</v>
      </c>
      <c r="F17" s="10" t="s">
        <v>312</v>
      </c>
      <c r="G17" s="10" t="s">
        <v>20</v>
      </c>
      <c r="H17" s="10" t="s">
        <v>1254</v>
      </c>
      <c r="I17" s="10" t="s">
        <v>55</v>
      </c>
      <c r="J17" s="10" t="s">
        <v>1809</v>
      </c>
      <c r="K17" s="10" t="s">
        <v>12495</v>
      </c>
      <c r="L17" s="10" t="s">
        <v>42</v>
      </c>
    </row>
    <row r="18" ht="15.75" customHeight="1">
      <c r="A18" s="64">
        <v>45496.0</v>
      </c>
      <c r="B18" s="55" t="str">
        <f>HYPERLINK("https://jobright.ai/jobs/info/669fa2820978d429047d37c1?utm_campaign=1047&amp;utm_source=sheet", "Apply")</f>
        <v>Apply</v>
      </c>
      <c r="C18" s="10" t="s">
        <v>12494</v>
      </c>
      <c r="D18" s="56" t="s">
        <v>311</v>
      </c>
      <c r="E18" s="10" t="s">
        <v>45</v>
      </c>
      <c r="F18" s="10" t="s">
        <v>312</v>
      </c>
      <c r="G18" s="10" t="s">
        <v>20</v>
      </c>
      <c r="H18" s="10" t="s">
        <v>313</v>
      </c>
      <c r="I18" s="10" t="s">
        <v>55</v>
      </c>
      <c r="J18" s="10" t="s">
        <v>1809</v>
      </c>
      <c r="K18" s="10" t="s">
        <v>12495</v>
      </c>
      <c r="L18" s="10" t="s">
        <v>42</v>
      </c>
    </row>
    <row r="19" ht="15.75" customHeight="1">
      <c r="A19" s="64">
        <v>45496.0</v>
      </c>
      <c r="B19" s="55" t="str">
        <f>HYPERLINK("https://jobright.ai/jobs/info/669fba05a5eef26fc63282d7?utm_campaign=1047&amp;utm_source=sheet", "Apply")</f>
        <v>Apply</v>
      </c>
      <c r="C19" s="10" t="s">
        <v>12496</v>
      </c>
      <c r="D19" s="56" t="s">
        <v>311</v>
      </c>
      <c r="E19" s="10" t="s">
        <v>45</v>
      </c>
      <c r="F19" s="10" t="s">
        <v>312</v>
      </c>
      <c r="G19" s="10" t="s">
        <v>20</v>
      </c>
      <c r="H19" s="10" t="s">
        <v>313</v>
      </c>
      <c r="I19" s="10" t="s">
        <v>55</v>
      </c>
      <c r="J19" s="10" t="s">
        <v>314</v>
      </c>
      <c r="K19" s="10" t="s">
        <v>12497</v>
      </c>
      <c r="L19" s="10" t="s">
        <v>42</v>
      </c>
    </row>
    <row r="20" ht="15.75" customHeight="1">
      <c r="A20" s="64">
        <v>45496.0</v>
      </c>
      <c r="B20" s="55" t="str">
        <f>HYPERLINK("https://jobright.ai/jobs/info/66839d8b84f17aa9184d2d3a?utm_campaign=1047&amp;utm_source=sheet", "Apply")</f>
        <v>Apply</v>
      </c>
      <c r="C20" s="10" t="s">
        <v>12498</v>
      </c>
      <c r="D20" s="56" t="s">
        <v>1667</v>
      </c>
      <c r="E20" s="10">
        <v>37644.0</v>
      </c>
      <c r="G20" s="10" t="s">
        <v>2518</v>
      </c>
      <c r="H20" s="10" t="s">
        <v>96</v>
      </c>
      <c r="I20" s="10" t="s">
        <v>55</v>
      </c>
      <c r="J20" s="10" t="s">
        <v>1668</v>
      </c>
      <c r="K20" s="10" t="s">
        <v>12499</v>
      </c>
      <c r="L20" s="10" t="s">
        <v>42</v>
      </c>
    </row>
    <row r="21" ht="15.75" customHeight="1">
      <c r="A21" s="64">
        <v>45495.0</v>
      </c>
      <c r="B21" s="55" t="str">
        <f>HYPERLINK("https://jobright.ai/jobs/info/669ee15c955da1e92eb3ea86?utm_campaign=1047&amp;utm_source=sheet", "Apply")</f>
        <v>Apply</v>
      </c>
      <c r="C21" s="10" t="s">
        <v>12500</v>
      </c>
      <c r="D21" s="56" t="s">
        <v>4225</v>
      </c>
      <c r="E21" s="10" t="s">
        <v>209</v>
      </c>
      <c r="F21" s="10" t="s">
        <v>4226</v>
      </c>
      <c r="G21" s="10" t="s">
        <v>20</v>
      </c>
      <c r="H21" s="10" t="s">
        <v>4230</v>
      </c>
      <c r="I21" s="10" t="s">
        <v>55</v>
      </c>
      <c r="K21" s="10" t="s">
        <v>12501</v>
      </c>
      <c r="L21" s="10" t="s">
        <v>42</v>
      </c>
    </row>
    <row r="22" ht="15.75" customHeight="1">
      <c r="A22" s="64">
        <v>45495.0</v>
      </c>
      <c r="B22" s="55" t="str">
        <f>HYPERLINK("https://jobright.ai/jobs/info/669ed7d4d1d9c7ae91affa26?utm_campaign=1047&amp;utm_source=sheet", "Apply")</f>
        <v>Apply</v>
      </c>
      <c r="C22" s="10" t="s">
        <v>12502</v>
      </c>
      <c r="D22" s="56" t="s">
        <v>9983</v>
      </c>
      <c r="E22" s="10" t="s">
        <v>45</v>
      </c>
      <c r="F22" s="10" t="s">
        <v>2527</v>
      </c>
      <c r="G22" s="10" t="s">
        <v>20</v>
      </c>
      <c r="H22" s="10" t="s">
        <v>9984</v>
      </c>
      <c r="I22" s="10" t="s">
        <v>48</v>
      </c>
      <c r="J22" s="10" t="s">
        <v>12503</v>
      </c>
      <c r="K22" s="10" t="s">
        <v>12504</v>
      </c>
      <c r="L22" s="10" t="s">
        <v>42</v>
      </c>
    </row>
    <row r="23" ht="15.75" customHeight="1">
      <c r="A23" s="64">
        <v>45495.0</v>
      </c>
      <c r="B23" s="55" t="str">
        <f>HYPERLINK("https://jobright.ai/jobs/info/669e4f2d4761975356c352be?utm_campaign=1047&amp;utm_source=sheet", "Apply")</f>
        <v>Apply</v>
      </c>
      <c r="C23" s="10" t="s">
        <v>12505</v>
      </c>
      <c r="D23" s="56" t="s">
        <v>311</v>
      </c>
      <c r="E23" s="10" t="s">
        <v>45</v>
      </c>
      <c r="F23" s="10" t="s">
        <v>312</v>
      </c>
      <c r="G23" s="10" t="s">
        <v>20</v>
      </c>
      <c r="H23" s="10" t="s">
        <v>144</v>
      </c>
      <c r="I23" s="10" t="s">
        <v>55</v>
      </c>
      <c r="J23" s="10" t="s">
        <v>12506</v>
      </c>
      <c r="K23" s="10" t="s">
        <v>12507</v>
      </c>
      <c r="L23" s="10" t="s">
        <v>42</v>
      </c>
    </row>
    <row r="24" ht="15.75" customHeight="1">
      <c r="A24" s="64">
        <v>45495.0</v>
      </c>
      <c r="B24" s="55" t="str">
        <f>HYPERLINK("https://jobright.ai/jobs/info/669e4676ca3e6aa92c887d94?utm_campaign=1047&amp;utm_source=sheet", "Apply")</f>
        <v>Apply</v>
      </c>
      <c r="C24" s="10" t="s">
        <v>12505</v>
      </c>
      <c r="D24" s="56" t="s">
        <v>311</v>
      </c>
      <c r="E24" s="10" t="s">
        <v>45</v>
      </c>
      <c r="F24" s="10" t="s">
        <v>312</v>
      </c>
      <c r="G24" s="10" t="s">
        <v>20</v>
      </c>
      <c r="H24" s="10" t="s">
        <v>1254</v>
      </c>
      <c r="I24" s="10" t="s">
        <v>55</v>
      </c>
      <c r="J24" s="10" t="s">
        <v>12506</v>
      </c>
      <c r="K24" s="10" t="s">
        <v>12507</v>
      </c>
      <c r="L24" s="10" t="s">
        <v>42</v>
      </c>
    </row>
    <row r="25" ht="15.75" customHeight="1">
      <c r="A25" s="64">
        <v>45495.0</v>
      </c>
      <c r="B25" s="55" t="str">
        <f>HYPERLINK("https://jobright.ai/jobs/info/669e40964ef9507440b48310?utm_campaign=1047&amp;utm_source=sheet", "Apply")</f>
        <v>Apply</v>
      </c>
      <c r="C25" s="10" t="s">
        <v>12508</v>
      </c>
      <c r="D25" s="56" t="s">
        <v>311</v>
      </c>
      <c r="E25" s="10" t="s">
        <v>45</v>
      </c>
      <c r="F25" s="10" t="s">
        <v>312</v>
      </c>
      <c r="G25" s="10" t="s">
        <v>20</v>
      </c>
      <c r="H25" s="10" t="s">
        <v>313</v>
      </c>
      <c r="I25" s="10" t="s">
        <v>55</v>
      </c>
      <c r="J25" s="10" t="s">
        <v>314</v>
      </c>
      <c r="K25" s="10" t="s">
        <v>12509</v>
      </c>
      <c r="L25" s="10" t="s">
        <v>42</v>
      </c>
    </row>
    <row r="26" ht="15.75" customHeight="1">
      <c r="A26" s="64">
        <v>45494.0</v>
      </c>
      <c r="B26" s="55" t="str">
        <f>HYPERLINK("https://jobright.ai/jobs/info/6677d2bd97271e26801e331d?utm_campaign=1047&amp;utm_source=sheet", "Apply")</f>
        <v>Apply</v>
      </c>
      <c r="C26" s="10" t="s">
        <v>12510</v>
      </c>
      <c r="D26" s="56" t="s">
        <v>2508</v>
      </c>
      <c r="E26" s="10">
        <v>8491.0</v>
      </c>
      <c r="G26" s="10" t="s">
        <v>20</v>
      </c>
      <c r="H26" s="10" t="s">
        <v>854</v>
      </c>
      <c r="I26" s="10" t="s">
        <v>55</v>
      </c>
      <c r="J26" s="10" t="s">
        <v>3782</v>
      </c>
      <c r="K26" s="10" t="s">
        <v>12511</v>
      </c>
      <c r="L26" s="10" t="s">
        <v>42</v>
      </c>
    </row>
    <row r="27" ht="15.75" customHeight="1">
      <c r="A27" s="64">
        <v>45493.0</v>
      </c>
      <c r="B27" s="55" t="str">
        <f>HYPERLINK("https://jobright.ai/jobs/info/669d0edd882781b0ee6b93d4?utm_campaign=1047&amp;utm_source=sheet", "Apply")</f>
        <v>Apply</v>
      </c>
      <c r="C27" s="10" t="s">
        <v>12510</v>
      </c>
      <c r="D27" s="56" t="s">
        <v>2508</v>
      </c>
      <c r="E27" s="10">
        <v>8491.0</v>
      </c>
      <c r="G27" s="10" t="s">
        <v>20</v>
      </c>
      <c r="H27" s="10" t="s">
        <v>854</v>
      </c>
      <c r="I27" s="10" t="s">
        <v>55</v>
      </c>
      <c r="J27" s="10" t="s">
        <v>3782</v>
      </c>
      <c r="K27" s="10" t="s">
        <v>12511</v>
      </c>
      <c r="L27" s="10" t="s">
        <v>42</v>
      </c>
    </row>
    <row r="28" ht="15.75" customHeight="1">
      <c r="A28" s="64">
        <v>45493.0</v>
      </c>
      <c r="B28" s="55" t="str">
        <f>HYPERLINK("https://jobright.ai/jobs/info/664648561942052896de9e7e?utm_campaign=1047&amp;utm_source=sheet", "Apply")</f>
        <v>Apply</v>
      </c>
      <c r="C28" s="10" t="s">
        <v>12512</v>
      </c>
      <c r="D28" s="56" t="s">
        <v>2864</v>
      </c>
      <c r="E28" s="10" t="s">
        <v>65</v>
      </c>
      <c r="F28" s="10" t="s">
        <v>2865</v>
      </c>
      <c r="G28" s="10" t="s">
        <v>20</v>
      </c>
      <c r="H28" s="10" t="s">
        <v>2866</v>
      </c>
      <c r="I28" s="10" t="s">
        <v>55</v>
      </c>
      <c r="K28" s="10" t="s">
        <v>12513</v>
      </c>
      <c r="L28" s="10" t="s">
        <v>42</v>
      </c>
    </row>
    <row r="29" ht="15.75" customHeight="1">
      <c r="A29" s="64">
        <v>45492.0</v>
      </c>
      <c r="B29" s="55" t="str">
        <f>HYPERLINK("https://jobright.ai/jobs/info/669a5a2035fab870f631eedb?utm_campaign=1047&amp;utm_source=sheet", "Apply")</f>
        <v>Apply</v>
      </c>
      <c r="C29" s="10" t="s">
        <v>12514</v>
      </c>
      <c r="D29" s="56" t="s">
        <v>311</v>
      </c>
      <c r="E29" s="10" t="s">
        <v>45</v>
      </c>
      <c r="F29" s="10" t="s">
        <v>312</v>
      </c>
      <c r="G29" s="10" t="s">
        <v>20</v>
      </c>
      <c r="H29" s="10" t="s">
        <v>313</v>
      </c>
      <c r="I29" s="10" t="s">
        <v>55</v>
      </c>
      <c r="J29" s="10" t="s">
        <v>1809</v>
      </c>
      <c r="K29" s="10" t="s">
        <v>12515</v>
      </c>
      <c r="L29" s="10" t="s">
        <v>42</v>
      </c>
    </row>
    <row r="30" ht="15.75" customHeight="1">
      <c r="A30" s="64">
        <v>45492.0</v>
      </c>
      <c r="B30" s="55" t="str">
        <f>HYPERLINK("https://jobright.ai/jobs/info/669a51528a0f6d643a248612?utm_campaign=1047&amp;utm_source=sheet", "Apply")</f>
        <v>Apply</v>
      </c>
      <c r="C30" s="10" t="s">
        <v>12516</v>
      </c>
      <c r="D30" s="56" t="s">
        <v>12517</v>
      </c>
      <c r="E30" s="10" t="s">
        <v>45</v>
      </c>
      <c r="F30" s="10" t="s">
        <v>12518</v>
      </c>
      <c r="G30" s="10" t="s">
        <v>2518</v>
      </c>
      <c r="H30" s="10" t="s">
        <v>12519</v>
      </c>
      <c r="I30" s="10" t="s">
        <v>55</v>
      </c>
      <c r="J30" s="10" t="s">
        <v>12520</v>
      </c>
      <c r="K30" s="10" t="s">
        <v>12521</v>
      </c>
      <c r="L30" s="10" t="s">
        <v>42</v>
      </c>
    </row>
    <row r="31" ht="15.75" customHeight="1">
      <c r="A31" s="64">
        <v>45492.0</v>
      </c>
      <c r="B31" s="55" t="str">
        <f>HYPERLINK("https://jobright.ai/jobs/info/669a3c605c09b01669ee38d9?utm_campaign=1047&amp;utm_source=sheet", "Apply")</f>
        <v>Apply</v>
      </c>
      <c r="C31" s="10" t="s">
        <v>12522</v>
      </c>
      <c r="D31" s="56" t="s">
        <v>12523</v>
      </c>
      <c r="E31" s="10" t="s">
        <v>276</v>
      </c>
      <c r="F31" s="10" t="s">
        <v>3975</v>
      </c>
      <c r="G31" s="10" t="s">
        <v>20</v>
      </c>
      <c r="H31" s="10" t="s">
        <v>3263</v>
      </c>
      <c r="I31" s="10" t="s">
        <v>55</v>
      </c>
      <c r="K31" s="10" t="s">
        <v>12524</v>
      </c>
      <c r="L31" s="10" t="s">
        <v>42</v>
      </c>
    </row>
    <row r="32" ht="15.75" customHeight="1">
      <c r="A32" s="64">
        <v>45492.0</v>
      </c>
      <c r="B32" s="55" t="str">
        <f>HYPERLINK("https://jobright.ai/jobs/info/66954b6e092dd0811e080f51?utm_campaign=1047&amp;utm_source=sheet", "Apply")</f>
        <v>Apply</v>
      </c>
      <c r="C32" s="10" t="s">
        <v>12525</v>
      </c>
      <c r="D32" s="56" t="s">
        <v>5004</v>
      </c>
      <c r="G32" s="10" t="s">
        <v>20</v>
      </c>
      <c r="H32" s="10" t="s">
        <v>438</v>
      </c>
      <c r="I32" s="10" t="s">
        <v>55</v>
      </c>
      <c r="K32" s="10" t="s">
        <v>12526</v>
      </c>
      <c r="L32" s="10" t="s">
        <v>42</v>
      </c>
    </row>
    <row r="33" ht="15.75" customHeight="1">
      <c r="A33" s="64">
        <v>45491.0</v>
      </c>
      <c r="B33" s="55" t="str">
        <f>HYPERLINK("https://jobright.ai/jobs/info/66a27b6310e34507ec383df4?utm_campaign=1047&amp;utm_source=sheet", "Apply")</f>
        <v>Apply</v>
      </c>
      <c r="C33" s="10" t="s">
        <v>12527</v>
      </c>
      <c r="D33" s="56" t="s">
        <v>1094</v>
      </c>
      <c r="E33" s="10" t="s">
        <v>45</v>
      </c>
      <c r="F33" s="10" t="s">
        <v>731</v>
      </c>
      <c r="G33" s="10" t="s">
        <v>20</v>
      </c>
      <c r="H33" s="10" t="s">
        <v>96</v>
      </c>
      <c r="I33" s="10" t="s">
        <v>55</v>
      </c>
      <c r="K33" s="10" t="s">
        <v>12528</v>
      </c>
      <c r="L33" s="10" t="s">
        <v>42</v>
      </c>
    </row>
    <row r="34" ht="15.75" customHeight="1">
      <c r="A34" s="64">
        <v>45491.0</v>
      </c>
      <c r="B34" s="55" t="str">
        <f>HYPERLINK("https://jobright.ai/jobs/info/6698e2945d7477e8f3743609?utm_campaign=1047&amp;utm_source=sheet", "Apply")</f>
        <v>Apply</v>
      </c>
      <c r="C34" s="10" t="s">
        <v>12529</v>
      </c>
      <c r="D34" s="56" t="s">
        <v>4225</v>
      </c>
      <c r="E34" s="10" t="s">
        <v>209</v>
      </c>
      <c r="F34" s="10" t="s">
        <v>4226</v>
      </c>
      <c r="G34" s="10" t="s">
        <v>20</v>
      </c>
      <c r="H34" s="10" t="s">
        <v>442</v>
      </c>
      <c r="I34" s="10" t="s">
        <v>48</v>
      </c>
      <c r="K34" s="10" t="s">
        <v>12530</v>
      </c>
      <c r="L34" s="10" t="s">
        <v>42</v>
      </c>
    </row>
    <row r="35" ht="15.75" customHeight="1">
      <c r="A35" s="64">
        <v>45491.0</v>
      </c>
      <c r="B35" s="55" t="str">
        <f>HYPERLINK("https://jobright.ai/jobs/info/6698e2945d7477e8f37436b2?utm_campaign=1047&amp;utm_source=sheet", "Apply")</f>
        <v>Apply</v>
      </c>
      <c r="C35" s="10" t="s">
        <v>12529</v>
      </c>
      <c r="D35" s="56" t="s">
        <v>4225</v>
      </c>
      <c r="E35" s="10" t="s">
        <v>209</v>
      </c>
      <c r="F35" s="10" t="s">
        <v>4226</v>
      </c>
      <c r="G35" s="10" t="s">
        <v>20</v>
      </c>
      <c r="H35" s="10" t="s">
        <v>4230</v>
      </c>
      <c r="I35" s="10" t="s">
        <v>48</v>
      </c>
      <c r="K35" s="10" t="s">
        <v>12530</v>
      </c>
      <c r="L35" s="10" t="s">
        <v>42</v>
      </c>
    </row>
    <row r="36" ht="15.75" customHeight="1">
      <c r="A36" s="64">
        <v>45491.0</v>
      </c>
      <c r="B36" s="55" t="str">
        <f>HYPERLINK("https://jobright.ai/jobs/info/6698a1bc55add7f45fc70db4?utm_campaign=1047&amp;utm_source=sheet", "Apply")</f>
        <v>Apply</v>
      </c>
      <c r="C36" s="10" t="s">
        <v>12531</v>
      </c>
      <c r="D36" s="56" t="s">
        <v>311</v>
      </c>
      <c r="E36" s="10" t="s">
        <v>45</v>
      </c>
      <c r="F36" s="10" t="s">
        <v>312</v>
      </c>
      <c r="G36" s="10" t="s">
        <v>20</v>
      </c>
      <c r="H36" s="10" t="s">
        <v>313</v>
      </c>
      <c r="I36" s="10" t="s">
        <v>55</v>
      </c>
      <c r="J36" s="10" t="s">
        <v>1809</v>
      </c>
      <c r="K36" s="10" t="s">
        <v>12532</v>
      </c>
      <c r="L36" s="10" t="s">
        <v>42</v>
      </c>
    </row>
    <row r="37" ht="15.75" customHeight="1">
      <c r="A37" s="64">
        <v>45491.0</v>
      </c>
      <c r="B37" s="55" t="str">
        <f>HYPERLINK("https://jobright.ai/jobs/info/6699835aa75f4fb1c1378d2f?utm_campaign=1047&amp;utm_source=sheet", "Apply")</f>
        <v>Apply</v>
      </c>
      <c r="C37" s="10" t="s">
        <v>12533</v>
      </c>
      <c r="D37" s="56" t="s">
        <v>1840</v>
      </c>
      <c r="E37" s="10" t="s">
        <v>137</v>
      </c>
      <c r="G37" s="10" t="s">
        <v>20</v>
      </c>
      <c r="H37" s="10" t="s">
        <v>1841</v>
      </c>
      <c r="I37" s="10" t="s">
        <v>48</v>
      </c>
      <c r="K37" s="10" t="s">
        <v>12534</v>
      </c>
      <c r="L37" s="10" t="s">
        <v>42</v>
      </c>
    </row>
    <row r="38" ht="15.75" customHeight="1">
      <c r="A38" s="64">
        <v>45490.0</v>
      </c>
      <c r="B38" s="55" t="str">
        <f>HYPERLINK("https://jobright.ai/jobs/info/669e4416a6c9e437302fbb2e?utm_campaign=1047&amp;utm_source=sheet", "Apply")</f>
        <v>Apply</v>
      </c>
      <c r="C38" s="10" t="s">
        <v>12535</v>
      </c>
      <c r="D38" s="56" t="s">
        <v>2864</v>
      </c>
      <c r="E38" s="10" t="s">
        <v>65</v>
      </c>
      <c r="F38" s="10" t="s">
        <v>2865</v>
      </c>
      <c r="G38" s="10" t="s">
        <v>20</v>
      </c>
      <c r="H38" s="10" t="s">
        <v>2866</v>
      </c>
      <c r="I38" s="10" t="s">
        <v>55</v>
      </c>
      <c r="K38" s="10" t="s">
        <v>12536</v>
      </c>
      <c r="L38" s="10" t="s">
        <v>42</v>
      </c>
    </row>
    <row r="39" ht="15.75" customHeight="1">
      <c r="A39" s="64">
        <v>45490.0</v>
      </c>
      <c r="B39" s="55" t="str">
        <f>HYPERLINK("https://jobright.ai/jobs/info/669754201c31daf5410d4cc7?utm_campaign=1047&amp;utm_source=sheet", "Apply")</f>
        <v>Apply</v>
      </c>
      <c r="C39" s="10" t="s">
        <v>12537</v>
      </c>
      <c r="D39" s="56" t="s">
        <v>12538</v>
      </c>
      <c r="E39" s="10" t="s">
        <v>137</v>
      </c>
      <c r="F39" s="10" t="s">
        <v>12539</v>
      </c>
      <c r="G39" s="10" t="s">
        <v>20</v>
      </c>
      <c r="H39" s="10" t="s">
        <v>96</v>
      </c>
      <c r="I39" s="10" t="s">
        <v>55</v>
      </c>
      <c r="K39" s="10" t="s">
        <v>12540</v>
      </c>
      <c r="L39" s="10" t="s">
        <v>42</v>
      </c>
    </row>
    <row r="40" ht="15.75" customHeight="1">
      <c r="A40" s="64">
        <v>45489.0</v>
      </c>
      <c r="B40" s="55" t="str">
        <f>HYPERLINK("https://jobright.ai/jobs/info/6697228ff11ecbc261d9110d?utm_campaign=1047&amp;utm_source=sheet", "Apply")</f>
        <v>Apply</v>
      </c>
      <c r="C40" s="10" t="s">
        <v>12541</v>
      </c>
      <c r="D40" s="56" t="s">
        <v>311</v>
      </c>
      <c r="E40" s="10" t="s">
        <v>45</v>
      </c>
      <c r="F40" s="10" t="s">
        <v>312</v>
      </c>
      <c r="G40" s="10" t="s">
        <v>20</v>
      </c>
      <c r="H40" s="10" t="s">
        <v>313</v>
      </c>
      <c r="I40" s="10" t="s">
        <v>55</v>
      </c>
      <c r="J40" s="10" t="s">
        <v>500</v>
      </c>
      <c r="K40" s="10" t="s">
        <v>12542</v>
      </c>
      <c r="L40" s="10" t="s">
        <v>42</v>
      </c>
    </row>
    <row r="41" ht="15.75" customHeight="1">
      <c r="A41" s="64">
        <v>45489.0</v>
      </c>
      <c r="B41" s="55" t="str">
        <f>HYPERLINK("https://jobright.ai/jobs/info/6679b26567c58f13394f6a23?utm_campaign=1047&amp;utm_source=sheet", "Apply")</f>
        <v>Apply</v>
      </c>
      <c r="C41" s="10" t="s">
        <v>12543</v>
      </c>
      <c r="D41" s="56" t="s">
        <v>2474</v>
      </c>
      <c r="E41" s="10" t="s">
        <v>65</v>
      </c>
      <c r="F41" s="10" t="s">
        <v>2475</v>
      </c>
      <c r="G41" s="10" t="s">
        <v>20</v>
      </c>
      <c r="H41" s="10" t="s">
        <v>866</v>
      </c>
      <c r="I41" s="10" t="s">
        <v>55</v>
      </c>
      <c r="K41" s="10" t="s">
        <v>12544</v>
      </c>
      <c r="L41" s="10" t="s">
        <v>42</v>
      </c>
    </row>
    <row r="42" ht="15.75" customHeight="1">
      <c r="A42" s="64">
        <v>45488.0</v>
      </c>
      <c r="B42" s="55" t="str">
        <f>HYPERLINK("https://jobright.ai/jobs/info/66953864a8e2a2a8f300d2c8?utm_campaign=1047&amp;utm_source=sheet", "Apply")</f>
        <v>Apply</v>
      </c>
      <c r="C42" s="10" t="s">
        <v>12545</v>
      </c>
      <c r="D42" s="56" t="s">
        <v>5004</v>
      </c>
      <c r="G42" s="10" t="s">
        <v>20</v>
      </c>
      <c r="H42" s="10" t="s">
        <v>5320</v>
      </c>
      <c r="I42" s="10" t="s">
        <v>55</v>
      </c>
      <c r="K42" s="10" t="s">
        <v>12546</v>
      </c>
      <c r="L42" s="10" t="s">
        <v>42</v>
      </c>
    </row>
    <row r="43" ht="15.75" customHeight="1">
      <c r="A43" s="64">
        <v>45486.0</v>
      </c>
      <c r="B43" s="55" t="str">
        <f>HYPERLINK("https://jobright.ai/jobs/info/667494b33990c28f4c6c5660?utm_campaign=1047&amp;utm_source=sheet", "Apply")</f>
        <v>Apply</v>
      </c>
      <c r="C43" s="10" t="s">
        <v>12547</v>
      </c>
      <c r="D43" s="56" t="s">
        <v>385</v>
      </c>
      <c r="E43" s="10" t="s">
        <v>45</v>
      </c>
      <c r="F43" s="10" t="s">
        <v>386</v>
      </c>
      <c r="G43" s="10" t="s">
        <v>20</v>
      </c>
      <c r="H43" s="10" t="s">
        <v>711</v>
      </c>
      <c r="I43" s="10" t="s">
        <v>55</v>
      </c>
      <c r="K43" s="10" t="s">
        <v>12548</v>
      </c>
      <c r="L43" s="10" t="s">
        <v>42</v>
      </c>
    </row>
    <row r="44" ht="15.75" customHeight="1">
      <c r="A44" s="64">
        <v>45485.0</v>
      </c>
      <c r="B44" s="55" t="str">
        <f>HYPERLINK("https://jobright.ai/jobs/info/6687f4010825ab5c18ac4789?utm_campaign=1047&amp;utm_source=sheet", "Apply")</f>
        <v>Apply</v>
      </c>
      <c r="C44" s="10" t="s">
        <v>12549</v>
      </c>
      <c r="D44" s="56" t="s">
        <v>5523</v>
      </c>
      <c r="E44" s="10" t="s">
        <v>209</v>
      </c>
      <c r="F44" s="10" t="s">
        <v>5524</v>
      </c>
      <c r="G44" s="10" t="s">
        <v>20</v>
      </c>
      <c r="H44" s="10" t="s">
        <v>5245</v>
      </c>
      <c r="I44" s="10" t="s">
        <v>55</v>
      </c>
      <c r="J44" s="10" t="s">
        <v>5525</v>
      </c>
      <c r="K44" s="10" t="s">
        <v>12550</v>
      </c>
      <c r="L44" s="10" t="s">
        <v>42</v>
      </c>
    </row>
    <row r="45" ht="15.75" customHeight="1">
      <c r="A45" s="64">
        <v>45484.0</v>
      </c>
      <c r="B45" s="55" t="str">
        <f>HYPERLINK("https://jobright.ai/jobs/info/6690c8f150a8322cf99b81eb?utm_campaign=1047&amp;utm_source=sheet", "Apply")</f>
        <v>Apply</v>
      </c>
      <c r="C45" s="10" t="s">
        <v>12551</v>
      </c>
      <c r="D45" s="56" t="s">
        <v>12552</v>
      </c>
      <c r="E45" s="10" t="s">
        <v>249</v>
      </c>
      <c r="F45" s="10" t="s">
        <v>9573</v>
      </c>
      <c r="G45" s="10" t="s">
        <v>20</v>
      </c>
      <c r="H45" s="10" t="s">
        <v>96</v>
      </c>
      <c r="I45" s="10" t="s">
        <v>55</v>
      </c>
      <c r="K45" s="10" t="s">
        <v>12553</v>
      </c>
      <c r="L45" s="10" t="s">
        <v>42</v>
      </c>
    </row>
    <row r="46" ht="15.75" customHeight="1">
      <c r="A46" s="64">
        <v>45484.0</v>
      </c>
      <c r="B46" s="55" t="str">
        <f>HYPERLINK("https://jobright.ai/jobs/info/66a26a488d694daaf8c0cbb3?utm_campaign=1047&amp;utm_source=sheet", "Apply")</f>
        <v>Apply</v>
      </c>
      <c r="C46" s="10" t="s">
        <v>12554</v>
      </c>
      <c r="D46" s="56" t="s">
        <v>12555</v>
      </c>
      <c r="E46" s="10" t="s">
        <v>65</v>
      </c>
      <c r="F46" s="10" t="s">
        <v>12556</v>
      </c>
      <c r="G46" s="10" t="s">
        <v>20</v>
      </c>
      <c r="H46" s="10" t="s">
        <v>8482</v>
      </c>
      <c r="I46" s="10" t="s">
        <v>55</v>
      </c>
      <c r="K46" s="10" t="s">
        <v>12557</v>
      </c>
      <c r="L46" s="10" t="s">
        <v>42</v>
      </c>
    </row>
    <row r="47" ht="15.75" customHeight="1">
      <c r="A47" s="64">
        <v>45484.0</v>
      </c>
      <c r="B47" s="55" t="str">
        <f>HYPERLINK("https://jobright.ai/jobs/info/669111732cfdcaa4f7cf8cbf?utm_campaign=1047&amp;utm_source=sheet", "Apply")</f>
        <v>Apply</v>
      </c>
      <c r="C47" s="10" t="s">
        <v>2358</v>
      </c>
      <c r="D47" s="56" t="s">
        <v>12558</v>
      </c>
      <c r="E47" s="10" t="s">
        <v>45</v>
      </c>
      <c r="G47" s="10" t="s">
        <v>20</v>
      </c>
      <c r="H47" s="10" t="s">
        <v>661</v>
      </c>
      <c r="I47" s="10" t="s">
        <v>55</v>
      </c>
      <c r="K47" s="10" t="s">
        <v>12559</v>
      </c>
      <c r="L47" s="10" t="s">
        <v>42</v>
      </c>
    </row>
    <row r="48" ht="15.75" customHeight="1">
      <c r="A48" s="64">
        <v>45483.0</v>
      </c>
      <c r="B48" s="55" t="str">
        <f>HYPERLINK("https://jobright.ai/jobs/info/6677ce0674ec1a95a89afdb7?utm_campaign=1047&amp;utm_source=sheet", "Apply")</f>
        <v>Apply</v>
      </c>
      <c r="C48" s="10" t="s">
        <v>12560</v>
      </c>
      <c r="D48" s="56" t="s">
        <v>6871</v>
      </c>
      <c r="E48" s="10" t="s">
        <v>65</v>
      </c>
      <c r="F48" s="10" t="s">
        <v>6872</v>
      </c>
      <c r="G48" s="10" t="s">
        <v>20</v>
      </c>
      <c r="H48" s="10" t="s">
        <v>423</v>
      </c>
      <c r="I48" s="10" t="s">
        <v>55</v>
      </c>
      <c r="J48" s="10" t="s">
        <v>11075</v>
      </c>
      <c r="K48" s="10" t="s">
        <v>12561</v>
      </c>
      <c r="L48" s="10" t="s">
        <v>42</v>
      </c>
    </row>
    <row r="49" ht="15.75" customHeight="1">
      <c r="A49" s="64">
        <v>45483.0</v>
      </c>
      <c r="B49" s="55" t="str">
        <f>HYPERLINK("https://jobright.ai/jobs/info/668fd7dfd38b7377a4fa9063?utm_campaign=1047&amp;utm_source=sheet", "Apply")</f>
        <v>Apply</v>
      </c>
      <c r="C49" s="10" t="s">
        <v>12562</v>
      </c>
      <c r="D49" s="56" t="s">
        <v>1115</v>
      </c>
      <c r="E49" s="10" t="s">
        <v>65</v>
      </c>
      <c r="F49" s="10" t="s">
        <v>1116</v>
      </c>
      <c r="G49" s="10" t="s">
        <v>20</v>
      </c>
      <c r="H49" s="10" t="s">
        <v>607</v>
      </c>
      <c r="I49" s="10" t="s">
        <v>48</v>
      </c>
      <c r="K49" s="10" t="s">
        <v>12563</v>
      </c>
      <c r="L49" s="10" t="s">
        <v>42</v>
      </c>
    </row>
    <row r="50" ht="15.75" customHeight="1">
      <c r="A50" s="64">
        <v>45483.0</v>
      </c>
      <c r="B50" s="55" t="str">
        <f>HYPERLINK("https://jobright.ai/jobs/info/668e9d611da84ac4a0202e59?utm_campaign=1047&amp;utm_source=sheet", "Apply")</f>
        <v>Apply</v>
      </c>
      <c r="C50" s="10" t="s">
        <v>2358</v>
      </c>
      <c r="D50" s="56" t="s">
        <v>12558</v>
      </c>
      <c r="E50" s="10" t="s">
        <v>45</v>
      </c>
      <c r="G50" s="10" t="s">
        <v>20</v>
      </c>
      <c r="H50" s="10" t="s">
        <v>12564</v>
      </c>
      <c r="I50" s="10" t="s">
        <v>55</v>
      </c>
      <c r="K50" s="10" t="s">
        <v>12559</v>
      </c>
      <c r="L50" s="10" t="s">
        <v>42</v>
      </c>
    </row>
    <row r="51" ht="15.75" customHeight="1">
      <c r="A51" s="64">
        <v>45482.0</v>
      </c>
      <c r="B51" s="55" t="str">
        <f>HYPERLINK("https://jobright.ai/jobs/info/668d2274e99837e100f913d7?utm_campaign=1047&amp;utm_source=sheet", "Apply")</f>
        <v>Apply</v>
      </c>
      <c r="C51" s="10" t="s">
        <v>12565</v>
      </c>
      <c r="D51" s="56" t="s">
        <v>44</v>
      </c>
      <c r="E51" s="10" t="s">
        <v>45</v>
      </c>
      <c r="F51" s="10" t="s">
        <v>46</v>
      </c>
      <c r="G51" s="10" t="s">
        <v>20</v>
      </c>
      <c r="H51" s="10" t="s">
        <v>1260</v>
      </c>
      <c r="I51" s="10" t="s">
        <v>48</v>
      </c>
      <c r="J51" s="10" t="s">
        <v>12566</v>
      </c>
      <c r="K51" s="10" t="s">
        <v>12567</v>
      </c>
      <c r="L51" s="10" t="s">
        <v>42</v>
      </c>
    </row>
    <row r="52" ht="15.75" customHeight="1">
      <c r="A52" s="66">
        <v>45480.0</v>
      </c>
      <c r="B52" s="55" t="str">
        <f>HYPERLINK("https://jobright.ai/jobs/info/669cff0ec6404e366f2fa1b9?utm_campaign=1047&amp;utm_source=sheet", "Apply")</f>
        <v>Apply</v>
      </c>
      <c r="C52" s="10" t="s">
        <v>12568</v>
      </c>
      <c r="D52" s="56" t="s">
        <v>1094</v>
      </c>
      <c r="E52" s="10" t="s">
        <v>45</v>
      </c>
      <c r="F52" s="10" t="s">
        <v>731</v>
      </c>
      <c r="G52" s="10" t="s">
        <v>20</v>
      </c>
      <c r="H52" s="10" t="s">
        <v>96</v>
      </c>
      <c r="I52" s="10" t="s">
        <v>55</v>
      </c>
      <c r="K52" s="10" t="s">
        <v>12569</v>
      </c>
      <c r="L52" s="10" t="s">
        <v>42</v>
      </c>
    </row>
    <row r="53" ht="15.75" customHeight="1">
      <c r="A53" s="66">
        <v>45479.0</v>
      </c>
      <c r="B53" s="55" t="str">
        <f>HYPERLINK("https://jobright.ai/jobs/info/668937256599156dd09e7ac8?utm_campaign=1047&amp;utm_source=sheet", "Apply")</f>
        <v>Apply</v>
      </c>
      <c r="C53" s="10" t="s">
        <v>12570</v>
      </c>
      <c r="D53" s="56" t="s">
        <v>12571</v>
      </c>
      <c r="E53" s="10" t="s">
        <v>249</v>
      </c>
      <c r="F53" s="10" t="s">
        <v>12572</v>
      </c>
      <c r="G53" s="10" t="s">
        <v>20</v>
      </c>
      <c r="H53" s="10" t="s">
        <v>1149</v>
      </c>
      <c r="I53" s="10" t="s">
        <v>55</v>
      </c>
      <c r="J53" s="10" t="s">
        <v>12573</v>
      </c>
      <c r="K53" s="10" t="s">
        <v>12574</v>
      </c>
      <c r="L53" s="10" t="s">
        <v>42</v>
      </c>
    </row>
    <row r="54" ht="15.75" customHeight="1">
      <c r="A54" s="66">
        <v>45475.0</v>
      </c>
      <c r="B54" s="55" t="str">
        <f>HYPERLINK("https://jobright.ai/jobs/info/668434f5c8cf1076acabaf50?utm_campaign=1047&amp;utm_source=sheet", "Apply")</f>
        <v>Apply</v>
      </c>
      <c r="C54" s="10" t="s">
        <v>12575</v>
      </c>
      <c r="D54" s="56" t="s">
        <v>12576</v>
      </c>
      <c r="E54" s="10" t="s">
        <v>45</v>
      </c>
      <c r="F54" s="10" t="s">
        <v>620</v>
      </c>
      <c r="G54" s="10" t="s">
        <v>20</v>
      </c>
      <c r="H54" s="10" t="s">
        <v>872</v>
      </c>
      <c r="I54" s="10" t="s">
        <v>48</v>
      </c>
      <c r="K54" s="10" t="s">
        <v>12577</v>
      </c>
      <c r="L54" s="10" t="s">
        <v>42</v>
      </c>
    </row>
    <row r="55" ht="15.75" customHeight="1">
      <c r="A55" s="67">
        <v>45471.0</v>
      </c>
      <c r="B55" s="55" t="str">
        <f>HYPERLINK("https://jobright.ai/jobs/info/667f15691074e518685ce0be?utm_campaign=1047&amp;utm_source=sheet", "Apply")</f>
        <v>Apply</v>
      </c>
      <c r="C55" s="10" t="s">
        <v>12510</v>
      </c>
      <c r="D55" s="56" t="s">
        <v>12578</v>
      </c>
      <c r="E55" s="10" t="s">
        <v>45</v>
      </c>
      <c r="F55" s="10" t="s">
        <v>2470</v>
      </c>
      <c r="G55" s="10" t="s">
        <v>20</v>
      </c>
      <c r="H55" s="10" t="s">
        <v>12579</v>
      </c>
      <c r="I55" s="10" t="s">
        <v>55</v>
      </c>
      <c r="J55" s="10" t="s">
        <v>3782</v>
      </c>
      <c r="K55" s="10" t="s">
        <v>12580</v>
      </c>
      <c r="L55" s="10" t="s">
        <v>42</v>
      </c>
    </row>
    <row r="56" ht="15.75" customHeight="1">
      <c r="A56" s="67">
        <v>45470.0</v>
      </c>
      <c r="B56" s="55" t="str">
        <f>HYPERLINK("https://jobright.ai/jobs/info/667cfaa6dfea4cf625833e55?utm_campaign=1047&amp;utm_source=sheet", "Apply")</f>
        <v>Apply</v>
      </c>
      <c r="C56" s="10" t="s">
        <v>12581</v>
      </c>
      <c r="D56" s="56" t="s">
        <v>12582</v>
      </c>
      <c r="E56" s="10">
        <v>75.0</v>
      </c>
      <c r="G56" s="10" t="s">
        <v>20</v>
      </c>
      <c r="H56" s="10" t="s">
        <v>845</v>
      </c>
      <c r="I56" s="10" t="s">
        <v>55</v>
      </c>
      <c r="K56" s="10" t="s">
        <v>12583</v>
      </c>
      <c r="L56" s="10" t="s">
        <v>42</v>
      </c>
    </row>
    <row r="57" ht="15.75" customHeight="1">
      <c r="A57" s="67">
        <v>45470.0</v>
      </c>
      <c r="B57" s="55" t="str">
        <f>HYPERLINK("https://jobright.ai/jobs/info/667ccefbfa9e91319de96b04?utm_campaign=1047&amp;utm_source=sheet", "Apply")</f>
        <v>Apply</v>
      </c>
      <c r="C57" s="10" t="s">
        <v>12584</v>
      </c>
      <c r="D57" s="56" t="s">
        <v>7830</v>
      </c>
      <c r="E57" s="10" t="s">
        <v>249</v>
      </c>
      <c r="F57" s="10" t="s">
        <v>3906</v>
      </c>
      <c r="G57" s="10" t="s">
        <v>20</v>
      </c>
      <c r="H57" s="10" t="s">
        <v>96</v>
      </c>
      <c r="I57" s="10" t="s">
        <v>55</v>
      </c>
      <c r="J57" s="10" t="s">
        <v>3979</v>
      </c>
      <c r="K57" s="10" t="s">
        <v>12585</v>
      </c>
      <c r="L57" s="10" t="s">
        <v>42</v>
      </c>
    </row>
    <row r="58" ht="15.75" customHeight="1">
      <c r="A58" s="67">
        <v>45470.0</v>
      </c>
      <c r="B58" s="55" t="str">
        <f>HYPERLINK("https://jobright.ai/jobs/info/667dfcec63c037a1350fd5ec?utm_campaign=1047&amp;utm_source=sheet", "Apply")</f>
        <v>Apply</v>
      </c>
      <c r="C58" s="10" t="s">
        <v>12586</v>
      </c>
      <c r="D58" s="56" t="s">
        <v>12587</v>
      </c>
      <c r="E58" s="10" t="s">
        <v>276</v>
      </c>
      <c r="F58" s="10" t="s">
        <v>2274</v>
      </c>
      <c r="G58" s="10" t="s">
        <v>20</v>
      </c>
      <c r="H58" s="10" t="s">
        <v>96</v>
      </c>
      <c r="I58" s="10" t="s">
        <v>55</v>
      </c>
      <c r="K58" s="10" t="s">
        <v>12588</v>
      </c>
      <c r="L58" s="10" t="s">
        <v>42</v>
      </c>
    </row>
    <row r="59" ht="15.75" customHeight="1">
      <c r="A59" s="67">
        <v>45465.0</v>
      </c>
      <c r="B59" s="55" t="str">
        <f>HYPERLINK("https://jobright.ai/jobs/info/667670a0a0e238a9a3a4ae35?utm_campaign=1047&amp;utm_source=sheet", "Apply")</f>
        <v>Apply</v>
      </c>
      <c r="C59" s="10" t="s">
        <v>12589</v>
      </c>
      <c r="D59" s="56" t="s">
        <v>12590</v>
      </c>
      <c r="E59" s="10" t="s">
        <v>79</v>
      </c>
      <c r="F59" s="10" t="s">
        <v>12591</v>
      </c>
      <c r="G59" s="10" t="s">
        <v>20</v>
      </c>
      <c r="H59" s="10" t="s">
        <v>251</v>
      </c>
      <c r="I59" s="10" t="s">
        <v>252</v>
      </c>
      <c r="J59" s="10" t="s">
        <v>12592</v>
      </c>
      <c r="K59" s="10" t="s">
        <v>12593</v>
      </c>
      <c r="L59" s="10" t="s">
        <v>42</v>
      </c>
    </row>
    <row r="60" ht="15.75" customHeight="1">
      <c r="A60" s="67">
        <v>45465.0</v>
      </c>
      <c r="B60" s="55" t="str">
        <f>HYPERLINK("https://jobright.ai/jobs/info/66502709a84f87e434e09e7f?utm_campaign=1047&amp;utm_source=sheet", "Apply")</f>
        <v>Apply</v>
      </c>
      <c r="C60" s="10" t="s">
        <v>12594</v>
      </c>
      <c r="D60" s="56" t="s">
        <v>12595</v>
      </c>
      <c r="E60" s="10" t="s">
        <v>65</v>
      </c>
      <c r="F60" s="10" t="s">
        <v>2850</v>
      </c>
      <c r="G60" s="10" t="s">
        <v>20</v>
      </c>
      <c r="H60" s="10" t="s">
        <v>12596</v>
      </c>
      <c r="I60" s="10" t="s">
        <v>55</v>
      </c>
      <c r="K60" s="10" t="s">
        <v>12597</v>
      </c>
      <c r="L60" s="10" t="s">
        <v>42</v>
      </c>
    </row>
    <row r="61" ht="15.75" customHeight="1">
      <c r="A61" s="67">
        <v>45464.0</v>
      </c>
      <c r="B61" s="55" t="str">
        <f>HYPERLINK("https://jobright.ai/jobs/info/66398341e381682510f6e9ae?utm_campaign=1047&amp;utm_source=sheet", "Apply")</f>
        <v>Apply</v>
      </c>
      <c r="C61" s="10" t="s">
        <v>12474</v>
      </c>
      <c r="D61" s="56" t="s">
        <v>12598</v>
      </c>
      <c r="E61" s="10" t="s">
        <v>79</v>
      </c>
      <c r="F61" s="10" t="s">
        <v>12599</v>
      </c>
      <c r="G61" s="10" t="s">
        <v>20</v>
      </c>
      <c r="H61" s="10" t="s">
        <v>12600</v>
      </c>
      <c r="I61" s="10" t="s">
        <v>55</v>
      </c>
      <c r="K61" s="10" t="s">
        <v>12601</v>
      </c>
      <c r="L61" s="10" t="s">
        <v>42</v>
      </c>
    </row>
    <row r="62" ht="15.75" customHeight="1">
      <c r="A62" s="68">
        <v>45458.0</v>
      </c>
      <c r="B62" s="55" t="str">
        <f>HYPERLINK("https://jobright.ai/jobs/info/6676c2a7c9dc0237d722bd44?utm_campaign=1047&amp;utm_source=sheet", "Apply")</f>
        <v>Apply</v>
      </c>
      <c r="C62" s="10" t="s">
        <v>12602</v>
      </c>
      <c r="D62" s="56" t="s">
        <v>12590</v>
      </c>
      <c r="E62" s="10" t="s">
        <v>79</v>
      </c>
      <c r="F62" s="10" t="s">
        <v>12591</v>
      </c>
      <c r="G62" s="10" t="s">
        <v>20</v>
      </c>
      <c r="H62" s="10" t="s">
        <v>251</v>
      </c>
      <c r="I62" s="10" t="s">
        <v>252</v>
      </c>
      <c r="J62" s="10" t="s">
        <v>12603</v>
      </c>
      <c r="K62" s="10" t="s">
        <v>12604</v>
      </c>
      <c r="L62" s="10" t="s">
        <v>42</v>
      </c>
    </row>
    <row r="63" ht="15.75" customHeight="1">
      <c r="A63" s="68">
        <v>45458.0</v>
      </c>
      <c r="B63" s="55" t="str">
        <f>HYPERLINK("https://jobright.ai/jobs/info/66674efd8cfce19f3c57e1fd?utm_campaign=1047&amp;utm_source=sheet", "Apply")</f>
        <v>Apply</v>
      </c>
      <c r="C63" s="10" t="s">
        <v>4331</v>
      </c>
      <c r="D63" s="56" t="s">
        <v>12605</v>
      </c>
      <c r="E63" s="10" t="s">
        <v>65</v>
      </c>
      <c r="F63" s="10" t="s">
        <v>4022</v>
      </c>
      <c r="G63" s="10" t="s">
        <v>20</v>
      </c>
      <c r="H63" s="10" t="s">
        <v>12606</v>
      </c>
      <c r="I63" s="10" t="s">
        <v>55</v>
      </c>
      <c r="K63" s="10" t="s">
        <v>12607</v>
      </c>
      <c r="L63" s="10" t="s">
        <v>42</v>
      </c>
    </row>
    <row r="64" ht="15.75" customHeight="1">
      <c r="A64" s="64">
        <v>45457.0</v>
      </c>
      <c r="B64" s="55" t="str">
        <f>HYPERLINK("https://jobright.ai/jobs/info/6675b9a0044b6b83ef0d31d4?utm_campaign=1047&amp;utm_source=sheet", "Apply")</f>
        <v>Apply</v>
      </c>
      <c r="C64" s="10" t="s">
        <v>12608</v>
      </c>
      <c r="D64" s="58" t="s">
        <v>12609</v>
      </c>
      <c r="E64" s="10" t="s">
        <v>79</v>
      </c>
      <c r="F64" s="10" t="s">
        <v>12610</v>
      </c>
      <c r="G64" s="10" t="s">
        <v>20</v>
      </c>
      <c r="H64" s="10" t="s">
        <v>1254</v>
      </c>
      <c r="I64" s="10" t="s">
        <v>55</v>
      </c>
      <c r="J64" s="10" t="s">
        <v>12611</v>
      </c>
      <c r="K64" s="10" t="s">
        <v>12612</v>
      </c>
      <c r="L64" s="10" t="s">
        <v>42</v>
      </c>
    </row>
    <row r="65" ht="15.75" customHeight="1">
      <c r="A65" s="64">
        <v>45457.0</v>
      </c>
      <c r="B65" s="55" t="str">
        <f>HYPERLINK("https://jobright.ai/jobs/info/66759f1e86a9490f868ba829?utm_campaign=1047&amp;utm_source=sheet", "Apply")</f>
        <v>Apply</v>
      </c>
      <c r="C65" s="10" t="s">
        <v>12608</v>
      </c>
      <c r="D65" s="58" t="s">
        <v>12609</v>
      </c>
      <c r="E65" s="10" t="s">
        <v>79</v>
      </c>
      <c r="F65" s="10" t="s">
        <v>12610</v>
      </c>
      <c r="G65" s="10" t="s">
        <v>20</v>
      </c>
      <c r="H65" s="10" t="s">
        <v>165</v>
      </c>
      <c r="I65" s="10" t="s">
        <v>55</v>
      </c>
      <c r="J65" s="10" t="s">
        <v>12613</v>
      </c>
      <c r="K65" s="10" t="s">
        <v>12612</v>
      </c>
      <c r="L65" s="10" t="s">
        <v>42</v>
      </c>
    </row>
    <row r="66" ht="15.75" customHeight="1">
      <c r="A66" s="64">
        <v>45455.0</v>
      </c>
      <c r="B66" s="55" t="str">
        <f>HYPERLINK("https://jobright.ai/jobs/info/6669cced5ed2cb838e220aa4?utm_campaign=1047&amp;utm_source=sheet", "Apply")</f>
        <v>Apply</v>
      </c>
      <c r="C66" s="10" t="s">
        <v>12608</v>
      </c>
      <c r="D66" s="58" t="s">
        <v>12609</v>
      </c>
      <c r="E66" s="10" t="s">
        <v>79</v>
      </c>
      <c r="F66" s="10" t="s">
        <v>12610</v>
      </c>
      <c r="G66" s="10" t="s">
        <v>20</v>
      </c>
      <c r="H66" s="10" t="s">
        <v>12614</v>
      </c>
      <c r="I66" s="10" t="s">
        <v>55</v>
      </c>
      <c r="J66" s="10" t="s">
        <v>12613</v>
      </c>
      <c r="K66" s="10" t="s">
        <v>12612</v>
      </c>
      <c r="L66" s="10" t="s">
        <v>42</v>
      </c>
    </row>
    <row r="67" ht="15.75" customHeight="1">
      <c r="A67" s="64">
        <v>45455.0</v>
      </c>
      <c r="B67" s="55" t="str">
        <f>HYPERLINK("https://jobright.ai/jobs/info/667c5c8c9f61c590ee1592c2?utm_campaign=1047&amp;utm_source=sheet", "Apply")</f>
        <v>Apply</v>
      </c>
      <c r="C67" s="10" t="s">
        <v>12608</v>
      </c>
      <c r="D67" s="58" t="s">
        <v>12609</v>
      </c>
      <c r="E67" s="10" t="s">
        <v>79</v>
      </c>
      <c r="F67" s="10" t="s">
        <v>12610</v>
      </c>
      <c r="G67" s="10" t="s">
        <v>20</v>
      </c>
      <c r="H67" s="10" t="s">
        <v>8668</v>
      </c>
      <c r="I67" s="10" t="s">
        <v>55</v>
      </c>
      <c r="J67" s="10" t="s">
        <v>12611</v>
      </c>
      <c r="K67" s="10" t="s">
        <v>12612</v>
      </c>
      <c r="L67" s="10" t="s">
        <v>42</v>
      </c>
    </row>
    <row r="68" ht="15.75" customHeight="1">
      <c r="A68" s="64">
        <v>45449.0</v>
      </c>
      <c r="B68" s="55" t="str">
        <f>HYPERLINK("https://jobright.ai/jobs/info/6667d50f0e75e6484ca40425?utm_campaign=1047&amp;utm_source=sheet", "Apply")</f>
        <v>Apply</v>
      </c>
      <c r="C68" s="10" t="s">
        <v>12560</v>
      </c>
      <c r="D68" s="56" t="s">
        <v>6871</v>
      </c>
      <c r="E68" s="10" t="s">
        <v>65</v>
      </c>
      <c r="F68" s="10" t="s">
        <v>6872</v>
      </c>
      <c r="G68" s="10" t="s">
        <v>20</v>
      </c>
      <c r="H68" s="10" t="s">
        <v>12615</v>
      </c>
      <c r="I68" s="10" t="s">
        <v>55</v>
      </c>
      <c r="J68" s="10" t="s">
        <v>11075</v>
      </c>
      <c r="K68" s="10" t="s">
        <v>12561</v>
      </c>
      <c r="L68" s="10" t="s">
        <v>42</v>
      </c>
    </row>
    <row r="69" ht="15.75" customHeight="1">
      <c r="A69" s="64">
        <v>45440.0</v>
      </c>
      <c r="B69" s="55" t="str">
        <f>HYPERLINK("https://jobright.ai/jobs/info/66566e709dfa60b19fadc0dd?utm_campaign=1047&amp;utm_source=sheet", "Apply")</f>
        <v>Apply</v>
      </c>
      <c r="C69" s="10" t="s">
        <v>12616</v>
      </c>
      <c r="D69" s="56" t="s">
        <v>2174</v>
      </c>
      <c r="E69" s="10">
        <v>294.0</v>
      </c>
      <c r="G69" s="10" t="s">
        <v>20</v>
      </c>
      <c r="H69" s="10" t="s">
        <v>96</v>
      </c>
      <c r="I69" s="10" t="s">
        <v>55</v>
      </c>
      <c r="J69" s="10" t="s">
        <v>1608</v>
      </c>
      <c r="K69" s="10" t="s">
        <v>12617</v>
      </c>
      <c r="L69" s="10" t="s">
        <v>42</v>
      </c>
    </row>
    <row r="70" ht="15.75" customHeight="1">
      <c r="A70" s="68">
        <v>45437.0</v>
      </c>
      <c r="B70" s="55" t="str">
        <f>HYPERLINK("https://jobright.ai/jobs/info/6679786e22283fc0c7338af9?utm_campaign=1047&amp;utm_source=sheet", "Apply")</f>
        <v>Apply</v>
      </c>
      <c r="C70" s="10" t="s">
        <v>12618</v>
      </c>
      <c r="D70" s="56" t="s">
        <v>8919</v>
      </c>
      <c r="E70" s="10" t="s">
        <v>137</v>
      </c>
      <c r="F70" s="10" t="s">
        <v>339</v>
      </c>
      <c r="G70" s="10" t="s">
        <v>20</v>
      </c>
      <c r="H70" s="10" t="s">
        <v>572</v>
      </c>
      <c r="I70" s="10" t="s">
        <v>55</v>
      </c>
      <c r="K70" s="10" t="s">
        <v>8920</v>
      </c>
      <c r="L70" s="10" t="s">
        <v>42</v>
      </c>
    </row>
    <row r="71" ht="15.75" customHeight="1">
      <c r="A71" s="67">
        <v>45434.0</v>
      </c>
      <c r="B71" s="55" t="str">
        <f>HYPERLINK("https://jobright.ai/jobs/info/667633e4e272243dcd4f6726?utm_campaign=1047&amp;utm_source=sheet", "Apply")</f>
        <v>Apply</v>
      </c>
      <c r="C71" s="10" t="s">
        <v>12619</v>
      </c>
      <c r="D71" s="56" t="s">
        <v>6937</v>
      </c>
      <c r="E71" s="10" t="s">
        <v>71</v>
      </c>
      <c r="F71" s="10" t="s">
        <v>6938</v>
      </c>
      <c r="G71" s="10" t="s">
        <v>20</v>
      </c>
      <c r="H71" s="10" t="s">
        <v>423</v>
      </c>
      <c r="I71" s="10" t="s">
        <v>55</v>
      </c>
      <c r="K71" s="10" t="s">
        <v>12620</v>
      </c>
      <c r="L71" s="10" t="s">
        <v>42</v>
      </c>
    </row>
    <row r="72" ht="15.75" customHeight="1">
      <c r="A72" s="68">
        <v>45427.0</v>
      </c>
      <c r="B72" s="55" t="str">
        <f>HYPERLINK("https://jobright.ai/jobs/info/6669206bc327d9911b6d4d0b?utm_campaign=1047&amp;utm_source=sheet", "Apply")</f>
        <v>Apply</v>
      </c>
      <c r="C72" s="10" t="s">
        <v>12621</v>
      </c>
      <c r="D72" s="56" t="s">
        <v>12622</v>
      </c>
      <c r="E72" s="10" t="s">
        <v>65</v>
      </c>
      <c r="F72" s="10" t="s">
        <v>12539</v>
      </c>
      <c r="G72" s="10" t="s">
        <v>20</v>
      </c>
      <c r="H72" s="10" t="s">
        <v>12623</v>
      </c>
      <c r="I72" s="10" t="s">
        <v>55</v>
      </c>
      <c r="K72" s="10" t="s">
        <v>12624</v>
      </c>
      <c r="L72" s="10" t="s">
        <v>42</v>
      </c>
    </row>
    <row r="73" ht="15.75" customHeight="1">
      <c r="A73" s="68">
        <v>45415.0</v>
      </c>
      <c r="B73" s="55" t="str">
        <f>HYPERLINK("https://jobright.ai/jobs/info/6635bf5fbdc2491e86184a9e?utm_campaign=1047&amp;utm_source=sheet", "Apply")</f>
        <v>Apply</v>
      </c>
      <c r="C73" s="10" t="s">
        <v>12625</v>
      </c>
      <c r="D73" s="56" t="s">
        <v>12626</v>
      </c>
      <c r="E73" s="10" t="s">
        <v>137</v>
      </c>
      <c r="F73" s="10" t="s">
        <v>12627</v>
      </c>
      <c r="G73" s="10" t="s">
        <v>20</v>
      </c>
      <c r="H73" s="10" t="s">
        <v>201</v>
      </c>
      <c r="I73" s="10" t="s">
        <v>55</v>
      </c>
      <c r="K73" s="10" t="s">
        <v>12628</v>
      </c>
      <c r="L73" s="10" t="s">
        <v>42</v>
      </c>
    </row>
    <row r="74">
      <c r="D74" s="63"/>
      <c r="F74" s="71"/>
    </row>
    <row r="75">
      <c r="D75" s="63"/>
      <c r="F75" s="71"/>
    </row>
    <row r="76">
      <c r="D76" s="63"/>
      <c r="F76" s="71"/>
    </row>
    <row r="77">
      <c r="D77" s="63"/>
      <c r="F77" s="71"/>
    </row>
    <row r="78">
      <c r="D78" s="63"/>
      <c r="F78" s="71"/>
    </row>
    <row r="79">
      <c r="D79" s="63"/>
      <c r="F79" s="71"/>
    </row>
    <row r="80">
      <c r="D80" s="63"/>
      <c r="F80" s="71"/>
    </row>
    <row r="81">
      <c r="D81" s="63"/>
      <c r="F81" s="71"/>
    </row>
    <row r="82">
      <c r="D82" s="63"/>
      <c r="F82" s="71"/>
    </row>
    <row r="83">
      <c r="D83" s="63"/>
      <c r="F83" s="71"/>
    </row>
    <row r="84">
      <c r="D84" s="63"/>
      <c r="F84" s="71"/>
    </row>
    <row r="85">
      <c r="D85" s="63"/>
      <c r="F85" s="71"/>
    </row>
    <row r="86">
      <c r="D86" s="63"/>
      <c r="F86" s="71"/>
    </row>
    <row r="87">
      <c r="D87" s="63"/>
      <c r="F87" s="71"/>
    </row>
    <row r="88">
      <c r="D88" s="63"/>
      <c r="F88" s="71"/>
    </row>
    <row r="89">
      <c r="D89" s="63"/>
      <c r="F89" s="71"/>
    </row>
    <row r="90">
      <c r="D90" s="63"/>
      <c r="F90" s="71"/>
    </row>
    <row r="91">
      <c r="D91" s="63"/>
      <c r="F91" s="71"/>
    </row>
    <row r="92">
      <c r="D92" s="63"/>
      <c r="F92" s="71"/>
    </row>
    <row r="93">
      <c r="D93" s="63"/>
      <c r="F93" s="71"/>
    </row>
    <row r="94">
      <c r="D94" s="63"/>
      <c r="F94" s="71"/>
    </row>
    <row r="95">
      <c r="D95" s="63"/>
      <c r="F95" s="71"/>
    </row>
    <row r="96">
      <c r="D96" s="63"/>
      <c r="F96" s="71"/>
    </row>
    <row r="97">
      <c r="D97" s="63"/>
      <c r="F97" s="71"/>
    </row>
    <row r="98">
      <c r="D98" s="63"/>
      <c r="F98" s="71"/>
    </row>
    <row r="99">
      <c r="D99" s="63"/>
      <c r="F99" s="71"/>
    </row>
    <row r="100">
      <c r="D100" s="63"/>
      <c r="F100" s="71"/>
    </row>
    <row r="101">
      <c r="D101" s="63"/>
      <c r="F101" s="71"/>
    </row>
    <row r="102">
      <c r="D102" s="63"/>
      <c r="F102" s="71"/>
    </row>
    <row r="103">
      <c r="D103" s="63"/>
      <c r="F103" s="71"/>
    </row>
    <row r="104">
      <c r="D104" s="63"/>
      <c r="F104" s="71"/>
    </row>
    <row r="105">
      <c r="D105" s="63"/>
      <c r="F105" s="71"/>
    </row>
    <row r="106">
      <c r="D106" s="63"/>
      <c r="F106" s="71"/>
    </row>
    <row r="107">
      <c r="D107" s="63"/>
      <c r="F107" s="71"/>
    </row>
    <row r="108">
      <c r="D108" s="63"/>
      <c r="F108" s="71"/>
    </row>
    <row r="109">
      <c r="D109" s="63"/>
      <c r="F109" s="71"/>
    </row>
    <row r="110">
      <c r="D110" s="63"/>
      <c r="F110" s="71"/>
    </row>
    <row r="111">
      <c r="D111" s="63"/>
      <c r="F111" s="71"/>
    </row>
    <row r="112">
      <c r="D112" s="63"/>
      <c r="F112" s="71"/>
    </row>
    <row r="113">
      <c r="D113" s="63"/>
      <c r="F113" s="71"/>
    </row>
    <row r="114">
      <c r="D114" s="63"/>
      <c r="F114" s="71"/>
    </row>
    <row r="115">
      <c r="D115" s="63"/>
      <c r="F115" s="71"/>
    </row>
    <row r="116">
      <c r="D116" s="63"/>
      <c r="F116" s="71"/>
    </row>
    <row r="117">
      <c r="D117" s="63"/>
      <c r="F117" s="71"/>
    </row>
    <row r="118">
      <c r="D118" s="63"/>
      <c r="F118" s="71"/>
    </row>
    <row r="119">
      <c r="D119" s="63"/>
      <c r="F119" s="71"/>
    </row>
    <row r="120">
      <c r="D120" s="63"/>
      <c r="F120" s="71"/>
    </row>
    <row r="121">
      <c r="D121" s="63"/>
      <c r="F121" s="71"/>
    </row>
    <row r="122">
      <c r="D122" s="63"/>
      <c r="F122" s="71"/>
    </row>
    <row r="123">
      <c r="D123" s="63"/>
      <c r="F123" s="71"/>
    </row>
    <row r="124">
      <c r="D124" s="63"/>
      <c r="F124" s="71"/>
    </row>
    <row r="125">
      <c r="D125" s="63"/>
      <c r="F125" s="71"/>
    </row>
    <row r="126">
      <c r="D126" s="63"/>
      <c r="F126" s="71"/>
    </row>
    <row r="127">
      <c r="D127" s="63"/>
      <c r="F127" s="71"/>
    </row>
    <row r="128">
      <c r="D128" s="63"/>
      <c r="F128" s="71"/>
    </row>
    <row r="129">
      <c r="D129" s="63"/>
      <c r="F129" s="71"/>
    </row>
    <row r="130">
      <c r="D130" s="63"/>
      <c r="F130" s="71"/>
    </row>
    <row r="131">
      <c r="D131" s="63"/>
      <c r="F131" s="71"/>
    </row>
    <row r="132">
      <c r="D132" s="63"/>
      <c r="F132" s="71"/>
    </row>
    <row r="133">
      <c r="D133" s="63"/>
      <c r="F133" s="71"/>
    </row>
    <row r="134">
      <c r="D134" s="63"/>
      <c r="F134" s="71"/>
    </row>
    <row r="135">
      <c r="D135" s="63"/>
      <c r="F135" s="71"/>
    </row>
    <row r="136">
      <c r="D136" s="63"/>
      <c r="F136" s="71"/>
    </row>
    <row r="137">
      <c r="D137" s="63"/>
      <c r="F137" s="71"/>
    </row>
    <row r="138">
      <c r="D138" s="63"/>
      <c r="F138" s="71"/>
    </row>
    <row r="139">
      <c r="D139" s="63"/>
      <c r="F139" s="71"/>
    </row>
    <row r="140">
      <c r="D140" s="63"/>
      <c r="F140" s="71"/>
    </row>
    <row r="141">
      <c r="D141" s="63"/>
      <c r="F141" s="71"/>
    </row>
    <row r="142">
      <c r="D142" s="63"/>
      <c r="F142" s="71"/>
    </row>
    <row r="143">
      <c r="D143" s="63"/>
      <c r="F143" s="71"/>
    </row>
    <row r="144">
      <c r="D144" s="63"/>
      <c r="F144" s="71"/>
    </row>
    <row r="145">
      <c r="D145" s="63"/>
      <c r="F145" s="71"/>
    </row>
    <row r="146">
      <c r="D146" s="63"/>
      <c r="F146" s="71"/>
    </row>
    <row r="147">
      <c r="D147" s="63"/>
      <c r="F147" s="71"/>
    </row>
    <row r="148">
      <c r="D148" s="63"/>
      <c r="F148" s="71"/>
    </row>
    <row r="149">
      <c r="D149" s="63"/>
      <c r="F149" s="71"/>
    </row>
    <row r="150">
      <c r="D150" s="63"/>
      <c r="F150" s="71"/>
    </row>
    <row r="151">
      <c r="D151" s="63"/>
      <c r="F151" s="71"/>
    </row>
    <row r="152">
      <c r="D152" s="63"/>
      <c r="F152" s="71"/>
    </row>
    <row r="153">
      <c r="D153" s="63"/>
      <c r="F153" s="71"/>
    </row>
    <row r="154">
      <c r="D154" s="63"/>
      <c r="F154" s="71"/>
    </row>
    <row r="155">
      <c r="D155" s="63"/>
      <c r="F155" s="71"/>
    </row>
    <row r="156">
      <c r="D156" s="63"/>
      <c r="F156" s="71"/>
    </row>
    <row r="157">
      <c r="D157" s="63"/>
      <c r="F157" s="71"/>
    </row>
    <row r="158">
      <c r="D158" s="63"/>
      <c r="F158" s="71"/>
    </row>
    <row r="159">
      <c r="D159" s="63"/>
      <c r="F159" s="71"/>
    </row>
    <row r="160">
      <c r="D160" s="63"/>
      <c r="F160" s="71"/>
    </row>
    <row r="161">
      <c r="D161" s="63"/>
    </row>
    <row r="162">
      <c r="D162" s="63"/>
    </row>
    <row r="163">
      <c r="D163" s="63"/>
    </row>
    <row r="164">
      <c r="D164" s="63"/>
    </row>
    <row r="165">
      <c r="D165" s="63"/>
    </row>
    <row r="166">
      <c r="D166" s="63"/>
    </row>
    <row r="167">
      <c r="D167" s="63"/>
    </row>
    <row r="168">
      <c r="D168" s="63"/>
    </row>
    <row r="169">
      <c r="D169" s="63"/>
    </row>
    <row r="170">
      <c r="D170" s="63"/>
    </row>
    <row r="171">
      <c r="D171" s="63"/>
    </row>
    <row r="172">
      <c r="D172" s="63"/>
    </row>
    <row r="173">
      <c r="D173" s="63"/>
    </row>
    <row r="174">
      <c r="D174" s="63"/>
    </row>
    <row r="175">
      <c r="D175" s="63"/>
    </row>
    <row r="176">
      <c r="D176" s="63"/>
    </row>
    <row r="177">
      <c r="D177" s="63"/>
    </row>
    <row r="178">
      <c r="D178" s="63"/>
    </row>
    <row r="179">
      <c r="D179" s="63"/>
    </row>
    <row r="180">
      <c r="D180" s="63"/>
    </row>
    <row r="181">
      <c r="D181" s="63"/>
    </row>
    <row r="182">
      <c r="D182" s="63"/>
    </row>
    <row r="183">
      <c r="D183" s="63"/>
    </row>
    <row r="184">
      <c r="D184" s="63"/>
    </row>
    <row r="185">
      <c r="D185" s="63"/>
    </row>
    <row r="186">
      <c r="D186" s="63"/>
    </row>
    <row r="187">
      <c r="D187" s="63"/>
    </row>
    <row r="188">
      <c r="D188" s="63"/>
    </row>
    <row r="189">
      <c r="D189" s="63"/>
    </row>
    <row r="190">
      <c r="D190" s="63"/>
    </row>
    <row r="191">
      <c r="D191" s="63"/>
    </row>
    <row r="192">
      <c r="D192" s="63"/>
    </row>
    <row r="193">
      <c r="D193" s="63"/>
    </row>
    <row r="194">
      <c r="D194" s="63"/>
    </row>
    <row r="195">
      <c r="D195" s="63"/>
    </row>
    <row r="196">
      <c r="D196" s="63"/>
    </row>
    <row r="197">
      <c r="D197" s="63"/>
    </row>
    <row r="198">
      <c r="D198" s="63"/>
    </row>
    <row r="199">
      <c r="D199" s="63"/>
    </row>
    <row r="200">
      <c r="D200" s="63"/>
    </row>
    <row r="201">
      <c r="D201" s="63"/>
    </row>
    <row r="202">
      <c r="D202" s="63"/>
    </row>
    <row r="203">
      <c r="D203" s="63"/>
    </row>
    <row r="204">
      <c r="D204" s="63"/>
    </row>
    <row r="205">
      <c r="D205" s="63"/>
    </row>
    <row r="206">
      <c r="D206" s="63"/>
    </row>
    <row r="207">
      <c r="D207" s="63"/>
    </row>
    <row r="208">
      <c r="D208" s="63"/>
    </row>
    <row r="209">
      <c r="D209" s="63"/>
    </row>
    <row r="210">
      <c r="D210" s="63"/>
    </row>
    <row r="211">
      <c r="D211" s="63"/>
    </row>
    <row r="212">
      <c r="D212" s="63"/>
    </row>
    <row r="213">
      <c r="D213" s="63"/>
    </row>
    <row r="214">
      <c r="D214" s="63"/>
    </row>
    <row r="215">
      <c r="D215" s="63"/>
    </row>
    <row r="216">
      <c r="D216" s="63"/>
    </row>
    <row r="217">
      <c r="D217" s="63"/>
    </row>
    <row r="218">
      <c r="D218" s="63"/>
    </row>
    <row r="219">
      <c r="D219" s="63"/>
    </row>
    <row r="220">
      <c r="D220" s="63"/>
    </row>
    <row r="221">
      <c r="D221" s="63"/>
    </row>
    <row r="222">
      <c r="D222" s="63"/>
    </row>
    <row r="223">
      <c r="D223" s="63"/>
    </row>
    <row r="224">
      <c r="D224" s="63"/>
    </row>
    <row r="225">
      <c r="D225" s="63"/>
    </row>
    <row r="226">
      <c r="D226" s="63"/>
    </row>
    <row r="227">
      <c r="D227" s="63"/>
    </row>
    <row r="228">
      <c r="D228" s="63"/>
    </row>
    <row r="229">
      <c r="D229" s="63"/>
    </row>
    <row r="230">
      <c r="D230" s="63"/>
    </row>
    <row r="231">
      <c r="D231" s="63"/>
    </row>
    <row r="232">
      <c r="D232" s="63"/>
    </row>
    <row r="233">
      <c r="D233" s="63"/>
    </row>
    <row r="234">
      <c r="D234" s="63"/>
    </row>
    <row r="235">
      <c r="D235" s="63"/>
    </row>
    <row r="236">
      <c r="D236" s="63"/>
    </row>
    <row r="237">
      <c r="D237" s="63"/>
    </row>
    <row r="238">
      <c r="D238" s="63"/>
    </row>
    <row r="239">
      <c r="D239" s="63"/>
    </row>
    <row r="240">
      <c r="D240" s="63"/>
    </row>
    <row r="241">
      <c r="D241" s="63"/>
    </row>
    <row r="242">
      <c r="D242" s="63"/>
    </row>
    <row r="243">
      <c r="D243" s="63"/>
    </row>
    <row r="244">
      <c r="D244" s="63"/>
    </row>
    <row r="245">
      <c r="D245" s="63"/>
    </row>
    <row r="246">
      <c r="D246" s="63"/>
    </row>
    <row r="247">
      <c r="D247" s="63"/>
    </row>
    <row r="248">
      <c r="D248" s="63"/>
    </row>
    <row r="249">
      <c r="D249" s="63"/>
    </row>
    <row r="250">
      <c r="D250" s="63"/>
    </row>
    <row r="251">
      <c r="D251" s="63"/>
    </row>
    <row r="252">
      <c r="D252" s="63"/>
    </row>
    <row r="253">
      <c r="D253" s="63"/>
    </row>
    <row r="254">
      <c r="D254" s="63"/>
    </row>
    <row r="255">
      <c r="D255" s="63"/>
    </row>
    <row r="256">
      <c r="D256" s="63"/>
    </row>
    <row r="257">
      <c r="D257" s="63"/>
    </row>
    <row r="258">
      <c r="D258" s="63"/>
    </row>
    <row r="259">
      <c r="D259" s="63"/>
    </row>
    <row r="260">
      <c r="D260" s="63"/>
    </row>
    <row r="261">
      <c r="D261" s="63"/>
    </row>
    <row r="262">
      <c r="D262" s="63"/>
    </row>
    <row r="263">
      <c r="D263" s="63"/>
    </row>
    <row r="264">
      <c r="D264" s="63"/>
    </row>
    <row r="265">
      <c r="D265" s="63"/>
    </row>
    <row r="266">
      <c r="D266" s="63"/>
    </row>
    <row r="267">
      <c r="D267" s="63"/>
    </row>
    <row r="268">
      <c r="D268" s="63"/>
    </row>
    <row r="269">
      <c r="D269" s="63"/>
    </row>
    <row r="270">
      <c r="D270" s="63"/>
    </row>
    <row r="271">
      <c r="D271" s="63"/>
    </row>
    <row r="272">
      <c r="D272" s="63"/>
    </row>
    <row r="273">
      <c r="D273" s="63"/>
    </row>
    <row r="274">
      <c r="D274" s="63"/>
    </row>
    <row r="275">
      <c r="D275" s="63"/>
    </row>
    <row r="276">
      <c r="D276" s="63"/>
    </row>
    <row r="277">
      <c r="D277" s="63"/>
    </row>
    <row r="278">
      <c r="D278" s="63"/>
    </row>
    <row r="279">
      <c r="D279" s="63"/>
    </row>
    <row r="280">
      <c r="D280" s="63"/>
    </row>
    <row r="281">
      <c r="D281" s="63"/>
    </row>
    <row r="282">
      <c r="D282" s="63"/>
    </row>
    <row r="283">
      <c r="D283" s="63"/>
    </row>
    <row r="284">
      <c r="D284" s="63"/>
    </row>
    <row r="285">
      <c r="D285" s="63"/>
    </row>
    <row r="286">
      <c r="D286" s="63"/>
    </row>
    <row r="287">
      <c r="D287" s="63"/>
    </row>
    <row r="288">
      <c r="D288" s="63"/>
    </row>
    <row r="289">
      <c r="D289" s="63"/>
    </row>
    <row r="290">
      <c r="D290" s="63"/>
    </row>
    <row r="291">
      <c r="D291" s="63"/>
    </row>
    <row r="292">
      <c r="D292" s="63"/>
    </row>
    <row r="293">
      <c r="D293" s="63"/>
    </row>
    <row r="294">
      <c r="D294" s="63"/>
    </row>
    <row r="295">
      <c r="D295" s="63"/>
    </row>
    <row r="296">
      <c r="D296" s="63"/>
    </row>
    <row r="297">
      <c r="D297" s="63"/>
    </row>
    <row r="298">
      <c r="D298" s="63"/>
    </row>
    <row r="299">
      <c r="D299" s="63"/>
    </row>
    <row r="300">
      <c r="D300" s="63"/>
    </row>
    <row r="301">
      <c r="D301" s="63"/>
    </row>
    <row r="302">
      <c r="D302" s="63"/>
    </row>
    <row r="303">
      <c r="D303" s="63"/>
    </row>
    <row r="304">
      <c r="D304" s="63"/>
    </row>
    <row r="305">
      <c r="D305" s="63"/>
    </row>
    <row r="306">
      <c r="D306" s="63"/>
    </row>
    <row r="307">
      <c r="D307" s="63"/>
    </row>
    <row r="308">
      <c r="D308" s="63"/>
    </row>
    <row r="309">
      <c r="D309" s="63"/>
    </row>
    <row r="310">
      <c r="D310" s="63"/>
    </row>
    <row r="311">
      <c r="D311" s="63"/>
    </row>
    <row r="312">
      <c r="D312" s="63"/>
    </row>
    <row r="313">
      <c r="D313" s="63"/>
    </row>
    <row r="314">
      <c r="D314" s="63"/>
    </row>
    <row r="315">
      <c r="D315" s="63"/>
    </row>
    <row r="316">
      <c r="D316" s="63"/>
    </row>
    <row r="317">
      <c r="D317" s="63"/>
    </row>
    <row r="318">
      <c r="D318" s="63"/>
    </row>
    <row r="319">
      <c r="D319" s="63"/>
    </row>
    <row r="320">
      <c r="D320" s="63"/>
    </row>
    <row r="321">
      <c r="D321" s="63"/>
    </row>
    <row r="322">
      <c r="D322" s="63"/>
    </row>
    <row r="323">
      <c r="D323" s="63"/>
    </row>
    <row r="324">
      <c r="D324" s="63"/>
    </row>
    <row r="325">
      <c r="D325" s="63"/>
    </row>
    <row r="326">
      <c r="D326" s="63"/>
    </row>
    <row r="327">
      <c r="D327" s="63"/>
    </row>
    <row r="328">
      <c r="D328" s="63"/>
    </row>
    <row r="329">
      <c r="D329" s="63"/>
    </row>
    <row r="330">
      <c r="D330" s="63"/>
    </row>
    <row r="331">
      <c r="D331" s="63"/>
    </row>
    <row r="332">
      <c r="D332" s="63"/>
    </row>
    <row r="333">
      <c r="D333" s="63"/>
    </row>
    <row r="334">
      <c r="D334" s="63"/>
    </row>
    <row r="335">
      <c r="D335" s="63"/>
    </row>
    <row r="336">
      <c r="D336" s="63"/>
    </row>
    <row r="337">
      <c r="D337" s="63"/>
    </row>
    <row r="338">
      <c r="D338" s="63"/>
    </row>
    <row r="339">
      <c r="D339" s="63"/>
    </row>
    <row r="340">
      <c r="D340" s="63"/>
    </row>
    <row r="341">
      <c r="D341" s="63"/>
    </row>
    <row r="342">
      <c r="D342" s="63"/>
    </row>
    <row r="343">
      <c r="D343" s="63"/>
    </row>
    <row r="344">
      <c r="D344" s="63"/>
    </row>
    <row r="345">
      <c r="D345" s="63"/>
    </row>
    <row r="346">
      <c r="D346" s="63"/>
    </row>
    <row r="347">
      <c r="D347" s="63"/>
    </row>
    <row r="348">
      <c r="D348" s="63"/>
    </row>
    <row r="349">
      <c r="D349" s="63"/>
    </row>
    <row r="350">
      <c r="D350" s="63"/>
    </row>
    <row r="351">
      <c r="D351" s="63"/>
    </row>
    <row r="352">
      <c r="D352" s="63"/>
    </row>
    <row r="353">
      <c r="D353" s="63"/>
    </row>
    <row r="354">
      <c r="D354" s="63"/>
    </row>
    <row r="355">
      <c r="D355" s="63"/>
    </row>
    <row r="356">
      <c r="D356" s="63"/>
    </row>
    <row r="357">
      <c r="D357" s="63"/>
    </row>
    <row r="358">
      <c r="D358" s="63"/>
    </row>
    <row r="359">
      <c r="D359" s="63"/>
    </row>
    <row r="360">
      <c r="D360" s="63"/>
    </row>
    <row r="361">
      <c r="D361" s="63"/>
    </row>
    <row r="362">
      <c r="D362" s="63"/>
    </row>
    <row r="363">
      <c r="D363" s="63"/>
    </row>
    <row r="364">
      <c r="D364" s="63"/>
    </row>
    <row r="365">
      <c r="D365" s="63"/>
    </row>
    <row r="366">
      <c r="D366" s="63"/>
    </row>
    <row r="367">
      <c r="D367" s="63"/>
    </row>
    <row r="368">
      <c r="D368" s="63"/>
    </row>
    <row r="369">
      <c r="D369" s="63"/>
    </row>
    <row r="370">
      <c r="D370" s="63"/>
    </row>
    <row r="371">
      <c r="D371" s="63"/>
    </row>
    <row r="372">
      <c r="D372" s="63"/>
    </row>
    <row r="373">
      <c r="D373" s="63"/>
    </row>
    <row r="374">
      <c r="D374" s="63"/>
    </row>
    <row r="375">
      <c r="D375" s="63"/>
    </row>
    <row r="376">
      <c r="D376" s="63"/>
    </row>
    <row r="377">
      <c r="D377" s="63"/>
    </row>
    <row r="378">
      <c r="D378" s="63"/>
    </row>
    <row r="379">
      <c r="D379" s="63"/>
    </row>
    <row r="380">
      <c r="D380" s="63"/>
    </row>
    <row r="381">
      <c r="D381" s="63"/>
    </row>
    <row r="382">
      <c r="D382" s="63"/>
    </row>
    <row r="383">
      <c r="D383" s="63"/>
    </row>
    <row r="384">
      <c r="D384" s="63"/>
    </row>
    <row r="385">
      <c r="D385" s="63"/>
    </row>
    <row r="386">
      <c r="D386" s="63"/>
    </row>
    <row r="387">
      <c r="D387" s="63"/>
    </row>
    <row r="388">
      <c r="D388" s="63"/>
    </row>
    <row r="389">
      <c r="D389" s="63"/>
    </row>
    <row r="390">
      <c r="D390" s="63"/>
    </row>
    <row r="391">
      <c r="D391" s="63"/>
    </row>
    <row r="392">
      <c r="D392" s="63"/>
    </row>
    <row r="393">
      <c r="D393" s="63"/>
    </row>
    <row r="394">
      <c r="D394" s="63"/>
    </row>
    <row r="395">
      <c r="D395" s="63"/>
    </row>
    <row r="396">
      <c r="D396" s="63"/>
    </row>
    <row r="397">
      <c r="D397" s="63"/>
    </row>
    <row r="398">
      <c r="D398" s="63"/>
    </row>
    <row r="399">
      <c r="D399" s="63"/>
    </row>
    <row r="400">
      <c r="D400" s="63"/>
    </row>
    <row r="401">
      <c r="D401" s="63"/>
    </row>
    <row r="402">
      <c r="D402" s="63"/>
    </row>
    <row r="403">
      <c r="D403" s="63"/>
    </row>
    <row r="404">
      <c r="D404" s="63"/>
    </row>
    <row r="405">
      <c r="D405" s="63"/>
    </row>
    <row r="406">
      <c r="D406" s="63"/>
    </row>
    <row r="407">
      <c r="D407" s="63"/>
    </row>
    <row r="408">
      <c r="D408" s="63"/>
    </row>
    <row r="409">
      <c r="D409" s="63"/>
    </row>
    <row r="410">
      <c r="D410" s="63"/>
    </row>
    <row r="411">
      <c r="D411" s="63"/>
    </row>
    <row r="412">
      <c r="D412" s="63"/>
    </row>
    <row r="413">
      <c r="D413" s="63"/>
    </row>
    <row r="414">
      <c r="D414" s="63"/>
    </row>
    <row r="415">
      <c r="D415" s="63"/>
    </row>
    <row r="416">
      <c r="D416" s="63"/>
    </row>
    <row r="417">
      <c r="D417" s="63"/>
    </row>
    <row r="418">
      <c r="D418" s="63"/>
    </row>
    <row r="419">
      <c r="D419" s="63"/>
    </row>
    <row r="420">
      <c r="D420" s="63"/>
    </row>
    <row r="421">
      <c r="D421" s="63"/>
    </row>
    <row r="422">
      <c r="D422" s="63"/>
    </row>
    <row r="423">
      <c r="D423" s="63"/>
    </row>
    <row r="424">
      <c r="D424" s="63"/>
    </row>
    <row r="425">
      <c r="D425" s="63"/>
    </row>
    <row r="426">
      <c r="D426" s="63"/>
    </row>
    <row r="427">
      <c r="D427" s="63"/>
    </row>
    <row r="428">
      <c r="D428" s="63"/>
    </row>
    <row r="429">
      <c r="D429" s="63"/>
    </row>
    <row r="430">
      <c r="D430" s="63"/>
    </row>
    <row r="431">
      <c r="D431" s="63"/>
    </row>
    <row r="432">
      <c r="D432" s="63"/>
    </row>
    <row r="433">
      <c r="D433" s="63"/>
    </row>
    <row r="434">
      <c r="D434" s="63"/>
    </row>
    <row r="435">
      <c r="D435" s="63"/>
    </row>
    <row r="436">
      <c r="D436" s="63"/>
    </row>
    <row r="437">
      <c r="D437" s="63"/>
    </row>
    <row r="438">
      <c r="D438" s="63"/>
    </row>
    <row r="439">
      <c r="D439" s="63"/>
    </row>
    <row r="440">
      <c r="D440" s="63"/>
    </row>
    <row r="441">
      <c r="D441" s="63"/>
    </row>
    <row r="442">
      <c r="D442" s="63"/>
    </row>
    <row r="443">
      <c r="D443" s="63"/>
    </row>
    <row r="444">
      <c r="D444" s="63"/>
    </row>
    <row r="445">
      <c r="D445" s="63"/>
    </row>
    <row r="446">
      <c r="D446" s="63"/>
    </row>
    <row r="447">
      <c r="D447" s="63"/>
    </row>
    <row r="448">
      <c r="D448" s="63"/>
    </row>
    <row r="449">
      <c r="D449" s="63"/>
    </row>
    <row r="450">
      <c r="D450" s="63"/>
    </row>
    <row r="451">
      <c r="D451" s="63"/>
    </row>
    <row r="452">
      <c r="D452" s="63"/>
    </row>
    <row r="453">
      <c r="D453" s="63"/>
    </row>
    <row r="454">
      <c r="D454" s="63"/>
    </row>
    <row r="455">
      <c r="D455" s="63"/>
    </row>
    <row r="456">
      <c r="D456" s="63"/>
    </row>
    <row r="457">
      <c r="D457" s="63"/>
    </row>
    <row r="458">
      <c r="D458" s="63"/>
    </row>
    <row r="459">
      <c r="D459" s="63"/>
    </row>
    <row r="460">
      <c r="D460" s="63"/>
    </row>
    <row r="461">
      <c r="D461" s="63"/>
    </row>
    <row r="462">
      <c r="D462" s="63"/>
    </row>
    <row r="463">
      <c r="D463" s="63"/>
    </row>
    <row r="464">
      <c r="D464" s="63"/>
    </row>
    <row r="465">
      <c r="D465" s="63"/>
    </row>
    <row r="466">
      <c r="D466" s="63"/>
    </row>
    <row r="467">
      <c r="D467" s="63"/>
    </row>
    <row r="468">
      <c r="D468" s="63"/>
    </row>
    <row r="469">
      <c r="D469" s="63"/>
    </row>
    <row r="470">
      <c r="D470" s="63"/>
    </row>
    <row r="471">
      <c r="D471" s="63"/>
    </row>
    <row r="472">
      <c r="D472" s="63"/>
    </row>
    <row r="473">
      <c r="D473" s="63"/>
    </row>
    <row r="474">
      <c r="D474" s="63"/>
    </row>
    <row r="475">
      <c r="D475" s="63"/>
    </row>
    <row r="476">
      <c r="D476" s="63"/>
    </row>
    <row r="477">
      <c r="D477" s="63"/>
    </row>
    <row r="478">
      <c r="D478" s="63"/>
    </row>
    <row r="479">
      <c r="D479" s="63"/>
    </row>
    <row r="480">
      <c r="D480" s="63"/>
    </row>
    <row r="481">
      <c r="D481" s="63"/>
    </row>
    <row r="482">
      <c r="D482" s="63"/>
    </row>
    <row r="483">
      <c r="D483" s="63"/>
    </row>
    <row r="484">
      <c r="D484" s="63"/>
    </row>
    <row r="485">
      <c r="D485" s="63"/>
    </row>
    <row r="486">
      <c r="D486" s="63"/>
    </row>
    <row r="487">
      <c r="D487" s="63"/>
    </row>
    <row r="488">
      <c r="D488" s="63"/>
    </row>
    <row r="489">
      <c r="D489" s="63"/>
    </row>
    <row r="490">
      <c r="D490" s="63"/>
    </row>
    <row r="491">
      <c r="D491" s="63"/>
    </row>
    <row r="492">
      <c r="D492" s="63"/>
    </row>
    <row r="493">
      <c r="D493" s="63"/>
    </row>
    <row r="494">
      <c r="D494" s="63"/>
    </row>
    <row r="495">
      <c r="D495" s="63"/>
    </row>
    <row r="496">
      <c r="D496" s="63"/>
    </row>
    <row r="497">
      <c r="D497" s="63"/>
    </row>
    <row r="498">
      <c r="D498" s="63"/>
    </row>
    <row r="499">
      <c r="D499" s="63"/>
    </row>
    <row r="500">
      <c r="D500" s="63"/>
    </row>
    <row r="501">
      <c r="D501" s="63"/>
    </row>
    <row r="502">
      <c r="D502" s="63"/>
    </row>
    <row r="503">
      <c r="D503" s="63"/>
    </row>
    <row r="504">
      <c r="D504" s="63"/>
    </row>
    <row r="505">
      <c r="D505" s="63"/>
    </row>
    <row r="506">
      <c r="D506" s="63"/>
    </row>
    <row r="507">
      <c r="D507" s="63"/>
    </row>
    <row r="508">
      <c r="D508" s="63"/>
    </row>
    <row r="509">
      <c r="D509" s="63"/>
    </row>
    <row r="510">
      <c r="D510" s="63"/>
    </row>
    <row r="511">
      <c r="D511" s="63"/>
    </row>
    <row r="512">
      <c r="D512" s="63"/>
    </row>
    <row r="513">
      <c r="D513" s="63"/>
    </row>
    <row r="514">
      <c r="D514" s="63"/>
    </row>
    <row r="515">
      <c r="D515" s="63"/>
    </row>
    <row r="516">
      <c r="D516" s="63"/>
    </row>
    <row r="517">
      <c r="D517" s="63"/>
    </row>
    <row r="518">
      <c r="D518" s="63"/>
    </row>
    <row r="519">
      <c r="D519" s="63"/>
    </row>
    <row r="520">
      <c r="D520" s="63"/>
    </row>
    <row r="521">
      <c r="D521" s="63"/>
    </row>
    <row r="522">
      <c r="D522" s="63"/>
    </row>
    <row r="523">
      <c r="D523" s="63"/>
    </row>
    <row r="524">
      <c r="D524" s="63"/>
    </row>
    <row r="525">
      <c r="D525" s="63"/>
    </row>
    <row r="526">
      <c r="D526" s="63"/>
    </row>
    <row r="527">
      <c r="D527" s="63"/>
    </row>
    <row r="528">
      <c r="D528" s="63"/>
    </row>
    <row r="529">
      <c r="D529" s="63"/>
    </row>
    <row r="530">
      <c r="D530" s="63"/>
    </row>
    <row r="531">
      <c r="D531" s="63"/>
    </row>
    <row r="532">
      <c r="D532" s="63"/>
    </row>
    <row r="533">
      <c r="D533" s="63"/>
    </row>
    <row r="534">
      <c r="D534" s="63"/>
    </row>
    <row r="535">
      <c r="D535" s="63"/>
    </row>
    <row r="536">
      <c r="D536" s="63"/>
    </row>
    <row r="537">
      <c r="D537" s="63"/>
    </row>
    <row r="538">
      <c r="D538" s="63"/>
    </row>
    <row r="539">
      <c r="D539" s="63"/>
    </row>
    <row r="540">
      <c r="D540" s="63"/>
    </row>
    <row r="541">
      <c r="D541" s="63"/>
    </row>
    <row r="542">
      <c r="D542" s="63"/>
    </row>
    <row r="543">
      <c r="D543" s="63"/>
    </row>
    <row r="544">
      <c r="D544" s="63"/>
    </row>
    <row r="545">
      <c r="D545" s="63"/>
    </row>
    <row r="546">
      <c r="D546" s="63"/>
    </row>
    <row r="547">
      <c r="D547" s="63"/>
    </row>
    <row r="548">
      <c r="D548" s="63"/>
    </row>
    <row r="549">
      <c r="D549" s="63"/>
    </row>
    <row r="550">
      <c r="D550" s="63"/>
    </row>
    <row r="551">
      <c r="D551" s="63"/>
    </row>
    <row r="552">
      <c r="D552" s="63"/>
    </row>
    <row r="553">
      <c r="D553" s="63"/>
    </row>
    <row r="554">
      <c r="D554" s="63"/>
    </row>
    <row r="555">
      <c r="D555" s="63"/>
    </row>
    <row r="556">
      <c r="D556" s="63"/>
    </row>
    <row r="557">
      <c r="D557" s="63"/>
    </row>
    <row r="558">
      <c r="D558" s="63"/>
    </row>
    <row r="559">
      <c r="D559" s="63"/>
    </row>
    <row r="560">
      <c r="D560" s="63"/>
    </row>
    <row r="561">
      <c r="D561" s="63"/>
    </row>
    <row r="562">
      <c r="D562" s="63"/>
    </row>
    <row r="563">
      <c r="D563" s="63"/>
    </row>
    <row r="564">
      <c r="D564" s="63"/>
    </row>
    <row r="565">
      <c r="D565" s="63"/>
    </row>
    <row r="566">
      <c r="D566" s="63"/>
    </row>
    <row r="567">
      <c r="D567" s="63"/>
    </row>
    <row r="568">
      <c r="D568" s="63"/>
    </row>
    <row r="569">
      <c r="D569" s="63"/>
    </row>
    <row r="570">
      <c r="D570" s="63"/>
    </row>
    <row r="571">
      <c r="D571" s="63"/>
    </row>
    <row r="572">
      <c r="D572" s="63"/>
    </row>
    <row r="573">
      <c r="D573" s="63"/>
    </row>
    <row r="574">
      <c r="D574" s="63"/>
    </row>
    <row r="575">
      <c r="D575" s="63"/>
    </row>
    <row r="576">
      <c r="D576" s="63"/>
    </row>
    <row r="577">
      <c r="D577" s="63"/>
    </row>
    <row r="578">
      <c r="D578" s="63"/>
    </row>
    <row r="579">
      <c r="D579" s="63"/>
    </row>
    <row r="580">
      <c r="D580" s="63"/>
    </row>
    <row r="581">
      <c r="D581" s="63"/>
    </row>
    <row r="582">
      <c r="D582" s="63"/>
    </row>
    <row r="583">
      <c r="D583" s="63"/>
    </row>
    <row r="584">
      <c r="D584" s="63"/>
    </row>
    <row r="585">
      <c r="D585" s="63"/>
    </row>
    <row r="586">
      <c r="D586" s="63"/>
    </row>
    <row r="587">
      <c r="D587" s="63"/>
    </row>
    <row r="588">
      <c r="D588" s="63"/>
    </row>
    <row r="589">
      <c r="D589" s="63"/>
    </row>
    <row r="590">
      <c r="D590" s="63"/>
    </row>
    <row r="591">
      <c r="D591" s="63"/>
    </row>
    <row r="592">
      <c r="D592" s="63"/>
    </row>
    <row r="593">
      <c r="D593" s="63"/>
    </row>
    <row r="594">
      <c r="D594" s="63"/>
    </row>
    <row r="595">
      <c r="D595" s="63"/>
    </row>
    <row r="596">
      <c r="D596" s="63"/>
    </row>
    <row r="597">
      <c r="D597" s="63"/>
    </row>
    <row r="598">
      <c r="D598" s="63"/>
    </row>
    <row r="599">
      <c r="D599" s="63"/>
    </row>
    <row r="600">
      <c r="D600" s="63"/>
    </row>
    <row r="601">
      <c r="D601" s="63"/>
    </row>
    <row r="602">
      <c r="D602" s="63"/>
    </row>
    <row r="603">
      <c r="D603" s="63"/>
    </row>
    <row r="604">
      <c r="D604" s="63"/>
    </row>
    <row r="605">
      <c r="D605" s="63"/>
    </row>
    <row r="606">
      <c r="D606" s="63"/>
    </row>
    <row r="607">
      <c r="D607" s="63"/>
    </row>
    <row r="608">
      <c r="D608" s="63"/>
    </row>
    <row r="609">
      <c r="D609" s="63"/>
    </row>
    <row r="610">
      <c r="D610" s="63"/>
    </row>
    <row r="611">
      <c r="D611" s="63"/>
    </row>
    <row r="612">
      <c r="D612" s="63"/>
    </row>
    <row r="613">
      <c r="D613" s="63"/>
    </row>
    <row r="614">
      <c r="D614" s="63"/>
    </row>
    <row r="615">
      <c r="D615" s="63"/>
    </row>
    <row r="616">
      <c r="D616" s="63"/>
    </row>
    <row r="617">
      <c r="D617" s="63"/>
    </row>
    <row r="618">
      <c r="D618" s="63"/>
    </row>
    <row r="619">
      <c r="D619" s="63"/>
    </row>
    <row r="620">
      <c r="D620" s="63"/>
    </row>
    <row r="621">
      <c r="D621" s="63"/>
    </row>
    <row r="622">
      <c r="D622" s="63"/>
    </row>
    <row r="623">
      <c r="D623" s="63"/>
    </row>
    <row r="624">
      <c r="D624" s="63"/>
    </row>
    <row r="625">
      <c r="D625" s="63"/>
    </row>
    <row r="626">
      <c r="D626" s="63"/>
    </row>
    <row r="627">
      <c r="D627" s="63"/>
    </row>
    <row r="628">
      <c r="D628" s="63"/>
    </row>
    <row r="629">
      <c r="D629" s="63"/>
    </row>
    <row r="630">
      <c r="D630" s="63"/>
    </row>
    <row r="631">
      <c r="D631" s="63"/>
    </row>
    <row r="632">
      <c r="D632" s="63"/>
    </row>
    <row r="633">
      <c r="D633" s="63"/>
    </row>
    <row r="634">
      <c r="D634" s="63"/>
    </row>
    <row r="635">
      <c r="D635" s="63"/>
    </row>
    <row r="636">
      <c r="D636" s="63"/>
    </row>
    <row r="637">
      <c r="D637" s="63"/>
    </row>
    <row r="638">
      <c r="D638" s="63"/>
    </row>
    <row r="639">
      <c r="D639" s="63"/>
    </row>
    <row r="640">
      <c r="D640" s="63"/>
    </row>
    <row r="641">
      <c r="D641" s="63"/>
    </row>
    <row r="642">
      <c r="D642" s="63"/>
    </row>
    <row r="643">
      <c r="D643" s="63"/>
    </row>
    <row r="644">
      <c r="D644" s="63"/>
    </row>
    <row r="645">
      <c r="D645" s="63"/>
    </row>
    <row r="646">
      <c r="D646" s="63"/>
    </row>
    <row r="647">
      <c r="D647" s="63"/>
    </row>
    <row r="648">
      <c r="D648" s="63"/>
    </row>
    <row r="649">
      <c r="D649" s="63"/>
    </row>
    <row r="650">
      <c r="D650" s="63"/>
    </row>
    <row r="651">
      <c r="D651" s="63"/>
    </row>
    <row r="652">
      <c r="D652" s="63"/>
    </row>
    <row r="653">
      <c r="D653" s="63"/>
    </row>
    <row r="654">
      <c r="D654" s="63"/>
    </row>
    <row r="655">
      <c r="D655" s="63"/>
    </row>
    <row r="656">
      <c r="D656" s="63"/>
    </row>
    <row r="657">
      <c r="D657" s="63"/>
    </row>
    <row r="658">
      <c r="D658" s="63"/>
    </row>
    <row r="659">
      <c r="D659" s="63"/>
    </row>
    <row r="660">
      <c r="D660" s="63"/>
    </row>
    <row r="661">
      <c r="D661" s="63"/>
    </row>
    <row r="662">
      <c r="D662" s="63"/>
    </row>
    <row r="663">
      <c r="D663" s="63"/>
    </row>
    <row r="664">
      <c r="D664" s="63"/>
    </row>
    <row r="665">
      <c r="D665" s="63"/>
    </row>
    <row r="666">
      <c r="D666" s="63"/>
    </row>
    <row r="667">
      <c r="D667" s="63"/>
    </row>
    <row r="668">
      <c r="D668" s="63"/>
    </row>
    <row r="669">
      <c r="D669" s="63"/>
    </row>
    <row r="670">
      <c r="D670" s="63"/>
    </row>
    <row r="671">
      <c r="D671" s="63"/>
    </row>
    <row r="672">
      <c r="D672" s="63"/>
    </row>
    <row r="673">
      <c r="D673" s="63"/>
    </row>
    <row r="674">
      <c r="D674" s="63"/>
    </row>
    <row r="675">
      <c r="D675" s="63"/>
    </row>
    <row r="676">
      <c r="D676" s="63"/>
    </row>
    <row r="677">
      <c r="D677" s="63"/>
    </row>
    <row r="678">
      <c r="D678" s="63"/>
    </row>
    <row r="679">
      <c r="D679" s="63"/>
    </row>
    <row r="680">
      <c r="D680" s="63"/>
    </row>
    <row r="681">
      <c r="D681" s="63"/>
    </row>
    <row r="682">
      <c r="D682" s="63"/>
    </row>
    <row r="683">
      <c r="D683" s="63"/>
    </row>
    <row r="684">
      <c r="D684" s="63"/>
    </row>
    <row r="685">
      <c r="D685" s="63"/>
    </row>
    <row r="686">
      <c r="D686" s="63"/>
    </row>
    <row r="687">
      <c r="D687" s="63"/>
    </row>
    <row r="688">
      <c r="D688" s="63"/>
    </row>
    <row r="689">
      <c r="D689" s="63"/>
    </row>
    <row r="690">
      <c r="D690" s="63"/>
    </row>
    <row r="691">
      <c r="D691" s="63"/>
    </row>
    <row r="692">
      <c r="D692" s="63"/>
    </row>
    <row r="693">
      <c r="D693" s="63"/>
    </row>
    <row r="694">
      <c r="D694" s="63"/>
    </row>
    <row r="695">
      <c r="D695" s="63"/>
    </row>
    <row r="696">
      <c r="D696" s="63"/>
    </row>
    <row r="697">
      <c r="D697" s="63"/>
    </row>
    <row r="698">
      <c r="D698" s="63"/>
    </row>
    <row r="699">
      <c r="D699" s="63"/>
    </row>
    <row r="700">
      <c r="D700" s="63"/>
    </row>
    <row r="701">
      <c r="D701" s="63"/>
    </row>
    <row r="702">
      <c r="D702" s="63"/>
    </row>
    <row r="703">
      <c r="D703" s="63"/>
    </row>
    <row r="704">
      <c r="D704" s="63"/>
    </row>
    <row r="705">
      <c r="D705" s="63"/>
    </row>
    <row r="706">
      <c r="D706" s="63"/>
    </row>
    <row r="707">
      <c r="D707" s="63"/>
    </row>
    <row r="708">
      <c r="D708" s="63"/>
    </row>
    <row r="709">
      <c r="D709" s="63"/>
    </row>
    <row r="710">
      <c r="D710" s="63"/>
    </row>
    <row r="711">
      <c r="D711" s="63"/>
    </row>
    <row r="712">
      <c r="D712" s="63"/>
    </row>
    <row r="713">
      <c r="D713" s="63"/>
    </row>
    <row r="714">
      <c r="D714" s="63"/>
    </row>
    <row r="715">
      <c r="D715" s="63"/>
    </row>
    <row r="716">
      <c r="D716" s="63"/>
    </row>
    <row r="717">
      <c r="D717" s="63"/>
    </row>
    <row r="718">
      <c r="D718" s="63"/>
    </row>
    <row r="719">
      <c r="D719" s="63"/>
    </row>
    <row r="720">
      <c r="D720" s="63"/>
    </row>
    <row r="721">
      <c r="D721" s="63"/>
    </row>
    <row r="722">
      <c r="D722" s="63"/>
    </row>
    <row r="723">
      <c r="D723" s="63"/>
    </row>
    <row r="724">
      <c r="D724" s="63"/>
    </row>
    <row r="725">
      <c r="D725" s="63"/>
    </row>
    <row r="726">
      <c r="D726" s="63"/>
    </row>
    <row r="727">
      <c r="D727" s="63"/>
    </row>
    <row r="728">
      <c r="D728" s="63"/>
    </row>
    <row r="729">
      <c r="D729" s="63"/>
    </row>
    <row r="730">
      <c r="D730" s="63"/>
    </row>
    <row r="731">
      <c r="D731" s="63"/>
    </row>
    <row r="732">
      <c r="D732" s="63"/>
    </row>
    <row r="733">
      <c r="D733" s="63"/>
    </row>
    <row r="734">
      <c r="D734" s="63"/>
    </row>
    <row r="735">
      <c r="D735" s="63"/>
    </row>
    <row r="736">
      <c r="D736" s="63"/>
    </row>
    <row r="737">
      <c r="D737" s="63"/>
    </row>
    <row r="738">
      <c r="D738" s="63"/>
    </row>
    <row r="739">
      <c r="D739" s="63"/>
    </row>
    <row r="740">
      <c r="D740" s="63"/>
    </row>
    <row r="741">
      <c r="D741" s="63"/>
    </row>
    <row r="742">
      <c r="D742" s="63"/>
    </row>
    <row r="743">
      <c r="D743" s="63"/>
    </row>
    <row r="744">
      <c r="D744" s="63"/>
    </row>
    <row r="745">
      <c r="D745" s="63"/>
    </row>
    <row r="746">
      <c r="D746" s="63"/>
    </row>
    <row r="747">
      <c r="D747" s="63"/>
    </row>
    <row r="748">
      <c r="D748" s="63"/>
    </row>
    <row r="749">
      <c r="D749" s="63"/>
    </row>
    <row r="750">
      <c r="D750" s="63"/>
    </row>
    <row r="751">
      <c r="D751" s="63"/>
    </row>
    <row r="752">
      <c r="D752" s="63"/>
    </row>
    <row r="753">
      <c r="D753" s="63"/>
    </row>
    <row r="754">
      <c r="D754" s="63"/>
    </row>
    <row r="755">
      <c r="D755" s="63"/>
    </row>
    <row r="756">
      <c r="D756" s="63"/>
    </row>
    <row r="757">
      <c r="D757" s="63"/>
    </row>
    <row r="758">
      <c r="D758" s="63"/>
    </row>
    <row r="759">
      <c r="D759" s="63"/>
    </row>
    <row r="760">
      <c r="D760" s="63"/>
    </row>
    <row r="761">
      <c r="D761" s="63"/>
    </row>
    <row r="762">
      <c r="D762" s="63"/>
    </row>
    <row r="763">
      <c r="D763" s="63"/>
    </row>
    <row r="764">
      <c r="D764" s="63"/>
    </row>
    <row r="765">
      <c r="D765" s="63"/>
    </row>
    <row r="766">
      <c r="D766" s="63"/>
    </row>
    <row r="767">
      <c r="D767" s="63"/>
    </row>
    <row r="768">
      <c r="D768" s="63"/>
    </row>
    <row r="769">
      <c r="D769" s="63"/>
    </row>
    <row r="770">
      <c r="D770" s="63"/>
    </row>
    <row r="771">
      <c r="D771" s="63"/>
    </row>
    <row r="772">
      <c r="D772" s="63"/>
    </row>
    <row r="773">
      <c r="D773" s="63"/>
    </row>
    <row r="774">
      <c r="D774" s="63"/>
    </row>
    <row r="775">
      <c r="D775" s="63"/>
    </row>
    <row r="776">
      <c r="D776" s="63"/>
    </row>
    <row r="777">
      <c r="D777" s="63"/>
    </row>
    <row r="778">
      <c r="D778" s="63"/>
    </row>
    <row r="779">
      <c r="D779" s="63"/>
    </row>
    <row r="780">
      <c r="D780" s="63"/>
    </row>
    <row r="781">
      <c r="D781" s="63"/>
    </row>
    <row r="782">
      <c r="D782" s="63"/>
    </row>
    <row r="783">
      <c r="D783" s="63"/>
    </row>
    <row r="784">
      <c r="D784" s="63"/>
    </row>
    <row r="785">
      <c r="D785" s="63"/>
    </row>
    <row r="786">
      <c r="D786" s="63"/>
    </row>
    <row r="787">
      <c r="D787" s="63"/>
    </row>
    <row r="788">
      <c r="D788" s="63"/>
    </row>
    <row r="789">
      <c r="D789" s="63"/>
    </row>
    <row r="790">
      <c r="D790" s="63"/>
    </row>
    <row r="791">
      <c r="D791" s="63"/>
    </row>
    <row r="792">
      <c r="D792" s="63"/>
    </row>
    <row r="793">
      <c r="D793" s="63"/>
    </row>
    <row r="794">
      <c r="D794" s="63"/>
    </row>
    <row r="795">
      <c r="D795" s="63"/>
    </row>
    <row r="796">
      <c r="D796" s="63"/>
    </row>
    <row r="797">
      <c r="D797" s="63"/>
    </row>
    <row r="798">
      <c r="D798" s="63"/>
    </row>
    <row r="799">
      <c r="D799" s="63"/>
    </row>
    <row r="800">
      <c r="D800" s="63"/>
    </row>
    <row r="801">
      <c r="D801" s="63"/>
    </row>
    <row r="802">
      <c r="D802" s="63"/>
    </row>
    <row r="803">
      <c r="D803" s="63"/>
    </row>
    <row r="804">
      <c r="D804" s="63"/>
    </row>
    <row r="805">
      <c r="D805" s="63"/>
    </row>
    <row r="806">
      <c r="D806" s="63"/>
    </row>
    <row r="807">
      <c r="D807" s="63"/>
    </row>
    <row r="808">
      <c r="D808" s="63"/>
    </row>
    <row r="809">
      <c r="D809" s="63"/>
    </row>
    <row r="810">
      <c r="D810" s="63"/>
    </row>
    <row r="811">
      <c r="D811" s="63"/>
    </row>
    <row r="812">
      <c r="D812" s="63"/>
    </row>
    <row r="813">
      <c r="D813" s="63"/>
    </row>
    <row r="814">
      <c r="D814" s="63"/>
    </row>
    <row r="815">
      <c r="D815" s="63"/>
    </row>
    <row r="816">
      <c r="D816" s="63"/>
    </row>
    <row r="817">
      <c r="D817" s="63"/>
    </row>
    <row r="818">
      <c r="D818" s="63"/>
    </row>
    <row r="819">
      <c r="D819" s="63"/>
    </row>
    <row r="820">
      <c r="D820" s="63"/>
    </row>
    <row r="821">
      <c r="D821" s="63"/>
    </row>
    <row r="822">
      <c r="D822" s="63"/>
    </row>
    <row r="823">
      <c r="D823" s="63"/>
    </row>
    <row r="824">
      <c r="D824" s="63"/>
    </row>
    <row r="825">
      <c r="D825" s="63"/>
    </row>
    <row r="826">
      <c r="D826" s="63"/>
    </row>
    <row r="827">
      <c r="D827" s="63"/>
    </row>
    <row r="828">
      <c r="D828" s="63"/>
    </row>
    <row r="829">
      <c r="D829" s="63"/>
    </row>
    <row r="830">
      <c r="D830" s="63"/>
    </row>
    <row r="831">
      <c r="D831" s="63"/>
    </row>
    <row r="832">
      <c r="D832" s="63"/>
    </row>
    <row r="833">
      <c r="D833" s="63"/>
    </row>
    <row r="834">
      <c r="D834" s="63"/>
    </row>
    <row r="835">
      <c r="D835" s="63"/>
    </row>
    <row r="836">
      <c r="D836" s="63"/>
    </row>
    <row r="837">
      <c r="D837" s="63"/>
    </row>
    <row r="838">
      <c r="D838" s="63"/>
    </row>
    <row r="839">
      <c r="D839" s="63"/>
    </row>
    <row r="840">
      <c r="D840" s="63"/>
    </row>
    <row r="841">
      <c r="D841" s="63"/>
    </row>
    <row r="842">
      <c r="D842" s="63"/>
    </row>
    <row r="843">
      <c r="D843" s="63"/>
    </row>
    <row r="844">
      <c r="D844" s="63"/>
    </row>
    <row r="845">
      <c r="D845" s="63"/>
    </row>
    <row r="846">
      <c r="D846" s="63"/>
    </row>
    <row r="847">
      <c r="D847" s="63"/>
    </row>
    <row r="848">
      <c r="D848" s="63"/>
    </row>
    <row r="849">
      <c r="D849" s="63"/>
    </row>
    <row r="850">
      <c r="D850" s="63"/>
    </row>
    <row r="851">
      <c r="D851" s="63"/>
    </row>
    <row r="852">
      <c r="D852" s="63"/>
    </row>
    <row r="853">
      <c r="D853" s="63"/>
    </row>
    <row r="854">
      <c r="D854" s="63"/>
    </row>
    <row r="855">
      <c r="D855" s="63"/>
    </row>
    <row r="856">
      <c r="D856" s="63"/>
    </row>
    <row r="857">
      <c r="D857" s="63"/>
    </row>
    <row r="858">
      <c r="D858" s="63"/>
    </row>
    <row r="859">
      <c r="D859" s="63"/>
    </row>
    <row r="860">
      <c r="D860" s="63"/>
    </row>
    <row r="861">
      <c r="D861" s="63"/>
    </row>
    <row r="862">
      <c r="D862" s="63"/>
    </row>
    <row r="863">
      <c r="D863" s="63"/>
    </row>
    <row r="864">
      <c r="D864" s="63"/>
    </row>
    <row r="865">
      <c r="D865" s="63"/>
    </row>
    <row r="866">
      <c r="D866" s="63"/>
    </row>
    <row r="867">
      <c r="D867" s="63"/>
    </row>
    <row r="868">
      <c r="D868" s="63"/>
    </row>
    <row r="869">
      <c r="D869" s="63"/>
    </row>
    <row r="870">
      <c r="D870" s="63"/>
    </row>
    <row r="871">
      <c r="D871" s="63"/>
    </row>
    <row r="872">
      <c r="D872" s="63"/>
    </row>
    <row r="873">
      <c r="D873" s="63"/>
    </row>
    <row r="874">
      <c r="D874" s="63"/>
    </row>
    <row r="875">
      <c r="D875" s="63"/>
    </row>
    <row r="876">
      <c r="D876" s="63"/>
    </row>
    <row r="877">
      <c r="D877" s="63"/>
    </row>
    <row r="878">
      <c r="D878" s="63"/>
    </row>
    <row r="879">
      <c r="D879" s="63"/>
    </row>
    <row r="880">
      <c r="D880" s="63"/>
    </row>
    <row r="881">
      <c r="D881" s="63"/>
    </row>
    <row r="882">
      <c r="D882" s="63"/>
    </row>
    <row r="883">
      <c r="D883" s="63"/>
    </row>
    <row r="884">
      <c r="D884" s="63"/>
    </row>
    <row r="885">
      <c r="D885" s="63"/>
    </row>
    <row r="886">
      <c r="D886" s="63"/>
    </row>
    <row r="887">
      <c r="D887" s="63"/>
    </row>
    <row r="888">
      <c r="D888" s="63"/>
    </row>
    <row r="889">
      <c r="D889" s="63"/>
    </row>
    <row r="890">
      <c r="D890" s="63"/>
    </row>
    <row r="891">
      <c r="D891" s="63"/>
    </row>
    <row r="892">
      <c r="D892" s="63"/>
    </row>
    <row r="893">
      <c r="D893" s="63"/>
    </row>
    <row r="894">
      <c r="D894" s="63"/>
    </row>
    <row r="895">
      <c r="D895" s="63"/>
    </row>
    <row r="896">
      <c r="D896" s="63"/>
    </row>
    <row r="897">
      <c r="D897" s="63"/>
    </row>
    <row r="898">
      <c r="D898" s="63"/>
    </row>
    <row r="899">
      <c r="D899" s="63"/>
    </row>
    <row r="900">
      <c r="D900" s="63"/>
    </row>
    <row r="901">
      <c r="D901" s="63"/>
    </row>
    <row r="902">
      <c r="D902" s="63"/>
    </row>
    <row r="903">
      <c r="D903" s="63"/>
    </row>
    <row r="904">
      <c r="D904" s="63"/>
    </row>
    <row r="905">
      <c r="D905" s="63"/>
    </row>
    <row r="906">
      <c r="D906" s="63"/>
    </row>
    <row r="907">
      <c r="D907" s="63"/>
    </row>
    <row r="908">
      <c r="D908" s="63"/>
    </row>
    <row r="909">
      <c r="D909" s="63"/>
    </row>
    <row r="910">
      <c r="D910" s="63"/>
    </row>
    <row r="911">
      <c r="D911" s="63"/>
    </row>
    <row r="912">
      <c r="D912" s="63"/>
    </row>
    <row r="913">
      <c r="D913" s="63"/>
    </row>
    <row r="914">
      <c r="D914" s="63"/>
    </row>
    <row r="915">
      <c r="D915" s="63"/>
    </row>
    <row r="916">
      <c r="D916" s="63"/>
    </row>
    <row r="917">
      <c r="D917" s="63"/>
    </row>
    <row r="918">
      <c r="D918" s="63"/>
    </row>
    <row r="919">
      <c r="D919" s="63"/>
    </row>
    <row r="920">
      <c r="D920" s="63"/>
    </row>
    <row r="921">
      <c r="D921" s="63"/>
    </row>
    <row r="922">
      <c r="D922" s="63"/>
    </row>
    <row r="923">
      <c r="D923" s="63"/>
    </row>
    <row r="924">
      <c r="D924" s="63"/>
    </row>
    <row r="925">
      <c r="D925" s="63"/>
    </row>
    <row r="926">
      <c r="D926" s="63"/>
    </row>
    <row r="927">
      <c r="D927" s="63"/>
    </row>
    <row r="928">
      <c r="D928" s="63"/>
    </row>
    <row r="929">
      <c r="D929" s="63"/>
    </row>
    <row r="930">
      <c r="D930" s="63"/>
    </row>
    <row r="931">
      <c r="D931" s="63"/>
    </row>
    <row r="932">
      <c r="D932" s="63"/>
    </row>
    <row r="933">
      <c r="D933" s="63"/>
    </row>
    <row r="934">
      <c r="D934" s="63"/>
    </row>
    <row r="935">
      <c r="D935" s="63"/>
    </row>
    <row r="936">
      <c r="D936" s="63"/>
    </row>
    <row r="937">
      <c r="D937" s="63"/>
    </row>
    <row r="938">
      <c r="D938" s="63"/>
    </row>
    <row r="939">
      <c r="D939" s="63"/>
    </row>
    <row r="940">
      <c r="D940" s="63"/>
    </row>
    <row r="941">
      <c r="D941" s="63"/>
    </row>
    <row r="942">
      <c r="D942" s="63"/>
    </row>
    <row r="943">
      <c r="D943" s="63"/>
    </row>
    <row r="944">
      <c r="D944" s="63"/>
    </row>
    <row r="945">
      <c r="D945" s="63"/>
    </row>
    <row r="946">
      <c r="D946" s="63"/>
    </row>
    <row r="947">
      <c r="D947" s="63"/>
    </row>
    <row r="948">
      <c r="D948" s="63"/>
    </row>
    <row r="949">
      <c r="D949" s="63"/>
    </row>
    <row r="950">
      <c r="D950" s="63"/>
    </row>
    <row r="951">
      <c r="D951" s="63"/>
    </row>
    <row r="952">
      <c r="D952" s="63"/>
    </row>
    <row r="953">
      <c r="D953" s="63"/>
    </row>
    <row r="954">
      <c r="D954" s="63"/>
    </row>
    <row r="955">
      <c r="D955" s="63"/>
    </row>
    <row r="956">
      <c r="D956" s="63"/>
    </row>
    <row r="957">
      <c r="D957" s="63"/>
    </row>
    <row r="958">
      <c r="D958" s="63"/>
    </row>
    <row r="959">
      <c r="D959" s="63"/>
    </row>
    <row r="960">
      <c r="D960" s="63"/>
    </row>
    <row r="961">
      <c r="D961" s="63"/>
    </row>
    <row r="962">
      <c r="D962" s="63"/>
    </row>
    <row r="963">
      <c r="D963" s="63"/>
    </row>
    <row r="964">
      <c r="D964" s="63"/>
    </row>
    <row r="965">
      <c r="D965" s="63"/>
    </row>
    <row r="966">
      <c r="D966" s="63"/>
    </row>
    <row r="967">
      <c r="D967" s="63"/>
    </row>
    <row r="968">
      <c r="D968" s="63"/>
    </row>
    <row r="969">
      <c r="D969" s="63"/>
    </row>
    <row r="970">
      <c r="D970" s="63"/>
    </row>
    <row r="971">
      <c r="D971" s="63"/>
    </row>
    <row r="972">
      <c r="D972" s="63"/>
    </row>
    <row r="973">
      <c r="D973" s="63"/>
    </row>
    <row r="974">
      <c r="D974" s="63"/>
    </row>
    <row r="975">
      <c r="D975" s="63"/>
    </row>
    <row r="976">
      <c r="D976" s="63"/>
    </row>
    <row r="977">
      <c r="D977" s="63"/>
    </row>
    <row r="978">
      <c r="D978" s="63"/>
    </row>
    <row r="979">
      <c r="D979" s="63"/>
    </row>
    <row r="980">
      <c r="D980" s="63"/>
    </row>
    <row r="981">
      <c r="D981" s="63"/>
    </row>
    <row r="982">
      <c r="D982" s="63"/>
    </row>
    <row r="983">
      <c r="D983" s="63"/>
    </row>
    <row r="984">
      <c r="D984" s="63"/>
    </row>
    <row r="985">
      <c r="D985" s="63"/>
    </row>
    <row r="986">
      <c r="D986" s="63"/>
    </row>
    <row r="987">
      <c r="D987" s="63"/>
    </row>
    <row r="988">
      <c r="D988" s="63"/>
    </row>
    <row r="989">
      <c r="D989" s="63"/>
    </row>
    <row r="990">
      <c r="D990" s="63"/>
    </row>
    <row r="991">
      <c r="D991" s="63"/>
    </row>
    <row r="992">
      <c r="D992" s="63"/>
    </row>
    <row r="993">
      <c r="D993" s="63"/>
    </row>
    <row r="994">
      <c r="D994" s="63"/>
    </row>
    <row r="995">
      <c r="D995" s="63"/>
    </row>
    <row r="996">
      <c r="D996" s="63"/>
    </row>
    <row r="997">
      <c r="D997" s="63"/>
    </row>
    <row r="998">
      <c r="D998" s="63"/>
    </row>
    <row r="999">
      <c r="D999" s="63"/>
    </row>
    <row r="1000">
      <c r="D1000" s="63"/>
    </row>
  </sheetData>
  <autoFilter ref="$A$1:$J$72"/>
  <hyperlinks>
    <hyperlink r:id="rId1" ref="D64"/>
    <hyperlink r:id="rId2" ref="D65"/>
    <hyperlink r:id="rId3" ref="D66"/>
    <hyperlink r:id="rId4" ref="D67"/>
  </hyperlinks>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4">
        <v>45500.0</v>
      </c>
      <c r="B2" s="55" t="str">
        <f>HYPERLINK("https://jobright.ai/jobs/info/66a46c380a31bbf4b809cc6c?utm_campaign=1065&amp;utm_source=sheet", "Apply")</f>
        <v>Apply</v>
      </c>
      <c r="C2" s="10" t="s">
        <v>12629</v>
      </c>
      <c r="D2" s="56" t="s">
        <v>2077</v>
      </c>
      <c r="E2" s="10" t="s">
        <v>45</v>
      </c>
      <c r="F2" s="10" t="s">
        <v>1234</v>
      </c>
      <c r="G2" s="10" t="s">
        <v>12630</v>
      </c>
      <c r="H2" s="10" t="s">
        <v>2078</v>
      </c>
      <c r="I2" s="10" t="s">
        <v>55</v>
      </c>
      <c r="J2" s="10" t="s">
        <v>1761</v>
      </c>
      <c r="K2" s="10" t="s">
        <v>12631</v>
      </c>
      <c r="L2" s="10" t="s">
        <v>42</v>
      </c>
    </row>
    <row r="3" ht="15.75" customHeight="1">
      <c r="A3" s="64">
        <v>45500.0</v>
      </c>
      <c r="B3" s="55" t="str">
        <f>HYPERLINK("https://jobright.ai/jobs/info/66a45ac7d7afe57e1001e418?utm_campaign=1065&amp;utm_source=sheet", "Apply")</f>
        <v>Apply</v>
      </c>
      <c r="C3" s="10" t="s">
        <v>12632</v>
      </c>
      <c r="D3" s="56" t="s">
        <v>12633</v>
      </c>
      <c r="E3" s="10" t="s">
        <v>79</v>
      </c>
      <c r="F3" s="10" t="s">
        <v>12634</v>
      </c>
      <c r="G3" s="10" t="s">
        <v>12635</v>
      </c>
      <c r="H3" s="10" t="s">
        <v>8727</v>
      </c>
      <c r="I3" s="10" t="s">
        <v>55</v>
      </c>
      <c r="J3" s="10" t="s">
        <v>12636</v>
      </c>
      <c r="K3" s="10" t="s">
        <v>12637</v>
      </c>
      <c r="L3" s="10" t="s">
        <v>42</v>
      </c>
    </row>
    <row r="4" ht="15.75" customHeight="1">
      <c r="A4" s="64">
        <v>45500.0</v>
      </c>
      <c r="B4" s="55" t="str">
        <f>HYPERLINK("https://jobright.ai/jobs/info/66a4679db3be1457cab2afe2?utm_campaign=1065&amp;utm_source=sheet", "Apply")</f>
        <v>Apply</v>
      </c>
      <c r="C4" s="10" t="s">
        <v>12638</v>
      </c>
      <c r="D4" s="56" t="s">
        <v>12639</v>
      </c>
      <c r="E4" s="10">
        <v>33.0</v>
      </c>
      <c r="G4" s="10" t="s">
        <v>12630</v>
      </c>
      <c r="H4" s="10" t="s">
        <v>974</v>
      </c>
      <c r="I4" s="10" t="s">
        <v>48</v>
      </c>
      <c r="K4" s="10" t="s">
        <v>12640</v>
      </c>
      <c r="L4" s="10" t="s">
        <v>42</v>
      </c>
    </row>
    <row r="5" ht="15.75" customHeight="1">
      <c r="A5" s="64">
        <v>45500.0</v>
      </c>
      <c r="B5" s="55" t="str">
        <f>HYPERLINK("https://jobright.ai/jobs/info/66a45d592cbd0428278b11a5?utm_campaign=1065&amp;utm_source=sheet", "Apply")</f>
        <v>Apply</v>
      </c>
      <c r="C5" s="10" t="s">
        <v>9688</v>
      </c>
      <c r="D5" s="56" t="s">
        <v>12641</v>
      </c>
      <c r="E5" s="10" t="s">
        <v>79</v>
      </c>
      <c r="F5" s="10" t="s">
        <v>12642</v>
      </c>
      <c r="G5" s="10" t="s">
        <v>12630</v>
      </c>
      <c r="H5" s="10" t="s">
        <v>96</v>
      </c>
      <c r="I5" s="10" t="s">
        <v>55</v>
      </c>
      <c r="J5" s="10" t="s">
        <v>1960</v>
      </c>
      <c r="K5" s="10" t="s">
        <v>12643</v>
      </c>
      <c r="L5" s="10" t="s">
        <v>42</v>
      </c>
    </row>
    <row r="6" ht="15.75" customHeight="1">
      <c r="A6" s="64">
        <v>45499.0</v>
      </c>
      <c r="B6" s="55" t="str">
        <f>HYPERLINK("https://jobright.ai/jobs/info/669e3a25e01d13c184ac3550?utm_campaign=1065&amp;utm_source=sheet", "Apply")</f>
        <v>Apply</v>
      </c>
      <c r="C6" s="10" t="s">
        <v>12644</v>
      </c>
      <c r="D6" s="58" t="s">
        <v>1572</v>
      </c>
      <c r="E6" s="10" t="s">
        <v>249</v>
      </c>
      <c r="F6" s="10" t="s">
        <v>1573</v>
      </c>
      <c r="G6" s="10" t="s">
        <v>12645</v>
      </c>
      <c r="H6" s="10" t="s">
        <v>106</v>
      </c>
      <c r="I6" s="10" t="s">
        <v>55</v>
      </c>
      <c r="K6" s="10" t="s">
        <v>12646</v>
      </c>
      <c r="L6" s="10" t="s">
        <v>42</v>
      </c>
    </row>
    <row r="7" ht="15.75" customHeight="1">
      <c r="A7" s="64">
        <v>45499.0</v>
      </c>
      <c r="B7" s="55" t="str">
        <f>HYPERLINK("https://jobright.ai/jobs/info/66a455aac30fa95f24d7ec11?utm_campaign=1065&amp;utm_source=sheet", "Apply")</f>
        <v>Apply</v>
      </c>
      <c r="C7" s="10" t="s">
        <v>12647</v>
      </c>
      <c r="D7" s="56" t="s">
        <v>12648</v>
      </c>
      <c r="E7" s="10">
        <v>5518.0</v>
      </c>
      <c r="G7" s="10" t="s">
        <v>12635</v>
      </c>
      <c r="H7" s="10" t="s">
        <v>152</v>
      </c>
      <c r="I7" s="10" t="s">
        <v>55</v>
      </c>
      <c r="J7" s="10" t="s">
        <v>581</v>
      </c>
      <c r="K7" s="10" t="s">
        <v>12649</v>
      </c>
      <c r="L7" s="10" t="s">
        <v>42</v>
      </c>
    </row>
    <row r="8" ht="15.75" customHeight="1">
      <c r="A8" s="64">
        <v>45499.0</v>
      </c>
      <c r="B8" s="55" t="str">
        <f>HYPERLINK("https://jobright.ai/jobs/info/66a431388d3eebff0ac37859?utm_campaign=1065&amp;utm_source=sheet", "Apply")</f>
        <v>Apply</v>
      </c>
      <c r="C8" s="10" t="s">
        <v>12650</v>
      </c>
      <c r="D8" s="56" t="s">
        <v>12651</v>
      </c>
      <c r="E8" s="59">
        <v>45301.0</v>
      </c>
      <c r="F8" s="10" t="s">
        <v>10385</v>
      </c>
      <c r="G8" s="10" t="s">
        <v>12635</v>
      </c>
      <c r="H8" s="10" t="s">
        <v>251</v>
      </c>
      <c r="I8" s="10" t="s">
        <v>252</v>
      </c>
      <c r="J8" s="10" t="s">
        <v>1729</v>
      </c>
      <c r="K8" s="10" t="s">
        <v>12652</v>
      </c>
      <c r="L8" s="10" t="s">
        <v>42</v>
      </c>
    </row>
    <row r="9" ht="15.75" customHeight="1">
      <c r="A9" s="64">
        <v>45499.0</v>
      </c>
      <c r="B9" s="55" t="str">
        <f>HYPERLINK("https://jobright.ai/jobs/info/66a42dac2e54ed503b6ca2b2?utm_campaign=1065&amp;utm_source=sheet", "Apply")</f>
        <v>Apply</v>
      </c>
      <c r="C9" s="10" t="s">
        <v>12653</v>
      </c>
      <c r="D9" s="58" t="s">
        <v>1572</v>
      </c>
      <c r="E9" s="10" t="s">
        <v>249</v>
      </c>
      <c r="F9" s="10" t="s">
        <v>1573</v>
      </c>
      <c r="G9" s="10" t="s">
        <v>12654</v>
      </c>
      <c r="H9" s="10" t="s">
        <v>106</v>
      </c>
      <c r="I9" s="10" t="s">
        <v>48</v>
      </c>
      <c r="K9" s="10" t="s">
        <v>12655</v>
      </c>
      <c r="L9" s="10" t="s">
        <v>42</v>
      </c>
    </row>
    <row r="10" ht="15.75" customHeight="1">
      <c r="A10" s="64">
        <v>45499.0</v>
      </c>
      <c r="B10" s="55" t="str">
        <f>HYPERLINK("https://jobright.ai/jobs/info/66a42dac2e54ed503b6ca2b0?utm_campaign=1065&amp;utm_source=sheet", "Apply")</f>
        <v>Apply</v>
      </c>
      <c r="C10" s="10" t="s">
        <v>12656</v>
      </c>
      <c r="D10" s="58" t="s">
        <v>1572</v>
      </c>
      <c r="E10" s="10" t="s">
        <v>249</v>
      </c>
      <c r="F10" s="10" t="s">
        <v>1573</v>
      </c>
      <c r="G10" s="10" t="s">
        <v>12654</v>
      </c>
      <c r="H10" s="10" t="s">
        <v>106</v>
      </c>
      <c r="I10" s="10" t="s">
        <v>48</v>
      </c>
      <c r="K10" s="10" t="s">
        <v>12657</v>
      </c>
      <c r="L10" s="10" t="s">
        <v>42</v>
      </c>
    </row>
    <row r="11" ht="15.75" customHeight="1">
      <c r="A11" s="64">
        <v>45499.0</v>
      </c>
      <c r="B11" s="55" t="str">
        <f>HYPERLINK("https://jobright.ai/jobs/info/66a42aa3878605eeeff97f1c?utm_campaign=1065&amp;utm_source=sheet", "Apply")</f>
        <v>Apply</v>
      </c>
      <c r="C11" s="10" t="s">
        <v>12658</v>
      </c>
      <c r="D11" s="56" t="s">
        <v>12659</v>
      </c>
      <c r="E11" s="10" t="s">
        <v>71</v>
      </c>
      <c r="F11" s="10" t="s">
        <v>12660</v>
      </c>
      <c r="G11" s="10" t="s">
        <v>12654</v>
      </c>
      <c r="H11" s="10" t="s">
        <v>365</v>
      </c>
      <c r="I11" s="10" t="s">
        <v>48</v>
      </c>
      <c r="J11" s="10" t="s">
        <v>12661</v>
      </c>
      <c r="K11" s="10" t="s">
        <v>12662</v>
      </c>
      <c r="L11" s="10" t="s">
        <v>42</v>
      </c>
    </row>
    <row r="12" ht="15.75" customHeight="1">
      <c r="A12" s="64">
        <v>45499.0</v>
      </c>
      <c r="B12" s="55" t="str">
        <f>HYPERLINK("https://jobright.ai/jobs/info/66a4398de9bda74e61af1224?utm_campaign=1065&amp;utm_source=sheet", "Apply")</f>
        <v>Apply</v>
      </c>
      <c r="C12" s="10" t="s">
        <v>12663</v>
      </c>
      <c r="D12" s="56" t="s">
        <v>12664</v>
      </c>
      <c r="E12" s="10" t="s">
        <v>276</v>
      </c>
      <c r="F12" s="10" t="s">
        <v>12665</v>
      </c>
      <c r="G12" s="10" t="s">
        <v>12654</v>
      </c>
      <c r="H12" s="10" t="s">
        <v>96</v>
      </c>
      <c r="I12" s="10" t="s">
        <v>55</v>
      </c>
      <c r="J12" s="10" t="s">
        <v>1409</v>
      </c>
      <c r="K12" s="10" t="s">
        <v>12666</v>
      </c>
      <c r="L12" s="10" t="s">
        <v>42</v>
      </c>
    </row>
    <row r="13" ht="15.75" customHeight="1">
      <c r="A13" s="64">
        <v>45499.0</v>
      </c>
      <c r="B13" s="55" t="str">
        <f>HYPERLINK("https://jobright.ai/jobs/info/66a442ecdae625412f3b76bd?utm_campaign=1065&amp;utm_source=sheet", "Apply")</f>
        <v>Apply</v>
      </c>
      <c r="C13" s="10" t="s">
        <v>12667</v>
      </c>
      <c r="D13" s="56" t="s">
        <v>12668</v>
      </c>
      <c r="E13" s="10" t="s">
        <v>71</v>
      </c>
      <c r="F13" s="10" t="s">
        <v>665</v>
      </c>
      <c r="G13" s="10" t="s">
        <v>12635</v>
      </c>
      <c r="H13" s="10" t="s">
        <v>5881</v>
      </c>
      <c r="I13" s="10" t="s">
        <v>55</v>
      </c>
      <c r="J13" s="10" t="s">
        <v>1873</v>
      </c>
      <c r="K13" s="10" t="s">
        <v>12669</v>
      </c>
      <c r="L13" s="10" t="s">
        <v>42</v>
      </c>
    </row>
    <row r="14" ht="15.75" customHeight="1">
      <c r="A14" s="64">
        <v>45499.0</v>
      </c>
      <c r="B14" s="55" t="str">
        <f>HYPERLINK("https://jobright.ai/jobs/info/66a433d72f3c83e89a96868e?utm_campaign=1065&amp;utm_source=sheet", "Apply")</f>
        <v>Apply</v>
      </c>
      <c r="C14" s="10" t="s">
        <v>12670</v>
      </c>
      <c r="D14" s="56" t="s">
        <v>44</v>
      </c>
      <c r="E14" s="10" t="s">
        <v>45</v>
      </c>
      <c r="F14" s="10" t="s">
        <v>46</v>
      </c>
      <c r="G14" s="10" t="s">
        <v>12630</v>
      </c>
      <c r="H14" s="10" t="s">
        <v>1328</v>
      </c>
      <c r="I14" s="10" t="s">
        <v>48</v>
      </c>
      <c r="J14" s="10" t="s">
        <v>375</v>
      </c>
      <c r="K14" s="10" t="s">
        <v>12671</v>
      </c>
      <c r="L14" s="10" t="s">
        <v>42</v>
      </c>
    </row>
    <row r="15" ht="15.75" customHeight="1">
      <c r="A15" s="64">
        <v>45499.0</v>
      </c>
      <c r="B15" s="55" t="str">
        <f>HYPERLINK("https://jobright.ai/jobs/info/66a4314b8d3eebff0ac37a88?utm_campaign=1065&amp;utm_source=sheet", "Apply")</f>
        <v>Apply</v>
      </c>
      <c r="C15" s="10" t="s">
        <v>12672</v>
      </c>
      <c r="D15" s="56" t="s">
        <v>12673</v>
      </c>
      <c r="E15" s="10" t="s">
        <v>276</v>
      </c>
      <c r="F15" s="10" t="s">
        <v>12674</v>
      </c>
      <c r="G15" s="10" t="s">
        <v>12630</v>
      </c>
      <c r="H15" s="10" t="s">
        <v>12675</v>
      </c>
      <c r="I15" s="10" t="s">
        <v>55</v>
      </c>
      <c r="K15" s="10" t="s">
        <v>12676</v>
      </c>
      <c r="L15" s="10" t="s">
        <v>42</v>
      </c>
    </row>
    <row r="16" ht="15.75" customHeight="1">
      <c r="A16" s="64">
        <v>45499.0</v>
      </c>
      <c r="B16" s="55" t="str">
        <f>HYPERLINK("https://jobright.ai/jobs/info/66a4314b8d3eebff0ac37a9a?utm_campaign=1065&amp;utm_source=sheet", "Apply")</f>
        <v>Apply</v>
      </c>
      <c r="C16" s="10" t="s">
        <v>12677</v>
      </c>
      <c r="D16" s="56" t="s">
        <v>12678</v>
      </c>
      <c r="E16" s="10" t="s">
        <v>79</v>
      </c>
      <c r="F16" s="10" t="s">
        <v>12679</v>
      </c>
      <c r="G16" s="10" t="s">
        <v>12630</v>
      </c>
      <c r="H16" s="10" t="s">
        <v>12680</v>
      </c>
      <c r="I16" s="10" t="s">
        <v>55</v>
      </c>
      <c r="K16" s="10" t="s">
        <v>12681</v>
      </c>
      <c r="L16" s="10" t="s">
        <v>42</v>
      </c>
    </row>
    <row r="17" ht="15.75" customHeight="1">
      <c r="A17" s="64">
        <v>45499.0</v>
      </c>
      <c r="B17" s="55" t="str">
        <f>HYPERLINK("https://jobright.ai/jobs/info/66a42aae878605eeeff97fbd?utm_campaign=1065&amp;utm_source=sheet", "Apply")</f>
        <v>Apply</v>
      </c>
      <c r="C17" s="10" t="s">
        <v>12682</v>
      </c>
      <c r="D17" s="56" t="s">
        <v>12683</v>
      </c>
      <c r="E17" s="10" t="s">
        <v>137</v>
      </c>
      <c r="F17" s="10" t="s">
        <v>12684</v>
      </c>
      <c r="G17" s="10" t="s">
        <v>12645</v>
      </c>
      <c r="H17" s="10" t="s">
        <v>411</v>
      </c>
      <c r="I17" s="10" t="s">
        <v>48</v>
      </c>
      <c r="K17" s="10" t="s">
        <v>12685</v>
      </c>
      <c r="L17" s="10" t="s">
        <v>42</v>
      </c>
    </row>
    <row r="18" ht="15.75" customHeight="1">
      <c r="A18" s="64">
        <v>45499.0</v>
      </c>
      <c r="B18" s="55" t="str">
        <f>HYPERLINK("https://jobright.ai/jobs/info/66a41704e30efe1dc24e6650?utm_campaign=1065&amp;utm_source=sheet", "Apply")</f>
        <v>Apply</v>
      </c>
      <c r="C18" s="10" t="s">
        <v>12686</v>
      </c>
      <c r="D18" s="56" t="s">
        <v>12687</v>
      </c>
      <c r="E18" s="10" t="s">
        <v>65</v>
      </c>
      <c r="F18" s="10" t="s">
        <v>12688</v>
      </c>
      <c r="G18" s="10" t="s">
        <v>12654</v>
      </c>
      <c r="H18" s="10" t="s">
        <v>1556</v>
      </c>
      <c r="I18" s="10" t="s">
        <v>48</v>
      </c>
      <c r="K18" s="10" t="s">
        <v>12689</v>
      </c>
      <c r="L18" s="10" t="s">
        <v>42</v>
      </c>
    </row>
    <row r="19" ht="15.75" customHeight="1">
      <c r="A19" s="64">
        <v>45499.0</v>
      </c>
      <c r="B19" s="55" t="str">
        <f>HYPERLINK("https://jobright.ai/jobs/info/66a41704e30efe1dc24e664a?utm_campaign=1065&amp;utm_source=sheet", "Apply")</f>
        <v>Apply</v>
      </c>
      <c r="C19" s="10" t="s">
        <v>12690</v>
      </c>
      <c r="D19" s="56" t="s">
        <v>12687</v>
      </c>
      <c r="E19" s="10" t="s">
        <v>65</v>
      </c>
      <c r="F19" s="10" t="s">
        <v>12688</v>
      </c>
      <c r="G19" s="10" t="s">
        <v>12654</v>
      </c>
      <c r="H19" s="10" t="s">
        <v>723</v>
      </c>
      <c r="I19" s="10" t="s">
        <v>48</v>
      </c>
      <c r="K19" s="10" t="s">
        <v>12691</v>
      </c>
      <c r="L19" s="10" t="s">
        <v>42</v>
      </c>
    </row>
    <row r="20" ht="15.75" customHeight="1">
      <c r="A20" s="64">
        <v>45499.0</v>
      </c>
      <c r="B20" s="55" t="str">
        <f>HYPERLINK("https://jobright.ai/jobs/info/66a4240df9dc8ad9b2c8db2e?utm_campaign=1065&amp;utm_source=sheet", "Apply")</f>
        <v>Apply</v>
      </c>
      <c r="C20" s="10" t="s">
        <v>12692</v>
      </c>
      <c r="D20" s="56" t="s">
        <v>12457</v>
      </c>
      <c r="E20" s="10" t="s">
        <v>79</v>
      </c>
      <c r="F20" s="10" t="s">
        <v>12458</v>
      </c>
      <c r="G20" s="10" t="s">
        <v>12693</v>
      </c>
      <c r="H20" s="10" t="s">
        <v>1263</v>
      </c>
      <c r="I20" s="10" t="s">
        <v>55</v>
      </c>
      <c r="K20" s="10" t="s">
        <v>12459</v>
      </c>
      <c r="L20" s="10" t="s">
        <v>42</v>
      </c>
    </row>
    <row r="21" ht="15.75" customHeight="1">
      <c r="A21" s="64">
        <v>45499.0</v>
      </c>
      <c r="B21" s="55" t="str">
        <f>HYPERLINK("https://jobright.ai/jobs/info/66a4221284d006430c764f3d?utm_campaign=1065&amp;utm_source=sheet", "Apply")</f>
        <v>Apply</v>
      </c>
      <c r="C21" s="10" t="s">
        <v>12694</v>
      </c>
      <c r="D21" s="56" t="s">
        <v>12695</v>
      </c>
      <c r="E21" s="10" t="s">
        <v>79</v>
      </c>
      <c r="F21" s="10" t="s">
        <v>3035</v>
      </c>
      <c r="G21" s="10" t="s">
        <v>12654</v>
      </c>
      <c r="H21" s="10" t="s">
        <v>170</v>
      </c>
      <c r="I21" s="10" t="s">
        <v>55</v>
      </c>
      <c r="K21" s="10" t="s">
        <v>12696</v>
      </c>
      <c r="L21" s="10" t="s">
        <v>42</v>
      </c>
    </row>
    <row r="22" ht="15.75" customHeight="1">
      <c r="A22" s="64">
        <v>45499.0</v>
      </c>
      <c r="B22" s="55" t="str">
        <f>HYPERLINK("https://jobright.ai/jobs/info/66a40daedfc0dce261461f0f?utm_campaign=1065&amp;utm_source=sheet", "Apply")</f>
        <v>Apply</v>
      </c>
      <c r="C22" s="10" t="s">
        <v>12697</v>
      </c>
      <c r="D22" s="56" t="s">
        <v>12698</v>
      </c>
      <c r="E22" s="59">
        <v>45301.0</v>
      </c>
      <c r="F22" s="10" t="s">
        <v>339</v>
      </c>
      <c r="G22" s="10" t="s">
        <v>12630</v>
      </c>
      <c r="H22" s="10" t="s">
        <v>251</v>
      </c>
      <c r="I22" s="10" t="s">
        <v>252</v>
      </c>
      <c r="K22" s="10" t="s">
        <v>12699</v>
      </c>
      <c r="L22" s="10" t="s">
        <v>42</v>
      </c>
    </row>
    <row r="23" ht="15.75" customHeight="1">
      <c r="A23" s="64">
        <v>45499.0</v>
      </c>
      <c r="B23" s="55" t="str">
        <f>HYPERLINK("https://jobright.ai/jobs/info/66a420575660965e6b3122e3?utm_campaign=1065&amp;utm_source=sheet", "Apply")</f>
        <v>Apply</v>
      </c>
      <c r="C23" s="10" t="s">
        <v>12700</v>
      </c>
      <c r="D23" s="56" t="s">
        <v>1502</v>
      </c>
      <c r="E23" s="10">
        <v>10345.0</v>
      </c>
      <c r="G23" s="10" t="s">
        <v>12630</v>
      </c>
      <c r="H23" s="10" t="s">
        <v>106</v>
      </c>
      <c r="I23" s="10" t="s">
        <v>55</v>
      </c>
      <c r="J23" s="10" t="s">
        <v>12701</v>
      </c>
      <c r="K23" s="10" t="s">
        <v>12702</v>
      </c>
      <c r="L23" s="10" t="s">
        <v>42</v>
      </c>
    </row>
    <row r="24" ht="15.75" customHeight="1">
      <c r="A24" s="64">
        <v>45499.0</v>
      </c>
      <c r="B24" s="55" t="str">
        <f>HYPERLINK("https://jobright.ai/jobs/info/66a4105f41780e3482820d02?utm_campaign=1065&amp;utm_source=sheet", "Apply")</f>
        <v>Apply</v>
      </c>
      <c r="C24" s="10" t="s">
        <v>12703</v>
      </c>
      <c r="D24" s="56" t="s">
        <v>12704</v>
      </c>
      <c r="E24" s="10" t="s">
        <v>249</v>
      </c>
      <c r="F24" s="10" t="s">
        <v>11362</v>
      </c>
      <c r="G24" s="10" t="s">
        <v>12654</v>
      </c>
      <c r="H24" s="10" t="s">
        <v>170</v>
      </c>
      <c r="I24" s="10" t="s">
        <v>55</v>
      </c>
      <c r="J24" s="10" t="s">
        <v>3200</v>
      </c>
      <c r="K24" s="10" t="s">
        <v>12705</v>
      </c>
      <c r="L24" s="10" t="s">
        <v>42</v>
      </c>
    </row>
    <row r="25" ht="15.75" customHeight="1">
      <c r="A25" s="64">
        <v>45499.0</v>
      </c>
      <c r="B25" s="55" t="str">
        <f>HYPERLINK("https://jobright.ai/jobs/info/66a4170de30efe1dc24e67d5?utm_campaign=1065&amp;utm_source=sheet", "Apply")</f>
        <v>Apply</v>
      </c>
      <c r="C25" s="10" t="s">
        <v>12706</v>
      </c>
      <c r="D25" s="56" t="s">
        <v>142</v>
      </c>
      <c r="E25" s="59">
        <v>45301.0</v>
      </c>
      <c r="F25" s="10" t="s">
        <v>143</v>
      </c>
      <c r="G25" s="10" t="s">
        <v>12630</v>
      </c>
      <c r="H25" s="10" t="s">
        <v>251</v>
      </c>
      <c r="I25" s="10" t="s">
        <v>252</v>
      </c>
      <c r="K25" s="10" t="s">
        <v>12707</v>
      </c>
      <c r="L25" s="10" t="s">
        <v>42</v>
      </c>
    </row>
    <row r="26" ht="15.75" customHeight="1">
      <c r="A26" s="64">
        <v>45499.0</v>
      </c>
      <c r="B26" s="55" t="str">
        <f>HYPERLINK("https://jobright.ai/jobs/info/66a41716e30efe1dc24e6827?utm_campaign=1065&amp;utm_source=sheet", "Apply")</f>
        <v>Apply</v>
      </c>
      <c r="C26" s="10" t="s">
        <v>12708</v>
      </c>
      <c r="D26" s="56" t="s">
        <v>2548</v>
      </c>
      <c r="E26" s="10" t="s">
        <v>45</v>
      </c>
      <c r="F26" s="10" t="s">
        <v>2549</v>
      </c>
      <c r="G26" s="10" t="s">
        <v>12645</v>
      </c>
      <c r="H26" s="10" t="s">
        <v>2550</v>
      </c>
      <c r="I26" s="10" t="s">
        <v>48</v>
      </c>
      <c r="K26" s="10" t="s">
        <v>12709</v>
      </c>
      <c r="L26" s="10" t="s">
        <v>42</v>
      </c>
    </row>
    <row r="27" ht="15.75" customHeight="1">
      <c r="A27" s="64">
        <v>45499.0</v>
      </c>
      <c r="B27" s="55" t="str">
        <f>HYPERLINK("https://jobright.ai/jobs/info/66a4133392c15a63eb8105bf?utm_campaign=1065&amp;utm_source=sheet", "Apply")</f>
        <v>Apply</v>
      </c>
      <c r="C27" s="10" t="s">
        <v>12710</v>
      </c>
      <c r="D27" s="56" t="s">
        <v>12711</v>
      </c>
      <c r="F27" s="10" t="s">
        <v>12712</v>
      </c>
      <c r="G27" s="10" t="s">
        <v>12654</v>
      </c>
      <c r="H27" s="10" t="s">
        <v>12713</v>
      </c>
      <c r="I27" s="10" t="s">
        <v>48</v>
      </c>
      <c r="J27" s="10" t="s">
        <v>10706</v>
      </c>
      <c r="K27" s="10" t="s">
        <v>12714</v>
      </c>
      <c r="L27" s="10" t="s">
        <v>42</v>
      </c>
    </row>
    <row r="28" ht="15.75" customHeight="1">
      <c r="A28" s="64">
        <v>45499.0</v>
      </c>
      <c r="B28" s="55" t="str">
        <f>HYPERLINK("https://jobright.ai/jobs/info/66a420685660965e6b312475?utm_campaign=1065&amp;utm_source=sheet", "Apply")</f>
        <v>Apply</v>
      </c>
      <c r="C28" s="10" t="s">
        <v>12715</v>
      </c>
      <c r="D28" s="56" t="s">
        <v>12716</v>
      </c>
      <c r="E28" s="10" t="s">
        <v>137</v>
      </c>
      <c r="F28" s="10" t="s">
        <v>1506</v>
      </c>
      <c r="G28" s="10" t="s">
        <v>12654</v>
      </c>
      <c r="H28" s="10" t="s">
        <v>12717</v>
      </c>
      <c r="I28" s="10" t="s">
        <v>55</v>
      </c>
      <c r="K28" s="10" t="s">
        <v>12718</v>
      </c>
      <c r="L28" s="10" t="s">
        <v>42</v>
      </c>
    </row>
    <row r="29" ht="15.75" customHeight="1">
      <c r="A29" s="64">
        <v>45499.0</v>
      </c>
      <c r="B29" s="55" t="str">
        <f>HYPERLINK("https://jobright.ai/jobs/info/66a13b0264d0e1054c2d3310?utm_campaign=1065&amp;utm_source=sheet", "Apply")</f>
        <v>Apply</v>
      </c>
      <c r="C29" s="10" t="s">
        <v>12719</v>
      </c>
      <c r="D29" s="56" t="s">
        <v>12720</v>
      </c>
      <c r="E29" s="10">
        <v>1.0</v>
      </c>
      <c r="G29" s="10" t="s">
        <v>12630</v>
      </c>
      <c r="H29" s="10" t="s">
        <v>882</v>
      </c>
      <c r="I29" s="10" t="s">
        <v>55</v>
      </c>
      <c r="K29" s="10" t="s">
        <v>12721</v>
      </c>
      <c r="L29" s="10" t="s">
        <v>42</v>
      </c>
    </row>
    <row r="30" ht="15.75" customHeight="1">
      <c r="A30" s="64">
        <v>45499.0</v>
      </c>
      <c r="B30" s="55" t="str">
        <f>HYPERLINK("https://jobright.ai/jobs/info/66a40db8dfc0dce26146204d?utm_campaign=1065&amp;utm_source=sheet", "Apply")</f>
        <v>Apply</v>
      </c>
      <c r="C30" s="10" t="s">
        <v>12722</v>
      </c>
      <c r="D30" s="56" t="s">
        <v>1586</v>
      </c>
      <c r="E30" s="10" t="s">
        <v>137</v>
      </c>
      <c r="F30" s="10" t="s">
        <v>1587</v>
      </c>
      <c r="G30" s="10" t="s">
        <v>12654</v>
      </c>
      <c r="H30" s="10" t="s">
        <v>170</v>
      </c>
      <c r="I30" s="10" t="s">
        <v>55</v>
      </c>
      <c r="K30" s="10" t="s">
        <v>1588</v>
      </c>
      <c r="L30" s="10" t="s">
        <v>42</v>
      </c>
    </row>
    <row r="31" ht="15.75" customHeight="1">
      <c r="A31" s="64">
        <v>45499.0</v>
      </c>
      <c r="B31" s="55" t="str">
        <f>HYPERLINK("https://jobright.ai/jobs/info/66a409b9f228ed543e433076?utm_campaign=1065&amp;utm_source=sheet", "Apply")</f>
        <v>Apply</v>
      </c>
      <c r="C31" s="10" t="s">
        <v>12723</v>
      </c>
      <c r="D31" s="56" t="s">
        <v>12724</v>
      </c>
      <c r="E31" s="10" t="s">
        <v>71</v>
      </c>
      <c r="F31" s="10" t="s">
        <v>12725</v>
      </c>
      <c r="G31" s="10" t="s">
        <v>12654</v>
      </c>
      <c r="H31" s="10" t="s">
        <v>794</v>
      </c>
      <c r="I31" s="10" t="s">
        <v>48</v>
      </c>
      <c r="J31" s="10" t="s">
        <v>1960</v>
      </c>
      <c r="K31" s="10" t="s">
        <v>12726</v>
      </c>
      <c r="L31" s="10" t="s">
        <v>42</v>
      </c>
    </row>
    <row r="32" ht="15.75" customHeight="1">
      <c r="A32" s="64">
        <v>45499.0</v>
      </c>
      <c r="B32" s="55" t="str">
        <f>HYPERLINK("https://jobright.ai/jobs/info/66a3f929c344e12ad5440fde?utm_campaign=1065&amp;utm_source=sheet", "Apply")</f>
        <v>Apply</v>
      </c>
      <c r="C32" s="10" t="s">
        <v>12727</v>
      </c>
      <c r="D32" s="58" t="s">
        <v>1590</v>
      </c>
      <c r="E32" s="59"/>
      <c r="G32" s="10" t="s">
        <v>12645</v>
      </c>
      <c r="H32" s="10" t="s">
        <v>251</v>
      </c>
      <c r="I32" s="10" t="s">
        <v>252</v>
      </c>
      <c r="K32" s="10" t="s">
        <v>2543</v>
      </c>
      <c r="L32" s="10" t="s">
        <v>42</v>
      </c>
    </row>
    <row r="33" ht="15.75" customHeight="1">
      <c r="A33" s="64">
        <v>45499.0</v>
      </c>
      <c r="B33" s="55" t="str">
        <f>HYPERLINK("https://jobright.ai/jobs/info/66a3fd6ed61cea1521a46ec4?utm_campaign=1065&amp;utm_source=sheet", "Apply")</f>
        <v>Apply</v>
      </c>
      <c r="C33" s="10" t="s">
        <v>12728</v>
      </c>
      <c r="D33" s="56" t="s">
        <v>12729</v>
      </c>
      <c r="E33" s="10" t="s">
        <v>137</v>
      </c>
      <c r="F33" s="10" t="s">
        <v>12730</v>
      </c>
      <c r="G33" s="10" t="s">
        <v>12630</v>
      </c>
      <c r="H33" s="10" t="s">
        <v>12731</v>
      </c>
      <c r="I33" s="10" t="s">
        <v>55</v>
      </c>
      <c r="J33" s="10" t="s">
        <v>12732</v>
      </c>
      <c r="K33" s="10" t="s">
        <v>12733</v>
      </c>
      <c r="L33" s="10" t="s">
        <v>42</v>
      </c>
    </row>
    <row r="34" ht="15.75" customHeight="1">
      <c r="A34" s="64">
        <v>45499.0</v>
      </c>
      <c r="B34" s="55" t="str">
        <f>HYPERLINK("https://jobright.ai/jobs/info/66a3f929c344e12ad5440ff6?utm_campaign=1065&amp;utm_source=sheet", "Apply")</f>
        <v>Apply</v>
      </c>
      <c r="C34" s="10" t="s">
        <v>12734</v>
      </c>
      <c r="D34" s="56" t="s">
        <v>12735</v>
      </c>
      <c r="G34" s="10" t="s">
        <v>12635</v>
      </c>
      <c r="H34" s="10" t="s">
        <v>610</v>
      </c>
      <c r="I34" s="10" t="s">
        <v>55</v>
      </c>
      <c r="K34" s="10" t="s">
        <v>12736</v>
      </c>
      <c r="L34" s="10" t="s">
        <v>42</v>
      </c>
    </row>
    <row r="35" ht="15.75" customHeight="1">
      <c r="A35" s="64">
        <v>45499.0</v>
      </c>
      <c r="B35" s="55" t="str">
        <f>HYPERLINK("https://jobright.ai/jobs/info/66a4031d0d09d8a9054b39cb?utm_campaign=1065&amp;utm_source=sheet", "Apply")</f>
        <v>Apply</v>
      </c>
      <c r="C35" s="10" t="s">
        <v>12737</v>
      </c>
      <c r="D35" s="56" t="s">
        <v>12738</v>
      </c>
      <c r="E35" s="10" t="s">
        <v>276</v>
      </c>
      <c r="F35" s="10" t="s">
        <v>1893</v>
      </c>
      <c r="G35" s="10" t="s">
        <v>12654</v>
      </c>
      <c r="H35" s="10" t="s">
        <v>278</v>
      </c>
      <c r="I35" s="10" t="s">
        <v>48</v>
      </c>
      <c r="J35" s="10" t="s">
        <v>1761</v>
      </c>
      <c r="K35" s="10" t="s">
        <v>12739</v>
      </c>
      <c r="L35" s="10" t="s">
        <v>42</v>
      </c>
    </row>
    <row r="36" ht="15.75" customHeight="1">
      <c r="A36" s="64">
        <v>45499.0</v>
      </c>
      <c r="B36" s="55" t="str">
        <f>HYPERLINK("https://jobright.ai/jobs/info/66a3fd77d61cea1521a46fa2?utm_campaign=1065&amp;utm_source=sheet", "Apply")</f>
        <v>Apply</v>
      </c>
      <c r="C36" s="10" t="s">
        <v>12740</v>
      </c>
      <c r="D36" s="56" t="s">
        <v>12741</v>
      </c>
      <c r="E36" s="10" t="s">
        <v>137</v>
      </c>
      <c r="F36" s="10" t="s">
        <v>12674</v>
      </c>
      <c r="G36" s="10" t="s">
        <v>12630</v>
      </c>
      <c r="H36" s="10" t="s">
        <v>12742</v>
      </c>
      <c r="I36" s="10" t="s">
        <v>55</v>
      </c>
      <c r="J36" s="10" t="s">
        <v>3979</v>
      </c>
      <c r="K36" s="10" t="s">
        <v>12743</v>
      </c>
      <c r="L36" s="10" t="s">
        <v>42</v>
      </c>
    </row>
    <row r="37" ht="15.75" customHeight="1">
      <c r="A37" s="64">
        <v>45499.0</v>
      </c>
      <c r="B37" s="55" t="str">
        <f>HYPERLINK("https://jobright.ai/jobs/info/66a407dc9d6a30be4eff9d82?utm_campaign=1065&amp;utm_source=sheet", "Apply")</f>
        <v>Apply</v>
      </c>
      <c r="C37" s="10" t="s">
        <v>12744</v>
      </c>
      <c r="D37" s="56" t="s">
        <v>10244</v>
      </c>
      <c r="E37" s="10" t="s">
        <v>45</v>
      </c>
      <c r="G37" s="10" t="s">
        <v>12654</v>
      </c>
      <c r="H37" s="10" t="s">
        <v>809</v>
      </c>
      <c r="I37" s="10" t="s">
        <v>55</v>
      </c>
      <c r="J37" s="10" t="s">
        <v>12745</v>
      </c>
      <c r="K37" s="10" t="s">
        <v>12746</v>
      </c>
      <c r="L37" s="10" t="s">
        <v>42</v>
      </c>
    </row>
    <row r="38" ht="15.75" customHeight="1">
      <c r="A38" s="64">
        <v>45499.0</v>
      </c>
      <c r="B38" s="55" t="str">
        <f>HYPERLINK("https://jobright.ai/jobs/info/66a3ef7b87fb29a0df319439?utm_campaign=1065&amp;utm_source=sheet", "Apply")</f>
        <v>Apply</v>
      </c>
      <c r="C38" s="10" t="s">
        <v>12747</v>
      </c>
      <c r="D38" s="56" t="s">
        <v>2569</v>
      </c>
      <c r="E38" s="10">
        <v>4.0</v>
      </c>
      <c r="G38" s="10" t="s">
        <v>12645</v>
      </c>
      <c r="H38" s="10" t="s">
        <v>251</v>
      </c>
      <c r="I38" s="10" t="s">
        <v>48</v>
      </c>
      <c r="K38" s="10" t="s">
        <v>2543</v>
      </c>
      <c r="L38" s="10" t="s">
        <v>42</v>
      </c>
    </row>
    <row r="39" ht="15.75" customHeight="1">
      <c r="A39" s="64">
        <v>45499.0</v>
      </c>
      <c r="B39" s="55" t="str">
        <f>HYPERLINK("https://jobright.ai/jobs/info/66a3f4be5fcbfa8457ce1131?utm_campaign=1065&amp;utm_source=sheet", "Apply")</f>
        <v>Apply</v>
      </c>
      <c r="C39" s="10" t="s">
        <v>12748</v>
      </c>
      <c r="D39" s="56" t="s">
        <v>10244</v>
      </c>
      <c r="E39" s="10" t="s">
        <v>45</v>
      </c>
      <c r="G39" s="10" t="s">
        <v>12635</v>
      </c>
      <c r="H39" s="10" t="s">
        <v>809</v>
      </c>
      <c r="I39" s="10" t="s">
        <v>55</v>
      </c>
      <c r="J39" s="10" t="s">
        <v>12749</v>
      </c>
      <c r="K39" s="10" t="s">
        <v>12750</v>
      </c>
      <c r="L39" s="10" t="s">
        <v>42</v>
      </c>
    </row>
    <row r="40" ht="15.75" customHeight="1">
      <c r="A40" s="64">
        <v>45499.0</v>
      </c>
      <c r="B40" s="55" t="str">
        <f>HYPERLINK("https://jobright.ai/jobs/info/66a3ef7b87fb29a0df319443?utm_campaign=1065&amp;utm_source=sheet", "Apply")</f>
        <v>Apply</v>
      </c>
      <c r="C40" s="10" t="s">
        <v>12719</v>
      </c>
      <c r="D40" s="56" t="s">
        <v>12751</v>
      </c>
      <c r="E40" s="59">
        <v>45301.0</v>
      </c>
      <c r="F40" s="10" t="s">
        <v>12752</v>
      </c>
      <c r="G40" s="10" t="s">
        <v>12630</v>
      </c>
      <c r="H40" s="10" t="s">
        <v>251</v>
      </c>
      <c r="I40" s="10" t="s">
        <v>48</v>
      </c>
      <c r="J40" s="10" t="s">
        <v>12753</v>
      </c>
      <c r="K40" s="10" t="s">
        <v>12754</v>
      </c>
      <c r="L40" s="10" t="s">
        <v>42</v>
      </c>
    </row>
    <row r="41" ht="15.75" customHeight="1">
      <c r="A41" s="64">
        <v>45499.0</v>
      </c>
      <c r="B41" s="55" t="str">
        <f>HYPERLINK("https://jobright.ai/jobs/info/66a3e831b020465e7d35c894?utm_campaign=1065&amp;utm_source=sheet", "Apply")</f>
        <v>Apply</v>
      </c>
      <c r="C41" s="10" t="s">
        <v>12755</v>
      </c>
      <c r="D41" s="56" t="s">
        <v>12756</v>
      </c>
      <c r="E41" s="10" t="s">
        <v>137</v>
      </c>
      <c r="F41" s="10" t="s">
        <v>277</v>
      </c>
      <c r="G41" s="10" t="s">
        <v>12654</v>
      </c>
      <c r="H41" s="10" t="s">
        <v>3674</v>
      </c>
      <c r="I41" s="10" t="s">
        <v>55</v>
      </c>
      <c r="J41" s="10" t="s">
        <v>1409</v>
      </c>
      <c r="K41" s="10" t="s">
        <v>12757</v>
      </c>
      <c r="L41" s="10" t="s">
        <v>42</v>
      </c>
    </row>
    <row r="42" ht="15.75" customHeight="1">
      <c r="A42" s="64">
        <v>45499.0</v>
      </c>
      <c r="B42" s="55" t="str">
        <f>HYPERLINK("https://jobright.ai/jobs/info/66a3ef3387fb29a0df318e9a?utm_campaign=1065&amp;utm_source=sheet", "Apply")</f>
        <v>Apply</v>
      </c>
      <c r="C42" s="10" t="s">
        <v>12650</v>
      </c>
      <c r="D42" s="56" t="s">
        <v>12758</v>
      </c>
      <c r="E42" s="10">
        <v>18.0</v>
      </c>
      <c r="G42" s="10" t="s">
        <v>12630</v>
      </c>
      <c r="H42" s="10" t="s">
        <v>165</v>
      </c>
      <c r="I42" s="10" t="s">
        <v>55</v>
      </c>
      <c r="K42" s="10" t="s">
        <v>12759</v>
      </c>
      <c r="L42" s="10" t="s">
        <v>42</v>
      </c>
    </row>
    <row r="43" ht="15.75" customHeight="1">
      <c r="A43" s="64">
        <v>45499.0</v>
      </c>
      <c r="B43" s="55" t="str">
        <f>HYPERLINK("https://jobright.ai/jobs/info/66a3fa3b9d200bf2ea1deebb?utm_campaign=1065&amp;utm_source=sheet", "Apply")</f>
        <v>Apply</v>
      </c>
      <c r="C43" s="10" t="s">
        <v>12760</v>
      </c>
      <c r="D43" s="56" t="s">
        <v>12761</v>
      </c>
      <c r="E43" s="10" t="s">
        <v>45</v>
      </c>
      <c r="F43" s="10" t="s">
        <v>12762</v>
      </c>
      <c r="G43" s="10" t="s">
        <v>12654</v>
      </c>
      <c r="H43" s="10" t="s">
        <v>438</v>
      </c>
      <c r="I43" s="10" t="s">
        <v>55</v>
      </c>
      <c r="K43" s="10" t="s">
        <v>12763</v>
      </c>
      <c r="L43" s="10" t="s">
        <v>42</v>
      </c>
    </row>
    <row r="44" ht="15.75" customHeight="1">
      <c r="A44" s="64">
        <v>45499.0</v>
      </c>
      <c r="B44" s="55" t="str">
        <f>HYPERLINK("https://jobright.ai/jobs/info/666763c6aaa6b8c4a02fd724?utm_campaign=1065&amp;utm_source=sheet", "Apply")</f>
        <v>Apply</v>
      </c>
      <c r="C44" s="10" t="s">
        <v>12764</v>
      </c>
      <c r="D44" s="56" t="s">
        <v>12765</v>
      </c>
      <c r="E44" s="10" t="s">
        <v>65</v>
      </c>
      <c r="F44" s="10" t="s">
        <v>12766</v>
      </c>
      <c r="G44" s="10" t="s">
        <v>12635</v>
      </c>
      <c r="H44" s="10" t="s">
        <v>12767</v>
      </c>
      <c r="I44" s="10" t="s">
        <v>48</v>
      </c>
      <c r="J44" s="10" t="s">
        <v>1873</v>
      </c>
      <c r="K44" s="10" t="s">
        <v>12768</v>
      </c>
      <c r="L44" s="10" t="s">
        <v>42</v>
      </c>
    </row>
    <row r="45" ht="15.75" customHeight="1">
      <c r="A45" s="64">
        <v>45499.0</v>
      </c>
      <c r="B45" s="55" t="str">
        <f>HYPERLINK("https://jobright.ai/jobs/info/66a3ef3d87fb29a0df318f27?utm_campaign=1065&amp;utm_source=sheet", "Apply")</f>
        <v>Apply</v>
      </c>
      <c r="C45" s="10" t="s">
        <v>12769</v>
      </c>
      <c r="D45" s="56" t="s">
        <v>12770</v>
      </c>
      <c r="E45" s="10" t="s">
        <v>71</v>
      </c>
      <c r="F45" s="10" t="s">
        <v>1243</v>
      </c>
      <c r="G45" s="10" t="s">
        <v>12654</v>
      </c>
      <c r="H45" s="10" t="s">
        <v>96</v>
      </c>
      <c r="I45" s="10" t="s">
        <v>55</v>
      </c>
      <c r="J45" s="10" t="s">
        <v>1984</v>
      </c>
      <c r="K45" s="10" t="s">
        <v>12771</v>
      </c>
      <c r="L45" s="10" t="s">
        <v>42</v>
      </c>
    </row>
    <row r="46" ht="15.75" customHeight="1">
      <c r="A46" s="64">
        <v>45499.0</v>
      </c>
      <c r="B46" s="55" t="str">
        <f>HYPERLINK("https://jobright.ai/jobs/info/66a3e145fa1e56eccb8f4fe7?utm_campaign=1065&amp;utm_source=sheet", "Apply")</f>
        <v>Apply</v>
      </c>
      <c r="C46" s="10" t="s">
        <v>12772</v>
      </c>
      <c r="D46" s="56" t="s">
        <v>12773</v>
      </c>
      <c r="E46" s="10" t="s">
        <v>71</v>
      </c>
      <c r="F46" s="10" t="s">
        <v>12774</v>
      </c>
      <c r="G46" s="10" t="s">
        <v>12630</v>
      </c>
      <c r="H46" s="10" t="s">
        <v>113</v>
      </c>
      <c r="I46" s="10" t="s">
        <v>252</v>
      </c>
      <c r="J46" s="10" t="s">
        <v>1797</v>
      </c>
      <c r="K46" s="10" t="s">
        <v>12775</v>
      </c>
      <c r="L46" s="10" t="s">
        <v>42</v>
      </c>
    </row>
    <row r="47" ht="15.75" customHeight="1">
      <c r="A47" s="64">
        <v>45499.0</v>
      </c>
      <c r="B47" s="55" t="str">
        <f>HYPERLINK("https://jobright.ai/jobs/info/66a3e145fa1e56eccb8f503d?utm_campaign=1065&amp;utm_source=sheet", "Apply")</f>
        <v>Apply</v>
      </c>
      <c r="C47" s="10" t="s">
        <v>12747</v>
      </c>
      <c r="D47" s="58" t="s">
        <v>1590</v>
      </c>
      <c r="G47" s="10" t="s">
        <v>12645</v>
      </c>
      <c r="H47" s="10" t="s">
        <v>251</v>
      </c>
      <c r="I47" s="10" t="s">
        <v>252</v>
      </c>
      <c r="K47" s="10" t="s">
        <v>2543</v>
      </c>
      <c r="L47" s="10" t="s">
        <v>42</v>
      </c>
    </row>
    <row r="48" ht="15.75" customHeight="1">
      <c r="A48" s="64">
        <v>45499.0</v>
      </c>
      <c r="B48" s="55" t="str">
        <f>HYPERLINK("https://jobright.ai/jobs/info/66a3e846b020465e7d35cadb?utm_campaign=1065&amp;utm_source=sheet", "Apply")</f>
        <v>Apply</v>
      </c>
      <c r="C48" s="10" t="s">
        <v>12760</v>
      </c>
      <c r="D48" s="56" t="s">
        <v>12776</v>
      </c>
      <c r="E48" s="10" t="s">
        <v>65</v>
      </c>
      <c r="F48" s="10" t="s">
        <v>1274</v>
      </c>
      <c r="G48" s="10" t="s">
        <v>12654</v>
      </c>
      <c r="H48" s="10" t="s">
        <v>438</v>
      </c>
      <c r="I48" s="10" t="s">
        <v>55</v>
      </c>
      <c r="K48" s="10" t="s">
        <v>12763</v>
      </c>
      <c r="L48" s="10" t="s">
        <v>42</v>
      </c>
    </row>
    <row r="49" ht="15.75" customHeight="1">
      <c r="A49" s="64">
        <v>45499.0</v>
      </c>
      <c r="B49" s="55" t="str">
        <f>HYPERLINK("https://jobright.ai/jobs/info/66a3e850b020465e7d35cb31?utm_campaign=1065&amp;utm_source=sheet", "Apply")</f>
        <v>Apply</v>
      </c>
      <c r="C49" s="10" t="s">
        <v>12777</v>
      </c>
      <c r="D49" s="56" t="s">
        <v>12778</v>
      </c>
      <c r="E49" s="10" t="s">
        <v>137</v>
      </c>
      <c r="F49" s="10" t="s">
        <v>12779</v>
      </c>
      <c r="G49" s="10" t="s">
        <v>12654</v>
      </c>
      <c r="H49" s="10" t="s">
        <v>144</v>
      </c>
      <c r="I49" s="10" t="s">
        <v>48</v>
      </c>
      <c r="K49" s="10" t="s">
        <v>12780</v>
      </c>
      <c r="L49" s="10" t="s">
        <v>42</v>
      </c>
    </row>
    <row r="50" ht="15.75" customHeight="1">
      <c r="A50" s="64">
        <v>45499.0</v>
      </c>
      <c r="B50" s="55" t="str">
        <f>HYPERLINK("https://jobright.ai/jobs/info/66a3e8bbb020465e7d35d3e9?utm_campaign=1065&amp;utm_source=sheet", "Apply")</f>
        <v>Apply</v>
      </c>
      <c r="C50" s="10" t="s">
        <v>12777</v>
      </c>
      <c r="D50" s="56" t="s">
        <v>12778</v>
      </c>
      <c r="E50" s="10" t="s">
        <v>137</v>
      </c>
      <c r="F50" s="10" t="s">
        <v>12779</v>
      </c>
      <c r="G50" s="10" t="s">
        <v>12654</v>
      </c>
      <c r="H50" s="10" t="s">
        <v>96</v>
      </c>
      <c r="I50" s="10" t="s">
        <v>48</v>
      </c>
      <c r="K50" s="10" t="s">
        <v>12780</v>
      </c>
      <c r="L50" s="10" t="s">
        <v>42</v>
      </c>
    </row>
    <row r="51" ht="15.75" customHeight="1">
      <c r="A51" s="64">
        <v>45499.0</v>
      </c>
      <c r="B51" s="55" t="str">
        <f>HYPERLINK("https://jobright.ai/jobs/info/66a3e8bbb020465e7d35d3ea?utm_campaign=1065&amp;utm_source=sheet", "Apply")</f>
        <v>Apply</v>
      </c>
      <c r="C51" s="10" t="s">
        <v>12777</v>
      </c>
      <c r="D51" s="56" t="s">
        <v>12778</v>
      </c>
      <c r="E51" s="10" t="s">
        <v>137</v>
      </c>
      <c r="F51" s="10" t="s">
        <v>12779</v>
      </c>
      <c r="G51" s="10" t="s">
        <v>12654</v>
      </c>
      <c r="H51" s="10" t="s">
        <v>113</v>
      </c>
      <c r="I51" s="10" t="s">
        <v>48</v>
      </c>
      <c r="K51" s="10" t="s">
        <v>12780</v>
      </c>
      <c r="L51" s="10" t="s">
        <v>42</v>
      </c>
    </row>
    <row r="52" ht="15.75" customHeight="1">
      <c r="A52" s="64">
        <v>45499.0</v>
      </c>
      <c r="B52" s="55" t="str">
        <f>HYPERLINK("https://jobright.ai/jobs/info/66a40b63a8e7d109e1e41ed9?utm_campaign=1065&amp;utm_source=sheet", "Apply")</f>
        <v>Apply</v>
      </c>
      <c r="C52" s="10" t="s">
        <v>12781</v>
      </c>
      <c r="D52" s="56" t="s">
        <v>2631</v>
      </c>
      <c r="E52" s="10" t="s">
        <v>209</v>
      </c>
      <c r="F52" s="10" t="s">
        <v>2632</v>
      </c>
      <c r="G52" s="10" t="s">
        <v>12654</v>
      </c>
      <c r="H52" s="10" t="s">
        <v>2654</v>
      </c>
      <c r="I52" s="10" t="s">
        <v>55</v>
      </c>
      <c r="K52" s="10" t="s">
        <v>12782</v>
      </c>
      <c r="L52" s="10" t="s">
        <v>42</v>
      </c>
    </row>
    <row r="53" ht="15.75" customHeight="1">
      <c r="A53" s="64">
        <v>45499.0</v>
      </c>
      <c r="B53" s="55" t="str">
        <f>HYPERLINK("https://jobright.ai/jobs/info/66a3dd58adf8dbb3f3ac9bc7?utm_campaign=1065&amp;utm_source=sheet", "Apply")</f>
        <v>Apply</v>
      </c>
      <c r="C53" s="10" t="s">
        <v>12783</v>
      </c>
      <c r="D53" s="56" t="s">
        <v>1780</v>
      </c>
      <c r="E53" s="10" t="s">
        <v>45</v>
      </c>
      <c r="F53" s="10" t="s">
        <v>1781</v>
      </c>
      <c r="G53" s="10" t="s">
        <v>12654</v>
      </c>
      <c r="H53" s="10" t="s">
        <v>153</v>
      </c>
      <c r="I53" s="10" t="s">
        <v>55</v>
      </c>
      <c r="K53" s="10" t="s">
        <v>12784</v>
      </c>
      <c r="L53" s="10" t="s">
        <v>42</v>
      </c>
    </row>
    <row r="54" ht="15.75" customHeight="1">
      <c r="A54" s="64">
        <v>45499.0</v>
      </c>
      <c r="B54" s="55" t="str">
        <f>HYPERLINK("https://jobright.ai/jobs/info/66a3e156fa1e56eccb8f51e4?utm_campaign=1065&amp;utm_source=sheet", "Apply")</f>
        <v>Apply</v>
      </c>
      <c r="C54" s="10" t="s">
        <v>12785</v>
      </c>
      <c r="D54" s="56" t="s">
        <v>3402</v>
      </c>
      <c r="E54" s="10" t="s">
        <v>45</v>
      </c>
      <c r="F54" s="10" t="s">
        <v>3403</v>
      </c>
      <c r="G54" s="10" t="s">
        <v>12645</v>
      </c>
      <c r="H54" s="10" t="s">
        <v>12786</v>
      </c>
      <c r="I54" s="10" t="s">
        <v>55</v>
      </c>
      <c r="K54" s="10" t="s">
        <v>12787</v>
      </c>
      <c r="L54" s="10" t="s">
        <v>42</v>
      </c>
    </row>
    <row r="55" ht="15.75" customHeight="1">
      <c r="A55" s="64">
        <v>45499.0</v>
      </c>
      <c r="B55" s="55" t="str">
        <f>HYPERLINK("https://jobright.ai/jobs/info/66a3d2c8d7fee676c84043e4?utm_campaign=1065&amp;utm_source=sheet", "Apply")</f>
        <v>Apply</v>
      </c>
      <c r="C55" s="10" t="s">
        <v>12728</v>
      </c>
      <c r="D55" s="56" t="s">
        <v>12788</v>
      </c>
      <c r="E55" s="59">
        <v>45301.0</v>
      </c>
      <c r="F55" s="10" t="s">
        <v>12789</v>
      </c>
      <c r="G55" s="10" t="s">
        <v>12630</v>
      </c>
      <c r="H55" s="10" t="s">
        <v>251</v>
      </c>
      <c r="I55" s="10" t="s">
        <v>252</v>
      </c>
      <c r="K55" s="10" t="s">
        <v>12790</v>
      </c>
      <c r="L55" s="10" t="s">
        <v>42</v>
      </c>
    </row>
    <row r="56" ht="15.75" customHeight="1">
      <c r="A56" s="64">
        <v>45499.0</v>
      </c>
      <c r="B56" s="55" t="str">
        <f>HYPERLINK("https://jobright.ai/jobs/info/66a3da719f1d4690f1a4076e?utm_campaign=1065&amp;utm_source=sheet", "Apply")</f>
        <v>Apply</v>
      </c>
      <c r="C56" s="10" t="s">
        <v>12791</v>
      </c>
      <c r="D56" s="56" t="s">
        <v>12792</v>
      </c>
      <c r="E56" s="10" t="s">
        <v>209</v>
      </c>
      <c r="F56" s="10" t="s">
        <v>1641</v>
      </c>
      <c r="G56" s="10" t="s">
        <v>12654</v>
      </c>
      <c r="H56" s="10" t="s">
        <v>96</v>
      </c>
      <c r="I56" s="10" t="s">
        <v>55</v>
      </c>
      <c r="J56" s="10" t="s">
        <v>1984</v>
      </c>
      <c r="K56" s="10" t="s">
        <v>12793</v>
      </c>
      <c r="L56" s="10" t="s">
        <v>42</v>
      </c>
    </row>
    <row r="57" ht="15.75" customHeight="1">
      <c r="A57" s="64">
        <v>45499.0</v>
      </c>
      <c r="B57" s="55" t="str">
        <f>HYPERLINK("https://jobright.ai/jobs/info/66a3da799f1d4690f1a40824?utm_campaign=1065&amp;utm_source=sheet", "Apply")</f>
        <v>Apply</v>
      </c>
      <c r="C57" s="10" t="s">
        <v>12794</v>
      </c>
      <c r="D57" s="56" t="s">
        <v>12795</v>
      </c>
      <c r="E57" s="10" t="s">
        <v>65</v>
      </c>
      <c r="F57" s="10" t="s">
        <v>1164</v>
      </c>
      <c r="G57" s="10" t="s">
        <v>12654</v>
      </c>
      <c r="H57" s="10" t="s">
        <v>1978</v>
      </c>
      <c r="I57" s="10" t="s">
        <v>55</v>
      </c>
      <c r="K57" s="10" t="s">
        <v>12796</v>
      </c>
      <c r="L57" s="10" t="s">
        <v>42</v>
      </c>
    </row>
    <row r="58" ht="15.75" customHeight="1">
      <c r="A58" s="64">
        <v>45499.0</v>
      </c>
      <c r="B58" s="55" t="str">
        <f>HYPERLINK("https://jobright.ai/jobs/info/66a3d2e2d7fee676c84045f9?utm_campaign=1065&amp;utm_source=sheet", "Apply")</f>
        <v>Apply</v>
      </c>
      <c r="C58" s="10" t="s">
        <v>12797</v>
      </c>
      <c r="D58" s="56" t="s">
        <v>12798</v>
      </c>
      <c r="E58" s="59">
        <v>45301.0</v>
      </c>
      <c r="F58" s="10" t="s">
        <v>85</v>
      </c>
      <c r="G58" s="10" t="s">
        <v>12635</v>
      </c>
      <c r="H58" s="10" t="s">
        <v>113</v>
      </c>
      <c r="I58" s="10" t="s">
        <v>55</v>
      </c>
      <c r="K58" s="10" t="s">
        <v>12799</v>
      </c>
      <c r="L58" s="10" t="s">
        <v>42</v>
      </c>
    </row>
    <row r="59" ht="15.75" customHeight="1">
      <c r="A59" s="64">
        <v>45499.0</v>
      </c>
      <c r="B59" s="55" t="str">
        <f>HYPERLINK("https://jobright.ai/jobs/info/66a3d2e2d7fee676c8404636?utm_campaign=1065&amp;utm_source=sheet", "Apply")</f>
        <v>Apply</v>
      </c>
      <c r="C59" s="10" t="s">
        <v>12728</v>
      </c>
      <c r="D59" s="56" t="s">
        <v>12800</v>
      </c>
      <c r="E59" s="10" t="s">
        <v>71</v>
      </c>
      <c r="F59" s="10" t="s">
        <v>486</v>
      </c>
      <c r="G59" s="10" t="s">
        <v>12630</v>
      </c>
      <c r="H59" s="10" t="s">
        <v>12801</v>
      </c>
      <c r="I59" s="10" t="s">
        <v>48</v>
      </c>
      <c r="J59" s="10" t="s">
        <v>1797</v>
      </c>
      <c r="K59" s="10" t="s">
        <v>12802</v>
      </c>
      <c r="L59" s="10" t="s">
        <v>42</v>
      </c>
    </row>
    <row r="60" ht="15.75" customHeight="1">
      <c r="A60" s="64">
        <v>45499.0</v>
      </c>
      <c r="B60" s="55" t="str">
        <f>HYPERLINK("https://jobright.ai/jobs/info/66a3d2f9d7fee676c8404831?utm_campaign=1065&amp;utm_source=sheet", "Apply")</f>
        <v>Apply</v>
      </c>
      <c r="C60" s="10" t="s">
        <v>12803</v>
      </c>
      <c r="D60" s="56" t="s">
        <v>12804</v>
      </c>
      <c r="E60" s="10" t="s">
        <v>45</v>
      </c>
      <c r="F60" s="10" t="s">
        <v>4022</v>
      </c>
      <c r="G60" s="10" t="s">
        <v>12693</v>
      </c>
      <c r="H60" s="10" t="s">
        <v>12805</v>
      </c>
      <c r="I60" s="10" t="s">
        <v>48</v>
      </c>
      <c r="J60" s="10" t="s">
        <v>12806</v>
      </c>
      <c r="K60" s="10" t="s">
        <v>12807</v>
      </c>
      <c r="L60" s="10" t="s">
        <v>42</v>
      </c>
    </row>
    <row r="61" ht="15.75" customHeight="1">
      <c r="A61" s="64">
        <v>45499.0</v>
      </c>
      <c r="B61" s="55" t="str">
        <f>HYPERLINK("https://jobright.ai/jobs/info/66a3da8d9f1d4690f1a4098d?utm_campaign=1065&amp;utm_source=sheet", "Apply")</f>
        <v>Apply</v>
      </c>
      <c r="C61" s="10" t="s">
        <v>12808</v>
      </c>
      <c r="D61" s="56" t="s">
        <v>12809</v>
      </c>
      <c r="G61" s="10" t="s">
        <v>12654</v>
      </c>
      <c r="H61" s="10" t="s">
        <v>165</v>
      </c>
      <c r="I61" s="10" t="s">
        <v>48</v>
      </c>
      <c r="K61" s="10" t="s">
        <v>12810</v>
      </c>
      <c r="L61" s="10" t="s">
        <v>42</v>
      </c>
    </row>
    <row r="62" ht="15.75" customHeight="1">
      <c r="A62" s="64">
        <v>45499.0</v>
      </c>
      <c r="B62" s="55" t="str">
        <f>HYPERLINK("https://jobright.ai/jobs/info/66a3da8d9f1d4690f1a409aa?utm_campaign=1065&amp;utm_source=sheet", "Apply")</f>
        <v>Apply</v>
      </c>
      <c r="C62" s="10" t="s">
        <v>12811</v>
      </c>
      <c r="D62" s="56" t="s">
        <v>12809</v>
      </c>
      <c r="G62" s="10" t="s">
        <v>12654</v>
      </c>
      <c r="H62" s="10" t="s">
        <v>96</v>
      </c>
      <c r="I62" s="10" t="s">
        <v>48</v>
      </c>
      <c r="K62" s="10" t="s">
        <v>12810</v>
      </c>
      <c r="L62" s="10" t="s">
        <v>42</v>
      </c>
    </row>
    <row r="63" ht="15.75" customHeight="1">
      <c r="A63" s="64">
        <v>45499.0</v>
      </c>
      <c r="B63" s="55" t="str">
        <f>HYPERLINK("https://jobright.ai/jobs/info/66a3c9c755a005da42ef5087?utm_campaign=1065&amp;utm_source=sheet", "Apply")</f>
        <v>Apply</v>
      </c>
      <c r="C63" s="10" t="s">
        <v>12812</v>
      </c>
      <c r="D63" s="56" t="s">
        <v>12813</v>
      </c>
      <c r="E63" s="10" t="s">
        <v>209</v>
      </c>
      <c r="F63" s="10" t="s">
        <v>2274</v>
      </c>
      <c r="G63" s="10" t="s">
        <v>12635</v>
      </c>
      <c r="H63" s="10" t="s">
        <v>139</v>
      </c>
      <c r="I63" s="10" t="s">
        <v>55</v>
      </c>
      <c r="K63" s="10" t="s">
        <v>12814</v>
      </c>
      <c r="L63" s="10" t="s">
        <v>42</v>
      </c>
    </row>
    <row r="64" ht="15.75" customHeight="1">
      <c r="A64" s="64">
        <v>45499.0</v>
      </c>
      <c r="B64" s="55" t="str">
        <f>HYPERLINK("https://jobright.ai/jobs/info/66a3d301d7fee676c840492a?utm_campaign=1065&amp;utm_source=sheet", "Apply")</f>
        <v>Apply</v>
      </c>
      <c r="C64" s="10" t="s">
        <v>12815</v>
      </c>
      <c r="D64" s="56" t="s">
        <v>12816</v>
      </c>
      <c r="E64" s="59">
        <v>45301.0</v>
      </c>
      <c r="F64" s="10" t="s">
        <v>12817</v>
      </c>
      <c r="G64" s="10" t="s">
        <v>12630</v>
      </c>
      <c r="H64" s="10" t="s">
        <v>937</v>
      </c>
      <c r="I64" s="10" t="s">
        <v>55</v>
      </c>
      <c r="K64" s="10" t="s">
        <v>12818</v>
      </c>
      <c r="L64" s="10" t="s">
        <v>42</v>
      </c>
    </row>
    <row r="65" ht="15.75" customHeight="1">
      <c r="A65" s="64">
        <v>45499.0</v>
      </c>
      <c r="B65" s="55" t="str">
        <f>HYPERLINK("https://jobright.ai/jobs/info/66a3be797158ac239b6dd97d?utm_campaign=1065&amp;utm_source=sheet", "Apply")</f>
        <v>Apply</v>
      </c>
      <c r="C65" s="10" t="s">
        <v>12819</v>
      </c>
      <c r="D65" s="56" t="s">
        <v>12820</v>
      </c>
      <c r="E65" s="10" t="s">
        <v>249</v>
      </c>
      <c r="F65" s="10" t="s">
        <v>627</v>
      </c>
      <c r="G65" s="10" t="s">
        <v>12630</v>
      </c>
      <c r="H65" s="10" t="s">
        <v>1048</v>
      </c>
      <c r="I65" s="10" t="s">
        <v>55</v>
      </c>
      <c r="K65" s="10" t="s">
        <v>12821</v>
      </c>
      <c r="L65" s="10" t="s">
        <v>42</v>
      </c>
    </row>
    <row r="66" ht="15.75" customHeight="1">
      <c r="A66" s="64">
        <v>45499.0</v>
      </c>
      <c r="B66" s="55" t="str">
        <f>HYPERLINK("https://jobright.ai/jobs/info/66a3beae7158ac239b6ddf50?utm_campaign=1065&amp;utm_source=sheet", "Apply")</f>
        <v>Apply</v>
      </c>
      <c r="C66" s="10" t="s">
        <v>12650</v>
      </c>
      <c r="D66" s="56" t="s">
        <v>12822</v>
      </c>
      <c r="G66" s="10" t="s">
        <v>12635</v>
      </c>
      <c r="H66" s="10" t="s">
        <v>251</v>
      </c>
      <c r="I66" s="10" t="s">
        <v>252</v>
      </c>
      <c r="K66" s="10" t="s">
        <v>12823</v>
      </c>
      <c r="L66" s="10" t="s">
        <v>42</v>
      </c>
    </row>
    <row r="67" ht="15.75" customHeight="1">
      <c r="A67" s="64">
        <v>45499.0</v>
      </c>
      <c r="B67" s="55" t="str">
        <f>HYPERLINK("https://jobright.ai/jobs/info/66a3beae7158ac239b6ddf54?utm_campaign=1065&amp;utm_source=sheet", "Apply")</f>
        <v>Apply</v>
      </c>
      <c r="C67" s="10" t="s">
        <v>12728</v>
      </c>
      <c r="D67" s="56" t="s">
        <v>12822</v>
      </c>
      <c r="G67" s="10" t="s">
        <v>12630</v>
      </c>
      <c r="H67" s="10" t="s">
        <v>251</v>
      </c>
      <c r="I67" s="10" t="s">
        <v>252</v>
      </c>
      <c r="K67" s="10" t="s">
        <v>12823</v>
      </c>
      <c r="L67" s="10" t="s">
        <v>42</v>
      </c>
    </row>
    <row r="68" ht="15.75" customHeight="1">
      <c r="A68" s="64">
        <v>45499.0</v>
      </c>
      <c r="B68" s="55" t="str">
        <f>HYPERLINK("https://jobright.ai/jobs/info/66a3b1bacc8f335cd486c1f3?utm_campaign=1065&amp;utm_source=sheet", "Apply")</f>
        <v>Apply</v>
      </c>
      <c r="C68" s="10" t="s">
        <v>12824</v>
      </c>
      <c r="D68" s="56" t="s">
        <v>12825</v>
      </c>
      <c r="E68" s="10" t="s">
        <v>249</v>
      </c>
      <c r="F68" s="10" t="s">
        <v>12826</v>
      </c>
      <c r="G68" s="10" t="s">
        <v>12630</v>
      </c>
      <c r="H68" s="10" t="s">
        <v>251</v>
      </c>
      <c r="I68" s="10" t="s">
        <v>252</v>
      </c>
      <c r="K68" s="10" t="s">
        <v>12827</v>
      </c>
      <c r="L68" s="10" t="s">
        <v>42</v>
      </c>
    </row>
    <row r="69" ht="15.75" customHeight="1">
      <c r="A69" s="64">
        <v>45499.0</v>
      </c>
      <c r="B69" s="55" t="str">
        <f>HYPERLINK("https://jobright.ai/jobs/info/66a3b1c7cc8f335cd486c3c3?utm_campaign=1065&amp;utm_source=sheet", "Apply")</f>
        <v>Apply</v>
      </c>
      <c r="C69" s="10" t="s">
        <v>12828</v>
      </c>
      <c r="D69" s="56" t="s">
        <v>12829</v>
      </c>
      <c r="E69" s="10">
        <v>13.0</v>
      </c>
      <c r="G69" s="10" t="s">
        <v>12635</v>
      </c>
      <c r="H69" s="10" t="s">
        <v>11122</v>
      </c>
      <c r="I69" s="10" t="s">
        <v>55</v>
      </c>
      <c r="K69" s="10" t="s">
        <v>12830</v>
      </c>
      <c r="L69" s="10" t="s">
        <v>42</v>
      </c>
    </row>
    <row r="70" ht="15.75" customHeight="1">
      <c r="A70" s="64">
        <v>45499.0</v>
      </c>
      <c r="B70" s="55" t="str">
        <f>HYPERLINK("https://jobright.ai/jobs/info/6696a0e21e4c13c6a6969eee?utm_campaign=1065&amp;utm_source=sheet", "Apply")</f>
        <v>Apply</v>
      </c>
      <c r="C70" s="10" t="s">
        <v>12831</v>
      </c>
      <c r="D70" s="56" t="s">
        <v>12832</v>
      </c>
      <c r="E70" s="10">
        <v>142.0</v>
      </c>
      <c r="G70" s="10" t="s">
        <v>12630</v>
      </c>
      <c r="H70" s="10" t="s">
        <v>578</v>
      </c>
      <c r="I70" s="10" t="s">
        <v>48</v>
      </c>
      <c r="K70" s="10" t="s">
        <v>12833</v>
      </c>
      <c r="L70" s="10" t="s">
        <v>42</v>
      </c>
    </row>
    <row r="71" ht="15.75" customHeight="1">
      <c r="A71" s="64">
        <v>45499.0</v>
      </c>
      <c r="B71" s="55" t="str">
        <f>HYPERLINK("https://jobright.ai/jobs/info/65074fe4d734d4d701c23365?utm_campaign=1065&amp;utm_source=sheet", "Apply")</f>
        <v>Apply</v>
      </c>
      <c r="C71" s="10" t="s">
        <v>12834</v>
      </c>
      <c r="D71" s="56" t="s">
        <v>1064</v>
      </c>
      <c r="E71" s="10" t="s">
        <v>65</v>
      </c>
      <c r="F71" s="10" t="s">
        <v>1065</v>
      </c>
      <c r="G71" s="10" t="s">
        <v>12635</v>
      </c>
      <c r="H71" s="10" t="s">
        <v>952</v>
      </c>
      <c r="I71" s="10" t="s">
        <v>55</v>
      </c>
      <c r="K71" s="10" t="s">
        <v>12835</v>
      </c>
      <c r="L71" s="10" t="s">
        <v>42</v>
      </c>
    </row>
    <row r="72" ht="15.75" customHeight="1">
      <c r="A72" s="64">
        <v>45499.0</v>
      </c>
      <c r="B72" s="55" t="str">
        <f>HYPERLINK("https://jobright.ai/jobs/info/668720eb1a12f1462d7d27c1?utm_campaign=1065&amp;utm_source=sheet", "Apply")</f>
        <v>Apply</v>
      </c>
      <c r="C72" s="10" t="s">
        <v>12836</v>
      </c>
      <c r="D72" s="56" t="s">
        <v>12837</v>
      </c>
      <c r="E72" s="10" t="s">
        <v>276</v>
      </c>
      <c r="F72" s="10" t="s">
        <v>3770</v>
      </c>
      <c r="G72" s="10" t="s">
        <v>12630</v>
      </c>
      <c r="H72" s="10" t="s">
        <v>859</v>
      </c>
      <c r="I72" s="10" t="s">
        <v>48</v>
      </c>
      <c r="K72" s="10" t="s">
        <v>12838</v>
      </c>
      <c r="L72" s="10" t="s">
        <v>42</v>
      </c>
    </row>
    <row r="73" ht="15.75" customHeight="1">
      <c r="A73" s="64">
        <v>45499.0</v>
      </c>
      <c r="B73" s="55" t="str">
        <f>HYPERLINK("https://jobright.ai/jobs/info/6691b7fa13527b97fdb1b773?utm_campaign=1065&amp;utm_source=sheet", "Apply")</f>
        <v>Apply</v>
      </c>
      <c r="C73" s="10" t="s">
        <v>12839</v>
      </c>
      <c r="D73" s="56" t="s">
        <v>12840</v>
      </c>
      <c r="E73" s="10" t="s">
        <v>45</v>
      </c>
      <c r="F73" s="10" t="s">
        <v>665</v>
      </c>
      <c r="G73" s="10" t="s">
        <v>12635</v>
      </c>
      <c r="H73" s="10" t="s">
        <v>12841</v>
      </c>
      <c r="I73" s="10" t="s">
        <v>48</v>
      </c>
      <c r="J73" s="10" t="s">
        <v>12842</v>
      </c>
      <c r="K73" s="10" t="s">
        <v>12843</v>
      </c>
      <c r="L73" s="10" t="s">
        <v>42</v>
      </c>
    </row>
    <row r="74" ht="15.75" customHeight="1">
      <c r="A74" s="64">
        <v>45499.0</v>
      </c>
      <c r="B74" s="55" t="str">
        <f>HYPERLINK("https://jobright.ai/jobs/info/6669eab56994f63c0a46352a?utm_campaign=1065&amp;utm_source=sheet", "Apply")</f>
        <v>Apply</v>
      </c>
      <c r="C74" s="10" t="s">
        <v>12844</v>
      </c>
      <c r="D74" s="56" t="s">
        <v>10169</v>
      </c>
      <c r="E74" s="10" t="s">
        <v>45</v>
      </c>
      <c r="F74" s="10" t="s">
        <v>10170</v>
      </c>
      <c r="G74" s="10" t="s">
        <v>12635</v>
      </c>
      <c r="H74" s="10" t="s">
        <v>12845</v>
      </c>
      <c r="I74" s="10" t="s">
        <v>55</v>
      </c>
      <c r="J74" s="10" t="s">
        <v>1608</v>
      </c>
      <c r="K74" s="10" t="s">
        <v>12846</v>
      </c>
      <c r="L74" s="10" t="s">
        <v>42</v>
      </c>
    </row>
    <row r="75" ht="15.75" customHeight="1">
      <c r="A75" s="64">
        <v>45499.0</v>
      </c>
      <c r="B75" s="55" t="str">
        <f>HYPERLINK("https://jobright.ai/jobs/info/65073f5416217d022dbab982?utm_campaign=1065&amp;utm_source=sheet", "Apply")</f>
        <v>Apply</v>
      </c>
      <c r="C75" s="10" t="s">
        <v>12847</v>
      </c>
      <c r="D75" s="56" t="s">
        <v>1064</v>
      </c>
      <c r="E75" s="10" t="s">
        <v>65</v>
      </c>
      <c r="F75" s="10" t="s">
        <v>1065</v>
      </c>
      <c r="G75" s="10" t="s">
        <v>12635</v>
      </c>
      <c r="H75" s="10" t="s">
        <v>952</v>
      </c>
      <c r="I75" s="10" t="s">
        <v>55</v>
      </c>
      <c r="K75" s="10" t="s">
        <v>12848</v>
      </c>
      <c r="L75" s="10" t="s">
        <v>42</v>
      </c>
    </row>
    <row r="76" ht="15.75" customHeight="1">
      <c r="A76" s="64">
        <v>45499.0</v>
      </c>
      <c r="B76" s="55" t="str">
        <f>HYPERLINK("https://jobright.ai/jobs/info/66269f7a7b2149c058535a8d?utm_campaign=1065&amp;utm_source=sheet", "Apply")</f>
        <v>Apply</v>
      </c>
      <c r="C76" s="10" t="s">
        <v>12849</v>
      </c>
      <c r="D76" s="56" t="s">
        <v>12687</v>
      </c>
      <c r="E76" s="10" t="s">
        <v>65</v>
      </c>
      <c r="F76" s="10" t="s">
        <v>12688</v>
      </c>
      <c r="G76" s="10" t="s">
        <v>12654</v>
      </c>
      <c r="H76" s="10" t="s">
        <v>1556</v>
      </c>
      <c r="I76" s="10" t="s">
        <v>48</v>
      </c>
      <c r="K76" s="10" t="s">
        <v>12850</v>
      </c>
      <c r="L76" s="10" t="s">
        <v>42</v>
      </c>
    </row>
    <row r="77" ht="15.75" customHeight="1">
      <c r="A77" s="64">
        <v>45499.0</v>
      </c>
      <c r="B77" s="55" t="str">
        <f>HYPERLINK("https://jobright.ai/jobs/info/65077c77c5d6d59a6ff93ef6?utm_campaign=1065&amp;utm_source=sheet", "Apply")</f>
        <v>Apply</v>
      </c>
      <c r="C77" s="10" t="s">
        <v>12851</v>
      </c>
      <c r="D77" s="56" t="s">
        <v>12687</v>
      </c>
      <c r="E77" s="10" t="s">
        <v>65</v>
      </c>
      <c r="F77" s="10" t="s">
        <v>12688</v>
      </c>
      <c r="G77" s="10" t="s">
        <v>12654</v>
      </c>
      <c r="H77" s="10" t="s">
        <v>1556</v>
      </c>
      <c r="I77" s="10" t="s">
        <v>48</v>
      </c>
      <c r="K77" s="10" t="s">
        <v>12852</v>
      </c>
      <c r="L77" s="10" t="s">
        <v>42</v>
      </c>
    </row>
    <row r="78" ht="15.75" customHeight="1">
      <c r="A78" s="64">
        <v>45499.0</v>
      </c>
      <c r="B78" s="55" t="str">
        <f>HYPERLINK("https://jobright.ai/jobs/info/66a4096131860b8110f6abd0?utm_campaign=1065&amp;utm_source=sheet", "Apply")</f>
        <v>Apply</v>
      </c>
      <c r="C78" s="10" t="s">
        <v>12853</v>
      </c>
      <c r="D78" s="56" t="s">
        <v>3376</v>
      </c>
      <c r="E78" s="10" t="s">
        <v>45</v>
      </c>
      <c r="F78" s="10" t="s">
        <v>3377</v>
      </c>
      <c r="G78" s="10" t="s">
        <v>12635</v>
      </c>
      <c r="H78" s="10" t="s">
        <v>4037</v>
      </c>
      <c r="I78" s="10" t="s">
        <v>48</v>
      </c>
      <c r="J78" s="10" t="s">
        <v>12854</v>
      </c>
      <c r="K78" s="10" t="s">
        <v>12855</v>
      </c>
      <c r="L78" s="10" t="s">
        <v>42</v>
      </c>
    </row>
    <row r="79" ht="15.75" customHeight="1">
      <c r="A79" s="64">
        <v>45499.0</v>
      </c>
      <c r="B79" s="55" t="str">
        <f>HYPERLINK("https://jobright.ai/jobs/info/66a4096131860b8110f6ac02?utm_campaign=1065&amp;utm_source=sheet", "Apply")</f>
        <v>Apply</v>
      </c>
      <c r="C79" s="10" t="s">
        <v>12853</v>
      </c>
      <c r="D79" s="56" t="s">
        <v>3376</v>
      </c>
      <c r="E79" s="10" t="s">
        <v>45</v>
      </c>
      <c r="F79" s="10" t="s">
        <v>3377</v>
      </c>
      <c r="G79" s="10" t="s">
        <v>12635</v>
      </c>
      <c r="H79" s="10" t="s">
        <v>12856</v>
      </c>
      <c r="I79" s="10" t="s">
        <v>48</v>
      </c>
      <c r="J79" s="10" t="s">
        <v>12854</v>
      </c>
      <c r="K79" s="10" t="s">
        <v>12855</v>
      </c>
      <c r="L79" s="10" t="s">
        <v>42</v>
      </c>
    </row>
    <row r="80" ht="15.75" customHeight="1">
      <c r="A80" s="64">
        <v>45499.0</v>
      </c>
      <c r="B80" s="55" t="str">
        <f>HYPERLINK("https://jobright.ai/jobs/info/66a4096131860b8110f6ac04?utm_campaign=1065&amp;utm_source=sheet", "Apply")</f>
        <v>Apply</v>
      </c>
      <c r="C80" s="10" t="s">
        <v>12853</v>
      </c>
      <c r="D80" s="56" t="s">
        <v>3376</v>
      </c>
      <c r="E80" s="10" t="s">
        <v>45</v>
      </c>
      <c r="F80" s="10" t="s">
        <v>3377</v>
      </c>
      <c r="G80" s="10" t="s">
        <v>12635</v>
      </c>
      <c r="H80" s="10" t="s">
        <v>4001</v>
      </c>
      <c r="I80" s="10" t="s">
        <v>48</v>
      </c>
      <c r="J80" s="10" t="s">
        <v>12854</v>
      </c>
      <c r="K80" s="10" t="s">
        <v>12855</v>
      </c>
      <c r="L80" s="10" t="s">
        <v>42</v>
      </c>
    </row>
    <row r="81" ht="15.75" customHeight="1">
      <c r="A81" s="64">
        <v>45499.0</v>
      </c>
      <c r="B81" s="55" t="str">
        <f>HYPERLINK("https://jobright.ai/jobs/info/66a4096131860b8110f6ac03?utm_campaign=1065&amp;utm_source=sheet", "Apply")</f>
        <v>Apply</v>
      </c>
      <c r="C81" s="10" t="s">
        <v>12853</v>
      </c>
      <c r="D81" s="56" t="s">
        <v>3376</v>
      </c>
      <c r="E81" s="10" t="s">
        <v>45</v>
      </c>
      <c r="F81" s="10" t="s">
        <v>3377</v>
      </c>
      <c r="G81" s="10" t="s">
        <v>12635</v>
      </c>
      <c r="H81" s="10" t="s">
        <v>12857</v>
      </c>
      <c r="I81" s="10" t="s">
        <v>48</v>
      </c>
      <c r="J81" s="10" t="s">
        <v>12854</v>
      </c>
      <c r="K81" s="10" t="s">
        <v>12855</v>
      </c>
      <c r="L81" s="10" t="s">
        <v>42</v>
      </c>
    </row>
    <row r="82" ht="15.75" customHeight="1">
      <c r="A82" s="64">
        <v>45499.0</v>
      </c>
      <c r="B82" s="55" t="str">
        <f>HYPERLINK("https://jobright.ai/jobs/info/66a4096131860b8110f6ac0a?utm_campaign=1065&amp;utm_source=sheet", "Apply")</f>
        <v>Apply</v>
      </c>
      <c r="C82" s="10" t="s">
        <v>12853</v>
      </c>
      <c r="D82" s="56" t="s">
        <v>3376</v>
      </c>
      <c r="E82" s="10" t="s">
        <v>45</v>
      </c>
      <c r="F82" s="10" t="s">
        <v>3377</v>
      </c>
      <c r="G82" s="10" t="s">
        <v>12635</v>
      </c>
      <c r="H82" s="10" t="s">
        <v>794</v>
      </c>
      <c r="I82" s="10" t="s">
        <v>48</v>
      </c>
      <c r="J82" s="10" t="s">
        <v>12854</v>
      </c>
      <c r="K82" s="10" t="s">
        <v>12855</v>
      </c>
      <c r="L82" s="10" t="s">
        <v>42</v>
      </c>
    </row>
    <row r="83" ht="15.75" customHeight="1">
      <c r="A83" s="64">
        <v>45499.0</v>
      </c>
      <c r="B83" s="55" t="str">
        <f>HYPERLINK("https://jobright.ai/jobs/info/666a317f90feb1bdec571eec?utm_campaign=1065&amp;utm_source=sheet", "Apply")</f>
        <v>Apply</v>
      </c>
      <c r="C83" s="10" t="s">
        <v>12650</v>
      </c>
      <c r="D83" s="56" t="s">
        <v>12858</v>
      </c>
      <c r="E83" s="10" t="s">
        <v>65</v>
      </c>
      <c r="F83" s="10" t="s">
        <v>9101</v>
      </c>
      <c r="G83" s="10" t="s">
        <v>12635</v>
      </c>
      <c r="H83" s="10" t="s">
        <v>927</v>
      </c>
      <c r="I83" s="10" t="s">
        <v>48</v>
      </c>
      <c r="K83" s="10" t="s">
        <v>12859</v>
      </c>
      <c r="L83" s="10" t="s">
        <v>42</v>
      </c>
    </row>
    <row r="84" ht="15.75" customHeight="1">
      <c r="A84" s="64">
        <v>45499.0</v>
      </c>
      <c r="B84" s="55" t="str">
        <f>HYPERLINK("https://jobright.ai/jobs/info/659dbcec3266736b59caf274?utm_campaign=1065&amp;utm_source=sheet", "Apply")</f>
        <v>Apply</v>
      </c>
      <c r="C84" s="10" t="s">
        <v>12860</v>
      </c>
      <c r="D84" s="56" t="s">
        <v>12687</v>
      </c>
      <c r="E84" s="10" t="s">
        <v>65</v>
      </c>
      <c r="F84" s="10" t="s">
        <v>12688</v>
      </c>
      <c r="G84" s="10" t="s">
        <v>12654</v>
      </c>
      <c r="H84" s="10" t="s">
        <v>1556</v>
      </c>
      <c r="I84" s="10" t="s">
        <v>55</v>
      </c>
      <c r="K84" s="10" t="s">
        <v>12850</v>
      </c>
      <c r="L84" s="10" t="s">
        <v>42</v>
      </c>
    </row>
    <row r="85" ht="15.75" customHeight="1">
      <c r="A85" s="64">
        <v>45499.0</v>
      </c>
      <c r="B85" s="55" t="str">
        <f>HYPERLINK("https://jobright.ai/jobs/info/66171946b596ab2f3a34bae6?utm_campaign=1065&amp;utm_source=sheet", "Apply")</f>
        <v>Apply</v>
      </c>
      <c r="C85" s="10" t="s">
        <v>12861</v>
      </c>
      <c r="D85" s="56" t="s">
        <v>12687</v>
      </c>
      <c r="E85" s="10" t="s">
        <v>65</v>
      </c>
      <c r="F85" s="10" t="s">
        <v>12688</v>
      </c>
      <c r="G85" s="10" t="s">
        <v>12654</v>
      </c>
      <c r="H85" s="10" t="s">
        <v>1556</v>
      </c>
      <c r="I85" s="10" t="s">
        <v>48</v>
      </c>
      <c r="K85" s="10" t="s">
        <v>12850</v>
      </c>
      <c r="L85" s="10" t="s">
        <v>42</v>
      </c>
    </row>
    <row r="86" ht="15.75" customHeight="1">
      <c r="A86" s="64">
        <v>45499.0</v>
      </c>
      <c r="B86" s="55" t="str">
        <f>HYPERLINK("https://jobright.ai/jobs/info/66872c559b0a09c5c7de74c1?utm_campaign=1065&amp;utm_source=sheet", "Apply")</f>
        <v>Apply</v>
      </c>
      <c r="C86" s="10" t="s">
        <v>12862</v>
      </c>
      <c r="D86" s="56" t="s">
        <v>12837</v>
      </c>
      <c r="E86" s="10" t="s">
        <v>276</v>
      </c>
      <c r="F86" s="10" t="s">
        <v>3770</v>
      </c>
      <c r="G86" s="10" t="s">
        <v>12654</v>
      </c>
      <c r="H86" s="10" t="s">
        <v>859</v>
      </c>
      <c r="I86" s="10" t="s">
        <v>55</v>
      </c>
      <c r="K86" s="10" t="s">
        <v>12863</v>
      </c>
      <c r="L86" s="10" t="s">
        <v>42</v>
      </c>
    </row>
    <row r="87" ht="15.75" customHeight="1">
      <c r="A87" s="64">
        <v>45499.0</v>
      </c>
      <c r="B87" s="55" t="str">
        <f>HYPERLINK("https://jobright.ai/jobs/info/66a33998cb8187901805ca75?utm_campaign=1065&amp;utm_source=sheet", "Apply")</f>
        <v>Apply</v>
      </c>
      <c r="C87" s="10" t="s">
        <v>12650</v>
      </c>
      <c r="D87" s="56" t="s">
        <v>12864</v>
      </c>
      <c r="E87" s="10" t="s">
        <v>45</v>
      </c>
      <c r="F87" s="10" t="s">
        <v>8746</v>
      </c>
      <c r="G87" s="10" t="s">
        <v>12635</v>
      </c>
      <c r="H87" s="10" t="s">
        <v>1160</v>
      </c>
      <c r="I87" s="10" t="s">
        <v>55</v>
      </c>
      <c r="K87" s="10" t="s">
        <v>12865</v>
      </c>
      <c r="L87" s="10" t="s">
        <v>42</v>
      </c>
    </row>
    <row r="88" ht="15.75" customHeight="1">
      <c r="A88" s="64">
        <v>45499.0</v>
      </c>
      <c r="B88" s="55" t="str">
        <f>HYPERLINK("https://jobright.ai/jobs/info/66a33483c1d653d8e99f629a?utm_campaign=1065&amp;utm_source=sheet", "Apply")</f>
        <v>Apply</v>
      </c>
      <c r="C88" s="10" t="s">
        <v>12866</v>
      </c>
      <c r="D88" s="56" t="s">
        <v>12867</v>
      </c>
      <c r="E88" s="10">
        <v>204.0</v>
      </c>
      <c r="G88" s="10" t="s">
        <v>12654</v>
      </c>
      <c r="H88" s="10" t="s">
        <v>96</v>
      </c>
      <c r="I88" s="10" t="s">
        <v>48</v>
      </c>
      <c r="J88" s="10" t="s">
        <v>1797</v>
      </c>
      <c r="K88" s="10" t="s">
        <v>12868</v>
      </c>
      <c r="L88" s="10" t="s">
        <v>42</v>
      </c>
    </row>
    <row r="89" ht="15.75" customHeight="1">
      <c r="A89" s="64">
        <v>45499.0</v>
      </c>
      <c r="B89" s="55" t="str">
        <f>HYPERLINK("https://jobright.ai/jobs/info/66a31e13737353bc55dceaa0?utm_campaign=1065&amp;utm_source=sheet", "Apply")</f>
        <v>Apply</v>
      </c>
      <c r="C89" s="10" t="s">
        <v>9688</v>
      </c>
      <c r="D89" s="56" t="s">
        <v>12869</v>
      </c>
      <c r="E89" s="10">
        <v>14.0</v>
      </c>
      <c r="G89" s="10" t="s">
        <v>12630</v>
      </c>
      <c r="H89" s="10" t="s">
        <v>96</v>
      </c>
      <c r="I89" s="10" t="s">
        <v>48</v>
      </c>
      <c r="K89" s="10" t="s">
        <v>12870</v>
      </c>
      <c r="L89" s="10" t="s">
        <v>42</v>
      </c>
    </row>
    <row r="90" ht="15.75" customHeight="1">
      <c r="A90" s="64">
        <v>45499.0</v>
      </c>
      <c r="B90" s="55" t="str">
        <f>HYPERLINK("https://jobright.ai/jobs/info/66a3e199fa1e56eccb8f577e?utm_campaign=1065&amp;utm_source=sheet", "Apply")</f>
        <v>Apply</v>
      </c>
      <c r="C90" s="10" t="s">
        <v>12871</v>
      </c>
      <c r="D90" s="56" t="s">
        <v>12872</v>
      </c>
      <c r="E90" s="10" t="s">
        <v>137</v>
      </c>
      <c r="F90" s="10" t="s">
        <v>1415</v>
      </c>
      <c r="G90" s="10" t="s">
        <v>12654</v>
      </c>
      <c r="H90" s="10" t="s">
        <v>3374</v>
      </c>
      <c r="I90" s="10" t="s">
        <v>55</v>
      </c>
      <c r="K90" s="10" t="s">
        <v>12873</v>
      </c>
      <c r="L90" s="10" t="s">
        <v>42</v>
      </c>
    </row>
    <row r="91" ht="15.75" customHeight="1">
      <c r="A91" s="64">
        <v>45499.0</v>
      </c>
      <c r="B91" s="55" t="str">
        <f>HYPERLINK("https://jobright.ai/jobs/info/66a31efad1b73a75b9a3e877?utm_campaign=1065&amp;utm_source=sheet", "Apply")</f>
        <v>Apply</v>
      </c>
      <c r="C91" s="10" t="s">
        <v>12874</v>
      </c>
      <c r="D91" s="56" t="s">
        <v>12875</v>
      </c>
      <c r="E91" s="10" t="s">
        <v>65</v>
      </c>
      <c r="F91" s="10" t="s">
        <v>1506</v>
      </c>
      <c r="G91" s="10" t="s">
        <v>12630</v>
      </c>
      <c r="H91" s="10" t="s">
        <v>8404</v>
      </c>
      <c r="I91" s="10" t="s">
        <v>55</v>
      </c>
      <c r="J91" s="10" t="s">
        <v>521</v>
      </c>
      <c r="K91" s="10" t="s">
        <v>12876</v>
      </c>
      <c r="L91" s="10" t="s">
        <v>42</v>
      </c>
    </row>
    <row r="92" ht="15.75" customHeight="1">
      <c r="A92" s="64">
        <v>45499.0</v>
      </c>
      <c r="B92" s="55" t="str">
        <f>HYPERLINK("https://jobright.ai/jobs/info/66a31c9757451938439e9991?utm_campaign=1065&amp;utm_source=sheet", "Apply")</f>
        <v>Apply</v>
      </c>
      <c r="C92" s="10" t="s">
        <v>12877</v>
      </c>
      <c r="D92" s="56" t="s">
        <v>12878</v>
      </c>
      <c r="E92" s="10" t="s">
        <v>209</v>
      </c>
      <c r="F92" s="10" t="s">
        <v>9496</v>
      </c>
      <c r="G92" s="10" t="s">
        <v>12635</v>
      </c>
      <c r="H92" s="10" t="s">
        <v>167</v>
      </c>
      <c r="I92" s="10" t="s">
        <v>55</v>
      </c>
      <c r="K92" s="10" t="s">
        <v>12879</v>
      </c>
      <c r="L92" s="10" t="s">
        <v>42</v>
      </c>
    </row>
    <row r="93" ht="15.75" customHeight="1">
      <c r="A93" s="64">
        <v>45499.0</v>
      </c>
      <c r="B93" s="55" t="str">
        <f>HYPERLINK("https://jobright.ai/jobs/info/66a308256966215d4496186c?utm_campaign=1065&amp;utm_source=sheet", "Apply")</f>
        <v>Apply</v>
      </c>
      <c r="C93" s="10" t="s">
        <v>12650</v>
      </c>
      <c r="D93" s="56" t="s">
        <v>12880</v>
      </c>
      <c r="E93" s="10" t="s">
        <v>209</v>
      </c>
      <c r="F93" s="10" t="s">
        <v>259</v>
      </c>
      <c r="G93" s="10" t="s">
        <v>12635</v>
      </c>
      <c r="H93" s="10" t="s">
        <v>12881</v>
      </c>
      <c r="I93" s="10" t="s">
        <v>55</v>
      </c>
      <c r="K93" s="10" t="s">
        <v>12882</v>
      </c>
      <c r="L93" s="10" t="s">
        <v>42</v>
      </c>
    </row>
    <row r="94" ht="15.75" customHeight="1">
      <c r="A94" s="64">
        <v>45499.0</v>
      </c>
      <c r="B94" s="55" t="str">
        <f>HYPERLINK("https://jobright.ai/jobs/info/66a31efad1b73a75b9a3e881?utm_campaign=1065&amp;utm_source=sheet", "Apply")</f>
        <v>Apply</v>
      </c>
      <c r="C94" s="10" t="s">
        <v>12883</v>
      </c>
      <c r="D94" s="56" t="s">
        <v>3293</v>
      </c>
      <c r="E94" s="10" t="s">
        <v>209</v>
      </c>
      <c r="F94" s="10" t="s">
        <v>1587</v>
      </c>
      <c r="G94" s="10" t="s">
        <v>12630</v>
      </c>
      <c r="H94" s="10" t="s">
        <v>168</v>
      </c>
      <c r="I94" s="10" t="s">
        <v>55</v>
      </c>
      <c r="K94" s="10" t="s">
        <v>12884</v>
      </c>
      <c r="L94" s="10" t="s">
        <v>42</v>
      </c>
    </row>
    <row r="95" ht="15.75" customHeight="1">
      <c r="A95" s="64">
        <v>45499.0</v>
      </c>
      <c r="B95" s="55" t="str">
        <f>HYPERLINK("https://jobright.ai/jobs/info/66a30d0bc4c90e7837b86f16?utm_campaign=1065&amp;utm_source=sheet", "Apply")</f>
        <v>Apply</v>
      </c>
      <c r="C95" s="10" t="s">
        <v>12885</v>
      </c>
      <c r="D95" s="56" t="s">
        <v>12886</v>
      </c>
      <c r="E95" s="10">
        <v>6.0</v>
      </c>
      <c r="G95" s="10" t="s">
        <v>12654</v>
      </c>
      <c r="H95" s="10" t="s">
        <v>153</v>
      </c>
      <c r="I95" s="10" t="s">
        <v>55</v>
      </c>
      <c r="K95" s="10" t="s">
        <v>12887</v>
      </c>
      <c r="L95" s="10" t="s">
        <v>42</v>
      </c>
    </row>
    <row r="96" ht="15.75" customHeight="1">
      <c r="A96" s="64">
        <v>45499.0</v>
      </c>
      <c r="B96" s="55" t="str">
        <f>HYPERLINK("https://jobright.ai/jobs/info/66a3043f5819e4bbe872d4f7?utm_campaign=1065&amp;utm_source=sheet", "Apply")</f>
        <v>Apply</v>
      </c>
      <c r="C96" s="10" t="s">
        <v>12888</v>
      </c>
      <c r="D96" s="56" t="s">
        <v>12889</v>
      </c>
      <c r="E96" s="10" t="s">
        <v>137</v>
      </c>
      <c r="F96" s="10" t="s">
        <v>12890</v>
      </c>
      <c r="G96" s="10" t="s">
        <v>12654</v>
      </c>
      <c r="H96" s="10" t="s">
        <v>251</v>
      </c>
      <c r="I96" s="10" t="s">
        <v>252</v>
      </c>
      <c r="K96" s="10" t="s">
        <v>12891</v>
      </c>
      <c r="L96" s="10" t="s">
        <v>42</v>
      </c>
    </row>
    <row r="97" ht="15.75" customHeight="1">
      <c r="A97" s="64">
        <v>45499.0</v>
      </c>
      <c r="B97" s="55" t="str">
        <f>HYPERLINK("https://jobright.ai/jobs/info/66a300a97dca4d6b69dbb71f?utm_campaign=1065&amp;utm_source=sheet", "Apply")</f>
        <v>Apply</v>
      </c>
      <c r="C97" s="10" t="s">
        <v>12892</v>
      </c>
      <c r="D97" s="56" t="s">
        <v>12893</v>
      </c>
      <c r="E97" s="10">
        <v>1.0</v>
      </c>
      <c r="G97" s="10" t="s">
        <v>12654</v>
      </c>
      <c r="H97" s="10" t="s">
        <v>251</v>
      </c>
      <c r="I97" s="10" t="s">
        <v>252</v>
      </c>
      <c r="K97" s="10" t="s">
        <v>12894</v>
      </c>
      <c r="L97" s="10" t="s">
        <v>42</v>
      </c>
    </row>
    <row r="98" ht="15.75" customHeight="1">
      <c r="A98" s="64">
        <v>45499.0</v>
      </c>
      <c r="B98" s="55" t="str">
        <f>HYPERLINK("https://jobright.ai/jobs/info/66a420725660965e6b3124d2?utm_campaign=1065&amp;utm_source=sheet", "Apply")</f>
        <v>Apply</v>
      </c>
      <c r="C98" s="10" t="s">
        <v>12895</v>
      </c>
      <c r="D98" s="56" t="s">
        <v>8363</v>
      </c>
      <c r="E98" s="10" t="s">
        <v>45</v>
      </c>
      <c r="F98" s="10" t="s">
        <v>1234</v>
      </c>
      <c r="G98" s="10" t="s">
        <v>12635</v>
      </c>
      <c r="H98" s="10" t="s">
        <v>896</v>
      </c>
      <c r="I98" s="10" t="s">
        <v>55</v>
      </c>
      <c r="J98" s="10" t="s">
        <v>12896</v>
      </c>
      <c r="K98" s="10" t="s">
        <v>12897</v>
      </c>
      <c r="L98" s="10" t="s">
        <v>42</v>
      </c>
    </row>
    <row r="99" ht="15.75" customHeight="1">
      <c r="A99" s="64">
        <v>45499.0</v>
      </c>
      <c r="B99" s="55" t="str">
        <f>HYPERLINK("https://jobright.ai/jobs/info/66a32091ff57370d38e377ee?utm_campaign=1065&amp;utm_source=sheet", "Apply")</f>
        <v>Apply</v>
      </c>
      <c r="C99" s="10" t="s">
        <v>12898</v>
      </c>
      <c r="D99" s="56" t="s">
        <v>12899</v>
      </c>
      <c r="E99" s="10">
        <v>6.0</v>
      </c>
      <c r="G99" s="10" t="s">
        <v>12654</v>
      </c>
      <c r="H99" s="10" t="s">
        <v>12767</v>
      </c>
      <c r="I99" s="10" t="s">
        <v>55</v>
      </c>
      <c r="K99" s="10" t="s">
        <v>12900</v>
      </c>
      <c r="L99" s="10" t="s">
        <v>42</v>
      </c>
    </row>
    <row r="100" ht="15.75" customHeight="1">
      <c r="A100" s="64">
        <v>45499.0</v>
      </c>
      <c r="B100" s="55" t="str">
        <f>HYPERLINK("https://jobright.ai/jobs/info/6677b320d57a2b58a480d74c?utm_campaign=1065&amp;utm_source=sheet", "Apply")</f>
        <v>Apply</v>
      </c>
      <c r="C100" s="10" t="s">
        <v>12901</v>
      </c>
      <c r="D100" s="56" t="s">
        <v>12902</v>
      </c>
      <c r="E100" s="10" t="s">
        <v>137</v>
      </c>
      <c r="F100" s="10" t="s">
        <v>1435</v>
      </c>
      <c r="G100" s="10" t="s">
        <v>12645</v>
      </c>
      <c r="H100" s="10" t="s">
        <v>144</v>
      </c>
      <c r="I100" s="10" t="s">
        <v>55</v>
      </c>
      <c r="K100" s="10" t="s">
        <v>12903</v>
      </c>
      <c r="L100" s="10" t="s">
        <v>42</v>
      </c>
    </row>
    <row r="101" ht="15.75" customHeight="1">
      <c r="A101" s="64">
        <v>45499.0</v>
      </c>
      <c r="B101" s="55" t="str">
        <f>HYPERLINK("https://jobright.ai/jobs/info/66a42aae878605eeeff9803d?utm_campaign=1065&amp;utm_source=sheet", "Apply")</f>
        <v>Apply</v>
      </c>
      <c r="C101" s="10" t="s">
        <v>12904</v>
      </c>
      <c r="D101" s="56" t="s">
        <v>12905</v>
      </c>
      <c r="E101" s="10" t="s">
        <v>209</v>
      </c>
      <c r="F101" s="10" t="s">
        <v>12906</v>
      </c>
      <c r="G101" s="10" t="s">
        <v>12654</v>
      </c>
      <c r="H101" s="10" t="s">
        <v>1032</v>
      </c>
      <c r="I101" s="10" t="s">
        <v>48</v>
      </c>
      <c r="J101" s="10" t="s">
        <v>9875</v>
      </c>
      <c r="K101" s="10" t="s">
        <v>12907</v>
      </c>
      <c r="L101" s="10" t="s">
        <v>42</v>
      </c>
    </row>
    <row r="102" ht="15.75" customHeight="1">
      <c r="A102" s="64">
        <v>45499.0</v>
      </c>
      <c r="B102" s="55" t="str">
        <f>HYPERLINK("https://jobright.ai/jobs/info/66a43997e9bda74e61af1323?utm_campaign=1065&amp;utm_source=sheet", "Apply")</f>
        <v>Apply</v>
      </c>
      <c r="C102" s="10" t="s">
        <v>12908</v>
      </c>
      <c r="D102" s="56" t="s">
        <v>5763</v>
      </c>
      <c r="E102" s="10" t="s">
        <v>276</v>
      </c>
      <c r="F102" s="10" t="s">
        <v>3770</v>
      </c>
      <c r="G102" s="10" t="s">
        <v>12630</v>
      </c>
      <c r="H102" s="10" t="s">
        <v>862</v>
      </c>
      <c r="I102" s="10" t="s">
        <v>55</v>
      </c>
      <c r="K102" s="10" t="s">
        <v>12909</v>
      </c>
      <c r="L102" s="10" t="s">
        <v>42</v>
      </c>
    </row>
    <row r="103" ht="15.75" customHeight="1">
      <c r="A103" s="64">
        <v>45499.0</v>
      </c>
      <c r="B103" s="55" t="str">
        <f>HYPERLINK("https://jobright.ai/jobs/info/66a3064952f762883154aa11?utm_campaign=1065&amp;utm_source=sheet", "Apply")</f>
        <v>Apply</v>
      </c>
      <c r="C103" s="10" t="s">
        <v>12910</v>
      </c>
      <c r="D103" s="56" t="s">
        <v>12911</v>
      </c>
      <c r="G103" s="10" t="s">
        <v>12635</v>
      </c>
      <c r="H103" s="10" t="s">
        <v>4858</v>
      </c>
      <c r="I103" s="10" t="s">
        <v>55</v>
      </c>
      <c r="K103" s="10" t="s">
        <v>12912</v>
      </c>
      <c r="L103" s="10" t="s">
        <v>42</v>
      </c>
    </row>
    <row r="104" ht="15.75" customHeight="1">
      <c r="A104" s="64">
        <v>45499.0</v>
      </c>
      <c r="B104" s="55" t="str">
        <f>HYPERLINK("https://jobright.ai/jobs/info/66a300a97dca4d6b69dbb7bd?utm_campaign=1065&amp;utm_source=sheet", "Apply")</f>
        <v>Apply</v>
      </c>
      <c r="C104" s="10" t="s">
        <v>12913</v>
      </c>
      <c r="D104" s="56" t="s">
        <v>12914</v>
      </c>
      <c r="E104" s="10" t="s">
        <v>137</v>
      </c>
      <c r="F104" s="10" t="s">
        <v>12915</v>
      </c>
      <c r="G104" s="10" t="s">
        <v>12645</v>
      </c>
      <c r="H104" s="10" t="s">
        <v>144</v>
      </c>
      <c r="I104" s="10" t="s">
        <v>55</v>
      </c>
      <c r="L104" s="10" t="s">
        <v>42</v>
      </c>
    </row>
    <row r="105" ht="15.75" customHeight="1">
      <c r="A105" s="64">
        <v>45499.0</v>
      </c>
      <c r="B105" s="55" t="str">
        <f>HYPERLINK("https://jobright.ai/jobs/info/66a4401219b7c310f7f76435?utm_campaign=1065&amp;utm_source=sheet", "Apply")</f>
        <v>Apply</v>
      </c>
      <c r="C105" s="10" t="s">
        <v>12904</v>
      </c>
      <c r="D105" s="56" t="s">
        <v>12916</v>
      </c>
      <c r="E105" s="10" t="s">
        <v>276</v>
      </c>
      <c r="F105" s="10" t="s">
        <v>3035</v>
      </c>
      <c r="G105" s="10" t="s">
        <v>12654</v>
      </c>
      <c r="H105" s="10" t="s">
        <v>661</v>
      </c>
      <c r="I105" s="10" t="s">
        <v>55</v>
      </c>
      <c r="K105" s="10" t="s">
        <v>12917</v>
      </c>
      <c r="L105" s="10" t="s">
        <v>42</v>
      </c>
    </row>
    <row r="106" ht="15.75" customHeight="1">
      <c r="A106" s="64">
        <v>45499.0</v>
      </c>
      <c r="B106" s="55" t="str">
        <f>HYPERLINK("https://jobright.ai/jobs/info/66a300bb7dca4d6b69dbb8cb?utm_campaign=1065&amp;utm_source=sheet", "Apply")</f>
        <v>Apply</v>
      </c>
      <c r="C106" s="10" t="s">
        <v>12918</v>
      </c>
      <c r="D106" s="56" t="s">
        <v>10244</v>
      </c>
      <c r="E106" s="10" t="s">
        <v>45</v>
      </c>
      <c r="G106" s="10" t="s">
        <v>12654</v>
      </c>
      <c r="H106" s="10" t="s">
        <v>8996</v>
      </c>
      <c r="I106" s="10" t="s">
        <v>55</v>
      </c>
      <c r="J106" s="10" t="s">
        <v>4117</v>
      </c>
      <c r="K106" s="10" t="s">
        <v>12746</v>
      </c>
      <c r="L106" s="10" t="s">
        <v>42</v>
      </c>
    </row>
    <row r="107" ht="15.75" customHeight="1">
      <c r="A107" s="64">
        <v>45499.0</v>
      </c>
      <c r="B107" s="55" t="str">
        <f>HYPERLINK("https://jobright.ai/jobs/info/66a4133b92c15a63eb81062f?utm_campaign=1065&amp;utm_source=sheet", "Apply")</f>
        <v>Apply</v>
      </c>
      <c r="C107" s="10" t="s">
        <v>12919</v>
      </c>
      <c r="D107" s="56" t="s">
        <v>12920</v>
      </c>
      <c r="E107" s="10" t="s">
        <v>249</v>
      </c>
      <c r="F107" s="10" t="s">
        <v>12921</v>
      </c>
      <c r="G107" s="10" t="s">
        <v>12630</v>
      </c>
      <c r="H107" s="10" t="s">
        <v>131</v>
      </c>
      <c r="I107" s="10" t="s">
        <v>55</v>
      </c>
      <c r="K107" s="10" t="s">
        <v>12922</v>
      </c>
      <c r="L107" s="10" t="s">
        <v>42</v>
      </c>
    </row>
    <row r="108" ht="15.75" customHeight="1">
      <c r="A108" s="64">
        <v>45499.0</v>
      </c>
      <c r="B108" s="55" t="str">
        <f>HYPERLINK("https://jobright.ai/jobs/info/66a409c4f228ed543e433136?utm_campaign=1065&amp;utm_source=sheet", "Apply")</f>
        <v>Apply</v>
      </c>
      <c r="C108" s="10" t="s">
        <v>12692</v>
      </c>
      <c r="D108" s="56" t="s">
        <v>12923</v>
      </c>
      <c r="E108" s="10" t="s">
        <v>79</v>
      </c>
      <c r="F108" s="10" t="s">
        <v>12924</v>
      </c>
      <c r="G108" s="10" t="s">
        <v>12693</v>
      </c>
      <c r="H108" s="10" t="s">
        <v>12925</v>
      </c>
      <c r="I108" s="10" t="s">
        <v>55</v>
      </c>
      <c r="K108" s="10" t="s">
        <v>12459</v>
      </c>
      <c r="L108" s="10" t="s">
        <v>42</v>
      </c>
    </row>
    <row r="109" ht="15.75" customHeight="1">
      <c r="A109" s="64">
        <v>45499.0</v>
      </c>
      <c r="B109" s="55" t="str">
        <f>HYPERLINK("https://jobright.ai/jobs/info/66a45df5691e94edbb37caf4?utm_campaign=1065&amp;utm_source=sheet", "Apply")</f>
        <v>Apply</v>
      </c>
      <c r="C109" s="10" t="s">
        <v>12926</v>
      </c>
      <c r="D109" s="56" t="s">
        <v>12927</v>
      </c>
      <c r="E109" s="10" t="s">
        <v>65</v>
      </c>
      <c r="F109" s="10" t="s">
        <v>1893</v>
      </c>
      <c r="G109" s="10" t="s">
        <v>12630</v>
      </c>
      <c r="H109" s="10" t="s">
        <v>914</v>
      </c>
      <c r="I109" s="10" t="s">
        <v>55</v>
      </c>
      <c r="K109" s="10" t="s">
        <v>12928</v>
      </c>
      <c r="L109" s="10" t="s">
        <v>42</v>
      </c>
    </row>
    <row r="110" ht="15.75" customHeight="1">
      <c r="A110" s="64">
        <v>45499.0</v>
      </c>
      <c r="B110" s="55" t="str">
        <f>HYPERLINK("https://jobright.ai/jobs/info/66a3fd8ed61cea1521a4710b?utm_campaign=1065&amp;utm_source=sheet", "Apply")</f>
        <v>Apply</v>
      </c>
      <c r="C110" s="10" t="s">
        <v>12647</v>
      </c>
      <c r="D110" s="56" t="s">
        <v>12648</v>
      </c>
      <c r="E110" s="10">
        <v>5518.0</v>
      </c>
      <c r="G110" s="10" t="s">
        <v>12635</v>
      </c>
      <c r="H110" s="10" t="s">
        <v>12648</v>
      </c>
      <c r="I110" s="10" t="s">
        <v>55</v>
      </c>
      <c r="J110" s="10" t="s">
        <v>581</v>
      </c>
      <c r="K110" s="10" t="s">
        <v>12929</v>
      </c>
      <c r="L110" s="10" t="s">
        <v>42</v>
      </c>
    </row>
    <row r="111" ht="15.75" customHeight="1">
      <c r="A111" s="64">
        <v>45499.0</v>
      </c>
      <c r="B111" s="55" t="str">
        <f>HYPERLINK("https://jobright.ai/jobs/info/66a407e69d6a30be4eff9ed8?utm_campaign=1065&amp;utm_source=sheet", "Apply")</f>
        <v>Apply</v>
      </c>
      <c r="C111" s="10" t="s">
        <v>12930</v>
      </c>
      <c r="D111" s="56" t="s">
        <v>12931</v>
      </c>
      <c r="G111" s="10" t="s">
        <v>12635</v>
      </c>
      <c r="H111" s="10" t="s">
        <v>12932</v>
      </c>
      <c r="I111" s="10" t="s">
        <v>48</v>
      </c>
      <c r="J111" s="10" t="s">
        <v>12933</v>
      </c>
      <c r="K111" s="10" t="s">
        <v>12934</v>
      </c>
      <c r="L111" s="10" t="s">
        <v>42</v>
      </c>
    </row>
    <row r="112" ht="15.75" customHeight="1">
      <c r="A112" s="64">
        <v>45498.0</v>
      </c>
      <c r="B112" s="55" t="str">
        <f>HYPERLINK("https://jobright.ai/jobs/info/669997922ffed9764616e36d?utm_campaign=1065&amp;utm_source=sheet", "Apply")</f>
        <v>Apply</v>
      </c>
      <c r="C112" s="10" t="s">
        <v>12904</v>
      </c>
      <c r="D112" s="56" t="s">
        <v>12935</v>
      </c>
      <c r="E112" s="10" t="s">
        <v>65</v>
      </c>
      <c r="F112" s="10" t="s">
        <v>12936</v>
      </c>
      <c r="G112" s="10" t="s">
        <v>12654</v>
      </c>
      <c r="H112" s="10" t="s">
        <v>96</v>
      </c>
      <c r="I112" s="10" t="s">
        <v>48</v>
      </c>
      <c r="J112" s="10" t="s">
        <v>1165</v>
      </c>
      <c r="K112" s="10" t="s">
        <v>12937</v>
      </c>
      <c r="L112" s="10" t="s">
        <v>42</v>
      </c>
    </row>
    <row r="113" ht="15.75" customHeight="1">
      <c r="A113" s="64">
        <v>45498.0</v>
      </c>
      <c r="B113" s="55" t="str">
        <f>HYPERLINK("https://jobright.ai/jobs/info/66a2eaa63b6a7281fbb89d0b?utm_campaign=1065&amp;utm_source=sheet", "Apply")</f>
        <v>Apply</v>
      </c>
      <c r="C113" s="10" t="s">
        <v>12938</v>
      </c>
      <c r="D113" s="56" t="s">
        <v>12939</v>
      </c>
      <c r="E113" s="10" t="s">
        <v>45</v>
      </c>
      <c r="F113" s="10" t="s">
        <v>665</v>
      </c>
      <c r="G113" s="10" t="s">
        <v>12635</v>
      </c>
      <c r="H113" s="10" t="s">
        <v>799</v>
      </c>
      <c r="I113" s="10" t="s">
        <v>48</v>
      </c>
      <c r="K113" s="10" t="s">
        <v>12940</v>
      </c>
      <c r="L113" s="10" t="s">
        <v>42</v>
      </c>
    </row>
    <row r="114" ht="15.75" customHeight="1">
      <c r="A114" s="64">
        <v>45498.0</v>
      </c>
      <c r="B114" s="55" t="str">
        <f>HYPERLINK("https://jobright.ai/jobs/info/66a2f50166a78c16dec90ee1?utm_campaign=1065&amp;utm_source=sheet", "Apply")</f>
        <v>Apply</v>
      </c>
      <c r="C114" s="10" t="s">
        <v>12941</v>
      </c>
      <c r="D114" s="56" t="s">
        <v>12942</v>
      </c>
      <c r="E114" s="10" t="s">
        <v>79</v>
      </c>
      <c r="F114" s="10" t="s">
        <v>3770</v>
      </c>
      <c r="G114" s="10" t="s">
        <v>12635</v>
      </c>
      <c r="H114" s="10" t="s">
        <v>170</v>
      </c>
      <c r="I114" s="10" t="s">
        <v>55</v>
      </c>
      <c r="J114" s="10" t="s">
        <v>3979</v>
      </c>
      <c r="K114" s="10" t="s">
        <v>12943</v>
      </c>
      <c r="L114" s="10" t="s">
        <v>42</v>
      </c>
    </row>
    <row r="115" ht="15.75" customHeight="1">
      <c r="A115" s="64">
        <v>45498.0</v>
      </c>
      <c r="B115" s="55" t="str">
        <f>HYPERLINK("https://jobright.ai/jobs/info/66a2f54066a78c16dec91462?utm_campaign=1065&amp;utm_source=sheet", "Apply")</f>
        <v>Apply</v>
      </c>
      <c r="C115" s="10" t="s">
        <v>12944</v>
      </c>
      <c r="D115" s="56" t="s">
        <v>12945</v>
      </c>
      <c r="E115" s="10" t="s">
        <v>71</v>
      </c>
      <c r="F115" s="10" t="s">
        <v>12946</v>
      </c>
      <c r="G115" s="10" t="s">
        <v>12654</v>
      </c>
      <c r="H115" s="10" t="s">
        <v>1013</v>
      </c>
      <c r="I115" s="10" t="s">
        <v>55</v>
      </c>
      <c r="J115" s="10" t="s">
        <v>1409</v>
      </c>
      <c r="K115" s="10" t="s">
        <v>12947</v>
      </c>
      <c r="L115" s="10" t="s">
        <v>42</v>
      </c>
    </row>
    <row r="116" ht="15.75" customHeight="1">
      <c r="A116" s="64">
        <v>45498.0</v>
      </c>
      <c r="B116" s="55" t="str">
        <f>HYPERLINK("https://jobright.ai/jobs/info/66a2fc267d87c2086e260daf?utm_campaign=1065&amp;utm_source=sheet", "Apply")</f>
        <v>Apply</v>
      </c>
      <c r="C116" s="10" t="s">
        <v>12948</v>
      </c>
      <c r="D116" s="56" t="s">
        <v>12942</v>
      </c>
      <c r="E116" s="10" t="s">
        <v>79</v>
      </c>
      <c r="F116" s="10" t="s">
        <v>3770</v>
      </c>
      <c r="G116" s="10" t="s">
        <v>12635</v>
      </c>
      <c r="H116" s="10" t="s">
        <v>170</v>
      </c>
      <c r="I116" s="10" t="s">
        <v>55</v>
      </c>
      <c r="J116" s="10" t="s">
        <v>3979</v>
      </c>
      <c r="K116" s="10" t="s">
        <v>12949</v>
      </c>
      <c r="L116" s="10" t="s">
        <v>42</v>
      </c>
    </row>
    <row r="117" ht="15.75" customHeight="1">
      <c r="A117" s="64">
        <v>45498.0</v>
      </c>
      <c r="B117" s="55" t="str">
        <f>HYPERLINK("https://jobright.ai/jobs/info/66a2e2e6621b00551f362681?utm_campaign=1065&amp;utm_source=sheet", "Apply")</f>
        <v>Apply</v>
      </c>
      <c r="C117" s="10" t="s">
        <v>12950</v>
      </c>
      <c r="D117" s="56" t="s">
        <v>1640</v>
      </c>
      <c r="E117" s="10" t="s">
        <v>276</v>
      </c>
      <c r="F117" s="10" t="s">
        <v>1641</v>
      </c>
      <c r="G117" s="10" t="s">
        <v>12645</v>
      </c>
      <c r="H117" s="10" t="s">
        <v>1642</v>
      </c>
      <c r="I117" s="10" t="s">
        <v>48</v>
      </c>
      <c r="J117" s="10" t="s">
        <v>1984</v>
      </c>
      <c r="K117" s="10" t="s">
        <v>12951</v>
      </c>
      <c r="L117" s="10" t="s">
        <v>42</v>
      </c>
    </row>
    <row r="118" ht="15.75" customHeight="1">
      <c r="A118" s="64">
        <v>45498.0</v>
      </c>
      <c r="B118" s="55" t="str">
        <f>HYPERLINK("https://jobright.ai/jobs/info/66a2f51366a78c16dec9104c?utm_campaign=1065&amp;utm_source=sheet", "Apply")</f>
        <v>Apply</v>
      </c>
      <c r="C118" s="10" t="s">
        <v>12952</v>
      </c>
      <c r="D118" s="56" t="s">
        <v>12942</v>
      </c>
      <c r="E118" s="10" t="s">
        <v>79</v>
      </c>
      <c r="F118" s="10" t="s">
        <v>3770</v>
      </c>
      <c r="G118" s="10" t="s">
        <v>12654</v>
      </c>
      <c r="H118" s="10" t="s">
        <v>170</v>
      </c>
      <c r="I118" s="10" t="s">
        <v>55</v>
      </c>
      <c r="J118" s="10" t="s">
        <v>3979</v>
      </c>
      <c r="K118" s="10" t="s">
        <v>12949</v>
      </c>
      <c r="L118" s="10" t="s">
        <v>42</v>
      </c>
    </row>
    <row r="119" ht="15.75" customHeight="1">
      <c r="A119" s="64">
        <v>45498.0</v>
      </c>
      <c r="B119" s="55" t="str">
        <f>HYPERLINK("https://jobright.ai/jobs/info/66a2e2e6621b00551f3626d4?utm_campaign=1065&amp;utm_source=sheet", "Apply")</f>
        <v>Apply</v>
      </c>
      <c r="C119" s="10" t="s">
        <v>12953</v>
      </c>
      <c r="D119" s="56" t="s">
        <v>1640</v>
      </c>
      <c r="E119" s="10" t="s">
        <v>276</v>
      </c>
      <c r="F119" s="10" t="s">
        <v>1641</v>
      </c>
      <c r="G119" s="10" t="s">
        <v>12645</v>
      </c>
      <c r="H119" s="10" t="s">
        <v>1642</v>
      </c>
      <c r="I119" s="10" t="s">
        <v>48</v>
      </c>
      <c r="J119" s="10" t="s">
        <v>1984</v>
      </c>
      <c r="K119" s="10" t="s">
        <v>12954</v>
      </c>
      <c r="L119" s="10" t="s">
        <v>42</v>
      </c>
    </row>
    <row r="120" ht="15.75" customHeight="1">
      <c r="A120" s="64">
        <v>45498.0</v>
      </c>
      <c r="B120" s="55" t="str">
        <f>HYPERLINK("https://jobright.ai/jobs/info/66a2ec8c367ed95d6cc285b4?utm_campaign=1065&amp;utm_source=sheet", "Apply")</f>
        <v>Apply</v>
      </c>
      <c r="C120" s="10" t="s">
        <v>12955</v>
      </c>
      <c r="D120" s="56" t="s">
        <v>12956</v>
      </c>
      <c r="E120" s="10">
        <v>13.0</v>
      </c>
      <c r="G120" s="10" t="s">
        <v>12630</v>
      </c>
      <c r="H120" s="10" t="s">
        <v>251</v>
      </c>
      <c r="I120" s="10" t="s">
        <v>252</v>
      </c>
      <c r="K120" s="10" t="s">
        <v>12957</v>
      </c>
      <c r="L120" s="10" t="s">
        <v>42</v>
      </c>
    </row>
    <row r="121" ht="15.75" customHeight="1">
      <c r="A121" s="64">
        <v>45498.0</v>
      </c>
      <c r="B121" s="55" t="str">
        <f>HYPERLINK("https://jobright.ai/jobs/info/66a2e2ef621b00551f3626fc?utm_campaign=1065&amp;utm_source=sheet", "Apply")</f>
        <v>Apply</v>
      </c>
      <c r="C121" s="10" t="s">
        <v>12958</v>
      </c>
      <c r="D121" s="56" t="s">
        <v>12959</v>
      </c>
      <c r="E121" s="10" t="s">
        <v>137</v>
      </c>
      <c r="F121" s="10" t="s">
        <v>277</v>
      </c>
      <c r="G121" s="10" t="s">
        <v>12654</v>
      </c>
      <c r="H121" s="10" t="s">
        <v>10005</v>
      </c>
      <c r="I121" s="10" t="s">
        <v>55</v>
      </c>
      <c r="K121" s="10" t="s">
        <v>12960</v>
      </c>
      <c r="L121" s="10" t="s">
        <v>42</v>
      </c>
    </row>
    <row r="122" ht="15.75" customHeight="1">
      <c r="A122" s="64">
        <v>45498.0</v>
      </c>
      <c r="B122" s="55" t="str">
        <f>HYPERLINK("https://jobright.ai/jobs/info/66a2e2ef621b00551f36271c?utm_campaign=1065&amp;utm_source=sheet", "Apply")</f>
        <v>Apply</v>
      </c>
      <c r="C122" s="10" t="s">
        <v>12961</v>
      </c>
      <c r="D122" s="56" t="s">
        <v>1640</v>
      </c>
      <c r="E122" s="10" t="s">
        <v>276</v>
      </c>
      <c r="F122" s="10" t="s">
        <v>1641</v>
      </c>
      <c r="G122" s="10" t="s">
        <v>12630</v>
      </c>
      <c r="H122" s="10" t="s">
        <v>1642</v>
      </c>
      <c r="I122" s="10" t="s">
        <v>48</v>
      </c>
      <c r="J122" s="10" t="s">
        <v>1984</v>
      </c>
      <c r="K122" s="10" t="s">
        <v>12951</v>
      </c>
      <c r="L122" s="10" t="s">
        <v>42</v>
      </c>
    </row>
    <row r="123" ht="15.75" customHeight="1">
      <c r="A123" s="64">
        <v>45498.0</v>
      </c>
      <c r="B123" s="55" t="str">
        <f>HYPERLINK("https://jobright.ai/jobs/info/66a2e493c70989c2664e35e9?utm_campaign=1065&amp;utm_source=sheet", "Apply")</f>
        <v>Apply</v>
      </c>
      <c r="C123" s="10" t="s">
        <v>12853</v>
      </c>
      <c r="D123" s="56" t="s">
        <v>385</v>
      </c>
      <c r="E123" s="10" t="s">
        <v>45</v>
      </c>
      <c r="F123" s="10" t="s">
        <v>386</v>
      </c>
      <c r="G123" s="10" t="s">
        <v>12635</v>
      </c>
      <c r="H123" s="10" t="s">
        <v>423</v>
      </c>
      <c r="I123" s="10" t="s">
        <v>55</v>
      </c>
      <c r="J123" s="10" t="s">
        <v>12962</v>
      </c>
      <c r="K123" s="10" t="s">
        <v>2356</v>
      </c>
      <c r="L123" s="10" t="s">
        <v>42</v>
      </c>
    </row>
    <row r="124" ht="15.75" customHeight="1">
      <c r="A124" s="64">
        <v>45498.0</v>
      </c>
      <c r="B124" s="55" t="str">
        <f>HYPERLINK("https://jobright.ai/jobs/info/66a2db320b81b41946d35e43?utm_campaign=1065&amp;utm_source=sheet", "Apply")</f>
        <v>Apply</v>
      </c>
      <c r="C124" s="10" t="s">
        <v>9688</v>
      </c>
      <c r="D124" s="56" t="s">
        <v>12963</v>
      </c>
      <c r="E124" s="59">
        <v>45301.0</v>
      </c>
      <c r="G124" s="10" t="s">
        <v>12630</v>
      </c>
      <c r="H124" s="10" t="s">
        <v>144</v>
      </c>
      <c r="I124" s="10" t="s">
        <v>48</v>
      </c>
      <c r="K124" s="10" t="s">
        <v>12964</v>
      </c>
      <c r="L124" s="10" t="s">
        <v>42</v>
      </c>
    </row>
    <row r="125" ht="15.75" customHeight="1">
      <c r="A125" s="64">
        <v>45498.0</v>
      </c>
      <c r="B125" s="55" t="str">
        <f>HYPERLINK("https://jobright.ai/jobs/info/66a2db320b81b41946d35e8b?utm_campaign=1065&amp;utm_source=sheet", "Apply")</f>
        <v>Apply</v>
      </c>
      <c r="C125" s="10" t="s">
        <v>12965</v>
      </c>
      <c r="D125" s="56" t="s">
        <v>12966</v>
      </c>
      <c r="E125" s="59">
        <v>45301.0</v>
      </c>
      <c r="F125" s="10" t="s">
        <v>12967</v>
      </c>
      <c r="G125" s="10" t="s">
        <v>12630</v>
      </c>
      <c r="H125" s="10" t="s">
        <v>165</v>
      </c>
      <c r="I125" s="10" t="s">
        <v>48</v>
      </c>
      <c r="K125" s="10" t="s">
        <v>12968</v>
      </c>
      <c r="L125" s="10" t="s">
        <v>42</v>
      </c>
    </row>
    <row r="126" ht="15.75" customHeight="1">
      <c r="A126" s="64">
        <v>45498.0</v>
      </c>
      <c r="B126" s="55" t="str">
        <f>HYPERLINK("https://jobright.ai/jobs/info/66a2d9063b7b20f8fc73fc1d?utm_campaign=1065&amp;utm_source=sheet", "Apply")</f>
        <v>Apply</v>
      </c>
      <c r="C126" s="10" t="s">
        <v>12969</v>
      </c>
      <c r="D126" s="56" t="s">
        <v>9467</v>
      </c>
      <c r="E126" s="10" t="s">
        <v>45</v>
      </c>
      <c r="F126" s="10" t="s">
        <v>9468</v>
      </c>
      <c r="G126" s="10" t="s">
        <v>12654</v>
      </c>
      <c r="H126" s="10" t="s">
        <v>9476</v>
      </c>
      <c r="I126" s="10" t="s">
        <v>55</v>
      </c>
      <c r="J126" s="10" t="s">
        <v>9469</v>
      </c>
      <c r="K126" s="10" t="s">
        <v>12970</v>
      </c>
      <c r="L126" s="10" t="s">
        <v>42</v>
      </c>
    </row>
    <row r="127" ht="15.75" customHeight="1">
      <c r="A127" s="64">
        <v>45498.0</v>
      </c>
      <c r="B127" s="55" t="str">
        <f>HYPERLINK("https://jobright.ai/jobs/info/66a2c83bb4785fcea1faf84d?utm_campaign=1065&amp;utm_source=sheet", "Apply")</f>
        <v>Apply</v>
      </c>
      <c r="C127" s="10" t="s">
        <v>12971</v>
      </c>
      <c r="D127" s="56" t="s">
        <v>12972</v>
      </c>
      <c r="E127" s="10" t="s">
        <v>137</v>
      </c>
      <c r="F127" s="10" t="s">
        <v>1243</v>
      </c>
      <c r="G127" s="10" t="s">
        <v>12654</v>
      </c>
      <c r="H127" s="10" t="s">
        <v>7555</v>
      </c>
      <c r="I127" s="10" t="s">
        <v>55</v>
      </c>
      <c r="K127" s="10" t="s">
        <v>12973</v>
      </c>
      <c r="L127" s="10" t="s">
        <v>42</v>
      </c>
    </row>
    <row r="128" ht="15.75" customHeight="1">
      <c r="A128" s="64">
        <v>45498.0</v>
      </c>
      <c r="B128" s="55" t="str">
        <f>HYPERLINK("https://jobright.ai/jobs/info/66a2c4c33b534eca8d58b531?utm_campaign=1065&amp;utm_source=sheet", "Apply")</f>
        <v>Apply</v>
      </c>
      <c r="C128" s="10" t="s">
        <v>12974</v>
      </c>
      <c r="D128" s="56" t="s">
        <v>12975</v>
      </c>
      <c r="E128" s="10" t="s">
        <v>137</v>
      </c>
      <c r="F128" s="10" t="s">
        <v>12976</v>
      </c>
      <c r="G128" s="10" t="s">
        <v>12635</v>
      </c>
      <c r="H128" s="10" t="s">
        <v>12977</v>
      </c>
      <c r="I128" s="10" t="s">
        <v>48</v>
      </c>
      <c r="K128" s="10" t="s">
        <v>12978</v>
      </c>
      <c r="L128" s="10" t="s">
        <v>42</v>
      </c>
    </row>
    <row r="129" ht="15.75" customHeight="1">
      <c r="A129" s="64">
        <v>45498.0</v>
      </c>
      <c r="B129" s="55" t="str">
        <f>HYPERLINK("https://jobright.ai/jobs/info/66a2b939bac922b881df645a?utm_campaign=1065&amp;utm_source=sheet", "Apply")</f>
        <v>Apply</v>
      </c>
      <c r="C129" s="10" t="s">
        <v>12979</v>
      </c>
      <c r="D129" s="56" t="s">
        <v>12980</v>
      </c>
      <c r="E129" s="10" t="s">
        <v>79</v>
      </c>
      <c r="F129" s="10" t="s">
        <v>12981</v>
      </c>
      <c r="G129" s="10" t="s">
        <v>12630</v>
      </c>
      <c r="H129" s="10" t="s">
        <v>605</v>
      </c>
      <c r="I129" s="10" t="s">
        <v>55</v>
      </c>
      <c r="K129" s="10" t="s">
        <v>12982</v>
      </c>
      <c r="L129" s="10" t="s">
        <v>42</v>
      </c>
    </row>
    <row r="130" ht="15.75" customHeight="1">
      <c r="A130" s="64">
        <v>45498.0</v>
      </c>
      <c r="B130" s="55" t="str">
        <f>HYPERLINK("https://jobright.ai/jobs/info/66a2c4cc3b534eca8d58b5c3?utm_campaign=1065&amp;utm_source=sheet", "Apply")</f>
        <v>Apply</v>
      </c>
      <c r="C130" s="10" t="s">
        <v>12965</v>
      </c>
      <c r="D130" s="56" t="s">
        <v>12983</v>
      </c>
      <c r="E130" s="59">
        <v>45301.0</v>
      </c>
      <c r="F130" s="10" t="s">
        <v>627</v>
      </c>
      <c r="G130" s="10" t="s">
        <v>12645</v>
      </c>
      <c r="H130" s="10" t="s">
        <v>12984</v>
      </c>
      <c r="I130" s="10" t="s">
        <v>48</v>
      </c>
      <c r="K130" s="10" t="s">
        <v>12985</v>
      </c>
      <c r="L130" s="10" t="s">
        <v>42</v>
      </c>
    </row>
    <row r="131" ht="15.75" customHeight="1">
      <c r="A131" s="64">
        <v>45498.0</v>
      </c>
      <c r="B131" s="55" t="str">
        <f>HYPERLINK("https://jobright.ai/jobs/info/66a2bf53915788496ad37aff?utm_campaign=1065&amp;utm_source=sheet", "Apply")</f>
        <v>Apply</v>
      </c>
      <c r="C131" s="10" t="s">
        <v>12650</v>
      </c>
      <c r="D131" s="56" t="s">
        <v>12986</v>
      </c>
      <c r="E131" s="10" t="s">
        <v>249</v>
      </c>
      <c r="F131" s="10" t="s">
        <v>1922</v>
      </c>
      <c r="G131" s="10" t="s">
        <v>12630</v>
      </c>
      <c r="H131" s="10" t="s">
        <v>12987</v>
      </c>
      <c r="I131" s="10" t="s">
        <v>55</v>
      </c>
      <c r="K131" s="10" t="s">
        <v>12988</v>
      </c>
      <c r="L131" s="10" t="s">
        <v>42</v>
      </c>
    </row>
    <row r="132" ht="15.75" customHeight="1">
      <c r="A132" s="64">
        <v>45498.0</v>
      </c>
      <c r="B132" s="55" t="str">
        <f>HYPERLINK("https://jobright.ai/jobs/info/66a2bf53915788496ad37b64?utm_campaign=1065&amp;utm_source=sheet", "Apply")</f>
        <v>Apply</v>
      </c>
      <c r="C132" s="10" t="s">
        <v>12965</v>
      </c>
      <c r="D132" s="56" t="s">
        <v>220</v>
      </c>
      <c r="E132" s="10" t="s">
        <v>65</v>
      </c>
      <c r="F132" s="10" t="s">
        <v>221</v>
      </c>
      <c r="G132" s="10" t="s">
        <v>12630</v>
      </c>
      <c r="H132" s="10" t="s">
        <v>222</v>
      </c>
      <c r="I132" s="10" t="s">
        <v>55</v>
      </c>
      <c r="K132" s="10" t="s">
        <v>12989</v>
      </c>
      <c r="L132" s="10" t="s">
        <v>42</v>
      </c>
    </row>
    <row r="133" ht="15.75" customHeight="1">
      <c r="A133" s="64">
        <v>45498.0</v>
      </c>
      <c r="B133" s="55" t="str">
        <f>HYPERLINK("https://jobright.ai/jobs/info/66a2bf5b915788496ad37c47?utm_campaign=1065&amp;utm_source=sheet", "Apply")</f>
        <v>Apply</v>
      </c>
      <c r="C133" s="10" t="s">
        <v>12990</v>
      </c>
      <c r="D133" s="56" t="s">
        <v>12991</v>
      </c>
      <c r="E133" s="10">
        <v>43.0</v>
      </c>
      <c r="G133" s="10" t="s">
        <v>12645</v>
      </c>
      <c r="H133" s="10" t="s">
        <v>898</v>
      </c>
      <c r="I133" s="10" t="s">
        <v>55</v>
      </c>
      <c r="K133" s="10" t="s">
        <v>12992</v>
      </c>
      <c r="L133" s="10" t="s">
        <v>42</v>
      </c>
    </row>
    <row r="134" ht="15.75" customHeight="1">
      <c r="A134" s="64">
        <v>45498.0</v>
      </c>
      <c r="B134" s="55" t="str">
        <f>HYPERLINK("https://jobright.ai/jobs/info/66a2b0e49af9a2a108449601?utm_campaign=1065&amp;utm_source=sheet", "Apply")</f>
        <v>Apply</v>
      </c>
      <c r="C134" s="10" t="s">
        <v>12993</v>
      </c>
      <c r="D134" s="56" t="s">
        <v>12994</v>
      </c>
      <c r="E134" s="10">
        <v>4.0</v>
      </c>
      <c r="G134" s="10" t="s">
        <v>12654</v>
      </c>
      <c r="H134" s="10" t="s">
        <v>3022</v>
      </c>
      <c r="I134" s="10" t="s">
        <v>55</v>
      </c>
      <c r="K134" s="10" t="s">
        <v>12995</v>
      </c>
      <c r="L134" s="10" t="s">
        <v>42</v>
      </c>
    </row>
    <row r="135" ht="15.75" customHeight="1">
      <c r="A135" s="64">
        <v>45498.0</v>
      </c>
      <c r="B135" s="55" t="str">
        <f>HYPERLINK("https://jobright.ai/jobs/info/66a2b0e49af9a2a108449616?utm_campaign=1065&amp;utm_source=sheet", "Apply")</f>
        <v>Apply</v>
      </c>
      <c r="C135" s="10" t="s">
        <v>12996</v>
      </c>
      <c r="D135" s="56" t="s">
        <v>12869</v>
      </c>
      <c r="E135" s="10">
        <v>14.0</v>
      </c>
      <c r="G135" s="10" t="s">
        <v>12630</v>
      </c>
      <c r="H135" s="10" t="s">
        <v>3674</v>
      </c>
      <c r="I135" s="10" t="s">
        <v>55</v>
      </c>
      <c r="K135" s="10" t="s">
        <v>12997</v>
      </c>
      <c r="L135" s="10" t="s">
        <v>42</v>
      </c>
    </row>
    <row r="136" ht="15.75" customHeight="1">
      <c r="A136" s="64">
        <v>45498.0</v>
      </c>
      <c r="B136" s="55" t="str">
        <f>HYPERLINK("https://jobright.ai/jobs/info/66a2b0e49af9a2a10844960b?utm_campaign=1065&amp;utm_source=sheet", "Apply")</f>
        <v>Apply</v>
      </c>
      <c r="C136" s="10" t="s">
        <v>12998</v>
      </c>
      <c r="D136" s="56" t="s">
        <v>12994</v>
      </c>
      <c r="E136" s="10">
        <v>4.0</v>
      </c>
      <c r="G136" s="10" t="s">
        <v>12654</v>
      </c>
      <c r="H136" s="10" t="s">
        <v>5413</v>
      </c>
      <c r="I136" s="10" t="s">
        <v>55</v>
      </c>
      <c r="K136" s="10" t="s">
        <v>12995</v>
      </c>
      <c r="L136" s="10" t="s">
        <v>42</v>
      </c>
    </row>
    <row r="137" ht="15.75" customHeight="1">
      <c r="A137" s="64">
        <v>45498.0</v>
      </c>
      <c r="B137" s="55" t="str">
        <f>HYPERLINK("https://jobright.ai/jobs/info/66a2ae1e374aae0bd085fb2d?utm_campaign=1065&amp;utm_source=sheet", "Apply")</f>
        <v>Apply</v>
      </c>
      <c r="C137" s="10" t="s">
        <v>12999</v>
      </c>
      <c r="D137" s="56" t="s">
        <v>3119</v>
      </c>
      <c r="E137" s="10" t="s">
        <v>45</v>
      </c>
      <c r="F137" s="10" t="s">
        <v>3120</v>
      </c>
      <c r="G137" s="10" t="s">
        <v>12654</v>
      </c>
      <c r="H137" s="10" t="s">
        <v>340</v>
      </c>
      <c r="I137" s="10" t="s">
        <v>48</v>
      </c>
      <c r="J137" s="10" t="s">
        <v>13000</v>
      </c>
      <c r="K137" s="10" t="s">
        <v>13001</v>
      </c>
      <c r="L137" s="10" t="s">
        <v>42</v>
      </c>
    </row>
    <row r="138" ht="15.75" customHeight="1">
      <c r="A138" s="64">
        <v>45498.0</v>
      </c>
      <c r="B138" s="55" t="str">
        <f>HYPERLINK("https://jobright.ai/jobs/info/66a2ae1e374aae0bd085fb46?utm_campaign=1065&amp;utm_source=sheet", "Apply")</f>
        <v>Apply</v>
      </c>
      <c r="C138" s="10" t="s">
        <v>12828</v>
      </c>
      <c r="D138" s="56" t="s">
        <v>12829</v>
      </c>
      <c r="E138" s="10">
        <v>13.0</v>
      </c>
      <c r="G138" s="10" t="s">
        <v>12635</v>
      </c>
      <c r="H138" s="10" t="s">
        <v>13002</v>
      </c>
      <c r="I138" s="10" t="s">
        <v>55</v>
      </c>
      <c r="K138" s="10" t="s">
        <v>12830</v>
      </c>
      <c r="L138" s="10" t="s">
        <v>42</v>
      </c>
    </row>
    <row r="139" ht="15.75" customHeight="1">
      <c r="A139" s="64">
        <v>45498.0</v>
      </c>
      <c r="B139" s="55" t="str">
        <f>HYPERLINK("https://jobright.ai/jobs/info/66a2b0e49af9a2a10844968a?utm_campaign=1065&amp;utm_source=sheet", "Apply")</f>
        <v>Apply</v>
      </c>
      <c r="C139" s="10" t="s">
        <v>13003</v>
      </c>
      <c r="D139" s="56" t="s">
        <v>3123</v>
      </c>
      <c r="E139" s="10" t="s">
        <v>249</v>
      </c>
      <c r="F139" s="10" t="s">
        <v>3124</v>
      </c>
      <c r="G139" s="10" t="s">
        <v>12630</v>
      </c>
      <c r="H139" s="10" t="s">
        <v>917</v>
      </c>
      <c r="I139" s="10" t="s">
        <v>55</v>
      </c>
      <c r="J139" s="10" t="s">
        <v>3125</v>
      </c>
      <c r="K139" s="10" t="s">
        <v>13004</v>
      </c>
      <c r="L139" s="10" t="s">
        <v>42</v>
      </c>
    </row>
    <row r="140" ht="15.75" customHeight="1">
      <c r="A140" s="64">
        <v>45498.0</v>
      </c>
      <c r="B140" s="55" t="str">
        <f>HYPERLINK("https://jobright.ai/jobs/info/66a2b0e49af9a2a10844968c?utm_campaign=1065&amp;utm_source=sheet", "Apply")</f>
        <v>Apply</v>
      </c>
      <c r="C140" s="10" t="s">
        <v>13005</v>
      </c>
      <c r="D140" s="56" t="s">
        <v>13006</v>
      </c>
      <c r="E140" s="10" t="s">
        <v>79</v>
      </c>
      <c r="F140" s="10" t="s">
        <v>13007</v>
      </c>
      <c r="G140" s="10" t="s">
        <v>12630</v>
      </c>
      <c r="H140" s="10" t="s">
        <v>7343</v>
      </c>
      <c r="I140" s="10" t="s">
        <v>55</v>
      </c>
      <c r="J140" s="10" t="s">
        <v>13008</v>
      </c>
      <c r="K140" s="10" t="s">
        <v>13009</v>
      </c>
      <c r="L140" s="10" t="s">
        <v>42</v>
      </c>
    </row>
    <row r="141" ht="15.75" customHeight="1">
      <c r="A141" s="64">
        <v>45498.0</v>
      </c>
      <c r="B141" s="55" t="str">
        <f>HYPERLINK("https://jobright.ai/jobs/info/66a2b3744f4afedd11103430?utm_campaign=1065&amp;utm_source=sheet", "Apply")</f>
        <v>Apply</v>
      </c>
      <c r="C141" s="10" t="s">
        <v>13010</v>
      </c>
      <c r="D141" s="56" t="s">
        <v>3123</v>
      </c>
      <c r="E141" s="10" t="s">
        <v>249</v>
      </c>
      <c r="F141" s="10" t="s">
        <v>3124</v>
      </c>
      <c r="G141" s="10" t="s">
        <v>12654</v>
      </c>
      <c r="H141" s="10" t="s">
        <v>917</v>
      </c>
      <c r="I141" s="10" t="s">
        <v>55</v>
      </c>
      <c r="J141" s="10" t="s">
        <v>13011</v>
      </c>
      <c r="K141" s="10" t="s">
        <v>13012</v>
      </c>
      <c r="L141" s="10" t="s">
        <v>42</v>
      </c>
    </row>
    <row r="142" ht="15.75" customHeight="1">
      <c r="A142" s="64">
        <v>45498.0</v>
      </c>
      <c r="B142" s="55" t="str">
        <f>HYPERLINK("https://jobright.ai/jobs/info/66a2a59a9bbfb77b02eb4157?utm_campaign=1065&amp;utm_source=sheet", "Apply")</f>
        <v>Apply</v>
      </c>
      <c r="C142" s="10" t="s">
        <v>12740</v>
      </c>
      <c r="D142" s="56" t="s">
        <v>12741</v>
      </c>
      <c r="E142" s="10" t="s">
        <v>137</v>
      </c>
      <c r="F142" s="10" t="s">
        <v>12674</v>
      </c>
      <c r="G142" s="10" t="s">
        <v>12630</v>
      </c>
      <c r="H142" s="10" t="s">
        <v>170</v>
      </c>
      <c r="I142" s="10" t="s">
        <v>55</v>
      </c>
      <c r="J142" s="10" t="s">
        <v>3979</v>
      </c>
      <c r="K142" s="10" t="s">
        <v>13013</v>
      </c>
      <c r="L142" s="10" t="s">
        <v>42</v>
      </c>
    </row>
    <row r="143" ht="15.75" customHeight="1">
      <c r="A143" s="64">
        <v>45498.0</v>
      </c>
      <c r="B143" s="55" t="str">
        <f>HYPERLINK("https://jobright.ai/jobs/info/66a2a5a39bbfb77b02eb41bf?utm_campaign=1065&amp;utm_source=sheet", "Apply")</f>
        <v>Apply</v>
      </c>
      <c r="C143" s="10" t="s">
        <v>12898</v>
      </c>
      <c r="D143" s="56" t="s">
        <v>12899</v>
      </c>
      <c r="E143" s="10">
        <v>6.0</v>
      </c>
      <c r="G143" s="10" t="s">
        <v>12654</v>
      </c>
      <c r="H143" s="10" t="s">
        <v>13014</v>
      </c>
      <c r="I143" s="10" t="s">
        <v>55</v>
      </c>
      <c r="K143" s="10" t="s">
        <v>13015</v>
      </c>
      <c r="L143" s="10" t="s">
        <v>42</v>
      </c>
    </row>
    <row r="144" ht="15.75" customHeight="1">
      <c r="A144" s="64">
        <v>45498.0</v>
      </c>
      <c r="B144" s="55" t="str">
        <f>HYPERLINK("https://jobright.ai/jobs/info/66a2b3744f4afedd111034a3?utm_campaign=1065&amp;utm_source=sheet", "Apply")</f>
        <v>Apply</v>
      </c>
      <c r="C144" s="10" t="s">
        <v>13016</v>
      </c>
      <c r="D144" s="56" t="s">
        <v>13017</v>
      </c>
      <c r="E144" s="10">
        <v>12.0</v>
      </c>
      <c r="G144" s="10" t="s">
        <v>12635</v>
      </c>
      <c r="H144" s="10" t="s">
        <v>167</v>
      </c>
      <c r="I144" s="10" t="s">
        <v>55</v>
      </c>
      <c r="K144" s="10" t="s">
        <v>13018</v>
      </c>
      <c r="L144" s="10" t="s">
        <v>42</v>
      </c>
    </row>
    <row r="145" ht="15.75" customHeight="1">
      <c r="A145" s="64">
        <v>45498.0</v>
      </c>
      <c r="B145" s="55" t="str">
        <f>HYPERLINK("https://jobright.ai/jobs/info/66a29cffaac12ae5af2e1abd?utm_campaign=1065&amp;utm_source=sheet", "Apply")</f>
        <v>Apply</v>
      </c>
      <c r="C145" s="10" t="s">
        <v>13019</v>
      </c>
      <c r="D145" s="56" t="s">
        <v>13020</v>
      </c>
      <c r="E145" s="10">
        <v>559.0</v>
      </c>
      <c r="G145" s="10" t="s">
        <v>12654</v>
      </c>
      <c r="H145" s="10" t="s">
        <v>1044</v>
      </c>
      <c r="I145" s="10" t="s">
        <v>55</v>
      </c>
      <c r="K145" s="10" t="s">
        <v>13021</v>
      </c>
      <c r="L145" s="10" t="s">
        <v>42</v>
      </c>
    </row>
    <row r="146" ht="15.75" customHeight="1">
      <c r="A146" s="64">
        <v>45498.0</v>
      </c>
      <c r="B146" s="55" t="str">
        <f>HYPERLINK("https://jobright.ai/jobs/info/66a295f6cc237b62a28639cb?utm_campaign=1065&amp;utm_source=sheet", "Apply")</f>
        <v>Apply</v>
      </c>
      <c r="C146" s="10" t="s">
        <v>13022</v>
      </c>
      <c r="D146" s="56" t="s">
        <v>8663</v>
      </c>
      <c r="E146" s="10">
        <v>1446.0</v>
      </c>
      <c r="G146" s="10" t="s">
        <v>12635</v>
      </c>
      <c r="H146" s="10" t="s">
        <v>6990</v>
      </c>
      <c r="I146" s="10" t="s">
        <v>55</v>
      </c>
      <c r="K146" s="10" t="s">
        <v>13023</v>
      </c>
      <c r="L146" s="10" t="s">
        <v>42</v>
      </c>
    </row>
    <row r="147" ht="15.75" customHeight="1">
      <c r="A147" s="64">
        <v>45498.0</v>
      </c>
      <c r="B147" s="55" t="str">
        <f>HYPERLINK("https://jobright.ai/jobs/info/667b4ff8269329a8d92896e2?utm_campaign=1065&amp;utm_source=sheet", "Apply")</f>
        <v>Apply</v>
      </c>
      <c r="C147" s="10" t="s">
        <v>13024</v>
      </c>
      <c r="D147" s="56" t="s">
        <v>13025</v>
      </c>
      <c r="E147" s="10" t="s">
        <v>276</v>
      </c>
      <c r="F147" s="10" t="s">
        <v>1376</v>
      </c>
      <c r="G147" s="10" t="s">
        <v>12645</v>
      </c>
      <c r="H147" s="10" t="s">
        <v>152</v>
      </c>
      <c r="I147" s="10" t="s">
        <v>48</v>
      </c>
      <c r="K147" s="10" t="s">
        <v>13026</v>
      </c>
      <c r="L147" s="10" t="s">
        <v>42</v>
      </c>
    </row>
    <row r="148" ht="15.75" customHeight="1">
      <c r="A148" s="64">
        <v>45498.0</v>
      </c>
      <c r="B148" s="55" t="str">
        <f>HYPERLINK("https://jobright.ai/jobs/info/66a2b948bac922b881df65b9?utm_campaign=1065&amp;utm_source=sheet", "Apply")</f>
        <v>Apply</v>
      </c>
      <c r="C148" s="10" t="s">
        <v>13027</v>
      </c>
      <c r="D148" s="56" t="s">
        <v>12942</v>
      </c>
      <c r="E148" s="10" t="s">
        <v>79</v>
      </c>
      <c r="F148" s="10" t="s">
        <v>3770</v>
      </c>
      <c r="G148" s="10" t="s">
        <v>12630</v>
      </c>
      <c r="H148" s="10" t="s">
        <v>170</v>
      </c>
      <c r="I148" s="10" t="s">
        <v>55</v>
      </c>
      <c r="J148" s="10" t="s">
        <v>3979</v>
      </c>
      <c r="K148" s="10" t="s">
        <v>13028</v>
      </c>
      <c r="L148" s="10" t="s">
        <v>42</v>
      </c>
    </row>
    <row r="149" ht="15.75" customHeight="1">
      <c r="A149" s="64">
        <v>45498.0</v>
      </c>
      <c r="B149" s="55" t="str">
        <f>HYPERLINK("https://jobright.ai/jobs/info/66a2889fa17d71951ed687ac?utm_campaign=1065&amp;utm_source=sheet", "Apply")</f>
        <v>Apply</v>
      </c>
      <c r="C149" s="10" t="s">
        <v>12853</v>
      </c>
      <c r="D149" s="56" t="s">
        <v>3376</v>
      </c>
      <c r="E149" s="10" t="s">
        <v>45</v>
      </c>
      <c r="F149" s="10" t="s">
        <v>3377</v>
      </c>
      <c r="G149" s="10" t="s">
        <v>12635</v>
      </c>
      <c r="H149" s="10" t="s">
        <v>12856</v>
      </c>
      <c r="I149" s="10" t="s">
        <v>48</v>
      </c>
      <c r="J149" s="10" t="s">
        <v>12854</v>
      </c>
      <c r="K149" s="10" t="s">
        <v>12855</v>
      </c>
      <c r="L149" s="10" t="s">
        <v>42</v>
      </c>
    </row>
    <row r="150" ht="15.75" customHeight="1">
      <c r="A150" s="64">
        <v>45498.0</v>
      </c>
      <c r="B150" s="55" t="str">
        <f>HYPERLINK("https://jobright.ai/jobs/info/66a288a0a17d71951ed68835?utm_campaign=1065&amp;utm_source=sheet", "Apply")</f>
        <v>Apply</v>
      </c>
      <c r="C150" s="10" t="s">
        <v>12853</v>
      </c>
      <c r="D150" s="56" t="s">
        <v>3376</v>
      </c>
      <c r="E150" s="10" t="s">
        <v>45</v>
      </c>
      <c r="F150" s="10" t="s">
        <v>3377</v>
      </c>
      <c r="G150" s="10" t="s">
        <v>12635</v>
      </c>
      <c r="H150" s="10" t="s">
        <v>794</v>
      </c>
      <c r="I150" s="10" t="s">
        <v>48</v>
      </c>
      <c r="J150" s="10" t="s">
        <v>12854</v>
      </c>
      <c r="K150" s="10" t="s">
        <v>12855</v>
      </c>
      <c r="L150" s="10" t="s">
        <v>42</v>
      </c>
    </row>
    <row r="151" ht="15.75" customHeight="1">
      <c r="A151" s="64">
        <v>45498.0</v>
      </c>
      <c r="B151" s="55" t="str">
        <f>HYPERLINK("https://jobright.ai/jobs/info/66a288a0a17d71951ed68837?utm_campaign=1065&amp;utm_source=sheet", "Apply")</f>
        <v>Apply</v>
      </c>
      <c r="C151" s="10" t="s">
        <v>12853</v>
      </c>
      <c r="D151" s="56" t="s">
        <v>3376</v>
      </c>
      <c r="E151" s="10" t="s">
        <v>45</v>
      </c>
      <c r="F151" s="10" t="s">
        <v>3377</v>
      </c>
      <c r="G151" s="10" t="s">
        <v>12635</v>
      </c>
      <c r="H151" s="10" t="s">
        <v>4001</v>
      </c>
      <c r="I151" s="10" t="s">
        <v>48</v>
      </c>
      <c r="J151" s="10" t="s">
        <v>12854</v>
      </c>
      <c r="K151" s="10" t="s">
        <v>12855</v>
      </c>
      <c r="L151" s="10" t="s">
        <v>42</v>
      </c>
    </row>
    <row r="152" ht="15.75" customHeight="1">
      <c r="A152" s="64">
        <v>45498.0</v>
      </c>
      <c r="B152" s="55" t="str">
        <f>HYPERLINK("https://jobright.ai/jobs/info/66a28377eba8f49c259e04b4?utm_campaign=1065&amp;utm_source=sheet", "Apply")</f>
        <v>Apply</v>
      </c>
      <c r="C152" s="10" t="s">
        <v>13029</v>
      </c>
      <c r="D152" s="56" t="s">
        <v>12942</v>
      </c>
      <c r="E152" s="10" t="s">
        <v>79</v>
      </c>
      <c r="F152" s="10" t="s">
        <v>3770</v>
      </c>
      <c r="G152" s="10" t="s">
        <v>12635</v>
      </c>
      <c r="H152" s="10" t="s">
        <v>442</v>
      </c>
      <c r="I152" s="10" t="s">
        <v>55</v>
      </c>
      <c r="J152" s="10" t="s">
        <v>3979</v>
      </c>
      <c r="K152" s="10" t="s">
        <v>12949</v>
      </c>
      <c r="L152" s="10" t="s">
        <v>42</v>
      </c>
    </row>
    <row r="153" ht="15.75" customHeight="1">
      <c r="A153" s="64">
        <v>45498.0</v>
      </c>
      <c r="B153" s="55" t="str">
        <f>HYPERLINK("https://jobright.ai/jobs/info/66a28377eba8f49c259e04b0?utm_campaign=1065&amp;utm_source=sheet", "Apply")</f>
        <v>Apply</v>
      </c>
      <c r="C153" s="10" t="s">
        <v>13030</v>
      </c>
      <c r="D153" s="56" t="s">
        <v>12942</v>
      </c>
      <c r="E153" s="10" t="s">
        <v>79</v>
      </c>
      <c r="F153" s="10" t="s">
        <v>3770</v>
      </c>
      <c r="G153" s="10" t="s">
        <v>12654</v>
      </c>
      <c r="H153" s="10" t="s">
        <v>170</v>
      </c>
      <c r="I153" s="10" t="s">
        <v>55</v>
      </c>
      <c r="J153" s="10" t="s">
        <v>3979</v>
      </c>
      <c r="K153" s="10" t="s">
        <v>13031</v>
      </c>
      <c r="L153" s="10" t="s">
        <v>42</v>
      </c>
    </row>
    <row r="154" ht="15.75" customHeight="1">
      <c r="A154" s="64">
        <v>45498.0</v>
      </c>
      <c r="B154" s="55" t="str">
        <f>HYPERLINK("https://jobright.ai/jobs/info/66993a8a0dea039d8433bcb5?utm_campaign=1065&amp;utm_source=sheet", "Apply")</f>
        <v>Apply</v>
      </c>
      <c r="C154" s="10" t="s">
        <v>13024</v>
      </c>
      <c r="D154" s="56" t="s">
        <v>13025</v>
      </c>
      <c r="E154" s="10" t="s">
        <v>276</v>
      </c>
      <c r="F154" s="10" t="s">
        <v>1376</v>
      </c>
      <c r="G154" s="10" t="s">
        <v>12645</v>
      </c>
      <c r="H154" s="10" t="s">
        <v>152</v>
      </c>
      <c r="I154" s="10" t="s">
        <v>55</v>
      </c>
      <c r="K154" s="10" t="s">
        <v>13026</v>
      </c>
      <c r="L154" s="10" t="s">
        <v>42</v>
      </c>
    </row>
    <row r="155" ht="15.75" customHeight="1">
      <c r="A155" s="64">
        <v>45498.0</v>
      </c>
      <c r="B155" s="55" t="str">
        <f>HYPERLINK("https://jobright.ai/jobs/info/66a286c839fc790ceef01511?utm_campaign=1065&amp;utm_source=sheet", "Apply")</f>
        <v>Apply</v>
      </c>
      <c r="C155" s="10" t="s">
        <v>13032</v>
      </c>
      <c r="D155" s="56" t="s">
        <v>13033</v>
      </c>
      <c r="E155" s="10" t="s">
        <v>45</v>
      </c>
      <c r="F155" s="10" t="s">
        <v>13034</v>
      </c>
      <c r="G155" s="10" t="s">
        <v>12635</v>
      </c>
      <c r="H155" s="10" t="s">
        <v>13035</v>
      </c>
      <c r="I155" s="10" t="s">
        <v>55</v>
      </c>
      <c r="K155" s="10" t="s">
        <v>13036</v>
      </c>
      <c r="L155" s="10" t="s">
        <v>42</v>
      </c>
    </row>
    <row r="156" ht="15.75" customHeight="1">
      <c r="A156" s="64">
        <v>45498.0</v>
      </c>
      <c r="B156" s="55" t="str">
        <f>HYPERLINK("https://jobright.ai/jobs/info/66a28142324379dc6068c06d?utm_campaign=1065&amp;utm_source=sheet", "Apply")</f>
        <v>Apply</v>
      </c>
      <c r="C156" s="10" t="s">
        <v>13037</v>
      </c>
      <c r="D156" s="56" t="s">
        <v>13038</v>
      </c>
      <c r="E156" s="10" t="s">
        <v>45</v>
      </c>
      <c r="F156" s="10" t="s">
        <v>3225</v>
      </c>
      <c r="G156" s="10" t="s">
        <v>12654</v>
      </c>
      <c r="H156" s="10" t="s">
        <v>6214</v>
      </c>
      <c r="I156" s="10" t="s">
        <v>55</v>
      </c>
      <c r="J156" s="10" t="s">
        <v>1984</v>
      </c>
      <c r="K156" s="10" t="s">
        <v>13039</v>
      </c>
      <c r="L156" s="10" t="s">
        <v>42</v>
      </c>
    </row>
    <row r="157" ht="15.75" customHeight="1">
      <c r="A157" s="64">
        <v>45498.0</v>
      </c>
      <c r="B157" s="55" t="str">
        <f>HYPERLINK("https://jobright.ai/jobs/info/66a278c51cd865f39734866d?utm_campaign=1065&amp;utm_source=sheet", "Apply")</f>
        <v>Apply</v>
      </c>
      <c r="C157" s="10" t="s">
        <v>13040</v>
      </c>
      <c r="D157" s="56" t="s">
        <v>5458</v>
      </c>
      <c r="E157" s="10" t="s">
        <v>45</v>
      </c>
      <c r="F157" s="10" t="s">
        <v>3920</v>
      </c>
      <c r="G157" s="10" t="s">
        <v>12654</v>
      </c>
      <c r="H157" s="10" t="s">
        <v>106</v>
      </c>
      <c r="I157" s="10" t="s">
        <v>55</v>
      </c>
      <c r="K157" s="10" t="s">
        <v>13041</v>
      </c>
      <c r="L157" s="10" t="s">
        <v>42</v>
      </c>
    </row>
    <row r="158" ht="15.75" customHeight="1">
      <c r="A158" s="64">
        <v>45498.0</v>
      </c>
      <c r="B158" s="55" t="str">
        <f>HYPERLINK("https://jobright.ai/jobs/info/66a27b3e10e34507ec383b1f?utm_campaign=1065&amp;utm_source=sheet", "Apply")</f>
        <v>Apply</v>
      </c>
      <c r="C158" s="10" t="s">
        <v>13042</v>
      </c>
      <c r="D158" s="56" t="s">
        <v>13043</v>
      </c>
      <c r="E158" s="59">
        <v>45301.0</v>
      </c>
      <c r="F158" s="10" t="s">
        <v>2315</v>
      </c>
      <c r="G158" s="10" t="s">
        <v>12630</v>
      </c>
      <c r="H158" s="10" t="s">
        <v>1008</v>
      </c>
      <c r="I158" s="10" t="s">
        <v>48</v>
      </c>
      <c r="K158" s="10" t="s">
        <v>13044</v>
      </c>
      <c r="L158" s="10" t="s">
        <v>42</v>
      </c>
    </row>
    <row r="159" ht="15.75" customHeight="1">
      <c r="A159" s="64">
        <v>45498.0</v>
      </c>
      <c r="B159" s="55" t="str">
        <f>HYPERLINK("https://jobright.ai/jobs/info/66a2689aabc81f1dd17417de?utm_campaign=1065&amp;utm_source=sheet", "Apply")</f>
        <v>Apply</v>
      </c>
      <c r="C159" s="10" t="s">
        <v>13045</v>
      </c>
      <c r="D159" s="56" t="s">
        <v>13046</v>
      </c>
      <c r="G159" s="10" t="s">
        <v>12645</v>
      </c>
      <c r="H159" s="10" t="s">
        <v>251</v>
      </c>
      <c r="I159" s="10" t="s">
        <v>252</v>
      </c>
      <c r="K159" s="10" t="s">
        <v>13047</v>
      </c>
      <c r="L159" s="10" t="s">
        <v>42</v>
      </c>
    </row>
    <row r="160" ht="15.75" customHeight="1">
      <c r="A160" s="64">
        <v>45498.0</v>
      </c>
      <c r="B160" s="55" t="str">
        <f>HYPERLINK("https://jobright.ai/jobs/info/66a2560381ad172a37854823?utm_campaign=1065&amp;utm_source=sheet", "Apply")</f>
        <v>Apply</v>
      </c>
      <c r="C160" s="10" t="s">
        <v>12650</v>
      </c>
      <c r="D160" s="56" t="s">
        <v>13048</v>
      </c>
      <c r="E160" s="10" t="s">
        <v>71</v>
      </c>
      <c r="F160" s="10" t="s">
        <v>13049</v>
      </c>
      <c r="G160" s="10" t="s">
        <v>12635</v>
      </c>
      <c r="H160" s="10" t="s">
        <v>2222</v>
      </c>
      <c r="I160" s="10" t="s">
        <v>55</v>
      </c>
      <c r="K160" s="10" t="s">
        <v>13050</v>
      </c>
      <c r="L160" s="10" t="s">
        <v>42</v>
      </c>
    </row>
    <row r="161" ht="15.75" customHeight="1">
      <c r="A161" s="64">
        <v>45498.0</v>
      </c>
      <c r="B161" s="55" t="str">
        <f>HYPERLINK("https://jobright.ai/jobs/info/66a24ae79a00a2533986dc17?utm_campaign=1065&amp;utm_source=sheet", "Apply")</f>
        <v>Apply</v>
      </c>
      <c r="C161" s="10" t="s">
        <v>13051</v>
      </c>
      <c r="D161" s="56" t="s">
        <v>12751</v>
      </c>
      <c r="E161" s="59">
        <v>45301.0</v>
      </c>
      <c r="F161" s="10" t="s">
        <v>12752</v>
      </c>
      <c r="G161" s="10" t="s">
        <v>12630</v>
      </c>
      <c r="H161" s="10" t="s">
        <v>251</v>
      </c>
      <c r="I161" s="10" t="s">
        <v>48</v>
      </c>
      <c r="J161" s="10" t="s">
        <v>13052</v>
      </c>
      <c r="K161" s="10" t="s">
        <v>12754</v>
      </c>
      <c r="L161" s="10" t="s">
        <v>42</v>
      </c>
    </row>
    <row r="162" ht="15.75" customHeight="1">
      <c r="A162" s="64">
        <v>45498.0</v>
      </c>
      <c r="B162" s="55" t="str">
        <f>HYPERLINK("https://jobright.ai/jobs/info/66a23f6890f019998daf7588?utm_campaign=1065&amp;utm_source=sheet", "Apply")</f>
        <v>Apply</v>
      </c>
      <c r="C162" s="10" t="s">
        <v>13053</v>
      </c>
      <c r="D162" s="56" t="s">
        <v>13054</v>
      </c>
      <c r="E162" s="59">
        <v>45301.0</v>
      </c>
      <c r="F162" s="10" t="s">
        <v>13055</v>
      </c>
      <c r="G162" s="10" t="s">
        <v>12645</v>
      </c>
      <c r="H162" s="10" t="s">
        <v>7610</v>
      </c>
      <c r="I162" s="10" t="s">
        <v>55</v>
      </c>
      <c r="J162" s="10" t="s">
        <v>4548</v>
      </c>
      <c r="K162" s="10" t="s">
        <v>13056</v>
      </c>
      <c r="L162" s="10" t="s">
        <v>42</v>
      </c>
    </row>
    <row r="163" ht="15.75" customHeight="1">
      <c r="A163" s="64">
        <v>45498.0</v>
      </c>
      <c r="B163" s="55" t="str">
        <f>HYPERLINK("https://jobright.ai/jobs/info/66a23c165c14cdf3ee23df1b?utm_campaign=1065&amp;utm_source=sheet", "Apply")</f>
        <v>Apply</v>
      </c>
      <c r="C163" s="10" t="s">
        <v>13057</v>
      </c>
      <c r="D163" s="56" t="s">
        <v>311</v>
      </c>
      <c r="E163" s="10" t="s">
        <v>45</v>
      </c>
      <c r="F163" s="10" t="s">
        <v>312</v>
      </c>
      <c r="G163" s="10" t="s">
        <v>12693</v>
      </c>
      <c r="H163" s="10" t="s">
        <v>1254</v>
      </c>
      <c r="I163" s="10" t="s">
        <v>55</v>
      </c>
      <c r="J163" s="10" t="s">
        <v>81</v>
      </c>
      <c r="K163" s="10" t="s">
        <v>13058</v>
      </c>
      <c r="L163" s="10" t="s">
        <v>42</v>
      </c>
    </row>
    <row r="164" ht="15.75" customHeight="1">
      <c r="A164" s="64">
        <v>45498.0</v>
      </c>
      <c r="B164" s="55" t="str">
        <f>HYPERLINK("https://jobright.ai/jobs/info/664cf7ae60201a549dd013ea?utm_campaign=1065&amp;utm_source=sheet", "Apply")</f>
        <v>Apply</v>
      </c>
      <c r="C164" s="10" t="s">
        <v>13059</v>
      </c>
      <c r="D164" s="56" t="s">
        <v>10169</v>
      </c>
      <c r="E164" s="10" t="s">
        <v>45</v>
      </c>
      <c r="F164" s="10" t="s">
        <v>10170</v>
      </c>
      <c r="G164" s="10" t="s">
        <v>12635</v>
      </c>
      <c r="H164" s="10" t="s">
        <v>2988</v>
      </c>
      <c r="I164" s="10" t="s">
        <v>55</v>
      </c>
      <c r="J164" s="10" t="s">
        <v>1409</v>
      </c>
      <c r="K164" s="10" t="s">
        <v>13060</v>
      </c>
      <c r="L164" s="10" t="s">
        <v>42</v>
      </c>
    </row>
    <row r="165" ht="15.75" customHeight="1">
      <c r="A165" s="64">
        <v>45498.0</v>
      </c>
      <c r="B165" s="55" t="str">
        <f>HYPERLINK("https://jobright.ai/jobs/info/6685dafd5ce4828b52de863b?utm_campaign=1065&amp;utm_source=sheet", "Apply")</f>
        <v>Apply</v>
      </c>
      <c r="C165" s="10" t="s">
        <v>13061</v>
      </c>
      <c r="D165" s="56" t="s">
        <v>1667</v>
      </c>
      <c r="E165" s="10">
        <v>37644.0</v>
      </c>
      <c r="G165" s="10" t="s">
        <v>12654</v>
      </c>
      <c r="H165" s="10" t="s">
        <v>170</v>
      </c>
      <c r="I165" s="10" t="s">
        <v>48</v>
      </c>
      <c r="J165" s="10" t="s">
        <v>366</v>
      </c>
      <c r="K165" s="10" t="s">
        <v>13062</v>
      </c>
      <c r="L165" s="10" t="s">
        <v>42</v>
      </c>
    </row>
    <row r="166" ht="15.75" customHeight="1">
      <c r="A166" s="64">
        <v>45498.0</v>
      </c>
      <c r="B166" s="55" t="str">
        <f>HYPERLINK("https://jobright.ai/jobs/info/6685a4338e86a0cdfea62057?utm_campaign=1065&amp;utm_source=sheet", "Apply")</f>
        <v>Apply</v>
      </c>
      <c r="C166" s="10" t="s">
        <v>13063</v>
      </c>
      <c r="D166" s="56" t="s">
        <v>13064</v>
      </c>
      <c r="E166" s="10" t="s">
        <v>209</v>
      </c>
      <c r="F166" s="10" t="s">
        <v>13065</v>
      </c>
      <c r="G166" s="10" t="s">
        <v>12635</v>
      </c>
      <c r="H166" s="10" t="s">
        <v>154</v>
      </c>
      <c r="I166" s="10" t="s">
        <v>55</v>
      </c>
      <c r="K166" s="10" t="s">
        <v>13066</v>
      </c>
      <c r="L166" s="10" t="s">
        <v>42</v>
      </c>
    </row>
    <row r="167" ht="15.75" customHeight="1">
      <c r="A167" s="64">
        <v>45498.0</v>
      </c>
      <c r="B167" s="55" t="str">
        <f>HYPERLINK("https://jobright.ai/jobs/info/664cfadae883f73e5ebb1920?utm_campaign=1065&amp;utm_source=sheet", "Apply")</f>
        <v>Apply</v>
      </c>
      <c r="C167" s="10" t="s">
        <v>13067</v>
      </c>
      <c r="D167" s="56" t="s">
        <v>10169</v>
      </c>
      <c r="E167" s="10" t="s">
        <v>45</v>
      </c>
      <c r="F167" s="10" t="s">
        <v>10170</v>
      </c>
      <c r="G167" s="10" t="s">
        <v>12635</v>
      </c>
      <c r="H167" s="10" t="s">
        <v>1033</v>
      </c>
      <c r="I167" s="10" t="s">
        <v>55</v>
      </c>
      <c r="J167" s="10" t="s">
        <v>1409</v>
      </c>
      <c r="K167" s="10" t="s">
        <v>13060</v>
      </c>
      <c r="L167" s="10" t="s">
        <v>42</v>
      </c>
    </row>
    <row r="168" ht="15.75" customHeight="1">
      <c r="A168" s="64">
        <v>45498.0</v>
      </c>
      <c r="B168" s="55" t="str">
        <f>HYPERLINK("https://jobright.ai/jobs/info/6685dafd5ce4828b52de8612?utm_campaign=1065&amp;utm_source=sheet", "Apply")</f>
        <v>Apply</v>
      </c>
      <c r="C168" s="10" t="s">
        <v>13068</v>
      </c>
      <c r="D168" s="56" t="s">
        <v>1667</v>
      </c>
      <c r="E168" s="10">
        <v>37644.0</v>
      </c>
      <c r="G168" s="10" t="s">
        <v>12654</v>
      </c>
      <c r="H168" s="10" t="s">
        <v>153</v>
      </c>
      <c r="I168" s="10" t="s">
        <v>48</v>
      </c>
      <c r="K168" s="10" t="s">
        <v>13069</v>
      </c>
      <c r="L168" s="10" t="s">
        <v>42</v>
      </c>
    </row>
    <row r="169" ht="15.75" customHeight="1">
      <c r="A169" s="64">
        <v>45498.0</v>
      </c>
      <c r="B169" s="55" t="str">
        <f>HYPERLINK("https://jobright.ai/jobs/info/6685c019c96ea879d35d7f24?utm_campaign=1065&amp;utm_source=sheet", "Apply")</f>
        <v>Apply</v>
      </c>
      <c r="C169" s="10" t="s">
        <v>13070</v>
      </c>
      <c r="D169" s="56" t="s">
        <v>13071</v>
      </c>
      <c r="E169" s="10" t="s">
        <v>79</v>
      </c>
      <c r="F169" s="10" t="s">
        <v>13072</v>
      </c>
      <c r="G169" s="10" t="s">
        <v>12635</v>
      </c>
      <c r="H169" s="10" t="s">
        <v>251</v>
      </c>
      <c r="I169" s="10" t="s">
        <v>252</v>
      </c>
      <c r="K169" s="10" t="s">
        <v>13073</v>
      </c>
      <c r="L169" s="10" t="s">
        <v>42</v>
      </c>
    </row>
    <row r="170" ht="15.75" customHeight="1">
      <c r="A170" s="64">
        <v>45498.0</v>
      </c>
      <c r="B170" s="55" t="str">
        <f>HYPERLINK("https://jobright.ai/jobs/info/6685e49c07f6cebc7f826445?utm_campaign=1065&amp;utm_source=sheet", "Apply")</f>
        <v>Apply</v>
      </c>
      <c r="C170" s="10" t="s">
        <v>13074</v>
      </c>
      <c r="D170" s="56" t="s">
        <v>9914</v>
      </c>
      <c r="E170" s="10" t="s">
        <v>249</v>
      </c>
      <c r="F170" s="10" t="s">
        <v>3684</v>
      </c>
      <c r="G170" s="10" t="s">
        <v>12635</v>
      </c>
      <c r="H170" s="10" t="s">
        <v>96</v>
      </c>
      <c r="I170" s="10" t="s">
        <v>55</v>
      </c>
      <c r="K170" s="10" t="s">
        <v>13075</v>
      </c>
      <c r="L170" s="10" t="s">
        <v>42</v>
      </c>
    </row>
    <row r="171" ht="15.75" customHeight="1">
      <c r="A171" s="64">
        <v>45498.0</v>
      </c>
      <c r="B171" s="55" t="str">
        <f>HYPERLINK("https://jobright.ai/jobs/info/664cf7ae60201a549dd013b7?utm_campaign=1065&amp;utm_source=sheet", "Apply")</f>
        <v>Apply</v>
      </c>
      <c r="C171" s="10" t="s">
        <v>13076</v>
      </c>
      <c r="D171" s="56" t="s">
        <v>10169</v>
      </c>
      <c r="E171" s="10" t="s">
        <v>45</v>
      </c>
      <c r="F171" s="10" t="s">
        <v>10170</v>
      </c>
      <c r="G171" s="10" t="s">
        <v>12635</v>
      </c>
      <c r="H171" s="10" t="s">
        <v>13077</v>
      </c>
      <c r="I171" s="10" t="s">
        <v>55</v>
      </c>
      <c r="J171" s="10" t="s">
        <v>1409</v>
      </c>
      <c r="K171" s="10" t="s">
        <v>13060</v>
      </c>
      <c r="L171" s="10" t="s">
        <v>42</v>
      </c>
    </row>
    <row r="172" ht="15.75" customHeight="1">
      <c r="A172" s="64">
        <v>45498.0</v>
      </c>
      <c r="B172" s="55" t="str">
        <f>HYPERLINK("https://jobright.ai/jobs/info/66a22c06d584d9f47e7d5115?utm_campaign=1065&amp;utm_source=sheet", "Apply")</f>
        <v>Apply</v>
      </c>
      <c r="C172" s="10" t="s">
        <v>13078</v>
      </c>
      <c r="D172" s="56" t="s">
        <v>2749</v>
      </c>
      <c r="E172" s="10" t="s">
        <v>45</v>
      </c>
      <c r="F172" s="10" t="s">
        <v>2750</v>
      </c>
      <c r="G172" s="10" t="s">
        <v>12654</v>
      </c>
      <c r="H172" s="10" t="s">
        <v>1292</v>
      </c>
      <c r="I172" s="10" t="s">
        <v>55</v>
      </c>
      <c r="K172" s="10" t="s">
        <v>13079</v>
      </c>
      <c r="L172" s="10" t="s">
        <v>42</v>
      </c>
    </row>
    <row r="173" ht="15.75" customHeight="1">
      <c r="A173" s="64">
        <v>45498.0</v>
      </c>
      <c r="B173" s="55" t="str">
        <f>HYPERLINK("https://jobright.ai/jobs/info/66a200932be4c7b2f0be479b?utm_campaign=1065&amp;utm_source=sheet", "Apply")</f>
        <v>Apply</v>
      </c>
      <c r="C173" s="10" t="s">
        <v>13080</v>
      </c>
      <c r="D173" s="56" t="s">
        <v>13081</v>
      </c>
      <c r="E173" s="10" t="s">
        <v>137</v>
      </c>
      <c r="F173" s="10" t="s">
        <v>13082</v>
      </c>
      <c r="G173" s="10" t="s">
        <v>12630</v>
      </c>
      <c r="H173" s="10" t="s">
        <v>153</v>
      </c>
      <c r="I173" s="10" t="s">
        <v>55</v>
      </c>
      <c r="J173" s="10" t="s">
        <v>3125</v>
      </c>
      <c r="K173" s="10" t="s">
        <v>13083</v>
      </c>
      <c r="L173" s="10" t="s">
        <v>42</v>
      </c>
    </row>
    <row r="174" ht="15.75" customHeight="1">
      <c r="A174" s="64">
        <v>45498.0</v>
      </c>
      <c r="B174" s="55" t="str">
        <f>HYPERLINK("https://jobright.ai/jobs/info/66a1f1222f4f47ae624f68f2?utm_campaign=1065&amp;utm_source=sheet", "Apply")</f>
        <v>Apply</v>
      </c>
      <c r="C174" s="10" t="s">
        <v>9688</v>
      </c>
      <c r="D174" s="56" t="s">
        <v>12639</v>
      </c>
      <c r="E174" s="10">
        <v>33.0</v>
      </c>
      <c r="G174" s="10" t="s">
        <v>12630</v>
      </c>
      <c r="H174" s="10" t="s">
        <v>4001</v>
      </c>
      <c r="I174" s="10" t="s">
        <v>55</v>
      </c>
      <c r="K174" s="10" t="s">
        <v>13084</v>
      </c>
      <c r="L174" s="10" t="s">
        <v>42</v>
      </c>
    </row>
    <row r="175" ht="15.75" customHeight="1">
      <c r="A175" s="64">
        <v>45498.0</v>
      </c>
      <c r="B175" s="55" t="str">
        <f>HYPERLINK("https://jobright.ai/jobs/info/66a1db7b4a1c47d6614d8a0a?utm_campaign=1065&amp;utm_source=sheet", "Apply")</f>
        <v>Apply</v>
      </c>
      <c r="C175" s="10" t="s">
        <v>13085</v>
      </c>
      <c r="D175" s="56" t="s">
        <v>258</v>
      </c>
      <c r="E175" s="10" t="s">
        <v>45</v>
      </c>
      <c r="F175" s="10" t="s">
        <v>259</v>
      </c>
      <c r="G175" s="10" t="s">
        <v>12654</v>
      </c>
      <c r="H175" s="10" t="s">
        <v>167</v>
      </c>
      <c r="I175" s="10" t="s">
        <v>55</v>
      </c>
      <c r="J175" s="10" t="s">
        <v>2742</v>
      </c>
      <c r="K175" s="10" t="s">
        <v>13086</v>
      </c>
      <c r="L175" s="10" t="s">
        <v>42</v>
      </c>
    </row>
    <row r="176" ht="15.75" customHeight="1">
      <c r="A176" s="64">
        <v>45498.0</v>
      </c>
      <c r="B176" s="55" t="str">
        <f>HYPERLINK("https://jobright.ai/jobs/info/66a1e35b8351d7ee15aa2b42?utm_campaign=1065&amp;utm_source=sheet", "Apply")</f>
        <v>Apply</v>
      </c>
      <c r="C176" s="10" t="s">
        <v>13087</v>
      </c>
      <c r="D176" s="56" t="s">
        <v>13088</v>
      </c>
      <c r="E176" s="10" t="s">
        <v>137</v>
      </c>
      <c r="F176" s="10" t="s">
        <v>13089</v>
      </c>
      <c r="G176" s="10" t="s">
        <v>12635</v>
      </c>
      <c r="H176" s="10" t="s">
        <v>1168</v>
      </c>
      <c r="I176" s="10" t="s">
        <v>55</v>
      </c>
      <c r="K176" s="10" t="s">
        <v>13090</v>
      </c>
      <c r="L176" s="10" t="s">
        <v>42</v>
      </c>
    </row>
    <row r="177" ht="15.75" customHeight="1">
      <c r="A177" s="64">
        <v>45498.0</v>
      </c>
      <c r="B177" s="55" t="str">
        <f>HYPERLINK("https://jobright.ai/jobs/info/66a1db7b4a1c47d6614d89f8?utm_campaign=1065&amp;utm_source=sheet", "Apply")</f>
        <v>Apply</v>
      </c>
      <c r="C177" s="10" t="s">
        <v>13091</v>
      </c>
      <c r="D177" s="56" t="s">
        <v>13092</v>
      </c>
      <c r="E177" s="10" t="s">
        <v>249</v>
      </c>
      <c r="F177" s="10" t="s">
        <v>259</v>
      </c>
      <c r="G177" s="10" t="s">
        <v>12693</v>
      </c>
      <c r="H177" s="10" t="s">
        <v>96</v>
      </c>
      <c r="I177" s="10" t="s">
        <v>48</v>
      </c>
      <c r="J177" s="10" t="s">
        <v>9798</v>
      </c>
      <c r="K177" s="10" t="s">
        <v>13093</v>
      </c>
      <c r="L177" s="10" t="s">
        <v>42</v>
      </c>
    </row>
    <row r="178" ht="15.75" customHeight="1">
      <c r="A178" s="64">
        <v>45498.0</v>
      </c>
      <c r="B178" s="55" t="str">
        <f>HYPERLINK("https://jobright.ai/jobs/info/66a1d8db921f2f675f886594?utm_campaign=1065&amp;utm_source=sheet", "Apply")</f>
        <v>Apply</v>
      </c>
      <c r="C178" s="10" t="s">
        <v>13094</v>
      </c>
      <c r="D178" s="56" t="s">
        <v>1650</v>
      </c>
      <c r="E178" s="10" t="s">
        <v>209</v>
      </c>
      <c r="F178" s="10" t="s">
        <v>1243</v>
      </c>
      <c r="G178" s="10" t="s">
        <v>12654</v>
      </c>
      <c r="H178" s="10" t="s">
        <v>245</v>
      </c>
      <c r="I178" s="10" t="s">
        <v>55</v>
      </c>
      <c r="K178" s="10" t="s">
        <v>13095</v>
      </c>
      <c r="L178" s="10" t="s">
        <v>42</v>
      </c>
    </row>
    <row r="179" ht="15.75" customHeight="1">
      <c r="A179" s="64">
        <v>45498.0</v>
      </c>
      <c r="B179" s="55" t="str">
        <f>HYPERLINK("https://jobright.ai/jobs/info/66a1c71463393a5e366fd55a?utm_campaign=1065&amp;utm_source=sheet", "Apply")</f>
        <v>Apply</v>
      </c>
      <c r="C179" s="10" t="s">
        <v>13096</v>
      </c>
      <c r="D179" s="56" t="s">
        <v>5873</v>
      </c>
      <c r="E179" s="10" t="s">
        <v>65</v>
      </c>
      <c r="F179" s="10" t="s">
        <v>3004</v>
      </c>
      <c r="G179" s="10" t="s">
        <v>12635</v>
      </c>
      <c r="H179" s="10" t="s">
        <v>1263</v>
      </c>
      <c r="I179" s="10" t="s">
        <v>55</v>
      </c>
      <c r="J179" s="10" t="s">
        <v>1165</v>
      </c>
      <c r="K179" s="10" t="s">
        <v>13097</v>
      </c>
      <c r="L179" s="10" t="s">
        <v>42</v>
      </c>
    </row>
    <row r="180" ht="15.75" customHeight="1">
      <c r="A180" s="64">
        <v>45498.0</v>
      </c>
      <c r="B180" s="55" t="str">
        <f>HYPERLINK("https://jobright.ai/jobs/info/66a1c551b6c6b56a063ac255?utm_campaign=1065&amp;utm_source=sheet", "Apply")</f>
        <v>Apply</v>
      </c>
      <c r="C180" s="10" t="s">
        <v>13098</v>
      </c>
      <c r="D180" s="56" t="s">
        <v>1671</v>
      </c>
      <c r="E180" s="10" t="s">
        <v>65</v>
      </c>
      <c r="F180" s="10" t="s">
        <v>1234</v>
      </c>
      <c r="G180" s="10" t="s">
        <v>12654</v>
      </c>
      <c r="H180" s="10" t="s">
        <v>1672</v>
      </c>
      <c r="I180" s="10" t="s">
        <v>55</v>
      </c>
      <c r="K180" s="10" t="s">
        <v>13099</v>
      </c>
      <c r="L180" s="10" t="s">
        <v>42</v>
      </c>
    </row>
    <row r="181" ht="15.75" customHeight="1">
      <c r="A181" s="64">
        <v>45498.0</v>
      </c>
      <c r="B181" s="55" t="str">
        <f>HYPERLINK("https://jobright.ai/jobs/info/66a2e314621b00551f362a98?utm_campaign=1065&amp;utm_source=sheet", "Apply")</f>
        <v>Apply</v>
      </c>
      <c r="C181" s="10" t="s">
        <v>13100</v>
      </c>
      <c r="D181" s="56" t="s">
        <v>13101</v>
      </c>
      <c r="E181" s="10" t="s">
        <v>79</v>
      </c>
      <c r="F181" s="10" t="s">
        <v>13102</v>
      </c>
      <c r="G181" s="10" t="s">
        <v>12630</v>
      </c>
      <c r="H181" s="10" t="s">
        <v>174</v>
      </c>
      <c r="I181" s="10" t="s">
        <v>48</v>
      </c>
      <c r="K181" s="10" t="s">
        <v>13103</v>
      </c>
      <c r="L181" s="10" t="s">
        <v>42</v>
      </c>
    </row>
    <row r="182" ht="15.75" customHeight="1">
      <c r="A182" s="64">
        <v>45498.0</v>
      </c>
      <c r="B182" s="55" t="str">
        <f>HYPERLINK("https://jobright.ai/jobs/info/66a1c551b6c6b56a063ac251?utm_campaign=1065&amp;utm_source=sheet", "Apply")</f>
        <v>Apply</v>
      </c>
      <c r="C182" s="10" t="s">
        <v>13104</v>
      </c>
      <c r="D182" s="56" t="s">
        <v>13105</v>
      </c>
      <c r="E182" s="10" t="s">
        <v>65</v>
      </c>
      <c r="G182" s="10" t="s">
        <v>12630</v>
      </c>
      <c r="H182" s="10" t="s">
        <v>10041</v>
      </c>
      <c r="I182" s="10" t="s">
        <v>55</v>
      </c>
      <c r="J182" s="10" t="s">
        <v>13106</v>
      </c>
      <c r="K182" s="10" t="s">
        <v>13107</v>
      </c>
      <c r="L182" s="10" t="s">
        <v>42</v>
      </c>
    </row>
    <row r="183" ht="15.75" customHeight="1">
      <c r="A183" s="64">
        <v>45498.0</v>
      </c>
      <c r="B183" s="55" t="str">
        <f>HYPERLINK("https://jobright.ai/jobs/info/66a1b4d4349d237c2fa6bc58?utm_campaign=1065&amp;utm_source=sheet", "Apply")</f>
        <v>Apply</v>
      </c>
      <c r="C183" s="10" t="s">
        <v>13108</v>
      </c>
      <c r="D183" s="56" t="s">
        <v>13109</v>
      </c>
      <c r="E183" s="10">
        <v>4.0</v>
      </c>
      <c r="G183" s="10" t="s">
        <v>12635</v>
      </c>
      <c r="H183" s="10" t="s">
        <v>165</v>
      </c>
      <c r="I183" s="10" t="s">
        <v>55</v>
      </c>
      <c r="J183" s="10" t="s">
        <v>13110</v>
      </c>
      <c r="K183" s="10" t="s">
        <v>13111</v>
      </c>
      <c r="L183" s="10" t="s">
        <v>42</v>
      </c>
    </row>
    <row r="184" ht="15.75" customHeight="1">
      <c r="A184" s="64">
        <v>45498.0</v>
      </c>
      <c r="B184" s="55" t="str">
        <f>HYPERLINK("https://jobright.ai/jobs/info/66a1afc4099e1efc505303ea?utm_campaign=1065&amp;utm_source=sheet", "Apply")</f>
        <v>Apply</v>
      </c>
      <c r="C184" s="10" t="s">
        <v>12632</v>
      </c>
      <c r="D184" s="56" t="s">
        <v>12633</v>
      </c>
      <c r="E184" s="10" t="s">
        <v>79</v>
      </c>
      <c r="F184" s="10" t="s">
        <v>12634</v>
      </c>
      <c r="G184" s="10" t="s">
        <v>12635</v>
      </c>
      <c r="H184" s="10" t="s">
        <v>144</v>
      </c>
      <c r="I184" s="10" t="s">
        <v>55</v>
      </c>
      <c r="K184" s="10" t="s">
        <v>12637</v>
      </c>
      <c r="L184" s="10" t="s">
        <v>42</v>
      </c>
    </row>
    <row r="185" ht="15.75" customHeight="1">
      <c r="A185" s="64">
        <v>45498.0</v>
      </c>
      <c r="B185" s="55" t="str">
        <f>HYPERLINK("https://jobright.ai/jobs/info/66a1b4dc349d237c2fa6bcfd?utm_campaign=1065&amp;utm_source=sheet", "Apply")</f>
        <v>Apply</v>
      </c>
      <c r="C185" s="10" t="s">
        <v>13112</v>
      </c>
      <c r="D185" s="56" t="s">
        <v>13113</v>
      </c>
      <c r="E185" s="10">
        <v>7.0</v>
      </c>
      <c r="G185" s="10" t="s">
        <v>12654</v>
      </c>
      <c r="H185" s="10" t="s">
        <v>3022</v>
      </c>
      <c r="I185" s="10" t="s">
        <v>55</v>
      </c>
      <c r="J185" s="10" t="s">
        <v>13114</v>
      </c>
      <c r="K185" s="10" t="s">
        <v>13115</v>
      </c>
      <c r="L185" s="10" t="s">
        <v>42</v>
      </c>
    </row>
    <row r="186" ht="15.75" customHeight="1">
      <c r="A186" s="64">
        <v>45498.0</v>
      </c>
      <c r="B186" s="55" t="str">
        <f>HYPERLINK("https://jobright.ai/jobs/info/66a1b4dc349d237c2fa6bd5e?utm_campaign=1065&amp;utm_source=sheet", "Apply")</f>
        <v>Apply</v>
      </c>
      <c r="C186" s="10" t="s">
        <v>13116</v>
      </c>
      <c r="D186" s="56" t="s">
        <v>11614</v>
      </c>
      <c r="E186" s="10" t="s">
        <v>137</v>
      </c>
      <c r="F186" s="10" t="s">
        <v>1427</v>
      </c>
      <c r="G186" s="10" t="s">
        <v>12630</v>
      </c>
      <c r="H186" s="10" t="s">
        <v>11615</v>
      </c>
      <c r="I186" s="10" t="s">
        <v>55</v>
      </c>
      <c r="K186" s="10" t="s">
        <v>13117</v>
      </c>
      <c r="L186" s="10" t="s">
        <v>42</v>
      </c>
    </row>
    <row r="187" ht="15.75" customHeight="1">
      <c r="A187" s="64">
        <v>45498.0</v>
      </c>
      <c r="B187" s="55" t="str">
        <f>HYPERLINK("https://jobright.ai/jobs/info/66a2db580b81b41946d36194?utm_campaign=1065&amp;utm_source=sheet", "Apply")</f>
        <v>Apply</v>
      </c>
      <c r="C187" s="10" t="s">
        <v>12883</v>
      </c>
      <c r="D187" s="56" t="s">
        <v>3293</v>
      </c>
      <c r="E187" s="10" t="s">
        <v>209</v>
      </c>
      <c r="F187" s="10" t="s">
        <v>1587</v>
      </c>
      <c r="G187" s="10" t="s">
        <v>12630</v>
      </c>
      <c r="H187" s="10" t="s">
        <v>168</v>
      </c>
      <c r="I187" s="10" t="s">
        <v>55</v>
      </c>
      <c r="J187" s="10" t="s">
        <v>1761</v>
      </c>
      <c r="K187" s="10" t="s">
        <v>13118</v>
      </c>
      <c r="L187" s="10" t="s">
        <v>42</v>
      </c>
    </row>
    <row r="188" ht="15.75" customHeight="1">
      <c r="A188" s="64">
        <v>45498.0</v>
      </c>
      <c r="B188" s="55" t="str">
        <f>HYPERLINK("https://jobright.ai/jobs/info/66a1a0a4f9d25010fae4c1df?utm_campaign=1065&amp;utm_source=sheet", "Apply")</f>
        <v>Apply</v>
      </c>
      <c r="C188" s="10" t="s">
        <v>13119</v>
      </c>
      <c r="D188" s="56" t="s">
        <v>13120</v>
      </c>
      <c r="E188" s="59">
        <v>45301.0</v>
      </c>
      <c r="F188" s="10" t="s">
        <v>13121</v>
      </c>
      <c r="G188" s="10" t="s">
        <v>12630</v>
      </c>
      <c r="H188" s="10" t="s">
        <v>346</v>
      </c>
      <c r="I188" s="10" t="s">
        <v>48</v>
      </c>
      <c r="K188" s="10" t="s">
        <v>13122</v>
      </c>
      <c r="L188" s="10" t="s">
        <v>42</v>
      </c>
    </row>
    <row r="189" ht="15.75" customHeight="1">
      <c r="A189" s="64">
        <v>45498.0</v>
      </c>
      <c r="B189" s="55" t="str">
        <f>HYPERLINK("https://jobright.ai/jobs/info/66a2db580b81b41946d361d0?utm_campaign=1065&amp;utm_source=sheet", "Apply")</f>
        <v>Apply</v>
      </c>
      <c r="C189" s="10" t="s">
        <v>12904</v>
      </c>
      <c r="D189" s="56" t="s">
        <v>13123</v>
      </c>
      <c r="E189" s="10" t="s">
        <v>79</v>
      </c>
      <c r="F189" s="10" t="s">
        <v>4300</v>
      </c>
      <c r="G189" s="10" t="s">
        <v>12654</v>
      </c>
      <c r="H189" s="10" t="s">
        <v>909</v>
      </c>
      <c r="I189" s="10" t="s">
        <v>55</v>
      </c>
      <c r="K189" s="10" t="s">
        <v>13124</v>
      </c>
      <c r="L189" s="10" t="s">
        <v>42</v>
      </c>
    </row>
    <row r="190" ht="15.75" customHeight="1">
      <c r="A190" s="64">
        <v>45498.0</v>
      </c>
      <c r="B190" s="55" t="str">
        <f>HYPERLINK("https://jobright.ai/jobs/info/66a1afcf099e1efc505304d0?utm_campaign=1065&amp;utm_source=sheet", "Apply")</f>
        <v>Apply</v>
      </c>
      <c r="C190" s="10" t="s">
        <v>13125</v>
      </c>
      <c r="D190" s="56" t="s">
        <v>10244</v>
      </c>
      <c r="E190" s="10" t="s">
        <v>45</v>
      </c>
      <c r="G190" s="10" t="s">
        <v>12654</v>
      </c>
      <c r="H190" s="10" t="s">
        <v>11927</v>
      </c>
      <c r="I190" s="10" t="s">
        <v>55</v>
      </c>
      <c r="J190" s="10" t="s">
        <v>1409</v>
      </c>
      <c r="K190" s="10" t="s">
        <v>12746</v>
      </c>
      <c r="L190" s="10" t="s">
        <v>42</v>
      </c>
    </row>
    <row r="191" ht="15.75" customHeight="1">
      <c r="A191" s="64">
        <v>45498.0</v>
      </c>
      <c r="B191" s="55" t="str">
        <f>HYPERLINK("https://jobright.ai/jobs/info/66a2eb5690eda70688cc6615?utm_campaign=1065&amp;utm_source=sheet", "Apply")</f>
        <v>Apply</v>
      </c>
      <c r="C191" s="10" t="s">
        <v>12650</v>
      </c>
      <c r="D191" s="56" t="s">
        <v>12864</v>
      </c>
      <c r="E191" s="10" t="s">
        <v>45</v>
      </c>
      <c r="F191" s="10" t="s">
        <v>8746</v>
      </c>
      <c r="G191" s="10" t="s">
        <v>12693</v>
      </c>
      <c r="H191" s="10" t="s">
        <v>13126</v>
      </c>
      <c r="I191" s="10" t="s">
        <v>55</v>
      </c>
      <c r="K191" s="10" t="s">
        <v>12865</v>
      </c>
      <c r="L191" s="10" t="s">
        <v>42</v>
      </c>
    </row>
    <row r="192" ht="15.75" customHeight="1">
      <c r="A192" s="64">
        <v>45498.0</v>
      </c>
      <c r="B192" s="55" t="str">
        <f>HYPERLINK("https://jobright.ai/jobs/info/66a45a2048b3f4775c22ffcf?utm_campaign=1065&amp;utm_source=sheet", "Apply")</f>
        <v>Apply</v>
      </c>
      <c r="C192" s="10" t="s">
        <v>13127</v>
      </c>
      <c r="D192" s="56" t="s">
        <v>13128</v>
      </c>
      <c r="E192" s="10" t="s">
        <v>79</v>
      </c>
      <c r="F192" s="10" t="s">
        <v>7346</v>
      </c>
      <c r="G192" s="10" t="s">
        <v>12645</v>
      </c>
      <c r="H192" s="10" t="s">
        <v>11140</v>
      </c>
      <c r="I192" s="10" t="s">
        <v>48</v>
      </c>
      <c r="J192" s="10" t="s">
        <v>1984</v>
      </c>
      <c r="K192" s="10" t="s">
        <v>13129</v>
      </c>
      <c r="L192" s="10" t="s">
        <v>42</v>
      </c>
    </row>
    <row r="193" ht="15.75" customHeight="1">
      <c r="A193" s="64">
        <v>45497.0</v>
      </c>
      <c r="B193" s="55" t="str">
        <f>HYPERLINK("https://jobright.ai/jobs/info/66a1a5844a039f99ebc7f2ed?utm_campaign=1065&amp;utm_source=sheet", "Apply")</f>
        <v>Apply</v>
      </c>
      <c r="C193" s="10" t="s">
        <v>12938</v>
      </c>
      <c r="D193" s="56" t="s">
        <v>13130</v>
      </c>
      <c r="E193" s="10" t="s">
        <v>137</v>
      </c>
      <c r="F193" s="10" t="s">
        <v>13131</v>
      </c>
      <c r="G193" s="10" t="s">
        <v>12635</v>
      </c>
      <c r="H193" s="10" t="s">
        <v>1033</v>
      </c>
      <c r="I193" s="10" t="s">
        <v>55</v>
      </c>
      <c r="J193" s="10" t="s">
        <v>3651</v>
      </c>
      <c r="K193" s="10" t="s">
        <v>13132</v>
      </c>
      <c r="L193" s="10" t="s">
        <v>42</v>
      </c>
    </row>
    <row r="194" ht="15.75" customHeight="1">
      <c r="A194" s="64">
        <v>45497.0</v>
      </c>
      <c r="B194" s="55" t="str">
        <f>HYPERLINK("https://jobright.ai/jobs/info/66a1a3ae44dfa5a9b61c3803?utm_campaign=1065&amp;utm_source=sheet", "Apply")</f>
        <v>Apply</v>
      </c>
      <c r="C194" s="10" t="s">
        <v>12632</v>
      </c>
      <c r="D194" s="56" t="s">
        <v>12633</v>
      </c>
      <c r="E194" s="10" t="s">
        <v>79</v>
      </c>
      <c r="F194" s="10" t="s">
        <v>12634</v>
      </c>
      <c r="G194" s="10" t="s">
        <v>12635</v>
      </c>
      <c r="H194" s="10" t="s">
        <v>11505</v>
      </c>
      <c r="I194" s="10" t="s">
        <v>55</v>
      </c>
      <c r="J194" s="10" t="s">
        <v>12636</v>
      </c>
      <c r="K194" s="10" t="s">
        <v>12637</v>
      </c>
      <c r="L194" s="10" t="s">
        <v>42</v>
      </c>
    </row>
    <row r="195" ht="15.75" customHeight="1">
      <c r="A195" s="64">
        <v>45497.0</v>
      </c>
      <c r="B195" s="55" t="str">
        <f>HYPERLINK("https://jobright.ai/jobs/info/66a1a3ae44dfa5a9b61c3810?utm_campaign=1065&amp;utm_source=sheet", "Apply")</f>
        <v>Apply</v>
      </c>
      <c r="C195" s="10" t="s">
        <v>12650</v>
      </c>
      <c r="D195" s="56" t="s">
        <v>13133</v>
      </c>
      <c r="E195" s="10" t="s">
        <v>276</v>
      </c>
      <c r="F195" s="10" t="s">
        <v>13134</v>
      </c>
      <c r="G195" s="10" t="s">
        <v>12635</v>
      </c>
      <c r="H195" s="10" t="s">
        <v>952</v>
      </c>
      <c r="I195" s="10" t="s">
        <v>55</v>
      </c>
      <c r="K195" s="10" t="s">
        <v>13135</v>
      </c>
      <c r="L195" s="10" t="s">
        <v>42</v>
      </c>
    </row>
    <row r="196" ht="15.75" customHeight="1">
      <c r="A196" s="64">
        <v>45497.0</v>
      </c>
      <c r="B196" s="55" t="str">
        <f>HYPERLINK("https://jobright.ai/jobs/info/66a19742907c808499ce007d?utm_campaign=1065&amp;utm_source=sheet", "Apply")</f>
        <v>Apply</v>
      </c>
      <c r="C196" s="10" t="s">
        <v>13136</v>
      </c>
      <c r="D196" s="56" t="s">
        <v>13137</v>
      </c>
      <c r="E196" s="10" t="s">
        <v>45</v>
      </c>
      <c r="F196" s="10" t="s">
        <v>13138</v>
      </c>
      <c r="G196" s="10" t="s">
        <v>12654</v>
      </c>
      <c r="H196" s="10" t="s">
        <v>13139</v>
      </c>
      <c r="I196" s="10" t="s">
        <v>48</v>
      </c>
      <c r="J196" s="10" t="s">
        <v>521</v>
      </c>
      <c r="K196" s="10" t="s">
        <v>13140</v>
      </c>
      <c r="L196" s="10" t="s">
        <v>42</v>
      </c>
    </row>
    <row r="197" ht="15.75" customHeight="1">
      <c r="A197" s="64">
        <v>45497.0</v>
      </c>
      <c r="B197" s="55" t="str">
        <f>HYPERLINK("https://jobright.ai/jobs/info/6695b542ce96cead8e705c61?utm_campaign=1065&amp;utm_source=sheet", "Apply")</f>
        <v>Apply</v>
      </c>
      <c r="C197" s="10" t="s">
        <v>13141</v>
      </c>
      <c r="D197" s="56" t="s">
        <v>13142</v>
      </c>
      <c r="E197" s="10" t="s">
        <v>249</v>
      </c>
      <c r="F197" s="10" t="s">
        <v>13143</v>
      </c>
      <c r="G197" s="10" t="s">
        <v>12654</v>
      </c>
      <c r="H197" s="10" t="s">
        <v>13144</v>
      </c>
      <c r="I197" s="10" t="s">
        <v>55</v>
      </c>
      <c r="J197" s="10" t="s">
        <v>13145</v>
      </c>
      <c r="K197" s="10" t="s">
        <v>13146</v>
      </c>
      <c r="L197" s="10" t="s">
        <v>42</v>
      </c>
    </row>
    <row r="198" ht="15.75" customHeight="1">
      <c r="A198" s="64">
        <v>45497.0</v>
      </c>
      <c r="B198" s="55" t="str">
        <f>HYPERLINK("https://jobright.ai/jobs/info/66a18af3886017c169bb0271?utm_campaign=1065&amp;utm_source=sheet", "Apply")</f>
        <v>Apply</v>
      </c>
      <c r="C198" s="10" t="s">
        <v>13147</v>
      </c>
      <c r="D198" s="56" t="s">
        <v>13148</v>
      </c>
      <c r="E198" s="10">
        <v>49.0</v>
      </c>
      <c r="G198" s="10" t="s">
        <v>12630</v>
      </c>
      <c r="H198" s="10" t="s">
        <v>970</v>
      </c>
      <c r="I198" s="10" t="s">
        <v>55</v>
      </c>
      <c r="K198" s="10" t="s">
        <v>13149</v>
      </c>
      <c r="L198" s="10" t="s">
        <v>42</v>
      </c>
    </row>
    <row r="199" ht="15.75" customHeight="1">
      <c r="A199" s="64">
        <v>45497.0</v>
      </c>
      <c r="B199" s="55" t="str">
        <f>HYPERLINK("https://jobright.ai/jobs/info/66a191873191cdd15ad3fa9b?utm_campaign=1065&amp;utm_source=sheet", "Apply")</f>
        <v>Apply</v>
      </c>
      <c r="C199" s="10" t="s">
        <v>13150</v>
      </c>
      <c r="D199" s="56" t="s">
        <v>13151</v>
      </c>
      <c r="E199" s="10" t="s">
        <v>209</v>
      </c>
      <c r="F199" s="10" t="s">
        <v>665</v>
      </c>
      <c r="G199" s="10" t="s">
        <v>12654</v>
      </c>
      <c r="H199" s="10" t="s">
        <v>3968</v>
      </c>
      <c r="I199" s="10" t="s">
        <v>48</v>
      </c>
      <c r="K199" s="10" t="s">
        <v>13152</v>
      </c>
      <c r="L199" s="10" t="s">
        <v>42</v>
      </c>
    </row>
    <row r="200" ht="15.75" customHeight="1">
      <c r="A200" s="64">
        <v>45497.0</v>
      </c>
      <c r="B200" s="55" t="str">
        <f>HYPERLINK("https://jobright.ai/jobs/info/668d2d0597f3d64813a4faca?utm_campaign=1065&amp;utm_source=sheet", "Apply")</f>
        <v>Apply</v>
      </c>
      <c r="C200" s="10" t="s">
        <v>13153</v>
      </c>
      <c r="D200" s="56" t="s">
        <v>13154</v>
      </c>
      <c r="E200" s="10" t="s">
        <v>45</v>
      </c>
      <c r="F200" s="10" t="s">
        <v>12383</v>
      </c>
      <c r="G200" s="10" t="s">
        <v>12645</v>
      </c>
      <c r="H200" s="10" t="s">
        <v>3674</v>
      </c>
      <c r="I200" s="10" t="s">
        <v>48</v>
      </c>
      <c r="J200" s="10" t="s">
        <v>13155</v>
      </c>
      <c r="K200" s="10" t="s">
        <v>13156</v>
      </c>
      <c r="L200" s="10" t="s">
        <v>42</v>
      </c>
    </row>
    <row r="201" ht="15.75" customHeight="1">
      <c r="A201" s="64">
        <v>45497.0</v>
      </c>
      <c r="B201" s="55" t="str">
        <f>HYPERLINK("https://jobright.ai/jobs/info/66a17f0cc5914df70a61712e?utm_campaign=1065&amp;utm_source=sheet", "Apply")</f>
        <v>Apply</v>
      </c>
      <c r="C201" s="10" t="s">
        <v>13157</v>
      </c>
      <c r="D201" s="56" t="s">
        <v>3855</v>
      </c>
      <c r="E201" s="10" t="s">
        <v>45</v>
      </c>
      <c r="F201" s="10" t="s">
        <v>3167</v>
      </c>
      <c r="G201" s="10" t="s">
        <v>12654</v>
      </c>
      <c r="H201" s="10" t="s">
        <v>131</v>
      </c>
      <c r="I201" s="10" t="s">
        <v>55</v>
      </c>
      <c r="K201" s="10" t="s">
        <v>13158</v>
      </c>
      <c r="L201" s="10" t="s">
        <v>42</v>
      </c>
    </row>
    <row r="202" ht="15.75" customHeight="1">
      <c r="A202" s="64">
        <v>45497.0</v>
      </c>
      <c r="B202" s="55" t="str">
        <f>HYPERLINK("https://jobright.ai/jobs/info/66a18e35cc283f3a593af50c?utm_campaign=1065&amp;utm_source=sheet", "Apply")</f>
        <v>Apply</v>
      </c>
      <c r="C202" s="10" t="s">
        <v>13159</v>
      </c>
      <c r="D202" s="56" t="s">
        <v>13160</v>
      </c>
      <c r="E202" s="10" t="s">
        <v>45</v>
      </c>
      <c r="F202" s="10" t="s">
        <v>13161</v>
      </c>
      <c r="G202" s="10" t="s">
        <v>12654</v>
      </c>
      <c r="H202" s="10" t="s">
        <v>131</v>
      </c>
      <c r="I202" s="10" t="s">
        <v>55</v>
      </c>
      <c r="K202" s="10" t="s">
        <v>13162</v>
      </c>
      <c r="L202" s="10" t="s">
        <v>42</v>
      </c>
    </row>
    <row r="203" ht="15.75" customHeight="1">
      <c r="A203" s="64">
        <v>45497.0</v>
      </c>
      <c r="B203" s="55" t="str">
        <f>HYPERLINK("https://jobright.ai/jobs/info/667e0c1a48f3492b0f46ccee?utm_campaign=1065&amp;utm_source=sheet", "Apply")</f>
        <v>Apply</v>
      </c>
      <c r="C203" s="10" t="s">
        <v>12650</v>
      </c>
      <c r="D203" s="56" t="s">
        <v>13163</v>
      </c>
      <c r="E203" s="10" t="s">
        <v>137</v>
      </c>
      <c r="F203" s="10" t="s">
        <v>13164</v>
      </c>
      <c r="G203" s="10" t="s">
        <v>12635</v>
      </c>
      <c r="H203" s="10" t="s">
        <v>6071</v>
      </c>
      <c r="I203" s="10" t="s">
        <v>55</v>
      </c>
      <c r="K203" s="10" t="s">
        <v>13165</v>
      </c>
      <c r="L203" s="10" t="s">
        <v>42</v>
      </c>
    </row>
    <row r="204" ht="15.75" customHeight="1">
      <c r="A204" s="64">
        <v>45497.0</v>
      </c>
      <c r="B204" s="55" t="str">
        <f>HYPERLINK("https://jobright.ai/jobs/info/66a15e39433a543c0d496645?utm_campaign=1065&amp;utm_source=sheet", "Apply")</f>
        <v>Apply</v>
      </c>
      <c r="C204" s="10" t="s">
        <v>13166</v>
      </c>
      <c r="D204" s="56" t="s">
        <v>13167</v>
      </c>
      <c r="E204" s="10" t="s">
        <v>249</v>
      </c>
      <c r="F204" s="10" t="s">
        <v>13168</v>
      </c>
      <c r="G204" s="10" t="s">
        <v>12654</v>
      </c>
      <c r="H204" s="10" t="s">
        <v>2154</v>
      </c>
      <c r="I204" s="10" t="s">
        <v>48</v>
      </c>
      <c r="K204" s="10" t="s">
        <v>13169</v>
      </c>
      <c r="L204" s="10" t="s">
        <v>42</v>
      </c>
    </row>
    <row r="205" ht="15.75" customHeight="1">
      <c r="A205" s="64">
        <v>45497.0</v>
      </c>
      <c r="B205" s="55" t="str">
        <f>HYPERLINK("https://jobright.ai/jobs/info/66a15e39433a543c0d496653?utm_campaign=1065&amp;utm_source=sheet", "Apply")</f>
        <v>Apply</v>
      </c>
      <c r="C205" s="10" t="s">
        <v>13170</v>
      </c>
      <c r="D205" s="56" t="s">
        <v>13171</v>
      </c>
      <c r="E205" s="10">
        <v>263.0</v>
      </c>
      <c r="G205" s="10" t="s">
        <v>12635</v>
      </c>
      <c r="H205" s="10" t="s">
        <v>278</v>
      </c>
      <c r="I205" s="10" t="s">
        <v>55</v>
      </c>
      <c r="K205" s="10" t="s">
        <v>13172</v>
      </c>
      <c r="L205" s="10" t="s">
        <v>42</v>
      </c>
    </row>
    <row r="206" ht="15.75" customHeight="1">
      <c r="A206" s="64">
        <v>45497.0</v>
      </c>
      <c r="B206" s="55" t="str">
        <f>HYPERLINK("https://jobright.ai/jobs/info/667f0aa6936892b2c2c78ba8?utm_campaign=1065&amp;utm_source=sheet", "Apply")</f>
        <v>Apply</v>
      </c>
      <c r="C206" s="10" t="s">
        <v>13173</v>
      </c>
      <c r="D206" s="56" t="s">
        <v>13174</v>
      </c>
      <c r="E206" s="10" t="s">
        <v>79</v>
      </c>
      <c r="F206" s="10" t="s">
        <v>13175</v>
      </c>
      <c r="G206" s="10" t="s">
        <v>12654</v>
      </c>
      <c r="H206" s="10" t="s">
        <v>251</v>
      </c>
      <c r="I206" s="10" t="s">
        <v>48</v>
      </c>
      <c r="J206" s="10" t="s">
        <v>521</v>
      </c>
      <c r="K206" s="10" t="s">
        <v>13176</v>
      </c>
      <c r="L206" s="10" t="s">
        <v>42</v>
      </c>
    </row>
    <row r="207" ht="15.75" customHeight="1">
      <c r="A207" s="64">
        <v>45497.0</v>
      </c>
      <c r="B207" s="55" t="str">
        <f>HYPERLINK("https://jobright.ai/jobs/info/66a1665cf0a8c0435deb1933?utm_campaign=1065&amp;utm_source=sheet", "Apply")</f>
        <v>Apply</v>
      </c>
      <c r="C207" s="10" t="s">
        <v>13177</v>
      </c>
      <c r="D207" s="56" t="s">
        <v>13178</v>
      </c>
      <c r="E207" s="10">
        <v>379.0</v>
      </c>
      <c r="G207" s="10" t="s">
        <v>12630</v>
      </c>
      <c r="H207" s="10" t="s">
        <v>152</v>
      </c>
      <c r="I207" s="10" t="s">
        <v>48</v>
      </c>
      <c r="K207" s="10" t="s">
        <v>13179</v>
      </c>
      <c r="L207" s="10" t="s">
        <v>42</v>
      </c>
    </row>
    <row r="208" ht="15.75" customHeight="1">
      <c r="A208" s="64">
        <v>45497.0</v>
      </c>
      <c r="B208" s="55" t="str">
        <f>HYPERLINK("https://jobright.ai/jobs/info/66a15e39433a543c0d49668d?utm_campaign=1065&amp;utm_source=sheet", "Apply")</f>
        <v>Apply</v>
      </c>
      <c r="C208" s="10" t="s">
        <v>12728</v>
      </c>
      <c r="D208" s="56" t="s">
        <v>13180</v>
      </c>
      <c r="E208" s="10" t="s">
        <v>137</v>
      </c>
      <c r="F208" s="10" t="s">
        <v>13181</v>
      </c>
      <c r="G208" s="10" t="s">
        <v>12630</v>
      </c>
      <c r="H208" s="10" t="s">
        <v>251</v>
      </c>
      <c r="I208" s="10" t="s">
        <v>252</v>
      </c>
      <c r="K208" s="10" t="s">
        <v>13182</v>
      </c>
      <c r="L208" s="10" t="s">
        <v>42</v>
      </c>
    </row>
    <row r="209" ht="15.75" customHeight="1">
      <c r="A209" s="64">
        <v>45497.0</v>
      </c>
      <c r="B209" s="55" t="str">
        <f>HYPERLINK("https://jobright.ai/jobs/info/66a158032df1304dfae5d9f5?utm_campaign=1065&amp;utm_source=sheet", "Apply")</f>
        <v>Apply</v>
      </c>
      <c r="C209" s="10" t="s">
        <v>13183</v>
      </c>
      <c r="D209" s="56" t="s">
        <v>13184</v>
      </c>
      <c r="E209" s="59">
        <v>45301.0</v>
      </c>
      <c r="F209" s="10" t="s">
        <v>13185</v>
      </c>
      <c r="G209" s="10" t="s">
        <v>12645</v>
      </c>
      <c r="H209" s="10" t="s">
        <v>80</v>
      </c>
      <c r="I209" s="10" t="s">
        <v>55</v>
      </c>
      <c r="K209" s="10" t="s">
        <v>13186</v>
      </c>
      <c r="L209" s="10" t="s">
        <v>42</v>
      </c>
    </row>
    <row r="210" ht="15.75" customHeight="1">
      <c r="A210" s="64">
        <v>45497.0</v>
      </c>
      <c r="B210" s="55" t="str">
        <f>HYPERLINK("https://jobright.ai/jobs/info/66a15e40433a543c0d4966cf?utm_campaign=1065&amp;utm_source=sheet", "Apply")</f>
        <v>Apply</v>
      </c>
      <c r="C210" s="10" t="s">
        <v>12728</v>
      </c>
      <c r="D210" s="56" t="s">
        <v>13187</v>
      </c>
      <c r="E210" s="10">
        <v>2.0</v>
      </c>
      <c r="G210" s="10" t="s">
        <v>12630</v>
      </c>
      <c r="H210" s="10" t="s">
        <v>572</v>
      </c>
      <c r="I210" s="10" t="s">
        <v>55</v>
      </c>
      <c r="J210" s="10" t="s">
        <v>1984</v>
      </c>
      <c r="K210" s="10" t="s">
        <v>13188</v>
      </c>
      <c r="L210" s="10" t="s">
        <v>42</v>
      </c>
    </row>
    <row r="211" ht="15.75" customHeight="1">
      <c r="A211" s="64">
        <v>45497.0</v>
      </c>
      <c r="B211" s="55" t="str">
        <f>HYPERLINK("https://jobright.ai/jobs/info/66a1510640fbd6551f555aae?utm_campaign=1065&amp;utm_source=sheet", "Apply")</f>
        <v>Apply</v>
      </c>
      <c r="C211" s="10" t="s">
        <v>12650</v>
      </c>
      <c r="D211" s="56" t="s">
        <v>13189</v>
      </c>
      <c r="E211" s="10" t="s">
        <v>137</v>
      </c>
      <c r="F211" s="10" t="s">
        <v>627</v>
      </c>
      <c r="G211" s="10" t="s">
        <v>12635</v>
      </c>
      <c r="H211" s="10" t="s">
        <v>154</v>
      </c>
      <c r="I211" s="10" t="s">
        <v>55</v>
      </c>
      <c r="K211" s="10" t="s">
        <v>13190</v>
      </c>
      <c r="L211" s="10" t="s">
        <v>42</v>
      </c>
    </row>
    <row r="212" ht="15.75" customHeight="1">
      <c r="A212" s="64">
        <v>45497.0</v>
      </c>
      <c r="B212" s="55" t="str">
        <f>HYPERLINK("https://jobright.ai/jobs/info/669a465ffc934eb280640f61?utm_campaign=1065&amp;utm_source=sheet", "Apply")</f>
        <v>Apply</v>
      </c>
      <c r="C212" s="10" t="s">
        <v>12650</v>
      </c>
      <c r="D212" s="56" t="s">
        <v>12986</v>
      </c>
      <c r="E212" s="10" t="s">
        <v>249</v>
      </c>
      <c r="F212" s="10" t="s">
        <v>1922</v>
      </c>
      <c r="G212" s="10" t="s">
        <v>12630</v>
      </c>
      <c r="H212" s="10" t="s">
        <v>12987</v>
      </c>
      <c r="I212" s="10" t="s">
        <v>55</v>
      </c>
      <c r="K212" s="10" t="s">
        <v>12988</v>
      </c>
      <c r="L212" s="10" t="s">
        <v>42</v>
      </c>
    </row>
    <row r="213" ht="15.75" customHeight="1">
      <c r="A213" s="64">
        <v>45497.0</v>
      </c>
      <c r="B213" s="55" t="str">
        <f>HYPERLINK("https://jobright.ai/jobs/info/66a155c12c681cc160237ab0?utm_campaign=1065&amp;utm_source=sheet", "Apply")</f>
        <v>Apply</v>
      </c>
      <c r="C213" s="10" t="s">
        <v>13191</v>
      </c>
      <c r="D213" s="56" t="s">
        <v>12761</v>
      </c>
      <c r="E213" s="10" t="s">
        <v>45</v>
      </c>
      <c r="F213" s="10" t="s">
        <v>12762</v>
      </c>
      <c r="G213" s="10" t="s">
        <v>12654</v>
      </c>
      <c r="H213" s="10" t="s">
        <v>835</v>
      </c>
      <c r="I213" s="10" t="s">
        <v>55</v>
      </c>
      <c r="K213" s="10" t="s">
        <v>13192</v>
      </c>
      <c r="L213" s="10" t="s">
        <v>42</v>
      </c>
    </row>
    <row r="214" ht="15.75" customHeight="1">
      <c r="A214" s="64">
        <v>45497.0</v>
      </c>
      <c r="B214" s="55" t="str">
        <f>HYPERLINK("https://jobright.ai/jobs/info/66a3e1cdfa1e56eccb8f5b08?utm_campaign=1065&amp;utm_source=sheet", "Apply")</f>
        <v>Apply</v>
      </c>
      <c r="C214" s="10" t="s">
        <v>13193</v>
      </c>
      <c r="D214" s="56" t="s">
        <v>13194</v>
      </c>
      <c r="E214" s="10" t="s">
        <v>137</v>
      </c>
      <c r="F214" s="10" t="s">
        <v>13195</v>
      </c>
      <c r="G214" s="10" t="s">
        <v>12645</v>
      </c>
      <c r="H214" s="10" t="s">
        <v>13196</v>
      </c>
      <c r="I214" s="10" t="s">
        <v>55</v>
      </c>
      <c r="K214" s="10" t="s">
        <v>13197</v>
      </c>
      <c r="L214" s="10" t="s">
        <v>42</v>
      </c>
    </row>
    <row r="215" ht="15.75" customHeight="1">
      <c r="A215" s="64">
        <v>45497.0</v>
      </c>
      <c r="B215" s="55" t="str">
        <f>HYPERLINK("https://jobright.ai/jobs/info/66a1436f59051cfbf53a7d92?utm_campaign=1065&amp;utm_source=sheet", "Apply")</f>
        <v>Apply</v>
      </c>
      <c r="C215" s="10" t="s">
        <v>13198</v>
      </c>
      <c r="D215" s="56" t="s">
        <v>13199</v>
      </c>
      <c r="E215" s="10" t="s">
        <v>276</v>
      </c>
      <c r="F215" s="10" t="s">
        <v>627</v>
      </c>
      <c r="G215" s="10" t="s">
        <v>12635</v>
      </c>
      <c r="H215" s="10" t="s">
        <v>251</v>
      </c>
      <c r="I215" s="10" t="s">
        <v>252</v>
      </c>
      <c r="K215" s="10" t="s">
        <v>13200</v>
      </c>
      <c r="L215" s="10" t="s">
        <v>42</v>
      </c>
    </row>
    <row r="216" ht="15.75" customHeight="1">
      <c r="A216" s="64">
        <v>45497.0</v>
      </c>
      <c r="B216" s="55" t="str">
        <f>HYPERLINK("https://jobright.ai/jobs/info/66a1466b68fdc09d476c7b34?utm_campaign=1065&amp;utm_source=sheet", "Apply")</f>
        <v>Apply</v>
      </c>
      <c r="C216" s="10" t="s">
        <v>13201</v>
      </c>
      <c r="D216" s="56" t="s">
        <v>13202</v>
      </c>
      <c r="E216" s="10">
        <v>172.0</v>
      </c>
      <c r="G216" s="10" t="s">
        <v>12630</v>
      </c>
      <c r="H216" s="10" t="s">
        <v>139</v>
      </c>
      <c r="I216" s="10" t="s">
        <v>55</v>
      </c>
      <c r="K216" s="10" t="s">
        <v>13203</v>
      </c>
      <c r="L216" s="10" t="s">
        <v>42</v>
      </c>
    </row>
    <row r="217" ht="15.75" customHeight="1">
      <c r="A217" s="64">
        <v>45497.0</v>
      </c>
      <c r="B217" s="55" t="str">
        <f>HYPERLINK("https://jobright.ai/jobs/info/66a13477c14c3aec116d36dd?utm_campaign=1065&amp;utm_source=sheet", "Apply")</f>
        <v>Apply</v>
      </c>
      <c r="C217" s="10" t="s">
        <v>13204</v>
      </c>
      <c r="D217" s="56" t="s">
        <v>13205</v>
      </c>
      <c r="E217" s="10">
        <v>21.0</v>
      </c>
      <c r="G217" s="10" t="s">
        <v>12654</v>
      </c>
      <c r="H217" s="10" t="s">
        <v>170</v>
      </c>
      <c r="I217" s="10" t="s">
        <v>55</v>
      </c>
      <c r="K217" s="10" t="s">
        <v>13206</v>
      </c>
      <c r="L217" s="10" t="s">
        <v>42</v>
      </c>
    </row>
    <row r="218" ht="15.75" customHeight="1">
      <c r="A218" s="64">
        <v>45497.0</v>
      </c>
      <c r="B218" s="55" t="str">
        <f>HYPERLINK("https://jobright.ai/jobs/info/66a140af20a40c2bedf033db?utm_campaign=1065&amp;utm_source=sheet", "Apply")</f>
        <v>Apply</v>
      </c>
      <c r="C218" s="10" t="s">
        <v>13191</v>
      </c>
      <c r="D218" s="56" t="s">
        <v>13207</v>
      </c>
      <c r="E218" s="10" t="s">
        <v>209</v>
      </c>
      <c r="F218" s="10" t="s">
        <v>2385</v>
      </c>
      <c r="G218" s="10" t="s">
        <v>12654</v>
      </c>
      <c r="H218" s="10" t="s">
        <v>835</v>
      </c>
      <c r="I218" s="10" t="s">
        <v>55</v>
      </c>
      <c r="K218" s="10" t="s">
        <v>13192</v>
      </c>
      <c r="L218" s="10" t="s">
        <v>42</v>
      </c>
    </row>
    <row r="219" ht="15.75" customHeight="1">
      <c r="A219" s="64">
        <v>45497.0</v>
      </c>
      <c r="B219" s="55" t="str">
        <f>HYPERLINK("https://jobright.ai/jobs/info/66a137f5d0ffe356c115e9f4?utm_campaign=1065&amp;utm_source=sheet", "Apply")</f>
        <v>Apply</v>
      </c>
      <c r="C219" s="10" t="s">
        <v>12904</v>
      </c>
      <c r="D219" s="56" t="s">
        <v>13208</v>
      </c>
      <c r="E219" s="10">
        <v>11.0</v>
      </c>
      <c r="G219" s="10" t="s">
        <v>12654</v>
      </c>
      <c r="H219" s="10" t="s">
        <v>836</v>
      </c>
      <c r="I219" s="10" t="s">
        <v>55</v>
      </c>
      <c r="J219" s="10" t="s">
        <v>13209</v>
      </c>
      <c r="K219" s="10" t="s">
        <v>13210</v>
      </c>
      <c r="L219" s="10" t="s">
        <v>42</v>
      </c>
    </row>
    <row r="220" ht="15.75" customHeight="1">
      <c r="A220" s="64">
        <v>45497.0</v>
      </c>
      <c r="B220" s="55" t="str">
        <f>HYPERLINK("https://jobright.ai/jobs/info/66a13480c14c3aec116d37d5?utm_campaign=1065&amp;utm_source=sheet", "Apply")</f>
        <v>Apply</v>
      </c>
      <c r="C220" s="10" t="s">
        <v>13211</v>
      </c>
      <c r="D220" s="56" t="s">
        <v>13212</v>
      </c>
      <c r="E220" s="10" t="s">
        <v>45</v>
      </c>
      <c r="F220" s="10" t="s">
        <v>13213</v>
      </c>
      <c r="G220" s="10" t="s">
        <v>12630</v>
      </c>
      <c r="H220" s="10" t="s">
        <v>572</v>
      </c>
      <c r="I220" s="10" t="s">
        <v>55</v>
      </c>
      <c r="K220" s="10" t="s">
        <v>13214</v>
      </c>
      <c r="L220" s="10" t="s">
        <v>42</v>
      </c>
    </row>
    <row r="221" ht="15.75" customHeight="1">
      <c r="A221" s="64">
        <v>45497.0</v>
      </c>
      <c r="B221" s="55" t="str">
        <f>HYPERLINK("https://jobright.ai/jobs/info/66a131c131705ece1e4cfe54?utm_campaign=1065&amp;utm_source=sheet", "Apply")</f>
        <v>Apply</v>
      </c>
      <c r="C221" s="10" t="s">
        <v>12728</v>
      </c>
      <c r="D221" s="56" t="s">
        <v>13215</v>
      </c>
      <c r="E221" s="10" t="s">
        <v>276</v>
      </c>
      <c r="F221" s="10" t="s">
        <v>277</v>
      </c>
      <c r="G221" s="10" t="s">
        <v>12630</v>
      </c>
      <c r="H221" s="10" t="s">
        <v>3049</v>
      </c>
      <c r="I221" s="10" t="s">
        <v>55</v>
      </c>
      <c r="K221" s="10" t="s">
        <v>13216</v>
      </c>
      <c r="L221" s="10" t="s">
        <v>42</v>
      </c>
    </row>
    <row r="222" ht="15.75" customHeight="1">
      <c r="A222" s="64">
        <v>45497.0</v>
      </c>
      <c r="B222" s="55" t="str">
        <f>HYPERLINK("https://jobright.ai/jobs/info/66a1512040fbd6551f555ce6?utm_campaign=1065&amp;utm_source=sheet", "Apply")</f>
        <v>Apply</v>
      </c>
      <c r="C222" s="10" t="s">
        <v>13217</v>
      </c>
      <c r="D222" s="56" t="s">
        <v>13218</v>
      </c>
      <c r="E222" s="59">
        <v>45301.0</v>
      </c>
      <c r="F222" s="10" t="s">
        <v>722</v>
      </c>
      <c r="G222" s="10" t="s">
        <v>12654</v>
      </c>
      <c r="H222" s="10" t="s">
        <v>909</v>
      </c>
      <c r="I222" s="10" t="s">
        <v>55</v>
      </c>
      <c r="K222" s="10" t="s">
        <v>13219</v>
      </c>
      <c r="L222" s="10" t="s">
        <v>42</v>
      </c>
    </row>
    <row r="223" ht="15.75" customHeight="1">
      <c r="A223" s="64">
        <v>45497.0</v>
      </c>
      <c r="B223" s="55" t="str">
        <f>HYPERLINK("https://jobright.ai/jobs/info/66a14c11b48bc70bd7410c4c?utm_campaign=1065&amp;utm_source=sheet", "Apply")</f>
        <v>Apply</v>
      </c>
      <c r="C223" s="10" t="s">
        <v>13220</v>
      </c>
      <c r="D223" s="56" t="s">
        <v>13218</v>
      </c>
      <c r="E223" s="59">
        <v>45301.0</v>
      </c>
      <c r="F223" s="10" t="s">
        <v>722</v>
      </c>
      <c r="G223" s="10" t="s">
        <v>12654</v>
      </c>
      <c r="H223" s="10" t="s">
        <v>609</v>
      </c>
      <c r="I223" s="10" t="s">
        <v>55</v>
      </c>
      <c r="K223" s="10" t="s">
        <v>13221</v>
      </c>
      <c r="L223" s="10" t="s">
        <v>42</v>
      </c>
    </row>
    <row r="224" ht="15.75" customHeight="1">
      <c r="A224" s="64">
        <v>45497.0</v>
      </c>
      <c r="B224" s="55" t="str">
        <f>HYPERLINK("https://jobright.ai/jobs/info/66a12be834afed6024626bd8?utm_campaign=1065&amp;utm_source=sheet", "Apply")</f>
        <v>Apply</v>
      </c>
      <c r="C224" s="10" t="s">
        <v>13222</v>
      </c>
      <c r="D224" s="56" t="s">
        <v>363</v>
      </c>
      <c r="E224" s="10" t="s">
        <v>209</v>
      </c>
      <c r="F224" s="10" t="s">
        <v>364</v>
      </c>
      <c r="G224" s="10" t="s">
        <v>12654</v>
      </c>
      <c r="H224" s="10" t="s">
        <v>365</v>
      </c>
      <c r="I224" s="10" t="s">
        <v>48</v>
      </c>
      <c r="J224" s="10" t="s">
        <v>366</v>
      </c>
      <c r="K224" s="10" t="s">
        <v>13223</v>
      </c>
      <c r="L224" s="10" t="s">
        <v>42</v>
      </c>
    </row>
    <row r="225" ht="15.75" customHeight="1">
      <c r="A225" s="64">
        <v>45497.0</v>
      </c>
      <c r="B225" s="55" t="str">
        <f>HYPERLINK("https://jobright.ai/jobs/info/66a117d23c525c05f565474b?utm_campaign=1065&amp;utm_source=sheet", "Apply")</f>
        <v>Apply</v>
      </c>
      <c r="C225" s="10" t="s">
        <v>13224</v>
      </c>
      <c r="D225" s="56" t="s">
        <v>13225</v>
      </c>
      <c r="E225" s="10" t="s">
        <v>249</v>
      </c>
      <c r="G225" s="10" t="s">
        <v>12654</v>
      </c>
      <c r="H225" s="10" t="s">
        <v>898</v>
      </c>
      <c r="I225" s="10" t="s">
        <v>55</v>
      </c>
      <c r="K225" s="10" t="s">
        <v>13226</v>
      </c>
      <c r="L225" s="10" t="s">
        <v>42</v>
      </c>
    </row>
    <row r="226" ht="15.75" customHeight="1">
      <c r="A226" s="64">
        <v>45497.0</v>
      </c>
      <c r="B226" s="55" t="str">
        <f>HYPERLINK("https://jobright.ai/jobs/info/668d8373e45593dfb218d2ad?utm_campaign=1065&amp;utm_source=sheet", "Apply")</f>
        <v>Apply</v>
      </c>
      <c r="C226" s="10" t="s">
        <v>13227</v>
      </c>
      <c r="D226" s="56" t="s">
        <v>13228</v>
      </c>
      <c r="E226" s="10">
        <v>10.0</v>
      </c>
      <c r="G226" s="10" t="s">
        <v>12654</v>
      </c>
      <c r="H226" s="10" t="s">
        <v>139</v>
      </c>
      <c r="I226" s="10" t="s">
        <v>55</v>
      </c>
      <c r="K226" s="10" t="s">
        <v>13229</v>
      </c>
      <c r="L226" s="10" t="s">
        <v>42</v>
      </c>
    </row>
    <row r="227" ht="15.75" customHeight="1">
      <c r="A227" s="64">
        <v>45497.0</v>
      </c>
      <c r="B227" s="55" t="str">
        <f>HYPERLINK("https://jobright.ai/jobs/info/66a11b82432504a9274661ac?utm_campaign=1065&amp;utm_source=sheet", "Apply")</f>
        <v>Apply</v>
      </c>
      <c r="C227" s="10" t="s">
        <v>13230</v>
      </c>
      <c r="D227" s="56" t="s">
        <v>13071</v>
      </c>
      <c r="E227" s="10" t="s">
        <v>79</v>
      </c>
      <c r="F227" s="10" t="s">
        <v>13072</v>
      </c>
      <c r="G227" s="10" t="s">
        <v>12654</v>
      </c>
      <c r="H227" s="10" t="s">
        <v>96</v>
      </c>
      <c r="I227" s="10" t="s">
        <v>48</v>
      </c>
      <c r="K227" s="10" t="s">
        <v>13231</v>
      </c>
      <c r="L227" s="10" t="s">
        <v>42</v>
      </c>
    </row>
    <row r="228" ht="15.75" customHeight="1">
      <c r="A228" s="64">
        <v>45497.0</v>
      </c>
      <c r="B228" s="55" t="str">
        <f>HYPERLINK("https://jobright.ai/jobs/info/66a10a366b383c3c12a55e15?utm_campaign=1065&amp;utm_source=sheet", "Apply")</f>
        <v>Apply</v>
      </c>
      <c r="C228" s="10" t="s">
        <v>13232</v>
      </c>
      <c r="D228" s="56" t="s">
        <v>13233</v>
      </c>
      <c r="E228" s="10">
        <v>6.0</v>
      </c>
      <c r="G228" s="10" t="s">
        <v>12630</v>
      </c>
      <c r="H228" s="10" t="s">
        <v>80</v>
      </c>
      <c r="I228" s="10" t="s">
        <v>55</v>
      </c>
      <c r="K228" s="10" t="s">
        <v>13234</v>
      </c>
      <c r="L228" s="10" t="s">
        <v>42</v>
      </c>
    </row>
    <row r="229" ht="15.75" customHeight="1">
      <c r="A229" s="64">
        <v>45497.0</v>
      </c>
      <c r="B229" s="55" t="str">
        <f>HYPERLINK("https://jobright.ai/jobs/info/667bbad5430f031bec5c0ad3?utm_campaign=1065&amp;utm_source=sheet", "Apply")</f>
        <v>Apply</v>
      </c>
      <c r="C229" s="10" t="s">
        <v>13235</v>
      </c>
      <c r="D229" s="56" t="s">
        <v>13236</v>
      </c>
      <c r="E229" s="10" t="s">
        <v>249</v>
      </c>
      <c r="F229" s="10" t="s">
        <v>13237</v>
      </c>
      <c r="G229" s="10" t="s">
        <v>12654</v>
      </c>
      <c r="H229" s="10" t="s">
        <v>251</v>
      </c>
      <c r="I229" s="10" t="s">
        <v>252</v>
      </c>
      <c r="K229" s="10" t="s">
        <v>13238</v>
      </c>
      <c r="L229" s="10" t="s">
        <v>42</v>
      </c>
    </row>
    <row r="230" ht="15.75" customHeight="1">
      <c r="A230" s="64">
        <v>45497.0</v>
      </c>
      <c r="B230" s="55" t="str">
        <f>HYPERLINK("https://jobright.ai/jobs/info/66a3ef7187fb29a0df319395?utm_campaign=1065&amp;utm_source=sheet", "Apply")</f>
        <v>Apply</v>
      </c>
      <c r="C230" s="10" t="s">
        <v>13239</v>
      </c>
      <c r="D230" s="56" t="s">
        <v>13240</v>
      </c>
      <c r="E230" s="10" t="s">
        <v>249</v>
      </c>
      <c r="F230" s="10" t="s">
        <v>13241</v>
      </c>
      <c r="G230" s="10" t="s">
        <v>12630</v>
      </c>
      <c r="H230" s="10" t="s">
        <v>159</v>
      </c>
      <c r="I230" s="10" t="s">
        <v>55</v>
      </c>
      <c r="J230" s="10" t="s">
        <v>1409</v>
      </c>
      <c r="K230" s="10" t="s">
        <v>13242</v>
      </c>
      <c r="L230" s="10" t="s">
        <v>42</v>
      </c>
    </row>
    <row r="231" ht="15.75" customHeight="1">
      <c r="A231" s="64">
        <v>45497.0</v>
      </c>
      <c r="B231" s="55" t="str">
        <f>HYPERLINK("https://jobright.ai/jobs/info/66a23e0c591ddbc27da15d7c?utm_campaign=1065&amp;utm_source=sheet", "Apply")</f>
        <v>Apply</v>
      </c>
      <c r="C231" s="10" t="s">
        <v>13243</v>
      </c>
      <c r="D231" s="56" t="s">
        <v>1776</v>
      </c>
      <c r="E231" s="10">
        <v>17178.0</v>
      </c>
      <c r="G231" s="10" t="s">
        <v>12654</v>
      </c>
      <c r="H231" s="10" t="s">
        <v>113</v>
      </c>
      <c r="I231" s="10" t="s">
        <v>55</v>
      </c>
      <c r="J231" s="10" t="s">
        <v>2609</v>
      </c>
      <c r="K231" s="10" t="s">
        <v>13244</v>
      </c>
      <c r="L231" s="10" t="s">
        <v>42</v>
      </c>
    </row>
    <row r="232" ht="15.75" customHeight="1">
      <c r="A232" s="64">
        <v>45497.0</v>
      </c>
      <c r="B232" s="55" t="str">
        <f>HYPERLINK("https://jobright.ai/jobs/info/66a0ec05576ec469c8873bb8?utm_campaign=1065&amp;utm_source=sheet", "Apply")</f>
        <v>Apply</v>
      </c>
      <c r="C232" s="10" t="s">
        <v>13245</v>
      </c>
      <c r="D232" s="56" t="s">
        <v>13246</v>
      </c>
      <c r="E232" s="10" t="s">
        <v>137</v>
      </c>
      <c r="F232" s="10" t="s">
        <v>13247</v>
      </c>
      <c r="G232" s="10" t="s">
        <v>12654</v>
      </c>
      <c r="H232" s="10" t="s">
        <v>251</v>
      </c>
      <c r="I232" s="10" t="s">
        <v>252</v>
      </c>
      <c r="K232" s="10" t="s">
        <v>13248</v>
      </c>
      <c r="L232" s="10" t="s">
        <v>42</v>
      </c>
    </row>
    <row r="233" ht="15.75" customHeight="1">
      <c r="A233" s="64">
        <v>45497.0</v>
      </c>
      <c r="B233" s="55" t="str">
        <f>HYPERLINK("https://jobright.ai/jobs/info/66848d9ef77b2c8f7053f248?utm_campaign=1065&amp;utm_source=sheet", "Apply")</f>
        <v>Apply</v>
      </c>
      <c r="C233" s="10" t="s">
        <v>13249</v>
      </c>
      <c r="D233" s="56" t="s">
        <v>9937</v>
      </c>
      <c r="E233" s="10" t="s">
        <v>45</v>
      </c>
      <c r="F233" s="10" t="s">
        <v>9938</v>
      </c>
      <c r="G233" s="10" t="s">
        <v>12654</v>
      </c>
      <c r="H233" s="10" t="s">
        <v>96</v>
      </c>
      <c r="I233" s="10" t="s">
        <v>55</v>
      </c>
      <c r="K233" s="10" t="s">
        <v>13250</v>
      </c>
      <c r="L233" s="10" t="s">
        <v>42</v>
      </c>
    </row>
    <row r="234" ht="15.75" customHeight="1">
      <c r="A234" s="64">
        <v>45497.0</v>
      </c>
      <c r="B234" s="55" t="str">
        <f>HYPERLINK("https://jobright.ai/jobs/info/6684956dbe126f4204d09d7b?utm_campaign=1065&amp;utm_source=sheet", "Apply")</f>
        <v>Apply</v>
      </c>
      <c r="C234" s="10" t="s">
        <v>13251</v>
      </c>
      <c r="D234" s="56" t="s">
        <v>9914</v>
      </c>
      <c r="E234" s="10" t="s">
        <v>249</v>
      </c>
      <c r="F234" s="10" t="s">
        <v>3684</v>
      </c>
      <c r="G234" s="10" t="s">
        <v>12645</v>
      </c>
      <c r="H234" s="10" t="s">
        <v>165</v>
      </c>
      <c r="I234" s="10" t="s">
        <v>55</v>
      </c>
      <c r="K234" s="10" t="s">
        <v>13252</v>
      </c>
      <c r="L234" s="10" t="s">
        <v>42</v>
      </c>
    </row>
    <row r="235" ht="15.75" customHeight="1">
      <c r="A235" s="64">
        <v>45497.0</v>
      </c>
      <c r="B235" s="55" t="str">
        <f>HYPERLINK("https://jobright.ai/jobs/info/66848d9ef77b2c8f7053f29a?utm_campaign=1065&amp;utm_source=sheet", "Apply")</f>
        <v>Apply</v>
      </c>
      <c r="C235" s="10" t="s">
        <v>13249</v>
      </c>
      <c r="D235" s="56" t="s">
        <v>9914</v>
      </c>
      <c r="E235" s="10" t="s">
        <v>249</v>
      </c>
      <c r="F235" s="10" t="s">
        <v>3684</v>
      </c>
      <c r="G235" s="10" t="s">
        <v>12654</v>
      </c>
      <c r="H235" s="10" t="s">
        <v>96</v>
      </c>
      <c r="I235" s="10" t="s">
        <v>55</v>
      </c>
      <c r="K235" s="10" t="s">
        <v>13250</v>
      </c>
      <c r="L235" s="10" t="s">
        <v>42</v>
      </c>
    </row>
    <row r="236" ht="15.75" customHeight="1">
      <c r="A236" s="64">
        <v>45497.0</v>
      </c>
      <c r="B236" s="55" t="str">
        <f>HYPERLINK("https://jobright.ai/jobs/info/66848d9ef77b2c8f7053f261?utm_campaign=1065&amp;utm_source=sheet", "Apply")</f>
        <v>Apply</v>
      </c>
      <c r="C236" s="10" t="s">
        <v>13253</v>
      </c>
      <c r="D236" s="56" t="s">
        <v>9914</v>
      </c>
      <c r="E236" s="10" t="s">
        <v>249</v>
      </c>
      <c r="F236" s="10" t="s">
        <v>3684</v>
      </c>
      <c r="G236" s="10" t="s">
        <v>12635</v>
      </c>
      <c r="H236" s="10" t="s">
        <v>96</v>
      </c>
      <c r="I236" s="10" t="s">
        <v>55</v>
      </c>
      <c r="K236" s="10" t="s">
        <v>13254</v>
      </c>
      <c r="L236" s="10" t="s">
        <v>42</v>
      </c>
    </row>
    <row r="237" ht="15.75" customHeight="1">
      <c r="A237" s="64">
        <v>45497.0</v>
      </c>
      <c r="B237" s="55" t="str">
        <f>HYPERLINK("https://jobright.ai/jobs/info/666799c049717280c92acfe4?utm_campaign=1065&amp;utm_source=sheet", "Apply")</f>
        <v>Apply</v>
      </c>
      <c r="C237" s="10" t="s">
        <v>13255</v>
      </c>
      <c r="D237" s="56" t="s">
        <v>1883</v>
      </c>
      <c r="E237" s="10" t="s">
        <v>209</v>
      </c>
      <c r="F237" s="10" t="s">
        <v>1884</v>
      </c>
      <c r="G237" s="10" t="s">
        <v>12630</v>
      </c>
      <c r="H237" s="10" t="s">
        <v>1254</v>
      </c>
      <c r="I237" s="10" t="s">
        <v>48</v>
      </c>
      <c r="J237" s="10" t="s">
        <v>13256</v>
      </c>
      <c r="K237" s="10" t="s">
        <v>13257</v>
      </c>
      <c r="L237" s="10" t="s">
        <v>42</v>
      </c>
    </row>
    <row r="238" ht="15.75" customHeight="1">
      <c r="A238" s="64">
        <v>45497.0</v>
      </c>
      <c r="B238" s="55" t="str">
        <f>HYPERLINK("https://jobright.ai/jobs/info/6684a288593e5fdf1309c66f?utm_campaign=1065&amp;utm_source=sheet", "Apply")</f>
        <v>Apply</v>
      </c>
      <c r="C238" s="10" t="s">
        <v>13074</v>
      </c>
      <c r="D238" s="56" t="s">
        <v>9937</v>
      </c>
      <c r="E238" s="10" t="s">
        <v>45</v>
      </c>
      <c r="F238" s="10" t="s">
        <v>9938</v>
      </c>
      <c r="G238" s="10" t="s">
        <v>12635</v>
      </c>
      <c r="H238" s="10" t="s">
        <v>165</v>
      </c>
      <c r="I238" s="10" t="s">
        <v>55</v>
      </c>
      <c r="K238" s="10" t="s">
        <v>13075</v>
      </c>
      <c r="L238" s="10" t="s">
        <v>42</v>
      </c>
    </row>
    <row r="239" ht="15.75" customHeight="1">
      <c r="A239" s="64">
        <v>45497.0</v>
      </c>
      <c r="B239" s="55" t="str">
        <f>HYPERLINK("https://jobright.ai/jobs/info/6684951cbe126f4204d098b3?utm_campaign=1065&amp;utm_source=sheet", "Apply")</f>
        <v>Apply</v>
      </c>
      <c r="C239" s="10" t="s">
        <v>13258</v>
      </c>
      <c r="D239" s="56" t="s">
        <v>9914</v>
      </c>
      <c r="E239" s="10" t="s">
        <v>249</v>
      </c>
      <c r="F239" s="10" t="s">
        <v>3684</v>
      </c>
      <c r="G239" s="10" t="s">
        <v>12645</v>
      </c>
      <c r="H239" s="10" t="s">
        <v>96</v>
      </c>
      <c r="I239" s="10" t="s">
        <v>55</v>
      </c>
      <c r="K239" s="10" t="s">
        <v>13252</v>
      </c>
      <c r="L239" s="10" t="s">
        <v>42</v>
      </c>
    </row>
    <row r="240" ht="15.75" customHeight="1">
      <c r="A240" s="64">
        <v>45497.0</v>
      </c>
      <c r="B240" s="55" t="str">
        <f>HYPERLINK("https://jobright.ai/jobs/info/668490d723fbc70f728b9e26?utm_campaign=1065&amp;utm_source=sheet", "Apply")</f>
        <v>Apply</v>
      </c>
      <c r="C240" s="10" t="s">
        <v>13258</v>
      </c>
      <c r="D240" s="56" t="s">
        <v>9937</v>
      </c>
      <c r="E240" s="10" t="s">
        <v>45</v>
      </c>
      <c r="F240" s="10" t="s">
        <v>9938</v>
      </c>
      <c r="G240" s="10" t="s">
        <v>12645</v>
      </c>
      <c r="H240" s="10" t="s">
        <v>96</v>
      </c>
      <c r="I240" s="10" t="s">
        <v>55</v>
      </c>
      <c r="K240" s="10" t="s">
        <v>13252</v>
      </c>
      <c r="L240" s="10" t="s">
        <v>42</v>
      </c>
    </row>
    <row r="241" ht="15.75" customHeight="1">
      <c r="A241" s="64">
        <v>45497.0</v>
      </c>
      <c r="B241" s="55" t="str">
        <f>HYPERLINK("https://jobright.ai/jobs/info/66849530be126f4204d098d4?utm_campaign=1065&amp;utm_source=sheet", "Apply")</f>
        <v>Apply</v>
      </c>
      <c r="C241" s="10" t="s">
        <v>13074</v>
      </c>
      <c r="D241" s="56" t="s">
        <v>9914</v>
      </c>
      <c r="E241" s="10" t="s">
        <v>249</v>
      </c>
      <c r="F241" s="10" t="s">
        <v>3684</v>
      </c>
      <c r="G241" s="10" t="s">
        <v>12635</v>
      </c>
      <c r="H241" s="10" t="s">
        <v>165</v>
      </c>
      <c r="I241" s="10" t="s">
        <v>55</v>
      </c>
      <c r="K241" s="10" t="s">
        <v>13075</v>
      </c>
      <c r="L241" s="10" t="s">
        <v>42</v>
      </c>
    </row>
    <row r="242" ht="15.75" customHeight="1">
      <c r="A242" s="64">
        <v>45497.0</v>
      </c>
      <c r="B242" s="55" t="str">
        <f>HYPERLINK("https://jobright.ai/jobs/info/668490d723fbc70f728b9e41?utm_campaign=1065&amp;utm_source=sheet", "Apply")</f>
        <v>Apply</v>
      </c>
      <c r="C242" s="10" t="s">
        <v>13251</v>
      </c>
      <c r="D242" s="56" t="s">
        <v>9937</v>
      </c>
      <c r="E242" s="10" t="s">
        <v>45</v>
      </c>
      <c r="F242" s="10" t="s">
        <v>9938</v>
      </c>
      <c r="G242" s="10" t="s">
        <v>12645</v>
      </c>
      <c r="H242" s="10" t="s">
        <v>96</v>
      </c>
      <c r="I242" s="10" t="s">
        <v>55</v>
      </c>
      <c r="K242" s="10" t="s">
        <v>13252</v>
      </c>
      <c r="L242" s="10" t="s">
        <v>42</v>
      </c>
    </row>
    <row r="243" ht="15.75" customHeight="1">
      <c r="A243" s="64">
        <v>45497.0</v>
      </c>
      <c r="B243" s="55" t="str">
        <f>HYPERLINK("https://jobright.ai/jobs/info/668496db89906a0228a89752?utm_campaign=1065&amp;utm_source=sheet", "Apply")</f>
        <v>Apply</v>
      </c>
      <c r="C243" s="10" t="s">
        <v>13253</v>
      </c>
      <c r="D243" s="56" t="s">
        <v>9937</v>
      </c>
      <c r="E243" s="10" t="s">
        <v>45</v>
      </c>
      <c r="F243" s="10" t="s">
        <v>9938</v>
      </c>
      <c r="G243" s="10" t="s">
        <v>12635</v>
      </c>
      <c r="H243" s="10" t="s">
        <v>96</v>
      </c>
      <c r="I243" s="10" t="s">
        <v>55</v>
      </c>
      <c r="K243" s="10" t="s">
        <v>13254</v>
      </c>
      <c r="L243" s="10" t="s">
        <v>42</v>
      </c>
    </row>
    <row r="244" ht="15.75" customHeight="1">
      <c r="A244" s="64">
        <v>45497.0</v>
      </c>
      <c r="B244" s="55" t="str">
        <f>HYPERLINK("https://jobright.ai/jobs/info/66844392d074e25fefa98bfa?utm_campaign=1065&amp;utm_source=sheet", "Apply")</f>
        <v>Apply</v>
      </c>
      <c r="C244" s="10" t="s">
        <v>13259</v>
      </c>
      <c r="D244" s="56" t="s">
        <v>10169</v>
      </c>
      <c r="E244" s="10" t="s">
        <v>45</v>
      </c>
      <c r="F244" s="10" t="s">
        <v>10170</v>
      </c>
      <c r="G244" s="10" t="s">
        <v>12635</v>
      </c>
      <c r="H244" s="10" t="s">
        <v>965</v>
      </c>
      <c r="I244" s="10" t="s">
        <v>55</v>
      </c>
      <c r="J244" s="10" t="s">
        <v>1608</v>
      </c>
      <c r="K244" s="10" t="s">
        <v>13260</v>
      </c>
      <c r="L244" s="10" t="s">
        <v>42</v>
      </c>
    </row>
    <row r="245" ht="15.75" customHeight="1">
      <c r="A245" s="64">
        <v>45497.0</v>
      </c>
      <c r="B245" s="55" t="str">
        <f>HYPERLINK("https://jobright.ai/jobs/info/66a0c048088b4b52c47893ec?utm_campaign=1065&amp;utm_source=sheet", "Apply")</f>
        <v>Apply</v>
      </c>
      <c r="C245" s="10" t="s">
        <v>12650</v>
      </c>
      <c r="D245" s="56" t="s">
        <v>13261</v>
      </c>
      <c r="E245" s="10" t="s">
        <v>137</v>
      </c>
      <c r="F245" s="10" t="s">
        <v>13262</v>
      </c>
      <c r="G245" s="10" t="s">
        <v>12635</v>
      </c>
      <c r="H245" s="10" t="s">
        <v>144</v>
      </c>
      <c r="I245" s="10" t="s">
        <v>55</v>
      </c>
      <c r="K245" s="10" t="s">
        <v>13263</v>
      </c>
      <c r="L245" s="10" t="s">
        <v>42</v>
      </c>
    </row>
    <row r="246" ht="15.75" customHeight="1">
      <c r="A246" s="64">
        <v>45497.0</v>
      </c>
      <c r="B246" s="55" t="str">
        <f>HYPERLINK("https://jobright.ai/jobs/info/66a0ec0e576ec469c8873cbb?utm_campaign=1065&amp;utm_source=sheet", "Apply")</f>
        <v>Apply</v>
      </c>
      <c r="C246" s="10" t="s">
        <v>12828</v>
      </c>
      <c r="D246" s="56" t="s">
        <v>13264</v>
      </c>
      <c r="E246" s="10">
        <v>24.0</v>
      </c>
      <c r="G246" s="10" t="s">
        <v>12635</v>
      </c>
      <c r="H246" s="10" t="s">
        <v>411</v>
      </c>
      <c r="I246" s="10" t="s">
        <v>55</v>
      </c>
      <c r="K246" s="10" t="s">
        <v>12830</v>
      </c>
      <c r="L246" s="10" t="s">
        <v>42</v>
      </c>
    </row>
    <row r="247" ht="15.75" customHeight="1">
      <c r="A247" s="64">
        <v>45497.0</v>
      </c>
      <c r="B247" s="55" t="str">
        <f>HYPERLINK("https://jobright.ai/jobs/info/66a0a891ab5c4d66888444a1?utm_campaign=1065&amp;utm_source=sheet", "Apply")</f>
        <v>Apply</v>
      </c>
      <c r="C247" s="10" t="s">
        <v>13265</v>
      </c>
      <c r="D247" s="56" t="s">
        <v>13266</v>
      </c>
      <c r="E247" s="10" t="s">
        <v>65</v>
      </c>
      <c r="F247" s="10" t="s">
        <v>13267</v>
      </c>
      <c r="G247" s="10" t="s">
        <v>12654</v>
      </c>
      <c r="H247" s="10" t="s">
        <v>906</v>
      </c>
      <c r="I247" s="10" t="s">
        <v>48</v>
      </c>
      <c r="K247" s="10" t="s">
        <v>13268</v>
      </c>
      <c r="L247" s="10" t="s">
        <v>42</v>
      </c>
    </row>
    <row r="248" ht="15.75" customHeight="1">
      <c r="A248" s="64">
        <v>45497.0</v>
      </c>
      <c r="B248" s="55" t="str">
        <f>HYPERLINK("https://jobright.ai/jobs/info/66a0ab9e352fb17b61cdc11e?utm_campaign=1065&amp;utm_source=sheet", "Apply")</f>
        <v>Apply</v>
      </c>
      <c r="C248" s="10" t="s">
        <v>13269</v>
      </c>
      <c r="D248" s="56" t="s">
        <v>13270</v>
      </c>
      <c r="E248" s="10" t="s">
        <v>79</v>
      </c>
      <c r="F248" s="10" t="s">
        <v>10337</v>
      </c>
      <c r="G248" s="10" t="s">
        <v>12654</v>
      </c>
      <c r="H248" s="10" t="s">
        <v>96</v>
      </c>
      <c r="I248" s="10" t="s">
        <v>55</v>
      </c>
      <c r="J248" s="10" t="s">
        <v>1960</v>
      </c>
      <c r="K248" s="10" t="s">
        <v>13271</v>
      </c>
      <c r="L248" s="10" t="s">
        <v>42</v>
      </c>
    </row>
    <row r="249" ht="15.75" customHeight="1">
      <c r="A249" s="64">
        <v>45497.0</v>
      </c>
      <c r="B249" s="55" t="str">
        <f>HYPERLINK("https://jobright.ai/jobs/info/66a0bbf5044b45326c0fdeae?utm_campaign=1065&amp;utm_source=sheet", "Apply")</f>
        <v>Apply</v>
      </c>
      <c r="C249" s="10" t="s">
        <v>13272</v>
      </c>
      <c r="D249" s="56" t="s">
        <v>13273</v>
      </c>
      <c r="E249" s="10" t="s">
        <v>45</v>
      </c>
      <c r="F249" s="10" t="s">
        <v>13274</v>
      </c>
      <c r="G249" s="10" t="s">
        <v>12654</v>
      </c>
      <c r="H249" s="10" t="s">
        <v>1025</v>
      </c>
      <c r="I249" s="10" t="s">
        <v>55</v>
      </c>
      <c r="K249" s="10" t="s">
        <v>13275</v>
      </c>
      <c r="L249" s="10" t="s">
        <v>42</v>
      </c>
    </row>
    <row r="250" ht="15.75" customHeight="1">
      <c r="A250" s="64">
        <v>45497.0</v>
      </c>
      <c r="B250" s="55" t="str">
        <f>HYPERLINK("https://jobright.ai/jobs/info/66a085147f86226a3d6cfe1a?utm_campaign=1065&amp;utm_source=sheet", "Apply")</f>
        <v>Apply</v>
      </c>
      <c r="C250" s="10" t="s">
        <v>13276</v>
      </c>
      <c r="D250" s="56" t="s">
        <v>13277</v>
      </c>
      <c r="E250" s="10" t="s">
        <v>276</v>
      </c>
      <c r="F250" s="10" t="s">
        <v>13278</v>
      </c>
      <c r="G250" s="10" t="s">
        <v>12630</v>
      </c>
      <c r="H250" s="10" t="s">
        <v>13279</v>
      </c>
      <c r="I250" s="10" t="s">
        <v>48</v>
      </c>
      <c r="K250" s="10" t="s">
        <v>13280</v>
      </c>
      <c r="L250" s="10" t="s">
        <v>42</v>
      </c>
    </row>
    <row r="251" ht="15.75" customHeight="1">
      <c r="A251" s="64">
        <v>45497.0</v>
      </c>
      <c r="B251" s="55" t="str">
        <f>HYPERLINK("https://jobright.ai/jobs/info/66a07f91c20f22c367e05b4c?utm_campaign=1065&amp;utm_source=sheet", "Apply")</f>
        <v>Apply</v>
      </c>
      <c r="C251" s="10" t="s">
        <v>13281</v>
      </c>
      <c r="D251" s="56" t="s">
        <v>13282</v>
      </c>
      <c r="E251" s="10" t="s">
        <v>71</v>
      </c>
      <c r="F251" s="10" t="s">
        <v>143</v>
      </c>
      <c r="G251" s="10" t="s">
        <v>12630</v>
      </c>
      <c r="H251" s="10" t="s">
        <v>6990</v>
      </c>
      <c r="I251" s="10" t="s">
        <v>48</v>
      </c>
      <c r="K251" s="10" t="s">
        <v>13283</v>
      </c>
      <c r="L251" s="10" t="s">
        <v>42</v>
      </c>
    </row>
    <row r="252" ht="15.75" customHeight="1">
      <c r="A252" s="64">
        <v>45497.0</v>
      </c>
      <c r="B252" s="55" t="str">
        <f>HYPERLINK("https://jobright.ai/jobs/info/66a06f6b9c54df228f85e28c?utm_campaign=1065&amp;utm_source=sheet", "Apply")</f>
        <v>Apply</v>
      </c>
      <c r="C252" s="10" t="s">
        <v>12632</v>
      </c>
      <c r="D252" s="56" t="s">
        <v>12633</v>
      </c>
      <c r="E252" s="10" t="s">
        <v>79</v>
      </c>
      <c r="F252" s="10" t="s">
        <v>12634</v>
      </c>
      <c r="G252" s="10" t="s">
        <v>12635</v>
      </c>
      <c r="H252" s="10" t="s">
        <v>113</v>
      </c>
      <c r="I252" s="10" t="s">
        <v>55</v>
      </c>
      <c r="J252" s="10" t="s">
        <v>13284</v>
      </c>
      <c r="K252" s="10" t="s">
        <v>12637</v>
      </c>
      <c r="L252" s="10" t="s">
        <v>42</v>
      </c>
    </row>
    <row r="253" ht="15.75" customHeight="1">
      <c r="A253" s="64">
        <v>45497.0</v>
      </c>
      <c r="B253" s="55" t="str">
        <f>HYPERLINK("https://jobright.ai/jobs/info/66a06a264d2690087dea3e9a?utm_campaign=1065&amp;utm_source=sheet", "Apply")</f>
        <v>Apply</v>
      </c>
      <c r="C253" s="10" t="s">
        <v>13285</v>
      </c>
      <c r="D253" s="56" t="s">
        <v>12991</v>
      </c>
      <c r="E253" s="10">
        <v>43.0</v>
      </c>
      <c r="G253" s="10" t="s">
        <v>12654</v>
      </c>
      <c r="H253" s="10" t="s">
        <v>5875</v>
      </c>
      <c r="I253" s="10" t="s">
        <v>55</v>
      </c>
      <c r="K253" s="10" t="s">
        <v>13286</v>
      </c>
      <c r="L253" s="10" t="s">
        <v>42</v>
      </c>
    </row>
    <row r="254" ht="15.75" customHeight="1">
      <c r="A254" s="64">
        <v>45497.0</v>
      </c>
      <c r="B254" s="55" t="str">
        <f>HYPERLINK("https://jobright.ai/jobs/info/66a06d2aef22f69cae546d04?utm_campaign=1065&amp;utm_source=sheet", "Apply")</f>
        <v>Apply</v>
      </c>
      <c r="C254" s="10" t="s">
        <v>13287</v>
      </c>
      <c r="D254" s="56" t="s">
        <v>1955</v>
      </c>
      <c r="E254" s="10" t="s">
        <v>45</v>
      </c>
      <c r="F254" s="10" t="s">
        <v>1234</v>
      </c>
      <c r="G254" s="10" t="s">
        <v>12630</v>
      </c>
      <c r="H254" s="10" t="s">
        <v>139</v>
      </c>
      <c r="I254" s="10" t="s">
        <v>55</v>
      </c>
      <c r="J254" s="10" t="s">
        <v>1761</v>
      </c>
      <c r="K254" s="10" t="s">
        <v>13288</v>
      </c>
      <c r="L254" s="10" t="s">
        <v>42</v>
      </c>
    </row>
    <row r="255" ht="15.75" customHeight="1">
      <c r="A255" s="64">
        <v>45497.0</v>
      </c>
      <c r="B255" s="55" t="str">
        <f>HYPERLINK("https://jobright.ai/jobs/info/66a06f6b9c54df228f85e2d9?utm_campaign=1065&amp;utm_source=sheet", "Apply")</f>
        <v>Apply</v>
      </c>
      <c r="C255" s="10" t="s">
        <v>12632</v>
      </c>
      <c r="D255" s="56" t="s">
        <v>12633</v>
      </c>
      <c r="E255" s="10" t="s">
        <v>79</v>
      </c>
      <c r="F255" s="10" t="s">
        <v>12634</v>
      </c>
      <c r="G255" s="10" t="s">
        <v>12635</v>
      </c>
      <c r="H255" s="10" t="s">
        <v>167</v>
      </c>
      <c r="I255" s="10" t="s">
        <v>55</v>
      </c>
      <c r="J255" s="10" t="s">
        <v>12636</v>
      </c>
      <c r="K255" s="10" t="s">
        <v>12637</v>
      </c>
      <c r="L255" s="10" t="s">
        <v>42</v>
      </c>
    </row>
    <row r="256" ht="15.75" customHeight="1">
      <c r="A256" s="64">
        <v>45497.0</v>
      </c>
      <c r="B256" s="55" t="str">
        <f>HYPERLINK("https://jobright.ai/jobs/info/66a0f9c872dbe8acd22338b9?utm_campaign=1065&amp;utm_source=sheet", "Apply")</f>
        <v>Apply</v>
      </c>
      <c r="C256" s="10" t="s">
        <v>13289</v>
      </c>
      <c r="D256" s="56" t="s">
        <v>13290</v>
      </c>
      <c r="E256" s="10" t="s">
        <v>65</v>
      </c>
      <c r="F256" s="10" t="s">
        <v>13291</v>
      </c>
      <c r="G256" s="10" t="s">
        <v>12635</v>
      </c>
      <c r="H256" s="10" t="s">
        <v>994</v>
      </c>
      <c r="I256" s="10" t="s">
        <v>252</v>
      </c>
      <c r="J256" s="10" t="s">
        <v>2609</v>
      </c>
      <c r="K256" s="10" t="s">
        <v>13292</v>
      </c>
      <c r="L256" s="10" t="s">
        <v>42</v>
      </c>
    </row>
    <row r="257" ht="15.75" customHeight="1">
      <c r="A257" s="64">
        <v>45497.0</v>
      </c>
      <c r="B257" s="55" t="str">
        <f>HYPERLINK("https://jobright.ai/jobs/info/66a187b48153b6c68fde5a29?utm_campaign=1065&amp;utm_source=sheet", "Apply")</f>
        <v>Apply</v>
      </c>
      <c r="C257" s="10" t="s">
        <v>13293</v>
      </c>
      <c r="D257" s="56" t="s">
        <v>13294</v>
      </c>
      <c r="E257" s="10" t="s">
        <v>276</v>
      </c>
      <c r="F257" s="10" t="s">
        <v>1893</v>
      </c>
      <c r="G257" s="10" t="s">
        <v>12654</v>
      </c>
      <c r="H257" s="10" t="s">
        <v>605</v>
      </c>
      <c r="I257" s="10" t="s">
        <v>55</v>
      </c>
      <c r="K257" s="10" t="s">
        <v>13295</v>
      </c>
      <c r="L257" s="10" t="s">
        <v>42</v>
      </c>
    </row>
    <row r="258" ht="15.75" customHeight="1">
      <c r="A258" s="64">
        <v>45497.0</v>
      </c>
      <c r="B258" s="55" t="str">
        <f>HYPERLINK("https://jobright.ai/jobs/info/66a0595309bbc0a620c99418?utm_campaign=1065&amp;utm_source=sheet", "Apply")</f>
        <v>Apply</v>
      </c>
      <c r="C258" s="10" t="s">
        <v>13296</v>
      </c>
      <c r="D258" s="56" t="s">
        <v>13017</v>
      </c>
      <c r="E258" s="10">
        <v>12.0</v>
      </c>
      <c r="G258" s="10" t="s">
        <v>12635</v>
      </c>
      <c r="H258" s="10" t="s">
        <v>167</v>
      </c>
      <c r="I258" s="10" t="s">
        <v>55</v>
      </c>
      <c r="K258" s="10" t="s">
        <v>13297</v>
      </c>
      <c r="L258" s="10" t="s">
        <v>42</v>
      </c>
    </row>
    <row r="259" ht="15.75" customHeight="1">
      <c r="A259" s="64">
        <v>45497.0</v>
      </c>
      <c r="B259" s="55" t="str">
        <f>HYPERLINK("https://jobright.ai/jobs/info/66a1604fe2be5c244a65617c?utm_campaign=1065&amp;utm_source=sheet", "Apply")</f>
        <v>Apply</v>
      </c>
      <c r="C259" s="10" t="s">
        <v>13078</v>
      </c>
      <c r="D259" s="56" t="s">
        <v>2749</v>
      </c>
      <c r="E259" s="10" t="s">
        <v>45</v>
      </c>
      <c r="F259" s="10" t="s">
        <v>2750</v>
      </c>
      <c r="G259" s="10" t="s">
        <v>12654</v>
      </c>
      <c r="H259" s="10" t="s">
        <v>13298</v>
      </c>
      <c r="I259" s="10" t="s">
        <v>55</v>
      </c>
      <c r="K259" s="10" t="s">
        <v>13079</v>
      </c>
      <c r="L259" s="10" t="s">
        <v>42</v>
      </c>
    </row>
    <row r="260" ht="15.75" customHeight="1">
      <c r="A260" s="64">
        <v>45497.0</v>
      </c>
      <c r="B260" s="55" t="str">
        <f>HYPERLINK("https://jobright.ai/jobs/info/66a16fb8ab9e06507bfa0cdd?utm_campaign=1065&amp;utm_source=sheet", "Apply")</f>
        <v>Apply</v>
      </c>
      <c r="C260" s="10" t="s">
        <v>13299</v>
      </c>
      <c r="D260" s="56" t="s">
        <v>13064</v>
      </c>
      <c r="E260" s="10" t="s">
        <v>209</v>
      </c>
      <c r="F260" s="10" t="s">
        <v>13065</v>
      </c>
      <c r="G260" s="10" t="s">
        <v>12635</v>
      </c>
      <c r="H260" s="10" t="s">
        <v>13300</v>
      </c>
      <c r="I260" s="10" t="s">
        <v>55</v>
      </c>
      <c r="K260" s="10" t="s">
        <v>13301</v>
      </c>
      <c r="L260" s="10" t="s">
        <v>42</v>
      </c>
    </row>
    <row r="261" ht="15.75" customHeight="1">
      <c r="A261" s="64">
        <v>45496.0</v>
      </c>
      <c r="B261" s="55" t="str">
        <f>HYPERLINK("https://jobright.ai/jobs/info/66a0c26a8cba52fd78ff16b6?utm_campaign=1065&amp;utm_source=sheet", "Apply")</f>
        <v>Apply</v>
      </c>
      <c r="C261" s="10" t="s">
        <v>13285</v>
      </c>
      <c r="D261" s="56" t="s">
        <v>12991</v>
      </c>
      <c r="E261" s="10">
        <v>43.0</v>
      </c>
      <c r="G261" s="10" t="s">
        <v>12654</v>
      </c>
      <c r="H261" s="10" t="s">
        <v>898</v>
      </c>
      <c r="I261" s="10" t="s">
        <v>55</v>
      </c>
      <c r="K261" s="10" t="s">
        <v>13286</v>
      </c>
      <c r="L261" s="10" t="s">
        <v>42</v>
      </c>
    </row>
    <row r="262" ht="15.75" customHeight="1">
      <c r="A262" s="64">
        <v>45496.0</v>
      </c>
      <c r="B262" s="55" t="str">
        <f>HYPERLINK("https://jobright.ai/jobs/info/66a0595c09bbc0a620c994fe?utm_campaign=1065&amp;utm_source=sheet", "Apply")</f>
        <v>Apply</v>
      </c>
      <c r="C262" s="10" t="s">
        <v>12904</v>
      </c>
      <c r="D262" s="56" t="s">
        <v>13302</v>
      </c>
      <c r="E262" s="10" t="s">
        <v>249</v>
      </c>
      <c r="F262" s="10" t="s">
        <v>2950</v>
      </c>
      <c r="G262" s="10" t="s">
        <v>12654</v>
      </c>
      <c r="H262" s="10" t="s">
        <v>245</v>
      </c>
      <c r="I262" s="10" t="s">
        <v>55</v>
      </c>
      <c r="J262" s="10" t="s">
        <v>1409</v>
      </c>
      <c r="K262" s="10" t="s">
        <v>13303</v>
      </c>
      <c r="L262" s="10" t="s">
        <v>42</v>
      </c>
    </row>
    <row r="263" ht="15.75" customHeight="1">
      <c r="A263" s="64">
        <v>45496.0</v>
      </c>
      <c r="B263" s="55" t="str">
        <f>HYPERLINK("https://jobright.ai/jobs/info/66a047ffc8166c68c1b90bb8?utm_campaign=1065&amp;utm_source=sheet", "Apply")</f>
        <v>Apply</v>
      </c>
      <c r="C263" s="10" t="s">
        <v>13304</v>
      </c>
      <c r="D263" s="56" t="s">
        <v>9937</v>
      </c>
      <c r="E263" s="10" t="s">
        <v>45</v>
      </c>
      <c r="F263" s="10" t="s">
        <v>9938</v>
      </c>
      <c r="G263" s="10" t="s">
        <v>12635</v>
      </c>
      <c r="H263" s="10" t="s">
        <v>13305</v>
      </c>
      <c r="I263" s="10" t="s">
        <v>55</v>
      </c>
      <c r="J263" s="10" t="s">
        <v>1960</v>
      </c>
      <c r="K263" s="10" t="s">
        <v>13306</v>
      </c>
      <c r="L263" s="10" t="s">
        <v>42</v>
      </c>
    </row>
    <row r="264" ht="15.75" customHeight="1">
      <c r="A264" s="64">
        <v>45496.0</v>
      </c>
      <c r="B264" s="55" t="str">
        <f>HYPERLINK("https://jobright.ai/jobs/info/66a045a727f3a8d785fe0035?utm_campaign=1065&amp;utm_source=sheet", "Apply")</f>
        <v>Apply</v>
      </c>
      <c r="C264" s="10" t="s">
        <v>13307</v>
      </c>
      <c r="D264" s="56" t="s">
        <v>13308</v>
      </c>
      <c r="E264" s="10" t="s">
        <v>79</v>
      </c>
      <c r="F264" s="10" t="s">
        <v>13309</v>
      </c>
      <c r="G264" s="10" t="s">
        <v>12654</v>
      </c>
      <c r="H264" s="10" t="s">
        <v>188</v>
      </c>
      <c r="I264" s="10" t="s">
        <v>55</v>
      </c>
      <c r="K264" s="10" t="s">
        <v>13310</v>
      </c>
      <c r="L264" s="10" t="s">
        <v>42</v>
      </c>
    </row>
    <row r="265" ht="15.75" customHeight="1">
      <c r="A265" s="64">
        <v>45496.0</v>
      </c>
      <c r="B265" s="55" t="str">
        <f>HYPERLINK("https://jobright.ai/jobs/info/66a0344a39a3ff52f9a7d21b?utm_campaign=1065&amp;utm_source=sheet", "Apply")</f>
        <v>Apply</v>
      </c>
      <c r="C265" s="10" t="s">
        <v>13311</v>
      </c>
      <c r="D265" s="56" t="s">
        <v>13312</v>
      </c>
      <c r="E265" s="10" t="s">
        <v>79</v>
      </c>
      <c r="F265" s="10" t="s">
        <v>13313</v>
      </c>
      <c r="G265" s="10" t="s">
        <v>12635</v>
      </c>
      <c r="H265" s="10" t="s">
        <v>1000</v>
      </c>
      <c r="I265" s="10" t="s">
        <v>48</v>
      </c>
      <c r="K265" s="10" t="s">
        <v>13314</v>
      </c>
      <c r="L265" s="10" t="s">
        <v>42</v>
      </c>
    </row>
    <row r="266" ht="15.75" customHeight="1">
      <c r="A266" s="64">
        <v>45496.0</v>
      </c>
      <c r="B266" s="55" t="str">
        <f>HYPERLINK("https://jobright.ai/jobs/info/66a074c5e348287e40821fb9?utm_campaign=1065&amp;utm_source=sheet", "Apply")</f>
        <v>Apply</v>
      </c>
      <c r="C266" s="10" t="s">
        <v>13315</v>
      </c>
      <c r="D266" s="56" t="s">
        <v>1178</v>
      </c>
      <c r="E266" s="10" t="s">
        <v>137</v>
      </c>
      <c r="F266" s="10" t="s">
        <v>1179</v>
      </c>
      <c r="G266" s="10" t="s">
        <v>12645</v>
      </c>
      <c r="H266" s="10" t="s">
        <v>159</v>
      </c>
      <c r="I266" s="10" t="s">
        <v>55</v>
      </c>
      <c r="J266" s="10" t="s">
        <v>10188</v>
      </c>
      <c r="K266" s="10" t="s">
        <v>13316</v>
      </c>
      <c r="L266" s="10" t="s">
        <v>42</v>
      </c>
    </row>
    <row r="267" ht="15.75" customHeight="1">
      <c r="A267" s="64">
        <v>45496.0</v>
      </c>
      <c r="B267" s="55" t="str">
        <f>HYPERLINK("https://jobright.ai/jobs/info/66a0345339a3ff52f9a7d26f?utm_campaign=1065&amp;utm_source=sheet", "Apply")</f>
        <v>Apply</v>
      </c>
      <c r="C267" s="10" t="s">
        <v>13317</v>
      </c>
      <c r="D267" s="56" t="s">
        <v>13318</v>
      </c>
      <c r="E267" s="10" t="s">
        <v>79</v>
      </c>
      <c r="F267" s="10" t="s">
        <v>9866</v>
      </c>
      <c r="G267" s="10" t="s">
        <v>12630</v>
      </c>
      <c r="H267" s="10" t="s">
        <v>165</v>
      </c>
      <c r="I267" s="10" t="s">
        <v>55</v>
      </c>
      <c r="K267" s="10" t="s">
        <v>13319</v>
      </c>
      <c r="L267" s="10" t="s">
        <v>42</v>
      </c>
    </row>
    <row r="268" ht="15.75" customHeight="1">
      <c r="A268" s="64">
        <v>45496.0</v>
      </c>
      <c r="B268" s="55" t="str">
        <f>HYPERLINK("https://jobright.ai/jobs/info/66a04889658c8e8600d6fa13?utm_campaign=1065&amp;utm_source=sheet", "Apply")</f>
        <v>Apply</v>
      </c>
      <c r="C268" s="10" t="s">
        <v>12965</v>
      </c>
      <c r="D268" s="56" t="s">
        <v>13320</v>
      </c>
      <c r="E268" s="10" t="s">
        <v>71</v>
      </c>
      <c r="F268" s="10" t="s">
        <v>13321</v>
      </c>
      <c r="G268" s="10" t="s">
        <v>12645</v>
      </c>
      <c r="H268" s="10" t="s">
        <v>836</v>
      </c>
      <c r="I268" s="10" t="s">
        <v>55</v>
      </c>
      <c r="K268" s="10" t="s">
        <v>13322</v>
      </c>
      <c r="L268" s="10" t="s">
        <v>42</v>
      </c>
    </row>
    <row r="269" ht="15.75" customHeight="1">
      <c r="A269" s="64">
        <v>45496.0</v>
      </c>
      <c r="B269" s="55" t="str">
        <f>HYPERLINK("https://jobright.ai/jobs/info/66a038d55fe2440702543bfb?utm_campaign=1065&amp;utm_source=sheet", "Apply")</f>
        <v>Apply</v>
      </c>
      <c r="C269" s="10" t="s">
        <v>12650</v>
      </c>
      <c r="D269" s="56" t="s">
        <v>13151</v>
      </c>
      <c r="E269" s="10" t="s">
        <v>209</v>
      </c>
      <c r="F269" s="10" t="s">
        <v>665</v>
      </c>
      <c r="G269" s="10" t="s">
        <v>12635</v>
      </c>
      <c r="H269" s="10" t="s">
        <v>3968</v>
      </c>
      <c r="I269" s="10" t="s">
        <v>48</v>
      </c>
      <c r="K269" s="10" t="s">
        <v>13323</v>
      </c>
      <c r="L269" s="10" t="s">
        <v>42</v>
      </c>
    </row>
    <row r="270" ht="15.75" customHeight="1">
      <c r="A270" s="64">
        <v>45496.0</v>
      </c>
      <c r="B270" s="55" t="str">
        <f>HYPERLINK("https://jobright.ai/jobs/info/66a036b8ec394efcfcabed9a?utm_campaign=1065&amp;utm_source=sheet", "Apply")</f>
        <v>Apply</v>
      </c>
      <c r="C270" s="10" t="s">
        <v>13324</v>
      </c>
      <c r="D270" s="56" t="s">
        <v>5073</v>
      </c>
      <c r="E270" s="10" t="s">
        <v>45</v>
      </c>
      <c r="F270" s="10" t="s">
        <v>318</v>
      </c>
      <c r="G270" s="10" t="s">
        <v>12654</v>
      </c>
      <c r="H270" s="10" t="s">
        <v>2654</v>
      </c>
      <c r="I270" s="10" t="s">
        <v>55</v>
      </c>
      <c r="K270" s="10" t="s">
        <v>13325</v>
      </c>
      <c r="L270" s="10" t="s">
        <v>42</v>
      </c>
    </row>
    <row r="271" ht="15.75" customHeight="1">
      <c r="A271" s="64">
        <v>45496.0</v>
      </c>
      <c r="B271" s="55" t="str">
        <f>HYPERLINK("https://jobright.ai/jobs/info/66a0345e39a3ff52f9a7d303?utm_campaign=1065&amp;utm_source=sheet", "Apply")</f>
        <v>Apply</v>
      </c>
      <c r="C271" s="10" t="s">
        <v>13326</v>
      </c>
      <c r="D271" s="56" t="s">
        <v>9974</v>
      </c>
      <c r="E271" s="10" t="s">
        <v>45</v>
      </c>
      <c r="F271" s="10" t="s">
        <v>6432</v>
      </c>
      <c r="G271" s="10" t="s">
        <v>12630</v>
      </c>
      <c r="H271" s="10" t="s">
        <v>159</v>
      </c>
      <c r="I271" s="10" t="s">
        <v>48</v>
      </c>
      <c r="J271" s="10" t="s">
        <v>1409</v>
      </c>
      <c r="K271" s="10" t="s">
        <v>13327</v>
      </c>
      <c r="L271" s="10" t="s">
        <v>42</v>
      </c>
    </row>
    <row r="272" ht="15.75" customHeight="1">
      <c r="A272" s="64">
        <v>45496.0</v>
      </c>
      <c r="B272" s="55" t="str">
        <f>HYPERLINK("https://jobright.ai/jobs/info/66a022e546b8641105c98b90?utm_campaign=1065&amp;utm_source=sheet", "Apply")</f>
        <v>Apply</v>
      </c>
      <c r="C272" s="10" t="s">
        <v>13328</v>
      </c>
      <c r="D272" s="56" t="s">
        <v>13329</v>
      </c>
      <c r="E272" s="59">
        <v>45301.0</v>
      </c>
      <c r="F272" s="10" t="s">
        <v>13330</v>
      </c>
      <c r="G272" s="10" t="s">
        <v>12654</v>
      </c>
      <c r="H272" s="10" t="s">
        <v>1260</v>
      </c>
      <c r="I272" s="10" t="s">
        <v>55</v>
      </c>
      <c r="K272" s="10" t="s">
        <v>13331</v>
      </c>
      <c r="L272" s="10" t="s">
        <v>42</v>
      </c>
    </row>
    <row r="273" ht="15.75" customHeight="1">
      <c r="A273" s="64">
        <v>45496.0</v>
      </c>
      <c r="B273" s="55" t="str">
        <f>HYPERLINK("https://jobright.ai/jobs/info/66a02f26be9142f3106f19d6?utm_campaign=1065&amp;utm_source=sheet", "Apply")</f>
        <v>Apply</v>
      </c>
      <c r="C273" s="10" t="s">
        <v>13332</v>
      </c>
      <c r="D273" s="56" t="s">
        <v>13333</v>
      </c>
      <c r="E273" s="10" t="s">
        <v>71</v>
      </c>
      <c r="F273" s="10" t="s">
        <v>13334</v>
      </c>
      <c r="G273" s="10" t="s">
        <v>12654</v>
      </c>
      <c r="H273" s="10" t="s">
        <v>1038</v>
      </c>
      <c r="I273" s="10" t="s">
        <v>55</v>
      </c>
      <c r="K273" s="10" t="s">
        <v>13335</v>
      </c>
      <c r="L273" s="10" t="s">
        <v>42</v>
      </c>
    </row>
    <row r="274" ht="15.75" customHeight="1">
      <c r="A274" s="64">
        <v>45496.0</v>
      </c>
      <c r="B274" s="55" t="str">
        <f>HYPERLINK("https://jobright.ai/jobs/info/66a02c63b9065c2c99e9e5f2?utm_campaign=1065&amp;utm_source=sheet", "Apply")</f>
        <v>Apply</v>
      </c>
      <c r="C274" s="10" t="s">
        <v>13336</v>
      </c>
      <c r="D274" s="56" t="s">
        <v>3905</v>
      </c>
      <c r="E274" s="10" t="s">
        <v>79</v>
      </c>
      <c r="F274" s="10" t="s">
        <v>3906</v>
      </c>
      <c r="G274" s="10" t="s">
        <v>12630</v>
      </c>
      <c r="H274" s="10" t="s">
        <v>96</v>
      </c>
      <c r="I274" s="10" t="s">
        <v>55</v>
      </c>
      <c r="J274" s="10" t="s">
        <v>3907</v>
      </c>
      <c r="K274" s="10" t="s">
        <v>13337</v>
      </c>
      <c r="L274" s="10" t="s">
        <v>42</v>
      </c>
    </row>
    <row r="275" ht="15.75" customHeight="1">
      <c r="A275" s="64">
        <v>45496.0</v>
      </c>
      <c r="B275" s="55" t="str">
        <f>HYPERLINK("https://jobright.ai/jobs/info/66a036b8ec394efcfcabedd5?utm_campaign=1065&amp;utm_source=sheet", "Apply")</f>
        <v>Apply</v>
      </c>
      <c r="C275" s="10" t="s">
        <v>13338</v>
      </c>
      <c r="D275" s="56" t="s">
        <v>13339</v>
      </c>
      <c r="E275" s="10" t="s">
        <v>65</v>
      </c>
      <c r="F275" s="10" t="s">
        <v>13340</v>
      </c>
      <c r="G275" s="10" t="s">
        <v>12654</v>
      </c>
      <c r="H275" s="10" t="s">
        <v>2996</v>
      </c>
      <c r="I275" s="10" t="s">
        <v>48</v>
      </c>
      <c r="J275" s="10" t="s">
        <v>13341</v>
      </c>
      <c r="K275" s="10" t="s">
        <v>13342</v>
      </c>
      <c r="L275" s="10" t="s">
        <v>42</v>
      </c>
    </row>
    <row r="276" ht="15.75" customHeight="1">
      <c r="A276" s="64">
        <v>45496.0</v>
      </c>
      <c r="B276" s="55" t="str">
        <f>HYPERLINK("https://jobright.ai/jobs/info/66a02a9d83fe12fc9f1d46bd?utm_campaign=1065&amp;utm_source=sheet", "Apply")</f>
        <v>Apply</v>
      </c>
      <c r="C276" s="10" t="s">
        <v>13343</v>
      </c>
      <c r="D276" s="56" t="s">
        <v>13344</v>
      </c>
      <c r="E276" s="10" t="s">
        <v>249</v>
      </c>
      <c r="F276" s="10" t="s">
        <v>13345</v>
      </c>
      <c r="G276" s="10" t="s">
        <v>12630</v>
      </c>
      <c r="H276" s="10" t="s">
        <v>1168</v>
      </c>
      <c r="I276" s="10" t="s">
        <v>55</v>
      </c>
      <c r="J276" s="10" t="s">
        <v>1960</v>
      </c>
      <c r="K276" s="10" t="s">
        <v>13346</v>
      </c>
      <c r="L276" s="10" t="s">
        <v>42</v>
      </c>
    </row>
    <row r="277" ht="15.75" customHeight="1">
      <c r="A277" s="64">
        <v>45496.0</v>
      </c>
      <c r="B277" s="55" t="str">
        <f>HYPERLINK("https://jobright.ai/jobs/info/66a01d70a6ae81356f4f3685?utm_campaign=1065&amp;utm_source=sheet", "Apply")</f>
        <v>Apply</v>
      </c>
      <c r="C277" s="10" t="s">
        <v>13347</v>
      </c>
      <c r="D277" s="56" t="s">
        <v>13348</v>
      </c>
      <c r="E277" s="10" t="s">
        <v>137</v>
      </c>
      <c r="F277" s="10" t="s">
        <v>4095</v>
      </c>
      <c r="G277" s="10" t="s">
        <v>12630</v>
      </c>
      <c r="H277" s="10" t="s">
        <v>966</v>
      </c>
      <c r="I277" s="10" t="s">
        <v>55</v>
      </c>
      <c r="J277" s="10" t="s">
        <v>1608</v>
      </c>
      <c r="K277" s="10" t="s">
        <v>13349</v>
      </c>
      <c r="L277" s="10" t="s">
        <v>42</v>
      </c>
    </row>
    <row r="278" ht="15.75" customHeight="1">
      <c r="A278" s="64">
        <v>45496.0</v>
      </c>
      <c r="B278" s="55" t="str">
        <f>HYPERLINK("https://jobright.ai/jobs/info/66a018a028a7efe347576a88?utm_campaign=1065&amp;utm_source=sheet", "Apply")</f>
        <v>Apply</v>
      </c>
      <c r="C278" s="10" t="s">
        <v>12650</v>
      </c>
      <c r="D278" s="56" t="s">
        <v>13350</v>
      </c>
      <c r="E278" s="10" t="s">
        <v>276</v>
      </c>
      <c r="F278" s="10" t="s">
        <v>4022</v>
      </c>
      <c r="G278" s="10" t="s">
        <v>12635</v>
      </c>
      <c r="H278" s="10" t="s">
        <v>1013</v>
      </c>
      <c r="I278" s="10" t="s">
        <v>55</v>
      </c>
      <c r="K278" s="10" t="s">
        <v>13351</v>
      </c>
      <c r="L278" s="10" t="s">
        <v>42</v>
      </c>
    </row>
    <row r="279" ht="15.75" customHeight="1">
      <c r="A279" s="64">
        <v>45496.0</v>
      </c>
      <c r="B279" s="55" t="str">
        <f>HYPERLINK("https://jobright.ai/jobs/info/66a02aae83fe12fc9f1d4833?utm_campaign=1065&amp;utm_source=sheet", "Apply")</f>
        <v>Apply</v>
      </c>
      <c r="C279" s="10" t="s">
        <v>12938</v>
      </c>
      <c r="D279" s="56" t="s">
        <v>13352</v>
      </c>
      <c r="E279" s="10" t="s">
        <v>137</v>
      </c>
      <c r="F279" s="10" t="s">
        <v>6432</v>
      </c>
      <c r="G279" s="10" t="s">
        <v>12635</v>
      </c>
      <c r="H279" s="10" t="s">
        <v>188</v>
      </c>
      <c r="I279" s="10" t="s">
        <v>55</v>
      </c>
      <c r="J279" s="10" t="s">
        <v>1409</v>
      </c>
      <c r="K279" s="10" t="s">
        <v>13353</v>
      </c>
      <c r="L279" s="10" t="s">
        <v>42</v>
      </c>
    </row>
    <row r="280" ht="15.75" customHeight="1">
      <c r="A280" s="64">
        <v>45496.0</v>
      </c>
      <c r="B280" s="55" t="str">
        <f>HYPERLINK("https://jobright.ai/jobs/info/66a01d70a6ae81356f4f36b1?utm_campaign=1065&amp;utm_source=sheet", "Apply")</f>
        <v>Apply</v>
      </c>
      <c r="C280" s="10" t="s">
        <v>12728</v>
      </c>
      <c r="D280" s="56" t="s">
        <v>13354</v>
      </c>
      <c r="E280" s="59">
        <v>45301.0</v>
      </c>
      <c r="F280" s="10" t="s">
        <v>13355</v>
      </c>
      <c r="G280" s="10" t="s">
        <v>12630</v>
      </c>
      <c r="H280" s="10" t="s">
        <v>13356</v>
      </c>
      <c r="I280" s="10" t="s">
        <v>48</v>
      </c>
      <c r="K280" s="10" t="s">
        <v>13357</v>
      </c>
      <c r="L280" s="10" t="s">
        <v>42</v>
      </c>
    </row>
    <row r="281" ht="15.75" customHeight="1">
      <c r="A281" s="64">
        <v>45496.0</v>
      </c>
      <c r="B281" s="55" t="str">
        <f>HYPERLINK("https://jobright.ai/jobs/info/66a0122863639fea60ca8ca8?utm_campaign=1065&amp;utm_source=sheet", "Apply")</f>
        <v>Apply</v>
      </c>
      <c r="C281" s="10" t="s">
        <v>12965</v>
      </c>
      <c r="D281" s="56" t="s">
        <v>13358</v>
      </c>
      <c r="E281" s="10" t="s">
        <v>71</v>
      </c>
      <c r="F281" s="10" t="s">
        <v>11463</v>
      </c>
      <c r="G281" s="10" t="s">
        <v>12645</v>
      </c>
      <c r="H281" s="10" t="s">
        <v>96</v>
      </c>
      <c r="I281" s="10" t="s">
        <v>55</v>
      </c>
      <c r="K281" s="10" t="s">
        <v>13359</v>
      </c>
      <c r="L281" s="10" t="s">
        <v>42</v>
      </c>
    </row>
    <row r="282" ht="15.75" customHeight="1">
      <c r="A282" s="64">
        <v>45496.0</v>
      </c>
      <c r="B282" s="55" t="str">
        <f>HYPERLINK("https://jobright.ai/jobs/info/66a018a728a7efe347576b02?utm_campaign=1065&amp;utm_source=sheet", "Apply")</f>
        <v>Apply</v>
      </c>
      <c r="C282" s="10" t="s">
        <v>9688</v>
      </c>
      <c r="D282" s="56" t="s">
        <v>13360</v>
      </c>
      <c r="E282" s="10" t="s">
        <v>137</v>
      </c>
      <c r="G282" s="10" t="s">
        <v>12630</v>
      </c>
      <c r="H282" s="10" t="s">
        <v>251</v>
      </c>
      <c r="I282" s="10" t="s">
        <v>252</v>
      </c>
      <c r="K282" s="10" t="s">
        <v>13361</v>
      </c>
      <c r="L282" s="10" t="s">
        <v>42</v>
      </c>
    </row>
    <row r="283" ht="15.75" customHeight="1">
      <c r="A283" s="64">
        <v>45496.0</v>
      </c>
      <c r="B283" s="55" t="str">
        <f>HYPERLINK("https://jobright.ai/jobs/info/66a004197f05eedcfa57843a?utm_campaign=1065&amp;utm_source=sheet", "Apply")</f>
        <v>Apply</v>
      </c>
      <c r="C283" s="10" t="s">
        <v>13362</v>
      </c>
      <c r="D283" s="56" t="s">
        <v>13363</v>
      </c>
      <c r="E283" s="10" t="s">
        <v>137</v>
      </c>
      <c r="F283" s="10" t="s">
        <v>13089</v>
      </c>
      <c r="G283" s="10" t="s">
        <v>12630</v>
      </c>
      <c r="H283" s="10" t="s">
        <v>6071</v>
      </c>
      <c r="I283" s="10" t="s">
        <v>55</v>
      </c>
      <c r="J283" s="10" t="s">
        <v>1984</v>
      </c>
      <c r="K283" s="10" t="s">
        <v>13364</v>
      </c>
      <c r="L283" s="10" t="s">
        <v>42</v>
      </c>
    </row>
    <row r="284" ht="15.75" customHeight="1">
      <c r="A284" s="64">
        <v>45496.0</v>
      </c>
      <c r="B284" s="55" t="str">
        <f>HYPERLINK("https://jobright.ai/jobs/info/66a00f1af7f5d9f53b6e0ff1?utm_campaign=1065&amp;utm_source=sheet", "Apply")</f>
        <v>Apply</v>
      </c>
      <c r="C284" s="10" t="s">
        <v>13269</v>
      </c>
      <c r="D284" s="56" t="s">
        <v>13365</v>
      </c>
      <c r="E284" s="10">
        <v>41.0</v>
      </c>
      <c r="G284" s="10" t="s">
        <v>12654</v>
      </c>
      <c r="H284" s="10" t="s">
        <v>4501</v>
      </c>
      <c r="I284" s="10" t="s">
        <v>48</v>
      </c>
      <c r="J284" s="10" t="s">
        <v>13366</v>
      </c>
      <c r="K284" s="10" t="s">
        <v>13367</v>
      </c>
      <c r="L284" s="10" t="s">
        <v>42</v>
      </c>
    </row>
    <row r="285" ht="15.75" customHeight="1">
      <c r="A285" s="64">
        <v>45496.0</v>
      </c>
      <c r="B285" s="55" t="str">
        <f>HYPERLINK("https://jobright.ai/jobs/info/66a004327f05eedcfa578682?utm_campaign=1065&amp;utm_source=sheet", "Apply")</f>
        <v>Apply</v>
      </c>
      <c r="C285" s="10" t="s">
        <v>12785</v>
      </c>
      <c r="D285" s="56" t="s">
        <v>13368</v>
      </c>
      <c r="E285" s="10" t="s">
        <v>137</v>
      </c>
      <c r="F285" s="10" t="s">
        <v>13369</v>
      </c>
      <c r="G285" s="10" t="s">
        <v>12635</v>
      </c>
      <c r="H285" s="10" t="s">
        <v>13370</v>
      </c>
      <c r="I285" s="10" t="s">
        <v>55</v>
      </c>
      <c r="K285" s="10" t="s">
        <v>13371</v>
      </c>
      <c r="L285" s="10" t="s">
        <v>42</v>
      </c>
    </row>
    <row r="286" ht="15.75" customHeight="1">
      <c r="A286" s="64">
        <v>45496.0</v>
      </c>
      <c r="B286" s="55" t="str">
        <f>HYPERLINK("https://jobright.ai/jobs/info/66a0160e7cc92e7e865637a7?utm_campaign=1065&amp;utm_source=sheet", "Apply")</f>
        <v>Apply</v>
      </c>
      <c r="C286" s="10" t="s">
        <v>13372</v>
      </c>
      <c r="D286" s="56" t="s">
        <v>10244</v>
      </c>
      <c r="E286" s="10" t="s">
        <v>45</v>
      </c>
      <c r="G286" s="10" t="s">
        <v>12654</v>
      </c>
      <c r="H286" s="10" t="s">
        <v>13373</v>
      </c>
      <c r="I286" s="10" t="s">
        <v>55</v>
      </c>
      <c r="J286" s="10" t="s">
        <v>1761</v>
      </c>
      <c r="K286" s="10" t="s">
        <v>13374</v>
      </c>
      <c r="L286" s="10" t="s">
        <v>42</v>
      </c>
    </row>
    <row r="287" ht="15.75" customHeight="1">
      <c r="A287" s="64">
        <v>45496.0</v>
      </c>
      <c r="B287" s="55" t="str">
        <f>HYPERLINK("https://jobright.ai/jobs/info/669ffe473d9b166d49ba4e8f?utm_campaign=1065&amp;utm_source=sheet", "Apply")</f>
        <v>Apply</v>
      </c>
      <c r="C287" s="10" t="s">
        <v>13375</v>
      </c>
      <c r="D287" s="56" t="s">
        <v>13376</v>
      </c>
      <c r="E287" s="10">
        <v>7.0</v>
      </c>
      <c r="G287" s="10" t="s">
        <v>12630</v>
      </c>
      <c r="H287" s="10" t="s">
        <v>165</v>
      </c>
      <c r="I287" s="10" t="s">
        <v>48</v>
      </c>
      <c r="J287" s="10" t="s">
        <v>13377</v>
      </c>
      <c r="K287" s="10" t="s">
        <v>13378</v>
      </c>
      <c r="L287" s="10" t="s">
        <v>42</v>
      </c>
    </row>
    <row r="288" ht="15.75" customHeight="1">
      <c r="A288" s="64">
        <v>45496.0</v>
      </c>
      <c r="B288" s="55" t="str">
        <f>HYPERLINK("https://jobright.ai/jobs/info/66a02f26be9142f3106f1a54?utm_campaign=1065&amp;utm_source=sheet", "Apply")</f>
        <v>Apply</v>
      </c>
      <c r="C288" s="10" t="s">
        <v>12898</v>
      </c>
      <c r="D288" s="56" t="s">
        <v>12899</v>
      </c>
      <c r="E288" s="10">
        <v>6.0</v>
      </c>
      <c r="G288" s="10" t="s">
        <v>12654</v>
      </c>
      <c r="H288" s="10" t="s">
        <v>13379</v>
      </c>
      <c r="I288" s="10" t="s">
        <v>55</v>
      </c>
      <c r="K288" s="10" t="s">
        <v>13380</v>
      </c>
      <c r="L288" s="10" t="s">
        <v>42</v>
      </c>
    </row>
    <row r="289" ht="15.75" customHeight="1">
      <c r="A289" s="64">
        <v>45496.0</v>
      </c>
      <c r="B289" s="55" t="str">
        <f>HYPERLINK("https://jobright.ai/jobs/info/66a00157a4a9d243b7e56a1c?utm_campaign=1065&amp;utm_source=sheet", "Apply")</f>
        <v>Apply</v>
      </c>
      <c r="C289" s="10" t="s">
        <v>13381</v>
      </c>
      <c r="D289" s="56" t="s">
        <v>13382</v>
      </c>
      <c r="G289" s="10" t="s">
        <v>12630</v>
      </c>
      <c r="H289" s="10" t="s">
        <v>13383</v>
      </c>
      <c r="I289" s="10" t="s">
        <v>55</v>
      </c>
      <c r="J289" s="10" t="s">
        <v>1409</v>
      </c>
      <c r="K289" s="10" t="s">
        <v>13384</v>
      </c>
      <c r="L289" s="10" t="s">
        <v>42</v>
      </c>
    </row>
    <row r="290" ht="15.75" customHeight="1">
      <c r="A290" s="64">
        <v>45496.0</v>
      </c>
      <c r="B290" s="55" t="str">
        <f>HYPERLINK("https://jobright.ai/jobs/info/669ff069b07d98e4c0374f2e?utm_campaign=1065&amp;utm_source=sheet", "Apply")</f>
        <v>Apply</v>
      </c>
      <c r="C290" s="10" t="s">
        <v>12650</v>
      </c>
      <c r="D290" s="56" t="s">
        <v>13385</v>
      </c>
      <c r="E290" s="10">
        <v>6218.0</v>
      </c>
      <c r="G290" s="10" t="s">
        <v>12635</v>
      </c>
      <c r="H290" s="10" t="s">
        <v>13386</v>
      </c>
      <c r="I290" s="10" t="s">
        <v>55</v>
      </c>
      <c r="K290" s="10" t="s">
        <v>13387</v>
      </c>
      <c r="L290" s="10" t="s">
        <v>42</v>
      </c>
    </row>
    <row r="291" ht="15.75" customHeight="1">
      <c r="A291" s="64">
        <v>45496.0</v>
      </c>
      <c r="B291" s="55" t="str">
        <f>HYPERLINK("https://jobright.ai/jobs/info/669fe4d65d74e6023f80bf3d?utm_campaign=1065&amp;utm_source=sheet", "Apply")</f>
        <v>Apply</v>
      </c>
      <c r="C291" s="10" t="s">
        <v>13388</v>
      </c>
      <c r="D291" s="56" t="s">
        <v>13389</v>
      </c>
      <c r="E291" s="59">
        <v>45301.0</v>
      </c>
      <c r="F291" s="10" t="s">
        <v>1922</v>
      </c>
      <c r="G291" s="10" t="s">
        <v>12630</v>
      </c>
      <c r="H291" s="10" t="s">
        <v>13390</v>
      </c>
      <c r="I291" s="10" t="s">
        <v>48</v>
      </c>
      <c r="K291" s="10" t="s">
        <v>13391</v>
      </c>
      <c r="L291" s="10" t="s">
        <v>42</v>
      </c>
    </row>
    <row r="292" ht="15.75" customHeight="1">
      <c r="A292" s="64">
        <v>45496.0</v>
      </c>
      <c r="B292" s="55" t="str">
        <f>HYPERLINK("https://jobright.ai/jobs/info/66a0a21562a4555abab9f71b?utm_campaign=1065&amp;utm_source=sheet", "Apply")</f>
        <v>Apply</v>
      </c>
      <c r="C292" s="10" t="s">
        <v>13392</v>
      </c>
      <c r="D292" s="56" t="s">
        <v>13393</v>
      </c>
      <c r="E292" s="10" t="s">
        <v>137</v>
      </c>
      <c r="F292" s="10" t="s">
        <v>1983</v>
      </c>
      <c r="G292" s="10" t="s">
        <v>12654</v>
      </c>
      <c r="H292" s="10" t="s">
        <v>170</v>
      </c>
      <c r="I292" s="10" t="s">
        <v>48</v>
      </c>
      <c r="J292" s="10" t="s">
        <v>3979</v>
      </c>
      <c r="K292" s="10" t="s">
        <v>13394</v>
      </c>
      <c r="L292" s="10" t="s">
        <v>42</v>
      </c>
    </row>
    <row r="293" ht="15.75" customHeight="1">
      <c r="A293" s="64">
        <v>45496.0</v>
      </c>
      <c r="B293" s="55" t="str">
        <f>HYPERLINK("https://jobright.ai/jobs/info/669fdb65e02d05c0c9331178?utm_campaign=1065&amp;utm_source=sheet", "Apply")</f>
        <v>Apply</v>
      </c>
      <c r="C293" s="10" t="s">
        <v>12650</v>
      </c>
      <c r="D293" s="56" t="s">
        <v>13395</v>
      </c>
      <c r="E293" s="10" t="s">
        <v>65</v>
      </c>
      <c r="F293" s="10" t="s">
        <v>3516</v>
      </c>
      <c r="G293" s="10" t="s">
        <v>12635</v>
      </c>
      <c r="H293" s="10" t="s">
        <v>152</v>
      </c>
      <c r="I293" s="10" t="s">
        <v>55</v>
      </c>
      <c r="K293" s="10" t="s">
        <v>13396</v>
      </c>
      <c r="L293" s="10" t="s">
        <v>42</v>
      </c>
    </row>
    <row r="294" ht="15.75" customHeight="1">
      <c r="A294" s="64">
        <v>45496.0</v>
      </c>
      <c r="B294" s="55" t="str">
        <f>HYPERLINK("https://jobright.ai/jobs/info/669fde151c33ed13e0471a0d?utm_campaign=1065&amp;utm_source=sheet", "Apply")</f>
        <v>Apply</v>
      </c>
      <c r="C294" s="10" t="s">
        <v>13397</v>
      </c>
      <c r="D294" s="56" t="s">
        <v>363</v>
      </c>
      <c r="E294" s="10" t="s">
        <v>209</v>
      </c>
      <c r="F294" s="10" t="s">
        <v>364</v>
      </c>
      <c r="G294" s="10" t="s">
        <v>12630</v>
      </c>
      <c r="H294" s="10" t="s">
        <v>365</v>
      </c>
      <c r="I294" s="10" t="s">
        <v>48</v>
      </c>
      <c r="J294" s="10" t="s">
        <v>366</v>
      </c>
      <c r="K294" s="10" t="s">
        <v>13398</v>
      </c>
      <c r="L294" s="10" t="s">
        <v>42</v>
      </c>
    </row>
    <row r="295" ht="15.75" customHeight="1">
      <c r="A295" s="64">
        <v>45496.0</v>
      </c>
      <c r="B295" s="55" t="str">
        <f>HYPERLINK("https://jobright.ai/jobs/info/669fdac9a8a919031f05f0f2?utm_campaign=1065&amp;utm_source=sheet", "Apply")</f>
        <v>Apply</v>
      </c>
      <c r="C295" s="10" t="s">
        <v>13399</v>
      </c>
      <c r="D295" s="56" t="s">
        <v>13400</v>
      </c>
      <c r="E295" s="10" t="s">
        <v>276</v>
      </c>
      <c r="F295" s="10" t="s">
        <v>3770</v>
      </c>
      <c r="G295" s="10" t="s">
        <v>12654</v>
      </c>
      <c r="H295" s="10" t="s">
        <v>609</v>
      </c>
      <c r="I295" s="10" t="s">
        <v>55</v>
      </c>
      <c r="J295" s="10" t="s">
        <v>13401</v>
      </c>
      <c r="K295" s="10" t="s">
        <v>13402</v>
      </c>
      <c r="L295" s="10" t="s">
        <v>42</v>
      </c>
    </row>
    <row r="296" ht="15.75" customHeight="1">
      <c r="A296" s="64">
        <v>45496.0</v>
      </c>
      <c r="B296" s="55" t="str">
        <f>HYPERLINK("https://jobright.ai/jobs/info/669fde1d1c33ed13e0471adb?utm_campaign=1065&amp;utm_source=sheet", "Apply")</f>
        <v>Apply</v>
      </c>
      <c r="C296" s="10" t="s">
        <v>13403</v>
      </c>
      <c r="D296" s="56" t="s">
        <v>13404</v>
      </c>
      <c r="E296" s="10">
        <v>453.0</v>
      </c>
      <c r="G296" s="10" t="s">
        <v>12635</v>
      </c>
      <c r="H296" s="10" t="s">
        <v>952</v>
      </c>
      <c r="I296" s="10" t="s">
        <v>55</v>
      </c>
      <c r="K296" s="10" t="s">
        <v>13405</v>
      </c>
      <c r="L296" s="10" t="s">
        <v>42</v>
      </c>
    </row>
    <row r="297" ht="15.75" customHeight="1">
      <c r="A297" s="64">
        <v>45496.0</v>
      </c>
      <c r="B297" s="55" t="str">
        <f>HYPERLINK("https://jobright.ai/jobs/info/669fd06842744ff6f3a37fa5?utm_campaign=1065&amp;utm_source=sheet", "Apply")</f>
        <v>Apply</v>
      </c>
      <c r="C297" s="10" t="s">
        <v>13406</v>
      </c>
      <c r="D297" s="56" t="s">
        <v>13407</v>
      </c>
      <c r="E297" s="10">
        <v>11.0</v>
      </c>
      <c r="G297" s="10" t="s">
        <v>12630</v>
      </c>
      <c r="H297" s="10" t="s">
        <v>96</v>
      </c>
      <c r="I297" s="10" t="s">
        <v>55</v>
      </c>
      <c r="K297" s="10" t="s">
        <v>13408</v>
      </c>
      <c r="L297" s="10" t="s">
        <v>42</v>
      </c>
    </row>
    <row r="298" ht="15.75" customHeight="1">
      <c r="A298" s="64">
        <v>45496.0</v>
      </c>
      <c r="B298" s="55" t="str">
        <f>HYPERLINK("https://jobright.ai/jobs/info/669fdadea8a919031f05f330?utm_campaign=1065&amp;utm_source=sheet", "Apply")</f>
        <v>Apply</v>
      </c>
      <c r="C298" s="10" t="s">
        <v>13409</v>
      </c>
      <c r="D298" s="56" t="s">
        <v>13410</v>
      </c>
      <c r="E298" s="10" t="s">
        <v>79</v>
      </c>
      <c r="F298" s="10" t="s">
        <v>4017</v>
      </c>
      <c r="G298" s="10" t="s">
        <v>12635</v>
      </c>
      <c r="H298" s="10" t="s">
        <v>952</v>
      </c>
      <c r="I298" s="10" t="s">
        <v>55</v>
      </c>
      <c r="K298" s="10" t="s">
        <v>13405</v>
      </c>
      <c r="L298" s="10" t="s">
        <v>42</v>
      </c>
    </row>
    <row r="299" ht="15.75" customHeight="1">
      <c r="A299" s="64">
        <v>45496.0</v>
      </c>
      <c r="B299" s="55" t="str">
        <f>HYPERLINK("https://jobright.ai/jobs/info/66a3f5135fcbfa8457ce1856?utm_campaign=1065&amp;utm_source=sheet", "Apply")</f>
        <v>Apply</v>
      </c>
      <c r="C299" s="10" t="s">
        <v>13411</v>
      </c>
      <c r="D299" s="56" t="s">
        <v>13412</v>
      </c>
      <c r="E299" s="10" t="s">
        <v>79</v>
      </c>
      <c r="F299" s="10" t="s">
        <v>13413</v>
      </c>
      <c r="G299" s="10" t="s">
        <v>12654</v>
      </c>
      <c r="H299" s="10" t="s">
        <v>8252</v>
      </c>
      <c r="I299" s="10" t="s">
        <v>55</v>
      </c>
      <c r="K299" s="10" t="s">
        <v>13414</v>
      </c>
      <c r="L299" s="10" t="s">
        <v>42</v>
      </c>
    </row>
    <row r="300" ht="15.75" customHeight="1">
      <c r="A300" s="64">
        <v>45496.0</v>
      </c>
      <c r="B300" s="55" t="str">
        <f>HYPERLINK("https://jobright.ai/jobs/info/669fb9fca5eef26fc6328263?utm_campaign=1065&amp;utm_source=sheet", "Apply")</f>
        <v>Apply</v>
      </c>
      <c r="C300" s="10" t="s">
        <v>13415</v>
      </c>
      <c r="D300" s="56" t="s">
        <v>13416</v>
      </c>
      <c r="E300" s="10">
        <v>4.0</v>
      </c>
      <c r="G300" s="10" t="s">
        <v>12635</v>
      </c>
      <c r="H300" s="10" t="s">
        <v>738</v>
      </c>
      <c r="I300" s="10" t="s">
        <v>55</v>
      </c>
      <c r="K300" s="10" t="s">
        <v>13417</v>
      </c>
      <c r="L300" s="10" t="s">
        <v>42</v>
      </c>
    </row>
    <row r="301" ht="15.75" customHeight="1">
      <c r="A301" s="64">
        <v>45496.0</v>
      </c>
      <c r="B301" s="55" t="str">
        <f>HYPERLINK("https://jobright.ai/jobs/info/669fbeaf62ee49dee41ff37b?utm_campaign=1065&amp;utm_source=sheet", "Apply")</f>
        <v>Apply</v>
      </c>
      <c r="C301" s="10" t="s">
        <v>13296</v>
      </c>
      <c r="D301" s="56" t="s">
        <v>13418</v>
      </c>
      <c r="E301" s="10">
        <v>18.0</v>
      </c>
      <c r="G301" s="10" t="s">
        <v>12645</v>
      </c>
      <c r="H301" s="10" t="s">
        <v>13419</v>
      </c>
      <c r="I301" s="10" t="s">
        <v>55</v>
      </c>
      <c r="K301" s="10" t="s">
        <v>13420</v>
      </c>
      <c r="L301" s="10" t="s">
        <v>42</v>
      </c>
    </row>
    <row r="302" ht="15.75" customHeight="1">
      <c r="A302" s="64">
        <v>45496.0</v>
      </c>
      <c r="B302" s="55" t="str">
        <f>HYPERLINK("https://jobright.ai/jobs/info/669fc7b3bd6f2ddb1fda03c4?utm_campaign=1065&amp;utm_source=sheet", "Apply")</f>
        <v>Apply</v>
      </c>
      <c r="C302" s="10" t="s">
        <v>12898</v>
      </c>
      <c r="D302" s="56" t="s">
        <v>12899</v>
      </c>
      <c r="E302" s="10">
        <v>6.0</v>
      </c>
      <c r="G302" s="10" t="s">
        <v>12654</v>
      </c>
      <c r="H302" s="10" t="s">
        <v>13014</v>
      </c>
      <c r="I302" s="10" t="s">
        <v>55</v>
      </c>
      <c r="K302" s="10" t="s">
        <v>13380</v>
      </c>
      <c r="L302" s="10" t="s">
        <v>42</v>
      </c>
    </row>
    <row r="303" ht="15.75" customHeight="1">
      <c r="A303" s="64">
        <v>45496.0</v>
      </c>
      <c r="B303" s="55" t="str">
        <f>HYPERLINK("https://jobright.ai/jobs/info/669fc7b3bd6f2ddb1fda03d4?utm_campaign=1065&amp;utm_source=sheet", "Apply")</f>
        <v>Apply</v>
      </c>
      <c r="C303" s="10" t="s">
        <v>13053</v>
      </c>
      <c r="D303" s="56" t="s">
        <v>13054</v>
      </c>
      <c r="E303" s="59">
        <v>45301.0</v>
      </c>
      <c r="F303" s="10" t="s">
        <v>13055</v>
      </c>
      <c r="G303" s="10" t="s">
        <v>12645</v>
      </c>
      <c r="H303" s="10" t="s">
        <v>405</v>
      </c>
      <c r="I303" s="10" t="s">
        <v>55</v>
      </c>
      <c r="J303" s="10" t="s">
        <v>4548</v>
      </c>
      <c r="K303" s="10" t="s">
        <v>13056</v>
      </c>
      <c r="L303" s="10" t="s">
        <v>42</v>
      </c>
    </row>
    <row r="304" ht="15.75" customHeight="1">
      <c r="A304" s="64">
        <v>45496.0</v>
      </c>
      <c r="B304" s="55" t="str">
        <f>HYPERLINK("https://jobright.ai/jobs/info/66a3f4f85fcbfa8457ce158a?utm_campaign=1065&amp;utm_source=sheet", "Apply")</f>
        <v>Apply</v>
      </c>
      <c r="C304" s="10" t="s">
        <v>13421</v>
      </c>
      <c r="D304" s="56" t="s">
        <v>13422</v>
      </c>
      <c r="E304" s="10" t="s">
        <v>137</v>
      </c>
      <c r="F304" s="10" t="s">
        <v>13423</v>
      </c>
      <c r="G304" s="10" t="s">
        <v>12654</v>
      </c>
      <c r="H304" s="10" t="s">
        <v>96</v>
      </c>
      <c r="I304" s="10" t="s">
        <v>55</v>
      </c>
      <c r="J304" s="10" t="s">
        <v>13424</v>
      </c>
      <c r="K304" s="10" t="s">
        <v>13425</v>
      </c>
      <c r="L304" s="10" t="s">
        <v>42</v>
      </c>
    </row>
    <row r="305" ht="15.75" customHeight="1">
      <c r="A305" s="64">
        <v>45496.0</v>
      </c>
      <c r="B305" s="55" t="str">
        <f>HYPERLINK("https://jobright.ai/jobs/info/66a3f53f5fcbfa8457ce1bab?utm_campaign=1065&amp;utm_source=sheet", "Apply")</f>
        <v>Apply</v>
      </c>
      <c r="C305" s="10" t="s">
        <v>13421</v>
      </c>
      <c r="D305" s="56" t="s">
        <v>13422</v>
      </c>
      <c r="E305" s="10" t="s">
        <v>137</v>
      </c>
      <c r="F305" s="10" t="s">
        <v>13423</v>
      </c>
      <c r="G305" s="10" t="s">
        <v>12654</v>
      </c>
      <c r="H305" s="10" t="s">
        <v>165</v>
      </c>
      <c r="I305" s="10" t="s">
        <v>55</v>
      </c>
      <c r="J305" s="10" t="s">
        <v>13424</v>
      </c>
      <c r="K305" s="10" t="s">
        <v>13425</v>
      </c>
      <c r="L305" s="10" t="s">
        <v>42</v>
      </c>
    </row>
    <row r="306" ht="15.75" customHeight="1">
      <c r="A306" s="64">
        <v>45496.0</v>
      </c>
      <c r="B306" s="55" t="str">
        <f>HYPERLINK("https://jobright.ai/jobs/info/669fa00c23c3d3b512dfe625?utm_campaign=1065&amp;utm_source=sheet", "Apply")</f>
        <v>Apply</v>
      </c>
      <c r="C306" s="10" t="s">
        <v>13426</v>
      </c>
      <c r="D306" s="56" t="s">
        <v>13427</v>
      </c>
      <c r="E306" s="10" t="s">
        <v>209</v>
      </c>
      <c r="F306" s="10" t="s">
        <v>13428</v>
      </c>
      <c r="G306" s="10" t="s">
        <v>12630</v>
      </c>
      <c r="H306" s="10" t="s">
        <v>13429</v>
      </c>
      <c r="I306" s="10" t="s">
        <v>55</v>
      </c>
      <c r="J306" s="10" t="s">
        <v>13430</v>
      </c>
      <c r="K306" s="10" t="s">
        <v>13431</v>
      </c>
      <c r="L306" s="10" t="s">
        <v>42</v>
      </c>
    </row>
    <row r="307" ht="15.75" customHeight="1">
      <c r="A307" s="64">
        <v>45496.0</v>
      </c>
      <c r="B307" s="55" t="str">
        <f>HYPERLINK("https://jobright.ai/jobs/info/66833802b5752eff96c79cd5?utm_campaign=1065&amp;utm_source=sheet", "Apply")</f>
        <v>Apply</v>
      </c>
      <c r="C307" s="10" t="s">
        <v>13432</v>
      </c>
      <c r="D307" s="56" t="s">
        <v>13433</v>
      </c>
      <c r="E307" s="10" t="s">
        <v>209</v>
      </c>
      <c r="F307" s="10" t="s">
        <v>5497</v>
      </c>
      <c r="G307" s="10" t="s">
        <v>12654</v>
      </c>
      <c r="H307" s="10" t="s">
        <v>354</v>
      </c>
      <c r="I307" s="10" t="s">
        <v>55</v>
      </c>
      <c r="K307" s="10" t="s">
        <v>13434</v>
      </c>
      <c r="L307" s="10" t="s">
        <v>42</v>
      </c>
    </row>
    <row r="308" ht="15.75" customHeight="1">
      <c r="A308" s="64">
        <v>45496.0</v>
      </c>
      <c r="B308" s="55" t="str">
        <f>HYPERLINK("https://jobright.ai/jobs/info/669f3accb6822b542faeac01?utm_campaign=1065&amp;utm_source=sheet", "Apply")</f>
        <v>Apply</v>
      </c>
      <c r="C308" s="10" t="s">
        <v>13435</v>
      </c>
      <c r="D308" s="56" t="s">
        <v>13436</v>
      </c>
      <c r="E308" s="59">
        <v>45301.0</v>
      </c>
      <c r="F308" s="10" t="s">
        <v>2315</v>
      </c>
      <c r="G308" s="10" t="s">
        <v>12630</v>
      </c>
      <c r="H308" s="10" t="s">
        <v>113</v>
      </c>
      <c r="I308" s="10" t="s">
        <v>48</v>
      </c>
      <c r="J308" s="10" t="s">
        <v>13437</v>
      </c>
      <c r="K308" s="10" t="s">
        <v>13438</v>
      </c>
      <c r="L308" s="10" t="s">
        <v>42</v>
      </c>
    </row>
    <row r="309" ht="15.75" customHeight="1">
      <c r="A309" s="64">
        <v>45496.0</v>
      </c>
      <c r="B309" s="55" t="str">
        <f>HYPERLINK("https://jobright.ai/jobs/info/664f8cdbfbd114b690ed3f39?utm_campaign=1065&amp;utm_source=sheet", "Apply")</f>
        <v>Apply</v>
      </c>
      <c r="C309" s="10" t="s">
        <v>13439</v>
      </c>
      <c r="D309" s="56" t="s">
        <v>13440</v>
      </c>
      <c r="E309" s="10" t="s">
        <v>137</v>
      </c>
      <c r="F309" s="10" t="s">
        <v>13441</v>
      </c>
      <c r="G309" s="10" t="s">
        <v>12635</v>
      </c>
      <c r="H309" s="10" t="s">
        <v>6979</v>
      </c>
      <c r="I309" s="10" t="s">
        <v>55</v>
      </c>
      <c r="K309" s="10" t="s">
        <v>13442</v>
      </c>
      <c r="L309" s="10" t="s">
        <v>42</v>
      </c>
    </row>
    <row r="310" ht="15.75" customHeight="1">
      <c r="A310" s="64">
        <v>45496.0</v>
      </c>
      <c r="B310" s="55" t="str">
        <f>HYPERLINK("https://jobright.ai/jobs/info/669f3d67d35c4737cd42e391?utm_campaign=1065&amp;utm_source=sheet", "Apply")</f>
        <v>Apply</v>
      </c>
      <c r="C310" s="10" t="s">
        <v>13443</v>
      </c>
      <c r="D310" s="56" t="s">
        <v>13308</v>
      </c>
      <c r="E310" s="10" t="s">
        <v>79</v>
      </c>
      <c r="F310" s="10" t="s">
        <v>13309</v>
      </c>
      <c r="G310" s="10" t="s">
        <v>12654</v>
      </c>
      <c r="H310" s="10" t="s">
        <v>188</v>
      </c>
      <c r="I310" s="10" t="s">
        <v>55</v>
      </c>
      <c r="K310" s="10" t="s">
        <v>13444</v>
      </c>
      <c r="L310" s="10" t="s">
        <v>42</v>
      </c>
    </row>
    <row r="311" ht="15.75" customHeight="1">
      <c r="A311" s="64">
        <v>45496.0</v>
      </c>
      <c r="B311" s="55" t="str">
        <f>HYPERLINK("https://jobright.ai/jobs/info/669f32e1cbb1e68b1106053e?utm_campaign=1065&amp;utm_source=sheet", "Apply")</f>
        <v>Apply</v>
      </c>
      <c r="C311" s="10" t="s">
        <v>13445</v>
      </c>
      <c r="D311" s="56" t="s">
        <v>13446</v>
      </c>
      <c r="E311" s="10" t="s">
        <v>249</v>
      </c>
      <c r="F311" s="10" t="s">
        <v>1252</v>
      </c>
      <c r="G311" s="10" t="s">
        <v>12654</v>
      </c>
      <c r="H311" s="10" t="s">
        <v>165</v>
      </c>
      <c r="I311" s="10" t="s">
        <v>55</v>
      </c>
      <c r="J311" s="10" t="s">
        <v>1984</v>
      </c>
      <c r="K311" s="10" t="s">
        <v>13447</v>
      </c>
      <c r="L311" s="10" t="s">
        <v>42</v>
      </c>
    </row>
    <row r="312" ht="15.75" customHeight="1">
      <c r="A312" s="64">
        <v>45496.0</v>
      </c>
      <c r="B312" s="55" t="str">
        <f>HYPERLINK("https://jobright.ai/jobs/info/669f2ea1b04e18f4b109c423?utm_campaign=1065&amp;utm_source=sheet", "Apply")</f>
        <v>Apply</v>
      </c>
      <c r="C312" s="10" t="s">
        <v>13448</v>
      </c>
      <c r="D312" s="56" t="s">
        <v>13449</v>
      </c>
      <c r="E312" s="10" t="s">
        <v>45</v>
      </c>
      <c r="F312" s="10" t="s">
        <v>277</v>
      </c>
      <c r="G312" s="10" t="s">
        <v>12635</v>
      </c>
      <c r="H312" s="10" t="s">
        <v>949</v>
      </c>
      <c r="I312" s="10" t="s">
        <v>55</v>
      </c>
      <c r="J312" s="10" t="s">
        <v>1409</v>
      </c>
      <c r="K312" s="10" t="s">
        <v>13450</v>
      </c>
      <c r="L312" s="10" t="s">
        <v>42</v>
      </c>
    </row>
    <row r="313" ht="15.75" customHeight="1">
      <c r="A313" s="64">
        <v>45496.0</v>
      </c>
      <c r="B313" s="55" t="str">
        <f>HYPERLINK("https://jobright.ai/jobs/info/669f0f3296c5eac56793c2f3?utm_campaign=1065&amp;utm_source=sheet", "Apply")</f>
        <v>Apply</v>
      </c>
      <c r="C313" s="10" t="s">
        <v>13451</v>
      </c>
      <c r="D313" s="56" t="s">
        <v>10244</v>
      </c>
      <c r="E313" s="10" t="s">
        <v>45</v>
      </c>
      <c r="G313" s="10" t="s">
        <v>12654</v>
      </c>
      <c r="H313" s="10" t="s">
        <v>986</v>
      </c>
      <c r="I313" s="10" t="s">
        <v>55</v>
      </c>
      <c r="J313" s="10" t="s">
        <v>1409</v>
      </c>
      <c r="K313" s="10" t="s">
        <v>12746</v>
      </c>
      <c r="L313" s="10" t="s">
        <v>42</v>
      </c>
    </row>
    <row r="314" ht="15.75" customHeight="1">
      <c r="A314" s="64">
        <v>45496.0</v>
      </c>
      <c r="B314" s="55" t="str">
        <f>HYPERLINK("https://jobright.ai/jobs/info/669f074e8e61045a155226d2?utm_campaign=1065&amp;utm_source=sheet", "Apply")</f>
        <v>Apply</v>
      </c>
      <c r="C314" s="10" t="s">
        <v>13452</v>
      </c>
      <c r="D314" s="56" t="s">
        <v>13128</v>
      </c>
      <c r="E314" s="10" t="s">
        <v>79</v>
      </c>
      <c r="F314" s="10" t="s">
        <v>7346</v>
      </c>
      <c r="G314" s="10" t="s">
        <v>12693</v>
      </c>
      <c r="H314" s="10" t="s">
        <v>3440</v>
      </c>
      <c r="I314" s="10" t="s">
        <v>48</v>
      </c>
      <c r="K314" s="10" t="s">
        <v>13453</v>
      </c>
      <c r="L314" s="10" t="s">
        <v>42</v>
      </c>
    </row>
    <row r="315" ht="15.75" customHeight="1">
      <c r="A315" s="64">
        <v>45496.0</v>
      </c>
      <c r="B315" s="55" t="str">
        <f>HYPERLINK("https://jobright.ai/jobs/info/669fcddf9720391081d194fa?utm_campaign=1065&amp;utm_source=sheet", "Apply")</f>
        <v>Apply</v>
      </c>
      <c r="C315" s="10" t="s">
        <v>13454</v>
      </c>
      <c r="D315" s="56" t="s">
        <v>13455</v>
      </c>
      <c r="E315" s="10" t="s">
        <v>276</v>
      </c>
      <c r="G315" s="10" t="s">
        <v>12654</v>
      </c>
      <c r="H315" s="10" t="s">
        <v>13456</v>
      </c>
      <c r="I315" s="10" t="s">
        <v>55</v>
      </c>
      <c r="J315" s="10" t="s">
        <v>13457</v>
      </c>
      <c r="K315" s="10" t="s">
        <v>13458</v>
      </c>
      <c r="L315" s="10" t="s">
        <v>42</v>
      </c>
    </row>
    <row r="316" ht="15.75" customHeight="1">
      <c r="A316" s="64">
        <v>45496.0</v>
      </c>
      <c r="B316" s="55" t="str">
        <f>HYPERLINK("https://jobright.ai/jobs/info/66a01a2b4d688534c3b5dd8e?utm_campaign=1065&amp;utm_source=sheet", "Apply")</f>
        <v>Apply</v>
      </c>
      <c r="C316" s="10" t="s">
        <v>13459</v>
      </c>
      <c r="D316" s="56" t="s">
        <v>13460</v>
      </c>
      <c r="E316" s="10" t="s">
        <v>209</v>
      </c>
      <c r="F316" s="10" t="s">
        <v>1769</v>
      </c>
      <c r="G316" s="10" t="s">
        <v>12630</v>
      </c>
      <c r="H316" s="10" t="s">
        <v>13461</v>
      </c>
      <c r="I316" s="10" t="s">
        <v>55</v>
      </c>
      <c r="K316" s="10" t="s">
        <v>13462</v>
      </c>
      <c r="L316" s="10" t="s">
        <v>42</v>
      </c>
    </row>
    <row r="317" ht="15.75" customHeight="1">
      <c r="A317" s="64">
        <v>45496.0</v>
      </c>
      <c r="B317" s="55" t="str">
        <f>HYPERLINK("https://jobright.ai/jobs/info/669ffd8ef72037d78a638130?utm_campaign=1065&amp;utm_source=sheet", "Apply")</f>
        <v>Apply</v>
      </c>
      <c r="C317" s="10" t="s">
        <v>13463</v>
      </c>
      <c r="D317" s="56" t="s">
        <v>4945</v>
      </c>
      <c r="E317" s="10" t="s">
        <v>45</v>
      </c>
      <c r="F317" s="10" t="s">
        <v>4946</v>
      </c>
      <c r="G317" s="10" t="s">
        <v>12635</v>
      </c>
      <c r="H317" s="10" t="s">
        <v>10638</v>
      </c>
      <c r="I317" s="10" t="s">
        <v>55</v>
      </c>
      <c r="K317" s="10" t="s">
        <v>13464</v>
      </c>
      <c r="L317" s="10" t="s">
        <v>42</v>
      </c>
    </row>
    <row r="318" ht="15.75" customHeight="1">
      <c r="A318" s="64">
        <v>45496.0</v>
      </c>
      <c r="B318" s="55" t="str">
        <f>HYPERLINK("https://jobright.ai/jobs/info/66a04c81f746422e36e0b009?utm_campaign=1065&amp;utm_source=sheet", "Apply")</f>
        <v>Apply</v>
      </c>
      <c r="C318" s="10" t="s">
        <v>13230</v>
      </c>
      <c r="D318" s="56" t="s">
        <v>13071</v>
      </c>
      <c r="E318" s="10" t="s">
        <v>79</v>
      </c>
      <c r="F318" s="10" t="s">
        <v>13072</v>
      </c>
      <c r="G318" s="10" t="s">
        <v>12654</v>
      </c>
      <c r="H318" s="10" t="s">
        <v>1155</v>
      </c>
      <c r="I318" s="10" t="s">
        <v>55</v>
      </c>
      <c r="K318" s="10" t="s">
        <v>13231</v>
      </c>
      <c r="L318" s="10" t="s">
        <v>42</v>
      </c>
    </row>
    <row r="319" ht="15.75" customHeight="1">
      <c r="A319" s="64">
        <v>45495.0</v>
      </c>
      <c r="B319" s="55" t="str">
        <f>HYPERLINK("https://jobright.ai/jobs/info/669efe77fd551666e1d03a65?utm_campaign=1065&amp;utm_source=sheet", "Apply")</f>
        <v>Apply</v>
      </c>
      <c r="C319" s="10" t="s">
        <v>13465</v>
      </c>
      <c r="D319" s="56" t="s">
        <v>13466</v>
      </c>
      <c r="E319" s="10" t="s">
        <v>276</v>
      </c>
      <c r="F319" s="10" t="s">
        <v>627</v>
      </c>
      <c r="G319" s="10" t="s">
        <v>12654</v>
      </c>
      <c r="H319" s="10" t="s">
        <v>860</v>
      </c>
      <c r="I319" s="10" t="s">
        <v>48</v>
      </c>
      <c r="J319" s="10" t="s">
        <v>1409</v>
      </c>
      <c r="K319" s="10" t="s">
        <v>13467</v>
      </c>
      <c r="L319" s="10" t="s">
        <v>42</v>
      </c>
    </row>
    <row r="320" ht="15.75" customHeight="1">
      <c r="A320" s="64">
        <v>45495.0</v>
      </c>
      <c r="B320" s="55" t="str">
        <f>HYPERLINK("https://jobright.ai/jobs/info/669ef758a443ea09fce127e8?utm_campaign=1065&amp;utm_source=sheet", "Apply")</f>
        <v>Apply</v>
      </c>
      <c r="C320" s="10" t="s">
        <v>13468</v>
      </c>
      <c r="D320" s="56" t="s">
        <v>13469</v>
      </c>
      <c r="E320" s="10" t="s">
        <v>276</v>
      </c>
      <c r="F320" s="10" t="s">
        <v>13470</v>
      </c>
      <c r="G320" s="10" t="s">
        <v>12654</v>
      </c>
      <c r="H320" s="10" t="s">
        <v>4813</v>
      </c>
      <c r="I320" s="10" t="s">
        <v>48</v>
      </c>
      <c r="K320" s="10" t="s">
        <v>13471</v>
      </c>
      <c r="L320" s="10" t="s">
        <v>42</v>
      </c>
    </row>
    <row r="321" ht="15.75" customHeight="1">
      <c r="A321" s="64">
        <v>45495.0</v>
      </c>
      <c r="B321" s="55" t="str">
        <f>HYPERLINK("https://jobright.ai/jobs/info/669ef217ab6b2374b157c0c3?utm_campaign=1065&amp;utm_source=sheet", "Apply")</f>
        <v>Apply</v>
      </c>
      <c r="C321" s="10" t="s">
        <v>13472</v>
      </c>
      <c r="D321" s="56" t="s">
        <v>13473</v>
      </c>
      <c r="E321" s="10" t="s">
        <v>79</v>
      </c>
      <c r="F321" s="10" t="s">
        <v>13474</v>
      </c>
      <c r="G321" s="10" t="s">
        <v>12630</v>
      </c>
      <c r="H321" s="10" t="s">
        <v>628</v>
      </c>
      <c r="I321" s="10" t="s">
        <v>55</v>
      </c>
      <c r="K321" s="10" t="s">
        <v>13475</v>
      </c>
      <c r="L321" s="10" t="s">
        <v>42</v>
      </c>
    </row>
    <row r="322" ht="15.75" customHeight="1">
      <c r="A322" s="64">
        <v>45495.0</v>
      </c>
      <c r="B322" s="55" t="str">
        <f>HYPERLINK("https://jobright.ai/jobs/info/669ef217ab6b2374b157c0c0?utm_campaign=1065&amp;utm_source=sheet", "Apply")</f>
        <v>Apply</v>
      </c>
      <c r="C322" s="10" t="s">
        <v>13476</v>
      </c>
      <c r="D322" s="56" t="s">
        <v>13473</v>
      </c>
      <c r="E322" s="10" t="s">
        <v>79</v>
      </c>
      <c r="F322" s="10" t="s">
        <v>13474</v>
      </c>
      <c r="G322" s="10" t="s">
        <v>12630</v>
      </c>
      <c r="H322" s="10" t="s">
        <v>113</v>
      </c>
      <c r="I322" s="10" t="s">
        <v>55</v>
      </c>
      <c r="K322" s="10" t="s">
        <v>13475</v>
      </c>
      <c r="L322" s="10" t="s">
        <v>42</v>
      </c>
    </row>
    <row r="323" ht="15.75" customHeight="1">
      <c r="A323" s="64">
        <v>45495.0</v>
      </c>
      <c r="B323" s="55" t="str">
        <f>HYPERLINK("https://jobright.ai/jobs/info/669ef217ab6b2374b157c0d1?utm_campaign=1065&amp;utm_source=sheet", "Apply")</f>
        <v>Apply</v>
      </c>
      <c r="C323" s="10" t="s">
        <v>13477</v>
      </c>
      <c r="D323" s="56" t="s">
        <v>13473</v>
      </c>
      <c r="E323" s="10" t="s">
        <v>79</v>
      </c>
      <c r="F323" s="10" t="s">
        <v>13474</v>
      </c>
      <c r="G323" s="10" t="s">
        <v>12630</v>
      </c>
      <c r="H323" s="10" t="s">
        <v>994</v>
      </c>
      <c r="I323" s="10" t="s">
        <v>55</v>
      </c>
      <c r="K323" s="10" t="s">
        <v>13475</v>
      </c>
      <c r="L323" s="10" t="s">
        <v>42</v>
      </c>
    </row>
    <row r="324" ht="15.75" customHeight="1">
      <c r="A324" s="64">
        <v>45495.0</v>
      </c>
      <c r="B324" s="55" t="str">
        <f>HYPERLINK("https://jobright.ai/jobs/info/669ee2f054be8c085241d2bd?utm_campaign=1065&amp;utm_source=sheet", "Apply")</f>
        <v>Apply</v>
      </c>
      <c r="C324" s="10" t="s">
        <v>12728</v>
      </c>
      <c r="D324" s="56" t="s">
        <v>13478</v>
      </c>
      <c r="E324" s="10" t="s">
        <v>137</v>
      </c>
      <c r="F324" s="10" t="s">
        <v>13479</v>
      </c>
      <c r="G324" s="10" t="s">
        <v>12630</v>
      </c>
      <c r="H324" s="10" t="s">
        <v>3387</v>
      </c>
      <c r="I324" s="10" t="s">
        <v>55</v>
      </c>
      <c r="K324" s="10" t="s">
        <v>13480</v>
      </c>
      <c r="L324" s="10" t="s">
        <v>42</v>
      </c>
    </row>
    <row r="325" ht="15.75" customHeight="1">
      <c r="A325" s="64">
        <v>45495.0</v>
      </c>
      <c r="B325" s="55" t="str">
        <f>HYPERLINK("https://jobright.ai/jobs/info/669ef217ab6b2374b157c115?utm_campaign=1065&amp;utm_source=sheet", "Apply")</f>
        <v>Apply</v>
      </c>
      <c r="C325" s="10" t="s">
        <v>13347</v>
      </c>
      <c r="D325" s="56" t="s">
        <v>13481</v>
      </c>
      <c r="E325" s="10" t="s">
        <v>71</v>
      </c>
      <c r="F325" s="10" t="s">
        <v>1243</v>
      </c>
      <c r="G325" s="10" t="s">
        <v>12630</v>
      </c>
      <c r="H325" s="10" t="s">
        <v>96</v>
      </c>
      <c r="I325" s="10" t="s">
        <v>55</v>
      </c>
      <c r="J325" s="10" t="s">
        <v>13482</v>
      </c>
      <c r="K325" s="10" t="s">
        <v>13483</v>
      </c>
      <c r="L325" s="10" t="s">
        <v>42</v>
      </c>
    </row>
    <row r="326" ht="15.75" customHeight="1">
      <c r="A326" s="64">
        <v>45495.0</v>
      </c>
      <c r="B326" s="55" t="str">
        <f>HYPERLINK("https://jobright.ai/jobs/info/669eead6ca00356aa1b91d10?utm_campaign=1065&amp;utm_source=sheet", "Apply")</f>
        <v>Apply</v>
      </c>
      <c r="C326" s="10" t="s">
        <v>13484</v>
      </c>
      <c r="D326" s="56" t="s">
        <v>13473</v>
      </c>
      <c r="E326" s="10" t="s">
        <v>79</v>
      </c>
      <c r="F326" s="10" t="s">
        <v>13474</v>
      </c>
      <c r="G326" s="10" t="s">
        <v>12630</v>
      </c>
      <c r="H326" s="10" t="s">
        <v>607</v>
      </c>
      <c r="I326" s="10" t="s">
        <v>55</v>
      </c>
      <c r="K326" s="10" t="s">
        <v>13475</v>
      </c>
      <c r="L326" s="10" t="s">
        <v>42</v>
      </c>
    </row>
    <row r="327" ht="15.75" customHeight="1">
      <c r="A327" s="64">
        <v>45495.0</v>
      </c>
      <c r="B327" s="55" t="str">
        <f>HYPERLINK("https://jobright.ai/jobs/info/669eed43bdb0e285add8b237?utm_campaign=1065&amp;utm_source=sheet", "Apply")</f>
        <v>Apply</v>
      </c>
      <c r="C327" s="10" t="s">
        <v>13485</v>
      </c>
      <c r="D327" s="56" t="s">
        <v>13486</v>
      </c>
      <c r="E327" s="10" t="s">
        <v>45</v>
      </c>
      <c r="F327" s="10" t="s">
        <v>13487</v>
      </c>
      <c r="G327" s="10" t="s">
        <v>12654</v>
      </c>
      <c r="H327" s="10" t="s">
        <v>636</v>
      </c>
      <c r="I327" s="10" t="s">
        <v>48</v>
      </c>
      <c r="J327" s="10" t="s">
        <v>2450</v>
      </c>
      <c r="K327" s="10" t="s">
        <v>13488</v>
      </c>
      <c r="L327" s="10" t="s">
        <v>42</v>
      </c>
    </row>
    <row r="328" ht="15.75" customHeight="1">
      <c r="A328" s="64">
        <v>45495.0</v>
      </c>
      <c r="B328" s="55" t="str">
        <f>HYPERLINK("https://jobright.ai/jobs/info/669ee8524aa4bd9f77626ba9?utm_campaign=1065&amp;utm_source=sheet", "Apply")</f>
        <v>Apply</v>
      </c>
      <c r="C328" s="10" t="s">
        <v>13468</v>
      </c>
      <c r="D328" s="56" t="s">
        <v>2125</v>
      </c>
      <c r="E328" s="10" t="s">
        <v>209</v>
      </c>
      <c r="F328" s="10" t="s">
        <v>693</v>
      </c>
      <c r="G328" s="10" t="s">
        <v>12654</v>
      </c>
      <c r="H328" s="10" t="s">
        <v>4813</v>
      </c>
      <c r="I328" s="10" t="s">
        <v>48</v>
      </c>
      <c r="K328" s="10" t="s">
        <v>13471</v>
      </c>
      <c r="L328" s="10" t="s">
        <v>42</v>
      </c>
    </row>
    <row r="329" ht="15.75" customHeight="1">
      <c r="A329" s="64">
        <v>45495.0</v>
      </c>
      <c r="B329" s="55" t="str">
        <f>HYPERLINK("https://jobright.ai/jobs/info/669ee70e335dddbe62d7cf8f?utm_campaign=1065&amp;utm_source=sheet", "Apply")</f>
        <v>Apply</v>
      </c>
      <c r="C329" s="10" t="s">
        <v>13489</v>
      </c>
      <c r="D329" s="56" t="s">
        <v>13490</v>
      </c>
      <c r="E329" s="10" t="s">
        <v>65</v>
      </c>
      <c r="F329" s="10" t="s">
        <v>13491</v>
      </c>
      <c r="G329" s="10" t="s">
        <v>12693</v>
      </c>
      <c r="H329" s="10" t="s">
        <v>13492</v>
      </c>
      <c r="I329" s="10" t="s">
        <v>48</v>
      </c>
      <c r="K329" s="10" t="s">
        <v>13493</v>
      </c>
      <c r="L329" s="10" t="s">
        <v>42</v>
      </c>
    </row>
    <row r="330" ht="15.75" customHeight="1">
      <c r="A330" s="64">
        <v>45495.0</v>
      </c>
      <c r="B330" s="55" t="str">
        <f>HYPERLINK("https://jobright.ai/jobs/info/669edcda0a1a20b818bda185?utm_campaign=1065&amp;utm_source=sheet", "Apply")</f>
        <v>Apply</v>
      </c>
      <c r="C330" s="10" t="s">
        <v>12650</v>
      </c>
      <c r="D330" s="56" t="s">
        <v>13494</v>
      </c>
      <c r="E330" s="10" t="s">
        <v>79</v>
      </c>
      <c r="F330" s="10" t="s">
        <v>1695</v>
      </c>
      <c r="G330" s="10" t="s">
        <v>12630</v>
      </c>
      <c r="H330" s="10" t="s">
        <v>232</v>
      </c>
      <c r="I330" s="10" t="s">
        <v>55</v>
      </c>
      <c r="K330" s="10" t="s">
        <v>13495</v>
      </c>
      <c r="L330" s="10" t="s">
        <v>42</v>
      </c>
    </row>
    <row r="331" ht="15.75" customHeight="1">
      <c r="A331" s="64">
        <v>45495.0</v>
      </c>
      <c r="B331" s="55" t="str">
        <f>HYPERLINK("https://jobright.ai/jobs/info/669eda63445b4140a485da74?utm_campaign=1065&amp;utm_source=sheet", "Apply")</f>
        <v>Apply</v>
      </c>
      <c r="C331" s="10" t="s">
        <v>12650</v>
      </c>
      <c r="D331" s="56" t="s">
        <v>13496</v>
      </c>
      <c r="E331" s="59">
        <v>45301.0</v>
      </c>
      <c r="F331" s="10" t="s">
        <v>13497</v>
      </c>
      <c r="G331" s="10" t="s">
        <v>12630</v>
      </c>
      <c r="H331" s="10" t="s">
        <v>13498</v>
      </c>
      <c r="I331" s="10" t="s">
        <v>55</v>
      </c>
      <c r="J331" s="10" t="s">
        <v>1409</v>
      </c>
      <c r="K331" s="10" t="s">
        <v>13499</v>
      </c>
      <c r="L331" s="10" t="s">
        <v>42</v>
      </c>
    </row>
    <row r="332" ht="15.75" customHeight="1">
      <c r="A332" s="64">
        <v>45495.0</v>
      </c>
      <c r="B332" s="55" t="str">
        <f>HYPERLINK("https://jobright.ai/jobs/info/669ed7dcd1d9c7ae91affa7a?utm_campaign=1065&amp;utm_source=sheet", "Apply")</f>
        <v>Apply</v>
      </c>
      <c r="C332" s="10" t="s">
        <v>13500</v>
      </c>
      <c r="D332" s="56" t="s">
        <v>9983</v>
      </c>
      <c r="E332" s="10" t="s">
        <v>45</v>
      </c>
      <c r="F332" s="10" t="s">
        <v>2527</v>
      </c>
      <c r="G332" s="10" t="s">
        <v>12654</v>
      </c>
      <c r="H332" s="10" t="s">
        <v>9984</v>
      </c>
      <c r="I332" s="10" t="s">
        <v>48</v>
      </c>
      <c r="J332" s="10" t="s">
        <v>9985</v>
      </c>
      <c r="K332" s="10" t="s">
        <v>9986</v>
      </c>
      <c r="L332" s="10" t="s">
        <v>42</v>
      </c>
    </row>
    <row r="333" ht="15.75" customHeight="1">
      <c r="A333" s="64">
        <v>45495.0</v>
      </c>
      <c r="B333" s="55" t="str">
        <f>HYPERLINK("https://jobright.ai/jobs/info/66908b3e57e7a5bf5c5ff108?utm_campaign=1065&amp;utm_source=sheet", "Apply")</f>
        <v>Apply</v>
      </c>
      <c r="C333" s="10" t="s">
        <v>13501</v>
      </c>
      <c r="D333" s="56" t="s">
        <v>10948</v>
      </c>
      <c r="E333" s="10" t="s">
        <v>249</v>
      </c>
      <c r="F333" s="10" t="s">
        <v>5585</v>
      </c>
      <c r="G333" s="10" t="s">
        <v>12654</v>
      </c>
      <c r="H333" s="10" t="s">
        <v>10949</v>
      </c>
      <c r="I333" s="10" t="s">
        <v>55</v>
      </c>
      <c r="K333" s="10" t="s">
        <v>13502</v>
      </c>
      <c r="L333" s="10" t="s">
        <v>42</v>
      </c>
    </row>
    <row r="334" ht="15.75" customHeight="1">
      <c r="A334" s="64">
        <v>45495.0</v>
      </c>
      <c r="B334" s="55" t="str">
        <f>HYPERLINK("https://jobright.ai/jobs/info/669ed26942b6caf656ce3ee1?utm_campaign=1065&amp;utm_source=sheet", "Apply")</f>
        <v>Apply</v>
      </c>
      <c r="C334" s="10" t="s">
        <v>13503</v>
      </c>
      <c r="D334" s="56" t="s">
        <v>13504</v>
      </c>
      <c r="E334" s="10" t="s">
        <v>137</v>
      </c>
      <c r="F334" s="10" t="s">
        <v>13505</v>
      </c>
      <c r="G334" s="10" t="s">
        <v>12654</v>
      </c>
      <c r="H334" s="10" t="s">
        <v>154</v>
      </c>
      <c r="I334" s="10" t="s">
        <v>48</v>
      </c>
      <c r="J334" s="10" t="s">
        <v>13506</v>
      </c>
      <c r="K334" s="10" t="s">
        <v>13507</v>
      </c>
      <c r="L334" s="10" t="s">
        <v>42</v>
      </c>
    </row>
    <row r="335" ht="15.75" customHeight="1">
      <c r="A335" s="64">
        <v>45495.0</v>
      </c>
      <c r="B335" s="55" t="str">
        <f>HYPERLINK("https://jobright.ai/jobs/info/669f11daac422408df0c0f2f?utm_campaign=1065&amp;utm_source=sheet", "Apply")</f>
        <v>Apply</v>
      </c>
      <c r="C335" s="10" t="s">
        <v>13508</v>
      </c>
      <c r="D335" s="56" t="s">
        <v>2215</v>
      </c>
      <c r="E335" s="10" t="s">
        <v>45</v>
      </c>
      <c r="F335" s="10" t="s">
        <v>2216</v>
      </c>
      <c r="G335" s="10" t="s">
        <v>12654</v>
      </c>
      <c r="H335" s="10" t="s">
        <v>807</v>
      </c>
      <c r="I335" s="10" t="s">
        <v>55</v>
      </c>
      <c r="J335" s="10" t="s">
        <v>13509</v>
      </c>
      <c r="K335" s="10" t="s">
        <v>13510</v>
      </c>
      <c r="L335" s="10" t="s">
        <v>42</v>
      </c>
    </row>
    <row r="336" ht="15.75" customHeight="1">
      <c r="A336" s="64">
        <v>45495.0</v>
      </c>
      <c r="B336" s="55" t="str">
        <f>HYPERLINK("https://jobright.ai/jobs/info/669eda75445b4140a485db93?utm_campaign=1065&amp;utm_source=sheet", "Apply")</f>
        <v>Apply</v>
      </c>
      <c r="C336" s="10" t="s">
        <v>13511</v>
      </c>
      <c r="D336" s="56" t="s">
        <v>13512</v>
      </c>
      <c r="E336" s="10" t="s">
        <v>137</v>
      </c>
      <c r="F336" s="10" t="s">
        <v>13513</v>
      </c>
      <c r="G336" s="10" t="s">
        <v>12654</v>
      </c>
      <c r="H336" s="10" t="s">
        <v>13514</v>
      </c>
      <c r="I336" s="10" t="s">
        <v>55</v>
      </c>
      <c r="J336" s="10" t="s">
        <v>13515</v>
      </c>
      <c r="K336" s="10" t="s">
        <v>13516</v>
      </c>
      <c r="L336" s="10" t="s">
        <v>42</v>
      </c>
    </row>
    <row r="337" ht="15.75" customHeight="1">
      <c r="A337" s="64">
        <v>45495.0</v>
      </c>
      <c r="B337" s="55" t="str">
        <f>HYPERLINK("https://jobright.ai/jobs/info/669ed59b0164fd3c4788b1d0?utm_campaign=1065&amp;utm_source=sheet", "Apply")</f>
        <v>Apply</v>
      </c>
      <c r="C337" s="10" t="s">
        <v>13517</v>
      </c>
      <c r="D337" s="56" t="s">
        <v>13518</v>
      </c>
      <c r="E337" s="10" t="s">
        <v>276</v>
      </c>
      <c r="F337" s="10" t="s">
        <v>13519</v>
      </c>
      <c r="G337" s="10" t="s">
        <v>12654</v>
      </c>
      <c r="H337" s="10" t="s">
        <v>3674</v>
      </c>
      <c r="I337" s="10" t="s">
        <v>55</v>
      </c>
      <c r="K337" s="10" t="s">
        <v>13520</v>
      </c>
      <c r="L337" s="10" t="s">
        <v>42</v>
      </c>
    </row>
    <row r="338" ht="15.75" customHeight="1">
      <c r="A338" s="64">
        <v>45495.0</v>
      </c>
      <c r="B338" s="55" t="str">
        <f>HYPERLINK("https://jobright.ai/jobs/info/669edde8155ef203fa66a71d?utm_campaign=1065&amp;utm_source=sheet", "Apply")</f>
        <v>Apply</v>
      </c>
      <c r="C338" s="10" t="s">
        <v>13521</v>
      </c>
      <c r="D338" s="56" t="s">
        <v>13522</v>
      </c>
      <c r="E338" s="10" t="s">
        <v>45</v>
      </c>
      <c r="F338" s="10" t="s">
        <v>3124</v>
      </c>
      <c r="G338" s="10" t="s">
        <v>12630</v>
      </c>
      <c r="H338" s="10" t="s">
        <v>6506</v>
      </c>
      <c r="I338" s="10" t="s">
        <v>55</v>
      </c>
      <c r="J338" s="10" t="s">
        <v>13523</v>
      </c>
      <c r="K338" s="10" t="s">
        <v>13524</v>
      </c>
      <c r="L338" s="10" t="s">
        <v>42</v>
      </c>
    </row>
    <row r="339" ht="15.75" customHeight="1">
      <c r="A339" s="64">
        <v>45495.0</v>
      </c>
      <c r="B339" s="55" t="str">
        <f>HYPERLINK("https://jobright.ai/jobs/info/669ecc3ad13ec8010d80f3f1?utm_campaign=1065&amp;utm_source=sheet", "Apply")</f>
        <v>Apply</v>
      </c>
      <c r="C339" s="10" t="s">
        <v>13525</v>
      </c>
      <c r="D339" s="56" t="s">
        <v>13526</v>
      </c>
      <c r="E339" s="10" t="s">
        <v>65</v>
      </c>
      <c r="F339" s="10" t="s">
        <v>13527</v>
      </c>
      <c r="G339" s="10" t="s">
        <v>12630</v>
      </c>
      <c r="H339" s="10" t="s">
        <v>1017</v>
      </c>
      <c r="I339" s="10" t="s">
        <v>55</v>
      </c>
      <c r="J339" s="10" t="s">
        <v>13528</v>
      </c>
      <c r="K339" s="10" t="s">
        <v>13529</v>
      </c>
      <c r="L339" s="10" t="s">
        <v>42</v>
      </c>
    </row>
    <row r="340" ht="15.75" customHeight="1">
      <c r="A340" s="64">
        <v>45495.0</v>
      </c>
      <c r="B340" s="55" t="str">
        <f>HYPERLINK("https://jobright.ai/jobs/info/669ebf503e056b7d68d3d0ed?utm_campaign=1065&amp;utm_source=sheet", "Apply")</f>
        <v>Apply</v>
      </c>
      <c r="C340" s="10" t="s">
        <v>13530</v>
      </c>
      <c r="D340" s="56" t="s">
        <v>13531</v>
      </c>
      <c r="E340" s="59">
        <v>45301.0</v>
      </c>
      <c r="F340" s="10" t="s">
        <v>13532</v>
      </c>
      <c r="G340" s="10" t="s">
        <v>12654</v>
      </c>
      <c r="H340" s="10" t="s">
        <v>170</v>
      </c>
      <c r="I340" s="10" t="s">
        <v>55</v>
      </c>
      <c r="J340" s="10" t="s">
        <v>13533</v>
      </c>
      <c r="K340" s="10" t="s">
        <v>13534</v>
      </c>
      <c r="L340" s="10" t="s">
        <v>42</v>
      </c>
    </row>
    <row r="341" ht="15.75" customHeight="1">
      <c r="A341" s="64">
        <v>45495.0</v>
      </c>
      <c r="B341" s="55" t="str">
        <f>HYPERLINK("https://jobright.ai/jobs/info/669ec288155221b6e18e99d0?utm_campaign=1065&amp;utm_source=sheet", "Apply")</f>
        <v>Apply</v>
      </c>
      <c r="C341" s="10" t="s">
        <v>13535</v>
      </c>
      <c r="D341" s="56" t="s">
        <v>13536</v>
      </c>
      <c r="E341" s="10" t="s">
        <v>71</v>
      </c>
      <c r="F341" s="10" t="s">
        <v>13537</v>
      </c>
      <c r="G341" s="10" t="s">
        <v>12654</v>
      </c>
      <c r="H341" s="10" t="s">
        <v>13538</v>
      </c>
      <c r="I341" s="10" t="s">
        <v>55</v>
      </c>
      <c r="J341" s="10" t="s">
        <v>1960</v>
      </c>
      <c r="K341" s="10" t="s">
        <v>13539</v>
      </c>
      <c r="L341" s="10" t="s">
        <v>42</v>
      </c>
    </row>
    <row r="342" ht="15.75" customHeight="1">
      <c r="A342" s="64">
        <v>45495.0</v>
      </c>
      <c r="B342" s="55" t="str">
        <f>HYPERLINK("https://jobright.ai/jobs/info/669ebb7220640de33b233b95?utm_campaign=1065&amp;utm_source=sheet", "Apply")</f>
        <v>Apply</v>
      </c>
      <c r="C342" s="10" t="s">
        <v>13540</v>
      </c>
      <c r="D342" s="56" t="s">
        <v>13541</v>
      </c>
      <c r="E342" s="10">
        <v>3626.0</v>
      </c>
      <c r="G342" s="10" t="s">
        <v>12630</v>
      </c>
      <c r="H342" s="10" t="s">
        <v>3674</v>
      </c>
      <c r="I342" s="10" t="s">
        <v>55</v>
      </c>
      <c r="J342" s="10" t="s">
        <v>13542</v>
      </c>
      <c r="K342" s="10" t="s">
        <v>13543</v>
      </c>
      <c r="L342" s="10" t="s">
        <v>42</v>
      </c>
    </row>
    <row r="343" ht="15.75" customHeight="1">
      <c r="A343" s="64">
        <v>45495.0</v>
      </c>
      <c r="B343" s="55" t="str">
        <f>HYPERLINK("https://jobright.ai/jobs/info/669eb6193fc11ff7321cfa40?utm_campaign=1065&amp;utm_source=sheet", "Apply")</f>
        <v>Apply</v>
      </c>
      <c r="C343" s="10" t="s">
        <v>13544</v>
      </c>
      <c r="D343" s="56" t="s">
        <v>13545</v>
      </c>
      <c r="E343" s="10" t="s">
        <v>65</v>
      </c>
      <c r="F343" s="10" t="s">
        <v>13546</v>
      </c>
      <c r="G343" s="10" t="s">
        <v>12630</v>
      </c>
      <c r="H343" s="10" t="s">
        <v>139</v>
      </c>
      <c r="I343" s="10" t="s">
        <v>48</v>
      </c>
      <c r="K343" s="10" t="s">
        <v>13547</v>
      </c>
      <c r="L343" s="10" t="s">
        <v>42</v>
      </c>
    </row>
    <row r="344" ht="15.75" customHeight="1">
      <c r="A344" s="64">
        <v>45495.0</v>
      </c>
      <c r="B344" s="55" t="str">
        <f>HYPERLINK("https://jobright.ai/jobs/info/669eb6193fc11ff7321cfa8b?utm_campaign=1065&amp;utm_source=sheet", "Apply")</f>
        <v>Apply</v>
      </c>
      <c r="C344" s="10" t="s">
        <v>13548</v>
      </c>
      <c r="D344" s="56" t="s">
        <v>13549</v>
      </c>
      <c r="E344" s="10" t="s">
        <v>79</v>
      </c>
      <c r="F344" s="10" t="s">
        <v>13550</v>
      </c>
      <c r="G344" s="10" t="s">
        <v>12645</v>
      </c>
      <c r="H344" s="10" t="s">
        <v>11266</v>
      </c>
      <c r="I344" s="10" t="s">
        <v>48</v>
      </c>
      <c r="K344" s="10" t="s">
        <v>13551</v>
      </c>
      <c r="L344" s="10" t="s">
        <v>42</v>
      </c>
    </row>
    <row r="345" ht="15.75" customHeight="1">
      <c r="A345" s="64">
        <v>45495.0</v>
      </c>
      <c r="B345" s="55" t="str">
        <f>HYPERLINK("https://jobright.ai/jobs/info/669eaee217d5ed9a58b84284?utm_campaign=1065&amp;utm_source=sheet", "Apply")</f>
        <v>Apply</v>
      </c>
      <c r="C345" s="10" t="s">
        <v>13552</v>
      </c>
      <c r="D345" s="56" t="s">
        <v>13553</v>
      </c>
      <c r="E345" s="10" t="s">
        <v>65</v>
      </c>
      <c r="F345" s="10" t="s">
        <v>12539</v>
      </c>
      <c r="G345" s="10" t="s">
        <v>12630</v>
      </c>
      <c r="H345" s="10" t="s">
        <v>1008</v>
      </c>
      <c r="I345" s="10" t="s">
        <v>55</v>
      </c>
      <c r="K345" s="10" t="s">
        <v>13554</v>
      </c>
      <c r="L345" s="10" t="s">
        <v>42</v>
      </c>
    </row>
    <row r="346" ht="15.75" customHeight="1">
      <c r="A346" s="64">
        <v>45495.0</v>
      </c>
      <c r="B346" s="55" t="str">
        <f>HYPERLINK("https://jobright.ai/jobs/info/669eaee217d5ed9a58b842f1?utm_campaign=1065&amp;utm_source=sheet", "Apply")</f>
        <v>Apply</v>
      </c>
      <c r="C346" s="10" t="s">
        <v>12650</v>
      </c>
      <c r="D346" s="56" t="s">
        <v>13555</v>
      </c>
      <c r="E346" s="59">
        <v>45301.0</v>
      </c>
      <c r="F346" s="10" t="s">
        <v>12674</v>
      </c>
      <c r="G346" s="10" t="s">
        <v>12635</v>
      </c>
      <c r="H346" s="10" t="s">
        <v>13556</v>
      </c>
      <c r="I346" s="10" t="s">
        <v>55</v>
      </c>
      <c r="K346" s="10" t="s">
        <v>13557</v>
      </c>
      <c r="L346" s="10" t="s">
        <v>42</v>
      </c>
    </row>
    <row r="347" ht="15.75" customHeight="1">
      <c r="A347" s="64">
        <v>45495.0</v>
      </c>
      <c r="B347" s="55" t="str">
        <f>HYPERLINK("https://jobright.ai/jobs/info/669eaee217d5ed9a58b84311?utm_campaign=1065&amp;utm_source=sheet", "Apply")</f>
        <v>Apply</v>
      </c>
      <c r="C347" s="10" t="s">
        <v>13042</v>
      </c>
      <c r="D347" s="56" t="s">
        <v>13558</v>
      </c>
      <c r="E347" s="10">
        <v>48.0</v>
      </c>
      <c r="G347" s="10" t="s">
        <v>12630</v>
      </c>
      <c r="H347" s="10" t="s">
        <v>13559</v>
      </c>
      <c r="I347" s="10" t="s">
        <v>55</v>
      </c>
      <c r="J347" s="10" t="s">
        <v>1409</v>
      </c>
      <c r="K347" s="10" t="s">
        <v>13560</v>
      </c>
      <c r="L347" s="10" t="s">
        <v>42</v>
      </c>
    </row>
    <row r="348" ht="15.75" customHeight="1">
      <c r="A348" s="64">
        <v>45495.0</v>
      </c>
      <c r="B348" s="55" t="str">
        <f>HYPERLINK("https://jobright.ai/jobs/info/669ea96d11c6c4cf6b3b391a?utm_campaign=1065&amp;utm_source=sheet", "Apply")</f>
        <v>Apply</v>
      </c>
      <c r="C348" s="10" t="s">
        <v>13561</v>
      </c>
      <c r="D348" s="56" t="s">
        <v>12761</v>
      </c>
      <c r="E348" s="10" t="s">
        <v>45</v>
      </c>
      <c r="F348" s="10" t="s">
        <v>12762</v>
      </c>
      <c r="G348" s="10" t="s">
        <v>12654</v>
      </c>
      <c r="H348" s="10" t="s">
        <v>835</v>
      </c>
      <c r="I348" s="10" t="s">
        <v>55</v>
      </c>
      <c r="K348" s="10" t="s">
        <v>13562</v>
      </c>
      <c r="L348" s="10" t="s">
        <v>42</v>
      </c>
    </row>
    <row r="349" ht="15.75" customHeight="1">
      <c r="A349" s="64">
        <v>45495.0</v>
      </c>
      <c r="B349" s="55" t="str">
        <f>HYPERLINK("https://jobright.ai/jobs/info/669f364dca4aaf7ea9d2bffa?utm_campaign=1065&amp;utm_source=sheet", "Apply")</f>
        <v>Apply</v>
      </c>
      <c r="C349" s="10" t="s">
        <v>13563</v>
      </c>
      <c r="D349" s="56" t="s">
        <v>13564</v>
      </c>
      <c r="E349" s="59">
        <v>45301.0</v>
      </c>
      <c r="F349" s="10" t="s">
        <v>13565</v>
      </c>
      <c r="G349" s="10" t="s">
        <v>12630</v>
      </c>
      <c r="H349" s="10" t="s">
        <v>153</v>
      </c>
      <c r="I349" s="10" t="s">
        <v>55</v>
      </c>
      <c r="K349" s="10" t="s">
        <v>13566</v>
      </c>
      <c r="L349" s="10" t="s">
        <v>42</v>
      </c>
    </row>
    <row r="350" ht="15.75" customHeight="1">
      <c r="A350" s="64">
        <v>45495.0</v>
      </c>
      <c r="B350" s="55" t="str">
        <f>HYPERLINK("https://jobright.ai/jobs/info/669ea8ff0d86c6d524e485fe?utm_campaign=1065&amp;utm_source=sheet", "Apply")</f>
        <v>Apply</v>
      </c>
      <c r="C350" s="10" t="s">
        <v>13567</v>
      </c>
      <c r="D350" s="56" t="s">
        <v>13568</v>
      </c>
      <c r="E350" s="10" t="s">
        <v>276</v>
      </c>
      <c r="F350" s="10" t="s">
        <v>13089</v>
      </c>
      <c r="G350" s="10" t="s">
        <v>12654</v>
      </c>
      <c r="H350" s="10" t="s">
        <v>6071</v>
      </c>
      <c r="I350" s="10" t="s">
        <v>55</v>
      </c>
      <c r="J350" s="10" t="s">
        <v>13569</v>
      </c>
      <c r="K350" s="10" t="s">
        <v>13570</v>
      </c>
      <c r="L350" s="10" t="s">
        <v>42</v>
      </c>
    </row>
    <row r="351" ht="15.75" customHeight="1">
      <c r="A351" s="64">
        <v>45495.0</v>
      </c>
      <c r="B351" s="55" t="str">
        <f>HYPERLINK("https://jobright.ai/jobs/info/669e9aaa3d28756ea8e0f0a9?utm_campaign=1065&amp;utm_source=sheet", "Apply")</f>
        <v>Apply</v>
      </c>
      <c r="C351" s="10" t="s">
        <v>12650</v>
      </c>
      <c r="D351" s="56" t="s">
        <v>2269</v>
      </c>
      <c r="E351" s="10" t="s">
        <v>45</v>
      </c>
      <c r="F351" s="10" t="s">
        <v>665</v>
      </c>
      <c r="G351" s="10" t="s">
        <v>12635</v>
      </c>
      <c r="H351" s="10" t="s">
        <v>1198</v>
      </c>
      <c r="I351" s="10" t="s">
        <v>55</v>
      </c>
      <c r="K351" s="10" t="s">
        <v>13571</v>
      </c>
      <c r="L351" s="10" t="s">
        <v>42</v>
      </c>
    </row>
    <row r="352" ht="15.75" customHeight="1">
      <c r="A352" s="64">
        <v>45495.0</v>
      </c>
      <c r="B352" s="55" t="str">
        <f>HYPERLINK("https://jobright.ai/jobs/info/669ee718335dddbe62d7d049?utm_campaign=1065&amp;utm_source=sheet", "Apply")</f>
        <v>Apply</v>
      </c>
      <c r="C352" s="10" t="s">
        <v>13572</v>
      </c>
      <c r="D352" s="56" t="s">
        <v>13573</v>
      </c>
      <c r="E352" s="10" t="s">
        <v>71</v>
      </c>
      <c r="F352" s="10" t="s">
        <v>627</v>
      </c>
      <c r="G352" s="10" t="s">
        <v>12635</v>
      </c>
      <c r="H352" s="10" t="s">
        <v>794</v>
      </c>
      <c r="I352" s="10" t="s">
        <v>55</v>
      </c>
      <c r="K352" s="10" t="s">
        <v>13574</v>
      </c>
      <c r="L352" s="10" t="s">
        <v>42</v>
      </c>
    </row>
    <row r="353" ht="15.75" customHeight="1">
      <c r="A353" s="64">
        <v>45495.0</v>
      </c>
      <c r="B353" s="55" t="str">
        <f>HYPERLINK("https://jobright.ai/jobs/info/66984ec16ace611cbf3c75dc?utm_campaign=1065&amp;utm_source=sheet", "Apply")</f>
        <v>Apply</v>
      </c>
      <c r="C353" s="10" t="s">
        <v>13575</v>
      </c>
      <c r="D353" s="56" t="s">
        <v>13576</v>
      </c>
      <c r="E353" s="10">
        <v>760.0</v>
      </c>
      <c r="G353" s="10" t="s">
        <v>12654</v>
      </c>
      <c r="H353" s="10" t="s">
        <v>13577</v>
      </c>
      <c r="I353" s="10" t="s">
        <v>252</v>
      </c>
      <c r="K353" s="10" t="s">
        <v>13578</v>
      </c>
      <c r="L353" s="10" t="s">
        <v>42</v>
      </c>
    </row>
    <row r="354" ht="15.75" customHeight="1">
      <c r="A354" s="64">
        <v>45495.0</v>
      </c>
      <c r="B354" s="55" t="str">
        <f>HYPERLINK("https://jobright.ai/jobs/info/66984c55a353cfcf9467ef4a?utm_campaign=1065&amp;utm_source=sheet", "Apply")</f>
        <v>Apply</v>
      </c>
      <c r="C354" s="10" t="s">
        <v>12650</v>
      </c>
      <c r="D354" s="56" t="s">
        <v>13579</v>
      </c>
      <c r="E354" s="59">
        <v>45301.0</v>
      </c>
      <c r="F354" s="10" t="s">
        <v>13580</v>
      </c>
      <c r="G354" s="10" t="s">
        <v>12635</v>
      </c>
      <c r="H354" s="10" t="s">
        <v>423</v>
      </c>
      <c r="I354" s="10" t="s">
        <v>48</v>
      </c>
      <c r="J354" s="10" t="s">
        <v>1984</v>
      </c>
      <c r="K354" s="10" t="s">
        <v>13581</v>
      </c>
      <c r="L354" s="10" t="s">
        <v>42</v>
      </c>
    </row>
    <row r="355" ht="15.75" customHeight="1">
      <c r="A355" s="64">
        <v>45495.0</v>
      </c>
      <c r="B355" s="55" t="str">
        <f>HYPERLINK("https://jobright.ai/jobs/info/669e8f7e6839bfd0d94e0034?utm_campaign=1065&amp;utm_source=sheet", "Apply")</f>
        <v>Apply</v>
      </c>
      <c r="C355" s="10" t="s">
        <v>13563</v>
      </c>
      <c r="D355" s="56" t="s">
        <v>13582</v>
      </c>
      <c r="E355" s="10" t="s">
        <v>79</v>
      </c>
      <c r="F355" s="10" t="s">
        <v>13583</v>
      </c>
      <c r="G355" s="10" t="s">
        <v>12630</v>
      </c>
      <c r="H355" s="10" t="s">
        <v>13002</v>
      </c>
      <c r="I355" s="10" t="s">
        <v>48</v>
      </c>
      <c r="K355" s="10" t="s">
        <v>13584</v>
      </c>
      <c r="L355" s="10" t="s">
        <v>42</v>
      </c>
    </row>
    <row r="356" ht="15.75" customHeight="1">
      <c r="A356" s="64">
        <v>45495.0</v>
      </c>
      <c r="B356" s="55" t="str">
        <f>HYPERLINK("https://jobright.ai/jobs/info/669e99a349d1c738f4cb0134?utm_campaign=1065&amp;utm_source=sheet", "Apply")</f>
        <v>Apply</v>
      </c>
      <c r="C356" s="10" t="s">
        <v>13561</v>
      </c>
      <c r="D356" s="56" t="s">
        <v>13207</v>
      </c>
      <c r="E356" s="10" t="s">
        <v>209</v>
      </c>
      <c r="F356" s="10" t="s">
        <v>2385</v>
      </c>
      <c r="G356" s="10" t="s">
        <v>12654</v>
      </c>
      <c r="H356" s="10" t="s">
        <v>835</v>
      </c>
      <c r="I356" s="10" t="s">
        <v>55</v>
      </c>
      <c r="K356" s="10" t="s">
        <v>13562</v>
      </c>
      <c r="L356" s="10" t="s">
        <v>42</v>
      </c>
    </row>
    <row r="357" ht="15.75" customHeight="1">
      <c r="A357" s="64">
        <v>45495.0</v>
      </c>
      <c r="B357" s="55" t="str">
        <f>HYPERLINK("https://jobright.ai/jobs/info/669e856c6fcd424695e731bf?utm_campaign=1065&amp;utm_source=sheet", "Apply")</f>
        <v>Apply</v>
      </c>
      <c r="C357" s="10" t="s">
        <v>12728</v>
      </c>
      <c r="D357" s="56" t="s">
        <v>13585</v>
      </c>
      <c r="E357" s="10" t="s">
        <v>137</v>
      </c>
      <c r="F357" s="10" t="s">
        <v>13089</v>
      </c>
      <c r="G357" s="10" t="s">
        <v>12630</v>
      </c>
      <c r="H357" s="10" t="s">
        <v>13586</v>
      </c>
      <c r="I357" s="10" t="s">
        <v>48</v>
      </c>
      <c r="K357" s="10" t="s">
        <v>13587</v>
      </c>
      <c r="L357" s="10" t="s">
        <v>42</v>
      </c>
    </row>
    <row r="358" ht="15.75" customHeight="1">
      <c r="A358" s="64">
        <v>45495.0</v>
      </c>
      <c r="B358" s="55" t="str">
        <f>HYPERLINK("https://jobright.ai/jobs/info/669940ec927fa60394d7e5bf?utm_campaign=1065&amp;utm_source=sheet", "Apply")</f>
        <v>Apply</v>
      </c>
      <c r="C358" s="10" t="s">
        <v>13588</v>
      </c>
      <c r="D358" s="56" t="s">
        <v>13589</v>
      </c>
      <c r="E358" s="10">
        <v>86.0</v>
      </c>
      <c r="G358" s="10" t="s">
        <v>12635</v>
      </c>
      <c r="H358" s="10" t="s">
        <v>139</v>
      </c>
      <c r="I358" s="10" t="s">
        <v>48</v>
      </c>
      <c r="K358" s="10" t="s">
        <v>13590</v>
      </c>
      <c r="L358" s="10" t="s">
        <v>42</v>
      </c>
    </row>
    <row r="359" ht="15.75" customHeight="1">
      <c r="A359" s="64">
        <v>45495.0</v>
      </c>
      <c r="B359" s="55" t="str">
        <f>HYPERLINK("https://jobright.ai/jobs/info/669e827d835d855119d4aac4?utm_campaign=1065&amp;utm_source=sheet", "Apply")</f>
        <v>Apply</v>
      </c>
      <c r="C359" s="10" t="s">
        <v>12650</v>
      </c>
      <c r="D359" s="56" t="s">
        <v>13591</v>
      </c>
      <c r="E359" s="10" t="s">
        <v>137</v>
      </c>
      <c r="F359" s="10" t="s">
        <v>2315</v>
      </c>
      <c r="G359" s="10" t="s">
        <v>12630</v>
      </c>
      <c r="H359" s="10" t="s">
        <v>251</v>
      </c>
      <c r="I359" s="10" t="s">
        <v>252</v>
      </c>
      <c r="K359" s="10" t="s">
        <v>13592</v>
      </c>
      <c r="L359" s="10" t="s">
        <v>42</v>
      </c>
    </row>
    <row r="360" ht="15.75" customHeight="1">
      <c r="A360" s="64">
        <v>45495.0</v>
      </c>
      <c r="B360" s="55" t="str">
        <f>HYPERLINK("https://jobright.ai/jobs/info/669ea35eac04dc4b2d05ae36?utm_campaign=1065&amp;utm_source=sheet", "Apply")</f>
        <v>Apply</v>
      </c>
      <c r="C360" s="10" t="s">
        <v>13593</v>
      </c>
      <c r="D360" s="56" t="s">
        <v>13594</v>
      </c>
      <c r="E360" s="10" t="s">
        <v>79</v>
      </c>
      <c r="F360" s="10" t="s">
        <v>13595</v>
      </c>
      <c r="G360" s="10" t="s">
        <v>12635</v>
      </c>
      <c r="H360" s="10" t="s">
        <v>986</v>
      </c>
      <c r="I360" s="10" t="s">
        <v>55</v>
      </c>
      <c r="J360" s="10" t="s">
        <v>1797</v>
      </c>
      <c r="K360" s="10" t="s">
        <v>13596</v>
      </c>
      <c r="L360" s="10" t="s">
        <v>42</v>
      </c>
    </row>
    <row r="361" ht="15.75" customHeight="1">
      <c r="A361" s="64">
        <v>45495.0</v>
      </c>
      <c r="B361" s="55" t="str">
        <f>HYPERLINK("https://jobright.ai/jobs/info/669e827d835d855119d4ab35?utm_campaign=1065&amp;utm_source=sheet", "Apply")</f>
        <v>Apply</v>
      </c>
      <c r="C361" s="10" t="s">
        <v>13597</v>
      </c>
      <c r="D361" s="56" t="s">
        <v>5704</v>
      </c>
      <c r="E361" s="10" t="s">
        <v>209</v>
      </c>
      <c r="F361" s="10" t="s">
        <v>5705</v>
      </c>
      <c r="G361" s="10" t="s">
        <v>12654</v>
      </c>
      <c r="H361" s="10" t="s">
        <v>3847</v>
      </c>
      <c r="I361" s="10" t="s">
        <v>48</v>
      </c>
      <c r="K361" s="10" t="s">
        <v>13598</v>
      </c>
      <c r="L361" s="10" t="s">
        <v>42</v>
      </c>
    </row>
    <row r="362" ht="15.75" customHeight="1">
      <c r="A362" s="64">
        <v>45495.0</v>
      </c>
      <c r="B362" s="55" t="str">
        <f>HYPERLINK("https://jobright.ai/jobs/info/669e654bc170bee56b299cad?utm_campaign=1065&amp;utm_source=sheet", "Apply")</f>
        <v>Apply</v>
      </c>
      <c r="C362" s="10" t="s">
        <v>12904</v>
      </c>
      <c r="D362" s="56" t="s">
        <v>13599</v>
      </c>
      <c r="E362" s="10" t="s">
        <v>65</v>
      </c>
      <c r="F362" s="10" t="s">
        <v>85</v>
      </c>
      <c r="G362" s="10" t="s">
        <v>12654</v>
      </c>
      <c r="H362" s="10" t="s">
        <v>153</v>
      </c>
      <c r="I362" s="10" t="s">
        <v>48</v>
      </c>
      <c r="J362" s="10" t="s">
        <v>1960</v>
      </c>
      <c r="K362" s="10" t="s">
        <v>13600</v>
      </c>
      <c r="L362" s="10" t="s">
        <v>42</v>
      </c>
    </row>
    <row r="363" ht="15.75" customHeight="1">
      <c r="A363" s="64">
        <v>45495.0</v>
      </c>
      <c r="B363" s="55" t="str">
        <f>HYPERLINK("https://jobright.ai/jobs/info/669fb77d2623b0fc8308ab66?utm_campaign=1065&amp;utm_source=sheet", "Apply")</f>
        <v>Apply</v>
      </c>
      <c r="C363" s="10" t="s">
        <v>13601</v>
      </c>
      <c r="D363" s="56" t="s">
        <v>13602</v>
      </c>
      <c r="E363" s="10">
        <v>15.0</v>
      </c>
      <c r="G363" s="10" t="s">
        <v>12635</v>
      </c>
      <c r="H363" s="10" t="s">
        <v>994</v>
      </c>
      <c r="I363" s="10" t="s">
        <v>55</v>
      </c>
      <c r="K363" s="10" t="s">
        <v>13603</v>
      </c>
      <c r="L363" s="10" t="s">
        <v>42</v>
      </c>
    </row>
    <row r="364" ht="15.75" customHeight="1">
      <c r="A364" s="64">
        <v>45495.0</v>
      </c>
      <c r="B364" s="55" t="str">
        <f>HYPERLINK("https://jobright.ai/jobs/info/669e6552c170bee56b299d9d?utm_campaign=1065&amp;utm_source=sheet", "Apply")</f>
        <v>Apply</v>
      </c>
      <c r="C364" s="10" t="s">
        <v>9688</v>
      </c>
      <c r="D364" s="56" t="s">
        <v>13604</v>
      </c>
      <c r="E364" s="10">
        <v>57.0</v>
      </c>
      <c r="G364" s="10" t="s">
        <v>12630</v>
      </c>
      <c r="H364" s="10" t="s">
        <v>3277</v>
      </c>
      <c r="I364" s="10" t="s">
        <v>55</v>
      </c>
      <c r="K364" s="10" t="s">
        <v>13605</v>
      </c>
      <c r="L364" s="10" t="s">
        <v>42</v>
      </c>
    </row>
    <row r="365" ht="15.75" customHeight="1">
      <c r="A365" s="64">
        <v>45495.0</v>
      </c>
      <c r="B365" s="55" t="str">
        <f>HYPERLINK("https://jobright.ai/jobs/info/669e4f1a4761975356c350da?utm_campaign=1065&amp;utm_source=sheet", "Apply")</f>
        <v>Apply</v>
      </c>
      <c r="C365" s="10" t="s">
        <v>12650</v>
      </c>
      <c r="D365" s="56" t="s">
        <v>13606</v>
      </c>
      <c r="E365" s="10" t="s">
        <v>249</v>
      </c>
      <c r="F365" s="10" t="s">
        <v>1893</v>
      </c>
      <c r="G365" s="10" t="s">
        <v>12630</v>
      </c>
      <c r="H365" s="10" t="s">
        <v>969</v>
      </c>
      <c r="I365" s="10" t="s">
        <v>55</v>
      </c>
      <c r="K365" s="10" t="s">
        <v>13607</v>
      </c>
      <c r="L365" s="10" t="s">
        <v>42</v>
      </c>
    </row>
    <row r="366" ht="15.75" customHeight="1">
      <c r="A366" s="64">
        <v>45495.0</v>
      </c>
      <c r="B366" s="55" t="str">
        <f>HYPERLINK("https://jobright.ai/jobs/info/66800a71ea6c0b10693cf474?utm_campaign=1065&amp;utm_source=sheet", "Apply")</f>
        <v>Apply</v>
      </c>
      <c r="C366" s="10" t="s">
        <v>13608</v>
      </c>
      <c r="D366" s="56" t="s">
        <v>9791</v>
      </c>
      <c r="E366" s="10" t="s">
        <v>65</v>
      </c>
      <c r="F366" s="10" t="s">
        <v>3811</v>
      </c>
      <c r="G366" s="10" t="s">
        <v>12635</v>
      </c>
      <c r="H366" s="10" t="s">
        <v>1328</v>
      </c>
      <c r="I366" s="10" t="s">
        <v>55</v>
      </c>
      <c r="K366" s="10" t="s">
        <v>13609</v>
      </c>
      <c r="L366" s="10" t="s">
        <v>42</v>
      </c>
    </row>
    <row r="367" ht="15.75" customHeight="1">
      <c r="A367" s="64">
        <v>45495.0</v>
      </c>
      <c r="B367" s="55" t="str">
        <f>HYPERLINK("https://jobright.ai/jobs/info/6664af1660a285f6b190b321?utm_campaign=1065&amp;utm_source=sheet", "Apply")</f>
        <v>Apply</v>
      </c>
      <c r="C367" s="10" t="s">
        <v>13610</v>
      </c>
      <c r="D367" s="56" t="s">
        <v>10169</v>
      </c>
      <c r="E367" s="10" t="s">
        <v>45</v>
      </c>
      <c r="F367" s="10" t="s">
        <v>10170</v>
      </c>
      <c r="G367" s="10" t="s">
        <v>12635</v>
      </c>
      <c r="H367" s="10" t="s">
        <v>6287</v>
      </c>
      <c r="I367" s="10" t="s">
        <v>55</v>
      </c>
      <c r="J367" s="10" t="s">
        <v>3651</v>
      </c>
      <c r="K367" s="10" t="s">
        <v>13611</v>
      </c>
      <c r="L367" s="10" t="s">
        <v>42</v>
      </c>
    </row>
    <row r="368" ht="15.75" customHeight="1">
      <c r="A368" s="64">
        <v>45495.0</v>
      </c>
      <c r="B368" s="55" t="str">
        <f>HYPERLINK("https://jobright.ai/jobs/info/66819b1da53e5ce38eab8a54?utm_campaign=1065&amp;utm_source=sheet", "Apply")</f>
        <v>Apply</v>
      </c>
      <c r="C368" s="10" t="s">
        <v>13612</v>
      </c>
      <c r="D368" s="56" t="s">
        <v>5825</v>
      </c>
      <c r="E368" s="10" t="s">
        <v>249</v>
      </c>
      <c r="F368" s="10" t="s">
        <v>5826</v>
      </c>
      <c r="G368" s="10" t="s">
        <v>12654</v>
      </c>
      <c r="H368" s="10" t="s">
        <v>2759</v>
      </c>
      <c r="I368" s="10" t="s">
        <v>55</v>
      </c>
      <c r="J368" s="10" t="s">
        <v>5827</v>
      </c>
      <c r="K368" s="10" t="s">
        <v>13613</v>
      </c>
      <c r="L368" s="10" t="s">
        <v>42</v>
      </c>
    </row>
    <row r="369" ht="15.75" customHeight="1">
      <c r="A369" s="64">
        <v>45495.0</v>
      </c>
      <c r="B369" s="55" t="str">
        <f>HYPERLINK("https://jobright.ai/jobs/info/6664af1660a285f6b190b329?utm_campaign=1065&amp;utm_source=sheet", "Apply")</f>
        <v>Apply</v>
      </c>
      <c r="C369" s="10" t="s">
        <v>13610</v>
      </c>
      <c r="D369" s="56" t="s">
        <v>10169</v>
      </c>
      <c r="E369" s="10" t="s">
        <v>45</v>
      </c>
      <c r="F369" s="10" t="s">
        <v>10170</v>
      </c>
      <c r="G369" s="10" t="s">
        <v>12635</v>
      </c>
      <c r="H369" s="10" t="s">
        <v>788</v>
      </c>
      <c r="I369" s="10" t="s">
        <v>55</v>
      </c>
      <c r="K369" s="10" t="s">
        <v>13611</v>
      </c>
      <c r="L369" s="10" t="s">
        <v>42</v>
      </c>
    </row>
    <row r="370" ht="15.75" customHeight="1">
      <c r="A370" s="64">
        <v>45495.0</v>
      </c>
      <c r="B370" s="55" t="str">
        <f>HYPERLINK("https://jobright.ai/jobs/info/669e1d938e2105fd19d11819?utm_campaign=1065&amp;utm_source=sheet", "Apply")</f>
        <v>Apply</v>
      </c>
      <c r="C370" s="10" t="s">
        <v>13614</v>
      </c>
      <c r="D370" s="56" t="s">
        <v>13615</v>
      </c>
      <c r="E370" s="10" t="s">
        <v>65</v>
      </c>
      <c r="F370" s="10" t="s">
        <v>400</v>
      </c>
      <c r="G370" s="10" t="s">
        <v>12654</v>
      </c>
      <c r="H370" s="10" t="s">
        <v>165</v>
      </c>
      <c r="I370" s="10" t="s">
        <v>48</v>
      </c>
      <c r="K370" s="10" t="s">
        <v>13616</v>
      </c>
      <c r="L370" s="10" t="s">
        <v>42</v>
      </c>
    </row>
    <row r="371" ht="15.75" customHeight="1">
      <c r="A371" s="64">
        <v>45495.0</v>
      </c>
      <c r="B371" s="55" t="str">
        <f>HYPERLINK("https://jobright.ai/jobs/info/669f09a4143434b9b84ee39f?utm_campaign=1065&amp;utm_source=sheet", "Apply")</f>
        <v>Apply</v>
      </c>
      <c r="C371" s="10" t="s">
        <v>13338</v>
      </c>
      <c r="D371" s="56" t="s">
        <v>13617</v>
      </c>
      <c r="G371" s="10" t="s">
        <v>12654</v>
      </c>
      <c r="H371" s="10" t="s">
        <v>131</v>
      </c>
      <c r="I371" s="10" t="s">
        <v>55</v>
      </c>
      <c r="K371" s="10" t="s">
        <v>13618</v>
      </c>
      <c r="L371" s="10" t="s">
        <v>42</v>
      </c>
    </row>
    <row r="372" ht="15.75" customHeight="1">
      <c r="A372" s="64">
        <v>45495.0</v>
      </c>
      <c r="B372" s="55" t="str">
        <f>HYPERLINK("https://jobright.ai/jobs/info/669f09a4143434b9b84ee3a1?utm_campaign=1065&amp;utm_source=sheet", "Apply")</f>
        <v>Apply</v>
      </c>
      <c r="C372" s="10" t="s">
        <v>13619</v>
      </c>
      <c r="D372" s="56" t="s">
        <v>13617</v>
      </c>
      <c r="G372" s="10" t="s">
        <v>12654</v>
      </c>
      <c r="H372" s="10" t="s">
        <v>3022</v>
      </c>
      <c r="I372" s="10" t="s">
        <v>55</v>
      </c>
      <c r="K372" s="10" t="s">
        <v>13620</v>
      </c>
      <c r="L372" s="10" t="s">
        <v>42</v>
      </c>
    </row>
    <row r="373" ht="15.75" customHeight="1">
      <c r="A373" s="64">
        <v>45495.0</v>
      </c>
      <c r="B373" s="55" t="str">
        <f>HYPERLINK("https://jobright.ai/jobs/info/669f2705b340fbcb1244543f?utm_campaign=1065&amp;utm_source=sheet", "Apply")</f>
        <v>Apply</v>
      </c>
      <c r="C373" s="10" t="s">
        <v>13621</v>
      </c>
      <c r="D373" s="56" t="s">
        <v>13622</v>
      </c>
      <c r="E373" s="10">
        <v>58.0</v>
      </c>
      <c r="G373" s="10" t="s">
        <v>12654</v>
      </c>
      <c r="H373" s="10" t="s">
        <v>914</v>
      </c>
      <c r="I373" s="10" t="s">
        <v>55</v>
      </c>
      <c r="K373" s="10" t="s">
        <v>13623</v>
      </c>
      <c r="L373" s="10" t="s">
        <v>42</v>
      </c>
    </row>
    <row r="374" ht="15.75" customHeight="1">
      <c r="A374" s="64">
        <v>45495.0</v>
      </c>
      <c r="B374" s="55" t="str">
        <f>HYPERLINK("https://jobright.ai/jobs/info/669f09a3143434b9b84ee36e?utm_campaign=1065&amp;utm_source=sheet", "Apply")</f>
        <v>Apply</v>
      </c>
      <c r="C374" s="10" t="s">
        <v>13621</v>
      </c>
      <c r="D374" s="56" t="s">
        <v>13617</v>
      </c>
      <c r="G374" s="10" t="s">
        <v>12654</v>
      </c>
      <c r="H374" s="10" t="s">
        <v>154</v>
      </c>
      <c r="I374" s="10" t="s">
        <v>55</v>
      </c>
      <c r="K374" s="10" t="s">
        <v>13623</v>
      </c>
      <c r="L374" s="10" t="s">
        <v>42</v>
      </c>
    </row>
    <row r="375" ht="15.75" customHeight="1">
      <c r="A375" s="64">
        <v>45495.0</v>
      </c>
      <c r="B375" s="55" t="str">
        <f>HYPERLINK("https://jobright.ai/jobs/info/669ed7edd1d9c7ae91affc84?utm_campaign=1065&amp;utm_source=sheet", "Apply")</f>
        <v>Apply</v>
      </c>
      <c r="C375" s="10" t="s">
        <v>13624</v>
      </c>
      <c r="D375" s="56" t="s">
        <v>13625</v>
      </c>
      <c r="E375" s="10" t="s">
        <v>79</v>
      </c>
      <c r="F375" s="10" t="s">
        <v>1243</v>
      </c>
      <c r="G375" s="10" t="s">
        <v>12654</v>
      </c>
      <c r="H375" s="10" t="s">
        <v>3373</v>
      </c>
      <c r="I375" s="10" t="s">
        <v>55</v>
      </c>
      <c r="J375" s="10" t="s">
        <v>1608</v>
      </c>
      <c r="K375" s="10" t="s">
        <v>13626</v>
      </c>
      <c r="L375" s="10" t="s">
        <v>42</v>
      </c>
    </row>
    <row r="376" ht="15.75" customHeight="1">
      <c r="A376" s="64">
        <v>45495.0</v>
      </c>
      <c r="B376" s="55" t="str">
        <f>HYPERLINK("https://jobright.ai/jobs/info/669ec97dcf7be0baa181e23a?utm_campaign=1065&amp;utm_source=sheet", "Apply")</f>
        <v>Apply</v>
      </c>
      <c r="C376" s="10" t="s">
        <v>13624</v>
      </c>
      <c r="D376" s="56" t="s">
        <v>13625</v>
      </c>
      <c r="E376" s="10" t="s">
        <v>79</v>
      </c>
      <c r="F376" s="10" t="s">
        <v>1243</v>
      </c>
      <c r="G376" s="10" t="s">
        <v>12654</v>
      </c>
      <c r="H376" s="10" t="s">
        <v>3276</v>
      </c>
      <c r="I376" s="10" t="s">
        <v>55</v>
      </c>
      <c r="J376" s="10" t="s">
        <v>1608</v>
      </c>
      <c r="K376" s="10" t="s">
        <v>13626</v>
      </c>
      <c r="L376" s="10" t="s">
        <v>42</v>
      </c>
    </row>
    <row r="377" ht="15.75" customHeight="1">
      <c r="A377" s="64">
        <v>45495.0</v>
      </c>
      <c r="B377" s="55" t="str">
        <f>HYPERLINK("https://jobright.ai/jobs/info/669ec97ecf7be0baa181e2c0?utm_campaign=1065&amp;utm_source=sheet", "Apply")</f>
        <v>Apply</v>
      </c>
      <c r="C377" s="10" t="s">
        <v>13624</v>
      </c>
      <c r="D377" s="56" t="s">
        <v>13625</v>
      </c>
      <c r="E377" s="10" t="s">
        <v>79</v>
      </c>
      <c r="F377" s="10" t="s">
        <v>1243</v>
      </c>
      <c r="G377" s="10" t="s">
        <v>12654</v>
      </c>
      <c r="H377" s="10" t="s">
        <v>170</v>
      </c>
      <c r="I377" s="10" t="s">
        <v>55</v>
      </c>
      <c r="J377" s="10" t="s">
        <v>1608</v>
      </c>
      <c r="K377" s="10" t="s">
        <v>13626</v>
      </c>
      <c r="L377" s="10" t="s">
        <v>42</v>
      </c>
    </row>
    <row r="378" ht="15.75" customHeight="1">
      <c r="A378" s="64">
        <v>45495.0</v>
      </c>
      <c r="B378" s="55" t="str">
        <f>HYPERLINK("https://jobright.ai/jobs/info/669ed28442b6caf656ce413d?utm_campaign=1065&amp;utm_source=sheet", "Apply")</f>
        <v>Apply</v>
      </c>
      <c r="C378" s="10" t="s">
        <v>13624</v>
      </c>
      <c r="D378" s="56" t="s">
        <v>13625</v>
      </c>
      <c r="E378" s="10" t="s">
        <v>79</v>
      </c>
      <c r="F378" s="10" t="s">
        <v>1243</v>
      </c>
      <c r="G378" s="10" t="s">
        <v>12654</v>
      </c>
      <c r="H378" s="10" t="s">
        <v>1254</v>
      </c>
      <c r="I378" s="10" t="s">
        <v>55</v>
      </c>
      <c r="J378" s="10" t="s">
        <v>1608</v>
      </c>
      <c r="K378" s="10" t="s">
        <v>13626</v>
      </c>
      <c r="L378" s="10" t="s">
        <v>42</v>
      </c>
    </row>
    <row r="379" ht="15.75" customHeight="1">
      <c r="A379" s="64">
        <v>45495.0</v>
      </c>
      <c r="B379" s="55" t="str">
        <f>HYPERLINK("https://jobright.ai/jobs/info/669ed28442b6caf656ce413e?utm_campaign=1065&amp;utm_source=sheet", "Apply")</f>
        <v>Apply</v>
      </c>
      <c r="C379" s="10" t="s">
        <v>13624</v>
      </c>
      <c r="D379" s="56" t="s">
        <v>13625</v>
      </c>
      <c r="E379" s="10" t="s">
        <v>79</v>
      </c>
      <c r="F379" s="10" t="s">
        <v>1243</v>
      </c>
      <c r="G379" s="10" t="s">
        <v>12654</v>
      </c>
      <c r="H379" s="10" t="s">
        <v>3266</v>
      </c>
      <c r="I379" s="10" t="s">
        <v>55</v>
      </c>
      <c r="J379" s="10" t="s">
        <v>1608</v>
      </c>
      <c r="K379" s="10" t="s">
        <v>13626</v>
      </c>
      <c r="L379" s="10" t="s">
        <v>42</v>
      </c>
    </row>
    <row r="380" ht="15.75" customHeight="1">
      <c r="A380" s="64">
        <v>45495.0</v>
      </c>
      <c r="B380" s="55" t="str">
        <f>HYPERLINK("https://jobright.ai/jobs/info/669ed28442b6caf656ce413f?utm_campaign=1065&amp;utm_source=sheet", "Apply")</f>
        <v>Apply</v>
      </c>
      <c r="C380" s="10" t="s">
        <v>13624</v>
      </c>
      <c r="D380" s="56" t="s">
        <v>13625</v>
      </c>
      <c r="E380" s="10" t="s">
        <v>79</v>
      </c>
      <c r="F380" s="10" t="s">
        <v>1243</v>
      </c>
      <c r="G380" s="10" t="s">
        <v>12654</v>
      </c>
      <c r="H380" s="10" t="s">
        <v>3274</v>
      </c>
      <c r="I380" s="10" t="s">
        <v>55</v>
      </c>
      <c r="J380" s="10" t="s">
        <v>1608</v>
      </c>
      <c r="K380" s="10" t="s">
        <v>13626</v>
      </c>
      <c r="L380" s="10" t="s">
        <v>42</v>
      </c>
    </row>
    <row r="381" ht="15.75" customHeight="1">
      <c r="A381" s="64">
        <v>45495.0</v>
      </c>
      <c r="B381" s="55" t="str">
        <f>HYPERLINK("https://jobright.ai/jobs/info/669f4e92c15f574281df26b5?utm_campaign=1065&amp;utm_source=sheet", "Apply")</f>
        <v>Apply</v>
      </c>
      <c r="C381" s="10" t="s">
        <v>13222</v>
      </c>
      <c r="D381" s="56" t="s">
        <v>363</v>
      </c>
      <c r="E381" s="10" t="s">
        <v>209</v>
      </c>
      <c r="F381" s="10" t="s">
        <v>364</v>
      </c>
      <c r="G381" s="10" t="s">
        <v>12654</v>
      </c>
      <c r="H381" s="10" t="s">
        <v>511</v>
      </c>
      <c r="I381" s="10" t="s">
        <v>48</v>
      </c>
      <c r="J381" s="10" t="s">
        <v>366</v>
      </c>
      <c r="K381" s="10" t="s">
        <v>13223</v>
      </c>
      <c r="L381" s="10" t="s">
        <v>42</v>
      </c>
    </row>
    <row r="382" ht="15.75" customHeight="1">
      <c r="A382" s="64">
        <v>45495.0</v>
      </c>
      <c r="B382" s="55" t="str">
        <f>HYPERLINK("https://jobright.ai/jobs/info/669e09741450f33d4a052150?utm_campaign=1065&amp;utm_source=sheet", "Apply")</f>
        <v>Apply</v>
      </c>
      <c r="C382" s="10" t="s">
        <v>13426</v>
      </c>
      <c r="D382" s="56" t="s">
        <v>13427</v>
      </c>
      <c r="E382" s="10" t="s">
        <v>209</v>
      </c>
      <c r="F382" s="10" t="s">
        <v>13428</v>
      </c>
      <c r="G382" s="10" t="s">
        <v>12630</v>
      </c>
      <c r="H382" s="10" t="s">
        <v>13627</v>
      </c>
      <c r="I382" s="10" t="s">
        <v>55</v>
      </c>
      <c r="J382" s="10" t="s">
        <v>13430</v>
      </c>
      <c r="K382" s="10" t="s">
        <v>13431</v>
      </c>
      <c r="L382" s="10" t="s">
        <v>42</v>
      </c>
    </row>
    <row r="383" ht="15.75" customHeight="1">
      <c r="A383" s="64">
        <v>45494.0</v>
      </c>
      <c r="B383" s="55" t="str">
        <f>HYPERLINK("https://jobright.ai/jobs/info/660c123c898425434c1a7bda?utm_campaign=1065&amp;utm_source=sheet", "Apply")</f>
        <v>Apply</v>
      </c>
      <c r="C383" s="10" t="s">
        <v>13628</v>
      </c>
      <c r="D383" s="56" t="s">
        <v>13629</v>
      </c>
      <c r="E383" s="10" t="s">
        <v>137</v>
      </c>
      <c r="F383" s="10" t="s">
        <v>13630</v>
      </c>
      <c r="G383" s="10" t="s">
        <v>12630</v>
      </c>
      <c r="H383" s="10" t="s">
        <v>3287</v>
      </c>
      <c r="I383" s="10" t="s">
        <v>48</v>
      </c>
      <c r="K383" s="10" t="s">
        <v>13631</v>
      </c>
      <c r="L383" s="10" t="s">
        <v>42</v>
      </c>
    </row>
    <row r="384" ht="15.75" customHeight="1">
      <c r="A384" s="64">
        <v>45494.0</v>
      </c>
      <c r="B384" s="55" t="str">
        <f>HYPERLINK("https://jobright.ai/jobs/info/66964e3139bf621cefc6cc56?utm_campaign=1065&amp;utm_source=sheet", "Apply")</f>
        <v>Apply</v>
      </c>
      <c r="C384" s="10" t="s">
        <v>13632</v>
      </c>
      <c r="D384" s="56" t="s">
        <v>707</v>
      </c>
      <c r="E384" s="10" t="s">
        <v>65</v>
      </c>
      <c r="F384" s="10" t="s">
        <v>529</v>
      </c>
      <c r="G384" s="10" t="s">
        <v>12654</v>
      </c>
      <c r="H384" s="10" t="s">
        <v>708</v>
      </c>
      <c r="I384" s="10" t="s">
        <v>55</v>
      </c>
      <c r="K384" s="10" t="s">
        <v>13633</v>
      </c>
      <c r="L384" s="10" t="s">
        <v>42</v>
      </c>
    </row>
    <row r="385" ht="15.75" customHeight="1">
      <c r="A385" s="64">
        <v>45494.0</v>
      </c>
      <c r="B385" s="55" t="str">
        <f>HYPERLINK("https://jobright.ai/jobs/info/667aa75058c7161a65664f2b?utm_campaign=1065&amp;utm_source=sheet", "Apply")</f>
        <v>Apply</v>
      </c>
      <c r="C385" s="10" t="s">
        <v>13634</v>
      </c>
      <c r="D385" s="56" t="s">
        <v>13635</v>
      </c>
      <c r="E385" s="10" t="s">
        <v>79</v>
      </c>
      <c r="F385" s="10" t="s">
        <v>13636</v>
      </c>
      <c r="G385" s="10" t="s">
        <v>12654</v>
      </c>
      <c r="H385" s="10" t="s">
        <v>610</v>
      </c>
      <c r="I385" s="10" t="s">
        <v>55</v>
      </c>
      <c r="K385" s="10" t="s">
        <v>13637</v>
      </c>
      <c r="L385" s="10" t="s">
        <v>42</v>
      </c>
    </row>
    <row r="386" ht="15.75" customHeight="1">
      <c r="A386" s="64">
        <v>45494.0</v>
      </c>
      <c r="B386" s="55" t="str">
        <f>HYPERLINK("https://jobright.ai/jobs/info/66634ee0c127d17bdd969204?utm_campaign=1065&amp;utm_source=sheet", "Apply")</f>
        <v>Apply</v>
      </c>
      <c r="C386" s="10" t="s">
        <v>13638</v>
      </c>
      <c r="D386" s="56" t="s">
        <v>10169</v>
      </c>
      <c r="E386" s="10" t="s">
        <v>45</v>
      </c>
      <c r="F386" s="10" t="s">
        <v>10170</v>
      </c>
      <c r="G386" s="10" t="s">
        <v>12635</v>
      </c>
      <c r="H386" s="10" t="s">
        <v>13639</v>
      </c>
      <c r="I386" s="10" t="s">
        <v>55</v>
      </c>
      <c r="J386" s="10" t="s">
        <v>1608</v>
      </c>
      <c r="K386" s="10" t="s">
        <v>12846</v>
      </c>
      <c r="L386" s="10" t="s">
        <v>42</v>
      </c>
    </row>
    <row r="387" ht="15.75" customHeight="1">
      <c r="A387" s="64">
        <v>45494.0</v>
      </c>
      <c r="B387" s="55" t="str">
        <f>HYPERLINK("https://jobright.ai/jobs/info/6646485d1942052896de9f35?utm_campaign=1065&amp;utm_source=sheet", "Apply")</f>
        <v>Apply</v>
      </c>
      <c r="C387" s="10" t="s">
        <v>13640</v>
      </c>
      <c r="D387" s="56" t="s">
        <v>13641</v>
      </c>
      <c r="E387" s="10">
        <v>151.0</v>
      </c>
      <c r="G387" s="10" t="s">
        <v>12654</v>
      </c>
      <c r="H387" s="10" t="s">
        <v>96</v>
      </c>
      <c r="I387" s="10" t="s">
        <v>48</v>
      </c>
      <c r="K387" s="10" t="s">
        <v>13642</v>
      </c>
      <c r="L387" s="10" t="s">
        <v>42</v>
      </c>
    </row>
    <row r="388" ht="15.75" customHeight="1">
      <c r="A388" s="64">
        <v>45494.0</v>
      </c>
      <c r="B388" s="55" t="str">
        <f>HYPERLINK("https://jobright.ai/jobs/info/6663a6941fcd0b606a5b506e?utm_campaign=1065&amp;utm_source=sheet", "Apply")</f>
        <v>Apply</v>
      </c>
      <c r="C388" s="10" t="s">
        <v>13643</v>
      </c>
      <c r="D388" s="56" t="s">
        <v>10169</v>
      </c>
      <c r="E388" s="10" t="s">
        <v>45</v>
      </c>
      <c r="F388" s="10" t="s">
        <v>10170</v>
      </c>
      <c r="G388" s="10" t="s">
        <v>12635</v>
      </c>
      <c r="H388" s="10" t="s">
        <v>13644</v>
      </c>
      <c r="I388" s="10" t="s">
        <v>55</v>
      </c>
      <c r="J388" s="10" t="s">
        <v>1409</v>
      </c>
      <c r="K388" s="10" t="s">
        <v>13645</v>
      </c>
      <c r="L388" s="10" t="s">
        <v>42</v>
      </c>
    </row>
    <row r="389" ht="15.75" customHeight="1">
      <c r="A389" s="64">
        <v>45494.0</v>
      </c>
      <c r="B389" s="55" t="str">
        <f>HYPERLINK("https://jobright.ai/jobs/info/66634ee0c127d17bdd96920e?utm_campaign=1065&amp;utm_source=sheet", "Apply")</f>
        <v>Apply</v>
      </c>
      <c r="C389" s="10" t="s">
        <v>13646</v>
      </c>
      <c r="D389" s="56" t="s">
        <v>10169</v>
      </c>
      <c r="E389" s="10" t="s">
        <v>45</v>
      </c>
      <c r="F389" s="10" t="s">
        <v>10170</v>
      </c>
      <c r="G389" s="10" t="s">
        <v>12635</v>
      </c>
      <c r="H389" s="10" t="s">
        <v>131</v>
      </c>
      <c r="I389" s="10" t="s">
        <v>55</v>
      </c>
      <c r="J389" s="10" t="s">
        <v>1409</v>
      </c>
      <c r="K389" s="10" t="s">
        <v>13647</v>
      </c>
      <c r="L389" s="10" t="s">
        <v>42</v>
      </c>
    </row>
    <row r="390" ht="15.75" customHeight="1">
      <c r="A390" s="64">
        <v>45494.0</v>
      </c>
      <c r="B390" s="55" t="str">
        <f>HYPERLINK("https://jobright.ai/jobs/info/6662681abee3f63b2abb9081?utm_campaign=1065&amp;utm_source=sheet", "Apply")</f>
        <v>Apply</v>
      </c>
      <c r="C390" s="10" t="s">
        <v>13648</v>
      </c>
      <c r="D390" s="56" t="s">
        <v>5165</v>
      </c>
      <c r="E390" s="10" t="s">
        <v>209</v>
      </c>
      <c r="F390" s="10" t="s">
        <v>5166</v>
      </c>
      <c r="G390" s="10" t="s">
        <v>12635</v>
      </c>
      <c r="H390" s="10" t="s">
        <v>7569</v>
      </c>
      <c r="I390" s="10" t="s">
        <v>55</v>
      </c>
      <c r="K390" s="10" t="s">
        <v>13649</v>
      </c>
      <c r="L390" s="10" t="s">
        <v>42</v>
      </c>
    </row>
    <row r="391" ht="15.75" customHeight="1">
      <c r="A391" s="64">
        <v>45494.0</v>
      </c>
      <c r="B391" s="55" t="str">
        <f>HYPERLINK("https://jobright.ai/jobs/info/669c986f51b35e80442a6fe2?utm_campaign=1065&amp;utm_source=sheet", "Apply")</f>
        <v>Apply</v>
      </c>
      <c r="C391" s="10" t="s">
        <v>13650</v>
      </c>
      <c r="D391" s="56" t="s">
        <v>13651</v>
      </c>
      <c r="E391" s="10">
        <v>12.0</v>
      </c>
      <c r="G391" s="10" t="s">
        <v>12635</v>
      </c>
      <c r="H391" s="10" t="s">
        <v>153</v>
      </c>
      <c r="I391" s="10" t="s">
        <v>55</v>
      </c>
      <c r="K391" s="10" t="s">
        <v>13652</v>
      </c>
      <c r="L391" s="10" t="s">
        <v>42</v>
      </c>
    </row>
    <row r="392" ht="15.75" customHeight="1">
      <c r="A392" s="64">
        <v>45494.0</v>
      </c>
      <c r="B392" s="55" t="str">
        <f>HYPERLINK("https://jobright.ai/jobs/info/667f157b1074e518685ce1f5?utm_campaign=1065&amp;utm_source=sheet", "Apply")</f>
        <v>Apply</v>
      </c>
      <c r="C392" s="10" t="s">
        <v>13653</v>
      </c>
      <c r="D392" s="56" t="s">
        <v>13654</v>
      </c>
      <c r="E392" s="10" t="s">
        <v>276</v>
      </c>
      <c r="F392" s="10" t="s">
        <v>1587</v>
      </c>
      <c r="G392" s="10" t="s">
        <v>12635</v>
      </c>
      <c r="H392" s="10" t="s">
        <v>1144</v>
      </c>
      <c r="I392" s="10" t="s">
        <v>55</v>
      </c>
      <c r="J392" s="10" t="s">
        <v>1960</v>
      </c>
      <c r="K392" s="10" t="s">
        <v>13655</v>
      </c>
      <c r="L392" s="10" t="s">
        <v>42</v>
      </c>
    </row>
    <row r="393" ht="15.75" customHeight="1">
      <c r="A393" s="64">
        <v>45494.0</v>
      </c>
      <c r="B393" s="55" t="str">
        <f>HYPERLINK("https://jobright.ai/jobs/info/669baaa6d2272de10a557378?utm_campaign=1065&amp;utm_source=sheet", "Apply")</f>
        <v>Apply</v>
      </c>
      <c r="C393" s="10" t="s">
        <v>13656</v>
      </c>
      <c r="D393" s="56" t="s">
        <v>13657</v>
      </c>
      <c r="E393" s="10" t="s">
        <v>79</v>
      </c>
      <c r="F393" s="10" t="s">
        <v>244</v>
      </c>
      <c r="G393" s="10" t="s">
        <v>12635</v>
      </c>
      <c r="H393" s="10" t="s">
        <v>13658</v>
      </c>
      <c r="I393" s="10" t="s">
        <v>48</v>
      </c>
      <c r="K393" s="10" t="s">
        <v>13659</v>
      </c>
      <c r="L393" s="10" t="s">
        <v>42</v>
      </c>
    </row>
    <row r="394" ht="15.75" customHeight="1">
      <c r="A394" s="64">
        <v>45493.0</v>
      </c>
      <c r="B394" s="55" t="str">
        <f>HYPERLINK("https://jobright.ai/jobs/info/669c9ff400d48972365542f5?utm_campaign=1065&amp;utm_source=sheet", "Apply")</f>
        <v>Apply</v>
      </c>
      <c r="C394" s="10" t="s">
        <v>13632</v>
      </c>
      <c r="D394" s="56" t="s">
        <v>707</v>
      </c>
      <c r="E394" s="10" t="s">
        <v>65</v>
      </c>
      <c r="F394" s="10" t="s">
        <v>529</v>
      </c>
      <c r="G394" s="10" t="s">
        <v>12654</v>
      </c>
      <c r="H394" s="10" t="s">
        <v>708</v>
      </c>
      <c r="I394" s="10" t="s">
        <v>55</v>
      </c>
      <c r="K394" s="10" t="s">
        <v>13633</v>
      </c>
      <c r="L394" s="10" t="s">
        <v>42</v>
      </c>
    </row>
    <row r="395" ht="15.75" customHeight="1">
      <c r="A395" s="64">
        <v>45493.0</v>
      </c>
      <c r="B395" s="55" t="str">
        <f>HYPERLINK("https://jobright.ai/jobs/info/669c7b7a21e261a0d31be15c?utm_campaign=1065&amp;utm_source=sheet", "Apply")</f>
        <v>Apply</v>
      </c>
      <c r="C395" s="10" t="s">
        <v>12728</v>
      </c>
      <c r="D395" s="56" t="s">
        <v>13660</v>
      </c>
      <c r="E395" s="10">
        <v>2.0</v>
      </c>
      <c r="G395" s="10" t="s">
        <v>12630</v>
      </c>
      <c r="H395" s="10" t="s">
        <v>139</v>
      </c>
      <c r="I395" s="10" t="s">
        <v>55</v>
      </c>
      <c r="K395" s="10" t="s">
        <v>13661</v>
      </c>
      <c r="L395" s="10" t="s">
        <v>42</v>
      </c>
    </row>
    <row r="396" ht="15.75" customHeight="1">
      <c r="A396" s="64">
        <v>45493.0</v>
      </c>
      <c r="B396" s="55" t="str">
        <f>HYPERLINK("https://jobright.ai/jobs/info/669c1ab1077ee6ac459facd2?utm_campaign=1065&amp;utm_source=sheet", "Apply")</f>
        <v>Apply</v>
      </c>
      <c r="C396" s="10" t="s">
        <v>13662</v>
      </c>
      <c r="D396" s="56" t="s">
        <v>13663</v>
      </c>
      <c r="E396" s="10">
        <v>5.0</v>
      </c>
      <c r="G396" s="10" t="s">
        <v>12654</v>
      </c>
      <c r="H396" s="10" t="s">
        <v>1853</v>
      </c>
      <c r="I396" s="10" t="s">
        <v>55</v>
      </c>
      <c r="K396" s="10" t="s">
        <v>13664</v>
      </c>
      <c r="L396" s="10" t="s">
        <v>42</v>
      </c>
    </row>
    <row r="397" ht="15.75" customHeight="1">
      <c r="A397" s="64">
        <v>45493.0</v>
      </c>
      <c r="B397" s="55" t="str">
        <f>HYPERLINK("https://jobright.ai/jobs/info/667eb2929c0c8033722c8d3d?utm_campaign=1065&amp;utm_source=sheet", "Apply")</f>
        <v>Apply</v>
      </c>
      <c r="C397" s="10" t="s">
        <v>13665</v>
      </c>
      <c r="D397" s="56" t="s">
        <v>13666</v>
      </c>
      <c r="E397" s="10" t="s">
        <v>45</v>
      </c>
      <c r="F397" s="10" t="s">
        <v>13667</v>
      </c>
      <c r="G397" s="10" t="s">
        <v>12654</v>
      </c>
      <c r="H397" s="10" t="s">
        <v>6979</v>
      </c>
      <c r="I397" s="10" t="s">
        <v>48</v>
      </c>
      <c r="J397" s="10" t="s">
        <v>13668</v>
      </c>
      <c r="K397" s="10" t="s">
        <v>13669</v>
      </c>
      <c r="L397" s="10" t="s">
        <v>42</v>
      </c>
    </row>
    <row r="398" ht="15.75" customHeight="1">
      <c r="A398" s="64">
        <v>45493.0</v>
      </c>
      <c r="B398" s="55" t="str">
        <f>HYPERLINK("https://jobright.ai/jobs/info/669c69b5213d8c2c7a8b7a58?utm_campaign=1065&amp;utm_source=sheet", "Apply")</f>
        <v>Apply</v>
      </c>
      <c r="C398" s="10" t="s">
        <v>13670</v>
      </c>
      <c r="D398" s="56" t="s">
        <v>1178</v>
      </c>
      <c r="E398" s="10" t="s">
        <v>137</v>
      </c>
      <c r="F398" s="10" t="s">
        <v>1179</v>
      </c>
      <c r="G398" s="10" t="s">
        <v>12630</v>
      </c>
      <c r="H398" s="10" t="s">
        <v>1254</v>
      </c>
      <c r="I398" s="10" t="s">
        <v>55</v>
      </c>
      <c r="K398" s="10" t="s">
        <v>13671</v>
      </c>
      <c r="L398" s="10" t="s">
        <v>42</v>
      </c>
    </row>
    <row r="399" ht="15.75" customHeight="1">
      <c r="A399" s="64">
        <v>45493.0</v>
      </c>
      <c r="B399" s="55" t="str">
        <f>HYPERLINK("https://jobright.ai/jobs/info/66620a9cca7d711e983d84a8?utm_campaign=1065&amp;utm_source=sheet", "Apply")</f>
        <v>Apply</v>
      </c>
      <c r="C399" s="10" t="s">
        <v>13672</v>
      </c>
      <c r="D399" s="56" t="s">
        <v>10169</v>
      </c>
      <c r="E399" s="10" t="s">
        <v>45</v>
      </c>
      <c r="F399" s="10" t="s">
        <v>10170</v>
      </c>
      <c r="G399" s="10" t="s">
        <v>12635</v>
      </c>
      <c r="H399" s="10" t="s">
        <v>917</v>
      </c>
      <c r="I399" s="10" t="s">
        <v>55</v>
      </c>
      <c r="J399" s="10" t="s">
        <v>1409</v>
      </c>
      <c r="K399" s="10" t="s">
        <v>13673</v>
      </c>
      <c r="L399" s="10" t="s">
        <v>42</v>
      </c>
    </row>
    <row r="400" ht="15.75" customHeight="1">
      <c r="A400" s="64">
        <v>45493.0</v>
      </c>
      <c r="B400" s="55" t="str">
        <f>HYPERLINK("https://jobright.ai/jobs/info/66a10e7f77417df7b9f093f4?utm_campaign=1065&amp;utm_source=sheet", "Apply")</f>
        <v>Apply</v>
      </c>
      <c r="C400" s="10" t="s">
        <v>13674</v>
      </c>
      <c r="D400" s="56" t="s">
        <v>13675</v>
      </c>
      <c r="E400" s="10" t="s">
        <v>65</v>
      </c>
      <c r="F400" s="10" t="s">
        <v>13676</v>
      </c>
      <c r="G400" s="10" t="s">
        <v>12645</v>
      </c>
      <c r="H400" s="10" t="s">
        <v>1292</v>
      </c>
      <c r="I400" s="10" t="s">
        <v>55</v>
      </c>
      <c r="J400" s="10" t="s">
        <v>1409</v>
      </c>
      <c r="K400" s="10" t="s">
        <v>13677</v>
      </c>
      <c r="L400" s="10" t="s">
        <v>42</v>
      </c>
    </row>
    <row r="401" ht="15.75" customHeight="1">
      <c r="A401" s="64">
        <v>45493.0</v>
      </c>
      <c r="B401" s="55" t="str">
        <f>HYPERLINK("https://jobright.ai/jobs/info/66621cd2e75b56512c84e160?utm_campaign=1065&amp;utm_source=sheet", "Apply")</f>
        <v>Apply</v>
      </c>
      <c r="C401" s="10" t="s">
        <v>13672</v>
      </c>
      <c r="D401" s="56" t="s">
        <v>10169</v>
      </c>
      <c r="E401" s="10" t="s">
        <v>45</v>
      </c>
      <c r="F401" s="10" t="s">
        <v>10170</v>
      </c>
      <c r="G401" s="10" t="s">
        <v>12635</v>
      </c>
      <c r="H401" s="10" t="s">
        <v>131</v>
      </c>
      <c r="I401" s="10" t="s">
        <v>55</v>
      </c>
      <c r="J401" s="10" t="s">
        <v>1409</v>
      </c>
      <c r="K401" s="10" t="s">
        <v>13647</v>
      </c>
      <c r="L401" s="10" t="s">
        <v>42</v>
      </c>
    </row>
    <row r="402" ht="15.75" customHeight="1">
      <c r="A402" s="64">
        <v>45493.0</v>
      </c>
      <c r="B402" s="55" t="str">
        <f>HYPERLINK("https://jobright.ai/jobs/info/66621cd2e75b56512c84e15e?utm_campaign=1065&amp;utm_source=sheet", "Apply")</f>
        <v>Apply</v>
      </c>
      <c r="C402" s="10" t="s">
        <v>13672</v>
      </c>
      <c r="D402" s="56" t="s">
        <v>10169</v>
      </c>
      <c r="E402" s="10" t="s">
        <v>45</v>
      </c>
      <c r="F402" s="10" t="s">
        <v>10170</v>
      </c>
      <c r="G402" s="10" t="s">
        <v>12635</v>
      </c>
      <c r="H402" s="10" t="s">
        <v>13678</v>
      </c>
      <c r="I402" s="10" t="s">
        <v>55</v>
      </c>
      <c r="J402" s="10" t="s">
        <v>1409</v>
      </c>
      <c r="K402" s="10" t="s">
        <v>13673</v>
      </c>
      <c r="L402" s="10" t="s">
        <v>42</v>
      </c>
    </row>
    <row r="403" ht="15.75" customHeight="1">
      <c r="A403" s="64">
        <v>45493.0</v>
      </c>
      <c r="B403" s="55" t="str">
        <f>HYPERLINK("https://jobright.ai/jobs/info/669e3d5f76c0aef2b8d2a09b?utm_campaign=1065&amp;utm_source=sheet", "Apply")</f>
        <v>Apply</v>
      </c>
      <c r="C403" s="10" t="s">
        <v>13679</v>
      </c>
      <c r="D403" s="56" t="s">
        <v>12939</v>
      </c>
      <c r="E403" s="10" t="s">
        <v>45</v>
      </c>
      <c r="F403" s="10" t="s">
        <v>665</v>
      </c>
      <c r="G403" s="10" t="s">
        <v>12645</v>
      </c>
      <c r="H403" s="10" t="s">
        <v>1017</v>
      </c>
      <c r="I403" s="10" t="s">
        <v>55</v>
      </c>
      <c r="K403" s="10" t="s">
        <v>13680</v>
      </c>
      <c r="L403" s="10" t="s">
        <v>42</v>
      </c>
    </row>
    <row r="404" ht="15.75" customHeight="1">
      <c r="A404" s="64">
        <v>45493.0</v>
      </c>
      <c r="B404" s="55" t="str">
        <f>HYPERLINK("https://jobright.ai/jobs/info/666246e1cb390f9013be1ea9?utm_campaign=1065&amp;utm_source=sheet", "Apply")</f>
        <v>Apply</v>
      </c>
      <c r="C404" s="10" t="s">
        <v>12650</v>
      </c>
      <c r="D404" s="56" t="s">
        <v>1064</v>
      </c>
      <c r="E404" s="10" t="s">
        <v>65</v>
      </c>
      <c r="F404" s="10" t="s">
        <v>1065</v>
      </c>
      <c r="G404" s="10" t="s">
        <v>12635</v>
      </c>
      <c r="H404" s="10" t="s">
        <v>952</v>
      </c>
      <c r="I404" s="10" t="s">
        <v>55</v>
      </c>
      <c r="K404" s="10" t="s">
        <v>13681</v>
      </c>
      <c r="L404" s="10" t="s">
        <v>42</v>
      </c>
    </row>
    <row r="405" ht="15.75" customHeight="1">
      <c r="A405" s="64">
        <v>45493.0</v>
      </c>
      <c r="B405" s="55" t="str">
        <f>HYPERLINK("https://jobright.ai/jobs/info/6662804b79054fdaabe65d18?utm_campaign=1065&amp;utm_source=sheet", "Apply")</f>
        <v>Apply</v>
      </c>
      <c r="C405" s="10" t="s">
        <v>13682</v>
      </c>
      <c r="D405" s="56" t="s">
        <v>13683</v>
      </c>
      <c r="E405" s="10" t="s">
        <v>65</v>
      </c>
      <c r="F405" s="10" t="s">
        <v>13684</v>
      </c>
      <c r="G405" s="10" t="s">
        <v>12654</v>
      </c>
      <c r="H405" s="10" t="s">
        <v>13685</v>
      </c>
      <c r="I405" s="10" t="s">
        <v>55</v>
      </c>
      <c r="J405" s="10" t="s">
        <v>1189</v>
      </c>
      <c r="K405" s="10" t="s">
        <v>13686</v>
      </c>
      <c r="L405" s="10" t="s">
        <v>42</v>
      </c>
    </row>
    <row r="406" ht="15.75" customHeight="1">
      <c r="A406" s="64">
        <v>45493.0</v>
      </c>
      <c r="B406" s="55" t="str">
        <f>HYPERLINK("https://jobright.ai/jobs/info/6683ec6c0980a1d175d127be?utm_campaign=1065&amp;utm_source=sheet", "Apply")</f>
        <v>Apply</v>
      </c>
      <c r="C406" s="10" t="s">
        <v>13687</v>
      </c>
      <c r="D406" s="56" t="s">
        <v>12792</v>
      </c>
      <c r="E406" s="10" t="s">
        <v>209</v>
      </c>
      <c r="F406" s="10" t="s">
        <v>1641</v>
      </c>
      <c r="G406" s="10" t="s">
        <v>12654</v>
      </c>
      <c r="H406" s="10" t="s">
        <v>170</v>
      </c>
      <c r="I406" s="10" t="s">
        <v>55</v>
      </c>
      <c r="J406" s="10" t="s">
        <v>1984</v>
      </c>
      <c r="K406" s="10" t="s">
        <v>13688</v>
      </c>
      <c r="L406" s="10" t="s">
        <v>42</v>
      </c>
    </row>
    <row r="407" ht="15.75" customHeight="1">
      <c r="A407" s="64">
        <v>45493.0</v>
      </c>
      <c r="B407" s="55" t="str">
        <f>HYPERLINK("https://jobright.ai/jobs/info/6661fca7eca34b28333491a0?utm_campaign=1065&amp;utm_source=sheet", "Apply")</f>
        <v>Apply</v>
      </c>
      <c r="C407" s="10" t="s">
        <v>13672</v>
      </c>
      <c r="D407" s="56" t="s">
        <v>10169</v>
      </c>
      <c r="E407" s="10" t="s">
        <v>45</v>
      </c>
      <c r="F407" s="10" t="s">
        <v>10170</v>
      </c>
      <c r="G407" s="10" t="s">
        <v>12635</v>
      </c>
      <c r="H407" s="10" t="s">
        <v>13689</v>
      </c>
      <c r="I407" s="10" t="s">
        <v>55</v>
      </c>
      <c r="J407" s="10" t="s">
        <v>1409</v>
      </c>
      <c r="K407" s="10" t="s">
        <v>13690</v>
      </c>
      <c r="L407" s="10" t="s">
        <v>42</v>
      </c>
    </row>
    <row r="408" ht="15.75" customHeight="1">
      <c r="A408" s="64">
        <v>45493.0</v>
      </c>
      <c r="B408" s="55" t="str">
        <f>HYPERLINK("https://jobright.ai/jobs/info/669ba3a6e992abb1a26d273f?utm_campaign=1065&amp;utm_source=sheet", "Apply")</f>
        <v>Apply</v>
      </c>
      <c r="C408" s="10" t="s">
        <v>13691</v>
      </c>
      <c r="D408" s="56" t="s">
        <v>13692</v>
      </c>
      <c r="E408" s="10" t="s">
        <v>249</v>
      </c>
      <c r="F408" s="10" t="s">
        <v>13693</v>
      </c>
      <c r="G408" s="10" t="s">
        <v>12635</v>
      </c>
      <c r="H408" s="10" t="s">
        <v>251</v>
      </c>
      <c r="I408" s="10" t="s">
        <v>252</v>
      </c>
      <c r="K408" s="10" t="s">
        <v>13694</v>
      </c>
      <c r="L408" s="10" t="s">
        <v>42</v>
      </c>
    </row>
    <row r="409" ht="15.75" customHeight="1">
      <c r="A409" s="64">
        <v>45493.0</v>
      </c>
      <c r="B409" s="55" t="str">
        <f>HYPERLINK("https://jobright.ai/jobs/info/669ba3a8024e99c816a9df6b?utm_campaign=1065&amp;utm_source=sheet", "Apply")</f>
        <v>Apply</v>
      </c>
      <c r="C409" s="10" t="s">
        <v>12938</v>
      </c>
      <c r="D409" s="56" t="s">
        <v>13695</v>
      </c>
      <c r="E409" s="10">
        <v>12.0</v>
      </c>
      <c r="G409" s="10" t="s">
        <v>12630</v>
      </c>
      <c r="H409" s="10" t="s">
        <v>251</v>
      </c>
      <c r="I409" s="10" t="s">
        <v>252</v>
      </c>
      <c r="K409" s="10" t="s">
        <v>13696</v>
      </c>
      <c r="L409" s="10" t="s">
        <v>42</v>
      </c>
    </row>
    <row r="410" ht="15.75" customHeight="1">
      <c r="A410" s="64">
        <v>45493.0</v>
      </c>
      <c r="B410" s="55" t="str">
        <f>HYPERLINK("https://jobright.ai/jobs/info/669ba3a8024e99c816a9df4a?utm_campaign=1065&amp;utm_source=sheet", "Apply")</f>
        <v>Apply</v>
      </c>
      <c r="C410" s="10" t="s">
        <v>13697</v>
      </c>
      <c r="D410" s="56" t="s">
        <v>1502</v>
      </c>
      <c r="E410" s="10">
        <v>10345.0</v>
      </c>
      <c r="G410" s="10" t="s">
        <v>12654</v>
      </c>
      <c r="H410" s="10" t="s">
        <v>106</v>
      </c>
      <c r="I410" s="10" t="s">
        <v>55</v>
      </c>
      <c r="J410" s="10" t="s">
        <v>3651</v>
      </c>
      <c r="K410" s="10" t="s">
        <v>13698</v>
      </c>
      <c r="L410" s="10" t="s">
        <v>42</v>
      </c>
    </row>
    <row r="411" ht="15.75" customHeight="1">
      <c r="A411" s="64">
        <v>45493.0</v>
      </c>
      <c r="B411" s="55" t="str">
        <f>HYPERLINK("https://jobright.ai/jobs/info/669ba3af024e99c816a9e037?utm_campaign=1065&amp;utm_source=sheet", "Apply")</f>
        <v>Apply</v>
      </c>
      <c r="C411" s="10" t="s">
        <v>13662</v>
      </c>
      <c r="D411" s="56" t="s">
        <v>13663</v>
      </c>
      <c r="E411" s="10">
        <v>5.0</v>
      </c>
      <c r="G411" s="10" t="s">
        <v>12654</v>
      </c>
      <c r="H411" s="10" t="s">
        <v>153</v>
      </c>
      <c r="I411" s="10" t="s">
        <v>55</v>
      </c>
      <c r="K411" s="10" t="s">
        <v>13699</v>
      </c>
      <c r="L411" s="10" t="s">
        <v>42</v>
      </c>
    </row>
    <row r="412" ht="15.75" customHeight="1">
      <c r="A412" s="64">
        <v>45493.0</v>
      </c>
      <c r="B412" s="55" t="str">
        <f>HYPERLINK("https://jobright.ai/jobs/info/669b351e077bdb8dccd4d6dc?utm_campaign=1065&amp;utm_source=sheet", "Apply")</f>
        <v>Apply</v>
      </c>
      <c r="C412" s="10" t="s">
        <v>13700</v>
      </c>
      <c r="D412" s="56" t="s">
        <v>13701</v>
      </c>
      <c r="E412" s="10" t="s">
        <v>249</v>
      </c>
      <c r="F412" s="10" t="s">
        <v>1893</v>
      </c>
      <c r="G412" s="10" t="s">
        <v>12630</v>
      </c>
      <c r="H412" s="10" t="s">
        <v>909</v>
      </c>
      <c r="I412" s="10" t="s">
        <v>55</v>
      </c>
      <c r="K412" s="10" t="s">
        <v>13702</v>
      </c>
      <c r="L412" s="10" t="s">
        <v>42</v>
      </c>
    </row>
    <row r="413" ht="15.75" customHeight="1">
      <c r="A413" s="64">
        <v>45492.0</v>
      </c>
      <c r="B413" s="55" t="str">
        <f>HYPERLINK("https://jobright.ai/jobs/info/669ba998eb19937cc1c55ddc?utm_campaign=1065&amp;utm_source=sheet", "Apply")</f>
        <v>Apply</v>
      </c>
      <c r="C413" s="10" t="s">
        <v>13679</v>
      </c>
      <c r="D413" s="56" t="s">
        <v>12939</v>
      </c>
      <c r="E413" s="10" t="s">
        <v>45</v>
      </c>
      <c r="F413" s="10" t="s">
        <v>665</v>
      </c>
      <c r="G413" s="10" t="s">
        <v>12645</v>
      </c>
      <c r="H413" s="10" t="s">
        <v>3302</v>
      </c>
      <c r="I413" s="10" t="s">
        <v>55</v>
      </c>
      <c r="K413" s="10" t="s">
        <v>13703</v>
      </c>
      <c r="L413" s="10" t="s">
        <v>42</v>
      </c>
    </row>
    <row r="414" ht="15.75" customHeight="1">
      <c r="A414" s="64">
        <v>45492.0</v>
      </c>
      <c r="B414" s="55" t="str">
        <f>HYPERLINK("https://jobright.ai/jobs/info/669b02f692553d9511d71132?utm_campaign=1065&amp;utm_source=sheet", "Apply")</f>
        <v>Apply</v>
      </c>
      <c r="C414" s="10" t="s">
        <v>13704</v>
      </c>
      <c r="D414" s="56" t="s">
        <v>13705</v>
      </c>
      <c r="E414" s="10" t="s">
        <v>71</v>
      </c>
      <c r="F414" s="10" t="s">
        <v>13089</v>
      </c>
      <c r="G414" s="10" t="s">
        <v>12654</v>
      </c>
      <c r="H414" s="10" t="s">
        <v>96</v>
      </c>
      <c r="I414" s="10" t="s">
        <v>48</v>
      </c>
      <c r="J414" s="10" t="s">
        <v>1960</v>
      </c>
      <c r="K414" s="10" t="s">
        <v>13706</v>
      </c>
      <c r="L414" s="10" t="s">
        <v>42</v>
      </c>
    </row>
    <row r="415" ht="15.75" customHeight="1">
      <c r="A415" s="64">
        <v>45492.0</v>
      </c>
      <c r="B415" s="55" t="str">
        <f>HYPERLINK("https://jobright.ai/jobs/info/669afdbb6857f87d380fcbcd?utm_campaign=1065&amp;utm_source=sheet", "Apply")</f>
        <v>Apply</v>
      </c>
      <c r="C415" s="10" t="s">
        <v>13707</v>
      </c>
      <c r="D415" s="56" t="s">
        <v>13708</v>
      </c>
      <c r="E415" s="10" t="s">
        <v>137</v>
      </c>
      <c r="F415" s="10" t="s">
        <v>1893</v>
      </c>
      <c r="G415" s="10" t="s">
        <v>12630</v>
      </c>
      <c r="H415" s="10" t="s">
        <v>13709</v>
      </c>
      <c r="I415" s="10" t="s">
        <v>55</v>
      </c>
      <c r="J415" s="10" t="s">
        <v>1729</v>
      </c>
      <c r="K415" s="10" t="s">
        <v>13710</v>
      </c>
      <c r="L415" s="10" t="s">
        <v>42</v>
      </c>
    </row>
    <row r="416" ht="15.75" customHeight="1">
      <c r="A416" s="64">
        <v>45492.0</v>
      </c>
      <c r="B416" s="55" t="str">
        <f>HYPERLINK("https://jobright.ai/jobs/info/669afdc56857f87d380fcc2c?utm_campaign=1065&amp;utm_source=sheet", "Apply")</f>
        <v>Apply</v>
      </c>
      <c r="C416" s="10" t="s">
        <v>13711</v>
      </c>
      <c r="D416" s="56" t="s">
        <v>2805</v>
      </c>
      <c r="E416" s="10" t="s">
        <v>276</v>
      </c>
      <c r="F416" s="10" t="s">
        <v>2806</v>
      </c>
      <c r="G416" s="10" t="s">
        <v>12630</v>
      </c>
      <c r="H416" s="10" t="s">
        <v>153</v>
      </c>
      <c r="I416" s="10" t="s">
        <v>55</v>
      </c>
      <c r="K416" s="10" t="s">
        <v>13712</v>
      </c>
      <c r="L416" s="10" t="s">
        <v>42</v>
      </c>
    </row>
    <row r="417" ht="15.75" customHeight="1">
      <c r="A417" s="64">
        <v>45492.0</v>
      </c>
      <c r="B417" s="55" t="str">
        <f>HYPERLINK("https://jobright.ai/jobs/info/669aed0bbb55c2faf5163f10?utm_campaign=1065&amp;utm_source=sheet", "Apply")</f>
        <v>Apply</v>
      </c>
      <c r="C417" s="10" t="s">
        <v>13713</v>
      </c>
      <c r="D417" s="56" t="s">
        <v>13714</v>
      </c>
      <c r="E417" s="10" t="s">
        <v>137</v>
      </c>
      <c r="F417" s="10" t="s">
        <v>7760</v>
      </c>
      <c r="G417" s="10" t="s">
        <v>12630</v>
      </c>
      <c r="H417" s="10" t="s">
        <v>9486</v>
      </c>
      <c r="I417" s="10" t="s">
        <v>48</v>
      </c>
      <c r="K417" s="10" t="s">
        <v>13715</v>
      </c>
      <c r="L417" s="10" t="s">
        <v>42</v>
      </c>
    </row>
    <row r="418" ht="15.75" customHeight="1">
      <c r="A418" s="64">
        <v>45492.0</v>
      </c>
      <c r="B418" s="55" t="str">
        <f>HYPERLINK("https://jobright.ai/jobs/info/669af8d266125bd136c83620?utm_campaign=1065&amp;utm_source=sheet", "Apply")</f>
        <v>Apply</v>
      </c>
      <c r="C418" s="10" t="s">
        <v>13716</v>
      </c>
      <c r="D418" s="56" t="s">
        <v>13717</v>
      </c>
      <c r="E418" s="10" t="s">
        <v>71</v>
      </c>
      <c r="F418" s="10" t="s">
        <v>13718</v>
      </c>
      <c r="G418" s="10" t="s">
        <v>12654</v>
      </c>
      <c r="H418" s="10" t="s">
        <v>96</v>
      </c>
      <c r="I418" s="10" t="s">
        <v>55</v>
      </c>
      <c r="J418" s="10" t="s">
        <v>8269</v>
      </c>
      <c r="K418" s="10" t="s">
        <v>13719</v>
      </c>
      <c r="L418" s="10" t="s">
        <v>42</v>
      </c>
    </row>
    <row r="419" ht="15.75" customHeight="1">
      <c r="A419" s="64">
        <v>45492.0</v>
      </c>
      <c r="B419" s="55" t="str">
        <f>HYPERLINK("https://jobright.ai/jobs/info/669af48e459d064d98ae2bdb?utm_campaign=1065&amp;utm_source=sheet", "Apply")</f>
        <v>Apply</v>
      </c>
      <c r="C419" s="10" t="s">
        <v>13720</v>
      </c>
      <c r="D419" s="56" t="s">
        <v>13721</v>
      </c>
      <c r="E419" s="10" t="s">
        <v>276</v>
      </c>
      <c r="F419" s="10" t="s">
        <v>13722</v>
      </c>
      <c r="G419" s="10" t="s">
        <v>12654</v>
      </c>
      <c r="H419" s="10" t="s">
        <v>139</v>
      </c>
      <c r="I419" s="10" t="s">
        <v>48</v>
      </c>
      <c r="J419" s="10" t="s">
        <v>1409</v>
      </c>
      <c r="K419" s="10" t="s">
        <v>13723</v>
      </c>
      <c r="L419" s="10" t="s">
        <v>42</v>
      </c>
    </row>
    <row r="420" ht="15.75" customHeight="1">
      <c r="A420" s="64">
        <v>45492.0</v>
      </c>
      <c r="B420" s="55" t="str">
        <f>HYPERLINK("https://jobright.ai/jobs/info/669af1cb7460f5accae037ed?utm_campaign=1065&amp;utm_source=sheet", "Apply")</f>
        <v>Apply</v>
      </c>
      <c r="C420" s="10" t="s">
        <v>13724</v>
      </c>
      <c r="D420" s="56" t="s">
        <v>9874</v>
      </c>
      <c r="E420" s="10" t="s">
        <v>209</v>
      </c>
      <c r="F420" s="10" t="s">
        <v>1427</v>
      </c>
      <c r="G420" s="10" t="s">
        <v>12635</v>
      </c>
      <c r="H420" s="10" t="s">
        <v>251</v>
      </c>
      <c r="I420" s="10" t="s">
        <v>252</v>
      </c>
      <c r="J420" s="10" t="s">
        <v>13725</v>
      </c>
      <c r="K420" s="10" t="s">
        <v>13726</v>
      </c>
      <c r="L420" s="10" t="s">
        <v>42</v>
      </c>
    </row>
    <row r="421" ht="15.75" customHeight="1">
      <c r="A421" s="64">
        <v>45492.0</v>
      </c>
      <c r="B421" s="55" t="str">
        <f>HYPERLINK("https://jobright.ai/jobs/info/669af9e044eb65333f442283?utm_campaign=1065&amp;utm_source=sheet", "Apply")</f>
        <v>Apply</v>
      </c>
      <c r="C421" s="10" t="s">
        <v>13727</v>
      </c>
      <c r="D421" s="56" t="s">
        <v>13721</v>
      </c>
      <c r="E421" s="10" t="s">
        <v>276</v>
      </c>
      <c r="F421" s="10" t="s">
        <v>13722</v>
      </c>
      <c r="G421" s="10" t="s">
        <v>12645</v>
      </c>
      <c r="H421" s="10" t="s">
        <v>139</v>
      </c>
      <c r="I421" s="10" t="s">
        <v>55</v>
      </c>
      <c r="J421" s="10" t="s">
        <v>1409</v>
      </c>
      <c r="K421" s="10" t="s">
        <v>13728</v>
      </c>
      <c r="L421" s="10" t="s">
        <v>42</v>
      </c>
    </row>
    <row r="422" ht="15.75" customHeight="1">
      <c r="A422" s="64">
        <v>45492.0</v>
      </c>
      <c r="B422" s="55" t="str">
        <f>HYPERLINK("https://jobright.ai/jobs/info/669ae64b106c09b0deb5fe84?utm_campaign=1065&amp;utm_source=sheet", "Apply")</f>
        <v>Apply</v>
      </c>
      <c r="C422" s="10" t="s">
        <v>13729</v>
      </c>
      <c r="D422" s="56" t="s">
        <v>1183</v>
      </c>
      <c r="E422" s="10" t="s">
        <v>45</v>
      </c>
      <c r="F422" s="10" t="s">
        <v>1184</v>
      </c>
      <c r="G422" s="10" t="s">
        <v>12635</v>
      </c>
      <c r="H422" s="10" t="s">
        <v>4580</v>
      </c>
      <c r="I422" s="10" t="s">
        <v>55</v>
      </c>
      <c r="J422" s="10" t="s">
        <v>4581</v>
      </c>
      <c r="K422" s="10" t="s">
        <v>13730</v>
      </c>
      <c r="L422" s="10" t="s">
        <v>42</v>
      </c>
    </row>
    <row r="423" ht="15.75" customHeight="1">
      <c r="A423" s="64">
        <v>45492.0</v>
      </c>
      <c r="B423" s="55" t="str">
        <f>HYPERLINK("https://jobright.ai/jobs/info/669b9dcd6f5f8c0b7954cce1?utm_campaign=1065&amp;utm_source=sheet", "Apply")</f>
        <v>Apply</v>
      </c>
      <c r="C423" s="10" t="s">
        <v>13731</v>
      </c>
      <c r="D423" s="56" t="s">
        <v>13732</v>
      </c>
      <c r="E423" s="10" t="s">
        <v>209</v>
      </c>
      <c r="F423" s="10" t="s">
        <v>13733</v>
      </c>
      <c r="G423" s="10" t="s">
        <v>12654</v>
      </c>
      <c r="H423" s="10" t="s">
        <v>2727</v>
      </c>
      <c r="I423" s="10" t="s">
        <v>55</v>
      </c>
      <c r="J423" s="10" t="s">
        <v>3969</v>
      </c>
      <c r="K423" s="10" t="s">
        <v>13734</v>
      </c>
      <c r="L423" s="10" t="s">
        <v>42</v>
      </c>
    </row>
    <row r="424" ht="15.75" customHeight="1">
      <c r="A424" s="64">
        <v>45492.0</v>
      </c>
      <c r="B424" s="55" t="str">
        <f>HYPERLINK("https://jobright.ai/jobs/info/669ae2a7f776b6fd3c6f9c4b?utm_campaign=1065&amp;utm_source=sheet", "Apply")</f>
        <v>Apply</v>
      </c>
      <c r="C424" s="10" t="s">
        <v>13735</v>
      </c>
      <c r="D424" s="56" t="s">
        <v>13736</v>
      </c>
      <c r="E424" s="10" t="s">
        <v>45</v>
      </c>
      <c r="F424" s="10" t="s">
        <v>13737</v>
      </c>
      <c r="G424" s="10" t="s">
        <v>12635</v>
      </c>
      <c r="H424" s="10" t="s">
        <v>144</v>
      </c>
      <c r="I424" s="10" t="s">
        <v>55</v>
      </c>
      <c r="J424" s="10" t="s">
        <v>13738</v>
      </c>
      <c r="K424" s="10" t="s">
        <v>13739</v>
      </c>
      <c r="L424" s="10" t="s">
        <v>42</v>
      </c>
    </row>
    <row r="425" ht="15.75" customHeight="1">
      <c r="A425" s="64">
        <v>45492.0</v>
      </c>
      <c r="B425" s="55" t="str">
        <f>HYPERLINK("https://jobright.ai/jobs/info/669ad636f41e12dc68a64445?utm_campaign=1065&amp;utm_source=sheet", "Apply")</f>
        <v>Apply</v>
      </c>
      <c r="C425" s="10" t="s">
        <v>13740</v>
      </c>
      <c r="D425" s="56" t="s">
        <v>13006</v>
      </c>
      <c r="E425" s="10" t="s">
        <v>79</v>
      </c>
      <c r="F425" s="10" t="s">
        <v>13007</v>
      </c>
      <c r="G425" s="10" t="s">
        <v>12645</v>
      </c>
      <c r="H425" s="10" t="s">
        <v>113</v>
      </c>
      <c r="I425" s="10" t="s">
        <v>55</v>
      </c>
      <c r="J425" s="10" t="s">
        <v>13741</v>
      </c>
      <c r="K425" s="10" t="s">
        <v>13742</v>
      </c>
      <c r="L425" s="10" t="s">
        <v>42</v>
      </c>
    </row>
    <row r="426" ht="15.75" customHeight="1">
      <c r="A426" s="64">
        <v>45492.0</v>
      </c>
      <c r="B426" s="55" t="str">
        <f>HYPERLINK("https://jobright.ai/jobs/info/669ace18ff11284463c606ce?utm_campaign=1065&amp;utm_source=sheet", "Apply")</f>
        <v>Apply</v>
      </c>
      <c r="C426" s="10" t="s">
        <v>13743</v>
      </c>
      <c r="D426" s="56" t="s">
        <v>13744</v>
      </c>
      <c r="E426" s="10" t="s">
        <v>137</v>
      </c>
      <c r="F426" s="10" t="s">
        <v>1909</v>
      </c>
      <c r="G426" s="10" t="s">
        <v>12635</v>
      </c>
      <c r="H426" s="10" t="s">
        <v>13745</v>
      </c>
      <c r="I426" s="10" t="s">
        <v>55</v>
      </c>
      <c r="J426" s="10" t="s">
        <v>13746</v>
      </c>
      <c r="K426" s="10" t="s">
        <v>13747</v>
      </c>
      <c r="L426" s="10" t="s">
        <v>42</v>
      </c>
    </row>
    <row r="427" ht="15.75" customHeight="1">
      <c r="A427" s="64">
        <v>45492.0</v>
      </c>
      <c r="B427" s="55" t="str">
        <f>HYPERLINK("https://jobright.ai/jobs/info/669aeedb69a1ff428c94f368?utm_campaign=1065&amp;utm_source=sheet", "Apply")</f>
        <v>Apply</v>
      </c>
      <c r="C427" s="10" t="s">
        <v>13748</v>
      </c>
      <c r="D427" s="56" t="s">
        <v>10244</v>
      </c>
      <c r="E427" s="10" t="s">
        <v>45</v>
      </c>
      <c r="G427" s="10" t="s">
        <v>12654</v>
      </c>
      <c r="H427" s="10" t="s">
        <v>843</v>
      </c>
      <c r="I427" s="10" t="s">
        <v>55</v>
      </c>
      <c r="J427" s="10" t="s">
        <v>1608</v>
      </c>
      <c r="K427" s="10" t="s">
        <v>12746</v>
      </c>
      <c r="L427" s="10" t="s">
        <v>42</v>
      </c>
    </row>
    <row r="428" ht="15.75" customHeight="1">
      <c r="A428" s="64">
        <v>45492.0</v>
      </c>
      <c r="B428" s="55" t="str">
        <f>HYPERLINK("https://jobright.ai/jobs/info/669aaffce7eb3129d406b9ab?utm_campaign=1065&amp;utm_source=sheet", "Apply")</f>
        <v>Apply</v>
      </c>
      <c r="C428" s="10" t="s">
        <v>13749</v>
      </c>
      <c r="D428" s="56" t="s">
        <v>13750</v>
      </c>
      <c r="E428" s="10" t="s">
        <v>79</v>
      </c>
      <c r="F428" s="10" t="s">
        <v>665</v>
      </c>
      <c r="G428" s="10" t="s">
        <v>12654</v>
      </c>
      <c r="H428" s="10" t="s">
        <v>3081</v>
      </c>
      <c r="I428" s="10" t="s">
        <v>48</v>
      </c>
      <c r="K428" s="10" t="s">
        <v>13751</v>
      </c>
      <c r="L428" s="10" t="s">
        <v>42</v>
      </c>
    </row>
    <row r="429" ht="15.75" customHeight="1">
      <c r="A429" s="64">
        <v>45492.0</v>
      </c>
      <c r="B429" s="55" t="str">
        <f>HYPERLINK("https://jobright.ai/jobs/info/669ab5a474aa6bde60afa9ba?utm_campaign=1065&amp;utm_source=sheet", "Apply")</f>
        <v>Apply</v>
      </c>
      <c r="C429" s="10" t="s">
        <v>13752</v>
      </c>
      <c r="D429" s="56" t="s">
        <v>13753</v>
      </c>
      <c r="E429" s="10" t="s">
        <v>65</v>
      </c>
      <c r="F429" s="10" t="s">
        <v>6897</v>
      </c>
      <c r="G429" s="10" t="s">
        <v>12635</v>
      </c>
      <c r="H429" s="10" t="s">
        <v>13754</v>
      </c>
      <c r="I429" s="10" t="s">
        <v>55</v>
      </c>
      <c r="K429" s="10" t="s">
        <v>13755</v>
      </c>
      <c r="L429" s="10" t="s">
        <v>42</v>
      </c>
    </row>
    <row r="430" ht="15.75" customHeight="1">
      <c r="A430" s="64">
        <v>45492.0</v>
      </c>
      <c r="B430" s="55" t="str">
        <f>HYPERLINK("https://jobright.ai/jobs/info/669b2be28e94ffc10da9cb02?utm_campaign=1065&amp;utm_source=sheet", "Apply")</f>
        <v>Apply</v>
      </c>
      <c r="C430" s="10" t="s">
        <v>13756</v>
      </c>
      <c r="D430" s="56" t="s">
        <v>10244</v>
      </c>
      <c r="E430" s="10" t="s">
        <v>45</v>
      </c>
      <c r="G430" s="10" t="s">
        <v>12635</v>
      </c>
      <c r="H430" s="10" t="s">
        <v>843</v>
      </c>
      <c r="I430" s="10" t="s">
        <v>55</v>
      </c>
      <c r="J430" s="10" t="s">
        <v>1608</v>
      </c>
      <c r="K430" s="10" t="s">
        <v>12750</v>
      </c>
      <c r="L430" s="10" t="s">
        <v>42</v>
      </c>
    </row>
    <row r="431" ht="15.75" customHeight="1">
      <c r="A431" s="64">
        <v>45492.0</v>
      </c>
      <c r="B431" s="55" t="str">
        <f>HYPERLINK("https://jobright.ai/jobs/info/669ab9d507ef4e8940e50fa6?utm_campaign=1065&amp;utm_source=sheet", "Apply")</f>
        <v>Apply</v>
      </c>
      <c r="C431" s="10" t="s">
        <v>13757</v>
      </c>
      <c r="D431" s="56" t="s">
        <v>13758</v>
      </c>
      <c r="E431" s="10" t="s">
        <v>137</v>
      </c>
      <c r="F431" s="10" t="s">
        <v>13759</v>
      </c>
      <c r="G431" s="10" t="s">
        <v>12630</v>
      </c>
      <c r="H431" s="10" t="s">
        <v>170</v>
      </c>
      <c r="I431" s="10" t="s">
        <v>55</v>
      </c>
      <c r="K431" s="10" t="s">
        <v>13760</v>
      </c>
      <c r="L431" s="10" t="s">
        <v>42</v>
      </c>
    </row>
    <row r="432" ht="15.75" customHeight="1">
      <c r="A432" s="64">
        <v>45492.0</v>
      </c>
      <c r="B432" s="55" t="str">
        <f>HYPERLINK("https://jobright.ai/jobs/info/669ab005e7eb3129d406ba67?utm_campaign=1065&amp;utm_source=sheet", "Apply")</f>
        <v>Apply</v>
      </c>
      <c r="C432" s="10" t="s">
        <v>13761</v>
      </c>
      <c r="D432" s="56" t="s">
        <v>13762</v>
      </c>
      <c r="E432" s="10" t="s">
        <v>137</v>
      </c>
      <c r="F432" s="10" t="s">
        <v>13763</v>
      </c>
      <c r="G432" s="10" t="s">
        <v>12630</v>
      </c>
      <c r="H432" s="10" t="s">
        <v>139</v>
      </c>
      <c r="I432" s="10" t="s">
        <v>48</v>
      </c>
      <c r="K432" s="10" t="s">
        <v>13764</v>
      </c>
      <c r="L432" s="10" t="s">
        <v>42</v>
      </c>
    </row>
    <row r="433" ht="15.75" customHeight="1">
      <c r="A433" s="64">
        <v>45492.0</v>
      </c>
      <c r="B433" s="55" t="str">
        <f>HYPERLINK("https://jobright.ai/jobs/info/669a9e1c0b2ceb58a01cea0b?utm_campaign=1065&amp;utm_source=sheet", "Apply")</f>
        <v>Apply</v>
      </c>
      <c r="C433" s="10" t="s">
        <v>13765</v>
      </c>
      <c r="D433" s="56" t="s">
        <v>13006</v>
      </c>
      <c r="E433" s="10" t="s">
        <v>79</v>
      </c>
      <c r="F433" s="10" t="s">
        <v>13007</v>
      </c>
      <c r="G433" s="10" t="s">
        <v>12630</v>
      </c>
      <c r="H433" s="10" t="s">
        <v>9570</v>
      </c>
      <c r="I433" s="10" t="s">
        <v>55</v>
      </c>
      <c r="J433" s="10" t="s">
        <v>13766</v>
      </c>
      <c r="K433" s="10" t="s">
        <v>13742</v>
      </c>
      <c r="L433" s="10" t="s">
        <v>42</v>
      </c>
    </row>
    <row r="434" ht="15.75" customHeight="1">
      <c r="A434" s="64">
        <v>45492.0</v>
      </c>
      <c r="B434" s="55" t="str">
        <f>HYPERLINK("https://jobright.ai/jobs/info/6697e0968bf4ec0133a27303?utm_campaign=1065&amp;utm_source=sheet", "Apply")</f>
        <v>Apply</v>
      </c>
      <c r="C434" s="10" t="s">
        <v>13767</v>
      </c>
      <c r="D434" s="56" t="s">
        <v>13768</v>
      </c>
      <c r="E434" s="10" t="s">
        <v>71</v>
      </c>
      <c r="F434" s="10" t="s">
        <v>13769</v>
      </c>
      <c r="G434" s="10" t="s">
        <v>12630</v>
      </c>
      <c r="H434" s="10" t="s">
        <v>13770</v>
      </c>
      <c r="I434" s="10" t="s">
        <v>55</v>
      </c>
      <c r="J434" s="10" t="s">
        <v>13771</v>
      </c>
      <c r="K434" s="10" t="s">
        <v>13772</v>
      </c>
      <c r="L434" s="10" t="s">
        <v>42</v>
      </c>
    </row>
    <row r="435" ht="15.75" customHeight="1">
      <c r="A435" s="64">
        <v>45492.0</v>
      </c>
      <c r="B435" s="55" t="str">
        <f>HYPERLINK("https://jobright.ai/jobs/info/669aa2f37c95987868d83b84?utm_campaign=1065&amp;utm_source=sheet", "Apply")</f>
        <v>Apply</v>
      </c>
      <c r="C435" s="10" t="s">
        <v>13773</v>
      </c>
      <c r="D435" s="56" t="s">
        <v>1178</v>
      </c>
      <c r="E435" s="10" t="s">
        <v>137</v>
      </c>
      <c r="F435" s="10" t="s">
        <v>1179</v>
      </c>
      <c r="G435" s="10" t="s">
        <v>12654</v>
      </c>
      <c r="H435" s="10" t="s">
        <v>1254</v>
      </c>
      <c r="I435" s="10" t="s">
        <v>55</v>
      </c>
      <c r="J435" s="10" t="s">
        <v>13774</v>
      </c>
      <c r="K435" s="10" t="s">
        <v>13775</v>
      </c>
      <c r="L435" s="10" t="s">
        <v>42</v>
      </c>
    </row>
    <row r="436" ht="15.75" customHeight="1">
      <c r="A436" s="64">
        <v>45492.0</v>
      </c>
      <c r="B436" s="55" t="str">
        <f>HYPERLINK("https://jobright.ai/jobs/info/669a8fb4c25403b17a86c609?utm_campaign=1065&amp;utm_source=sheet", "Apply")</f>
        <v>Apply</v>
      </c>
      <c r="C436" s="10" t="s">
        <v>13776</v>
      </c>
      <c r="D436" s="56" t="s">
        <v>1273</v>
      </c>
      <c r="E436" s="10" t="s">
        <v>45</v>
      </c>
      <c r="F436" s="10" t="s">
        <v>1274</v>
      </c>
      <c r="G436" s="10" t="s">
        <v>12630</v>
      </c>
      <c r="H436" s="10" t="s">
        <v>13777</v>
      </c>
      <c r="I436" s="10" t="s">
        <v>55</v>
      </c>
      <c r="K436" s="10" t="s">
        <v>13778</v>
      </c>
      <c r="L436" s="10" t="s">
        <v>42</v>
      </c>
    </row>
    <row r="437" ht="15.75" customHeight="1">
      <c r="A437" s="64">
        <v>45492.0</v>
      </c>
      <c r="B437" s="55" t="str">
        <f>HYPERLINK("https://jobright.ai/jobs/info/66a3fdc5d61cea1521a4753f?utm_campaign=1065&amp;utm_source=sheet", "Apply")</f>
        <v>Apply</v>
      </c>
      <c r="C437" s="10" t="s">
        <v>13779</v>
      </c>
      <c r="D437" s="56" t="s">
        <v>13780</v>
      </c>
      <c r="E437" s="10" t="s">
        <v>71</v>
      </c>
      <c r="F437" s="10" t="s">
        <v>85</v>
      </c>
      <c r="G437" s="10" t="s">
        <v>12645</v>
      </c>
      <c r="H437" s="10" t="s">
        <v>170</v>
      </c>
      <c r="I437" s="10" t="s">
        <v>55</v>
      </c>
      <c r="K437" s="10" t="s">
        <v>13781</v>
      </c>
      <c r="L437" s="10" t="s">
        <v>42</v>
      </c>
    </row>
    <row r="438" ht="15.75" customHeight="1">
      <c r="A438" s="64">
        <v>45492.0</v>
      </c>
      <c r="B438" s="55" t="str">
        <f>HYPERLINK("https://jobright.ai/jobs/info/669a89d0f84b499eedb4931a?utm_campaign=1065&amp;utm_source=sheet", "Apply")</f>
        <v>Apply</v>
      </c>
      <c r="C438" s="10" t="s">
        <v>13782</v>
      </c>
      <c r="D438" s="56" t="s">
        <v>13783</v>
      </c>
      <c r="E438" s="10">
        <v>1.0</v>
      </c>
      <c r="G438" s="10" t="s">
        <v>12630</v>
      </c>
      <c r="H438" s="10" t="s">
        <v>13784</v>
      </c>
      <c r="I438" s="10" t="s">
        <v>48</v>
      </c>
      <c r="K438" s="10" t="s">
        <v>13785</v>
      </c>
      <c r="L438" s="10" t="s">
        <v>42</v>
      </c>
    </row>
    <row r="439" ht="15.75" customHeight="1">
      <c r="A439" s="64">
        <v>45492.0</v>
      </c>
      <c r="B439" s="55" t="str">
        <f>HYPERLINK("https://jobright.ai/jobs/info/669a89d0f84b499eedb49319?utm_campaign=1065&amp;utm_source=sheet", "Apply")</f>
        <v>Apply</v>
      </c>
      <c r="C439" s="10" t="s">
        <v>12650</v>
      </c>
      <c r="D439" s="56" t="s">
        <v>13786</v>
      </c>
      <c r="E439" s="10">
        <v>111.0</v>
      </c>
      <c r="G439" s="10" t="s">
        <v>12635</v>
      </c>
      <c r="H439" s="10" t="s">
        <v>73</v>
      </c>
      <c r="I439" s="10" t="s">
        <v>55</v>
      </c>
      <c r="K439" s="10" t="s">
        <v>13787</v>
      </c>
      <c r="L439" s="10" t="s">
        <v>42</v>
      </c>
    </row>
    <row r="440" ht="15.75" customHeight="1">
      <c r="A440" s="64">
        <v>45492.0</v>
      </c>
      <c r="B440" s="55" t="str">
        <f>HYPERLINK("https://jobright.ai/jobs/info/669fb2bfb78dda6ddf890757?utm_campaign=1065&amp;utm_source=sheet", "Apply")</f>
        <v>Apply</v>
      </c>
      <c r="C440" s="10" t="s">
        <v>13788</v>
      </c>
      <c r="D440" s="56" t="s">
        <v>13789</v>
      </c>
      <c r="F440" s="10" t="s">
        <v>1243</v>
      </c>
      <c r="G440" s="10" t="s">
        <v>12654</v>
      </c>
      <c r="H440" s="10" t="s">
        <v>4627</v>
      </c>
      <c r="I440" s="10" t="s">
        <v>55</v>
      </c>
      <c r="J440" s="10" t="s">
        <v>2217</v>
      </c>
      <c r="K440" s="10" t="s">
        <v>13790</v>
      </c>
      <c r="L440" s="10" t="s">
        <v>42</v>
      </c>
    </row>
    <row r="441" ht="15.75" customHeight="1">
      <c r="A441" s="64">
        <v>45492.0</v>
      </c>
      <c r="B441" s="55" t="str">
        <f>HYPERLINK("https://jobright.ai/jobs/info/66a24287ce613dae632bcdcc?utm_campaign=1065&amp;utm_source=sheet", "Apply")</f>
        <v>Apply</v>
      </c>
      <c r="C441" s="10" t="s">
        <v>13773</v>
      </c>
      <c r="D441" s="56" t="s">
        <v>13791</v>
      </c>
      <c r="E441" s="10" t="s">
        <v>65</v>
      </c>
      <c r="F441" s="10" t="s">
        <v>13792</v>
      </c>
      <c r="G441" s="10" t="s">
        <v>12654</v>
      </c>
      <c r="H441" s="10" t="s">
        <v>1254</v>
      </c>
      <c r="I441" s="10" t="s">
        <v>55</v>
      </c>
      <c r="J441" s="10" t="s">
        <v>13774</v>
      </c>
      <c r="K441" s="10" t="s">
        <v>13775</v>
      </c>
      <c r="L441" s="10" t="s">
        <v>42</v>
      </c>
    </row>
    <row r="442" ht="15.75" customHeight="1">
      <c r="A442" s="64">
        <v>45492.0</v>
      </c>
      <c r="B442" s="55" t="str">
        <f>HYPERLINK("https://jobright.ai/jobs/info/66a4033c0d09d8a9054b3c3d?utm_campaign=1065&amp;utm_source=sheet", "Apply")</f>
        <v>Apply</v>
      </c>
      <c r="C442" s="10" t="s">
        <v>13793</v>
      </c>
      <c r="D442" s="56" t="s">
        <v>13794</v>
      </c>
      <c r="E442" s="10">
        <v>38.0</v>
      </c>
      <c r="G442" s="10" t="s">
        <v>12645</v>
      </c>
      <c r="H442" s="10" t="s">
        <v>146</v>
      </c>
      <c r="I442" s="10" t="s">
        <v>55</v>
      </c>
      <c r="K442" s="10" t="s">
        <v>13795</v>
      </c>
      <c r="L442" s="10" t="s">
        <v>42</v>
      </c>
    </row>
    <row r="443" ht="15.75" customHeight="1">
      <c r="A443" s="64">
        <v>45492.0</v>
      </c>
      <c r="B443" s="55" t="str">
        <f>HYPERLINK("https://jobright.ai/jobs/info/66a4033c0d09d8a9054b3c88?utm_campaign=1065&amp;utm_source=sheet", "Apply")</f>
        <v>Apply</v>
      </c>
      <c r="C443" s="10" t="s">
        <v>13796</v>
      </c>
      <c r="D443" s="56" t="s">
        <v>13797</v>
      </c>
      <c r="E443" s="10">
        <v>3.0</v>
      </c>
      <c r="G443" s="10" t="s">
        <v>12635</v>
      </c>
      <c r="H443" s="10" t="s">
        <v>3861</v>
      </c>
      <c r="I443" s="10" t="s">
        <v>55</v>
      </c>
      <c r="J443" s="10" t="s">
        <v>1873</v>
      </c>
      <c r="K443" s="10" t="s">
        <v>13798</v>
      </c>
      <c r="L443" s="10" t="s">
        <v>42</v>
      </c>
    </row>
    <row r="444" ht="15.75" customHeight="1">
      <c r="A444" s="64">
        <v>45492.0</v>
      </c>
      <c r="B444" s="55" t="str">
        <f>HYPERLINK("https://jobright.ai/jobs/info/6675c8d53b408d33d5602da1?utm_campaign=1065&amp;utm_source=sheet", "Apply")</f>
        <v>Apply</v>
      </c>
      <c r="C444" s="10" t="s">
        <v>13799</v>
      </c>
      <c r="D444" s="56" t="s">
        <v>1600</v>
      </c>
      <c r="E444" s="10" t="s">
        <v>45</v>
      </c>
      <c r="F444" s="10" t="s">
        <v>1601</v>
      </c>
      <c r="G444" s="10" t="s">
        <v>12630</v>
      </c>
      <c r="H444" s="10" t="s">
        <v>251</v>
      </c>
      <c r="I444" s="10" t="s">
        <v>252</v>
      </c>
      <c r="K444" s="10" t="s">
        <v>13800</v>
      </c>
      <c r="L444" s="10" t="s">
        <v>42</v>
      </c>
    </row>
    <row r="445" ht="15.75" customHeight="1">
      <c r="A445" s="64">
        <v>45492.0</v>
      </c>
      <c r="B445" s="55" t="str">
        <f>HYPERLINK("https://jobright.ai/jobs/info/669116a912153957d1a90a3f?utm_campaign=1065&amp;utm_source=sheet", "Apply")</f>
        <v>Apply</v>
      </c>
      <c r="C445" s="10" t="s">
        <v>13801</v>
      </c>
      <c r="D445" s="56" t="s">
        <v>5523</v>
      </c>
      <c r="E445" s="10" t="s">
        <v>209</v>
      </c>
      <c r="F445" s="10" t="s">
        <v>5524</v>
      </c>
      <c r="G445" s="10" t="s">
        <v>12654</v>
      </c>
      <c r="H445" s="10" t="s">
        <v>5245</v>
      </c>
      <c r="I445" s="10" t="s">
        <v>55</v>
      </c>
      <c r="J445" s="10" t="s">
        <v>9054</v>
      </c>
      <c r="K445" s="10" t="s">
        <v>13802</v>
      </c>
      <c r="L445" s="10" t="s">
        <v>42</v>
      </c>
    </row>
    <row r="446" ht="15.75" customHeight="1">
      <c r="A446" s="64">
        <v>45492.0</v>
      </c>
      <c r="B446" s="55" t="str">
        <f>HYPERLINK("https://jobright.ai/jobs/info/667e1bca164e0674b2ce1036?utm_campaign=1065&amp;utm_source=sheet", "Apply")</f>
        <v>Apply</v>
      </c>
      <c r="C446" s="10" t="s">
        <v>12650</v>
      </c>
      <c r="D446" s="56" t="s">
        <v>13803</v>
      </c>
      <c r="E446" s="10" t="s">
        <v>45</v>
      </c>
      <c r="F446" s="10" t="s">
        <v>13804</v>
      </c>
      <c r="G446" s="10" t="s">
        <v>12630</v>
      </c>
      <c r="H446" s="10" t="s">
        <v>822</v>
      </c>
      <c r="I446" s="10" t="s">
        <v>55</v>
      </c>
      <c r="J446" s="10" t="s">
        <v>13805</v>
      </c>
      <c r="K446" s="10" t="s">
        <v>13806</v>
      </c>
      <c r="L446" s="10" t="s">
        <v>42</v>
      </c>
    </row>
    <row r="447" ht="15.75" customHeight="1">
      <c r="A447" s="64">
        <v>45492.0</v>
      </c>
      <c r="B447" s="55" t="str">
        <f>HYPERLINK("https://jobright.ai/jobs/info/667e2a360091cd4a2c0056e5?utm_campaign=1065&amp;utm_source=sheet", "Apply")</f>
        <v>Apply</v>
      </c>
      <c r="C447" s="10" t="s">
        <v>13807</v>
      </c>
      <c r="D447" s="56" t="s">
        <v>13808</v>
      </c>
      <c r="E447" s="10">
        <v>8745.0</v>
      </c>
      <c r="G447" s="10" t="s">
        <v>12630</v>
      </c>
      <c r="H447" s="10" t="s">
        <v>898</v>
      </c>
      <c r="I447" s="10" t="s">
        <v>48</v>
      </c>
      <c r="J447" s="10" t="s">
        <v>13809</v>
      </c>
      <c r="K447" s="10" t="s">
        <v>13810</v>
      </c>
      <c r="L447" s="10" t="s">
        <v>42</v>
      </c>
    </row>
    <row r="448" ht="15.75" customHeight="1">
      <c r="A448" s="64">
        <v>45492.0</v>
      </c>
      <c r="B448" s="55" t="str">
        <f>HYPERLINK("https://jobright.ai/jobs/info/667d96e0ceb70d3330c09882?utm_campaign=1065&amp;utm_source=sheet", "Apply")</f>
        <v>Apply</v>
      </c>
      <c r="C448" s="10" t="s">
        <v>12785</v>
      </c>
      <c r="D448" s="56" t="s">
        <v>3402</v>
      </c>
      <c r="E448" s="10" t="s">
        <v>45</v>
      </c>
      <c r="F448" s="10" t="s">
        <v>3403</v>
      </c>
      <c r="G448" s="10" t="s">
        <v>12635</v>
      </c>
      <c r="H448" s="10" t="s">
        <v>429</v>
      </c>
      <c r="I448" s="10" t="s">
        <v>55</v>
      </c>
      <c r="K448" s="10" t="s">
        <v>12787</v>
      </c>
      <c r="L448" s="10" t="s">
        <v>42</v>
      </c>
    </row>
    <row r="449" ht="15.75" customHeight="1">
      <c r="A449" s="64">
        <v>45492.0</v>
      </c>
      <c r="B449" s="55" t="str">
        <f>HYPERLINK("https://jobright.ai/jobs/info/667d96eaceb70d3330c0995b?utm_campaign=1065&amp;utm_source=sheet", "Apply")</f>
        <v>Apply</v>
      </c>
      <c r="C449" s="10" t="s">
        <v>13811</v>
      </c>
      <c r="D449" s="56" t="s">
        <v>13812</v>
      </c>
      <c r="E449" s="10" t="s">
        <v>276</v>
      </c>
      <c r="F449" s="10" t="s">
        <v>13813</v>
      </c>
      <c r="G449" s="10" t="s">
        <v>12630</v>
      </c>
      <c r="H449" s="10" t="s">
        <v>251</v>
      </c>
      <c r="I449" s="10" t="s">
        <v>252</v>
      </c>
      <c r="J449" s="10" t="s">
        <v>1797</v>
      </c>
      <c r="K449" s="10" t="s">
        <v>13814</v>
      </c>
      <c r="L449" s="10" t="s">
        <v>42</v>
      </c>
    </row>
    <row r="450" ht="15.75" customHeight="1">
      <c r="A450" s="64">
        <v>45492.0</v>
      </c>
      <c r="B450" s="55" t="str">
        <f>HYPERLINK("https://jobright.ai/jobs/info/667d96eaceb70d3330c0990d?utm_campaign=1065&amp;utm_source=sheet", "Apply")</f>
        <v>Apply</v>
      </c>
      <c r="C450" s="10" t="s">
        <v>13815</v>
      </c>
      <c r="D450" s="56" t="s">
        <v>13812</v>
      </c>
      <c r="E450" s="10" t="s">
        <v>276</v>
      </c>
      <c r="F450" s="10" t="s">
        <v>13813</v>
      </c>
      <c r="G450" s="10" t="s">
        <v>12630</v>
      </c>
      <c r="H450" s="10" t="s">
        <v>251</v>
      </c>
      <c r="I450" s="10" t="s">
        <v>252</v>
      </c>
      <c r="J450" s="10" t="s">
        <v>1797</v>
      </c>
      <c r="K450" s="10" t="s">
        <v>13816</v>
      </c>
      <c r="L450" s="10" t="s">
        <v>42</v>
      </c>
    </row>
    <row r="451" ht="15.75" customHeight="1">
      <c r="A451" s="64">
        <v>45492.0</v>
      </c>
      <c r="B451" s="55" t="str">
        <f>HYPERLINK("https://jobright.ai/jobs/info/6675ac666d8340c59f8e4b9f?utm_campaign=1065&amp;utm_source=sheet", "Apply")</f>
        <v>Apply</v>
      </c>
      <c r="C451" s="10" t="s">
        <v>13817</v>
      </c>
      <c r="D451" s="56" t="s">
        <v>13818</v>
      </c>
      <c r="E451" s="10" t="s">
        <v>79</v>
      </c>
      <c r="F451" s="10" t="s">
        <v>13819</v>
      </c>
      <c r="G451" s="10" t="s">
        <v>12630</v>
      </c>
      <c r="H451" s="10" t="s">
        <v>251</v>
      </c>
      <c r="I451" s="10" t="s">
        <v>252</v>
      </c>
      <c r="J451" s="10" t="s">
        <v>3979</v>
      </c>
      <c r="K451" s="10" t="s">
        <v>13820</v>
      </c>
      <c r="L451" s="10" t="s">
        <v>42</v>
      </c>
    </row>
    <row r="452" ht="15.75" customHeight="1">
      <c r="A452" s="64">
        <v>45492.0</v>
      </c>
      <c r="B452" s="55" t="str">
        <f>HYPERLINK("https://jobright.ai/jobs/info/667ddd50083431332d680dfd?utm_campaign=1065&amp;utm_source=sheet", "Apply")</f>
        <v>Apply</v>
      </c>
      <c r="C452" s="10" t="s">
        <v>13821</v>
      </c>
      <c r="D452" s="56" t="s">
        <v>13822</v>
      </c>
      <c r="E452" s="10" t="s">
        <v>45</v>
      </c>
      <c r="F452" s="10" t="s">
        <v>2274</v>
      </c>
      <c r="G452" s="10" t="s">
        <v>12654</v>
      </c>
      <c r="H452" s="10" t="s">
        <v>96</v>
      </c>
      <c r="I452" s="10" t="s">
        <v>55</v>
      </c>
      <c r="K452" s="10" t="s">
        <v>13823</v>
      </c>
      <c r="L452" s="10" t="s">
        <v>42</v>
      </c>
    </row>
    <row r="453" ht="15.75" customHeight="1">
      <c r="A453" s="64">
        <v>45492.0</v>
      </c>
      <c r="B453" s="55" t="str">
        <f>HYPERLINK("https://jobright.ai/jobs/info/667c351a4a06ca08f36cbd95?utm_campaign=1065&amp;utm_source=sheet", "Apply")</f>
        <v>Apply</v>
      </c>
      <c r="C453" s="10" t="s">
        <v>12650</v>
      </c>
      <c r="D453" s="56" t="s">
        <v>13803</v>
      </c>
      <c r="E453" s="10" t="s">
        <v>45</v>
      </c>
      <c r="F453" s="10" t="s">
        <v>13804</v>
      </c>
      <c r="G453" s="10" t="s">
        <v>12630</v>
      </c>
      <c r="H453" s="10" t="s">
        <v>822</v>
      </c>
      <c r="I453" s="10" t="s">
        <v>55</v>
      </c>
      <c r="J453" s="10" t="s">
        <v>13805</v>
      </c>
      <c r="K453" s="10" t="s">
        <v>13806</v>
      </c>
      <c r="L453" s="10" t="s">
        <v>42</v>
      </c>
    </row>
    <row r="454" ht="15.75" customHeight="1">
      <c r="A454" s="64">
        <v>45492.0</v>
      </c>
      <c r="B454" s="55" t="str">
        <f>HYPERLINK("https://jobright.ai/jobs/info/667e5455ab5cfe08f73eab86?utm_campaign=1065&amp;utm_source=sheet", "Apply")</f>
        <v>Apply</v>
      </c>
      <c r="C454" s="10" t="s">
        <v>13824</v>
      </c>
      <c r="D454" s="56" t="s">
        <v>44</v>
      </c>
      <c r="E454" s="10" t="s">
        <v>45</v>
      </c>
      <c r="F454" s="10" t="s">
        <v>46</v>
      </c>
      <c r="G454" s="10" t="s">
        <v>12654</v>
      </c>
      <c r="H454" s="10" t="s">
        <v>216</v>
      </c>
      <c r="I454" s="10" t="s">
        <v>48</v>
      </c>
      <c r="J454" s="10" t="s">
        <v>13825</v>
      </c>
      <c r="K454" s="10" t="s">
        <v>13826</v>
      </c>
      <c r="L454" s="10" t="s">
        <v>42</v>
      </c>
    </row>
    <row r="455" ht="15.75" customHeight="1">
      <c r="A455" s="64">
        <v>45492.0</v>
      </c>
      <c r="B455" s="55" t="str">
        <f>HYPERLINK("https://jobright.ai/jobs/info/6643b00bbb19244e57d230d8?utm_campaign=1065&amp;utm_source=sheet", "Apply")</f>
        <v>Apply</v>
      </c>
      <c r="C455" s="10" t="s">
        <v>12904</v>
      </c>
      <c r="D455" s="56" t="s">
        <v>3832</v>
      </c>
      <c r="E455" s="10" t="s">
        <v>65</v>
      </c>
      <c r="F455" s="10" t="s">
        <v>660</v>
      </c>
      <c r="G455" s="10" t="s">
        <v>12654</v>
      </c>
      <c r="H455" s="10" t="s">
        <v>3440</v>
      </c>
      <c r="I455" s="10" t="s">
        <v>48</v>
      </c>
      <c r="J455" s="10" t="s">
        <v>3833</v>
      </c>
      <c r="K455" s="10" t="s">
        <v>13827</v>
      </c>
      <c r="L455" s="10" t="s">
        <v>42</v>
      </c>
    </row>
    <row r="456" ht="15.75" customHeight="1">
      <c r="A456" s="64">
        <v>45492.0</v>
      </c>
      <c r="B456" s="55" t="str">
        <f>HYPERLINK("https://jobright.ai/jobs/info/6699f9d5a8dbd3e3aece60ca?utm_campaign=1065&amp;utm_source=sheet", "Apply")</f>
        <v>Apply</v>
      </c>
      <c r="C456" s="10" t="s">
        <v>13828</v>
      </c>
      <c r="D456" s="56" t="s">
        <v>13829</v>
      </c>
      <c r="E456" s="10">
        <v>162.0</v>
      </c>
      <c r="G456" s="10" t="s">
        <v>12630</v>
      </c>
      <c r="H456" s="10" t="s">
        <v>139</v>
      </c>
      <c r="I456" s="10" t="s">
        <v>55</v>
      </c>
      <c r="K456" s="10" t="s">
        <v>13830</v>
      </c>
      <c r="L456" s="10" t="s">
        <v>42</v>
      </c>
    </row>
    <row r="457" ht="15.75" customHeight="1">
      <c r="A457" s="64">
        <v>45492.0</v>
      </c>
      <c r="B457" s="55" t="str">
        <f>HYPERLINK("https://jobright.ai/jobs/info/6699d6ae42687d6e9b5d3c73?utm_campaign=1065&amp;utm_source=sheet", "Apply")</f>
        <v>Apply</v>
      </c>
      <c r="C457" s="10" t="s">
        <v>13831</v>
      </c>
      <c r="D457" s="56" t="s">
        <v>13832</v>
      </c>
      <c r="E457" s="10" t="s">
        <v>276</v>
      </c>
      <c r="F457" s="10" t="s">
        <v>5919</v>
      </c>
      <c r="G457" s="10" t="s">
        <v>12654</v>
      </c>
      <c r="H457" s="10" t="s">
        <v>1049</v>
      </c>
      <c r="I457" s="10" t="s">
        <v>55</v>
      </c>
      <c r="K457" s="10" t="s">
        <v>13833</v>
      </c>
      <c r="L457" s="10" t="s">
        <v>42</v>
      </c>
    </row>
    <row r="458" ht="15.75" customHeight="1">
      <c r="A458" s="64">
        <v>45492.0</v>
      </c>
      <c r="B458" s="55" t="str">
        <f>HYPERLINK("https://jobright.ai/jobs/info/6699d4d6dd88dc56339bcfe9?utm_campaign=1065&amp;utm_source=sheet", "Apply")</f>
        <v>Apply</v>
      </c>
      <c r="C458" s="10" t="s">
        <v>12871</v>
      </c>
      <c r="D458" s="56" t="s">
        <v>13834</v>
      </c>
      <c r="E458" s="10" t="s">
        <v>249</v>
      </c>
      <c r="F458" s="10" t="s">
        <v>13835</v>
      </c>
      <c r="G458" s="10" t="s">
        <v>12654</v>
      </c>
      <c r="H458" s="10" t="s">
        <v>3374</v>
      </c>
      <c r="I458" s="10" t="s">
        <v>55</v>
      </c>
      <c r="K458" s="10" t="s">
        <v>13836</v>
      </c>
      <c r="L458" s="10" t="s">
        <v>42</v>
      </c>
    </row>
    <row r="459" ht="15.75" customHeight="1">
      <c r="A459" s="64">
        <v>45492.0</v>
      </c>
      <c r="B459" s="55" t="str">
        <f>HYPERLINK("https://jobright.ai/jobs/info/6699c61376390e6740f75baf?utm_campaign=1065&amp;utm_source=sheet", "Apply")</f>
        <v>Apply</v>
      </c>
      <c r="C459" s="10" t="s">
        <v>13837</v>
      </c>
      <c r="D459" s="56" t="s">
        <v>10244</v>
      </c>
      <c r="E459" s="10" t="s">
        <v>45</v>
      </c>
      <c r="G459" s="10" t="s">
        <v>12654</v>
      </c>
      <c r="H459" s="10" t="s">
        <v>139</v>
      </c>
      <c r="I459" s="10" t="s">
        <v>55</v>
      </c>
      <c r="J459" s="10" t="s">
        <v>3651</v>
      </c>
      <c r="K459" s="10" t="s">
        <v>12746</v>
      </c>
      <c r="L459" s="10" t="s">
        <v>42</v>
      </c>
    </row>
    <row r="460" ht="15.75" customHeight="1">
      <c r="A460" s="64">
        <v>45492.0</v>
      </c>
      <c r="B460" s="55" t="str">
        <f>HYPERLINK("https://jobright.ai/jobs/info/6699b77ca88c5ef0817a613e?utm_campaign=1065&amp;utm_source=sheet", "Apply")</f>
        <v>Apply</v>
      </c>
      <c r="C460" s="10" t="s">
        <v>13838</v>
      </c>
      <c r="D460" s="56" t="s">
        <v>13839</v>
      </c>
      <c r="E460" s="10">
        <v>4.0</v>
      </c>
      <c r="G460" s="10" t="s">
        <v>12654</v>
      </c>
      <c r="H460" s="10" t="s">
        <v>1013</v>
      </c>
      <c r="I460" s="10" t="s">
        <v>48</v>
      </c>
      <c r="K460" s="10" t="s">
        <v>13840</v>
      </c>
      <c r="L460" s="10" t="s">
        <v>42</v>
      </c>
    </row>
    <row r="461" ht="15.75" customHeight="1">
      <c r="A461" s="64">
        <v>45492.0</v>
      </c>
      <c r="B461" s="55" t="str">
        <f>HYPERLINK("https://jobright.ai/jobs/info/669b0519e2ce2caece7f1d2f?utm_campaign=1065&amp;utm_source=sheet", "Apply")</f>
        <v>Apply</v>
      </c>
      <c r="C461" s="10" t="s">
        <v>12650</v>
      </c>
      <c r="D461" s="56" t="s">
        <v>13841</v>
      </c>
      <c r="E461" s="10" t="s">
        <v>79</v>
      </c>
      <c r="F461" s="10" t="s">
        <v>13842</v>
      </c>
      <c r="G461" s="10" t="s">
        <v>12654</v>
      </c>
      <c r="H461" s="10" t="s">
        <v>411</v>
      </c>
      <c r="I461" s="10" t="s">
        <v>55</v>
      </c>
      <c r="K461" s="10" t="s">
        <v>13843</v>
      </c>
      <c r="L461" s="10" t="s">
        <v>42</v>
      </c>
    </row>
    <row r="462" ht="15.75" customHeight="1">
      <c r="A462" s="64">
        <v>45492.0</v>
      </c>
      <c r="B462" s="55" t="str">
        <f>HYPERLINK("https://jobright.ai/jobs/info/6699c2a26740616c5ecfa0c6?utm_campaign=1065&amp;utm_source=sheet", "Apply")</f>
        <v>Apply</v>
      </c>
      <c r="C462" s="10" t="s">
        <v>13844</v>
      </c>
      <c r="D462" s="56" t="s">
        <v>13845</v>
      </c>
      <c r="E462" s="10" t="s">
        <v>276</v>
      </c>
      <c r="F462" s="10" t="s">
        <v>339</v>
      </c>
      <c r="G462" s="10" t="s">
        <v>12630</v>
      </c>
      <c r="H462" s="10" t="s">
        <v>5337</v>
      </c>
      <c r="I462" s="10" t="s">
        <v>55</v>
      </c>
      <c r="K462" s="10" t="s">
        <v>13846</v>
      </c>
      <c r="L462" s="10" t="s">
        <v>42</v>
      </c>
    </row>
    <row r="463" ht="15.75" customHeight="1">
      <c r="A463" s="64">
        <v>45492.0</v>
      </c>
      <c r="B463" s="55" t="str">
        <f>HYPERLINK("https://jobright.ai/jobs/info/6699c2ac6740616c5ecfa0f9?utm_campaign=1065&amp;utm_source=sheet", "Apply")</f>
        <v>Apply</v>
      </c>
      <c r="C463" s="10" t="s">
        <v>13847</v>
      </c>
      <c r="D463" s="56" t="s">
        <v>13848</v>
      </c>
      <c r="E463" s="10" t="s">
        <v>79</v>
      </c>
      <c r="F463" s="10" t="s">
        <v>2946</v>
      </c>
      <c r="G463" s="10" t="s">
        <v>12635</v>
      </c>
      <c r="H463" s="10" t="s">
        <v>3387</v>
      </c>
      <c r="I463" s="10" t="s">
        <v>48</v>
      </c>
      <c r="K463" s="10" t="s">
        <v>13849</v>
      </c>
      <c r="L463" s="10" t="s">
        <v>42</v>
      </c>
    </row>
    <row r="464" ht="15.75" customHeight="1">
      <c r="A464" s="64">
        <v>45492.0</v>
      </c>
      <c r="B464" s="55" t="str">
        <f>HYPERLINK("https://jobright.ai/jobs/info/669ab99c5217fc7f21566a20?utm_campaign=1065&amp;utm_source=sheet", "Apply")</f>
        <v>Apply</v>
      </c>
      <c r="C464" s="10" t="s">
        <v>13731</v>
      </c>
      <c r="D464" s="56" t="s">
        <v>13850</v>
      </c>
      <c r="E464" s="10" t="s">
        <v>45</v>
      </c>
      <c r="F464" s="10" t="s">
        <v>13851</v>
      </c>
      <c r="G464" s="10" t="s">
        <v>12654</v>
      </c>
      <c r="H464" s="10" t="s">
        <v>13852</v>
      </c>
      <c r="I464" s="10" t="s">
        <v>55</v>
      </c>
      <c r="J464" s="10" t="s">
        <v>4480</v>
      </c>
      <c r="K464" s="10" t="s">
        <v>13734</v>
      </c>
      <c r="L464" s="10" t="s">
        <v>42</v>
      </c>
    </row>
    <row r="465" ht="15.75" customHeight="1">
      <c r="A465" s="64">
        <v>45491.0</v>
      </c>
      <c r="B465" s="55" t="str">
        <f>HYPERLINK("https://jobright.ai/jobs/info/669a09b83a0b76157703185e?utm_campaign=1065&amp;utm_source=sheet", "Apply")</f>
        <v>Apply</v>
      </c>
      <c r="C465" s="10" t="s">
        <v>13853</v>
      </c>
      <c r="D465" s="56" t="s">
        <v>12939</v>
      </c>
      <c r="E465" s="10" t="s">
        <v>45</v>
      </c>
      <c r="F465" s="10" t="s">
        <v>665</v>
      </c>
      <c r="G465" s="10" t="s">
        <v>12635</v>
      </c>
      <c r="H465" s="10" t="s">
        <v>799</v>
      </c>
      <c r="I465" s="10" t="s">
        <v>55</v>
      </c>
      <c r="K465" s="10" t="s">
        <v>13854</v>
      </c>
      <c r="L465" s="10" t="s">
        <v>42</v>
      </c>
    </row>
    <row r="466" ht="15.75" customHeight="1">
      <c r="A466" s="64">
        <v>45491.0</v>
      </c>
      <c r="B466" s="55" t="str">
        <f>HYPERLINK("https://jobright.ai/jobs/info/66970582a7fefc347c736a0b?utm_campaign=1065&amp;utm_source=sheet", "Apply")</f>
        <v>Apply</v>
      </c>
      <c r="C466" s="10" t="s">
        <v>13855</v>
      </c>
      <c r="D466" s="56" t="s">
        <v>12939</v>
      </c>
      <c r="E466" s="10" t="s">
        <v>45</v>
      </c>
      <c r="F466" s="10" t="s">
        <v>665</v>
      </c>
      <c r="G466" s="10" t="s">
        <v>12635</v>
      </c>
      <c r="H466" s="10" t="s">
        <v>799</v>
      </c>
      <c r="I466" s="10" t="s">
        <v>48</v>
      </c>
      <c r="K466" s="10" t="s">
        <v>13856</v>
      </c>
      <c r="L466" s="10" t="s">
        <v>42</v>
      </c>
    </row>
    <row r="467" ht="15.75" customHeight="1">
      <c r="A467" s="64">
        <v>45491.0</v>
      </c>
      <c r="B467" s="55" t="str">
        <f>HYPERLINK("https://jobright.ai/jobs/info/6699a2696ef2ba45bd4b3fac?utm_campaign=1065&amp;utm_source=sheet", "Apply")</f>
        <v>Apply</v>
      </c>
      <c r="C467" s="10" t="s">
        <v>13679</v>
      </c>
      <c r="D467" s="56" t="s">
        <v>12939</v>
      </c>
      <c r="E467" s="10" t="s">
        <v>45</v>
      </c>
      <c r="F467" s="10" t="s">
        <v>665</v>
      </c>
      <c r="G467" s="10" t="s">
        <v>12645</v>
      </c>
      <c r="H467" s="10" t="s">
        <v>799</v>
      </c>
      <c r="I467" s="10" t="s">
        <v>55</v>
      </c>
      <c r="K467" s="10" t="s">
        <v>13703</v>
      </c>
      <c r="L467" s="10" t="s">
        <v>42</v>
      </c>
    </row>
    <row r="468" ht="15.75" customHeight="1">
      <c r="A468" s="64">
        <v>45491.0</v>
      </c>
      <c r="B468" s="55" t="str">
        <f>HYPERLINK("https://jobright.ai/jobs/info/66999cb8830db724f81aac0a?utm_campaign=1065&amp;utm_source=sheet", "Apply")</f>
        <v>Apply</v>
      </c>
      <c r="C468" s="10" t="s">
        <v>12728</v>
      </c>
      <c r="D468" s="56" t="s">
        <v>13857</v>
      </c>
      <c r="E468" s="10">
        <v>4.0</v>
      </c>
      <c r="G468" s="10" t="s">
        <v>12630</v>
      </c>
      <c r="H468" s="10" t="s">
        <v>572</v>
      </c>
      <c r="I468" s="10" t="s">
        <v>48</v>
      </c>
      <c r="K468" s="10" t="s">
        <v>13858</v>
      </c>
      <c r="L468" s="10" t="s">
        <v>42</v>
      </c>
    </row>
    <row r="469" ht="15.75" customHeight="1">
      <c r="A469" s="64">
        <v>45491.0</v>
      </c>
      <c r="B469" s="55" t="str">
        <f>HYPERLINK("https://jobright.ai/jobs/info/66999fefa6cffa96210cde25?utm_campaign=1065&amp;utm_source=sheet", "Apply")</f>
        <v>Apply</v>
      </c>
      <c r="C469" s="10" t="s">
        <v>13859</v>
      </c>
      <c r="D469" s="56" t="s">
        <v>12538</v>
      </c>
      <c r="E469" s="10" t="s">
        <v>137</v>
      </c>
      <c r="F469" s="10" t="s">
        <v>12539</v>
      </c>
      <c r="G469" s="10" t="s">
        <v>12635</v>
      </c>
      <c r="H469" s="10" t="s">
        <v>96</v>
      </c>
      <c r="I469" s="10" t="s">
        <v>55</v>
      </c>
      <c r="K469" s="10" t="s">
        <v>13860</v>
      </c>
      <c r="L469" s="10" t="s">
        <v>42</v>
      </c>
    </row>
    <row r="470" ht="15.75" customHeight="1">
      <c r="A470" s="64">
        <v>45491.0</v>
      </c>
      <c r="B470" s="55" t="str">
        <f>HYPERLINK("https://jobright.ai/jobs/info/66999fefa6cffa96210cde9a?utm_campaign=1065&amp;utm_source=sheet", "Apply")</f>
        <v>Apply</v>
      </c>
      <c r="C470" s="10" t="s">
        <v>12650</v>
      </c>
      <c r="D470" s="56" t="s">
        <v>13861</v>
      </c>
      <c r="E470" s="10" t="s">
        <v>71</v>
      </c>
      <c r="F470" s="10" t="s">
        <v>85</v>
      </c>
      <c r="G470" s="10" t="s">
        <v>12635</v>
      </c>
      <c r="H470" s="10" t="s">
        <v>2897</v>
      </c>
      <c r="I470" s="10" t="s">
        <v>55</v>
      </c>
      <c r="K470" s="10" t="s">
        <v>13862</v>
      </c>
      <c r="L470" s="10" t="s">
        <v>42</v>
      </c>
    </row>
    <row r="471" ht="15.75" customHeight="1">
      <c r="A471" s="64">
        <v>45491.0</v>
      </c>
      <c r="B471" s="55" t="str">
        <f>HYPERLINK("https://jobright.ai/jobs/info/66999fefa6cffa96210cdeac?utm_campaign=1065&amp;utm_source=sheet", "Apply")</f>
        <v>Apply</v>
      </c>
      <c r="C471" s="10" t="s">
        <v>13863</v>
      </c>
      <c r="D471" s="56" t="s">
        <v>7919</v>
      </c>
      <c r="E471" s="10" t="s">
        <v>45</v>
      </c>
      <c r="F471" s="10" t="s">
        <v>1234</v>
      </c>
      <c r="G471" s="10" t="s">
        <v>12635</v>
      </c>
      <c r="H471" s="10" t="s">
        <v>131</v>
      </c>
      <c r="I471" s="10" t="s">
        <v>48</v>
      </c>
      <c r="K471" s="10" t="s">
        <v>13864</v>
      </c>
      <c r="L471" s="10" t="s">
        <v>42</v>
      </c>
    </row>
    <row r="472" ht="15.75" customHeight="1">
      <c r="A472" s="64">
        <v>45491.0</v>
      </c>
      <c r="B472" s="55" t="str">
        <f>HYPERLINK("https://jobright.ai/jobs/info/669998fa4663dabd47c847c5?utm_campaign=1065&amp;utm_source=sheet", "Apply")</f>
        <v>Apply</v>
      </c>
      <c r="C472" s="10" t="s">
        <v>13865</v>
      </c>
      <c r="D472" s="56" t="s">
        <v>13866</v>
      </c>
      <c r="E472" s="10" t="s">
        <v>276</v>
      </c>
      <c r="F472" s="10" t="s">
        <v>13867</v>
      </c>
      <c r="G472" s="10" t="s">
        <v>12630</v>
      </c>
      <c r="H472" s="10" t="s">
        <v>251</v>
      </c>
      <c r="I472" s="10" t="s">
        <v>252</v>
      </c>
      <c r="J472" s="10" t="s">
        <v>13868</v>
      </c>
      <c r="K472" s="10" t="s">
        <v>13869</v>
      </c>
      <c r="L472" s="10" t="s">
        <v>42</v>
      </c>
    </row>
    <row r="473" ht="15.75" customHeight="1">
      <c r="A473" s="64">
        <v>45491.0</v>
      </c>
      <c r="B473" s="55" t="str">
        <f>HYPERLINK("https://jobright.ai/jobs/info/66998e4fd1ca770d2bb5abde?utm_campaign=1065&amp;utm_source=sheet", "Apply")</f>
        <v>Apply</v>
      </c>
      <c r="C473" s="10" t="s">
        <v>13870</v>
      </c>
      <c r="D473" s="56" t="s">
        <v>13871</v>
      </c>
      <c r="E473" s="10">
        <v>2.0</v>
      </c>
      <c r="G473" s="10" t="s">
        <v>12630</v>
      </c>
      <c r="H473" s="10" t="s">
        <v>3674</v>
      </c>
      <c r="I473" s="10" t="s">
        <v>55</v>
      </c>
      <c r="K473" s="10" t="s">
        <v>13872</v>
      </c>
      <c r="L473" s="10" t="s">
        <v>42</v>
      </c>
    </row>
    <row r="474" ht="15.75" customHeight="1">
      <c r="A474" s="64">
        <v>45491.0</v>
      </c>
      <c r="B474" s="55" t="str">
        <f>HYPERLINK("https://jobright.ai/jobs/info/6699979c2ffed9764616e3ea?utm_campaign=1065&amp;utm_source=sheet", "Apply")</f>
        <v>Apply</v>
      </c>
      <c r="C474" s="10" t="s">
        <v>13782</v>
      </c>
      <c r="D474" s="56" t="s">
        <v>13873</v>
      </c>
      <c r="E474" s="10" t="s">
        <v>71</v>
      </c>
      <c r="F474" s="10" t="s">
        <v>13874</v>
      </c>
      <c r="G474" s="10" t="s">
        <v>12630</v>
      </c>
      <c r="H474" s="10" t="s">
        <v>73</v>
      </c>
      <c r="I474" s="10" t="s">
        <v>55</v>
      </c>
      <c r="K474" s="10" t="s">
        <v>13785</v>
      </c>
      <c r="L474" s="10" t="s">
        <v>42</v>
      </c>
    </row>
    <row r="475" ht="15.75" customHeight="1">
      <c r="A475" s="64">
        <v>45491.0</v>
      </c>
      <c r="B475" s="55" t="str">
        <f>HYPERLINK("https://jobright.ai/jobs/info/669985a08f1349dee94a5bd0?utm_campaign=1065&amp;utm_source=sheet", "Apply")</f>
        <v>Apply</v>
      </c>
      <c r="C475" s="10" t="s">
        <v>12728</v>
      </c>
      <c r="D475" s="56" t="s">
        <v>13875</v>
      </c>
      <c r="E475" s="10" t="s">
        <v>137</v>
      </c>
      <c r="F475" s="10" t="s">
        <v>13759</v>
      </c>
      <c r="G475" s="10" t="s">
        <v>12630</v>
      </c>
      <c r="H475" s="10" t="s">
        <v>139</v>
      </c>
      <c r="I475" s="10" t="s">
        <v>55</v>
      </c>
      <c r="K475" s="10" t="s">
        <v>13876</v>
      </c>
      <c r="L475" s="10" t="s">
        <v>42</v>
      </c>
    </row>
    <row r="476" ht="15.75" customHeight="1">
      <c r="A476" s="64">
        <v>45491.0</v>
      </c>
      <c r="B476" s="55" t="str">
        <f>HYPERLINK("https://jobright.ai/jobs/info/6695a3741b8cfc1943fa9a3c?utm_campaign=1065&amp;utm_source=sheet", "Apply")</f>
        <v>Apply</v>
      </c>
      <c r="C476" s="10" t="s">
        <v>13877</v>
      </c>
      <c r="D476" s="56" t="s">
        <v>1794</v>
      </c>
      <c r="E476" s="10" t="s">
        <v>65</v>
      </c>
      <c r="F476" s="10" t="s">
        <v>1795</v>
      </c>
      <c r="G476" s="10" t="s">
        <v>12654</v>
      </c>
      <c r="H476" s="10" t="s">
        <v>1796</v>
      </c>
      <c r="I476" s="10" t="s">
        <v>55</v>
      </c>
      <c r="J476" s="10" t="s">
        <v>12745</v>
      </c>
      <c r="K476" s="10" t="s">
        <v>13878</v>
      </c>
      <c r="L476" s="10" t="s">
        <v>42</v>
      </c>
    </row>
    <row r="477" ht="15.75" customHeight="1">
      <c r="A477" s="64">
        <v>45491.0</v>
      </c>
      <c r="B477" s="55" t="str">
        <f>HYPERLINK("https://jobright.ai/jobs/info/669977aa8b5bba55b3e7f209?utm_campaign=1065&amp;utm_source=sheet", "Apply")</f>
        <v>Apply</v>
      </c>
      <c r="C477" s="10" t="s">
        <v>13879</v>
      </c>
      <c r="D477" s="56" t="s">
        <v>13880</v>
      </c>
      <c r="E477" s="10" t="s">
        <v>137</v>
      </c>
      <c r="F477" s="10" t="s">
        <v>13881</v>
      </c>
      <c r="G477" s="10" t="s">
        <v>12654</v>
      </c>
      <c r="H477" s="10" t="s">
        <v>96</v>
      </c>
      <c r="I477" s="10" t="s">
        <v>48</v>
      </c>
      <c r="J477" s="10" t="s">
        <v>1960</v>
      </c>
      <c r="K477" s="10" t="s">
        <v>13882</v>
      </c>
      <c r="L477" s="10" t="s">
        <v>42</v>
      </c>
    </row>
    <row r="478" ht="15.75" customHeight="1">
      <c r="A478" s="64">
        <v>45491.0</v>
      </c>
      <c r="B478" s="55" t="str">
        <f>HYPERLINK("https://jobright.ai/jobs/info/669977aa8b5bba55b3e7f1f4?utm_campaign=1065&amp;utm_source=sheet", "Apply")</f>
        <v>Apply</v>
      </c>
      <c r="C478" s="10" t="s">
        <v>13347</v>
      </c>
      <c r="D478" s="56" t="s">
        <v>13883</v>
      </c>
      <c r="E478" s="10">
        <v>49.0</v>
      </c>
      <c r="G478" s="10" t="s">
        <v>12630</v>
      </c>
      <c r="H478" s="10" t="s">
        <v>1613</v>
      </c>
      <c r="I478" s="10" t="s">
        <v>55</v>
      </c>
      <c r="K478" s="10" t="s">
        <v>13884</v>
      </c>
      <c r="L478" s="10" t="s">
        <v>42</v>
      </c>
    </row>
    <row r="479" ht="15.75" customHeight="1">
      <c r="A479" s="64">
        <v>45491.0</v>
      </c>
      <c r="B479" s="55" t="str">
        <f>HYPERLINK("https://jobright.ai/jobs/info/669a3efcfa19dc310de3c29d?utm_campaign=1065&amp;utm_source=sheet", "Apply")</f>
        <v>Apply</v>
      </c>
      <c r="C479" s="10" t="s">
        <v>13885</v>
      </c>
      <c r="D479" s="56" t="s">
        <v>1955</v>
      </c>
      <c r="E479" s="10" t="s">
        <v>45</v>
      </c>
      <c r="F479" s="10" t="s">
        <v>1234</v>
      </c>
      <c r="G479" s="10" t="s">
        <v>12635</v>
      </c>
      <c r="H479" s="10" t="s">
        <v>139</v>
      </c>
      <c r="I479" s="10" t="s">
        <v>55</v>
      </c>
      <c r="J479" s="10" t="s">
        <v>4117</v>
      </c>
      <c r="K479" s="10" t="s">
        <v>13886</v>
      </c>
      <c r="L479" s="10" t="s">
        <v>42</v>
      </c>
    </row>
    <row r="480" ht="15.75" customHeight="1">
      <c r="A480" s="64">
        <v>45491.0</v>
      </c>
      <c r="B480" s="55" t="str">
        <f>HYPERLINK("https://jobright.ai/jobs/info/66997f83cfcd49ac9b52d614?utm_campaign=1065&amp;utm_source=sheet", "Apply")</f>
        <v>Apply</v>
      </c>
      <c r="C480" s="10" t="s">
        <v>13887</v>
      </c>
      <c r="D480" s="56" t="s">
        <v>1955</v>
      </c>
      <c r="E480" s="10" t="s">
        <v>45</v>
      </c>
      <c r="F480" s="10" t="s">
        <v>1234</v>
      </c>
      <c r="G480" s="10" t="s">
        <v>12630</v>
      </c>
      <c r="H480" s="10" t="s">
        <v>139</v>
      </c>
      <c r="I480" s="10" t="s">
        <v>55</v>
      </c>
      <c r="J480" s="10" t="s">
        <v>4117</v>
      </c>
      <c r="K480" s="10" t="s">
        <v>13888</v>
      </c>
      <c r="L480" s="10" t="s">
        <v>42</v>
      </c>
    </row>
    <row r="481" ht="15.75" customHeight="1">
      <c r="A481" s="64">
        <v>45491.0</v>
      </c>
      <c r="B481" s="55" t="str">
        <f>HYPERLINK("https://jobright.ai/jobs/info/669a4f872885e142e98de9bc?utm_campaign=1065&amp;utm_source=sheet", "Apply")</f>
        <v>Apply</v>
      </c>
      <c r="C481" s="10" t="s">
        <v>13889</v>
      </c>
      <c r="D481" s="56" t="s">
        <v>13890</v>
      </c>
      <c r="E481" s="10" t="s">
        <v>71</v>
      </c>
      <c r="F481" s="10" t="s">
        <v>615</v>
      </c>
      <c r="G481" s="10" t="s">
        <v>12635</v>
      </c>
      <c r="H481" s="10" t="s">
        <v>856</v>
      </c>
      <c r="I481" s="10" t="s">
        <v>55</v>
      </c>
      <c r="J481" s="10" t="s">
        <v>1409</v>
      </c>
      <c r="K481" s="10" t="s">
        <v>13891</v>
      </c>
      <c r="L481" s="10" t="s">
        <v>42</v>
      </c>
    </row>
    <row r="482" ht="15.75" customHeight="1">
      <c r="A482" s="64">
        <v>45491.0</v>
      </c>
      <c r="B482" s="55" t="str">
        <f>HYPERLINK("https://jobright.ai/jobs/info/66996e78a41ce254938c5b49?utm_campaign=1065&amp;utm_source=sheet", "Apply")</f>
        <v>Apply</v>
      </c>
      <c r="C482" s="10" t="s">
        <v>12650</v>
      </c>
      <c r="D482" s="56" t="s">
        <v>13892</v>
      </c>
      <c r="E482" s="10" t="s">
        <v>137</v>
      </c>
      <c r="F482" s="10" t="s">
        <v>13893</v>
      </c>
      <c r="G482" s="10" t="s">
        <v>12635</v>
      </c>
      <c r="H482" s="10" t="s">
        <v>13894</v>
      </c>
      <c r="I482" s="10" t="s">
        <v>48</v>
      </c>
      <c r="J482" s="10" t="s">
        <v>13895</v>
      </c>
      <c r="K482" s="10" t="s">
        <v>13896</v>
      </c>
      <c r="L482" s="10" t="s">
        <v>42</v>
      </c>
    </row>
    <row r="483" ht="15.75" customHeight="1">
      <c r="A483" s="64">
        <v>45491.0</v>
      </c>
      <c r="B483" s="55" t="str">
        <f>HYPERLINK("https://jobright.ai/jobs/info/669970df4a3a14aadcbbb7c7?utm_campaign=1065&amp;utm_source=sheet", "Apply")</f>
        <v>Apply</v>
      </c>
      <c r="C483" s="10" t="s">
        <v>13897</v>
      </c>
      <c r="D483" s="56" t="s">
        <v>13898</v>
      </c>
      <c r="E483" s="10" t="s">
        <v>276</v>
      </c>
      <c r="F483" s="10" t="s">
        <v>627</v>
      </c>
      <c r="G483" s="10" t="s">
        <v>12654</v>
      </c>
      <c r="H483" s="10" t="s">
        <v>3674</v>
      </c>
      <c r="I483" s="10" t="s">
        <v>55</v>
      </c>
      <c r="K483" s="10" t="s">
        <v>13899</v>
      </c>
      <c r="L483" s="10" t="s">
        <v>42</v>
      </c>
    </row>
    <row r="484" ht="15.75" customHeight="1">
      <c r="A484" s="64">
        <v>45491.0</v>
      </c>
      <c r="B484" s="55" t="str">
        <f>HYPERLINK("https://jobright.ai/jobs/info/669a68e241359ab26e2df664?utm_campaign=1065&amp;utm_source=sheet", "Apply")</f>
        <v>Apply</v>
      </c>
      <c r="C484" s="10" t="s">
        <v>13900</v>
      </c>
      <c r="D484" s="56" t="s">
        <v>13901</v>
      </c>
      <c r="E484" s="10" t="s">
        <v>276</v>
      </c>
      <c r="F484" s="10" t="s">
        <v>11421</v>
      </c>
      <c r="G484" s="10" t="s">
        <v>12654</v>
      </c>
      <c r="H484" s="10" t="s">
        <v>251</v>
      </c>
      <c r="I484" s="10" t="s">
        <v>252</v>
      </c>
      <c r="K484" s="10" t="s">
        <v>13902</v>
      </c>
      <c r="L484" s="10" t="s">
        <v>42</v>
      </c>
    </row>
    <row r="485" ht="15.75" customHeight="1">
      <c r="A485" s="64">
        <v>45491.0</v>
      </c>
      <c r="B485" s="55" t="str">
        <f>HYPERLINK("https://jobright.ai/jobs/info/669970e74a3a14aadcbbb82d?utm_campaign=1065&amp;utm_source=sheet", "Apply")</f>
        <v>Apply</v>
      </c>
      <c r="C485" s="10" t="s">
        <v>13903</v>
      </c>
      <c r="D485" s="56" t="s">
        <v>13901</v>
      </c>
      <c r="E485" s="10" t="s">
        <v>276</v>
      </c>
      <c r="F485" s="10" t="s">
        <v>11421</v>
      </c>
      <c r="G485" s="10" t="s">
        <v>12654</v>
      </c>
      <c r="H485" s="10" t="s">
        <v>96</v>
      </c>
      <c r="I485" s="10" t="s">
        <v>55</v>
      </c>
      <c r="J485" s="10" t="s">
        <v>13904</v>
      </c>
      <c r="K485" s="10" t="s">
        <v>13905</v>
      </c>
      <c r="L485" s="10" t="s">
        <v>42</v>
      </c>
    </row>
    <row r="486" ht="15.75" customHeight="1">
      <c r="A486" s="64">
        <v>45491.0</v>
      </c>
      <c r="B486" s="55" t="str">
        <f>HYPERLINK("https://jobright.ai/jobs/info/669a4864b5fa512390f7e95a?utm_campaign=1065&amp;utm_source=sheet", "Apply")</f>
        <v>Apply</v>
      </c>
      <c r="C486" s="10" t="s">
        <v>13906</v>
      </c>
      <c r="D486" s="56" t="s">
        <v>95</v>
      </c>
      <c r="E486" s="10">
        <v>52.0</v>
      </c>
      <c r="G486" s="10" t="s">
        <v>12654</v>
      </c>
      <c r="H486" s="10" t="s">
        <v>757</v>
      </c>
      <c r="I486" s="10" t="s">
        <v>55</v>
      </c>
      <c r="K486" s="10" t="s">
        <v>13907</v>
      </c>
      <c r="L486" s="10" t="s">
        <v>42</v>
      </c>
    </row>
    <row r="487" ht="15.75" customHeight="1">
      <c r="A487" s="64">
        <v>45491.0</v>
      </c>
      <c r="B487" s="55" t="str">
        <f>HYPERLINK("https://jobright.ai/jobs/info/6699634b765a8f302abe0e43?utm_campaign=1065&amp;utm_source=sheet", "Apply")</f>
        <v>Apply</v>
      </c>
      <c r="C487" s="10" t="s">
        <v>13908</v>
      </c>
      <c r="D487" s="56" t="s">
        <v>13909</v>
      </c>
      <c r="E487" s="10" t="s">
        <v>65</v>
      </c>
      <c r="F487" s="10" t="s">
        <v>13910</v>
      </c>
      <c r="G487" s="10" t="s">
        <v>12630</v>
      </c>
      <c r="H487" s="10" t="s">
        <v>11228</v>
      </c>
      <c r="I487" s="10" t="s">
        <v>48</v>
      </c>
      <c r="K487" s="10" t="s">
        <v>13911</v>
      </c>
      <c r="L487" s="10" t="s">
        <v>42</v>
      </c>
    </row>
    <row r="488" ht="15.75" customHeight="1">
      <c r="A488" s="64">
        <v>45491.0</v>
      </c>
      <c r="B488" s="55" t="str">
        <f>HYPERLINK("https://jobright.ai/jobs/info/669bfb7f4596300d99ff4fd4?utm_campaign=1065&amp;utm_source=sheet", "Apply")</f>
        <v>Apply</v>
      </c>
      <c r="C488" s="10" t="s">
        <v>13912</v>
      </c>
      <c r="D488" s="56" t="s">
        <v>13913</v>
      </c>
      <c r="E488" s="10" t="s">
        <v>45</v>
      </c>
      <c r="F488" s="10" t="s">
        <v>13842</v>
      </c>
      <c r="G488" s="10" t="s">
        <v>12654</v>
      </c>
      <c r="H488" s="10" t="s">
        <v>13914</v>
      </c>
      <c r="I488" s="10" t="s">
        <v>55</v>
      </c>
      <c r="K488" s="10" t="s">
        <v>13915</v>
      </c>
      <c r="L488" s="10" t="s">
        <v>42</v>
      </c>
    </row>
    <row r="489" ht="15.75" customHeight="1">
      <c r="A489" s="64">
        <v>45491.0</v>
      </c>
      <c r="B489" s="55" t="str">
        <f>HYPERLINK("https://jobright.ai/jobs/info/66996050e56fdd691f9cfa3c?utm_campaign=1065&amp;utm_source=sheet", "Apply")</f>
        <v>Apply</v>
      </c>
      <c r="C489" s="10" t="s">
        <v>12938</v>
      </c>
      <c r="D489" s="56" t="s">
        <v>13916</v>
      </c>
      <c r="E489" s="10">
        <v>1.0</v>
      </c>
      <c r="G489" s="10" t="s">
        <v>12635</v>
      </c>
      <c r="H489" s="10" t="s">
        <v>857</v>
      </c>
      <c r="I489" s="10" t="s">
        <v>55</v>
      </c>
      <c r="K489" s="10" t="s">
        <v>13917</v>
      </c>
      <c r="L489" s="10" t="s">
        <v>42</v>
      </c>
    </row>
    <row r="490" ht="15.75" customHeight="1">
      <c r="A490" s="64">
        <v>45491.0</v>
      </c>
      <c r="B490" s="55" t="str">
        <f>HYPERLINK("https://jobright.ai/jobs/info/669955e82cbe492aaec9f1d9?utm_campaign=1065&amp;utm_source=sheet", "Apply")</f>
        <v>Apply</v>
      </c>
      <c r="C490" s="10" t="s">
        <v>12965</v>
      </c>
      <c r="D490" s="56" t="s">
        <v>13918</v>
      </c>
      <c r="E490" s="59">
        <v>45301.0</v>
      </c>
      <c r="F490" s="10" t="s">
        <v>277</v>
      </c>
      <c r="G490" s="10" t="s">
        <v>12645</v>
      </c>
      <c r="H490" s="10" t="s">
        <v>13919</v>
      </c>
      <c r="I490" s="10" t="s">
        <v>48</v>
      </c>
      <c r="K490" s="10" t="s">
        <v>13920</v>
      </c>
      <c r="L490" s="10" t="s">
        <v>42</v>
      </c>
    </row>
    <row r="491" ht="15.75" customHeight="1">
      <c r="A491" s="64">
        <v>45491.0</v>
      </c>
      <c r="B491" s="55" t="str">
        <f>HYPERLINK("https://jobright.ai/jobs/info/6699f9d8a8dbd3e3aece617e?utm_campaign=1065&amp;utm_source=sheet", "Apply")</f>
        <v>Apply</v>
      </c>
      <c r="C491" s="10" t="s">
        <v>13743</v>
      </c>
      <c r="D491" s="56" t="s">
        <v>13744</v>
      </c>
      <c r="E491" s="10" t="s">
        <v>137</v>
      </c>
      <c r="F491" s="10" t="s">
        <v>1909</v>
      </c>
      <c r="G491" s="10" t="s">
        <v>12635</v>
      </c>
      <c r="H491" s="10" t="s">
        <v>11258</v>
      </c>
      <c r="I491" s="10" t="s">
        <v>55</v>
      </c>
      <c r="J491" s="10" t="s">
        <v>13746</v>
      </c>
      <c r="K491" s="10" t="s">
        <v>13747</v>
      </c>
      <c r="L491" s="10" t="s">
        <v>42</v>
      </c>
    </row>
    <row r="492" ht="15.75" customHeight="1">
      <c r="A492" s="64">
        <v>45491.0</v>
      </c>
      <c r="B492" s="55" t="str">
        <f>HYPERLINK("https://jobright.ai/jobs/info/669be43aec8883cb4e193ff9?utm_campaign=1065&amp;utm_source=sheet", "Apply")</f>
        <v>Apply</v>
      </c>
      <c r="C492" s="10" t="s">
        <v>13921</v>
      </c>
      <c r="D492" s="56" t="s">
        <v>4750</v>
      </c>
      <c r="E492" s="10" t="s">
        <v>209</v>
      </c>
      <c r="F492" s="10" t="s">
        <v>1909</v>
      </c>
      <c r="G492" s="10" t="s">
        <v>12654</v>
      </c>
      <c r="H492" s="10" t="s">
        <v>958</v>
      </c>
      <c r="I492" s="10" t="s">
        <v>55</v>
      </c>
      <c r="J492" s="10" t="s">
        <v>1761</v>
      </c>
      <c r="K492" s="10" t="s">
        <v>13922</v>
      </c>
      <c r="L492" s="10" t="s">
        <v>42</v>
      </c>
    </row>
    <row r="493" ht="15.75" customHeight="1">
      <c r="A493" s="64">
        <v>45491.0</v>
      </c>
      <c r="B493" s="55" t="str">
        <f>HYPERLINK("https://jobright.ai/jobs/info/66994d84631d3c6275416815?utm_campaign=1065&amp;utm_source=sheet", "Apply")</f>
        <v>Apply</v>
      </c>
      <c r="C493" s="10" t="s">
        <v>13923</v>
      </c>
      <c r="D493" s="56" t="s">
        <v>325</v>
      </c>
      <c r="E493" s="10">
        <v>17752.0</v>
      </c>
      <c r="G493" s="10" t="s">
        <v>12645</v>
      </c>
      <c r="H493" s="10" t="s">
        <v>13924</v>
      </c>
      <c r="I493" s="10" t="s">
        <v>55</v>
      </c>
      <c r="J493" s="10" t="s">
        <v>13925</v>
      </c>
      <c r="K493" s="10" t="s">
        <v>13926</v>
      </c>
      <c r="L493" s="10" t="s">
        <v>42</v>
      </c>
    </row>
    <row r="494" ht="15.75" customHeight="1">
      <c r="A494" s="64">
        <v>45491.0</v>
      </c>
      <c r="B494" s="55" t="str">
        <f>HYPERLINK("https://jobright.ai/jobs/info/669947049fce1a6963b0305c?utm_campaign=1065&amp;utm_source=sheet", "Apply")</f>
        <v>Apply</v>
      </c>
      <c r="C494" s="10" t="s">
        <v>13927</v>
      </c>
      <c r="D494" s="56" t="s">
        <v>325</v>
      </c>
      <c r="E494" s="10">
        <v>17752.0</v>
      </c>
      <c r="G494" s="10" t="s">
        <v>12635</v>
      </c>
      <c r="H494" s="10" t="s">
        <v>326</v>
      </c>
      <c r="I494" s="10" t="s">
        <v>48</v>
      </c>
      <c r="J494" s="10" t="s">
        <v>327</v>
      </c>
      <c r="K494" s="10" t="s">
        <v>13928</v>
      </c>
      <c r="L494" s="10" t="s">
        <v>42</v>
      </c>
    </row>
    <row r="495" ht="15.75" customHeight="1">
      <c r="A495" s="64">
        <v>45491.0</v>
      </c>
      <c r="B495" s="55" t="str">
        <f>HYPERLINK("https://jobright.ai/jobs/info/66993f4c2b9c65a3e5eb894d?utm_campaign=1065&amp;utm_source=sheet", "Apply")</f>
        <v>Apply</v>
      </c>
      <c r="C495" s="10" t="s">
        <v>13929</v>
      </c>
      <c r="D495" s="56" t="s">
        <v>1794</v>
      </c>
      <c r="E495" s="10" t="s">
        <v>65</v>
      </c>
      <c r="F495" s="10" t="s">
        <v>1795</v>
      </c>
      <c r="G495" s="10" t="s">
        <v>12654</v>
      </c>
      <c r="H495" s="10" t="s">
        <v>1796</v>
      </c>
      <c r="I495" s="10" t="s">
        <v>48</v>
      </c>
      <c r="J495" s="10" t="s">
        <v>1409</v>
      </c>
      <c r="K495" s="10" t="s">
        <v>13930</v>
      </c>
      <c r="L495" s="10" t="s">
        <v>42</v>
      </c>
    </row>
    <row r="496" ht="15.75" customHeight="1">
      <c r="A496" s="64">
        <v>45491.0</v>
      </c>
      <c r="B496" s="55" t="str">
        <f>HYPERLINK("https://jobright.ai/jobs/info/6699470e9fce1a6963b030e0?utm_campaign=1065&amp;utm_source=sheet", "Apply")</f>
        <v>Apply</v>
      </c>
      <c r="C496" s="10" t="s">
        <v>13931</v>
      </c>
      <c r="D496" s="56" t="s">
        <v>13512</v>
      </c>
      <c r="E496" s="10" t="s">
        <v>137</v>
      </c>
      <c r="F496" s="10" t="s">
        <v>13513</v>
      </c>
      <c r="G496" s="10" t="s">
        <v>12654</v>
      </c>
      <c r="H496" s="10" t="s">
        <v>925</v>
      </c>
      <c r="I496" s="10" t="s">
        <v>55</v>
      </c>
      <c r="K496" s="10" t="s">
        <v>13932</v>
      </c>
      <c r="L496" s="10" t="s">
        <v>42</v>
      </c>
    </row>
    <row r="497" ht="15.75" customHeight="1">
      <c r="A497" s="64">
        <v>45491.0</v>
      </c>
      <c r="B497" s="55" t="str">
        <f>HYPERLINK("https://jobright.ai/jobs/info/669940fd927fa60394d7e772?utm_campaign=1065&amp;utm_source=sheet", "Apply")</f>
        <v>Apply</v>
      </c>
      <c r="C497" s="10" t="s">
        <v>13933</v>
      </c>
      <c r="D497" s="56" t="s">
        <v>13934</v>
      </c>
      <c r="E497" s="10" t="s">
        <v>79</v>
      </c>
      <c r="F497" s="10" t="s">
        <v>13935</v>
      </c>
      <c r="G497" s="10" t="s">
        <v>12654</v>
      </c>
      <c r="H497" s="10" t="s">
        <v>73</v>
      </c>
      <c r="I497" s="10" t="s">
        <v>48</v>
      </c>
      <c r="K497" s="10" t="s">
        <v>13936</v>
      </c>
      <c r="L497" s="10" t="s">
        <v>42</v>
      </c>
    </row>
    <row r="498" ht="15.75" customHeight="1">
      <c r="A498" s="64">
        <v>45491.0</v>
      </c>
      <c r="B498" s="55" t="str">
        <f>HYPERLINK("https://jobright.ai/jobs/info/669931c77f8badc89d888632?utm_campaign=1065&amp;utm_source=sheet", "Apply")</f>
        <v>Apply</v>
      </c>
      <c r="C498" s="10" t="s">
        <v>12965</v>
      </c>
      <c r="D498" s="56" t="s">
        <v>13937</v>
      </c>
      <c r="E498" s="10" t="s">
        <v>276</v>
      </c>
      <c r="F498" s="10" t="s">
        <v>2901</v>
      </c>
      <c r="G498" s="10" t="s">
        <v>12630</v>
      </c>
      <c r="H498" s="10" t="s">
        <v>13938</v>
      </c>
      <c r="I498" s="10" t="s">
        <v>55</v>
      </c>
      <c r="K498" s="10" t="s">
        <v>13939</v>
      </c>
      <c r="L498" s="10" t="s">
        <v>42</v>
      </c>
    </row>
    <row r="499" ht="15.75" customHeight="1">
      <c r="A499" s="64">
        <v>45491.0</v>
      </c>
      <c r="B499" s="55" t="str">
        <f>HYPERLINK("https://jobright.ai/jobs/info/669931cf7f8badc89d8886e8?utm_campaign=1065&amp;utm_source=sheet", "Apply")</f>
        <v>Apply</v>
      </c>
      <c r="C499" s="10" t="s">
        <v>12650</v>
      </c>
      <c r="D499" s="56" t="s">
        <v>13940</v>
      </c>
      <c r="E499" s="10" t="s">
        <v>276</v>
      </c>
      <c r="F499" s="10" t="s">
        <v>13941</v>
      </c>
      <c r="G499" s="10" t="s">
        <v>12635</v>
      </c>
      <c r="H499" s="10" t="s">
        <v>131</v>
      </c>
      <c r="I499" s="10" t="s">
        <v>48</v>
      </c>
      <c r="K499" s="10" t="s">
        <v>13942</v>
      </c>
      <c r="L499" s="10" t="s">
        <v>42</v>
      </c>
    </row>
    <row r="500" ht="15.75" customHeight="1">
      <c r="A500" s="64">
        <v>45491.0</v>
      </c>
      <c r="B500" s="55" t="str">
        <f>HYPERLINK("https://jobright.ai/jobs/info/669fc3675fc481811c0e6416?utm_campaign=1065&amp;utm_source=sheet", "Apply")</f>
        <v>Apply</v>
      </c>
      <c r="C500" s="10" t="s">
        <v>13943</v>
      </c>
      <c r="D500" s="56" t="s">
        <v>2231</v>
      </c>
      <c r="E500" s="10" t="s">
        <v>45</v>
      </c>
      <c r="F500" s="10" t="s">
        <v>1506</v>
      </c>
      <c r="G500" s="10" t="s">
        <v>12630</v>
      </c>
      <c r="H500" s="10" t="s">
        <v>1024</v>
      </c>
      <c r="I500" s="10" t="s">
        <v>55</v>
      </c>
      <c r="K500" s="10" t="s">
        <v>13944</v>
      </c>
      <c r="L500" s="10" t="s">
        <v>42</v>
      </c>
    </row>
    <row r="501" ht="15.75" customHeight="1">
      <c r="A501" s="64">
        <v>45491.0</v>
      </c>
      <c r="B501" s="55" t="str">
        <f>HYPERLINK("https://jobright.ai/jobs/info/669e5878bd0f0c5d51992c71?utm_campaign=1065&amp;utm_source=sheet", "Apply")</f>
        <v>Apply</v>
      </c>
      <c r="C501" s="10" t="s">
        <v>13945</v>
      </c>
      <c r="D501" s="56" t="s">
        <v>13273</v>
      </c>
      <c r="E501" s="10" t="s">
        <v>45</v>
      </c>
      <c r="F501" s="10" t="s">
        <v>13274</v>
      </c>
      <c r="G501" s="10" t="s">
        <v>12635</v>
      </c>
      <c r="H501" s="10" t="s">
        <v>872</v>
      </c>
      <c r="I501" s="10" t="s">
        <v>55</v>
      </c>
      <c r="K501" s="10" t="s">
        <v>13946</v>
      </c>
      <c r="L501" s="10" t="s">
        <v>42</v>
      </c>
    </row>
    <row r="502" ht="15.75" customHeight="1">
      <c r="A502" s="64">
        <v>45491.0</v>
      </c>
      <c r="B502" s="55" t="str">
        <f>HYPERLINK("https://jobright.ai/jobs/info/669e3d5f76c0aef2b8d2a0ce?utm_campaign=1065&amp;utm_source=sheet", "Apply")</f>
        <v>Apply</v>
      </c>
      <c r="C502" s="10" t="s">
        <v>13947</v>
      </c>
      <c r="D502" s="56" t="s">
        <v>9937</v>
      </c>
      <c r="E502" s="10" t="s">
        <v>45</v>
      </c>
      <c r="F502" s="10" t="s">
        <v>9938</v>
      </c>
      <c r="G502" s="10" t="s">
        <v>12635</v>
      </c>
      <c r="H502" s="10" t="s">
        <v>13305</v>
      </c>
      <c r="I502" s="10" t="s">
        <v>55</v>
      </c>
      <c r="J502" s="10" t="s">
        <v>8269</v>
      </c>
      <c r="L502" s="10" t="s">
        <v>42</v>
      </c>
    </row>
    <row r="503" ht="15.75" customHeight="1">
      <c r="A503" s="64">
        <v>45491.0</v>
      </c>
      <c r="B503" s="55" t="str">
        <f>HYPERLINK("https://jobright.ai/jobs/info/669e39874916b30899b21f33?utm_campaign=1065&amp;utm_source=sheet", "Apply")</f>
        <v>Apply</v>
      </c>
      <c r="C503" s="10" t="s">
        <v>13948</v>
      </c>
      <c r="D503" s="56" t="s">
        <v>13273</v>
      </c>
      <c r="E503" s="10" t="s">
        <v>45</v>
      </c>
      <c r="F503" s="10" t="s">
        <v>13274</v>
      </c>
      <c r="G503" s="10" t="s">
        <v>12654</v>
      </c>
      <c r="H503" s="10" t="s">
        <v>13949</v>
      </c>
      <c r="I503" s="10" t="s">
        <v>55</v>
      </c>
      <c r="K503" s="10" t="s">
        <v>13950</v>
      </c>
      <c r="L503" s="10" t="s">
        <v>42</v>
      </c>
    </row>
    <row r="504" ht="15.75" customHeight="1">
      <c r="A504" s="64">
        <v>45491.0</v>
      </c>
      <c r="B504" s="55" t="str">
        <f>HYPERLINK("https://jobright.ai/jobs/info/66991820ed460454e0b3111f?utm_campaign=1065&amp;utm_source=sheet", "Apply")</f>
        <v>Apply</v>
      </c>
      <c r="C504" s="10" t="s">
        <v>13951</v>
      </c>
      <c r="D504" s="56" t="s">
        <v>13721</v>
      </c>
      <c r="E504" s="10" t="s">
        <v>276</v>
      </c>
      <c r="F504" s="10" t="s">
        <v>13722</v>
      </c>
      <c r="G504" s="10" t="s">
        <v>12645</v>
      </c>
      <c r="H504" s="10" t="s">
        <v>139</v>
      </c>
      <c r="I504" s="10" t="s">
        <v>55</v>
      </c>
      <c r="J504" s="10" t="s">
        <v>1409</v>
      </c>
      <c r="K504" s="10" t="s">
        <v>13728</v>
      </c>
      <c r="L504" s="10" t="s">
        <v>42</v>
      </c>
    </row>
    <row r="505" ht="15.75" customHeight="1">
      <c r="A505" s="64">
        <v>45491.0</v>
      </c>
      <c r="B505" s="55" t="str">
        <f>HYPERLINK("https://jobright.ai/jobs/info/667c011a0cb91e58114fe7c2?utm_campaign=1065&amp;utm_source=sheet", "Apply")</f>
        <v>Apply</v>
      </c>
      <c r="C505" s="10" t="s">
        <v>13952</v>
      </c>
      <c r="D505" s="56" t="s">
        <v>9671</v>
      </c>
      <c r="E505" s="10" t="s">
        <v>45</v>
      </c>
      <c r="F505" s="10" t="s">
        <v>1084</v>
      </c>
      <c r="G505" s="10" t="s">
        <v>12645</v>
      </c>
      <c r="H505" s="10" t="s">
        <v>96</v>
      </c>
      <c r="I505" s="10" t="s">
        <v>55</v>
      </c>
      <c r="J505" s="10" t="s">
        <v>10332</v>
      </c>
      <c r="K505" s="10" t="s">
        <v>13953</v>
      </c>
      <c r="L505" s="10" t="s">
        <v>42</v>
      </c>
    </row>
    <row r="506" ht="15.75" customHeight="1">
      <c r="A506" s="64">
        <v>45491.0</v>
      </c>
      <c r="B506" s="55" t="str">
        <f>HYPERLINK("https://jobright.ai/jobs/info/665f68ab47eee4c694c9d70d?utm_campaign=1065&amp;utm_source=sheet", "Apply")</f>
        <v>Apply</v>
      </c>
      <c r="C506" s="10" t="s">
        <v>13672</v>
      </c>
      <c r="D506" s="56" t="s">
        <v>10169</v>
      </c>
      <c r="E506" s="10" t="s">
        <v>45</v>
      </c>
      <c r="F506" s="10" t="s">
        <v>10170</v>
      </c>
      <c r="G506" s="10" t="s">
        <v>12635</v>
      </c>
      <c r="H506" s="10" t="s">
        <v>13954</v>
      </c>
      <c r="I506" s="10" t="s">
        <v>55</v>
      </c>
      <c r="J506" s="10" t="s">
        <v>1409</v>
      </c>
      <c r="K506" s="10" t="s">
        <v>13690</v>
      </c>
      <c r="L506" s="10" t="s">
        <v>42</v>
      </c>
    </row>
    <row r="507" ht="15.75" customHeight="1">
      <c r="A507" s="64">
        <v>45491.0</v>
      </c>
      <c r="B507" s="55" t="str">
        <f>HYPERLINK("https://jobright.ai/jobs/info/665f6306d29f1fbd98c50985?utm_campaign=1065&amp;utm_source=sheet", "Apply")</f>
        <v>Apply</v>
      </c>
      <c r="C507" s="10" t="s">
        <v>13672</v>
      </c>
      <c r="D507" s="56" t="s">
        <v>10169</v>
      </c>
      <c r="E507" s="10" t="s">
        <v>45</v>
      </c>
      <c r="F507" s="10" t="s">
        <v>10170</v>
      </c>
      <c r="G507" s="10" t="s">
        <v>12635</v>
      </c>
      <c r="H507" s="10" t="s">
        <v>13196</v>
      </c>
      <c r="I507" s="10" t="s">
        <v>55</v>
      </c>
      <c r="J507" s="10" t="s">
        <v>1409</v>
      </c>
      <c r="K507" s="10" t="s">
        <v>13673</v>
      </c>
      <c r="L507" s="10" t="s">
        <v>42</v>
      </c>
    </row>
    <row r="508" ht="15.75" customHeight="1">
      <c r="A508" s="64">
        <v>45491.0</v>
      </c>
      <c r="B508" s="55" t="str">
        <f>HYPERLINK("https://jobright.ai/jobs/info/667c419cb31e33b2bfb34b44?utm_campaign=1065&amp;utm_source=sheet", "Apply")</f>
        <v>Apply</v>
      </c>
      <c r="C508" s="10" t="s">
        <v>13955</v>
      </c>
      <c r="D508" s="56" t="s">
        <v>4212</v>
      </c>
      <c r="E508" s="10" t="s">
        <v>45</v>
      </c>
      <c r="F508" s="10" t="s">
        <v>4213</v>
      </c>
      <c r="G508" s="10" t="s">
        <v>12630</v>
      </c>
      <c r="H508" s="10" t="s">
        <v>616</v>
      </c>
      <c r="I508" s="10" t="s">
        <v>48</v>
      </c>
      <c r="J508" s="10" t="s">
        <v>13956</v>
      </c>
      <c r="K508" s="10" t="s">
        <v>13957</v>
      </c>
      <c r="L508" s="10" t="s">
        <v>42</v>
      </c>
    </row>
    <row r="509" ht="15.75" customHeight="1">
      <c r="A509" s="64">
        <v>45491.0</v>
      </c>
      <c r="B509" s="55" t="str">
        <f>HYPERLINK("https://jobright.ai/jobs/info/66429f3aab16def17d19d0c8?utm_campaign=1065&amp;utm_source=sheet", "Apply")</f>
        <v>Apply</v>
      </c>
      <c r="C509" s="10" t="s">
        <v>13958</v>
      </c>
      <c r="D509" s="56" t="s">
        <v>12687</v>
      </c>
      <c r="E509" s="10" t="s">
        <v>65</v>
      </c>
      <c r="F509" s="10" t="s">
        <v>12688</v>
      </c>
      <c r="G509" s="10" t="s">
        <v>12654</v>
      </c>
      <c r="H509" s="10" t="s">
        <v>1556</v>
      </c>
      <c r="I509" s="10" t="s">
        <v>48</v>
      </c>
      <c r="K509" s="10" t="s">
        <v>13959</v>
      </c>
      <c r="L509" s="10" t="s">
        <v>42</v>
      </c>
    </row>
    <row r="510" ht="15.75" customHeight="1">
      <c r="A510" s="64">
        <v>45491.0</v>
      </c>
      <c r="B510" s="55" t="str">
        <f>HYPERLINK("https://jobright.ai/jobs/info/665f537fbe3f1bc0f35e9dce?utm_campaign=1065&amp;utm_source=sheet", "Apply")</f>
        <v>Apply</v>
      </c>
      <c r="C510" s="10" t="s">
        <v>13672</v>
      </c>
      <c r="D510" s="56" t="s">
        <v>10169</v>
      </c>
      <c r="E510" s="10" t="s">
        <v>45</v>
      </c>
      <c r="F510" s="10" t="s">
        <v>10170</v>
      </c>
      <c r="G510" s="10" t="s">
        <v>12635</v>
      </c>
      <c r="H510" s="10" t="s">
        <v>919</v>
      </c>
      <c r="I510" s="10" t="s">
        <v>55</v>
      </c>
      <c r="J510" s="10" t="s">
        <v>1409</v>
      </c>
      <c r="K510" s="10" t="s">
        <v>13690</v>
      </c>
      <c r="L510" s="10" t="s">
        <v>42</v>
      </c>
    </row>
    <row r="511" ht="15.75" customHeight="1">
      <c r="A511" s="64">
        <v>45491.0</v>
      </c>
      <c r="B511" s="55" t="str">
        <f>HYPERLINK("https://jobright.ai/jobs/info/665f68ab47eee4c694c9d717?utm_campaign=1065&amp;utm_source=sheet", "Apply")</f>
        <v>Apply</v>
      </c>
      <c r="C511" s="10" t="s">
        <v>13672</v>
      </c>
      <c r="D511" s="56" t="s">
        <v>10169</v>
      </c>
      <c r="E511" s="10" t="s">
        <v>45</v>
      </c>
      <c r="F511" s="10" t="s">
        <v>10170</v>
      </c>
      <c r="G511" s="10" t="s">
        <v>12635</v>
      </c>
      <c r="H511" s="10" t="s">
        <v>131</v>
      </c>
      <c r="I511" s="10" t="s">
        <v>55</v>
      </c>
      <c r="J511" s="10" t="s">
        <v>1409</v>
      </c>
      <c r="K511" s="10" t="s">
        <v>13647</v>
      </c>
      <c r="L511" s="10" t="s">
        <v>42</v>
      </c>
    </row>
    <row r="512" ht="15.75" customHeight="1">
      <c r="A512" s="64">
        <v>45491.0</v>
      </c>
      <c r="B512" s="55" t="str">
        <f>HYPERLINK("https://jobright.ai/jobs/info/665f5f57775530fc7333dbb5?utm_campaign=1065&amp;utm_source=sheet", "Apply")</f>
        <v>Apply</v>
      </c>
      <c r="C512" s="10" t="s">
        <v>13672</v>
      </c>
      <c r="D512" s="56" t="s">
        <v>10169</v>
      </c>
      <c r="E512" s="10" t="s">
        <v>45</v>
      </c>
      <c r="F512" s="10" t="s">
        <v>10170</v>
      </c>
      <c r="G512" s="10" t="s">
        <v>12635</v>
      </c>
      <c r="H512" s="10" t="s">
        <v>13960</v>
      </c>
      <c r="I512" s="10" t="s">
        <v>55</v>
      </c>
      <c r="J512" s="10" t="s">
        <v>1409</v>
      </c>
      <c r="K512" s="10" t="s">
        <v>13647</v>
      </c>
      <c r="L512" s="10" t="s">
        <v>42</v>
      </c>
    </row>
    <row r="513" ht="15.75" customHeight="1">
      <c r="A513" s="64">
        <v>45491.0</v>
      </c>
      <c r="B513" s="55" t="str">
        <f>HYPERLINK("https://jobright.ai/jobs/info/6698de28a067c0b813d41f05?utm_campaign=1065&amp;utm_source=sheet", "Apply")</f>
        <v>Apply</v>
      </c>
      <c r="C513" s="10" t="s">
        <v>13245</v>
      </c>
      <c r="D513" s="56" t="s">
        <v>13961</v>
      </c>
      <c r="E513" s="10" t="s">
        <v>137</v>
      </c>
      <c r="F513" s="10" t="s">
        <v>13962</v>
      </c>
      <c r="G513" s="10" t="s">
        <v>12654</v>
      </c>
      <c r="H513" s="10" t="s">
        <v>9570</v>
      </c>
      <c r="I513" s="10" t="s">
        <v>55</v>
      </c>
      <c r="J513" s="10" t="s">
        <v>1984</v>
      </c>
      <c r="K513" s="10" t="s">
        <v>13963</v>
      </c>
      <c r="L513" s="10" t="s">
        <v>42</v>
      </c>
    </row>
    <row r="514" ht="15.75" customHeight="1">
      <c r="A514" s="64">
        <v>45491.0</v>
      </c>
      <c r="B514" s="55" t="str">
        <f>HYPERLINK("https://jobright.ai/jobs/info/6698cb4e3d22f306051fc153?utm_campaign=1065&amp;utm_source=sheet", "Apply")</f>
        <v>Apply</v>
      </c>
      <c r="C514" s="10" t="s">
        <v>12650</v>
      </c>
      <c r="D514" s="56" t="s">
        <v>13615</v>
      </c>
      <c r="E514" s="10" t="s">
        <v>65</v>
      </c>
      <c r="F514" s="10" t="s">
        <v>400</v>
      </c>
      <c r="G514" s="10" t="s">
        <v>12635</v>
      </c>
      <c r="H514" s="10" t="s">
        <v>165</v>
      </c>
      <c r="I514" s="10" t="s">
        <v>48</v>
      </c>
      <c r="J514" s="10" t="s">
        <v>1984</v>
      </c>
      <c r="K514" s="10" t="s">
        <v>13964</v>
      </c>
      <c r="L514" s="10" t="s">
        <v>42</v>
      </c>
    </row>
    <row r="515" ht="15.75" customHeight="1">
      <c r="A515" s="64">
        <v>45491.0</v>
      </c>
      <c r="B515" s="55" t="str">
        <f>HYPERLINK("https://jobright.ai/jobs/info/66986d31d03953e468c9d1eb?utm_campaign=1065&amp;utm_source=sheet", "Apply")</f>
        <v>Apply</v>
      </c>
      <c r="C515" s="10" t="s">
        <v>13965</v>
      </c>
      <c r="D515" s="56" t="s">
        <v>13966</v>
      </c>
      <c r="E515" s="10" t="s">
        <v>45</v>
      </c>
      <c r="G515" s="10" t="s">
        <v>12654</v>
      </c>
      <c r="H515" s="10" t="s">
        <v>999</v>
      </c>
      <c r="I515" s="10" t="s">
        <v>55</v>
      </c>
      <c r="K515" s="10" t="s">
        <v>13967</v>
      </c>
      <c r="L515" s="10" t="s">
        <v>42</v>
      </c>
    </row>
    <row r="516" ht="15.75" customHeight="1">
      <c r="A516" s="64">
        <v>45491.0</v>
      </c>
      <c r="B516" s="55" t="str">
        <f>HYPERLINK("https://jobright.ai/jobs/info/6698ac76bf5b94e9fa2e54e9?utm_campaign=1065&amp;utm_source=sheet", "Apply")</f>
        <v>Apply</v>
      </c>
      <c r="C516" s="10" t="s">
        <v>12938</v>
      </c>
      <c r="D516" s="56" t="s">
        <v>13968</v>
      </c>
      <c r="E516" s="10" t="s">
        <v>137</v>
      </c>
      <c r="F516" s="10" t="s">
        <v>2265</v>
      </c>
      <c r="G516" s="10" t="s">
        <v>12630</v>
      </c>
      <c r="H516" s="10" t="s">
        <v>898</v>
      </c>
      <c r="I516" s="10" t="s">
        <v>55</v>
      </c>
      <c r="K516" s="10" t="s">
        <v>13969</v>
      </c>
      <c r="L516" s="10" t="s">
        <v>42</v>
      </c>
    </row>
    <row r="517" ht="15.75" customHeight="1">
      <c r="A517" s="64">
        <v>45491.0</v>
      </c>
      <c r="B517" s="55" t="str">
        <f>HYPERLINK("https://jobright.ai/jobs/info/66989c38b1eca4343d04340a?utm_campaign=1065&amp;utm_source=sheet", "Apply")</f>
        <v>Apply</v>
      </c>
      <c r="C517" s="10" t="s">
        <v>13970</v>
      </c>
      <c r="D517" s="56" t="s">
        <v>13971</v>
      </c>
      <c r="E517" s="10" t="s">
        <v>65</v>
      </c>
      <c r="F517" s="10" t="s">
        <v>10019</v>
      </c>
      <c r="G517" s="10" t="s">
        <v>12654</v>
      </c>
      <c r="H517" s="10" t="s">
        <v>113</v>
      </c>
      <c r="I517" s="10" t="s">
        <v>48</v>
      </c>
      <c r="K517" s="10" t="s">
        <v>13972</v>
      </c>
      <c r="L517" s="10" t="s">
        <v>42</v>
      </c>
    </row>
    <row r="518" ht="15.75" customHeight="1">
      <c r="A518" s="64">
        <v>45491.0</v>
      </c>
      <c r="B518" s="55" t="str">
        <f>HYPERLINK("https://jobright.ai/jobs/info/6698a4adae5579cfe054cc70?utm_campaign=1065&amp;utm_source=sheet", "Apply")</f>
        <v>Apply</v>
      </c>
      <c r="C518" s="10" t="s">
        <v>13973</v>
      </c>
      <c r="D518" s="56" t="s">
        <v>1178</v>
      </c>
      <c r="E518" s="10" t="s">
        <v>137</v>
      </c>
      <c r="F518" s="10" t="s">
        <v>1179</v>
      </c>
      <c r="G518" s="10" t="s">
        <v>12654</v>
      </c>
      <c r="H518" s="10" t="s">
        <v>505</v>
      </c>
      <c r="I518" s="10" t="s">
        <v>48</v>
      </c>
      <c r="J518" s="10" t="s">
        <v>1873</v>
      </c>
      <c r="K518" s="10" t="s">
        <v>13974</v>
      </c>
      <c r="L518" s="10" t="s">
        <v>42</v>
      </c>
    </row>
    <row r="519" ht="15.75" customHeight="1">
      <c r="A519" s="64">
        <v>45491.0</v>
      </c>
      <c r="B519" s="55" t="str">
        <f>HYPERLINK("https://jobright.ai/jobs/info/6698b015bfa046e79acb6a1b?utm_campaign=1065&amp;utm_source=sheet", "Apply")</f>
        <v>Apply</v>
      </c>
      <c r="C519" s="10" t="s">
        <v>13975</v>
      </c>
      <c r="D519" s="56" t="s">
        <v>1178</v>
      </c>
      <c r="E519" s="10" t="s">
        <v>137</v>
      </c>
      <c r="F519" s="10" t="s">
        <v>1179</v>
      </c>
      <c r="G519" s="10" t="s">
        <v>12630</v>
      </c>
      <c r="H519" s="10" t="s">
        <v>505</v>
      </c>
      <c r="I519" s="10" t="s">
        <v>48</v>
      </c>
      <c r="J519" s="10" t="s">
        <v>1873</v>
      </c>
      <c r="K519" s="10" t="s">
        <v>13976</v>
      </c>
      <c r="L519" s="10" t="s">
        <v>42</v>
      </c>
    </row>
    <row r="520" ht="15.75" customHeight="1">
      <c r="A520" s="64">
        <v>45491.0</v>
      </c>
      <c r="B520" s="55" t="str">
        <f>HYPERLINK("https://jobright.ai/jobs/info/6698a1bc55add7f45fc70db7?utm_campaign=1065&amp;utm_source=sheet", "Apply")</f>
        <v>Apply</v>
      </c>
      <c r="C520" s="10" t="s">
        <v>13977</v>
      </c>
      <c r="D520" s="56" t="s">
        <v>13978</v>
      </c>
      <c r="E520" s="10">
        <v>248.0</v>
      </c>
      <c r="G520" s="10" t="s">
        <v>12654</v>
      </c>
      <c r="H520" s="10" t="s">
        <v>1144</v>
      </c>
      <c r="I520" s="10" t="s">
        <v>55</v>
      </c>
      <c r="J520" s="10" t="s">
        <v>1761</v>
      </c>
      <c r="K520" s="10" t="s">
        <v>13979</v>
      </c>
      <c r="L520" s="10" t="s">
        <v>42</v>
      </c>
    </row>
    <row r="521" ht="15.75" customHeight="1">
      <c r="A521" s="64">
        <v>45491.0</v>
      </c>
      <c r="B521" s="55" t="str">
        <f>HYPERLINK("https://jobright.ai/jobs/info/6698849772006507039538f5?utm_campaign=1065&amp;utm_source=sheet", "Apply")</f>
        <v>Apply</v>
      </c>
      <c r="C521" s="10" t="s">
        <v>13980</v>
      </c>
      <c r="D521" s="56" t="s">
        <v>13981</v>
      </c>
      <c r="E521" s="10" t="s">
        <v>79</v>
      </c>
      <c r="F521" s="10" t="s">
        <v>13982</v>
      </c>
      <c r="G521" s="10" t="s">
        <v>12630</v>
      </c>
      <c r="H521" s="10" t="s">
        <v>96</v>
      </c>
      <c r="I521" s="10" t="s">
        <v>55</v>
      </c>
      <c r="J521" s="10" t="s">
        <v>1960</v>
      </c>
      <c r="K521" s="10" t="s">
        <v>13983</v>
      </c>
      <c r="L521" s="10" t="s">
        <v>42</v>
      </c>
    </row>
    <row r="522" ht="15.75" customHeight="1">
      <c r="A522" s="64">
        <v>45491.0</v>
      </c>
      <c r="B522" s="55" t="str">
        <f>HYPERLINK("https://jobright.ai/jobs/info/669888ff6d16f3ece1e6b932?utm_campaign=1065&amp;utm_source=sheet", "Apply")</f>
        <v>Apply</v>
      </c>
      <c r="C522" s="10" t="s">
        <v>13984</v>
      </c>
      <c r="D522" s="56" t="s">
        <v>1955</v>
      </c>
      <c r="E522" s="10" t="s">
        <v>45</v>
      </c>
      <c r="F522" s="10" t="s">
        <v>1234</v>
      </c>
      <c r="G522" s="10" t="s">
        <v>12654</v>
      </c>
      <c r="H522" s="10" t="s">
        <v>139</v>
      </c>
      <c r="I522" s="10" t="s">
        <v>55</v>
      </c>
      <c r="J522" s="10" t="s">
        <v>1761</v>
      </c>
      <c r="K522" s="10" t="s">
        <v>13985</v>
      </c>
      <c r="L522" s="10" t="s">
        <v>42</v>
      </c>
    </row>
    <row r="523" ht="15.75" customHeight="1">
      <c r="A523" s="64">
        <v>45491.0</v>
      </c>
      <c r="B523" s="55" t="str">
        <f>HYPERLINK("https://jobright.ai/jobs/info/669190364c69d669ab53643c?utm_campaign=1065&amp;utm_source=sheet", "Apply")</f>
        <v>Apply</v>
      </c>
      <c r="C523" s="10" t="s">
        <v>4738</v>
      </c>
      <c r="D523" s="56" t="s">
        <v>13986</v>
      </c>
      <c r="E523" s="10" t="s">
        <v>249</v>
      </c>
      <c r="F523" s="10" t="s">
        <v>1922</v>
      </c>
      <c r="G523" s="10" t="s">
        <v>12654</v>
      </c>
      <c r="H523" s="10" t="s">
        <v>411</v>
      </c>
      <c r="I523" s="10" t="s">
        <v>55</v>
      </c>
      <c r="K523" s="10" t="s">
        <v>13987</v>
      </c>
      <c r="L523" s="10" t="s">
        <v>42</v>
      </c>
    </row>
    <row r="524" ht="15.75" customHeight="1">
      <c r="A524" s="64">
        <v>45491.0</v>
      </c>
      <c r="B524" s="55" t="str">
        <f>HYPERLINK("https://jobright.ai/jobs/info/6698b32c49cf3ad82cead39c?utm_campaign=1065&amp;utm_source=sheet", "Apply")</f>
        <v>Apply</v>
      </c>
      <c r="C524" s="10" t="s">
        <v>12904</v>
      </c>
      <c r="D524" s="56" t="s">
        <v>13988</v>
      </c>
      <c r="E524" s="10">
        <v>72.0</v>
      </c>
      <c r="G524" s="10" t="s">
        <v>12654</v>
      </c>
      <c r="H524" s="10" t="s">
        <v>974</v>
      </c>
      <c r="I524" s="10" t="s">
        <v>55</v>
      </c>
      <c r="J524" s="10" t="s">
        <v>1409</v>
      </c>
      <c r="K524" s="10" t="s">
        <v>13989</v>
      </c>
      <c r="L524" s="10" t="s">
        <v>42</v>
      </c>
    </row>
    <row r="525" ht="15.75" customHeight="1">
      <c r="A525" s="64">
        <v>45491.0</v>
      </c>
      <c r="B525" s="55" t="str">
        <f>HYPERLINK("https://jobright.ai/jobs/info/66994d98631d3c6275416924?utm_campaign=1065&amp;utm_source=sheet", "Apply")</f>
        <v>Apply</v>
      </c>
      <c r="C525" s="10" t="s">
        <v>12737</v>
      </c>
      <c r="D525" s="56" t="s">
        <v>13990</v>
      </c>
      <c r="E525" s="10" t="s">
        <v>137</v>
      </c>
      <c r="F525" s="10" t="s">
        <v>2673</v>
      </c>
      <c r="G525" s="10" t="s">
        <v>12630</v>
      </c>
      <c r="H525" s="10" t="s">
        <v>923</v>
      </c>
      <c r="I525" s="10" t="s">
        <v>55</v>
      </c>
      <c r="K525" s="10" t="s">
        <v>13991</v>
      </c>
      <c r="L525" s="10" t="s">
        <v>42</v>
      </c>
    </row>
    <row r="526" ht="15.75" customHeight="1">
      <c r="A526" s="64">
        <v>45491.0</v>
      </c>
      <c r="B526" s="55" t="str">
        <f>HYPERLINK("https://jobright.ai/jobs/info/6699445060ec658d44b5b380?utm_campaign=1065&amp;utm_source=sheet", "Apply")</f>
        <v>Apply</v>
      </c>
      <c r="C526" s="10" t="s">
        <v>12737</v>
      </c>
      <c r="D526" s="56" t="s">
        <v>13992</v>
      </c>
      <c r="E526" s="10" t="s">
        <v>249</v>
      </c>
      <c r="F526" s="10" t="s">
        <v>660</v>
      </c>
      <c r="G526" s="10" t="s">
        <v>12630</v>
      </c>
      <c r="H526" s="10" t="s">
        <v>923</v>
      </c>
      <c r="I526" s="10" t="s">
        <v>55</v>
      </c>
      <c r="K526" s="10" t="s">
        <v>13991</v>
      </c>
      <c r="L526" s="10" t="s">
        <v>42</v>
      </c>
    </row>
    <row r="527" ht="15.75" customHeight="1">
      <c r="A527" s="64">
        <v>45491.0</v>
      </c>
      <c r="B527" s="55" t="str">
        <f>HYPERLINK("https://jobright.ai/jobs/info/669997a42ffed9764616e49e?utm_campaign=1065&amp;utm_source=sheet", "Apply")</f>
        <v>Apply</v>
      </c>
      <c r="C527" s="10" t="s">
        <v>13993</v>
      </c>
      <c r="D527" s="56" t="s">
        <v>13994</v>
      </c>
      <c r="E527" s="10" t="s">
        <v>276</v>
      </c>
      <c r="F527" s="10" t="s">
        <v>13995</v>
      </c>
      <c r="G527" s="10" t="s">
        <v>12654</v>
      </c>
      <c r="H527" s="10" t="s">
        <v>607</v>
      </c>
      <c r="I527" s="10" t="s">
        <v>55</v>
      </c>
      <c r="K527" s="10" t="s">
        <v>13996</v>
      </c>
      <c r="L527" s="10" t="s">
        <v>42</v>
      </c>
    </row>
    <row r="528" ht="15.75" customHeight="1">
      <c r="A528" s="64">
        <v>45491.0</v>
      </c>
      <c r="B528" s="55" t="str">
        <f>HYPERLINK("https://jobright.ai/jobs/info/6698de28a067c0b813d41f74?utm_campaign=1065&amp;utm_source=sheet", "Apply")</f>
        <v>Apply</v>
      </c>
      <c r="C528" s="10" t="s">
        <v>13997</v>
      </c>
      <c r="D528" s="56" t="s">
        <v>1636</v>
      </c>
      <c r="E528" s="10">
        <v>6029.0</v>
      </c>
      <c r="G528" s="10" t="s">
        <v>12654</v>
      </c>
      <c r="H528" s="10" t="s">
        <v>170</v>
      </c>
      <c r="I528" s="10" t="s">
        <v>55</v>
      </c>
      <c r="J528" s="10" t="s">
        <v>13998</v>
      </c>
      <c r="K528" s="10" t="s">
        <v>13999</v>
      </c>
      <c r="L528" s="10" t="s">
        <v>42</v>
      </c>
    </row>
    <row r="529" ht="15.75" customHeight="1">
      <c r="A529" s="64">
        <v>45491.0</v>
      </c>
      <c r="B529" s="55" t="str">
        <f>HYPERLINK("https://jobright.ai/jobs/info/6699835aa75f4fb1c1378d3b?utm_campaign=1065&amp;utm_source=sheet", "Apply")</f>
        <v>Apply</v>
      </c>
      <c r="C529" s="10" t="s">
        <v>14000</v>
      </c>
      <c r="D529" s="56" t="s">
        <v>1840</v>
      </c>
      <c r="E529" s="10" t="s">
        <v>137</v>
      </c>
      <c r="G529" s="10" t="s">
        <v>12635</v>
      </c>
      <c r="H529" s="10" t="s">
        <v>1841</v>
      </c>
      <c r="I529" s="10" t="s">
        <v>48</v>
      </c>
      <c r="K529" s="10" t="s">
        <v>14001</v>
      </c>
      <c r="L529" s="10" t="s">
        <v>42</v>
      </c>
    </row>
    <row r="530" ht="15.75" customHeight="1">
      <c r="A530" s="64">
        <v>45491.0</v>
      </c>
      <c r="B530" s="55" t="str">
        <f>HYPERLINK("https://jobright.ai/jobs/info/6699b096925d882a12471dae?utm_campaign=1065&amp;utm_source=sheet", "Apply")</f>
        <v>Apply</v>
      </c>
      <c r="C530" s="10" t="s">
        <v>12871</v>
      </c>
      <c r="D530" s="56" t="s">
        <v>13834</v>
      </c>
      <c r="E530" s="10" t="s">
        <v>249</v>
      </c>
      <c r="F530" s="10" t="s">
        <v>13835</v>
      </c>
      <c r="G530" s="10" t="s">
        <v>12654</v>
      </c>
      <c r="H530" s="10" t="s">
        <v>14002</v>
      </c>
      <c r="I530" s="10" t="s">
        <v>55</v>
      </c>
      <c r="K530" s="10" t="s">
        <v>13836</v>
      </c>
      <c r="L530" s="10" t="s">
        <v>42</v>
      </c>
    </row>
    <row r="531" ht="15.75" customHeight="1">
      <c r="A531" s="64">
        <v>45491.0</v>
      </c>
      <c r="B531" s="55" t="str">
        <f>HYPERLINK("https://jobright.ai/jobs/info/6699418dc3a9c86809cbfffc?utm_campaign=1065&amp;utm_source=sheet", "Apply")</f>
        <v>Apply</v>
      </c>
      <c r="C531" s="10" t="s">
        <v>13903</v>
      </c>
      <c r="D531" s="56" t="s">
        <v>13901</v>
      </c>
      <c r="E531" s="10" t="s">
        <v>276</v>
      </c>
      <c r="F531" s="10" t="s">
        <v>11421</v>
      </c>
      <c r="G531" s="10" t="s">
        <v>12654</v>
      </c>
      <c r="H531" s="10" t="s">
        <v>14003</v>
      </c>
      <c r="I531" s="10" t="s">
        <v>55</v>
      </c>
      <c r="J531" s="10" t="s">
        <v>14004</v>
      </c>
      <c r="K531" s="10" t="s">
        <v>13905</v>
      </c>
      <c r="L531" s="10" t="s">
        <v>42</v>
      </c>
    </row>
    <row r="532" ht="15.75" customHeight="1">
      <c r="A532" s="64">
        <v>45491.0</v>
      </c>
      <c r="B532" s="55" t="str">
        <f>HYPERLINK("https://jobright.ai/jobs/info/66996d6be55ebc095328320a?utm_campaign=1065&amp;utm_source=sheet", "Apply")</f>
        <v>Apply</v>
      </c>
      <c r="C532" s="10" t="s">
        <v>13679</v>
      </c>
      <c r="D532" s="56" t="s">
        <v>12939</v>
      </c>
      <c r="E532" s="10" t="s">
        <v>45</v>
      </c>
      <c r="F532" s="10" t="s">
        <v>665</v>
      </c>
      <c r="G532" s="10" t="s">
        <v>12645</v>
      </c>
      <c r="H532" s="10" t="s">
        <v>14005</v>
      </c>
      <c r="I532" s="10" t="s">
        <v>55</v>
      </c>
      <c r="K532" s="10" t="s">
        <v>13703</v>
      </c>
      <c r="L532" s="10" t="s">
        <v>42</v>
      </c>
    </row>
    <row r="533" ht="15.75" customHeight="1">
      <c r="A533" s="64">
        <v>45491.0</v>
      </c>
      <c r="B533" s="55" t="str">
        <f>HYPERLINK("https://jobright.ai/jobs/info/66996d6be55ebc095328320f?utm_campaign=1065&amp;utm_source=sheet", "Apply")</f>
        <v>Apply</v>
      </c>
      <c r="C533" s="10" t="s">
        <v>13853</v>
      </c>
      <c r="D533" s="56" t="s">
        <v>12939</v>
      </c>
      <c r="E533" s="10" t="s">
        <v>45</v>
      </c>
      <c r="F533" s="10" t="s">
        <v>665</v>
      </c>
      <c r="G533" s="10" t="s">
        <v>12635</v>
      </c>
      <c r="H533" s="10" t="s">
        <v>14005</v>
      </c>
      <c r="I533" s="10" t="s">
        <v>55</v>
      </c>
      <c r="K533" s="10" t="s">
        <v>13854</v>
      </c>
      <c r="L533" s="10" t="s">
        <v>42</v>
      </c>
    </row>
    <row r="534" ht="15.75" customHeight="1">
      <c r="A534" s="64">
        <v>45490.0</v>
      </c>
      <c r="B534" s="55" t="str">
        <f>HYPERLINK("https://jobright.ai/jobs/info/6698554d869b93a19d046968?utm_campaign=1065&amp;utm_source=sheet", "Apply")</f>
        <v>Apply</v>
      </c>
      <c r="C534" s="10" t="s">
        <v>14006</v>
      </c>
      <c r="D534" s="56" t="s">
        <v>3160</v>
      </c>
      <c r="E534" s="10" t="s">
        <v>209</v>
      </c>
      <c r="F534" s="10" t="s">
        <v>331</v>
      </c>
      <c r="G534" s="10" t="s">
        <v>12630</v>
      </c>
      <c r="H534" s="10" t="s">
        <v>1120</v>
      </c>
      <c r="I534" s="10" t="s">
        <v>48</v>
      </c>
      <c r="K534" s="10" t="s">
        <v>14007</v>
      </c>
      <c r="L534" s="10" t="s">
        <v>42</v>
      </c>
    </row>
    <row r="535" ht="15.75" customHeight="1">
      <c r="A535" s="64">
        <v>45490.0</v>
      </c>
      <c r="B535" s="55" t="str">
        <f>HYPERLINK("https://jobright.ai/jobs/info/66985b93bcc7083fede2a542?utm_campaign=1065&amp;utm_source=sheet", "Apply")</f>
        <v>Apply</v>
      </c>
      <c r="C535" s="10" t="s">
        <v>14008</v>
      </c>
      <c r="D535" s="56" t="s">
        <v>14009</v>
      </c>
      <c r="E535" s="10">
        <v>3377.0</v>
      </c>
      <c r="G535" s="10" t="s">
        <v>12630</v>
      </c>
      <c r="H535" s="10" t="s">
        <v>843</v>
      </c>
      <c r="I535" s="10" t="s">
        <v>48</v>
      </c>
      <c r="K535" s="10" t="s">
        <v>14010</v>
      </c>
      <c r="L535" s="10" t="s">
        <v>42</v>
      </c>
    </row>
    <row r="536" ht="15.75" customHeight="1">
      <c r="A536" s="64">
        <v>45490.0</v>
      </c>
      <c r="B536" s="55" t="str">
        <f>HYPERLINK("https://jobright.ai/jobs/info/66958adf8c82d15a2429fff5?utm_campaign=1065&amp;utm_source=sheet", "Apply")</f>
        <v>Apply</v>
      </c>
      <c r="C536" s="10" t="s">
        <v>14011</v>
      </c>
      <c r="D536" s="56" t="s">
        <v>14012</v>
      </c>
      <c r="E536" s="10" t="s">
        <v>137</v>
      </c>
      <c r="F536" s="10" t="s">
        <v>277</v>
      </c>
      <c r="G536" s="10" t="s">
        <v>12635</v>
      </c>
      <c r="H536" s="10" t="s">
        <v>1022</v>
      </c>
      <c r="I536" s="10" t="s">
        <v>55</v>
      </c>
      <c r="K536" s="10" t="s">
        <v>14013</v>
      </c>
      <c r="L536" s="10" t="s">
        <v>42</v>
      </c>
    </row>
    <row r="537" ht="15.75" customHeight="1">
      <c r="A537" s="64">
        <v>45490.0</v>
      </c>
      <c r="B537" s="55" t="str">
        <f>HYPERLINK("https://jobright.ai/jobs/info/66984e7355864e15dfcb651b?utm_campaign=1065&amp;utm_source=sheet", "Apply")</f>
        <v>Apply</v>
      </c>
      <c r="C537" s="10" t="s">
        <v>14014</v>
      </c>
      <c r="D537" s="56" t="s">
        <v>13128</v>
      </c>
      <c r="E537" s="10" t="s">
        <v>79</v>
      </c>
      <c r="F537" s="10" t="s">
        <v>7346</v>
      </c>
      <c r="G537" s="10" t="s">
        <v>12654</v>
      </c>
      <c r="H537" s="10" t="s">
        <v>96</v>
      </c>
      <c r="I537" s="10" t="s">
        <v>48</v>
      </c>
      <c r="K537" s="10" t="s">
        <v>14015</v>
      </c>
      <c r="L537" s="10" t="s">
        <v>42</v>
      </c>
    </row>
    <row r="538" ht="15.75" customHeight="1">
      <c r="A538" s="64">
        <v>45490.0</v>
      </c>
      <c r="B538" s="55" t="str">
        <f>HYPERLINK("https://jobright.ai/jobs/info/6698428975958df8e7de60f5?utm_campaign=1065&amp;utm_source=sheet", "Apply")</f>
        <v>Apply</v>
      </c>
      <c r="C538" s="10" t="s">
        <v>14016</v>
      </c>
      <c r="D538" s="56" t="s">
        <v>14017</v>
      </c>
      <c r="E538" s="10" t="s">
        <v>137</v>
      </c>
      <c r="F538" s="10" t="s">
        <v>627</v>
      </c>
      <c r="G538" s="10" t="s">
        <v>12630</v>
      </c>
      <c r="H538" s="10" t="s">
        <v>165</v>
      </c>
      <c r="I538" s="10" t="s">
        <v>55</v>
      </c>
      <c r="K538" s="10" t="s">
        <v>14018</v>
      </c>
      <c r="L538" s="10" t="s">
        <v>42</v>
      </c>
    </row>
    <row r="539" ht="15.75" customHeight="1">
      <c r="A539" s="64">
        <v>45490.0</v>
      </c>
      <c r="B539" s="55" t="str">
        <f>HYPERLINK("https://jobright.ai/jobs/info/66984885bd2796cba11490b7?utm_campaign=1065&amp;utm_source=sheet", "Apply")</f>
        <v>Apply</v>
      </c>
      <c r="C539" s="10" t="s">
        <v>14019</v>
      </c>
      <c r="D539" s="56" t="s">
        <v>13721</v>
      </c>
      <c r="E539" s="10" t="s">
        <v>276</v>
      </c>
      <c r="F539" s="10" t="s">
        <v>13722</v>
      </c>
      <c r="G539" s="10" t="s">
        <v>12654</v>
      </c>
      <c r="H539" s="10" t="s">
        <v>139</v>
      </c>
      <c r="I539" s="10" t="s">
        <v>55</v>
      </c>
      <c r="J539" s="10" t="s">
        <v>1409</v>
      </c>
      <c r="K539" s="10" t="s">
        <v>13723</v>
      </c>
      <c r="L539" s="10" t="s">
        <v>42</v>
      </c>
    </row>
    <row r="540" ht="15.75" customHeight="1">
      <c r="A540" s="64">
        <v>45490.0</v>
      </c>
      <c r="B540" s="55" t="str">
        <f>HYPERLINK("https://jobright.ai/jobs/info/669820333ac3c099dfe9dd46?utm_campaign=1065&amp;utm_source=sheet", "Apply")</f>
        <v>Apply</v>
      </c>
      <c r="C540" s="10" t="s">
        <v>14020</v>
      </c>
      <c r="D540" s="56" t="s">
        <v>14021</v>
      </c>
      <c r="E540" s="59">
        <v>45301.0</v>
      </c>
      <c r="F540" s="10" t="s">
        <v>14022</v>
      </c>
      <c r="G540" s="10" t="s">
        <v>12630</v>
      </c>
      <c r="H540" s="10" t="s">
        <v>131</v>
      </c>
      <c r="I540" s="10" t="s">
        <v>48</v>
      </c>
      <c r="K540" s="10" t="s">
        <v>14023</v>
      </c>
      <c r="L540" s="10" t="s">
        <v>42</v>
      </c>
    </row>
    <row r="541" ht="15.75" customHeight="1">
      <c r="A541" s="64">
        <v>45490.0</v>
      </c>
      <c r="B541" s="55" t="str">
        <f>HYPERLINK("https://jobright.ai/jobs/info/669818f91cdeda8732d6cd9e?utm_campaign=1065&amp;utm_source=sheet", "Apply")</f>
        <v>Apply</v>
      </c>
      <c r="C541" s="10" t="s">
        <v>12650</v>
      </c>
      <c r="D541" s="56" t="s">
        <v>14024</v>
      </c>
      <c r="E541" s="59">
        <v>45301.0</v>
      </c>
      <c r="F541" s="10" t="s">
        <v>381</v>
      </c>
      <c r="G541" s="10" t="s">
        <v>12630</v>
      </c>
      <c r="H541" s="10" t="s">
        <v>423</v>
      </c>
      <c r="I541" s="10" t="s">
        <v>55</v>
      </c>
      <c r="K541" s="10" t="s">
        <v>14025</v>
      </c>
      <c r="L541" s="10" t="s">
        <v>42</v>
      </c>
    </row>
    <row r="542" ht="15.75" customHeight="1">
      <c r="A542" s="64">
        <v>45490.0</v>
      </c>
      <c r="B542" s="55" t="str">
        <f>HYPERLINK("https://jobright.ai/jobs/info/6698111440aa8b043959f0b0?utm_campaign=1065&amp;utm_source=sheet", "Apply")</f>
        <v>Apply</v>
      </c>
      <c r="C542" s="10" t="s">
        <v>14026</v>
      </c>
      <c r="D542" s="56" t="s">
        <v>14027</v>
      </c>
      <c r="E542" s="10" t="s">
        <v>137</v>
      </c>
      <c r="F542" s="10" t="s">
        <v>14028</v>
      </c>
      <c r="G542" s="10" t="s">
        <v>12630</v>
      </c>
      <c r="H542" s="10" t="s">
        <v>14029</v>
      </c>
      <c r="I542" s="10" t="s">
        <v>48</v>
      </c>
      <c r="K542" s="10" t="s">
        <v>14030</v>
      </c>
      <c r="L542" s="10" t="s">
        <v>42</v>
      </c>
    </row>
    <row r="543" ht="15.75" customHeight="1">
      <c r="A543" s="64">
        <v>45490.0</v>
      </c>
      <c r="B543" s="55" t="str">
        <f>HYPERLINK("https://jobright.ai/jobs/info/6698111440aa8b043959f0c1?utm_campaign=1065&amp;utm_source=sheet", "Apply")</f>
        <v>Apply</v>
      </c>
      <c r="C543" s="10" t="s">
        <v>12650</v>
      </c>
      <c r="D543" s="56" t="s">
        <v>14031</v>
      </c>
      <c r="E543" s="10" t="s">
        <v>45</v>
      </c>
      <c r="F543" s="10" t="s">
        <v>14032</v>
      </c>
      <c r="G543" s="10" t="s">
        <v>12635</v>
      </c>
      <c r="H543" s="10" t="s">
        <v>152</v>
      </c>
      <c r="I543" s="10" t="s">
        <v>48</v>
      </c>
      <c r="J543" s="10" t="s">
        <v>1409</v>
      </c>
      <c r="K543" s="10" t="s">
        <v>14033</v>
      </c>
      <c r="L543" s="10" t="s">
        <v>42</v>
      </c>
    </row>
    <row r="544" ht="15.75" customHeight="1">
      <c r="A544" s="64">
        <v>45490.0</v>
      </c>
      <c r="B544" s="55" t="str">
        <f>HYPERLINK("https://jobright.ai/jobs/info/669844d2b4f037c3840cd2a8?utm_campaign=1065&amp;utm_source=sheet", "Apply")</f>
        <v>Apply</v>
      </c>
      <c r="C544" s="10" t="s">
        <v>14034</v>
      </c>
      <c r="D544" s="56" t="s">
        <v>13966</v>
      </c>
      <c r="E544" s="10" t="s">
        <v>45</v>
      </c>
      <c r="G544" s="10" t="s">
        <v>12654</v>
      </c>
      <c r="H544" s="10" t="s">
        <v>999</v>
      </c>
      <c r="I544" s="10" t="s">
        <v>55</v>
      </c>
      <c r="K544" s="10" t="s">
        <v>13967</v>
      </c>
      <c r="L544" s="10" t="s">
        <v>42</v>
      </c>
    </row>
    <row r="545" ht="15.75" customHeight="1">
      <c r="A545" s="64">
        <v>45490.0</v>
      </c>
      <c r="B545" s="55" t="str">
        <f>HYPERLINK("https://jobright.ai/jobs/info/669805966fa646b1a71f028a?utm_campaign=1065&amp;utm_source=sheet", "Apply")</f>
        <v>Apply</v>
      </c>
      <c r="C545" s="10" t="s">
        <v>13975</v>
      </c>
      <c r="D545" s="56" t="s">
        <v>1883</v>
      </c>
      <c r="E545" s="10" t="s">
        <v>209</v>
      </c>
      <c r="F545" s="10" t="s">
        <v>1884</v>
      </c>
      <c r="G545" s="10" t="s">
        <v>12630</v>
      </c>
      <c r="H545" s="10" t="s">
        <v>505</v>
      </c>
      <c r="I545" s="10" t="s">
        <v>48</v>
      </c>
      <c r="J545" s="10" t="s">
        <v>1873</v>
      </c>
      <c r="K545" s="10" t="s">
        <v>14035</v>
      </c>
      <c r="L545" s="10" t="s">
        <v>42</v>
      </c>
    </row>
    <row r="546" ht="15.75" customHeight="1">
      <c r="A546" s="64">
        <v>45490.0</v>
      </c>
      <c r="B546" s="55" t="str">
        <f>HYPERLINK("https://jobright.ai/jobs/info/669805966fa646b1a71f0285?utm_campaign=1065&amp;utm_source=sheet", "Apply")</f>
        <v>Apply</v>
      </c>
      <c r="C546" s="10" t="s">
        <v>13973</v>
      </c>
      <c r="D546" s="56" t="s">
        <v>1883</v>
      </c>
      <c r="E546" s="10" t="s">
        <v>209</v>
      </c>
      <c r="F546" s="10" t="s">
        <v>1884</v>
      </c>
      <c r="G546" s="10" t="s">
        <v>12654</v>
      </c>
      <c r="H546" s="10" t="s">
        <v>505</v>
      </c>
      <c r="I546" s="10" t="s">
        <v>48</v>
      </c>
      <c r="J546" s="10" t="s">
        <v>1873</v>
      </c>
      <c r="K546" s="10" t="s">
        <v>13974</v>
      </c>
      <c r="L546" s="10" t="s">
        <v>42</v>
      </c>
    </row>
    <row r="547" ht="15.75" customHeight="1">
      <c r="A547" s="64">
        <v>45490.0</v>
      </c>
      <c r="B547" s="55" t="str">
        <f>HYPERLINK("https://jobright.ai/jobs/info/669813f971368582dc6e01e6?utm_campaign=1065&amp;utm_source=sheet", "Apply")</f>
        <v>Apply</v>
      </c>
      <c r="C547" s="10" t="s">
        <v>14036</v>
      </c>
      <c r="D547" s="56" t="s">
        <v>11086</v>
      </c>
      <c r="E547" s="10" t="s">
        <v>45</v>
      </c>
      <c r="F547" s="10" t="s">
        <v>7548</v>
      </c>
      <c r="G547" s="10" t="s">
        <v>12645</v>
      </c>
      <c r="H547" s="10" t="s">
        <v>3968</v>
      </c>
      <c r="I547" s="10" t="s">
        <v>55</v>
      </c>
      <c r="K547" s="10" t="s">
        <v>14037</v>
      </c>
      <c r="L547" s="10" t="s">
        <v>42</v>
      </c>
    </row>
    <row r="548" ht="15.75" customHeight="1">
      <c r="A548" s="64">
        <v>45490.0</v>
      </c>
      <c r="B548" s="55" t="str">
        <f>HYPERLINK("https://jobright.ai/jobs/info/669805b96fa646b1a71f05fb?utm_campaign=1065&amp;utm_source=sheet", "Apply")</f>
        <v>Apply</v>
      </c>
      <c r="C548" s="10" t="s">
        <v>12904</v>
      </c>
      <c r="D548" s="56" t="s">
        <v>1178</v>
      </c>
      <c r="E548" s="10" t="s">
        <v>137</v>
      </c>
      <c r="F548" s="10" t="s">
        <v>1179</v>
      </c>
      <c r="G548" s="10" t="s">
        <v>12654</v>
      </c>
      <c r="H548" s="10" t="s">
        <v>1254</v>
      </c>
      <c r="I548" s="10" t="s">
        <v>48</v>
      </c>
      <c r="K548" s="10" t="s">
        <v>14038</v>
      </c>
      <c r="L548" s="10" t="s">
        <v>42</v>
      </c>
    </row>
    <row r="549" ht="15.75" customHeight="1">
      <c r="A549" s="64">
        <v>45490.0</v>
      </c>
      <c r="B549" s="55" t="str">
        <f>HYPERLINK("https://jobright.ai/jobs/info/6698190a1cdeda8732d6cf64?utm_campaign=1065&amp;utm_source=sheet", "Apply")</f>
        <v>Apply</v>
      </c>
      <c r="C549" s="10" t="s">
        <v>12904</v>
      </c>
      <c r="D549" s="56" t="s">
        <v>14039</v>
      </c>
      <c r="E549" s="10">
        <v>418.0</v>
      </c>
      <c r="G549" s="10" t="s">
        <v>12630</v>
      </c>
      <c r="H549" s="10" t="s">
        <v>245</v>
      </c>
      <c r="I549" s="10" t="s">
        <v>55</v>
      </c>
      <c r="K549" s="10" t="s">
        <v>14040</v>
      </c>
      <c r="L549" s="10" t="s">
        <v>42</v>
      </c>
    </row>
    <row r="550" ht="15.75" customHeight="1">
      <c r="A550" s="64">
        <v>45490.0</v>
      </c>
      <c r="B550" s="55" t="str">
        <f>HYPERLINK("https://jobright.ai/jobs/info/6697f307ce942828e55edb67?utm_campaign=1065&amp;utm_source=sheet", "Apply")</f>
        <v>Apply</v>
      </c>
      <c r="C550" s="10" t="s">
        <v>12650</v>
      </c>
      <c r="D550" s="56" t="s">
        <v>14041</v>
      </c>
      <c r="E550" s="10" t="s">
        <v>249</v>
      </c>
      <c r="F550" s="10" t="s">
        <v>14042</v>
      </c>
      <c r="G550" s="10" t="s">
        <v>12630</v>
      </c>
      <c r="H550" s="10" t="s">
        <v>4804</v>
      </c>
      <c r="I550" s="10" t="s">
        <v>55</v>
      </c>
      <c r="K550" s="10" t="s">
        <v>14043</v>
      </c>
      <c r="L550" s="10" t="s">
        <v>42</v>
      </c>
    </row>
    <row r="551" ht="15.75" customHeight="1">
      <c r="A551" s="64">
        <v>45490.0</v>
      </c>
      <c r="B551" s="55" t="str">
        <f>HYPERLINK("https://jobright.ai/jobs/info/6697e92bd3970db1b36daf4d?utm_campaign=1065&amp;utm_source=sheet", "Apply")</f>
        <v>Apply</v>
      </c>
      <c r="C551" s="10" t="s">
        <v>14044</v>
      </c>
      <c r="D551" s="56" t="s">
        <v>14045</v>
      </c>
      <c r="E551" s="10" t="s">
        <v>137</v>
      </c>
      <c r="F551" s="10" t="s">
        <v>4022</v>
      </c>
      <c r="G551" s="10" t="s">
        <v>12654</v>
      </c>
      <c r="H551" s="10" t="s">
        <v>4402</v>
      </c>
      <c r="I551" s="10" t="s">
        <v>48</v>
      </c>
      <c r="J551" s="10" t="s">
        <v>1984</v>
      </c>
      <c r="K551" s="10" t="s">
        <v>14046</v>
      </c>
      <c r="L551" s="10" t="s">
        <v>42</v>
      </c>
    </row>
    <row r="552" ht="15.75" customHeight="1">
      <c r="A552" s="64">
        <v>45490.0</v>
      </c>
      <c r="B552" s="55" t="str">
        <f>HYPERLINK("https://jobright.ai/jobs/info/6697e08f8bf4ec0133a27204?utm_campaign=1065&amp;utm_source=sheet", "Apply")</f>
        <v>Apply</v>
      </c>
      <c r="C552" s="10" t="s">
        <v>12728</v>
      </c>
      <c r="D552" s="56" t="s">
        <v>14047</v>
      </c>
      <c r="E552" s="10" t="s">
        <v>71</v>
      </c>
      <c r="F552" s="10" t="s">
        <v>14048</v>
      </c>
      <c r="G552" s="10" t="s">
        <v>12630</v>
      </c>
      <c r="H552" s="10" t="s">
        <v>139</v>
      </c>
      <c r="I552" s="10" t="s">
        <v>55</v>
      </c>
      <c r="J552" s="10" t="s">
        <v>1761</v>
      </c>
      <c r="K552" s="10" t="s">
        <v>14049</v>
      </c>
      <c r="L552" s="10" t="s">
        <v>42</v>
      </c>
    </row>
    <row r="553" ht="15.75" customHeight="1">
      <c r="A553" s="64">
        <v>45490.0</v>
      </c>
      <c r="B553" s="55" t="str">
        <f>HYPERLINK("https://jobright.ai/jobs/info/6697e6082c5b2dd966e8d9db?utm_campaign=1065&amp;utm_source=sheet", "Apply")</f>
        <v>Apply</v>
      </c>
      <c r="C553" s="10" t="s">
        <v>14050</v>
      </c>
      <c r="D553" s="56" t="s">
        <v>13768</v>
      </c>
      <c r="E553" s="10" t="s">
        <v>71</v>
      </c>
      <c r="F553" s="10" t="s">
        <v>13769</v>
      </c>
      <c r="G553" s="10" t="s">
        <v>12630</v>
      </c>
      <c r="H553" s="10" t="s">
        <v>7101</v>
      </c>
      <c r="I553" s="10" t="s">
        <v>55</v>
      </c>
      <c r="J553" s="10" t="s">
        <v>13771</v>
      </c>
      <c r="K553" s="10" t="s">
        <v>14051</v>
      </c>
      <c r="L553" s="10" t="s">
        <v>42</v>
      </c>
    </row>
    <row r="554" ht="15.75" customHeight="1">
      <c r="A554" s="64">
        <v>45490.0</v>
      </c>
      <c r="B554" s="55" t="str">
        <f>HYPERLINK("https://jobright.ai/jobs/info/6671fa0da73fb614d44f9ebf?utm_campaign=1065&amp;utm_source=sheet", "Apply")</f>
        <v>Apply</v>
      </c>
      <c r="C554" s="10" t="s">
        <v>14052</v>
      </c>
      <c r="D554" s="56" t="s">
        <v>14053</v>
      </c>
      <c r="E554" s="10" t="s">
        <v>276</v>
      </c>
      <c r="F554" s="10" t="s">
        <v>2315</v>
      </c>
      <c r="G554" s="10" t="s">
        <v>12654</v>
      </c>
      <c r="H554" s="10" t="s">
        <v>80</v>
      </c>
      <c r="I554" s="10" t="s">
        <v>55</v>
      </c>
      <c r="J554" s="10" t="s">
        <v>521</v>
      </c>
      <c r="K554" s="10" t="s">
        <v>14054</v>
      </c>
      <c r="L554" s="10" t="s">
        <v>42</v>
      </c>
    </row>
    <row r="555" ht="15.75" customHeight="1">
      <c r="A555" s="64">
        <v>45490.0</v>
      </c>
      <c r="B555" s="55" t="str">
        <f>HYPERLINK("https://jobright.ai/jobs/info/669e5f932c934f2614f4d5bd?utm_campaign=1065&amp;utm_source=sheet", "Apply")</f>
        <v>Apply</v>
      </c>
      <c r="C555" s="10" t="s">
        <v>14055</v>
      </c>
      <c r="D555" s="56" t="s">
        <v>2864</v>
      </c>
      <c r="E555" s="10" t="s">
        <v>65</v>
      </c>
      <c r="F555" s="10" t="s">
        <v>2865</v>
      </c>
      <c r="G555" s="10" t="s">
        <v>12654</v>
      </c>
      <c r="H555" s="10" t="s">
        <v>2866</v>
      </c>
      <c r="I555" s="10" t="s">
        <v>55</v>
      </c>
      <c r="K555" s="10" t="s">
        <v>14056</v>
      </c>
      <c r="L555" s="10" t="s">
        <v>42</v>
      </c>
    </row>
    <row r="556" ht="15.75" customHeight="1">
      <c r="A556" s="64">
        <v>45490.0</v>
      </c>
      <c r="B556" s="55" t="str">
        <f>HYPERLINK("https://jobright.ai/jobs/info/6698f8ebd83e60337ee68430?utm_campaign=1065&amp;utm_source=sheet", "Apply")</f>
        <v>Apply</v>
      </c>
      <c r="C556" s="10" t="s">
        <v>14057</v>
      </c>
      <c r="D556" s="56" t="s">
        <v>14058</v>
      </c>
      <c r="E556" s="10" t="s">
        <v>79</v>
      </c>
      <c r="F556" s="10" t="s">
        <v>1243</v>
      </c>
      <c r="G556" s="10" t="s">
        <v>12654</v>
      </c>
      <c r="H556" s="10" t="s">
        <v>170</v>
      </c>
      <c r="I556" s="10" t="s">
        <v>55</v>
      </c>
      <c r="J556" s="10" t="s">
        <v>14059</v>
      </c>
      <c r="K556" s="10" t="s">
        <v>14060</v>
      </c>
      <c r="L556" s="10" t="s">
        <v>42</v>
      </c>
    </row>
    <row r="557" ht="15.75" customHeight="1">
      <c r="A557" s="64">
        <v>45490.0</v>
      </c>
      <c r="B557" s="55" t="str">
        <f>HYPERLINK("https://jobright.ai/jobs/info/66a0eaa2e19c90b42235fe86?utm_campaign=1065&amp;utm_source=sheet", "Apply")</f>
        <v>Apply</v>
      </c>
      <c r="C557" s="10" t="s">
        <v>12965</v>
      </c>
      <c r="D557" s="56" t="s">
        <v>14061</v>
      </c>
      <c r="E557" s="10" t="s">
        <v>79</v>
      </c>
      <c r="F557" s="10" t="s">
        <v>1485</v>
      </c>
      <c r="G557" s="10" t="s">
        <v>12630</v>
      </c>
      <c r="H557" s="10" t="s">
        <v>14062</v>
      </c>
      <c r="I557" s="10" t="s">
        <v>55</v>
      </c>
      <c r="J557" s="10" t="s">
        <v>581</v>
      </c>
      <c r="K557" s="10" t="s">
        <v>14063</v>
      </c>
      <c r="L557" s="10" t="s">
        <v>42</v>
      </c>
    </row>
    <row r="558" ht="15.75" customHeight="1">
      <c r="A558" s="64">
        <v>45490.0</v>
      </c>
      <c r="B558" s="55" t="str">
        <f>HYPERLINK("https://jobright.ai/jobs/info/669e467fca3e6aa92c887e3d?utm_campaign=1065&amp;utm_source=sheet", "Apply")</f>
        <v>Apply</v>
      </c>
      <c r="C558" s="10" t="s">
        <v>14064</v>
      </c>
      <c r="D558" s="56" t="s">
        <v>14065</v>
      </c>
      <c r="E558" s="10" t="s">
        <v>65</v>
      </c>
      <c r="F558" s="10" t="s">
        <v>2617</v>
      </c>
      <c r="G558" s="10" t="s">
        <v>12654</v>
      </c>
      <c r="H558" s="10" t="s">
        <v>981</v>
      </c>
      <c r="I558" s="10" t="s">
        <v>55</v>
      </c>
      <c r="K558" s="10" t="s">
        <v>14066</v>
      </c>
      <c r="L558" s="10" t="s">
        <v>42</v>
      </c>
    </row>
    <row r="559" ht="15.75" customHeight="1">
      <c r="A559" s="64">
        <v>45490.0</v>
      </c>
      <c r="B559" s="55" t="str">
        <f>HYPERLINK("https://jobright.ai/jobs/info/669cee1955502b6ee03c1e86?utm_campaign=1065&amp;utm_source=sheet", "Apply")</f>
        <v>Apply</v>
      </c>
      <c r="C559" s="10" t="s">
        <v>14067</v>
      </c>
      <c r="D559" s="56" t="s">
        <v>2231</v>
      </c>
      <c r="E559" s="10" t="s">
        <v>45</v>
      </c>
      <c r="F559" s="10" t="s">
        <v>1506</v>
      </c>
      <c r="G559" s="10" t="s">
        <v>12654</v>
      </c>
      <c r="H559" s="10" t="s">
        <v>1024</v>
      </c>
      <c r="I559" s="10" t="s">
        <v>55</v>
      </c>
      <c r="K559" s="10" t="s">
        <v>13944</v>
      </c>
      <c r="L559" s="10" t="s">
        <v>42</v>
      </c>
    </row>
    <row r="560" ht="15.75" customHeight="1">
      <c r="A560" s="64">
        <v>45490.0</v>
      </c>
      <c r="B560" s="55" t="str">
        <f>HYPERLINK("https://jobright.ai/jobs/info/66a0e2b3b056846ad15f0134?utm_campaign=1065&amp;utm_source=sheet", "Apply")</f>
        <v>Apply</v>
      </c>
      <c r="C560" s="10" t="s">
        <v>14068</v>
      </c>
      <c r="D560" s="56" t="s">
        <v>14069</v>
      </c>
      <c r="E560" s="10" t="s">
        <v>45</v>
      </c>
      <c r="F560" s="10" t="s">
        <v>14070</v>
      </c>
      <c r="G560" s="10" t="s">
        <v>12635</v>
      </c>
      <c r="H560" s="10" t="s">
        <v>154</v>
      </c>
      <c r="I560" s="10" t="s">
        <v>55</v>
      </c>
      <c r="K560" s="10" t="s">
        <v>14071</v>
      </c>
      <c r="L560" s="10" t="s">
        <v>42</v>
      </c>
    </row>
    <row r="561" ht="15.75" customHeight="1">
      <c r="A561" s="64">
        <v>45490.0</v>
      </c>
      <c r="B561" s="55" t="str">
        <f>HYPERLINK("https://jobright.ai/jobs/info/6628172263da74834abea4d5?utm_campaign=1065&amp;utm_source=sheet", "Apply")</f>
        <v>Apply</v>
      </c>
      <c r="C561" s="10" t="s">
        <v>12650</v>
      </c>
      <c r="D561" s="56" t="s">
        <v>14072</v>
      </c>
      <c r="E561" s="10" t="s">
        <v>79</v>
      </c>
      <c r="F561" s="10" t="s">
        <v>1454</v>
      </c>
      <c r="G561" s="10" t="s">
        <v>12635</v>
      </c>
      <c r="H561" s="10" t="s">
        <v>807</v>
      </c>
      <c r="I561" s="10" t="s">
        <v>55</v>
      </c>
      <c r="K561" s="10" t="s">
        <v>14073</v>
      </c>
      <c r="L561" s="10" t="s">
        <v>42</v>
      </c>
    </row>
    <row r="562" ht="15.75" customHeight="1">
      <c r="A562" s="64">
        <v>45490.0</v>
      </c>
      <c r="B562" s="55" t="str">
        <f>HYPERLINK("https://jobright.ai/jobs/info/6675a7bc6fb7d4bb72dd7800?utm_campaign=1065&amp;utm_source=sheet", "Apply")</f>
        <v>Apply</v>
      </c>
      <c r="C562" s="10" t="s">
        <v>14074</v>
      </c>
      <c r="D562" s="56" t="s">
        <v>14075</v>
      </c>
      <c r="E562" s="10" t="s">
        <v>79</v>
      </c>
      <c r="F562" s="10" t="s">
        <v>3975</v>
      </c>
      <c r="G562" s="10" t="s">
        <v>12630</v>
      </c>
      <c r="H562" s="10" t="s">
        <v>1254</v>
      </c>
      <c r="I562" s="10" t="s">
        <v>55</v>
      </c>
      <c r="K562" s="10" t="s">
        <v>14076</v>
      </c>
      <c r="L562" s="10" t="s">
        <v>42</v>
      </c>
    </row>
    <row r="563" ht="15.75" customHeight="1">
      <c r="A563" s="64">
        <v>45490.0</v>
      </c>
      <c r="B563" s="55" t="str">
        <f>HYPERLINK("https://jobright.ai/jobs/info/66269f7a7b2149c058535a74?utm_campaign=1065&amp;utm_source=sheet", "Apply")</f>
        <v>Apply</v>
      </c>
      <c r="C563" s="10" t="s">
        <v>14077</v>
      </c>
      <c r="D563" s="56" t="s">
        <v>12687</v>
      </c>
      <c r="E563" s="10" t="s">
        <v>65</v>
      </c>
      <c r="F563" s="10" t="s">
        <v>12688</v>
      </c>
      <c r="G563" s="10" t="s">
        <v>12654</v>
      </c>
      <c r="H563" s="10" t="s">
        <v>723</v>
      </c>
      <c r="I563" s="10" t="s">
        <v>252</v>
      </c>
      <c r="K563" s="10" t="s">
        <v>14078</v>
      </c>
      <c r="L563" s="10" t="s">
        <v>42</v>
      </c>
    </row>
    <row r="564" ht="15.75" customHeight="1">
      <c r="A564" s="64">
        <v>45490.0</v>
      </c>
      <c r="B564" s="55" t="str">
        <f>HYPERLINK("https://jobright.ai/jobs/info/654ac5fa80ec8813f2b34779?utm_campaign=1065&amp;utm_source=sheet", "Apply")</f>
        <v>Apply</v>
      </c>
      <c r="C564" s="10" t="s">
        <v>14079</v>
      </c>
      <c r="D564" s="56" t="s">
        <v>12687</v>
      </c>
      <c r="E564" s="10" t="s">
        <v>65</v>
      </c>
      <c r="F564" s="10" t="s">
        <v>12688</v>
      </c>
      <c r="G564" s="10" t="s">
        <v>12654</v>
      </c>
      <c r="H564" s="10" t="s">
        <v>1556</v>
      </c>
      <c r="I564" s="10" t="s">
        <v>48</v>
      </c>
      <c r="K564" s="10" t="s">
        <v>14080</v>
      </c>
      <c r="L564" s="10" t="s">
        <v>42</v>
      </c>
    </row>
    <row r="565" ht="15.75" customHeight="1">
      <c r="A565" s="64">
        <v>45490.0</v>
      </c>
      <c r="B565" s="55" t="str">
        <f>HYPERLINK("https://jobright.ai/jobs/info/667b05faafa22422d18a933b?utm_campaign=1065&amp;utm_source=sheet", "Apply")</f>
        <v>Apply</v>
      </c>
      <c r="C565" s="10" t="s">
        <v>14081</v>
      </c>
      <c r="D565" s="56" t="s">
        <v>10169</v>
      </c>
      <c r="E565" s="10" t="s">
        <v>45</v>
      </c>
      <c r="F565" s="10" t="s">
        <v>10170</v>
      </c>
      <c r="G565" s="10" t="s">
        <v>12635</v>
      </c>
      <c r="H565" s="10" t="s">
        <v>5320</v>
      </c>
      <c r="I565" s="10" t="s">
        <v>55</v>
      </c>
      <c r="J565" s="10" t="s">
        <v>1608</v>
      </c>
      <c r="K565" s="10" t="s">
        <v>14082</v>
      </c>
      <c r="L565" s="10" t="s">
        <v>42</v>
      </c>
    </row>
    <row r="566" ht="15.75" customHeight="1">
      <c r="A566" s="64">
        <v>45490.0</v>
      </c>
      <c r="B566" s="55" t="str">
        <f>HYPERLINK("https://jobright.ai/jobs/info/667b8983e7fe833b2ff77266?utm_campaign=1065&amp;utm_source=sheet", "Apply")</f>
        <v>Apply</v>
      </c>
      <c r="C566" s="10" t="s">
        <v>14083</v>
      </c>
      <c r="D566" s="56" t="s">
        <v>13808</v>
      </c>
      <c r="E566" s="10">
        <v>8745.0</v>
      </c>
      <c r="G566" s="10" t="s">
        <v>12635</v>
      </c>
      <c r="H566" s="10" t="s">
        <v>898</v>
      </c>
      <c r="I566" s="10" t="s">
        <v>48</v>
      </c>
      <c r="J566" s="10" t="s">
        <v>14084</v>
      </c>
      <c r="K566" s="10" t="s">
        <v>14085</v>
      </c>
      <c r="L566" s="10" t="s">
        <v>42</v>
      </c>
    </row>
    <row r="567" ht="15.75" customHeight="1">
      <c r="A567" s="64">
        <v>45490.0</v>
      </c>
      <c r="B567" s="55" t="str">
        <f>HYPERLINK("https://jobright.ai/jobs/info/6677e7f58edbb3fe78f328bd?utm_campaign=1065&amp;utm_source=sheet", "Apply")</f>
        <v>Apply</v>
      </c>
      <c r="C567" s="10" t="s">
        <v>13563</v>
      </c>
      <c r="D567" s="56" t="s">
        <v>14086</v>
      </c>
      <c r="E567" s="10" t="s">
        <v>276</v>
      </c>
      <c r="F567" s="10" t="s">
        <v>1435</v>
      </c>
      <c r="G567" s="10" t="s">
        <v>12630</v>
      </c>
      <c r="H567" s="10" t="s">
        <v>159</v>
      </c>
      <c r="I567" s="10" t="s">
        <v>55</v>
      </c>
      <c r="K567" s="10" t="s">
        <v>14087</v>
      </c>
      <c r="L567" s="10" t="s">
        <v>42</v>
      </c>
    </row>
    <row r="568" ht="15.75" customHeight="1">
      <c r="A568" s="64">
        <v>45490.0</v>
      </c>
      <c r="B568" s="55" t="str">
        <f>HYPERLINK("https://jobright.ai/jobs/info/66327268bf7510b5ed5383ce?utm_campaign=1065&amp;utm_source=sheet", "Apply")</f>
        <v>Apply</v>
      </c>
      <c r="C568" s="10" t="s">
        <v>14088</v>
      </c>
      <c r="D568" s="56" t="s">
        <v>12687</v>
      </c>
      <c r="E568" s="10" t="s">
        <v>65</v>
      </c>
      <c r="F568" s="10" t="s">
        <v>12688</v>
      </c>
      <c r="G568" s="10" t="s">
        <v>12654</v>
      </c>
      <c r="H568" s="10" t="s">
        <v>1556</v>
      </c>
      <c r="I568" s="10" t="s">
        <v>48</v>
      </c>
      <c r="K568" s="10" t="s">
        <v>12850</v>
      </c>
      <c r="L568" s="10" t="s">
        <v>42</v>
      </c>
    </row>
    <row r="569" ht="15.75" customHeight="1">
      <c r="A569" s="64">
        <v>45490.0</v>
      </c>
      <c r="B569" s="55" t="str">
        <f>HYPERLINK("https://jobright.ai/jobs/info/663911047fc3266d1328ee6e?utm_campaign=1065&amp;utm_source=sheet", "Apply")</f>
        <v>Apply</v>
      </c>
      <c r="C569" s="10" t="s">
        <v>14089</v>
      </c>
      <c r="D569" s="56" t="s">
        <v>12687</v>
      </c>
      <c r="E569" s="10" t="s">
        <v>65</v>
      </c>
      <c r="F569" s="10" t="s">
        <v>12688</v>
      </c>
      <c r="G569" s="10" t="s">
        <v>12654</v>
      </c>
      <c r="H569" s="10" t="s">
        <v>1556</v>
      </c>
      <c r="I569" s="10" t="s">
        <v>48</v>
      </c>
      <c r="K569" s="10" t="s">
        <v>12850</v>
      </c>
      <c r="L569" s="10" t="s">
        <v>42</v>
      </c>
    </row>
    <row r="570" ht="15.75" customHeight="1">
      <c r="A570" s="64">
        <v>45490.0</v>
      </c>
      <c r="B570" s="55" t="str">
        <f>HYPERLINK("https://jobright.ai/jobs/info/66429f4fab16def17d19d25f?utm_campaign=1065&amp;utm_source=sheet", "Apply")</f>
        <v>Apply</v>
      </c>
      <c r="C570" s="10" t="s">
        <v>14090</v>
      </c>
      <c r="D570" s="56" t="s">
        <v>12687</v>
      </c>
      <c r="E570" s="10" t="s">
        <v>65</v>
      </c>
      <c r="F570" s="10" t="s">
        <v>12688</v>
      </c>
      <c r="G570" s="10" t="s">
        <v>12654</v>
      </c>
      <c r="H570" s="10" t="s">
        <v>1556</v>
      </c>
      <c r="I570" s="10" t="s">
        <v>48</v>
      </c>
      <c r="K570" s="10" t="s">
        <v>12850</v>
      </c>
      <c r="L570" s="10" t="s">
        <v>42</v>
      </c>
    </row>
    <row r="571" ht="15.75" customHeight="1">
      <c r="A571" s="64">
        <v>45490.0</v>
      </c>
      <c r="B571" s="55" t="str">
        <f>HYPERLINK("https://jobright.ai/jobs/info/664e2b6bfd06ab529d525c8e?utm_campaign=1065&amp;utm_source=sheet", "Apply")</f>
        <v>Apply</v>
      </c>
      <c r="C571" s="10" t="s">
        <v>14091</v>
      </c>
      <c r="D571" s="56" t="s">
        <v>14092</v>
      </c>
      <c r="E571" s="10" t="s">
        <v>79</v>
      </c>
      <c r="F571" s="10" t="s">
        <v>3906</v>
      </c>
      <c r="G571" s="10" t="s">
        <v>12654</v>
      </c>
      <c r="H571" s="10" t="s">
        <v>170</v>
      </c>
      <c r="I571" s="10" t="s">
        <v>55</v>
      </c>
      <c r="K571" s="10" t="s">
        <v>14093</v>
      </c>
      <c r="L571" s="10" t="s">
        <v>42</v>
      </c>
    </row>
    <row r="572" ht="15.75" customHeight="1">
      <c r="A572" s="64">
        <v>45490.0</v>
      </c>
      <c r="B572" s="55" t="str">
        <f>HYPERLINK("https://jobright.ai/jobs/info/66327b0af20ca69f599603f0?utm_campaign=1065&amp;utm_source=sheet", "Apply")</f>
        <v>Apply</v>
      </c>
      <c r="C572" s="10" t="s">
        <v>14094</v>
      </c>
      <c r="D572" s="56" t="s">
        <v>12687</v>
      </c>
      <c r="E572" s="10" t="s">
        <v>65</v>
      </c>
      <c r="F572" s="10" t="s">
        <v>12688</v>
      </c>
      <c r="G572" s="10" t="s">
        <v>12654</v>
      </c>
      <c r="H572" s="10" t="s">
        <v>1556</v>
      </c>
      <c r="I572" s="10" t="s">
        <v>48</v>
      </c>
      <c r="K572" s="10" t="s">
        <v>12850</v>
      </c>
      <c r="L572" s="10" t="s">
        <v>42</v>
      </c>
    </row>
    <row r="573" ht="15.75" customHeight="1">
      <c r="A573" s="64">
        <v>45490.0</v>
      </c>
      <c r="B573" s="55" t="str">
        <f>HYPERLINK("https://jobright.ai/jobs/info/667b0e98bf9efe4d35de45dd?utm_campaign=1065&amp;utm_source=sheet", "Apply")</f>
        <v>Apply</v>
      </c>
      <c r="C573" s="10" t="s">
        <v>14095</v>
      </c>
      <c r="D573" s="56" t="s">
        <v>6691</v>
      </c>
      <c r="E573" s="10" t="s">
        <v>209</v>
      </c>
      <c r="F573" s="10" t="s">
        <v>564</v>
      </c>
      <c r="G573" s="10" t="s">
        <v>12635</v>
      </c>
      <c r="H573" s="10" t="s">
        <v>14096</v>
      </c>
      <c r="I573" s="10" t="s">
        <v>55</v>
      </c>
      <c r="K573" s="10" t="s">
        <v>14097</v>
      </c>
      <c r="L573" s="10" t="s">
        <v>42</v>
      </c>
    </row>
    <row r="574" ht="15.75" customHeight="1">
      <c r="A574" s="64">
        <v>45490.0</v>
      </c>
      <c r="B574" s="55" t="str">
        <f>HYPERLINK("https://jobright.ai/jobs/info/667b18f3ced231a4649d9564?utm_campaign=1065&amp;utm_source=sheet", "Apply")</f>
        <v>Apply</v>
      </c>
      <c r="C574" s="10" t="s">
        <v>14098</v>
      </c>
      <c r="D574" s="56" t="s">
        <v>10169</v>
      </c>
      <c r="E574" s="10" t="s">
        <v>45</v>
      </c>
      <c r="F574" s="10" t="s">
        <v>10170</v>
      </c>
      <c r="G574" s="10" t="s">
        <v>12635</v>
      </c>
      <c r="H574" s="10" t="s">
        <v>1097</v>
      </c>
      <c r="I574" s="10" t="s">
        <v>55</v>
      </c>
      <c r="J574" s="10" t="s">
        <v>1608</v>
      </c>
      <c r="K574" s="10" t="s">
        <v>14082</v>
      </c>
      <c r="L574" s="10" t="s">
        <v>42</v>
      </c>
    </row>
    <row r="575" ht="15.75" customHeight="1">
      <c r="A575" s="64">
        <v>45490.0</v>
      </c>
      <c r="B575" s="55" t="str">
        <f>HYPERLINK("https://jobright.ai/jobs/info/66327b0af20ca69f599603fb?utm_campaign=1065&amp;utm_source=sheet", "Apply")</f>
        <v>Apply</v>
      </c>
      <c r="C575" s="10" t="s">
        <v>14099</v>
      </c>
      <c r="D575" s="56" t="s">
        <v>12687</v>
      </c>
      <c r="E575" s="10" t="s">
        <v>65</v>
      </c>
      <c r="F575" s="10" t="s">
        <v>12688</v>
      </c>
      <c r="G575" s="10" t="s">
        <v>12654</v>
      </c>
      <c r="H575" s="10" t="s">
        <v>1556</v>
      </c>
      <c r="I575" s="10" t="s">
        <v>48</v>
      </c>
      <c r="K575" s="10" t="s">
        <v>12850</v>
      </c>
      <c r="L575" s="10" t="s">
        <v>42</v>
      </c>
    </row>
    <row r="576" ht="15.75" customHeight="1">
      <c r="A576" s="64">
        <v>45490.0</v>
      </c>
      <c r="B576" s="55" t="str">
        <f>HYPERLINK("https://jobright.ai/jobs/info/66269f7a7b2149c058535a8e?utm_campaign=1065&amp;utm_source=sheet", "Apply")</f>
        <v>Apply</v>
      </c>
      <c r="C576" s="10" t="s">
        <v>14100</v>
      </c>
      <c r="D576" s="56" t="s">
        <v>12687</v>
      </c>
      <c r="E576" s="10" t="s">
        <v>65</v>
      </c>
      <c r="F576" s="10" t="s">
        <v>12688</v>
      </c>
      <c r="G576" s="10" t="s">
        <v>12654</v>
      </c>
      <c r="H576" s="10" t="s">
        <v>1556</v>
      </c>
      <c r="I576" s="10" t="s">
        <v>48</v>
      </c>
      <c r="K576" s="10" t="s">
        <v>12850</v>
      </c>
      <c r="L576" s="10" t="s">
        <v>42</v>
      </c>
    </row>
    <row r="577" ht="15.75" customHeight="1">
      <c r="A577" s="64">
        <v>45490.0</v>
      </c>
      <c r="B577" s="55" t="str">
        <f>HYPERLINK("https://jobright.ai/jobs/info/66327268bf7510b5ed5383af?utm_campaign=1065&amp;utm_source=sheet", "Apply")</f>
        <v>Apply</v>
      </c>
      <c r="C577" s="10" t="s">
        <v>14101</v>
      </c>
      <c r="D577" s="56" t="s">
        <v>12687</v>
      </c>
      <c r="E577" s="10" t="s">
        <v>65</v>
      </c>
      <c r="F577" s="10" t="s">
        <v>12688</v>
      </c>
      <c r="G577" s="10" t="s">
        <v>12654</v>
      </c>
      <c r="H577" s="10" t="s">
        <v>1556</v>
      </c>
      <c r="I577" s="10" t="s">
        <v>48</v>
      </c>
      <c r="K577" s="10" t="s">
        <v>12850</v>
      </c>
      <c r="L577" s="10" t="s">
        <v>42</v>
      </c>
    </row>
    <row r="578" ht="15.75" customHeight="1">
      <c r="A578" s="64">
        <v>45490.0</v>
      </c>
      <c r="B578" s="55" t="str">
        <f>HYPERLINK("https://jobright.ai/jobs/info/65ef8e09f702bbbb122a8c31?utm_campaign=1065&amp;utm_source=sheet", "Apply")</f>
        <v>Apply</v>
      </c>
      <c r="C578" s="10" t="s">
        <v>14102</v>
      </c>
      <c r="D578" s="56" t="s">
        <v>12687</v>
      </c>
      <c r="E578" s="10" t="s">
        <v>65</v>
      </c>
      <c r="F578" s="10" t="s">
        <v>12688</v>
      </c>
      <c r="G578" s="10" t="s">
        <v>12654</v>
      </c>
      <c r="H578" s="10" t="s">
        <v>1556</v>
      </c>
      <c r="I578" s="10" t="s">
        <v>48</v>
      </c>
      <c r="K578" s="10" t="s">
        <v>12850</v>
      </c>
      <c r="L578" s="10" t="s">
        <v>42</v>
      </c>
    </row>
    <row r="579" ht="15.75" customHeight="1">
      <c r="A579" s="64">
        <v>45490.0</v>
      </c>
      <c r="B579" s="55" t="str">
        <f>HYPERLINK("https://jobright.ai/jobs/info/667b7e927460c095f0edc7eb?utm_campaign=1065&amp;utm_source=sheet", "Apply")</f>
        <v>Apply</v>
      </c>
      <c r="C579" s="10" t="s">
        <v>14103</v>
      </c>
      <c r="D579" s="56" t="s">
        <v>12687</v>
      </c>
      <c r="E579" s="10" t="s">
        <v>65</v>
      </c>
      <c r="F579" s="10" t="s">
        <v>12688</v>
      </c>
      <c r="G579" s="10" t="s">
        <v>12654</v>
      </c>
      <c r="H579" s="10" t="s">
        <v>723</v>
      </c>
      <c r="I579" s="10" t="s">
        <v>48</v>
      </c>
      <c r="K579" s="10" t="s">
        <v>14078</v>
      </c>
      <c r="L579" s="10" t="s">
        <v>42</v>
      </c>
    </row>
    <row r="580" ht="15.75" customHeight="1">
      <c r="A580" s="64">
        <v>45490.0</v>
      </c>
      <c r="B580" s="55" t="str">
        <f>HYPERLINK("https://jobright.ai/jobs/info/66978c90c853481ad23ee3f8?utm_campaign=1065&amp;utm_source=sheet", "Apply")</f>
        <v>Apply</v>
      </c>
      <c r="C580" s="10" t="s">
        <v>14104</v>
      </c>
      <c r="D580" s="56" t="s">
        <v>14105</v>
      </c>
      <c r="E580" s="10" t="s">
        <v>79</v>
      </c>
      <c r="F580" s="10" t="s">
        <v>3770</v>
      </c>
      <c r="G580" s="10" t="s">
        <v>12654</v>
      </c>
      <c r="H580" s="10" t="s">
        <v>8635</v>
      </c>
      <c r="I580" s="10" t="s">
        <v>55</v>
      </c>
      <c r="K580" s="10" t="s">
        <v>14106</v>
      </c>
      <c r="L580" s="10" t="s">
        <v>42</v>
      </c>
    </row>
    <row r="581" ht="15.75" customHeight="1">
      <c r="A581" s="64">
        <v>45490.0</v>
      </c>
      <c r="B581" s="55" t="str">
        <f>HYPERLINK("https://jobright.ai/jobs/info/6697a12dfaafd78eea23c35e?utm_campaign=1065&amp;utm_source=sheet", "Apply")</f>
        <v>Apply</v>
      </c>
      <c r="C581" s="10" t="s">
        <v>14107</v>
      </c>
      <c r="D581" s="56" t="s">
        <v>13663</v>
      </c>
      <c r="E581" s="10">
        <v>5.0</v>
      </c>
      <c r="G581" s="10" t="s">
        <v>12635</v>
      </c>
      <c r="H581" s="10" t="s">
        <v>12409</v>
      </c>
      <c r="I581" s="10" t="s">
        <v>55</v>
      </c>
      <c r="K581" s="10" t="s">
        <v>14108</v>
      </c>
      <c r="L581" s="10" t="s">
        <v>42</v>
      </c>
    </row>
    <row r="582" ht="15.75" customHeight="1">
      <c r="A582" s="64">
        <v>45490.0</v>
      </c>
      <c r="B582" s="55" t="str">
        <f>HYPERLINK("https://jobright.ai/jobs/info/66976e91b4345877837dbbe1?utm_campaign=1065&amp;utm_source=sheet", "Apply")</f>
        <v>Apply</v>
      </c>
      <c r="C582" s="10" t="s">
        <v>14109</v>
      </c>
      <c r="D582" s="56" t="s">
        <v>13663</v>
      </c>
      <c r="E582" s="10">
        <v>5.0</v>
      </c>
      <c r="G582" s="10" t="s">
        <v>12635</v>
      </c>
      <c r="H582" s="10" t="s">
        <v>5519</v>
      </c>
      <c r="I582" s="10" t="s">
        <v>48</v>
      </c>
      <c r="K582" s="10" t="s">
        <v>14110</v>
      </c>
      <c r="L582" s="10" t="s">
        <v>42</v>
      </c>
    </row>
    <row r="583" ht="15.75" customHeight="1">
      <c r="A583" s="64">
        <v>45490.0</v>
      </c>
      <c r="B583" s="55" t="str">
        <f>HYPERLINK("https://jobright.ai/jobs/info/66993a790dea039d8433bae3?utm_campaign=1065&amp;utm_source=sheet", "Apply")</f>
        <v>Apply</v>
      </c>
      <c r="C583" s="10" t="s">
        <v>14111</v>
      </c>
      <c r="D583" s="56" t="s">
        <v>14112</v>
      </c>
      <c r="E583" s="10" t="s">
        <v>45</v>
      </c>
      <c r="F583" s="10" t="s">
        <v>14113</v>
      </c>
      <c r="G583" s="10" t="s">
        <v>12635</v>
      </c>
      <c r="H583" s="10" t="s">
        <v>9475</v>
      </c>
      <c r="I583" s="10" t="s">
        <v>55</v>
      </c>
      <c r="K583" s="10" t="s">
        <v>14114</v>
      </c>
      <c r="L583" s="10" t="s">
        <v>42</v>
      </c>
    </row>
    <row r="584" ht="15.75" customHeight="1">
      <c r="A584" s="64">
        <v>45490.0</v>
      </c>
      <c r="B584" s="55" t="str">
        <f>HYPERLINK("https://jobright.ai/jobs/info/669751ef4bcbe5178d6cd614?utm_campaign=1065&amp;utm_source=sheet", "Apply")</f>
        <v>Apply</v>
      </c>
      <c r="C584" s="10" t="s">
        <v>14115</v>
      </c>
      <c r="D584" s="56" t="s">
        <v>14116</v>
      </c>
      <c r="E584" s="10" t="s">
        <v>45</v>
      </c>
      <c r="F584" s="10" t="s">
        <v>14117</v>
      </c>
      <c r="G584" s="10" t="s">
        <v>12693</v>
      </c>
      <c r="H584" s="10" t="s">
        <v>96</v>
      </c>
      <c r="I584" s="10" t="s">
        <v>55</v>
      </c>
      <c r="J584" s="10" t="s">
        <v>1960</v>
      </c>
      <c r="K584" s="10" t="s">
        <v>14118</v>
      </c>
      <c r="L584" s="10" t="s">
        <v>42</v>
      </c>
    </row>
    <row r="585" ht="15.75" customHeight="1">
      <c r="A585" s="64">
        <v>45490.0</v>
      </c>
      <c r="B585" s="55" t="str">
        <f>HYPERLINK("https://jobright.ai/jobs/info/6697308c4f77dc04809cc9c1?utm_campaign=1065&amp;utm_source=sheet", "Apply")</f>
        <v>Apply</v>
      </c>
      <c r="C585" s="10" t="s">
        <v>13563</v>
      </c>
      <c r="D585" s="56" t="s">
        <v>14119</v>
      </c>
      <c r="E585" s="10" t="s">
        <v>71</v>
      </c>
      <c r="F585" s="10" t="s">
        <v>1833</v>
      </c>
      <c r="G585" s="10" t="s">
        <v>12630</v>
      </c>
      <c r="H585" s="10" t="s">
        <v>1260</v>
      </c>
      <c r="I585" s="10" t="s">
        <v>48</v>
      </c>
      <c r="J585" s="10" t="s">
        <v>521</v>
      </c>
      <c r="K585" s="10" t="s">
        <v>14120</v>
      </c>
      <c r="L585" s="10" t="s">
        <v>42</v>
      </c>
    </row>
    <row r="586" ht="15.75" customHeight="1">
      <c r="A586" s="64">
        <v>45490.0</v>
      </c>
      <c r="B586" s="55" t="str">
        <f>HYPERLINK("https://jobright.ai/jobs/info/6699c4c4d8fb657c5b2d6d95?utm_campaign=1065&amp;utm_source=sheet", "Apply")</f>
        <v>Apply</v>
      </c>
      <c r="C586" s="10" t="s">
        <v>14121</v>
      </c>
      <c r="D586" s="56" t="s">
        <v>13033</v>
      </c>
      <c r="E586" s="10" t="s">
        <v>45</v>
      </c>
      <c r="F586" s="10" t="s">
        <v>13034</v>
      </c>
      <c r="G586" s="10" t="s">
        <v>12645</v>
      </c>
      <c r="H586" s="10" t="s">
        <v>14122</v>
      </c>
      <c r="I586" s="10" t="s">
        <v>55</v>
      </c>
      <c r="K586" s="10" t="s">
        <v>14123</v>
      </c>
      <c r="L586" s="10" t="s">
        <v>42</v>
      </c>
    </row>
    <row r="587" ht="15.75" customHeight="1">
      <c r="A587" s="64">
        <v>45490.0</v>
      </c>
      <c r="B587" s="55" t="str">
        <f>HYPERLINK("https://jobright.ai/jobs/info/669725d33ea146ae39eee14e?utm_campaign=1065&amp;utm_source=sheet", "Apply")</f>
        <v>Apply</v>
      </c>
      <c r="C587" s="10" t="s">
        <v>12965</v>
      </c>
      <c r="D587" s="56" t="s">
        <v>14124</v>
      </c>
      <c r="E587" s="10" t="s">
        <v>137</v>
      </c>
      <c r="F587" s="10" t="s">
        <v>19</v>
      </c>
      <c r="G587" s="10" t="s">
        <v>12645</v>
      </c>
      <c r="H587" s="10" t="s">
        <v>759</v>
      </c>
      <c r="I587" s="10" t="s">
        <v>55</v>
      </c>
      <c r="J587" s="10" t="s">
        <v>1409</v>
      </c>
      <c r="K587" s="10" t="s">
        <v>14125</v>
      </c>
      <c r="L587" s="10" t="s">
        <v>42</v>
      </c>
    </row>
    <row r="588" ht="15.75" customHeight="1">
      <c r="A588" s="64">
        <v>45490.0</v>
      </c>
      <c r="B588" s="55" t="str">
        <f>HYPERLINK("https://jobright.ai/jobs/info/669721fc8af18daeadeb951e?utm_campaign=1065&amp;utm_source=sheet", "Apply")</f>
        <v>Apply</v>
      </c>
      <c r="C588" s="10" t="s">
        <v>14126</v>
      </c>
      <c r="D588" s="56" t="s">
        <v>10244</v>
      </c>
      <c r="E588" s="10" t="s">
        <v>45</v>
      </c>
      <c r="G588" s="10" t="s">
        <v>12654</v>
      </c>
      <c r="H588" s="10" t="s">
        <v>949</v>
      </c>
      <c r="I588" s="10" t="s">
        <v>55</v>
      </c>
      <c r="J588" s="10" t="s">
        <v>6879</v>
      </c>
      <c r="K588" s="10" t="s">
        <v>12746</v>
      </c>
      <c r="L588" s="10" t="s">
        <v>42</v>
      </c>
    </row>
    <row r="589" ht="15.75" customHeight="1">
      <c r="A589" s="64">
        <v>45490.0</v>
      </c>
      <c r="B589" s="55" t="str">
        <f>HYPERLINK("https://jobright.ai/jobs/info/66985570869b93a19d046d99?utm_campaign=1065&amp;utm_source=sheet", "Apply")</f>
        <v>Apply</v>
      </c>
      <c r="C589" s="10" t="s">
        <v>14019</v>
      </c>
      <c r="D589" s="56" t="s">
        <v>13721</v>
      </c>
      <c r="E589" s="10" t="s">
        <v>276</v>
      </c>
      <c r="F589" s="10" t="s">
        <v>13722</v>
      </c>
      <c r="G589" s="10" t="s">
        <v>12654</v>
      </c>
      <c r="H589" s="10" t="s">
        <v>251</v>
      </c>
      <c r="I589" s="10" t="s">
        <v>252</v>
      </c>
      <c r="J589" s="10" t="s">
        <v>1409</v>
      </c>
      <c r="K589" s="10" t="s">
        <v>13723</v>
      </c>
      <c r="L589" s="10" t="s">
        <v>42</v>
      </c>
    </row>
    <row r="590" ht="15.75" customHeight="1">
      <c r="A590" s="64">
        <v>45490.0</v>
      </c>
      <c r="B590" s="55" t="str">
        <f>HYPERLINK("https://jobright.ai/jobs/info/6698b727129c9fea5046803f?utm_campaign=1065&amp;utm_source=sheet", "Apply")</f>
        <v>Apply</v>
      </c>
      <c r="C590" s="10" t="s">
        <v>13397</v>
      </c>
      <c r="D590" s="56" t="s">
        <v>363</v>
      </c>
      <c r="E590" s="10" t="s">
        <v>209</v>
      </c>
      <c r="F590" s="10" t="s">
        <v>364</v>
      </c>
      <c r="G590" s="10" t="s">
        <v>12630</v>
      </c>
      <c r="H590" s="10" t="s">
        <v>511</v>
      </c>
      <c r="I590" s="10" t="s">
        <v>48</v>
      </c>
      <c r="J590" s="10" t="s">
        <v>366</v>
      </c>
      <c r="K590" s="10" t="s">
        <v>13398</v>
      </c>
      <c r="L590" s="10" t="s">
        <v>42</v>
      </c>
    </row>
    <row r="591" ht="15.75" customHeight="1">
      <c r="A591" s="64">
        <v>45490.0</v>
      </c>
      <c r="B591" s="55" t="str">
        <f>HYPERLINK("https://jobright.ai/jobs/info/6697f31ace942828e55edd01?utm_campaign=1065&amp;utm_source=sheet", "Apply")</f>
        <v>Apply</v>
      </c>
      <c r="C591" s="10" t="s">
        <v>13975</v>
      </c>
      <c r="D591" s="56" t="s">
        <v>1883</v>
      </c>
      <c r="E591" s="10" t="s">
        <v>209</v>
      </c>
      <c r="F591" s="10" t="s">
        <v>1884</v>
      </c>
      <c r="G591" s="10" t="s">
        <v>12630</v>
      </c>
      <c r="H591" s="10" t="s">
        <v>14127</v>
      </c>
      <c r="I591" s="10" t="s">
        <v>48</v>
      </c>
      <c r="J591" s="10" t="s">
        <v>1873</v>
      </c>
      <c r="K591" s="10" t="s">
        <v>14128</v>
      </c>
      <c r="L591" s="10" t="s">
        <v>42</v>
      </c>
    </row>
    <row r="592" ht="15.75" customHeight="1">
      <c r="A592" s="64">
        <v>45490.0</v>
      </c>
      <c r="B592" s="55" t="str">
        <f>HYPERLINK("https://jobright.ai/jobs/info/6697f5e7ebc521a986e5ae58?utm_campaign=1065&amp;utm_source=sheet", "Apply")</f>
        <v>Apply</v>
      </c>
      <c r="C592" s="10" t="s">
        <v>13973</v>
      </c>
      <c r="D592" s="56" t="s">
        <v>1883</v>
      </c>
      <c r="E592" s="10" t="s">
        <v>209</v>
      </c>
      <c r="F592" s="10" t="s">
        <v>1884</v>
      </c>
      <c r="G592" s="10" t="s">
        <v>12654</v>
      </c>
      <c r="H592" s="10" t="s">
        <v>14127</v>
      </c>
      <c r="I592" s="10" t="s">
        <v>48</v>
      </c>
      <c r="J592" s="10" t="s">
        <v>1873</v>
      </c>
      <c r="K592" s="10" t="s">
        <v>14129</v>
      </c>
      <c r="L592" s="10" t="s">
        <v>42</v>
      </c>
    </row>
    <row r="593" ht="15.75" customHeight="1">
      <c r="A593" s="64">
        <v>45490.0</v>
      </c>
      <c r="B593" s="55" t="str">
        <f>HYPERLINK("https://jobright.ai/jobs/info/66980a9d3acf2aff0c5f6f9b?utm_campaign=1065&amp;utm_source=sheet", "Apply")</f>
        <v>Apply</v>
      </c>
      <c r="C593" s="10" t="s">
        <v>14014</v>
      </c>
      <c r="D593" s="56" t="s">
        <v>13128</v>
      </c>
      <c r="E593" s="10" t="s">
        <v>79</v>
      </c>
      <c r="F593" s="10" t="s">
        <v>7346</v>
      </c>
      <c r="G593" s="10" t="s">
        <v>12654</v>
      </c>
      <c r="H593" s="10" t="s">
        <v>11140</v>
      </c>
      <c r="I593" s="10" t="s">
        <v>48</v>
      </c>
      <c r="K593" s="10" t="s">
        <v>14130</v>
      </c>
      <c r="L593" s="10" t="s">
        <v>42</v>
      </c>
    </row>
    <row r="594" ht="15.75" customHeight="1">
      <c r="A594" s="64">
        <v>45490.0</v>
      </c>
      <c r="B594" s="55" t="str">
        <f>HYPERLINK("https://jobright.ai/jobs/info/66980da5045f283b64a5ba5f?utm_campaign=1065&amp;utm_source=sheet", "Apply")</f>
        <v>Apply</v>
      </c>
      <c r="C594" s="10" t="s">
        <v>13997</v>
      </c>
      <c r="D594" s="56" t="s">
        <v>1636</v>
      </c>
      <c r="E594" s="10">
        <v>6029.0</v>
      </c>
      <c r="G594" s="10" t="s">
        <v>12654</v>
      </c>
      <c r="H594" s="10" t="s">
        <v>11437</v>
      </c>
      <c r="I594" s="10" t="s">
        <v>55</v>
      </c>
      <c r="J594" s="10" t="s">
        <v>11409</v>
      </c>
      <c r="K594" s="10" t="s">
        <v>13999</v>
      </c>
      <c r="L594" s="10" t="s">
        <v>42</v>
      </c>
    </row>
    <row r="595" ht="15.75" customHeight="1">
      <c r="A595" s="64">
        <v>45489.0</v>
      </c>
      <c r="B595" s="55" t="str">
        <f>HYPERLINK("https://jobright.ai/jobs/info/669714a442783c0a8d859716?utm_campaign=1065&amp;utm_source=sheet", "Apply")</f>
        <v>Apply</v>
      </c>
      <c r="C595" s="10" t="s">
        <v>14107</v>
      </c>
      <c r="D595" s="56" t="s">
        <v>13663</v>
      </c>
      <c r="E595" s="10">
        <v>5.0</v>
      </c>
      <c r="G595" s="10" t="s">
        <v>12635</v>
      </c>
      <c r="H595" s="10" t="s">
        <v>153</v>
      </c>
      <c r="I595" s="10" t="s">
        <v>55</v>
      </c>
      <c r="K595" s="10" t="s">
        <v>14108</v>
      </c>
      <c r="L595" s="10" t="s">
        <v>42</v>
      </c>
    </row>
    <row r="596" ht="15.75" customHeight="1">
      <c r="A596" s="64">
        <v>45489.0</v>
      </c>
      <c r="B596" s="55" t="str">
        <f>HYPERLINK("https://jobright.ai/jobs/info/66970582a7fefc347c736a04?utm_campaign=1065&amp;utm_source=sheet", "Apply")</f>
        <v>Apply</v>
      </c>
      <c r="C596" s="10" t="s">
        <v>14131</v>
      </c>
      <c r="D596" s="56" t="s">
        <v>12939</v>
      </c>
      <c r="E596" s="10" t="s">
        <v>45</v>
      </c>
      <c r="F596" s="10" t="s">
        <v>665</v>
      </c>
      <c r="G596" s="10" t="s">
        <v>12635</v>
      </c>
      <c r="H596" s="10" t="s">
        <v>799</v>
      </c>
      <c r="I596" s="10" t="s">
        <v>48</v>
      </c>
      <c r="K596" s="10" t="s">
        <v>14132</v>
      </c>
      <c r="L596" s="10" t="s">
        <v>42</v>
      </c>
    </row>
    <row r="597" ht="15.75" customHeight="1">
      <c r="A597" s="64">
        <v>45489.0</v>
      </c>
      <c r="B597" s="55" t="str">
        <f>HYPERLINK("https://jobright.ai/jobs/info/66970582a7fefc347c736a10?utm_campaign=1065&amp;utm_source=sheet", "Apply")</f>
        <v>Apply</v>
      </c>
      <c r="C597" s="10" t="s">
        <v>12938</v>
      </c>
      <c r="D597" s="56" t="s">
        <v>12939</v>
      </c>
      <c r="E597" s="10" t="s">
        <v>45</v>
      </c>
      <c r="F597" s="10" t="s">
        <v>665</v>
      </c>
      <c r="G597" s="10" t="s">
        <v>12635</v>
      </c>
      <c r="H597" s="10" t="s">
        <v>799</v>
      </c>
      <c r="I597" s="10" t="s">
        <v>48</v>
      </c>
      <c r="K597" s="10" t="s">
        <v>12940</v>
      </c>
      <c r="L597" s="10" t="s">
        <v>42</v>
      </c>
    </row>
    <row r="598" ht="15.75" customHeight="1">
      <c r="A598" s="64">
        <v>45489.0</v>
      </c>
      <c r="B598" s="55" t="str">
        <f>HYPERLINK("https://jobright.ai/jobs/info/6697308c4f77dc04809cc9b5?utm_campaign=1065&amp;utm_source=sheet", "Apply")</f>
        <v>Apply</v>
      </c>
      <c r="C598" s="10" t="s">
        <v>14133</v>
      </c>
      <c r="D598" s="56" t="s">
        <v>2077</v>
      </c>
      <c r="E598" s="10" t="s">
        <v>45</v>
      </c>
      <c r="F598" s="10" t="s">
        <v>1234</v>
      </c>
      <c r="G598" s="10" t="s">
        <v>12630</v>
      </c>
      <c r="H598" s="10" t="s">
        <v>2078</v>
      </c>
      <c r="I598" s="10" t="s">
        <v>55</v>
      </c>
      <c r="J598" s="10" t="s">
        <v>4117</v>
      </c>
      <c r="K598" s="10" t="s">
        <v>14134</v>
      </c>
      <c r="L598" s="10" t="s">
        <v>42</v>
      </c>
    </row>
    <row r="599" ht="15.75" customHeight="1">
      <c r="A599" s="64">
        <v>45489.0</v>
      </c>
      <c r="B599" s="55" t="str">
        <f>HYPERLINK("https://jobright.ai/jobs/info/669703cc02c012c979e06479?utm_campaign=1065&amp;utm_source=sheet", "Apply")</f>
        <v>Apply</v>
      </c>
      <c r="C599" s="10" t="s">
        <v>12650</v>
      </c>
      <c r="D599" s="56" t="s">
        <v>14135</v>
      </c>
      <c r="E599" s="10" t="s">
        <v>137</v>
      </c>
      <c r="F599" s="10" t="s">
        <v>331</v>
      </c>
      <c r="G599" s="10" t="s">
        <v>12630</v>
      </c>
      <c r="H599" s="10" t="s">
        <v>1036</v>
      </c>
      <c r="I599" s="10" t="s">
        <v>55</v>
      </c>
      <c r="K599" s="10" t="s">
        <v>14136</v>
      </c>
      <c r="L599" s="10" t="s">
        <v>42</v>
      </c>
    </row>
    <row r="600" ht="15.75" customHeight="1">
      <c r="A600" s="64">
        <v>45489.0</v>
      </c>
      <c r="B600" s="55" t="str">
        <f>HYPERLINK("https://jobright.ai/jobs/info/669703cc02c012c979e06469?utm_campaign=1065&amp;utm_source=sheet", "Apply")</f>
        <v>Apply</v>
      </c>
      <c r="C600" s="10" t="s">
        <v>14137</v>
      </c>
      <c r="D600" s="56" t="s">
        <v>14138</v>
      </c>
      <c r="E600" s="10" t="s">
        <v>65</v>
      </c>
      <c r="F600" s="10" t="s">
        <v>3770</v>
      </c>
      <c r="G600" s="10" t="s">
        <v>12630</v>
      </c>
      <c r="H600" s="10" t="s">
        <v>96</v>
      </c>
      <c r="I600" s="10" t="s">
        <v>48</v>
      </c>
      <c r="K600" s="10" t="s">
        <v>14139</v>
      </c>
      <c r="L600" s="10" t="s">
        <v>42</v>
      </c>
    </row>
    <row r="601" ht="15.75" customHeight="1">
      <c r="A601" s="64">
        <v>45489.0</v>
      </c>
      <c r="B601" s="55" t="str">
        <f>HYPERLINK("https://jobright.ai/jobs/info/6697012830e8930d0757d0a2?utm_campaign=1065&amp;utm_source=sheet", "Apply")</f>
        <v>Apply</v>
      </c>
      <c r="C601" s="10" t="s">
        <v>14140</v>
      </c>
      <c r="D601" s="56" t="s">
        <v>14141</v>
      </c>
      <c r="E601" s="10" t="s">
        <v>276</v>
      </c>
      <c r="F601" s="10" t="s">
        <v>14142</v>
      </c>
      <c r="G601" s="10" t="s">
        <v>12635</v>
      </c>
      <c r="H601" s="10" t="s">
        <v>139</v>
      </c>
      <c r="I601" s="10" t="s">
        <v>55</v>
      </c>
      <c r="K601" s="10" t="s">
        <v>14143</v>
      </c>
      <c r="L601" s="10" t="s">
        <v>42</v>
      </c>
    </row>
    <row r="602" ht="15.75" customHeight="1">
      <c r="A602" s="64">
        <v>45489.0</v>
      </c>
      <c r="B602" s="55" t="str">
        <f>HYPERLINK("https://jobright.ai/jobs/info/6697b2890f3f19c85006ebc1?utm_campaign=1065&amp;utm_source=sheet", "Apply")</f>
        <v>Apply</v>
      </c>
      <c r="C602" s="10" t="s">
        <v>14144</v>
      </c>
      <c r="D602" s="56" t="s">
        <v>14145</v>
      </c>
      <c r="E602" s="10" t="s">
        <v>137</v>
      </c>
      <c r="F602" s="10" t="s">
        <v>13546</v>
      </c>
      <c r="G602" s="10" t="s">
        <v>12654</v>
      </c>
      <c r="H602" s="10" t="s">
        <v>3674</v>
      </c>
      <c r="I602" s="10" t="s">
        <v>55</v>
      </c>
      <c r="K602" s="10" t="s">
        <v>14146</v>
      </c>
      <c r="L602" s="10" t="s">
        <v>42</v>
      </c>
    </row>
    <row r="603" ht="15.75" customHeight="1">
      <c r="A603" s="64">
        <v>45489.0</v>
      </c>
      <c r="B603" s="55" t="str">
        <f>HYPERLINK("https://jobright.ai/jobs/info/6696fb75ff384bf5ba3fb211?utm_campaign=1065&amp;utm_source=sheet", "Apply")</f>
        <v>Apply</v>
      </c>
      <c r="C603" s="10" t="s">
        <v>14147</v>
      </c>
      <c r="D603" s="56" t="s">
        <v>14148</v>
      </c>
      <c r="E603" s="10" t="s">
        <v>65</v>
      </c>
      <c r="F603" s="10" t="s">
        <v>14149</v>
      </c>
      <c r="G603" s="10" t="s">
        <v>12654</v>
      </c>
      <c r="H603" s="10" t="s">
        <v>952</v>
      </c>
      <c r="I603" s="10" t="s">
        <v>48</v>
      </c>
      <c r="K603" s="10" t="s">
        <v>14150</v>
      </c>
      <c r="L603" s="10" t="s">
        <v>42</v>
      </c>
    </row>
    <row r="604" ht="15.75" customHeight="1">
      <c r="A604" s="64">
        <v>45489.0</v>
      </c>
      <c r="B604" s="55" t="str">
        <f>HYPERLINK("https://jobright.ai/jobs/info/6696f060fe4a405c83599837?utm_campaign=1065&amp;utm_source=sheet", "Apply")</f>
        <v>Apply</v>
      </c>
      <c r="C604" s="10" t="s">
        <v>14137</v>
      </c>
      <c r="D604" s="56" t="s">
        <v>14151</v>
      </c>
      <c r="E604" s="10" t="s">
        <v>209</v>
      </c>
      <c r="F604" s="10" t="s">
        <v>14152</v>
      </c>
      <c r="G604" s="10" t="s">
        <v>12630</v>
      </c>
      <c r="H604" s="10" t="s">
        <v>96</v>
      </c>
      <c r="I604" s="10" t="s">
        <v>48</v>
      </c>
      <c r="K604" s="10" t="s">
        <v>14139</v>
      </c>
      <c r="L604" s="10" t="s">
        <v>42</v>
      </c>
    </row>
    <row r="605" ht="15.75" customHeight="1">
      <c r="A605" s="64">
        <v>45489.0</v>
      </c>
      <c r="B605" s="55" t="str">
        <f>HYPERLINK("https://jobright.ai/jobs/info/6696e315310ba44856b5c4c4?utm_campaign=1065&amp;utm_source=sheet", "Apply")</f>
        <v>Apply</v>
      </c>
      <c r="C605" s="10" t="s">
        <v>14153</v>
      </c>
      <c r="D605" s="56" t="s">
        <v>14154</v>
      </c>
      <c r="E605" s="10" t="s">
        <v>137</v>
      </c>
      <c r="F605" s="10" t="s">
        <v>14155</v>
      </c>
      <c r="G605" s="10" t="s">
        <v>12630</v>
      </c>
      <c r="H605" s="10" t="s">
        <v>113</v>
      </c>
      <c r="I605" s="10" t="s">
        <v>48</v>
      </c>
      <c r="K605" s="10" t="s">
        <v>14156</v>
      </c>
      <c r="L605" s="10" t="s">
        <v>42</v>
      </c>
    </row>
    <row r="606" ht="15.75" customHeight="1">
      <c r="A606" s="64">
        <v>45489.0</v>
      </c>
      <c r="B606" s="55" t="str">
        <f>HYPERLINK("https://jobright.ai/jobs/info/6696dab12f83dd9d179ec94b?utm_campaign=1065&amp;utm_source=sheet", "Apply")</f>
        <v>Apply</v>
      </c>
      <c r="C606" s="10" t="s">
        <v>14157</v>
      </c>
      <c r="D606" s="56" t="s">
        <v>14158</v>
      </c>
      <c r="E606" s="10">
        <v>35.0</v>
      </c>
      <c r="G606" s="10" t="s">
        <v>12630</v>
      </c>
      <c r="H606" s="10" t="s">
        <v>636</v>
      </c>
      <c r="I606" s="10" t="s">
        <v>55</v>
      </c>
      <c r="J606" s="10" t="s">
        <v>6879</v>
      </c>
      <c r="K606" s="10" t="s">
        <v>14159</v>
      </c>
      <c r="L606" s="10" t="s">
        <v>42</v>
      </c>
    </row>
    <row r="607" ht="15.75" customHeight="1">
      <c r="A607" s="64">
        <v>45489.0</v>
      </c>
      <c r="B607" s="55" t="str">
        <f>HYPERLINK("https://jobright.ai/jobs/info/6696d73823e2470fcdc1a650?utm_campaign=1065&amp;utm_source=sheet", "Apply")</f>
        <v>Apply</v>
      </c>
      <c r="C607" s="10" t="s">
        <v>14160</v>
      </c>
      <c r="D607" s="56" t="s">
        <v>14161</v>
      </c>
      <c r="E607" s="10" t="s">
        <v>137</v>
      </c>
      <c r="F607" s="10" t="s">
        <v>14162</v>
      </c>
      <c r="G607" s="10" t="s">
        <v>12630</v>
      </c>
      <c r="H607" s="10" t="s">
        <v>5413</v>
      </c>
      <c r="I607" s="10" t="s">
        <v>55</v>
      </c>
      <c r="J607" s="10" t="s">
        <v>9198</v>
      </c>
      <c r="K607" s="10" t="s">
        <v>14163</v>
      </c>
      <c r="L607" s="10" t="s">
        <v>42</v>
      </c>
    </row>
    <row r="608" ht="15.75" customHeight="1">
      <c r="A608" s="64">
        <v>45489.0</v>
      </c>
      <c r="B608" s="55" t="str">
        <f>HYPERLINK("https://jobright.ai/jobs/info/6696c655608c0f2cd661e535?utm_campaign=1065&amp;utm_source=sheet", "Apply")</f>
        <v>Apply</v>
      </c>
      <c r="C608" s="10" t="s">
        <v>14164</v>
      </c>
      <c r="D608" s="56" t="s">
        <v>14165</v>
      </c>
      <c r="E608" s="10" t="s">
        <v>137</v>
      </c>
      <c r="F608" s="10" t="s">
        <v>395</v>
      </c>
      <c r="G608" s="10" t="s">
        <v>12654</v>
      </c>
      <c r="H608" s="10" t="s">
        <v>918</v>
      </c>
      <c r="I608" s="10" t="s">
        <v>48</v>
      </c>
      <c r="K608" s="10" t="s">
        <v>14166</v>
      </c>
      <c r="L608" s="10" t="s">
        <v>42</v>
      </c>
    </row>
    <row r="609" ht="15.75" customHeight="1">
      <c r="A609" s="64">
        <v>45489.0</v>
      </c>
      <c r="B609" s="55" t="str">
        <f>HYPERLINK("https://jobright.ai/jobs/info/6696cadc9062f6e9133d191b?utm_campaign=1065&amp;utm_source=sheet", "Apply")</f>
        <v>Apply</v>
      </c>
      <c r="C609" s="10" t="s">
        <v>13338</v>
      </c>
      <c r="D609" s="56" t="s">
        <v>14167</v>
      </c>
      <c r="E609" s="10">
        <v>17.0</v>
      </c>
      <c r="G609" s="10" t="s">
        <v>12654</v>
      </c>
      <c r="H609" s="10" t="s">
        <v>860</v>
      </c>
      <c r="I609" s="10" t="s">
        <v>55</v>
      </c>
      <c r="K609" s="10" t="s">
        <v>14168</v>
      </c>
      <c r="L609" s="10" t="s">
        <v>42</v>
      </c>
    </row>
    <row r="610" ht="15.75" customHeight="1">
      <c r="A610" s="64">
        <v>45489.0</v>
      </c>
      <c r="B610" s="55" t="str">
        <f>HYPERLINK("https://jobright.ai/jobs/info/6697358f55f25cd12fe919d2?utm_campaign=1065&amp;utm_source=sheet", "Apply")</f>
        <v>Apply</v>
      </c>
      <c r="C610" s="10" t="s">
        <v>12728</v>
      </c>
      <c r="D610" s="56" t="s">
        <v>14169</v>
      </c>
      <c r="E610" s="10" t="s">
        <v>137</v>
      </c>
      <c r="F610" s="10" t="s">
        <v>14170</v>
      </c>
      <c r="G610" s="10" t="s">
        <v>12630</v>
      </c>
      <c r="H610" s="10" t="s">
        <v>898</v>
      </c>
      <c r="I610" s="10" t="s">
        <v>55</v>
      </c>
      <c r="K610" s="10" t="s">
        <v>14171</v>
      </c>
      <c r="L610" s="10" t="s">
        <v>42</v>
      </c>
    </row>
    <row r="611" ht="15.75" customHeight="1">
      <c r="A611" s="64">
        <v>45489.0</v>
      </c>
      <c r="B611" s="55" t="str">
        <f>HYPERLINK("https://jobright.ai/jobs/info/6696b0156ff37b6a8706e811?utm_campaign=1065&amp;utm_source=sheet", "Apply")</f>
        <v>Apply</v>
      </c>
      <c r="C611" s="10" t="s">
        <v>14172</v>
      </c>
      <c r="D611" s="56" t="s">
        <v>14173</v>
      </c>
      <c r="E611" s="10" t="s">
        <v>137</v>
      </c>
      <c r="F611" s="10" t="s">
        <v>11832</v>
      </c>
      <c r="G611" s="10" t="s">
        <v>12654</v>
      </c>
      <c r="H611" s="10" t="s">
        <v>146</v>
      </c>
      <c r="I611" s="10" t="s">
        <v>48</v>
      </c>
      <c r="K611" s="10" t="s">
        <v>14174</v>
      </c>
      <c r="L611" s="10" t="s">
        <v>42</v>
      </c>
    </row>
    <row r="612" ht="15.75" customHeight="1">
      <c r="A612" s="64">
        <v>45489.0</v>
      </c>
      <c r="B612" s="55" t="str">
        <f>HYPERLINK("https://jobright.ai/jobs/info/6696b0266ff37b6a8706e900?utm_campaign=1065&amp;utm_source=sheet", "Apply")</f>
        <v>Apply</v>
      </c>
      <c r="C612" s="10" t="s">
        <v>14175</v>
      </c>
      <c r="D612" s="56" t="s">
        <v>14176</v>
      </c>
      <c r="E612" s="10" t="s">
        <v>137</v>
      </c>
      <c r="F612" s="10" t="s">
        <v>14177</v>
      </c>
      <c r="G612" s="10" t="s">
        <v>12630</v>
      </c>
      <c r="H612" s="10" t="s">
        <v>952</v>
      </c>
      <c r="I612" s="10" t="s">
        <v>55</v>
      </c>
      <c r="J612" s="10" t="s">
        <v>1409</v>
      </c>
      <c r="K612" s="10" t="s">
        <v>14178</v>
      </c>
      <c r="L612" s="10" t="s">
        <v>42</v>
      </c>
    </row>
    <row r="613" ht="15.75" customHeight="1">
      <c r="A613" s="64">
        <v>45489.0</v>
      </c>
      <c r="B613" s="55" t="str">
        <f>HYPERLINK("https://jobright.ai/jobs/info/6696ace566ed8171d8060f57?utm_campaign=1065&amp;utm_source=sheet", "Apply")</f>
        <v>Apply</v>
      </c>
      <c r="C613" s="10" t="s">
        <v>14179</v>
      </c>
      <c r="D613" s="56" t="s">
        <v>9874</v>
      </c>
      <c r="E613" s="10" t="s">
        <v>209</v>
      </c>
      <c r="F613" s="10" t="s">
        <v>1427</v>
      </c>
      <c r="G613" s="10" t="s">
        <v>12654</v>
      </c>
      <c r="H613" s="10" t="s">
        <v>952</v>
      </c>
      <c r="I613" s="10" t="s">
        <v>55</v>
      </c>
      <c r="J613" s="10" t="s">
        <v>9875</v>
      </c>
      <c r="K613" s="10" t="s">
        <v>14180</v>
      </c>
      <c r="L613" s="10" t="s">
        <v>42</v>
      </c>
    </row>
    <row r="614" ht="15.75" customHeight="1">
      <c r="A614" s="64">
        <v>45489.0</v>
      </c>
      <c r="B614" s="55" t="str">
        <f>HYPERLINK("https://jobright.ai/jobs/info/66969d7b7088fa19cac8c4f4?utm_campaign=1065&amp;utm_source=sheet", "Apply")</f>
        <v>Apply</v>
      </c>
      <c r="C614" s="10" t="s">
        <v>14181</v>
      </c>
      <c r="D614" s="56" t="s">
        <v>14182</v>
      </c>
      <c r="E614" s="10" t="s">
        <v>45</v>
      </c>
      <c r="F614" s="10" t="s">
        <v>14117</v>
      </c>
      <c r="G614" s="10" t="s">
        <v>12654</v>
      </c>
      <c r="H614" s="10" t="s">
        <v>6550</v>
      </c>
      <c r="I614" s="10" t="s">
        <v>48</v>
      </c>
      <c r="K614" s="10" t="s">
        <v>14183</v>
      </c>
      <c r="L614" s="10" t="s">
        <v>42</v>
      </c>
    </row>
    <row r="615" ht="15.75" customHeight="1">
      <c r="A615" s="64">
        <v>45489.0</v>
      </c>
      <c r="B615" s="55" t="str">
        <f>HYPERLINK("https://jobright.ai/jobs/info/66969a796df5fce96b1b698d?utm_campaign=1065&amp;utm_source=sheet", "Apply")</f>
        <v>Apply</v>
      </c>
      <c r="C615" s="10" t="s">
        <v>12965</v>
      </c>
      <c r="D615" s="56" t="s">
        <v>14184</v>
      </c>
      <c r="E615" s="10" t="s">
        <v>276</v>
      </c>
      <c r="F615" s="10" t="s">
        <v>7572</v>
      </c>
      <c r="G615" s="10" t="s">
        <v>12630</v>
      </c>
      <c r="H615" s="10" t="s">
        <v>1057</v>
      </c>
      <c r="I615" s="10" t="s">
        <v>55</v>
      </c>
      <c r="K615" s="10" t="s">
        <v>14185</v>
      </c>
      <c r="L615" s="10" t="s">
        <v>42</v>
      </c>
    </row>
    <row r="616" ht="15.75" customHeight="1">
      <c r="A616" s="64">
        <v>45489.0</v>
      </c>
      <c r="B616" s="55" t="str">
        <f>HYPERLINK("https://jobright.ai/jobs/info/6696835c05c27a1676102ceb?utm_campaign=1065&amp;utm_source=sheet", "Apply")</f>
        <v>Apply</v>
      </c>
      <c r="C616" s="10" t="s">
        <v>12965</v>
      </c>
      <c r="D616" s="56" t="s">
        <v>626</v>
      </c>
      <c r="E616" s="59">
        <v>45301.0</v>
      </c>
      <c r="F616" s="10" t="s">
        <v>627</v>
      </c>
      <c r="G616" s="10" t="s">
        <v>12630</v>
      </c>
      <c r="H616" s="10" t="s">
        <v>628</v>
      </c>
      <c r="I616" s="10" t="s">
        <v>55</v>
      </c>
      <c r="K616" s="10" t="s">
        <v>14186</v>
      </c>
      <c r="L616" s="10" t="s">
        <v>42</v>
      </c>
    </row>
    <row r="617" ht="15.75" customHeight="1">
      <c r="A617" s="64">
        <v>45489.0</v>
      </c>
      <c r="B617" s="55" t="str">
        <f>HYPERLINK("https://jobright.ai/jobs/info/669672180f1c066eb9bb532f?utm_campaign=1065&amp;utm_source=sheet", "Apply")</f>
        <v>Apply</v>
      </c>
      <c r="C617" s="10" t="s">
        <v>12650</v>
      </c>
      <c r="D617" s="56" t="s">
        <v>14187</v>
      </c>
      <c r="E617" s="10" t="s">
        <v>137</v>
      </c>
      <c r="F617" s="10" t="s">
        <v>1415</v>
      </c>
      <c r="G617" s="10" t="s">
        <v>12635</v>
      </c>
      <c r="H617" s="10" t="s">
        <v>14188</v>
      </c>
      <c r="I617" s="10" t="s">
        <v>55</v>
      </c>
      <c r="K617" s="10" t="s">
        <v>14189</v>
      </c>
      <c r="L617" s="10" t="s">
        <v>42</v>
      </c>
    </row>
    <row r="618" ht="15.75" customHeight="1">
      <c r="A618" s="64">
        <v>45489.0</v>
      </c>
      <c r="B618" s="55" t="str">
        <f>HYPERLINK("https://jobright.ai/jobs/info/6699089585d3eb5179cd7401?utm_campaign=1065&amp;utm_source=sheet", "Apply")</f>
        <v>Apply</v>
      </c>
      <c r="C618" s="10" t="s">
        <v>14190</v>
      </c>
      <c r="D618" s="56" t="s">
        <v>7959</v>
      </c>
      <c r="E618" s="10">
        <v>175.0</v>
      </c>
      <c r="G618" s="10" t="s">
        <v>12630</v>
      </c>
      <c r="H618" s="10" t="s">
        <v>14191</v>
      </c>
      <c r="I618" s="10" t="s">
        <v>55</v>
      </c>
      <c r="J618" s="10" t="s">
        <v>7769</v>
      </c>
      <c r="K618" s="10" t="s">
        <v>14192</v>
      </c>
      <c r="L618" s="10" t="s">
        <v>42</v>
      </c>
    </row>
    <row r="619" ht="15.75" customHeight="1">
      <c r="A619" s="64">
        <v>45489.0</v>
      </c>
      <c r="B619" s="55" t="str">
        <f>HYPERLINK("https://jobright.ai/jobs/info/6697ad9b1c55d63f4b198e60?utm_campaign=1065&amp;utm_source=sheet", "Apply")</f>
        <v>Apply</v>
      </c>
      <c r="C619" s="10" t="s">
        <v>14193</v>
      </c>
      <c r="D619" s="56" t="s">
        <v>14041</v>
      </c>
      <c r="E619" s="10" t="s">
        <v>249</v>
      </c>
      <c r="F619" s="10" t="s">
        <v>14042</v>
      </c>
      <c r="G619" s="10" t="s">
        <v>12654</v>
      </c>
      <c r="H619" s="10" t="s">
        <v>1036</v>
      </c>
      <c r="I619" s="10" t="s">
        <v>55</v>
      </c>
      <c r="K619" s="10" t="s">
        <v>14194</v>
      </c>
      <c r="L619" s="10" t="s">
        <v>42</v>
      </c>
    </row>
    <row r="620" ht="15.75" customHeight="1">
      <c r="A620" s="64">
        <v>45489.0</v>
      </c>
      <c r="B620" s="55" t="str">
        <f>HYPERLINK("https://jobright.ai/jobs/info/668d6e8522aefc489b077e1e?utm_campaign=1065&amp;utm_source=sheet", "Apply")</f>
        <v>Apply</v>
      </c>
      <c r="C620" s="10" t="s">
        <v>14195</v>
      </c>
      <c r="D620" s="56" t="s">
        <v>14196</v>
      </c>
      <c r="E620" s="10" t="s">
        <v>45</v>
      </c>
      <c r="F620" s="10" t="s">
        <v>14197</v>
      </c>
      <c r="G620" s="10" t="s">
        <v>12693</v>
      </c>
      <c r="H620" s="10" t="s">
        <v>153</v>
      </c>
      <c r="I620" s="10" t="s">
        <v>48</v>
      </c>
      <c r="K620" s="10" t="s">
        <v>14198</v>
      </c>
      <c r="L620" s="10" t="s">
        <v>42</v>
      </c>
    </row>
    <row r="621" ht="15.75" customHeight="1">
      <c r="A621" s="64">
        <v>45489.0</v>
      </c>
      <c r="B621" s="55" t="str">
        <f>HYPERLINK("https://jobright.ai/jobs/info/6679ade00876913fed304d22?utm_campaign=1065&amp;utm_source=sheet", "Apply")</f>
        <v>Apply</v>
      </c>
      <c r="C621" s="10" t="s">
        <v>12958</v>
      </c>
      <c r="D621" s="56" t="s">
        <v>14199</v>
      </c>
      <c r="E621" s="10" t="s">
        <v>65</v>
      </c>
      <c r="F621" s="10" t="s">
        <v>14200</v>
      </c>
      <c r="G621" s="10" t="s">
        <v>12654</v>
      </c>
      <c r="H621" s="10" t="s">
        <v>674</v>
      </c>
      <c r="I621" s="10" t="s">
        <v>55</v>
      </c>
      <c r="K621" s="10" t="s">
        <v>14201</v>
      </c>
      <c r="L621" s="10" t="s">
        <v>42</v>
      </c>
    </row>
    <row r="622" ht="15.75" customHeight="1">
      <c r="A622" s="64">
        <v>45489.0</v>
      </c>
      <c r="B622" s="55" t="str">
        <f>HYPERLINK("https://jobright.ai/jobs/info/667a20769cb00e489c8f5026?utm_campaign=1065&amp;utm_source=sheet", "Apply")</f>
        <v>Apply</v>
      </c>
      <c r="C622" s="10" t="s">
        <v>14202</v>
      </c>
      <c r="D622" s="56" t="s">
        <v>14203</v>
      </c>
      <c r="E622" s="10">
        <v>1235.0</v>
      </c>
      <c r="G622" s="10" t="s">
        <v>12654</v>
      </c>
      <c r="H622" s="10" t="s">
        <v>505</v>
      </c>
      <c r="I622" s="10" t="s">
        <v>55</v>
      </c>
      <c r="K622" s="10" t="s">
        <v>14204</v>
      </c>
      <c r="L622" s="10" t="s">
        <v>42</v>
      </c>
    </row>
    <row r="623" ht="15.75" customHeight="1">
      <c r="A623" s="64">
        <v>45489.0</v>
      </c>
      <c r="B623" s="55" t="str">
        <f>HYPERLINK("https://jobright.ai/jobs/info/6698b3f140809dc571c7fead?utm_campaign=1065&amp;utm_source=sheet", "Apply")</f>
        <v>Apply</v>
      </c>
      <c r="C623" s="10" t="s">
        <v>14205</v>
      </c>
      <c r="D623" s="56" t="s">
        <v>13273</v>
      </c>
      <c r="E623" s="10" t="s">
        <v>45</v>
      </c>
      <c r="F623" s="10" t="s">
        <v>13274</v>
      </c>
      <c r="G623" s="10" t="s">
        <v>12635</v>
      </c>
      <c r="H623" s="10" t="s">
        <v>14206</v>
      </c>
      <c r="I623" s="10" t="s">
        <v>55</v>
      </c>
      <c r="K623" s="10" t="s">
        <v>14207</v>
      </c>
      <c r="L623" s="10" t="s">
        <v>42</v>
      </c>
    </row>
    <row r="624" ht="15.75" customHeight="1">
      <c r="A624" s="64">
        <v>45489.0</v>
      </c>
      <c r="B624" s="55" t="str">
        <f>HYPERLINK("https://jobright.ai/jobs/info/669612f77f3e9b148578fc76?utm_campaign=1065&amp;utm_source=sheet", "Apply")</f>
        <v>Apply</v>
      </c>
      <c r="C624" s="10" t="s">
        <v>14208</v>
      </c>
      <c r="D624" s="56" t="s">
        <v>14209</v>
      </c>
      <c r="E624" s="10" t="s">
        <v>137</v>
      </c>
      <c r="F624" s="10" t="s">
        <v>1243</v>
      </c>
      <c r="G624" s="10" t="s">
        <v>12654</v>
      </c>
      <c r="H624" s="10" t="s">
        <v>937</v>
      </c>
      <c r="I624" s="10" t="s">
        <v>48</v>
      </c>
      <c r="J624" s="10" t="s">
        <v>3125</v>
      </c>
      <c r="K624" s="10" t="s">
        <v>14210</v>
      </c>
      <c r="L624" s="10" t="s">
        <v>42</v>
      </c>
    </row>
    <row r="625" ht="15.75" customHeight="1">
      <c r="A625" s="64">
        <v>45489.0</v>
      </c>
      <c r="B625" s="55" t="str">
        <f>HYPERLINK("https://jobright.ai/jobs/info/66967aa233c0dda593f799c4?utm_campaign=1065&amp;utm_source=sheet", "Apply")</f>
        <v>Apply</v>
      </c>
      <c r="C625" s="10" t="s">
        <v>14211</v>
      </c>
      <c r="D625" s="56" t="s">
        <v>1178</v>
      </c>
      <c r="E625" s="10" t="s">
        <v>137</v>
      </c>
      <c r="F625" s="10" t="s">
        <v>1179</v>
      </c>
      <c r="G625" s="10" t="s">
        <v>12654</v>
      </c>
      <c r="H625" s="10" t="s">
        <v>1254</v>
      </c>
      <c r="I625" s="10" t="s">
        <v>55</v>
      </c>
      <c r="K625" s="10" t="s">
        <v>14212</v>
      </c>
      <c r="L625" s="10" t="s">
        <v>42</v>
      </c>
    </row>
    <row r="626" ht="15.75" customHeight="1">
      <c r="A626" s="64">
        <v>45489.0</v>
      </c>
      <c r="B626" s="55" t="str">
        <f>HYPERLINK("https://jobright.ai/jobs/info/6696061af1cb68b066388918?utm_campaign=1065&amp;utm_source=sheet", "Apply")</f>
        <v>Apply</v>
      </c>
      <c r="C626" s="10" t="s">
        <v>14213</v>
      </c>
      <c r="D626" s="56" t="s">
        <v>14214</v>
      </c>
      <c r="E626" s="10" t="s">
        <v>65</v>
      </c>
      <c r="F626" s="10" t="s">
        <v>14215</v>
      </c>
      <c r="G626" s="10" t="s">
        <v>12654</v>
      </c>
      <c r="H626" s="10" t="s">
        <v>788</v>
      </c>
      <c r="I626" s="10" t="s">
        <v>55</v>
      </c>
      <c r="J626" s="10" t="s">
        <v>3294</v>
      </c>
      <c r="K626" s="10" t="s">
        <v>14216</v>
      </c>
      <c r="L626" s="10" t="s">
        <v>42</v>
      </c>
    </row>
    <row r="627" ht="15.75" customHeight="1">
      <c r="A627" s="64">
        <v>45489.0</v>
      </c>
      <c r="B627" s="55" t="str">
        <f>HYPERLINK("https://jobright.ai/jobs/info/6697358f55f25cd12fe91a10?utm_campaign=1065&amp;utm_source=sheet", "Apply")</f>
        <v>Apply</v>
      </c>
      <c r="C627" s="10" t="s">
        <v>13624</v>
      </c>
      <c r="D627" s="56" t="s">
        <v>14217</v>
      </c>
      <c r="E627" s="10" t="s">
        <v>79</v>
      </c>
      <c r="F627" s="10" t="s">
        <v>14218</v>
      </c>
      <c r="G627" s="10" t="s">
        <v>12654</v>
      </c>
      <c r="H627" s="10" t="s">
        <v>3807</v>
      </c>
      <c r="I627" s="10" t="s">
        <v>55</v>
      </c>
      <c r="J627" s="10" t="s">
        <v>1409</v>
      </c>
      <c r="K627" s="10" t="s">
        <v>14219</v>
      </c>
      <c r="L627" s="10" t="s">
        <v>42</v>
      </c>
    </row>
    <row r="628" ht="15.75" customHeight="1">
      <c r="A628" s="64">
        <v>45489.0</v>
      </c>
      <c r="B628" s="55" t="str">
        <f>HYPERLINK("https://jobright.ai/jobs/info/6695e6f58d2977e4b2ac0d52?utm_campaign=1065&amp;utm_source=sheet", "Apply")</f>
        <v>Apply</v>
      </c>
      <c r="C628" s="10" t="s">
        <v>14220</v>
      </c>
      <c r="D628" s="56" t="s">
        <v>12738</v>
      </c>
      <c r="E628" s="10" t="s">
        <v>276</v>
      </c>
      <c r="F628" s="10" t="s">
        <v>1893</v>
      </c>
      <c r="G628" s="10" t="s">
        <v>12630</v>
      </c>
      <c r="H628" s="10" t="s">
        <v>278</v>
      </c>
      <c r="I628" s="10" t="s">
        <v>55</v>
      </c>
      <c r="J628" s="10" t="s">
        <v>1761</v>
      </c>
      <c r="K628" s="10" t="s">
        <v>14221</v>
      </c>
      <c r="L628" s="10" t="s">
        <v>42</v>
      </c>
    </row>
    <row r="629" ht="15.75" customHeight="1">
      <c r="A629" s="64">
        <v>45489.0</v>
      </c>
      <c r="B629" s="55" t="str">
        <f>HYPERLINK("https://jobright.ai/jobs/info/6695dbeea7853ebde0622faa?utm_campaign=1065&amp;utm_source=sheet", "Apply")</f>
        <v>Apply</v>
      </c>
      <c r="C629" s="10" t="s">
        <v>14222</v>
      </c>
      <c r="D629" s="56" t="s">
        <v>14223</v>
      </c>
      <c r="E629" s="10" t="s">
        <v>79</v>
      </c>
      <c r="F629" s="10" t="s">
        <v>14224</v>
      </c>
      <c r="G629" s="10" t="s">
        <v>12654</v>
      </c>
      <c r="H629" s="10" t="s">
        <v>165</v>
      </c>
      <c r="I629" s="10" t="s">
        <v>48</v>
      </c>
      <c r="K629" s="10" t="s">
        <v>14225</v>
      </c>
      <c r="L629" s="10" t="s">
        <v>42</v>
      </c>
    </row>
    <row r="630" ht="15.75" customHeight="1">
      <c r="A630" s="64">
        <v>45489.0</v>
      </c>
      <c r="B630" s="55" t="str">
        <f>HYPERLINK("https://jobright.ai/jobs/info/66955b091c130559cedb647e?utm_campaign=1065&amp;utm_source=sheet", "Apply")</f>
        <v>Apply</v>
      </c>
      <c r="C630" s="10" t="s">
        <v>14226</v>
      </c>
      <c r="D630" s="56" t="s">
        <v>14227</v>
      </c>
      <c r="E630" s="10">
        <v>11.0</v>
      </c>
      <c r="G630" s="10" t="s">
        <v>12654</v>
      </c>
      <c r="H630" s="10" t="s">
        <v>12786</v>
      </c>
      <c r="I630" s="10" t="s">
        <v>55</v>
      </c>
      <c r="J630" s="10" t="s">
        <v>14228</v>
      </c>
      <c r="K630" s="10" t="s">
        <v>14229</v>
      </c>
      <c r="L630" s="10" t="s">
        <v>42</v>
      </c>
    </row>
    <row r="631" ht="15.75" customHeight="1">
      <c r="A631" s="64">
        <v>45489.0</v>
      </c>
      <c r="B631" s="55" t="str">
        <f>HYPERLINK("https://jobright.ai/jobs/info/6695d6c23ef039e1ea032be8?utm_campaign=1065&amp;utm_source=sheet", "Apply")</f>
        <v>Apply</v>
      </c>
      <c r="C631" s="10" t="s">
        <v>14230</v>
      </c>
      <c r="D631" s="56" t="s">
        <v>14231</v>
      </c>
      <c r="E631" s="10">
        <v>5.0</v>
      </c>
      <c r="G631" s="10" t="s">
        <v>12630</v>
      </c>
      <c r="H631" s="10" t="s">
        <v>4292</v>
      </c>
      <c r="I631" s="10" t="s">
        <v>55</v>
      </c>
      <c r="K631" s="10" t="s">
        <v>14232</v>
      </c>
      <c r="L631" s="10" t="s">
        <v>42</v>
      </c>
    </row>
    <row r="632" ht="15.75" customHeight="1">
      <c r="A632" s="64">
        <v>45489.0</v>
      </c>
      <c r="B632" s="55" t="str">
        <f>HYPERLINK("https://jobright.ai/jobs/info/6697197018798443c42ae92b?utm_campaign=1065&amp;utm_source=sheet", "Apply")</f>
        <v>Apply</v>
      </c>
      <c r="C632" s="10" t="s">
        <v>14233</v>
      </c>
      <c r="D632" s="56" t="s">
        <v>14234</v>
      </c>
      <c r="E632" s="10" t="s">
        <v>276</v>
      </c>
      <c r="F632" s="10" t="s">
        <v>14235</v>
      </c>
      <c r="G632" s="10" t="s">
        <v>12654</v>
      </c>
      <c r="H632" s="10" t="s">
        <v>813</v>
      </c>
      <c r="I632" s="10" t="s">
        <v>55</v>
      </c>
      <c r="K632" s="10" t="s">
        <v>14236</v>
      </c>
      <c r="L632" s="10" t="s">
        <v>42</v>
      </c>
    </row>
    <row r="633" ht="15.75" customHeight="1">
      <c r="A633" s="64">
        <v>45489.0</v>
      </c>
      <c r="B633" s="55" t="str">
        <f>HYPERLINK("https://jobright.ai/jobs/info/6696a3b61816fd44c1797ff0?utm_campaign=1065&amp;utm_source=sheet", "Apply")</f>
        <v>Apply</v>
      </c>
      <c r="C633" s="10" t="s">
        <v>14237</v>
      </c>
      <c r="D633" s="56" t="s">
        <v>14238</v>
      </c>
      <c r="E633" s="10" t="s">
        <v>79</v>
      </c>
      <c r="F633" s="10" t="s">
        <v>14239</v>
      </c>
      <c r="G633" s="10" t="s">
        <v>12630</v>
      </c>
      <c r="H633" s="10" t="s">
        <v>1035</v>
      </c>
      <c r="I633" s="10" t="s">
        <v>55</v>
      </c>
      <c r="K633" s="10" t="s">
        <v>14240</v>
      </c>
      <c r="L633" s="10" t="s">
        <v>42</v>
      </c>
    </row>
    <row r="634" ht="15.75" customHeight="1">
      <c r="A634" s="64">
        <v>45489.0</v>
      </c>
      <c r="B634" s="55" t="str">
        <f>HYPERLINK("https://jobright.ai/jobs/info/6697197018798443c42ae93a?utm_campaign=1065&amp;utm_source=sheet", "Apply")</f>
        <v>Apply</v>
      </c>
      <c r="C634" s="10" t="s">
        <v>14241</v>
      </c>
      <c r="D634" s="56" t="s">
        <v>13553</v>
      </c>
      <c r="E634" s="10" t="s">
        <v>65</v>
      </c>
      <c r="F634" s="10" t="s">
        <v>12539</v>
      </c>
      <c r="G634" s="10" t="s">
        <v>12635</v>
      </c>
      <c r="H634" s="10" t="s">
        <v>1008</v>
      </c>
      <c r="I634" s="10" t="s">
        <v>55</v>
      </c>
      <c r="K634" s="10" t="s">
        <v>14242</v>
      </c>
      <c r="L634" s="10" t="s">
        <v>42</v>
      </c>
    </row>
    <row r="635" ht="15.75" customHeight="1">
      <c r="A635" s="64">
        <v>45488.0</v>
      </c>
      <c r="B635" s="55" t="str">
        <f>HYPERLINK("https://jobright.ai/jobs/info/668fca4c144e48d2af2c4cba?utm_campaign=1065&amp;utm_source=sheet", "Apply")</f>
        <v>Apply</v>
      </c>
      <c r="C635" s="10" t="s">
        <v>13311</v>
      </c>
      <c r="D635" s="56" t="s">
        <v>13312</v>
      </c>
      <c r="E635" s="10" t="s">
        <v>79</v>
      </c>
      <c r="F635" s="10" t="s">
        <v>13313</v>
      </c>
      <c r="G635" s="10" t="s">
        <v>12635</v>
      </c>
      <c r="H635" s="10" t="s">
        <v>131</v>
      </c>
      <c r="I635" s="10" t="s">
        <v>48</v>
      </c>
      <c r="K635" s="10" t="s">
        <v>13314</v>
      </c>
      <c r="L635" s="10" t="s">
        <v>42</v>
      </c>
    </row>
    <row r="636" ht="15.75" customHeight="1">
      <c r="A636" s="64">
        <v>45488.0</v>
      </c>
      <c r="B636" s="55" t="str">
        <f>HYPERLINK("https://jobright.ai/jobs/info/6695bab2fedb4d01c908c837?utm_campaign=1065&amp;utm_source=sheet", "Apply")</f>
        <v>Apply</v>
      </c>
      <c r="C636" s="10" t="s">
        <v>14243</v>
      </c>
      <c r="D636" s="56" t="s">
        <v>14244</v>
      </c>
      <c r="E636" s="10" t="s">
        <v>45</v>
      </c>
      <c r="F636" s="10" t="s">
        <v>6432</v>
      </c>
      <c r="G636" s="10" t="s">
        <v>12635</v>
      </c>
      <c r="H636" s="10" t="s">
        <v>914</v>
      </c>
      <c r="I636" s="10" t="s">
        <v>55</v>
      </c>
      <c r="J636" s="10" t="s">
        <v>14245</v>
      </c>
      <c r="K636" s="10" t="s">
        <v>14246</v>
      </c>
      <c r="L636" s="10" t="s">
        <v>42</v>
      </c>
    </row>
    <row r="637" ht="15.75" customHeight="1">
      <c r="A637" s="64">
        <v>45488.0</v>
      </c>
      <c r="B637" s="55" t="str">
        <f>HYPERLINK("https://jobright.ai/jobs/info/6695bab2fedb4d01c908c840?utm_campaign=1065&amp;utm_source=sheet", "Apply")</f>
        <v>Apply</v>
      </c>
      <c r="C637" s="10" t="s">
        <v>14247</v>
      </c>
      <c r="D637" s="56" t="s">
        <v>14244</v>
      </c>
      <c r="E637" s="10" t="s">
        <v>45</v>
      </c>
      <c r="F637" s="10" t="s">
        <v>6432</v>
      </c>
      <c r="G637" s="10" t="s">
        <v>12654</v>
      </c>
      <c r="H637" s="10" t="s">
        <v>1007</v>
      </c>
      <c r="I637" s="10" t="s">
        <v>55</v>
      </c>
      <c r="J637" s="10" t="s">
        <v>2609</v>
      </c>
      <c r="K637" s="10" t="s">
        <v>13915</v>
      </c>
      <c r="L637" s="10" t="s">
        <v>42</v>
      </c>
    </row>
    <row r="638" ht="15.75" customHeight="1">
      <c r="A638" s="64">
        <v>45488.0</v>
      </c>
      <c r="B638" s="55" t="str">
        <f>HYPERLINK("https://jobright.ai/jobs/info/6695bb4bb961df374871a311?utm_campaign=1065&amp;utm_source=sheet", "Apply")</f>
        <v>Apply</v>
      </c>
      <c r="C638" s="10" t="s">
        <v>14243</v>
      </c>
      <c r="D638" s="56" t="s">
        <v>14248</v>
      </c>
      <c r="E638" s="10" t="s">
        <v>276</v>
      </c>
      <c r="F638" s="10" t="s">
        <v>14249</v>
      </c>
      <c r="G638" s="10" t="s">
        <v>12635</v>
      </c>
      <c r="H638" s="10" t="s">
        <v>914</v>
      </c>
      <c r="I638" s="10" t="s">
        <v>55</v>
      </c>
      <c r="J638" s="10" t="s">
        <v>14245</v>
      </c>
      <c r="K638" s="10" t="s">
        <v>14246</v>
      </c>
      <c r="L638" s="10" t="s">
        <v>42</v>
      </c>
    </row>
    <row r="639" ht="15.75" customHeight="1">
      <c r="A639" s="64">
        <v>45488.0</v>
      </c>
      <c r="B639" s="55" t="str">
        <f>HYPERLINK("https://jobright.ai/jobs/info/6695ad54558c6522864834f9?utm_campaign=1065&amp;utm_source=sheet", "Apply")</f>
        <v>Apply</v>
      </c>
      <c r="C639" s="10" t="s">
        <v>14250</v>
      </c>
      <c r="D639" s="58" t="s">
        <v>1572</v>
      </c>
      <c r="E639" s="10" t="s">
        <v>249</v>
      </c>
      <c r="F639" s="10" t="s">
        <v>1573</v>
      </c>
      <c r="G639" s="10" t="s">
        <v>12654</v>
      </c>
      <c r="H639" s="10" t="s">
        <v>106</v>
      </c>
      <c r="I639" s="10" t="s">
        <v>48</v>
      </c>
      <c r="K639" s="10" t="s">
        <v>14251</v>
      </c>
      <c r="L639" s="10" t="s">
        <v>42</v>
      </c>
    </row>
    <row r="640" ht="15.75" customHeight="1">
      <c r="A640" s="64">
        <v>45488.0</v>
      </c>
      <c r="B640" s="55" t="str">
        <f>HYPERLINK("https://jobright.ai/jobs/info/6695ee14f4e419a401eaafda?utm_campaign=1065&amp;utm_source=sheet", "Apply")</f>
        <v>Apply</v>
      </c>
      <c r="C640" s="10" t="s">
        <v>14247</v>
      </c>
      <c r="D640" s="56" t="s">
        <v>14248</v>
      </c>
      <c r="E640" s="10" t="s">
        <v>276</v>
      </c>
      <c r="F640" s="10" t="s">
        <v>14249</v>
      </c>
      <c r="G640" s="10" t="s">
        <v>12654</v>
      </c>
      <c r="H640" s="10" t="s">
        <v>1007</v>
      </c>
      <c r="I640" s="10" t="s">
        <v>55</v>
      </c>
      <c r="J640" s="10" t="s">
        <v>2609</v>
      </c>
      <c r="K640" s="10" t="s">
        <v>13915</v>
      </c>
      <c r="L640" s="10" t="s">
        <v>42</v>
      </c>
    </row>
    <row r="641" ht="15.75" customHeight="1">
      <c r="A641" s="64">
        <v>45488.0</v>
      </c>
      <c r="B641" s="55" t="str">
        <f>HYPERLINK("https://jobright.ai/jobs/info/6695b7a6579b62b286309f2a?utm_campaign=1065&amp;utm_source=sheet", "Apply")</f>
        <v>Apply</v>
      </c>
      <c r="C641" s="10" t="s">
        <v>12650</v>
      </c>
      <c r="D641" s="56" t="s">
        <v>10002</v>
      </c>
      <c r="E641" s="10" t="s">
        <v>276</v>
      </c>
      <c r="F641" s="10" t="s">
        <v>10003</v>
      </c>
      <c r="G641" s="10" t="s">
        <v>12635</v>
      </c>
      <c r="H641" s="10" t="s">
        <v>131</v>
      </c>
      <c r="I641" s="10" t="s">
        <v>55</v>
      </c>
      <c r="K641" s="10" t="s">
        <v>14252</v>
      </c>
      <c r="L641" s="10" t="s">
        <v>42</v>
      </c>
    </row>
    <row r="642" ht="15.75" customHeight="1">
      <c r="A642" s="64">
        <v>45488.0</v>
      </c>
      <c r="B642" s="55" t="str">
        <f>HYPERLINK("https://jobright.ai/jobs/info/6695af6c2df2ab0e7200eca6?utm_campaign=1065&amp;utm_source=sheet", "Apply")</f>
        <v>Apply</v>
      </c>
      <c r="C642" s="10" t="s">
        <v>14253</v>
      </c>
      <c r="D642" s="56" t="s">
        <v>14254</v>
      </c>
      <c r="E642" s="10" t="s">
        <v>65</v>
      </c>
      <c r="F642" s="10" t="s">
        <v>635</v>
      </c>
      <c r="G642" s="10" t="s">
        <v>12635</v>
      </c>
      <c r="H642" s="10" t="s">
        <v>255</v>
      </c>
      <c r="I642" s="10" t="s">
        <v>48</v>
      </c>
      <c r="K642" s="10" t="s">
        <v>14255</v>
      </c>
      <c r="L642" s="10" t="s">
        <v>42</v>
      </c>
    </row>
    <row r="643" ht="15.75" customHeight="1">
      <c r="A643" s="64">
        <v>45488.0</v>
      </c>
      <c r="B643" s="55" t="str">
        <f>HYPERLINK("https://jobright.ai/jobs/info/6695a895b94864b5c6b18ad1?utm_campaign=1065&amp;utm_source=sheet", "Apply")</f>
        <v>Apply</v>
      </c>
      <c r="C643" s="10" t="s">
        <v>14253</v>
      </c>
      <c r="D643" s="56" t="s">
        <v>14254</v>
      </c>
      <c r="E643" s="10" t="s">
        <v>65</v>
      </c>
      <c r="F643" s="10" t="s">
        <v>635</v>
      </c>
      <c r="G643" s="10" t="s">
        <v>12635</v>
      </c>
      <c r="H643" s="10" t="s">
        <v>636</v>
      </c>
      <c r="I643" s="10" t="s">
        <v>48</v>
      </c>
      <c r="K643" s="10" t="s">
        <v>14255</v>
      </c>
      <c r="L643" s="10" t="s">
        <v>42</v>
      </c>
    </row>
    <row r="644" ht="15.75" customHeight="1">
      <c r="A644" s="64">
        <v>45488.0</v>
      </c>
      <c r="B644" s="55" t="str">
        <f>HYPERLINK("https://jobright.ai/jobs/info/6695b2a58ab1c2f1e1d3adb3?utm_campaign=1065&amp;utm_source=sheet", "Apply")</f>
        <v>Apply</v>
      </c>
      <c r="C644" s="10" t="s">
        <v>14256</v>
      </c>
      <c r="D644" s="56" t="s">
        <v>3832</v>
      </c>
      <c r="E644" s="10" t="s">
        <v>65</v>
      </c>
      <c r="F644" s="10" t="s">
        <v>660</v>
      </c>
      <c r="G644" s="10" t="s">
        <v>12645</v>
      </c>
      <c r="H644" s="10" t="s">
        <v>113</v>
      </c>
      <c r="I644" s="10" t="s">
        <v>48</v>
      </c>
      <c r="J644" s="10" t="s">
        <v>4790</v>
      </c>
      <c r="K644" s="10" t="s">
        <v>14257</v>
      </c>
      <c r="L644" s="10" t="s">
        <v>42</v>
      </c>
    </row>
    <row r="645" ht="15.75" customHeight="1">
      <c r="A645" s="64">
        <v>45488.0</v>
      </c>
      <c r="B645" s="55" t="str">
        <f>HYPERLINK("https://jobright.ai/jobs/info/6695a8d72579c28f575c66fc?utm_campaign=1065&amp;utm_source=sheet", "Apply")</f>
        <v>Apply</v>
      </c>
      <c r="C645" s="10" t="s">
        <v>14256</v>
      </c>
      <c r="D645" s="56" t="s">
        <v>3832</v>
      </c>
      <c r="E645" s="10" t="s">
        <v>65</v>
      </c>
      <c r="F645" s="10" t="s">
        <v>660</v>
      </c>
      <c r="G645" s="10" t="s">
        <v>12645</v>
      </c>
      <c r="H645" s="10" t="s">
        <v>131</v>
      </c>
      <c r="I645" s="10" t="s">
        <v>48</v>
      </c>
      <c r="J645" s="10" t="s">
        <v>4790</v>
      </c>
      <c r="K645" s="10" t="s">
        <v>14257</v>
      </c>
      <c r="L645" s="10" t="s">
        <v>42</v>
      </c>
    </row>
    <row r="646" ht="15.75" customHeight="1">
      <c r="A646" s="64">
        <v>45488.0</v>
      </c>
      <c r="B646" s="55" t="str">
        <f>HYPERLINK("https://jobright.ai/jobs/info/6695ac02397ff80321d57f94?utm_campaign=1065&amp;utm_source=sheet", "Apply")</f>
        <v>Apply</v>
      </c>
      <c r="C646" s="10" t="s">
        <v>14258</v>
      </c>
      <c r="D646" s="56" t="s">
        <v>14259</v>
      </c>
      <c r="E646" s="10" t="s">
        <v>65</v>
      </c>
      <c r="F646" s="10" t="s">
        <v>14260</v>
      </c>
      <c r="G646" s="10" t="s">
        <v>12635</v>
      </c>
      <c r="H646" s="10" t="s">
        <v>14261</v>
      </c>
      <c r="I646" s="10" t="s">
        <v>55</v>
      </c>
      <c r="K646" s="10" t="s">
        <v>14262</v>
      </c>
      <c r="L646" s="10" t="s">
        <v>42</v>
      </c>
    </row>
    <row r="647" ht="15.75" customHeight="1">
      <c r="A647" s="64">
        <v>45488.0</v>
      </c>
      <c r="B647" s="55" t="str">
        <f>HYPERLINK("https://jobright.ai/jobs/info/6695ac02397ff80321d57fde?utm_campaign=1065&amp;utm_source=sheet", "Apply")</f>
        <v>Apply</v>
      </c>
      <c r="C647" s="10" t="s">
        <v>14263</v>
      </c>
      <c r="D647" s="56" t="s">
        <v>14264</v>
      </c>
      <c r="E647" s="10" t="s">
        <v>209</v>
      </c>
      <c r="F647" s="10" t="s">
        <v>14265</v>
      </c>
      <c r="G647" s="10" t="s">
        <v>12630</v>
      </c>
      <c r="H647" s="10" t="s">
        <v>4362</v>
      </c>
      <c r="I647" s="10" t="s">
        <v>48</v>
      </c>
      <c r="K647" s="10" t="s">
        <v>14266</v>
      </c>
      <c r="L647" s="10" t="s">
        <v>42</v>
      </c>
    </row>
    <row r="648" ht="15.75" customHeight="1">
      <c r="A648" s="64">
        <v>45488.0</v>
      </c>
      <c r="B648" s="55" t="str">
        <f>HYPERLINK("https://jobright.ai/jobs/info/6695ad68558c6522864836f6?utm_campaign=1065&amp;utm_source=sheet", "Apply")</f>
        <v>Apply</v>
      </c>
      <c r="C648" s="10" t="s">
        <v>12904</v>
      </c>
      <c r="D648" s="56" t="s">
        <v>14267</v>
      </c>
      <c r="E648" s="10" t="s">
        <v>276</v>
      </c>
      <c r="F648" s="10" t="s">
        <v>14268</v>
      </c>
      <c r="G648" s="10" t="s">
        <v>12654</v>
      </c>
      <c r="H648" s="10" t="s">
        <v>2222</v>
      </c>
      <c r="I648" s="10" t="s">
        <v>55</v>
      </c>
      <c r="J648" s="10" t="s">
        <v>1960</v>
      </c>
      <c r="K648" s="10" t="s">
        <v>14269</v>
      </c>
      <c r="L648" s="10" t="s">
        <v>42</v>
      </c>
    </row>
    <row r="649" ht="15.75" customHeight="1">
      <c r="A649" s="64">
        <v>45488.0</v>
      </c>
      <c r="B649" s="55" t="str">
        <f>HYPERLINK("https://jobright.ai/jobs/info/66959b86a70b2fb207aed7b3?utm_campaign=1065&amp;utm_source=sheet", "Apply")</f>
        <v>Apply</v>
      </c>
      <c r="C649" s="10" t="s">
        <v>14270</v>
      </c>
      <c r="D649" s="56" t="s">
        <v>673</v>
      </c>
      <c r="E649" s="10" t="s">
        <v>65</v>
      </c>
      <c r="F649" s="10" t="s">
        <v>100</v>
      </c>
      <c r="G649" s="10" t="s">
        <v>12645</v>
      </c>
      <c r="H649" s="10" t="s">
        <v>794</v>
      </c>
      <c r="I649" s="10" t="s">
        <v>55</v>
      </c>
      <c r="J649" s="10" t="s">
        <v>8269</v>
      </c>
      <c r="K649" s="10" t="s">
        <v>14271</v>
      </c>
      <c r="L649" s="10" t="s">
        <v>42</v>
      </c>
    </row>
    <row r="650" ht="15.75" customHeight="1">
      <c r="A650" s="64">
        <v>45488.0</v>
      </c>
      <c r="B650" s="55" t="str">
        <f>HYPERLINK("https://jobright.ai/jobs/info/66959b8fa70b2fb207aed87b?utm_campaign=1065&amp;utm_source=sheet", "Apply")</f>
        <v>Apply</v>
      </c>
      <c r="C650" s="10" t="s">
        <v>14272</v>
      </c>
      <c r="D650" s="56" t="s">
        <v>1576</v>
      </c>
      <c r="E650" s="10" t="s">
        <v>45</v>
      </c>
      <c r="F650" s="10" t="s">
        <v>1577</v>
      </c>
      <c r="G650" s="10" t="s">
        <v>12635</v>
      </c>
      <c r="H650" s="10" t="s">
        <v>5622</v>
      </c>
      <c r="I650" s="10" t="s">
        <v>55</v>
      </c>
      <c r="J650" s="10" t="s">
        <v>1579</v>
      </c>
      <c r="K650" s="10" t="s">
        <v>14273</v>
      </c>
      <c r="L650" s="10" t="s">
        <v>42</v>
      </c>
    </row>
    <row r="651" ht="15.75" customHeight="1">
      <c r="A651" s="64">
        <v>45488.0</v>
      </c>
      <c r="B651" s="55" t="str">
        <f>HYPERLINK("https://jobright.ai/jobs/info/6695a0e8c508bc0fadf565f4?utm_campaign=1065&amp;utm_source=sheet", "Apply")</f>
        <v>Apply</v>
      </c>
      <c r="C651" s="10" t="s">
        <v>14274</v>
      </c>
      <c r="D651" s="56" t="s">
        <v>14275</v>
      </c>
      <c r="E651" s="10" t="s">
        <v>276</v>
      </c>
      <c r="F651" s="10" t="s">
        <v>14276</v>
      </c>
      <c r="G651" s="10" t="s">
        <v>12630</v>
      </c>
      <c r="H651" s="10" t="s">
        <v>3276</v>
      </c>
      <c r="I651" s="10" t="s">
        <v>55</v>
      </c>
      <c r="K651" s="10" t="s">
        <v>14277</v>
      </c>
      <c r="L651" s="10" t="s">
        <v>42</v>
      </c>
    </row>
    <row r="652" ht="15.75" customHeight="1">
      <c r="A652" s="64">
        <v>45488.0</v>
      </c>
      <c r="B652" s="55" t="str">
        <f>HYPERLINK("https://jobright.ai/jobs/info/66959eb3dad8e1c87cfdb8a0?utm_campaign=1065&amp;utm_source=sheet", "Apply")</f>
        <v>Apply</v>
      </c>
      <c r="C652" s="10" t="s">
        <v>14278</v>
      </c>
      <c r="D652" s="56" t="s">
        <v>14279</v>
      </c>
      <c r="E652" s="10" t="s">
        <v>276</v>
      </c>
      <c r="F652" s="10" t="s">
        <v>14280</v>
      </c>
      <c r="G652" s="10" t="s">
        <v>12654</v>
      </c>
      <c r="H652" s="10" t="s">
        <v>898</v>
      </c>
      <c r="I652" s="10" t="s">
        <v>55</v>
      </c>
      <c r="K652" s="10" t="s">
        <v>14281</v>
      </c>
      <c r="L652" s="10" t="s">
        <v>42</v>
      </c>
    </row>
    <row r="653" ht="15.75" customHeight="1">
      <c r="A653" s="64">
        <v>45488.0</v>
      </c>
      <c r="B653" s="55" t="str">
        <f>HYPERLINK("https://jobright.ai/jobs/info/669587f9b5b2f912ae2e4084?utm_campaign=1065&amp;utm_source=sheet", "Apply")</f>
        <v>Apply</v>
      </c>
      <c r="C653" s="10" t="s">
        <v>14282</v>
      </c>
      <c r="D653" s="56" t="s">
        <v>14283</v>
      </c>
      <c r="E653" s="10" t="s">
        <v>137</v>
      </c>
      <c r="F653" s="10" t="s">
        <v>11057</v>
      </c>
      <c r="G653" s="10" t="s">
        <v>12630</v>
      </c>
      <c r="H653" s="10" t="s">
        <v>251</v>
      </c>
      <c r="I653" s="10" t="s">
        <v>252</v>
      </c>
      <c r="K653" s="10" t="s">
        <v>14284</v>
      </c>
      <c r="L653" s="10" t="s">
        <v>42</v>
      </c>
    </row>
    <row r="654" ht="15.75" customHeight="1">
      <c r="A654" s="64">
        <v>45488.0</v>
      </c>
      <c r="B654" s="55" t="str">
        <f>HYPERLINK("https://jobright.ai/jobs/info/669578743bbf45b28ba87e38?utm_campaign=1065&amp;utm_source=sheet", "Apply")</f>
        <v>Apply</v>
      </c>
      <c r="C654" s="10" t="s">
        <v>14285</v>
      </c>
      <c r="D654" s="56" t="s">
        <v>14286</v>
      </c>
      <c r="F654" s="10" t="s">
        <v>14287</v>
      </c>
      <c r="G654" s="10" t="s">
        <v>12654</v>
      </c>
      <c r="H654" s="10" t="s">
        <v>861</v>
      </c>
      <c r="I654" s="10" t="s">
        <v>55</v>
      </c>
      <c r="J654" s="10" t="s">
        <v>14288</v>
      </c>
      <c r="K654" s="10" t="s">
        <v>14289</v>
      </c>
      <c r="L654" s="10" t="s">
        <v>42</v>
      </c>
    </row>
    <row r="655" ht="15.75" customHeight="1">
      <c r="A655" s="64">
        <v>45488.0</v>
      </c>
      <c r="B655" s="55" t="str">
        <f>HYPERLINK("https://jobright.ai/jobs/info/669586a5c0d12ac3a29a24b2?utm_campaign=1065&amp;utm_source=sheet", "Apply")</f>
        <v>Apply</v>
      </c>
      <c r="C655" s="10" t="s">
        <v>12650</v>
      </c>
      <c r="D655" s="56" t="s">
        <v>14290</v>
      </c>
      <c r="E655" s="59">
        <v>45301.0</v>
      </c>
      <c r="F655" s="10" t="s">
        <v>14291</v>
      </c>
      <c r="G655" s="10" t="s">
        <v>12654</v>
      </c>
      <c r="H655" s="10" t="s">
        <v>73</v>
      </c>
      <c r="I655" s="10" t="s">
        <v>55</v>
      </c>
      <c r="K655" s="10" t="s">
        <v>14292</v>
      </c>
      <c r="L655" s="10" t="s">
        <v>42</v>
      </c>
    </row>
    <row r="656" ht="15.75" customHeight="1">
      <c r="A656" s="64">
        <v>45488.0</v>
      </c>
      <c r="B656" s="55" t="str">
        <f>HYPERLINK("https://jobright.ai/jobs/info/669582a032c6fea23dcc5558?utm_campaign=1065&amp;utm_source=sheet", "Apply")</f>
        <v>Apply</v>
      </c>
      <c r="C656" s="10" t="s">
        <v>14293</v>
      </c>
      <c r="D656" s="56" t="s">
        <v>14294</v>
      </c>
      <c r="E656" s="10" t="s">
        <v>137</v>
      </c>
      <c r="F656" s="10" t="s">
        <v>14295</v>
      </c>
      <c r="G656" s="10" t="s">
        <v>12635</v>
      </c>
      <c r="H656" s="10" t="s">
        <v>986</v>
      </c>
      <c r="I656" s="10" t="s">
        <v>55</v>
      </c>
      <c r="K656" s="10" t="s">
        <v>14296</v>
      </c>
      <c r="L656" s="10" t="s">
        <v>42</v>
      </c>
    </row>
    <row r="657" ht="15.75" customHeight="1">
      <c r="A657" s="64">
        <v>45488.0</v>
      </c>
      <c r="B657" s="55" t="str">
        <f>HYPERLINK("https://jobright.ai/jobs/info/669582a632c6fea23dcc568f?utm_campaign=1065&amp;utm_source=sheet", "Apply")</f>
        <v>Apply</v>
      </c>
      <c r="C657" s="10" t="s">
        <v>14297</v>
      </c>
      <c r="D657" s="56" t="s">
        <v>14298</v>
      </c>
      <c r="E657" s="10" t="s">
        <v>71</v>
      </c>
      <c r="F657" s="10" t="s">
        <v>13546</v>
      </c>
      <c r="G657" s="10" t="s">
        <v>12654</v>
      </c>
      <c r="H657" s="10" t="s">
        <v>170</v>
      </c>
      <c r="I657" s="10" t="s">
        <v>48</v>
      </c>
      <c r="J657" s="10" t="s">
        <v>3979</v>
      </c>
      <c r="K657" s="10" t="s">
        <v>14299</v>
      </c>
      <c r="L657" s="10" t="s">
        <v>42</v>
      </c>
    </row>
    <row r="658" ht="15.75" customHeight="1">
      <c r="A658" s="64">
        <v>45488.0</v>
      </c>
      <c r="B658" s="55" t="str">
        <f>HYPERLINK("https://jobright.ai/jobs/info/669575b3ee193fc711bd633c?utm_campaign=1065&amp;utm_source=sheet", "Apply")</f>
        <v>Apply</v>
      </c>
      <c r="C658" s="10" t="s">
        <v>14300</v>
      </c>
      <c r="D658" s="56" t="s">
        <v>14301</v>
      </c>
      <c r="E658" s="59">
        <v>45301.0</v>
      </c>
      <c r="F658" s="10" t="s">
        <v>4323</v>
      </c>
      <c r="G658" s="10" t="s">
        <v>12630</v>
      </c>
      <c r="H658" s="10" t="s">
        <v>3674</v>
      </c>
      <c r="I658" s="10" t="s">
        <v>55</v>
      </c>
      <c r="J658" s="10" t="s">
        <v>14302</v>
      </c>
      <c r="K658" s="10" t="s">
        <v>14303</v>
      </c>
      <c r="L658" s="10" t="s">
        <v>42</v>
      </c>
    </row>
    <row r="659" ht="15.75" customHeight="1">
      <c r="A659" s="64">
        <v>45488.0</v>
      </c>
      <c r="B659" s="55" t="str">
        <f>HYPERLINK("https://jobright.ai/jobs/info/66962085d37d24688ea5b42b?utm_campaign=1065&amp;utm_source=sheet", "Apply")</f>
        <v>Apply</v>
      </c>
      <c r="C659" s="10" t="s">
        <v>14304</v>
      </c>
      <c r="D659" s="56" t="s">
        <v>13901</v>
      </c>
      <c r="E659" s="10" t="s">
        <v>276</v>
      </c>
      <c r="F659" s="10" t="s">
        <v>11421</v>
      </c>
      <c r="G659" s="10" t="s">
        <v>12654</v>
      </c>
      <c r="H659" s="10" t="s">
        <v>251</v>
      </c>
      <c r="I659" s="10" t="s">
        <v>252</v>
      </c>
      <c r="J659" s="10" t="s">
        <v>14305</v>
      </c>
      <c r="K659" s="10" t="s">
        <v>14306</v>
      </c>
      <c r="L659" s="10" t="s">
        <v>42</v>
      </c>
    </row>
    <row r="660" ht="15.75" customHeight="1">
      <c r="A660" s="64">
        <v>45488.0</v>
      </c>
      <c r="B660" s="55" t="str">
        <f>HYPERLINK("https://jobright.ai/jobs/info/6695adf520a5a80f62b01de3?utm_campaign=1065&amp;utm_source=sheet", "Apply")</f>
        <v>Apply</v>
      </c>
      <c r="C660" s="10" t="s">
        <v>14307</v>
      </c>
      <c r="D660" s="56" t="s">
        <v>13901</v>
      </c>
      <c r="E660" s="10" t="s">
        <v>276</v>
      </c>
      <c r="F660" s="10" t="s">
        <v>11421</v>
      </c>
      <c r="G660" s="10" t="s">
        <v>12654</v>
      </c>
      <c r="H660" s="10" t="s">
        <v>251</v>
      </c>
      <c r="I660" s="10" t="s">
        <v>252</v>
      </c>
      <c r="K660" s="10" t="s">
        <v>14308</v>
      </c>
      <c r="L660" s="10" t="s">
        <v>42</v>
      </c>
    </row>
    <row r="661" ht="15.75" customHeight="1">
      <c r="A661" s="64">
        <v>45488.0</v>
      </c>
      <c r="B661" s="55" t="str">
        <f>HYPERLINK("https://jobright.ai/jobs/info/6695adf520a5a80f62b01de8?utm_campaign=1065&amp;utm_source=sheet", "Apply")</f>
        <v>Apply</v>
      </c>
      <c r="C661" s="10" t="s">
        <v>14309</v>
      </c>
      <c r="D661" s="56" t="s">
        <v>13901</v>
      </c>
      <c r="E661" s="10" t="s">
        <v>276</v>
      </c>
      <c r="F661" s="10" t="s">
        <v>11421</v>
      </c>
      <c r="G661" s="10" t="s">
        <v>12654</v>
      </c>
      <c r="H661" s="10" t="s">
        <v>251</v>
      </c>
      <c r="I661" s="10" t="s">
        <v>252</v>
      </c>
      <c r="K661" s="10" t="s">
        <v>14310</v>
      </c>
      <c r="L661" s="10" t="s">
        <v>42</v>
      </c>
    </row>
    <row r="662" ht="15.75" customHeight="1">
      <c r="A662" s="64">
        <v>45488.0</v>
      </c>
      <c r="B662" s="55" t="str">
        <f>HYPERLINK("https://jobright.ai/jobs/info/669676fa83577aa838573a4b?utm_campaign=1065&amp;utm_source=sheet", "Apply")</f>
        <v>Apply</v>
      </c>
      <c r="C662" s="10" t="s">
        <v>14311</v>
      </c>
      <c r="D662" s="56" t="s">
        <v>13901</v>
      </c>
      <c r="E662" s="10" t="s">
        <v>276</v>
      </c>
      <c r="F662" s="10" t="s">
        <v>11421</v>
      </c>
      <c r="G662" s="10" t="s">
        <v>12654</v>
      </c>
      <c r="H662" s="10" t="s">
        <v>251</v>
      </c>
      <c r="I662" s="10" t="s">
        <v>252</v>
      </c>
      <c r="K662" s="10" t="s">
        <v>14312</v>
      </c>
      <c r="L662" s="10" t="s">
        <v>42</v>
      </c>
    </row>
    <row r="663" ht="15.75" customHeight="1">
      <c r="A663" s="64">
        <v>45488.0</v>
      </c>
      <c r="B663" s="55" t="str">
        <f>HYPERLINK("https://jobright.ai/jobs/info/66959f3e4ffe9d7a67e36079?utm_campaign=1065&amp;utm_source=sheet", "Apply")</f>
        <v>Apply</v>
      </c>
      <c r="C663" s="10" t="s">
        <v>14313</v>
      </c>
      <c r="D663" s="56" t="s">
        <v>13901</v>
      </c>
      <c r="E663" s="10" t="s">
        <v>276</v>
      </c>
      <c r="F663" s="10" t="s">
        <v>11421</v>
      </c>
      <c r="G663" s="10" t="s">
        <v>12654</v>
      </c>
      <c r="H663" s="10" t="s">
        <v>251</v>
      </c>
      <c r="I663" s="10" t="s">
        <v>252</v>
      </c>
      <c r="K663" s="10" t="s">
        <v>14314</v>
      </c>
      <c r="L663" s="10" t="s">
        <v>42</v>
      </c>
    </row>
    <row r="664" ht="15.75" customHeight="1">
      <c r="A664" s="64">
        <v>45488.0</v>
      </c>
      <c r="B664" s="55" t="str">
        <f>HYPERLINK("https://jobright.ai/jobs/info/6695adf520a5a80f62b01de7?utm_campaign=1065&amp;utm_source=sheet", "Apply")</f>
        <v>Apply</v>
      </c>
      <c r="C664" s="10" t="s">
        <v>14315</v>
      </c>
      <c r="D664" s="56" t="s">
        <v>13901</v>
      </c>
      <c r="E664" s="10" t="s">
        <v>276</v>
      </c>
      <c r="F664" s="10" t="s">
        <v>11421</v>
      </c>
      <c r="G664" s="10" t="s">
        <v>12654</v>
      </c>
      <c r="H664" s="10" t="s">
        <v>251</v>
      </c>
      <c r="I664" s="10" t="s">
        <v>252</v>
      </c>
      <c r="J664" s="10" t="s">
        <v>14305</v>
      </c>
      <c r="K664" s="10" t="s">
        <v>14316</v>
      </c>
      <c r="L664" s="10" t="s">
        <v>42</v>
      </c>
    </row>
    <row r="665" ht="15.75" customHeight="1">
      <c r="A665" s="64">
        <v>45488.0</v>
      </c>
      <c r="B665" s="55" t="str">
        <f>HYPERLINK("https://jobright.ai/jobs/info/669676fa83577aa838573a4a?utm_campaign=1065&amp;utm_source=sheet", "Apply")</f>
        <v>Apply</v>
      </c>
      <c r="C665" s="10" t="s">
        <v>14317</v>
      </c>
      <c r="D665" s="56" t="s">
        <v>13901</v>
      </c>
      <c r="E665" s="10" t="s">
        <v>276</v>
      </c>
      <c r="F665" s="10" t="s">
        <v>11421</v>
      </c>
      <c r="G665" s="10" t="s">
        <v>12654</v>
      </c>
      <c r="H665" s="10" t="s">
        <v>251</v>
      </c>
      <c r="I665" s="10" t="s">
        <v>252</v>
      </c>
      <c r="K665" s="10" t="s">
        <v>14318</v>
      </c>
      <c r="L665" s="10" t="s">
        <v>42</v>
      </c>
    </row>
    <row r="666" ht="15.75" customHeight="1">
      <c r="A666" s="64">
        <v>45488.0</v>
      </c>
      <c r="B666" s="55" t="str">
        <f>HYPERLINK("https://jobright.ai/jobs/info/669575bcee193fc711bd637e?utm_campaign=1065&amp;utm_source=sheet", "Apply")</f>
        <v>Apply</v>
      </c>
      <c r="C666" s="10" t="s">
        <v>14319</v>
      </c>
      <c r="D666" s="56" t="s">
        <v>14320</v>
      </c>
      <c r="E666" s="10" t="s">
        <v>276</v>
      </c>
      <c r="F666" s="10" t="s">
        <v>2409</v>
      </c>
      <c r="G666" s="10" t="s">
        <v>12654</v>
      </c>
      <c r="H666" s="10" t="s">
        <v>953</v>
      </c>
      <c r="I666" s="10" t="s">
        <v>55</v>
      </c>
      <c r="K666" s="10" t="s">
        <v>14321</v>
      </c>
      <c r="L666" s="10" t="s">
        <v>42</v>
      </c>
    </row>
    <row r="667" ht="15.75" customHeight="1">
      <c r="A667" s="64">
        <v>45488.0</v>
      </c>
      <c r="B667" s="55" t="str">
        <f>HYPERLINK("https://jobright.ai/jobs/info/669563c47c330bc105f3ce6e?utm_campaign=1065&amp;utm_source=sheet", "Apply")</f>
        <v>Apply</v>
      </c>
      <c r="C667" s="10" t="s">
        <v>14322</v>
      </c>
      <c r="D667" s="56" t="s">
        <v>14323</v>
      </c>
      <c r="E667" s="10" t="s">
        <v>249</v>
      </c>
      <c r="F667" s="10" t="s">
        <v>12752</v>
      </c>
      <c r="G667" s="10" t="s">
        <v>12693</v>
      </c>
      <c r="H667" s="10" t="s">
        <v>251</v>
      </c>
      <c r="I667" s="10" t="s">
        <v>252</v>
      </c>
      <c r="J667" s="10" t="s">
        <v>1873</v>
      </c>
      <c r="K667" s="10" t="s">
        <v>14324</v>
      </c>
      <c r="L667" s="10" t="s">
        <v>42</v>
      </c>
    </row>
    <row r="668" ht="15.75" customHeight="1">
      <c r="A668" s="64">
        <v>45488.0</v>
      </c>
      <c r="B668" s="55" t="str">
        <f>HYPERLINK("https://jobright.ai/jobs/info/66955b091c130559cedb6494?utm_campaign=1065&amp;utm_source=sheet", "Apply")</f>
        <v>Apply</v>
      </c>
      <c r="C668" s="10" t="s">
        <v>14325</v>
      </c>
      <c r="D668" s="56" t="s">
        <v>14326</v>
      </c>
      <c r="E668" s="10" t="s">
        <v>79</v>
      </c>
      <c r="F668" s="10" t="s">
        <v>3801</v>
      </c>
      <c r="G668" s="10" t="s">
        <v>12630</v>
      </c>
      <c r="H668" s="10" t="s">
        <v>1035</v>
      </c>
      <c r="I668" s="10" t="s">
        <v>55</v>
      </c>
      <c r="K668" s="10" t="s">
        <v>14327</v>
      </c>
      <c r="L668" s="10" t="s">
        <v>42</v>
      </c>
    </row>
    <row r="669" ht="15.75" customHeight="1">
      <c r="A669" s="64">
        <v>45488.0</v>
      </c>
      <c r="B669" s="55" t="str">
        <f>HYPERLINK("https://jobright.ai/jobs/info/66954e8ea046c7d768486e49?utm_campaign=1065&amp;utm_source=sheet", "Apply")</f>
        <v>Apply</v>
      </c>
      <c r="C669" s="10" t="s">
        <v>14328</v>
      </c>
      <c r="D669" s="56" t="s">
        <v>13966</v>
      </c>
      <c r="E669" s="10" t="s">
        <v>45</v>
      </c>
      <c r="G669" s="10" t="s">
        <v>12654</v>
      </c>
      <c r="H669" s="10" t="s">
        <v>999</v>
      </c>
      <c r="I669" s="10" t="s">
        <v>48</v>
      </c>
      <c r="K669" s="10" t="s">
        <v>14329</v>
      </c>
      <c r="L669" s="10" t="s">
        <v>42</v>
      </c>
    </row>
    <row r="670" ht="15.75" customHeight="1">
      <c r="A670" s="64">
        <v>45488.0</v>
      </c>
      <c r="B670" s="55" t="str">
        <f>HYPERLINK("https://jobright.ai/jobs/info/66953864a8e2a2a8f300d334?utm_campaign=1065&amp;utm_source=sheet", "Apply")</f>
        <v>Apply</v>
      </c>
      <c r="C670" s="10" t="s">
        <v>14330</v>
      </c>
      <c r="D670" s="56" t="s">
        <v>5004</v>
      </c>
      <c r="G670" s="10" t="s">
        <v>12635</v>
      </c>
      <c r="H670" s="10" t="s">
        <v>5320</v>
      </c>
      <c r="I670" s="10" t="s">
        <v>55</v>
      </c>
      <c r="K670" s="10" t="s">
        <v>14331</v>
      </c>
      <c r="L670" s="10" t="s">
        <v>42</v>
      </c>
    </row>
    <row r="671" ht="15.75" customHeight="1">
      <c r="A671" s="64">
        <v>45488.0</v>
      </c>
      <c r="B671" s="55" t="str">
        <f>HYPERLINK("https://jobright.ai/jobs/info/6695d0d944c53245755de2f8?utm_campaign=1065&amp;utm_source=sheet", "Apply")</f>
        <v>Apply</v>
      </c>
      <c r="C671" s="10" t="s">
        <v>12650</v>
      </c>
      <c r="D671" s="56" t="s">
        <v>14332</v>
      </c>
      <c r="E671" s="59">
        <v>45301.0</v>
      </c>
      <c r="F671" s="10" t="s">
        <v>2360</v>
      </c>
      <c r="G671" s="10" t="s">
        <v>12635</v>
      </c>
      <c r="H671" s="10" t="s">
        <v>96</v>
      </c>
      <c r="I671" s="10" t="s">
        <v>55</v>
      </c>
      <c r="J671" s="10" t="s">
        <v>1797</v>
      </c>
      <c r="K671" s="10" t="s">
        <v>14333</v>
      </c>
      <c r="L671" s="10" t="s">
        <v>42</v>
      </c>
    </row>
    <row r="672" ht="15.75" customHeight="1">
      <c r="A672" s="64">
        <v>45488.0</v>
      </c>
      <c r="B672" s="55" t="str">
        <f>HYPERLINK("https://jobright.ai/jobs/info/66952fdb997bcc923be4b27e?utm_campaign=1065&amp;utm_source=sheet", "Apply")</f>
        <v>Apply</v>
      </c>
      <c r="C672" s="10" t="s">
        <v>14334</v>
      </c>
      <c r="D672" s="56" t="s">
        <v>14335</v>
      </c>
      <c r="E672" s="10" t="s">
        <v>249</v>
      </c>
      <c r="F672" s="10" t="s">
        <v>14336</v>
      </c>
      <c r="G672" s="10" t="s">
        <v>12630</v>
      </c>
      <c r="H672" s="10" t="s">
        <v>6277</v>
      </c>
      <c r="I672" s="10" t="s">
        <v>55</v>
      </c>
      <c r="J672" s="10" t="s">
        <v>1409</v>
      </c>
      <c r="K672" s="10" t="s">
        <v>14337</v>
      </c>
      <c r="L672" s="10" t="s">
        <v>42</v>
      </c>
    </row>
    <row r="673" ht="15.75" customHeight="1">
      <c r="A673" s="64">
        <v>45488.0</v>
      </c>
      <c r="B673" s="55" t="str">
        <f>HYPERLINK("https://jobright.ai/jobs/info/66950fff4e5c3d450e5cb76f?utm_campaign=1065&amp;utm_source=sheet", "Apply")</f>
        <v>Apply</v>
      </c>
      <c r="C673" s="10" t="s">
        <v>12728</v>
      </c>
      <c r="D673" s="56" t="s">
        <v>3665</v>
      </c>
      <c r="E673" s="10" t="s">
        <v>71</v>
      </c>
      <c r="F673" s="10" t="s">
        <v>3666</v>
      </c>
      <c r="G673" s="10" t="s">
        <v>12630</v>
      </c>
      <c r="H673" s="10" t="s">
        <v>911</v>
      </c>
      <c r="I673" s="10" t="s">
        <v>48</v>
      </c>
      <c r="J673" s="10" t="s">
        <v>1797</v>
      </c>
      <c r="K673" s="10" t="s">
        <v>14338</v>
      </c>
      <c r="L673" s="10" t="s">
        <v>42</v>
      </c>
    </row>
    <row r="674" ht="15.75" customHeight="1">
      <c r="A674" s="64">
        <v>45488.0</v>
      </c>
      <c r="B674" s="55" t="str">
        <f>HYPERLINK("https://jobright.ai/jobs/info/669e4d4cb7e01a7443d29019?utm_campaign=1065&amp;utm_source=sheet", "Apply")</f>
        <v>Apply</v>
      </c>
      <c r="C674" s="10" t="s">
        <v>14339</v>
      </c>
      <c r="D674" s="56" t="s">
        <v>14340</v>
      </c>
      <c r="E674" s="10">
        <v>83.0</v>
      </c>
      <c r="G674" s="10" t="s">
        <v>12630</v>
      </c>
      <c r="H674" s="10" t="s">
        <v>3847</v>
      </c>
      <c r="I674" s="10" t="s">
        <v>55</v>
      </c>
      <c r="K674" s="10" t="s">
        <v>14341</v>
      </c>
      <c r="L674" s="10" t="s">
        <v>42</v>
      </c>
    </row>
    <row r="675" ht="15.75" customHeight="1">
      <c r="A675" s="64">
        <v>45488.0</v>
      </c>
      <c r="B675" s="55" t="str">
        <f>HYPERLINK("https://jobright.ai/jobs/info/6694ff99c788cc9b9429ac87?utm_campaign=1065&amp;utm_source=sheet", "Apply")</f>
        <v>Apply</v>
      </c>
      <c r="C675" s="10" t="s">
        <v>13889</v>
      </c>
      <c r="D675" s="56" t="s">
        <v>14342</v>
      </c>
      <c r="E675" s="10">
        <v>1.0</v>
      </c>
      <c r="G675" s="10" t="s">
        <v>12635</v>
      </c>
      <c r="H675" s="10" t="s">
        <v>14343</v>
      </c>
      <c r="I675" s="10" t="s">
        <v>55</v>
      </c>
      <c r="K675" s="10" t="s">
        <v>14344</v>
      </c>
      <c r="L675" s="10" t="s">
        <v>42</v>
      </c>
    </row>
    <row r="676" ht="15.75" customHeight="1">
      <c r="A676" s="64">
        <v>45488.0</v>
      </c>
      <c r="B676" s="55" t="str">
        <f>HYPERLINK("https://jobright.ai/jobs/info/665b5ce538cc44441c027fc7?utm_campaign=1065&amp;utm_source=sheet", "Apply")</f>
        <v>Apply</v>
      </c>
      <c r="C676" s="10" t="s">
        <v>14345</v>
      </c>
      <c r="D676" s="56" t="s">
        <v>10169</v>
      </c>
      <c r="E676" s="10" t="s">
        <v>45</v>
      </c>
      <c r="F676" s="10" t="s">
        <v>10170</v>
      </c>
      <c r="G676" s="10" t="s">
        <v>12635</v>
      </c>
      <c r="H676" s="10" t="s">
        <v>14346</v>
      </c>
      <c r="I676" s="10" t="s">
        <v>55</v>
      </c>
      <c r="J676" s="10" t="s">
        <v>1409</v>
      </c>
      <c r="K676" s="10" t="s">
        <v>14347</v>
      </c>
      <c r="L676" s="10" t="s">
        <v>42</v>
      </c>
    </row>
    <row r="677" ht="15.75" customHeight="1">
      <c r="A677" s="64">
        <v>45488.0</v>
      </c>
      <c r="B677" s="55" t="str">
        <f>HYPERLINK("https://jobright.ai/jobs/info/6694f699ac0d8feec02ae831?utm_campaign=1065&amp;utm_source=sheet", "Apply")</f>
        <v>Apply</v>
      </c>
      <c r="C677" s="10" t="s">
        <v>14348</v>
      </c>
      <c r="D677" s="56" t="s">
        <v>730</v>
      </c>
      <c r="E677" s="10" t="s">
        <v>45</v>
      </c>
      <c r="F677" s="10" t="s">
        <v>731</v>
      </c>
      <c r="G677" s="10" t="s">
        <v>12645</v>
      </c>
      <c r="H677" s="10" t="s">
        <v>96</v>
      </c>
      <c r="I677" s="10" t="s">
        <v>55</v>
      </c>
      <c r="K677" s="10" t="s">
        <v>14349</v>
      </c>
      <c r="L677" s="10" t="s">
        <v>42</v>
      </c>
    </row>
    <row r="678" ht="15.75" customHeight="1">
      <c r="A678" s="64">
        <v>45488.0</v>
      </c>
      <c r="B678" s="55" t="str">
        <f>HYPERLINK("https://jobright.ai/jobs/info/665b633fa8194aff74ea5cdc?utm_campaign=1065&amp;utm_source=sheet", "Apply")</f>
        <v>Apply</v>
      </c>
      <c r="C678" s="10" t="s">
        <v>14345</v>
      </c>
      <c r="D678" s="56" t="s">
        <v>10169</v>
      </c>
      <c r="E678" s="10" t="s">
        <v>45</v>
      </c>
      <c r="F678" s="10" t="s">
        <v>10170</v>
      </c>
      <c r="G678" s="10" t="s">
        <v>12635</v>
      </c>
      <c r="H678" s="10" t="s">
        <v>14350</v>
      </c>
      <c r="I678" s="10" t="s">
        <v>55</v>
      </c>
      <c r="J678" s="10" t="s">
        <v>1409</v>
      </c>
      <c r="K678" s="10" t="s">
        <v>14347</v>
      </c>
      <c r="L678" s="10" t="s">
        <v>42</v>
      </c>
    </row>
    <row r="679" ht="15.75" customHeight="1">
      <c r="A679" s="64">
        <v>45488.0</v>
      </c>
      <c r="B679" s="55" t="str">
        <f>HYPERLINK("https://jobright.ai/jobs/info/665b5ce538cc44441c027fcc?utm_campaign=1065&amp;utm_source=sheet", "Apply")</f>
        <v>Apply</v>
      </c>
      <c r="C679" s="10" t="s">
        <v>14345</v>
      </c>
      <c r="D679" s="56" t="s">
        <v>10169</v>
      </c>
      <c r="E679" s="10" t="s">
        <v>45</v>
      </c>
      <c r="F679" s="10" t="s">
        <v>10170</v>
      </c>
      <c r="G679" s="10" t="s">
        <v>12635</v>
      </c>
      <c r="H679" s="10" t="s">
        <v>4799</v>
      </c>
      <c r="I679" s="10" t="s">
        <v>55</v>
      </c>
      <c r="J679" s="10" t="s">
        <v>1409</v>
      </c>
      <c r="K679" s="10" t="s">
        <v>14347</v>
      </c>
      <c r="L679" s="10" t="s">
        <v>42</v>
      </c>
    </row>
    <row r="680" ht="15.75" customHeight="1">
      <c r="A680" s="64">
        <v>45488.0</v>
      </c>
      <c r="B680" s="55" t="str">
        <f>HYPERLINK("https://jobright.ai/jobs/info/66961d5a044a3a8a58b1a85c?utm_campaign=1065&amp;utm_source=sheet", "Apply")</f>
        <v>Apply</v>
      </c>
      <c r="C680" s="10" t="s">
        <v>14351</v>
      </c>
      <c r="D680" s="56" t="s">
        <v>14352</v>
      </c>
      <c r="E680" s="10" t="s">
        <v>249</v>
      </c>
      <c r="F680" s="10" t="s">
        <v>14353</v>
      </c>
      <c r="G680" s="10" t="s">
        <v>12635</v>
      </c>
      <c r="H680" s="10" t="s">
        <v>14354</v>
      </c>
      <c r="I680" s="10" t="s">
        <v>55</v>
      </c>
      <c r="K680" s="10" t="s">
        <v>14355</v>
      </c>
      <c r="L680" s="10" t="s">
        <v>42</v>
      </c>
    </row>
    <row r="681" ht="15.75" customHeight="1">
      <c r="A681" s="64">
        <v>45488.0</v>
      </c>
      <c r="B681" s="55" t="str">
        <f>HYPERLINK("https://jobright.ai/jobs/info/66975c400d7914ef4a9d1bb5?utm_campaign=1065&amp;utm_source=sheet", "Apply")</f>
        <v>Apply</v>
      </c>
      <c r="C681" s="10" t="s">
        <v>14356</v>
      </c>
      <c r="D681" s="56" t="s">
        <v>13273</v>
      </c>
      <c r="E681" s="10" t="s">
        <v>45</v>
      </c>
      <c r="F681" s="10" t="s">
        <v>13274</v>
      </c>
      <c r="G681" s="10" t="s">
        <v>12630</v>
      </c>
      <c r="H681" s="10" t="s">
        <v>2078</v>
      </c>
      <c r="I681" s="10" t="s">
        <v>55</v>
      </c>
      <c r="K681" s="10" t="s">
        <v>14357</v>
      </c>
      <c r="L681" s="10" t="s">
        <v>42</v>
      </c>
    </row>
    <row r="682" ht="15.75" customHeight="1">
      <c r="A682" s="64">
        <v>45488.0</v>
      </c>
      <c r="B682" s="55" t="str">
        <f>HYPERLINK("https://jobright.ai/jobs/info/6695f2eb5a520c98408385db?utm_campaign=1065&amp;utm_source=sheet", "Apply")</f>
        <v>Apply</v>
      </c>
      <c r="C682" s="10" t="s">
        <v>13299</v>
      </c>
      <c r="D682" s="56" t="s">
        <v>5763</v>
      </c>
      <c r="E682" s="10" t="s">
        <v>276</v>
      </c>
      <c r="F682" s="10" t="s">
        <v>3770</v>
      </c>
      <c r="G682" s="10" t="s">
        <v>12654</v>
      </c>
      <c r="H682" s="10" t="s">
        <v>5764</v>
      </c>
      <c r="I682" s="10" t="s">
        <v>55</v>
      </c>
      <c r="K682" s="10" t="s">
        <v>14358</v>
      </c>
      <c r="L682" s="10" t="s">
        <v>42</v>
      </c>
    </row>
    <row r="683" ht="15.75" customHeight="1">
      <c r="A683" s="64">
        <v>45488.0</v>
      </c>
      <c r="B683" s="55" t="str">
        <f>HYPERLINK("https://jobright.ai/jobs/info/6695ad72558c6522864837db?utm_campaign=1065&amp;utm_source=sheet", "Apply")</f>
        <v>Apply</v>
      </c>
      <c r="C683" s="10" t="s">
        <v>14359</v>
      </c>
      <c r="D683" s="56" t="s">
        <v>5763</v>
      </c>
      <c r="E683" s="10" t="s">
        <v>276</v>
      </c>
      <c r="F683" s="10" t="s">
        <v>3770</v>
      </c>
      <c r="G683" s="10" t="s">
        <v>12654</v>
      </c>
      <c r="H683" s="10" t="s">
        <v>862</v>
      </c>
      <c r="I683" s="10" t="s">
        <v>55</v>
      </c>
      <c r="K683" s="10" t="s">
        <v>14360</v>
      </c>
      <c r="L683" s="10" t="s">
        <v>42</v>
      </c>
    </row>
    <row r="684" ht="15.75" customHeight="1">
      <c r="A684" s="64">
        <v>45488.0</v>
      </c>
      <c r="B684" s="55" t="str">
        <f>HYPERLINK("https://jobright.ai/jobs/info/6695ad68558c65228648371a?utm_campaign=1065&amp;utm_source=sheet", "Apply")</f>
        <v>Apply</v>
      </c>
      <c r="C684" s="10" t="s">
        <v>14361</v>
      </c>
      <c r="D684" s="56" t="s">
        <v>5763</v>
      </c>
      <c r="E684" s="10" t="s">
        <v>276</v>
      </c>
      <c r="F684" s="10" t="s">
        <v>3770</v>
      </c>
      <c r="G684" s="10" t="s">
        <v>12654</v>
      </c>
      <c r="H684" s="10" t="s">
        <v>14362</v>
      </c>
      <c r="I684" s="10" t="s">
        <v>55</v>
      </c>
      <c r="K684" s="10" t="s">
        <v>14363</v>
      </c>
      <c r="L684" s="10" t="s">
        <v>42</v>
      </c>
    </row>
    <row r="685" ht="15.75" customHeight="1">
      <c r="A685" s="64">
        <v>45488.0</v>
      </c>
      <c r="B685" s="55" t="str">
        <f>HYPERLINK("https://jobright.ai/jobs/info/66956079f60ae0856be2fb3f?utm_campaign=1065&amp;utm_source=sheet", "Apply")</f>
        <v>Apply</v>
      </c>
      <c r="C685" s="10" t="s">
        <v>14364</v>
      </c>
      <c r="D685" s="56" t="s">
        <v>13290</v>
      </c>
      <c r="E685" s="10" t="s">
        <v>65</v>
      </c>
      <c r="F685" s="10" t="s">
        <v>13291</v>
      </c>
      <c r="G685" s="10" t="s">
        <v>12654</v>
      </c>
      <c r="H685" s="10" t="s">
        <v>896</v>
      </c>
      <c r="I685" s="10" t="s">
        <v>55</v>
      </c>
      <c r="J685" s="10" t="s">
        <v>2609</v>
      </c>
      <c r="K685" s="10" t="s">
        <v>14365</v>
      </c>
      <c r="L685" s="10" t="s">
        <v>42</v>
      </c>
    </row>
    <row r="686" ht="15.75" customHeight="1">
      <c r="A686" s="64">
        <v>45488.0</v>
      </c>
      <c r="B686" s="55" t="str">
        <f>HYPERLINK("https://jobright.ai/jobs/info/66970ca144eade68cc5cd7b4?utm_campaign=1065&amp;utm_source=sheet", "Apply")</f>
        <v>Apply</v>
      </c>
      <c r="C686" s="10" t="s">
        <v>14366</v>
      </c>
      <c r="D686" s="56" t="s">
        <v>14119</v>
      </c>
      <c r="E686" s="10" t="s">
        <v>71</v>
      </c>
      <c r="F686" s="10" t="s">
        <v>1833</v>
      </c>
      <c r="G686" s="10" t="s">
        <v>12654</v>
      </c>
      <c r="H686" s="10" t="s">
        <v>14367</v>
      </c>
      <c r="I686" s="10" t="s">
        <v>55</v>
      </c>
      <c r="J686" s="10" t="s">
        <v>521</v>
      </c>
      <c r="K686" s="10" t="s">
        <v>14368</v>
      </c>
      <c r="L686" s="10" t="s">
        <v>42</v>
      </c>
    </row>
    <row r="687" ht="15.75" customHeight="1">
      <c r="A687" s="64">
        <v>45488.0</v>
      </c>
      <c r="B687" s="55" t="str">
        <f>HYPERLINK("https://jobright.ai/jobs/info/66970ca144eade68cc5cd7a9?utm_campaign=1065&amp;utm_source=sheet", "Apply")</f>
        <v>Apply</v>
      </c>
      <c r="C687" s="10" t="s">
        <v>13563</v>
      </c>
      <c r="D687" s="56" t="s">
        <v>14119</v>
      </c>
      <c r="E687" s="10" t="s">
        <v>71</v>
      </c>
      <c r="F687" s="10" t="s">
        <v>1833</v>
      </c>
      <c r="G687" s="10" t="s">
        <v>12630</v>
      </c>
      <c r="H687" s="10" t="s">
        <v>14367</v>
      </c>
      <c r="I687" s="10" t="s">
        <v>48</v>
      </c>
      <c r="J687" s="10" t="s">
        <v>521</v>
      </c>
      <c r="K687" s="10" t="s">
        <v>14120</v>
      </c>
      <c r="L687" s="10" t="s">
        <v>42</v>
      </c>
    </row>
    <row r="688" ht="15.75" customHeight="1">
      <c r="A688" s="64">
        <v>45488.0</v>
      </c>
      <c r="B688" s="55" t="str">
        <f>HYPERLINK("https://jobright.ai/jobs/info/66957493128c064dbe1888fe?utm_campaign=1065&amp;utm_source=sheet", "Apply")</f>
        <v>Apply</v>
      </c>
      <c r="C688" s="10" t="s">
        <v>12958</v>
      </c>
      <c r="D688" s="56" t="s">
        <v>14369</v>
      </c>
      <c r="E688" s="10" t="s">
        <v>65</v>
      </c>
      <c r="F688" s="10" t="s">
        <v>1415</v>
      </c>
      <c r="G688" s="10" t="s">
        <v>12654</v>
      </c>
      <c r="H688" s="10" t="s">
        <v>8235</v>
      </c>
      <c r="I688" s="10" t="s">
        <v>55</v>
      </c>
      <c r="J688" s="10" t="s">
        <v>4386</v>
      </c>
      <c r="K688" s="10" t="s">
        <v>14370</v>
      </c>
      <c r="L688" s="10" t="s">
        <v>42</v>
      </c>
    </row>
    <row r="689" ht="15.75" customHeight="1">
      <c r="A689" s="64">
        <v>45488.0</v>
      </c>
      <c r="B689" s="55" t="str">
        <f>HYPERLINK("https://jobright.ai/jobs/info/66952db701baf51fc4298fdd?utm_campaign=1065&amp;utm_source=sheet", "Apply")</f>
        <v>Apply</v>
      </c>
      <c r="C689" s="10" t="s">
        <v>14328</v>
      </c>
      <c r="D689" s="56" t="s">
        <v>5584</v>
      </c>
      <c r="E689" s="10" t="s">
        <v>45</v>
      </c>
      <c r="F689" s="10" t="s">
        <v>5585</v>
      </c>
      <c r="G689" s="10" t="s">
        <v>12654</v>
      </c>
      <c r="H689" s="10" t="s">
        <v>5586</v>
      </c>
      <c r="I689" s="10" t="s">
        <v>48</v>
      </c>
      <c r="K689" s="10" t="s">
        <v>14329</v>
      </c>
      <c r="L689" s="10" t="s">
        <v>42</v>
      </c>
    </row>
    <row r="690" ht="15.75" customHeight="1">
      <c r="A690" s="64">
        <v>45488.0</v>
      </c>
      <c r="B690" s="55" t="str">
        <f>HYPERLINK("https://jobright.ai/jobs/info/66954e96a046c7d768486f00?utm_campaign=1065&amp;utm_source=sheet", "Apply")</f>
        <v>Apply</v>
      </c>
      <c r="C690" s="10" t="s">
        <v>14371</v>
      </c>
      <c r="D690" s="56" t="s">
        <v>14267</v>
      </c>
      <c r="E690" s="10" t="s">
        <v>276</v>
      </c>
      <c r="F690" s="10" t="s">
        <v>14268</v>
      </c>
      <c r="G690" s="10" t="s">
        <v>12654</v>
      </c>
      <c r="H690" s="10" t="s">
        <v>14372</v>
      </c>
      <c r="I690" s="10" t="s">
        <v>55</v>
      </c>
      <c r="J690" s="10" t="s">
        <v>1960</v>
      </c>
      <c r="K690" s="10" t="s">
        <v>14373</v>
      </c>
      <c r="L690" s="10" t="s">
        <v>42</v>
      </c>
    </row>
    <row r="691" ht="15.75" customHeight="1">
      <c r="A691" s="64">
        <v>45488.0</v>
      </c>
      <c r="B691" s="55" t="str">
        <f>HYPERLINK("https://jobright.ai/jobs/info/669585c9cc0166b2468261b2?utm_campaign=1065&amp;utm_source=sheet", "Apply")</f>
        <v>Apply</v>
      </c>
      <c r="C691" s="10" t="s">
        <v>14263</v>
      </c>
      <c r="D691" s="56" t="s">
        <v>14264</v>
      </c>
      <c r="E691" s="10" t="s">
        <v>209</v>
      </c>
      <c r="F691" s="10" t="s">
        <v>14265</v>
      </c>
      <c r="G691" s="10" t="s">
        <v>12630</v>
      </c>
      <c r="H691" s="10" t="s">
        <v>14374</v>
      </c>
      <c r="I691" s="10" t="s">
        <v>48</v>
      </c>
      <c r="K691" s="10" t="s">
        <v>14266</v>
      </c>
      <c r="L691" s="10" t="s">
        <v>42</v>
      </c>
    </row>
    <row r="692" ht="15.75" customHeight="1">
      <c r="A692" s="64">
        <v>45488.0</v>
      </c>
      <c r="B692" s="55" t="str">
        <f>HYPERLINK("https://jobright.ai/jobs/info/6695ccb58d7b4aacd87aaaa6?utm_campaign=1065&amp;utm_source=sheet", "Apply")</f>
        <v>Apply</v>
      </c>
      <c r="C692" s="10" t="s">
        <v>14131</v>
      </c>
      <c r="D692" s="56" t="s">
        <v>12939</v>
      </c>
      <c r="E692" s="10" t="s">
        <v>45</v>
      </c>
      <c r="F692" s="10" t="s">
        <v>665</v>
      </c>
      <c r="G692" s="10" t="s">
        <v>12635</v>
      </c>
      <c r="H692" s="10" t="s">
        <v>14005</v>
      </c>
      <c r="I692" s="10" t="s">
        <v>48</v>
      </c>
      <c r="K692" s="10" t="s">
        <v>14375</v>
      </c>
      <c r="L692" s="10" t="s">
        <v>42</v>
      </c>
    </row>
    <row r="693" ht="15.75" customHeight="1">
      <c r="A693" s="64">
        <v>45488.0</v>
      </c>
      <c r="B693" s="55" t="str">
        <f>HYPERLINK("https://jobright.ai/jobs/info/6695ccb58d7b4aacd87aaaa9?utm_campaign=1065&amp;utm_source=sheet", "Apply")</f>
        <v>Apply</v>
      </c>
      <c r="C693" s="10" t="s">
        <v>13855</v>
      </c>
      <c r="D693" s="56" t="s">
        <v>12939</v>
      </c>
      <c r="E693" s="10" t="s">
        <v>45</v>
      </c>
      <c r="F693" s="10" t="s">
        <v>665</v>
      </c>
      <c r="G693" s="10" t="s">
        <v>12635</v>
      </c>
      <c r="H693" s="10" t="s">
        <v>14005</v>
      </c>
      <c r="I693" s="10" t="s">
        <v>48</v>
      </c>
      <c r="K693" s="10" t="s">
        <v>14376</v>
      </c>
      <c r="L693" s="10" t="s">
        <v>42</v>
      </c>
    </row>
    <row r="694" ht="15.75" customHeight="1">
      <c r="A694" s="64">
        <v>45487.0</v>
      </c>
      <c r="B694" s="55" t="str">
        <f>HYPERLINK("https://jobright.ai/jobs/info/6694fee50a69649d3e7797bf?utm_campaign=1065&amp;utm_source=sheet", "Apply")</f>
        <v>Apply</v>
      </c>
      <c r="C694" s="10" t="s">
        <v>14377</v>
      </c>
      <c r="D694" s="56" t="s">
        <v>4741</v>
      </c>
      <c r="E694" s="10" t="s">
        <v>79</v>
      </c>
      <c r="F694" s="10" t="s">
        <v>4742</v>
      </c>
      <c r="G694" s="10" t="s">
        <v>12630</v>
      </c>
      <c r="H694" s="10" t="s">
        <v>2635</v>
      </c>
      <c r="I694" s="10" t="s">
        <v>55</v>
      </c>
      <c r="K694" s="10" t="s">
        <v>14378</v>
      </c>
      <c r="L694" s="10" t="s">
        <v>42</v>
      </c>
    </row>
    <row r="695" ht="15.75" customHeight="1">
      <c r="A695" s="64">
        <v>45487.0</v>
      </c>
      <c r="B695" s="55" t="str">
        <f>HYPERLINK("https://jobright.ai/jobs/info/6694211626844201ec872b21?utm_campaign=1065&amp;utm_source=sheet", "Apply")</f>
        <v>Apply</v>
      </c>
      <c r="C695" s="10" t="s">
        <v>14379</v>
      </c>
      <c r="D695" s="56" t="s">
        <v>14380</v>
      </c>
      <c r="E695" s="59">
        <v>45301.0</v>
      </c>
      <c r="F695" s="10" t="s">
        <v>14381</v>
      </c>
      <c r="G695" s="10" t="s">
        <v>12654</v>
      </c>
      <c r="H695" s="10" t="s">
        <v>96</v>
      </c>
      <c r="I695" s="10" t="s">
        <v>55</v>
      </c>
      <c r="J695" s="10" t="s">
        <v>14382</v>
      </c>
      <c r="K695" s="10" t="s">
        <v>14383</v>
      </c>
      <c r="L695" s="10" t="s">
        <v>42</v>
      </c>
    </row>
    <row r="696" ht="15.75" customHeight="1">
      <c r="A696" s="64">
        <v>45487.0</v>
      </c>
      <c r="B696" s="55" t="str">
        <f>HYPERLINK("https://jobright.ai/jobs/info/669408dc8b2fa57909c9cdc8?utm_campaign=1065&amp;utm_source=sheet", "Apply")</f>
        <v>Apply</v>
      </c>
      <c r="C696" s="10" t="s">
        <v>12650</v>
      </c>
      <c r="D696" s="56" t="s">
        <v>2390</v>
      </c>
      <c r="E696" s="10">
        <v>2.0</v>
      </c>
      <c r="G696" s="10" t="s">
        <v>12635</v>
      </c>
      <c r="H696" s="10" t="s">
        <v>251</v>
      </c>
      <c r="I696" s="10" t="s">
        <v>252</v>
      </c>
      <c r="K696" s="10" t="s">
        <v>14384</v>
      </c>
      <c r="L696" s="10" t="s">
        <v>42</v>
      </c>
    </row>
    <row r="697" ht="15.75" customHeight="1">
      <c r="A697" s="64">
        <v>45487.0</v>
      </c>
      <c r="B697" s="55" t="str">
        <f>HYPERLINK("https://jobright.ai/jobs/info/664fa9c98ac8327579464064?utm_campaign=1065&amp;utm_source=sheet", "Apply")</f>
        <v>Apply</v>
      </c>
      <c r="C697" s="10" t="s">
        <v>14385</v>
      </c>
      <c r="D697" s="56" t="s">
        <v>6275</v>
      </c>
      <c r="E697" s="10" t="s">
        <v>45</v>
      </c>
      <c r="F697" s="10" t="s">
        <v>6276</v>
      </c>
      <c r="G697" s="10" t="s">
        <v>12635</v>
      </c>
      <c r="H697" s="10" t="s">
        <v>6277</v>
      </c>
      <c r="I697" s="10" t="s">
        <v>48</v>
      </c>
      <c r="K697" s="10" t="s">
        <v>14386</v>
      </c>
      <c r="L697" s="10" t="s">
        <v>42</v>
      </c>
    </row>
    <row r="698" ht="15.75" customHeight="1">
      <c r="A698" s="64">
        <v>45487.0</v>
      </c>
      <c r="B698" s="55" t="str">
        <f>HYPERLINK("https://jobright.ai/jobs/info/6679556339ca2f81c43706bf?utm_campaign=1065&amp;utm_source=sheet", "Apply")</f>
        <v>Apply</v>
      </c>
      <c r="C698" s="10" t="s">
        <v>14387</v>
      </c>
      <c r="D698" s="56" t="s">
        <v>14388</v>
      </c>
      <c r="E698" s="10" t="s">
        <v>276</v>
      </c>
      <c r="F698" s="10" t="s">
        <v>14389</v>
      </c>
      <c r="G698" s="10" t="s">
        <v>12630</v>
      </c>
      <c r="H698" s="10" t="s">
        <v>159</v>
      </c>
      <c r="I698" s="10" t="s">
        <v>55</v>
      </c>
      <c r="K698" s="10" t="s">
        <v>14390</v>
      </c>
      <c r="L698" s="10" t="s">
        <v>42</v>
      </c>
    </row>
    <row r="699" ht="15.75" customHeight="1">
      <c r="A699" s="64">
        <v>45487.0</v>
      </c>
      <c r="B699" s="55" t="str">
        <f>HYPERLINK("https://jobright.ai/jobs/info/6629a16e95c6db111e7dc757?utm_campaign=1065&amp;utm_source=sheet", "Apply")</f>
        <v>Apply</v>
      </c>
      <c r="C699" s="10" t="s">
        <v>14391</v>
      </c>
      <c r="D699" s="56" t="s">
        <v>14392</v>
      </c>
      <c r="E699" s="10" t="s">
        <v>65</v>
      </c>
      <c r="F699" s="10" t="s">
        <v>2315</v>
      </c>
      <c r="G699" s="10" t="s">
        <v>12654</v>
      </c>
      <c r="H699" s="10" t="s">
        <v>966</v>
      </c>
      <c r="I699" s="10" t="s">
        <v>55</v>
      </c>
      <c r="K699" s="10" t="s">
        <v>14393</v>
      </c>
      <c r="L699" s="10" t="s">
        <v>42</v>
      </c>
    </row>
    <row r="700" ht="15.75" customHeight="1">
      <c r="A700" s="64">
        <v>45487.0</v>
      </c>
      <c r="B700" s="55" t="str">
        <f>HYPERLINK("https://jobright.ai/jobs/info/6693d65a93305e3387c6ff43?utm_campaign=1065&amp;utm_source=sheet", "Apply")</f>
        <v>Apply</v>
      </c>
      <c r="C700" s="10" t="s">
        <v>13704</v>
      </c>
      <c r="D700" s="56" t="s">
        <v>14394</v>
      </c>
      <c r="E700" s="10" t="s">
        <v>79</v>
      </c>
      <c r="F700" s="10" t="s">
        <v>13546</v>
      </c>
      <c r="G700" s="10" t="s">
        <v>12654</v>
      </c>
      <c r="H700" s="10" t="s">
        <v>96</v>
      </c>
      <c r="I700" s="10" t="s">
        <v>55</v>
      </c>
      <c r="J700" s="10" t="s">
        <v>1797</v>
      </c>
      <c r="K700" s="10" t="s">
        <v>14395</v>
      </c>
      <c r="L700" s="10" t="s">
        <v>42</v>
      </c>
    </row>
    <row r="701" ht="15.75" customHeight="1">
      <c r="A701" s="64">
        <v>45487.0</v>
      </c>
      <c r="B701" s="55" t="str">
        <f>HYPERLINK("https://jobright.ai/jobs/info/65020381b51c379df760370f?utm_campaign=1065&amp;utm_source=sheet", "Apply")</f>
        <v>Apply</v>
      </c>
      <c r="C701" s="10" t="s">
        <v>14396</v>
      </c>
      <c r="D701" s="56" t="s">
        <v>736</v>
      </c>
      <c r="E701" s="10" t="s">
        <v>276</v>
      </c>
      <c r="F701" s="10" t="s">
        <v>737</v>
      </c>
      <c r="G701" s="10" t="s">
        <v>12645</v>
      </c>
      <c r="H701" s="10" t="s">
        <v>738</v>
      </c>
      <c r="I701" s="10" t="s">
        <v>55</v>
      </c>
      <c r="J701" s="10" t="s">
        <v>1107</v>
      </c>
      <c r="K701" s="10" t="s">
        <v>14397</v>
      </c>
      <c r="L701" s="10" t="s">
        <v>42</v>
      </c>
    </row>
    <row r="702" ht="15.75" customHeight="1">
      <c r="A702" s="64">
        <v>45487.0</v>
      </c>
      <c r="B702" s="55" t="str">
        <f>HYPERLINK("https://jobright.ai/jobs/info/6693aa9f69ff1fd58ac5d6e0?utm_campaign=1065&amp;utm_source=sheet", "Apply")</f>
        <v>Apply</v>
      </c>
      <c r="C702" s="10" t="s">
        <v>13704</v>
      </c>
      <c r="D702" s="56" t="s">
        <v>14394</v>
      </c>
      <c r="E702" s="10" t="s">
        <v>79</v>
      </c>
      <c r="F702" s="10" t="s">
        <v>13546</v>
      </c>
      <c r="G702" s="10" t="s">
        <v>12654</v>
      </c>
      <c r="H702" s="10" t="s">
        <v>96</v>
      </c>
      <c r="I702" s="10" t="s">
        <v>48</v>
      </c>
      <c r="J702" s="10" t="s">
        <v>1797</v>
      </c>
      <c r="K702" s="10" t="s">
        <v>14395</v>
      </c>
      <c r="L702" s="10" t="s">
        <v>42</v>
      </c>
    </row>
    <row r="703" ht="15.75" customHeight="1">
      <c r="A703" s="64">
        <v>45487.0</v>
      </c>
      <c r="B703" s="55" t="str">
        <f>HYPERLINK("https://jobright.ai/jobs/info/664ea6144e197fc8adcf7d8c?utm_campaign=1065&amp;utm_source=sheet", "Apply")</f>
        <v>Apply</v>
      </c>
      <c r="C703" s="10" t="s">
        <v>14398</v>
      </c>
      <c r="D703" s="56" t="s">
        <v>14399</v>
      </c>
      <c r="E703" s="10" t="s">
        <v>249</v>
      </c>
      <c r="F703" s="10" t="s">
        <v>3382</v>
      </c>
      <c r="G703" s="10" t="s">
        <v>12630</v>
      </c>
      <c r="H703" s="10" t="s">
        <v>14400</v>
      </c>
      <c r="I703" s="10" t="s">
        <v>55</v>
      </c>
      <c r="K703" s="10" t="s">
        <v>14401</v>
      </c>
      <c r="L703" s="10" t="s">
        <v>42</v>
      </c>
    </row>
    <row r="704" ht="15.75" customHeight="1">
      <c r="A704" s="64">
        <v>45487.0</v>
      </c>
      <c r="B704" s="55" t="str">
        <f>HYPERLINK("https://jobright.ai/jobs/info/665aa45dbf3413525961b0be?utm_campaign=1065&amp;utm_source=sheet", "Apply")</f>
        <v>Apply</v>
      </c>
      <c r="C704" s="10" t="s">
        <v>14402</v>
      </c>
      <c r="D704" s="56" t="s">
        <v>9483</v>
      </c>
      <c r="E704" s="10" t="s">
        <v>45</v>
      </c>
      <c r="F704" s="10" t="s">
        <v>9484</v>
      </c>
      <c r="G704" s="10" t="s">
        <v>12635</v>
      </c>
      <c r="H704" s="10" t="s">
        <v>1017</v>
      </c>
      <c r="I704" s="10" t="s">
        <v>48</v>
      </c>
      <c r="K704" s="10" t="s">
        <v>14403</v>
      </c>
      <c r="L704" s="10" t="s">
        <v>42</v>
      </c>
    </row>
    <row r="705" ht="15.75" customHeight="1">
      <c r="A705" s="64">
        <v>45487.0</v>
      </c>
      <c r="B705" s="55" t="str">
        <f>HYPERLINK("https://jobright.ai/jobs/info/6693ace69048cd6a3e56526a?utm_campaign=1065&amp;utm_source=sheet", "Apply")</f>
        <v>Apply</v>
      </c>
      <c r="C705" s="10" t="s">
        <v>14404</v>
      </c>
      <c r="D705" s="56" t="s">
        <v>14405</v>
      </c>
      <c r="E705" s="10" t="s">
        <v>209</v>
      </c>
      <c r="F705" s="10" t="s">
        <v>1376</v>
      </c>
      <c r="G705" s="10" t="s">
        <v>12630</v>
      </c>
      <c r="H705" s="10" t="s">
        <v>610</v>
      </c>
      <c r="I705" s="10" t="s">
        <v>55</v>
      </c>
      <c r="K705" s="10" t="s">
        <v>14406</v>
      </c>
      <c r="L705" s="10" t="s">
        <v>42</v>
      </c>
    </row>
    <row r="706" ht="15.75" customHeight="1">
      <c r="A706" s="64">
        <v>45486.0</v>
      </c>
      <c r="B706" s="55" t="str">
        <f>HYPERLINK("https://jobright.ai/jobs/info/6692e07ea1ef50f2a94aecb3?utm_campaign=1065&amp;utm_source=sheet", "Apply")</f>
        <v>Apply</v>
      </c>
      <c r="C706" s="10" t="s">
        <v>14407</v>
      </c>
      <c r="D706" s="56" t="s">
        <v>14408</v>
      </c>
      <c r="E706" s="10" t="s">
        <v>276</v>
      </c>
      <c r="F706" s="10" t="s">
        <v>14409</v>
      </c>
      <c r="G706" s="10" t="s">
        <v>12654</v>
      </c>
      <c r="H706" s="10" t="s">
        <v>251</v>
      </c>
      <c r="I706" s="10" t="s">
        <v>252</v>
      </c>
      <c r="J706" s="10" t="s">
        <v>1797</v>
      </c>
      <c r="K706" s="10" t="s">
        <v>14410</v>
      </c>
      <c r="L706" s="10" t="s">
        <v>42</v>
      </c>
    </row>
    <row r="707" ht="15.75" customHeight="1">
      <c r="A707" s="64">
        <v>45486.0</v>
      </c>
      <c r="B707" s="55" t="str">
        <f>HYPERLINK("https://jobright.ai/jobs/info/668df3832b910e4ba4c108f1?utm_campaign=1065&amp;utm_source=sheet", "Apply")</f>
        <v>Apply</v>
      </c>
      <c r="C707" s="10" t="s">
        <v>14411</v>
      </c>
      <c r="D707" s="56" t="s">
        <v>3211</v>
      </c>
      <c r="E707" s="10" t="s">
        <v>45</v>
      </c>
      <c r="F707" s="10" t="s">
        <v>3212</v>
      </c>
      <c r="G707" s="10" t="s">
        <v>12654</v>
      </c>
      <c r="H707" s="10" t="s">
        <v>1022</v>
      </c>
      <c r="I707" s="10" t="s">
        <v>55</v>
      </c>
      <c r="K707" s="10" t="s">
        <v>14412</v>
      </c>
      <c r="L707" s="10" t="s">
        <v>42</v>
      </c>
    </row>
    <row r="708" ht="15.75" customHeight="1">
      <c r="A708" s="64">
        <v>45486.0</v>
      </c>
      <c r="B708" s="55" t="str">
        <f>HYPERLINK("https://jobright.ai/jobs/info/6692c50d6f5fa88f714623fe?utm_campaign=1065&amp;utm_source=sheet", "Apply")</f>
        <v>Apply</v>
      </c>
      <c r="C708" s="10" t="s">
        <v>12650</v>
      </c>
      <c r="D708" s="56" t="s">
        <v>14413</v>
      </c>
      <c r="E708" s="10" t="s">
        <v>137</v>
      </c>
      <c r="F708" s="10" t="s">
        <v>14414</v>
      </c>
      <c r="G708" s="10" t="s">
        <v>12635</v>
      </c>
      <c r="H708" s="10" t="s">
        <v>165</v>
      </c>
      <c r="I708" s="10" t="s">
        <v>55</v>
      </c>
      <c r="K708" s="10" t="s">
        <v>14415</v>
      </c>
      <c r="L708" s="10" t="s">
        <v>42</v>
      </c>
    </row>
    <row r="709" ht="15.75" customHeight="1">
      <c r="A709" s="64">
        <v>45486.0</v>
      </c>
      <c r="B709" s="55" t="str">
        <f>HYPERLINK("https://jobright.ai/jobs/info/6692a7b6df528f73f4c29041?utm_campaign=1065&amp;utm_source=sheet", "Apply")</f>
        <v>Apply</v>
      </c>
      <c r="C709" s="10" t="s">
        <v>14416</v>
      </c>
      <c r="D709" s="56" t="s">
        <v>14417</v>
      </c>
      <c r="F709" s="10" t="s">
        <v>1893</v>
      </c>
      <c r="G709" s="10" t="s">
        <v>12635</v>
      </c>
      <c r="H709" s="10" t="s">
        <v>1024</v>
      </c>
      <c r="I709" s="10" t="s">
        <v>55</v>
      </c>
      <c r="K709" s="10" t="s">
        <v>14418</v>
      </c>
      <c r="L709" s="10" t="s">
        <v>42</v>
      </c>
    </row>
    <row r="710" ht="15.75" customHeight="1">
      <c r="A710" s="64">
        <v>45486.0</v>
      </c>
      <c r="B710" s="55" t="str">
        <f>HYPERLINK("https://jobright.ai/jobs/info/65570bd433791b07dfb8cb1d?utm_campaign=1065&amp;utm_source=sheet", "Apply")</f>
        <v>Apply</v>
      </c>
      <c r="C710" s="10" t="s">
        <v>14419</v>
      </c>
      <c r="D710" s="56" t="s">
        <v>1064</v>
      </c>
      <c r="E710" s="10" t="s">
        <v>65</v>
      </c>
      <c r="F710" s="10" t="s">
        <v>1065</v>
      </c>
      <c r="G710" s="10" t="s">
        <v>12635</v>
      </c>
      <c r="H710" s="10" t="s">
        <v>952</v>
      </c>
      <c r="I710" s="10" t="s">
        <v>55</v>
      </c>
      <c r="K710" s="10" t="s">
        <v>14420</v>
      </c>
      <c r="L710" s="10" t="s">
        <v>42</v>
      </c>
    </row>
    <row r="711" ht="15.75" customHeight="1">
      <c r="A711" s="64">
        <v>45486.0</v>
      </c>
      <c r="B711" s="55" t="str">
        <f>HYPERLINK("https://jobright.ai/jobs/info/65076e1d9fd81a9623a81973?utm_campaign=1065&amp;utm_source=sheet", "Apply")</f>
        <v>Apply</v>
      </c>
      <c r="C711" s="10" t="s">
        <v>14421</v>
      </c>
      <c r="D711" s="56" t="s">
        <v>1064</v>
      </c>
      <c r="E711" s="10" t="s">
        <v>65</v>
      </c>
      <c r="F711" s="10" t="s">
        <v>1065</v>
      </c>
      <c r="G711" s="10" t="s">
        <v>12635</v>
      </c>
      <c r="H711" s="10" t="s">
        <v>952</v>
      </c>
      <c r="I711" s="10" t="s">
        <v>55</v>
      </c>
      <c r="K711" s="10" t="s">
        <v>14422</v>
      </c>
      <c r="L711" s="10" t="s">
        <v>42</v>
      </c>
    </row>
    <row r="712" ht="15.75" customHeight="1">
      <c r="A712" s="64">
        <v>45486.0</v>
      </c>
      <c r="B712" s="55" t="str">
        <f>HYPERLINK("https://jobright.ai/jobs/info/664fcb2e922fde543a0ebfb9?utm_campaign=1065&amp;utm_source=sheet", "Apply")</f>
        <v>Apply</v>
      </c>
      <c r="C712" s="10" t="s">
        <v>14385</v>
      </c>
      <c r="D712" s="56" t="s">
        <v>6275</v>
      </c>
      <c r="E712" s="10" t="s">
        <v>45</v>
      </c>
      <c r="F712" s="10" t="s">
        <v>6276</v>
      </c>
      <c r="G712" s="10" t="s">
        <v>12635</v>
      </c>
      <c r="H712" s="10" t="s">
        <v>14423</v>
      </c>
      <c r="I712" s="10" t="s">
        <v>48</v>
      </c>
      <c r="K712" s="10" t="s">
        <v>14386</v>
      </c>
      <c r="L712" s="10" t="s">
        <v>42</v>
      </c>
    </row>
    <row r="713" ht="15.75" customHeight="1">
      <c r="A713" s="64">
        <v>45486.0</v>
      </c>
      <c r="B713" s="55" t="str">
        <f>HYPERLINK("https://jobright.ai/jobs/info/66522c9532f708b9951e22e5?utm_campaign=1065&amp;utm_source=sheet", "Apply")</f>
        <v>Apply</v>
      </c>
      <c r="C713" s="10" t="s">
        <v>14424</v>
      </c>
      <c r="D713" s="56" t="s">
        <v>10169</v>
      </c>
      <c r="E713" s="10" t="s">
        <v>45</v>
      </c>
      <c r="F713" s="10" t="s">
        <v>10170</v>
      </c>
      <c r="G713" s="10" t="s">
        <v>12635</v>
      </c>
      <c r="H713" s="10" t="s">
        <v>848</v>
      </c>
      <c r="I713" s="10" t="s">
        <v>55</v>
      </c>
      <c r="K713" s="10" t="s">
        <v>14425</v>
      </c>
      <c r="L713" s="10" t="s">
        <v>42</v>
      </c>
    </row>
    <row r="714" ht="15.75" customHeight="1">
      <c r="A714" s="64">
        <v>45486.0</v>
      </c>
      <c r="B714" s="55" t="str">
        <f>HYPERLINK("https://jobright.ai/jobs/info/65086fe6b1e91ec1ac9bcf21?utm_campaign=1065&amp;utm_source=sheet", "Apply")</f>
        <v>Apply</v>
      </c>
      <c r="C714" s="10" t="s">
        <v>14426</v>
      </c>
      <c r="D714" s="56" t="s">
        <v>1064</v>
      </c>
      <c r="E714" s="10" t="s">
        <v>65</v>
      </c>
      <c r="F714" s="10" t="s">
        <v>1065</v>
      </c>
      <c r="G714" s="10" t="s">
        <v>12635</v>
      </c>
      <c r="H714" s="10" t="s">
        <v>952</v>
      </c>
      <c r="I714" s="10" t="s">
        <v>55</v>
      </c>
      <c r="K714" s="10" t="s">
        <v>14427</v>
      </c>
      <c r="L714" s="10" t="s">
        <v>42</v>
      </c>
    </row>
    <row r="715" ht="15.75" customHeight="1">
      <c r="A715" s="64">
        <v>45486.0</v>
      </c>
      <c r="B715" s="55" t="str">
        <f>HYPERLINK("https://jobright.ai/jobs/info/667968cbd86d626ab8b77dc3?utm_campaign=1065&amp;utm_source=sheet", "Apply")</f>
        <v>Apply</v>
      </c>
      <c r="C715" s="10" t="s">
        <v>14428</v>
      </c>
      <c r="D715" s="56" t="s">
        <v>10975</v>
      </c>
      <c r="E715" s="10" t="s">
        <v>249</v>
      </c>
      <c r="F715" s="10" t="s">
        <v>1934</v>
      </c>
      <c r="G715" s="10" t="s">
        <v>12635</v>
      </c>
      <c r="H715" s="10" t="s">
        <v>146</v>
      </c>
      <c r="I715" s="10" t="s">
        <v>55</v>
      </c>
      <c r="K715" s="10" t="s">
        <v>14429</v>
      </c>
      <c r="L715" s="10" t="s">
        <v>42</v>
      </c>
    </row>
    <row r="716" ht="15.75" customHeight="1">
      <c r="A716" s="64">
        <v>45486.0</v>
      </c>
      <c r="B716" s="55" t="str">
        <f>HYPERLINK("https://jobright.ai/jobs/info/66522c9532f708b9951e22d8?utm_campaign=1065&amp;utm_source=sheet", "Apply")</f>
        <v>Apply</v>
      </c>
      <c r="C716" s="10" t="s">
        <v>13643</v>
      </c>
      <c r="D716" s="56" t="s">
        <v>10169</v>
      </c>
      <c r="E716" s="10" t="s">
        <v>45</v>
      </c>
      <c r="F716" s="10" t="s">
        <v>10170</v>
      </c>
      <c r="G716" s="10" t="s">
        <v>12635</v>
      </c>
      <c r="H716" s="10" t="s">
        <v>990</v>
      </c>
      <c r="I716" s="10" t="s">
        <v>55</v>
      </c>
      <c r="J716" s="10" t="s">
        <v>1409</v>
      </c>
      <c r="K716" s="10" t="s">
        <v>13645</v>
      </c>
      <c r="L716" s="10" t="s">
        <v>42</v>
      </c>
    </row>
    <row r="717" ht="15.75" customHeight="1">
      <c r="A717" s="64">
        <v>45486.0</v>
      </c>
      <c r="B717" s="55" t="str">
        <f>HYPERLINK("https://jobright.ai/jobs/info/66269f7a7b2149c058535af1?utm_campaign=1065&amp;utm_source=sheet", "Apply")</f>
        <v>Apply</v>
      </c>
      <c r="C717" s="10" t="s">
        <v>14430</v>
      </c>
      <c r="D717" s="56" t="s">
        <v>12687</v>
      </c>
      <c r="E717" s="10" t="s">
        <v>65</v>
      </c>
      <c r="F717" s="10" t="s">
        <v>12688</v>
      </c>
      <c r="G717" s="10" t="s">
        <v>12654</v>
      </c>
      <c r="H717" s="10" t="s">
        <v>1556</v>
      </c>
      <c r="I717" s="10" t="s">
        <v>48</v>
      </c>
      <c r="K717" s="10" t="s">
        <v>12850</v>
      </c>
      <c r="L717" s="10" t="s">
        <v>42</v>
      </c>
    </row>
    <row r="718" ht="15.75" customHeight="1">
      <c r="A718" s="64">
        <v>45486.0</v>
      </c>
      <c r="B718" s="55" t="str">
        <f>HYPERLINK("https://jobright.ai/jobs/info/664626be6fe422ddd89f9bd6?utm_campaign=1065&amp;utm_source=sheet", "Apply")</f>
        <v>Apply</v>
      </c>
      <c r="C718" s="10" t="s">
        <v>14431</v>
      </c>
      <c r="D718" s="56" t="s">
        <v>9671</v>
      </c>
      <c r="E718" s="10" t="s">
        <v>45</v>
      </c>
      <c r="F718" s="10" t="s">
        <v>1084</v>
      </c>
      <c r="G718" s="10" t="s">
        <v>12645</v>
      </c>
      <c r="H718" s="10" t="s">
        <v>96</v>
      </c>
      <c r="I718" s="10" t="s">
        <v>55</v>
      </c>
      <c r="J718" s="10" t="s">
        <v>10332</v>
      </c>
      <c r="K718" s="10" t="s">
        <v>14432</v>
      </c>
      <c r="L718" s="10" t="s">
        <v>42</v>
      </c>
    </row>
    <row r="719" ht="15.75" customHeight="1">
      <c r="A719" s="64">
        <v>45486.0</v>
      </c>
      <c r="B719" s="55" t="str">
        <f>HYPERLINK("https://jobright.ai/jobs/info/66935c218363a30561fab943?utm_campaign=1065&amp;utm_source=sheet", "Apply")</f>
        <v>Apply</v>
      </c>
      <c r="C719" s="10" t="s">
        <v>14433</v>
      </c>
      <c r="D719" s="56" t="s">
        <v>14434</v>
      </c>
      <c r="E719" s="10">
        <v>7810.0</v>
      </c>
      <c r="G719" s="10" t="s">
        <v>12654</v>
      </c>
      <c r="H719" s="10" t="s">
        <v>113</v>
      </c>
      <c r="I719" s="10" t="s">
        <v>55</v>
      </c>
      <c r="J719" s="10" t="s">
        <v>1409</v>
      </c>
      <c r="K719" s="10" t="s">
        <v>14435</v>
      </c>
      <c r="L719" s="10" t="s">
        <v>42</v>
      </c>
    </row>
    <row r="720" ht="15.75" customHeight="1">
      <c r="A720" s="64">
        <v>45486.0</v>
      </c>
      <c r="B720" s="55" t="str">
        <f>HYPERLINK("https://jobright.ai/jobs/info/66522c9532f708b9951e22f3?utm_campaign=1065&amp;utm_source=sheet", "Apply")</f>
        <v>Apply</v>
      </c>
      <c r="C720" s="10" t="s">
        <v>13643</v>
      </c>
      <c r="D720" s="56" t="s">
        <v>10169</v>
      </c>
      <c r="E720" s="10" t="s">
        <v>45</v>
      </c>
      <c r="F720" s="10" t="s">
        <v>10170</v>
      </c>
      <c r="G720" s="10" t="s">
        <v>12635</v>
      </c>
      <c r="H720" s="10" t="s">
        <v>1028</v>
      </c>
      <c r="I720" s="10" t="s">
        <v>55</v>
      </c>
      <c r="J720" s="10" t="s">
        <v>1409</v>
      </c>
      <c r="K720" s="10" t="s">
        <v>13645</v>
      </c>
      <c r="L720" s="10" t="s">
        <v>42</v>
      </c>
    </row>
    <row r="721" ht="15.75" customHeight="1">
      <c r="A721" s="64">
        <v>45486.0</v>
      </c>
      <c r="B721" s="55" t="str">
        <f>HYPERLINK("https://jobright.ai/jobs/info/66741e1d8f8ed70066b4b9c5?utm_campaign=1065&amp;utm_source=sheet", "Apply")</f>
        <v>Apply</v>
      </c>
      <c r="C721" s="10" t="s">
        <v>14436</v>
      </c>
      <c r="D721" s="56" t="s">
        <v>14437</v>
      </c>
      <c r="E721" s="10">
        <v>150.0</v>
      </c>
      <c r="G721" s="10" t="s">
        <v>12630</v>
      </c>
      <c r="H721" s="10" t="s">
        <v>6620</v>
      </c>
      <c r="I721" s="10" t="s">
        <v>48</v>
      </c>
      <c r="K721" s="10" t="s">
        <v>7614</v>
      </c>
      <c r="L721" s="10" t="s">
        <v>42</v>
      </c>
    </row>
    <row r="722" ht="15.75" customHeight="1">
      <c r="A722" s="64">
        <v>45486.0</v>
      </c>
      <c r="B722" s="55" t="str">
        <f>HYPERLINK("https://jobright.ai/jobs/info/65077c75c5d6d59a6ff93e23?utm_campaign=1065&amp;utm_source=sheet", "Apply")</f>
        <v>Apply</v>
      </c>
      <c r="C722" s="10" t="s">
        <v>14438</v>
      </c>
      <c r="D722" s="56" t="s">
        <v>1064</v>
      </c>
      <c r="E722" s="10" t="s">
        <v>65</v>
      </c>
      <c r="F722" s="10" t="s">
        <v>1065</v>
      </c>
      <c r="G722" s="10" t="s">
        <v>12645</v>
      </c>
      <c r="H722" s="10" t="s">
        <v>952</v>
      </c>
      <c r="I722" s="10" t="s">
        <v>55</v>
      </c>
      <c r="K722" s="10" t="s">
        <v>14439</v>
      </c>
      <c r="L722" s="10" t="s">
        <v>42</v>
      </c>
    </row>
    <row r="723" ht="15.75" customHeight="1">
      <c r="A723" s="64">
        <v>45486.0</v>
      </c>
      <c r="B723" s="55" t="str">
        <f>HYPERLINK("https://jobright.ai/jobs/info/6676d48d1d12b08259382936?utm_campaign=1065&amp;utm_source=sheet", "Apply")</f>
        <v>Apply</v>
      </c>
      <c r="C723" s="10" t="s">
        <v>14440</v>
      </c>
      <c r="D723" s="56" t="s">
        <v>1064</v>
      </c>
      <c r="E723" s="10" t="s">
        <v>65</v>
      </c>
      <c r="F723" s="10" t="s">
        <v>1065</v>
      </c>
      <c r="G723" s="10" t="s">
        <v>12645</v>
      </c>
      <c r="H723" s="10" t="s">
        <v>952</v>
      </c>
      <c r="I723" s="10" t="s">
        <v>55</v>
      </c>
      <c r="K723" s="10" t="s">
        <v>14441</v>
      </c>
      <c r="L723" s="10" t="s">
        <v>42</v>
      </c>
    </row>
    <row r="724" ht="15.75" customHeight="1">
      <c r="A724" s="64">
        <v>45486.0</v>
      </c>
      <c r="B724" s="55" t="str">
        <f>HYPERLINK("https://jobright.ai/jobs/info/66391cd0d5ef5ed81334b921?utm_campaign=1065&amp;utm_source=sheet", "Apply")</f>
        <v>Apply</v>
      </c>
      <c r="C724" s="10" t="s">
        <v>12650</v>
      </c>
      <c r="D724" s="56" t="s">
        <v>14442</v>
      </c>
      <c r="E724" s="10" t="s">
        <v>45</v>
      </c>
      <c r="F724" s="10" t="s">
        <v>14443</v>
      </c>
      <c r="G724" s="10" t="s">
        <v>12630</v>
      </c>
      <c r="H724" s="10" t="s">
        <v>14444</v>
      </c>
      <c r="I724" s="10" t="s">
        <v>55</v>
      </c>
      <c r="J724" s="10" t="s">
        <v>1409</v>
      </c>
      <c r="K724" s="10" t="s">
        <v>14445</v>
      </c>
      <c r="L724" s="10" t="s">
        <v>42</v>
      </c>
    </row>
    <row r="725" ht="15.75" customHeight="1">
      <c r="A725" s="64">
        <v>45486.0</v>
      </c>
      <c r="B725" s="55" t="str">
        <f>HYPERLINK("https://jobright.ai/jobs/info/65b88183a337a8bf50301271?utm_campaign=1065&amp;utm_source=sheet", "Apply")</f>
        <v>Apply</v>
      </c>
      <c r="C725" s="10" t="s">
        <v>14446</v>
      </c>
      <c r="D725" s="56" t="s">
        <v>1064</v>
      </c>
      <c r="E725" s="10" t="s">
        <v>65</v>
      </c>
      <c r="F725" s="10" t="s">
        <v>1065</v>
      </c>
      <c r="G725" s="10" t="s">
        <v>12635</v>
      </c>
      <c r="H725" s="10" t="s">
        <v>952</v>
      </c>
      <c r="I725" s="10" t="s">
        <v>55</v>
      </c>
      <c r="K725" s="10" t="s">
        <v>14447</v>
      </c>
      <c r="L725" s="10" t="s">
        <v>42</v>
      </c>
    </row>
    <row r="726" ht="15.75" customHeight="1">
      <c r="A726" s="64">
        <v>45486.0</v>
      </c>
      <c r="B726" s="55" t="str">
        <f>HYPERLINK("https://jobright.ai/jobs/info/65077c86c5d6d59a6ff9424c?utm_campaign=1065&amp;utm_source=sheet", "Apply")</f>
        <v>Apply</v>
      </c>
      <c r="C726" s="10" t="s">
        <v>14448</v>
      </c>
      <c r="D726" s="56" t="s">
        <v>1064</v>
      </c>
      <c r="E726" s="10" t="s">
        <v>65</v>
      </c>
      <c r="F726" s="10" t="s">
        <v>1065</v>
      </c>
      <c r="G726" s="10" t="s">
        <v>12645</v>
      </c>
      <c r="H726" s="10" t="s">
        <v>952</v>
      </c>
      <c r="I726" s="10" t="s">
        <v>55</v>
      </c>
      <c r="K726" s="10" t="s">
        <v>14449</v>
      </c>
      <c r="L726" s="10" t="s">
        <v>42</v>
      </c>
    </row>
    <row r="727" ht="15.75" customHeight="1">
      <c r="A727" s="64">
        <v>45486.0</v>
      </c>
      <c r="B727" s="55" t="str">
        <f>HYPERLINK("https://jobright.ai/jobs/info/65d55275849149a31389c5c2?utm_campaign=1065&amp;utm_source=sheet", "Apply")</f>
        <v>Apply</v>
      </c>
      <c r="C727" s="10" t="s">
        <v>14450</v>
      </c>
      <c r="D727" s="56" t="s">
        <v>6095</v>
      </c>
      <c r="E727" s="10" t="s">
        <v>209</v>
      </c>
      <c r="F727" s="10" t="s">
        <v>2098</v>
      </c>
      <c r="G727" s="10" t="s">
        <v>12635</v>
      </c>
      <c r="H727" s="10" t="s">
        <v>1008</v>
      </c>
      <c r="I727" s="10" t="s">
        <v>55</v>
      </c>
      <c r="K727" s="10" t="s">
        <v>14451</v>
      </c>
      <c r="L727" s="10" t="s">
        <v>42</v>
      </c>
    </row>
    <row r="728" ht="15.75" customHeight="1">
      <c r="A728" s="64">
        <v>45486.0</v>
      </c>
      <c r="B728" s="55" t="str">
        <f>HYPERLINK("https://jobright.ai/jobs/info/664e000cd79e0cf7655014e8?utm_campaign=1065&amp;utm_source=sheet", "Apply")</f>
        <v>Apply</v>
      </c>
      <c r="C728" s="10" t="s">
        <v>14452</v>
      </c>
      <c r="D728" s="56" t="s">
        <v>7209</v>
      </c>
      <c r="E728" s="10" t="s">
        <v>45</v>
      </c>
      <c r="F728" s="10" t="s">
        <v>7210</v>
      </c>
      <c r="G728" s="10" t="s">
        <v>12630</v>
      </c>
      <c r="H728" s="10" t="s">
        <v>14453</v>
      </c>
      <c r="I728" s="10" t="s">
        <v>55</v>
      </c>
      <c r="K728" s="10" t="s">
        <v>13728</v>
      </c>
      <c r="L728" s="10" t="s">
        <v>42</v>
      </c>
    </row>
    <row r="729" ht="15.75" customHeight="1">
      <c r="A729" s="64">
        <v>45486.0</v>
      </c>
      <c r="B729" s="55" t="str">
        <f>HYPERLINK("https://jobright.ai/jobs/info/6676d9054ffdc62f7b67a2ac?utm_campaign=1065&amp;utm_source=sheet", "Apply")</f>
        <v>Apply</v>
      </c>
      <c r="C729" s="10" t="s">
        <v>14454</v>
      </c>
      <c r="D729" s="56" t="s">
        <v>9483</v>
      </c>
      <c r="E729" s="10" t="s">
        <v>45</v>
      </c>
      <c r="F729" s="10" t="s">
        <v>9484</v>
      </c>
      <c r="G729" s="10" t="s">
        <v>12635</v>
      </c>
      <c r="H729" s="10" t="s">
        <v>9486</v>
      </c>
      <c r="I729" s="10" t="s">
        <v>48</v>
      </c>
      <c r="K729" s="10" t="s">
        <v>14403</v>
      </c>
      <c r="L729" s="10" t="s">
        <v>42</v>
      </c>
    </row>
    <row r="730" ht="15.75" customHeight="1">
      <c r="A730" s="64">
        <v>45486.0</v>
      </c>
      <c r="B730" s="55" t="str">
        <f>HYPERLINK("https://jobright.ai/jobs/info/669179b14c0f79ebbd88cf0c?utm_campaign=1065&amp;utm_source=sheet", "Apply")</f>
        <v>Apply</v>
      </c>
      <c r="C730" s="10" t="s">
        <v>14455</v>
      </c>
      <c r="D730" s="56" t="s">
        <v>14456</v>
      </c>
      <c r="E730" s="10" t="s">
        <v>45</v>
      </c>
      <c r="F730" s="10" t="s">
        <v>1224</v>
      </c>
      <c r="G730" s="10" t="s">
        <v>12654</v>
      </c>
      <c r="H730" s="10" t="s">
        <v>835</v>
      </c>
      <c r="I730" s="10" t="s">
        <v>55</v>
      </c>
      <c r="K730" s="10" t="s">
        <v>14457</v>
      </c>
      <c r="L730" s="10" t="s">
        <v>42</v>
      </c>
    </row>
    <row r="731" ht="15.75" customHeight="1">
      <c r="A731" s="64">
        <v>45486.0</v>
      </c>
      <c r="B731" s="55" t="str">
        <f>HYPERLINK("https://jobright.ai/jobs/info/66922452b45973b4bb9630a9?utm_campaign=1065&amp;utm_source=sheet", "Apply")</f>
        <v>Apply</v>
      </c>
      <c r="C731" s="10" t="s">
        <v>14458</v>
      </c>
      <c r="D731" s="56" t="s">
        <v>14459</v>
      </c>
      <c r="E731" s="59">
        <v>45301.0</v>
      </c>
      <c r="F731" s="10" t="s">
        <v>3975</v>
      </c>
      <c r="G731" s="10" t="s">
        <v>12630</v>
      </c>
      <c r="H731" s="10" t="s">
        <v>14460</v>
      </c>
      <c r="I731" s="10" t="s">
        <v>55</v>
      </c>
      <c r="K731" s="10" t="s">
        <v>14461</v>
      </c>
      <c r="L731" s="10" t="s">
        <v>42</v>
      </c>
    </row>
    <row r="732" ht="15.75" customHeight="1">
      <c r="A732" s="64">
        <v>45486.0</v>
      </c>
      <c r="B732" s="55" t="str">
        <f>HYPERLINK("https://jobright.ai/jobs/info/6691e1347ab0371a6692f500?utm_campaign=1065&amp;utm_source=sheet", "Apply")</f>
        <v>Apply</v>
      </c>
      <c r="C732" s="10" t="s">
        <v>14462</v>
      </c>
      <c r="D732" s="56" t="s">
        <v>10244</v>
      </c>
      <c r="E732" s="10" t="s">
        <v>45</v>
      </c>
      <c r="G732" s="10" t="s">
        <v>12654</v>
      </c>
      <c r="H732" s="10" t="s">
        <v>14463</v>
      </c>
      <c r="I732" s="10" t="s">
        <v>55</v>
      </c>
      <c r="J732" s="10" t="s">
        <v>14464</v>
      </c>
      <c r="K732" s="10" t="s">
        <v>12746</v>
      </c>
      <c r="L732" s="10" t="s">
        <v>42</v>
      </c>
    </row>
    <row r="733" ht="15.75" customHeight="1">
      <c r="A733" s="64">
        <v>45485.0</v>
      </c>
      <c r="B733" s="55" t="str">
        <f>HYPERLINK("https://jobright.ai/jobs/info/668c6bb659b1963e7b946c71?utm_campaign=1065&amp;utm_source=sheet", "Apply")</f>
        <v>Apply</v>
      </c>
      <c r="C733" s="10" t="s">
        <v>14465</v>
      </c>
      <c r="D733" s="56" t="s">
        <v>3211</v>
      </c>
      <c r="E733" s="10" t="s">
        <v>45</v>
      </c>
      <c r="F733" s="10" t="s">
        <v>3212</v>
      </c>
      <c r="G733" s="10" t="s">
        <v>12635</v>
      </c>
      <c r="H733" s="10" t="s">
        <v>1022</v>
      </c>
      <c r="I733" s="10" t="s">
        <v>55</v>
      </c>
      <c r="J733" s="10" t="s">
        <v>5249</v>
      </c>
      <c r="K733" s="10" t="s">
        <v>14466</v>
      </c>
      <c r="L733" s="10" t="s">
        <v>42</v>
      </c>
    </row>
    <row r="734" ht="15.75" customHeight="1">
      <c r="A734" s="64">
        <v>45485.0</v>
      </c>
      <c r="B734" s="55" t="str">
        <f>HYPERLINK("https://jobright.ai/jobs/info/6691e5599c168d2a7e01ab2e?utm_campaign=1065&amp;utm_source=sheet", "Apply")</f>
        <v>Apply</v>
      </c>
      <c r="C734" s="10" t="s">
        <v>12650</v>
      </c>
      <c r="D734" s="56" t="s">
        <v>14467</v>
      </c>
      <c r="E734" s="10" t="s">
        <v>71</v>
      </c>
      <c r="F734" s="10" t="s">
        <v>9037</v>
      </c>
      <c r="G734" s="10" t="s">
        <v>12630</v>
      </c>
      <c r="H734" s="10" t="s">
        <v>232</v>
      </c>
      <c r="I734" s="10" t="s">
        <v>55</v>
      </c>
      <c r="J734" s="10" t="s">
        <v>7269</v>
      </c>
      <c r="K734" s="10" t="s">
        <v>14468</v>
      </c>
      <c r="L734" s="10" t="s">
        <v>42</v>
      </c>
    </row>
    <row r="735" ht="15.75" customHeight="1">
      <c r="A735" s="64">
        <v>45485.0</v>
      </c>
      <c r="B735" s="55" t="str">
        <f>HYPERLINK("https://jobright.ai/jobs/info/6691b8c4cc90539b647634f7?utm_campaign=1065&amp;utm_source=sheet", "Apply")</f>
        <v>Apply</v>
      </c>
      <c r="C735" s="10" t="s">
        <v>14469</v>
      </c>
      <c r="D735" s="56" t="s">
        <v>14470</v>
      </c>
      <c r="E735" s="10" t="s">
        <v>79</v>
      </c>
      <c r="F735" s="10" t="s">
        <v>14471</v>
      </c>
      <c r="G735" s="10" t="s">
        <v>12654</v>
      </c>
      <c r="H735" s="10" t="s">
        <v>251</v>
      </c>
      <c r="I735" s="10" t="s">
        <v>252</v>
      </c>
      <c r="K735" s="10" t="s">
        <v>14472</v>
      </c>
      <c r="L735" s="10" t="s">
        <v>42</v>
      </c>
    </row>
    <row r="736" ht="15.75" customHeight="1">
      <c r="A736" s="64">
        <v>45485.0</v>
      </c>
      <c r="B736" s="55" t="str">
        <f>HYPERLINK("https://jobright.ai/jobs/info/6691bd4efd9555930f1fda44?utm_campaign=1065&amp;utm_source=sheet", "Apply")</f>
        <v>Apply</v>
      </c>
      <c r="C736" s="10" t="s">
        <v>14473</v>
      </c>
      <c r="D736" s="56" t="s">
        <v>14474</v>
      </c>
      <c r="E736" s="10" t="s">
        <v>71</v>
      </c>
      <c r="F736" s="10" t="s">
        <v>2098</v>
      </c>
      <c r="G736" s="10" t="s">
        <v>12630</v>
      </c>
      <c r="H736" s="10" t="s">
        <v>666</v>
      </c>
      <c r="I736" s="10" t="s">
        <v>55</v>
      </c>
      <c r="J736" s="10" t="s">
        <v>14475</v>
      </c>
      <c r="K736" s="10" t="s">
        <v>14476</v>
      </c>
      <c r="L736" s="10" t="s">
        <v>42</v>
      </c>
    </row>
    <row r="737" ht="15.75" customHeight="1">
      <c r="A737" s="64">
        <v>45485.0</v>
      </c>
      <c r="B737" s="55" t="str">
        <f>HYPERLINK("https://jobright.ai/jobs/info/6691b8d5cc90539b64763672?utm_campaign=1065&amp;utm_source=sheet", "Apply")</f>
        <v>Apply</v>
      </c>
      <c r="C737" s="10" t="s">
        <v>12755</v>
      </c>
      <c r="D737" s="56" t="s">
        <v>14477</v>
      </c>
      <c r="E737" s="10" t="s">
        <v>276</v>
      </c>
      <c r="F737" s="10" t="s">
        <v>14478</v>
      </c>
      <c r="G737" s="10" t="s">
        <v>12654</v>
      </c>
      <c r="H737" s="10" t="s">
        <v>6550</v>
      </c>
      <c r="I737" s="10" t="s">
        <v>55</v>
      </c>
      <c r="K737" s="10" t="s">
        <v>14479</v>
      </c>
      <c r="L737" s="10" t="s">
        <v>42</v>
      </c>
    </row>
    <row r="738" ht="15.75" customHeight="1">
      <c r="A738" s="64">
        <v>45485.0</v>
      </c>
      <c r="B738" s="55" t="str">
        <f>HYPERLINK("https://jobright.ai/jobs/info/6691a9795e5623ebe1a39da6?utm_campaign=1065&amp;utm_source=sheet", "Apply")</f>
        <v>Apply</v>
      </c>
      <c r="C738" s="10" t="s">
        <v>13765</v>
      </c>
      <c r="D738" s="56" t="s">
        <v>13006</v>
      </c>
      <c r="E738" s="10" t="s">
        <v>79</v>
      </c>
      <c r="F738" s="10" t="s">
        <v>13007</v>
      </c>
      <c r="G738" s="10" t="s">
        <v>12645</v>
      </c>
      <c r="H738" s="10" t="s">
        <v>14480</v>
      </c>
      <c r="I738" s="10" t="s">
        <v>55</v>
      </c>
      <c r="J738" s="10" t="s">
        <v>13766</v>
      </c>
      <c r="K738" s="10" t="s">
        <v>13742</v>
      </c>
      <c r="L738" s="10" t="s">
        <v>42</v>
      </c>
    </row>
    <row r="739" ht="15.75" customHeight="1">
      <c r="A739" s="64">
        <v>45485.0</v>
      </c>
      <c r="B739" s="55" t="str">
        <f>HYPERLINK("https://jobright.ai/jobs/info/6691a9815e5623ebe1a39e78?utm_campaign=1065&amp;utm_source=sheet", "Apply")</f>
        <v>Apply</v>
      </c>
      <c r="C739" s="10" t="s">
        <v>13765</v>
      </c>
      <c r="D739" s="56" t="s">
        <v>13006</v>
      </c>
      <c r="E739" s="10" t="s">
        <v>79</v>
      </c>
      <c r="F739" s="10" t="s">
        <v>13007</v>
      </c>
      <c r="G739" s="10" t="s">
        <v>12645</v>
      </c>
      <c r="H739" s="10" t="s">
        <v>153</v>
      </c>
      <c r="I739" s="10" t="s">
        <v>55</v>
      </c>
      <c r="J739" s="10" t="s">
        <v>13766</v>
      </c>
      <c r="K739" s="10" t="s">
        <v>13742</v>
      </c>
      <c r="L739" s="10" t="s">
        <v>42</v>
      </c>
    </row>
    <row r="740" ht="15.75" customHeight="1">
      <c r="A740" s="64">
        <v>45485.0</v>
      </c>
      <c r="B740" s="55" t="str">
        <f>HYPERLINK("https://jobright.ai/jobs/info/6691a33c4c7d2eb620a7baff?utm_campaign=1065&amp;utm_source=sheet", "Apply")</f>
        <v>Apply</v>
      </c>
      <c r="C740" s="10" t="s">
        <v>13141</v>
      </c>
      <c r="D740" s="56" t="s">
        <v>14477</v>
      </c>
      <c r="E740" s="10" t="s">
        <v>276</v>
      </c>
      <c r="F740" s="10" t="s">
        <v>14478</v>
      </c>
      <c r="G740" s="10" t="s">
        <v>12630</v>
      </c>
      <c r="H740" s="10" t="s">
        <v>6550</v>
      </c>
      <c r="I740" s="10" t="s">
        <v>55</v>
      </c>
      <c r="K740" s="10" t="s">
        <v>14481</v>
      </c>
      <c r="L740" s="10" t="s">
        <v>42</v>
      </c>
    </row>
    <row r="741" ht="15.75" customHeight="1">
      <c r="A741" s="64">
        <v>45485.0</v>
      </c>
      <c r="B741" s="55" t="str">
        <f>HYPERLINK("https://jobright.ai/jobs/info/6691a9895e5623ebe1a39f9b?utm_campaign=1065&amp;utm_source=sheet", "Apply")</f>
        <v>Apply</v>
      </c>
      <c r="C741" s="10" t="s">
        <v>14482</v>
      </c>
      <c r="D741" s="56" t="s">
        <v>14483</v>
      </c>
      <c r="E741" s="10" t="s">
        <v>209</v>
      </c>
      <c r="F741" s="10" t="s">
        <v>627</v>
      </c>
      <c r="G741" s="10" t="s">
        <v>12654</v>
      </c>
      <c r="H741" s="10" t="s">
        <v>668</v>
      </c>
      <c r="I741" s="10" t="s">
        <v>48</v>
      </c>
      <c r="J741" s="10" t="s">
        <v>14484</v>
      </c>
      <c r="K741" s="10" t="s">
        <v>14485</v>
      </c>
      <c r="L741" s="10" t="s">
        <v>42</v>
      </c>
    </row>
    <row r="742" ht="15.75" customHeight="1">
      <c r="A742" s="64">
        <v>45485.0</v>
      </c>
      <c r="B742" s="55" t="str">
        <f>HYPERLINK("https://jobright.ai/jobs/info/6691ad16f75851e2436d5778?utm_campaign=1065&amp;utm_source=sheet", "Apply")</f>
        <v>Apply</v>
      </c>
      <c r="C742" s="10" t="s">
        <v>14486</v>
      </c>
      <c r="D742" s="56" t="s">
        <v>1502</v>
      </c>
      <c r="E742" s="10">
        <v>10345.0</v>
      </c>
      <c r="G742" s="10" t="s">
        <v>12635</v>
      </c>
      <c r="H742" s="10" t="s">
        <v>106</v>
      </c>
      <c r="I742" s="10" t="s">
        <v>55</v>
      </c>
      <c r="J742" s="10" t="s">
        <v>1960</v>
      </c>
      <c r="K742" s="10" t="s">
        <v>14487</v>
      </c>
      <c r="L742" s="10" t="s">
        <v>42</v>
      </c>
    </row>
    <row r="743" ht="15.75" customHeight="1">
      <c r="A743" s="64">
        <v>45485.0</v>
      </c>
      <c r="B743" s="55" t="str">
        <f>HYPERLINK("https://jobright.ai/jobs/info/6691a3444c7d2eb620a7bc44?utm_campaign=1065&amp;utm_source=sheet", "Apply")</f>
        <v>Apply</v>
      </c>
      <c r="C743" s="10" t="s">
        <v>14488</v>
      </c>
      <c r="D743" s="56" t="s">
        <v>14489</v>
      </c>
      <c r="E743" s="10" t="s">
        <v>276</v>
      </c>
      <c r="F743" s="10" t="s">
        <v>14490</v>
      </c>
      <c r="G743" s="10" t="s">
        <v>12654</v>
      </c>
      <c r="H743" s="10" t="s">
        <v>165</v>
      </c>
      <c r="I743" s="10" t="s">
        <v>55</v>
      </c>
      <c r="K743" s="10" t="s">
        <v>14491</v>
      </c>
      <c r="L743" s="10" t="s">
        <v>42</v>
      </c>
    </row>
    <row r="744" ht="15.75" customHeight="1">
      <c r="A744" s="64">
        <v>45485.0</v>
      </c>
      <c r="B744" s="55" t="str">
        <f>HYPERLINK("https://jobright.ai/jobs/info/6691a9895e5623ebe1a39f69?utm_campaign=1065&amp;utm_source=sheet", "Apply")</f>
        <v>Apply</v>
      </c>
      <c r="C744" s="10" t="s">
        <v>14492</v>
      </c>
      <c r="D744" s="56" t="s">
        <v>14493</v>
      </c>
      <c r="E744" s="10" t="s">
        <v>79</v>
      </c>
      <c r="F744" s="10" t="s">
        <v>14494</v>
      </c>
      <c r="G744" s="10" t="s">
        <v>12635</v>
      </c>
      <c r="H744" s="10" t="s">
        <v>14495</v>
      </c>
      <c r="I744" s="10" t="s">
        <v>55</v>
      </c>
      <c r="J744" s="10" t="s">
        <v>9875</v>
      </c>
      <c r="K744" s="10" t="s">
        <v>14496</v>
      </c>
      <c r="L744" s="10" t="s">
        <v>42</v>
      </c>
    </row>
    <row r="745" ht="15.75" customHeight="1">
      <c r="A745" s="64">
        <v>45485.0</v>
      </c>
      <c r="B745" s="55" t="str">
        <f>HYPERLINK("https://jobright.ai/jobs/info/66927738fe4203eac70849fb?utm_campaign=1065&amp;utm_source=sheet", "Apply")</f>
        <v>Apply</v>
      </c>
      <c r="C745" s="10" t="s">
        <v>13906</v>
      </c>
      <c r="D745" s="56" t="s">
        <v>95</v>
      </c>
      <c r="E745" s="10">
        <v>52.0</v>
      </c>
      <c r="G745" s="10" t="s">
        <v>12654</v>
      </c>
      <c r="H745" s="10" t="s">
        <v>948</v>
      </c>
      <c r="I745" s="10" t="s">
        <v>55</v>
      </c>
      <c r="K745" s="10" t="s">
        <v>13907</v>
      </c>
      <c r="L745" s="10" t="s">
        <v>42</v>
      </c>
    </row>
    <row r="746" ht="15.75" customHeight="1">
      <c r="A746" s="64">
        <v>45485.0</v>
      </c>
      <c r="B746" s="55" t="str">
        <f>HYPERLINK("https://jobright.ai/jobs/info/6691a36d4c7d2eb620a7c02c?utm_campaign=1065&amp;utm_source=sheet", "Apply")</f>
        <v>Apply</v>
      </c>
      <c r="C746" s="10" t="s">
        <v>13906</v>
      </c>
      <c r="D746" s="56" t="s">
        <v>95</v>
      </c>
      <c r="E746" s="10">
        <v>52.0</v>
      </c>
      <c r="G746" s="10" t="s">
        <v>12654</v>
      </c>
      <c r="H746" s="10" t="s">
        <v>871</v>
      </c>
      <c r="I746" s="10" t="s">
        <v>55</v>
      </c>
      <c r="K746" s="10" t="s">
        <v>13907</v>
      </c>
      <c r="L746" s="10" t="s">
        <v>42</v>
      </c>
    </row>
    <row r="747" ht="15.75" customHeight="1">
      <c r="A747" s="64">
        <v>45485.0</v>
      </c>
      <c r="B747" s="55" t="str">
        <f>HYPERLINK("https://jobright.ai/jobs/info/6691a36d4c7d2eb620a7c02f?utm_campaign=1065&amp;utm_source=sheet", "Apply")</f>
        <v>Apply</v>
      </c>
      <c r="C747" s="10" t="s">
        <v>13906</v>
      </c>
      <c r="D747" s="56" t="s">
        <v>95</v>
      </c>
      <c r="E747" s="10">
        <v>52.0</v>
      </c>
      <c r="G747" s="10" t="s">
        <v>12654</v>
      </c>
      <c r="H747" s="10" t="s">
        <v>793</v>
      </c>
      <c r="I747" s="10" t="s">
        <v>55</v>
      </c>
      <c r="K747" s="10" t="s">
        <v>13907</v>
      </c>
      <c r="L747" s="10" t="s">
        <v>42</v>
      </c>
    </row>
    <row r="748" ht="15.75" customHeight="1">
      <c r="A748" s="64">
        <v>45485.0</v>
      </c>
      <c r="B748" s="55" t="str">
        <f>HYPERLINK("https://jobright.ai/jobs/info/6691a36d4c7d2eb620a7c030?utm_campaign=1065&amp;utm_source=sheet", "Apply")</f>
        <v>Apply</v>
      </c>
      <c r="C748" s="10" t="s">
        <v>13906</v>
      </c>
      <c r="D748" s="56" t="s">
        <v>95</v>
      </c>
      <c r="E748" s="10">
        <v>52.0</v>
      </c>
      <c r="G748" s="10" t="s">
        <v>12654</v>
      </c>
      <c r="H748" s="10" t="s">
        <v>1049</v>
      </c>
      <c r="I748" s="10" t="s">
        <v>55</v>
      </c>
      <c r="K748" s="10" t="s">
        <v>13907</v>
      </c>
      <c r="L748" s="10" t="s">
        <v>42</v>
      </c>
    </row>
    <row r="749" ht="15.75" customHeight="1">
      <c r="A749" s="64">
        <v>45485.0</v>
      </c>
      <c r="B749" s="55" t="str">
        <f>HYPERLINK("https://jobright.ai/jobs/info/6691a36d4c7d2eb620a7c02e?utm_campaign=1065&amp;utm_source=sheet", "Apply")</f>
        <v>Apply</v>
      </c>
      <c r="C749" s="10" t="s">
        <v>13906</v>
      </c>
      <c r="D749" s="56" t="s">
        <v>95</v>
      </c>
      <c r="E749" s="10">
        <v>52.0</v>
      </c>
      <c r="G749" s="10" t="s">
        <v>12654</v>
      </c>
      <c r="H749" s="10" t="s">
        <v>434</v>
      </c>
      <c r="I749" s="10" t="s">
        <v>55</v>
      </c>
      <c r="K749" s="10" t="s">
        <v>13907</v>
      </c>
      <c r="L749" s="10" t="s">
        <v>42</v>
      </c>
    </row>
    <row r="750" ht="15.75" customHeight="1">
      <c r="A750" s="64">
        <v>45485.0</v>
      </c>
      <c r="B750" s="55" t="str">
        <f>HYPERLINK("https://jobright.ai/jobs/info/6691897fac10c1640df70bf3?utm_campaign=1065&amp;utm_source=sheet", "Apply")</f>
        <v>Apply</v>
      </c>
      <c r="C750" s="10" t="s">
        <v>13906</v>
      </c>
      <c r="D750" s="56" t="s">
        <v>95</v>
      </c>
      <c r="E750" s="10">
        <v>52.0</v>
      </c>
      <c r="G750" s="10" t="s">
        <v>12654</v>
      </c>
      <c r="H750" s="10" t="s">
        <v>914</v>
      </c>
      <c r="I750" s="10" t="s">
        <v>55</v>
      </c>
      <c r="K750" s="10" t="s">
        <v>13907</v>
      </c>
      <c r="L750" s="10" t="s">
        <v>42</v>
      </c>
    </row>
    <row r="751" ht="15.75" customHeight="1">
      <c r="A751" s="64">
        <v>45485.0</v>
      </c>
      <c r="B751" s="55" t="str">
        <f>HYPERLINK("https://jobright.ai/jobs/info/669265ed82b9ba0ba30d9ce8?utm_campaign=1065&amp;utm_source=sheet", "Apply")</f>
        <v>Apply</v>
      </c>
      <c r="C751" s="10" t="s">
        <v>13906</v>
      </c>
      <c r="D751" s="56" t="s">
        <v>95</v>
      </c>
      <c r="E751" s="10">
        <v>52.0</v>
      </c>
      <c r="G751" s="10" t="s">
        <v>12654</v>
      </c>
      <c r="H751" s="10" t="s">
        <v>1034</v>
      </c>
      <c r="I751" s="10" t="s">
        <v>55</v>
      </c>
      <c r="K751" s="10" t="s">
        <v>13907</v>
      </c>
      <c r="L751" s="10" t="s">
        <v>42</v>
      </c>
    </row>
    <row r="752" ht="15.75" customHeight="1">
      <c r="A752" s="64">
        <v>45485.0</v>
      </c>
      <c r="B752" s="55" t="str">
        <f>HYPERLINK("https://jobright.ai/jobs/info/6691ad27f75851e2436d5954?utm_campaign=1065&amp;utm_source=sheet", "Apply")</f>
        <v>Apply</v>
      </c>
      <c r="C752" s="10" t="s">
        <v>13906</v>
      </c>
      <c r="D752" s="56" t="s">
        <v>95</v>
      </c>
      <c r="E752" s="10">
        <v>52.0</v>
      </c>
      <c r="G752" s="10" t="s">
        <v>12654</v>
      </c>
      <c r="H752" s="10" t="s">
        <v>811</v>
      </c>
      <c r="I752" s="10" t="s">
        <v>55</v>
      </c>
      <c r="K752" s="10" t="s">
        <v>13907</v>
      </c>
      <c r="L752" s="10" t="s">
        <v>42</v>
      </c>
    </row>
    <row r="753" ht="15.75" customHeight="1">
      <c r="A753" s="64">
        <v>45485.0</v>
      </c>
      <c r="B753" s="55" t="str">
        <f>HYPERLINK("https://jobright.ai/jobs/info/6691c9dbcf3c8abe59ab699f?utm_campaign=1065&amp;utm_source=sheet", "Apply")</f>
        <v>Apply</v>
      </c>
      <c r="C753" s="10" t="s">
        <v>13906</v>
      </c>
      <c r="D753" s="56" t="s">
        <v>95</v>
      </c>
      <c r="E753" s="10">
        <v>52.0</v>
      </c>
      <c r="G753" s="10" t="s">
        <v>12654</v>
      </c>
      <c r="H753" s="10" t="s">
        <v>1032</v>
      </c>
      <c r="I753" s="10" t="s">
        <v>55</v>
      </c>
      <c r="K753" s="10" t="s">
        <v>13907</v>
      </c>
      <c r="L753" s="10" t="s">
        <v>42</v>
      </c>
    </row>
    <row r="754" ht="15.75" customHeight="1">
      <c r="A754" s="64">
        <v>45485.0</v>
      </c>
      <c r="B754" s="55" t="str">
        <f>HYPERLINK("https://jobright.ai/jobs/info/6691950396333ec524103189?utm_campaign=1065&amp;utm_source=sheet", "Apply")</f>
        <v>Apply</v>
      </c>
      <c r="C754" s="10" t="s">
        <v>13906</v>
      </c>
      <c r="D754" s="56" t="s">
        <v>95</v>
      </c>
      <c r="E754" s="10">
        <v>52.0</v>
      </c>
      <c r="G754" s="10" t="s">
        <v>12654</v>
      </c>
      <c r="H754" s="10" t="s">
        <v>869</v>
      </c>
      <c r="I754" s="10" t="s">
        <v>55</v>
      </c>
      <c r="K754" s="10" t="s">
        <v>13907</v>
      </c>
      <c r="L754" s="10" t="s">
        <v>42</v>
      </c>
    </row>
    <row r="755" ht="15.75" customHeight="1">
      <c r="A755" s="64">
        <v>45485.0</v>
      </c>
      <c r="B755" s="55" t="str">
        <f>HYPERLINK("https://jobright.ai/jobs/info/6691950396333ec52410318e?utm_campaign=1065&amp;utm_source=sheet", "Apply")</f>
        <v>Apply</v>
      </c>
      <c r="C755" s="10" t="s">
        <v>13906</v>
      </c>
      <c r="D755" s="56" t="s">
        <v>95</v>
      </c>
      <c r="E755" s="10">
        <v>52.0</v>
      </c>
      <c r="G755" s="10" t="s">
        <v>12654</v>
      </c>
      <c r="H755" s="10" t="s">
        <v>153</v>
      </c>
      <c r="I755" s="10" t="s">
        <v>55</v>
      </c>
      <c r="K755" s="10" t="s">
        <v>13907</v>
      </c>
      <c r="L755" s="10" t="s">
        <v>42</v>
      </c>
    </row>
    <row r="756" ht="15.75" customHeight="1">
      <c r="A756" s="64">
        <v>45485.0</v>
      </c>
      <c r="B756" s="55" t="str">
        <f>HYPERLINK("https://jobright.ai/jobs/info/6691950396333ec524103195?utm_campaign=1065&amp;utm_source=sheet", "Apply")</f>
        <v>Apply</v>
      </c>
      <c r="C756" s="10" t="s">
        <v>13906</v>
      </c>
      <c r="D756" s="56" t="s">
        <v>95</v>
      </c>
      <c r="E756" s="10">
        <v>52.0</v>
      </c>
      <c r="G756" s="10" t="s">
        <v>12654</v>
      </c>
      <c r="H756" s="10" t="s">
        <v>621</v>
      </c>
      <c r="I756" s="10" t="s">
        <v>55</v>
      </c>
      <c r="K756" s="10" t="s">
        <v>13907</v>
      </c>
      <c r="L756" s="10" t="s">
        <v>42</v>
      </c>
    </row>
    <row r="757" ht="15.75" customHeight="1">
      <c r="A757" s="64">
        <v>45485.0</v>
      </c>
      <c r="B757" s="55" t="str">
        <f>HYPERLINK("https://jobright.ai/jobs/info/6691950396333ec524103193?utm_campaign=1065&amp;utm_source=sheet", "Apply")</f>
        <v>Apply</v>
      </c>
      <c r="C757" s="10" t="s">
        <v>13906</v>
      </c>
      <c r="D757" s="56" t="s">
        <v>95</v>
      </c>
      <c r="E757" s="10">
        <v>52.0</v>
      </c>
      <c r="G757" s="10" t="s">
        <v>12654</v>
      </c>
      <c r="H757" s="10" t="s">
        <v>776</v>
      </c>
      <c r="I757" s="10" t="s">
        <v>55</v>
      </c>
      <c r="K757" s="10" t="s">
        <v>13907</v>
      </c>
      <c r="L757" s="10" t="s">
        <v>42</v>
      </c>
    </row>
    <row r="758" ht="15.75" customHeight="1">
      <c r="A758" s="64">
        <v>45485.0</v>
      </c>
      <c r="B758" s="55" t="str">
        <f>HYPERLINK("https://jobright.ai/jobs/info/6691950396333ec524103196?utm_campaign=1065&amp;utm_source=sheet", "Apply")</f>
        <v>Apply</v>
      </c>
      <c r="C758" s="10" t="s">
        <v>13906</v>
      </c>
      <c r="D758" s="56" t="s">
        <v>95</v>
      </c>
      <c r="E758" s="10">
        <v>52.0</v>
      </c>
      <c r="G758" s="10" t="s">
        <v>12654</v>
      </c>
      <c r="H758" s="10" t="s">
        <v>1051</v>
      </c>
      <c r="I758" s="10" t="s">
        <v>55</v>
      </c>
      <c r="K758" s="10" t="s">
        <v>13907</v>
      </c>
      <c r="L758" s="10" t="s">
        <v>42</v>
      </c>
    </row>
    <row r="759" ht="15.75" customHeight="1">
      <c r="A759" s="64">
        <v>45485.0</v>
      </c>
      <c r="B759" s="55" t="str">
        <f>HYPERLINK("https://jobright.ai/jobs/info/669190484c69d669ab536668?utm_campaign=1065&amp;utm_source=sheet", "Apply")</f>
        <v>Apply</v>
      </c>
      <c r="C759" s="10" t="s">
        <v>13906</v>
      </c>
      <c r="D759" s="56" t="s">
        <v>95</v>
      </c>
      <c r="E759" s="10">
        <v>52.0</v>
      </c>
      <c r="G759" s="10" t="s">
        <v>12654</v>
      </c>
      <c r="H759" s="10" t="s">
        <v>1037</v>
      </c>
      <c r="I759" s="10" t="s">
        <v>55</v>
      </c>
      <c r="K759" s="10" t="s">
        <v>13907</v>
      </c>
      <c r="L759" s="10" t="s">
        <v>42</v>
      </c>
    </row>
    <row r="760" ht="15.75" customHeight="1">
      <c r="A760" s="64">
        <v>45485.0</v>
      </c>
      <c r="B760" s="55" t="str">
        <f>HYPERLINK("https://jobright.ai/jobs/info/669190484c69d669ab53666b?utm_campaign=1065&amp;utm_source=sheet", "Apply")</f>
        <v>Apply</v>
      </c>
      <c r="C760" s="10" t="s">
        <v>13906</v>
      </c>
      <c r="D760" s="56" t="s">
        <v>95</v>
      </c>
      <c r="E760" s="10">
        <v>52.0</v>
      </c>
      <c r="G760" s="10" t="s">
        <v>12654</v>
      </c>
      <c r="H760" s="10" t="s">
        <v>764</v>
      </c>
      <c r="I760" s="10" t="s">
        <v>55</v>
      </c>
      <c r="K760" s="10" t="s">
        <v>13907</v>
      </c>
      <c r="L760" s="10" t="s">
        <v>42</v>
      </c>
    </row>
    <row r="761" ht="15.75" customHeight="1">
      <c r="A761" s="64">
        <v>45485.0</v>
      </c>
      <c r="B761" s="55" t="str">
        <f>HYPERLINK("https://jobright.ai/jobs/info/669190484c69d669ab536671?utm_campaign=1065&amp;utm_source=sheet", "Apply")</f>
        <v>Apply</v>
      </c>
      <c r="C761" s="10" t="s">
        <v>13906</v>
      </c>
      <c r="D761" s="56" t="s">
        <v>95</v>
      </c>
      <c r="E761" s="10">
        <v>52.0</v>
      </c>
      <c r="G761" s="10" t="s">
        <v>12654</v>
      </c>
      <c r="H761" s="10" t="s">
        <v>984</v>
      </c>
      <c r="I761" s="10" t="s">
        <v>55</v>
      </c>
      <c r="K761" s="10" t="s">
        <v>13907</v>
      </c>
      <c r="L761" s="10" t="s">
        <v>42</v>
      </c>
    </row>
    <row r="762" ht="15.75" customHeight="1">
      <c r="A762" s="64">
        <v>45485.0</v>
      </c>
      <c r="B762" s="55" t="str">
        <f>HYPERLINK("https://jobright.ai/jobs/info/669190484c69d669ab53666d?utm_campaign=1065&amp;utm_source=sheet", "Apply")</f>
        <v>Apply</v>
      </c>
      <c r="C762" s="10" t="s">
        <v>13906</v>
      </c>
      <c r="D762" s="56" t="s">
        <v>95</v>
      </c>
      <c r="E762" s="10">
        <v>52.0</v>
      </c>
      <c r="G762" s="10" t="s">
        <v>12654</v>
      </c>
      <c r="H762" s="10" t="s">
        <v>803</v>
      </c>
      <c r="I762" s="10" t="s">
        <v>55</v>
      </c>
      <c r="K762" s="10" t="s">
        <v>13907</v>
      </c>
      <c r="L762" s="10" t="s">
        <v>42</v>
      </c>
    </row>
    <row r="763" ht="15.75" customHeight="1">
      <c r="A763" s="64">
        <v>45485.0</v>
      </c>
      <c r="B763" s="55" t="str">
        <f>HYPERLINK("https://jobright.ai/jobs/info/669190484c69d669ab536670?utm_campaign=1065&amp;utm_source=sheet", "Apply")</f>
        <v>Apply</v>
      </c>
      <c r="C763" s="10" t="s">
        <v>13906</v>
      </c>
      <c r="D763" s="56" t="s">
        <v>95</v>
      </c>
      <c r="E763" s="10">
        <v>52.0</v>
      </c>
      <c r="G763" s="10" t="s">
        <v>12654</v>
      </c>
      <c r="H763" s="10" t="s">
        <v>131</v>
      </c>
      <c r="I763" s="10" t="s">
        <v>55</v>
      </c>
      <c r="K763" s="10" t="s">
        <v>13907</v>
      </c>
      <c r="L763" s="10" t="s">
        <v>42</v>
      </c>
    </row>
    <row r="764" ht="15.75" customHeight="1">
      <c r="A764" s="64">
        <v>45485.0</v>
      </c>
      <c r="B764" s="55" t="str">
        <f>HYPERLINK("https://jobright.ai/jobs/info/669190484c69d669ab53666e?utm_campaign=1065&amp;utm_source=sheet", "Apply")</f>
        <v>Apply</v>
      </c>
      <c r="C764" s="10" t="s">
        <v>13906</v>
      </c>
      <c r="D764" s="56" t="s">
        <v>95</v>
      </c>
      <c r="E764" s="10">
        <v>52.0</v>
      </c>
      <c r="G764" s="10" t="s">
        <v>12654</v>
      </c>
      <c r="H764" s="10" t="s">
        <v>807</v>
      </c>
      <c r="I764" s="10" t="s">
        <v>55</v>
      </c>
      <c r="K764" s="10" t="s">
        <v>13907</v>
      </c>
      <c r="L764" s="10" t="s">
        <v>42</v>
      </c>
    </row>
    <row r="765" ht="15.75" customHeight="1">
      <c r="A765" s="64">
        <v>45485.0</v>
      </c>
      <c r="B765" s="55" t="str">
        <f>HYPERLINK("https://jobright.ai/jobs/info/669190484c69d669ab53666f?utm_campaign=1065&amp;utm_source=sheet", "Apply")</f>
        <v>Apply</v>
      </c>
      <c r="C765" s="10" t="s">
        <v>13906</v>
      </c>
      <c r="D765" s="56" t="s">
        <v>95</v>
      </c>
      <c r="E765" s="10">
        <v>52.0</v>
      </c>
      <c r="G765" s="10" t="s">
        <v>12654</v>
      </c>
      <c r="H765" s="10" t="s">
        <v>975</v>
      </c>
      <c r="I765" s="10" t="s">
        <v>55</v>
      </c>
      <c r="K765" s="10" t="s">
        <v>13907</v>
      </c>
      <c r="L765" s="10" t="s">
        <v>42</v>
      </c>
    </row>
    <row r="766" ht="15.75" customHeight="1">
      <c r="A766" s="64">
        <v>45485.0</v>
      </c>
      <c r="B766" s="55" t="str">
        <f>HYPERLINK("https://jobright.ai/jobs/info/6691a602a43939170f9649db?utm_campaign=1065&amp;utm_source=sheet", "Apply")</f>
        <v>Apply</v>
      </c>
      <c r="C766" s="10" t="s">
        <v>13906</v>
      </c>
      <c r="D766" s="56" t="s">
        <v>95</v>
      </c>
      <c r="E766" s="10">
        <v>52.0</v>
      </c>
      <c r="G766" s="10" t="s">
        <v>12654</v>
      </c>
      <c r="H766" s="10" t="s">
        <v>827</v>
      </c>
      <c r="I766" s="10" t="s">
        <v>55</v>
      </c>
      <c r="K766" s="10" t="s">
        <v>13907</v>
      </c>
      <c r="L766" s="10" t="s">
        <v>42</v>
      </c>
    </row>
    <row r="767" ht="15.75" customHeight="1">
      <c r="A767" s="64">
        <v>45485.0</v>
      </c>
      <c r="B767" s="55" t="str">
        <f>HYPERLINK("https://jobright.ai/jobs/info/66916bb50bfd99748e33e398?utm_campaign=1065&amp;utm_source=sheet", "Apply")</f>
        <v>Apply</v>
      </c>
      <c r="C767" s="10" t="s">
        <v>14497</v>
      </c>
      <c r="D767" s="56" t="s">
        <v>14498</v>
      </c>
      <c r="E767" s="10" t="s">
        <v>79</v>
      </c>
      <c r="F767" s="10" t="s">
        <v>14499</v>
      </c>
      <c r="G767" s="10" t="s">
        <v>12635</v>
      </c>
      <c r="H767" s="10" t="s">
        <v>251</v>
      </c>
      <c r="I767" s="10" t="s">
        <v>252</v>
      </c>
      <c r="J767" s="10" t="s">
        <v>1729</v>
      </c>
      <c r="K767" s="10" t="s">
        <v>14500</v>
      </c>
      <c r="L767" s="10" t="s">
        <v>42</v>
      </c>
    </row>
    <row r="768" ht="15.75" customHeight="1">
      <c r="A768" s="64">
        <v>45485.0</v>
      </c>
      <c r="B768" s="55" t="str">
        <f>HYPERLINK("https://jobright.ai/jobs/info/66917247fc2b664fec45cb83?utm_campaign=1065&amp;utm_source=sheet", "Apply")</f>
        <v>Apply</v>
      </c>
      <c r="C768" s="10" t="s">
        <v>14501</v>
      </c>
      <c r="D768" s="56" t="s">
        <v>44</v>
      </c>
      <c r="E768" s="10" t="s">
        <v>45</v>
      </c>
      <c r="F768" s="10" t="s">
        <v>46</v>
      </c>
      <c r="G768" s="10" t="s">
        <v>12654</v>
      </c>
      <c r="H768" s="10" t="s">
        <v>170</v>
      </c>
      <c r="I768" s="10" t="s">
        <v>48</v>
      </c>
      <c r="J768" s="10" t="s">
        <v>375</v>
      </c>
      <c r="K768" s="10" t="s">
        <v>14502</v>
      </c>
      <c r="L768" s="10" t="s">
        <v>42</v>
      </c>
    </row>
    <row r="769" ht="15.75" customHeight="1">
      <c r="A769" s="64">
        <v>45485.0</v>
      </c>
      <c r="B769" s="55" t="str">
        <f>HYPERLINK("https://jobright.ai/jobs/info/669172602b5e177ed6cb029f?utm_campaign=1065&amp;utm_source=sheet", "Apply")</f>
        <v>Apply</v>
      </c>
      <c r="C769" s="10" t="s">
        <v>14503</v>
      </c>
      <c r="D769" s="56" t="s">
        <v>10169</v>
      </c>
      <c r="E769" s="10" t="s">
        <v>45</v>
      </c>
      <c r="F769" s="10" t="s">
        <v>10170</v>
      </c>
      <c r="G769" s="10" t="s">
        <v>12635</v>
      </c>
      <c r="H769" s="10" t="s">
        <v>11246</v>
      </c>
      <c r="I769" s="10" t="s">
        <v>55</v>
      </c>
      <c r="J769" s="10" t="s">
        <v>1608</v>
      </c>
      <c r="K769" s="10" t="s">
        <v>12846</v>
      </c>
      <c r="L769" s="10" t="s">
        <v>42</v>
      </c>
    </row>
    <row r="770" ht="15.75" customHeight="1">
      <c r="A770" s="64">
        <v>45485.0</v>
      </c>
      <c r="B770" s="55" t="str">
        <f>HYPERLINK("https://jobright.ai/jobs/info/669172602b5e177ed6cb0282?utm_campaign=1065&amp;utm_source=sheet", "Apply")</f>
        <v>Apply</v>
      </c>
      <c r="C770" s="10" t="s">
        <v>14504</v>
      </c>
      <c r="D770" s="56" t="s">
        <v>10169</v>
      </c>
      <c r="E770" s="10" t="s">
        <v>45</v>
      </c>
      <c r="F770" s="10" t="s">
        <v>10170</v>
      </c>
      <c r="G770" s="10" t="s">
        <v>12635</v>
      </c>
      <c r="H770" s="10" t="s">
        <v>14505</v>
      </c>
      <c r="I770" s="10" t="s">
        <v>55</v>
      </c>
      <c r="J770" s="10" t="s">
        <v>1608</v>
      </c>
      <c r="K770" s="10" t="s">
        <v>12846</v>
      </c>
      <c r="L770" s="10" t="s">
        <v>42</v>
      </c>
    </row>
    <row r="771" ht="15.75" customHeight="1">
      <c r="A771" s="64">
        <v>45485.0</v>
      </c>
      <c r="B771" s="55" t="str">
        <f>HYPERLINK("https://jobright.ai/jobs/info/66a403460d09d8a9054b3d10?utm_campaign=1065&amp;utm_source=sheet", "Apply")</f>
        <v>Apply</v>
      </c>
      <c r="C771" s="10" t="s">
        <v>14506</v>
      </c>
      <c r="D771" s="56" t="s">
        <v>14507</v>
      </c>
      <c r="E771" s="10" t="s">
        <v>276</v>
      </c>
      <c r="F771" s="10" t="s">
        <v>13550</v>
      </c>
      <c r="G771" s="10" t="s">
        <v>12635</v>
      </c>
      <c r="H771" s="10" t="s">
        <v>904</v>
      </c>
      <c r="I771" s="10" t="s">
        <v>55</v>
      </c>
      <c r="K771" s="10" t="s">
        <v>14508</v>
      </c>
      <c r="L771" s="10" t="s">
        <v>42</v>
      </c>
    </row>
    <row r="772" ht="15.75" customHeight="1">
      <c r="A772" s="64">
        <v>45485.0</v>
      </c>
      <c r="B772" s="55" t="str">
        <f>HYPERLINK("https://jobright.ai/jobs/info/66916bee0bfd99748e33e8dd?utm_campaign=1065&amp;utm_source=sheet", "Apply")</f>
        <v>Apply</v>
      </c>
      <c r="C772" s="10" t="s">
        <v>14509</v>
      </c>
      <c r="D772" s="56" t="s">
        <v>1976</v>
      </c>
      <c r="E772" s="10" t="s">
        <v>249</v>
      </c>
      <c r="F772" s="10" t="s">
        <v>277</v>
      </c>
      <c r="G772" s="10" t="s">
        <v>12630</v>
      </c>
      <c r="H772" s="10" t="s">
        <v>152</v>
      </c>
      <c r="I772" s="10" t="s">
        <v>48</v>
      </c>
      <c r="K772" s="10" t="s">
        <v>14510</v>
      </c>
      <c r="L772" s="10" t="s">
        <v>42</v>
      </c>
    </row>
    <row r="773" ht="15.75" customHeight="1">
      <c r="A773" s="64">
        <v>45485.0</v>
      </c>
      <c r="B773" s="55" t="str">
        <f>HYPERLINK("https://jobright.ai/jobs/info/667de2c8fe5da1320ba80656?utm_campaign=1065&amp;utm_source=sheet", "Apply")</f>
        <v>Apply</v>
      </c>
      <c r="C773" s="10" t="s">
        <v>14511</v>
      </c>
      <c r="D773" s="56" t="s">
        <v>13282</v>
      </c>
      <c r="E773" s="10" t="s">
        <v>71</v>
      </c>
      <c r="F773" s="10" t="s">
        <v>143</v>
      </c>
      <c r="G773" s="10" t="s">
        <v>12645</v>
      </c>
      <c r="H773" s="10" t="s">
        <v>6990</v>
      </c>
      <c r="I773" s="10" t="s">
        <v>55</v>
      </c>
      <c r="K773" s="10" t="s">
        <v>14512</v>
      </c>
      <c r="L773" s="10" t="s">
        <v>42</v>
      </c>
    </row>
    <row r="774" ht="15.75" customHeight="1">
      <c r="A774" s="64">
        <v>45485.0</v>
      </c>
      <c r="B774" s="55" t="str">
        <f>HYPERLINK("https://jobright.ai/jobs/info/66a403460d09d8a9054b3d41?utm_campaign=1065&amp;utm_source=sheet", "Apply")</f>
        <v>Apply</v>
      </c>
      <c r="C774" s="10" t="s">
        <v>12965</v>
      </c>
      <c r="D774" s="56" t="s">
        <v>1178</v>
      </c>
      <c r="E774" s="10" t="s">
        <v>137</v>
      </c>
      <c r="F774" s="10" t="s">
        <v>1179</v>
      </c>
      <c r="G774" s="10" t="s">
        <v>12630</v>
      </c>
      <c r="H774" s="10" t="s">
        <v>2727</v>
      </c>
      <c r="I774" s="10" t="s">
        <v>55</v>
      </c>
      <c r="J774" s="10" t="s">
        <v>3969</v>
      </c>
      <c r="K774" s="10" t="s">
        <v>14513</v>
      </c>
      <c r="L774" s="10" t="s">
        <v>42</v>
      </c>
    </row>
    <row r="775" ht="15.75" customHeight="1">
      <c r="A775" s="64">
        <v>45485.0</v>
      </c>
      <c r="B775" s="55" t="str">
        <f>HYPERLINK("https://jobright.ai/jobs/info/669190504c69d669ab5366e5?utm_campaign=1065&amp;utm_source=sheet", "Apply")</f>
        <v>Apply</v>
      </c>
      <c r="C775" s="10" t="s">
        <v>14509</v>
      </c>
      <c r="D775" s="56" t="s">
        <v>1976</v>
      </c>
      <c r="E775" s="10" t="s">
        <v>249</v>
      </c>
      <c r="F775" s="10" t="s">
        <v>277</v>
      </c>
      <c r="G775" s="10" t="s">
        <v>12630</v>
      </c>
      <c r="H775" s="10" t="s">
        <v>153</v>
      </c>
      <c r="I775" s="10" t="s">
        <v>48</v>
      </c>
      <c r="K775" s="10" t="s">
        <v>14510</v>
      </c>
      <c r="L775" s="10" t="s">
        <v>42</v>
      </c>
    </row>
    <row r="776" ht="15.75" customHeight="1">
      <c r="A776" s="64">
        <v>45485.0</v>
      </c>
      <c r="B776" s="55" t="str">
        <f>HYPERLINK("https://jobright.ai/jobs/info/669190504c69d669ab5366e6?utm_campaign=1065&amp;utm_source=sheet", "Apply")</f>
        <v>Apply</v>
      </c>
      <c r="C776" s="10" t="s">
        <v>14509</v>
      </c>
      <c r="D776" s="56" t="s">
        <v>1976</v>
      </c>
      <c r="E776" s="10" t="s">
        <v>249</v>
      </c>
      <c r="F776" s="10" t="s">
        <v>277</v>
      </c>
      <c r="G776" s="10" t="s">
        <v>12630</v>
      </c>
      <c r="H776" s="10" t="s">
        <v>1978</v>
      </c>
      <c r="I776" s="10" t="s">
        <v>48</v>
      </c>
      <c r="K776" s="10" t="s">
        <v>14510</v>
      </c>
      <c r="L776" s="10" t="s">
        <v>42</v>
      </c>
    </row>
    <row r="777" ht="15.75" customHeight="1">
      <c r="A777" s="64">
        <v>45485.0</v>
      </c>
      <c r="B777" s="55" t="str">
        <f>HYPERLINK("https://jobright.ai/jobs/info/669157863adb4fe5a948ec0d?utm_campaign=1065&amp;utm_source=sheet", "Apply")</f>
        <v>Apply</v>
      </c>
      <c r="C777" s="10" t="s">
        <v>14509</v>
      </c>
      <c r="D777" s="56" t="s">
        <v>1976</v>
      </c>
      <c r="E777" s="10" t="s">
        <v>249</v>
      </c>
      <c r="F777" s="10" t="s">
        <v>277</v>
      </c>
      <c r="G777" s="10" t="s">
        <v>12630</v>
      </c>
      <c r="H777" s="10" t="s">
        <v>994</v>
      </c>
      <c r="I777" s="10" t="s">
        <v>48</v>
      </c>
      <c r="K777" s="10" t="s">
        <v>14510</v>
      </c>
      <c r="L777" s="10" t="s">
        <v>42</v>
      </c>
    </row>
    <row r="778" ht="15.75" customHeight="1">
      <c r="A778" s="64">
        <v>45485.0</v>
      </c>
      <c r="B778" s="55" t="str">
        <f>HYPERLINK("https://jobright.ai/jobs/info/6691545b24a577296e535333?utm_campaign=1065&amp;utm_source=sheet", "Apply")</f>
        <v>Apply</v>
      </c>
      <c r="C778" s="10" t="s">
        <v>14509</v>
      </c>
      <c r="D778" s="56" t="s">
        <v>1976</v>
      </c>
      <c r="E778" s="10" t="s">
        <v>249</v>
      </c>
      <c r="F778" s="10" t="s">
        <v>277</v>
      </c>
      <c r="G778" s="10" t="s">
        <v>12630</v>
      </c>
      <c r="H778" s="10" t="s">
        <v>1013</v>
      </c>
      <c r="I778" s="10" t="s">
        <v>48</v>
      </c>
      <c r="K778" s="10" t="s">
        <v>14510</v>
      </c>
      <c r="L778" s="10" t="s">
        <v>42</v>
      </c>
    </row>
    <row r="779" ht="15.75" customHeight="1">
      <c r="A779" s="64">
        <v>45485.0</v>
      </c>
      <c r="B779" s="55" t="str">
        <f>HYPERLINK("https://jobright.ai/jobs/info/66a408139d6a30be4effa295?utm_campaign=1065&amp;utm_source=sheet", "Apply")</f>
        <v>Apply</v>
      </c>
      <c r="C779" s="10" t="s">
        <v>14514</v>
      </c>
      <c r="D779" s="56" t="s">
        <v>14515</v>
      </c>
      <c r="E779" s="10" t="s">
        <v>137</v>
      </c>
      <c r="F779" s="10" t="s">
        <v>1795</v>
      </c>
      <c r="G779" s="10" t="s">
        <v>12630</v>
      </c>
      <c r="H779" s="10" t="s">
        <v>14516</v>
      </c>
      <c r="I779" s="10" t="s">
        <v>55</v>
      </c>
      <c r="K779" s="10" t="s">
        <v>14517</v>
      </c>
      <c r="L779" s="10" t="s">
        <v>42</v>
      </c>
    </row>
    <row r="780" ht="15.75" customHeight="1">
      <c r="A780" s="64">
        <v>45485.0</v>
      </c>
      <c r="B780" s="55" t="str">
        <f>HYPERLINK("https://jobright.ai/jobs/info/669161c7f6454eb751a7bbed?utm_campaign=1065&amp;utm_source=sheet", "Apply")</f>
        <v>Apply</v>
      </c>
      <c r="C780" s="10" t="s">
        <v>14518</v>
      </c>
      <c r="D780" s="56" t="s">
        <v>2548</v>
      </c>
      <c r="E780" s="10" t="s">
        <v>45</v>
      </c>
      <c r="F780" s="10" t="s">
        <v>2549</v>
      </c>
      <c r="G780" s="10" t="s">
        <v>12635</v>
      </c>
      <c r="H780" s="10" t="s">
        <v>2550</v>
      </c>
      <c r="I780" s="10" t="s">
        <v>55</v>
      </c>
      <c r="K780" s="10" t="s">
        <v>12709</v>
      </c>
      <c r="L780" s="10" t="s">
        <v>42</v>
      </c>
    </row>
    <row r="781" ht="15.75" customHeight="1">
      <c r="A781" s="64">
        <v>45485.0</v>
      </c>
      <c r="B781" s="55" t="str">
        <f>HYPERLINK("https://jobright.ai/jobs/info/66928638ae0c89423644bf81?utm_campaign=1065&amp;utm_source=sheet", "Apply")</f>
        <v>Apply</v>
      </c>
      <c r="C781" s="10" t="s">
        <v>14519</v>
      </c>
      <c r="D781" s="56" t="s">
        <v>11100</v>
      </c>
      <c r="E781" s="10" t="s">
        <v>71</v>
      </c>
      <c r="F781" s="10" t="s">
        <v>11101</v>
      </c>
      <c r="G781" s="10" t="s">
        <v>12635</v>
      </c>
      <c r="H781" s="10" t="s">
        <v>2708</v>
      </c>
      <c r="I781" s="10" t="s">
        <v>55</v>
      </c>
      <c r="K781" s="10" t="s">
        <v>14520</v>
      </c>
      <c r="L781" s="10" t="s">
        <v>42</v>
      </c>
    </row>
    <row r="782" ht="15.75" customHeight="1">
      <c r="A782" s="64">
        <v>45485.0</v>
      </c>
      <c r="B782" s="55" t="str">
        <f>HYPERLINK("https://jobright.ai/jobs/info/668bfbf0256f0fd3689d14b3?utm_campaign=1065&amp;utm_source=sheet", "Apply")</f>
        <v>Apply</v>
      </c>
      <c r="C782" s="10" t="s">
        <v>13624</v>
      </c>
      <c r="D782" s="56" t="s">
        <v>14521</v>
      </c>
      <c r="E782" s="10" t="s">
        <v>65</v>
      </c>
      <c r="F782" s="10" t="s">
        <v>12539</v>
      </c>
      <c r="G782" s="10" t="s">
        <v>12654</v>
      </c>
      <c r="H782" s="10" t="s">
        <v>3674</v>
      </c>
      <c r="I782" s="10" t="s">
        <v>55</v>
      </c>
      <c r="J782" s="10" t="s">
        <v>1960</v>
      </c>
      <c r="K782" s="10" t="s">
        <v>14522</v>
      </c>
      <c r="L782" s="10" t="s">
        <v>42</v>
      </c>
    </row>
    <row r="783" ht="15.75" customHeight="1">
      <c r="A783" s="64">
        <v>45485.0</v>
      </c>
      <c r="B783" s="55" t="str">
        <f>HYPERLINK("https://jobright.ai/jobs/info/66a4081e9d6a30be4effa390?utm_campaign=1065&amp;utm_source=sheet", "Apply")</f>
        <v>Apply</v>
      </c>
      <c r="C783" s="10" t="s">
        <v>14523</v>
      </c>
      <c r="D783" s="56" t="s">
        <v>14524</v>
      </c>
      <c r="E783" s="10" t="s">
        <v>45</v>
      </c>
      <c r="F783" s="10" t="s">
        <v>14525</v>
      </c>
      <c r="G783" s="10" t="s">
        <v>12645</v>
      </c>
      <c r="H783" s="10" t="s">
        <v>251</v>
      </c>
      <c r="I783" s="10" t="s">
        <v>252</v>
      </c>
      <c r="J783" s="10" t="s">
        <v>1984</v>
      </c>
      <c r="K783" s="10" t="s">
        <v>14526</v>
      </c>
      <c r="L783" s="10" t="s">
        <v>42</v>
      </c>
    </row>
    <row r="784" ht="15.75" customHeight="1">
      <c r="A784" s="64">
        <v>45485.0</v>
      </c>
      <c r="B784" s="55" t="str">
        <f>HYPERLINK("https://jobright.ai/jobs/info/66a3a1bc4764b8fc86218f93?utm_campaign=1065&amp;utm_source=sheet", "Apply")</f>
        <v>Apply</v>
      </c>
      <c r="C784" s="10" t="s">
        <v>9688</v>
      </c>
      <c r="D784" s="56" t="s">
        <v>13273</v>
      </c>
      <c r="E784" s="10" t="s">
        <v>45</v>
      </c>
      <c r="F784" s="10" t="s">
        <v>13274</v>
      </c>
      <c r="G784" s="10" t="s">
        <v>12630</v>
      </c>
      <c r="H784" s="10" t="s">
        <v>1144</v>
      </c>
      <c r="I784" s="10" t="s">
        <v>48</v>
      </c>
      <c r="K784" s="10" t="s">
        <v>14527</v>
      </c>
      <c r="L784" s="10" t="s">
        <v>42</v>
      </c>
    </row>
    <row r="785" ht="15.75" customHeight="1">
      <c r="A785" s="64">
        <v>45485.0</v>
      </c>
      <c r="B785" s="55" t="str">
        <f>HYPERLINK("https://jobright.ai/jobs/info/66a4081e9d6a30be4effa3a4?utm_campaign=1065&amp;utm_source=sheet", "Apply")</f>
        <v>Apply</v>
      </c>
      <c r="C785" s="10" t="s">
        <v>14514</v>
      </c>
      <c r="D785" s="56" t="s">
        <v>14515</v>
      </c>
      <c r="E785" s="10" t="s">
        <v>137</v>
      </c>
      <c r="F785" s="10" t="s">
        <v>1795</v>
      </c>
      <c r="G785" s="10" t="s">
        <v>12630</v>
      </c>
      <c r="H785" s="10" t="s">
        <v>2222</v>
      </c>
      <c r="I785" s="10" t="s">
        <v>55</v>
      </c>
      <c r="K785" s="10" t="s">
        <v>14517</v>
      </c>
      <c r="L785" s="10" t="s">
        <v>42</v>
      </c>
    </row>
    <row r="786" ht="15.75" customHeight="1">
      <c r="A786" s="64">
        <v>45485.0</v>
      </c>
      <c r="B786" s="55" t="str">
        <f>HYPERLINK("https://jobright.ai/jobs/info/6697badf6cde579742e59984?utm_campaign=1065&amp;utm_source=sheet", "Apply")</f>
        <v>Apply</v>
      </c>
      <c r="C786" s="10" t="s">
        <v>13752</v>
      </c>
      <c r="D786" s="56" t="s">
        <v>14528</v>
      </c>
      <c r="E786" s="10" t="s">
        <v>276</v>
      </c>
      <c r="F786" s="10" t="s">
        <v>14529</v>
      </c>
      <c r="G786" s="10" t="s">
        <v>12630</v>
      </c>
      <c r="H786" s="10" t="s">
        <v>10592</v>
      </c>
      <c r="I786" s="10" t="s">
        <v>55</v>
      </c>
      <c r="K786" s="10" t="s">
        <v>14530</v>
      </c>
      <c r="L786" s="10" t="s">
        <v>42</v>
      </c>
    </row>
    <row r="787" ht="15.75" customHeight="1">
      <c r="A787" s="64">
        <v>45485.0</v>
      </c>
      <c r="B787" s="55" t="str">
        <f>HYPERLINK("https://jobright.ai/jobs/info/66a407f99d6a30be4effa02d?utm_campaign=1065&amp;utm_source=sheet", "Apply")</f>
        <v>Apply</v>
      </c>
      <c r="C787" s="10" t="s">
        <v>14531</v>
      </c>
      <c r="D787" s="56" t="s">
        <v>14532</v>
      </c>
      <c r="E787" s="10" t="s">
        <v>276</v>
      </c>
      <c r="F787" s="10" t="s">
        <v>14533</v>
      </c>
      <c r="G787" s="10" t="s">
        <v>12630</v>
      </c>
      <c r="H787" s="10" t="s">
        <v>616</v>
      </c>
      <c r="I787" s="10" t="s">
        <v>55</v>
      </c>
      <c r="J787" s="10" t="s">
        <v>14534</v>
      </c>
      <c r="K787" s="10" t="s">
        <v>14535</v>
      </c>
      <c r="L787" s="10" t="s">
        <v>42</v>
      </c>
    </row>
    <row r="788" ht="15.75" customHeight="1">
      <c r="A788" s="64">
        <v>45485.0</v>
      </c>
      <c r="B788" s="55" t="str">
        <f>HYPERLINK("https://jobright.ai/jobs/info/66950a377e648a439ae4f65c?utm_campaign=1065&amp;utm_source=sheet", "Apply")</f>
        <v>Apply</v>
      </c>
      <c r="C788" s="10" t="s">
        <v>14536</v>
      </c>
      <c r="D788" s="56" t="s">
        <v>14380</v>
      </c>
      <c r="E788" s="59">
        <v>45301.0</v>
      </c>
      <c r="F788" s="10" t="s">
        <v>14381</v>
      </c>
      <c r="G788" s="10" t="s">
        <v>12654</v>
      </c>
      <c r="H788" s="10" t="s">
        <v>96</v>
      </c>
      <c r="I788" s="10" t="s">
        <v>55</v>
      </c>
      <c r="J788" s="10" t="s">
        <v>13437</v>
      </c>
      <c r="K788" s="10" t="s">
        <v>14537</v>
      </c>
      <c r="L788" s="10" t="s">
        <v>42</v>
      </c>
    </row>
    <row r="789" ht="15.75" customHeight="1">
      <c r="A789" s="64">
        <v>45485.0</v>
      </c>
      <c r="B789" s="55" t="str">
        <f>HYPERLINK("https://jobright.ai/jobs/info/6687f92fe012f36c74fd8f4a?utm_campaign=1065&amp;utm_source=sheet", "Apply")</f>
        <v>Apply</v>
      </c>
      <c r="C789" s="10" t="s">
        <v>14538</v>
      </c>
      <c r="D789" s="56" t="s">
        <v>5523</v>
      </c>
      <c r="E789" s="10" t="s">
        <v>209</v>
      </c>
      <c r="F789" s="10" t="s">
        <v>5524</v>
      </c>
      <c r="G789" s="10" t="s">
        <v>12635</v>
      </c>
      <c r="H789" s="10" t="s">
        <v>5245</v>
      </c>
      <c r="I789" s="10" t="s">
        <v>55</v>
      </c>
      <c r="J789" s="10" t="s">
        <v>5525</v>
      </c>
      <c r="K789" s="10" t="s">
        <v>14539</v>
      </c>
      <c r="L789" s="10" t="s">
        <v>42</v>
      </c>
    </row>
    <row r="790" ht="15.75" customHeight="1">
      <c r="A790" s="64">
        <v>45485.0</v>
      </c>
      <c r="B790" s="55" t="str">
        <f>HYPERLINK("https://jobright.ai/jobs/info/6674c2eeff55bb599a6492cc?utm_campaign=1065&amp;utm_source=sheet", "Apply")</f>
        <v>Apply</v>
      </c>
      <c r="C790" s="10" t="s">
        <v>14540</v>
      </c>
      <c r="D790" s="56" t="s">
        <v>14199</v>
      </c>
      <c r="E790" s="10" t="s">
        <v>65</v>
      </c>
      <c r="F790" s="10" t="s">
        <v>14200</v>
      </c>
      <c r="G790" s="10" t="s">
        <v>12645</v>
      </c>
      <c r="H790" s="10" t="s">
        <v>674</v>
      </c>
      <c r="I790" s="10" t="s">
        <v>55</v>
      </c>
      <c r="J790" s="10" t="s">
        <v>1608</v>
      </c>
      <c r="K790" s="10" t="s">
        <v>14541</v>
      </c>
      <c r="L790" s="10" t="s">
        <v>42</v>
      </c>
    </row>
    <row r="791" ht="15.75" customHeight="1">
      <c r="A791" s="64">
        <v>45485.0</v>
      </c>
      <c r="B791" s="55" t="str">
        <f>HYPERLINK("https://jobright.ai/jobs/info/6674bf5e9174cca5a71dce96?utm_campaign=1065&amp;utm_source=sheet", "Apply")</f>
        <v>Apply</v>
      </c>
      <c r="C791" s="10" t="s">
        <v>14542</v>
      </c>
      <c r="D791" s="56" t="s">
        <v>14543</v>
      </c>
      <c r="E791" s="10" t="s">
        <v>65</v>
      </c>
      <c r="F791" s="10" t="s">
        <v>665</v>
      </c>
      <c r="G791" s="10" t="s">
        <v>12693</v>
      </c>
      <c r="H791" s="10" t="s">
        <v>313</v>
      </c>
      <c r="I791" s="10" t="s">
        <v>48</v>
      </c>
      <c r="J791" s="10" t="s">
        <v>6003</v>
      </c>
      <c r="K791" s="10" t="s">
        <v>14544</v>
      </c>
      <c r="L791" s="10" t="s">
        <v>42</v>
      </c>
    </row>
    <row r="792" ht="15.75" customHeight="1">
      <c r="A792" s="64">
        <v>45485.0</v>
      </c>
      <c r="B792" s="55" t="str">
        <f>HYPERLINK("https://jobright.ai/jobs/info/6690fd2c471f442058ed2336?utm_campaign=1065&amp;utm_source=sheet", "Apply")</f>
        <v>Apply</v>
      </c>
      <c r="C792" s="10" t="s">
        <v>12650</v>
      </c>
      <c r="D792" s="56" t="s">
        <v>11332</v>
      </c>
      <c r="E792" s="10" t="s">
        <v>276</v>
      </c>
      <c r="G792" s="10" t="s">
        <v>12630</v>
      </c>
      <c r="H792" s="10" t="s">
        <v>96</v>
      </c>
      <c r="I792" s="10" t="s">
        <v>55</v>
      </c>
      <c r="K792" s="10" t="s">
        <v>14545</v>
      </c>
      <c r="L792" s="10" t="s">
        <v>42</v>
      </c>
    </row>
    <row r="793" ht="15.75" customHeight="1">
      <c r="A793" s="64">
        <v>45485.0</v>
      </c>
      <c r="B793" s="55" t="str">
        <f>HYPERLINK("https://jobright.ai/jobs/info/6691027eba72e68785335fd5?utm_campaign=1065&amp;utm_source=sheet", "Apply")</f>
        <v>Apply</v>
      </c>
      <c r="C793" s="10" t="s">
        <v>14546</v>
      </c>
      <c r="D793" s="56" t="s">
        <v>13160</v>
      </c>
      <c r="E793" s="10" t="s">
        <v>45</v>
      </c>
      <c r="F793" s="10" t="s">
        <v>13161</v>
      </c>
      <c r="G793" s="10" t="s">
        <v>12630</v>
      </c>
      <c r="H793" s="10" t="s">
        <v>3440</v>
      </c>
      <c r="I793" s="10" t="s">
        <v>55</v>
      </c>
      <c r="K793" s="10" t="s">
        <v>14547</v>
      </c>
      <c r="L793" s="10" t="s">
        <v>42</v>
      </c>
    </row>
    <row r="794" ht="15.75" customHeight="1">
      <c r="A794" s="64">
        <v>45485.0</v>
      </c>
      <c r="B794" s="55" t="str">
        <f>HYPERLINK("https://jobright.ai/jobs/info/6693622a66199a96d31a7391?utm_campaign=1065&amp;utm_source=sheet", "Apply")</f>
        <v>Apply</v>
      </c>
      <c r="C794" s="10" t="s">
        <v>14548</v>
      </c>
      <c r="D794" s="56" t="s">
        <v>13273</v>
      </c>
      <c r="E794" s="10" t="s">
        <v>45</v>
      </c>
      <c r="F794" s="10" t="s">
        <v>13274</v>
      </c>
      <c r="G794" s="10" t="s">
        <v>12635</v>
      </c>
      <c r="H794" s="10" t="s">
        <v>14549</v>
      </c>
      <c r="I794" s="10" t="s">
        <v>55</v>
      </c>
      <c r="K794" s="10" t="s">
        <v>14550</v>
      </c>
      <c r="L794" s="10" t="s">
        <v>42</v>
      </c>
    </row>
    <row r="795" ht="15.75" customHeight="1">
      <c r="A795" s="64">
        <v>45485.0</v>
      </c>
      <c r="B795" s="55" t="str">
        <f>HYPERLINK("https://jobright.ai/jobs/info/6690d36e2ee59534c58d0446?utm_campaign=1065&amp;utm_source=sheet", "Apply")</f>
        <v>Apply</v>
      </c>
      <c r="C795" s="10" t="s">
        <v>12667</v>
      </c>
      <c r="D795" s="56" t="s">
        <v>12668</v>
      </c>
      <c r="E795" s="10" t="s">
        <v>71</v>
      </c>
      <c r="F795" s="10" t="s">
        <v>665</v>
      </c>
      <c r="G795" s="10" t="s">
        <v>12635</v>
      </c>
      <c r="H795" s="10" t="s">
        <v>5881</v>
      </c>
      <c r="I795" s="10" t="s">
        <v>55</v>
      </c>
      <c r="J795" s="10" t="s">
        <v>1873</v>
      </c>
      <c r="K795" s="10" t="s">
        <v>14551</v>
      </c>
      <c r="L795" s="10" t="s">
        <v>42</v>
      </c>
    </row>
    <row r="796" ht="15.75" customHeight="1">
      <c r="A796" s="64">
        <v>45485.0</v>
      </c>
      <c r="B796" s="55" t="str">
        <f>HYPERLINK("https://jobright.ai/jobs/info/6691841eb3c5781c364c262a?utm_campaign=1065&amp;utm_source=sheet", "Apply")</f>
        <v>Apply</v>
      </c>
      <c r="C796" s="10" t="s">
        <v>14552</v>
      </c>
      <c r="D796" s="56" t="s">
        <v>14553</v>
      </c>
      <c r="E796" s="10">
        <v>10796.0</v>
      </c>
      <c r="G796" s="10" t="s">
        <v>12630</v>
      </c>
      <c r="H796" s="10" t="s">
        <v>14554</v>
      </c>
      <c r="I796" s="10" t="s">
        <v>55</v>
      </c>
      <c r="J796" s="10" t="s">
        <v>11147</v>
      </c>
      <c r="K796" s="10" t="s">
        <v>14555</v>
      </c>
      <c r="L796" s="10" t="s">
        <v>42</v>
      </c>
    </row>
    <row r="797" ht="15.75" customHeight="1">
      <c r="A797" s="64">
        <v>45485.0</v>
      </c>
      <c r="B797" s="55" t="str">
        <f>HYPERLINK("https://jobright.ai/jobs/info/66919403a276c7698ffc538a?utm_campaign=1065&amp;utm_source=sheet", "Apply")</f>
        <v>Apply</v>
      </c>
      <c r="C797" s="10" t="s">
        <v>12839</v>
      </c>
      <c r="D797" s="56" t="s">
        <v>12840</v>
      </c>
      <c r="E797" s="10" t="s">
        <v>45</v>
      </c>
      <c r="F797" s="10" t="s">
        <v>665</v>
      </c>
      <c r="G797" s="10" t="s">
        <v>12635</v>
      </c>
      <c r="H797" s="10" t="s">
        <v>14556</v>
      </c>
      <c r="I797" s="10" t="s">
        <v>48</v>
      </c>
      <c r="J797" s="10" t="s">
        <v>12842</v>
      </c>
      <c r="K797" s="10" t="s">
        <v>12843</v>
      </c>
      <c r="L797" s="10" t="s">
        <v>42</v>
      </c>
    </row>
    <row r="798" ht="15.75" customHeight="1">
      <c r="A798" s="64">
        <v>45485.0</v>
      </c>
      <c r="B798" s="55" t="str">
        <f>HYPERLINK("https://jobright.ai/jobs/info/66914a5ad5cebf63e45af3a7?utm_campaign=1065&amp;utm_source=sheet", "Apply")</f>
        <v>Apply</v>
      </c>
      <c r="C798" s="10" t="s">
        <v>14557</v>
      </c>
      <c r="D798" s="56" t="s">
        <v>9133</v>
      </c>
      <c r="E798" s="10" t="s">
        <v>45</v>
      </c>
      <c r="F798" s="10" t="s">
        <v>2588</v>
      </c>
      <c r="G798" s="10" t="s">
        <v>12630</v>
      </c>
      <c r="H798" s="10" t="s">
        <v>14558</v>
      </c>
      <c r="I798" s="10" t="s">
        <v>55</v>
      </c>
      <c r="K798" s="10" t="s">
        <v>14559</v>
      </c>
      <c r="L798" s="10" t="s">
        <v>42</v>
      </c>
    </row>
    <row r="799" ht="15.75" customHeight="1">
      <c r="A799" s="64">
        <v>45484.0</v>
      </c>
      <c r="B799" s="55" t="str">
        <f>HYPERLINK("https://jobright.ai/jobs/info/6661fcb3eca34b2833349278?utm_campaign=1065&amp;utm_source=sheet", "Apply")</f>
        <v>Apply</v>
      </c>
      <c r="C799" s="10" t="s">
        <v>14560</v>
      </c>
      <c r="D799" s="56" t="s">
        <v>12935</v>
      </c>
      <c r="E799" s="10" t="s">
        <v>65</v>
      </c>
      <c r="F799" s="10" t="s">
        <v>12936</v>
      </c>
      <c r="G799" s="10" t="s">
        <v>12654</v>
      </c>
      <c r="H799" s="10" t="s">
        <v>170</v>
      </c>
      <c r="I799" s="10" t="s">
        <v>48</v>
      </c>
      <c r="J799" s="10" t="s">
        <v>1165</v>
      </c>
      <c r="K799" s="10" t="s">
        <v>14561</v>
      </c>
      <c r="L799" s="10" t="s">
        <v>42</v>
      </c>
    </row>
    <row r="800" ht="15.75" customHeight="1">
      <c r="A800" s="64">
        <v>45484.0</v>
      </c>
      <c r="B800" s="55" t="str">
        <f>HYPERLINK("https://jobright.ai/jobs/info/668deb5b6da13c2496823aec?utm_campaign=1065&amp;utm_source=sheet", "Apply")</f>
        <v>Apply</v>
      </c>
      <c r="C800" s="10" t="s">
        <v>14562</v>
      </c>
      <c r="D800" s="56" t="s">
        <v>567</v>
      </c>
      <c r="E800" s="10" t="s">
        <v>65</v>
      </c>
      <c r="F800" s="10" t="s">
        <v>568</v>
      </c>
      <c r="G800" s="10" t="s">
        <v>12630</v>
      </c>
      <c r="H800" s="10" t="s">
        <v>96</v>
      </c>
      <c r="I800" s="10" t="s">
        <v>55</v>
      </c>
      <c r="J800" s="10" t="s">
        <v>14563</v>
      </c>
      <c r="K800" s="10" t="s">
        <v>14564</v>
      </c>
      <c r="L800" s="10" t="s">
        <v>42</v>
      </c>
    </row>
    <row r="801" ht="15.75" customHeight="1">
      <c r="A801" s="64">
        <v>45484.0</v>
      </c>
      <c r="B801" s="55" t="str">
        <f>HYPERLINK("https://jobright.ai/jobs/info/6690aefb82892b382ec22579?utm_campaign=1065&amp;utm_source=sheet", "Apply")</f>
        <v>Apply</v>
      </c>
      <c r="C801" s="10" t="s">
        <v>14565</v>
      </c>
      <c r="D801" s="56" t="s">
        <v>13064</v>
      </c>
      <c r="E801" s="10" t="s">
        <v>209</v>
      </c>
      <c r="F801" s="10" t="s">
        <v>13065</v>
      </c>
      <c r="G801" s="10" t="s">
        <v>12635</v>
      </c>
      <c r="H801" s="10" t="s">
        <v>131</v>
      </c>
      <c r="I801" s="10" t="s">
        <v>55</v>
      </c>
      <c r="K801" s="10" t="s">
        <v>13066</v>
      </c>
      <c r="L801" s="10" t="s">
        <v>42</v>
      </c>
    </row>
    <row r="802" ht="15.75" customHeight="1">
      <c r="A802" s="64">
        <v>45484.0</v>
      </c>
      <c r="B802" s="55" t="str">
        <f>HYPERLINK("https://jobright.ai/jobs/info/6690d4873d3678bc4a30b240?utm_campaign=1065&amp;utm_source=sheet", "Apply")</f>
        <v>Apply</v>
      </c>
      <c r="C802" s="10" t="s">
        <v>13141</v>
      </c>
      <c r="D802" s="56" t="s">
        <v>14566</v>
      </c>
      <c r="E802" s="10" t="s">
        <v>79</v>
      </c>
      <c r="F802" s="10" t="s">
        <v>85</v>
      </c>
      <c r="G802" s="10" t="s">
        <v>12630</v>
      </c>
      <c r="H802" s="10" t="s">
        <v>159</v>
      </c>
      <c r="I802" s="10" t="s">
        <v>48</v>
      </c>
      <c r="J802" s="10" t="s">
        <v>11175</v>
      </c>
      <c r="K802" s="10" t="s">
        <v>14567</v>
      </c>
      <c r="L802" s="10" t="s">
        <v>42</v>
      </c>
    </row>
    <row r="803" ht="15.75" customHeight="1">
      <c r="A803" s="64">
        <v>45484.0</v>
      </c>
      <c r="B803" s="55" t="str">
        <f>HYPERLINK("https://jobright.ai/jobs/info/66908b3e57e7a5bf5c5ff0f3?utm_campaign=1065&amp;utm_source=sheet", "Apply")</f>
        <v>Apply</v>
      </c>
      <c r="C803" s="10" t="s">
        <v>4331</v>
      </c>
      <c r="D803" s="56" t="s">
        <v>14568</v>
      </c>
      <c r="E803" s="10" t="s">
        <v>137</v>
      </c>
      <c r="F803" s="10" t="s">
        <v>14569</v>
      </c>
      <c r="G803" s="10" t="s">
        <v>12654</v>
      </c>
      <c r="H803" s="10" t="s">
        <v>14480</v>
      </c>
      <c r="I803" s="10" t="s">
        <v>55</v>
      </c>
      <c r="K803" s="10" t="s">
        <v>14570</v>
      </c>
      <c r="L803" s="10" t="s">
        <v>42</v>
      </c>
    </row>
    <row r="804" ht="15.75" customHeight="1">
      <c r="A804" s="64">
        <v>45484.0</v>
      </c>
      <c r="B804" s="55" t="str">
        <f>HYPERLINK("https://jobright.ai/jobs/info/6690c91b50a8322cf99b85bd?utm_campaign=1065&amp;utm_source=sheet", "Apply")</f>
        <v>Apply</v>
      </c>
      <c r="C804" s="10" t="s">
        <v>14571</v>
      </c>
      <c r="D804" s="56" t="s">
        <v>14572</v>
      </c>
      <c r="E804" s="10">
        <v>3.0</v>
      </c>
      <c r="G804" s="10" t="s">
        <v>12654</v>
      </c>
      <c r="H804" s="10" t="s">
        <v>607</v>
      </c>
      <c r="I804" s="10" t="s">
        <v>55</v>
      </c>
      <c r="K804" s="10" t="s">
        <v>14573</v>
      </c>
      <c r="L804" s="10" t="s">
        <v>42</v>
      </c>
    </row>
    <row r="805" ht="15.75" customHeight="1">
      <c r="A805" s="64">
        <v>45484.0</v>
      </c>
      <c r="B805" s="55" t="str">
        <f>HYPERLINK("https://jobright.ai/jobs/info/66908df21dc1aacb783d1a61?utm_campaign=1065&amp;utm_source=sheet", "Apply")</f>
        <v>Apply</v>
      </c>
      <c r="C805" s="10" t="s">
        <v>14574</v>
      </c>
      <c r="D805" s="56" t="s">
        <v>14575</v>
      </c>
      <c r="E805" s="10" t="s">
        <v>276</v>
      </c>
      <c r="F805" s="10" t="s">
        <v>1512</v>
      </c>
      <c r="G805" s="10" t="s">
        <v>12630</v>
      </c>
      <c r="H805" s="10" t="s">
        <v>113</v>
      </c>
      <c r="I805" s="10" t="s">
        <v>48</v>
      </c>
      <c r="K805" s="10" t="s">
        <v>14576</v>
      </c>
      <c r="L805" s="10" t="s">
        <v>42</v>
      </c>
    </row>
    <row r="806" ht="15.75" customHeight="1">
      <c r="A806" s="64">
        <v>45484.0</v>
      </c>
      <c r="B806" s="55" t="str">
        <f>HYPERLINK("https://jobright.ai/jobs/info/6692e4baca0d541f6bb3c7d7?utm_campaign=1065&amp;utm_source=sheet", "Apply")</f>
        <v>Apply</v>
      </c>
      <c r="C806" s="10" t="s">
        <v>14577</v>
      </c>
      <c r="D806" s="56" t="s">
        <v>1982</v>
      </c>
      <c r="E806" s="10" t="s">
        <v>276</v>
      </c>
      <c r="F806" s="10" t="s">
        <v>1983</v>
      </c>
      <c r="G806" s="10" t="s">
        <v>12630</v>
      </c>
      <c r="H806" s="10" t="s">
        <v>170</v>
      </c>
      <c r="I806" s="10" t="s">
        <v>55</v>
      </c>
      <c r="J806" s="10" t="s">
        <v>1984</v>
      </c>
      <c r="K806" s="10" t="s">
        <v>14578</v>
      </c>
      <c r="L806" s="10" t="s">
        <v>42</v>
      </c>
    </row>
    <row r="807" ht="15.75" customHeight="1">
      <c r="A807" s="64">
        <v>45484.0</v>
      </c>
      <c r="B807" s="55" t="str">
        <f>HYPERLINK("https://jobright.ai/jobs/info/6690926aa49d07cc6b5834d5?utm_campaign=1065&amp;utm_source=sheet", "Apply")</f>
        <v>Apply</v>
      </c>
      <c r="C807" s="10" t="s">
        <v>14488</v>
      </c>
      <c r="D807" s="56" t="s">
        <v>14489</v>
      </c>
      <c r="E807" s="10" t="s">
        <v>276</v>
      </c>
      <c r="F807" s="10" t="s">
        <v>14490</v>
      </c>
      <c r="G807" s="10" t="s">
        <v>12654</v>
      </c>
      <c r="H807" s="10" t="s">
        <v>1254</v>
      </c>
      <c r="I807" s="10" t="s">
        <v>55</v>
      </c>
      <c r="K807" s="10" t="s">
        <v>14491</v>
      </c>
      <c r="L807" s="10" t="s">
        <v>42</v>
      </c>
    </row>
    <row r="808" ht="15.75" customHeight="1">
      <c r="A808" s="64">
        <v>45484.0</v>
      </c>
      <c r="B808" s="55" t="str">
        <f>HYPERLINK("https://jobright.ai/jobs/info/6690a9be0020afd5a76da7dd?utm_campaign=1065&amp;utm_source=sheet", "Apply")</f>
        <v>Apply</v>
      </c>
      <c r="C808" s="10" t="s">
        <v>14579</v>
      </c>
      <c r="D808" s="56" t="s">
        <v>14380</v>
      </c>
      <c r="E808" s="59">
        <v>45301.0</v>
      </c>
      <c r="F808" s="10" t="s">
        <v>14381</v>
      </c>
      <c r="G808" s="10" t="s">
        <v>12654</v>
      </c>
      <c r="H808" s="10" t="s">
        <v>1026</v>
      </c>
      <c r="I808" s="10" t="s">
        <v>55</v>
      </c>
      <c r="J808" s="10" t="s">
        <v>13437</v>
      </c>
      <c r="K808" s="10" t="s">
        <v>14580</v>
      </c>
      <c r="L808" s="10" t="s">
        <v>42</v>
      </c>
    </row>
    <row r="809" ht="15.75" customHeight="1">
      <c r="A809" s="64">
        <v>45484.0</v>
      </c>
      <c r="B809" s="55" t="str">
        <f>HYPERLINK("https://jobright.ai/jobs/info/6690a9be0020afd5a76da7de?utm_campaign=1065&amp;utm_source=sheet", "Apply")</f>
        <v>Apply</v>
      </c>
      <c r="C809" s="10" t="s">
        <v>14536</v>
      </c>
      <c r="D809" s="56" t="s">
        <v>14380</v>
      </c>
      <c r="E809" s="59">
        <v>45301.0</v>
      </c>
      <c r="F809" s="10" t="s">
        <v>14381</v>
      </c>
      <c r="G809" s="10" t="s">
        <v>12654</v>
      </c>
      <c r="H809" s="10" t="s">
        <v>788</v>
      </c>
      <c r="I809" s="10" t="s">
        <v>55</v>
      </c>
      <c r="J809" s="10" t="s">
        <v>13437</v>
      </c>
      <c r="K809" s="10" t="s">
        <v>14537</v>
      </c>
      <c r="L809" s="10" t="s">
        <v>42</v>
      </c>
    </row>
    <row r="810" ht="15.75" customHeight="1">
      <c r="A810" s="64">
        <v>45484.0</v>
      </c>
      <c r="B810" s="55" t="str">
        <f>HYPERLINK("https://jobright.ai/jobs/info/6690a9be0020afd5a76da7e2?utm_campaign=1065&amp;utm_source=sheet", "Apply")</f>
        <v>Apply</v>
      </c>
      <c r="C810" s="10" t="s">
        <v>14536</v>
      </c>
      <c r="D810" s="56" t="s">
        <v>14380</v>
      </c>
      <c r="E810" s="59">
        <v>45301.0</v>
      </c>
      <c r="F810" s="10" t="s">
        <v>14381</v>
      </c>
      <c r="G810" s="10" t="s">
        <v>12654</v>
      </c>
      <c r="H810" s="10" t="s">
        <v>799</v>
      </c>
      <c r="I810" s="10" t="s">
        <v>55</v>
      </c>
      <c r="J810" s="10" t="s">
        <v>13437</v>
      </c>
      <c r="K810" s="10" t="s">
        <v>14537</v>
      </c>
      <c r="L810" s="10" t="s">
        <v>42</v>
      </c>
    </row>
    <row r="811" ht="15.75" customHeight="1">
      <c r="A811" s="64">
        <v>45484.0</v>
      </c>
      <c r="B811" s="55" t="str">
        <f>HYPERLINK("https://jobright.ai/jobs/info/6690a9be0020afd5a76da7e0?utm_campaign=1065&amp;utm_source=sheet", "Apply")</f>
        <v>Apply</v>
      </c>
      <c r="C811" s="10" t="s">
        <v>14536</v>
      </c>
      <c r="D811" s="56" t="s">
        <v>14380</v>
      </c>
      <c r="E811" s="59">
        <v>45301.0</v>
      </c>
      <c r="F811" s="10" t="s">
        <v>14381</v>
      </c>
      <c r="G811" s="10" t="s">
        <v>12654</v>
      </c>
      <c r="H811" s="10" t="s">
        <v>921</v>
      </c>
      <c r="I811" s="10" t="s">
        <v>55</v>
      </c>
      <c r="J811" s="10" t="s">
        <v>13437</v>
      </c>
      <c r="K811" s="10" t="s">
        <v>14537</v>
      </c>
      <c r="L811" s="10" t="s">
        <v>42</v>
      </c>
    </row>
    <row r="812" ht="15.75" customHeight="1">
      <c r="A812" s="64">
        <v>45484.0</v>
      </c>
      <c r="B812" s="55" t="str">
        <f>HYPERLINK("https://jobright.ai/jobs/info/6690a9be0020afd5a76da7df?utm_campaign=1065&amp;utm_source=sheet", "Apply")</f>
        <v>Apply</v>
      </c>
      <c r="C812" s="10" t="s">
        <v>14536</v>
      </c>
      <c r="D812" s="56" t="s">
        <v>14380</v>
      </c>
      <c r="E812" s="59">
        <v>45301.0</v>
      </c>
      <c r="F812" s="10" t="s">
        <v>14381</v>
      </c>
      <c r="G812" s="10" t="s">
        <v>12654</v>
      </c>
      <c r="H812" s="10" t="s">
        <v>1000</v>
      </c>
      <c r="I812" s="10" t="s">
        <v>55</v>
      </c>
      <c r="J812" s="10" t="s">
        <v>13437</v>
      </c>
      <c r="K812" s="10" t="s">
        <v>14537</v>
      </c>
      <c r="L812" s="10" t="s">
        <v>42</v>
      </c>
    </row>
    <row r="813" ht="15.75" customHeight="1">
      <c r="A813" s="64">
        <v>45484.0</v>
      </c>
      <c r="B813" s="55" t="str">
        <f>HYPERLINK("https://jobright.ai/jobs/info/6690a9be0020afd5a76da7e1?utm_campaign=1065&amp;utm_source=sheet", "Apply")</f>
        <v>Apply</v>
      </c>
      <c r="C813" s="10" t="s">
        <v>14536</v>
      </c>
      <c r="D813" s="56" t="s">
        <v>14380</v>
      </c>
      <c r="E813" s="59">
        <v>45301.0</v>
      </c>
      <c r="F813" s="10" t="s">
        <v>14381</v>
      </c>
      <c r="G813" s="10" t="s">
        <v>12654</v>
      </c>
      <c r="H813" s="10" t="s">
        <v>895</v>
      </c>
      <c r="I813" s="10" t="s">
        <v>55</v>
      </c>
      <c r="J813" s="10" t="s">
        <v>13437</v>
      </c>
      <c r="K813" s="10" t="s">
        <v>14537</v>
      </c>
      <c r="L813" s="10" t="s">
        <v>42</v>
      </c>
    </row>
    <row r="814" ht="15.75" customHeight="1">
      <c r="A814" s="64">
        <v>45484.0</v>
      </c>
      <c r="B814" s="55" t="str">
        <f>HYPERLINK("https://jobright.ai/jobs/info/6690a9be0020afd5a76da7e5?utm_campaign=1065&amp;utm_source=sheet", "Apply")</f>
        <v>Apply</v>
      </c>
      <c r="C814" s="10" t="s">
        <v>14579</v>
      </c>
      <c r="D814" s="56" t="s">
        <v>14380</v>
      </c>
      <c r="E814" s="59">
        <v>45301.0</v>
      </c>
      <c r="F814" s="10" t="s">
        <v>14381</v>
      </c>
      <c r="G814" s="10" t="s">
        <v>12654</v>
      </c>
      <c r="H814" s="10" t="s">
        <v>812</v>
      </c>
      <c r="I814" s="10" t="s">
        <v>55</v>
      </c>
      <c r="J814" s="10" t="s">
        <v>13437</v>
      </c>
      <c r="K814" s="10" t="s">
        <v>14580</v>
      </c>
      <c r="L814" s="10" t="s">
        <v>42</v>
      </c>
    </row>
    <row r="815" ht="15.75" customHeight="1">
      <c r="A815" s="64">
        <v>45484.0</v>
      </c>
      <c r="B815" s="55" t="str">
        <f>HYPERLINK("https://jobright.ai/jobs/info/6690a9be0020afd5a76da7e4?utm_campaign=1065&amp;utm_source=sheet", "Apply")</f>
        <v>Apply</v>
      </c>
      <c r="C815" s="10" t="s">
        <v>14536</v>
      </c>
      <c r="D815" s="56" t="s">
        <v>14380</v>
      </c>
      <c r="E815" s="59">
        <v>45301.0</v>
      </c>
      <c r="F815" s="10" t="s">
        <v>14381</v>
      </c>
      <c r="G815" s="10" t="s">
        <v>12654</v>
      </c>
      <c r="H815" s="10" t="s">
        <v>819</v>
      </c>
      <c r="I815" s="10" t="s">
        <v>55</v>
      </c>
      <c r="J815" s="10" t="s">
        <v>13437</v>
      </c>
      <c r="K815" s="10" t="s">
        <v>14537</v>
      </c>
      <c r="L815" s="10" t="s">
        <v>42</v>
      </c>
    </row>
    <row r="816" ht="15.75" customHeight="1">
      <c r="A816" s="64">
        <v>45484.0</v>
      </c>
      <c r="B816" s="55" t="str">
        <f>HYPERLINK("https://jobright.ai/jobs/info/6690a9be0020afd5a76da7e7?utm_campaign=1065&amp;utm_source=sheet", "Apply")</f>
        <v>Apply</v>
      </c>
      <c r="C816" s="10" t="s">
        <v>14579</v>
      </c>
      <c r="D816" s="56" t="s">
        <v>14380</v>
      </c>
      <c r="E816" s="59">
        <v>45301.0</v>
      </c>
      <c r="F816" s="10" t="s">
        <v>14381</v>
      </c>
      <c r="G816" s="10" t="s">
        <v>12654</v>
      </c>
      <c r="H816" s="10" t="s">
        <v>870</v>
      </c>
      <c r="I816" s="10" t="s">
        <v>55</v>
      </c>
      <c r="J816" s="10" t="s">
        <v>13437</v>
      </c>
      <c r="K816" s="10" t="s">
        <v>14580</v>
      </c>
      <c r="L816" s="10" t="s">
        <v>42</v>
      </c>
    </row>
    <row r="817" ht="15.75" customHeight="1">
      <c r="A817" s="64">
        <v>45484.0</v>
      </c>
      <c r="B817" s="55" t="str">
        <f>HYPERLINK("https://jobright.ai/jobs/info/6690a9be0020afd5a76da7e3?utm_campaign=1065&amp;utm_source=sheet", "Apply")</f>
        <v>Apply</v>
      </c>
      <c r="C817" s="10" t="s">
        <v>14579</v>
      </c>
      <c r="D817" s="56" t="s">
        <v>14380</v>
      </c>
      <c r="E817" s="59">
        <v>45301.0</v>
      </c>
      <c r="F817" s="10" t="s">
        <v>14381</v>
      </c>
      <c r="G817" s="10" t="s">
        <v>12654</v>
      </c>
      <c r="H817" s="10" t="s">
        <v>605</v>
      </c>
      <c r="I817" s="10" t="s">
        <v>55</v>
      </c>
      <c r="J817" s="10" t="s">
        <v>13437</v>
      </c>
      <c r="K817" s="10" t="s">
        <v>14580</v>
      </c>
      <c r="L817" s="10" t="s">
        <v>42</v>
      </c>
    </row>
    <row r="818" ht="15.75" customHeight="1">
      <c r="A818" s="64">
        <v>45484.0</v>
      </c>
      <c r="B818" s="55" t="str">
        <f>HYPERLINK("https://jobright.ai/jobs/info/6690a9be0020afd5a76da7e6?utm_campaign=1065&amp;utm_source=sheet", "Apply")</f>
        <v>Apply</v>
      </c>
      <c r="C818" s="10" t="s">
        <v>14536</v>
      </c>
      <c r="D818" s="56" t="s">
        <v>14380</v>
      </c>
      <c r="E818" s="59">
        <v>45301.0</v>
      </c>
      <c r="F818" s="10" t="s">
        <v>14381</v>
      </c>
      <c r="G818" s="10" t="s">
        <v>12654</v>
      </c>
      <c r="H818" s="10" t="s">
        <v>852</v>
      </c>
      <c r="I818" s="10" t="s">
        <v>55</v>
      </c>
      <c r="J818" s="10" t="s">
        <v>13437</v>
      </c>
      <c r="K818" s="10" t="s">
        <v>14537</v>
      </c>
      <c r="L818" s="10" t="s">
        <v>42</v>
      </c>
    </row>
    <row r="819" ht="15.75" customHeight="1">
      <c r="A819" s="64">
        <v>45484.0</v>
      </c>
      <c r="B819" s="55" t="str">
        <f>HYPERLINK("https://jobright.ai/jobs/info/6690a9710020afd5a76da0fd?utm_campaign=1065&amp;utm_source=sheet", "Apply")</f>
        <v>Apply</v>
      </c>
      <c r="C819" s="10" t="s">
        <v>14581</v>
      </c>
      <c r="D819" s="56" t="s">
        <v>14380</v>
      </c>
      <c r="E819" s="59">
        <v>45301.0</v>
      </c>
      <c r="F819" s="10" t="s">
        <v>14381</v>
      </c>
      <c r="G819" s="10" t="s">
        <v>12654</v>
      </c>
      <c r="H819" s="10" t="s">
        <v>858</v>
      </c>
      <c r="I819" s="10" t="s">
        <v>55</v>
      </c>
      <c r="J819" s="10" t="s">
        <v>13437</v>
      </c>
      <c r="K819" s="10" t="s">
        <v>14582</v>
      </c>
      <c r="L819" s="10" t="s">
        <v>42</v>
      </c>
    </row>
    <row r="820" ht="15.75" customHeight="1">
      <c r="A820" s="64">
        <v>45484.0</v>
      </c>
      <c r="B820" s="55" t="str">
        <f>HYPERLINK("https://jobright.ai/jobs/info/6690a9be0020afd5a76da7e8?utm_campaign=1065&amp;utm_source=sheet", "Apply")</f>
        <v>Apply</v>
      </c>
      <c r="C820" s="10" t="s">
        <v>14579</v>
      </c>
      <c r="D820" s="56" t="s">
        <v>14380</v>
      </c>
      <c r="E820" s="59">
        <v>45301.0</v>
      </c>
      <c r="F820" s="10" t="s">
        <v>14381</v>
      </c>
      <c r="G820" s="10" t="s">
        <v>12654</v>
      </c>
      <c r="H820" s="10" t="s">
        <v>969</v>
      </c>
      <c r="I820" s="10" t="s">
        <v>55</v>
      </c>
      <c r="J820" s="10" t="s">
        <v>13437</v>
      </c>
      <c r="K820" s="10" t="s">
        <v>14580</v>
      </c>
      <c r="L820" s="10" t="s">
        <v>42</v>
      </c>
    </row>
    <row r="821" ht="15.75" customHeight="1">
      <c r="A821" s="64">
        <v>45484.0</v>
      </c>
      <c r="B821" s="55" t="str">
        <f>HYPERLINK("https://jobright.ai/jobs/info/6690b59c1acf37e6b24808ff?utm_campaign=1065&amp;utm_source=sheet", "Apply")</f>
        <v>Apply</v>
      </c>
      <c r="C821" s="10" t="s">
        <v>14581</v>
      </c>
      <c r="D821" s="56" t="s">
        <v>14380</v>
      </c>
      <c r="E821" s="59">
        <v>45301.0</v>
      </c>
      <c r="F821" s="10" t="s">
        <v>14381</v>
      </c>
      <c r="G821" s="10" t="s">
        <v>12654</v>
      </c>
      <c r="H821" s="10" t="s">
        <v>856</v>
      </c>
      <c r="I821" s="10" t="s">
        <v>55</v>
      </c>
      <c r="J821" s="10" t="s">
        <v>13437</v>
      </c>
      <c r="K821" s="10" t="s">
        <v>14582</v>
      </c>
      <c r="L821" s="10" t="s">
        <v>42</v>
      </c>
    </row>
    <row r="822" ht="15.75" customHeight="1">
      <c r="A822" s="64">
        <v>45484.0</v>
      </c>
      <c r="B822" s="55" t="str">
        <f>HYPERLINK("https://jobright.ai/jobs/info/6690b59c1acf37e6b24808fd?utm_campaign=1065&amp;utm_source=sheet", "Apply")</f>
        <v>Apply</v>
      </c>
      <c r="C822" s="10" t="s">
        <v>14581</v>
      </c>
      <c r="D822" s="56" t="s">
        <v>14380</v>
      </c>
      <c r="E822" s="59">
        <v>45301.0</v>
      </c>
      <c r="F822" s="10" t="s">
        <v>14381</v>
      </c>
      <c r="G822" s="10" t="s">
        <v>12654</v>
      </c>
      <c r="H822" s="10" t="s">
        <v>609</v>
      </c>
      <c r="I822" s="10" t="s">
        <v>55</v>
      </c>
      <c r="J822" s="10" t="s">
        <v>13437</v>
      </c>
      <c r="K822" s="10" t="s">
        <v>14582</v>
      </c>
      <c r="L822" s="10" t="s">
        <v>42</v>
      </c>
    </row>
    <row r="823" ht="15.75" customHeight="1">
      <c r="A823" s="64">
        <v>45484.0</v>
      </c>
      <c r="B823" s="55" t="str">
        <f>HYPERLINK("https://jobright.ai/jobs/info/6690b59c1acf37e6b24808fa?utm_campaign=1065&amp;utm_source=sheet", "Apply")</f>
        <v>Apply</v>
      </c>
      <c r="C823" s="10" t="s">
        <v>14536</v>
      </c>
      <c r="D823" s="56" t="s">
        <v>14380</v>
      </c>
      <c r="E823" s="59">
        <v>45301.0</v>
      </c>
      <c r="F823" s="10" t="s">
        <v>14381</v>
      </c>
      <c r="G823" s="10" t="s">
        <v>12654</v>
      </c>
      <c r="H823" s="10" t="s">
        <v>886</v>
      </c>
      <c r="I823" s="10" t="s">
        <v>55</v>
      </c>
      <c r="J823" s="10" t="s">
        <v>13437</v>
      </c>
      <c r="K823" s="10" t="s">
        <v>14537</v>
      </c>
      <c r="L823" s="10" t="s">
        <v>42</v>
      </c>
    </row>
    <row r="824" ht="15.75" customHeight="1">
      <c r="A824" s="64">
        <v>45484.0</v>
      </c>
      <c r="B824" s="55" t="str">
        <f>HYPERLINK("https://jobright.ai/jobs/info/6690b59c1acf37e6b24808fb?utm_campaign=1065&amp;utm_source=sheet", "Apply")</f>
        <v>Apply</v>
      </c>
      <c r="C824" s="10" t="s">
        <v>14579</v>
      </c>
      <c r="D824" s="56" t="s">
        <v>14380</v>
      </c>
      <c r="E824" s="59">
        <v>45301.0</v>
      </c>
      <c r="F824" s="10" t="s">
        <v>14381</v>
      </c>
      <c r="G824" s="10" t="s">
        <v>12654</v>
      </c>
      <c r="H824" s="10" t="s">
        <v>991</v>
      </c>
      <c r="I824" s="10" t="s">
        <v>55</v>
      </c>
      <c r="J824" s="10" t="s">
        <v>13437</v>
      </c>
      <c r="K824" s="10" t="s">
        <v>14580</v>
      </c>
      <c r="L824" s="10" t="s">
        <v>42</v>
      </c>
    </row>
    <row r="825" ht="15.75" customHeight="1">
      <c r="A825" s="64">
        <v>45484.0</v>
      </c>
      <c r="B825" s="55" t="str">
        <f>HYPERLINK("https://jobright.ai/jobs/info/6690b59c1acf37e6b24808fc?utm_campaign=1065&amp;utm_source=sheet", "Apply")</f>
        <v>Apply</v>
      </c>
      <c r="C825" s="10" t="s">
        <v>14581</v>
      </c>
      <c r="D825" s="56" t="s">
        <v>14380</v>
      </c>
      <c r="E825" s="59">
        <v>45301.0</v>
      </c>
      <c r="F825" s="10" t="s">
        <v>14381</v>
      </c>
      <c r="G825" s="10" t="s">
        <v>12654</v>
      </c>
      <c r="H825" s="10" t="s">
        <v>839</v>
      </c>
      <c r="I825" s="10" t="s">
        <v>55</v>
      </c>
      <c r="J825" s="10" t="s">
        <v>13437</v>
      </c>
      <c r="K825" s="10" t="s">
        <v>14582</v>
      </c>
      <c r="L825" s="10" t="s">
        <v>42</v>
      </c>
    </row>
    <row r="826" ht="15.75" customHeight="1">
      <c r="A826" s="64">
        <v>45484.0</v>
      </c>
      <c r="B826" s="55" t="str">
        <f>HYPERLINK("https://jobright.ai/jobs/info/6690b59c1acf37e6b24808fe?utm_campaign=1065&amp;utm_source=sheet", "Apply")</f>
        <v>Apply</v>
      </c>
      <c r="C826" s="10" t="s">
        <v>14581</v>
      </c>
      <c r="D826" s="56" t="s">
        <v>14380</v>
      </c>
      <c r="E826" s="59">
        <v>45301.0</v>
      </c>
      <c r="F826" s="10" t="s">
        <v>14381</v>
      </c>
      <c r="G826" s="10" t="s">
        <v>12654</v>
      </c>
      <c r="H826" s="10" t="s">
        <v>946</v>
      </c>
      <c r="I826" s="10" t="s">
        <v>55</v>
      </c>
      <c r="J826" s="10" t="s">
        <v>13437</v>
      </c>
      <c r="K826" s="10" t="s">
        <v>14582</v>
      </c>
      <c r="L826" s="10" t="s">
        <v>42</v>
      </c>
    </row>
    <row r="827" ht="15.75" customHeight="1">
      <c r="A827" s="64">
        <v>45484.0</v>
      </c>
      <c r="B827" s="55" t="str">
        <f>HYPERLINK("https://jobright.ai/jobs/info/6690b59c1acf37e6b2480900?utm_campaign=1065&amp;utm_source=sheet", "Apply")</f>
        <v>Apply</v>
      </c>
      <c r="C827" s="10" t="s">
        <v>14579</v>
      </c>
      <c r="D827" s="56" t="s">
        <v>14380</v>
      </c>
      <c r="E827" s="59">
        <v>45301.0</v>
      </c>
      <c r="F827" s="10" t="s">
        <v>14381</v>
      </c>
      <c r="G827" s="10" t="s">
        <v>12654</v>
      </c>
      <c r="H827" s="10" t="s">
        <v>771</v>
      </c>
      <c r="I827" s="10" t="s">
        <v>55</v>
      </c>
      <c r="J827" s="10" t="s">
        <v>13437</v>
      </c>
      <c r="K827" s="10" t="s">
        <v>14580</v>
      </c>
      <c r="L827" s="10" t="s">
        <v>42</v>
      </c>
    </row>
    <row r="828" ht="15.75" customHeight="1">
      <c r="A828" s="64">
        <v>45484.0</v>
      </c>
      <c r="B828" s="55" t="str">
        <f>HYPERLINK("https://jobright.ai/jobs/info/6690b59c1acf37e6b2480902?utm_campaign=1065&amp;utm_source=sheet", "Apply")</f>
        <v>Apply</v>
      </c>
      <c r="C828" s="10" t="s">
        <v>14579</v>
      </c>
      <c r="D828" s="56" t="s">
        <v>14380</v>
      </c>
      <c r="E828" s="59">
        <v>45301.0</v>
      </c>
      <c r="F828" s="10" t="s">
        <v>14381</v>
      </c>
      <c r="G828" s="10" t="s">
        <v>12654</v>
      </c>
      <c r="H828" s="10" t="s">
        <v>954</v>
      </c>
      <c r="I828" s="10" t="s">
        <v>55</v>
      </c>
      <c r="J828" s="10" t="s">
        <v>13437</v>
      </c>
      <c r="K828" s="10" t="s">
        <v>14580</v>
      </c>
      <c r="L828" s="10" t="s">
        <v>42</v>
      </c>
    </row>
    <row r="829" ht="15.75" customHeight="1">
      <c r="A829" s="64">
        <v>45484.0</v>
      </c>
      <c r="B829" s="55" t="str">
        <f>HYPERLINK("https://jobright.ai/jobs/info/6690b59c1acf37e6b2480901?utm_campaign=1065&amp;utm_source=sheet", "Apply")</f>
        <v>Apply</v>
      </c>
      <c r="C829" s="10" t="s">
        <v>14581</v>
      </c>
      <c r="D829" s="56" t="s">
        <v>14380</v>
      </c>
      <c r="E829" s="59">
        <v>45301.0</v>
      </c>
      <c r="F829" s="10" t="s">
        <v>14381</v>
      </c>
      <c r="G829" s="10" t="s">
        <v>12654</v>
      </c>
      <c r="H829" s="10" t="s">
        <v>970</v>
      </c>
      <c r="I829" s="10" t="s">
        <v>55</v>
      </c>
      <c r="J829" s="10" t="s">
        <v>13437</v>
      </c>
      <c r="K829" s="10" t="s">
        <v>14582</v>
      </c>
      <c r="L829" s="10" t="s">
        <v>42</v>
      </c>
    </row>
    <row r="830" ht="15.75" customHeight="1">
      <c r="A830" s="64">
        <v>45484.0</v>
      </c>
      <c r="B830" s="55" t="str">
        <f>HYPERLINK("https://jobright.ai/jobs/info/6690b59c1acf37e6b2480904?utm_campaign=1065&amp;utm_source=sheet", "Apply")</f>
        <v>Apply</v>
      </c>
      <c r="C830" s="10" t="s">
        <v>14579</v>
      </c>
      <c r="D830" s="56" t="s">
        <v>14380</v>
      </c>
      <c r="E830" s="59">
        <v>45301.0</v>
      </c>
      <c r="F830" s="10" t="s">
        <v>14381</v>
      </c>
      <c r="G830" s="10" t="s">
        <v>12654</v>
      </c>
      <c r="H830" s="10" t="s">
        <v>906</v>
      </c>
      <c r="I830" s="10" t="s">
        <v>55</v>
      </c>
      <c r="J830" s="10" t="s">
        <v>13437</v>
      </c>
      <c r="K830" s="10" t="s">
        <v>14580</v>
      </c>
      <c r="L830" s="10" t="s">
        <v>42</v>
      </c>
    </row>
    <row r="831" ht="15.75" customHeight="1">
      <c r="A831" s="64">
        <v>45484.0</v>
      </c>
      <c r="B831" s="55" t="str">
        <f>HYPERLINK("https://jobright.ai/jobs/info/6690b59c1acf37e6b2480903?utm_campaign=1065&amp;utm_source=sheet", "Apply")</f>
        <v>Apply</v>
      </c>
      <c r="C831" s="10" t="s">
        <v>14579</v>
      </c>
      <c r="D831" s="56" t="s">
        <v>14380</v>
      </c>
      <c r="E831" s="59">
        <v>45301.0</v>
      </c>
      <c r="F831" s="10" t="s">
        <v>14381</v>
      </c>
      <c r="G831" s="10" t="s">
        <v>12654</v>
      </c>
      <c r="H831" s="10" t="s">
        <v>994</v>
      </c>
      <c r="I831" s="10" t="s">
        <v>55</v>
      </c>
      <c r="J831" s="10" t="s">
        <v>13437</v>
      </c>
      <c r="K831" s="10" t="s">
        <v>14580</v>
      </c>
      <c r="L831" s="10" t="s">
        <v>42</v>
      </c>
    </row>
    <row r="832" ht="15.75" customHeight="1">
      <c r="A832" s="64">
        <v>45484.0</v>
      </c>
      <c r="B832" s="55" t="str">
        <f>HYPERLINK("https://jobright.ai/jobs/info/6690b59c1acf37e6b2480907?utm_campaign=1065&amp;utm_source=sheet", "Apply")</f>
        <v>Apply</v>
      </c>
      <c r="C832" s="10" t="s">
        <v>14536</v>
      </c>
      <c r="D832" s="56" t="s">
        <v>14380</v>
      </c>
      <c r="E832" s="59">
        <v>45301.0</v>
      </c>
      <c r="F832" s="10" t="s">
        <v>14381</v>
      </c>
      <c r="G832" s="10" t="s">
        <v>12654</v>
      </c>
      <c r="H832" s="10" t="s">
        <v>876</v>
      </c>
      <c r="I832" s="10" t="s">
        <v>55</v>
      </c>
      <c r="J832" s="10" t="s">
        <v>13437</v>
      </c>
      <c r="K832" s="10" t="s">
        <v>14537</v>
      </c>
      <c r="L832" s="10" t="s">
        <v>42</v>
      </c>
    </row>
    <row r="833" ht="15.75" customHeight="1">
      <c r="A833" s="64">
        <v>45484.0</v>
      </c>
      <c r="B833" s="55" t="str">
        <f>HYPERLINK("https://jobright.ai/jobs/info/6690b59c1acf37e6b2480906?utm_campaign=1065&amp;utm_source=sheet", "Apply")</f>
        <v>Apply</v>
      </c>
      <c r="C833" s="10" t="s">
        <v>14581</v>
      </c>
      <c r="D833" s="56" t="s">
        <v>14380</v>
      </c>
      <c r="E833" s="59">
        <v>45301.0</v>
      </c>
      <c r="F833" s="10" t="s">
        <v>14381</v>
      </c>
      <c r="G833" s="10" t="s">
        <v>12654</v>
      </c>
      <c r="H833" s="10" t="s">
        <v>764</v>
      </c>
      <c r="I833" s="10" t="s">
        <v>55</v>
      </c>
      <c r="J833" s="10" t="s">
        <v>13437</v>
      </c>
      <c r="K833" s="10" t="s">
        <v>14582</v>
      </c>
      <c r="L833" s="10" t="s">
        <v>42</v>
      </c>
    </row>
    <row r="834" ht="15.75" customHeight="1">
      <c r="A834" s="64">
        <v>45484.0</v>
      </c>
      <c r="B834" s="55" t="str">
        <f>HYPERLINK("https://jobright.ai/jobs/info/6690b59c1acf37e6b2480905?utm_campaign=1065&amp;utm_source=sheet", "Apply")</f>
        <v>Apply</v>
      </c>
      <c r="C834" s="10" t="s">
        <v>14579</v>
      </c>
      <c r="D834" s="56" t="s">
        <v>14380</v>
      </c>
      <c r="E834" s="59">
        <v>45301.0</v>
      </c>
      <c r="F834" s="10" t="s">
        <v>14381</v>
      </c>
      <c r="G834" s="10" t="s">
        <v>12654</v>
      </c>
      <c r="H834" s="10" t="s">
        <v>245</v>
      </c>
      <c r="I834" s="10" t="s">
        <v>55</v>
      </c>
      <c r="J834" s="10" t="s">
        <v>13437</v>
      </c>
      <c r="K834" s="10" t="s">
        <v>14580</v>
      </c>
      <c r="L834" s="10" t="s">
        <v>42</v>
      </c>
    </row>
    <row r="835" ht="15.75" customHeight="1">
      <c r="A835" s="64">
        <v>45484.0</v>
      </c>
      <c r="B835" s="55" t="str">
        <f>HYPERLINK("https://jobright.ai/jobs/info/6690958acef80c7d0d7be14c?utm_campaign=1065&amp;utm_source=sheet", "Apply")</f>
        <v>Apply</v>
      </c>
      <c r="C835" s="10" t="s">
        <v>12965</v>
      </c>
      <c r="D835" s="56" t="s">
        <v>14583</v>
      </c>
      <c r="E835" s="10" t="s">
        <v>137</v>
      </c>
      <c r="F835" s="10" t="s">
        <v>9747</v>
      </c>
      <c r="G835" s="10" t="s">
        <v>12630</v>
      </c>
      <c r="H835" s="10" t="s">
        <v>152</v>
      </c>
      <c r="I835" s="10" t="s">
        <v>55</v>
      </c>
      <c r="J835" s="10" t="s">
        <v>1409</v>
      </c>
      <c r="K835" s="10" t="s">
        <v>14584</v>
      </c>
      <c r="L835" s="10" t="s">
        <v>42</v>
      </c>
    </row>
    <row r="836" ht="15.75" customHeight="1">
      <c r="A836" s="64">
        <v>45484.0</v>
      </c>
      <c r="B836" s="55" t="str">
        <f>HYPERLINK("https://jobright.ai/jobs/info/6690b05d1f8d1bc97eb6837f?utm_campaign=1065&amp;utm_source=sheet", "Apply")</f>
        <v>Apply</v>
      </c>
      <c r="C836" s="10" t="s">
        <v>14579</v>
      </c>
      <c r="D836" s="56" t="s">
        <v>14380</v>
      </c>
      <c r="E836" s="59">
        <v>45301.0</v>
      </c>
      <c r="F836" s="10" t="s">
        <v>14381</v>
      </c>
      <c r="G836" s="10" t="s">
        <v>12654</v>
      </c>
      <c r="H836" s="10" t="s">
        <v>891</v>
      </c>
      <c r="I836" s="10" t="s">
        <v>55</v>
      </c>
      <c r="J836" s="10" t="s">
        <v>13437</v>
      </c>
      <c r="K836" s="10" t="s">
        <v>14580</v>
      </c>
      <c r="L836" s="10" t="s">
        <v>42</v>
      </c>
    </row>
    <row r="837" ht="15.75" customHeight="1">
      <c r="A837" s="64">
        <v>45484.0</v>
      </c>
      <c r="B837" s="55" t="str">
        <f>HYPERLINK("https://jobright.ai/jobs/info/6690b05d1f8d1bc97eb68384?utm_campaign=1065&amp;utm_source=sheet", "Apply")</f>
        <v>Apply</v>
      </c>
      <c r="C837" s="10" t="s">
        <v>14536</v>
      </c>
      <c r="D837" s="56" t="s">
        <v>14380</v>
      </c>
      <c r="E837" s="59">
        <v>45301.0</v>
      </c>
      <c r="F837" s="10" t="s">
        <v>14381</v>
      </c>
      <c r="G837" s="10" t="s">
        <v>12654</v>
      </c>
      <c r="H837" s="10" t="s">
        <v>232</v>
      </c>
      <c r="I837" s="10" t="s">
        <v>55</v>
      </c>
      <c r="J837" s="10" t="s">
        <v>13437</v>
      </c>
      <c r="K837" s="10" t="s">
        <v>14537</v>
      </c>
      <c r="L837" s="10" t="s">
        <v>42</v>
      </c>
    </row>
    <row r="838" ht="15.75" customHeight="1">
      <c r="A838" s="64">
        <v>45484.0</v>
      </c>
      <c r="B838" s="55" t="str">
        <f>HYPERLINK("https://jobright.ai/jobs/info/6690b05d1f8d1bc97eb68383?utm_campaign=1065&amp;utm_source=sheet", "Apply")</f>
        <v>Apply</v>
      </c>
      <c r="C838" s="10" t="s">
        <v>14581</v>
      </c>
      <c r="D838" s="56" t="s">
        <v>14380</v>
      </c>
      <c r="E838" s="59">
        <v>45301.0</v>
      </c>
      <c r="F838" s="10" t="s">
        <v>14381</v>
      </c>
      <c r="G838" s="10" t="s">
        <v>12654</v>
      </c>
      <c r="H838" s="10" t="s">
        <v>829</v>
      </c>
      <c r="I838" s="10" t="s">
        <v>55</v>
      </c>
      <c r="J838" s="10" t="s">
        <v>13437</v>
      </c>
      <c r="K838" s="10" t="s">
        <v>14582</v>
      </c>
      <c r="L838" s="10" t="s">
        <v>42</v>
      </c>
    </row>
    <row r="839" ht="15.75" customHeight="1">
      <c r="A839" s="64">
        <v>45484.0</v>
      </c>
      <c r="B839" s="55" t="str">
        <f>HYPERLINK("https://jobright.ai/jobs/info/6690b05d1f8d1bc97eb68380?utm_campaign=1065&amp;utm_source=sheet", "Apply")</f>
        <v>Apply</v>
      </c>
      <c r="C839" s="10" t="s">
        <v>14581</v>
      </c>
      <c r="D839" s="56" t="s">
        <v>14380</v>
      </c>
      <c r="E839" s="59">
        <v>45301.0</v>
      </c>
      <c r="F839" s="10" t="s">
        <v>14381</v>
      </c>
      <c r="G839" s="10" t="s">
        <v>12654</v>
      </c>
      <c r="H839" s="10" t="s">
        <v>962</v>
      </c>
      <c r="I839" s="10" t="s">
        <v>55</v>
      </c>
      <c r="J839" s="10" t="s">
        <v>13437</v>
      </c>
      <c r="K839" s="10" t="s">
        <v>14582</v>
      </c>
      <c r="L839" s="10" t="s">
        <v>42</v>
      </c>
    </row>
    <row r="840" ht="15.75" customHeight="1">
      <c r="A840" s="64">
        <v>45484.0</v>
      </c>
      <c r="B840" s="55" t="str">
        <f>HYPERLINK("https://jobright.ai/jobs/info/6690b05d1f8d1bc97eb68382?utm_campaign=1065&amp;utm_source=sheet", "Apply")</f>
        <v>Apply</v>
      </c>
      <c r="C840" s="10" t="s">
        <v>14579</v>
      </c>
      <c r="D840" s="56" t="s">
        <v>14380</v>
      </c>
      <c r="E840" s="59">
        <v>45301.0</v>
      </c>
      <c r="F840" s="10" t="s">
        <v>14381</v>
      </c>
      <c r="G840" s="10" t="s">
        <v>12654</v>
      </c>
      <c r="H840" s="10" t="s">
        <v>1013</v>
      </c>
      <c r="I840" s="10" t="s">
        <v>55</v>
      </c>
      <c r="J840" s="10" t="s">
        <v>13437</v>
      </c>
      <c r="K840" s="10" t="s">
        <v>14580</v>
      </c>
      <c r="L840" s="10" t="s">
        <v>42</v>
      </c>
    </row>
    <row r="841" ht="15.75" customHeight="1">
      <c r="A841" s="64">
        <v>45484.0</v>
      </c>
      <c r="B841" s="55" t="str">
        <f>HYPERLINK("https://jobright.ai/jobs/info/6690b05d1f8d1bc97eb68381?utm_campaign=1065&amp;utm_source=sheet", "Apply")</f>
        <v>Apply</v>
      </c>
      <c r="C841" s="10" t="s">
        <v>14581</v>
      </c>
      <c r="D841" s="56" t="s">
        <v>14380</v>
      </c>
      <c r="E841" s="59">
        <v>45301.0</v>
      </c>
      <c r="F841" s="10" t="s">
        <v>14381</v>
      </c>
      <c r="G841" s="10" t="s">
        <v>12654</v>
      </c>
      <c r="H841" s="10" t="s">
        <v>950</v>
      </c>
      <c r="I841" s="10" t="s">
        <v>55</v>
      </c>
      <c r="J841" s="10" t="s">
        <v>13437</v>
      </c>
      <c r="K841" s="10" t="s">
        <v>14582</v>
      </c>
      <c r="L841" s="10" t="s">
        <v>42</v>
      </c>
    </row>
    <row r="842" ht="15.75" customHeight="1">
      <c r="A842" s="64">
        <v>45484.0</v>
      </c>
      <c r="B842" s="55" t="str">
        <f>HYPERLINK("https://jobright.ai/jobs/info/6690b05d1f8d1bc97eb68385?utm_campaign=1065&amp;utm_source=sheet", "Apply")</f>
        <v>Apply</v>
      </c>
      <c r="C842" s="10" t="s">
        <v>14581</v>
      </c>
      <c r="D842" s="56" t="s">
        <v>14380</v>
      </c>
      <c r="E842" s="59">
        <v>45301.0</v>
      </c>
      <c r="F842" s="10" t="s">
        <v>14381</v>
      </c>
      <c r="G842" s="10" t="s">
        <v>12654</v>
      </c>
      <c r="H842" s="10" t="s">
        <v>1043</v>
      </c>
      <c r="I842" s="10" t="s">
        <v>55</v>
      </c>
      <c r="J842" s="10" t="s">
        <v>13437</v>
      </c>
      <c r="K842" s="10" t="s">
        <v>14582</v>
      </c>
      <c r="L842" s="10" t="s">
        <v>42</v>
      </c>
    </row>
    <row r="843" ht="15.75" customHeight="1">
      <c r="A843" s="64">
        <v>45484.0</v>
      </c>
      <c r="B843" s="55" t="str">
        <f>HYPERLINK("https://jobright.ai/jobs/info/6690b05d1f8d1bc97eb68386?utm_campaign=1065&amp;utm_source=sheet", "Apply")</f>
        <v>Apply</v>
      </c>
      <c r="C843" s="10" t="s">
        <v>14536</v>
      </c>
      <c r="D843" s="56" t="s">
        <v>14380</v>
      </c>
      <c r="E843" s="59">
        <v>45301.0</v>
      </c>
      <c r="F843" s="10" t="s">
        <v>14381</v>
      </c>
      <c r="G843" s="10" t="s">
        <v>12654</v>
      </c>
      <c r="H843" s="10" t="s">
        <v>784</v>
      </c>
      <c r="I843" s="10" t="s">
        <v>55</v>
      </c>
      <c r="J843" s="10" t="s">
        <v>13437</v>
      </c>
      <c r="K843" s="10" t="s">
        <v>14537</v>
      </c>
      <c r="L843" s="10" t="s">
        <v>42</v>
      </c>
    </row>
    <row r="844" ht="15.75" customHeight="1">
      <c r="A844" s="64">
        <v>45484.0</v>
      </c>
      <c r="B844" s="55" t="str">
        <f>HYPERLINK("https://jobright.ai/jobs/info/6690b05d1f8d1bc97eb6838c?utm_campaign=1065&amp;utm_source=sheet", "Apply")</f>
        <v>Apply</v>
      </c>
      <c r="C844" s="10" t="s">
        <v>14579</v>
      </c>
      <c r="D844" s="56" t="s">
        <v>14380</v>
      </c>
      <c r="E844" s="59">
        <v>45301.0</v>
      </c>
      <c r="F844" s="10" t="s">
        <v>14381</v>
      </c>
      <c r="G844" s="10" t="s">
        <v>12654</v>
      </c>
      <c r="H844" s="10" t="s">
        <v>838</v>
      </c>
      <c r="I844" s="10" t="s">
        <v>55</v>
      </c>
      <c r="J844" s="10" t="s">
        <v>13437</v>
      </c>
      <c r="K844" s="10" t="s">
        <v>14580</v>
      </c>
      <c r="L844" s="10" t="s">
        <v>42</v>
      </c>
    </row>
    <row r="845" ht="15.75" customHeight="1">
      <c r="A845" s="64">
        <v>45484.0</v>
      </c>
      <c r="B845" s="55" t="str">
        <f>HYPERLINK("https://jobright.ai/jobs/info/6690b05d1f8d1bc97eb68388?utm_campaign=1065&amp;utm_source=sheet", "Apply")</f>
        <v>Apply</v>
      </c>
      <c r="C845" s="10" t="s">
        <v>14581</v>
      </c>
      <c r="D845" s="56" t="s">
        <v>14380</v>
      </c>
      <c r="E845" s="59">
        <v>45301.0</v>
      </c>
      <c r="F845" s="10" t="s">
        <v>14381</v>
      </c>
      <c r="G845" s="10" t="s">
        <v>12654</v>
      </c>
      <c r="H845" s="10" t="s">
        <v>979</v>
      </c>
      <c r="I845" s="10" t="s">
        <v>55</v>
      </c>
      <c r="J845" s="10" t="s">
        <v>13437</v>
      </c>
      <c r="K845" s="10" t="s">
        <v>14582</v>
      </c>
      <c r="L845" s="10" t="s">
        <v>42</v>
      </c>
    </row>
    <row r="846" ht="15.75" customHeight="1">
      <c r="A846" s="64">
        <v>45484.0</v>
      </c>
      <c r="B846" s="55" t="str">
        <f>HYPERLINK("https://jobright.ai/jobs/info/6690b05d1f8d1bc97eb6838d?utm_campaign=1065&amp;utm_source=sheet", "Apply")</f>
        <v>Apply</v>
      </c>
      <c r="C846" s="10" t="s">
        <v>14579</v>
      </c>
      <c r="D846" s="56" t="s">
        <v>14380</v>
      </c>
      <c r="E846" s="59">
        <v>45301.0</v>
      </c>
      <c r="F846" s="10" t="s">
        <v>14381</v>
      </c>
      <c r="G846" s="10" t="s">
        <v>12654</v>
      </c>
      <c r="H846" s="10" t="s">
        <v>942</v>
      </c>
      <c r="I846" s="10" t="s">
        <v>55</v>
      </c>
      <c r="J846" s="10" t="s">
        <v>13437</v>
      </c>
      <c r="K846" s="10" t="s">
        <v>14580</v>
      </c>
      <c r="L846" s="10" t="s">
        <v>42</v>
      </c>
    </row>
    <row r="847" ht="15.75" customHeight="1">
      <c r="A847" s="64">
        <v>45484.0</v>
      </c>
      <c r="B847" s="55" t="str">
        <f>HYPERLINK("https://jobright.ai/jobs/info/6690b05d1f8d1bc97eb6838a?utm_campaign=1065&amp;utm_source=sheet", "Apply")</f>
        <v>Apply</v>
      </c>
      <c r="C847" s="10" t="s">
        <v>14581</v>
      </c>
      <c r="D847" s="56" t="s">
        <v>14380</v>
      </c>
      <c r="E847" s="59">
        <v>45301.0</v>
      </c>
      <c r="F847" s="10" t="s">
        <v>14381</v>
      </c>
      <c r="G847" s="10" t="s">
        <v>12654</v>
      </c>
      <c r="H847" s="10" t="s">
        <v>803</v>
      </c>
      <c r="I847" s="10" t="s">
        <v>55</v>
      </c>
      <c r="J847" s="10" t="s">
        <v>13437</v>
      </c>
      <c r="K847" s="10" t="s">
        <v>14582</v>
      </c>
      <c r="L847" s="10" t="s">
        <v>42</v>
      </c>
    </row>
    <row r="848" ht="15.75" customHeight="1">
      <c r="A848" s="64">
        <v>45484.0</v>
      </c>
      <c r="B848" s="55" t="str">
        <f>HYPERLINK("https://jobright.ai/jobs/info/6690b05d1f8d1bc97eb6838e?utm_campaign=1065&amp;utm_source=sheet", "Apply")</f>
        <v>Apply</v>
      </c>
      <c r="C848" s="10" t="s">
        <v>14579</v>
      </c>
      <c r="D848" s="56" t="s">
        <v>14380</v>
      </c>
      <c r="E848" s="59">
        <v>45301.0</v>
      </c>
      <c r="F848" s="10" t="s">
        <v>14381</v>
      </c>
      <c r="G848" s="10" t="s">
        <v>12654</v>
      </c>
      <c r="H848" s="10" t="s">
        <v>960</v>
      </c>
      <c r="I848" s="10" t="s">
        <v>55</v>
      </c>
      <c r="J848" s="10" t="s">
        <v>13437</v>
      </c>
      <c r="K848" s="10" t="s">
        <v>14580</v>
      </c>
      <c r="L848" s="10" t="s">
        <v>42</v>
      </c>
    </row>
    <row r="849" ht="15.75" customHeight="1">
      <c r="A849" s="64">
        <v>45484.0</v>
      </c>
      <c r="B849" s="55" t="str">
        <f>HYPERLINK("https://jobright.ai/jobs/info/6690b05d1f8d1bc97eb68389?utm_campaign=1065&amp;utm_source=sheet", "Apply")</f>
        <v>Apply</v>
      </c>
      <c r="C849" s="10" t="s">
        <v>14581</v>
      </c>
      <c r="D849" s="56" t="s">
        <v>14380</v>
      </c>
      <c r="E849" s="59">
        <v>45301.0</v>
      </c>
      <c r="F849" s="10" t="s">
        <v>14381</v>
      </c>
      <c r="G849" s="10" t="s">
        <v>12654</v>
      </c>
      <c r="H849" s="10" t="s">
        <v>786</v>
      </c>
      <c r="I849" s="10" t="s">
        <v>55</v>
      </c>
      <c r="J849" s="10" t="s">
        <v>13437</v>
      </c>
      <c r="K849" s="10" t="s">
        <v>14582</v>
      </c>
      <c r="L849" s="10" t="s">
        <v>42</v>
      </c>
    </row>
    <row r="850" ht="15.75" customHeight="1">
      <c r="A850" s="64">
        <v>45484.0</v>
      </c>
      <c r="B850" s="55" t="str">
        <f>HYPERLINK("https://jobright.ai/jobs/info/6690b05d1f8d1bc97eb6838b?utm_campaign=1065&amp;utm_source=sheet", "Apply")</f>
        <v>Apply</v>
      </c>
      <c r="C850" s="10" t="s">
        <v>14581</v>
      </c>
      <c r="D850" s="56" t="s">
        <v>14380</v>
      </c>
      <c r="E850" s="59">
        <v>45301.0</v>
      </c>
      <c r="F850" s="10" t="s">
        <v>14381</v>
      </c>
      <c r="G850" s="10" t="s">
        <v>12654</v>
      </c>
      <c r="H850" s="10" t="s">
        <v>960</v>
      </c>
      <c r="I850" s="10" t="s">
        <v>55</v>
      </c>
      <c r="J850" s="10" t="s">
        <v>13437</v>
      </c>
      <c r="K850" s="10" t="s">
        <v>14582</v>
      </c>
      <c r="L850" s="10" t="s">
        <v>42</v>
      </c>
    </row>
    <row r="851" ht="15.75" customHeight="1">
      <c r="A851" s="64">
        <v>45484.0</v>
      </c>
      <c r="B851" s="55" t="str">
        <f>HYPERLINK("https://jobright.ai/jobs/info/6690b05d1f8d1bc97eb68387?utm_campaign=1065&amp;utm_source=sheet", "Apply")</f>
        <v>Apply</v>
      </c>
      <c r="C851" s="10" t="s">
        <v>14581</v>
      </c>
      <c r="D851" s="56" t="s">
        <v>14380</v>
      </c>
      <c r="E851" s="59">
        <v>45301.0</v>
      </c>
      <c r="F851" s="10" t="s">
        <v>14381</v>
      </c>
      <c r="G851" s="10" t="s">
        <v>12654</v>
      </c>
      <c r="H851" s="10" t="s">
        <v>1034</v>
      </c>
      <c r="I851" s="10" t="s">
        <v>55</v>
      </c>
      <c r="J851" s="10" t="s">
        <v>13437</v>
      </c>
      <c r="K851" s="10" t="s">
        <v>14582</v>
      </c>
      <c r="L851" s="10" t="s">
        <v>42</v>
      </c>
    </row>
    <row r="852" ht="15.75" customHeight="1">
      <c r="A852" s="64">
        <v>45484.0</v>
      </c>
      <c r="B852" s="55" t="str">
        <f>HYPERLINK("https://jobright.ai/jobs/info/6690b05d1f8d1bc97eb68391?utm_campaign=1065&amp;utm_source=sheet", "Apply")</f>
        <v>Apply</v>
      </c>
      <c r="C852" s="10" t="s">
        <v>14581</v>
      </c>
      <c r="D852" s="56" t="s">
        <v>14380</v>
      </c>
      <c r="E852" s="59">
        <v>45301.0</v>
      </c>
      <c r="F852" s="10" t="s">
        <v>14381</v>
      </c>
      <c r="G852" s="10" t="s">
        <v>12654</v>
      </c>
      <c r="H852" s="10" t="s">
        <v>572</v>
      </c>
      <c r="I852" s="10" t="s">
        <v>55</v>
      </c>
      <c r="J852" s="10" t="s">
        <v>13437</v>
      </c>
      <c r="K852" s="10" t="s">
        <v>14582</v>
      </c>
      <c r="L852" s="10" t="s">
        <v>42</v>
      </c>
    </row>
    <row r="853" ht="15.75" customHeight="1">
      <c r="A853" s="64">
        <v>45484.0</v>
      </c>
      <c r="B853" s="55" t="str">
        <f>HYPERLINK("https://jobright.ai/jobs/info/6690b05d1f8d1bc97eb68390?utm_campaign=1065&amp;utm_source=sheet", "Apply")</f>
        <v>Apply</v>
      </c>
      <c r="C853" s="10" t="s">
        <v>14579</v>
      </c>
      <c r="D853" s="56" t="s">
        <v>14380</v>
      </c>
      <c r="E853" s="59">
        <v>45301.0</v>
      </c>
      <c r="F853" s="10" t="s">
        <v>14381</v>
      </c>
      <c r="G853" s="10" t="s">
        <v>12654</v>
      </c>
      <c r="H853" s="10" t="s">
        <v>832</v>
      </c>
      <c r="I853" s="10" t="s">
        <v>55</v>
      </c>
      <c r="J853" s="10" t="s">
        <v>13437</v>
      </c>
      <c r="K853" s="10" t="s">
        <v>14580</v>
      </c>
      <c r="L853" s="10" t="s">
        <v>42</v>
      </c>
    </row>
    <row r="854" ht="15.75" customHeight="1">
      <c r="A854" s="64">
        <v>45484.0</v>
      </c>
      <c r="B854" s="55" t="str">
        <f>HYPERLINK("https://jobright.ai/jobs/info/6690b05d1f8d1bc97eb68392?utm_campaign=1065&amp;utm_source=sheet", "Apply")</f>
        <v>Apply</v>
      </c>
      <c r="C854" s="10" t="s">
        <v>14581</v>
      </c>
      <c r="D854" s="56" t="s">
        <v>14380</v>
      </c>
      <c r="E854" s="59">
        <v>45301.0</v>
      </c>
      <c r="F854" s="10" t="s">
        <v>14381</v>
      </c>
      <c r="G854" s="10" t="s">
        <v>12654</v>
      </c>
      <c r="H854" s="10" t="s">
        <v>854</v>
      </c>
      <c r="I854" s="10" t="s">
        <v>55</v>
      </c>
      <c r="J854" s="10" t="s">
        <v>13437</v>
      </c>
      <c r="K854" s="10" t="s">
        <v>14582</v>
      </c>
      <c r="L854" s="10" t="s">
        <v>42</v>
      </c>
    </row>
    <row r="855" ht="15.75" customHeight="1">
      <c r="A855" s="64">
        <v>45484.0</v>
      </c>
      <c r="B855" s="55" t="str">
        <f>HYPERLINK("https://jobright.ai/jobs/info/6690b05d1f8d1bc97eb68393?utm_campaign=1065&amp;utm_source=sheet", "Apply")</f>
        <v>Apply</v>
      </c>
      <c r="C855" s="10" t="s">
        <v>14581</v>
      </c>
      <c r="D855" s="56" t="s">
        <v>14380</v>
      </c>
      <c r="E855" s="59">
        <v>45301.0</v>
      </c>
      <c r="F855" s="10" t="s">
        <v>14381</v>
      </c>
      <c r="G855" s="10" t="s">
        <v>12654</v>
      </c>
      <c r="H855" s="10" t="s">
        <v>793</v>
      </c>
      <c r="I855" s="10" t="s">
        <v>55</v>
      </c>
      <c r="J855" s="10" t="s">
        <v>13437</v>
      </c>
      <c r="K855" s="10" t="s">
        <v>14582</v>
      </c>
      <c r="L855" s="10" t="s">
        <v>42</v>
      </c>
    </row>
    <row r="856" ht="15.75" customHeight="1">
      <c r="A856" s="64">
        <v>45484.0</v>
      </c>
      <c r="B856" s="55" t="str">
        <f>HYPERLINK("https://jobright.ai/jobs/info/6690b05d1f8d1bc97eb68394?utm_campaign=1065&amp;utm_source=sheet", "Apply")</f>
        <v>Apply</v>
      </c>
      <c r="C856" s="10" t="s">
        <v>14581</v>
      </c>
      <c r="D856" s="56" t="s">
        <v>14380</v>
      </c>
      <c r="E856" s="59">
        <v>45301.0</v>
      </c>
      <c r="F856" s="10" t="s">
        <v>14381</v>
      </c>
      <c r="G856" s="10" t="s">
        <v>12654</v>
      </c>
      <c r="H856" s="10" t="s">
        <v>843</v>
      </c>
      <c r="I856" s="10" t="s">
        <v>55</v>
      </c>
      <c r="J856" s="10" t="s">
        <v>13437</v>
      </c>
      <c r="K856" s="10" t="s">
        <v>14582</v>
      </c>
      <c r="L856" s="10" t="s">
        <v>42</v>
      </c>
    </row>
    <row r="857" ht="15.75" customHeight="1">
      <c r="A857" s="64">
        <v>45484.0</v>
      </c>
      <c r="B857" s="55" t="str">
        <f>HYPERLINK("https://jobright.ai/jobs/info/6690b05d1f8d1bc97eb6838f?utm_campaign=1065&amp;utm_source=sheet", "Apply")</f>
        <v>Apply</v>
      </c>
      <c r="C857" s="10" t="s">
        <v>14579</v>
      </c>
      <c r="D857" s="56" t="s">
        <v>14380</v>
      </c>
      <c r="E857" s="59">
        <v>45301.0</v>
      </c>
      <c r="F857" s="10" t="s">
        <v>14381</v>
      </c>
      <c r="G857" s="10" t="s">
        <v>12654</v>
      </c>
      <c r="H857" s="10" t="s">
        <v>801</v>
      </c>
      <c r="I857" s="10" t="s">
        <v>55</v>
      </c>
      <c r="J857" s="10" t="s">
        <v>13437</v>
      </c>
      <c r="K857" s="10" t="s">
        <v>14580</v>
      </c>
      <c r="L857" s="10" t="s">
        <v>42</v>
      </c>
    </row>
    <row r="858" ht="15.75" customHeight="1">
      <c r="A858" s="64">
        <v>45484.0</v>
      </c>
      <c r="B858" s="55" t="str">
        <f>HYPERLINK("https://jobright.ai/jobs/info/6690b05d1f8d1bc97eb68396?utm_campaign=1065&amp;utm_source=sheet", "Apply")</f>
        <v>Apply</v>
      </c>
      <c r="C858" s="10" t="s">
        <v>14581</v>
      </c>
      <c r="D858" s="56" t="s">
        <v>14380</v>
      </c>
      <c r="E858" s="59">
        <v>45301.0</v>
      </c>
      <c r="F858" s="10" t="s">
        <v>14381</v>
      </c>
      <c r="G858" s="10" t="s">
        <v>12654</v>
      </c>
      <c r="H858" s="10" t="s">
        <v>825</v>
      </c>
      <c r="I858" s="10" t="s">
        <v>55</v>
      </c>
      <c r="J858" s="10" t="s">
        <v>13437</v>
      </c>
      <c r="K858" s="10" t="s">
        <v>14582</v>
      </c>
      <c r="L858" s="10" t="s">
        <v>42</v>
      </c>
    </row>
    <row r="859" ht="15.75" customHeight="1">
      <c r="A859" s="64">
        <v>45484.0</v>
      </c>
      <c r="B859" s="55" t="str">
        <f>HYPERLINK("https://jobright.ai/jobs/info/6690b05d1f8d1bc97eb68395?utm_campaign=1065&amp;utm_source=sheet", "Apply")</f>
        <v>Apply</v>
      </c>
      <c r="C859" s="10" t="s">
        <v>14581</v>
      </c>
      <c r="D859" s="56" t="s">
        <v>14380</v>
      </c>
      <c r="E859" s="59">
        <v>45301.0</v>
      </c>
      <c r="F859" s="10" t="s">
        <v>14381</v>
      </c>
      <c r="G859" s="10" t="s">
        <v>12654</v>
      </c>
      <c r="H859" s="10" t="s">
        <v>994</v>
      </c>
      <c r="I859" s="10" t="s">
        <v>55</v>
      </c>
      <c r="J859" s="10" t="s">
        <v>13437</v>
      </c>
      <c r="K859" s="10" t="s">
        <v>14582</v>
      </c>
      <c r="L859" s="10" t="s">
        <v>42</v>
      </c>
    </row>
    <row r="860" ht="15.75" customHeight="1">
      <c r="A860" s="64">
        <v>45484.0</v>
      </c>
      <c r="B860" s="55" t="str">
        <f>HYPERLINK("https://jobright.ai/jobs/info/6690b05d1f8d1bc97eb68398?utm_campaign=1065&amp;utm_source=sheet", "Apply")</f>
        <v>Apply</v>
      </c>
      <c r="C860" s="10" t="s">
        <v>14581</v>
      </c>
      <c r="D860" s="56" t="s">
        <v>14380</v>
      </c>
      <c r="E860" s="59">
        <v>45301.0</v>
      </c>
      <c r="F860" s="10" t="s">
        <v>14381</v>
      </c>
      <c r="G860" s="10" t="s">
        <v>12654</v>
      </c>
      <c r="H860" s="10" t="s">
        <v>972</v>
      </c>
      <c r="I860" s="10" t="s">
        <v>55</v>
      </c>
      <c r="J860" s="10" t="s">
        <v>13437</v>
      </c>
      <c r="K860" s="10" t="s">
        <v>14582</v>
      </c>
      <c r="L860" s="10" t="s">
        <v>42</v>
      </c>
    </row>
    <row r="861" ht="15.75" customHeight="1">
      <c r="A861" s="64">
        <v>45484.0</v>
      </c>
      <c r="B861" s="55" t="str">
        <f>HYPERLINK("https://jobright.ai/jobs/info/6690b05d1f8d1bc97eb68397?utm_campaign=1065&amp;utm_source=sheet", "Apply")</f>
        <v>Apply</v>
      </c>
      <c r="C861" s="10" t="s">
        <v>14581</v>
      </c>
      <c r="D861" s="56" t="s">
        <v>14380</v>
      </c>
      <c r="E861" s="59">
        <v>45301.0</v>
      </c>
      <c r="F861" s="10" t="s">
        <v>14381</v>
      </c>
      <c r="G861" s="10" t="s">
        <v>12654</v>
      </c>
      <c r="H861" s="10" t="s">
        <v>947</v>
      </c>
      <c r="I861" s="10" t="s">
        <v>55</v>
      </c>
      <c r="J861" s="10" t="s">
        <v>13437</v>
      </c>
      <c r="K861" s="10" t="s">
        <v>14582</v>
      </c>
      <c r="L861" s="10" t="s">
        <v>42</v>
      </c>
    </row>
    <row r="862" ht="15.75" customHeight="1">
      <c r="A862" s="64">
        <v>45484.0</v>
      </c>
      <c r="B862" s="55" t="str">
        <f>HYPERLINK("https://jobright.ai/jobs/info/6690a0df43cab07c25cd0b83?utm_campaign=1065&amp;utm_source=sheet", "Apply")</f>
        <v>Apply</v>
      </c>
      <c r="C862" s="10" t="s">
        <v>14579</v>
      </c>
      <c r="D862" s="56" t="s">
        <v>14380</v>
      </c>
      <c r="E862" s="59">
        <v>45301.0</v>
      </c>
      <c r="F862" s="10" t="s">
        <v>14381</v>
      </c>
      <c r="G862" s="10" t="s">
        <v>12654</v>
      </c>
      <c r="H862" s="10" t="s">
        <v>167</v>
      </c>
      <c r="I862" s="10" t="s">
        <v>55</v>
      </c>
      <c r="J862" s="10" t="s">
        <v>13437</v>
      </c>
      <c r="K862" s="10" t="s">
        <v>14580</v>
      </c>
      <c r="L862" s="10" t="s">
        <v>42</v>
      </c>
    </row>
    <row r="863" ht="15.75" customHeight="1">
      <c r="A863" s="64">
        <v>45484.0</v>
      </c>
      <c r="B863" s="55" t="str">
        <f>HYPERLINK("https://jobright.ai/jobs/info/6690a0df43cab07c25cd0b84?utm_campaign=1065&amp;utm_source=sheet", "Apply")</f>
        <v>Apply</v>
      </c>
      <c r="C863" s="10" t="s">
        <v>14579</v>
      </c>
      <c r="D863" s="56" t="s">
        <v>14380</v>
      </c>
      <c r="E863" s="59">
        <v>45301.0</v>
      </c>
      <c r="F863" s="10" t="s">
        <v>14381</v>
      </c>
      <c r="G863" s="10" t="s">
        <v>12654</v>
      </c>
      <c r="H863" s="10" t="s">
        <v>957</v>
      </c>
      <c r="I863" s="10" t="s">
        <v>55</v>
      </c>
      <c r="J863" s="10" t="s">
        <v>13437</v>
      </c>
      <c r="K863" s="10" t="s">
        <v>14580</v>
      </c>
      <c r="L863" s="10" t="s">
        <v>42</v>
      </c>
    </row>
    <row r="864" ht="15.75" customHeight="1">
      <c r="A864" s="64">
        <v>45484.0</v>
      </c>
      <c r="B864" s="55" t="str">
        <f>HYPERLINK("https://jobright.ai/jobs/info/6690a0df43cab07c25cd0b86?utm_campaign=1065&amp;utm_source=sheet", "Apply")</f>
        <v>Apply</v>
      </c>
      <c r="C864" s="10" t="s">
        <v>14579</v>
      </c>
      <c r="D864" s="56" t="s">
        <v>14380</v>
      </c>
      <c r="E864" s="59">
        <v>45301.0</v>
      </c>
      <c r="F864" s="10" t="s">
        <v>14381</v>
      </c>
      <c r="G864" s="10" t="s">
        <v>12654</v>
      </c>
      <c r="H864" s="10" t="s">
        <v>1001</v>
      </c>
      <c r="I864" s="10" t="s">
        <v>55</v>
      </c>
      <c r="J864" s="10" t="s">
        <v>13437</v>
      </c>
      <c r="K864" s="10" t="s">
        <v>14580</v>
      </c>
      <c r="L864" s="10" t="s">
        <v>42</v>
      </c>
    </row>
    <row r="865" ht="15.75" customHeight="1">
      <c r="A865" s="64">
        <v>45484.0</v>
      </c>
      <c r="B865" s="55" t="str">
        <f>HYPERLINK("https://jobright.ai/jobs/info/6690a0a843cab07c25cd067c?utm_campaign=1065&amp;utm_source=sheet", "Apply")</f>
        <v>Apply</v>
      </c>
      <c r="C865" s="10" t="s">
        <v>14536</v>
      </c>
      <c r="D865" s="56" t="s">
        <v>14380</v>
      </c>
      <c r="E865" s="59">
        <v>45301.0</v>
      </c>
      <c r="F865" s="10" t="s">
        <v>14381</v>
      </c>
      <c r="G865" s="10" t="s">
        <v>12654</v>
      </c>
      <c r="H865" s="10" t="s">
        <v>1033</v>
      </c>
      <c r="I865" s="10" t="s">
        <v>55</v>
      </c>
      <c r="J865" s="10" t="s">
        <v>13437</v>
      </c>
      <c r="K865" s="10" t="s">
        <v>14537</v>
      </c>
      <c r="L865" s="10" t="s">
        <v>42</v>
      </c>
    </row>
    <row r="866" ht="15.75" customHeight="1">
      <c r="A866" s="64">
        <v>45484.0</v>
      </c>
      <c r="B866" s="55" t="str">
        <f>HYPERLINK("https://jobright.ai/jobs/info/6690a0df43cab07c25cd0b85?utm_campaign=1065&amp;utm_source=sheet", "Apply")</f>
        <v>Apply</v>
      </c>
      <c r="C866" s="10" t="s">
        <v>14579</v>
      </c>
      <c r="D866" s="56" t="s">
        <v>14380</v>
      </c>
      <c r="E866" s="59">
        <v>45301.0</v>
      </c>
      <c r="F866" s="10" t="s">
        <v>14381</v>
      </c>
      <c r="G866" s="10" t="s">
        <v>12654</v>
      </c>
      <c r="H866" s="10" t="s">
        <v>990</v>
      </c>
      <c r="I866" s="10" t="s">
        <v>55</v>
      </c>
      <c r="J866" s="10" t="s">
        <v>13437</v>
      </c>
      <c r="K866" s="10" t="s">
        <v>14580</v>
      </c>
      <c r="L866" s="10" t="s">
        <v>42</v>
      </c>
    </row>
    <row r="867" ht="15.75" customHeight="1">
      <c r="A867" s="64">
        <v>45484.0</v>
      </c>
      <c r="B867" s="55" t="str">
        <f>HYPERLINK("https://jobright.ai/jobs/info/6690a0df43cab07c25cd0b82?utm_campaign=1065&amp;utm_source=sheet", "Apply")</f>
        <v>Apply</v>
      </c>
      <c r="C867" s="10" t="s">
        <v>14579</v>
      </c>
      <c r="D867" s="56" t="s">
        <v>14380</v>
      </c>
      <c r="E867" s="59">
        <v>45301.0</v>
      </c>
      <c r="F867" s="10" t="s">
        <v>14381</v>
      </c>
      <c r="G867" s="10" t="s">
        <v>12654</v>
      </c>
      <c r="H867" s="10" t="s">
        <v>894</v>
      </c>
      <c r="I867" s="10" t="s">
        <v>55</v>
      </c>
      <c r="J867" s="10" t="s">
        <v>13437</v>
      </c>
      <c r="K867" s="10" t="s">
        <v>14580</v>
      </c>
      <c r="L867" s="10" t="s">
        <v>42</v>
      </c>
    </row>
    <row r="868" ht="15.75" customHeight="1">
      <c r="A868" s="64">
        <v>45484.0</v>
      </c>
      <c r="B868" s="55" t="str">
        <f>HYPERLINK("https://jobright.ai/jobs/info/6690a0df43cab07c25cd0b88?utm_campaign=1065&amp;utm_source=sheet", "Apply")</f>
        <v>Apply</v>
      </c>
      <c r="C868" s="10" t="s">
        <v>14579</v>
      </c>
      <c r="D868" s="56" t="s">
        <v>14380</v>
      </c>
      <c r="E868" s="59">
        <v>45301.0</v>
      </c>
      <c r="F868" s="10" t="s">
        <v>14381</v>
      </c>
      <c r="G868" s="10" t="s">
        <v>12654</v>
      </c>
      <c r="H868" s="10" t="s">
        <v>313</v>
      </c>
      <c r="I868" s="10" t="s">
        <v>55</v>
      </c>
      <c r="J868" s="10" t="s">
        <v>13437</v>
      </c>
      <c r="K868" s="10" t="s">
        <v>14580</v>
      </c>
      <c r="L868" s="10" t="s">
        <v>42</v>
      </c>
    </row>
    <row r="869" ht="15.75" customHeight="1">
      <c r="A869" s="64">
        <v>45484.0</v>
      </c>
      <c r="B869" s="55" t="str">
        <f>HYPERLINK("https://jobright.ai/jobs/info/6690b1881f8d1bc97eb69e05?utm_campaign=1065&amp;utm_source=sheet", "Apply")</f>
        <v>Apply</v>
      </c>
      <c r="C869" s="10" t="s">
        <v>14581</v>
      </c>
      <c r="D869" s="56" t="s">
        <v>14380</v>
      </c>
      <c r="E869" s="59">
        <v>45301.0</v>
      </c>
      <c r="F869" s="10" t="s">
        <v>14381</v>
      </c>
      <c r="G869" s="10" t="s">
        <v>12654</v>
      </c>
      <c r="H869" s="10" t="s">
        <v>117</v>
      </c>
      <c r="I869" s="10" t="s">
        <v>55</v>
      </c>
      <c r="J869" s="10" t="s">
        <v>13437</v>
      </c>
      <c r="K869" s="10" t="s">
        <v>14582</v>
      </c>
      <c r="L869" s="10" t="s">
        <v>42</v>
      </c>
    </row>
    <row r="870" ht="15.75" customHeight="1">
      <c r="A870" s="64">
        <v>45484.0</v>
      </c>
      <c r="B870" s="55" t="str">
        <f>HYPERLINK("https://jobright.ai/jobs/info/6690b1881f8d1bc97eb69e4d?utm_campaign=1065&amp;utm_source=sheet", "Apply")</f>
        <v>Apply</v>
      </c>
      <c r="C870" s="10" t="s">
        <v>14581</v>
      </c>
      <c r="D870" s="56" t="s">
        <v>14380</v>
      </c>
      <c r="E870" s="59">
        <v>45301.0</v>
      </c>
      <c r="F870" s="10" t="s">
        <v>14381</v>
      </c>
      <c r="G870" s="10" t="s">
        <v>12654</v>
      </c>
      <c r="H870" s="10" t="s">
        <v>1025</v>
      </c>
      <c r="I870" s="10" t="s">
        <v>55</v>
      </c>
      <c r="J870" s="10" t="s">
        <v>13437</v>
      </c>
      <c r="K870" s="10" t="s">
        <v>14582</v>
      </c>
      <c r="L870" s="10" t="s">
        <v>42</v>
      </c>
    </row>
    <row r="871" ht="15.75" customHeight="1">
      <c r="A871" s="64">
        <v>45484.0</v>
      </c>
      <c r="B871" s="55" t="str">
        <f>HYPERLINK("https://jobright.ai/jobs/info/6690b1911f8d1bc97eb69eb2?utm_campaign=1065&amp;utm_source=sheet", "Apply")</f>
        <v>Apply</v>
      </c>
      <c r="C871" s="10" t="s">
        <v>14581</v>
      </c>
      <c r="D871" s="56" t="s">
        <v>14380</v>
      </c>
      <c r="E871" s="59">
        <v>45301.0</v>
      </c>
      <c r="F871" s="10" t="s">
        <v>14381</v>
      </c>
      <c r="G871" s="10" t="s">
        <v>12654</v>
      </c>
      <c r="H871" s="10" t="s">
        <v>920</v>
      </c>
      <c r="I871" s="10" t="s">
        <v>55</v>
      </c>
      <c r="J871" s="10" t="s">
        <v>13437</v>
      </c>
      <c r="K871" s="10" t="s">
        <v>14582</v>
      </c>
      <c r="L871" s="10" t="s">
        <v>42</v>
      </c>
    </row>
    <row r="872" ht="15.75" customHeight="1">
      <c r="A872" s="64">
        <v>45484.0</v>
      </c>
      <c r="B872" s="55" t="str">
        <f>HYPERLINK("https://jobright.ai/jobs/info/6690b1881f8d1bc97eb69e8e?utm_campaign=1065&amp;utm_source=sheet", "Apply")</f>
        <v>Apply</v>
      </c>
      <c r="C872" s="10" t="s">
        <v>14581</v>
      </c>
      <c r="D872" s="56" t="s">
        <v>14380</v>
      </c>
      <c r="E872" s="59">
        <v>45301.0</v>
      </c>
      <c r="F872" s="10" t="s">
        <v>14381</v>
      </c>
      <c r="G872" s="10" t="s">
        <v>12654</v>
      </c>
      <c r="H872" s="10" t="s">
        <v>936</v>
      </c>
      <c r="I872" s="10" t="s">
        <v>55</v>
      </c>
      <c r="J872" s="10" t="s">
        <v>13437</v>
      </c>
      <c r="K872" s="10" t="s">
        <v>14582</v>
      </c>
      <c r="L872" s="10" t="s">
        <v>42</v>
      </c>
    </row>
    <row r="873" ht="15.75" customHeight="1">
      <c r="A873" s="64">
        <v>45484.0</v>
      </c>
      <c r="B873" s="55" t="str">
        <f>HYPERLINK("https://jobright.ai/jobs/info/6690b1911f8d1bc97eb69ec9?utm_campaign=1065&amp;utm_source=sheet", "Apply")</f>
        <v>Apply</v>
      </c>
      <c r="C873" s="10" t="s">
        <v>14581</v>
      </c>
      <c r="D873" s="56" t="s">
        <v>14380</v>
      </c>
      <c r="E873" s="59">
        <v>45301.0</v>
      </c>
      <c r="F873" s="10" t="s">
        <v>14381</v>
      </c>
      <c r="G873" s="10" t="s">
        <v>12654</v>
      </c>
      <c r="H873" s="10" t="s">
        <v>848</v>
      </c>
      <c r="I873" s="10" t="s">
        <v>55</v>
      </c>
      <c r="J873" s="10" t="s">
        <v>13437</v>
      </c>
      <c r="K873" s="10" t="s">
        <v>14582</v>
      </c>
      <c r="L873" s="10" t="s">
        <v>42</v>
      </c>
    </row>
    <row r="874" ht="15.75" customHeight="1">
      <c r="A874" s="64">
        <v>45484.0</v>
      </c>
      <c r="B874" s="55" t="str">
        <f>HYPERLINK("https://jobright.ai/jobs/info/6690b1911f8d1bc97eb69eb5?utm_campaign=1065&amp;utm_source=sheet", "Apply")</f>
        <v>Apply</v>
      </c>
      <c r="C874" s="10" t="s">
        <v>14581</v>
      </c>
      <c r="D874" s="56" t="s">
        <v>14380</v>
      </c>
      <c r="E874" s="59">
        <v>45301.0</v>
      </c>
      <c r="F874" s="10" t="s">
        <v>14381</v>
      </c>
      <c r="G874" s="10" t="s">
        <v>12654</v>
      </c>
      <c r="H874" s="10" t="s">
        <v>1028</v>
      </c>
      <c r="I874" s="10" t="s">
        <v>55</v>
      </c>
      <c r="J874" s="10" t="s">
        <v>13437</v>
      </c>
      <c r="K874" s="10" t="s">
        <v>14582</v>
      </c>
      <c r="L874" s="10" t="s">
        <v>42</v>
      </c>
    </row>
    <row r="875" ht="15.75" customHeight="1">
      <c r="A875" s="64">
        <v>45484.0</v>
      </c>
      <c r="B875" s="55" t="str">
        <f>HYPERLINK("https://jobright.ai/jobs/info/6690b1911f8d1bc97eb69ec4?utm_campaign=1065&amp;utm_source=sheet", "Apply")</f>
        <v>Apply</v>
      </c>
      <c r="C875" s="10" t="s">
        <v>14581</v>
      </c>
      <c r="D875" s="56" t="s">
        <v>14380</v>
      </c>
      <c r="E875" s="59">
        <v>45301.0</v>
      </c>
      <c r="F875" s="10" t="s">
        <v>14381</v>
      </c>
      <c r="G875" s="10" t="s">
        <v>12654</v>
      </c>
      <c r="H875" s="10" t="s">
        <v>844</v>
      </c>
      <c r="I875" s="10" t="s">
        <v>55</v>
      </c>
      <c r="J875" s="10" t="s">
        <v>13437</v>
      </c>
      <c r="K875" s="10" t="s">
        <v>14582</v>
      </c>
      <c r="L875" s="10" t="s">
        <v>42</v>
      </c>
    </row>
    <row r="876" ht="15.75" customHeight="1">
      <c r="A876" s="64">
        <v>45484.0</v>
      </c>
      <c r="B876" s="55" t="str">
        <f>HYPERLINK("https://jobright.ai/jobs/info/6690b1911f8d1bc97eb69ed1?utm_campaign=1065&amp;utm_source=sheet", "Apply")</f>
        <v>Apply</v>
      </c>
      <c r="C876" s="10" t="s">
        <v>14581</v>
      </c>
      <c r="D876" s="56" t="s">
        <v>14380</v>
      </c>
      <c r="E876" s="59">
        <v>45301.0</v>
      </c>
      <c r="F876" s="10" t="s">
        <v>14381</v>
      </c>
      <c r="G876" s="10" t="s">
        <v>12654</v>
      </c>
      <c r="H876" s="10" t="s">
        <v>895</v>
      </c>
      <c r="I876" s="10" t="s">
        <v>55</v>
      </c>
      <c r="J876" s="10" t="s">
        <v>13437</v>
      </c>
      <c r="K876" s="10" t="s">
        <v>14582</v>
      </c>
      <c r="L876" s="10" t="s">
        <v>42</v>
      </c>
    </row>
    <row r="877" ht="15.75" customHeight="1">
      <c r="A877" s="64">
        <v>45484.0</v>
      </c>
      <c r="B877" s="55" t="str">
        <f>HYPERLINK("https://jobright.ai/jobs/info/6690b1911f8d1bc97eb69edc?utm_campaign=1065&amp;utm_source=sheet", "Apply")</f>
        <v>Apply</v>
      </c>
      <c r="C877" s="10" t="s">
        <v>14581</v>
      </c>
      <c r="D877" s="56" t="s">
        <v>14380</v>
      </c>
      <c r="E877" s="59">
        <v>45301.0</v>
      </c>
      <c r="F877" s="10" t="s">
        <v>14381</v>
      </c>
      <c r="G877" s="10" t="s">
        <v>12654</v>
      </c>
      <c r="H877" s="10" t="s">
        <v>974</v>
      </c>
      <c r="I877" s="10" t="s">
        <v>55</v>
      </c>
      <c r="J877" s="10" t="s">
        <v>13437</v>
      </c>
      <c r="K877" s="10" t="s">
        <v>14582</v>
      </c>
      <c r="L877" s="10" t="s">
        <v>42</v>
      </c>
    </row>
    <row r="878" ht="15.75" customHeight="1">
      <c r="A878" s="64">
        <v>45484.0</v>
      </c>
      <c r="B878" s="55" t="str">
        <f>HYPERLINK("https://jobright.ai/jobs/info/6690b1911f8d1bc97eb69ee4?utm_campaign=1065&amp;utm_source=sheet", "Apply")</f>
        <v>Apply</v>
      </c>
      <c r="C878" s="10" t="s">
        <v>14581</v>
      </c>
      <c r="D878" s="56" t="s">
        <v>14380</v>
      </c>
      <c r="E878" s="59">
        <v>45301.0</v>
      </c>
      <c r="F878" s="10" t="s">
        <v>14381</v>
      </c>
      <c r="G878" s="10" t="s">
        <v>12654</v>
      </c>
      <c r="H878" s="10" t="s">
        <v>798</v>
      </c>
      <c r="I878" s="10" t="s">
        <v>55</v>
      </c>
      <c r="J878" s="10" t="s">
        <v>13437</v>
      </c>
      <c r="K878" s="10" t="s">
        <v>14582</v>
      </c>
      <c r="L878" s="10" t="s">
        <v>42</v>
      </c>
    </row>
    <row r="879" ht="15.75" customHeight="1">
      <c r="A879" s="64">
        <v>45484.0</v>
      </c>
      <c r="B879" s="55" t="str">
        <f>HYPERLINK("https://jobright.ai/jobs/info/6690b1911f8d1bc97eb69ef9?utm_campaign=1065&amp;utm_source=sheet", "Apply")</f>
        <v>Apply</v>
      </c>
      <c r="C879" s="10" t="s">
        <v>14581</v>
      </c>
      <c r="D879" s="56" t="s">
        <v>14380</v>
      </c>
      <c r="E879" s="59">
        <v>45301.0</v>
      </c>
      <c r="F879" s="10" t="s">
        <v>14381</v>
      </c>
      <c r="G879" s="10" t="s">
        <v>12654</v>
      </c>
      <c r="H879" s="10" t="s">
        <v>661</v>
      </c>
      <c r="I879" s="10" t="s">
        <v>55</v>
      </c>
      <c r="J879" s="10" t="s">
        <v>13437</v>
      </c>
      <c r="K879" s="10" t="s">
        <v>14582</v>
      </c>
      <c r="L879" s="10" t="s">
        <v>42</v>
      </c>
    </row>
    <row r="880" ht="15.75" customHeight="1">
      <c r="A880" s="64">
        <v>45484.0</v>
      </c>
      <c r="B880" s="55" t="str">
        <f>HYPERLINK("https://jobright.ai/jobs/info/6690b1911f8d1bc97eb69f13?utm_campaign=1065&amp;utm_source=sheet", "Apply")</f>
        <v>Apply</v>
      </c>
      <c r="C880" s="10" t="s">
        <v>14581</v>
      </c>
      <c r="D880" s="56" t="s">
        <v>14380</v>
      </c>
      <c r="E880" s="59">
        <v>45301.0</v>
      </c>
      <c r="F880" s="10" t="s">
        <v>14381</v>
      </c>
      <c r="G880" s="10" t="s">
        <v>12654</v>
      </c>
      <c r="H880" s="10" t="s">
        <v>833</v>
      </c>
      <c r="I880" s="10" t="s">
        <v>55</v>
      </c>
      <c r="J880" s="10" t="s">
        <v>13437</v>
      </c>
      <c r="K880" s="10" t="s">
        <v>14582</v>
      </c>
      <c r="L880" s="10" t="s">
        <v>42</v>
      </c>
    </row>
    <row r="881" ht="15.75" customHeight="1">
      <c r="A881" s="64">
        <v>45484.0</v>
      </c>
      <c r="B881" s="55" t="str">
        <f>HYPERLINK("https://jobright.ai/jobs/info/6690b1911f8d1bc97eb69f19?utm_campaign=1065&amp;utm_source=sheet", "Apply")</f>
        <v>Apply</v>
      </c>
      <c r="C881" s="10" t="s">
        <v>14581</v>
      </c>
      <c r="D881" s="56" t="s">
        <v>14380</v>
      </c>
      <c r="E881" s="59">
        <v>45301.0</v>
      </c>
      <c r="F881" s="10" t="s">
        <v>14381</v>
      </c>
      <c r="G881" s="10" t="s">
        <v>12654</v>
      </c>
      <c r="H881" s="10" t="s">
        <v>980</v>
      </c>
      <c r="I881" s="10" t="s">
        <v>55</v>
      </c>
      <c r="J881" s="10" t="s">
        <v>13437</v>
      </c>
      <c r="K881" s="10" t="s">
        <v>14582</v>
      </c>
      <c r="L881" s="10" t="s">
        <v>42</v>
      </c>
    </row>
    <row r="882" ht="15.75" customHeight="1">
      <c r="A882" s="64">
        <v>45484.0</v>
      </c>
      <c r="B882" s="55" t="str">
        <f>HYPERLINK("https://jobright.ai/jobs/info/6690b1911f8d1bc97eb69f23?utm_campaign=1065&amp;utm_source=sheet", "Apply")</f>
        <v>Apply</v>
      </c>
      <c r="C882" s="10" t="s">
        <v>14581</v>
      </c>
      <c r="D882" s="56" t="s">
        <v>14380</v>
      </c>
      <c r="E882" s="59">
        <v>45301.0</v>
      </c>
      <c r="F882" s="10" t="s">
        <v>14381</v>
      </c>
      <c r="G882" s="10" t="s">
        <v>12654</v>
      </c>
      <c r="H882" s="10" t="s">
        <v>900</v>
      </c>
      <c r="I882" s="10" t="s">
        <v>55</v>
      </c>
      <c r="J882" s="10" t="s">
        <v>13437</v>
      </c>
      <c r="K882" s="10" t="s">
        <v>14582</v>
      </c>
      <c r="L882" s="10" t="s">
        <v>42</v>
      </c>
    </row>
    <row r="883" ht="15.75" customHeight="1">
      <c r="A883" s="64">
        <v>45484.0</v>
      </c>
      <c r="B883" s="55" t="str">
        <f>HYPERLINK("https://jobright.ai/jobs/info/6690b1911f8d1bc97eb69f26?utm_campaign=1065&amp;utm_source=sheet", "Apply")</f>
        <v>Apply</v>
      </c>
      <c r="C883" s="10" t="s">
        <v>14581</v>
      </c>
      <c r="D883" s="56" t="s">
        <v>14380</v>
      </c>
      <c r="E883" s="59">
        <v>45301.0</v>
      </c>
      <c r="F883" s="10" t="s">
        <v>14381</v>
      </c>
      <c r="G883" s="10" t="s">
        <v>12654</v>
      </c>
      <c r="H883" s="10" t="s">
        <v>1009</v>
      </c>
      <c r="I883" s="10" t="s">
        <v>55</v>
      </c>
      <c r="J883" s="10" t="s">
        <v>13437</v>
      </c>
      <c r="K883" s="10" t="s">
        <v>14582</v>
      </c>
      <c r="L883" s="10" t="s">
        <v>42</v>
      </c>
    </row>
    <row r="884" ht="15.75" customHeight="1">
      <c r="A884" s="64">
        <v>45484.0</v>
      </c>
      <c r="B884" s="55" t="str">
        <f>HYPERLINK("https://jobright.ai/jobs/info/6690b1911f8d1bc97eb69f2d?utm_campaign=1065&amp;utm_source=sheet", "Apply")</f>
        <v>Apply</v>
      </c>
      <c r="C884" s="10" t="s">
        <v>14581</v>
      </c>
      <c r="D884" s="56" t="s">
        <v>14380</v>
      </c>
      <c r="E884" s="59">
        <v>45301.0</v>
      </c>
      <c r="F884" s="10" t="s">
        <v>14381</v>
      </c>
      <c r="G884" s="10" t="s">
        <v>12654</v>
      </c>
      <c r="H884" s="10" t="s">
        <v>985</v>
      </c>
      <c r="I884" s="10" t="s">
        <v>55</v>
      </c>
      <c r="J884" s="10" t="s">
        <v>13437</v>
      </c>
      <c r="K884" s="10" t="s">
        <v>14582</v>
      </c>
      <c r="L884" s="10" t="s">
        <v>42</v>
      </c>
    </row>
    <row r="885" ht="15.75" customHeight="1">
      <c r="A885" s="64">
        <v>45484.0</v>
      </c>
      <c r="B885" s="55" t="str">
        <f>HYPERLINK("https://jobright.ai/jobs/info/6690b1911f8d1bc97eb69f50?utm_campaign=1065&amp;utm_source=sheet", "Apply")</f>
        <v>Apply</v>
      </c>
      <c r="C885" s="10" t="s">
        <v>14581</v>
      </c>
      <c r="D885" s="56" t="s">
        <v>14380</v>
      </c>
      <c r="E885" s="59">
        <v>45301.0</v>
      </c>
      <c r="F885" s="10" t="s">
        <v>14381</v>
      </c>
      <c r="G885" s="10" t="s">
        <v>12654</v>
      </c>
      <c r="H885" s="10" t="s">
        <v>913</v>
      </c>
      <c r="I885" s="10" t="s">
        <v>55</v>
      </c>
      <c r="J885" s="10" t="s">
        <v>13437</v>
      </c>
      <c r="K885" s="10" t="s">
        <v>14582</v>
      </c>
      <c r="L885" s="10" t="s">
        <v>42</v>
      </c>
    </row>
    <row r="886" ht="15.75" customHeight="1">
      <c r="A886" s="64">
        <v>45484.0</v>
      </c>
      <c r="B886" s="55" t="str">
        <f>HYPERLINK("https://jobright.ai/jobs/info/6690b1911f8d1bc97eb69f6a?utm_campaign=1065&amp;utm_source=sheet", "Apply")</f>
        <v>Apply</v>
      </c>
      <c r="C886" s="10" t="s">
        <v>14581</v>
      </c>
      <c r="D886" s="56" t="s">
        <v>14380</v>
      </c>
      <c r="E886" s="59">
        <v>45301.0</v>
      </c>
      <c r="F886" s="10" t="s">
        <v>14381</v>
      </c>
      <c r="G886" s="10" t="s">
        <v>12654</v>
      </c>
      <c r="H886" s="10" t="s">
        <v>785</v>
      </c>
      <c r="I886" s="10" t="s">
        <v>55</v>
      </c>
      <c r="J886" s="10" t="s">
        <v>13437</v>
      </c>
      <c r="K886" s="10" t="s">
        <v>14582</v>
      </c>
      <c r="L886" s="10" t="s">
        <v>42</v>
      </c>
    </row>
    <row r="887" ht="15.75" customHeight="1">
      <c r="A887" s="64">
        <v>45484.0</v>
      </c>
      <c r="B887" s="55" t="str">
        <f>HYPERLINK("https://jobright.ai/jobs/info/6690b1a51f8d1bc97eb6a0af?utm_campaign=1065&amp;utm_source=sheet", "Apply")</f>
        <v>Apply</v>
      </c>
      <c r="C887" s="10" t="s">
        <v>14581</v>
      </c>
      <c r="D887" s="56" t="s">
        <v>14380</v>
      </c>
      <c r="E887" s="59">
        <v>45301.0</v>
      </c>
      <c r="F887" s="10" t="s">
        <v>14381</v>
      </c>
      <c r="G887" s="10" t="s">
        <v>12654</v>
      </c>
      <c r="H887" s="10" t="s">
        <v>788</v>
      </c>
      <c r="I887" s="10" t="s">
        <v>55</v>
      </c>
      <c r="J887" s="10" t="s">
        <v>13437</v>
      </c>
      <c r="K887" s="10" t="s">
        <v>14582</v>
      </c>
      <c r="L887" s="10" t="s">
        <v>42</v>
      </c>
    </row>
    <row r="888" ht="15.75" customHeight="1">
      <c r="A888" s="64">
        <v>45484.0</v>
      </c>
      <c r="B888" s="55" t="str">
        <f>HYPERLINK("https://jobright.ai/jobs/info/6690b1a51f8d1bc97eb6a098?utm_campaign=1065&amp;utm_source=sheet", "Apply")</f>
        <v>Apply</v>
      </c>
      <c r="C888" s="10" t="s">
        <v>14581</v>
      </c>
      <c r="D888" s="56" t="s">
        <v>14380</v>
      </c>
      <c r="E888" s="59">
        <v>45301.0</v>
      </c>
      <c r="F888" s="10" t="s">
        <v>14381</v>
      </c>
      <c r="G888" s="10" t="s">
        <v>12654</v>
      </c>
      <c r="H888" s="10" t="s">
        <v>914</v>
      </c>
      <c r="I888" s="10" t="s">
        <v>55</v>
      </c>
      <c r="J888" s="10" t="s">
        <v>13437</v>
      </c>
      <c r="K888" s="10" t="s">
        <v>14582</v>
      </c>
      <c r="L888" s="10" t="s">
        <v>42</v>
      </c>
    </row>
    <row r="889" ht="15.75" customHeight="1">
      <c r="A889" s="64">
        <v>45484.0</v>
      </c>
      <c r="B889" s="55" t="str">
        <f>HYPERLINK("https://jobright.ai/jobs/info/6690b1a51f8d1bc97eb6a0a2?utm_campaign=1065&amp;utm_source=sheet", "Apply")</f>
        <v>Apply</v>
      </c>
      <c r="C889" s="10" t="s">
        <v>14581</v>
      </c>
      <c r="D889" s="56" t="s">
        <v>14380</v>
      </c>
      <c r="E889" s="59">
        <v>45301.0</v>
      </c>
      <c r="F889" s="10" t="s">
        <v>14381</v>
      </c>
      <c r="G889" s="10" t="s">
        <v>12654</v>
      </c>
      <c r="H889" s="10" t="s">
        <v>952</v>
      </c>
      <c r="I889" s="10" t="s">
        <v>55</v>
      </c>
      <c r="J889" s="10" t="s">
        <v>13437</v>
      </c>
      <c r="K889" s="10" t="s">
        <v>14582</v>
      </c>
      <c r="L889" s="10" t="s">
        <v>42</v>
      </c>
    </row>
    <row r="890" ht="15.75" customHeight="1">
      <c r="A890" s="64">
        <v>45484.0</v>
      </c>
      <c r="B890" s="55" t="str">
        <f>HYPERLINK("https://jobright.ai/jobs/info/6690b1a51f8d1bc97eb6a0ba?utm_campaign=1065&amp;utm_source=sheet", "Apply")</f>
        <v>Apply</v>
      </c>
      <c r="C890" s="10" t="s">
        <v>14581</v>
      </c>
      <c r="D890" s="56" t="s">
        <v>14380</v>
      </c>
      <c r="E890" s="59">
        <v>45301.0</v>
      </c>
      <c r="F890" s="10" t="s">
        <v>14381</v>
      </c>
      <c r="G890" s="10" t="s">
        <v>12654</v>
      </c>
      <c r="H890" s="10" t="s">
        <v>1033</v>
      </c>
      <c r="I890" s="10" t="s">
        <v>55</v>
      </c>
      <c r="J890" s="10" t="s">
        <v>13437</v>
      </c>
      <c r="K890" s="10" t="s">
        <v>14582</v>
      </c>
      <c r="L890" s="10" t="s">
        <v>42</v>
      </c>
    </row>
    <row r="891" ht="15.75" customHeight="1">
      <c r="A891" s="64">
        <v>45484.0</v>
      </c>
      <c r="B891" s="55" t="str">
        <f>HYPERLINK("https://jobright.ai/jobs/info/6690b1a51f8d1bc97eb6a0e9?utm_campaign=1065&amp;utm_source=sheet", "Apply")</f>
        <v>Apply</v>
      </c>
      <c r="C891" s="10" t="s">
        <v>14581</v>
      </c>
      <c r="D891" s="56" t="s">
        <v>14380</v>
      </c>
      <c r="E891" s="59">
        <v>45301.0</v>
      </c>
      <c r="F891" s="10" t="s">
        <v>14381</v>
      </c>
      <c r="G891" s="10" t="s">
        <v>12654</v>
      </c>
      <c r="H891" s="10" t="s">
        <v>813</v>
      </c>
      <c r="I891" s="10" t="s">
        <v>55</v>
      </c>
      <c r="J891" s="10" t="s">
        <v>13437</v>
      </c>
      <c r="K891" s="10" t="s">
        <v>14582</v>
      </c>
      <c r="L891" s="10" t="s">
        <v>42</v>
      </c>
    </row>
    <row r="892" ht="15.75" customHeight="1">
      <c r="A892" s="64">
        <v>45484.0</v>
      </c>
      <c r="B892" s="55" t="str">
        <f>HYPERLINK("https://jobright.ai/jobs/info/6690b1a51f8d1bc97eb6a0df?utm_campaign=1065&amp;utm_source=sheet", "Apply")</f>
        <v>Apply</v>
      </c>
      <c r="C892" s="10" t="s">
        <v>14581</v>
      </c>
      <c r="D892" s="56" t="s">
        <v>14380</v>
      </c>
      <c r="E892" s="59">
        <v>45301.0</v>
      </c>
      <c r="F892" s="10" t="s">
        <v>14381</v>
      </c>
      <c r="G892" s="10" t="s">
        <v>12654</v>
      </c>
      <c r="H892" s="10" t="s">
        <v>1019</v>
      </c>
      <c r="I892" s="10" t="s">
        <v>55</v>
      </c>
      <c r="J892" s="10" t="s">
        <v>13437</v>
      </c>
      <c r="K892" s="10" t="s">
        <v>14582</v>
      </c>
      <c r="L892" s="10" t="s">
        <v>42</v>
      </c>
    </row>
    <row r="893" ht="15.75" customHeight="1">
      <c r="A893" s="64">
        <v>45484.0</v>
      </c>
      <c r="B893" s="55" t="str">
        <f>HYPERLINK("https://jobright.ai/jobs/info/6690b1a51f8d1bc97eb6a0e2?utm_campaign=1065&amp;utm_source=sheet", "Apply")</f>
        <v>Apply</v>
      </c>
      <c r="C893" s="10" t="s">
        <v>14581</v>
      </c>
      <c r="D893" s="56" t="s">
        <v>14380</v>
      </c>
      <c r="E893" s="59">
        <v>45301.0</v>
      </c>
      <c r="F893" s="10" t="s">
        <v>14381</v>
      </c>
      <c r="G893" s="10" t="s">
        <v>12654</v>
      </c>
      <c r="H893" s="10" t="s">
        <v>911</v>
      </c>
      <c r="I893" s="10" t="s">
        <v>55</v>
      </c>
      <c r="J893" s="10" t="s">
        <v>13437</v>
      </c>
      <c r="K893" s="10" t="s">
        <v>14582</v>
      </c>
      <c r="L893" s="10" t="s">
        <v>42</v>
      </c>
    </row>
    <row r="894" ht="15.75" customHeight="1">
      <c r="A894" s="64">
        <v>45484.0</v>
      </c>
      <c r="B894" s="55" t="str">
        <f>HYPERLINK("https://jobright.ai/jobs/info/6690b1a51f8d1bc97eb6a0ca?utm_campaign=1065&amp;utm_source=sheet", "Apply")</f>
        <v>Apply</v>
      </c>
      <c r="C894" s="10" t="s">
        <v>14581</v>
      </c>
      <c r="D894" s="56" t="s">
        <v>14380</v>
      </c>
      <c r="E894" s="59">
        <v>45301.0</v>
      </c>
      <c r="F894" s="10" t="s">
        <v>14381</v>
      </c>
      <c r="G894" s="10" t="s">
        <v>12654</v>
      </c>
      <c r="H894" s="10" t="s">
        <v>1047</v>
      </c>
      <c r="I894" s="10" t="s">
        <v>55</v>
      </c>
      <c r="J894" s="10" t="s">
        <v>13437</v>
      </c>
      <c r="K894" s="10" t="s">
        <v>14582</v>
      </c>
      <c r="L894" s="10" t="s">
        <v>42</v>
      </c>
    </row>
    <row r="895" ht="15.75" customHeight="1">
      <c r="A895" s="64">
        <v>45484.0</v>
      </c>
      <c r="B895" s="55" t="str">
        <f>HYPERLINK("https://jobright.ai/jobs/info/6690b1a51f8d1bc97eb6a0e6?utm_campaign=1065&amp;utm_source=sheet", "Apply")</f>
        <v>Apply</v>
      </c>
      <c r="C895" s="10" t="s">
        <v>14581</v>
      </c>
      <c r="D895" s="56" t="s">
        <v>14380</v>
      </c>
      <c r="E895" s="59">
        <v>45301.0</v>
      </c>
      <c r="F895" s="10" t="s">
        <v>14381</v>
      </c>
      <c r="G895" s="10" t="s">
        <v>12654</v>
      </c>
      <c r="H895" s="10" t="s">
        <v>940</v>
      </c>
      <c r="I895" s="10" t="s">
        <v>55</v>
      </c>
      <c r="J895" s="10" t="s">
        <v>13437</v>
      </c>
      <c r="K895" s="10" t="s">
        <v>14582</v>
      </c>
      <c r="L895" s="10" t="s">
        <v>42</v>
      </c>
    </row>
    <row r="896" ht="15.75" customHeight="1">
      <c r="A896" s="64">
        <v>45484.0</v>
      </c>
      <c r="B896" s="55" t="str">
        <f>HYPERLINK("https://jobright.ai/jobs/info/6690b1a51f8d1bc97eb6a0de?utm_campaign=1065&amp;utm_source=sheet", "Apply")</f>
        <v>Apply</v>
      </c>
      <c r="C896" s="10" t="s">
        <v>14581</v>
      </c>
      <c r="D896" s="56" t="s">
        <v>14380</v>
      </c>
      <c r="E896" s="59">
        <v>45301.0</v>
      </c>
      <c r="F896" s="10" t="s">
        <v>14381</v>
      </c>
      <c r="G896" s="10" t="s">
        <v>12654</v>
      </c>
      <c r="H896" s="10" t="s">
        <v>926</v>
      </c>
      <c r="I896" s="10" t="s">
        <v>55</v>
      </c>
      <c r="J896" s="10" t="s">
        <v>13437</v>
      </c>
      <c r="K896" s="10" t="s">
        <v>14582</v>
      </c>
      <c r="L896" s="10" t="s">
        <v>42</v>
      </c>
    </row>
    <row r="897" ht="15.75" customHeight="1">
      <c r="A897" s="64">
        <v>45484.0</v>
      </c>
      <c r="B897" s="55" t="str">
        <f>HYPERLINK("https://jobright.ai/jobs/info/6690b1a51f8d1bc97eb6a0d3?utm_campaign=1065&amp;utm_source=sheet", "Apply")</f>
        <v>Apply</v>
      </c>
      <c r="C897" s="10" t="s">
        <v>14581</v>
      </c>
      <c r="D897" s="56" t="s">
        <v>14380</v>
      </c>
      <c r="E897" s="59">
        <v>45301.0</v>
      </c>
      <c r="F897" s="10" t="s">
        <v>14381</v>
      </c>
      <c r="G897" s="10" t="s">
        <v>12654</v>
      </c>
      <c r="H897" s="10" t="s">
        <v>908</v>
      </c>
      <c r="I897" s="10" t="s">
        <v>55</v>
      </c>
      <c r="J897" s="10" t="s">
        <v>13437</v>
      </c>
      <c r="K897" s="10" t="s">
        <v>14582</v>
      </c>
      <c r="L897" s="10" t="s">
        <v>42</v>
      </c>
    </row>
    <row r="898" ht="15.75" customHeight="1">
      <c r="A898" s="64">
        <v>45484.0</v>
      </c>
      <c r="B898" s="55" t="str">
        <f>HYPERLINK("https://jobright.ai/jobs/info/6690b1a51f8d1bc97eb6a0e8?utm_campaign=1065&amp;utm_source=sheet", "Apply")</f>
        <v>Apply</v>
      </c>
      <c r="C898" s="10" t="s">
        <v>14581</v>
      </c>
      <c r="D898" s="56" t="s">
        <v>14380</v>
      </c>
      <c r="E898" s="59">
        <v>45301.0</v>
      </c>
      <c r="F898" s="10" t="s">
        <v>14381</v>
      </c>
      <c r="G898" s="10" t="s">
        <v>12654</v>
      </c>
      <c r="H898" s="10" t="s">
        <v>1046</v>
      </c>
      <c r="I898" s="10" t="s">
        <v>55</v>
      </c>
      <c r="J898" s="10" t="s">
        <v>13437</v>
      </c>
      <c r="K898" s="10" t="s">
        <v>14582</v>
      </c>
      <c r="L898" s="10" t="s">
        <v>42</v>
      </c>
    </row>
    <row r="899" ht="15.75" customHeight="1">
      <c r="A899" s="64">
        <v>45484.0</v>
      </c>
      <c r="B899" s="55" t="str">
        <f>HYPERLINK("https://jobright.ai/jobs/info/6690b1a51f8d1bc97eb6a0c2?utm_campaign=1065&amp;utm_source=sheet", "Apply")</f>
        <v>Apply</v>
      </c>
      <c r="C899" s="10" t="s">
        <v>14581</v>
      </c>
      <c r="D899" s="56" t="s">
        <v>14380</v>
      </c>
      <c r="E899" s="59">
        <v>45301.0</v>
      </c>
      <c r="F899" s="10" t="s">
        <v>14381</v>
      </c>
      <c r="G899" s="10" t="s">
        <v>12654</v>
      </c>
      <c r="H899" s="10" t="s">
        <v>1050</v>
      </c>
      <c r="I899" s="10" t="s">
        <v>55</v>
      </c>
      <c r="J899" s="10" t="s">
        <v>13437</v>
      </c>
      <c r="K899" s="10" t="s">
        <v>14582</v>
      </c>
      <c r="L899" s="10" t="s">
        <v>42</v>
      </c>
    </row>
    <row r="900" ht="15.75" customHeight="1">
      <c r="A900" s="64">
        <v>45484.0</v>
      </c>
      <c r="B900" s="55" t="str">
        <f>HYPERLINK("https://jobright.ai/jobs/info/6690b1a51f8d1bc97eb6a0fd?utm_campaign=1065&amp;utm_source=sheet", "Apply")</f>
        <v>Apply</v>
      </c>
      <c r="C900" s="10" t="s">
        <v>14581</v>
      </c>
      <c r="D900" s="56" t="s">
        <v>14380</v>
      </c>
      <c r="E900" s="59">
        <v>45301.0</v>
      </c>
      <c r="F900" s="10" t="s">
        <v>14381</v>
      </c>
      <c r="G900" s="10" t="s">
        <v>12654</v>
      </c>
      <c r="H900" s="10" t="s">
        <v>820</v>
      </c>
      <c r="I900" s="10" t="s">
        <v>55</v>
      </c>
      <c r="J900" s="10" t="s">
        <v>13437</v>
      </c>
      <c r="K900" s="10" t="s">
        <v>14582</v>
      </c>
      <c r="L900" s="10" t="s">
        <v>42</v>
      </c>
    </row>
    <row r="901" ht="15.75" customHeight="1">
      <c r="A901" s="64">
        <v>45484.0</v>
      </c>
      <c r="B901" s="55" t="str">
        <f>HYPERLINK("https://jobright.ai/jobs/info/6690b1ae1f8d1bc97eb6a10c?utm_campaign=1065&amp;utm_source=sheet", "Apply")</f>
        <v>Apply</v>
      </c>
      <c r="C901" s="10" t="s">
        <v>14581</v>
      </c>
      <c r="D901" s="56" t="s">
        <v>14380</v>
      </c>
      <c r="E901" s="59">
        <v>45301.0</v>
      </c>
      <c r="F901" s="10" t="s">
        <v>14381</v>
      </c>
      <c r="G901" s="10" t="s">
        <v>12654</v>
      </c>
      <c r="H901" s="10" t="s">
        <v>770</v>
      </c>
      <c r="I901" s="10" t="s">
        <v>55</v>
      </c>
      <c r="J901" s="10" t="s">
        <v>13437</v>
      </c>
      <c r="K901" s="10" t="s">
        <v>14582</v>
      </c>
      <c r="L901" s="10" t="s">
        <v>42</v>
      </c>
    </row>
    <row r="902" ht="15.75" customHeight="1">
      <c r="A902" s="64">
        <v>45484.0</v>
      </c>
      <c r="B902" s="55" t="str">
        <f>HYPERLINK("https://jobright.ai/jobs/info/6690b1a51f8d1bc97eb6a0fb?utm_campaign=1065&amp;utm_source=sheet", "Apply")</f>
        <v>Apply</v>
      </c>
      <c r="C902" s="10" t="s">
        <v>14581</v>
      </c>
      <c r="D902" s="56" t="s">
        <v>14380</v>
      </c>
      <c r="E902" s="59">
        <v>45301.0</v>
      </c>
      <c r="F902" s="10" t="s">
        <v>14381</v>
      </c>
      <c r="G902" s="10" t="s">
        <v>12654</v>
      </c>
      <c r="H902" s="10" t="s">
        <v>859</v>
      </c>
      <c r="I902" s="10" t="s">
        <v>55</v>
      </c>
      <c r="J902" s="10" t="s">
        <v>13437</v>
      </c>
      <c r="K902" s="10" t="s">
        <v>14582</v>
      </c>
      <c r="L902" s="10" t="s">
        <v>42</v>
      </c>
    </row>
    <row r="903" ht="15.75" customHeight="1">
      <c r="A903" s="64">
        <v>45484.0</v>
      </c>
      <c r="B903" s="55" t="str">
        <f>HYPERLINK("https://jobright.ai/jobs/info/6690b1ae1f8d1bc97eb6a121?utm_campaign=1065&amp;utm_source=sheet", "Apply")</f>
        <v>Apply</v>
      </c>
      <c r="C903" s="10" t="s">
        <v>14581</v>
      </c>
      <c r="D903" s="56" t="s">
        <v>14380</v>
      </c>
      <c r="E903" s="59">
        <v>45301.0</v>
      </c>
      <c r="F903" s="10" t="s">
        <v>14381</v>
      </c>
      <c r="G903" s="10" t="s">
        <v>12654</v>
      </c>
      <c r="H903" s="10" t="s">
        <v>928</v>
      </c>
      <c r="I903" s="10" t="s">
        <v>55</v>
      </c>
      <c r="J903" s="10" t="s">
        <v>13437</v>
      </c>
      <c r="K903" s="10" t="s">
        <v>14582</v>
      </c>
      <c r="L903" s="10" t="s">
        <v>42</v>
      </c>
    </row>
    <row r="904" ht="15.75" customHeight="1">
      <c r="A904" s="64">
        <v>45484.0</v>
      </c>
      <c r="B904" s="55" t="str">
        <f>HYPERLINK("https://jobright.ai/jobs/info/6690b1ae1f8d1bc97eb6a129?utm_campaign=1065&amp;utm_source=sheet", "Apply")</f>
        <v>Apply</v>
      </c>
      <c r="C904" s="10" t="s">
        <v>14581</v>
      </c>
      <c r="D904" s="56" t="s">
        <v>14380</v>
      </c>
      <c r="E904" s="59">
        <v>45301.0</v>
      </c>
      <c r="F904" s="10" t="s">
        <v>14381</v>
      </c>
      <c r="G904" s="10" t="s">
        <v>12654</v>
      </c>
      <c r="H904" s="10" t="s">
        <v>847</v>
      </c>
      <c r="I904" s="10" t="s">
        <v>55</v>
      </c>
      <c r="J904" s="10" t="s">
        <v>13437</v>
      </c>
      <c r="K904" s="10" t="s">
        <v>14582</v>
      </c>
      <c r="L904" s="10" t="s">
        <v>42</v>
      </c>
    </row>
    <row r="905" ht="15.75" customHeight="1">
      <c r="A905" s="64">
        <v>45484.0</v>
      </c>
      <c r="B905" s="55" t="str">
        <f>HYPERLINK("https://jobright.ai/jobs/info/6690b1ae1f8d1bc97eb6a133?utm_campaign=1065&amp;utm_source=sheet", "Apply")</f>
        <v>Apply</v>
      </c>
      <c r="C905" s="10" t="s">
        <v>14581</v>
      </c>
      <c r="D905" s="56" t="s">
        <v>14380</v>
      </c>
      <c r="E905" s="59">
        <v>45301.0</v>
      </c>
      <c r="F905" s="10" t="s">
        <v>14381</v>
      </c>
      <c r="G905" s="10" t="s">
        <v>12654</v>
      </c>
      <c r="H905" s="10" t="s">
        <v>880</v>
      </c>
      <c r="I905" s="10" t="s">
        <v>55</v>
      </c>
      <c r="J905" s="10" t="s">
        <v>13437</v>
      </c>
      <c r="K905" s="10" t="s">
        <v>14582</v>
      </c>
      <c r="L905" s="10" t="s">
        <v>42</v>
      </c>
    </row>
    <row r="906" ht="15.75" customHeight="1">
      <c r="A906" s="64">
        <v>45484.0</v>
      </c>
      <c r="B906" s="55" t="str">
        <f>HYPERLINK("https://jobright.ai/jobs/info/6690b1ae1f8d1bc97eb6a138?utm_campaign=1065&amp;utm_source=sheet", "Apply")</f>
        <v>Apply</v>
      </c>
      <c r="C906" s="10" t="s">
        <v>14581</v>
      </c>
      <c r="D906" s="56" t="s">
        <v>14380</v>
      </c>
      <c r="E906" s="59">
        <v>45301.0</v>
      </c>
      <c r="F906" s="10" t="s">
        <v>14381</v>
      </c>
      <c r="G906" s="10" t="s">
        <v>12654</v>
      </c>
      <c r="H906" s="10" t="s">
        <v>668</v>
      </c>
      <c r="I906" s="10" t="s">
        <v>55</v>
      </c>
      <c r="J906" s="10" t="s">
        <v>13437</v>
      </c>
      <c r="K906" s="10" t="s">
        <v>14582</v>
      </c>
      <c r="L906" s="10" t="s">
        <v>42</v>
      </c>
    </row>
    <row r="907" ht="15.75" customHeight="1">
      <c r="A907" s="64">
        <v>45484.0</v>
      </c>
      <c r="B907" s="55" t="str">
        <f>HYPERLINK("https://jobright.ai/jobs/info/6690b1ae1f8d1bc97eb6a128?utm_campaign=1065&amp;utm_source=sheet", "Apply")</f>
        <v>Apply</v>
      </c>
      <c r="C907" s="10" t="s">
        <v>14581</v>
      </c>
      <c r="D907" s="56" t="s">
        <v>14380</v>
      </c>
      <c r="E907" s="59">
        <v>45301.0</v>
      </c>
      <c r="F907" s="10" t="s">
        <v>14381</v>
      </c>
      <c r="G907" s="10" t="s">
        <v>12654</v>
      </c>
      <c r="H907" s="10" t="s">
        <v>795</v>
      </c>
      <c r="I907" s="10" t="s">
        <v>55</v>
      </c>
      <c r="J907" s="10" t="s">
        <v>13437</v>
      </c>
      <c r="K907" s="10" t="s">
        <v>14582</v>
      </c>
      <c r="L907" s="10" t="s">
        <v>42</v>
      </c>
    </row>
    <row r="908" ht="15.75" customHeight="1">
      <c r="A908" s="64">
        <v>45484.0</v>
      </c>
      <c r="B908" s="55" t="str">
        <f>HYPERLINK("https://jobright.ai/jobs/info/6690b1ae1f8d1bc97eb6a15a?utm_campaign=1065&amp;utm_source=sheet", "Apply")</f>
        <v>Apply</v>
      </c>
      <c r="C908" s="10" t="s">
        <v>14581</v>
      </c>
      <c r="D908" s="56" t="s">
        <v>14380</v>
      </c>
      <c r="E908" s="59">
        <v>45301.0</v>
      </c>
      <c r="F908" s="10" t="s">
        <v>14381</v>
      </c>
      <c r="G908" s="10" t="s">
        <v>12654</v>
      </c>
      <c r="H908" s="10" t="s">
        <v>1026</v>
      </c>
      <c r="I908" s="10" t="s">
        <v>55</v>
      </c>
      <c r="J908" s="10" t="s">
        <v>13437</v>
      </c>
      <c r="K908" s="10" t="s">
        <v>14582</v>
      </c>
      <c r="L908" s="10" t="s">
        <v>42</v>
      </c>
    </row>
    <row r="909" ht="15.75" customHeight="1">
      <c r="A909" s="64">
        <v>45484.0</v>
      </c>
      <c r="B909" s="55" t="str">
        <f>HYPERLINK("https://jobright.ai/jobs/info/6690b1ae1f8d1bc97eb6a172?utm_campaign=1065&amp;utm_source=sheet", "Apply")</f>
        <v>Apply</v>
      </c>
      <c r="C909" s="10" t="s">
        <v>14581</v>
      </c>
      <c r="D909" s="56" t="s">
        <v>14380</v>
      </c>
      <c r="E909" s="59">
        <v>45301.0</v>
      </c>
      <c r="F909" s="10" t="s">
        <v>14381</v>
      </c>
      <c r="G909" s="10" t="s">
        <v>12654</v>
      </c>
      <c r="H909" s="10" t="s">
        <v>882</v>
      </c>
      <c r="I909" s="10" t="s">
        <v>55</v>
      </c>
      <c r="J909" s="10" t="s">
        <v>13437</v>
      </c>
      <c r="K909" s="10" t="s">
        <v>14582</v>
      </c>
      <c r="L909" s="10" t="s">
        <v>42</v>
      </c>
    </row>
    <row r="910" ht="15.75" customHeight="1">
      <c r="A910" s="64">
        <v>45484.0</v>
      </c>
      <c r="B910" s="55" t="str">
        <f>HYPERLINK("https://jobright.ai/jobs/info/6690b5a51acf37e6b248092c?utm_campaign=1065&amp;utm_source=sheet", "Apply")</f>
        <v>Apply</v>
      </c>
      <c r="C910" s="10" t="s">
        <v>14581</v>
      </c>
      <c r="D910" s="56" t="s">
        <v>14380</v>
      </c>
      <c r="E910" s="59">
        <v>45301.0</v>
      </c>
      <c r="F910" s="10" t="s">
        <v>14381</v>
      </c>
      <c r="G910" s="10" t="s">
        <v>12654</v>
      </c>
      <c r="H910" s="10" t="s">
        <v>780</v>
      </c>
      <c r="I910" s="10" t="s">
        <v>55</v>
      </c>
      <c r="J910" s="10" t="s">
        <v>13437</v>
      </c>
      <c r="K910" s="10" t="s">
        <v>14582</v>
      </c>
      <c r="L910" s="10" t="s">
        <v>42</v>
      </c>
    </row>
    <row r="911" ht="15.75" customHeight="1">
      <c r="A911" s="64">
        <v>45484.0</v>
      </c>
      <c r="B911" s="55" t="str">
        <f>HYPERLINK("https://jobright.ai/jobs/info/6690b1ae1f8d1bc97eb6a169?utm_campaign=1065&amp;utm_source=sheet", "Apply")</f>
        <v>Apply</v>
      </c>
      <c r="C911" s="10" t="s">
        <v>14581</v>
      </c>
      <c r="D911" s="56" t="s">
        <v>14380</v>
      </c>
      <c r="E911" s="59">
        <v>45301.0</v>
      </c>
      <c r="F911" s="10" t="s">
        <v>14381</v>
      </c>
      <c r="G911" s="10" t="s">
        <v>12654</v>
      </c>
      <c r="H911" s="10" t="s">
        <v>434</v>
      </c>
      <c r="I911" s="10" t="s">
        <v>55</v>
      </c>
      <c r="J911" s="10" t="s">
        <v>13437</v>
      </c>
      <c r="K911" s="10" t="s">
        <v>14582</v>
      </c>
      <c r="L911" s="10" t="s">
        <v>42</v>
      </c>
    </row>
    <row r="912" ht="15.75" customHeight="1">
      <c r="A912" s="64">
        <v>45484.0</v>
      </c>
      <c r="B912" s="55" t="str">
        <f>HYPERLINK("https://jobright.ai/jobs/info/6690b59c1acf37e6b2480921?utm_campaign=1065&amp;utm_source=sheet", "Apply")</f>
        <v>Apply</v>
      </c>
      <c r="C912" s="10" t="s">
        <v>14581</v>
      </c>
      <c r="D912" s="56" t="s">
        <v>14380</v>
      </c>
      <c r="E912" s="59">
        <v>45301.0</v>
      </c>
      <c r="F912" s="10" t="s">
        <v>14381</v>
      </c>
      <c r="G912" s="10" t="s">
        <v>12654</v>
      </c>
      <c r="H912" s="10" t="s">
        <v>1052</v>
      </c>
      <c r="I912" s="10" t="s">
        <v>55</v>
      </c>
      <c r="J912" s="10" t="s">
        <v>13437</v>
      </c>
      <c r="K912" s="10" t="s">
        <v>14582</v>
      </c>
      <c r="L912" s="10" t="s">
        <v>42</v>
      </c>
    </row>
    <row r="913" ht="15.75" customHeight="1">
      <c r="A913" s="64">
        <v>45484.0</v>
      </c>
      <c r="B913" s="55" t="str">
        <f>HYPERLINK("https://jobright.ai/jobs/info/6690b5a51acf37e6b2480931?utm_campaign=1065&amp;utm_source=sheet", "Apply")</f>
        <v>Apply</v>
      </c>
      <c r="C913" s="10" t="s">
        <v>14581</v>
      </c>
      <c r="D913" s="56" t="s">
        <v>14380</v>
      </c>
      <c r="E913" s="59">
        <v>45301.0</v>
      </c>
      <c r="F913" s="10" t="s">
        <v>14381</v>
      </c>
      <c r="G913" s="10" t="s">
        <v>12654</v>
      </c>
      <c r="H913" s="10" t="s">
        <v>1037</v>
      </c>
      <c r="I913" s="10" t="s">
        <v>55</v>
      </c>
      <c r="J913" s="10" t="s">
        <v>13437</v>
      </c>
      <c r="K913" s="10" t="s">
        <v>14582</v>
      </c>
      <c r="L913" s="10" t="s">
        <v>42</v>
      </c>
    </row>
    <row r="914" ht="15.75" customHeight="1">
      <c r="A914" s="64">
        <v>45484.0</v>
      </c>
      <c r="B914" s="55" t="str">
        <f>HYPERLINK("https://jobright.ai/jobs/info/6690b5a51acf37e6b2480932?utm_campaign=1065&amp;utm_source=sheet", "Apply")</f>
        <v>Apply</v>
      </c>
      <c r="C914" s="10" t="s">
        <v>14581</v>
      </c>
      <c r="D914" s="56" t="s">
        <v>14380</v>
      </c>
      <c r="E914" s="59">
        <v>45301.0</v>
      </c>
      <c r="F914" s="10" t="s">
        <v>14381</v>
      </c>
      <c r="G914" s="10" t="s">
        <v>12654</v>
      </c>
      <c r="H914" s="10" t="s">
        <v>760</v>
      </c>
      <c r="I914" s="10" t="s">
        <v>55</v>
      </c>
      <c r="J914" s="10" t="s">
        <v>13437</v>
      </c>
      <c r="K914" s="10" t="s">
        <v>14582</v>
      </c>
      <c r="L914" s="10" t="s">
        <v>42</v>
      </c>
    </row>
    <row r="915" ht="15.75" customHeight="1">
      <c r="A915" s="64">
        <v>45484.0</v>
      </c>
      <c r="B915" s="55" t="str">
        <f>HYPERLINK("https://jobright.ai/jobs/info/6690b5b51acf37e6b2480af4?utm_campaign=1065&amp;utm_source=sheet", "Apply")</f>
        <v>Apply</v>
      </c>
      <c r="C915" s="10" t="s">
        <v>14581</v>
      </c>
      <c r="D915" s="56" t="s">
        <v>14380</v>
      </c>
      <c r="E915" s="59">
        <v>45301.0</v>
      </c>
      <c r="F915" s="10" t="s">
        <v>14381</v>
      </c>
      <c r="G915" s="10" t="s">
        <v>12654</v>
      </c>
      <c r="H915" s="10" t="s">
        <v>884</v>
      </c>
      <c r="I915" s="10" t="s">
        <v>55</v>
      </c>
      <c r="J915" s="10" t="s">
        <v>13437</v>
      </c>
      <c r="K915" s="10" t="s">
        <v>14582</v>
      </c>
      <c r="L915" s="10" t="s">
        <v>42</v>
      </c>
    </row>
    <row r="916" ht="15.75" customHeight="1">
      <c r="A916" s="64">
        <v>45484.0</v>
      </c>
      <c r="B916" s="55" t="str">
        <f>HYPERLINK("https://jobright.ai/jobs/info/6690b5b51acf37e6b2480aef?utm_campaign=1065&amp;utm_source=sheet", "Apply")</f>
        <v>Apply</v>
      </c>
      <c r="C916" s="10" t="s">
        <v>14581</v>
      </c>
      <c r="D916" s="56" t="s">
        <v>14380</v>
      </c>
      <c r="E916" s="59">
        <v>45301.0</v>
      </c>
      <c r="F916" s="10" t="s">
        <v>14381</v>
      </c>
      <c r="G916" s="10" t="s">
        <v>12654</v>
      </c>
      <c r="H916" s="10" t="s">
        <v>797</v>
      </c>
      <c r="I916" s="10" t="s">
        <v>55</v>
      </c>
      <c r="J916" s="10" t="s">
        <v>13437</v>
      </c>
      <c r="K916" s="10" t="s">
        <v>14582</v>
      </c>
      <c r="L916" s="10" t="s">
        <v>42</v>
      </c>
    </row>
    <row r="917" ht="15.75" customHeight="1">
      <c r="A917" s="64">
        <v>45484.0</v>
      </c>
      <c r="B917" s="55" t="str">
        <f>HYPERLINK("https://jobright.ai/jobs/info/6690b5b51acf37e6b2480b03?utm_campaign=1065&amp;utm_source=sheet", "Apply")</f>
        <v>Apply</v>
      </c>
      <c r="C917" s="10" t="s">
        <v>14581</v>
      </c>
      <c r="D917" s="56" t="s">
        <v>14380</v>
      </c>
      <c r="E917" s="59">
        <v>45301.0</v>
      </c>
      <c r="F917" s="10" t="s">
        <v>14381</v>
      </c>
      <c r="G917" s="10" t="s">
        <v>12654</v>
      </c>
      <c r="H917" s="10" t="s">
        <v>811</v>
      </c>
      <c r="I917" s="10" t="s">
        <v>55</v>
      </c>
      <c r="J917" s="10" t="s">
        <v>13437</v>
      </c>
      <c r="K917" s="10" t="s">
        <v>14582</v>
      </c>
      <c r="L917" s="10" t="s">
        <v>42</v>
      </c>
    </row>
    <row r="918" ht="15.75" customHeight="1">
      <c r="A918" s="64">
        <v>45484.0</v>
      </c>
      <c r="B918" s="55" t="str">
        <f>HYPERLINK("https://jobright.ai/jobs/info/6690b5b51acf37e6b2480b18?utm_campaign=1065&amp;utm_source=sheet", "Apply")</f>
        <v>Apply</v>
      </c>
      <c r="C918" s="10" t="s">
        <v>14581</v>
      </c>
      <c r="D918" s="56" t="s">
        <v>14380</v>
      </c>
      <c r="E918" s="59">
        <v>45301.0</v>
      </c>
      <c r="F918" s="10" t="s">
        <v>14381</v>
      </c>
      <c r="G918" s="10" t="s">
        <v>12654</v>
      </c>
      <c r="H918" s="10" t="s">
        <v>984</v>
      </c>
      <c r="I918" s="10" t="s">
        <v>55</v>
      </c>
      <c r="J918" s="10" t="s">
        <v>13437</v>
      </c>
      <c r="K918" s="10" t="s">
        <v>14582</v>
      </c>
      <c r="L918" s="10" t="s">
        <v>42</v>
      </c>
    </row>
    <row r="919" ht="15.75" customHeight="1">
      <c r="A919" s="64">
        <v>45484.0</v>
      </c>
      <c r="B919" s="55" t="str">
        <f>HYPERLINK("https://jobright.ai/jobs/info/6690b5b51acf37e6b2480aff?utm_campaign=1065&amp;utm_source=sheet", "Apply")</f>
        <v>Apply</v>
      </c>
      <c r="C919" s="10" t="s">
        <v>14581</v>
      </c>
      <c r="D919" s="56" t="s">
        <v>14380</v>
      </c>
      <c r="E919" s="59">
        <v>45301.0</v>
      </c>
      <c r="F919" s="10" t="s">
        <v>14381</v>
      </c>
      <c r="G919" s="10" t="s">
        <v>12654</v>
      </c>
      <c r="H919" s="10" t="s">
        <v>818</v>
      </c>
      <c r="I919" s="10" t="s">
        <v>55</v>
      </c>
      <c r="J919" s="10" t="s">
        <v>13437</v>
      </c>
      <c r="K919" s="10" t="s">
        <v>14582</v>
      </c>
      <c r="L919" s="10" t="s">
        <v>42</v>
      </c>
    </row>
    <row r="920" ht="15.75" customHeight="1">
      <c r="A920" s="64">
        <v>45484.0</v>
      </c>
      <c r="B920" s="55" t="str">
        <f>HYPERLINK("https://jobright.ai/jobs/info/6690b5b51acf37e6b2480b0b?utm_campaign=1065&amp;utm_source=sheet", "Apply")</f>
        <v>Apply</v>
      </c>
      <c r="C920" s="10" t="s">
        <v>14581</v>
      </c>
      <c r="D920" s="56" t="s">
        <v>14380</v>
      </c>
      <c r="E920" s="59">
        <v>45301.0</v>
      </c>
      <c r="F920" s="10" t="s">
        <v>14381</v>
      </c>
      <c r="G920" s="10" t="s">
        <v>12654</v>
      </c>
      <c r="H920" s="10" t="s">
        <v>1048</v>
      </c>
      <c r="I920" s="10" t="s">
        <v>55</v>
      </c>
      <c r="J920" s="10" t="s">
        <v>13437</v>
      </c>
      <c r="K920" s="10" t="s">
        <v>14582</v>
      </c>
      <c r="L920" s="10" t="s">
        <v>42</v>
      </c>
    </row>
    <row r="921" ht="15.75" customHeight="1">
      <c r="A921" s="64">
        <v>45484.0</v>
      </c>
      <c r="B921" s="55" t="str">
        <f>HYPERLINK("https://jobright.ai/jobs/info/6690b5b51acf37e6b2480b09?utm_campaign=1065&amp;utm_source=sheet", "Apply")</f>
        <v>Apply</v>
      </c>
      <c r="C921" s="10" t="s">
        <v>14581</v>
      </c>
      <c r="D921" s="56" t="s">
        <v>14380</v>
      </c>
      <c r="E921" s="59">
        <v>45301.0</v>
      </c>
      <c r="F921" s="10" t="s">
        <v>14381</v>
      </c>
      <c r="G921" s="10" t="s">
        <v>12654</v>
      </c>
      <c r="H921" s="10" t="s">
        <v>830</v>
      </c>
      <c r="I921" s="10" t="s">
        <v>55</v>
      </c>
      <c r="J921" s="10" t="s">
        <v>13437</v>
      </c>
      <c r="K921" s="10" t="s">
        <v>14582</v>
      </c>
      <c r="L921" s="10" t="s">
        <v>42</v>
      </c>
    </row>
    <row r="922" ht="15.75" customHeight="1">
      <c r="A922" s="64">
        <v>45484.0</v>
      </c>
      <c r="B922" s="55" t="str">
        <f>HYPERLINK("https://jobright.ai/jobs/info/6690b5b51acf37e6b2480b1b?utm_campaign=1065&amp;utm_source=sheet", "Apply")</f>
        <v>Apply</v>
      </c>
      <c r="C922" s="10" t="s">
        <v>14581</v>
      </c>
      <c r="D922" s="56" t="s">
        <v>14380</v>
      </c>
      <c r="E922" s="59">
        <v>45301.0</v>
      </c>
      <c r="F922" s="10" t="s">
        <v>14381</v>
      </c>
      <c r="G922" s="10" t="s">
        <v>12654</v>
      </c>
      <c r="H922" s="10" t="s">
        <v>278</v>
      </c>
      <c r="I922" s="10" t="s">
        <v>55</v>
      </c>
      <c r="J922" s="10" t="s">
        <v>13437</v>
      </c>
      <c r="K922" s="10" t="s">
        <v>14582</v>
      </c>
      <c r="L922" s="10" t="s">
        <v>42</v>
      </c>
    </row>
    <row r="923" ht="15.75" customHeight="1">
      <c r="A923" s="64">
        <v>45484.0</v>
      </c>
      <c r="B923" s="55" t="str">
        <f>HYPERLINK("https://jobright.ai/jobs/info/6690b5b51acf37e6b2480b01?utm_campaign=1065&amp;utm_source=sheet", "Apply")</f>
        <v>Apply</v>
      </c>
      <c r="C923" s="10" t="s">
        <v>14581</v>
      </c>
      <c r="D923" s="56" t="s">
        <v>14380</v>
      </c>
      <c r="E923" s="59">
        <v>45301.0</v>
      </c>
      <c r="F923" s="10" t="s">
        <v>14381</v>
      </c>
      <c r="G923" s="10" t="s">
        <v>12654</v>
      </c>
      <c r="H923" s="10" t="s">
        <v>1042</v>
      </c>
      <c r="I923" s="10" t="s">
        <v>55</v>
      </c>
      <c r="J923" s="10" t="s">
        <v>13437</v>
      </c>
      <c r="K923" s="10" t="s">
        <v>14582</v>
      </c>
      <c r="L923" s="10" t="s">
        <v>42</v>
      </c>
    </row>
    <row r="924" ht="15.75" customHeight="1">
      <c r="A924" s="64">
        <v>45484.0</v>
      </c>
      <c r="B924" s="55" t="str">
        <f>HYPERLINK("https://jobright.ai/jobs/info/6690b5b51acf37e6b2480b16?utm_campaign=1065&amp;utm_source=sheet", "Apply")</f>
        <v>Apply</v>
      </c>
      <c r="C924" s="10" t="s">
        <v>14581</v>
      </c>
      <c r="D924" s="56" t="s">
        <v>14380</v>
      </c>
      <c r="E924" s="59">
        <v>45301.0</v>
      </c>
      <c r="F924" s="10" t="s">
        <v>14381</v>
      </c>
      <c r="G924" s="10" t="s">
        <v>12654</v>
      </c>
      <c r="H924" s="10" t="s">
        <v>841</v>
      </c>
      <c r="I924" s="10" t="s">
        <v>55</v>
      </c>
      <c r="J924" s="10" t="s">
        <v>13437</v>
      </c>
      <c r="K924" s="10" t="s">
        <v>14582</v>
      </c>
      <c r="L924" s="10" t="s">
        <v>42</v>
      </c>
    </row>
    <row r="925" ht="15.75" customHeight="1">
      <c r="A925" s="64">
        <v>45484.0</v>
      </c>
      <c r="B925" s="55" t="str">
        <f>HYPERLINK("https://jobright.ai/jobs/info/6690b5b51acf37e6b2480b2a?utm_campaign=1065&amp;utm_source=sheet", "Apply")</f>
        <v>Apply</v>
      </c>
      <c r="C925" s="10" t="s">
        <v>14581</v>
      </c>
      <c r="D925" s="56" t="s">
        <v>14380</v>
      </c>
      <c r="E925" s="59">
        <v>45301.0</v>
      </c>
      <c r="F925" s="10" t="s">
        <v>14381</v>
      </c>
      <c r="G925" s="10" t="s">
        <v>12654</v>
      </c>
      <c r="H925" s="10" t="s">
        <v>951</v>
      </c>
      <c r="I925" s="10" t="s">
        <v>55</v>
      </c>
      <c r="J925" s="10" t="s">
        <v>13437</v>
      </c>
      <c r="K925" s="10" t="s">
        <v>14582</v>
      </c>
      <c r="L925" s="10" t="s">
        <v>42</v>
      </c>
    </row>
    <row r="926" ht="15.75" customHeight="1">
      <c r="A926" s="64">
        <v>45484.0</v>
      </c>
      <c r="B926" s="55" t="str">
        <f>HYPERLINK("https://jobright.ai/jobs/info/6690b5b51acf37e6b2480b21?utm_campaign=1065&amp;utm_source=sheet", "Apply")</f>
        <v>Apply</v>
      </c>
      <c r="C926" s="10" t="s">
        <v>14581</v>
      </c>
      <c r="D926" s="56" t="s">
        <v>14380</v>
      </c>
      <c r="E926" s="59">
        <v>45301.0</v>
      </c>
      <c r="F926" s="10" t="s">
        <v>14381</v>
      </c>
      <c r="G926" s="10" t="s">
        <v>12654</v>
      </c>
      <c r="H926" s="10" t="s">
        <v>773</v>
      </c>
      <c r="I926" s="10" t="s">
        <v>55</v>
      </c>
      <c r="J926" s="10" t="s">
        <v>13437</v>
      </c>
      <c r="K926" s="10" t="s">
        <v>14582</v>
      </c>
      <c r="L926" s="10" t="s">
        <v>42</v>
      </c>
    </row>
    <row r="927" ht="15.75" customHeight="1">
      <c r="A927" s="64">
        <v>45484.0</v>
      </c>
      <c r="B927" s="55" t="str">
        <f>HYPERLINK("https://jobright.ai/jobs/info/6690b5b51acf37e6b2480b22?utm_campaign=1065&amp;utm_source=sheet", "Apply")</f>
        <v>Apply</v>
      </c>
      <c r="C927" s="10" t="s">
        <v>14581</v>
      </c>
      <c r="D927" s="56" t="s">
        <v>14380</v>
      </c>
      <c r="E927" s="59">
        <v>45301.0</v>
      </c>
      <c r="F927" s="10" t="s">
        <v>14381</v>
      </c>
      <c r="G927" s="10" t="s">
        <v>12654</v>
      </c>
      <c r="H927" s="10" t="s">
        <v>842</v>
      </c>
      <c r="I927" s="10" t="s">
        <v>55</v>
      </c>
      <c r="J927" s="10" t="s">
        <v>13437</v>
      </c>
      <c r="K927" s="10" t="s">
        <v>14582</v>
      </c>
      <c r="L927" s="10" t="s">
        <v>42</v>
      </c>
    </row>
    <row r="928" ht="15.75" customHeight="1">
      <c r="A928" s="64">
        <v>45484.0</v>
      </c>
      <c r="B928" s="55" t="str">
        <f>HYPERLINK("https://jobright.ai/jobs/info/6690b5b51acf37e6b2480b32?utm_campaign=1065&amp;utm_source=sheet", "Apply")</f>
        <v>Apply</v>
      </c>
      <c r="C928" s="10" t="s">
        <v>14581</v>
      </c>
      <c r="D928" s="56" t="s">
        <v>14380</v>
      </c>
      <c r="E928" s="59">
        <v>45301.0</v>
      </c>
      <c r="F928" s="10" t="s">
        <v>14381</v>
      </c>
      <c r="G928" s="10" t="s">
        <v>12654</v>
      </c>
      <c r="H928" s="10" t="s">
        <v>354</v>
      </c>
      <c r="I928" s="10" t="s">
        <v>55</v>
      </c>
      <c r="J928" s="10" t="s">
        <v>13437</v>
      </c>
      <c r="K928" s="10" t="s">
        <v>14582</v>
      </c>
      <c r="L928" s="10" t="s">
        <v>42</v>
      </c>
    </row>
    <row r="929" ht="15.75" customHeight="1">
      <c r="A929" s="64">
        <v>45484.0</v>
      </c>
      <c r="B929" s="55" t="str">
        <f>HYPERLINK("https://jobright.ai/jobs/info/6690b5b51acf37e6b2480b4a?utm_campaign=1065&amp;utm_source=sheet", "Apply")</f>
        <v>Apply</v>
      </c>
      <c r="C929" s="10" t="s">
        <v>14581</v>
      </c>
      <c r="D929" s="56" t="s">
        <v>14380</v>
      </c>
      <c r="E929" s="59">
        <v>45301.0</v>
      </c>
      <c r="F929" s="10" t="s">
        <v>14381</v>
      </c>
      <c r="G929" s="10" t="s">
        <v>12654</v>
      </c>
      <c r="H929" s="10" t="s">
        <v>805</v>
      </c>
      <c r="I929" s="10" t="s">
        <v>55</v>
      </c>
      <c r="J929" s="10" t="s">
        <v>13437</v>
      </c>
      <c r="K929" s="10" t="s">
        <v>14582</v>
      </c>
      <c r="L929" s="10" t="s">
        <v>42</v>
      </c>
    </row>
    <row r="930" ht="15.75" customHeight="1">
      <c r="A930" s="64">
        <v>45484.0</v>
      </c>
      <c r="B930" s="55" t="str">
        <f>HYPERLINK("https://jobright.ai/jobs/info/6690b5b51acf37e6b2480b55?utm_campaign=1065&amp;utm_source=sheet", "Apply")</f>
        <v>Apply</v>
      </c>
      <c r="C930" s="10" t="s">
        <v>14581</v>
      </c>
      <c r="D930" s="56" t="s">
        <v>14380</v>
      </c>
      <c r="E930" s="59">
        <v>45301.0</v>
      </c>
      <c r="F930" s="10" t="s">
        <v>14381</v>
      </c>
      <c r="G930" s="10" t="s">
        <v>12654</v>
      </c>
      <c r="H930" s="10" t="s">
        <v>862</v>
      </c>
      <c r="I930" s="10" t="s">
        <v>55</v>
      </c>
      <c r="J930" s="10" t="s">
        <v>13437</v>
      </c>
      <c r="K930" s="10" t="s">
        <v>14582</v>
      </c>
      <c r="L930" s="10" t="s">
        <v>42</v>
      </c>
    </row>
    <row r="931" ht="15.75" customHeight="1">
      <c r="A931" s="64">
        <v>45484.0</v>
      </c>
      <c r="B931" s="55" t="str">
        <f>HYPERLINK("https://jobright.ai/jobs/info/6690b5b51acf37e6b2480b61?utm_campaign=1065&amp;utm_source=sheet", "Apply")</f>
        <v>Apply</v>
      </c>
      <c r="C931" s="10" t="s">
        <v>14581</v>
      </c>
      <c r="D931" s="56" t="s">
        <v>14380</v>
      </c>
      <c r="E931" s="59">
        <v>45301.0</v>
      </c>
      <c r="F931" s="10" t="s">
        <v>14381</v>
      </c>
      <c r="G931" s="10" t="s">
        <v>12654</v>
      </c>
      <c r="H931" s="10" t="s">
        <v>1011</v>
      </c>
      <c r="I931" s="10" t="s">
        <v>55</v>
      </c>
      <c r="J931" s="10" t="s">
        <v>13437</v>
      </c>
      <c r="K931" s="10" t="s">
        <v>14582</v>
      </c>
      <c r="L931" s="10" t="s">
        <v>42</v>
      </c>
    </row>
    <row r="932" ht="15.75" customHeight="1">
      <c r="A932" s="64">
        <v>45484.0</v>
      </c>
      <c r="B932" s="55" t="str">
        <f>HYPERLINK("https://jobright.ai/jobs/info/6690b5b51acf37e6b2480b70?utm_campaign=1065&amp;utm_source=sheet", "Apply")</f>
        <v>Apply</v>
      </c>
      <c r="C932" s="10" t="s">
        <v>14581</v>
      </c>
      <c r="D932" s="56" t="s">
        <v>14380</v>
      </c>
      <c r="E932" s="59">
        <v>45301.0</v>
      </c>
      <c r="F932" s="10" t="s">
        <v>14381</v>
      </c>
      <c r="G932" s="10" t="s">
        <v>12654</v>
      </c>
      <c r="H932" s="10" t="s">
        <v>216</v>
      </c>
      <c r="I932" s="10" t="s">
        <v>55</v>
      </c>
      <c r="J932" s="10" t="s">
        <v>13437</v>
      </c>
      <c r="K932" s="10" t="s">
        <v>14582</v>
      </c>
      <c r="L932" s="10" t="s">
        <v>42</v>
      </c>
    </row>
    <row r="933" ht="15.75" customHeight="1">
      <c r="A933" s="64">
        <v>45484.0</v>
      </c>
      <c r="B933" s="55" t="str">
        <f>HYPERLINK("https://jobright.ai/jobs/info/6690b5bd1acf37e6b2480b7f?utm_campaign=1065&amp;utm_source=sheet", "Apply")</f>
        <v>Apply</v>
      </c>
      <c r="C933" s="10" t="s">
        <v>14581</v>
      </c>
      <c r="D933" s="56" t="s">
        <v>14380</v>
      </c>
      <c r="E933" s="59">
        <v>45301.0</v>
      </c>
      <c r="F933" s="10" t="s">
        <v>14381</v>
      </c>
      <c r="G933" s="10" t="s">
        <v>12654</v>
      </c>
      <c r="H933" s="10" t="s">
        <v>953</v>
      </c>
      <c r="I933" s="10" t="s">
        <v>55</v>
      </c>
      <c r="J933" s="10" t="s">
        <v>13437</v>
      </c>
      <c r="K933" s="10" t="s">
        <v>14582</v>
      </c>
      <c r="L933" s="10" t="s">
        <v>42</v>
      </c>
    </row>
    <row r="934" ht="15.75" customHeight="1">
      <c r="A934" s="64">
        <v>45484.0</v>
      </c>
      <c r="B934" s="55" t="str">
        <f>HYPERLINK("https://jobright.ai/jobs/info/6690b5bd1acf37e6b2480b8c?utm_campaign=1065&amp;utm_source=sheet", "Apply")</f>
        <v>Apply</v>
      </c>
      <c r="C934" s="10" t="s">
        <v>14581</v>
      </c>
      <c r="D934" s="56" t="s">
        <v>14380</v>
      </c>
      <c r="E934" s="59">
        <v>45301.0</v>
      </c>
      <c r="F934" s="10" t="s">
        <v>14381</v>
      </c>
      <c r="G934" s="10" t="s">
        <v>12654</v>
      </c>
      <c r="H934" s="10" t="s">
        <v>708</v>
      </c>
      <c r="I934" s="10" t="s">
        <v>55</v>
      </c>
      <c r="J934" s="10" t="s">
        <v>13437</v>
      </c>
      <c r="K934" s="10" t="s">
        <v>14582</v>
      </c>
      <c r="L934" s="10" t="s">
        <v>42</v>
      </c>
    </row>
    <row r="935" ht="15.75" customHeight="1">
      <c r="A935" s="64">
        <v>45484.0</v>
      </c>
      <c r="B935" s="55" t="str">
        <f>HYPERLINK("https://jobright.ai/jobs/info/6690b5bd1acf37e6b2480b8b?utm_campaign=1065&amp;utm_source=sheet", "Apply")</f>
        <v>Apply</v>
      </c>
      <c r="C935" s="10" t="s">
        <v>14581</v>
      </c>
      <c r="D935" s="56" t="s">
        <v>14380</v>
      </c>
      <c r="E935" s="59">
        <v>45301.0</v>
      </c>
      <c r="F935" s="10" t="s">
        <v>14381</v>
      </c>
      <c r="G935" s="10" t="s">
        <v>12654</v>
      </c>
      <c r="H935" s="10" t="s">
        <v>313</v>
      </c>
      <c r="I935" s="10" t="s">
        <v>55</v>
      </c>
      <c r="J935" s="10" t="s">
        <v>13437</v>
      </c>
      <c r="K935" s="10" t="s">
        <v>14582</v>
      </c>
      <c r="L935" s="10" t="s">
        <v>42</v>
      </c>
    </row>
    <row r="936" ht="15.75" customHeight="1">
      <c r="A936" s="64">
        <v>45484.0</v>
      </c>
      <c r="B936" s="55" t="str">
        <f>HYPERLINK("https://jobright.ai/jobs/info/6690b5bd1acf37e6b2480b89?utm_campaign=1065&amp;utm_source=sheet", "Apply")</f>
        <v>Apply</v>
      </c>
      <c r="C936" s="10" t="s">
        <v>14581</v>
      </c>
      <c r="D936" s="56" t="s">
        <v>14380</v>
      </c>
      <c r="E936" s="59">
        <v>45301.0</v>
      </c>
      <c r="F936" s="10" t="s">
        <v>14381</v>
      </c>
      <c r="G936" s="10" t="s">
        <v>12654</v>
      </c>
      <c r="H936" s="10" t="s">
        <v>973</v>
      </c>
      <c r="I936" s="10" t="s">
        <v>55</v>
      </c>
      <c r="J936" s="10" t="s">
        <v>13437</v>
      </c>
      <c r="K936" s="10" t="s">
        <v>14582</v>
      </c>
      <c r="L936" s="10" t="s">
        <v>42</v>
      </c>
    </row>
    <row r="937" ht="15.75" customHeight="1">
      <c r="A937" s="64">
        <v>45484.0</v>
      </c>
      <c r="B937" s="55" t="str">
        <f>HYPERLINK("https://jobright.ai/jobs/info/6690b5b51acf37e6b2480b77?utm_campaign=1065&amp;utm_source=sheet", "Apply")</f>
        <v>Apply</v>
      </c>
      <c r="C937" s="10" t="s">
        <v>14581</v>
      </c>
      <c r="D937" s="56" t="s">
        <v>14380</v>
      </c>
      <c r="E937" s="59">
        <v>45301.0</v>
      </c>
      <c r="F937" s="10" t="s">
        <v>14381</v>
      </c>
      <c r="G937" s="10" t="s">
        <v>12654</v>
      </c>
      <c r="H937" s="10" t="s">
        <v>964</v>
      </c>
      <c r="I937" s="10" t="s">
        <v>55</v>
      </c>
      <c r="J937" s="10" t="s">
        <v>13437</v>
      </c>
      <c r="K937" s="10" t="s">
        <v>14582</v>
      </c>
      <c r="L937" s="10" t="s">
        <v>42</v>
      </c>
    </row>
    <row r="938" ht="15.75" customHeight="1">
      <c r="A938" s="64">
        <v>45484.0</v>
      </c>
      <c r="B938" s="55" t="str">
        <f>HYPERLINK("https://jobright.ai/jobs/info/6690b5b51acf37e6b2480b76?utm_campaign=1065&amp;utm_source=sheet", "Apply")</f>
        <v>Apply</v>
      </c>
      <c r="C938" s="10" t="s">
        <v>14581</v>
      </c>
      <c r="D938" s="56" t="s">
        <v>14380</v>
      </c>
      <c r="E938" s="59">
        <v>45301.0</v>
      </c>
      <c r="F938" s="10" t="s">
        <v>14381</v>
      </c>
      <c r="G938" s="10" t="s">
        <v>12654</v>
      </c>
      <c r="H938" s="10" t="s">
        <v>907</v>
      </c>
      <c r="I938" s="10" t="s">
        <v>55</v>
      </c>
      <c r="J938" s="10" t="s">
        <v>13437</v>
      </c>
      <c r="K938" s="10" t="s">
        <v>14582</v>
      </c>
      <c r="L938" s="10" t="s">
        <v>42</v>
      </c>
    </row>
    <row r="939" ht="15.75" customHeight="1">
      <c r="A939" s="64">
        <v>45484.0</v>
      </c>
      <c r="B939" s="55" t="str">
        <f>HYPERLINK("https://jobright.ai/jobs/info/6690b5bd1acf37e6b2480ba5?utm_campaign=1065&amp;utm_source=sheet", "Apply")</f>
        <v>Apply</v>
      </c>
      <c r="C939" s="10" t="s">
        <v>14581</v>
      </c>
      <c r="D939" s="56" t="s">
        <v>14380</v>
      </c>
      <c r="E939" s="59">
        <v>45301.0</v>
      </c>
      <c r="F939" s="10" t="s">
        <v>14381</v>
      </c>
      <c r="G939" s="10" t="s">
        <v>12654</v>
      </c>
      <c r="H939" s="10" t="s">
        <v>607</v>
      </c>
      <c r="I939" s="10" t="s">
        <v>55</v>
      </c>
      <c r="J939" s="10" t="s">
        <v>13437</v>
      </c>
      <c r="K939" s="10" t="s">
        <v>14582</v>
      </c>
      <c r="L939" s="10" t="s">
        <v>42</v>
      </c>
    </row>
    <row r="940" ht="15.75" customHeight="1">
      <c r="A940" s="64">
        <v>45484.0</v>
      </c>
      <c r="B940" s="55" t="str">
        <f>HYPERLINK("https://jobright.ai/jobs/info/6690b5bd1acf37e6b2480bb3?utm_campaign=1065&amp;utm_source=sheet", "Apply")</f>
        <v>Apply</v>
      </c>
      <c r="C940" s="10" t="s">
        <v>14581</v>
      </c>
      <c r="D940" s="56" t="s">
        <v>14380</v>
      </c>
      <c r="E940" s="59">
        <v>45301.0</v>
      </c>
      <c r="F940" s="10" t="s">
        <v>14381</v>
      </c>
      <c r="G940" s="10" t="s">
        <v>12654</v>
      </c>
      <c r="H940" s="10" t="s">
        <v>866</v>
      </c>
      <c r="I940" s="10" t="s">
        <v>55</v>
      </c>
      <c r="J940" s="10" t="s">
        <v>13437</v>
      </c>
      <c r="K940" s="10" t="s">
        <v>14582</v>
      </c>
      <c r="L940" s="10" t="s">
        <v>42</v>
      </c>
    </row>
    <row r="941" ht="15.75" customHeight="1">
      <c r="A941" s="64">
        <v>45484.0</v>
      </c>
      <c r="B941" s="55" t="str">
        <f>HYPERLINK("https://jobright.ai/jobs/info/6690b5bd1acf37e6b2480bef?utm_campaign=1065&amp;utm_source=sheet", "Apply")</f>
        <v>Apply</v>
      </c>
      <c r="C941" s="10" t="s">
        <v>14581</v>
      </c>
      <c r="D941" s="56" t="s">
        <v>14380</v>
      </c>
      <c r="E941" s="59">
        <v>45301.0</v>
      </c>
      <c r="F941" s="10" t="s">
        <v>14381</v>
      </c>
      <c r="G941" s="10" t="s">
        <v>12654</v>
      </c>
      <c r="H941" s="10" t="s">
        <v>1000</v>
      </c>
      <c r="I941" s="10" t="s">
        <v>55</v>
      </c>
      <c r="J941" s="10" t="s">
        <v>13437</v>
      </c>
      <c r="K941" s="10" t="s">
        <v>14582</v>
      </c>
      <c r="L941" s="10" t="s">
        <v>42</v>
      </c>
    </row>
    <row r="942" ht="15.75" customHeight="1">
      <c r="A942" s="64">
        <v>45484.0</v>
      </c>
      <c r="B942" s="55" t="str">
        <f>HYPERLINK("https://jobright.ai/jobs/info/6690b5bd1acf37e6b2480be6?utm_campaign=1065&amp;utm_source=sheet", "Apply")</f>
        <v>Apply</v>
      </c>
      <c r="C942" s="10" t="s">
        <v>14581</v>
      </c>
      <c r="D942" s="56" t="s">
        <v>14380</v>
      </c>
      <c r="E942" s="59">
        <v>45301.0</v>
      </c>
      <c r="F942" s="10" t="s">
        <v>14381</v>
      </c>
      <c r="G942" s="10" t="s">
        <v>12654</v>
      </c>
      <c r="H942" s="10" t="s">
        <v>996</v>
      </c>
      <c r="I942" s="10" t="s">
        <v>55</v>
      </c>
      <c r="J942" s="10" t="s">
        <v>13437</v>
      </c>
      <c r="K942" s="10" t="s">
        <v>14582</v>
      </c>
      <c r="L942" s="10" t="s">
        <v>42</v>
      </c>
    </row>
    <row r="943" ht="15.75" customHeight="1">
      <c r="A943" s="64">
        <v>45484.0</v>
      </c>
      <c r="B943" s="55" t="str">
        <f>HYPERLINK("https://jobright.ai/jobs/info/6690b5bd1acf37e6b2480c07?utm_campaign=1065&amp;utm_source=sheet", "Apply")</f>
        <v>Apply</v>
      </c>
      <c r="C943" s="10" t="s">
        <v>14581</v>
      </c>
      <c r="D943" s="56" t="s">
        <v>14380</v>
      </c>
      <c r="E943" s="59">
        <v>45301.0</v>
      </c>
      <c r="F943" s="10" t="s">
        <v>14381</v>
      </c>
      <c r="G943" s="10" t="s">
        <v>12654</v>
      </c>
      <c r="H943" s="10" t="s">
        <v>916</v>
      </c>
      <c r="I943" s="10" t="s">
        <v>55</v>
      </c>
      <c r="J943" s="10" t="s">
        <v>13437</v>
      </c>
      <c r="K943" s="10" t="s">
        <v>14582</v>
      </c>
      <c r="L943" s="10" t="s">
        <v>42</v>
      </c>
    </row>
    <row r="944" ht="15.75" customHeight="1">
      <c r="A944" s="64">
        <v>45484.0</v>
      </c>
      <c r="B944" s="55" t="str">
        <f>HYPERLINK("https://jobright.ai/jobs/info/6690b5bd1acf37e6b2480c06?utm_campaign=1065&amp;utm_source=sheet", "Apply")</f>
        <v>Apply</v>
      </c>
      <c r="C944" s="10" t="s">
        <v>14581</v>
      </c>
      <c r="D944" s="56" t="s">
        <v>14380</v>
      </c>
      <c r="E944" s="59">
        <v>45301.0</v>
      </c>
      <c r="F944" s="10" t="s">
        <v>14381</v>
      </c>
      <c r="G944" s="10" t="s">
        <v>12654</v>
      </c>
      <c r="H944" s="10" t="s">
        <v>1003</v>
      </c>
      <c r="I944" s="10" t="s">
        <v>55</v>
      </c>
      <c r="J944" s="10" t="s">
        <v>13437</v>
      </c>
      <c r="K944" s="10" t="s">
        <v>14582</v>
      </c>
      <c r="L944" s="10" t="s">
        <v>42</v>
      </c>
    </row>
    <row r="945" ht="15.75" customHeight="1">
      <c r="A945" s="64">
        <v>45484.0</v>
      </c>
      <c r="B945" s="55" t="str">
        <f>HYPERLINK("https://jobright.ai/jobs/info/6690b5bd1acf37e6b2480c01?utm_campaign=1065&amp;utm_source=sheet", "Apply")</f>
        <v>Apply</v>
      </c>
      <c r="C945" s="10" t="s">
        <v>14581</v>
      </c>
      <c r="D945" s="56" t="s">
        <v>14380</v>
      </c>
      <c r="E945" s="59">
        <v>45301.0</v>
      </c>
      <c r="F945" s="10" t="s">
        <v>14381</v>
      </c>
      <c r="G945" s="10" t="s">
        <v>12654</v>
      </c>
      <c r="H945" s="10" t="s">
        <v>391</v>
      </c>
      <c r="I945" s="10" t="s">
        <v>55</v>
      </c>
      <c r="J945" s="10" t="s">
        <v>13437</v>
      </c>
      <c r="K945" s="10" t="s">
        <v>14582</v>
      </c>
      <c r="L945" s="10" t="s">
        <v>42</v>
      </c>
    </row>
    <row r="946" ht="15.75" customHeight="1">
      <c r="A946" s="64">
        <v>45484.0</v>
      </c>
      <c r="B946" s="55" t="str">
        <f>HYPERLINK("https://jobright.ai/jobs/info/6690b5bd1acf37e6b2480c2b?utm_campaign=1065&amp;utm_source=sheet", "Apply")</f>
        <v>Apply</v>
      </c>
      <c r="C946" s="10" t="s">
        <v>14581</v>
      </c>
      <c r="D946" s="56" t="s">
        <v>14380</v>
      </c>
      <c r="E946" s="59">
        <v>45301.0</v>
      </c>
      <c r="F946" s="10" t="s">
        <v>14381</v>
      </c>
      <c r="G946" s="10" t="s">
        <v>12654</v>
      </c>
      <c r="H946" s="10" t="s">
        <v>877</v>
      </c>
      <c r="I946" s="10" t="s">
        <v>55</v>
      </c>
      <c r="J946" s="10" t="s">
        <v>13437</v>
      </c>
      <c r="K946" s="10" t="s">
        <v>14582</v>
      </c>
      <c r="L946" s="10" t="s">
        <v>42</v>
      </c>
    </row>
    <row r="947" ht="15.75" customHeight="1">
      <c r="A947" s="64">
        <v>45484.0</v>
      </c>
      <c r="B947" s="55" t="str">
        <f>HYPERLINK("https://jobright.ai/jobs/info/6690b5bd1acf37e6b2480c22?utm_campaign=1065&amp;utm_source=sheet", "Apply")</f>
        <v>Apply</v>
      </c>
      <c r="C947" s="10" t="s">
        <v>14581</v>
      </c>
      <c r="D947" s="56" t="s">
        <v>14380</v>
      </c>
      <c r="E947" s="59">
        <v>45301.0</v>
      </c>
      <c r="F947" s="10" t="s">
        <v>14381</v>
      </c>
      <c r="G947" s="10" t="s">
        <v>12654</v>
      </c>
      <c r="H947" s="10" t="s">
        <v>941</v>
      </c>
      <c r="I947" s="10" t="s">
        <v>55</v>
      </c>
      <c r="J947" s="10" t="s">
        <v>13437</v>
      </c>
      <c r="K947" s="10" t="s">
        <v>14582</v>
      </c>
      <c r="L947" s="10" t="s">
        <v>42</v>
      </c>
    </row>
    <row r="948" ht="15.75" customHeight="1">
      <c r="A948" s="64">
        <v>45484.0</v>
      </c>
      <c r="B948" s="55" t="str">
        <f>HYPERLINK("https://jobright.ai/jobs/info/6690b5c51acf37e6b2480c4c?utm_campaign=1065&amp;utm_source=sheet", "Apply")</f>
        <v>Apply</v>
      </c>
      <c r="C948" s="10" t="s">
        <v>14581</v>
      </c>
      <c r="D948" s="56" t="s">
        <v>14380</v>
      </c>
      <c r="E948" s="59">
        <v>45301.0</v>
      </c>
      <c r="F948" s="10" t="s">
        <v>14381</v>
      </c>
      <c r="G948" s="10" t="s">
        <v>12654</v>
      </c>
      <c r="H948" s="10" t="s">
        <v>423</v>
      </c>
      <c r="I948" s="10" t="s">
        <v>55</v>
      </c>
      <c r="J948" s="10" t="s">
        <v>13437</v>
      </c>
      <c r="K948" s="10" t="s">
        <v>14582</v>
      </c>
      <c r="L948" s="10" t="s">
        <v>42</v>
      </c>
    </row>
    <row r="949" ht="15.75" customHeight="1">
      <c r="A949" s="64">
        <v>45484.0</v>
      </c>
      <c r="B949" s="55" t="str">
        <f>HYPERLINK("https://jobright.ai/jobs/info/6690b5c51acf37e6b2480c57?utm_campaign=1065&amp;utm_source=sheet", "Apply")</f>
        <v>Apply</v>
      </c>
      <c r="C949" s="10" t="s">
        <v>14581</v>
      </c>
      <c r="D949" s="56" t="s">
        <v>14380</v>
      </c>
      <c r="E949" s="59">
        <v>45301.0</v>
      </c>
      <c r="F949" s="10" t="s">
        <v>14381</v>
      </c>
      <c r="G949" s="10" t="s">
        <v>12654</v>
      </c>
      <c r="H949" s="10" t="s">
        <v>774</v>
      </c>
      <c r="I949" s="10" t="s">
        <v>55</v>
      </c>
      <c r="J949" s="10" t="s">
        <v>13437</v>
      </c>
      <c r="K949" s="10" t="s">
        <v>14582</v>
      </c>
      <c r="L949" s="10" t="s">
        <v>42</v>
      </c>
    </row>
    <row r="950" ht="15.75" customHeight="1">
      <c r="A950" s="64">
        <v>45484.0</v>
      </c>
      <c r="B950" s="55" t="str">
        <f>HYPERLINK("https://jobright.ai/jobs/info/6690b5c51acf37e6b2480ce9?utm_campaign=1065&amp;utm_source=sheet", "Apply")</f>
        <v>Apply</v>
      </c>
      <c r="C950" s="10" t="s">
        <v>14581</v>
      </c>
      <c r="D950" s="56" t="s">
        <v>14380</v>
      </c>
      <c r="E950" s="59">
        <v>45301.0</v>
      </c>
      <c r="F950" s="10" t="s">
        <v>14381</v>
      </c>
      <c r="G950" s="10" t="s">
        <v>12654</v>
      </c>
      <c r="H950" s="10" t="s">
        <v>988</v>
      </c>
      <c r="I950" s="10" t="s">
        <v>55</v>
      </c>
      <c r="J950" s="10" t="s">
        <v>13437</v>
      </c>
      <c r="K950" s="10" t="s">
        <v>14582</v>
      </c>
      <c r="L950" s="10" t="s">
        <v>42</v>
      </c>
    </row>
    <row r="951" ht="15.75" customHeight="1">
      <c r="A951" s="64">
        <v>45484.0</v>
      </c>
      <c r="B951" s="55" t="str">
        <f>HYPERLINK("https://jobright.ai/jobs/info/6690b5c51acf37e6b2480ce8?utm_campaign=1065&amp;utm_source=sheet", "Apply")</f>
        <v>Apply</v>
      </c>
      <c r="C951" s="10" t="s">
        <v>14581</v>
      </c>
      <c r="D951" s="56" t="s">
        <v>14380</v>
      </c>
      <c r="E951" s="59">
        <v>45301.0</v>
      </c>
      <c r="F951" s="10" t="s">
        <v>14381</v>
      </c>
      <c r="G951" s="10" t="s">
        <v>12654</v>
      </c>
      <c r="H951" s="10" t="s">
        <v>834</v>
      </c>
      <c r="I951" s="10" t="s">
        <v>55</v>
      </c>
      <c r="J951" s="10" t="s">
        <v>13437</v>
      </c>
      <c r="K951" s="10" t="s">
        <v>14582</v>
      </c>
      <c r="L951" s="10" t="s">
        <v>42</v>
      </c>
    </row>
    <row r="952" ht="15.75" customHeight="1">
      <c r="A952" s="64">
        <v>45484.0</v>
      </c>
      <c r="B952" s="55" t="str">
        <f>HYPERLINK("https://jobright.ai/jobs/info/6690b5c51acf37e6b2480cdb?utm_campaign=1065&amp;utm_source=sheet", "Apply")</f>
        <v>Apply</v>
      </c>
      <c r="C952" s="10" t="s">
        <v>14581</v>
      </c>
      <c r="D952" s="56" t="s">
        <v>14380</v>
      </c>
      <c r="E952" s="59">
        <v>45301.0</v>
      </c>
      <c r="F952" s="10" t="s">
        <v>14381</v>
      </c>
      <c r="G952" s="10" t="s">
        <v>12654</v>
      </c>
      <c r="H952" s="10" t="s">
        <v>232</v>
      </c>
      <c r="I952" s="10" t="s">
        <v>55</v>
      </c>
      <c r="J952" s="10" t="s">
        <v>13437</v>
      </c>
      <c r="K952" s="10" t="s">
        <v>14582</v>
      </c>
      <c r="L952" s="10" t="s">
        <v>42</v>
      </c>
    </row>
    <row r="953" ht="15.75" customHeight="1">
      <c r="A953" s="64">
        <v>45484.0</v>
      </c>
      <c r="B953" s="55" t="str">
        <f>HYPERLINK("https://jobright.ai/jobs/info/6690b5cd1acf37e6b2480d55?utm_campaign=1065&amp;utm_source=sheet", "Apply")</f>
        <v>Apply</v>
      </c>
      <c r="C953" s="10" t="s">
        <v>14581</v>
      </c>
      <c r="D953" s="56" t="s">
        <v>14380</v>
      </c>
      <c r="E953" s="59">
        <v>45301.0</v>
      </c>
      <c r="F953" s="10" t="s">
        <v>14381</v>
      </c>
      <c r="G953" s="10" t="s">
        <v>12654</v>
      </c>
      <c r="H953" s="10" t="s">
        <v>106</v>
      </c>
      <c r="I953" s="10" t="s">
        <v>55</v>
      </c>
      <c r="J953" s="10" t="s">
        <v>13437</v>
      </c>
      <c r="K953" s="10" t="s">
        <v>14582</v>
      </c>
      <c r="L953" s="10" t="s">
        <v>42</v>
      </c>
    </row>
    <row r="954" ht="15.75" customHeight="1">
      <c r="A954" s="64">
        <v>45484.0</v>
      </c>
      <c r="B954" s="55" t="str">
        <f>HYPERLINK("https://jobright.ai/jobs/info/6690b5cd1acf37e6b2480d46?utm_campaign=1065&amp;utm_source=sheet", "Apply")</f>
        <v>Apply</v>
      </c>
      <c r="C954" s="10" t="s">
        <v>14581</v>
      </c>
      <c r="D954" s="56" t="s">
        <v>14380</v>
      </c>
      <c r="E954" s="59">
        <v>45301.0</v>
      </c>
      <c r="F954" s="10" t="s">
        <v>14381</v>
      </c>
      <c r="G954" s="10" t="s">
        <v>12654</v>
      </c>
      <c r="H954" s="10" t="s">
        <v>889</v>
      </c>
      <c r="I954" s="10" t="s">
        <v>55</v>
      </c>
      <c r="J954" s="10" t="s">
        <v>13437</v>
      </c>
      <c r="K954" s="10" t="s">
        <v>14582</v>
      </c>
      <c r="L954" s="10" t="s">
        <v>42</v>
      </c>
    </row>
    <row r="955" ht="15.75" customHeight="1">
      <c r="A955" s="64">
        <v>45484.0</v>
      </c>
      <c r="B955" s="55" t="str">
        <f>HYPERLINK("https://jobright.ai/jobs/info/6690b5cd1acf37e6b2480d5d?utm_campaign=1065&amp;utm_source=sheet", "Apply")</f>
        <v>Apply</v>
      </c>
      <c r="C955" s="10" t="s">
        <v>14579</v>
      </c>
      <c r="D955" s="56" t="s">
        <v>14380</v>
      </c>
      <c r="E955" s="59">
        <v>45301.0</v>
      </c>
      <c r="F955" s="10" t="s">
        <v>14381</v>
      </c>
      <c r="G955" s="10" t="s">
        <v>12654</v>
      </c>
      <c r="H955" s="10" t="s">
        <v>853</v>
      </c>
      <c r="I955" s="10" t="s">
        <v>55</v>
      </c>
      <c r="J955" s="10" t="s">
        <v>13437</v>
      </c>
      <c r="K955" s="10" t="s">
        <v>14580</v>
      </c>
      <c r="L955" s="10" t="s">
        <v>42</v>
      </c>
    </row>
    <row r="956" ht="15.75" customHeight="1">
      <c r="A956" s="64">
        <v>45484.0</v>
      </c>
      <c r="B956" s="55" t="str">
        <f>HYPERLINK("https://jobright.ai/jobs/info/6690b5cd1acf37e6b2480d4a?utm_campaign=1065&amp;utm_source=sheet", "Apply")</f>
        <v>Apply</v>
      </c>
      <c r="C956" s="10" t="s">
        <v>14581</v>
      </c>
      <c r="D956" s="56" t="s">
        <v>14380</v>
      </c>
      <c r="E956" s="59">
        <v>45301.0</v>
      </c>
      <c r="F956" s="10" t="s">
        <v>14381</v>
      </c>
      <c r="G956" s="10" t="s">
        <v>12654</v>
      </c>
      <c r="H956" s="10" t="s">
        <v>1016</v>
      </c>
      <c r="I956" s="10" t="s">
        <v>55</v>
      </c>
      <c r="J956" s="10" t="s">
        <v>13437</v>
      </c>
      <c r="K956" s="10" t="s">
        <v>14582</v>
      </c>
      <c r="L956" s="10" t="s">
        <v>42</v>
      </c>
    </row>
    <row r="957" ht="15.75" customHeight="1">
      <c r="A957" s="64">
        <v>45484.0</v>
      </c>
      <c r="B957" s="55" t="str">
        <f>HYPERLINK("https://jobright.ai/jobs/info/6690b5cd1acf37e6b2480d58?utm_campaign=1065&amp;utm_source=sheet", "Apply")</f>
        <v>Apply</v>
      </c>
      <c r="C957" s="10" t="s">
        <v>14581</v>
      </c>
      <c r="D957" s="56" t="s">
        <v>14380</v>
      </c>
      <c r="E957" s="59">
        <v>45301.0</v>
      </c>
      <c r="F957" s="10" t="s">
        <v>14381</v>
      </c>
      <c r="G957" s="10" t="s">
        <v>12654</v>
      </c>
      <c r="H957" s="10" t="s">
        <v>934</v>
      </c>
      <c r="I957" s="10" t="s">
        <v>55</v>
      </c>
      <c r="J957" s="10" t="s">
        <v>13437</v>
      </c>
      <c r="K957" s="10" t="s">
        <v>14582</v>
      </c>
      <c r="L957" s="10" t="s">
        <v>42</v>
      </c>
    </row>
    <row r="958" ht="15.75" customHeight="1">
      <c r="A958" s="64">
        <v>45484.0</v>
      </c>
      <c r="B958" s="55" t="str">
        <f>HYPERLINK("https://jobright.ai/jobs/info/6690b5cd1acf37e6b2480d64?utm_campaign=1065&amp;utm_source=sheet", "Apply")</f>
        <v>Apply</v>
      </c>
      <c r="C958" s="10" t="s">
        <v>14579</v>
      </c>
      <c r="D958" s="56" t="s">
        <v>14380</v>
      </c>
      <c r="E958" s="59">
        <v>45301.0</v>
      </c>
      <c r="F958" s="10" t="s">
        <v>14381</v>
      </c>
      <c r="G958" s="10" t="s">
        <v>12654</v>
      </c>
      <c r="H958" s="10" t="s">
        <v>1028</v>
      </c>
      <c r="I958" s="10" t="s">
        <v>55</v>
      </c>
      <c r="J958" s="10" t="s">
        <v>13437</v>
      </c>
      <c r="K958" s="10" t="s">
        <v>14580</v>
      </c>
      <c r="L958" s="10" t="s">
        <v>42</v>
      </c>
    </row>
    <row r="959" ht="15.75" customHeight="1">
      <c r="A959" s="64">
        <v>45484.0</v>
      </c>
      <c r="B959" s="55" t="str">
        <f>HYPERLINK("https://jobright.ai/jobs/info/6690b5cd1acf37e6b2480d6d?utm_campaign=1065&amp;utm_source=sheet", "Apply")</f>
        <v>Apply</v>
      </c>
      <c r="C959" s="10" t="s">
        <v>14581</v>
      </c>
      <c r="D959" s="56" t="s">
        <v>14380</v>
      </c>
      <c r="E959" s="59">
        <v>45301.0</v>
      </c>
      <c r="F959" s="10" t="s">
        <v>14381</v>
      </c>
      <c r="G959" s="10" t="s">
        <v>12654</v>
      </c>
      <c r="H959" s="10" t="s">
        <v>968</v>
      </c>
      <c r="I959" s="10" t="s">
        <v>55</v>
      </c>
      <c r="J959" s="10" t="s">
        <v>13437</v>
      </c>
      <c r="K959" s="10" t="s">
        <v>14582</v>
      </c>
      <c r="L959" s="10" t="s">
        <v>42</v>
      </c>
    </row>
    <row r="960" ht="15.75" customHeight="1">
      <c r="A960" s="64">
        <v>45484.0</v>
      </c>
      <c r="B960" s="55" t="str">
        <f>HYPERLINK("https://jobright.ai/jobs/info/6690b5cd1acf37e6b2480d5f?utm_campaign=1065&amp;utm_source=sheet", "Apply")</f>
        <v>Apply</v>
      </c>
      <c r="C960" s="10" t="s">
        <v>14581</v>
      </c>
      <c r="D960" s="56" t="s">
        <v>14380</v>
      </c>
      <c r="E960" s="59">
        <v>45301.0</v>
      </c>
      <c r="F960" s="10" t="s">
        <v>14381</v>
      </c>
      <c r="G960" s="10" t="s">
        <v>12654</v>
      </c>
      <c r="H960" s="10" t="s">
        <v>993</v>
      </c>
      <c r="I960" s="10" t="s">
        <v>55</v>
      </c>
      <c r="J960" s="10" t="s">
        <v>13437</v>
      </c>
      <c r="K960" s="10" t="s">
        <v>14582</v>
      </c>
      <c r="L960" s="10" t="s">
        <v>42</v>
      </c>
    </row>
    <row r="961" ht="15.75" customHeight="1">
      <c r="A961" s="64">
        <v>45484.0</v>
      </c>
      <c r="B961" s="55" t="str">
        <f>HYPERLINK("https://jobright.ai/jobs/info/6690b5cd1acf37e6b2480d77?utm_campaign=1065&amp;utm_source=sheet", "Apply")</f>
        <v>Apply</v>
      </c>
      <c r="C961" s="10" t="s">
        <v>14581</v>
      </c>
      <c r="D961" s="56" t="s">
        <v>14380</v>
      </c>
      <c r="E961" s="59">
        <v>45301.0</v>
      </c>
      <c r="F961" s="10" t="s">
        <v>14381</v>
      </c>
      <c r="G961" s="10" t="s">
        <v>12654</v>
      </c>
      <c r="H961" s="10" t="s">
        <v>898</v>
      </c>
      <c r="I961" s="10" t="s">
        <v>55</v>
      </c>
      <c r="J961" s="10" t="s">
        <v>13437</v>
      </c>
      <c r="K961" s="10" t="s">
        <v>14582</v>
      </c>
      <c r="L961" s="10" t="s">
        <v>42</v>
      </c>
    </row>
    <row r="962" ht="15.75" customHeight="1">
      <c r="A962" s="64">
        <v>45484.0</v>
      </c>
      <c r="B962" s="55" t="str">
        <f>HYPERLINK("https://jobright.ai/jobs/info/6690b5cd1acf37e6b2480d8c?utm_campaign=1065&amp;utm_source=sheet", "Apply")</f>
        <v>Apply</v>
      </c>
      <c r="C962" s="10" t="s">
        <v>14581</v>
      </c>
      <c r="D962" s="56" t="s">
        <v>14380</v>
      </c>
      <c r="E962" s="59">
        <v>45301.0</v>
      </c>
      <c r="F962" s="10" t="s">
        <v>14381</v>
      </c>
      <c r="G962" s="10" t="s">
        <v>12654</v>
      </c>
      <c r="H962" s="10" t="s">
        <v>978</v>
      </c>
      <c r="I962" s="10" t="s">
        <v>55</v>
      </c>
      <c r="J962" s="10" t="s">
        <v>13437</v>
      </c>
      <c r="K962" s="10" t="s">
        <v>14582</v>
      </c>
      <c r="L962" s="10" t="s">
        <v>42</v>
      </c>
    </row>
    <row r="963" ht="15.75" customHeight="1">
      <c r="A963" s="64">
        <v>45484.0</v>
      </c>
      <c r="B963" s="55" t="str">
        <f>HYPERLINK("https://jobright.ai/jobs/info/6690b5cd1acf37e6b2480d8f?utm_campaign=1065&amp;utm_source=sheet", "Apply")</f>
        <v>Apply</v>
      </c>
      <c r="C963" s="10" t="s">
        <v>14581</v>
      </c>
      <c r="D963" s="56" t="s">
        <v>14380</v>
      </c>
      <c r="E963" s="59">
        <v>45301.0</v>
      </c>
      <c r="F963" s="10" t="s">
        <v>14381</v>
      </c>
      <c r="G963" s="10" t="s">
        <v>12654</v>
      </c>
      <c r="H963" s="10" t="s">
        <v>938</v>
      </c>
      <c r="I963" s="10" t="s">
        <v>55</v>
      </c>
      <c r="J963" s="10" t="s">
        <v>13437</v>
      </c>
      <c r="K963" s="10" t="s">
        <v>14582</v>
      </c>
      <c r="L963" s="10" t="s">
        <v>42</v>
      </c>
    </row>
    <row r="964" ht="15.75" customHeight="1">
      <c r="A964" s="64">
        <v>45484.0</v>
      </c>
      <c r="B964" s="55" t="str">
        <f>HYPERLINK("https://jobright.ai/jobs/info/6690b5cd1acf37e6b2480d93?utm_campaign=1065&amp;utm_source=sheet", "Apply")</f>
        <v>Apply</v>
      </c>
      <c r="C964" s="10" t="s">
        <v>14581</v>
      </c>
      <c r="D964" s="56" t="s">
        <v>14380</v>
      </c>
      <c r="E964" s="59">
        <v>45301.0</v>
      </c>
      <c r="F964" s="10" t="s">
        <v>14381</v>
      </c>
      <c r="G964" s="10" t="s">
        <v>12654</v>
      </c>
      <c r="H964" s="10" t="s">
        <v>875</v>
      </c>
      <c r="I964" s="10" t="s">
        <v>55</v>
      </c>
      <c r="J964" s="10" t="s">
        <v>13437</v>
      </c>
      <c r="K964" s="10" t="s">
        <v>14582</v>
      </c>
      <c r="L964" s="10" t="s">
        <v>42</v>
      </c>
    </row>
    <row r="965" ht="15.75" customHeight="1">
      <c r="A965" s="64">
        <v>45484.0</v>
      </c>
      <c r="B965" s="55" t="str">
        <f>HYPERLINK("https://jobright.ai/jobs/info/6690b5cd1acf37e6b2480d94?utm_campaign=1065&amp;utm_source=sheet", "Apply")</f>
        <v>Apply</v>
      </c>
      <c r="C965" s="10" t="s">
        <v>14581</v>
      </c>
      <c r="D965" s="56" t="s">
        <v>14380</v>
      </c>
      <c r="E965" s="59">
        <v>45301.0</v>
      </c>
      <c r="F965" s="10" t="s">
        <v>14381</v>
      </c>
      <c r="G965" s="10" t="s">
        <v>12654</v>
      </c>
      <c r="H965" s="10" t="s">
        <v>405</v>
      </c>
      <c r="I965" s="10" t="s">
        <v>55</v>
      </c>
      <c r="J965" s="10" t="s">
        <v>13437</v>
      </c>
      <c r="K965" s="10" t="s">
        <v>14582</v>
      </c>
      <c r="L965" s="10" t="s">
        <v>42</v>
      </c>
    </row>
    <row r="966" ht="15.75" customHeight="1">
      <c r="A966" s="64">
        <v>45484.0</v>
      </c>
      <c r="B966" s="55" t="str">
        <f>HYPERLINK("https://jobright.ai/jobs/info/6690b5cd1acf37e6b2480daa?utm_campaign=1065&amp;utm_source=sheet", "Apply")</f>
        <v>Apply</v>
      </c>
      <c r="C966" s="10" t="s">
        <v>14581</v>
      </c>
      <c r="D966" s="56" t="s">
        <v>14380</v>
      </c>
      <c r="E966" s="59">
        <v>45301.0</v>
      </c>
      <c r="F966" s="10" t="s">
        <v>14381</v>
      </c>
      <c r="G966" s="10" t="s">
        <v>12654</v>
      </c>
      <c r="H966" s="10" t="s">
        <v>937</v>
      </c>
      <c r="I966" s="10" t="s">
        <v>55</v>
      </c>
      <c r="J966" s="10" t="s">
        <v>13437</v>
      </c>
      <c r="K966" s="10" t="s">
        <v>14582</v>
      </c>
      <c r="L966" s="10" t="s">
        <v>42</v>
      </c>
    </row>
    <row r="967" ht="15.75" customHeight="1">
      <c r="A967" s="64">
        <v>45484.0</v>
      </c>
      <c r="B967" s="55" t="str">
        <f>HYPERLINK("https://jobright.ai/jobs/info/6690b5cd1acf37e6b2480dab?utm_campaign=1065&amp;utm_source=sheet", "Apply")</f>
        <v>Apply</v>
      </c>
      <c r="C967" s="10" t="s">
        <v>14581</v>
      </c>
      <c r="D967" s="56" t="s">
        <v>14380</v>
      </c>
      <c r="E967" s="59">
        <v>45301.0</v>
      </c>
      <c r="F967" s="10" t="s">
        <v>14381</v>
      </c>
      <c r="G967" s="10" t="s">
        <v>12654</v>
      </c>
      <c r="H967" s="10" t="s">
        <v>772</v>
      </c>
      <c r="I967" s="10" t="s">
        <v>55</v>
      </c>
      <c r="J967" s="10" t="s">
        <v>13437</v>
      </c>
      <c r="K967" s="10" t="s">
        <v>14582</v>
      </c>
      <c r="L967" s="10" t="s">
        <v>42</v>
      </c>
    </row>
    <row r="968" ht="15.75" customHeight="1">
      <c r="A968" s="64">
        <v>45484.0</v>
      </c>
      <c r="B968" s="55" t="str">
        <f>HYPERLINK("https://jobright.ai/jobs/info/6690b5cd1acf37e6b2480da7?utm_campaign=1065&amp;utm_source=sheet", "Apply")</f>
        <v>Apply</v>
      </c>
      <c r="C968" s="10" t="s">
        <v>14581</v>
      </c>
      <c r="D968" s="56" t="s">
        <v>14380</v>
      </c>
      <c r="E968" s="59">
        <v>45301.0</v>
      </c>
      <c r="F968" s="10" t="s">
        <v>14381</v>
      </c>
      <c r="G968" s="10" t="s">
        <v>12654</v>
      </c>
      <c r="H968" s="10" t="s">
        <v>999</v>
      </c>
      <c r="I968" s="10" t="s">
        <v>55</v>
      </c>
      <c r="J968" s="10" t="s">
        <v>13437</v>
      </c>
      <c r="K968" s="10" t="s">
        <v>14582</v>
      </c>
      <c r="L968" s="10" t="s">
        <v>42</v>
      </c>
    </row>
    <row r="969" ht="15.75" customHeight="1">
      <c r="A969" s="64">
        <v>45484.0</v>
      </c>
      <c r="B969" s="55" t="str">
        <f>HYPERLINK("https://jobright.ai/jobs/info/6690b5cd1acf37e6b2480d98?utm_campaign=1065&amp;utm_source=sheet", "Apply")</f>
        <v>Apply</v>
      </c>
      <c r="C969" s="10" t="s">
        <v>14581</v>
      </c>
      <c r="D969" s="56" t="s">
        <v>14380</v>
      </c>
      <c r="E969" s="59">
        <v>45301.0</v>
      </c>
      <c r="F969" s="10" t="s">
        <v>14381</v>
      </c>
      <c r="G969" s="10" t="s">
        <v>12654</v>
      </c>
      <c r="H969" s="10" t="s">
        <v>850</v>
      </c>
      <c r="I969" s="10" t="s">
        <v>55</v>
      </c>
      <c r="J969" s="10" t="s">
        <v>13437</v>
      </c>
      <c r="K969" s="10" t="s">
        <v>14582</v>
      </c>
      <c r="L969" s="10" t="s">
        <v>42</v>
      </c>
    </row>
    <row r="970" ht="15.75" customHeight="1">
      <c r="A970" s="64">
        <v>45484.0</v>
      </c>
      <c r="B970" s="55" t="str">
        <f>HYPERLINK("https://jobright.ai/jobs/info/6690b5cd1acf37e6b2480d99?utm_campaign=1065&amp;utm_source=sheet", "Apply")</f>
        <v>Apply</v>
      </c>
      <c r="C970" s="10" t="s">
        <v>14581</v>
      </c>
      <c r="D970" s="56" t="s">
        <v>14380</v>
      </c>
      <c r="E970" s="59">
        <v>45301.0</v>
      </c>
      <c r="F970" s="10" t="s">
        <v>14381</v>
      </c>
      <c r="G970" s="10" t="s">
        <v>12654</v>
      </c>
      <c r="H970" s="10" t="s">
        <v>792</v>
      </c>
      <c r="I970" s="10" t="s">
        <v>55</v>
      </c>
      <c r="J970" s="10" t="s">
        <v>13437</v>
      </c>
      <c r="K970" s="10" t="s">
        <v>14582</v>
      </c>
      <c r="L970" s="10" t="s">
        <v>42</v>
      </c>
    </row>
    <row r="971" ht="15.75" customHeight="1">
      <c r="A971" s="64">
        <v>45484.0</v>
      </c>
      <c r="B971" s="55" t="str">
        <f>HYPERLINK("https://jobright.ai/jobs/info/6690b5cd1acf37e6b2480db8?utm_campaign=1065&amp;utm_source=sheet", "Apply")</f>
        <v>Apply</v>
      </c>
      <c r="C971" s="10" t="s">
        <v>14581</v>
      </c>
      <c r="D971" s="56" t="s">
        <v>14380</v>
      </c>
      <c r="E971" s="59">
        <v>45301.0</v>
      </c>
      <c r="F971" s="10" t="s">
        <v>14381</v>
      </c>
      <c r="G971" s="10" t="s">
        <v>12654</v>
      </c>
      <c r="H971" s="10" t="s">
        <v>915</v>
      </c>
      <c r="I971" s="10" t="s">
        <v>55</v>
      </c>
      <c r="J971" s="10" t="s">
        <v>13437</v>
      </c>
      <c r="K971" s="10" t="s">
        <v>14582</v>
      </c>
      <c r="L971" s="10" t="s">
        <v>42</v>
      </c>
    </row>
    <row r="972" ht="15.75" customHeight="1">
      <c r="A972" s="64">
        <v>45484.0</v>
      </c>
      <c r="B972" s="55" t="str">
        <f>HYPERLINK("https://jobright.ai/jobs/info/6690b5cd1acf37e6b2480dc8?utm_campaign=1065&amp;utm_source=sheet", "Apply")</f>
        <v>Apply</v>
      </c>
      <c r="C972" s="10" t="s">
        <v>14581</v>
      </c>
      <c r="D972" s="56" t="s">
        <v>14380</v>
      </c>
      <c r="E972" s="59">
        <v>45301.0</v>
      </c>
      <c r="F972" s="10" t="s">
        <v>14381</v>
      </c>
      <c r="G972" s="10" t="s">
        <v>12654</v>
      </c>
      <c r="H972" s="10" t="s">
        <v>998</v>
      </c>
      <c r="I972" s="10" t="s">
        <v>55</v>
      </c>
      <c r="J972" s="10" t="s">
        <v>13437</v>
      </c>
      <c r="K972" s="10" t="s">
        <v>14582</v>
      </c>
      <c r="L972" s="10" t="s">
        <v>42</v>
      </c>
    </row>
    <row r="973" ht="15.75" customHeight="1">
      <c r="A973" s="64">
        <v>45484.0</v>
      </c>
      <c r="B973" s="55" t="str">
        <f>HYPERLINK("https://jobright.ai/jobs/info/6690b5cd1acf37e6b2480dc9?utm_campaign=1065&amp;utm_source=sheet", "Apply")</f>
        <v>Apply</v>
      </c>
      <c r="C973" s="10" t="s">
        <v>14581</v>
      </c>
      <c r="D973" s="56" t="s">
        <v>14380</v>
      </c>
      <c r="E973" s="59">
        <v>45301.0</v>
      </c>
      <c r="F973" s="10" t="s">
        <v>14381</v>
      </c>
      <c r="G973" s="10" t="s">
        <v>12654</v>
      </c>
      <c r="H973" s="10" t="s">
        <v>808</v>
      </c>
      <c r="I973" s="10" t="s">
        <v>55</v>
      </c>
      <c r="J973" s="10" t="s">
        <v>13437</v>
      </c>
      <c r="K973" s="10" t="s">
        <v>14582</v>
      </c>
      <c r="L973" s="10" t="s">
        <v>42</v>
      </c>
    </row>
    <row r="974" ht="15.75" customHeight="1">
      <c r="A974" s="64">
        <v>45484.0</v>
      </c>
      <c r="B974" s="55" t="str">
        <f>HYPERLINK("https://jobright.ai/jobs/info/6690b5cd1acf37e6b2480dbb?utm_campaign=1065&amp;utm_source=sheet", "Apply")</f>
        <v>Apply</v>
      </c>
      <c r="C974" s="10" t="s">
        <v>14581</v>
      </c>
      <c r="D974" s="56" t="s">
        <v>14380</v>
      </c>
      <c r="E974" s="59">
        <v>45301.0</v>
      </c>
      <c r="F974" s="10" t="s">
        <v>14381</v>
      </c>
      <c r="G974" s="10" t="s">
        <v>12654</v>
      </c>
      <c r="H974" s="10" t="s">
        <v>897</v>
      </c>
      <c r="I974" s="10" t="s">
        <v>55</v>
      </c>
      <c r="J974" s="10" t="s">
        <v>13437</v>
      </c>
      <c r="K974" s="10" t="s">
        <v>14582</v>
      </c>
      <c r="L974" s="10" t="s">
        <v>42</v>
      </c>
    </row>
    <row r="975" ht="15.75" customHeight="1">
      <c r="A975" s="64">
        <v>45484.0</v>
      </c>
      <c r="B975" s="55" t="str">
        <f>HYPERLINK("https://jobright.ai/jobs/info/6690b5d51acf37e6b2480dde?utm_campaign=1065&amp;utm_source=sheet", "Apply")</f>
        <v>Apply</v>
      </c>
      <c r="C975" s="10" t="s">
        <v>14581</v>
      </c>
      <c r="D975" s="56" t="s">
        <v>14380</v>
      </c>
      <c r="E975" s="59">
        <v>45301.0</v>
      </c>
      <c r="F975" s="10" t="s">
        <v>14381</v>
      </c>
      <c r="G975" s="10" t="s">
        <v>12654</v>
      </c>
      <c r="H975" s="10" t="s">
        <v>997</v>
      </c>
      <c r="I975" s="10" t="s">
        <v>55</v>
      </c>
      <c r="J975" s="10" t="s">
        <v>13437</v>
      </c>
      <c r="K975" s="10" t="s">
        <v>14582</v>
      </c>
      <c r="L975" s="10" t="s">
        <v>42</v>
      </c>
    </row>
    <row r="976" ht="15.75" customHeight="1">
      <c r="A976" s="64">
        <v>45484.0</v>
      </c>
      <c r="B976" s="55" t="str">
        <f>HYPERLINK("https://jobright.ai/jobs/info/6690b5d51acf37e6b2480dee?utm_campaign=1065&amp;utm_source=sheet", "Apply")</f>
        <v>Apply</v>
      </c>
      <c r="C976" s="10" t="s">
        <v>14581</v>
      </c>
      <c r="D976" s="56" t="s">
        <v>14380</v>
      </c>
      <c r="E976" s="59">
        <v>45301.0</v>
      </c>
      <c r="F976" s="10" t="s">
        <v>14381</v>
      </c>
      <c r="G976" s="10" t="s">
        <v>12654</v>
      </c>
      <c r="H976" s="10" t="s">
        <v>924</v>
      </c>
      <c r="I976" s="10" t="s">
        <v>55</v>
      </c>
      <c r="J976" s="10" t="s">
        <v>13437</v>
      </c>
      <c r="K976" s="10" t="s">
        <v>14582</v>
      </c>
      <c r="L976" s="10" t="s">
        <v>42</v>
      </c>
    </row>
    <row r="977" ht="15.75" customHeight="1">
      <c r="A977" s="64">
        <v>45484.0</v>
      </c>
      <c r="B977" s="55" t="str">
        <f>HYPERLINK("https://jobright.ai/jobs/info/6690b5d51acf37e6b2480e08?utm_campaign=1065&amp;utm_source=sheet", "Apply")</f>
        <v>Apply</v>
      </c>
      <c r="C977" s="10" t="s">
        <v>14579</v>
      </c>
      <c r="D977" s="56" t="s">
        <v>14380</v>
      </c>
      <c r="E977" s="59">
        <v>45301.0</v>
      </c>
      <c r="F977" s="10" t="s">
        <v>14381</v>
      </c>
      <c r="G977" s="10" t="s">
        <v>12654</v>
      </c>
      <c r="H977" s="10" t="s">
        <v>871</v>
      </c>
      <c r="I977" s="10" t="s">
        <v>55</v>
      </c>
      <c r="J977" s="10" t="s">
        <v>13437</v>
      </c>
      <c r="K977" s="10" t="s">
        <v>14580</v>
      </c>
      <c r="L977" s="10" t="s">
        <v>42</v>
      </c>
    </row>
    <row r="978" ht="15.75" customHeight="1">
      <c r="A978" s="64">
        <v>45484.0</v>
      </c>
      <c r="B978" s="55" t="str">
        <f>HYPERLINK("https://jobright.ai/jobs/info/6690b5d51acf37e6b2480e09?utm_campaign=1065&amp;utm_source=sheet", "Apply")</f>
        <v>Apply</v>
      </c>
      <c r="C978" s="10" t="s">
        <v>14579</v>
      </c>
      <c r="D978" s="56" t="s">
        <v>14380</v>
      </c>
      <c r="E978" s="59">
        <v>45301.0</v>
      </c>
      <c r="F978" s="10" t="s">
        <v>14381</v>
      </c>
      <c r="G978" s="10" t="s">
        <v>12654</v>
      </c>
      <c r="H978" s="10" t="s">
        <v>775</v>
      </c>
      <c r="I978" s="10" t="s">
        <v>55</v>
      </c>
      <c r="J978" s="10" t="s">
        <v>13437</v>
      </c>
      <c r="K978" s="10" t="s">
        <v>14580</v>
      </c>
      <c r="L978" s="10" t="s">
        <v>42</v>
      </c>
    </row>
    <row r="979" ht="15.75" customHeight="1">
      <c r="A979" s="64">
        <v>45484.0</v>
      </c>
      <c r="B979" s="55" t="str">
        <f>HYPERLINK("https://jobright.ai/jobs/info/6690b5d51acf37e6b2480dfa?utm_campaign=1065&amp;utm_source=sheet", "Apply")</f>
        <v>Apply</v>
      </c>
      <c r="C979" s="10" t="s">
        <v>14579</v>
      </c>
      <c r="D979" s="56" t="s">
        <v>14380</v>
      </c>
      <c r="E979" s="59">
        <v>45301.0</v>
      </c>
      <c r="F979" s="10" t="s">
        <v>14381</v>
      </c>
      <c r="G979" s="10" t="s">
        <v>12654</v>
      </c>
      <c r="H979" s="10" t="s">
        <v>925</v>
      </c>
      <c r="I979" s="10" t="s">
        <v>55</v>
      </c>
      <c r="J979" s="10" t="s">
        <v>13437</v>
      </c>
      <c r="K979" s="10" t="s">
        <v>14580</v>
      </c>
      <c r="L979" s="10" t="s">
        <v>42</v>
      </c>
    </row>
    <row r="980" ht="15.75" customHeight="1">
      <c r="A980" s="64">
        <v>45484.0</v>
      </c>
      <c r="B980" s="55" t="str">
        <f>HYPERLINK("https://jobright.ai/jobs/info/6690b5d51acf37e6b2480e0d?utm_campaign=1065&amp;utm_source=sheet", "Apply")</f>
        <v>Apply</v>
      </c>
      <c r="C980" s="10" t="s">
        <v>14579</v>
      </c>
      <c r="D980" s="56" t="s">
        <v>14380</v>
      </c>
      <c r="E980" s="59">
        <v>45301.0</v>
      </c>
      <c r="F980" s="10" t="s">
        <v>14381</v>
      </c>
      <c r="G980" s="10" t="s">
        <v>12654</v>
      </c>
      <c r="H980" s="10" t="s">
        <v>938</v>
      </c>
      <c r="I980" s="10" t="s">
        <v>55</v>
      </c>
      <c r="J980" s="10" t="s">
        <v>13437</v>
      </c>
      <c r="K980" s="10" t="s">
        <v>14580</v>
      </c>
      <c r="L980" s="10" t="s">
        <v>42</v>
      </c>
    </row>
    <row r="981" ht="15.75" customHeight="1">
      <c r="A981" s="64">
        <v>45484.0</v>
      </c>
      <c r="B981" s="55" t="str">
        <f>HYPERLINK("https://jobright.ai/jobs/info/6690b5d51acf37e6b2480e05?utm_campaign=1065&amp;utm_source=sheet", "Apply")</f>
        <v>Apply</v>
      </c>
      <c r="C981" s="10" t="s">
        <v>14579</v>
      </c>
      <c r="D981" s="56" t="s">
        <v>14380</v>
      </c>
      <c r="E981" s="59">
        <v>45301.0</v>
      </c>
      <c r="F981" s="10" t="s">
        <v>14381</v>
      </c>
      <c r="G981" s="10" t="s">
        <v>12654</v>
      </c>
      <c r="H981" s="10" t="s">
        <v>980</v>
      </c>
      <c r="I981" s="10" t="s">
        <v>55</v>
      </c>
      <c r="J981" s="10" t="s">
        <v>13437</v>
      </c>
      <c r="K981" s="10" t="s">
        <v>14580</v>
      </c>
      <c r="L981" s="10" t="s">
        <v>42</v>
      </c>
    </row>
    <row r="982" ht="15.75" customHeight="1">
      <c r="A982" s="64">
        <v>45484.0</v>
      </c>
      <c r="B982" s="55" t="str">
        <f>HYPERLINK("https://jobright.ai/jobs/info/6690b5d51acf37e6b2480e25?utm_campaign=1065&amp;utm_source=sheet", "Apply")</f>
        <v>Apply</v>
      </c>
      <c r="C982" s="10" t="s">
        <v>14579</v>
      </c>
      <c r="D982" s="56" t="s">
        <v>14380</v>
      </c>
      <c r="E982" s="59">
        <v>45301.0</v>
      </c>
      <c r="F982" s="10" t="s">
        <v>14381</v>
      </c>
      <c r="G982" s="10" t="s">
        <v>12654</v>
      </c>
      <c r="H982" s="10" t="s">
        <v>978</v>
      </c>
      <c r="I982" s="10" t="s">
        <v>55</v>
      </c>
      <c r="J982" s="10" t="s">
        <v>13437</v>
      </c>
      <c r="K982" s="10" t="s">
        <v>14580</v>
      </c>
      <c r="L982" s="10" t="s">
        <v>42</v>
      </c>
    </row>
    <row r="983" ht="15.75" customHeight="1">
      <c r="A983" s="64">
        <v>45484.0</v>
      </c>
      <c r="B983" s="55" t="str">
        <f>HYPERLINK("https://jobright.ai/jobs/info/6690b5d51acf37e6b2480e0f?utm_campaign=1065&amp;utm_source=sheet", "Apply")</f>
        <v>Apply</v>
      </c>
      <c r="C983" s="10" t="s">
        <v>14579</v>
      </c>
      <c r="D983" s="56" t="s">
        <v>14380</v>
      </c>
      <c r="E983" s="59">
        <v>45301.0</v>
      </c>
      <c r="F983" s="10" t="s">
        <v>14381</v>
      </c>
      <c r="G983" s="10" t="s">
        <v>12654</v>
      </c>
      <c r="H983" s="10" t="s">
        <v>979</v>
      </c>
      <c r="I983" s="10" t="s">
        <v>55</v>
      </c>
      <c r="J983" s="10" t="s">
        <v>13437</v>
      </c>
      <c r="K983" s="10" t="s">
        <v>14580</v>
      </c>
      <c r="L983" s="10" t="s">
        <v>42</v>
      </c>
    </row>
    <row r="984" ht="15.75" customHeight="1">
      <c r="A984" s="64">
        <v>45484.0</v>
      </c>
      <c r="B984" s="55" t="str">
        <f>HYPERLINK("https://jobright.ai/jobs/info/6690b5d51acf37e6b2480e30?utm_campaign=1065&amp;utm_source=sheet", "Apply")</f>
        <v>Apply</v>
      </c>
      <c r="C984" s="10" t="s">
        <v>14579</v>
      </c>
      <c r="D984" s="56" t="s">
        <v>14380</v>
      </c>
      <c r="E984" s="59">
        <v>45301.0</v>
      </c>
      <c r="F984" s="10" t="s">
        <v>14381</v>
      </c>
      <c r="G984" s="10" t="s">
        <v>12654</v>
      </c>
      <c r="H984" s="10" t="s">
        <v>770</v>
      </c>
      <c r="I984" s="10" t="s">
        <v>55</v>
      </c>
      <c r="J984" s="10" t="s">
        <v>13437</v>
      </c>
      <c r="K984" s="10" t="s">
        <v>14580</v>
      </c>
      <c r="L984" s="10" t="s">
        <v>42</v>
      </c>
    </row>
    <row r="985" ht="15.75" customHeight="1">
      <c r="A985" s="64">
        <v>45484.0</v>
      </c>
      <c r="B985" s="55" t="str">
        <f>HYPERLINK("https://jobright.ai/jobs/info/6690b5d51acf37e6b2480e29?utm_campaign=1065&amp;utm_source=sheet", "Apply")</f>
        <v>Apply</v>
      </c>
      <c r="C985" s="10" t="s">
        <v>14579</v>
      </c>
      <c r="D985" s="56" t="s">
        <v>14380</v>
      </c>
      <c r="E985" s="59">
        <v>45301.0</v>
      </c>
      <c r="F985" s="10" t="s">
        <v>14381</v>
      </c>
      <c r="G985" s="10" t="s">
        <v>12654</v>
      </c>
      <c r="H985" s="10" t="s">
        <v>1003</v>
      </c>
      <c r="I985" s="10" t="s">
        <v>55</v>
      </c>
      <c r="J985" s="10" t="s">
        <v>13437</v>
      </c>
      <c r="K985" s="10" t="s">
        <v>14580</v>
      </c>
      <c r="L985" s="10" t="s">
        <v>42</v>
      </c>
    </row>
    <row r="986" ht="15.75" customHeight="1">
      <c r="A986" s="64">
        <v>45484.0</v>
      </c>
      <c r="B986" s="55" t="str">
        <f>HYPERLINK("https://jobright.ai/jobs/info/6690b5d51acf37e6b2480e26?utm_campaign=1065&amp;utm_source=sheet", "Apply")</f>
        <v>Apply</v>
      </c>
      <c r="C986" s="10" t="s">
        <v>14579</v>
      </c>
      <c r="D986" s="56" t="s">
        <v>14380</v>
      </c>
      <c r="E986" s="59">
        <v>45301.0</v>
      </c>
      <c r="F986" s="10" t="s">
        <v>14381</v>
      </c>
      <c r="G986" s="10" t="s">
        <v>12654</v>
      </c>
      <c r="H986" s="10" t="s">
        <v>782</v>
      </c>
      <c r="I986" s="10" t="s">
        <v>55</v>
      </c>
      <c r="J986" s="10" t="s">
        <v>13437</v>
      </c>
      <c r="K986" s="10" t="s">
        <v>14580</v>
      </c>
      <c r="L986" s="10" t="s">
        <v>42</v>
      </c>
    </row>
    <row r="987" ht="15.75" customHeight="1">
      <c r="A987" s="64">
        <v>45484.0</v>
      </c>
      <c r="B987" s="55" t="str">
        <f>HYPERLINK("https://jobright.ai/jobs/info/6690b5d51acf37e6b2480e24?utm_campaign=1065&amp;utm_source=sheet", "Apply")</f>
        <v>Apply</v>
      </c>
      <c r="C987" s="10" t="s">
        <v>14579</v>
      </c>
      <c r="D987" s="56" t="s">
        <v>14380</v>
      </c>
      <c r="E987" s="59">
        <v>45301.0</v>
      </c>
      <c r="F987" s="10" t="s">
        <v>14381</v>
      </c>
      <c r="G987" s="10" t="s">
        <v>12654</v>
      </c>
      <c r="H987" s="10" t="s">
        <v>807</v>
      </c>
      <c r="I987" s="10" t="s">
        <v>55</v>
      </c>
      <c r="J987" s="10" t="s">
        <v>13437</v>
      </c>
      <c r="K987" s="10" t="s">
        <v>14580</v>
      </c>
      <c r="L987" s="10" t="s">
        <v>42</v>
      </c>
    </row>
    <row r="988" ht="15.75" customHeight="1">
      <c r="A988" s="64">
        <v>45484.0</v>
      </c>
      <c r="B988" s="55" t="str">
        <f>HYPERLINK("https://jobright.ai/jobs/info/6690b5d51acf37e6b2480e31?utm_campaign=1065&amp;utm_source=sheet", "Apply")</f>
        <v>Apply</v>
      </c>
      <c r="C988" s="10" t="s">
        <v>14579</v>
      </c>
      <c r="D988" s="56" t="s">
        <v>14380</v>
      </c>
      <c r="E988" s="59">
        <v>45301.0</v>
      </c>
      <c r="F988" s="10" t="s">
        <v>14381</v>
      </c>
      <c r="G988" s="10" t="s">
        <v>12654</v>
      </c>
      <c r="H988" s="10" t="s">
        <v>914</v>
      </c>
      <c r="I988" s="10" t="s">
        <v>55</v>
      </c>
      <c r="J988" s="10" t="s">
        <v>13437</v>
      </c>
      <c r="K988" s="10" t="s">
        <v>14580</v>
      </c>
      <c r="L988" s="10" t="s">
        <v>42</v>
      </c>
    </row>
    <row r="989" ht="15.75" customHeight="1">
      <c r="A989" s="64">
        <v>45484.0</v>
      </c>
      <c r="B989" s="55" t="str">
        <f>HYPERLINK("https://jobright.ai/jobs/info/6690b5d51acf37e6b2480e2a?utm_campaign=1065&amp;utm_source=sheet", "Apply")</f>
        <v>Apply</v>
      </c>
      <c r="C989" s="10" t="s">
        <v>14579</v>
      </c>
      <c r="D989" s="56" t="s">
        <v>14380</v>
      </c>
      <c r="E989" s="59">
        <v>45301.0</v>
      </c>
      <c r="F989" s="10" t="s">
        <v>14381</v>
      </c>
      <c r="G989" s="10" t="s">
        <v>12654</v>
      </c>
      <c r="H989" s="10" t="s">
        <v>791</v>
      </c>
      <c r="I989" s="10" t="s">
        <v>55</v>
      </c>
      <c r="J989" s="10" t="s">
        <v>13437</v>
      </c>
      <c r="K989" s="10" t="s">
        <v>14580</v>
      </c>
      <c r="L989" s="10" t="s">
        <v>42</v>
      </c>
    </row>
    <row r="990" ht="15.75" customHeight="1">
      <c r="A990" s="64">
        <v>45484.0</v>
      </c>
      <c r="B990" s="55" t="str">
        <f>HYPERLINK("https://jobright.ai/jobs/info/6690b5d51acf37e6b2480e47?utm_campaign=1065&amp;utm_source=sheet", "Apply")</f>
        <v>Apply</v>
      </c>
      <c r="C990" s="10" t="s">
        <v>14579</v>
      </c>
      <c r="D990" s="56" t="s">
        <v>14380</v>
      </c>
      <c r="E990" s="59">
        <v>45301.0</v>
      </c>
      <c r="F990" s="10" t="s">
        <v>14381</v>
      </c>
      <c r="G990" s="10" t="s">
        <v>12654</v>
      </c>
      <c r="H990" s="10" t="s">
        <v>981</v>
      </c>
      <c r="I990" s="10" t="s">
        <v>55</v>
      </c>
      <c r="J990" s="10" t="s">
        <v>13437</v>
      </c>
      <c r="K990" s="10" t="s">
        <v>14580</v>
      </c>
      <c r="L990" s="10" t="s">
        <v>42</v>
      </c>
    </row>
    <row r="991" ht="15.75" customHeight="1">
      <c r="A991" s="64">
        <v>45484.0</v>
      </c>
      <c r="B991" s="55" t="str">
        <f>HYPERLINK("https://jobright.ai/jobs/info/6690b5d51acf37e6b2480e35?utm_campaign=1065&amp;utm_source=sheet", "Apply")</f>
        <v>Apply</v>
      </c>
      <c r="C991" s="10" t="s">
        <v>14579</v>
      </c>
      <c r="D991" s="56" t="s">
        <v>14380</v>
      </c>
      <c r="E991" s="59">
        <v>45301.0</v>
      </c>
      <c r="F991" s="10" t="s">
        <v>14381</v>
      </c>
      <c r="G991" s="10" t="s">
        <v>12654</v>
      </c>
      <c r="H991" s="10" t="s">
        <v>922</v>
      </c>
      <c r="I991" s="10" t="s">
        <v>55</v>
      </c>
      <c r="J991" s="10" t="s">
        <v>13437</v>
      </c>
      <c r="K991" s="10" t="s">
        <v>14580</v>
      </c>
      <c r="L991" s="10" t="s">
        <v>42</v>
      </c>
    </row>
    <row r="992" ht="15.75" customHeight="1">
      <c r="A992" s="64">
        <v>45484.0</v>
      </c>
      <c r="B992" s="55" t="str">
        <f>HYPERLINK("https://jobright.ai/jobs/info/6690b5d51acf37e6b2480e52?utm_campaign=1065&amp;utm_source=sheet", "Apply")</f>
        <v>Apply</v>
      </c>
      <c r="C992" s="10" t="s">
        <v>14579</v>
      </c>
      <c r="D992" s="56" t="s">
        <v>14380</v>
      </c>
      <c r="E992" s="59">
        <v>45301.0</v>
      </c>
      <c r="F992" s="10" t="s">
        <v>14381</v>
      </c>
      <c r="G992" s="10" t="s">
        <v>12654</v>
      </c>
      <c r="H992" s="10" t="s">
        <v>828</v>
      </c>
      <c r="I992" s="10" t="s">
        <v>55</v>
      </c>
      <c r="J992" s="10" t="s">
        <v>13437</v>
      </c>
      <c r="K992" s="10" t="s">
        <v>14580</v>
      </c>
      <c r="L992" s="10" t="s">
        <v>42</v>
      </c>
    </row>
    <row r="993" ht="15.75" customHeight="1">
      <c r="A993" s="64">
        <v>45484.0</v>
      </c>
      <c r="B993" s="55" t="str">
        <f>HYPERLINK("https://jobright.ai/jobs/info/6690b5d51acf37e6b2480e69?utm_campaign=1065&amp;utm_source=sheet", "Apply")</f>
        <v>Apply</v>
      </c>
      <c r="C993" s="10" t="s">
        <v>14579</v>
      </c>
      <c r="D993" s="56" t="s">
        <v>14380</v>
      </c>
      <c r="E993" s="59">
        <v>45301.0</v>
      </c>
      <c r="F993" s="10" t="s">
        <v>14381</v>
      </c>
      <c r="G993" s="10" t="s">
        <v>12654</v>
      </c>
      <c r="H993" s="10" t="s">
        <v>131</v>
      </c>
      <c r="I993" s="10" t="s">
        <v>55</v>
      </c>
      <c r="J993" s="10" t="s">
        <v>13437</v>
      </c>
      <c r="K993" s="10" t="s">
        <v>14580</v>
      </c>
      <c r="L993" s="10" t="s">
        <v>42</v>
      </c>
    </row>
    <row r="994" ht="15.75" customHeight="1">
      <c r="A994" s="64">
        <v>45484.0</v>
      </c>
      <c r="B994" s="55" t="str">
        <f>HYPERLINK("https://jobright.ai/jobs/info/6690b5d51acf37e6b2480e6e?utm_campaign=1065&amp;utm_source=sheet", "Apply")</f>
        <v>Apply</v>
      </c>
      <c r="C994" s="10" t="s">
        <v>14579</v>
      </c>
      <c r="D994" s="56" t="s">
        <v>14380</v>
      </c>
      <c r="E994" s="59">
        <v>45301.0</v>
      </c>
      <c r="F994" s="10" t="s">
        <v>14381</v>
      </c>
      <c r="G994" s="10" t="s">
        <v>12654</v>
      </c>
      <c r="H994" s="10" t="s">
        <v>849</v>
      </c>
      <c r="I994" s="10" t="s">
        <v>55</v>
      </c>
      <c r="J994" s="10" t="s">
        <v>13437</v>
      </c>
      <c r="K994" s="10" t="s">
        <v>14580</v>
      </c>
      <c r="L994" s="10" t="s">
        <v>42</v>
      </c>
    </row>
    <row r="995" ht="15.75" customHeight="1">
      <c r="A995" s="64">
        <v>45484.0</v>
      </c>
      <c r="B995" s="55" t="str">
        <f>HYPERLINK("https://jobright.ai/jobs/info/6690b5d51acf37e6b2480e72?utm_campaign=1065&amp;utm_source=sheet", "Apply")</f>
        <v>Apply</v>
      </c>
      <c r="C995" s="10" t="s">
        <v>14579</v>
      </c>
      <c r="D995" s="56" t="s">
        <v>14380</v>
      </c>
      <c r="E995" s="59">
        <v>45301.0</v>
      </c>
      <c r="F995" s="10" t="s">
        <v>14381</v>
      </c>
      <c r="G995" s="10" t="s">
        <v>12654</v>
      </c>
      <c r="H995" s="10" t="s">
        <v>930</v>
      </c>
      <c r="I995" s="10" t="s">
        <v>55</v>
      </c>
      <c r="J995" s="10" t="s">
        <v>13437</v>
      </c>
      <c r="K995" s="10" t="s">
        <v>14580</v>
      </c>
      <c r="L995" s="10" t="s">
        <v>42</v>
      </c>
    </row>
    <row r="996" ht="15.75" customHeight="1">
      <c r="A996" s="64">
        <v>45484.0</v>
      </c>
      <c r="B996" s="55" t="str">
        <f>HYPERLINK("https://jobright.ai/jobs/info/6690b5d51acf37e6b2480e60?utm_campaign=1065&amp;utm_source=sheet", "Apply")</f>
        <v>Apply</v>
      </c>
      <c r="C996" s="10" t="s">
        <v>14579</v>
      </c>
      <c r="D996" s="56" t="s">
        <v>14380</v>
      </c>
      <c r="E996" s="59">
        <v>45301.0</v>
      </c>
      <c r="F996" s="10" t="s">
        <v>14381</v>
      </c>
      <c r="G996" s="10" t="s">
        <v>12654</v>
      </c>
      <c r="H996" s="10" t="s">
        <v>834</v>
      </c>
      <c r="I996" s="10" t="s">
        <v>55</v>
      </c>
      <c r="J996" s="10" t="s">
        <v>13437</v>
      </c>
      <c r="K996" s="10" t="s">
        <v>14580</v>
      </c>
      <c r="L996" s="10" t="s">
        <v>42</v>
      </c>
    </row>
    <row r="997" ht="15.75" customHeight="1">
      <c r="A997" s="64">
        <v>45484.0</v>
      </c>
      <c r="B997" s="55" t="str">
        <f>HYPERLINK("https://jobright.ai/jobs/info/6690b5d51acf37e6b2480e71?utm_campaign=1065&amp;utm_source=sheet", "Apply")</f>
        <v>Apply</v>
      </c>
      <c r="C997" s="10" t="s">
        <v>14579</v>
      </c>
      <c r="D997" s="56" t="s">
        <v>14380</v>
      </c>
      <c r="E997" s="59">
        <v>45301.0</v>
      </c>
      <c r="F997" s="10" t="s">
        <v>14381</v>
      </c>
      <c r="G997" s="10" t="s">
        <v>12654</v>
      </c>
      <c r="H997" s="10" t="s">
        <v>951</v>
      </c>
      <c r="I997" s="10" t="s">
        <v>55</v>
      </c>
      <c r="J997" s="10" t="s">
        <v>13437</v>
      </c>
      <c r="K997" s="10" t="s">
        <v>14580</v>
      </c>
      <c r="L997" s="10" t="s">
        <v>42</v>
      </c>
    </row>
    <row r="998" ht="15.75" customHeight="1">
      <c r="A998" s="64">
        <v>45484.0</v>
      </c>
      <c r="B998" s="55" t="str">
        <f>HYPERLINK("https://jobright.ai/jobs/info/6690b5d51acf37e6b2480e5a?utm_campaign=1065&amp;utm_source=sheet", "Apply")</f>
        <v>Apply</v>
      </c>
      <c r="C998" s="10" t="s">
        <v>14579</v>
      </c>
      <c r="D998" s="56" t="s">
        <v>14380</v>
      </c>
      <c r="E998" s="59">
        <v>45301.0</v>
      </c>
      <c r="F998" s="10" t="s">
        <v>14381</v>
      </c>
      <c r="G998" s="10" t="s">
        <v>12654</v>
      </c>
      <c r="H998" s="10" t="s">
        <v>781</v>
      </c>
      <c r="I998" s="10" t="s">
        <v>55</v>
      </c>
      <c r="J998" s="10" t="s">
        <v>13437</v>
      </c>
      <c r="K998" s="10" t="s">
        <v>14580</v>
      </c>
      <c r="L998" s="10" t="s">
        <v>42</v>
      </c>
    </row>
    <row r="999" ht="15.75" customHeight="1">
      <c r="A999" s="64">
        <v>45484.0</v>
      </c>
      <c r="B999" s="55" t="str">
        <f>HYPERLINK("https://jobright.ai/jobs/info/6690b5d51acf37e6b2480e73?utm_campaign=1065&amp;utm_source=sheet", "Apply")</f>
        <v>Apply</v>
      </c>
      <c r="C999" s="10" t="s">
        <v>14579</v>
      </c>
      <c r="D999" s="56" t="s">
        <v>14380</v>
      </c>
      <c r="E999" s="59">
        <v>45301.0</v>
      </c>
      <c r="F999" s="10" t="s">
        <v>14381</v>
      </c>
      <c r="G999" s="10" t="s">
        <v>12654</v>
      </c>
      <c r="H999" s="10" t="s">
        <v>1020</v>
      </c>
      <c r="I999" s="10" t="s">
        <v>55</v>
      </c>
      <c r="J999" s="10" t="s">
        <v>13437</v>
      </c>
      <c r="K999" s="10" t="s">
        <v>14580</v>
      </c>
      <c r="L999" s="10" t="s">
        <v>42</v>
      </c>
    </row>
    <row r="1000" ht="15.75" customHeight="1">
      <c r="A1000" s="64">
        <v>45484.0</v>
      </c>
      <c r="B1000" s="55" t="str">
        <f>HYPERLINK("https://jobright.ai/jobs/info/6690b5d51acf37e6b2480e63?utm_campaign=1065&amp;utm_source=sheet", "Apply")</f>
        <v>Apply</v>
      </c>
      <c r="C1000" s="10" t="s">
        <v>14579</v>
      </c>
      <c r="D1000" s="56" t="s">
        <v>14380</v>
      </c>
      <c r="E1000" s="59">
        <v>45301.0</v>
      </c>
      <c r="F1000" s="10" t="s">
        <v>14381</v>
      </c>
      <c r="G1000" s="10" t="s">
        <v>12654</v>
      </c>
      <c r="H1000" s="10" t="s">
        <v>405</v>
      </c>
      <c r="I1000" s="10" t="s">
        <v>55</v>
      </c>
      <c r="J1000" s="10" t="s">
        <v>13437</v>
      </c>
      <c r="K1000" s="10" t="s">
        <v>14580</v>
      </c>
      <c r="L1000" s="10" t="s">
        <v>42</v>
      </c>
    </row>
    <row r="1001" ht="15.75" customHeight="1">
      <c r="A1001" s="64">
        <v>45484.0</v>
      </c>
      <c r="B1001" s="55" t="str">
        <f>HYPERLINK("https://jobright.ai/jobs/info/6690b5dd1acf37e6b2480e9d?utm_campaign=1065&amp;utm_source=sheet", "Apply")</f>
        <v>Apply</v>
      </c>
      <c r="C1001" s="10" t="s">
        <v>14579</v>
      </c>
      <c r="D1001" s="56" t="s">
        <v>14380</v>
      </c>
      <c r="E1001" s="59">
        <v>45301.0</v>
      </c>
      <c r="F1001" s="10" t="s">
        <v>14381</v>
      </c>
      <c r="G1001" s="10" t="s">
        <v>12654</v>
      </c>
      <c r="H1001" s="10" t="s">
        <v>935</v>
      </c>
      <c r="I1001" s="10" t="s">
        <v>55</v>
      </c>
      <c r="J1001" s="10" t="s">
        <v>13437</v>
      </c>
      <c r="K1001" s="10" t="s">
        <v>14580</v>
      </c>
      <c r="L1001" s="10" t="s">
        <v>42</v>
      </c>
    </row>
    <row r="1002" ht="15.75" customHeight="1">
      <c r="A1002" s="64">
        <v>45484.0</v>
      </c>
      <c r="B1002" s="55" t="str">
        <f>HYPERLINK("https://jobright.ai/jobs/info/6690b5dd1acf37e6b2480ea7?utm_campaign=1065&amp;utm_source=sheet", "Apply")</f>
        <v>Apply</v>
      </c>
      <c r="C1002" s="10" t="s">
        <v>14579</v>
      </c>
      <c r="D1002" s="56" t="s">
        <v>14380</v>
      </c>
      <c r="E1002" s="59">
        <v>45301.0</v>
      </c>
      <c r="F1002" s="10" t="s">
        <v>14381</v>
      </c>
      <c r="G1002" s="10" t="s">
        <v>12654</v>
      </c>
      <c r="H1002" s="10" t="s">
        <v>1005</v>
      </c>
      <c r="I1002" s="10" t="s">
        <v>55</v>
      </c>
      <c r="J1002" s="10" t="s">
        <v>13437</v>
      </c>
      <c r="K1002" s="10" t="s">
        <v>14580</v>
      </c>
      <c r="L1002" s="10" t="s">
        <v>42</v>
      </c>
    </row>
    <row r="1003" ht="15.75" customHeight="1">
      <c r="A1003" s="64">
        <v>45484.0</v>
      </c>
      <c r="B1003" s="55" t="str">
        <f>HYPERLINK("https://jobright.ai/jobs/info/6690b5dd1acf37e6b2480eac?utm_campaign=1065&amp;utm_source=sheet", "Apply")</f>
        <v>Apply</v>
      </c>
      <c r="C1003" s="10" t="s">
        <v>14579</v>
      </c>
      <c r="D1003" s="56" t="s">
        <v>14380</v>
      </c>
      <c r="E1003" s="59">
        <v>45301.0</v>
      </c>
      <c r="F1003" s="10" t="s">
        <v>14381</v>
      </c>
      <c r="G1003" s="10" t="s">
        <v>12654</v>
      </c>
      <c r="H1003" s="10" t="s">
        <v>908</v>
      </c>
      <c r="I1003" s="10" t="s">
        <v>55</v>
      </c>
      <c r="J1003" s="10" t="s">
        <v>13437</v>
      </c>
      <c r="K1003" s="10" t="s">
        <v>14580</v>
      </c>
      <c r="L1003" s="10" t="s">
        <v>42</v>
      </c>
    </row>
    <row r="1004" ht="15.75" customHeight="1">
      <c r="A1004" s="64">
        <v>45484.0</v>
      </c>
      <c r="B1004" s="55" t="str">
        <f>HYPERLINK("https://jobright.ai/jobs/info/6690b5dd1acf37e6b2480e9f?utm_campaign=1065&amp;utm_source=sheet", "Apply")</f>
        <v>Apply</v>
      </c>
      <c r="C1004" s="10" t="s">
        <v>14579</v>
      </c>
      <c r="D1004" s="56" t="s">
        <v>14380</v>
      </c>
      <c r="E1004" s="59">
        <v>45301.0</v>
      </c>
      <c r="F1004" s="10" t="s">
        <v>14381</v>
      </c>
      <c r="G1004" s="10" t="s">
        <v>12654</v>
      </c>
      <c r="H1004" s="10" t="s">
        <v>1015</v>
      </c>
      <c r="I1004" s="10" t="s">
        <v>55</v>
      </c>
      <c r="J1004" s="10" t="s">
        <v>13437</v>
      </c>
      <c r="K1004" s="10" t="s">
        <v>14580</v>
      </c>
      <c r="L1004" s="10" t="s">
        <v>42</v>
      </c>
    </row>
    <row r="1005" ht="15.75" customHeight="1">
      <c r="A1005" s="64">
        <v>45484.0</v>
      </c>
      <c r="B1005" s="55" t="str">
        <f>HYPERLINK("https://jobright.ai/jobs/info/6690b5dd1acf37e6b2480eab?utm_campaign=1065&amp;utm_source=sheet", "Apply")</f>
        <v>Apply</v>
      </c>
      <c r="C1005" s="10" t="s">
        <v>14579</v>
      </c>
      <c r="D1005" s="56" t="s">
        <v>14380</v>
      </c>
      <c r="E1005" s="59">
        <v>45301.0</v>
      </c>
      <c r="F1005" s="10" t="s">
        <v>14381</v>
      </c>
      <c r="G1005" s="10" t="s">
        <v>12654</v>
      </c>
      <c r="H1005" s="10" t="s">
        <v>772</v>
      </c>
      <c r="I1005" s="10" t="s">
        <v>55</v>
      </c>
      <c r="J1005" s="10" t="s">
        <v>13437</v>
      </c>
      <c r="K1005" s="10" t="s">
        <v>14580</v>
      </c>
      <c r="L1005" s="10" t="s">
        <v>42</v>
      </c>
    </row>
    <row r="1006" ht="15.75" customHeight="1">
      <c r="A1006" s="64">
        <v>45484.0</v>
      </c>
      <c r="B1006" s="55" t="str">
        <f>HYPERLINK("https://jobright.ai/jobs/info/6690b5dd1acf37e6b2480f24?utm_campaign=1065&amp;utm_source=sheet", "Apply")</f>
        <v>Apply</v>
      </c>
      <c r="C1006" s="10" t="s">
        <v>14579</v>
      </c>
      <c r="D1006" s="56" t="s">
        <v>14380</v>
      </c>
      <c r="E1006" s="59">
        <v>45301.0</v>
      </c>
      <c r="F1006" s="10" t="s">
        <v>14381</v>
      </c>
      <c r="G1006" s="10" t="s">
        <v>12654</v>
      </c>
      <c r="H1006" s="10" t="s">
        <v>1022</v>
      </c>
      <c r="I1006" s="10" t="s">
        <v>55</v>
      </c>
      <c r="J1006" s="10" t="s">
        <v>13437</v>
      </c>
      <c r="K1006" s="10" t="s">
        <v>14580</v>
      </c>
      <c r="L1006" s="10" t="s">
        <v>42</v>
      </c>
    </row>
    <row r="1007" ht="15.75" customHeight="1">
      <c r="A1007" s="64">
        <v>45484.0</v>
      </c>
      <c r="B1007" s="55" t="str">
        <f>HYPERLINK("https://jobright.ai/jobs/info/6690b5dd1acf37e6b2480f14?utm_campaign=1065&amp;utm_source=sheet", "Apply")</f>
        <v>Apply</v>
      </c>
      <c r="C1007" s="10" t="s">
        <v>14581</v>
      </c>
      <c r="D1007" s="56" t="s">
        <v>14380</v>
      </c>
      <c r="E1007" s="59">
        <v>45301.0</v>
      </c>
      <c r="F1007" s="10" t="s">
        <v>14381</v>
      </c>
      <c r="G1007" s="10" t="s">
        <v>12654</v>
      </c>
      <c r="H1007" s="10" t="s">
        <v>837</v>
      </c>
      <c r="I1007" s="10" t="s">
        <v>55</v>
      </c>
      <c r="J1007" s="10" t="s">
        <v>13437</v>
      </c>
      <c r="K1007" s="10" t="s">
        <v>14582</v>
      </c>
      <c r="L1007" s="10" t="s">
        <v>42</v>
      </c>
    </row>
    <row r="1008" ht="15.75" customHeight="1">
      <c r="A1008" s="64">
        <v>45484.0</v>
      </c>
      <c r="B1008" s="55" t="str">
        <f>HYPERLINK("https://jobright.ai/jobs/info/6690b5dd1acf37e6b2480f33?utm_campaign=1065&amp;utm_source=sheet", "Apply")</f>
        <v>Apply</v>
      </c>
      <c r="C1008" s="10" t="s">
        <v>14581</v>
      </c>
      <c r="D1008" s="56" t="s">
        <v>14380</v>
      </c>
      <c r="E1008" s="59">
        <v>45301.0</v>
      </c>
      <c r="F1008" s="10" t="s">
        <v>14381</v>
      </c>
      <c r="G1008" s="10" t="s">
        <v>12654</v>
      </c>
      <c r="H1008" s="10" t="s">
        <v>927</v>
      </c>
      <c r="I1008" s="10" t="s">
        <v>55</v>
      </c>
      <c r="J1008" s="10" t="s">
        <v>13437</v>
      </c>
      <c r="K1008" s="10" t="s">
        <v>14582</v>
      </c>
      <c r="L1008" s="10" t="s">
        <v>42</v>
      </c>
    </row>
    <row r="1009" ht="15.75" customHeight="1">
      <c r="A1009" s="64">
        <v>45484.0</v>
      </c>
      <c r="B1009" s="55" t="str">
        <f>HYPERLINK("https://jobright.ai/jobs/info/6690b5e51acf37e6b2480f69?utm_campaign=1065&amp;utm_source=sheet", "Apply")</f>
        <v>Apply</v>
      </c>
      <c r="C1009" s="10" t="s">
        <v>14581</v>
      </c>
      <c r="D1009" s="56" t="s">
        <v>14380</v>
      </c>
      <c r="E1009" s="59">
        <v>45301.0</v>
      </c>
      <c r="F1009" s="10" t="s">
        <v>14381</v>
      </c>
      <c r="G1009" s="10" t="s">
        <v>12654</v>
      </c>
      <c r="H1009" s="10" t="s">
        <v>1029</v>
      </c>
      <c r="I1009" s="10" t="s">
        <v>55</v>
      </c>
      <c r="J1009" s="10" t="s">
        <v>13437</v>
      </c>
      <c r="K1009" s="10" t="s">
        <v>14582</v>
      </c>
      <c r="L1009" s="10" t="s">
        <v>42</v>
      </c>
    </row>
    <row r="1010" ht="15.75" customHeight="1">
      <c r="A1010" s="64">
        <v>45484.0</v>
      </c>
      <c r="B1010" s="55" t="str">
        <f>HYPERLINK("https://jobright.ai/jobs/info/6690b5e51acf37e6b2480f80?utm_campaign=1065&amp;utm_source=sheet", "Apply")</f>
        <v>Apply</v>
      </c>
      <c r="C1010" s="10" t="s">
        <v>14579</v>
      </c>
      <c r="D1010" s="56" t="s">
        <v>14380</v>
      </c>
      <c r="E1010" s="59">
        <v>45301.0</v>
      </c>
      <c r="F1010" s="10" t="s">
        <v>14381</v>
      </c>
      <c r="G1010" s="10" t="s">
        <v>12654</v>
      </c>
      <c r="H1010" s="10" t="s">
        <v>910</v>
      </c>
      <c r="I1010" s="10" t="s">
        <v>55</v>
      </c>
      <c r="J1010" s="10" t="s">
        <v>13437</v>
      </c>
      <c r="K1010" s="10" t="s">
        <v>14580</v>
      </c>
      <c r="L1010" s="10" t="s">
        <v>42</v>
      </c>
    </row>
    <row r="1011" ht="15.75" customHeight="1">
      <c r="A1011" s="64">
        <v>45484.0</v>
      </c>
      <c r="B1011" s="55" t="str">
        <f>HYPERLINK("https://jobright.ai/jobs/info/6690b5e51acf37e6b2480f88?utm_campaign=1065&amp;utm_source=sheet", "Apply")</f>
        <v>Apply</v>
      </c>
      <c r="C1011" s="10" t="s">
        <v>14579</v>
      </c>
      <c r="D1011" s="56" t="s">
        <v>14380</v>
      </c>
      <c r="E1011" s="59">
        <v>45301.0</v>
      </c>
      <c r="F1011" s="10" t="s">
        <v>14381</v>
      </c>
      <c r="G1011" s="10" t="s">
        <v>12654</v>
      </c>
      <c r="H1011" s="10" t="s">
        <v>975</v>
      </c>
      <c r="I1011" s="10" t="s">
        <v>55</v>
      </c>
      <c r="J1011" s="10" t="s">
        <v>13437</v>
      </c>
      <c r="K1011" s="10" t="s">
        <v>14580</v>
      </c>
      <c r="L1011" s="10" t="s">
        <v>42</v>
      </c>
    </row>
    <row r="1012" ht="15.75" customHeight="1">
      <c r="A1012" s="64">
        <v>45484.0</v>
      </c>
      <c r="B1012" s="55" t="str">
        <f>HYPERLINK("https://jobright.ai/jobs/info/6690b5e51acf37e6b2480f9b?utm_campaign=1065&amp;utm_source=sheet", "Apply")</f>
        <v>Apply</v>
      </c>
      <c r="C1012" s="10" t="s">
        <v>14581</v>
      </c>
      <c r="D1012" s="56" t="s">
        <v>14380</v>
      </c>
      <c r="E1012" s="59">
        <v>45301.0</v>
      </c>
      <c r="F1012" s="10" t="s">
        <v>14381</v>
      </c>
      <c r="G1012" s="10" t="s">
        <v>12654</v>
      </c>
      <c r="H1012" s="10" t="s">
        <v>812</v>
      </c>
      <c r="I1012" s="10" t="s">
        <v>55</v>
      </c>
      <c r="J1012" s="10" t="s">
        <v>13437</v>
      </c>
      <c r="K1012" s="10" t="s">
        <v>14582</v>
      </c>
      <c r="L1012" s="10" t="s">
        <v>42</v>
      </c>
    </row>
    <row r="1013" ht="15.75" customHeight="1">
      <c r="A1013" s="64">
        <v>45484.0</v>
      </c>
      <c r="B1013" s="55" t="str">
        <f>HYPERLINK("https://jobright.ai/jobs/info/6690b5e51acf37e6b2480f9e?utm_campaign=1065&amp;utm_source=sheet", "Apply")</f>
        <v>Apply</v>
      </c>
      <c r="C1013" s="10" t="s">
        <v>14581</v>
      </c>
      <c r="D1013" s="56" t="s">
        <v>14380</v>
      </c>
      <c r="E1013" s="59">
        <v>45301.0</v>
      </c>
      <c r="F1013" s="10" t="s">
        <v>14381</v>
      </c>
      <c r="G1013" s="10" t="s">
        <v>12654</v>
      </c>
      <c r="H1013" s="10" t="s">
        <v>817</v>
      </c>
      <c r="I1013" s="10" t="s">
        <v>55</v>
      </c>
      <c r="J1013" s="10" t="s">
        <v>13437</v>
      </c>
      <c r="K1013" s="10" t="s">
        <v>14582</v>
      </c>
      <c r="L1013" s="10" t="s">
        <v>42</v>
      </c>
    </row>
    <row r="1014" ht="15.75" customHeight="1">
      <c r="A1014" s="64">
        <v>45484.0</v>
      </c>
      <c r="B1014" s="55" t="str">
        <f>HYPERLINK("https://jobright.ai/jobs/info/6690b5e51acf37e6b2480fac?utm_campaign=1065&amp;utm_source=sheet", "Apply")</f>
        <v>Apply</v>
      </c>
      <c r="C1014" s="10" t="s">
        <v>14579</v>
      </c>
      <c r="D1014" s="56" t="s">
        <v>14380</v>
      </c>
      <c r="E1014" s="59">
        <v>45301.0</v>
      </c>
      <c r="F1014" s="10" t="s">
        <v>14381</v>
      </c>
      <c r="G1014" s="10" t="s">
        <v>12654</v>
      </c>
      <c r="H1014" s="10" t="s">
        <v>964</v>
      </c>
      <c r="I1014" s="10" t="s">
        <v>55</v>
      </c>
      <c r="J1014" s="10" t="s">
        <v>13437</v>
      </c>
      <c r="K1014" s="10" t="s">
        <v>14580</v>
      </c>
      <c r="L1014" s="10" t="s">
        <v>42</v>
      </c>
    </row>
    <row r="1015" ht="15.75" customHeight="1">
      <c r="A1015" s="64">
        <v>45484.0</v>
      </c>
      <c r="B1015" s="55" t="str">
        <f>HYPERLINK("https://jobright.ai/jobs/info/6690b5e51acf37e6b2480fa2?utm_campaign=1065&amp;utm_source=sheet", "Apply")</f>
        <v>Apply</v>
      </c>
      <c r="C1015" s="10" t="s">
        <v>14579</v>
      </c>
      <c r="D1015" s="56" t="s">
        <v>14380</v>
      </c>
      <c r="E1015" s="59">
        <v>45301.0</v>
      </c>
      <c r="F1015" s="10" t="s">
        <v>14381</v>
      </c>
      <c r="G1015" s="10" t="s">
        <v>12654</v>
      </c>
      <c r="H1015" s="10" t="s">
        <v>881</v>
      </c>
      <c r="I1015" s="10" t="s">
        <v>55</v>
      </c>
      <c r="J1015" s="10" t="s">
        <v>13437</v>
      </c>
      <c r="K1015" s="10" t="s">
        <v>14580</v>
      </c>
      <c r="L1015" s="10" t="s">
        <v>42</v>
      </c>
    </row>
    <row r="1016" ht="15.75" customHeight="1">
      <c r="A1016" s="64">
        <v>45484.0</v>
      </c>
      <c r="B1016" s="55" t="str">
        <f>HYPERLINK("https://jobright.ai/jobs/info/6690b5e51acf37e6b2480fae?utm_campaign=1065&amp;utm_source=sheet", "Apply")</f>
        <v>Apply</v>
      </c>
      <c r="C1016" s="10" t="s">
        <v>14581</v>
      </c>
      <c r="D1016" s="56" t="s">
        <v>14380</v>
      </c>
      <c r="E1016" s="59">
        <v>45301.0</v>
      </c>
      <c r="F1016" s="10" t="s">
        <v>14381</v>
      </c>
      <c r="G1016" s="10" t="s">
        <v>12654</v>
      </c>
      <c r="H1016" s="10" t="s">
        <v>174</v>
      </c>
      <c r="I1016" s="10" t="s">
        <v>55</v>
      </c>
      <c r="J1016" s="10" t="s">
        <v>13437</v>
      </c>
      <c r="K1016" s="10" t="s">
        <v>14582</v>
      </c>
      <c r="L1016" s="10" t="s">
        <v>42</v>
      </c>
    </row>
    <row r="1017" ht="15.75" customHeight="1">
      <c r="A1017" s="64">
        <v>45484.0</v>
      </c>
      <c r="B1017" s="55" t="str">
        <f>HYPERLINK("https://jobright.ai/jobs/info/6690b5e51acf37e6b2480f9c?utm_campaign=1065&amp;utm_source=sheet", "Apply")</f>
        <v>Apply</v>
      </c>
      <c r="C1017" s="10" t="s">
        <v>14581</v>
      </c>
      <c r="D1017" s="56" t="s">
        <v>14380</v>
      </c>
      <c r="E1017" s="59">
        <v>45301.0</v>
      </c>
      <c r="F1017" s="10" t="s">
        <v>14381</v>
      </c>
      <c r="G1017" s="10" t="s">
        <v>12654</v>
      </c>
      <c r="H1017" s="10" t="s">
        <v>810</v>
      </c>
      <c r="I1017" s="10" t="s">
        <v>55</v>
      </c>
      <c r="J1017" s="10" t="s">
        <v>13437</v>
      </c>
      <c r="K1017" s="10" t="s">
        <v>14582</v>
      </c>
      <c r="L1017" s="10" t="s">
        <v>42</v>
      </c>
    </row>
    <row r="1018" ht="15.75" customHeight="1">
      <c r="A1018" s="64">
        <v>45484.0</v>
      </c>
      <c r="B1018" s="55" t="str">
        <f>HYPERLINK("https://jobright.ai/jobs/info/6690b5e51acf37e6b2480fa3?utm_campaign=1065&amp;utm_source=sheet", "Apply")</f>
        <v>Apply</v>
      </c>
      <c r="C1018" s="10" t="s">
        <v>14581</v>
      </c>
      <c r="D1018" s="56" t="s">
        <v>14380</v>
      </c>
      <c r="E1018" s="59">
        <v>45301.0</v>
      </c>
      <c r="F1018" s="10" t="s">
        <v>14381</v>
      </c>
      <c r="G1018" s="10" t="s">
        <v>12654</v>
      </c>
      <c r="H1018" s="10" t="s">
        <v>1018</v>
      </c>
      <c r="I1018" s="10" t="s">
        <v>55</v>
      </c>
      <c r="J1018" s="10" t="s">
        <v>13437</v>
      </c>
      <c r="K1018" s="10" t="s">
        <v>14582</v>
      </c>
      <c r="L1018" s="10" t="s">
        <v>42</v>
      </c>
    </row>
    <row r="1019" ht="15.75" customHeight="1">
      <c r="A1019" s="64">
        <v>45484.0</v>
      </c>
      <c r="B1019" s="55" t="str">
        <f>HYPERLINK("https://jobright.ai/jobs/info/6690b5e51acf37e6b2480faa?utm_campaign=1065&amp;utm_source=sheet", "Apply")</f>
        <v>Apply</v>
      </c>
      <c r="C1019" s="10" t="s">
        <v>14581</v>
      </c>
      <c r="D1019" s="56" t="s">
        <v>14380</v>
      </c>
      <c r="E1019" s="59">
        <v>45301.0</v>
      </c>
      <c r="F1019" s="10" t="s">
        <v>14381</v>
      </c>
      <c r="G1019" s="10" t="s">
        <v>12654</v>
      </c>
      <c r="H1019" s="10" t="s">
        <v>1007</v>
      </c>
      <c r="I1019" s="10" t="s">
        <v>55</v>
      </c>
      <c r="J1019" s="10" t="s">
        <v>13437</v>
      </c>
      <c r="K1019" s="10" t="s">
        <v>14582</v>
      </c>
      <c r="L1019" s="10" t="s">
        <v>42</v>
      </c>
    </row>
    <row r="1020" ht="15.75" customHeight="1">
      <c r="A1020" s="64">
        <v>45484.0</v>
      </c>
      <c r="B1020" s="55" t="str">
        <f>HYPERLINK("https://jobright.ai/jobs/info/6690b5e51acf37e6b2480fa8?utm_campaign=1065&amp;utm_source=sheet", "Apply")</f>
        <v>Apply</v>
      </c>
      <c r="C1020" s="10" t="s">
        <v>14581</v>
      </c>
      <c r="D1020" s="56" t="s">
        <v>14380</v>
      </c>
      <c r="E1020" s="59">
        <v>45301.0</v>
      </c>
      <c r="F1020" s="10" t="s">
        <v>14381</v>
      </c>
      <c r="G1020" s="10" t="s">
        <v>12654</v>
      </c>
      <c r="H1020" s="10" t="s">
        <v>361</v>
      </c>
      <c r="I1020" s="10" t="s">
        <v>55</v>
      </c>
      <c r="J1020" s="10" t="s">
        <v>13437</v>
      </c>
      <c r="K1020" s="10" t="s">
        <v>14582</v>
      </c>
      <c r="L1020" s="10" t="s">
        <v>42</v>
      </c>
    </row>
    <row r="1021" ht="15.75" customHeight="1">
      <c r="A1021" s="64">
        <v>45484.0</v>
      </c>
      <c r="B1021" s="55" t="str">
        <f>HYPERLINK("https://jobright.ai/jobs/info/6690b5e51acf37e6b2480fa6?utm_campaign=1065&amp;utm_source=sheet", "Apply")</f>
        <v>Apply</v>
      </c>
      <c r="C1021" s="10" t="s">
        <v>14581</v>
      </c>
      <c r="D1021" s="56" t="s">
        <v>14380</v>
      </c>
      <c r="E1021" s="59">
        <v>45301.0</v>
      </c>
      <c r="F1021" s="10" t="s">
        <v>14381</v>
      </c>
      <c r="G1021" s="10" t="s">
        <v>12654</v>
      </c>
      <c r="H1021" s="10" t="s">
        <v>1004</v>
      </c>
      <c r="I1021" s="10" t="s">
        <v>55</v>
      </c>
      <c r="J1021" s="10" t="s">
        <v>13437</v>
      </c>
      <c r="K1021" s="10" t="s">
        <v>14582</v>
      </c>
      <c r="L1021" s="10" t="s">
        <v>42</v>
      </c>
    </row>
    <row r="1022" ht="15.75" customHeight="1">
      <c r="A1022" s="64">
        <v>45484.0</v>
      </c>
      <c r="B1022" s="55" t="str">
        <f>HYPERLINK("https://jobright.ai/jobs/info/6690b5e51acf37e6b2480fa1?utm_campaign=1065&amp;utm_source=sheet", "Apply")</f>
        <v>Apply</v>
      </c>
      <c r="C1022" s="10" t="s">
        <v>14581</v>
      </c>
      <c r="D1022" s="56" t="s">
        <v>14380</v>
      </c>
      <c r="E1022" s="59">
        <v>45301.0</v>
      </c>
      <c r="F1022" s="10" t="s">
        <v>14381</v>
      </c>
      <c r="G1022" s="10" t="s">
        <v>12654</v>
      </c>
      <c r="H1022" s="10" t="s">
        <v>823</v>
      </c>
      <c r="I1022" s="10" t="s">
        <v>55</v>
      </c>
      <c r="J1022" s="10" t="s">
        <v>13437</v>
      </c>
      <c r="K1022" s="10" t="s">
        <v>14582</v>
      </c>
      <c r="L1022" s="10" t="s">
        <v>42</v>
      </c>
    </row>
    <row r="1023" ht="15.75" customHeight="1">
      <c r="A1023" s="64">
        <v>45484.0</v>
      </c>
      <c r="B1023" s="55" t="str">
        <f>HYPERLINK("https://jobright.ai/jobs/info/6690b5e51acf37e6b2480fc0?utm_campaign=1065&amp;utm_source=sheet", "Apply")</f>
        <v>Apply</v>
      </c>
      <c r="C1023" s="10" t="s">
        <v>14581</v>
      </c>
      <c r="D1023" s="56" t="s">
        <v>14380</v>
      </c>
      <c r="E1023" s="59">
        <v>45301.0</v>
      </c>
      <c r="F1023" s="10" t="s">
        <v>14381</v>
      </c>
      <c r="G1023" s="10" t="s">
        <v>12654</v>
      </c>
      <c r="H1023" s="10" t="s">
        <v>1022</v>
      </c>
      <c r="I1023" s="10" t="s">
        <v>55</v>
      </c>
      <c r="J1023" s="10" t="s">
        <v>13437</v>
      </c>
      <c r="K1023" s="10" t="s">
        <v>14582</v>
      </c>
      <c r="L1023" s="10" t="s">
        <v>42</v>
      </c>
    </row>
    <row r="1024" ht="15.75" customHeight="1">
      <c r="A1024" s="64">
        <v>45484.0</v>
      </c>
      <c r="B1024" s="55" t="str">
        <f>HYPERLINK("https://jobright.ai/jobs/info/6690b5e51acf37e6b2480fc4?utm_campaign=1065&amp;utm_source=sheet", "Apply")</f>
        <v>Apply</v>
      </c>
      <c r="C1024" s="10" t="s">
        <v>14581</v>
      </c>
      <c r="D1024" s="56" t="s">
        <v>14380</v>
      </c>
      <c r="E1024" s="59">
        <v>45301.0</v>
      </c>
      <c r="F1024" s="10" t="s">
        <v>14381</v>
      </c>
      <c r="G1024" s="10" t="s">
        <v>12654</v>
      </c>
      <c r="H1024" s="10" t="s">
        <v>873</v>
      </c>
      <c r="I1024" s="10" t="s">
        <v>55</v>
      </c>
      <c r="J1024" s="10" t="s">
        <v>13437</v>
      </c>
      <c r="K1024" s="10" t="s">
        <v>14582</v>
      </c>
      <c r="L1024" s="10" t="s">
        <v>42</v>
      </c>
    </row>
    <row r="1025" ht="15.75" customHeight="1">
      <c r="A1025" s="64">
        <v>45484.0</v>
      </c>
      <c r="B1025" s="55" t="str">
        <f>HYPERLINK("https://jobright.ai/jobs/info/6690b5e51acf37e6b2480fc9?utm_campaign=1065&amp;utm_source=sheet", "Apply")</f>
        <v>Apply</v>
      </c>
      <c r="C1025" s="10" t="s">
        <v>14581</v>
      </c>
      <c r="D1025" s="56" t="s">
        <v>14380</v>
      </c>
      <c r="E1025" s="59">
        <v>45301.0</v>
      </c>
      <c r="F1025" s="10" t="s">
        <v>14381</v>
      </c>
      <c r="G1025" s="10" t="s">
        <v>12654</v>
      </c>
      <c r="H1025" s="10" t="s">
        <v>869</v>
      </c>
      <c r="I1025" s="10" t="s">
        <v>55</v>
      </c>
      <c r="J1025" s="10" t="s">
        <v>13437</v>
      </c>
      <c r="K1025" s="10" t="s">
        <v>14582</v>
      </c>
      <c r="L1025" s="10" t="s">
        <v>42</v>
      </c>
    </row>
    <row r="1026" ht="15.75" customHeight="1">
      <c r="A1026" s="64">
        <v>45484.0</v>
      </c>
      <c r="B1026" s="55" t="str">
        <f>HYPERLINK("https://jobright.ai/jobs/info/6690b5e51acf37e6b2480fbe?utm_campaign=1065&amp;utm_source=sheet", "Apply")</f>
        <v>Apply</v>
      </c>
      <c r="C1026" s="10" t="s">
        <v>14579</v>
      </c>
      <c r="D1026" s="56" t="s">
        <v>14380</v>
      </c>
      <c r="E1026" s="59">
        <v>45301.0</v>
      </c>
      <c r="F1026" s="10" t="s">
        <v>14381</v>
      </c>
      <c r="G1026" s="10" t="s">
        <v>12654</v>
      </c>
      <c r="H1026" s="10" t="s">
        <v>864</v>
      </c>
      <c r="I1026" s="10" t="s">
        <v>55</v>
      </c>
      <c r="J1026" s="10" t="s">
        <v>13437</v>
      </c>
      <c r="K1026" s="10" t="s">
        <v>14580</v>
      </c>
      <c r="L1026" s="10" t="s">
        <v>42</v>
      </c>
    </row>
    <row r="1027" ht="15.75" customHeight="1">
      <c r="A1027" s="64">
        <v>45484.0</v>
      </c>
      <c r="B1027" s="55" t="str">
        <f>HYPERLINK("https://jobright.ai/jobs/info/6690b5e51acf37e6b2480fb4?utm_campaign=1065&amp;utm_source=sheet", "Apply")</f>
        <v>Apply</v>
      </c>
      <c r="C1027" s="10" t="s">
        <v>14579</v>
      </c>
      <c r="D1027" s="56" t="s">
        <v>14380</v>
      </c>
      <c r="E1027" s="59">
        <v>45301.0</v>
      </c>
      <c r="F1027" s="10" t="s">
        <v>14381</v>
      </c>
      <c r="G1027" s="10" t="s">
        <v>12654</v>
      </c>
      <c r="H1027" s="10" t="s">
        <v>885</v>
      </c>
      <c r="I1027" s="10" t="s">
        <v>55</v>
      </c>
      <c r="J1027" s="10" t="s">
        <v>13437</v>
      </c>
      <c r="K1027" s="10" t="s">
        <v>14580</v>
      </c>
      <c r="L1027" s="10" t="s">
        <v>42</v>
      </c>
    </row>
    <row r="1028" ht="15.75" customHeight="1">
      <c r="A1028" s="64">
        <v>45484.0</v>
      </c>
      <c r="B1028" s="55" t="str">
        <f>HYPERLINK("https://jobright.ai/jobs/info/6690b5e51acf37e6b2480fbb?utm_campaign=1065&amp;utm_source=sheet", "Apply")</f>
        <v>Apply</v>
      </c>
      <c r="C1028" s="10" t="s">
        <v>14581</v>
      </c>
      <c r="D1028" s="56" t="s">
        <v>14380</v>
      </c>
      <c r="E1028" s="59">
        <v>45301.0</v>
      </c>
      <c r="F1028" s="10" t="s">
        <v>14381</v>
      </c>
      <c r="G1028" s="10" t="s">
        <v>12654</v>
      </c>
      <c r="H1028" s="10" t="s">
        <v>822</v>
      </c>
      <c r="I1028" s="10" t="s">
        <v>55</v>
      </c>
      <c r="J1028" s="10" t="s">
        <v>13437</v>
      </c>
      <c r="K1028" s="10" t="s">
        <v>14582</v>
      </c>
      <c r="L1028" s="10" t="s">
        <v>42</v>
      </c>
    </row>
    <row r="1029" ht="15.75" customHeight="1">
      <c r="A1029" s="64">
        <v>45484.0</v>
      </c>
      <c r="B1029" s="55" t="str">
        <f>HYPERLINK("https://jobright.ai/jobs/info/6690b5e51acf37e6b2480fe6?utm_campaign=1065&amp;utm_source=sheet", "Apply")</f>
        <v>Apply</v>
      </c>
      <c r="C1029" s="10" t="s">
        <v>14579</v>
      </c>
      <c r="D1029" s="56" t="s">
        <v>14380</v>
      </c>
      <c r="E1029" s="59">
        <v>45301.0</v>
      </c>
      <c r="F1029" s="10" t="s">
        <v>14381</v>
      </c>
      <c r="G1029" s="10" t="s">
        <v>12654</v>
      </c>
      <c r="H1029" s="10" t="s">
        <v>792</v>
      </c>
      <c r="I1029" s="10" t="s">
        <v>55</v>
      </c>
      <c r="J1029" s="10" t="s">
        <v>13437</v>
      </c>
      <c r="K1029" s="10" t="s">
        <v>14580</v>
      </c>
      <c r="L1029" s="10" t="s">
        <v>42</v>
      </c>
    </row>
    <row r="1030" ht="15.75" customHeight="1">
      <c r="A1030" s="64">
        <v>45484.0</v>
      </c>
      <c r="B1030" s="55" t="str">
        <f>HYPERLINK("https://jobright.ai/jobs/info/6690b5e51acf37e6b2480ff2?utm_campaign=1065&amp;utm_source=sheet", "Apply")</f>
        <v>Apply</v>
      </c>
      <c r="C1030" s="10" t="s">
        <v>14581</v>
      </c>
      <c r="D1030" s="56" t="s">
        <v>14380</v>
      </c>
      <c r="E1030" s="59">
        <v>45301.0</v>
      </c>
      <c r="F1030" s="10" t="s">
        <v>14381</v>
      </c>
      <c r="G1030" s="10" t="s">
        <v>12654</v>
      </c>
      <c r="H1030" s="10" t="s">
        <v>933</v>
      </c>
      <c r="I1030" s="10" t="s">
        <v>55</v>
      </c>
      <c r="J1030" s="10" t="s">
        <v>13437</v>
      </c>
      <c r="K1030" s="10" t="s">
        <v>14582</v>
      </c>
      <c r="L1030" s="10" t="s">
        <v>42</v>
      </c>
    </row>
    <row r="1031" ht="15.75" customHeight="1">
      <c r="A1031" s="64">
        <v>45484.0</v>
      </c>
      <c r="B1031" s="55" t="str">
        <f>HYPERLINK("https://jobright.ai/jobs/info/6690b5e51acf37e6b2481000?utm_campaign=1065&amp;utm_source=sheet", "Apply")</f>
        <v>Apply</v>
      </c>
      <c r="C1031" s="10" t="s">
        <v>14581</v>
      </c>
      <c r="D1031" s="56" t="s">
        <v>14380</v>
      </c>
      <c r="E1031" s="59">
        <v>45301.0</v>
      </c>
      <c r="F1031" s="10" t="s">
        <v>14381</v>
      </c>
      <c r="G1031" s="10" t="s">
        <v>12654</v>
      </c>
      <c r="H1031" s="10" t="s">
        <v>165</v>
      </c>
      <c r="I1031" s="10" t="s">
        <v>55</v>
      </c>
      <c r="J1031" s="10" t="s">
        <v>13437</v>
      </c>
      <c r="K1031" s="10" t="s">
        <v>14582</v>
      </c>
      <c r="L1031" s="10" t="s">
        <v>42</v>
      </c>
    </row>
    <row r="1032" ht="15.75" customHeight="1">
      <c r="A1032" s="64">
        <v>45484.0</v>
      </c>
      <c r="B1032" s="55" t="str">
        <f>HYPERLINK("https://jobright.ai/jobs/info/6690b5e51acf37e6b2481003?utm_campaign=1065&amp;utm_source=sheet", "Apply")</f>
        <v>Apply</v>
      </c>
      <c r="C1032" s="10" t="s">
        <v>14579</v>
      </c>
      <c r="D1032" s="56" t="s">
        <v>14380</v>
      </c>
      <c r="E1032" s="59">
        <v>45301.0</v>
      </c>
      <c r="F1032" s="10" t="s">
        <v>14381</v>
      </c>
      <c r="G1032" s="10" t="s">
        <v>12654</v>
      </c>
      <c r="H1032" s="10" t="s">
        <v>961</v>
      </c>
      <c r="I1032" s="10" t="s">
        <v>55</v>
      </c>
      <c r="J1032" s="10" t="s">
        <v>13437</v>
      </c>
      <c r="K1032" s="10" t="s">
        <v>14580</v>
      </c>
      <c r="L1032" s="10" t="s">
        <v>42</v>
      </c>
    </row>
    <row r="1033" ht="15.75" customHeight="1">
      <c r="A1033" s="64">
        <v>45484.0</v>
      </c>
      <c r="B1033" s="55" t="str">
        <f>HYPERLINK("https://jobright.ai/jobs/info/6690b5e51acf37e6b2480ff9?utm_campaign=1065&amp;utm_source=sheet", "Apply")</f>
        <v>Apply</v>
      </c>
      <c r="C1033" s="10" t="s">
        <v>14581</v>
      </c>
      <c r="D1033" s="56" t="s">
        <v>14380</v>
      </c>
      <c r="E1033" s="59">
        <v>45301.0</v>
      </c>
      <c r="F1033" s="10" t="s">
        <v>14381</v>
      </c>
      <c r="G1033" s="10" t="s">
        <v>12654</v>
      </c>
      <c r="H1033" s="10" t="s">
        <v>876</v>
      </c>
      <c r="I1033" s="10" t="s">
        <v>55</v>
      </c>
      <c r="J1033" s="10" t="s">
        <v>13437</v>
      </c>
      <c r="K1033" s="10" t="s">
        <v>14582</v>
      </c>
      <c r="L1033" s="10" t="s">
        <v>42</v>
      </c>
    </row>
    <row r="1034" ht="15.75" customHeight="1">
      <c r="A1034" s="64">
        <v>45484.0</v>
      </c>
      <c r="B1034" s="55" t="str">
        <f>HYPERLINK("https://jobright.ai/jobs/info/6690b5e51acf37e6b2480ffc?utm_campaign=1065&amp;utm_source=sheet", "Apply")</f>
        <v>Apply</v>
      </c>
      <c r="C1034" s="10" t="s">
        <v>14579</v>
      </c>
      <c r="D1034" s="56" t="s">
        <v>14380</v>
      </c>
      <c r="E1034" s="59">
        <v>45301.0</v>
      </c>
      <c r="F1034" s="10" t="s">
        <v>14381</v>
      </c>
      <c r="G1034" s="10" t="s">
        <v>12654</v>
      </c>
      <c r="H1034" s="10" t="s">
        <v>764</v>
      </c>
      <c r="I1034" s="10" t="s">
        <v>55</v>
      </c>
      <c r="J1034" s="10" t="s">
        <v>13437</v>
      </c>
      <c r="K1034" s="10" t="s">
        <v>14580</v>
      </c>
      <c r="L1034" s="10" t="s">
        <v>42</v>
      </c>
    </row>
    <row r="1035" ht="15.75" customHeight="1">
      <c r="A1035" s="64">
        <v>45484.0</v>
      </c>
      <c r="B1035" s="55" t="str">
        <f>HYPERLINK("https://jobright.ai/jobs/info/6690b5e51acf37e6b2480ffa?utm_campaign=1065&amp;utm_source=sheet", "Apply")</f>
        <v>Apply</v>
      </c>
      <c r="C1035" s="10" t="s">
        <v>14579</v>
      </c>
      <c r="D1035" s="56" t="s">
        <v>14380</v>
      </c>
      <c r="E1035" s="59">
        <v>45301.0</v>
      </c>
      <c r="F1035" s="10" t="s">
        <v>14381</v>
      </c>
      <c r="G1035" s="10" t="s">
        <v>12654</v>
      </c>
      <c r="H1035" s="10" t="s">
        <v>1038</v>
      </c>
      <c r="I1035" s="10" t="s">
        <v>55</v>
      </c>
      <c r="J1035" s="10" t="s">
        <v>13437</v>
      </c>
      <c r="K1035" s="10" t="s">
        <v>14580</v>
      </c>
      <c r="L1035" s="10" t="s">
        <v>42</v>
      </c>
    </row>
    <row r="1036" ht="15.75" customHeight="1">
      <c r="A1036" s="64">
        <v>45484.0</v>
      </c>
      <c r="B1036" s="55" t="str">
        <f>HYPERLINK("https://jobright.ai/jobs/info/6690b5e51acf37e6b2480ff7?utm_campaign=1065&amp;utm_source=sheet", "Apply")</f>
        <v>Apply</v>
      </c>
      <c r="C1036" s="10" t="s">
        <v>14579</v>
      </c>
      <c r="D1036" s="56" t="s">
        <v>14380</v>
      </c>
      <c r="E1036" s="59">
        <v>45301.0</v>
      </c>
      <c r="F1036" s="10" t="s">
        <v>14381</v>
      </c>
      <c r="G1036" s="10" t="s">
        <v>12654</v>
      </c>
      <c r="H1036" s="10" t="s">
        <v>983</v>
      </c>
      <c r="I1036" s="10" t="s">
        <v>55</v>
      </c>
      <c r="J1036" s="10" t="s">
        <v>13437</v>
      </c>
      <c r="K1036" s="10" t="s">
        <v>14580</v>
      </c>
      <c r="L1036" s="10" t="s">
        <v>42</v>
      </c>
    </row>
    <row r="1037" ht="15.75" customHeight="1">
      <c r="A1037" s="64">
        <v>45484.0</v>
      </c>
      <c r="B1037" s="55" t="str">
        <f>HYPERLINK("https://jobright.ai/jobs/info/6690b5e51acf37e6b2481008?utm_campaign=1065&amp;utm_source=sheet", "Apply")</f>
        <v>Apply</v>
      </c>
      <c r="C1037" s="10" t="s">
        <v>14581</v>
      </c>
      <c r="D1037" s="56" t="s">
        <v>14380</v>
      </c>
      <c r="E1037" s="59">
        <v>45301.0</v>
      </c>
      <c r="F1037" s="10" t="s">
        <v>14381</v>
      </c>
      <c r="G1037" s="10" t="s">
        <v>12654</v>
      </c>
      <c r="H1037" s="10" t="s">
        <v>1013</v>
      </c>
      <c r="I1037" s="10" t="s">
        <v>55</v>
      </c>
      <c r="J1037" s="10" t="s">
        <v>13437</v>
      </c>
      <c r="K1037" s="10" t="s">
        <v>14582</v>
      </c>
      <c r="L1037" s="10" t="s">
        <v>42</v>
      </c>
    </row>
    <row r="1038" ht="15.75" customHeight="1">
      <c r="A1038" s="64">
        <v>45484.0</v>
      </c>
      <c r="B1038" s="55" t="str">
        <f>HYPERLINK("https://jobright.ai/jobs/info/6690b5e51acf37e6b2480ff4?utm_campaign=1065&amp;utm_source=sheet", "Apply")</f>
        <v>Apply</v>
      </c>
      <c r="C1038" s="10" t="s">
        <v>14581</v>
      </c>
      <c r="D1038" s="56" t="s">
        <v>14380</v>
      </c>
      <c r="E1038" s="59">
        <v>45301.0</v>
      </c>
      <c r="F1038" s="10" t="s">
        <v>14381</v>
      </c>
      <c r="G1038" s="10" t="s">
        <v>12654</v>
      </c>
      <c r="H1038" s="10" t="s">
        <v>887</v>
      </c>
      <c r="I1038" s="10" t="s">
        <v>55</v>
      </c>
      <c r="J1038" s="10" t="s">
        <v>13437</v>
      </c>
      <c r="K1038" s="10" t="s">
        <v>14582</v>
      </c>
      <c r="L1038" s="10" t="s">
        <v>42</v>
      </c>
    </row>
    <row r="1039" ht="15.75" customHeight="1">
      <c r="A1039" s="64">
        <v>45484.0</v>
      </c>
      <c r="B1039" s="55" t="str">
        <f>HYPERLINK("https://jobright.ai/jobs/info/6690b5e51acf37e6b2480fd5?utm_campaign=1065&amp;utm_source=sheet", "Apply")</f>
        <v>Apply</v>
      </c>
      <c r="C1039" s="10" t="s">
        <v>14581</v>
      </c>
      <c r="D1039" s="56" t="s">
        <v>14380</v>
      </c>
      <c r="E1039" s="59">
        <v>45301.0</v>
      </c>
      <c r="F1039" s="10" t="s">
        <v>14381</v>
      </c>
      <c r="G1039" s="10" t="s">
        <v>12654</v>
      </c>
      <c r="H1039" s="10" t="s">
        <v>948</v>
      </c>
      <c r="I1039" s="10" t="s">
        <v>55</v>
      </c>
      <c r="J1039" s="10" t="s">
        <v>13437</v>
      </c>
      <c r="K1039" s="10" t="s">
        <v>14582</v>
      </c>
      <c r="L1039" s="10" t="s">
        <v>42</v>
      </c>
    </row>
    <row r="1040" ht="15.75" customHeight="1">
      <c r="A1040" s="64">
        <v>45484.0</v>
      </c>
      <c r="B1040" s="55" t="str">
        <f>HYPERLINK("https://jobright.ai/jobs/info/6690b5e51acf37e6b248101c?utm_campaign=1065&amp;utm_source=sheet", "Apply")</f>
        <v>Apply</v>
      </c>
      <c r="C1040" s="10" t="s">
        <v>14579</v>
      </c>
      <c r="D1040" s="56" t="s">
        <v>14380</v>
      </c>
      <c r="E1040" s="59">
        <v>45301.0</v>
      </c>
      <c r="F1040" s="10" t="s">
        <v>14381</v>
      </c>
      <c r="G1040" s="10" t="s">
        <v>12654</v>
      </c>
      <c r="H1040" s="10" t="s">
        <v>840</v>
      </c>
      <c r="I1040" s="10" t="s">
        <v>55</v>
      </c>
      <c r="J1040" s="10" t="s">
        <v>13437</v>
      </c>
      <c r="K1040" s="10" t="s">
        <v>14580</v>
      </c>
      <c r="L1040" s="10" t="s">
        <v>42</v>
      </c>
    </row>
    <row r="1041" ht="15.75" customHeight="1">
      <c r="A1041" s="64">
        <v>45484.0</v>
      </c>
      <c r="B1041" s="55" t="str">
        <f>HYPERLINK("https://jobright.ai/jobs/info/6690b5ec1acf37e6b2481035?utm_campaign=1065&amp;utm_source=sheet", "Apply")</f>
        <v>Apply</v>
      </c>
      <c r="C1041" s="10" t="s">
        <v>14581</v>
      </c>
      <c r="D1041" s="56" t="s">
        <v>14380</v>
      </c>
      <c r="E1041" s="59">
        <v>45301.0</v>
      </c>
      <c r="F1041" s="10" t="s">
        <v>14381</v>
      </c>
      <c r="G1041" s="10" t="s">
        <v>12654</v>
      </c>
      <c r="H1041" s="10" t="s">
        <v>86</v>
      </c>
      <c r="I1041" s="10" t="s">
        <v>55</v>
      </c>
      <c r="J1041" s="10" t="s">
        <v>13437</v>
      </c>
      <c r="K1041" s="10" t="s">
        <v>14582</v>
      </c>
      <c r="L1041" s="10" t="s">
        <v>42</v>
      </c>
    </row>
    <row r="1042" ht="15.75" customHeight="1">
      <c r="A1042" s="64">
        <v>45484.0</v>
      </c>
      <c r="B1042" s="55" t="str">
        <f>HYPERLINK("https://jobright.ai/jobs/info/6690b5ec1acf37e6b2481031?utm_campaign=1065&amp;utm_source=sheet", "Apply")</f>
        <v>Apply</v>
      </c>
      <c r="C1042" s="10" t="s">
        <v>14581</v>
      </c>
      <c r="D1042" s="56" t="s">
        <v>14380</v>
      </c>
      <c r="E1042" s="59">
        <v>45301.0</v>
      </c>
      <c r="F1042" s="10" t="s">
        <v>14381</v>
      </c>
      <c r="G1042" s="10" t="s">
        <v>12654</v>
      </c>
      <c r="H1042" s="10" t="s">
        <v>912</v>
      </c>
      <c r="I1042" s="10" t="s">
        <v>55</v>
      </c>
      <c r="J1042" s="10" t="s">
        <v>13437</v>
      </c>
      <c r="K1042" s="10" t="s">
        <v>14582</v>
      </c>
      <c r="L1042" s="10" t="s">
        <v>42</v>
      </c>
    </row>
    <row r="1043" ht="15.75" customHeight="1">
      <c r="A1043" s="64">
        <v>45484.0</v>
      </c>
      <c r="B1043" s="55" t="str">
        <f>HYPERLINK("https://jobright.ai/jobs/info/6690b5e51acf37e6b2481017?utm_campaign=1065&amp;utm_source=sheet", "Apply")</f>
        <v>Apply</v>
      </c>
      <c r="C1043" s="10" t="s">
        <v>14579</v>
      </c>
      <c r="D1043" s="56" t="s">
        <v>14380</v>
      </c>
      <c r="E1043" s="59">
        <v>45301.0</v>
      </c>
      <c r="F1043" s="10" t="s">
        <v>14381</v>
      </c>
      <c r="G1043" s="10" t="s">
        <v>12654</v>
      </c>
      <c r="H1043" s="10" t="s">
        <v>434</v>
      </c>
      <c r="I1043" s="10" t="s">
        <v>55</v>
      </c>
      <c r="J1043" s="10" t="s">
        <v>13437</v>
      </c>
      <c r="K1043" s="10" t="s">
        <v>14580</v>
      </c>
      <c r="L1043" s="10" t="s">
        <v>42</v>
      </c>
    </row>
    <row r="1044" ht="15.75" customHeight="1">
      <c r="A1044" s="64">
        <v>45484.0</v>
      </c>
      <c r="B1044" s="55" t="str">
        <f>HYPERLINK("https://jobright.ai/jobs/info/6690b5e51acf37e6b248101d?utm_campaign=1065&amp;utm_source=sheet", "Apply")</f>
        <v>Apply</v>
      </c>
      <c r="C1044" s="10" t="s">
        <v>14581</v>
      </c>
      <c r="D1044" s="56" t="s">
        <v>14380</v>
      </c>
      <c r="E1044" s="59">
        <v>45301.0</v>
      </c>
      <c r="F1044" s="10" t="s">
        <v>14381</v>
      </c>
      <c r="G1044" s="10" t="s">
        <v>12654</v>
      </c>
      <c r="H1044" s="10" t="s">
        <v>827</v>
      </c>
      <c r="I1044" s="10" t="s">
        <v>55</v>
      </c>
      <c r="J1044" s="10" t="s">
        <v>13437</v>
      </c>
      <c r="K1044" s="10" t="s">
        <v>14582</v>
      </c>
      <c r="L1044" s="10" t="s">
        <v>42</v>
      </c>
    </row>
    <row r="1045" ht="15.75" customHeight="1">
      <c r="A1045" s="64">
        <v>45484.0</v>
      </c>
      <c r="B1045" s="55" t="str">
        <f>HYPERLINK("https://jobright.ai/jobs/info/6690b5ec1acf37e6b2481041?utm_campaign=1065&amp;utm_source=sheet", "Apply")</f>
        <v>Apply</v>
      </c>
      <c r="C1045" s="10" t="s">
        <v>14581</v>
      </c>
      <c r="D1045" s="56" t="s">
        <v>14380</v>
      </c>
      <c r="E1045" s="59">
        <v>45301.0</v>
      </c>
      <c r="F1045" s="10" t="s">
        <v>14381</v>
      </c>
      <c r="G1045" s="10" t="s">
        <v>12654</v>
      </c>
      <c r="H1045" s="10" t="s">
        <v>804</v>
      </c>
      <c r="I1045" s="10" t="s">
        <v>55</v>
      </c>
      <c r="J1045" s="10" t="s">
        <v>13437</v>
      </c>
      <c r="K1045" s="10" t="s">
        <v>14582</v>
      </c>
      <c r="L1045" s="10" t="s">
        <v>42</v>
      </c>
    </row>
    <row r="1046" ht="15.75" customHeight="1">
      <c r="A1046" s="64">
        <v>45484.0</v>
      </c>
      <c r="B1046" s="55" t="str">
        <f>HYPERLINK("https://jobright.ai/jobs/info/6690b5e51acf37e6b2481013?utm_campaign=1065&amp;utm_source=sheet", "Apply")</f>
        <v>Apply</v>
      </c>
      <c r="C1046" s="10" t="s">
        <v>14579</v>
      </c>
      <c r="D1046" s="56" t="s">
        <v>14380</v>
      </c>
      <c r="E1046" s="59">
        <v>45301.0</v>
      </c>
      <c r="F1046" s="10" t="s">
        <v>14381</v>
      </c>
      <c r="G1046" s="10" t="s">
        <v>12654</v>
      </c>
      <c r="H1046" s="10" t="s">
        <v>793</v>
      </c>
      <c r="I1046" s="10" t="s">
        <v>55</v>
      </c>
      <c r="J1046" s="10" t="s">
        <v>13437</v>
      </c>
      <c r="K1046" s="10" t="s">
        <v>14580</v>
      </c>
      <c r="L1046" s="10" t="s">
        <v>42</v>
      </c>
    </row>
    <row r="1047" ht="15.75" customHeight="1">
      <c r="A1047" s="64">
        <v>45484.0</v>
      </c>
      <c r="B1047" s="55" t="str">
        <f>HYPERLINK("https://jobright.ai/jobs/info/6690b5ec1acf37e6b248102c?utm_campaign=1065&amp;utm_source=sheet", "Apply")</f>
        <v>Apply</v>
      </c>
      <c r="C1047" s="10" t="s">
        <v>14581</v>
      </c>
      <c r="D1047" s="56" t="s">
        <v>14380</v>
      </c>
      <c r="E1047" s="59">
        <v>45301.0</v>
      </c>
      <c r="F1047" s="10" t="s">
        <v>14381</v>
      </c>
      <c r="G1047" s="10" t="s">
        <v>12654</v>
      </c>
      <c r="H1047" s="10" t="s">
        <v>781</v>
      </c>
      <c r="I1047" s="10" t="s">
        <v>55</v>
      </c>
      <c r="J1047" s="10" t="s">
        <v>13437</v>
      </c>
      <c r="K1047" s="10" t="s">
        <v>14582</v>
      </c>
      <c r="L1047" s="10" t="s">
        <v>42</v>
      </c>
    </row>
    <row r="1048" ht="15.75" customHeight="1">
      <c r="A1048" s="64">
        <v>45484.0</v>
      </c>
      <c r="B1048" s="55" t="str">
        <f>HYPERLINK("https://jobright.ai/jobs/info/6690b5ec1acf37e6b248105a?utm_campaign=1065&amp;utm_source=sheet", "Apply")</f>
        <v>Apply</v>
      </c>
      <c r="C1048" s="10" t="s">
        <v>14581</v>
      </c>
      <c r="D1048" s="56" t="s">
        <v>14380</v>
      </c>
      <c r="E1048" s="59">
        <v>45301.0</v>
      </c>
      <c r="F1048" s="10" t="s">
        <v>14381</v>
      </c>
      <c r="G1048" s="10" t="s">
        <v>12654</v>
      </c>
      <c r="H1048" s="10" t="s">
        <v>1014</v>
      </c>
      <c r="I1048" s="10" t="s">
        <v>55</v>
      </c>
      <c r="J1048" s="10" t="s">
        <v>13437</v>
      </c>
      <c r="K1048" s="10" t="s">
        <v>14582</v>
      </c>
      <c r="L1048" s="10" t="s">
        <v>42</v>
      </c>
    </row>
    <row r="1049" ht="15.75" customHeight="1">
      <c r="A1049" s="64">
        <v>45484.0</v>
      </c>
      <c r="B1049" s="55" t="str">
        <f>HYPERLINK("https://jobright.ai/jobs/info/6690b5ec1acf37e6b248106c?utm_campaign=1065&amp;utm_source=sheet", "Apply")</f>
        <v>Apply</v>
      </c>
      <c r="C1049" s="10" t="s">
        <v>14581</v>
      </c>
      <c r="D1049" s="56" t="s">
        <v>14380</v>
      </c>
      <c r="E1049" s="59">
        <v>45301.0</v>
      </c>
      <c r="F1049" s="10" t="s">
        <v>14381</v>
      </c>
      <c r="G1049" s="10" t="s">
        <v>12654</v>
      </c>
      <c r="H1049" s="10" t="s">
        <v>778</v>
      </c>
      <c r="I1049" s="10" t="s">
        <v>55</v>
      </c>
      <c r="J1049" s="10" t="s">
        <v>13437</v>
      </c>
      <c r="K1049" s="10" t="s">
        <v>14582</v>
      </c>
      <c r="L1049" s="10" t="s">
        <v>42</v>
      </c>
    </row>
    <row r="1050" ht="15.75" customHeight="1">
      <c r="A1050" s="64">
        <v>45484.0</v>
      </c>
      <c r="B1050" s="55" t="str">
        <f>HYPERLINK("https://jobright.ai/jobs/info/6690b5ec1acf37e6b2481047?utm_campaign=1065&amp;utm_source=sheet", "Apply")</f>
        <v>Apply</v>
      </c>
      <c r="C1050" s="10" t="s">
        <v>14581</v>
      </c>
      <c r="D1050" s="56" t="s">
        <v>14380</v>
      </c>
      <c r="E1050" s="59">
        <v>45301.0</v>
      </c>
      <c r="F1050" s="10" t="s">
        <v>14381</v>
      </c>
      <c r="G1050" s="10" t="s">
        <v>12654</v>
      </c>
      <c r="H1050" s="10" t="s">
        <v>767</v>
      </c>
      <c r="I1050" s="10" t="s">
        <v>55</v>
      </c>
      <c r="J1050" s="10" t="s">
        <v>13437</v>
      </c>
      <c r="K1050" s="10" t="s">
        <v>14582</v>
      </c>
      <c r="L1050" s="10" t="s">
        <v>42</v>
      </c>
    </row>
    <row r="1051" ht="15.75" customHeight="1">
      <c r="A1051" s="64">
        <v>45484.0</v>
      </c>
      <c r="B1051" s="55" t="str">
        <f>HYPERLINK("https://jobright.ai/jobs/info/6690b5ec1acf37e6b2481072?utm_campaign=1065&amp;utm_source=sheet", "Apply")</f>
        <v>Apply</v>
      </c>
      <c r="C1051" s="10" t="s">
        <v>14579</v>
      </c>
      <c r="D1051" s="56" t="s">
        <v>14380</v>
      </c>
      <c r="E1051" s="59">
        <v>45301.0</v>
      </c>
      <c r="F1051" s="10" t="s">
        <v>14381</v>
      </c>
      <c r="G1051" s="10" t="s">
        <v>12654</v>
      </c>
      <c r="H1051" s="10" t="s">
        <v>794</v>
      </c>
      <c r="I1051" s="10" t="s">
        <v>55</v>
      </c>
      <c r="J1051" s="10" t="s">
        <v>13437</v>
      </c>
      <c r="K1051" s="10" t="s">
        <v>14580</v>
      </c>
      <c r="L1051" s="10" t="s">
        <v>42</v>
      </c>
    </row>
    <row r="1052" ht="15.75" customHeight="1">
      <c r="A1052" s="64">
        <v>45484.0</v>
      </c>
      <c r="B1052" s="55" t="str">
        <f>HYPERLINK("https://jobright.ai/jobs/info/6690b5ec1acf37e6b2481074?utm_campaign=1065&amp;utm_source=sheet", "Apply")</f>
        <v>Apply</v>
      </c>
      <c r="C1052" s="10" t="s">
        <v>14579</v>
      </c>
      <c r="D1052" s="56" t="s">
        <v>14380</v>
      </c>
      <c r="E1052" s="59">
        <v>45301.0</v>
      </c>
      <c r="F1052" s="10" t="s">
        <v>14381</v>
      </c>
      <c r="G1052" s="10" t="s">
        <v>12654</v>
      </c>
      <c r="H1052" s="10" t="s">
        <v>607</v>
      </c>
      <c r="I1052" s="10" t="s">
        <v>55</v>
      </c>
      <c r="J1052" s="10" t="s">
        <v>13437</v>
      </c>
      <c r="K1052" s="10" t="s">
        <v>14580</v>
      </c>
      <c r="L1052" s="10" t="s">
        <v>42</v>
      </c>
    </row>
    <row r="1053" ht="15.75" customHeight="1">
      <c r="A1053" s="64">
        <v>45484.0</v>
      </c>
      <c r="B1053" s="55" t="str">
        <f>HYPERLINK("https://jobright.ai/jobs/info/6690b5ec1acf37e6b2481078?utm_campaign=1065&amp;utm_source=sheet", "Apply")</f>
        <v>Apply</v>
      </c>
      <c r="C1053" s="10" t="s">
        <v>14579</v>
      </c>
      <c r="D1053" s="56" t="s">
        <v>14380</v>
      </c>
      <c r="E1053" s="59">
        <v>45301.0</v>
      </c>
      <c r="F1053" s="10" t="s">
        <v>14381</v>
      </c>
      <c r="G1053" s="10" t="s">
        <v>12654</v>
      </c>
      <c r="H1053" s="10" t="s">
        <v>802</v>
      </c>
      <c r="I1053" s="10" t="s">
        <v>55</v>
      </c>
      <c r="J1053" s="10" t="s">
        <v>13437</v>
      </c>
      <c r="K1053" s="10" t="s">
        <v>14580</v>
      </c>
      <c r="L1053" s="10" t="s">
        <v>42</v>
      </c>
    </row>
    <row r="1054" ht="15.75" customHeight="1">
      <c r="A1054" s="64">
        <v>45484.0</v>
      </c>
      <c r="B1054" s="55" t="str">
        <f>HYPERLINK("https://jobright.ai/jobs/info/6690b5ec1acf37e6b2481058?utm_campaign=1065&amp;utm_source=sheet", "Apply")</f>
        <v>Apply</v>
      </c>
      <c r="C1054" s="10" t="s">
        <v>14579</v>
      </c>
      <c r="D1054" s="56" t="s">
        <v>14380</v>
      </c>
      <c r="E1054" s="59">
        <v>45301.0</v>
      </c>
      <c r="F1054" s="10" t="s">
        <v>14381</v>
      </c>
      <c r="G1054" s="10" t="s">
        <v>12654</v>
      </c>
      <c r="H1054" s="10" t="s">
        <v>1039</v>
      </c>
      <c r="I1054" s="10" t="s">
        <v>55</v>
      </c>
      <c r="J1054" s="10" t="s">
        <v>13437</v>
      </c>
      <c r="K1054" s="10" t="s">
        <v>14580</v>
      </c>
      <c r="L1054" s="10" t="s">
        <v>42</v>
      </c>
    </row>
    <row r="1055" ht="15.75" customHeight="1">
      <c r="A1055" s="64">
        <v>45484.0</v>
      </c>
      <c r="B1055" s="55" t="str">
        <f>HYPERLINK("https://jobright.ai/jobs/info/6690b5ec1acf37e6b2481073?utm_campaign=1065&amp;utm_source=sheet", "Apply")</f>
        <v>Apply</v>
      </c>
      <c r="C1055" s="10" t="s">
        <v>14579</v>
      </c>
      <c r="D1055" s="56" t="s">
        <v>14380</v>
      </c>
      <c r="E1055" s="59">
        <v>45301.0</v>
      </c>
      <c r="F1055" s="10" t="s">
        <v>14381</v>
      </c>
      <c r="G1055" s="10" t="s">
        <v>12654</v>
      </c>
      <c r="H1055" s="10" t="s">
        <v>911</v>
      </c>
      <c r="I1055" s="10" t="s">
        <v>55</v>
      </c>
      <c r="J1055" s="10" t="s">
        <v>13437</v>
      </c>
      <c r="K1055" s="10" t="s">
        <v>14580</v>
      </c>
      <c r="L1055" s="10" t="s">
        <v>42</v>
      </c>
    </row>
    <row r="1056" ht="15.75" customHeight="1">
      <c r="A1056" s="64">
        <v>45484.0</v>
      </c>
      <c r="B1056" s="55" t="str">
        <f>HYPERLINK("https://jobright.ai/jobs/info/6690b5ec1acf37e6b248104d?utm_campaign=1065&amp;utm_source=sheet", "Apply")</f>
        <v>Apply</v>
      </c>
      <c r="C1056" s="10" t="s">
        <v>14579</v>
      </c>
      <c r="D1056" s="56" t="s">
        <v>14380</v>
      </c>
      <c r="E1056" s="59">
        <v>45301.0</v>
      </c>
      <c r="F1056" s="10" t="s">
        <v>14381</v>
      </c>
      <c r="G1056" s="10" t="s">
        <v>12654</v>
      </c>
      <c r="H1056" s="10" t="s">
        <v>858</v>
      </c>
      <c r="I1056" s="10" t="s">
        <v>55</v>
      </c>
      <c r="J1056" s="10" t="s">
        <v>13437</v>
      </c>
      <c r="K1056" s="10" t="s">
        <v>14580</v>
      </c>
      <c r="L1056" s="10" t="s">
        <v>42</v>
      </c>
    </row>
    <row r="1057" ht="15.75" customHeight="1">
      <c r="A1057" s="64">
        <v>45484.0</v>
      </c>
      <c r="B1057" s="55" t="str">
        <f>HYPERLINK("https://jobright.ai/jobs/info/6690b5ec1acf37e6b2481079?utm_campaign=1065&amp;utm_source=sheet", "Apply")</f>
        <v>Apply</v>
      </c>
      <c r="C1057" s="10" t="s">
        <v>14579</v>
      </c>
      <c r="D1057" s="56" t="s">
        <v>14380</v>
      </c>
      <c r="E1057" s="59">
        <v>45301.0</v>
      </c>
      <c r="F1057" s="10" t="s">
        <v>14381</v>
      </c>
      <c r="G1057" s="10" t="s">
        <v>12654</v>
      </c>
      <c r="H1057" s="10" t="s">
        <v>628</v>
      </c>
      <c r="I1057" s="10" t="s">
        <v>55</v>
      </c>
      <c r="J1057" s="10" t="s">
        <v>13437</v>
      </c>
      <c r="K1057" s="10" t="s">
        <v>14580</v>
      </c>
      <c r="L1057" s="10" t="s">
        <v>42</v>
      </c>
    </row>
    <row r="1058" ht="15.75" customHeight="1">
      <c r="A1058" s="64">
        <v>45484.0</v>
      </c>
      <c r="B1058" s="55" t="str">
        <f>HYPERLINK("https://jobright.ai/jobs/info/6690b5ec1acf37e6b2481050?utm_campaign=1065&amp;utm_source=sheet", "Apply")</f>
        <v>Apply</v>
      </c>
      <c r="C1058" s="10" t="s">
        <v>14581</v>
      </c>
      <c r="D1058" s="56" t="s">
        <v>14380</v>
      </c>
      <c r="E1058" s="59">
        <v>45301.0</v>
      </c>
      <c r="F1058" s="10" t="s">
        <v>14381</v>
      </c>
      <c r="G1058" s="10" t="s">
        <v>12654</v>
      </c>
      <c r="H1058" s="10" t="s">
        <v>1038</v>
      </c>
      <c r="I1058" s="10" t="s">
        <v>55</v>
      </c>
      <c r="J1058" s="10" t="s">
        <v>13437</v>
      </c>
      <c r="K1058" s="10" t="s">
        <v>14582</v>
      </c>
      <c r="L1058" s="10" t="s">
        <v>42</v>
      </c>
    </row>
    <row r="1059" ht="15.75" customHeight="1">
      <c r="A1059" s="64">
        <v>45484.0</v>
      </c>
      <c r="B1059" s="55" t="str">
        <f>HYPERLINK("https://jobright.ai/jobs/info/6690b5ec1acf37e6b248105d?utm_campaign=1065&amp;utm_source=sheet", "Apply")</f>
        <v>Apply</v>
      </c>
      <c r="C1059" s="10" t="s">
        <v>14579</v>
      </c>
      <c r="D1059" s="56" t="s">
        <v>14380</v>
      </c>
      <c r="E1059" s="59">
        <v>45301.0</v>
      </c>
      <c r="F1059" s="10" t="s">
        <v>14381</v>
      </c>
      <c r="G1059" s="10" t="s">
        <v>12654</v>
      </c>
      <c r="H1059" s="10" t="s">
        <v>995</v>
      </c>
      <c r="I1059" s="10" t="s">
        <v>55</v>
      </c>
      <c r="J1059" s="10" t="s">
        <v>13437</v>
      </c>
      <c r="K1059" s="10" t="s">
        <v>14580</v>
      </c>
      <c r="L1059" s="10" t="s">
        <v>42</v>
      </c>
    </row>
    <row r="1060" ht="15.75" customHeight="1">
      <c r="A1060" s="64">
        <v>45484.0</v>
      </c>
      <c r="B1060" s="55" t="str">
        <f>HYPERLINK("https://jobright.ai/jobs/info/6690b5ec1acf37e6b2481062?utm_campaign=1065&amp;utm_source=sheet", "Apply")</f>
        <v>Apply</v>
      </c>
      <c r="C1060" s="10" t="s">
        <v>14581</v>
      </c>
      <c r="D1060" s="56" t="s">
        <v>14380</v>
      </c>
      <c r="E1060" s="59">
        <v>45301.0</v>
      </c>
      <c r="F1060" s="10" t="s">
        <v>14381</v>
      </c>
      <c r="G1060" s="10" t="s">
        <v>12654</v>
      </c>
      <c r="H1060" s="10" t="s">
        <v>935</v>
      </c>
      <c r="I1060" s="10" t="s">
        <v>55</v>
      </c>
      <c r="J1060" s="10" t="s">
        <v>13437</v>
      </c>
      <c r="K1060" s="10" t="s">
        <v>14582</v>
      </c>
      <c r="L1060" s="10" t="s">
        <v>42</v>
      </c>
    </row>
    <row r="1061" ht="15.75" customHeight="1">
      <c r="A1061" s="64">
        <v>45484.0</v>
      </c>
      <c r="B1061" s="55" t="str">
        <f>HYPERLINK("https://jobright.ai/jobs/info/6690b5ec1acf37e6b2481083?utm_campaign=1065&amp;utm_source=sheet", "Apply")</f>
        <v>Apply</v>
      </c>
      <c r="C1061" s="10" t="s">
        <v>14579</v>
      </c>
      <c r="D1061" s="56" t="s">
        <v>14380</v>
      </c>
      <c r="E1061" s="59">
        <v>45301.0</v>
      </c>
      <c r="F1061" s="10" t="s">
        <v>14381</v>
      </c>
      <c r="G1061" s="10" t="s">
        <v>12654</v>
      </c>
      <c r="H1061" s="10" t="s">
        <v>819</v>
      </c>
      <c r="I1061" s="10" t="s">
        <v>55</v>
      </c>
      <c r="J1061" s="10" t="s">
        <v>13437</v>
      </c>
      <c r="K1061" s="10" t="s">
        <v>14580</v>
      </c>
      <c r="L1061" s="10" t="s">
        <v>42</v>
      </c>
    </row>
    <row r="1062" ht="15.75" customHeight="1">
      <c r="A1062" s="64">
        <v>45484.0</v>
      </c>
      <c r="B1062" s="55" t="str">
        <f>HYPERLINK("https://jobright.ai/jobs/info/6690b5ec1acf37e6b2481099?utm_campaign=1065&amp;utm_source=sheet", "Apply")</f>
        <v>Apply</v>
      </c>
      <c r="C1062" s="10" t="s">
        <v>14579</v>
      </c>
      <c r="D1062" s="56" t="s">
        <v>14380</v>
      </c>
      <c r="E1062" s="59">
        <v>45301.0</v>
      </c>
      <c r="F1062" s="10" t="s">
        <v>14381</v>
      </c>
      <c r="G1062" s="10" t="s">
        <v>12654</v>
      </c>
      <c r="H1062" s="10" t="s">
        <v>799</v>
      </c>
      <c r="I1062" s="10" t="s">
        <v>55</v>
      </c>
      <c r="J1062" s="10" t="s">
        <v>13437</v>
      </c>
      <c r="K1062" s="10" t="s">
        <v>14580</v>
      </c>
      <c r="L1062" s="10" t="s">
        <v>42</v>
      </c>
    </row>
    <row r="1063" ht="15.75" customHeight="1">
      <c r="A1063" s="64">
        <v>45484.0</v>
      </c>
      <c r="B1063" s="55" t="str">
        <f>HYPERLINK("https://jobright.ai/jobs/info/6690b5ec1acf37e6b24810ae?utm_campaign=1065&amp;utm_source=sheet", "Apply")</f>
        <v>Apply</v>
      </c>
      <c r="C1063" s="10" t="s">
        <v>14581</v>
      </c>
      <c r="D1063" s="56" t="s">
        <v>14380</v>
      </c>
      <c r="E1063" s="59">
        <v>45301.0</v>
      </c>
      <c r="F1063" s="10" t="s">
        <v>14381</v>
      </c>
      <c r="G1063" s="10" t="s">
        <v>12654</v>
      </c>
      <c r="H1063" s="10" t="s">
        <v>919</v>
      </c>
      <c r="I1063" s="10" t="s">
        <v>55</v>
      </c>
      <c r="J1063" s="10" t="s">
        <v>13437</v>
      </c>
      <c r="K1063" s="10" t="s">
        <v>14582</v>
      </c>
      <c r="L1063" s="10" t="s">
        <v>42</v>
      </c>
    </row>
    <row r="1064" ht="15.75" customHeight="1">
      <c r="A1064" s="64">
        <v>45484.0</v>
      </c>
      <c r="B1064" s="55" t="str">
        <f>HYPERLINK("https://jobright.ai/jobs/info/6690b5ec1acf37e6b248109f?utm_campaign=1065&amp;utm_source=sheet", "Apply")</f>
        <v>Apply</v>
      </c>
      <c r="C1064" s="10" t="s">
        <v>14581</v>
      </c>
      <c r="D1064" s="56" t="s">
        <v>14380</v>
      </c>
      <c r="E1064" s="59">
        <v>45301.0</v>
      </c>
      <c r="F1064" s="10" t="s">
        <v>14381</v>
      </c>
      <c r="G1064" s="10" t="s">
        <v>12654</v>
      </c>
      <c r="H1064" s="10" t="s">
        <v>807</v>
      </c>
      <c r="I1064" s="10" t="s">
        <v>55</v>
      </c>
      <c r="J1064" s="10" t="s">
        <v>13437</v>
      </c>
      <c r="K1064" s="10" t="s">
        <v>14582</v>
      </c>
      <c r="L1064" s="10" t="s">
        <v>42</v>
      </c>
    </row>
    <row r="1065" ht="15.75" customHeight="1">
      <c r="A1065" s="64">
        <v>45484.0</v>
      </c>
      <c r="B1065" s="55" t="str">
        <f>HYPERLINK("https://jobright.ai/jobs/info/6690b5ec1acf37e6b24810ab?utm_campaign=1065&amp;utm_source=sheet", "Apply")</f>
        <v>Apply</v>
      </c>
      <c r="C1065" s="10" t="s">
        <v>14581</v>
      </c>
      <c r="D1065" s="56" t="s">
        <v>14380</v>
      </c>
      <c r="E1065" s="59">
        <v>45301.0</v>
      </c>
      <c r="F1065" s="10" t="s">
        <v>14381</v>
      </c>
      <c r="G1065" s="10" t="s">
        <v>12654</v>
      </c>
      <c r="H1065" s="10" t="s">
        <v>961</v>
      </c>
      <c r="I1065" s="10" t="s">
        <v>55</v>
      </c>
      <c r="J1065" s="10" t="s">
        <v>13437</v>
      </c>
      <c r="K1065" s="10" t="s">
        <v>14582</v>
      </c>
      <c r="L1065" s="10" t="s">
        <v>42</v>
      </c>
    </row>
    <row r="1066" ht="15.75" customHeight="1">
      <c r="A1066" s="64">
        <v>45484.0</v>
      </c>
      <c r="B1066" s="55" t="str">
        <f>HYPERLINK("https://jobright.ai/jobs/info/6690b5ec1acf37e6b24810ba?utm_campaign=1065&amp;utm_source=sheet", "Apply")</f>
        <v>Apply</v>
      </c>
      <c r="C1066" s="10" t="s">
        <v>14579</v>
      </c>
      <c r="D1066" s="56" t="s">
        <v>14380</v>
      </c>
      <c r="E1066" s="59">
        <v>45301.0</v>
      </c>
      <c r="F1066" s="10" t="s">
        <v>14381</v>
      </c>
      <c r="G1066" s="10" t="s">
        <v>12654</v>
      </c>
      <c r="H1066" s="10" t="s">
        <v>423</v>
      </c>
      <c r="I1066" s="10" t="s">
        <v>55</v>
      </c>
      <c r="J1066" s="10" t="s">
        <v>13437</v>
      </c>
      <c r="K1066" s="10" t="s">
        <v>14580</v>
      </c>
      <c r="L1066" s="10" t="s">
        <v>42</v>
      </c>
    </row>
    <row r="1067" ht="15.75" customHeight="1">
      <c r="A1067" s="64">
        <v>45484.0</v>
      </c>
      <c r="B1067" s="55" t="str">
        <f>HYPERLINK("https://jobright.ai/jobs/info/6690b5ec1acf37e6b24810b2?utm_campaign=1065&amp;utm_source=sheet", "Apply")</f>
        <v>Apply</v>
      </c>
      <c r="C1067" s="10" t="s">
        <v>14581</v>
      </c>
      <c r="D1067" s="56" t="s">
        <v>14380</v>
      </c>
      <c r="E1067" s="59">
        <v>45301.0</v>
      </c>
      <c r="F1067" s="10" t="s">
        <v>14381</v>
      </c>
      <c r="G1067" s="10" t="s">
        <v>12654</v>
      </c>
      <c r="H1067" s="10" t="s">
        <v>969</v>
      </c>
      <c r="I1067" s="10" t="s">
        <v>55</v>
      </c>
      <c r="J1067" s="10" t="s">
        <v>13437</v>
      </c>
      <c r="K1067" s="10" t="s">
        <v>14582</v>
      </c>
      <c r="L1067" s="10" t="s">
        <v>42</v>
      </c>
    </row>
    <row r="1068" ht="15.75" customHeight="1">
      <c r="A1068" s="64">
        <v>45484.0</v>
      </c>
      <c r="B1068" s="55" t="str">
        <f>HYPERLINK("https://jobright.ai/jobs/info/6690b5ec1acf37e6b24810b0?utm_campaign=1065&amp;utm_source=sheet", "Apply")</f>
        <v>Apply</v>
      </c>
      <c r="C1068" s="10" t="s">
        <v>14581</v>
      </c>
      <c r="D1068" s="56" t="s">
        <v>14380</v>
      </c>
      <c r="E1068" s="59">
        <v>45301.0</v>
      </c>
      <c r="F1068" s="10" t="s">
        <v>14381</v>
      </c>
      <c r="G1068" s="10" t="s">
        <v>12654</v>
      </c>
      <c r="H1068" s="10" t="s">
        <v>923</v>
      </c>
      <c r="I1068" s="10" t="s">
        <v>55</v>
      </c>
      <c r="J1068" s="10" t="s">
        <v>13437</v>
      </c>
      <c r="K1068" s="10" t="s">
        <v>14582</v>
      </c>
      <c r="L1068" s="10" t="s">
        <v>42</v>
      </c>
    </row>
    <row r="1069" ht="15.75" customHeight="1">
      <c r="A1069" s="64">
        <v>45484.0</v>
      </c>
      <c r="B1069" s="55" t="str">
        <f>HYPERLINK("https://jobright.ai/jobs/info/6690b5ec1acf37e6b24810c5?utm_campaign=1065&amp;utm_source=sheet", "Apply")</f>
        <v>Apply</v>
      </c>
      <c r="C1069" s="10" t="s">
        <v>14581</v>
      </c>
      <c r="D1069" s="56" t="s">
        <v>14380</v>
      </c>
      <c r="E1069" s="59">
        <v>45301.0</v>
      </c>
      <c r="F1069" s="10" t="s">
        <v>14381</v>
      </c>
      <c r="G1069" s="10" t="s">
        <v>12654</v>
      </c>
      <c r="H1069" s="10" t="s">
        <v>902</v>
      </c>
      <c r="I1069" s="10" t="s">
        <v>55</v>
      </c>
      <c r="J1069" s="10" t="s">
        <v>13437</v>
      </c>
      <c r="K1069" s="10" t="s">
        <v>14582</v>
      </c>
      <c r="L1069" s="10" t="s">
        <v>42</v>
      </c>
    </row>
    <row r="1070" ht="15.75" customHeight="1">
      <c r="A1070" s="64">
        <v>45484.0</v>
      </c>
      <c r="B1070" s="55" t="str">
        <f>HYPERLINK("https://jobright.ai/jobs/info/6690b5ec1acf37e6b24810d4?utm_campaign=1065&amp;utm_source=sheet", "Apply")</f>
        <v>Apply</v>
      </c>
      <c r="C1070" s="10" t="s">
        <v>14581</v>
      </c>
      <c r="D1070" s="56" t="s">
        <v>14380</v>
      </c>
      <c r="E1070" s="59">
        <v>45301.0</v>
      </c>
      <c r="F1070" s="10" t="s">
        <v>14381</v>
      </c>
      <c r="G1070" s="10" t="s">
        <v>12654</v>
      </c>
      <c r="H1070" s="10" t="s">
        <v>828</v>
      </c>
      <c r="I1070" s="10" t="s">
        <v>55</v>
      </c>
      <c r="J1070" s="10" t="s">
        <v>13437</v>
      </c>
      <c r="K1070" s="10" t="s">
        <v>14582</v>
      </c>
      <c r="L1070" s="10" t="s">
        <v>42</v>
      </c>
    </row>
    <row r="1071" ht="15.75" customHeight="1">
      <c r="A1071" s="64">
        <v>45484.0</v>
      </c>
      <c r="B1071" s="55" t="str">
        <f>HYPERLINK("https://jobright.ai/jobs/info/6690b5f41acf37e6b24810f7?utm_campaign=1065&amp;utm_source=sheet", "Apply")</f>
        <v>Apply</v>
      </c>
      <c r="C1071" s="10" t="s">
        <v>14581</v>
      </c>
      <c r="D1071" s="56" t="s">
        <v>14380</v>
      </c>
      <c r="E1071" s="59">
        <v>45301.0</v>
      </c>
      <c r="F1071" s="10" t="s">
        <v>14381</v>
      </c>
      <c r="G1071" s="10" t="s">
        <v>12654</v>
      </c>
      <c r="H1071" s="10" t="s">
        <v>1051</v>
      </c>
      <c r="I1071" s="10" t="s">
        <v>55</v>
      </c>
      <c r="J1071" s="10" t="s">
        <v>13437</v>
      </c>
      <c r="K1071" s="10" t="s">
        <v>14582</v>
      </c>
      <c r="L1071" s="10" t="s">
        <v>42</v>
      </c>
    </row>
    <row r="1072" ht="15.75" customHeight="1">
      <c r="A1072" s="64">
        <v>45484.0</v>
      </c>
      <c r="B1072" s="55" t="str">
        <f>HYPERLINK("https://jobright.ai/jobs/info/6690b5f41acf37e6b24810f3?utm_campaign=1065&amp;utm_source=sheet", "Apply")</f>
        <v>Apply</v>
      </c>
      <c r="C1072" s="10" t="s">
        <v>14581</v>
      </c>
      <c r="D1072" s="56" t="s">
        <v>14380</v>
      </c>
      <c r="E1072" s="59">
        <v>45301.0</v>
      </c>
      <c r="F1072" s="10" t="s">
        <v>14381</v>
      </c>
      <c r="G1072" s="10" t="s">
        <v>12654</v>
      </c>
      <c r="H1072" s="10" t="s">
        <v>153</v>
      </c>
      <c r="I1072" s="10" t="s">
        <v>55</v>
      </c>
      <c r="J1072" s="10" t="s">
        <v>13437</v>
      </c>
      <c r="K1072" s="10" t="s">
        <v>14582</v>
      </c>
      <c r="L1072" s="10" t="s">
        <v>42</v>
      </c>
    </row>
    <row r="1073" ht="15.75" customHeight="1">
      <c r="A1073" s="64">
        <v>45484.0</v>
      </c>
      <c r="B1073" s="55" t="str">
        <f>HYPERLINK("https://jobright.ai/jobs/info/6690b5ec1acf37e6b24810ef?utm_campaign=1065&amp;utm_source=sheet", "Apply")</f>
        <v>Apply</v>
      </c>
      <c r="C1073" s="10" t="s">
        <v>14581</v>
      </c>
      <c r="D1073" s="56" t="s">
        <v>14380</v>
      </c>
      <c r="E1073" s="59">
        <v>45301.0</v>
      </c>
      <c r="F1073" s="10" t="s">
        <v>14381</v>
      </c>
      <c r="G1073" s="10" t="s">
        <v>12654</v>
      </c>
      <c r="H1073" s="10" t="s">
        <v>1008</v>
      </c>
      <c r="I1073" s="10" t="s">
        <v>55</v>
      </c>
      <c r="J1073" s="10" t="s">
        <v>13437</v>
      </c>
      <c r="K1073" s="10" t="s">
        <v>14582</v>
      </c>
      <c r="L1073" s="10" t="s">
        <v>42</v>
      </c>
    </row>
    <row r="1074" ht="15.75" customHeight="1">
      <c r="A1074" s="64">
        <v>45484.0</v>
      </c>
      <c r="B1074" s="55" t="str">
        <f>HYPERLINK("https://jobright.ai/jobs/info/6690b5f41acf37e6b24810fc?utm_campaign=1065&amp;utm_source=sheet", "Apply")</f>
        <v>Apply</v>
      </c>
      <c r="C1074" s="10" t="s">
        <v>14579</v>
      </c>
      <c r="D1074" s="56" t="s">
        <v>14380</v>
      </c>
      <c r="E1074" s="59">
        <v>45301.0</v>
      </c>
      <c r="F1074" s="10" t="s">
        <v>14381</v>
      </c>
      <c r="G1074" s="10" t="s">
        <v>12654</v>
      </c>
      <c r="H1074" s="10" t="s">
        <v>936</v>
      </c>
      <c r="I1074" s="10" t="s">
        <v>55</v>
      </c>
      <c r="J1074" s="10" t="s">
        <v>13437</v>
      </c>
      <c r="K1074" s="10" t="s">
        <v>14580</v>
      </c>
      <c r="L1074" s="10" t="s">
        <v>42</v>
      </c>
    </row>
    <row r="1075" ht="15.75" customHeight="1">
      <c r="A1075" s="64">
        <v>45484.0</v>
      </c>
      <c r="B1075" s="55" t="str">
        <f>HYPERLINK("https://jobright.ai/jobs/info/6690b5f41acf37e6b24810f8?utm_campaign=1065&amp;utm_source=sheet", "Apply")</f>
        <v>Apply</v>
      </c>
      <c r="C1075" s="10" t="s">
        <v>14581</v>
      </c>
      <c r="D1075" s="56" t="s">
        <v>14380</v>
      </c>
      <c r="E1075" s="59">
        <v>45301.0</v>
      </c>
      <c r="F1075" s="10" t="s">
        <v>14381</v>
      </c>
      <c r="G1075" s="10" t="s">
        <v>12654</v>
      </c>
      <c r="H1075" s="10" t="s">
        <v>1021</v>
      </c>
      <c r="I1075" s="10" t="s">
        <v>55</v>
      </c>
      <c r="J1075" s="10" t="s">
        <v>13437</v>
      </c>
      <c r="K1075" s="10" t="s">
        <v>14582</v>
      </c>
      <c r="L1075" s="10" t="s">
        <v>42</v>
      </c>
    </row>
    <row r="1076" ht="15.75" customHeight="1">
      <c r="A1076" s="64">
        <v>45484.0</v>
      </c>
      <c r="B1076" s="55" t="str">
        <f>HYPERLINK("https://jobright.ai/jobs/info/6690b5f41acf37e6b24810ff?utm_campaign=1065&amp;utm_source=sheet", "Apply")</f>
        <v>Apply</v>
      </c>
      <c r="C1076" s="10" t="s">
        <v>14581</v>
      </c>
      <c r="D1076" s="56" t="s">
        <v>14380</v>
      </c>
      <c r="E1076" s="59">
        <v>45301.0</v>
      </c>
      <c r="F1076" s="10" t="s">
        <v>14381</v>
      </c>
      <c r="G1076" s="10" t="s">
        <v>12654</v>
      </c>
      <c r="H1076" s="10" t="s">
        <v>1039</v>
      </c>
      <c r="I1076" s="10" t="s">
        <v>55</v>
      </c>
      <c r="J1076" s="10" t="s">
        <v>13437</v>
      </c>
      <c r="K1076" s="10" t="s">
        <v>14582</v>
      </c>
      <c r="L1076" s="10" t="s">
        <v>42</v>
      </c>
    </row>
    <row r="1077" ht="15.75" customHeight="1">
      <c r="A1077" s="64">
        <v>45484.0</v>
      </c>
      <c r="B1077" s="55" t="str">
        <f>HYPERLINK("https://jobright.ai/jobs/info/6690b5f41acf37e6b2481100?utm_campaign=1065&amp;utm_source=sheet", "Apply")</f>
        <v>Apply</v>
      </c>
      <c r="C1077" s="10" t="s">
        <v>14581</v>
      </c>
      <c r="D1077" s="56" t="s">
        <v>14380</v>
      </c>
      <c r="E1077" s="59">
        <v>45301.0</v>
      </c>
      <c r="F1077" s="10" t="s">
        <v>14381</v>
      </c>
      <c r="G1077" s="10" t="s">
        <v>12654</v>
      </c>
      <c r="H1077" s="10" t="s">
        <v>861</v>
      </c>
      <c r="I1077" s="10" t="s">
        <v>55</v>
      </c>
      <c r="J1077" s="10" t="s">
        <v>13437</v>
      </c>
      <c r="K1077" s="10" t="s">
        <v>14582</v>
      </c>
      <c r="L1077" s="10" t="s">
        <v>42</v>
      </c>
    </row>
    <row r="1078" ht="15.75" customHeight="1">
      <c r="A1078" s="64">
        <v>45484.0</v>
      </c>
      <c r="B1078" s="55" t="str">
        <f>HYPERLINK("https://jobright.ai/jobs/info/6690b5f41acf37e6b2481141?utm_campaign=1065&amp;utm_source=sheet", "Apply")</f>
        <v>Apply</v>
      </c>
      <c r="C1078" s="10" t="s">
        <v>14581</v>
      </c>
      <c r="D1078" s="56" t="s">
        <v>14380</v>
      </c>
      <c r="E1078" s="59">
        <v>45301.0</v>
      </c>
      <c r="F1078" s="10" t="s">
        <v>14381</v>
      </c>
      <c r="G1078" s="10" t="s">
        <v>12654</v>
      </c>
      <c r="H1078" s="10" t="s">
        <v>867</v>
      </c>
      <c r="I1078" s="10" t="s">
        <v>55</v>
      </c>
      <c r="J1078" s="10" t="s">
        <v>13437</v>
      </c>
      <c r="K1078" s="10" t="s">
        <v>14582</v>
      </c>
      <c r="L1078" s="10" t="s">
        <v>42</v>
      </c>
    </row>
    <row r="1079" ht="15.75" customHeight="1">
      <c r="A1079" s="64">
        <v>45484.0</v>
      </c>
      <c r="B1079" s="55" t="str">
        <f>HYPERLINK("https://jobright.ai/jobs/info/6690b5f41acf37e6b2481166?utm_campaign=1065&amp;utm_source=sheet", "Apply")</f>
        <v>Apply</v>
      </c>
      <c r="C1079" s="10" t="s">
        <v>14581</v>
      </c>
      <c r="D1079" s="56" t="s">
        <v>14380</v>
      </c>
      <c r="E1079" s="59">
        <v>45301.0</v>
      </c>
      <c r="F1079" s="10" t="s">
        <v>14381</v>
      </c>
      <c r="G1079" s="10" t="s">
        <v>12654</v>
      </c>
      <c r="H1079" s="10" t="s">
        <v>776</v>
      </c>
      <c r="I1079" s="10" t="s">
        <v>55</v>
      </c>
      <c r="J1079" s="10" t="s">
        <v>13437</v>
      </c>
      <c r="K1079" s="10" t="s">
        <v>14582</v>
      </c>
      <c r="L1079" s="10" t="s">
        <v>42</v>
      </c>
    </row>
    <row r="1080" ht="15.75" customHeight="1">
      <c r="A1080" s="64">
        <v>45484.0</v>
      </c>
      <c r="B1080" s="55" t="str">
        <f>HYPERLINK("https://jobright.ai/jobs/info/6690b5f41acf37e6b2481132?utm_campaign=1065&amp;utm_source=sheet", "Apply")</f>
        <v>Apply</v>
      </c>
      <c r="C1080" s="10" t="s">
        <v>14579</v>
      </c>
      <c r="D1080" s="56" t="s">
        <v>14380</v>
      </c>
      <c r="E1080" s="59">
        <v>45301.0</v>
      </c>
      <c r="F1080" s="10" t="s">
        <v>14381</v>
      </c>
      <c r="G1080" s="10" t="s">
        <v>12654</v>
      </c>
      <c r="H1080" s="10" t="s">
        <v>798</v>
      </c>
      <c r="I1080" s="10" t="s">
        <v>55</v>
      </c>
      <c r="J1080" s="10" t="s">
        <v>13437</v>
      </c>
      <c r="K1080" s="10" t="s">
        <v>14580</v>
      </c>
      <c r="L1080" s="10" t="s">
        <v>42</v>
      </c>
    </row>
    <row r="1081" ht="15.75" customHeight="1">
      <c r="A1081" s="64">
        <v>45484.0</v>
      </c>
      <c r="B1081" s="55" t="str">
        <f>HYPERLINK("https://jobright.ai/jobs/info/6690b5f41acf37e6b248115d?utm_campaign=1065&amp;utm_source=sheet", "Apply")</f>
        <v>Apply</v>
      </c>
      <c r="C1081" s="10" t="s">
        <v>14579</v>
      </c>
      <c r="D1081" s="56" t="s">
        <v>14380</v>
      </c>
      <c r="E1081" s="59">
        <v>45301.0</v>
      </c>
      <c r="F1081" s="10" t="s">
        <v>14381</v>
      </c>
      <c r="G1081" s="10" t="s">
        <v>12654</v>
      </c>
      <c r="H1081" s="10" t="s">
        <v>882</v>
      </c>
      <c r="I1081" s="10" t="s">
        <v>55</v>
      </c>
      <c r="J1081" s="10" t="s">
        <v>13437</v>
      </c>
      <c r="K1081" s="10" t="s">
        <v>14580</v>
      </c>
      <c r="L1081" s="10" t="s">
        <v>42</v>
      </c>
    </row>
    <row r="1082" ht="15.75" customHeight="1">
      <c r="A1082" s="64">
        <v>45484.0</v>
      </c>
      <c r="B1082" s="55" t="str">
        <f>HYPERLINK("https://jobright.ai/jobs/info/6690b5f41acf37e6b248115f?utm_campaign=1065&amp;utm_source=sheet", "Apply")</f>
        <v>Apply</v>
      </c>
      <c r="C1082" s="10" t="s">
        <v>14579</v>
      </c>
      <c r="D1082" s="56" t="s">
        <v>14380</v>
      </c>
      <c r="E1082" s="59">
        <v>45301.0</v>
      </c>
      <c r="F1082" s="10" t="s">
        <v>14381</v>
      </c>
      <c r="G1082" s="10" t="s">
        <v>12654</v>
      </c>
      <c r="H1082" s="10" t="s">
        <v>856</v>
      </c>
      <c r="I1082" s="10" t="s">
        <v>55</v>
      </c>
      <c r="J1082" s="10" t="s">
        <v>13437</v>
      </c>
      <c r="K1082" s="10" t="s">
        <v>14580</v>
      </c>
      <c r="L1082" s="10" t="s">
        <v>42</v>
      </c>
    </row>
    <row r="1083" ht="15.75" customHeight="1">
      <c r="A1083" s="64">
        <v>45484.0</v>
      </c>
      <c r="B1083" s="55" t="str">
        <f>HYPERLINK("https://jobright.ai/jobs/info/6690b5f41acf37e6b2481134?utm_campaign=1065&amp;utm_source=sheet", "Apply")</f>
        <v>Apply</v>
      </c>
      <c r="C1083" s="10" t="s">
        <v>14581</v>
      </c>
      <c r="D1083" s="56" t="s">
        <v>14380</v>
      </c>
      <c r="E1083" s="59">
        <v>45301.0</v>
      </c>
      <c r="F1083" s="10" t="s">
        <v>14381</v>
      </c>
      <c r="G1083" s="10" t="s">
        <v>12654</v>
      </c>
      <c r="H1083" s="10" t="s">
        <v>1036</v>
      </c>
      <c r="I1083" s="10" t="s">
        <v>55</v>
      </c>
      <c r="J1083" s="10" t="s">
        <v>13437</v>
      </c>
      <c r="K1083" s="10" t="s">
        <v>14582</v>
      </c>
      <c r="L1083" s="10" t="s">
        <v>42</v>
      </c>
    </row>
    <row r="1084" ht="15.75" customHeight="1">
      <c r="A1084" s="64">
        <v>45484.0</v>
      </c>
      <c r="B1084" s="55" t="str">
        <f>HYPERLINK("https://jobright.ai/jobs/info/6690b5f41acf37e6b248112e?utm_campaign=1065&amp;utm_source=sheet", "Apply")</f>
        <v>Apply</v>
      </c>
      <c r="C1084" s="10" t="s">
        <v>14581</v>
      </c>
      <c r="D1084" s="56" t="s">
        <v>14380</v>
      </c>
      <c r="E1084" s="59">
        <v>45301.0</v>
      </c>
      <c r="F1084" s="10" t="s">
        <v>14381</v>
      </c>
      <c r="G1084" s="10" t="s">
        <v>12654</v>
      </c>
      <c r="H1084" s="10" t="s">
        <v>982</v>
      </c>
      <c r="I1084" s="10" t="s">
        <v>55</v>
      </c>
      <c r="J1084" s="10" t="s">
        <v>13437</v>
      </c>
      <c r="K1084" s="10" t="s">
        <v>14582</v>
      </c>
      <c r="L1084" s="10" t="s">
        <v>42</v>
      </c>
    </row>
    <row r="1085" ht="15.75" customHeight="1">
      <c r="A1085" s="64">
        <v>45484.0</v>
      </c>
      <c r="B1085" s="55" t="str">
        <f>HYPERLINK("https://jobright.ai/jobs/info/6690b5f41acf37e6b2481135?utm_campaign=1065&amp;utm_source=sheet", "Apply")</f>
        <v>Apply</v>
      </c>
      <c r="C1085" s="10" t="s">
        <v>14579</v>
      </c>
      <c r="D1085" s="56" t="s">
        <v>14380</v>
      </c>
      <c r="E1085" s="59">
        <v>45301.0</v>
      </c>
      <c r="F1085" s="10" t="s">
        <v>14381</v>
      </c>
      <c r="G1085" s="10" t="s">
        <v>12654</v>
      </c>
      <c r="H1085" s="10" t="s">
        <v>895</v>
      </c>
      <c r="I1085" s="10" t="s">
        <v>55</v>
      </c>
      <c r="J1085" s="10" t="s">
        <v>13437</v>
      </c>
      <c r="K1085" s="10" t="s">
        <v>14580</v>
      </c>
      <c r="L1085" s="10" t="s">
        <v>42</v>
      </c>
    </row>
    <row r="1086" ht="15.75" customHeight="1">
      <c r="A1086" s="64">
        <v>45484.0</v>
      </c>
      <c r="B1086" s="55" t="str">
        <f>HYPERLINK("https://jobright.ai/jobs/info/6690b5f41acf37e6b248114a?utm_campaign=1065&amp;utm_source=sheet", "Apply")</f>
        <v>Apply</v>
      </c>
      <c r="C1086" s="10" t="s">
        <v>14581</v>
      </c>
      <c r="D1086" s="56" t="s">
        <v>14380</v>
      </c>
      <c r="E1086" s="59">
        <v>45301.0</v>
      </c>
      <c r="F1086" s="10" t="s">
        <v>14381</v>
      </c>
      <c r="G1086" s="10" t="s">
        <v>12654</v>
      </c>
      <c r="H1086" s="10" t="s">
        <v>411</v>
      </c>
      <c r="I1086" s="10" t="s">
        <v>55</v>
      </c>
      <c r="J1086" s="10" t="s">
        <v>13437</v>
      </c>
      <c r="K1086" s="10" t="s">
        <v>14582</v>
      </c>
      <c r="L1086" s="10" t="s">
        <v>42</v>
      </c>
    </row>
    <row r="1087" ht="15.75" customHeight="1">
      <c r="A1087" s="64">
        <v>45484.0</v>
      </c>
      <c r="B1087" s="55" t="str">
        <f>HYPERLINK("https://jobright.ai/jobs/info/6690b5f41acf37e6b2481168?utm_campaign=1065&amp;utm_source=sheet", "Apply")</f>
        <v>Apply</v>
      </c>
      <c r="C1087" s="10" t="s">
        <v>14579</v>
      </c>
      <c r="D1087" s="56" t="s">
        <v>14380</v>
      </c>
      <c r="E1087" s="59">
        <v>45301.0</v>
      </c>
      <c r="F1087" s="10" t="s">
        <v>14381</v>
      </c>
      <c r="G1087" s="10" t="s">
        <v>12654</v>
      </c>
      <c r="H1087" s="10" t="s">
        <v>813</v>
      </c>
      <c r="I1087" s="10" t="s">
        <v>55</v>
      </c>
      <c r="J1087" s="10" t="s">
        <v>13437</v>
      </c>
      <c r="K1087" s="10" t="s">
        <v>14580</v>
      </c>
      <c r="L1087" s="10" t="s">
        <v>42</v>
      </c>
    </row>
    <row r="1088" ht="15.75" customHeight="1">
      <c r="A1088" s="64">
        <v>45484.0</v>
      </c>
      <c r="B1088" s="55" t="str">
        <f>HYPERLINK("https://jobright.ai/jobs/info/6690b5f41acf37e6b248118b?utm_campaign=1065&amp;utm_source=sheet", "Apply")</f>
        <v>Apply</v>
      </c>
      <c r="C1088" s="10" t="s">
        <v>14581</v>
      </c>
      <c r="D1088" s="56" t="s">
        <v>14380</v>
      </c>
      <c r="E1088" s="59">
        <v>45301.0</v>
      </c>
      <c r="F1088" s="10" t="s">
        <v>14381</v>
      </c>
      <c r="G1088" s="10" t="s">
        <v>12654</v>
      </c>
      <c r="H1088" s="10" t="s">
        <v>167</v>
      </c>
      <c r="I1088" s="10" t="s">
        <v>55</v>
      </c>
      <c r="J1088" s="10" t="s">
        <v>13437</v>
      </c>
      <c r="K1088" s="10" t="s">
        <v>14582</v>
      </c>
      <c r="L1088" s="10" t="s">
        <v>42</v>
      </c>
    </row>
    <row r="1089" ht="15.75" customHeight="1">
      <c r="A1089" s="64">
        <v>45484.0</v>
      </c>
      <c r="B1089" s="55" t="str">
        <f>HYPERLINK("https://jobright.ai/jobs/info/6690b5f41acf37e6b2481175?utm_campaign=1065&amp;utm_source=sheet", "Apply")</f>
        <v>Apply</v>
      </c>
      <c r="C1089" s="10" t="s">
        <v>14579</v>
      </c>
      <c r="D1089" s="56" t="s">
        <v>14380</v>
      </c>
      <c r="E1089" s="59">
        <v>45301.0</v>
      </c>
      <c r="F1089" s="10" t="s">
        <v>14381</v>
      </c>
      <c r="G1089" s="10" t="s">
        <v>12654</v>
      </c>
      <c r="H1089" s="10" t="s">
        <v>861</v>
      </c>
      <c r="I1089" s="10" t="s">
        <v>55</v>
      </c>
      <c r="J1089" s="10" t="s">
        <v>13437</v>
      </c>
      <c r="K1089" s="10" t="s">
        <v>14580</v>
      </c>
      <c r="L1089" s="10" t="s">
        <v>42</v>
      </c>
    </row>
    <row r="1090" ht="15.75" customHeight="1">
      <c r="A1090" s="64">
        <v>45484.0</v>
      </c>
      <c r="B1090" s="55" t="str">
        <f>HYPERLINK("https://jobright.ai/jobs/info/6690b5f41acf37e6b2481192?utm_campaign=1065&amp;utm_source=sheet", "Apply")</f>
        <v>Apply</v>
      </c>
      <c r="C1090" s="10" t="s">
        <v>14581</v>
      </c>
      <c r="D1090" s="56" t="s">
        <v>14380</v>
      </c>
      <c r="E1090" s="59">
        <v>45301.0</v>
      </c>
      <c r="F1090" s="10" t="s">
        <v>14381</v>
      </c>
      <c r="G1090" s="10" t="s">
        <v>12654</v>
      </c>
      <c r="H1090" s="10" t="s">
        <v>794</v>
      </c>
      <c r="I1090" s="10" t="s">
        <v>55</v>
      </c>
      <c r="J1090" s="10" t="s">
        <v>13437</v>
      </c>
      <c r="K1090" s="10" t="s">
        <v>14582</v>
      </c>
      <c r="L1090" s="10" t="s">
        <v>42</v>
      </c>
    </row>
    <row r="1091" ht="15.75" customHeight="1">
      <c r="A1091" s="64">
        <v>45484.0</v>
      </c>
      <c r="B1091" s="55" t="str">
        <f>HYPERLINK("https://jobright.ai/jobs/info/6690b5f41acf37e6b24811b1?utm_campaign=1065&amp;utm_source=sheet", "Apply")</f>
        <v>Apply</v>
      </c>
      <c r="C1091" s="10" t="s">
        <v>14581</v>
      </c>
      <c r="D1091" s="56" t="s">
        <v>14380</v>
      </c>
      <c r="E1091" s="59">
        <v>45301.0</v>
      </c>
      <c r="F1091" s="10" t="s">
        <v>14381</v>
      </c>
      <c r="G1091" s="10" t="s">
        <v>12654</v>
      </c>
      <c r="H1091" s="10" t="s">
        <v>1023</v>
      </c>
      <c r="I1091" s="10" t="s">
        <v>55</v>
      </c>
      <c r="J1091" s="10" t="s">
        <v>13437</v>
      </c>
      <c r="K1091" s="10" t="s">
        <v>14582</v>
      </c>
      <c r="L1091" s="10" t="s">
        <v>42</v>
      </c>
    </row>
    <row r="1092" ht="15.75" customHeight="1">
      <c r="A1092" s="64">
        <v>45484.0</v>
      </c>
      <c r="B1092" s="55" t="str">
        <f>HYPERLINK("https://jobright.ai/jobs/info/6690b5fc1acf37e6b24811e9?utm_campaign=1065&amp;utm_source=sheet", "Apply")</f>
        <v>Apply</v>
      </c>
      <c r="C1092" s="10" t="s">
        <v>14581</v>
      </c>
      <c r="D1092" s="56" t="s">
        <v>14380</v>
      </c>
      <c r="E1092" s="59">
        <v>45301.0</v>
      </c>
      <c r="F1092" s="10" t="s">
        <v>14381</v>
      </c>
      <c r="G1092" s="10" t="s">
        <v>12654</v>
      </c>
      <c r="H1092" s="10" t="s">
        <v>229</v>
      </c>
      <c r="I1092" s="10" t="s">
        <v>55</v>
      </c>
      <c r="J1092" s="10" t="s">
        <v>13437</v>
      </c>
      <c r="K1092" s="10" t="s">
        <v>14582</v>
      </c>
      <c r="L1092" s="10" t="s">
        <v>42</v>
      </c>
    </row>
    <row r="1093" ht="15.75" customHeight="1">
      <c r="A1093" s="64">
        <v>45484.0</v>
      </c>
      <c r="B1093" s="55" t="str">
        <f>HYPERLINK("https://jobright.ai/jobs/info/6690b5fc1acf37e6b24811e4?utm_campaign=1065&amp;utm_source=sheet", "Apply")</f>
        <v>Apply</v>
      </c>
      <c r="C1093" s="10" t="s">
        <v>14581</v>
      </c>
      <c r="D1093" s="56" t="s">
        <v>14380</v>
      </c>
      <c r="E1093" s="59">
        <v>45301.0</v>
      </c>
      <c r="F1093" s="10" t="s">
        <v>14381</v>
      </c>
      <c r="G1093" s="10" t="s">
        <v>12654</v>
      </c>
      <c r="H1093" s="10" t="s">
        <v>981</v>
      </c>
      <c r="I1093" s="10" t="s">
        <v>55</v>
      </c>
      <c r="J1093" s="10" t="s">
        <v>13437</v>
      </c>
      <c r="K1093" s="10" t="s">
        <v>14582</v>
      </c>
      <c r="L1093" s="10" t="s">
        <v>42</v>
      </c>
    </row>
    <row r="1094" ht="15.75" customHeight="1">
      <c r="A1094" s="64">
        <v>45484.0</v>
      </c>
      <c r="B1094" s="55" t="str">
        <f>HYPERLINK("https://jobright.ai/jobs/info/6690b5f41acf37e6b24811b3?utm_campaign=1065&amp;utm_source=sheet", "Apply")</f>
        <v>Apply</v>
      </c>
      <c r="C1094" s="10" t="s">
        <v>14581</v>
      </c>
      <c r="D1094" s="56" t="s">
        <v>14380</v>
      </c>
      <c r="E1094" s="59">
        <v>45301.0</v>
      </c>
      <c r="F1094" s="10" t="s">
        <v>14381</v>
      </c>
      <c r="G1094" s="10" t="s">
        <v>12654</v>
      </c>
      <c r="H1094" s="10" t="s">
        <v>945</v>
      </c>
      <c r="I1094" s="10" t="s">
        <v>55</v>
      </c>
      <c r="J1094" s="10" t="s">
        <v>13437</v>
      </c>
      <c r="K1094" s="10" t="s">
        <v>14582</v>
      </c>
      <c r="L1094" s="10" t="s">
        <v>42</v>
      </c>
    </row>
    <row r="1095" ht="15.75" customHeight="1">
      <c r="A1095" s="64">
        <v>45484.0</v>
      </c>
      <c r="B1095" s="55" t="str">
        <f>HYPERLINK("https://jobright.ai/jobs/info/6690b5fc1acf37e6b24811e1?utm_campaign=1065&amp;utm_source=sheet", "Apply")</f>
        <v>Apply</v>
      </c>
      <c r="C1095" s="10" t="s">
        <v>14579</v>
      </c>
      <c r="D1095" s="56" t="s">
        <v>14380</v>
      </c>
      <c r="E1095" s="59">
        <v>45301.0</v>
      </c>
      <c r="F1095" s="10" t="s">
        <v>14381</v>
      </c>
      <c r="G1095" s="10" t="s">
        <v>12654</v>
      </c>
      <c r="H1095" s="10" t="s">
        <v>1035</v>
      </c>
      <c r="I1095" s="10" t="s">
        <v>55</v>
      </c>
      <c r="J1095" s="10" t="s">
        <v>13437</v>
      </c>
      <c r="K1095" s="10" t="s">
        <v>14580</v>
      </c>
      <c r="L1095" s="10" t="s">
        <v>42</v>
      </c>
    </row>
    <row r="1096" ht="15.75" customHeight="1">
      <c r="A1096" s="64">
        <v>45484.0</v>
      </c>
      <c r="B1096" s="55" t="str">
        <f>HYPERLINK("https://jobright.ai/jobs/info/6690b5fc1acf37e6b24811df?utm_campaign=1065&amp;utm_source=sheet", "Apply")</f>
        <v>Apply</v>
      </c>
      <c r="C1096" s="10" t="s">
        <v>14581</v>
      </c>
      <c r="D1096" s="56" t="s">
        <v>14380</v>
      </c>
      <c r="E1096" s="59">
        <v>45301.0</v>
      </c>
      <c r="F1096" s="10" t="s">
        <v>14381</v>
      </c>
      <c r="G1096" s="10" t="s">
        <v>12654</v>
      </c>
      <c r="H1096" s="10" t="s">
        <v>891</v>
      </c>
      <c r="I1096" s="10" t="s">
        <v>55</v>
      </c>
      <c r="J1096" s="10" t="s">
        <v>13437</v>
      </c>
      <c r="K1096" s="10" t="s">
        <v>14582</v>
      </c>
      <c r="L1096" s="10" t="s">
        <v>42</v>
      </c>
    </row>
    <row r="1097" ht="15.75" customHeight="1">
      <c r="A1097" s="64">
        <v>45484.0</v>
      </c>
      <c r="B1097" s="55" t="str">
        <f>HYPERLINK("https://jobright.ai/jobs/info/6690b5f41acf37e6b24811b7?utm_campaign=1065&amp;utm_source=sheet", "Apply")</f>
        <v>Apply</v>
      </c>
      <c r="C1097" s="10" t="s">
        <v>14581</v>
      </c>
      <c r="D1097" s="56" t="s">
        <v>14380</v>
      </c>
      <c r="E1097" s="59">
        <v>45301.0</v>
      </c>
      <c r="F1097" s="10" t="s">
        <v>14381</v>
      </c>
      <c r="G1097" s="10" t="s">
        <v>12654</v>
      </c>
      <c r="H1097" s="10" t="s">
        <v>991</v>
      </c>
      <c r="I1097" s="10" t="s">
        <v>55</v>
      </c>
      <c r="J1097" s="10" t="s">
        <v>13437</v>
      </c>
      <c r="K1097" s="10" t="s">
        <v>14582</v>
      </c>
      <c r="L1097" s="10" t="s">
        <v>42</v>
      </c>
    </row>
    <row r="1098" ht="15.75" customHeight="1">
      <c r="A1098" s="64">
        <v>45484.0</v>
      </c>
      <c r="B1098" s="55" t="str">
        <f>HYPERLINK("https://jobright.ai/jobs/info/6690b5f41acf37e6b24811b0?utm_campaign=1065&amp;utm_source=sheet", "Apply")</f>
        <v>Apply</v>
      </c>
      <c r="C1098" s="10" t="s">
        <v>14581</v>
      </c>
      <c r="D1098" s="56" t="s">
        <v>14380</v>
      </c>
      <c r="E1098" s="59">
        <v>45301.0</v>
      </c>
      <c r="F1098" s="10" t="s">
        <v>14381</v>
      </c>
      <c r="G1098" s="10" t="s">
        <v>12654</v>
      </c>
      <c r="H1098" s="10" t="s">
        <v>989</v>
      </c>
      <c r="I1098" s="10" t="s">
        <v>55</v>
      </c>
      <c r="J1098" s="10" t="s">
        <v>13437</v>
      </c>
      <c r="K1098" s="10" t="s">
        <v>14582</v>
      </c>
      <c r="L1098" s="10" t="s">
        <v>42</v>
      </c>
    </row>
    <row r="1099" ht="15.75" customHeight="1">
      <c r="A1099" s="64">
        <v>45484.0</v>
      </c>
      <c r="B1099" s="55" t="str">
        <f>HYPERLINK("https://jobright.ai/jobs/info/6690b5fc1acf37e6b2481221?utm_campaign=1065&amp;utm_source=sheet", "Apply")</f>
        <v>Apply</v>
      </c>
      <c r="C1099" s="10" t="s">
        <v>14581</v>
      </c>
      <c r="D1099" s="56" t="s">
        <v>14380</v>
      </c>
      <c r="E1099" s="59">
        <v>45301.0</v>
      </c>
      <c r="F1099" s="10" t="s">
        <v>14381</v>
      </c>
      <c r="G1099" s="10" t="s">
        <v>12654</v>
      </c>
      <c r="H1099" s="10" t="s">
        <v>863</v>
      </c>
      <c r="I1099" s="10" t="s">
        <v>55</v>
      </c>
      <c r="J1099" s="10" t="s">
        <v>13437</v>
      </c>
      <c r="K1099" s="10" t="s">
        <v>14582</v>
      </c>
      <c r="L1099" s="10" t="s">
        <v>42</v>
      </c>
    </row>
    <row r="1100" ht="15.75" customHeight="1">
      <c r="A1100" s="64">
        <v>45484.0</v>
      </c>
      <c r="B1100" s="55" t="str">
        <f>HYPERLINK("https://jobright.ai/jobs/info/6690b5fc1acf37e6b24811f1?utm_campaign=1065&amp;utm_source=sheet", "Apply")</f>
        <v>Apply</v>
      </c>
      <c r="C1100" s="10" t="s">
        <v>14581</v>
      </c>
      <c r="D1100" s="56" t="s">
        <v>14380</v>
      </c>
      <c r="E1100" s="59">
        <v>45301.0</v>
      </c>
      <c r="F1100" s="10" t="s">
        <v>14381</v>
      </c>
      <c r="G1100" s="10" t="s">
        <v>12654</v>
      </c>
      <c r="H1100" s="10" t="s">
        <v>777</v>
      </c>
      <c r="I1100" s="10" t="s">
        <v>55</v>
      </c>
      <c r="J1100" s="10" t="s">
        <v>13437</v>
      </c>
      <c r="K1100" s="10" t="s">
        <v>14582</v>
      </c>
      <c r="L1100" s="10" t="s">
        <v>42</v>
      </c>
    </row>
    <row r="1101" ht="15.75" customHeight="1">
      <c r="A1101" s="64">
        <v>45484.0</v>
      </c>
      <c r="B1101" s="55" t="str">
        <f>HYPERLINK("https://jobright.ai/jobs/info/6690b5fc1acf37e6b2481214?utm_campaign=1065&amp;utm_source=sheet", "Apply")</f>
        <v>Apply</v>
      </c>
      <c r="C1101" s="10" t="s">
        <v>14581</v>
      </c>
      <c r="D1101" s="56" t="s">
        <v>14380</v>
      </c>
      <c r="E1101" s="59">
        <v>45301.0</v>
      </c>
      <c r="F1101" s="10" t="s">
        <v>14381</v>
      </c>
      <c r="G1101" s="10" t="s">
        <v>12654</v>
      </c>
      <c r="H1101" s="10" t="s">
        <v>918</v>
      </c>
      <c r="I1101" s="10" t="s">
        <v>55</v>
      </c>
      <c r="J1101" s="10" t="s">
        <v>13437</v>
      </c>
      <c r="K1101" s="10" t="s">
        <v>14582</v>
      </c>
      <c r="L1101" s="10" t="s">
        <v>42</v>
      </c>
    </row>
    <row r="1102" ht="15.75" customHeight="1">
      <c r="A1102" s="64">
        <v>45484.0</v>
      </c>
      <c r="B1102" s="55" t="str">
        <f>HYPERLINK("https://jobright.ai/jobs/info/6690b5fc1acf37e6b24811f6?utm_campaign=1065&amp;utm_source=sheet", "Apply")</f>
        <v>Apply</v>
      </c>
      <c r="C1102" s="10" t="s">
        <v>14579</v>
      </c>
      <c r="D1102" s="56" t="s">
        <v>14380</v>
      </c>
      <c r="E1102" s="59">
        <v>45301.0</v>
      </c>
      <c r="F1102" s="10" t="s">
        <v>14381</v>
      </c>
      <c r="G1102" s="10" t="s">
        <v>12654</v>
      </c>
      <c r="H1102" s="10" t="s">
        <v>808</v>
      </c>
      <c r="I1102" s="10" t="s">
        <v>55</v>
      </c>
      <c r="J1102" s="10" t="s">
        <v>13437</v>
      </c>
      <c r="K1102" s="10" t="s">
        <v>14580</v>
      </c>
      <c r="L1102" s="10" t="s">
        <v>42</v>
      </c>
    </row>
    <row r="1103" ht="15.75" customHeight="1">
      <c r="A1103" s="64">
        <v>45484.0</v>
      </c>
      <c r="B1103" s="55" t="str">
        <f>HYPERLINK("https://jobright.ai/jobs/info/6690b5fc1acf37e6b2481206?utm_campaign=1065&amp;utm_source=sheet", "Apply")</f>
        <v>Apply</v>
      </c>
      <c r="C1103" s="10" t="s">
        <v>14579</v>
      </c>
      <c r="D1103" s="56" t="s">
        <v>14380</v>
      </c>
      <c r="E1103" s="59">
        <v>45301.0</v>
      </c>
      <c r="F1103" s="10" t="s">
        <v>14381</v>
      </c>
      <c r="G1103" s="10" t="s">
        <v>12654</v>
      </c>
      <c r="H1103" s="10" t="s">
        <v>1010</v>
      </c>
      <c r="I1103" s="10" t="s">
        <v>55</v>
      </c>
      <c r="J1103" s="10" t="s">
        <v>13437</v>
      </c>
      <c r="K1103" s="10" t="s">
        <v>14580</v>
      </c>
      <c r="L1103" s="10" t="s">
        <v>42</v>
      </c>
    </row>
    <row r="1104" ht="15.75" customHeight="1">
      <c r="A1104" s="64">
        <v>45484.0</v>
      </c>
      <c r="B1104" s="55" t="str">
        <f>HYPERLINK("https://jobright.ai/jobs/info/6690b5fc1acf37e6b248121b?utm_campaign=1065&amp;utm_source=sheet", "Apply")</f>
        <v>Apply</v>
      </c>
      <c r="C1104" s="10" t="s">
        <v>14581</v>
      </c>
      <c r="D1104" s="56" t="s">
        <v>14380</v>
      </c>
      <c r="E1104" s="59">
        <v>45301.0</v>
      </c>
      <c r="F1104" s="10" t="s">
        <v>14381</v>
      </c>
      <c r="G1104" s="10" t="s">
        <v>12654</v>
      </c>
      <c r="H1104" s="10" t="s">
        <v>959</v>
      </c>
      <c r="I1104" s="10" t="s">
        <v>55</v>
      </c>
      <c r="J1104" s="10" t="s">
        <v>13437</v>
      </c>
      <c r="K1104" s="10" t="s">
        <v>14582</v>
      </c>
      <c r="L1104" s="10" t="s">
        <v>42</v>
      </c>
    </row>
    <row r="1105" ht="15.75" customHeight="1">
      <c r="A1105" s="64">
        <v>45484.0</v>
      </c>
      <c r="B1105" s="55" t="str">
        <f>HYPERLINK("https://jobright.ai/jobs/info/6690b5fc1acf37e6b2481209?utm_campaign=1065&amp;utm_source=sheet", "Apply")</f>
        <v>Apply</v>
      </c>
      <c r="C1105" s="10" t="s">
        <v>14581</v>
      </c>
      <c r="D1105" s="56" t="s">
        <v>14380</v>
      </c>
      <c r="E1105" s="59">
        <v>45301.0</v>
      </c>
      <c r="F1105" s="10" t="s">
        <v>14381</v>
      </c>
      <c r="G1105" s="10" t="s">
        <v>12654</v>
      </c>
      <c r="H1105" s="10" t="s">
        <v>963</v>
      </c>
      <c r="I1105" s="10" t="s">
        <v>55</v>
      </c>
      <c r="J1105" s="10" t="s">
        <v>13437</v>
      </c>
      <c r="K1105" s="10" t="s">
        <v>14582</v>
      </c>
      <c r="L1105" s="10" t="s">
        <v>42</v>
      </c>
    </row>
    <row r="1106" ht="15.75" customHeight="1">
      <c r="A1106" s="64">
        <v>45484.0</v>
      </c>
      <c r="B1106" s="55" t="str">
        <f>HYPERLINK("https://jobright.ai/jobs/info/6690b5fc1acf37e6b248121e?utm_campaign=1065&amp;utm_source=sheet", "Apply")</f>
        <v>Apply</v>
      </c>
      <c r="C1106" s="10" t="s">
        <v>14579</v>
      </c>
      <c r="D1106" s="56" t="s">
        <v>14380</v>
      </c>
      <c r="E1106" s="59">
        <v>45301.0</v>
      </c>
      <c r="F1106" s="10" t="s">
        <v>14381</v>
      </c>
      <c r="G1106" s="10" t="s">
        <v>12654</v>
      </c>
      <c r="H1106" s="10" t="s">
        <v>900</v>
      </c>
      <c r="I1106" s="10" t="s">
        <v>55</v>
      </c>
      <c r="J1106" s="10" t="s">
        <v>13437</v>
      </c>
      <c r="K1106" s="10" t="s">
        <v>14580</v>
      </c>
      <c r="L1106" s="10" t="s">
        <v>42</v>
      </c>
    </row>
    <row r="1107" ht="15.75" customHeight="1">
      <c r="A1107" s="64">
        <v>45484.0</v>
      </c>
      <c r="B1107" s="55" t="str">
        <f>HYPERLINK("https://jobright.ai/jobs/info/6690b5fc1acf37e6b2481244?utm_campaign=1065&amp;utm_source=sheet", "Apply")</f>
        <v>Apply</v>
      </c>
      <c r="C1107" s="10" t="s">
        <v>14581</v>
      </c>
      <c r="D1107" s="56" t="s">
        <v>14380</v>
      </c>
      <c r="E1107" s="59">
        <v>45301.0</v>
      </c>
      <c r="F1107" s="10" t="s">
        <v>14381</v>
      </c>
      <c r="G1107" s="10" t="s">
        <v>12654</v>
      </c>
      <c r="H1107" s="10" t="s">
        <v>971</v>
      </c>
      <c r="I1107" s="10" t="s">
        <v>55</v>
      </c>
      <c r="J1107" s="10" t="s">
        <v>13437</v>
      </c>
      <c r="K1107" s="10" t="s">
        <v>14582</v>
      </c>
      <c r="L1107" s="10" t="s">
        <v>42</v>
      </c>
    </row>
    <row r="1108" ht="15.75" customHeight="1">
      <c r="A1108" s="64">
        <v>45484.0</v>
      </c>
      <c r="B1108" s="55" t="str">
        <f>HYPERLINK("https://jobright.ai/jobs/info/6690b5fc1acf37e6b248123e?utm_campaign=1065&amp;utm_source=sheet", "Apply")</f>
        <v>Apply</v>
      </c>
      <c r="C1108" s="10" t="s">
        <v>14581</v>
      </c>
      <c r="D1108" s="56" t="s">
        <v>14380</v>
      </c>
      <c r="E1108" s="59">
        <v>45301.0</v>
      </c>
      <c r="F1108" s="10" t="s">
        <v>14381</v>
      </c>
      <c r="G1108" s="10" t="s">
        <v>12654</v>
      </c>
      <c r="H1108" s="10" t="s">
        <v>108</v>
      </c>
      <c r="I1108" s="10" t="s">
        <v>55</v>
      </c>
      <c r="J1108" s="10" t="s">
        <v>13437</v>
      </c>
      <c r="K1108" s="10" t="s">
        <v>14582</v>
      </c>
      <c r="L1108" s="10" t="s">
        <v>42</v>
      </c>
    </row>
    <row r="1109" ht="15.75" customHeight="1">
      <c r="A1109" s="64">
        <v>45484.0</v>
      </c>
      <c r="B1109" s="55" t="str">
        <f>HYPERLINK("https://jobright.ai/jobs/info/6690b5fc1acf37e6b248122f?utm_campaign=1065&amp;utm_source=sheet", "Apply")</f>
        <v>Apply</v>
      </c>
      <c r="C1109" s="10" t="s">
        <v>14581</v>
      </c>
      <c r="D1109" s="56" t="s">
        <v>14380</v>
      </c>
      <c r="E1109" s="59">
        <v>45301.0</v>
      </c>
      <c r="F1109" s="10" t="s">
        <v>14381</v>
      </c>
      <c r="G1109" s="10" t="s">
        <v>12654</v>
      </c>
      <c r="H1109" s="10" t="s">
        <v>1012</v>
      </c>
      <c r="I1109" s="10" t="s">
        <v>55</v>
      </c>
      <c r="J1109" s="10" t="s">
        <v>13437</v>
      </c>
      <c r="K1109" s="10" t="s">
        <v>14582</v>
      </c>
      <c r="L1109" s="10" t="s">
        <v>42</v>
      </c>
    </row>
    <row r="1110" ht="15.75" customHeight="1">
      <c r="A1110" s="64">
        <v>45484.0</v>
      </c>
      <c r="B1110" s="55" t="str">
        <f>HYPERLINK("https://jobright.ai/jobs/info/6690b5fc1acf37e6b248124b?utm_campaign=1065&amp;utm_source=sheet", "Apply")</f>
        <v>Apply</v>
      </c>
      <c r="C1110" s="10" t="s">
        <v>14579</v>
      </c>
      <c r="D1110" s="56" t="s">
        <v>14380</v>
      </c>
      <c r="E1110" s="59">
        <v>45301.0</v>
      </c>
      <c r="F1110" s="10" t="s">
        <v>14381</v>
      </c>
      <c r="G1110" s="10" t="s">
        <v>12654</v>
      </c>
      <c r="H1110" s="10" t="s">
        <v>1024</v>
      </c>
      <c r="I1110" s="10" t="s">
        <v>55</v>
      </c>
      <c r="J1110" s="10" t="s">
        <v>13437</v>
      </c>
      <c r="K1110" s="10" t="s">
        <v>14580</v>
      </c>
      <c r="L1110" s="10" t="s">
        <v>42</v>
      </c>
    </row>
    <row r="1111" ht="15.75" customHeight="1">
      <c r="A1111" s="64">
        <v>45484.0</v>
      </c>
      <c r="B1111" s="55" t="str">
        <f>HYPERLINK("https://jobright.ai/jobs/info/6690b5fc1acf37e6b2481231?utm_campaign=1065&amp;utm_source=sheet", "Apply")</f>
        <v>Apply</v>
      </c>
      <c r="C1111" s="10" t="s">
        <v>14581</v>
      </c>
      <c r="D1111" s="56" t="s">
        <v>14380</v>
      </c>
      <c r="E1111" s="59">
        <v>45301.0</v>
      </c>
      <c r="F1111" s="10" t="s">
        <v>14381</v>
      </c>
      <c r="G1111" s="10" t="s">
        <v>12654</v>
      </c>
      <c r="H1111" s="10" t="s">
        <v>763</v>
      </c>
      <c r="I1111" s="10" t="s">
        <v>55</v>
      </c>
      <c r="J1111" s="10" t="s">
        <v>13437</v>
      </c>
      <c r="K1111" s="10" t="s">
        <v>14582</v>
      </c>
      <c r="L1111" s="10" t="s">
        <v>42</v>
      </c>
    </row>
    <row r="1112" ht="15.75" customHeight="1">
      <c r="A1112" s="64">
        <v>45484.0</v>
      </c>
      <c r="B1112" s="55" t="str">
        <f>HYPERLINK("https://jobright.ai/jobs/info/6690b5fc1acf37e6b2481236?utm_campaign=1065&amp;utm_source=sheet", "Apply")</f>
        <v>Apply</v>
      </c>
      <c r="C1112" s="10" t="s">
        <v>14581</v>
      </c>
      <c r="D1112" s="56" t="s">
        <v>14380</v>
      </c>
      <c r="E1112" s="59">
        <v>45301.0</v>
      </c>
      <c r="F1112" s="10" t="s">
        <v>14381</v>
      </c>
      <c r="G1112" s="10" t="s">
        <v>12654</v>
      </c>
      <c r="H1112" s="10" t="s">
        <v>245</v>
      </c>
      <c r="I1112" s="10" t="s">
        <v>55</v>
      </c>
      <c r="J1112" s="10" t="s">
        <v>13437</v>
      </c>
      <c r="K1112" s="10" t="s">
        <v>14582</v>
      </c>
      <c r="L1112" s="10" t="s">
        <v>42</v>
      </c>
    </row>
    <row r="1113" ht="15.75" customHeight="1">
      <c r="A1113" s="64">
        <v>45484.0</v>
      </c>
      <c r="B1113" s="55" t="str">
        <f>HYPERLINK("https://jobright.ai/jobs/info/6690b5fc1acf37e6b2481251?utm_campaign=1065&amp;utm_source=sheet", "Apply")</f>
        <v>Apply</v>
      </c>
      <c r="C1113" s="10" t="s">
        <v>14581</v>
      </c>
      <c r="D1113" s="56" t="s">
        <v>14380</v>
      </c>
      <c r="E1113" s="59">
        <v>45301.0</v>
      </c>
      <c r="F1113" s="10" t="s">
        <v>14381</v>
      </c>
      <c r="G1113" s="10" t="s">
        <v>12654</v>
      </c>
      <c r="H1113" s="10" t="s">
        <v>903</v>
      </c>
      <c r="I1113" s="10" t="s">
        <v>55</v>
      </c>
      <c r="J1113" s="10" t="s">
        <v>13437</v>
      </c>
      <c r="K1113" s="10" t="s">
        <v>14582</v>
      </c>
      <c r="L1113" s="10" t="s">
        <v>42</v>
      </c>
    </row>
    <row r="1114" ht="15.75" customHeight="1">
      <c r="A1114" s="64">
        <v>45484.0</v>
      </c>
      <c r="B1114" s="55" t="str">
        <f>HYPERLINK("https://jobright.ai/jobs/info/6690b5fc1acf37e6b2481255?utm_campaign=1065&amp;utm_source=sheet", "Apply")</f>
        <v>Apply</v>
      </c>
      <c r="C1114" s="10" t="s">
        <v>14581</v>
      </c>
      <c r="D1114" s="56" t="s">
        <v>14380</v>
      </c>
      <c r="E1114" s="59">
        <v>45301.0</v>
      </c>
      <c r="F1114" s="10" t="s">
        <v>14381</v>
      </c>
      <c r="G1114" s="10" t="s">
        <v>12654</v>
      </c>
      <c r="H1114" s="10" t="s">
        <v>7690</v>
      </c>
      <c r="I1114" s="10" t="s">
        <v>55</v>
      </c>
      <c r="J1114" s="10" t="s">
        <v>13437</v>
      </c>
      <c r="K1114" s="10" t="s">
        <v>14582</v>
      </c>
      <c r="L1114" s="10" t="s">
        <v>42</v>
      </c>
    </row>
    <row r="1115" ht="15.75" customHeight="1">
      <c r="A1115" s="64">
        <v>45484.0</v>
      </c>
      <c r="B1115" s="55" t="str">
        <f>HYPERLINK("https://jobright.ai/jobs/info/6690b5fc1acf37e6b248125d?utm_campaign=1065&amp;utm_source=sheet", "Apply")</f>
        <v>Apply</v>
      </c>
      <c r="C1115" s="10" t="s">
        <v>14581</v>
      </c>
      <c r="D1115" s="56" t="s">
        <v>14380</v>
      </c>
      <c r="E1115" s="59">
        <v>45301.0</v>
      </c>
      <c r="F1115" s="10" t="s">
        <v>14381</v>
      </c>
      <c r="G1115" s="10" t="s">
        <v>12654</v>
      </c>
      <c r="H1115" s="10" t="s">
        <v>757</v>
      </c>
      <c r="I1115" s="10" t="s">
        <v>55</v>
      </c>
      <c r="J1115" s="10" t="s">
        <v>13437</v>
      </c>
      <c r="K1115" s="10" t="s">
        <v>14582</v>
      </c>
      <c r="L1115" s="10" t="s">
        <v>42</v>
      </c>
    </row>
    <row r="1116" ht="15.75" customHeight="1">
      <c r="A1116" s="64">
        <v>45484.0</v>
      </c>
      <c r="B1116" s="55" t="str">
        <f>HYPERLINK("https://jobright.ai/jobs/info/6690b5fc1acf37e6b2481252?utm_campaign=1065&amp;utm_source=sheet", "Apply")</f>
        <v>Apply</v>
      </c>
      <c r="C1116" s="10" t="s">
        <v>14579</v>
      </c>
      <c r="D1116" s="56" t="s">
        <v>14380</v>
      </c>
      <c r="E1116" s="59">
        <v>45301.0</v>
      </c>
      <c r="F1116" s="10" t="s">
        <v>14381</v>
      </c>
      <c r="G1116" s="10" t="s">
        <v>12654</v>
      </c>
      <c r="H1116" s="10" t="s">
        <v>797</v>
      </c>
      <c r="I1116" s="10" t="s">
        <v>55</v>
      </c>
      <c r="J1116" s="10" t="s">
        <v>13437</v>
      </c>
      <c r="K1116" s="10" t="s">
        <v>14580</v>
      </c>
      <c r="L1116" s="10" t="s">
        <v>42</v>
      </c>
    </row>
    <row r="1117" ht="15.75" customHeight="1">
      <c r="A1117" s="64">
        <v>45484.0</v>
      </c>
      <c r="B1117" s="55" t="str">
        <f>HYPERLINK("https://jobright.ai/jobs/info/6690b5fc1acf37e6b248126a?utm_campaign=1065&amp;utm_source=sheet", "Apply")</f>
        <v>Apply</v>
      </c>
      <c r="C1117" s="10" t="s">
        <v>14581</v>
      </c>
      <c r="D1117" s="56" t="s">
        <v>14380</v>
      </c>
      <c r="E1117" s="59">
        <v>45301.0</v>
      </c>
      <c r="F1117" s="10" t="s">
        <v>14381</v>
      </c>
      <c r="G1117" s="10" t="s">
        <v>12654</v>
      </c>
      <c r="H1117" s="10" t="s">
        <v>921</v>
      </c>
      <c r="I1117" s="10" t="s">
        <v>55</v>
      </c>
      <c r="J1117" s="10" t="s">
        <v>13437</v>
      </c>
      <c r="K1117" s="10" t="s">
        <v>14582</v>
      </c>
      <c r="L1117" s="10" t="s">
        <v>42</v>
      </c>
    </row>
    <row r="1118" ht="15.75" customHeight="1">
      <c r="A1118" s="64">
        <v>45484.0</v>
      </c>
      <c r="B1118" s="55" t="str">
        <f>HYPERLINK("https://jobright.ai/jobs/info/6690b5fc1acf37e6b2481274?utm_campaign=1065&amp;utm_source=sheet", "Apply")</f>
        <v>Apply</v>
      </c>
      <c r="C1118" s="10" t="s">
        <v>14579</v>
      </c>
      <c r="D1118" s="56" t="s">
        <v>14380</v>
      </c>
      <c r="E1118" s="59">
        <v>45301.0</v>
      </c>
      <c r="F1118" s="10" t="s">
        <v>14381</v>
      </c>
      <c r="G1118" s="10" t="s">
        <v>12654</v>
      </c>
      <c r="H1118" s="10" t="s">
        <v>809</v>
      </c>
      <c r="I1118" s="10" t="s">
        <v>55</v>
      </c>
      <c r="J1118" s="10" t="s">
        <v>13437</v>
      </c>
      <c r="K1118" s="10" t="s">
        <v>14580</v>
      </c>
      <c r="L1118" s="10" t="s">
        <v>42</v>
      </c>
    </row>
    <row r="1119" ht="15.75" customHeight="1">
      <c r="A1119" s="64">
        <v>45484.0</v>
      </c>
      <c r="B1119" s="55" t="str">
        <f>HYPERLINK("https://jobright.ai/jobs/info/6690b5fc1acf37e6b2481277?utm_campaign=1065&amp;utm_source=sheet", "Apply")</f>
        <v>Apply</v>
      </c>
      <c r="C1119" s="10" t="s">
        <v>14579</v>
      </c>
      <c r="D1119" s="56" t="s">
        <v>14380</v>
      </c>
      <c r="E1119" s="59">
        <v>45301.0</v>
      </c>
      <c r="F1119" s="10" t="s">
        <v>14381</v>
      </c>
      <c r="G1119" s="10" t="s">
        <v>12654</v>
      </c>
      <c r="H1119" s="10" t="s">
        <v>907</v>
      </c>
      <c r="I1119" s="10" t="s">
        <v>55</v>
      </c>
      <c r="J1119" s="10" t="s">
        <v>13437</v>
      </c>
      <c r="K1119" s="10" t="s">
        <v>14580</v>
      </c>
      <c r="L1119" s="10" t="s">
        <v>42</v>
      </c>
    </row>
    <row r="1120" ht="15.75" customHeight="1">
      <c r="A1120" s="64">
        <v>45484.0</v>
      </c>
      <c r="B1120" s="55" t="str">
        <f>HYPERLINK("https://jobright.ai/jobs/info/6690b6041acf37e6b248128c?utm_campaign=1065&amp;utm_source=sheet", "Apply")</f>
        <v>Apply</v>
      </c>
      <c r="C1120" s="10" t="s">
        <v>14579</v>
      </c>
      <c r="D1120" s="56" t="s">
        <v>14380</v>
      </c>
      <c r="E1120" s="59">
        <v>45301.0</v>
      </c>
      <c r="F1120" s="10" t="s">
        <v>14381</v>
      </c>
      <c r="G1120" s="10" t="s">
        <v>12654</v>
      </c>
      <c r="H1120" s="10" t="s">
        <v>939</v>
      </c>
      <c r="I1120" s="10" t="s">
        <v>55</v>
      </c>
      <c r="J1120" s="10" t="s">
        <v>13437</v>
      </c>
      <c r="K1120" s="10" t="s">
        <v>14580</v>
      </c>
      <c r="L1120" s="10" t="s">
        <v>42</v>
      </c>
    </row>
    <row r="1121" ht="15.75" customHeight="1">
      <c r="A1121" s="64">
        <v>45484.0</v>
      </c>
      <c r="B1121" s="55" t="str">
        <f>HYPERLINK("https://jobright.ai/jobs/info/6690b5fc1acf37e6b2481282?utm_campaign=1065&amp;utm_source=sheet", "Apply")</f>
        <v>Apply</v>
      </c>
      <c r="C1121" s="10" t="s">
        <v>14579</v>
      </c>
      <c r="D1121" s="56" t="s">
        <v>14380</v>
      </c>
      <c r="E1121" s="59">
        <v>45301.0</v>
      </c>
      <c r="F1121" s="10" t="s">
        <v>14381</v>
      </c>
      <c r="G1121" s="10" t="s">
        <v>12654</v>
      </c>
      <c r="H1121" s="10" t="s">
        <v>998</v>
      </c>
      <c r="I1121" s="10" t="s">
        <v>55</v>
      </c>
      <c r="J1121" s="10" t="s">
        <v>13437</v>
      </c>
      <c r="K1121" s="10" t="s">
        <v>14580</v>
      </c>
      <c r="L1121" s="10" t="s">
        <v>42</v>
      </c>
    </row>
    <row r="1122" ht="15.75" customHeight="1">
      <c r="A1122" s="64">
        <v>45484.0</v>
      </c>
      <c r="B1122" s="55" t="str">
        <f>HYPERLINK("https://jobright.ai/jobs/info/6690b6041acf37e6b248129b?utm_campaign=1065&amp;utm_source=sheet", "Apply")</f>
        <v>Apply</v>
      </c>
      <c r="C1122" s="10" t="s">
        <v>14579</v>
      </c>
      <c r="D1122" s="56" t="s">
        <v>14380</v>
      </c>
      <c r="E1122" s="59">
        <v>45301.0</v>
      </c>
      <c r="F1122" s="10" t="s">
        <v>14381</v>
      </c>
      <c r="G1122" s="10" t="s">
        <v>12654</v>
      </c>
      <c r="H1122" s="10" t="s">
        <v>999</v>
      </c>
      <c r="I1122" s="10" t="s">
        <v>55</v>
      </c>
      <c r="J1122" s="10" t="s">
        <v>13437</v>
      </c>
      <c r="K1122" s="10" t="s">
        <v>14580</v>
      </c>
      <c r="L1122" s="10" t="s">
        <v>42</v>
      </c>
    </row>
    <row r="1123" ht="15.75" customHeight="1">
      <c r="A1123" s="64">
        <v>45484.0</v>
      </c>
      <c r="B1123" s="55" t="str">
        <f>HYPERLINK("https://jobright.ai/jobs/info/6690b6041acf37e6b2481292?utm_campaign=1065&amp;utm_source=sheet", "Apply")</f>
        <v>Apply</v>
      </c>
      <c r="C1123" s="10" t="s">
        <v>14579</v>
      </c>
      <c r="D1123" s="56" t="s">
        <v>14380</v>
      </c>
      <c r="E1123" s="59">
        <v>45301.0</v>
      </c>
      <c r="F1123" s="10" t="s">
        <v>14381</v>
      </c>
      <c r="G1123" s="10" t="s">
        <v>12654</v>
      </c>
      <c r="H1123" s="10" t="s">
        <v>661</v>
      </c>
      <c r="I1123" s="10" t="s">
        <v>55</v>
      </c>
      <c r="J1123" s="10" t="s">
        <v>13437</v>
      </c>
      <c r="K1123" s="10" t="s">
        <v>14580</v>
      </c>
      <c r="L1123" s="10" t="s">
        <v>42</v>
      </c>
    </row>
    <row r="1124" ht="15.75" customHeight="1">
      <c r="A1124" s="64">
        <v>45484.0</v>
      </c>
      <c r="B1124" s="55" t="str">
        <f>HYPERLINK("https://jobright.ai/jobs/info/6690b6041acf37e6b24812ab?utm_campaign=1065&amp;utm_source=sheet", "Apply")</f>
        <v>Apply</v>
      </c>
      <c r="C1124" s="10" t="s">
        <v>14579</v>
      </c>
      <c r="D1124" s="56" t="s">
        <v>14380</v>
      </c>
      <c r="E1124" s="59">
        <v>45301.0</v>
      </c>
      <c r="F1124" s="10" t="s">
        <v>14381</v>
      </c>
      <c r="G1124" s="10" t="s">
        <v>12654</v>
      </c>
      <c r="H1124" s="10" t="s">
        <v>952</v>
      </c>
      <c r="I1124" s="10" t="s">
        <v>55</v>
      </c>
      <c r="J1124" s="10" t="s">
        <v>13437</v>
      </c>
      <c r="K1124" s="10" t="s">
        <v>14580</v>
      </c>
      <c r="L1124" s="10" t="s">
        <v>42</v>
      </c>
    </row>
    <row r="1125" ht="15.75" customHeight="1">
      <c r="A1125" s="64">
        <v>45484.0</v>
      </c>
      <c r="B1125" s="55" t="str">
        <f>HYPERLINK("https://jobright.ai/jobs/info/6690b6041acf37e6b248129d?utm_campaign=1065&amp;utm_source=sheet", "Apply")</f>
        <v>Apply</v>
      </c>
      <c r="C1125" s="10" t="s">
        <v>14579</v>
      </c>
      <c r="D1125" s="56" t="s">
        <v>14380</v>
      </c>
      <c r="E1125" s="59">
        <v>45301.0</v>
      </c>
      <c r="F1125" s="10" t="s">
        <v>14381</v>
      </c>
      <c r="G1125" s="10" t="s">
        <v>12654</v>
      </c>
      <c r="H1125" s="10" t="s">
        <v>1040</v>
      </c>
      <c r="I1125" s="10" t="s">
        <v>55</v>
      </c>
      <c r="J1125" s="10" t="s">
        <v>13437</v>
      </c>
      <c r="K1125" s="10" t="s">
        <v>14580</v>
      </c>
      <c r="L1125" s="10" t="s">
        <v>42</v>
      </c>
    </row>
    <row r="1126" ht="15.75" customHeight="1">
      <c r="A1126" s="64">
        <v>45484.0</v>
      </c>
      <c r="B1126" s="55" t="str">
        <f>HYPERLINK("https://jobright.ai/jobs/info/6690b6041acf37e6b24812a9?utm_campaign=1065&amp;utm_source=sheet", "Apply")</f>
        <v>Apply</v>
      </c>
      <c r="C1126" s="10" t="s">
        <v>14579</v>
      </c>
      <c r="D1126" s="56" t="s">
        <v>14380</v>
      </c>
      <c r="E1126" s="59">
        <v>45301.0</v>
      </c>
      <c r="F1126" s="10" t="s">
        <v>14381</v>
      </c>
      <c r="G1126" s="10" t="s">
        <v>12654</v>
      </c>
      <c r="H1126" s="10" t="s">
        <v>923</v>
      </c>
      <c r="I1126" s="10" t="s">
        <v>55</v>
      </c>
      <c r="J1126" s="10" t="s">
        <v>13437</v>
      </c>
      <c r="K1126" s="10" t="s">
        <v>14580</v>
      </c>
      <c r="L1126" s="10" t="s">
        <v>42</v>
      </c>
    </row>
    <row r="1127" ht="15.75" customHeight="1">
      <c r="A1127" s="64">
        <v>45484.0</v>
      </c>
      <c r="B1127" s="55" t="str">
        <f>HYPERLINK("https://jobright.ai/jobs/info/6690b6041acf37e6b24812b0?utm_campaign=1065&amp;utm_source=sheet", "Apply")</f>
        <v>Apply</v>
      </c>
      <c r="C1127" s="10" t="s">
        <v>14579</v>
      </c>
      <c r="D1127" s="56" t="s">
        <v>14380</v>
      </c>
      <c r="E1127" s="59">
        <v>45301.0</v>
      </c>
      <c r="F1127" s="10" t="s">
        <v>14381</v>
      </c>
      <c r="G1127" s="10" t="s">
        <v>12654</v>
      </c>
      <c r="H1127" s="10" t="s">
        <v>986</v>
      </c>
      <c r="I1127" s="10" t="s">
        <v>55</v>
      </c>
      <c r="J1127" s="10" t="s">
        <v>13437</v>
      </c>
      <c r="K1127" s="10" t="s">
        <v>14580</v>
      </c>
      <c r="L1127" s="10" t="s">
        <v>42</v>
      </c>
    </row>
    <row r="1128" ht="15.75" customHeight="1">
      <c r="A1128" s="64">
        <v>45484.0</v>
      </c>
      <c r="B1128" s="55" t="str">
        <f>HYPERLINK("https://jobright.ai/jobs/info/6690b6041acf37e6b24812a2?utm_campaign=1065&amp;utm_source=sheet", "Apply")</f>
        <v>Apply</v>
      </c>
      <c r="C1128" s="10" t="s">
        <v>14579</v>
      </c>
      <c r="D1128" s="56" t="s">
        <v>14380</v>
      </c>
      <c r="E1128" s="59">
        <v>45301.0</v>
      </c>
      <c r="F1128" s="10" t="s">
        <v>14381</v>
      </c>
      <c r="G1128" s="10" t="s">
        <v>12654</v>
      </c>
      <c r="H1128" s="10" t="s">
        <v>825</v>
      </c>
      <c r="I1128" s="10" t="s">
        <v>55</v>
      </c>
      <c r="J1128" s="10" t="s">
        <v>13437</v>
      </c>
      <c r="K1128" s="10" t="s">
        <v>14580</v>
      </c>
      <c r="L1128" s="10" t="s">
        <v>42</v>
      </c>
    </row>
    <row r="1129" ht="15.75" customHeight="1">
      <c r="A1129" s="64">
        <v>45484.0</v>
      </c>
      <c r="B1129" s="55" t="str">
        <f>HYPERLINK("https://jobright.ai/jobs/info/6690b6041acf37e6b24812bc?utm_campaign=1065&amp;utm_source=sheet", "Apply")</f>
        <v>Apply</v>
      </c>
      <c r="C1129" s="10" t="s">
        <v>14579</v>
      </c>
      <c r="D1129" s="56" t="s">
        <v>14380</v>
      </c>
      <c r="E1129" s="59">
        <v>45301.0</v>
      </c>
      <c r="F1129" s="10" t="s">
        <v>14381</v>
      </c>
      <c r="G1129" s="10" t="s">
        <v>12654</v>
      </c>
      <c r="H1129" s="10" t="s">
        <v>153</v>
      </c>
      <c r="I1129" s="10" t="s">
        <v>55</v>
      </c>
      <c r="J1129" s="10" t="s">
        <v>13437</v>
      </c>
      <c r="K1129" s="10" t="s">
        <v>14580</v>
      </c>
      <c r="L1129" s="10" t="s">
        <v>42</v>
      </c>
    </row>
    <row r="1130" ht="15.75" customHeight="1">
      <c r="A1130" s="64">
        <v>45484.0</v>
      </c>
      <c r="B1130" s="55" t="str">
        <f>HYPERLINK("https://jobright.ai/jobs/info/6690b6041acf37e6b24812c9?utm_campaign=1065&amp;utm_source=sheet", "Apply")</f>
        <v>Apply</v>
      </c>
      <c r="C1130" s="10" t="s">
        <v>14579</v>
      </c>
      <c r="D1130" s="56" t="s">
        <v>14380</v>
      </c>
      <c r="E1130" s="59">
        <v>45301.0</v>
      </c>
      <c r="F1130" s="10" t="s">
        <v>14381</v>
      </c>
      <c r="G1130" s="10" t="s">
        <v>12654</v>
      </c>
      <c r="H1130" s="10" t="s">
        <v>902</v>
      </c>
      <c r="I1130" s="10" t="s">
        <v>55</v>
      </c>
      <c r="J1130" s="10" t="s">
        <v>13437</v>
      </c>
      <c r="K1130" s="10" t="s">
        <v>14580</v>
      </c>
      <c r="L1130" s="10" t="s">
        <v>42</v>
      </c>
    </row>
    <row r="1131" ht="15.75" customHeight="1">
      <c r="A1131" s="64">
        <v>45484.0</v>
      </c>
      <c r="B1131" s="55" t="str">
        <f>HYPERLINK("https://jobright.ai/jobs/info/6690b6041acf37e6b24812d2?utm_campaign=1065&amp;utm_source=sheet", "Apply")</f>
        <v>Apply</v>
      </c>
      <c r="C1131" s="10" t="s">
        <v>14579</v>
      </c>
      <c r="D1131" s="56" t="s">
        <v>14380</v>
      </c>
      <c r="E1131" s="59">
        <v>45301.0</v>
      </c>
      <c r="F1131" s="10" t="s">
        <v>14381</v>
      </c>
      <c r="G1131" s="10" t="s">
        <v>12654</v>
      </c>
      <c r="H1131" s="10" t="s">
        <v>909</v>
      </c>
      <c r="I1131" s="10" t="s">
        <v>55</v>
      </c>
      <c r="J1131" s="10" t="s">
        <v>13437</v>
      </c>
      <c r="K1131" s="10" t="s">
        <v>14580</v>
      </c>
      <c r="L1131" s="10" t="s">
        <v>42</v>
      </c>
    </row>
    <row r="1132" ht="15.75" customHeight="1">
      <c r="A1132" s="64">
        <v>45484.0</v>
      </c>
      <c r="B1132" s="55" t="str">
        <f>HYPERLINK("https://jobright.ai/jobs/info/6690b6041acf37e6b24812ce?utm_campaign=1065&amp;utm_source=sheet", "Apply")</f>
        <v>Apply</v>
      </c>
      <c r="C1132" s="10" t="s">
        <v>14579</v>
      </c>
      <c r="D1132" s="56" t="s">
        <v>14380</v>
      </c>
      <c r="E1132" s="59">
        <v>45301.0</v>
      </c>
      <c r="F1132" s="10" t="s">
        <v>14381</v>
      </c>
      <c r="G1132" s="10" t="s">
        <v>12654</v>
      </c>
      <c r="H1132" s="10" t="s">
        <v>919</v>
      </c>
      <c r="I1132" s="10" t="s">
        <v>55</v>
      </c>
      <c r="J1132" s="10" t="s">
        <v>13437</v>
      </c>
      <c r="K1132" s="10" t="s">
        <v>14580</v>
      </c>
      <c r="L1132" s="10" t="s">
        <v>42</v>
      </c>
    </row>
    <row r="1133" ht="15.75" customHeight="1">
      <c r="A1133" s="64">
        <v>45484.0</v>
      </c>
      <c r="B1133" s="55" t="str">
        <f>HYPERLINK("https://jobright.ai/jobs/info/6690b6041acf37e6b24812be?utm_campaign=1065&amp;utm_source=sheet", "Apply")</f>
        <v>Apply</v>
      </c>
      <c r="C1133" s="10" t="s">
        <v>14579</v>
      </c>
      <c r="D1133" s="56" t="s">
        <v>14380</v>
      </c>
      <c r="E1133" s="59">
        <v>45301.0</v>
      </c>
      <c r="F1133" s="10" t="s">
        <v>14381</v>
      </c>
      <c r="G1133" s="10" t="s">
        <v>12654</v>
      </c>
      <c r="H1133" s="10" t="s">
        <v>777</v>
      </c>
      <c r="I1133" s="10" t="s">
        <v>55</v>
      </c>
      <c r="J1133" s="10" t="s">
        <v>13437</v>
      </c>
      <c r="K1133" s="10" t="s">
        <v>14580</v>
      </c>
      <c r="L1133" s="10" t="s">
        <v>42</v>
      </c>
    </row>
    <row r="1134" ht="15.75" customHeight="1">
      <c r="A1134" s="64">
        <v>45484.0</v>
      </c>
      <c r="B1134" s="55" t="str">
        <f>HYPERLINK("https://jobright.ai/jobs/info/6690b6041acf37e6b24812cb?utm_campaign=1065&amp;utm_source=sheet", "Apply")</f>
        <v>Apply</v>
      </c>
      <c r="C1134" s="10" t="s">
        <v>14579</v>
      </c>
      <c r="D1134" s="56" t="s">
        <v>14380</v>
      </c>
      <c r="E1134" s="59">
        <v>45301.0</v>
      </c>
      <c r="F1134" s="10" t="s">
        <v>14381</v>
      </c>
      <c r="G1134" s="10" t="s">
        <v>12654</v>
      </c>
      <c r="H1134" s="10" t="s">
        <v>868</v>
      </c>
      <c r="I1134" s="10" t="s">
        <v>55</v>
      </c>
      <c r="J1134" s="10" t="s">
        <v>13437</v>
      </c>
      <c r="K1134" s="10" t="s">
        <v>14580</v>
      </c>
      <c r="L1134" s="10" t="s">
        <v>42</v>
      </c>
    </row>
    <row r="1135" ht="15.75" customHeight="1">
      <c r="A1135" s="64">
        <v>45484.0</v>
      </c>
      <c r="B1135" s="55" t="str">
        <f>HYPERLINK("https://jobright.ai/jobs/info/6690b6041acf37e6b24812d6?utm_campaign=1065&amp;utm_source=sheet", "Apply")</f>
        <v>Apply</v>
      </c>
      <c r="C1135" s="10" t="s">
        <v>14581</v>
      </c>
      <c r="D1135" s="56" t="s">
        <v>14380</v>
      </c>
      <c r="E1135" s="59">
        <v>45301.0</v>
      </c>
      <c r="F1135" s="10" t="s">
        <v>14381</v>
      </c>
      <c r="G1135" s="10" t="s">
        <v>12654</v>
      </c>
      <c r="H1135" s="10" t="s">
        <v>893</v>
      </c>
      <c r="I1135" s="10" t="s">
        <v>55</v>
      </c>
      <c r="J1135" s="10" t="s">
        <v>13437</v>
      </c>
      <c r="K1135" s="10" t="s">
        <v>14582</v>
      </c>
      <c r="L1135" s="10" t="s">
        <v>42</v>
      </c>
    </row>
    <row r="1136" ht="15.75" customHeight="1">
      <c r="A1136" s="64">
        <v>45484.0</v>
      </c>
      <c r="B1136" s="55" t="str">
        <f>HYPERLINK("https://jobright.ai/jobs/info/6690b6041acf37e6b24812ca?utm_campaign=1065&amp;utm_source=sheet", "Apply")</f>
        <v>Apply</v>
      </c>
      <c r="C1136" s="10" t="s">
        <v>14579</v>
      </c>
      <c r="D1136" s="56" t="s">
        <v>14380</v>
      </c>
      <c r="E1136" s="59">
        <v>45301.0</v>
      </c>
      <c r="F1136" s="10" t="s">
        <v>14381</v>
      </c>
      <c r="G1136" s="10" t="s">
        <v>12654</v>
      </c>
      <c r="H1136" s="10" t="s">
        <v>391</v>
      </c>
      <c r="I1136" s="10" t="s">
        <v>55</v>
      </c>
      <c r="J1136" s="10" t="s">
        <v>13437</v>
      </c>
      <c r="K1136" s="10" t="s">
        <v>14580</v>
      </c>
      <c r="L1136" s="10" t="s">
        <v>42</v>
      </c>
    </row>
    <row r="1137" ht="15.75" customHeight="1">
      <c r="A1137" s="64">
        <v>45484.0</v>
      </c>
      <c r="B1137" s="55" t="str">
        <f>HYPERLINK("https://jobright.ai/jobs/info/6690b6041acf37e6b24812e2?utm_campaign=1065&amp;utm_source=sheet", "Apply")</f>
        <v>Apply</v>
      </c>
      <c r="C1137" s="10" t="s">
        <v>14579</v>
      </c>
      <c r="D1137" s="56" t="s">
        <v>14380</v>
      </c>
      <c r="E1137" s="59">
        <v>45301.0</v>
      </c>
      <c r="F1137" s="10" t="s">
        <v>14381</v>
      </c>
      <c r="G1137" s="10" t="s">
        <v>12654</v>
      </c>
      <c r="H1137" s="10" t="s">
        <v>924</v>
      </c>
      <c r="I1137" s="10" t="s">
        <v>55</v>
      </c>
      <c r="J1137" s="10" t="s">
        <v>13437</v>
      </c>
      <c r="K1137" s="10" t="s">
        <v>14580</v>
      </c>
      <c r="L1137" s="10" t="s">
        <v>42</v>
      </c>
    </row>
    <row r="1138" ht="15.75" customHeight="1">
      <c r="A1138" s="64">
        <v>45484.0</v>
      </c>
      <c r="B1138" s="55" t="str">
        <f>HYPERLINK("https://jobright.ai/jobs/info/6690b6041acf37e6b24812de?utm_campaign=1065&amp;utm_source=sheet", "Apply")</f>
        <v>Apply</v>
      </c>
      <c r="C1138" s="10" t="s">
        <v>14579</v>
      </c>
      <c r="D1138" s="56" t="s">
        <v>14380</v>
      </c>
      <c r="E1138" s="59">
        <v>45301.0</v>
      </c>
      <c r="F1138" s="10" t="s">
        <v>14381</v>
      </c>
      <c r="G1138" s="10" t="s">
        <v>12654</v>
      </c>
      <c r="H1138" s="10" t="s">
        <v>759</v>
      </c>
      <c r="I1138" s="10" t="s">
        <v>55</v>
      </c>
      <c r="J1138" s="10" t="s">
        <v>13437</v>
      </c>
      <c r="K1138" s="10" t="s">
        <v>14580</v>
      </c>
      <c r="L1138" s="10" t="s">
        <v>42</v>
      </c>
    </row>
    <row r="1139" ht="15.75" customHeight="1">
      <c r="A1139" s="64">
        <v>45484.0</v>
      </c>
      <c r="B1139" s="55" t="str">
        <f>HYPERLINK("https://jobright.ai/jobs/info/6690b6041acf37e6b248130d?utm_campaign=1065&amp;utm_source=sheet", "Apply")</f>
        <v>Apply</v>
      </c>
      <c r="C1139" s="10" t="s">
        <v>14581</v>
      </c>
      <c r="D1139" s="56" t="s">
        <v>14380</v>
      </c>
      <c r="E1139" s="59">
        <v>45301.0</v>
      </c>
      <c r="F1139" s="10" t="s">
        <v>14381</v>
      </c>
      <c r="G1139" s="10" t="s">
        <v>12654</v>
      </c>
      <c r="H1139" s="10" t="s">
        <v>909</v>
      </c>
      <c r="I1139" s="10" t="s">
        <v>55</v>
      </c>
      <c r="J1139" s="10" t="s">
        <v>13437</v>
      </c>
      <c r="K1139" s="10" t="s">
        <v>14582</v>
      </c>
      <c r="L1139" s="10" t="s">
        <v>42</v>
      </c>
    </row>
    <row r="1140" ht="15.75" customHeight="1">
      <c r="A1140" s="64">
        <v>45484.0</v>
      </c>
      <c r="B1140" s="55" t="str">
        <f>HYPERLINK("https://jobright.ai/jobs/info/6690b6041acf37e6b248133a?utm_campaign=1065&amp;utm_source=sheet", "Apply")</f>
        <v>Apply</v>
      </c>
      <c r="C1140" s="10" t="s">
        <v>14579</v>
      </c>
      <c r="D1140" s="56" t="s">
        <v>14380</v>
      </c>
      <c r="E1140" s="59">
        <v>45301.0</v>
      </c>
      <c r="F1140" s="10" t="s">
        <v>14381</v>
      </c>
      <c r="G1140" s="10" t="s">
        <v>12654</v>
      </c>
      <c r="H1140" s="10" t="s">
        <v>787</v>
      </c>
      <c r="I1140" s="10" t="s">
        <v>55</v>
      </c>
      <c r="J1140" s="10" t="s">
        <v>13437</v>
      </c>
      <c r="K1140" s="10" t="s">
        <v>14580</v>
      </c>
      <c r="L1140" s="10" t="s">
        <v>42</v>
      </c>
    </row>
    <row r="1141" ht="15.75" customHeight="1">
      <c r="A1141" s="64">
        <v>45484.0</v>
      </c>
      <c r="B1141" s="55" t="str">
        <f>HYPERLINK("https://jobright.ai/jobs/info/6690b60c1acf37e6b2481380?utm_campaign=1065&amp;utm_source=sheet", "Apply")</f>
        <v>Apply</v>
      </c>
      <c r="C1141" s="10" t="s">
        <v>14579</v>
      </c>
      <c r="D1141" s="56" t="s">
        <v>14380</v>
      </c>
      <c r="E1141" s="59">
        <v>45301.0</v>
      </c>
      <c r="F1141" s="10" t="s">
        <v>14381</v>
      </c>
      <c r="G1141" s="10" t="s">
        <v>12654</v>
      </c>
      <c r="H1141" s="10" t="s">
        <v>968</v>
      </c>
      <c r="I1141" s="10" t="s">
        <v>55</v>
      </c>
      <c r="J1141" s="10" t="s">
        <v>13437</v>
      </c>
      <c r="K1141" s="10" t="s">
        <v>14580</v>
      </c>
      <c r="L1141" s="10" t="s">
        <v>42</v>
      </c>
    </row>
    <row r="1142" ht="15.75" customHeight="1">
      <c r="A1142" s="64">
        <v>45484.0</v>
      </c>
      <c r="B1142" s="55" t="str">
        <f>HYPERLINK("https://jobright.ai/jobs/info/6690b60c1acf37e6b2481371?utm_campaign=1065&amp;utm_source=sheet", "Apply")</f>
        <v>Apply</v>
      </c>
      <c r="C1142" s="10" t="s">
        <v>14579</v>
      </c>
      <c r="D1142" s="56" t="s">
        <v>14380</v>
      </c>
      <c r="E1142" s="59">
        <v>45301.0</v>
      </c>
      <c r="F1142" s="10" t="s">
        <v>14381</v>
      </c>
      <c r="G1142" s="10" t="s">
        <v>12654</v>
      </c>
      <c r="H1142" s="10" t="s">
        <v>879</v>
      </c>
      <c r="I1142" s="10" t="s">
        <v>55</v>
      </c>
      <c r="J1142" s="10" t="s">
        <v>13437</v>
      </c>
      <c r="K1142" s="10" t="s">
        <v>14580</v>
      </c>
      <c r="L1142" s="10" t="s">
        <v>42</v>
      </c>
    </row>
    <row r="1143" ht="15.75" customHeight="1">
      <c r="A1143" s="64">
        <v>45484.0</v>
      </c>
      <c r="B1143" s="55" t="str">
        <f>HYPERLINK("https://jobright.ai/jobs/info/6690b60c1acf37e6b2481352?utm_campaign=1065&amp;utm_source=sheet", "Apply")</f>
        <v>Apply</v>
      </c>
      <c r="C1143" s="10" t="s">
        <v>14579</v>
      </c>
      <c r="D1143" s="56" t="s">
        <v>14380</v>
      </c>
      <c r="E1143" s="59">
        <v>45301.0</v>
      </c>
      <c r="F1143" s="10" t="s">
        <v>14381</v>
      </c>
      <c r="G1143" s="10" t="s">
        <v>12654</v>
      </c>
      <c r="H1143" s="10" t="s">
        <v>769</v>
      </c>
      <c r="I1143" s="10" t="s">
        <v>55</v>
      </c>
      <c r="J1143" s="10" t="s">
        <v>13437</v>
      </c>
      <c r="K1143" s="10" t="s">
        <v>14580</v>
      </c>
      <c r="L1143" s="10" t="s">
        <v>42</v>
      </c>
    </row>
    <row r="1144" ht="15.75" customHeight="1">
      <c r="A1144" s="64">
        <v>45484.0</v>
      </c>
      <c r="B1144" s="55" t="str">
        <f>HYPERLINK("https://jobright.ai/jobs/info/6690b60c1acf37e6b248139a?utm_campaign=1065&amp;utm_source=sheet", "Apply")</f>
        <v>Apply</v>
      </c>
      <c r="C1144" s="10" t="s">
        <v>14579</v>
      </c>
      <c r="D1144" s="56" t="s">
        <v>14380</v>
      </c>
      <c r="E1144" s="59">
        <v>45301.0</v>
      </c>
      <c r="F1144" s="10" t="s">
        <v>14381</v>
      </c>
      <c r="G1144" s="10" t="s">
        <v>12654</v>
      </c>
      <c r="H1144" s="10" t="s">
        <v>7690</v>
      </c>
      <c r="I1144" s="10" t="s">
        <v>55</v>
      </c>
      <c r="J1144" s="10" t="s">
        <v>13437</v>
      </c>
      <c r="K1144" s="10" t="s">
        <v>14580</v>
      </c>
      <c r="L1144" s="10" t="s">
        <v>42</v>
      </c>
    </row>
    <row r="1145" ht="15.75" customHeight="1">
      <c r="A1145" s="64">
        <v>45484.0</v>
      </c>
      <c r="B1145" s="55" t="str">
        <f>HYPERLINK("https://jobright.ai/jobs/info/6690b60c1acf37e6b24813a0?utm_campaign=1065&amp;utm_source=sheet", "Apply")</f>
        <v>Apply</v>
      </c>
      <c r="C1145" s="10" t="s">
        <v>14579</v>
      </c>
      <c r="D1145" s="56" t="s">
        <v>14380</v>
      </c>
      <c r="E1145" s="59">
        <v>45301.0</v>
      </c>
      <c r="F1145" s="10" t="s">
        <v>14381</v>
      </c>
      <c r="G1145" s="10" t="s">
        <v>12654</v>
      </c>
      <c r="H1145" s="10" t="s">
        <v>1046</v>
      </c>
      <c r="I1145" s="10" t="s">
        <v>55</v>
      </c>
      <c r="J1145" s="10" t="s">
        <v>13437</v>
      </c>
      <c r="K1145" s="10" t="s">
        <v>14580</v>
      </c>
      <c r="L1145" s="10" t="s">
        <v>42</v>
      </c>
    </row>
    <row r="1146" ht="15.75" customHeight="1">
      <c r="A1146" s="64">
        <v>45484.0</v>
      </c>
      <c r="B1146" s="55" t="str">
        <f>HYPERLINK("https://jobright.ai/jobs/info/6690b60c1acf37e6b24813d2?utm_campaign=1065&amp;utm_source=sheet", "Apply")</f>
        <v>Apply</v>
      </c>
      <c r="C1146" s="10" t="s">
        <v>14579</v>
      </c>
      <c r="D1146" s="56" t="s">
        <v>14380</v>
      </c>
      <c r="E1146" s="59">
        <v>45301.0</v>
      </c>
      <c r="F1146" s="10" t="s">
        <v>14381</v>
      </c>
      <c r="G1146" s="10" t="s">
        <v>12654</v>
      </c>
      <c r="H1146" s="10" t="s">
        <v>867</v>
      </c>
      <c r="I1146" s="10" t="s">
        <v>55</v>
      </c>
      <c r="J1146" s="10" t="s">
        <v>13437</v>
      </c>
      <c r="K1146" s="10" t="s">
        <v>14580</v>
      </c>
      <c r="L1146" s="10" t="s">
        <v>42</v>
      </c>
    </row>
    <row r="1147" ht="15.75" customHeight="1">
      <c r="A1147" s="64">
        <v>45484.0</v>
      </c>
      <c r="B1147" s="55" t="str">
        <f>HYPERLINK("https://jobright.ai/jobs/info/6690b60c1acf37e6b24813fb?utm_campaign=1065&amp;utm_source=sheet", "Apply")</f>
        <v>Apply</v>
      </c>
      <c r="C1147" s="10" t="s">
        <v>14579</v>
      </c>
      <c r="D1147" s="56" t="s">
        <v>14380</v>
      </c>
      <c r="E1147" s="59">
        <v>45301.0</v>
      </c>
      <c r="F1147" s="10" t="s">
        <v>14381</v>
      </c>
      <c r="G1147" s="10" t="s">
        <v>12654</v>
      </c>
      <c r="H1147" s="10" t="s">
        <v>940</v>
      </c>
      <c r="I1147" s="10" t="s">
        <v>55</v>
      </c>
      <c r="J1147" s="10" t="s">
        <v>13437</v>
      </c>
      <c r="K1147" s="10" t="s">
        <v>14580</v>
      </c>
      <c r="L1147" s="10" t="s">
        <v>42</v>
      </c>
    </row>
    <row r="1148" ht="15.75" customHeight="1">
      <c r="A1148" s="64">
        <v>45484.0</v>
      </c>
      <c r="B1148" s="55" t="str">
        <f>HYPERLINK("https://jobright.ai/jobs/info/6690b60c1acf37e6b2481404?utm_campaign=1065&amp;utm_source=sheet", "Apply")</f>
        <v>Apply</v>
      </c>
      <c r="C1148" s="10" t="s">
        <v>14581</v>
      </c>
      <c r="D1148" s="56" t="s">
        <v>14380</v>
      </c>
      <c r="E1148" s="59">
        <v>45301.0</v>
      </c>
      <c r="F1148" s="10" t="s">
        <v>14381</v>
      </c>
      <c r="G1148" s="10" t="s">
        <v>12654</v>
      </c>
      <c r="H1148" s="10" t="s">
        <v>835</v>
      </c>
      <c r="I1148" s="10" t="s">
        <v>55</v>
      </c>
      <c r="J1148" s="10" t="s">
        <v>13437</v>
      </c>
      <c r="K1148" s="10" t="s">
        <v>14582</v>
      </c>
      <c r="L1148" s="10" t="s">
        <v>42</v>
      </c>
    </row>
    <row r="1149" ht="15.75" customHeight="1">
      <c r="A1149" s="64">
        <v>45484.0</v>
      </c>
      <c r="B1149" s="55" t="str">
        <f>HYPERLINK("https://jobright.ai/jobs/info/6690b60c1acf37e6b24813f8?utm_campaign=1065&amp;utm_source=sheet", "Apply")</f>
        <v>Apply</v>
      </c>
      <c r="C1149" s="10" t="s">
        <v>14579</v>
      </c>
      <c r="D1149" s="56" t="s">
        <v>14380</v>
      </c>
      <c r="E1149" s="59">
        <v>45301.0</v>
      </c>
      <c r="F1149" s="10" t="s">
        <v>14381</v>
      </c>
      <c r="G1149" s="10" t="s">
        <v>12654</v>
      </c>
      <c r="H1149" s="10" t="s">
        <v>989</v>
      </c>
      <c r="I1149" s="10" t="s">
        <v>55</v>
      </c>
      <c r="J1149" s="10" t="s">
        <v>13437</v>
      </c>
      <c r="K1149" s="10" t="s">
        <v>14580</v>
      </c>
      <c r="L1149" s="10" t="s">
        <v>42</v>
      </c>
    </row>
    <row r="1150" ht="15.75" customHeight="1">
      <c r="A1150" s="64">
        <v>45484.0</v>
      </c>
      <c r="B1150" s="55" t="str">
        <f>HYPERLINK("https://jobright.ai/jobs/info/6690b60c1acf37e6b24813f6?utm_campaign=1065&amp;utm_source=sheet", "Apply")</f>
        <v>Apply</v>
      </c>
      <c r="C1150" s="10" t="s">
        <v>14579</v>
      </c>
      <c r="D1150" s="56" t="s">
        <v>14380</v>
      </c>
      <c r="E1150" s="59">
        <v>45301.0</v>
      </c>
      <c r="F1150" s="10" t="s">
        <v>14381</v>
      </c>
      <c r="G1150" s="10" t="s">
        <v>12654</v>
      </c>
      <c r="H1150" s="10" t="s">
        <v>1030</v>
      </c>
      <c r="I1150" s="10" t="s">
        <v>55</v>
      </c>
      <c r="J1150" s="10" t="s">
        <v>13437</v>
      </c>
      <c r="K1150" s="10" t="s">
        <v>14580</v>
      </c>
      <c r="L1150" s="10" t="s">
        <v>42</v>
      </c>
    </row>
    <row r="1151" ht="15.75" customHeight="1">
      <c r="A1151" s="64">
        <v>45484.0</v>
      </c>
      <c r="B1151" s="55" t="str">
        <f>HYPERLINK("https://jobright.ai/jobs/info/6690b60c1acf37e6b248140c?utm_campaign=1065&amp;utm_source=sheet", "Apply")</f>
        <v>Apply</v>
      </c>
      <c r="C1151" s="10" t="s">
        <v>14581</v>
      </c>
      <c r="D1151" s="56" t="s">
        <v>14380</v>
      </c>
      <c r="E1151" s="59">
        <v>45301.0</v>
      </c>
      <c r="F1151" s="10" t="s">
        <v>14381</v>
      </c>
      <c r="G1151" s="10" t="s">
        <v>12654</v>
      </c>
      <c r="H1151" s="10" t="s">
        <v>819</v>
      </c>
      <c r="I1151" s="10" t="s">
        <v>55</v>
      </c>
      <c r="J1151" s="10" t="s">
        <v>13437</v>
      </c>
      <c r="K1151" s="10" t="s">
        <v>14582</v>
      </c>
      <c r="L1151" s="10" t="s">
        <v>42</v>
      </c>
    </row>
    <row r="1152" ht="15.75" customHeight="1">
      <c r="A1152" s="64">
        <v>45484.0</v>
      </c>
      <c r="B1152" s="55" t="str">
        <f>HYPERLINK("https://jobright.ai/jobs/info/6690b60c1acf37e6b24813fd?utm_campaign=1065&amp;utm_source=sheet", "Apply")</f>
        <v>Apply</v>
      </c>
      <c r="C1152" s="10" t="s">
        <v>14579</v>
      </c>
      <c r="D1152" s="56" t="s">
        <v>14380</v>
      </c>
      <c r="E1152" s="59">
        <v>45301.0</v>
      </c>
      <c r="F1152" s="10" t="s">
        <v>14381</v>
      </c>
      <c r="G1152" s="10" t="s">
        <v>12654</v>
      </c>
      <c r="H1152" s="10" t="s">
        <v>1034</v>
      </c>
      <c r="I1152" s="10" t="s">
        <v>55</v>
      </c>
      <c r="J1152" s="10" t="s">
        <v>13437</v>
      </c>
      <c r="K1152" s="10" t="s">
        <v>14580</v>
      </c>
      <c r="L1152" s="10" t="s">
        <v>42</v>
      </c>
    </row>
    <row r="1153" ht="15.75" customHeight="1">
      <c r="A1153" s="64">
        <v>45484.0</v>
      </c>
      <c r="B1153" s="55" t="str">
        <f>HYPERLINK("https://jobright.ai/jobs/info/6690b6141acf37e6b2481435?utm_campaign=1065&amp;utm_source=sheet", "Apply")</f>
        <v>Apply</v>
      </c>
      <c r="C1153" s="10" t="s">
        <v>14579</v>
      </c>
      <c r="D1153" s="56" t="s">
        <v>14380</v>
      </c>
      <c r="E1153" s="59">
        <v>45301.0</v>
      </c>
      <c r="F1153" s="10" t="s">
        <v>14381</v>
      </c>
      <c r="G1153" s="10" t="s">
        <v>12654</v>
      </c>
      <c r="H1153" s="10" t="s">
        <v>774</v>
      </c>
      <c r="I1153" s="10" t="s">
        <v>55</v>
      </c>
      <c r="J1153" s="10" t="s">
        <v>13437</v>
      </c>
      <c r="K1153" s="10" t="s">
        <v>14580</v>
      </c>
      <c r="L1153" s="10" t="s">
        <v>42</v>
      </c>
    </row>
    <row r="1154" ht="15.75" customHeight="1">
      <c r="A1154" s="64">
        <v>45484.0</v>
      </c>
      <c r="B1154" s="55" t="str">
        <f>HYPERLINK("https://jobright.ai/jobs/info/6690b6141acf37e6b2481422?utm_campaign=1065&amp;utm_source=sheet", "Apply")</f>
        <v>Apply</v>
      </c>
      <c r="C1154" s="10" t="s">
        <v>14581</v>
      </c>
      <c r="D1154" s="56" t="s">
        <v>14380</v>
      </c>
      <c r="E1154" s="59">
        <v>45301.0</v>
      </c>
      <c r="F1154" s="10" t="s">
        <v>14381</v>
      </c>
      <c r="G1154" s="10" t="s">
        <v>12654</v>
      </c>
      <c r="H1154" s="10" t="s">
        <v>801</v>
      </c>
      <c r="I1154" s="10" t="s">
        <v>55</v>
      </c>
      <c r="J1154" s="10" t="s">
        <v>13437</v>
      </c>
      <c r="K1154" s="10" t="s">
        <v>14582</v>
      </c>
      <c r="L1154" s="10" t="s">
        <v>42</v>
      </c>
    </row>
    <row r="1155" ht="15.75" customHeight="1">
      <c r="A1155" s="64">
        <v>45484.0</v>
      </c>
      <c r="B1155" s="55" t="str">
        <f>HYPERLINK("https://jobright.ai/jobs/info/6690b6141acf37e6b2481448?utm_campaign=1065&amp;utm_source=sheet", "Apply")</f>
        <v>Apply</v>
      </c>
      <c r="C1155" s="10" t="s">
        <v>14579</v>
      </c>
      <c r="D1155" s="56" t="s">
        <v>14380</v>
      </c>
      <c r="E1155" s="59">
        <v>45301.0</v>
      </c>
      <c r="F1155" s="10" t="s">
        <v>14381</v>
      </c>
      <c r="G1155" s="10" t="s">
        <v>12654</v>
      </c>
      <c r="H1155" s="10" t="s">
        <v>810</v>
      </c>
      <c r="I1155" s="10" t="s">
        <v>55</v>
      </c>
      <c r="J1155" s="10" t="s">
        <v>13437</v>
      </c>
      <c r="K1155" s="10" t="s">
        <v>14580</v>
      </c>
      <c r="L1155" s="10" t="s">
        <v>42</v>
      </c>
    </row>
    <row r="1156" ht="15.75" customHeight="1">
      <c r="A1156" s="64">
        <v>45484.0</v>
      </c>
      <c r="B1156" s="55" t="str">
        <f>HYPERLINK("https://jobright.ai/jobs/info/6690b6141acf37e6b2481419?utm_campaign=1065&amp;utm_source=sheet", "Apply")</f>
        <v>Apply</v>
      </c>
      <c r="C1156" s="10" t="s">
        <v>14579</v>
      </c>
      <c r="D1156" s="56" t="s">
        <v>14380</v>
      </c>
      <c r="E1156" s="59">
        <v>45301.0</v>
      </c>
      <c r="F1156" s="10" t="s">
        <v>14381</v>
      </c>
      <c r="G1156" s="10" t="s">
        <v>12654</v>
      </c>
      <c r="H1156" s="10" t="s">
        <v>766</v>
      </c>
      <c r="I1156" s="10" t="s">
        <v>55</v>
      </c>
      <c r="J1156" s="10" t="s">
        <v>13437</v>
      </c>
      <c r="K1156" s="10" t="s">
        <v>14580</v>
      </c>
      <c r="L1156" s="10" t="s">
        <v>42</v>
      </c>
    </row>
    <row r="1157" ht="15.75" customHeight="1">
      <c r="A1157" s="64">
        <v>45484.0</v>
      </c>
      <c r="B1157" s="55" t="str">
        <f>HYPERLINK("https://jobright.ai/jobs/info/6690b6141acf37e6b2481438?utm_campaign=1065&amp;utm_source=sheet", "Apply")</f>
        <v>Apply</v>
      </c>
      <c r="C1157" s="10" t="s">
        <v>14579</v>
      </c>
      <c r="D1157" s="56" t="s">
        <v>14380</v>
      </c>
      <c r="E1157" s="59">
        <v>45301.0</v>
      </c>
      <c r="F1157" s="10" t="s">
        <v>14381</v>
      </c>
      <c r="G1157" s="10" t="s">
        <v>12654</v>
      </c>
      <c r="H1157" s="10" t="s">
        <v>1027</v>
      </c>
      <c r="I1157" s="10" t="s">
        <v>55</v>
      </c>
      <c r="J1157" s="10" t="s">
        <v>13437</v>
      </c>
      <c r="K1157" s="10" t="s">
        <v>14580</v>
      </c>
      <c r="L1157" s="10" t="s">
        <v>42</v>
      </c>
    </row>
    <row r="1158" ht="15.75" customHeight="1">
      <c r="A1158" s="64">
        <v>45484.0</v>
      </c>
      <c r="B1158" s="55" t="str">
        <f>HYPERLINK("https://jobright.ai/jobs/info/6690b6141acf37e6b248142a?utm_campaign=1065&amp;utm_source=sheet", "Apply")</f>
        <v>Apply</v>
      </c>
      <c r="C1158" s="10" t="s">
        <v>14581</v>
      </c>
      <c r="D1158" s="56" t="s">
        <v>14380</v>
      </c>
      <c r="E1158" s="59">
        <v>45301.0</v>
      </c>
      <c r="F1158" s="10" t="s">
        <v>14381</v>
      </c>
      <c r="G1158" s="10" t="s">
        <v>12654</v>
      </c>
      <c r="H1158" s="10" t="s">
        <v>965</v>
      </c>
      <c r="I1158" s="10" t="s">
        <v>55</v>
      </c>
      <c r="J1158" s="10" t="s">
        <v>13437</v>
      </c>
      <c r="K1158" s="10" t="s">
        <v>14582</v>
      </c>
      <c r="L1158" s="10" t="s">
        <v>42</v>
      </c>
    </row>
    <row r="1159" ht="15.75" customHeight="1">
      <c r="A1159" s="64">
        <v>45484.0</v>
      </c>
      <c r="B1159" s="55" t="str">
        <f>HYPERLINK("https://jobright.ai/jobs/info/6690b6141acf37e6b2481445?utm_campaign=1065&amp;utm_source=sheet", "Apply")</f>
        <v>Apply</v>
      </c>
      <c r="C1159" s="10" t="s">
        <v>14581</v>
      </c>
      <c r="D1159" s="56" t="s">
        <v>14380</v>
      </c>
      <c r="E1159" s="59">
        <v>45301.0</v>
      </c>
      <c r="F1159" s="10" t="s">
        <v>14381</v>
      </c>
      <c r="G1159" s="10" t="s">
        <v>12654</v>
      </c>
      <c r="H1159" s="10" t="s">
        <v>987</v>
      </c>
      <c r="I1159" s="10" t="s">
        <v>55</v>
      </c>
      <c r="J1159" s="10" t="s">
        <v>13437</v>
      </c>
      <c r="K1159" s="10" t="s">
        <v>14582</v>
      </c>
      <c r="L1159" s="10" t="s">
        <v>42</v>
      </c>
    </row>
    <row r="1160" ht="15.75" customHeight="1">
      <c r="A1160" s="64">
        <v>45484.0</v>
      </c>
      <c r="B1160" s="55" t="str">
        <f>HYPERLINK("https://jobright.ai/jobs/info/6690b6141acf37e6b248142b?utm_campaign=1065&amp;utm_source=sheet", "Apply")</f>
        <v>Apply</v>
      </c>
      <c r="C1160" s="10" t="s">
        <v>14581</v>
      </c>
      <c r="D1160" s="56" t="s">
        <v>14380</v>
      </c>
      <c r="E1160" s="59">
        <v>45301.0</v>
      </c>
      <c r="F1160" s="10" t="s">
        <v>14381</v>
      </c>
      <c r="G1160" s="10" t="s">
        <v>12654</v>
      </c>
      <c r="H1160" s="10" t="s">
        <v>1040</v>
      </c>
      <c r="I1160" s="10" t="s">
        <v>55</v>
      </c>
      <c r="J1160" s="10" t="s">
        <v>13437</v>
      </c>
      <c r="K1160" s="10" t="s">
        <v>14582</v>
      </c>
      <c r="L1160" s="10" t="s">
        <v>42</v>
      </c>
    </row>
    <row r="1161" ht="15.75" customHeight="1">
      <c r="A1161" s="64">
        <v>45484.0</v>
      </c>
      <c r="B1161" s="55" t="str">
        <f>HYPERLINK("https://jobright.ai/jobs/info/6690b60c1acf37e6b2481410?utm_campaign=1065&amp;utm_source=sheet", "Apply")</f>
        <v>Apply</v>
      </c>
      <c r="C1161" s="10" t="s">
        <v>14581</v>
      </c>
      <c r="D1161" s="56" t="s">
        <v>14380</v>
      </c>
      <c r="E1161" s="59">
        <v>45301.0</v>
      </c>
      <c r="F1161" s="10" t="s">
        <v>14381</v>
      </c>
      <c r="G1161" s="10" t="s">
        <v>12654</v>
      </c>
      <c r="H1161" s="10" t="s">
        <v>838</v>
      </c>
      <c r="I1161" s="10" t="s">
        <v>55</v>
      </c>
      <c r="J1161" s="10" t="s">
        <v>13437</v>
      </c>
      <c r="K1161" s="10" t="s">
        <v>14582</v>
      </c>
      <c r="L1161" s="10" t="s">
        <v>42</v>
      </c>
    </row>
    <row r="1162" ht="15.75" customHeight="1">
      <c r="A1162" s="64">
        <v>45484.0</v>
      </c>
      <c r="B1162" s="55" t="str">
        <f>HYPERLINK("https://jobright.ai/jobs/info/6690b6141acf37e6b2481414?utm_campaign=1065&amp;utm_source=sheet", "Apply")</f>
        <v>Apply</v>
      </c>
      <c r="C1162" s="10" t="s">
        <v>14581</v>
      </c>
      <c r="D1162" s="56" t="s">
        <v>14380</v>
      </c>
      <c r="E1162" s="59">
        <v>45301.0</v>
      </c>
      <c r="F1162" s="10" t="s">
        <v>14381</v>
      </c>
      <c r="G1162" s="10" t="s">
        <v>12654</v>
      </c>
      <c r="H1162" s="10" t="s">
        <v>1017</v>
      </c>
      <c r="I1162" s="10" t="s">
        <v>55</v>
      </c>
      <c r="J1162" s="10" t="s">
        <v>13437</v>
      </c>
      <c r="K1162" s="10" t="s">
        <v>14582</v>
      </c>
      <c r="L1162" s="10" t="s">
        <v>42</v>
      </c>
    </row>
    <row r="1163" ht="15.75" customHeight="1">
      <c r="A1163" s="64">
        <v>45484.0</v>
      </c>
      <c r="B1163" s="55" t="str">
        <f>HYPERLINK("https://jobright.ai/jobs/info/6690b6141acf37e6b2481420?utm_campaign=1065&amp;utm_source=sheet", "Apply")</f>
        <v>Apply</v>
      </c>
      <c r="C1163" s="10" t="s">
        <v>14579</v>
      </c>
      <c r="D1163" s="56" t="s">
        <v>14380</v>
      </c>
      <c r="E1163" s="59">
        <v>45301.0</v>
      </c>
      <c r="F1163" s="10" t="s">
        <v>14381</v>
      </c>
      <c r="G1163" s="10" t="s">
        <v>12654</v>
      </c>
      <c r="H1163" s="10" t="s">
        <v>950</v>
      </c>
      <c r="I1163" s="10" t="s">
        <v>55</v>
      </c>
      <c r="J1163" s="10" t="s">
        <v>13437</v>
      </c>
      <c r="K1163" s="10" t="s">
        <v>14580</v>
      </c>
      <c r="L1163" s="10" t="s">
        <v>42</v>
      </c>
    </row>
    <row r="1164" ht="15.75" customHeight="1">
      <c r="A1164" s="64">
        <v>45484.0</v>
      </c>
      <c r="B1164" s="55" t="str">
        <f>HYPERLINK("https://jobright.ai/jobs/info/6690b6141acf37e6b248143d?utm_campaign=1065&amp;utm_source=sheet", "Apply")</f>
        <v>Apply</v>
      </c>
      <c r="C1164" s="10" t="s">
        <v>14581</v>
      </c>
      <c r="D1164" s="56" t="s">
        <v>14380</v>
      </c>
      <c r="E1164" s="59">
        <v>45301.0</v>
      </c>
      <c r="F1164" s="10" t="s">
        <v>14381</v>
      </c>
      <c r="G1164" s="10" t="s">
        <v>12654</v>
      </c>
      <c r="H1164" s="10" t="s">
        <v>942</v>
      </c>
      <c r="I1164" s="10" t="s">
        <v>55</v>
      </c>
      <c r="J1164" s="10" t="s">
        <v>13437</v>
      </c>
      <c r="K1164" s="10" t="s">
        <v>14582</v>
      </c>
      <c r="L1164" s="10" t="s">
        <v>42</v>
      </c>
    </row>
    <row r="1165" ht="15.75" customHeight="1">
      <c r="A1165" s="64">
        <v>45484.0</v>
      </c>
      <c r="B1165" s="55" t="str">
        <f>HYPERLINK("https://jobright.ai/jobs/info/6690b6141acf37e6b248145c?utm_campaign=1065&amp;utm_source=sheet", "Apply")</f>
        <v>Apply</v>
      </c>
      <c r="C1165" s="10" t="s">
        <v>14579</v>
      </c>
      <c r="D1165" s="56" t="s">
        <v>14380</v>
      </c>
      <c r="E1165" s="59">
        <v>45301.0</v>
      </c>
      <c r="F1165" s="10" t="s">
        <v>14381</v>
      </c>
      <c r="G1165" s="10" t="s">
        <v>12654</v>
      </c>
      <c r="H1165" s="10" t="s">
        <v>806</v>
      </c>
      <c r="I1165" s="10" t="s">
        <v>55</v>
      </c>
      <c r="J1165" s="10" t="s">
        <v>13437</v>
      </c>
      <c r="K1165" s="10" t="s">
        <v>14580</v>
      </c>
      <c r="L1165" s="10" t="s">
        <v>42</v>
      </c>
    </row>
    <row r="1166" ht="15.75" customHeight="1">
      <c r="A1166" s="64">
        <v>45484.0</v>
      </c>
      <c r="B1166" s="55" t="str">
        <f>HYPERLINK("https://jobright.ai/jobs/info/6690b6141acf37e6b2481452?utm_campaign=1065&amp;utm_source=sheet", "Apply")</f>
        <v>Apply</v>
      </c>
      <c r="C1166" s="10" t="s">
        <v>14581</v>
      </c>
      <c r="D1166" s="56" t="s">
        <v>14380</v>
      </c>
      <c r="E1166" s="59">
        <v>45301.0</v>
      </c>
      <c r="F1166" s="10" t="s">
        <v>14381</v>
      </c>
      <c r="G1166" s="10" t="s">
        <v>12654</v>
      </c>
      <c r="H1166" s="10" t="s">
        <v>765</v>
      </c>
      <c r="I1166" s="10" t="s">
        <v>55</v>
      </c>
      <c r="J1166" s="10" t="s">
        <v>13437</v>
      </c>
      <c r="K1166" s="10" t="s">
        <v>14582</v>
      </c>
      <c r="L1166" s="10" t="s">
        <v>42</v>
      </c>
    </row>
    <row r="1167" ht="15.75" customHeight="1">
      <c r="A1167" s="64">
        <v>45484.0</v>
      </c>
      <c r="B1167" s="55" t="str">
        <f>HYPERLINK("https://jobright.ai/jobs/info/6690b6141acf37e6b248145e?utm_campaign=1065&amp;utm_source=sheet", "Apply")</f>
        <v>Apply</v>
      </c>
      <c r="C1167" s="10" t="s">
        <v>14579</v>
      </c>
      <c r="D1167" s="56" t="s">
        <v>14380</v>
      </c>
      <c r="E1167" s="59">
        <v>45301.0</v>
      </c>
      <c r="F1167" s="10" t="s">
        <v>14381</v>
      </c>
      <c r="G1167" s="10" t="s">
        <v>12654</v>
      </c>
      <c r="H1167" s="10" t="s">
        <v>943</v>
      </c>
      <c r="I1167" s="10" t="s">
        <v>55</v>
      </c>
      <c r="J1167" s="10" t="s">
        <v>13437</v>
      </c>
      <c r="K1167" s="10" t="s">
        <v>14580</v>
      </c>
      <c r="L1167" s="10" t="s">
        <v>42</v>
      </c>
    </row>
    <row r="1168" ht="15.75" customHeight="1">
      <c r="A1168" s="64">
        <v>45484.0</v>
      </c>
      <c r="B1168" s="55" t="str">
        <f>HYPERLINK("https://jobright.ai/jobs/info/6690b6141acf37e6b2481454?utm_campaign=1065&amp;utm_source=sheet", "Apply")</f>
        <v>Apply</v>
      </c>
      <c r="C1168" s="10" t="s">
        <v>14581</v>
      </c>
      <c r="D1168" s="56" t="s">
        <v>14380</v>
      </c>
      <c r="E1168" s="59">
        <v>45301.0</v>
      </c>
      <c r="F1168" s="10" t="s">
        <v>14381</v>
      </c>
      <c r="G1168" s="10" t="s">
        <v>12654</v>
      </c>
      <c r="H1168" s="10" t="s">
        <v>1010</v>
      </c>
      <c r="I1168" s="10" t="s">
        <v>55</v>
      </c>
      <c r="J1168" s="10" t="s">
        <v>13437</v>
      </c>
      <c r="K1168" s="10" t="s">
        <v>14582</v>
      </c>
      <c r="L1168" s="10" t="s">
        <v>42</v>
      </c>
    </row>
    <row r="1169" ht="15.75" customHeight="1">
      <c r="A1169" s="64">
        <v>45484.0</v>
      </c>
      <c r="B1169" s="55" t="str">
        <f>HYPERLINK("https://jobright.ai/jobs/info/6690b6141acf37e6b248145d?utm_campaign=1065&amp;utm_source=sheet", "Apply")</f>
        <v>Apply</v>
      </c>
      <c r="C1169" s="10" t="s">
        <v>14579</v>
      </c>
      <c r="D1169" s="56" t="s">
        <v>14380</v>
      </c>
      <c r="E1169" s="59">
        <v>45301.0</v>
      </c>
      <c r="F1169" s="10" t="s">
        <v>14381</v>
      </c>
      <c r="G1169" s="10" t="s">
        <v>12654</v>
      </c>
      <c r="H1169" s="10" t="s">
        <v>784</v>
      </c>
      <c r="I1169" s="10" t="s">
        <v>55</v>
      </c>
      <c r="J1169" s="10" t="s">
        <v>13437</v>
      </c>
      <c r="K1169" s="10" t="s">
        <v>14580</v>
      </c>
      <c r="L1169" s="10" t="s">
        <v>42</v>
      </c>
    </row>
    <row r="1170" ht="15.75" customHeight="1">
      <c r="A1170" s="64">
        <v>45484.0</v>
      </c>
      <c r="B1170" s="55" t="str">
        <f>HYPERLINK("https://jobright.ai/jobs/info/6690b6141acf37e6b2481462?utm_campaign=1065&amp;utm_source=sheet", "Apply")</f>
        <v>Apply</v>
      </c>
      <c r="C1170" s="10" t="s">
        <v>14579</v>
      </c>
      <c r="D1170" s="56" t="s">
        <v>14380</v>
      </c>
      <c r="E1170" s="59">
        <v>45301.0</v>
      </c>
      <c r="F1170" s="10" t="s">
        <v>14381</v>
      </c>
      <c r="G1170" s="10" t="s">
        <v>12654</v>
      </c>
      <c r="H1170" s="10" t="s">
        <v>804</v>
      </c>
      <c r="I1170" s="10" t="s">
        <v>55</v>
      </c>
      <c r="J1170" s="10" t="s">
        <v>13437</v>
      </c>
      <c r="K1170" s="10" t="s">
        <v>14580</v>
      </c>
      <c r="L1170" s="10" t="s">
        <v>42</v>
      </c>
    </row>
    <row r="1171" ht="15.75" customHeight="1">
      <c r="A1171" s="64">
        <v>45484.0</v>
      </c>
      <c r="B1171" s="55" t="str">
        <f>HYPERLINK("https://jobright.ai/jobs/info/6690b6141acf37e6b2481453?utm_campaign=1065&amp;utm_source=sheet", "Apply")</f>
        <v>Apply</v>
      </c>
      <c r="C1171" s="10" t="s">
        <v>14581</v>
      </c>
      <c r="D1171" s="56" t="s">
        <v>14380</v>
      </c>
      <c r="E1171" s="59">
        <v>45301.0</v>
      </c>
      <c r="F1171" s="10" t="s">
        <v>14381</v>
      </c>
      <c r="G1171" s="10" t="s">
        <v>12654</v>
      </c>
      <c r="H1171" s="10" t="s">
        <v>857</v>
      </c>
      <c r="I1171" s="10" t="s">
        <v>55</v>
      </c>
      <c r="J1171" s="10" t="s">
        <v>13437</v>
      </c>
      <c r="K1171" s="10" t="s">
        <v>14582</v>
      </c>
      <c r="L1171" s="10" t="s">
        <v>42</v>
      </c>
    </row>
    <row r="1172" ht="15.75" customHeight="1">
      <c r="A1172" s="64">
        <v>45484.0</v>
      </c>
      <c r="B1172" s="55" t="str">
        <f>HYPERLINK("https://jobright.ai/jobs/info/6690b6141acf37e6b2481466?utm_campaign=1065&amp;utm_source=sheet", "Apply")</f>
        <v>Apply</v>
      </c>
      <c r="C1172" s="10" t="s">
        <v>14579</v>
      </c>
      <c r="D1172" s="56" t="s">
        <v>14380</v>
      </c>
      <c r="E1172" s="59">
        <v>45301.0</v>
      </c>
      <c r="F1172" s="10" t="s">
        <v>14381</v>
      </c>
      <c r="G1172" s="10" t="s">
        <v>12654</v>
      </c>
      <c r="H1172" s="10" t="s">
        <v>1023</v>
      </c>
      <c r="I1172" s="10" t="s">
        <v>55</v>
      </c>
      <c r="J1172" s="10" t="s">
        <v>13437</v>
      </c>
      <c r="K1172" s="10" t="s">
        <v>14580</v>
      </c>
      <c r="L1172" s="10" t="s">
        <v>42</v>
      </c>
    </row>
    <row r="1173" ht="15.75" customHeight="1">
      <c r="A1173" s="64">
        <v>45484.0</v>
      </c>
      <c r="B1173" s="55" t="str">
        <f>HYPERLINK("https://jobright.ai/jobs/info/6690b6141acf37e6b248146c?utm_campaign=1065&amp;utm_source=sheet", "Apply")</f>
        <v>Apply</v>
      </c>
      <c r="C1173" s="10" t="s">
        <v>14581</v>
      </c>
      <c r="D1173" s="56" t="s">
        <v>14380</v>
      </c>
      <c r="E1173" s="59">
        <v>45301.0</v>
      </c>
      <c r="F1173" s="10" t="s">
        <v>14381</v>
      </c>
      <c r="G1173" s="10" t="s">
        <v>12654</v>
      </c>
      <c r="H1173" s="10" t="s">
        <v>761</v>
      </c>
      <c r="I1173" s="10" t="s">
        <v>55</v>
      </c>
      <c r="J1173" s="10" t="s">
        <v>13437</v>
      </c>
      <c r="K1173" s="10" t="s">
        <v>14582</v>
      </c>
      <c r="L1173" s="10" t="s">
        <v>42</v>
      </c>
    </row>
    <row r="1174" ht="15.75" customHeight="1">
      <c r="A1174" s="64">
        <v>45484.0</v>
      </c>
      <c r="B1174" s="55" t="str">
        <f>HYPERLINK("https://jobright.ai/jobs/info/6690b6141acf37e6b248144c?utm_campaign=1065&amp;utm_source=sheet", "Apply")</f>
        <v>Apply</v>
      </c>
      <c r="C1174" s="10" t="s">
        <v>14579</v>
      </c>
      <c r="D1174" s="56" t="s">
        <v>14380</v>
      </c>
      <c r="E1174" s="59">
        <v>45301.0</v>
      </c>
      <c r="F1174" s="10" t="s">
        <v>14381</v>
      </c>
      <c r="G1174" s="10" t="s">
        <v>12654</v>
      </c>
      <c r="H1174" s="10" t="s">
        <v>973</v>
      </c>
      <c r="I1174" s="10" t="s">
        <v>55</v>
      </c>
      <c r="J1174" s="10" t="s">
        <v>13437</v>
      </c>
      <c r="K1174" s="10" t="s">
        <v>14580</v>
      </c>
      <c r="L1174" s="10" t="s">
        <v>42</v>
      </c>
    </row>
    <row r="1175" ht="15.75" customHeight="1">
      <c r="A1175" s="64">
        <v>45484.0</v>
      </c>
      <c r="B1175" s="55" t="str">
        <f>HYPERLINK("https://jobright.ai/jobs/info/6690b6141acf37e6b2481464?utm_campaign=1065&amp;utm_source=sheet", "Apply")</f>
        <v>Apply</v>
      </c>
      <c r="C1175" s="10" t="s">
        <v>14581</v>
      </c>
      <c r="D1175" s="56" t="s">
        <v>14380</v>
      </c>
      <c r="E1175" s="59">
        <v>45301.0</v>
      </c>
      <c r="F1175" s="10" t="s">
        <v>14381</v>
      </c>
      <c r="G1175" s="10" t="s">
        <v>12654</v>
      </c>
      <c r="H1175" s="10" t="s">
        <v>931</v>
      </c>
      <c r="I1175" s="10" t="s">
        <v>55</v>
      </c>
      <c r="J1175" s="10" t="s">
        <v>13437</v>
      </c>
      <c r="K1175" s="10" t="s">
        <v>14582</v>
      </c>
      <c r="L1175" s="10" t="s">
        <v>42</v>
      </c>
    </row>
    <row r="1176" ht="15.75" customHeight="1">
      <c r="A1176" s="64">
        <v>45484.0</v>
      </c>
      <c r="B1176" s="55" t="str">
        <f>HYPERLINK("https://jobright.ai/jobs/info/6690b6141acf37e6b2481450?utm_campaign=1065&amp;utm_source=sheet", "Apply")</f>
        <v>Apply</v>
      </c>
      <c r="C1176" s="10" t="s">
        <v>14581</v>
      </c>
      <c r="D1176" s="56" t="s">
        <v>14380</v>
      </c>
      <c r="E1176" s="59">
        <v>45301.0</v>
      </c>
      <c r="F1176" s="10" t="s">
        <v>14381</v>
      </c>
      <c r="G1176" s="10" t="s">
        <v>12654</v>
      </c>
      <c r="H1176" s="10" t="s">
        <v>766</v>
      </c>
      <c r="I1176" s="10" t="s">
        <v>55</v>
      </c>
      <c r="J1176" s="10" t="s">
        <v>13437</v>
      </c>
      <c r="K1176" s="10" t="s">
        <v>14582</v>
      </c>
      <c r="L1176" s="10" t="s">
        <v>42</v>
      </c>
    </row>
    <row r="1177" ht="15.75" customHeight="1">
      <c r="A1177" s="64">
        <v>45484.0</v>
      </c>
      <c r="B1177" s="55" t="str">
        <f>HYPERLINK("https://jobright.ai/jobs/info/6690b6141acf37e6b2481484?utm_campaign=1065&amp;utm_source=sheet", "Apply")</f>
        <v>Apply</v>
      </c>
      <c r="C1177" s="10" t="s">
        <v>14579</v>
      </c>
      <c r="D1177" s="56" t="s">
        <v>14380</v>
      </c>
      <c r="E1177" s="59">
        <v>45301.0</v>
      </c>
      <c r="F1177" s="10" t="s">
        <v>14381</v>
      </c>
      <c r="G1177" s="10" t="s">
        <v>12654</v>
      </c>
      <c r="H1177" s="10" t="s">
        <v>941</v>
      </c>
      <c r="I1177" s="10" t="s">
        <v>55</v>
      </c>
      <c r="J1177" s="10" t="s">
        <v>13437</v>
      </c>
      <c r="K1177" s="10" t="s">
        <v>14580</v>
      </c>
      <c r="L1177" s="10" t="s">
        <v>42</v>
      </c>
    </row>
    <row r="1178" ht="15.75" customHeight="1">
      <c r="A1178" s="64">
        <v>45484.0</v>
      </c>
      <c r="B1178" s="55" t="str">
        <f>HYPERLINK("https://jobright.ai/jobs/info/6690b6141acf37e6b2481479?utm_campaign=1065&amp;utm_source=sheet", "Apply")</f>
        <v>Apply</v>
      </c>
      <c r="C1178" s="10" t="s">
        <v>14581</v>
      </c>
      <c r="D1178" s="56" t="s">
        <v>14380</v>
      </c>
      <c r="E1178" s="59">
        <v>45301.0</v>
      </c>
      <c r="F1178" s="10" t="s">
        <v>14381</v>
      </c>
      <c r="G1178" s="10" t="s">
        <v>12654</v>
      </c>
      <c r="H1178" s="10" t="s">
        <v>799</v>
      </c>
      <c r="I1178" s="10" t="s">
        <v>55</v>
      </c>
      <c r="J1178" s="10" t="s">
        <v>13437</v>
      </c>
      <c r="K1178" s="10" t="s">
        <v>14582</v>
      </c>
      <c r="L1178" s="10" t="s">
        <v>42</v>
      </c>
    </row>
    <row r="1179" ht="15.75" customHeight="1">
      <c r="A1179" s="64">
        <v>45484.0</v>
      </c>
      <c r="B1179" s="55" t="str">
        <f>HYPERLINK("https://jobright.ai/jobs/info/6690b6141acf37e6b248146f?utm_campaign=1065&amp;utm_source=sheet", "Apply")</f>
        <v>Apply</v>
      </c>
      <c r="C1179" s="10" t="s">
        <v>14581</v>
      </c>
      <c r="D1179" s="56" t="s">
        <v>14380</v>
      </c>
      <c r="E1179" s="59">
        <v>45301.0</v>
      </c>
      <c r="F1179" s="10" t="s">
        <v>14381</v>
      </c>
      <c r="G1179" s="10" t="s">
        <v>12654</v>
      </c>
      <c r="H1179" s="10" t="s">
        <v>990</v>
      </c>
      <c r="I1179" s="10" t="s">
        <v>55</v>
      </c>
      <c r="J1179" s="10" t="s">
        <v>13437</v>
      </c>
      <c r="K1179" s="10" t="s">
        <v>14582</v>
      </c>
      <c r="L1179" s="10" t="s">
        <v>42</v>
      </c>
    </row>
    <row r="1180" ht="15.75" customHeight="1">
      <c r="A1180" s="64">
        <v>45484.0</v>
      </c>
      <c r="B1180" s="55" t="str">
        <f>HYPERLINK("https://jobright.ai/jobs/info/6690b6141acf37e6b2481478?utm_campaign=1065&amp;utm_source=sheet", "Apply")</f>
        <v>Apply</v>
      </c>
      <c r="C1180" s="10" t="s">
        <v>14581</v>
      </c>
      <c r="D1180" s="56" t="s">
        <v>14380</v>
      </c>
      <c r="E1180" s="59">
        <v>45301.0</v>
      </c>
      <c r="F1180" s="10" t="s">
        <v>14381</v>
      </c>
      <c r="G1180" s="10" t="s">
        <v>12654</v>
      </c>
      <c r="H1180" s="10" t="s">
        <v>1049</v>
      </c>
      <c r="I1180" s="10" t="s">
        <v>55</v>
      </c>
      <c r="J1180" s="10" t="s">
        <v>13437</v>
      </c>
      <c r="K1180" s="10" t="s">
        <v>14582</v>
      </c>
      <c r="L1180" s="10" t="s">
        <v>42</v>
      </c>
    </row>
    <row r="1181" ht="15.75" customHeight="1">
      <c r="A1181" s="64">
        <v>45484.0</v>
      </c>
      <c r="B1181" s="55" t="str">
        <f>HYPERLINK("https://jobright.ai/jobs/info/6690b6141acf37e6b2481470?utm_campaign=1065&amp;utm_source=sheet", "Apply")</f>
        <v>Apply</v>
      </c>
      <c r="C1181" s="10" t="s">
        <v>14579</v>
      </c>
      <c r="D1181" s="56" t="s">
        <v>14380</v>
      </c>
      <c r="E1181" s="59">
        <v>45301.0</v>
      </c>
      <c r="F1181" s="10" t="s">
        <v>14381</v>
      </c>
      <c r="G1181" s="10" t="s">
        <v>12654</v>
      </c>
      <c r="H1181" s="10" t="s">
        <v>790</v>
      </c>
      <c r="I1181" s="10" t="s">
        <v>55</v>
      </c>
      <c r="J1181" s="10" t="s">
        <v>13437</v>
      </c>
      <c r="K1181" s="10" t="s">
        <v>14580</v>
      </c>
      <c r="L1181" s="10" t="s">
        <v>42</v>
      </c>
    </row>
    <row r="1182" ht="15.75" customHeight="1">
      <c r="A1182" s="64">
        <v>45484.0</v>
      </c>
      <c r="B1182" s="55" t="str">
        <f>HYPERLINK("https://jobright.ai/jobs/info/6690b6141acf37e6b2481497?utm_campaign=1065&amp;utm_source=sheet", "Apply")</f>
        <v>Apply</v>
      </c>
      <c r="C1182" s="10" t="s">
        <v>14579</v>
      </c>
      <c r="D1182" s="56" t="s">
        <v>14380</v>
      </c>
      <c r="E1182" s="59">
        <v>45301.0</v>
      </c>
      <c r="F1182" s="10" t="s">
        <v>14381</v>
      </c>
      <c r="G1182" s="10" t="s">
        <v>12654</v>
      </c>
      <c r="H1182" s="10" t="s">
        <v>984</v>
      </c>
      <c r="I1182" s="10" t="s">
        <v>55</v>
      </c>
      <c r="J1182" s="10" t="s">
        <v>13437</v>
      </c>
      <c r="K1182" s="10" t="s">
        <v>14580</v>
      </c>
      <c r="L1182" s="10" t="s">
        <v>42</v>
      </c>
    </row>
    <row r="1183" ht="15.75" customHeight="1">
      <c r="A1183" s="64">
        <v>45484.0</v>
      </c>
      <c r="B1183" s="55" t="str">
        <f>HYPERLINK("https://jobright.ai/jobs/info/6690b6141acf37e6b24814a3?utm_campaign=1065&amp;utm_source=sheet", "Apply")</f>
        <v>Apply</v>
      </c>
      <c r="C1183" s="10" t="s">
        <v>14579</v>
      </c>
      <c r="D1183" s="56" t="s">
        <v>14380</v>
      </c>
      <c r="E1183" s="59">
        <v>45301.0</v>
      </c>
      <c r="F1183" s="10" t="s">
        <v>14381</v>
      </c>
      <c r="G1183" s="10" t="s">
        <v>12654</v>
      </c>
      <c r="H1183" s="10" t="s">
        <v>927</v>
      </c>
      <c r="I1183" s="10" t="s">
        <v>55</v>
      </c>
      <c r="J1183" s="10" t="s">
        <v>13437</v>
      </c>
      <c r="K1183" s="10" t="s">
        <v>14580</v>
      </c>
      <c r="L1183" s="10" t="s">
        <v>42</v>
      </c>
    </row>
    <row r="1184" ht="15.75" customHeight="1">
      <c r="A1184" s="64">
        <v>45484.0</v>
      </c>
      <c r="B1184" s="55" t="str">
        <f>HYPERLINK("https://jobright.ai/jobs/info/6690b6141acf37e6b24814a5?utm_campaign=1065&amp;utm_source=sheet", "Apply")</f>
        <v>Apply</v>
      </c>
      <c r="C1184" s="10" t="s">
        <v>14581</v>
      </c>
      <c r="D1184" s="56" t="s">
        <v>14380</v>
      </c>
      <c r="E1184" s="59">
        <v>45301.0</v>
      </c>
      <c r="F1184" s="10" t="s">
        <v>14381</v>
      </c>
      <c r="G1184" s="10" t="s">
        <v>12654</v>
      </c>
      <c r="H1184" s="10" t="s">
        <v>986</v>
      </c>
      <c r="I1184" s="10" t="s">
        <v>55</v>
      </c>
      <c r="J1184" s="10" t="s">
        <v>13437</v>
      </c>
      <c r="K1184" s="10" t="s">
        <v>14582</v>
      </c>
      <c r="L1184" s="10" t="s">
        <v>42</v>
      </c>
    </row>
    <row r="1185" ht="15.75" customHeight="1">
      <c r="A1185" s="64">
        <v>45484.0</v>
      </c>
      <c r="B1185" s="55" t="str">
        <f>HYPERLINK("https://jobright.ai/jobs/info/6690b6141acf37e6b24814bd?utm_campaign=1065&amp;utm_source=sheet", "Apply")</f>
        <v>Apply</v>
      </c>
      <c r="C1185" s="10" t="s">
        <v>14579</v>
      </c>
      <c r="D1185" s="56" t="s">
        <v>14380</v>
      </c>
      <c r="E1185" s="59">
        <v>45301.0</v>
      </c>
      <c r="F1185" s="10" t="s">
        <v>14381</v>
      </c>
      <c r="G1185" s="10" t="s">
        <v>12654</v>
      </c>
      <c r="H1185" s="10" t="s">
        <v>848</v>
      </c>
      <c r="I1185" s="10" t="s">
        <v>55</v>
      </c>
      <c r="J1185" s="10" t="s">
        <v>13437</v>
      </c>
      <c r="K1185" s="10" t="s">
        <v>14580</v>
      </c>
      <c r="L1185" s="10" t="s">
        <v>42</v>
      </c>
    </row>
    <row r="1186" ht="15.75" customHeight="1">
      <c r="A1186" s="64">
        <v>45484.0</v>
      </c>
      <c r="B1186" s="55" t="str">
        <f>HYPERLINK("https://jobright.ai/jobs/info/6690b6141acf37e6b24814b0?utm_campaign=1065&amp;utm_source=sheet", "Apply")</f>
        <v>Apply</v>
      </c>
      <c r="C1186" s="10" t="s">
        <v>14581</v>
      </c>
      <c r="D1186" s="56" t="s">
        <v>14380</v>
      </c>
      <c r="E1186" s="59">
        <v>45301.0</v>
      </c>
      <c r="F1186" s="10" t="s">
        <v>14381</v>
      </c>
      <c r="G1186" s="10" t="s">
        <v>12654</v>
      </c>
      <c r="H1186" s="10" t="s">
        <v>983</v>
      </c>
      <c r="I1186" s="10" t="s">
        <v>55</v>
      </c>
      <c r="J1186" s="10" t="s">
        <v>13437</v>
      </c>
      <c r="K1186" s="10" t="s">
        <v>14582</v>
      </c>
      <c r="L1186" s="10" t="s">
        <v>42</v>
      </c>
    </row>
    <row r="1187" ht="15.75" customHeight="1">
      <c r="A1187" s="64">
        <v>45484.0</v>
      </c>
      <c r="B1187" s="55" t="str">
        <f>HYPERLINK("https://jobright.ai/jobs/info/6690b6141acf37e6b2481493?utm_campaign=1065&amp;utm_source=sheet", "Apply")</f>
        <v>Apply</v>
      </c>
      <c r="C1187" s="10" t="s">
        <v>14579</v>
      </c>
      <c r="D1187" s="56" t="s">
        <v>14380</v>
      </c>
      <c r="E1187" s="59">
        <v>45301.0</v>
      </c>
      <c r="F1187" s="10" t="s">
        <v>14381</v>
      </c>
      <c r="G1187" s="10" t="s">
        <v>12654</v>
      </c>
      <c r="H1187" s="10" t="s">
        <v>278</v>
      </c>
      <c r="I1187" s="10" t="s">
        <v>55</v>
      </c>
      <c r="J1187" s="10" t="s">
        <v>13437</v>
      </c>
      <c r="K1187" s="10" t="s">
        <v>14580</v>
      </c>
      <c r="L1187" s="10" t="s">
        <v>42</v>
      </c>
    </row>
    <row r="1188" ht="15.75" customHeight="1">
      <c r="A1188" s="66">
        <v>45484.0</v>
      </c>
      <c r="B1188" s="55" t="str">
        <f>HYPERLINK("https://jobright.ai/jobs/info/6690b6141acf37e6b24814b5?utm_campaign=1065&amp;utm_source=sheet", "Apply")</f>
        <v>Apply</v>
      </c>
      <c r="C1188" s="10" t="s">
        <v>14579</v>
      </c>
      <c r="D1188" s="56" t="s">
        <v>14380</v>
      </c>
      <c r="E1188" s="59">
        <v>45301.0</v>
      </c>
      <c r="F1188" s="10" t="s">
        <v>14381</v>
      </c>
      <c r="G1188" s="10" t="s">
        <v>12654</v>
      </c>
      <c r="H1188" s="10" t="s">
        <v>1012</v>
      </c>
      <c r="I1188" s="10" t="s">
        <v>55</v>
      </c>
      <c r="J1188" s="10" t="s">
        <v>13437</v>
      </c>
      <c r="K1188" s="10" t="s">
        <v>14580</v>
      </c>
      <c r="L1188" s="10" t="s">
        <v>42</v>
      </c>
    </row>
    <row r="1189" ht="15.75" customHeight="1">
      <c r="A1189" s="66">
        <v>45484.0</v>
      </c>
      <c r="B1189" s="55" t="str">
        <f>HYPERLINK("https://jobright.ai/jobs/info/6690b6141acf37e6b24814a4?utm_campaign=1065&amp;utm_source=sheet", "Apply")</f>
        <v>Apply</v>
      </c>
      <c r="C1189" s="10" t="s">
        <v>14579</v>
      </c>
      <c r="D1189" s="56" t="s">
        <v>14380</v>
      </c>
      <c r="E1189" s="59">
        <v>45301.0</v>
      </c>
      <c r="F1189" s="10" t="s">
        <v>14381</v>
      </c>
      <c r="G1189" s="10" t="s">
        <v>12654</v>
      </c>
      <c r="H1189" s="10" t="s">
        <v>992</v>
      </c>
      <c r="I1189" s="10" t="s">
        <v>55</v>
      </c>
      <c r="J1189" s="10" t="s">
        <v>13437</v>
      </c>
      <c r="K1189" s="10" t="s">
        <v>14580</v>
      </c>
      <c r="L1189" s="10" t="s">
        <v>42</v>
      </c>
    </row>
    <row r="1190" ht="15.75" customHeight="1">
      <c r="A1190" s="66">
        <v>45484.0</v>
      </c>
      <c r="B1190" s="55" t="str">
        <f>HYPERLINK("https://jobright.ai/jobs/info/6690b6141acf37e6b2481495?utm_campaign=1065&amp;utm_source=sheet", "Apply")</f>
        <v>Apply</v>
      </c>
      <c r="C1190" s="10" t="s">
        <v>14579</v>
      </c>
      <c r="D1190" s="56" t="s">
        <v>14380</v>
      </c>
      <c r="E1190" s="59">
        <v>45301.0</v>
      </c>
      <c r="F1190" s="10" t="s">
        <v>14381</v>
      </c>
      <c r="G1190" s="10" t="s">
        <v>12654</v>
      </c>
      <c r="H1190" s="10" t="s">
        <v>1048</v>
      </c>
      <c r="I1190" s="10" t="s">
        <v>55</v>
      </c>
      <c r="J1190" s="10" t="s">
        <v>13437</v>
      </c>
      <c r="K1190" s="10" t="s">
        <v>14580</v>
      </c>
      <c r="L1190" s="10" t="s">
        <v>42</v>
      </c>
    </row>
    <row r="1191" ht="15.75" customHeight="1">
      <c r="A1191" s="66">
        <v>45484.0</v>
      </c>
      <c r="B1191" s="55" t="str">
        <f>HYPERLINK("https://jobright.ai/jobs/info/6690b6141acf37e6b2481488?utm_campaign=1065&amp;utm_source=sheet", "Apply")</f>
        <v>Apply</v>
      </c>
      <c r="C1191" s="10" t="s">
        <v>14579</v>
      </c>
      <c r="D1191" s="56" t="s">
        <v>14380</v>
      </c>
      <c r="E1191" s="59">
        <v>45301.0</v>
      </c>
      <c r="F1191" s="10" t="s">
        <v>14381</v>
      </c>
      <c r="G1191" s="10" t="s">
        <v>12654</v>
      </c>
      <c r="H1191" s="10" t="s">
        <v>783</v>
      </c>
      <c r="I1191" s="10" t="s">
        <v>55</v>
      </c>
      <c r="J1191" s="10" t="s">
        <v>13437</v>
      </c>
      <c r="K1191" s="10" t="s">
        <v>14580</v>
      </c>
      <c r="L1191" s="10" t="s">
        <v>42</v>
      </c>
    </row>
    <row r="1192" ht="15.75" customHeight="1">
      <c r="A1192" s="66">
        <v>45484.0</v>
      </c>
      <c r="B1192" s="55" t="str">
        <f>HYPERLINK("https://jobright.ai/jobs/info/6690b6141acf37e6b24814b6?utm_campaign=1065&amp;utm_source=sheet", "Apply")</f>
        <v>Apply</v>
      </c>
      <c r="C1192" s="10" t="s">
        <v>14579</v>
      </c>
      <c r="D1192" s="56" t="s">
        <v>14380</v>
      </c>
      <c r="E1192" s="59">
        <v>45301.0</v>
      </c>
      <c r="F1192" s="10" t="s">
        <v>14381</v>
      </c>
      <c r="G1192" s="10" t="s">
        <v>12654</v>
      </c>
      <c r="H1192" s="10" t="s">
        <v>982</v>
      </c>
      <c r="I1192" s="10" t="s">
        <v>55</v>
      </c>
      <c r="J1192" s="10" t="s">
        <v>13437</v>
      </c>
      <c r="K1192" s="10" t="s">
        <v>14580</v>
      </c>
      <c r="L1192" s="10" t="s">
        <v>42</v>
      </c>
    </row>
    <row r="1193" ht="15.75" customHeight="1">
      <c r="A1193" s="66">
        <v>45484.0</v>
      </c>
      <c r="B1193" s="55" t="str">
        <f>HYPERLINK("https://jobright.ai/jobs/info/6690b6141acf37e6b2481489?utm_campaign=1065&amp;utm_source=sheet", "Apply")</f>
        <v>Apply</v>
      </c>
      <c r="C1193" s="10" t="s">
        <v>14579</v>
      </c>
      <c r="D1193" s="56" t="s">
        <v>14380</v>
      </c>
      <c r="E1193" s="59">
        <v>45301.0</v>
      </c>
      <c r="F1193" s="10" t="s">
        <v>14381</v>
      </c>
      <c r="G1193" s="10" t="s">
        <v>12654</v>
      </c>
      <c r="H1193" s="10" t="s">
        <v>962</v>
      </c>
      <c r="I1193" s="10" t="s">
        <v>55</v>
      </c>
      <c r="J1193" s="10" t="s">
        <v>13437</v>
      </c>
      <c r="K1193" s="10" t="s">
        <v>14580</v>
      </c>
      <c r="L1193" s="10" t="s">
        <v>42</v>
      </c>
    </row>
    <row r="1194" ht="15.75" customHeight="1">
      <c r="A1194" s="66">
        <v>45484.0</v>
      </c>
      <c r="B1194" s="55" t="str">
        <f>HYPERLINK("https://jobright.ai/jobs/info/6690b6141acf37e6b24814c1?utm_campaign=1065&amp;utm_source=sheet", "Apply")</f>
        <v>Apply</v>
      </c>
      <c r="C1194" s="10" t="s">
        <v>14581</v>
      </c>
      <c r="D1194" s="56" t="s">
        <v>14380</v>
      </c>
      <c r="E1194" s="59">
        <v>45301.0</v>
      </c>
      <c r="F1194" s="10" t="s">
        <v>14381</v>
      </c>
      <c r="G1194" s="10" t="s">
        <v>12654</v>
      </c>
      <c r="H1194" s="10" t="s">
        <v>816</v>
      </c>
      <c r="I1194" s="10" t="s">
        <v>55</v>
      </c>
      <c r="J1194" s="10" t="s">
        <v>13437</v>
      </c>
      <c r="K1194" s="10" t="s">
        <v>14582</v>
      </c>
      <c r="L1194" s="10" t="s">
        <v>42</v>
      </c>
    </row>
    <row r="1195" ht="15.75" customHeight="1">
      <c r="A1195" s="66">
        <v>45484.0</v>
      </c>
      <c r="B1195" s="55" t="str">
        <f>HYPERLINK("https://jobright.ai/jobs/info/6690b61c1acf37e6b24814ee?utm_campaign=1065&amp;utm_source=sheet", "Apply")</f>
        <v>Apply</v>
      </c>
      <c r="C1195" s="10" t="s">
        <v>14579</v>
      </c>
      <c r="D1195" s="56" t="s">
        <v>14380</v>
      </c>
      <c r="E1195" s="59">
        <v>45301.0</v>
      </c>
      <c r="F1195" s="10" t="s">
        <v>14381</v>
      </c>
      <c r="G1195" s="10" t="s">
        <v>12654</v>
      </c>
      <c r="H1195" s="10" t="s">
        <v>1006</v>
      </c>
      <c r="I1195" s="10" t="s">
        <v>55</v>
      </c>
      <c r="J1195" s="10" t="s">
        <v>13437</v>
      </c>
      <c r="K1195" s="10" t="s">
        <v>14580</v>
      </c>
      <c r="L1195" s="10" t="s">
        <v>42</v>
      </c>
    </row>
    <row r="1196" ht="15.75" customHeight="1">
      <c r="A1196" s="66">
        <v>45484.0</v>
      </c>
      <c r="B1196" s="55" t="str">
        <f>HYPERLINK("https://jobright.ai/jobs/info/6690b61c1acf37e6b24814ea?utm_campaign=1065&amp;utm_source=sheet", "Apply")</f>
        <v>Apply</v>
      </c>
      <c r="C1196" s="10" t="s">
        <v>14579</v>
      </c>
      <c r="D1196" s="56" t="s">
        <v>14380</v>
      </c>
      <c r="E1196" s="59">
        <v>45301.0</v>
      </c>
      <c r="F1196" s="10" t="s">
        <v>14381</v>
      </c>
      <c r="G1196" s="10" t="s">
        <v>12654</v>
      </c>
      <c r="H1196" s="10" t="s">
        <v>811</v>
      </c>
      <c r="I1196" s="10" t="s">
        <v>55</v>
      </c>
      <c r="J1196" s="10" t="s">
        <v>13437</v>
      </c>
      <c r="K1196" s="10" t="s">
        <v>14580</v>
      </c>
      <c r="L1196" s="10" t="s">
        <v>42</v>
      </c>
    </row>
    <row r="1197" ht="15.75" customHeight="1">
      <c r="A1197" s="66">
        <v>45484.0</v>
      </c>
      <c r="B1197" s="55" t="str">
        <f>HYPERLINK("https://jobright.ai/jobs/info/6690b61c1acf37e6b24814e1?utm_campaign=1065&amp;utm_source=sheet", "Apply")</f>
        <v>Apply</v>
      </c>
      <c r="C1197" s="10" t="s">
        <v>14579</v>
      </c>
      <c r="D1197" s="56" t="s">
        <v>14380</v>
      </c>
      <c r="E1197" s="59">
        <v>45301.0</v>
      </c>
      <c r="F1197" s="10" t="s">
        <v>14381</v>
      </c>
      <c r="G1197" s="10" t="s">
        <v>12654</v>
      </c>
      <c r="H1197" s="10" t="s">
        <v>1043</v>
      </c>
      <c r="I1197" s="10" t="s">
        <v>55</v>
      </c>
      <c r="J1197" s="10" t="s">
        <v>13437</v>
      </c>
      <c r="K1197" s="10" t="s">
        <v>14580</v>
      </c>
      <c r="L1197" s="10" t="s">
        <v>42</v>
      </c>
    </row>
    <row r="1198" ht="15.75" customHeight="1">
      <c r="A1198" s="66">
        <v>45484.0</v>
      </c>
      <c r="B1198" s="55" t="str">
        <f>HYPERLINK("https://jobright.ai/jobs/info/6690b6141acf37e6b24814cd?utm_campaign=1065&amp;utm_source=sheet", "Apply")</f>
        <v>Apply</v>
      </c>
      <c r="C1198" s="10" t="s">
        <v>14579</v>
      </c>
      <c r="D1198" s="56" t="s">
        <v>14380</v>
      </c>
      <c r="E1198" s="59">
        <v>45301.0</v>
      </c>
      <c r="F1198" s="10" t="s">
        <v>14381</v>
      </c>
      <c r="G1198" s="10" t="s">
        <v>12654</v>
      </c>
      <c r="H1198" s="10" t="s">
        <v>765</v>
      </c>
      <c r="I1198" s="10" t="s">
        <v>55</v>
      </c>
      <c r="J1198" s="10" t="s">
        <v>13437</v>
      </c>
      <c r="K1198" s="10" t="s">
        <v>14580</v>
      </c>
      <c r="L1198" s="10" t="s">
        <v>42</v>
      </c>
    </row>
    <row r="1199" ht="15.75" customHeight="1">
      <c r="A1199" s="66">
        <v>45484.0</v>
      </c>
      <c r="B1199" s="55" t="str">
        <f>HYPERLINK("https://jobright.ai/jobs/info/6690b6141acf37e6b24814d9?utm_campaign=1065&amp;utm_source=sheet", "Apply")</f>
        <v>Apply</v>
      </c>
      <c r="C1199" s="10" t="s">
        <v>14579</v>
      </c>
      <c r="D1199" s="56" t="s">
        <v>14380</v>
      </c>
      <c r="E1199" s="59">
        <v>45301.0</v>
      </c>
      <c r="F1199" s="10" t="s">
        <v>14381</v>
      </c>
      <c r="G1199" s="10" t="s">
        <v>12654</v>
      </c>
      <c r="H1199" s="10" t="s">
        <v>1032</v>
      </c>
      <c r="I1199" s="10" t="s">
        <v>55</v>
      </c>
      <c r="J1199" s="10" t="s">
        <v>13437</v>
      </c>
      <c r="K1199" s="10" t="s">
        <v>14580</v>
      </c>
      <c r="L1199" s="10" t="s">
        <v>42</v>
      </c>
    </row>
    <row r="1200" ht="15.75" customHeight="1">
      <c r="A1200" s="66">
        <v>45484.0</v>
      </c>
      <c r="B1200" s="55" t="str">
        <f>HYPERLINK("https://jobright.ai/jobs/info/6690b61c1acf37e6b24814f2?utm_campaign=1065&amp;utm_source=sheet", "Apply")</f>
        <v>Apply</v>
      </c>
      <c r="C1200" s="10" t="s">
        <v>14579</v>
      </c>
      <c r="D1200" s="56" t="s">
        <v>14380</v>
      </c>
      <c r="E1200" s="59">
        <v>45301.0</v>
      </c>
      <c r="F1200" s="10" t="s">
        <v>14381</v>
      </c>
      <c r="G1200" s="10" t="s">
        <v>12654</v>
      </c>
      <c r="H1200" s="10" t="s">
        <v>959</v>
      </c>
      <c r="I1200" s="10" t="s">
        <v>55</v>
      </c>
      <c r="J1200" s="10" t="s">
        <v>13437</v>
      </c>
      <c r="K1200" s="10" t="s">
        <v>14580</v>
      </c>
      <c r="L1200" s="10" t="s">
        <v>42</v>
      </c>
    </row>
    <row r="1201" ht="15.75" customHeight="1">
      <c r="A1201" s="66">
        <v>45484.0</v>
      </c>
      <c r="B1201" s="55" t="str">
        <f>HYPERLINK("https://jobright.ai/jobs/info/6690b6141acf37e6b24814c6?utm_campaign=1065&amp;utm_source=sheet", "Apply")</f>
        <v>Apply</v>
      </c>
      <c r="C1201" s="10" t="s">
        <v>14581</v>
      </c>
      <c r="D1201" s="56" t="s">
        <v>14380</v>
      </c>
      <c r="E1201" s="59">
        <v>45301.0</v>
      </c>
      <c r="F1201" s="10" t="s">
        <v>14381</v>
      </c>
      <c r="G1201" s="10" t="s">
        <v>12654</v>
      </c>
      <c r="H1201" s="10" t="s">
        <v>975</v>
      </c>
      <c r="I1201" s="10" t="s">
        <v>55</v>
      </c>
      <c r="J1201" s="10" t="s">
        <v>13437</v>
      </c>
      <c r="K1201" s="10" t="s">
        <v>14582</v>
      </c>
      <c r="L1201" s="10" t="s">
        <v>42</v>
      </c>
    </row>
    <row r="1202" ht="15.75" customHeight="1">
      <c r="A1202" s="66">
        <v>45484.0</v>
      </c>
      <c r="B1202" s="55" t="str">
        <f>HYPERLINK("https://jobright.ai/jobs/info/6690b61c1acf37e6b24814f8?utm_campaign=1065&amp;utm_source=sheet", "Apply")</f>
        <v>Apply</v>
      </c>
      <c r="C1202" s="10" t="s">
        <v>14579</v>
      </c>
      <c r="D1202" s="56" t="s">
        <v>14380</v>
      </c>
      <c r="E1202" s="59">
        <v>45301.0</v>
      </c>
      <c r="F1202" s="10" t="s">
        <v>14381</v>
      </c>
      <c r="G1202" s="10" t="s">
        <v>12654</v>
      </c>
      <c r="H1202" s="10" t="s">
        <v>836</v>
      </c>
      <c r="I1202" s="10" t="s">
        <v>55</v>
      </c>
      <c r="J1202" s="10" t="s">
        <v>13437</v>
      </c>
      <c r="K1202" s="10" t="s">
        <v>14580</v>
      </c>
      <c r="L1202" s="10" t="s">
        <v>42</v>
      </c>
    </row>
    <row r="1203" ht="15.75" customHeight="1">
      <c r="A1203" s="66">
        <v>45484.0</v>
      </c>
      <c r="B1203" s="55" t="str">
        <f>HYPERLINK("https://jobright.ai/jobs/info/6690b61c1acf37e6b24814e9?utm_campaign=1065&amp;utm_source=sheet", "Apply")</f>
        <v>Apply</v>
      </c>
      <c r="C1203" s="10" t="s">
        <v>14581</v>
      </c>
      <c r="D1203" s="56" t="s">
        <v>14380</v>
      </c>
      <c r="E1203" s="59">
        <v>45301.0</v>
      </c>
      <c r="F1203" s="10" t="s">
        <v>14381</v>
      </c>
      <c r="G1203" s="10" t="s">
        <v>12654</v>
      </c>
      <c r="H1203" s="10" t="s">
        <v>1030</v>
      </c>
      <c r="I1203" s="10" t="s">
        <v>55</v>
      </c>
      <c r="J1203" s="10" t="s">
        <v>13437</v>
      </c>
      <c r="K1203" s="10" t="s">
        <v>14582</v>
      </c>
      <c r="L1203" s="10" t="s">
        <v>42</v>
      </c>
    </row>
    <row r="1204" ht="15.75" customHeight="1">
      <c r="A1204" s="66">
        <v>45484.0</v>
      </c>
      <c r="B1204" s="55" t="str">
        <f>HYPERLINK("https://jobright.ai/jobs/info/6690b61c1acf37e6b24814fe?utm_campaign=1065&amp;utm_source=sheet", "Apply")</f>
        <v>Apply</v>
      </c>
      <c r="C1204" s="10" t="s">
        <v>14581</v>
      </c>
      <c r="D1204" s="56" t="s">
        <v>14380</v>
      </c>
      <c r="E1204" s="59">
        <v>45301.0</v>
      </c>
      <c r="F1204" s="10" t="s">
        <v>14381</v>
      </c>
      <c r="G1204" s="10" t="s">
        <v>12654</v>
      </c>
      <c r="H1204" s="10" t="s">
        <v>1027</v>
      </c>
      <c r="I1204" s="10" t="s">
        <v>55</v>
      </c>
      <c r="J1204" s="10" t="s">
        <v>13437</v>
      </c>
      <c r="K1204" s="10" t="s">
        <v>14582</v>
      </c>
      <c r="L1204" s="10" t="s">
        <v>42</v>
      </c>
    </row>
    <row r="1205" ht="15.75" customHeight="1">
      <c r="A1205" s="66">
        <v>45484.0</v>
      </c>
      <c r="B1205" s="55" t="str">
        <f>HYPERLINK("https://jobright.ai/jobs/info/6690b61c1acf37e6b24814dc?utm_campaign=1065&amp;utm_source=sheet", "Apply")</f>
        <v>Apply</v>
      </c>
      <c r="C1205" s="10" t="s">
        <v>14581</v>
      </c>
      <c r="D1205" s="56" t="s">
        <v>14380</v>
      </c>
      <c r="E1205" s="59">
        <v>45301.0</v>
      </c>
      <c r="F1205" s="10" t="s">
        <v>14381</v>
      </c>
      <c r="G1205" s="10" t="s">
        <v>12654</v>
      </c>
      <c r="H1205" s="10" t="s">
        <v>840</v>
      </c>
      <c r="I1205" s="10" t="s">
        <v>55</v>
      </c>
      <c r="J1205" s="10" t="s">
        <v>13437</v>
      </c>
      <c r="K1205" s="10" t="s">
        <v>14582</v>
      </c>
      <c r="L1205" s="10" t="s">
        <v>42</v>
      </c>
    </row>
    <row r="1206" ht="15.75" customHeight="1">
      <c r="A1206" s="66">
        <v>45484.0</v>
      </c>
      <c r="B1206" s="55" t="str">
        <f>HYPERLINK("https://jobright.ai/jobs/info/6690b6141acf37e6b24814d4?utm_campaign=1065&amp;utm_source=sheet", "Apply")</f>
        <v>Apply</v>
      </c>
      <c r="C1206" s="10" t="s">
        <v>14579</v>
      </c>
      <c r="D1206" s="56" t="s">
        <v>14380</v>
      </c>
      <c r="E1206" s="59">
        <v>45301.0</v>
      </c>
      <c r="F1206" s="10" t="s">
        <v>14381</v>
      </c>
      <c r="G1206" s="10" t="s">
        <v>12654</v>
      </c>
      <c r="H1206" s="10" t="s">
        <v>779</v>
      </c>
      <c r="I1206" s="10" t="s">
        <v>55</v>
      </c>
      <c r="J1206" s="10" t="s">
        <v>13437</v>
      </c>
      <c r="K1206" s="10" t="s">
        <v>14580</v>
      </c>
      <c r="L1206" s="10" t="s">
        <v>42</v>
      </c>
    </row>
    <row r="1207" ht="15.75" customHeight="1">
      <c r="A1207" s="66">
        <v>45484.0</v>
      </c>
      <c r="B1207" s="55" t="str">
        <f>HYPERLINK("https://jobright.ai/jobs/info/6690b61c1acf37e6b24814f4?utm_campaign=1065&amp;utm_source=sheet", "Apply")</f>
        <v>Apply</v>
      </c>
      <c r="C1207" s="10" t="s">
        <v>14581</v>
      </c>
      <c r="D1207" s="56" t="s">
        <v>14380</v>
      </c>
      <c r="E1207" s="59">
        <v>45301.0</v>
      </c>
      <c r="F1207" s="10" t="s">
        <v>14381</v>
      </c>
      <c r="G1207" s="10" t="s">
        <v>12654</v>
      </c>
      <c r="H1207" s="10" t="s">
        <v>113</v>
      </c>
      <c r="I1207" s="10" t="s">
        <v>55</v>
      </c>
      <c r="J1207" s="10" t="s">
        <v>13437</v>
      </c>
      <c r="K1207" s="10" t="s">
        <v>14582</v>
      </c>
      <c r="L1207" s="10" t="s">
        <v>42</v>
      </c>
    </row>
    <row r="1208" ht="15.75" customHeight="1">
      <c r="A1208" s="66">
        <v>45484.0</v>
      </c>
      <c r="B1208" s="55" t="str">
        <f>HYPERLINK("https://jobright.ai/jobs/info/6690b61c1acf37e6b248151d?utm_campaign=1065&amp;utm_source=sheet", "Apply")</f>
        <v>Apply</v>
      </c>
      <c r="C1208" s="10" t="s">
        <v>14579</v>
      </c>
      <c r="D1208" s="56" t="s">
        <v>14380</v>
      </c>
      <c r="E1208" s="59">
        <v>45301.0</v>
      </c>
      <c r="F1208" s="10" t="s">
        <v>14381</v>
      </c>
      <c r="G1208" s="10" t="s">
        <v>12654</v>
      </c>
      <c r="H1208" s="10" t="s">
        <v>817</v>
      </c>
      <c r="I1208" s="10" t="s">
        <v>55</v>
      </c>
      <c r="J1208" s="10" t="s">
        <v>13437</v>
      </c>
      <c r="K1208" s="10" t="s">
        <v>14580</v>
      </c>
      <c r="L1208" s="10" t="s">
        <v>42</v>
      </c>
    </row>
    <row r="1209" ht="15.75" customHeight="1">
      <c r="A1209" s="66">
        <v>45484.0</v>
      </c>
      <c r="B1209" s="55" t="str">
        <f>HYPERLINK("https://jobright.ai/jobs/info/6690b61c1acf37e6b24814ff?utm_campaign=1065&amp;utm_source=sheet", "Apply")</f>
        <v>Apply</v>
      </c>
      <c r="C1209" s="10" t="s">
        <v>14579</v>
      </c>
      <c r="D1209" s="56" t="s">
        <v>14380</v>
      </c>
      <c r="E1209" s="59">
        <v>45301.0</v>
      </c>
      <c r="F1209" s="10" t="s">
        <v>14381</v>
      </c>
      <c r="G1209" s="10" t="s">
        <v>12654</v>
      </c>
      <c r="H1209" s="10" t="s">
        <v>815</v>
      </c>
      <c r="I1209" s="10" t="s">
        <v>55</v>
      </c>
      <c r="J1209" s="10" t="s">
        <v>13437</v>
      </c>
      <c r="K1209" s="10" t="s">
        <v>14580</v>
      </c>
      <c r="L1209" s="10" t="s">
        <v>42</v>
      </c>
    </row>
    <row r="1210" ht="15.75" customHeight="1">
      <c r="A1210" s="66">
        <v>45484.0</v>
      </c>
      <c r="B1210" s="55" t="str">
        <f>HYPERLINK("https://jobright.ai/jobs/info/6690b61c1acf37e6b2481505?utm_campaign=1065&amp;utm_source=sheet", "Apply")</f>
        <v>Apply</v>
      </c>
      <c r="C1210" s="10" t="s">
        <v>14579</v>
      </c>
      <c r="D1210" s="56" t="s">
        <v>14380</v>
      </c>
      <c r="E1210" s="59">
        <v>45301.0</v>
      </c>
      <c r="F1210" s="10" t="s">
        <v>14381</v>
      </c>
      <c r="G1210" s="10" t="s">
        <v>12654</v>
      </c>
      <c r="H1210" s="10" t="s">
        <v>1017</v>
      </c>
      <c r="I1210" s="10" t="s">
        <v>55</v>
      </c>
      <c r="J1210" s="10" t="s">
        <v>13437</v>
      </c>
      <c r="K1210" s="10" t="s">
        <v>14580</v>
      </c>
      <c r="L1210" s="10" t="s">
        <v>42</v>
      </c>
    </row>
    <row r="1211" ht="15.75" customHeight="1">
      <c r="A1211" s="66">
        <v>45484.0</v>
      </c>
      <c r="B1211" s="55" t="str">
        <f>HYPERLINK("https://jobright.ai/jobs/info/6690b61c1acf37e6b2481518?utm_campaign=1065&amp;utm_source=sheet", "Apply")</f>
        <v>Apply</v>
      </c>
      <c r="C1211" s="10" t="s">
        <v>14579</v>
      </c>
      <c r="D1211" s="56" t="s">
        <v>14380</v>
      </c>
      <c r="E1211" s="59">
        <v>45301.0</v>
      </c>
      <c r="F1211" s="10" t="s">
        <v>14381</v>
      </c>
      <c r="G1211" s="10" t="s">
        <v>12654</v>
      </c>
      <c r="H1211" s="10" t="s">
        <v>859</v>
      </c>
      <c r="I1211" s="10" t="s">
        <v>55</v>
      </c>
      <c r="J1211" s="10" t="s">
        <v>13437</v>
      </c>
      <c r="K1211" s="10" t="s">
        <v>14580</v>
      </c>
      <c r="L1211" s="10" t="s">
        <v>42</v>
      </c>
    </row>
    <row r="1212" ht="15.75" customHeight="1">
      <c r="A1212" s="66">
        <v>45484.0</v>
      </c>
      <c r="B1212" s="55" t="str">
        <f>HYPERLINK("https://jobright.ai/jobs/info/6690b61c1acf37e6b2481517?utm_campaign=1065&amp;utm_source=sheet", "Apply")</f>
        <v>Apply</v>
      </c>
      <c r="C1212" s="10" t="s">
        <v>14581</v>
      </c>
      <c r="D1212" s="56" t="s">
        <v>14380</v>
      </c>
      <c r="E1212" s="59">
        <v>45301.0</v>
      </c>
      <c r="F1212" s="10" t="s">
        <v>14381</v>
      </c>
      <c r="G1212" s="10" t="s">
        <v>12654</v>
      </c>
      <c r="H1212" s="10" t="s">
        <v>904</v>
      </c>
      <c r="I1212" s="10" t="s">
        <v>55</v>
      </c>
      <c r="J1212" s="10" t="s">
        <v>13437</v>
      </c>
      <c r="K1212" s="10" t="s">
        <v>14582</v>
      </c>
      <c r="L1212" s="10" t="s">
        <v>42</v>
      </c>
    </row>
    <row r="1213" ht="15.75" customHeight="1">
      <c r="A1213" s="66">
        <v>45484.0</v>
      </c>
      <c r="B1213" s="55" t="str">
        <f>HYPERLINK("https://jobright.ai/jobs/info/6690b61c1acf37e6b2481504?utm_campaign=1065&amp;utm_source=sheet", "Apply")</f>
        <v>Apply</v>
      </c>
      <c r="C1213" s="10" t="s">
        <v>14579</v>
      </c>
      <c r="D1213" s="56" t="s">
        <v>14380</v>
      </c>
      <c r="E1213" s="59">
        <v>45301.0</v>
      </c>
      <c r="F1213" s="10" t="s">
        <v>14381</v>
      </c>
      <c r="G1213" s="10" t="s">
        <v>12654</v>
      </c>
      <c r="H1213" s="10" t="s">
        <v>985</v>
      </c>
      <c r="I1213" s="10" t="s">
        <v>55</v>
      </c>
      <c r="J1213" s="10" t="s">
        <v>13437</v>
      </c>
      <c r="K1213" s="10" t="s">
        <v>14580</v>
      </c>
      <c r="L1213" s="10" t="s">
        <v>42</v>
      </c>
    </row>
    <row r="1214" ht="15.75" customHeight="1">
      <c r="A1214" s="66">
        <v>45484.0</v>
      </c>
      <c r="B1214" s="55" t="str">
        <f>HYPERLINK("https://jobright.ai/jobs/info/6690b61c1acf37e6b248151b?utm_campaign=1065&amp;utm_source=sheet", "Apply")</f>
        <v>Apply</v>
      </c>
      <c r="C1214" s="10" t="s">
        <v>14579</v>
      </c>
      <c r="D1214" s="56" t="s">
        <v>14380</v>
      </c>
      <c r="E1214" s="59">
        <v>45301.0</v>
      </c>
      <c r="F1214" s="10" t="s">
        <v>14381</v>
      </c>
      <c r="G1214" s="10" t="s">
        <v>12654</v>
      </c>
      <c r="H1214" s="10" t="s">
        <v>846</v>
      </c>
      <c r="I1214" s="10" t="s">
        <v>55</v>
      </c>
      <c r="J1214" s="10" t="s">
        <v>13437</v>
      </c>
      <c r="K1214" s="10" t="s">
        <v>14580</v>
      </c>
      <c r="L1214" s="10" t="s">
        <v>42</v>
      </c>
    </row>
    <row r="1215" ht="15.75" customHeight="1">
      <c r="A1215" s="66">
        <v>45484.0</v>
      </c>
      <c r="B1215" s="55" t="str">
        <f>HYPERLINK("https://jobright.ai/jobs/info/6690b61c1acf37e6b2481511?utm_campaign=1065&amp;utm_source=sheet", "Apply")</f>
        <v>Apply</v>
      </c>
      <c r="C1215" s="10" t="s">
        <v>14581</v>
      </c>
      <c r="D1215" s="56" t="s">
        <v>14380</v>
      </c>
      <c r="E1215" s="59">
        <v>45301.0</v>
      </c>
      <c r="F1215" s="10" t="s">
        <v>14381</v>
      </c>
      <c r="G1215" s="10" t="s">
        <v>12654</v>
      </c>
      <c r="H1215" s="10" t="s">
        <v>775</v>
      </c>
      <c r="I1215" s="10" t="s">
        <v>55</v>
      </c>
      <c r="J1215" s="10" t="s">
        <v>13437</v>
      </c>
      <c r="K1215" s="10" t="s">
        <v>14582</v>
      </c>
      <c r="L1215" s="10" t="s">
        <v>42</v>
      </c>
    </row>
    <row r="1216" ht="15.75" customHeight="1">
      <c r="A1216" s="66">
        <v>45484.0</v>
      </c>
      <c r="B1216" s="55" t="str">
        <f>HYPERLINK("https://jobright.ai/jobs/info/6690b61c1acf37e6b248152a?utm_campaign=1065&amp;utm_source=sheet", "Apply")</f>
        <v>Apply</v>
      </c>
      <c r="C1216" s="10" t="s">
        <v>14581</v>
      </c>
      <c r="D1216" s="56" t="s">
        <v>14380</v>
      </c>
      <c r="E1216" s="59">
        <v>45301.0</v>
      </c>
      <c r="F1216" s="10" t="s">
        <v>14381</v>
      </c>
      <c r="G1216" s="10" t="s">
        <v>12654</v>
      </c>
      <c r="H1216" s="10" t="s">
        <v>929</v>
      </c>
      <c r="I1216" s="10" t="s">
        <v>55</v>
      </c>
      <c r="J1216" s="10" t="s">
        <v>13437</v>
      </c>
      <c r="K1216" s="10" t="s">
        <v>14582</v>
      </c>
      <c r="L1216" s="10" t="s">
        <v>42</v>
      </c>
    </row>
    <row r="1217" ht="15.75" customHeight="1">
      <c r="A1217" s="66">
        <v>45484.0</v>
      </c>
      <c r="B1217" s="55" t="str">
        <f>HYPERLINK("https://jobright.ai/jobs/info/6690b61c1acf37e6b2481529?utm_campaign=1065&amp;utm_source=sheet", "Apply")</f>
        <v>Apply</v>
      </c>
      <c r="C1217" s="10" t="s">
        <v>14581</v>
      </c>
      <c r="D1217" s="56" t="s">
        <v>14380</v>
      </c>
      <c r="E1217" s="59">
        <v>45301.0</v>
      </c>
      <c r="F1217" s="10" t="s">
        <v>14381</v>
      </c>
      <c r="G1217" s="10" t="s">
        <v>12654</v>
      </c>
      <c r="H1217" s="10" t="s">
        <v>168</v>
      </c>
      <c r="I1217" s="10" t="s">
        <v>55</v>
      </c>
      <c r="J1217" s="10" t="s">
        <v>13437</v>
      </c>
      <c r="K1217" s="10" t="s">
        <v>14582</v>
      </c>
      <c r="L1217" s="10" t="s">
        <v>42</v>
      </c>
    </row>
    <row r="1218" ht="15.75" customHeight="1">
      <c r="A1218" s="66">
        <v>45484.0</v>
      </c>
      <c r="B1218" s="55" t="str">
        <f>HYPERLINK("https://jobright.ai/jobs/info/6690b61c1acf37e6b2481502?utm_campaign=1065&amp;utm_source=sheet", "Apply")</f>
        <v>Apply</v>
      </c>
      <c r="C1218" s="10" t="s">
        <v>14579</v>
      </c>
      <c r="D1218" s="56" t="s">
        <v>14380</v>
      </c>
      <c r="E1218" s="59">
        <v>45301.0</v>
      </c>
      <c r="F1218" s="10" t="s">
        <v>14381</v>
      </c>
      <c r="G1218" s="10" t="s">
        <v>12654</v>
      </c>
      <c r="H1218" s="10" t="s">
        <v>188</v>
      </c>
      <c r="I1218" s="10" t="s">
        <v>55</v>
      </c>
      <c r="J1218" s="10" t="s">
        <v>13437</v>
      </c>
      <c r="K1218" s="10" t="s">
        <v>14580</v>
      </c>
      <c r="L1218" s="10" t="s">
        <v>42</v>
      </c>
    </row>
    <row r="1219" ht="15.75" customHeight="1">
      <c r="A1219" s="66">
        <v>45484.0</v>
      </c>
      <c r="B1219" s="55" t="str">
        <f>HYPERLINK("https://jobright.ai/jobs/info/6690b61c1acf37e6b2481523?utm_campaign=1065&amp;utm_source=sheet", "Apply")</f>
        <v>Apply</v>
      </c>
      <c r="C1219" s="10" t="s">
        <v>14579</v>
      </c>
      <c r="D1219" s="56" t="s">
        <v>14380</v>
      </c>
      <c r="E1219" s="59">
        <v>45301.0</v>
      </c>
      <c r="F1219" s="10" t="s">
        <v>14381</v>
      </c>
      <c r="G1219" s="10" t="s">
        <v>12654</v>
      </c>
      <c r="H1219" s="10" t="s">
        <v>738</v>
      </c>
      <c r="I1219" s="10" t="s">
        <v>55</v>
      </c>
      <c r="J1219" s="10" t="s">
        <v>13437</v>
      </c>
      <c r="K1219" s="10" t="s">
        <v>14580</v>
      </c>
      <c r="L1219" s="10" t="s">
        <v>42</v>
      </c>
    </row>
    <row r="1220" ht="15.75" customHeight="1">
      <c r="A1220" s="66">
        <v>45484.0</v>
      </c>
      <c r="B1220" s="55" t="str">
        <f>HYPERLINK("https://jobright.ai/jobs/info/6690b61c1acf37e6b248150b?utm_campaign=1065&amp;utm_source=sheet", "Apply")</f>
        <v>Apply</v>
      </c>
      <c r="C1220" s="10" t="s">
        <v>14581</v>
      </c>
      <c r="D1220" s="56" t="s">
        <v>14380</v>
      </c>
      <c r="E1220" s="59">
        <v>45301.0</v>
      </c>
      <c r="F1220" s="10" t="s">
        <v>14381</v>
      </c>
      <c r="G1220" s="10" t="s">
        <v>12654</v>
      </c>
      <c r="H1220" s="10" t="s">
        <v>1035</v>
      </c>
      <c r="I1220" s="10" t="s">
        <v>55</v>
      </c>
      <c r="J1220" s="10" t="s">
        <v>13437</v>
      </c>
      <c r="K1220" s="10" t="s">
        <v>14582</v>
      </c>
      <c r="L1220" s="10" t="s">
        <v>42</v>
      </c>
    </row>
    <row r="1221" ht="15.75" customHeight="1">
      <c r="A1221" s="66">
        <v>45484.0</v>
      </c>
      <c r="B1221" s="55" t="str">
        <f>HYPERLINK("https://jobright.ai/jobs/info/6690b61c1acf37e6b248153a?utm_campaign=1065&amp;utm_source=sheet", "Apply")</f>
        <v>Apply</v>
      </c>
      <c r="C1221" s="10" t="s">
        <v>14579</v>
      </c>
      <c r="D1221" s="56" t="s">
        <v>14380</v>
      </c>
      <c r="E1221" s="59">
        <v>45301.0</v>
      </c>
      <c r="F1221" s="10" t="s">
        <v>14381</v>
      </c>
      <c r="G1221" s="10" t="s">
        <v>12654</v>
      </c>
      <c r="H1221" s="10" t="s">
        <v>878</v>
      </c>
      <c r="I1221" s="10" t="s">
        <v>55</v>
      </c>
      <c r="J1221" s="10" t="s">
        <v>13437</v>
      </c>
      <c r="K1221" s="10" t="s">
        <v>14580</v>
      </c>
      <c r="L1221" s="10" t="s">
        <v>42</v>
      </c>
    </row>
    <row r="1222" ht="15.75" customHeight="1">
      <c r="A1222" s="66">
        <v>45484.0</v>
      </c>
      <c r="B1222" s="55" t="str">
        <f>HYPERLINK("https://jobright.ai/jobs/info/6690b61c1acf37e6b2481545?utm_campaign=1065&amp;utm_source=sheet", "Apply")</f>
        <v>Apply</v>
      </c>
      <c r="C1222" s="10" t="s">
        <v>14579</v>
      </c>
      <c r="D1222" s="56" t="s">
        <v>14380</v>
      </c>
      <c r="E1222" s="59">
        <v>45301.0</v>
      </c>
      <c r="F1222" s="10" t="s">
        <v>14381</v>
      </c>
      <c r="G1222" s="10" t="s">
        <v>12654</v>
      </c>
      <c r="H1222" s="10" t="s">
        <v>786</v>
      </c>
      <c r="I1222" s="10" t="s">
        <v>55</v>
      </c>
      <c r="J1222" s="10" t="s">
        <v>13437</v>
      </c>
      <c r="K1222" s="10" t="s">
        <v>14580</v>
      </c>
      <c r="L1222" s="10" t="s">
        <v>42</v>
      </c>
    </row>
    <row r="1223" ht="15.75" customHeight="1">
      <c r="A1223" s="66">
        <v>45484.0</v>
      </c>
      <c r="B1223" s="55" t="str">
        <f>HYPERLINK("https://jobright.ai/jobs/info/6690b61c1acf37e6b248154a?utm_campaign=1065&amp;utm_source=sheet", "Apply")</f>
        <v>Apply</v>
      </c>
      <c r="C1223" s="10" t="s">
        <v>14579</v>
      </c>
      <c r="D1223" s="56" t="s">
        <v>14380</v>
      </c>
      <c r="E1223" s="59">
        <v>45301.0</v>
      </c>
      <c r="F1223" s="10" t="s">
        <v>14381</v>
      </c>
      <c r="G1223" s="10" t="s">
        <v>12654</v>
      </c>
      <c r="H1223" s="10" t="s">
        <v>760</v>
      </c>
      <c r="I1223" s="10" t="s">
        <v>55</v>
      </c>
      <c r="J1223" s="10" t="s">
        <v>13437</v>
      </c>
      <c r="K1223" s="10" t="s">
        <v>14580</v>
      </c>
      <c r="L1223" s="10" t="s">
        <v>42</v>
      </c>
    </row>
    <row r="1224" ht="15.75" customHeight="1">
      <c r="A1224" s="66">
        <v>45484.0</v>
      </c>
      <c r="B1224" s="55" t="str">
        <f>HYPERLINK("https://jobright.ai/jobs/info/6690b61c1acf37e6b248154f?utm_campaign=1065&amp;utm_source=sheet", "Apply")</f>
        <v>Apply</v>
      </c>
      <c r="C1224" s="10" t="s">
        <v>14579</v>
      </c>
      <c r="D1224" s="56" t="s">
        <v>14380</v>
      </c>
      <c r="E1224" s="59">
        <v>45301.0</v>
      </c>
      <c r="F1224" s="10" t="s">
        <v>14381</v>
      </c>
      <c r="G1224" s="10" t="s">
        <v>12654</v>
      </c>
      <c r="H1224" s="10" t="s">
        <v>816</v>
      </c>
      <c r="I1224" s="10" t="s">
        <v>55</v>
      </c>
      <c r="J1224" s="10" t="s">
        <v>13437</v>
      </c>
      <c r="K1224" s="10" t="s">
        <v>14580</v>
      </c>
      <c r="L1224" s="10" t="s">
        <v>42</v>
      </c>
    </row>
    <row r="1225" ht="15.75" customHeight="1">
      <c r="A1225" s="66">
        <v>45484.0</v>
      </c>
      <c r="B1225" s="55" t="str">
        <f>HYPERLINK("https://jobright.ai/jobs/info/6690b61c1acf37e6b248154b?utm_campaign=1065&amp;utm_source=sheet", "Apply")</f>
        <v>Apply</v>
      </c>
      <c r="C1225" s="10" t="s">
        <v>14579</v>
      </c>
      <c r="D1225" s="56" t="s">
        <v>14380</v>
      </c>
      <c r="E1225" s="59">
        <v>45301.0</v>
      </c>
      <c r="F1225" s="10" t="s">
        <v>14381</v>
      </c>
      <c r="G1225" s="10" t="s">
        <v>12654</v>
      </c>
      <c r="H1225" s="10" t="s">
        <v>824</v>
      </c>
      <c r="I1225" s="10" t="s">
        <v>55</v>
      </c>
      <c r="J1225" s="10" t="s">
        <v>13437</v>
      </c>
      <c r="K1225" s="10" t="s">
        <v>14580</v>
      </c>
      <c r="L1225" s="10" t="s">
        <v>42</v>
      </c>
    </row>
    <row r="1226" ht="15.75" customHeight="1">
      <c r="A1226" s="66">
        <v>45484.0</v>
      </c>
      <c r="B1226" s="55" t="str">
        <f>HYPERLINK("https://jobright.ai/jobs/info/6690b6241acf37e6b24815be?utm_campaign=1065&amp;utm_source=sheet", "Apply")</f>
        <v>Apply</v>
      </c>
      <c r="C1226" s="10" t="s">
        <v>14581</v>
      </c>
      <c r="D1226" s="56" t="s">
        <v>14380</v>
      </c>
      <c r="E1226" s="59">
        <v>45301.0</v>
      </c>
      <c r="F1226" s="10" t="s">
        <v>14381</v>
      </c>
      <c r="G1226" s="10" t="s">
        <v>12654</v>
      </c>
      <c r="H1226" s="10" t="s">
        <v>860</v>
      </c>
      <c r="I1226" s="10" t="s">
        <v>55</v>
      </c>
      <c r="J1226" s="10" t="s">
        <v>13437</v>
      </c>
      <c r="K1226" s="10" t="s">
        <v>14582</v>
      </c>
      <c r="L1226" s="10" t="s">
        <v>42</v>
      </c>
    </row>
    <row r="1227" ht="15.75" customHeight="1">
      <c r="A1227" s="66">
        <v>45484.0</v>
      </c>
      <c r="B1227" s="55" t="str">
        <f>HYPERLINK("https://jobright.ai/jobs/info/6690b61c1acf37e6b24815a1?utm_campaign=1065&amp;utm_source=sheet", "Apply")</f>
        <v>Apply</v>
      </c>
      <c r="C1227" s="10" t="s">
        <v>14581</v>
      </c>
      <c r="D1227" s="56" t="s">
        <v>14380</v>
      </c>
      <c r="E1227" s="59">
        <v>45301.0</v>
      </c>
      <c r="F1227" s="10" t="s">
        <v>14381</v>
      </c>
      <c r="G1227" s="10" t="s">
        <v>12654</v>
      </c>
      <c r="H1227" s="10" t="s">
        <v>784</v>
      </c>
      <c r="I1227" s="10" t="s">
        <v>55</v>
      </c>
      <c r="J1227" s="10" t="s">
        <v>13437</v>
      </c>
      <c r="K1227" s="10" t="s">
        <v>14582</v>
      </c>
      <c r="L1227" s="10" t="s">
        <v>42</v>
      </c>
    </row>
    <row r="1228" ht="15.75" customHeight="1">
      <c r="A1228" s="66">
        <v>45484.0</v>
      </c>
      <c r="B1228" s="55" t="str">
        <f>HYPERLINK("https://jobright.ai/jobs/info/6690b61c1acf37e6b248159e?utm_campaign=1065&amp;utm_source=sheet", "Apply")</f>
        <v>Apply</v>
      </c>
      <c r="C1228" s="10" t="s">
        <v>14581</v>
      </c>
      <c r="D1228" s="56" t="s">
        <v>14380</v>
      </c>
      <c r="E1228" s="59">
        <v>45301.0</v>
      </c>
      <c r="F1228" s="10" t="s">
        <v>14381</v>
      </c>
      <c r="G1228" s="10" t="s">
        <v>12654</v>
      </c>
      <c r="H1228" s="10" t="s">
        <v>832</v>
      </c>
      <c r="I1228" s="10" t="s">
        <v>55</v>
      </c>
      <c r="J1228" s="10" t="s">
        <v>13437</v>
      </c>
      <c r="K1228" s="10" t="s">
        <v>14582</v>
      </c>
      <c r="L1228" s="10" t="s">
        <v>42</v>
      </c>
    </row>
    <row r="1229" ht="15.75" customHeight="1">
      <c r="A1229" s="66">
        <v>45484.0</v>
      </c>
      <c r="B1229" s="55" t="str">
        <f>HYPERLINK("https://jobright.ai/jobs/info/6690b6241acf37e6b24815d1?utm_campaign=1065&amp;utm_source=sheet", "Apply")</f>
        <v>Apply</v>
      </c>
      <c r="C1229" s="10" t="s">
        <v>14581</v>
      </c>
      <c r="D1229" s="56" t="s">
        <v>14380</v>
      </c>
      <c r="E1229" s="59">
        <v>45301.0</v>
      </c>
      <c r="F1229" s="10" t="s">
        <v>14381</v>
      </c>
      <c r="G1229" s="10" t="s">
        <v>12654</v>
      </c>
      <c r="H1229" s="10" t="s">
        <v>782</v>
      </c>
      <c r="I1229" s="10" t="s">
        <v>55</v>
      </c>
      <c r="J1229" s="10" t="s">
        <v>13437</v>
      </c>
      <c r="K1229" s="10" t="s">
        <v>14582</v>
      </c>
      <c r="L1229" s="10" t="s">
        <v>42</v>
      </c>
    </row>
    <row r="1230" ht="15.75" customHeight="1">
      <c r="A1230" s="66">
        <v>45484.0</v>
      </c>
      <c r="B1230" s="55" t="str">
        <f>HYPERLINK("https://jobright.ai/jobs/info/6690b6241acf37e6b24815d0?utm_campaign=1065&amp;utm_source=sheet", "Apply")</f>
        <v>Apply</v>
      </c>
      <c r="C1230" s="10" t="s">
        <v>14581</v>
      </c>
      <c r="D1230" s="56" t="s">
        <v>14380</v>
      </c>
      <c r="E1230" s="59">
        <v>45301.0</v>
      </c>
      <c r="F1230" s="10" t="s">
        <v>14381</v>
      </c>
      <c r="G1230" s="10" t="s">
        <v>12654</v>
      </c>
      <c r="H1230" s="10" t="s">
        <v>851</v>
      </c>
      <c r="I1230" s="10" t="s">
        <v>55</v>
      </c>
      <c r="J1230" s="10" t="s">
        <v>13437</v>
      </c>
      <c r="K1230" s="10" t="s">
        <v>14582</v>
      </c>
      <c r="L1230" s="10" t="s">
        <v>42</v>
      </c>
    </row>
    <row r="1231" ht="15.75" customHeight="1">
      <c r="A1231" s="66">
        <v>45484.0</v>
      </c>
      <c r="B1231" s="55" t="str">
        <f>HYPERLINK("https://jobright.ai/jobs/info/6690b6241acf37e6b24815cd?utm_campaign=1065&amp;utm_source=sheet", "Apply")</f>
        <v>Apply</v>
      </c>
      <c r="C1231" s="10" t="s">
        <v>14581</v>
      </c>
      <c r="D1231" s="56" t="s">
        <v>14380</v>
      </c>
      <c r="E1231" s="59">
        <v>45301.0</v>
      </c>
      <c r="F1231" s="10" t="s">
        <v>14381</v>
      </c>
      <c r="G1231" s="10" t="s">
        <v>12654</v>
      </c>
      <c r="H1231" s="10" t="s">
        <v>888</v>
      </c>
      <c r="I1231" s="10" t="s">
        <v>55</v>
      </c>
      <c r="J1231" s="10" t="s">
        <v>13437</v>
      </c>
      <c r="K1231" s="10" t="s">
        <v>14582</v>
      </c>
      <c r="L1231" s="10" t="s">
        <v>42</v>
      </c>
    </row>
    <row r="1232" ht="15.75" customHeight="1">
      <c r="A1232" s="66">
        <v>45484.0</v>
      </c>
      <c r="B1232" s="55" t="str">
        <f>HYPERLINK("https://jobright.ai/jobs/info/6690b6241acf37e6b2481619?utm_campaign=1065&amp;utm_source=sheet", "Apply")</f>
        <v>Apply</v>
      </c>
      <c r="C1232" s="10" t="s">
        <v>14581</v>
      </c>
      <c r="D1232" s="56" t="s">
        <v>14380</v>
      </c>
      <c r="E1232" s="59">
        <v>45301.0</v>
      </c>
      <c r="F1232" s="10" t="s">
        <v>14381</v>
      </c>
      <c r="G1232" s="10" t="s">
        <v>12654</v>
      </c>
      <c r="H1232" s="10" t="s">
        <v>1015</v>
      </c>
      <c r="I1232" s="10" t="s">
        <v>55</v>
      </c>
      <c r="J1232" s="10" t="s">
        <v>13437</v>
      </c>
      <c r="K1232" s="10" t="s">
        <v>14582</v>
      </c>
      <c r="L1232" s="10" t="s">
        <v>42</v>
      </c>
    </row>
    <row r="1233" ht="15.75" customHeight="1">
      <c r="A1233" s="66">
        <v>45484.0</v>
      </c>
      <c r="B1233" s="55" t="str">
        <f>HYPERLINK("https://jobright.ai/jobs/info/6690b6241acf37e6b248162e?utm_campaign=1065&amp;utm_source=sheet", "Apply")</f>
        <v>Apply</v>
      </c>
      <c r="C1233" s="10" t="s">
        <v>14581</v>
      </c>
      <c r="D1233" s="56" t="s">
        <v>14380</v>
      </c>
      <c r="E1233" s="59">
        <v>45301.0</v>
      </c>
      <c r="F1233" s="10" t="s">
        <v>14381</v>
      </c>
      <c r="G1233" s="10" t="s">
        <v>12654</v>
      </c>
      <c r="H1233" s="10" t="s">
        <v>853</v>
      </c>
      <c r="I1233" s="10" t="s">
        <v>55</v>
      </c>
      <c r="J1233" s="10" t="s">
        <v>13437</v>
      </c>
      <c r="K1233" s="10" t="s">
        <v>14582</v>
      </c>
      <c r="L1233" s="10" t="s">
        <v>42</v>
      </c>
    </row>
    <row r="1234" ht="15.75" customHeight="1">
      <c r="A1234" s="66">
        <v>45484.0</v>
      </c>
      <c r="B1234" s="55" t="str">
        <f>HYPERLINK("https://jobright.ai/jobs/info/6690b6241acf37e6b2481633?utm_campaign=1065&amp;utm_source=sheet", "Apply")</f>
        <v>Apply</v>
      </c>
      <c r="C1234" s="10" t="s">
        <v>14581</v>
      </c>
      <c r="D1234" s="56" t="s">
        <v>14380</v>
      </c>
      <c r="E1234" s="59">
        <v>45301.0</v>
      </c>
      <c r="F1234" s="10" t="s">
        <v>14381</v>
      </c>
      <c r="G1234" s="10" t="s">
        <v>12654</v>
      </c>
      <c r="H1234" s="10" t="s">
        <v>910</v>
      </c>
      <c r="I1234" s="10" t="s">
        <v>55</v>
      </c>
      <c r="J1234" s="10" t="s">
        <v>13437</v>
      </c>
      <c r="K1234" s="10" t="s">
        <v>14582</v>
      </c>
      <c r="L1234" s="10" t="s">
        <v>42</v>
      </c>
    </row>
    <row r="1235" ht="15.75" customHeight="1">
      <c r="A1235" s="66">
        <v>45484.0</v>
      </c>
      <c r="B1235" s="55" t="str">
        <f>HYPERLINK("https://jobright.ai/jobs/info/6690b6241acf37e6b2481630?utm_campaign=1065&amp;utm_source=sheet", "Apply")</f>
        <v>Apply</v>
      </c>
      <c r="C1235" s="10" t="s">
        <v>14581</v>
      </c>
      <c r="D1235" s="56" t="s">
        <v>14380</v>
      </c>
      <c r="E1235" s="59">
        <v>45301.0</v>
      </c>
      <c r="F1235" s="10" t="s">
        <v>14381</v>
      </c>
      <c r="G1235" s="10" t="s">
        <v>12654</v>
      </c>
      <c r="H1235" s="10" t="s">
        <v>944</v>
      </c>
      <c r="I1235" s="10" t="s">
        <v>55</v>
      </c>
      <c r="J1235" s="10" t="s">
        <v>13437</v>
      </c>
      <c r="K1235" s="10" t="s">
        <v>14582</v>
      </c>
      <c r="L1235" s="10" t="s">
        <v>42</v>
      </c>
    </row>
    <row r="1236" ht="15.75" customHeight="1">
      <c r="A1236" s="66">
        <v>45484.0</v>
      </c>
      <c r="B1236" s="55" t="str">
        <f>HYPERLINK("https://jobright.ai/jobs/info/6690b6241acf37e6b2481617?utm_campaign=1065&amp;utm_source=sheet", "Apply")</f>
        <v>Apply</v>
      </c>
      <c r="C1236" s="10" t="s">
        <v>14581</v>
      </c>
      <c r="D1236" s="56" t="s">
        <v>14380</v>
      </c>
      <c r="E1236" s="59">
        <v>45301.0</v>
      </c>
      <c r="F1236" s="10" t="s">
        <v>14381</v>
      </c>
      <c r="G1236" s="10" t="s">
        <v>12654</v>
      </c>
      <c r="H1236" s="10" t="s">
        <v>806</v>
      </c>
      <c r="I1236" s="10" t="s">
        <v>55</v>
      </c>
      <c r="J1236" s="10" t="s">
        <v>13437</v>
      </c>
      <c r="K1236" s="10" t="s">
        <v>14582</v>
      </c>
      <c r="L1236" s="10" t="s">
        <v>42</v>
      </c>
    </row>
    <row r="1237" ht="15.75" customHeight="1">
      <c r="A1237" s="66">
        <v>45484.0</v>
      </c>
      <c r="B1237" s="55" t="str">
        <f>HYPERLINK("https://jobright.ai/jobs/info/6690ae09714748cce6c386ec?utm_campaign=1065&amp;utm_source=sheet", "Apply")</f>
        <v>Apply</v>
      </c>
      <c r="C1237" s="10" t="s">
        <v>14581</v>
      </c>
      <c r="D1237" s="56" t="s">
        <v>14380</v>
      </c>
      <c r="E1237" s="59">
        <v>45301.0</v>
      </c>
      <c r="F1237" s="10" t="s">
        <v>14381</v>
      </c>
      <c r="G1237" s="10" t="s">
        <v>12654</v>
      </c>
      <c r="H1237" s="10" t="s">
        <v>939</v>
      </c>
      <c r="I1237" s="10" t="s">
        <v>55</v>
      </c>
      <c r="J1237" s="10" t="s">
        <v>13437</v>
      </c>
      <c r="K1237" s="10" t="s">
        <v>14582</v>
      </c>
      <c r="L1237" s="10" t="s">
        <v>42</v>
      </c>
    </row>
    <row r="1238" ht="15.75" customHeight="1">
      <c r="A1238" s="66">
        <v>45484.0</v>
      </c>
      <c r="B1238" s="55" t="str">
        <f>HYPERLINK("https://jobright.ai/jobs/info/6690ae09714748cce6c38706?utm_campaign=1065&amp;utm_source=sheet", "Apply")</f>
        <v>Apply</v>
      </c>
      <c r="C1238" s="10" t="s">
        <v>14581</v>
      </c>
      <c r="D1238" s="56" t="s">
        <v>14380</v>
      </c>
      <c r="E1238" s="59">
        <v>45301.0</v>
      </c>
      <c r="F1238" s="10" t="s">
        <v>14381</v>
      </c>
      <c r="G1238" s="10" t="s">
        <v>12654</v>
      </c>
      <c r="H1238" s="10" t="s">
        <v>881</v>
      </c>
      <c r="I1238" s="10" t="s">
        <v>55</v>
      </c>
      <c r="J1238" s="10" t="s">
        <v>13437</v>
      </c>
      <c r="K1238" s="10" t="s">
        <v>14582</v>
      </c>
      <c r="L1238" s="10" t="s">
        <v>42</v>
      </c>
    </row>
    <row r="1239" ht="15.75" customHeight="1">
      <c r="A1239" s="66">
        <v>45484.0</v>
      </c>
      <c r="B1239" s="55" t="str">
        <f>HYPERLINK("https://jobright.ai/jobs/info/6690ae09714748cce6c386f9?utm_campaign=1065&amp;utm_source=sheet", "Apply")</f>
        <v>Apply</v>
      </c>
      <c r="C1239" s="10" t="s">
        <v>14581</v>
      </c>
      <c r="D1239" s="56" t="s">
        <v>14380</v>
      </c>
      <c r="E1239" s="59">
        <v>45301.0</v>
      </c>
      <c r="F1239" s="10" t="s">
        <v>14381</v>
      </c>
      <c r="G1239" s="10" t="s">
        <v>12654</v>
      </c>
      <c r="H1239" s="10" t="s">
        <v>831</v>
      </c>
      <c r="I1239" s="10" t="s">
        <v>55</v>
      </c>
      <c r="J1239" s="10" t="s">
        <v>13437</v>
      </c>
      <c r="K1239" s="10" t="s">
        <v>14582</v>
      </c>
      <c r="L1239" s="10" t="s">
        <v>42</v>
      </c>
    </row>
    <row r="1240" ht="15.75" customHeight="1">
      <c r="A1240" s="66">
        <v>45484.0</v>
      </c>
      <c r="B1240" s="55" t="str">
        <f>HYPERLINK("https://jobright.ai/jobs/info/6690ae09714748cce6c386f4?utm_campaign=1065&amp;utm_source=sheet", "Apply")</f>
        <v>Apply</v>
      </c>
      <c r="C1240" s="10" t="s">
        <v>14581</v>
      </c>
      <c r="D1240" s="56" t="s">
        <v>14380</v>
      </c>
      <c r="E1240" s="59">
        <v>45301.0</v>
      </c>
      <c r="F1240" s="10" t="s">
        <v>14381</v>
      </c>
      <c r="G1240" s="10" t="s">
        <v>12654</v>
      </c>
      <c r="H1240" s="10" t="s">
        <v>852</v>
      </c>
      <c r="I1240" s="10" t="s">
        <v>55</v>
      </c>
      <c r="J1240" s="10" t="s">
        <v>13437</v>
      </c>
      <c r="K1240" s="10" t="s">
        <v>14582</v>
      </c>
      <c r="L1240" s="10" t="s">
        <v>42</v>
      </c>
    </row>
    <row r="1241" ht="15.75" customHeight="1">
      <c r="A1241" s="66">
        <v>45484.0</v>
      </c>
      <c r="B1241" s="55" t="str">
        <f>HYPERLINK("https://jobright.ai/jobs/info/6690ae09714748cce6c386f1?utm_campaign=1065&amp;utm_source=sheet", "Apply")</f>
        <v>Apply</v>
      </c>
      <c r="C1241" s="10" t="s">
        <v>14581</v>
      </c>
      <c r="D1241" s="56" t="s">
        <v>14380</v>
      </c>
      <c r="E1241" s="59">
        <v>45301.0</v>
      </c>
      <c r="F1241" s="10" t="s">
        <v>14381</v>
      </c>
      <c r="G1241" s="10" t="s">
        <v>12654</v>
      </c>
      <c r="H1241" s="10" t="s">
        <v>1024</v>
      </c>
      <c r="I1241" s="10" t="s">
        <v>55</v>
      </c>
      <c r="J1241" s="10" t="s">
        <v>13437</v>
      </c>
      <c r="K1241" s="10" t="s">
        <v>14582</v>
      </c>
      <c r="L1241" s="10" t="s">
        <v>42</v>
      </c>
    </row>
    <row r="1242" ht="15.75" customHeight="1">
      <c r="A1242" s="66">
        <v>45484.0</v>
      </c>
      <c r="B1242" s="55" t="str">
        <f>HYPERLINK("https://jobright.ai/jobs/info/6690ae09714748cce6c386ed?utm_campaign=1065&amp;utm_source=sheet", "Apply")</f>
        <v>Apply</v>
      </c>
      <c r="C1242" s="10" t="s">
        <v>14581</v>
      </c>
      <c r="D1242" s="56" t="s">
        <v>14380</v>
      </c>
      <c r="E1242" s="59">
        <v>45301.0</v>
      </c>
      <c r="F1242" s="10" t="s">
        <v>14381</v>
      </c>
      <c r="G1242" s="10" t="s">
        <v>12654</v>
      </c>
      <c r="H1242" s="10" t="s">
        <v>779</v>
      </c>
      <c r="I1242" s="10" t="s">
        <v>55</v>
      </c>
      <c r="J1242" s="10" t="s">
        <v>13437</v>
      </c>
      <c r="K1242" s="10" t="s">
        <v>14582</v>
      </c>
      <c r="L1242" s="10" t="s">
        <v>42</v>
      </c>
    </row>
    <row r="1243" ht="15.75" customHeight="1">
      <c r="A1243" s="66">
        <v>45484.0</v>
      </c>
      <c r="B1243" s="55" t="str">
        <f>HYPERLINK("https://jobright.ai/jobs/info/6690ae09714748cce6c38717?utm_campaign=1065&amp;utm_source=sheet", "Apply")</f>
        <v>Apply</v>
      </c>
      <c r="C1243" s="10" t="s">
        <v>14581</v>
      </c>
      <c r="D1243" s="56" t="s">
        <v>14380</v>
      </c>
      <c r="E1243" s="59">
        <v>45301.0</v>
      </c>
      <c r="F1243" s="10" t="s">
        <v>14381</v>
      </c>
      <c r="G1243" s="10" t="s">
        <v>12654</v>
      </c>
      <c r="H1243" s="10" t="s">
        <v>1045</v>
      </c>
      <c r="I1243" s="10" t="s">
        <v>55</v>
      </c>
      <c r="J1243" s="10" t="s">
        <v>13437</v>
      </c>
      <c r="K1243" s="10" t="s">
        <v>14582</v>
      </c>
      <c r="L1243" s="10" t="s">
        <v>42</v>
      </c>
    </row>
    <row r="1244" ht="15.75" customHeight="1">
      <c r="A1244" s="66">
        <v>45484.0</v>
      </c>
      <c r="B1244" s="55" t="str">
        <f>HYPERLINK("https://jobright.ai/jobs/info/6690ae09714748cce6c38714?utm_campaign=1065&amp;utm_source=sheet", "Apply")</f>
        <v>Apply</v>
      </c>
      <c r="C1244" s="10" t="s">
        <v>14581</v>
      </c>
      <c r="D1244" s="56" t="s">
        <v>14380</v>
      </c>
      <c r="E1244" s="59">
        <v>45301.0</v>
      </c>
      <c r="F1244" s="10" t="s">
        <v>14381</v>
      </c>
      <c r="G1244" s="10" t="s">
        <v>12654</v>
      </c>
      <c r="H1244" s="10" t="s">
        <v>1032</v>
      </c>
      <c r="I1244" s="10" t="s">
        <v>55</v>
      </c>
      <c r="J1244" s="10" t="s">
        <v>13437</v>
      </c>
      <c r="K1244" s="10" t="s">
        <v>14582</v>
      </c>
      <c r="L1244" s="10" t="s">
        <v>42</v>
      </c>
    </row>
    <row r="1245" ht="15.75" customHeight="1">
      <c r="A1245" s="66">
        <v>45484.0</v>
      </c>
      <c r="B1245" s="55" t="str">
        <f>HYPERLINK("https://jobright.ai/jobs/info/6690ae09714748cce6c38734?utm_campaign=1065&amp;utm_source=sheet", "Apply")</f>
        <v>Apply</v>
      </c>
      <c r="C1245" s="10" t="s">
        <v>14581</v>
      </c>
      <c r="D1245" s="56" t="s">
        <v>14380</v>
      </c>
      <c r="E1245" s="59">
        <v>45301.0</v>
      </c>
      <c r="F1245" s="10" t="s">
        <v>14381</v>
      </c>
      <c r="G1245" s="10" t="s">
        <v>12654</v>
      </c>
      <c r="H1245" s="10" t="s">
        <v>154</v>
      </c>
      <c r="I1245" s="10" t="s">
        <v>55</v>
      </c>
      <c r="J1245" s="10" t="s">
        <v>13437</v>
      </c>
      <c r="K1245" s="10" t="s">
        <v>14582</v>
      </c>
      <c r="L1245" s="10" t="s">
        <v>42</v>
      </c>
    </row>
    <row r="1246" ht="15.75" customHeight="1">
      <c r="A1246" s="66">
        <v>45484.0</v>
      </c>
      <c r="B1246" s="55" t="str">
        <f>HYPERLINK("https://jobright.ai/jobs/info/6690ae09714748cce6c3872b?utm_campaign=1065&amp;utm_source=sheet", "Apply")</f>
        <v>Apply</v>
      </c>
      <c r="C1246" s="10" t="s">
        <v>14581</v>
      </c>
      <c r="D1246" s="56" t="s">
        <v>14380</v>
      </c>
      <c r="E1246" s="59">
        <v>45301.0</v>
      </c>
      <c r="F1246" s="10" t="s">
        <v>14381</v>
      </c>
      <c r="G1246" s="10" t="s">
        <v>12654</v>
      </c>
      <c r="H1246" s="10" t="s">
        <v>1041</v>
      </c>
      <c r="I1246" s="10" t="s">
        <v>55</v>
      </c>
      <c r="J1246" s="10" t="s">
        <v>13437</v>
      </c>
      <c r="K1246" s="10" t="s">
        <v>14582</v>
      </c>
      <c r="L1246" s="10" t="s">
        <v>42</v>
      </c>
    </row>
    <row r="1247" ht="15.75" customHeight="1">
      <c r="A1247" s="66">
        <v>45484.0</v>
      </c>
      <c r="B1247" s="55" t="str">
        <f>HYPERLINK("https://jobright.ai/jobs/info/6690ae09714748cce6c38728?utm_campaign=1065&amp;utm_source=sheet", "Apply")</f>
        <v>Apply</v>
      </c>
      <c r="C1247" s="10" t="s">
        <v>14581</v>
      </c>
      <c r="D1247" s="56" t="s">
        <v>14380</v>
      </c>
      <c r="E1247" s="59">
        <v>45301.0</v>
      </c>
      <c r="F1247" s="10" t="s">
        <v>14381</v>
      </c>
      <c r="G1247" s="10" t="s">
        <v>12654</v>
      </c>
      <c r="H1247" s="10" t="s">
        <v>1031</v>
      </c>
      <c r="I1247" s="10" t="s">
        <v>55</v>
      </c>
      <c r="J1247" s="10" t="s">
        <v>13437</v>
      </c>
      <c r="K1247" s="10" t="s">
        <v>14582</v>
      </c>
      <c r="L1247" s="10" t="s">
        <v>42</v>
      </c>
    </row>
    <row r="1248" ht="15.75" customHeight="1">
      <c r="A1248" s="66">
        <v>45484.0</v>
      </c>
      <c r="B1248" s="55" t="str">
        <f>HYPERLINK("https://jobright.ai/jobs/info/6690ae09714748cce6c3874c?utm_campaign=1065&amp;utm_source=sheet", "Apply")</f>
        <v>Apply</v>
      </c>
      <c r="C1248" s="10" t="s">
        <v>14579</v>
      </c>
      <c r="D1248" s="56" t="s">
        <v>14380</v>
      </c>
      <c r="E1248" s="59">
        <v>45301.0</v>
      </c>
      <c r="F1248" s="10" t="s">
        <v>14381</v>
      </c>
      <c r="G1248" s="10" t="s">
        <v>12654</v>
      </c>
      <c r="H1248" s="10" t="s">
        <v>996</v>
      </c>
      <c r="I1248" s="10" t="s">
        <v>55</v>
      </c>
      <c r="J1248" s="10" t="s">
        <v>13437</v>
      </c>
      <c r="K1248" s="10" t="s">
        <v>14580</v>
      </c>
      <c r="L1248" s="10" t="s">
        <v>42</v>
      </c>
    </row>
    <row r="1249" ht="15.75" customHeight="1">
      <c r="A1249" s="66">
        <v>45484.0</v>
      </c>
      <c r="B1249" s="55" t="str">
        <f>HYPERLINK("https://jobright.ai/jobs/info/6690ae09714748cce6c38746?utm_campaign=1065&amp;utm_source=sheet", "Apply")</f>
        <v>Apply</v>
      </c>
      <c r="C1249" s="10" t="s">
        <v>14579</v>
      </c>
      <c r="D1249" s="56" t="s">
        <v>14380</v>
      </c>
      <c r="E1249" s="59">
        <v>45301.0</v>
      </c>
      <c r="F1249" s="10" t="s">
        <v>14381</v>
      </c>
      <c r="G1249" s="10" t="s">
        <v>12654</v>
      </c>
      <c r="H1249" s="10" t="s">
        <v>108</v>
      </c>
      <c r="I1249" s="10" t="s">
        <v>55</v>
      </c>
      <c r="J1249" s="10" t="s">
        <v>13437</v>
      </c>
      <c r="K1249" s="10" t="s">
        <v>14580</v>
      </c>
      <c r="L1249" s="10" t="s">
        <v>42</v>
      </c>
    </row>
    <row r="1250" ht="15.75" customHeight="1">
      <c r="A1250" s="66">
        <v>45484.0</v>
      </c>
      <c r="B1250" s="55" t="str">
        <f>HYPERLINK("https://jobright.ai/jobs/info/6690ae09714748cce6c38753?utm_campaign=1065&amp;utm_source=sheet", "Apply")</f>
        <v>Apply</v>
      </c>
      <c r="C1250" s="10" t="s">
        <v>14581</v>
      </c>
      <c r="D1250" s="56" t="s">
        <v>14380</v>
      </c>
      <c r="E1250" s="59">
        <v>45301.0</v>
      </c>
      <c r="F1250" s="10" t="s">
        <v>14381</v>
      </c>
      <c r="G1250" s="10" t="s">
        <v>12654</v>
      </c>
      <c r="H1250" s="10" t="s">
        <v>966</v>
      </c>
      <c r="I1250" s="10" t="s">
        <v>55</v>
      </c>
      <c r="J1250" s="10" t="s">
        <v>13437</v>
      </c>
      <c r="K1250" s="10" t="s">
        <v>14582</v>
      </c>
      <c r="L1250" s="10" t="s">
        <v>42</v>
      </c>
    </row>
    <row r="1251" ht="15.75" customHeight="1">
      <c r="A1251" s="66">
        <v>45484.0</v>
      </c>
      <c r="B1251" s="55" t="str">
        <f>HYPERLINK("https://jobright.ai/jobs/info/6690ae09714748cce6c38752?utm_campaign=1065&amp;utm_source=sheet", "Apply")</f>
        <v>Apply</v>
      </c>
      <c r="C1251" s="10" t="s">
        <v>14581</v>
      </c>
      <c r="D1251" s="56" t="s">
        <v>14380</v>
      </c>
      <c r="E1251" s="59">
        <v>45301.0</v>
      </c>
      <c r="F1251" s="10" t="s">
        <v>14381</v>
      </c>
      <c r="G1251" s="10" t="s">
        <v>12654</v>
      </c>
      <c r="H1251" s="10" t="s">
        <v>836</v>
      </c>
      <c r="I1251" s="10" t="s">
        <v>55</v>
      </c>
      <c r="J1251" s="10" t="s">
        <v>13437</v>
      </c>
      <c r="K1251" s="10" t="s">
        <v>14582</v>
      </c>
      <c r="L1251" s="10" t="s">
        <v>42</v>
      </c>
    </row>
    <row r="1252" ht="15.75" customHeight="1">
      <c r="A1252" s="66">
        <v>45484.0</v>
      </c>
      <c r="B1252" s="55" t="str">
        <f>HYPERLINK("https://jobright.ai/jobs/info/6690ae09714748cce6c3874d?utm_campaign=1065&amp;utm_source=sheet", "Apply")</f>
        <v>Apply</v>
      </c>
      <c r="C1252" s="10" t="s">
        <v>14579</v>
      </c>
      <c r="D1252" s="56" t="s">
        <v>14380</v>
      </c>
      <c r="E1252" s="59">
        <v>45301.0</v>
      </c>
      <c r="F1252" s="10" t="s">
        <v>14381</v>
      </c>
      <c r="G1252" s="10" t="s">
        <v>12654</v>
      </c>
      <c r="H1252" s="10" t="s">
        <v>1050</v>
      </c>
      <c r="I1252" s="10" t="s">
        <v>55</v>
      </c>
      <c r="J1252" s="10" t="s">
        <v>13437</v>
      </c>
      <c r="K1252" s="10" t="s">
        <v>14580</v>
      </c>
      <c r="L1252" s="10" t="s">
        <v>42</v>
      </c>
    </row>
    <row r="1253" ht="15.75" customHeight="1">
      <c r="A1253" s="66">
        <v>45484.0</v>
      </c>
      <c r="B1253" s="55" t="str">
        <f>HYPERLINK("https://jobright.ai/jobs/info/6690ae09714748cce6c3874f?utm_campaign=1065&amp;utm_source=sheet", "Apply")</f>
        <v>Apply</v>
      </c>
      <c r="C1253" s="10" t="s">
        <v>14579</v>
      </c>
      <c r="D1253" s="56" t="s">
        <v>14380</v>
      </c>
      <c r="E1253" s="59">
        <v>45301.0</v>
      </c>
      <c r="F1253" s="10" t="s">
        <v>14381</v>
      </c>
      <c r="G1253" s="10" t="s">
        <v>12654</v>
      </c>
      <c r="H1253" s="10" t="s">
        <v>872</v>
      </c>
      <c r="I1253" s="10" t="s">
        <v>55</v>
      </c>
      <c r="J1253" s="10" t="s">
        <v>13437</v>
      </c>
      <c r="K1253" s="10" t="s">
        <v>14580</v>
      </c>
      <c r="L1253" s="10" t="s">
        <v>42</v>
      </c>
    </row>
    <row r="1254" ht="15.75" customHeight="1">
      <c r="A1254" s="66">
        <v>45484.0</v>
      </c>
      <c r="B1254" s="55" t="str">
        <f>HYPERLINK("https://jobright.ai/jobs/info/6690ae09714748cce6c3875e?utm_campaign=1065&amp;utm_source=sheet", "Apply")</f>
        <v>Apply</v>
      </c>
      <c r="C1254" s="10" t="s">
        <v>14579</v>
      </c>
      <c r="D1254" s="56" t="s">
        <v>14380</v>
      </c>
      <c r="E1254" s="59">
        <v>45301.0</v>
      </c>
      <c r="F1254" s="10" t="s">
        <v>14381</v>
      </c>
      <c r="G1254" s="10" t="s">
        <v>12654</v>
      </c>
      <c r="H1254" s="10" t="s">
        <v>860</v>
      </c>
      <c r="I1254" s="10" t="s">
        <v>55</v>
      </c>
      <c r="J1254" s="10" t="s">
        <v>13437</v>
      </c>
      <c r="K1254" s="10" t="s">
        <v>14580</v>
      </c>
      <c r="L1254" s="10" t="s">
        <v>42</v>
      </c>
    </row>
    <row r="1255" ht="15.75" customHeight="1">
      <c r="A1255" s="66">
        <v>45484.0</v>
      </c>
      <c r="B1255" s="55" t="str">
        <f>HYPERLINK("https://jobright.ai/jobs/info/6690ae09714748cce6c38763?utm_campaign=1065&amp;utm_source=sheet", "Apply")</f>
        <v>Apply</v>
      </c>
      <c r="C1255" s="10" t="s">
        <v>14579</v>
      </c>
      <c r="D1255" s="56" t="s">
        <v>14380</v>
      </c>
      <c r="E1255" s="59">
        <v>45301.0</v>
      </c>
      <c r="F1255" s="10" t="s">
        <v>14381</v>
      </c>
      <c r="G1255" s="10" t="s">
        <v>12654</v>
      </c>
      <c r="H1255" s="10" t="s">
        <v>174</v>
      </c>
      <c r="I1255" s="10" t="s">
        <v>55</v>
      </c>
      <c r="J1255" s="10" t="s">
        <v>13437</v>
      </c>
      <c r="K1255" s="10" t="s">
        <v>14580</v>
      </c>
      <c r="L1255" s="10" t="s">
        <v>42</v>
      </c>
    </row>
    <row r="1256" ht="15.75" customHeight="1">
      <c r="A1256" s="66">
        <v>45484.0</v>
      </c>
      <c r="B1256" s="55" t="str">
        <f>HYPERLINK("https://jobright.ai/jobs/info/6690ae09714748cce6c38782?utm_campaign=1065&amp;utm_source=sheet", "Apply")</f>
        <v>Apply</v>
      </c>
      <c r="C1256" s="10" t="s">
        <v>14579</v>
      </c>
      <c r="D1256" s="56" t="s">
        <v>14380</v>
      </c>
      <c r="E1256" s="59">
        <v>45301.0</v>
      </c>
      <c r="F1256" s="10" t="s">
        <v>14381</v>
      </c>
      <c r="G1256" s="10" t="s">
        <v>12654</v>
      </c>
      <c r="H1256" s="10" t="s">
        <v>920</v>
      </c>
      <c r="I1256" s="10" t="s">
        <v>55</v>
      </c>
      <c r="J1256" s="10" t="s">
        <v>13437</v>
      </c>
      <c r="K1256" s="10" t="s">
        <v>14580</v>
      </c>
      <c r="L1256" s="10" t="s">
        <v>42</v>
      </c>
    </row>
    <row r="1257" ht="15.75" customHeight="1">
      <c r="A1257" s="66">
        <v>45484.0</v>
      </c>
      <c r="B1257" s="55" t="str">
        <f>HYPERLINK("https://jobright.ai/jobs/info/6690ae09714748cce6c38769?utm_campaign=1065&amp;utm_source=sheet", "Apply")</f>
        <v>Apply</v>
      </c>
      <c r="C1257" s="10" t="s">
        <v>14579</v>
      </c>
      <c r="D1257" s="56" t="s">
        <v>14380</v>
      </c>
      <c r="E1257" s="59">
        <v>45301.0</v>
      </c>
      <c r="F1257" s="10" t="s">
        <v>14381</v>
      </c>
      <c r="G1257" s="10" t="s">
        <v>12654</v>
      </c>
      <c r="H1257" s="10" t="s">
        <v>829</v>
      </c>
      <c r="I1257" s="10" t="s">
        <v>55</v>
      </c>
      <c r="J1257" s="10" t="s">
        <v>13437</v>
      </c>
      <c r="K1257" s="10" t="s">
        <v>14580</v>
      </c>
      <c r="L1257" s="10" t="s">
        <v>42</v>
      </c>
    </row>
    <row r="1258" ht="15.75" customHeight="1">
      <c r="A1258" s="66">
        <v>45484.0</v>
      </c>
      <c r="B1258" s="55" t="str">
        <f>HYPERLINK("https://jobright.ai/jobs/info/6690ae09714748cce6c3876b?utm_campaign=1065&amp;utm_source=sheet", "Apply")</f>
        <v>Apply</v>
      </c>
      <c r="C1258" s="10" t="s">
        <v>14581</v>
      </c>
      <c r="D1258" s="56" t="s">
        <v>14380</v>
      </c>
      <c r="E1258" s="59">
        <v>45301.0</v>
      </c>
      <c r="F1258" s="10" t="s">
        <v>14381</v>
      </c>
      <c r="G1258" s="10" t="s">
        <v>12654</v>
      </c>
      <c r="H1258" s="10" t="s">
        <v>886</v>
      </c>
      <c r="I1258" s="10" t="s">
        <v>55</v>
      </c>
      <c r="J1258" s="10" t="s">
        <v>13437</v>
      </c>
      <c r="K1258" s="10" t="s">
        <v>14582</v>
      </c>
      <c r="L1258" s="10" t="s">
        <v>42</v>
      </c>
    </row>
    <row r="1259" ht="15.75" customHeight="1">
      <c r="A1259" s="66">
        <v>45484.0</v>
      </c>
      <c r="B1259" s="55" t="str">
        <f>HYPERLINK("https://jobright.ai/jobs/info/6690ae09714748cce6c38768?utm_campaign=1065&amp;utm_source=sheet", "Apply")</f>
        <v>Apply</v>
      </c>
      <c r="C1259" s="10" t="s">
        <v>14579</v>
      </c>
      <c r="D1259" s="56" t="s">
        <v>14380</v>
      </c>
      <c r="E1259" s="59">
        <v>45301.0</v>
      </c>
      <c r="F1259" s="10" t="s">
        <v>14381</v>
      </c>
      <c r="G1259" s="10" t="s">
        <v>12654</v>
      </c>
      <c r="H1259" s="10" t="s">
        <v>578</v>
      </c>
      <c r="I1259" s="10" t="s">
        <v>55</v>
      </c>
      <c r="J1259" s="10" t="s">
        <v>13437</v>
      </c>
      <c r="K1259" s="10" t="s">
        <v>14580</v>
      </c>
      <c r="L1259" s="10" t="s">
        <v>42</v>
      </c>
    </row>
    <row r="1260" ht="15.75" customHeight="1">
      <c r="A1260" s="66">
        <v>45484.0</v>
      </c>
      <c r="B1260" s="55" t="str">
        <f>HYPERLINK("https://jobright.ai/jobs/info/6690ae09714748cce6c38784?utm_campaign=1065&amp;utm_source=sheet", "Apply")</f>
        <v>Apply</v>
      </c>
      <c r="C1260" s="10" t="s">
        <v>14579</v>
      </c>
      <c r="D1260" s="56" t="s">
        <v>14380</v>
      </c>
      <c r="E1260" s="59">
        <v>45301.0</v>
      </c>
      <c r="F1260" s="10" t="s">
        <v>14381</v>
      </c>
      <c r="G1260" s="10" t="s">
        <v>12654</v>
      </c>
      <c r="H1260" s="10" t="s">
        <v>361</v>
      </c>
      <c r="I1260" s="10" t="s">
        <v>55</v>
      </c>
      <c r="J1260" s="10" t="s">
        <v>13437</v>
      </c>
      <c r="K1260" s="10" t="s">
        <v>14580</v>
      </c>
      <c r="L1260" s="10" t="s">
        <v>42</v>
      </c>
    </row>
    <row r="1261" ht="15.75" customHeight="1">
      <c r="A1261" s="66">
        <v>45484.0</v>
      </c>
      <c r="B1261" s="55" t="str">
        <f>HYPERLINK("https://jobright.ai/jobs/info/6690ae09714748cce6c3876c?utm_campaign=1065&amp;utm_source=sheet", "Apply")</f>
        <v>Apply</v>
      </c>
      <c r="C1261" s="10" t="s">
        <v>14581</v>
      </c>
      <c r="D1261" s="56" t="s">
        <v>14380</v>
      </c>
      <c r="E1261" s="59">
        <v>45301.0</v>
      </c>
      <c r="F1261" s="10" t="s">
        <v>14381</v>
      </c>
      <c r="G1261" s="10" t="s">
        <v>12654</v>
      </c>
      <c r="H1261" s="10" t="s">
        <v>188</v>
      </c>
      <c r="I1261" s="10" t="s">
        <v>55</v>
      </c>
      <c r="J1261" s="10" t="s">
        <v>13437</v>
      </c>
      <c r="K1261" s="10" t="s">
        <v>14582</v>
      </c>
      <c r="L1261" s="10" t="s">
        <v>42</v>
      </c>
    </row>
    <row r="1262" ht="15.75" customHeight="1">
      <c r="A1262" s="66">
        <v>45484.0</v>
      </c>
      <c r="B1262" s="55" t="str">
        <f>HYPERLINK("https://jobright.ai/jobs/info/6690ae09714748cce6c3877b?utm_campaign=1065&amp;utm_source=sheet", "Apply")</f>
        <v>Apply</v>
      </c>
      <c r="C1262" s="10" t="s">
        <v>14579</v>
      </c>
      <c r="D1262" s="56" t="s">
        <v>14380</v>
      </c>
      <c r="E1262" s="59">
        <v>45301.0</v>
      </c>
      <c r="F1262" s="10" t="s">
        <v>14381</v>
      </c>
      <c r="G1262" s="10" t="s">
        <v>12654</v>
      </c>
      <c r="H1262" s="10" t="s">
        <v>827</v>
      </c>
      <c r="I1262" s="10" t="s">
        <v>55</v>
      </c>
      <c r="J1262" s="10" t="s">
        <v>13437</v>
      </c>
      <c r="K1262" s="10" t="s">
        <v>14580</v>
      </c>
      <c r="L1262" s="10" t="s">
        <v>42</v>
      </c>
    </row>
    <row r="1263" ht="15.75" customHeight="1">
      <c r="A1263" s="66">
        <v>45484.0</v>
      </c>
      <c r="B1263" s="55" t="str">
        <f>HYPERLINK("https://jobright.ai/jobs/info/6690ae09714748cce6c38790?utm_campaign=1065&amp;utm_source=sheet", "Apply")</f>
        <v>Apply</v>
      </c>
      <c r="C1263" s="10" t="s">
        <v>14579</v>
      </c>
      <c r="D1263" s="56" t="s">
        <v>14380</v>
      </c>
      <c r="E1263" s="59">
        <v>45301.0</v>
      </c>
      <c r="F1263" s="10" t="s">
        <v>14381</v>
      </c>
      <c r="G1263" s="10" t="s">
        <v>12654</v>
      </c>
      <c r="H1263" s="10" t="s">
        <v>780</v>
      </c>
      <c r="I1263" s="10" t="s">
        <v>55</v>
      </c>
      <c r="J1263" s="10" t="s">
        <v>13437</v>
      </c>
      <c r="K1263" s="10" t="s">
        <v>14580</v>
      </c>
      <c r="L1263" s="10" t="s">
        <v>42</v>
      </c>
    </row>
    <row r="1264" ht="15.75" customHeight="1">
      <c r="A1264" s="66">
        <v>45484.0</v>
      </c>
      <c r="B1264" s="55" t="str">
        <f>HYPERLINK("https://jobright.ai/jobs/info/6690ae09714748cce6c3878a?utm_campaign=1065&amp;utm_source=sheet", "Apply")</f>
        <v>Apply</v>
      </c>
      <c r="C1264" s="10" t="s">
        <v>14581</v>
      </c>
      <c r="D1264" s="56" t="s">
        <v>14380</v>
      </c>
      <c r="E1264" s="59">
        <v>45301.0</v>
      </c>
      <c r="F1264" s="10" t="s">
        <v>14381</v>
      </c>
      <c r="G1264" s="10" t="s">
        <v>12654</v>
      </c>
      <c r="H1264" s="10" t="s">
        <v>814</v>
      </c>
      <c r="I1264" s="10" t="s">
        <v>55</v>
      </c>
      <c r="J1264" s="10" t="s">
        <v>13437</v>
      </c>
      <c r="K1264" s="10" t="s">
        <v>14582</v>
      </c>
      <c r="L1264" s="10" t="s">
        <v>42</v>
      </c>
    </row>
    <row r="1265" ht="15.75" customHeight="1">
      <c r="A1265" s="66">
        <v>45484.0</v>
      </c>
      <c r="B1265" s="55" t="str">
        <f>HYPERLINK("https://jobright.ai/jobs/info/6690ae11714748cce6c387af?utm_campaign=1065&amp;utm_source=sheet", "Apply")</f>
        <v>Apply</v>
      </c>
      <c r="C1265" s="10" t="s">
        <v>14579</v>
      </c>
      <c r="D1265" s="56" t="s">
        <v>14380</v>
      </c>
      <c r="E1265" s="59">
        <v>45301.0</v>
      </c>
      <c r="F1265" s="10" t="s">
        <v>14381</v>
      </c>
      <c r="G1265" s="10" t="s">
        <v>12654</v>
      </c>
      <c r="H1265" s="10" t="s">
        <v>944</v>
      </c>
      <c r="I1265" s="10" t="s">
        <v>55</v>
      </c>
      <c r="J1265" s="10" t="s">
        <v>13437</v>
      </c>
      <c r="K1265" s="10" t="s">
        <v>14580</v>
      </c>
      <c r="L1265" s="10" t="s">
        <v>42</v>
      </c>
    </row>
    <row r="1266" ht="15.75" customHeight="1">
      <c r="A1266" s="66">
        <v>45484.0</v>
      </c>
      <c r="B1266" s="55" t="str">
        <f>HYPERLINK("https://jobright.ai/jobs/info/6690ae11714748cce6c387a5?utm_campaign=1065&amp;utm_source=sheet", "Apply")</f>
        <v>Apply</v>
      </c>
      <c r="C1266" s="10" t="s">
        <v>14579</v>
      </c>
      <c r="D1266" s="56" t="s">
        <v>14380</v>
      </c>
      <c r="E1266" s="59">
        <v>45301.0</v>
      </c>
      <c r="F1266" s="10" t="s">
        <v>14381</v>
      </c>
      <c r="G1266" s="10" t="s">
        <v>12654</v>
      </c>
      <c r="H1266" s="10" t="s">
        <v>789</v>
      </c>
      <c r="I1266" s="10" t="s">
        <v>55</v>
      </c>
      <c r="J1266" s="10" t="s">
        <v>13437</v>
      </c>
      <c r="K1266" s="10" t="s">
        <v>14580</v>
      </c>
      <c r="L1266" s="10" t="s">
        <v>42</v>
      </c>
    </row>
    <row r="1267" ht="15.75" customHeight="1">
      <c r="A1267" s="66">
        <v>45484.0</v>
      </c>
      <c r="B1267" s="55" t="str">
        <f>HYPERLINK("https://jobright.ai/jobs/info/6690ae11714748cce6c38799?utm_campaign=1065&amp;utm_source=sheet", "Apply")</f>
        <v>Apply</v>
      </c>
      <c r="C1267" s="10" t="s">
        <v>14581</v>
      </c>
      <c r="D1267" s="56" t="s">
        <v>14380</v>
      </c>
      <c r="E1267" s="59">
        <v>45301.0</v>
      </c>
      <c r="F1267" s="10" t="s">
        <v>14381</v>
      </c>
      <c r="G1267" s="10" t="s">
        <v>12654</v>
      </c>
      <c r="H1267" s="10" t="s">
        <v>621</v>
      </c>
      <c r="I1267" s="10" t="s">
        <v>55</v>
      </c>
      <c r="J1267" s="10" t="s">
        <v>13437</v>
      </c>
      <c r="K1267" s="10" t="s">
        <v>14582</v>
      </c>
      <c r="L1267" s="10" t="s">
        <v>42</v>
      </c>
    </row>
    <row r="1268" ht="15.75" customHeight="1">
      <c r="A1268" s="66">
        <v>45484.0</v>
      </c>
      <c r="B1268" s="55" t="str">
        <f>HYPERLINK("https://jobright.ai/jobs/info/6690ae11714748cce6c3879f?utm_campaign=1065&amp;utm_source=sheet", "Apply")</f>
        <v>Apply</v>
      </c>
      <c r="C1268" s="10" t="s">
        <v>14579</v>
      </c>
      <c r="D1268" s="56" t="s">
        <v>14380</v>
      </c>
      <c r="E1268" s="59">
        <v>45301.0</v>
      </c>
      <c r="F1268" s="10" t="s">
        <v>14381</v>
      </c>
      <c r="G1268" s="10" t="s">
        <v>12654</v>
      </c>
      <c r="H1268" s="10" t="s">
        <v>852</v>
      </c>
      <c r="I1268" s="10" t="s">
        <v>55</v>
      </c>
      <c r="J1268" s="10" t="s">
        <v>13437</v>
      </c>
      <c r="K1268" s="10" t="s">
        <v>14580</v>
      </c>
      <c r="L1268" s="10" t="s">
        <v>42</v>
      </c>
    </row>
    <row r="1269" ht="15.75" customHeight="1">
      <c r="A1269" s="66">
        <v>45484.0</v>
      </c>
      <c r="B1269" s="55" t="str">
        <f>HYPERLINK("https://jobright.ai/jobs/info/6690ae11714748cce6c38795?utm_campaign=1065&amp;utm_source=sheet", "Apply")</f>
        <v>Apply</v>
      </c>
      <c r="C1269" s="10" t="s">
        <v>14581</v>
      </c>
      <c r="D1269" s="56" t="s">
        <v>14380</v>
      </c>
      <c r="E1269" s="59">
        <v>45301.0</v>
      </c>
      <c r="F1269" s="10" t="s">
        <v>14381</v>
      </c>
      <c r="G1269" s="10" t="s">
        <v>12654</v>
      </c>
      <c r="H1269" s="10" t="s">
        <v>892</v>
      </c>
      <c r="I1269" s="10" t="s">
        <v>55</v>
      </c>
      <c r="J1269" s="10" t="s">
        <v>13437</v>
      </c>
      <c r="K1269" s="10" t="s">
        <v>14582</v>
      </c>
      <c r="L1269" s="10" t="s">
        <v>42</v>
      </c>
    </row>
    <row r="1270" ht="15.75" customHeight="1">
      <c r="A1270" s="66">
        <v>45484.0</v>
      </c>
      <c r="B1270" s="55" t="str">
        <f>HYPERLINK("https://jobright.ai/jobs/info/6690ae11714748cce6c387b6?utm_campaign=1065&amp;utm_source=sheet", "Apply")</f>
        <v>Apply</v>
      </c>
      <c r="C1270" s="10" t="s">
        <v>14579</v>
      </c>
      <c r="D1270" s="56" t="s">
        <v>14380</v>
      </c>
      <c r="E1270" s="59">
        <v>45301.0</v>
      </c>
      <c r="F1270" s="10" t="s">
        <v>14381</v>
      </c>
      <c r="G1270" s="10" t="s">
        <v>12654</v>
      </c>
      <c r="H1270" s="10" t="s">
        <v>86</v>
      </c>
      <c r="I1270" s="10" t="s">
        <v>55</v>
      </c>
      <c r="J1270" s="10" t="s">
        <v>13437</v>
      </c>
      <c r="K1270" s="10" t="s">
        <v>14580</v>
      </c>
      <c r="L1270" s="10" t="s">
        <v>42</v>
      </c>
    </row>
    <row r="1271" ht="15.75" customHeight="1">
      <c r="A1271" s="66">
        <v>45484.0</v>
      </c>
      <c r="B1271" s="55" t="str">
        <f>HYPERLINK("https://jobright.ai/jobs/info/6690ae09714748cce6c3878f?utm_campaign=1065&amp;utm_source=sheet", "Apply")</f>
        <v>Apply</v>
      </c>
      <c r="C1271" s="10" t="s">
        <v>14581</v>
      </c>
      <c r="D1271" s="56" t="s">
        <v>14380</v>
      </c>
      <c r="E1271" s="59">
        <v>45301.0</v>
      </c>
      <c r="F1271" s="10" t="s">
        <v>14381</v>
      </c>
      <c r="G1271" s="10" t="s">
        <v>12654</v>
      </c>
      <c r="H1271" s="10" t="s">
        <v>1002</v>
      </c>
      <c r="I1271" s="10" t="s">
        <v>55</v>
      </c>
      <c r="J1271" s="10" t="s">
        <v>13437</v>
      </c>
      <c r="K1271" s="10" t="s">
        <v>14582</v>
      </c>
      <c r="L1271" s="10" t="s">
        <v>42</v>
      </c>
    </row>
    <row r="1272" ht="15.75" customHeight="1">
      <c r="A1272" s="66">
        <v>45484.0</v>
      </c>
      <c r="B1272" s="55" t="str">
        <f>HYPERLINK("https://jobright.ai/jobs/info/6690ae09714748cce6c3878d?utm_campaign=1065&amp;utm_source=sheet", "Apply")</f>
        <v>Apply</v>
      </c>
      <c r="C1272" s="10" t="s">
        <v>14581</v>
      </c>
      <c r="D1272" s="56" t="s">
        <v>14380</v>
      </c>
      <c r="E1272" s="59">
        <v>45301.0</v>
      </c>
      <c r="F1272" s="10" t="s">
        <v>14381</v>
      </c>
      <c r="G1272" s="10" t="s">
        <v>12654</v>
      </c>
      <c r="H1272" s="10" t="s">
        <v>759</v>
      </c>
      <c r="I1272" s="10" t="s">
        <v>55</v>
      </c>
      <c r="J1272" s="10" t="s">
        <v>13437</v>
      </c>
      <c r="K1272" s="10" t="s">
        <v>14582</v>
      </c>
      <c r="L1272" s="10" t="s">
        <v>42</v>
      </c>
    </row>
    <row r="1273" ht="15.75" customHeight="1">
      <c r="A1273" s="66">
        <v>45484.0</v>
      </c>
      <c r="B1273" s="55" t="str">
        <f>HYPERLINK("https://jobright.ai/jobs/info/6690ae09714748cce6c38791?utm_campaign=1065&amp;utm_source=sheet", "Apply")</f>
        <v>Apply</v>
      </c>
      <c r="C1273" s="10" t="s">
        <v>14581</v>
      </c>
      <c r="D1273" s="56" t="s">
        <v>14380</v>
      </c>
      <c r="E1273" s="59">
        <v>45301.0</v>
      </c>
      <c r="F1273" s="10" t="s">
        <v>14381</v>
      </c>
      <c r="G1273" s="10" t="s">
        <v>12654</v>
      </c>
      <c r="H1273" s="10" t="s">
        <v>139</v>
      </c>
      <c r="I1273" s="10" t="s">
        <v>55</v>
      </c>
      <c r="J1273" s="10" t="s">
        <v>13437</v>
      </c>
      <c r="K1273" s="10" t="s">
        <v>14582</v>
      </c>
      <c r="L1273" s="10" t="s">
        <v>42</v>
      </c>
    </row>
    <row r="1274" ht="15.75" customHeight="1">
      <c r="A1274" s="66">
        <v>45484.0</v>
      </c>
      <c r="B1274" s="55" t="str">
        <f>HYPERLINK("https://jobright.ai/jobs/info/6690ae11714748cce6c387ba?utm_campaign=1065&amp;utm_source=sheet", "Apply")</f>
        <v>Apply</v>
      </c>
      <c r="C1274" s="10" t="s">
        <v>14579</v>
      </c>
      <c r="D1274" s="56" t="s">
        <v>14380</v>
      </c>
      <c r="E1274" s="59">
        <v>45301.0</v>
      </c>
      <c r="F1274" s="10" t="s">
        <v>14381</v>
      </c>
      <c r="G1274" s="10" t="s">
        <v>12654</v>
      </c>
      <c r="H1274" s="10" t="s">
        <v>621</v>
      </c>
      <c r="I1274" s="10" t="s">
        <v>55</v>
      </c>
      <c r="J1274" s="10" t="s">
        <v>13437</v>
      </c>
      <c r="K1274" s="10" t="s">
        <v>14580</v>
      </c>
      <c r="L1274" s="10" t="s">
        <v>42</v>
      </c>
    </row>
    <row r="1275" ht="15.75" customHeight="1">
      <c r="A1275" s="66">
        <v>45484.0</v>
      </c>
      <c r="B1275" s="55" t="str">
        <f>HYPERLINK("https://jobright.ai/jobs/info/6690ae11714748cce6c387da?utm_campaign=1065&amp;utm_source=sheet", "Apply")</f>
        <v>Apply</v>
      </c>
      <c r="C1275" s="10" t="s">
        <v>14581</v>
      </c>
      <c r="D1275" s="56" t="s">
        <v>14380</v>
      </c>
      <c r="E1275" s="59">
        <v>45301.0</v>
      </c>
      <c r="F1275" s="10" t="s">
        <v>14381</v>
      </c>
      <c r="G1275" s="10" t="s">
        <v>12654</v>
      </c>
      <c r="H1275" s="10" t="s">
        <v>958</v>
      </c>
      <c r="I1275" s="10" t="s">
        <v>55</v>
      </c>
      <c r="J1275" s="10" t="s">
        <v>13437</v>
      </c>
      <c r="K1275" s="10" t="s">
        <v>14582</v>
      </c>
      <c r="L1275" s="10" t="s">
        <v>42</v>
      </c>
    </row>
    <row r="1276" ht="15.75" customHeight="1">
      <c r="A1276" s="66">
        <v>45484.0</v>
      </c>
      <c r="B1276" s="55" t="str">
        <f>HYPERLINK("https://jobright.ai/jobs/info/6690ae11714748cce6c387db?utm_campaign=1065&amp;utm_source=sheet", "Apply")</f>
        <v>Apply</v>
      </c>
      <c r="C1276" s="10" t="s">
        <v>14579</v>
      </c>
      <c r="D1276" s="56" t="s">
        <v>14380</v>
      </c>
      <c r="E1276" s="59">
        <v>45301.0</v>
      </c>
      <c r="F1276" s="10" t="s">
        <v>14381</v>
      </c>
      <c r="G1276" s="10" t="s">
        <v>12654</v>
      </c>
      <c r="H1276" s="10" t="s">
        <v>958</v>
      </c>
      <c r="I1276" s="10" t="s">
        <v>55</v>
      </c>
      <c r="J1276" s="10" t="s">
        <v>13437</v>
      </c>
      <c r="K1276" s="10" t="s">
        <v>14580</v>
      </c>
      <c r="L1276" s="10" t="s">
        <v>42</v>
      </c>
    </row>
    <row r="1277" ht="15.75" customHeight="1">
      <c r="A1277" s="66">
        <v>45484.0</v>
      </c>
      <c r="B1277" s="55" t="str">
        <f>HYPERLINK("https://jobright.ai/jobs/info/6690ae11714748cce6c387d4?utm_campaign=1065&amp;utm_source=sheet", "Apply")</f>
        <v>Apply</v>
      </c>
      <c r="C1277" s="10" t="s">
        <v>14579</v>
      </c>
      <c r="D1277" s="56" t="s">
        <v>14380</v>
      </c>
      <c r="E1277" s="59">
        <v>45301.0</v>
      </c>
      <c r="F1277" s="10" t="s">
        <v>14381</v>
      </c>
      <c r="G1277" s="10" t="s">
        <v>12654</v>
      </c>
      <c r="H1277" s="10" t="s">
        <v>896</v>
      </c>
      <c r="I1277" s="10" t="s">
        <v>55</v>
      </c>
      <c r="J1277" s="10" t="s">
        <v>13437</v>
      </c>
      <c r="K1277" s="10" t="s">
        <v>14580</v>
      </c>
      <c r="L1277" s="10" t="s">
        <v>42</v>
      </c>
    </row>
    <row r="1278" ht="15.75" customHeight="1">
      <c r="A1278" s="66">
        <v>45484.0</v>
      </c>
      <c r="B1278" s="55" t="str">
        <f>HYPERLINK("https://jobright.ai/jobs/info/6690ae11714748cce6c387c1?utm_campaign=1065&amp;utm_source=sheet", "Apply")</f>
        <v>Apply</v>
      </c>
      <c r="C1278" s="10" t="s">
        <v>14579</v>
      </c>
      <c r="D1278" s="56" t="s">
        <v>14380</v>
      </c>
      <c r="E1278" s="59">
        <v>45301.0</v>
      </c>
      <c r="F1278" s="10" t="s">
        <v>14381</v>
      </c>
      <c r="G1278" s="10" t="s">
        <v>12654</v>
      </c>
      <c r="H1278" s="10" t="s">
        <v>411</v>
      </c>
      <c r="I1278" s="10" t="s">
        <v>55</v>
      </c>
      <c r="J1278" s="10" t="s">
        <v>13437</v>
      </c>
      <c r="K1278" s="10" t="s">
        <v>14580</v>
      </c>
      <c r="L1278" s="10" t="s">
        <v>42</v>
      </c>
    </row>
    <row r="1279" ht="15.75" customHeight="1">
      <c r="A1279" s="66">
        <v>45484.0</v>
      </c>
      <c r="B1279" s="55" t="str">
        <f>HYPERLINK("https://jobright.ai/jobs/info/6690ae11714748cce6c387d7?utm_campaign=1065&amp;utm_source=sheet", "Apply")</f>
        <v>Apply</v>
      </c>
      <c r="C1279" s="10" t="s">
        <v>14579</v>
      </c>
      <c r="D1279" s="56" t="s">
        <v>14380</v>
      </c>
      <c r="E1279" s="59">
        <v>45301.0</v>
      </c>
      <c r="F1279" s="10" t="s">
        <v>14381</v>
      </c>
      <c r="G1279" s="10" t="s">
        <v>12654</v>
      </c>
      <c r="H1279" s="10" t="s">
        <v>948</v>
      </c>
      <c r="I1279" s="10" t="s">
        <v>55</v>
      </c>
      <c r="J1279" s="10" t="s">
        <v>13437</v>
      </c>
      <c r="K1279" s="10" t="s">
        <v>14580</v>
      </c>
      <c r="L1279" s="10" t="s">
        <v>42</v>
      </c>
    </row>
    <row r="1280" ht="15.75" customHeight="1">
      <c r="A1280" s="66">
        <v>45484.0</v>
      </c>
      <c r="B1280" s="55" t="str">
        <f>HYPERLINK("https://jobright.ai/jobs/info/6690ae11714748cce6c387bc?utm_campaign=1065&amp;utm_source=sheet", "Apply")</f>
        <v>Apply</v>
      </c>
      <c r="C1280" s="10" t="s">
        <v>14581</v>
      </c>
      <c r="D1280" s="56" t="s">
        <v>14380</v>
      </c>
      <c r="E1280" s="59">
        <v>45301.0</v>
      </c>
      <c r="F1280" s="10" t="s">
        <v>14381</v>
      </c>
      <c r="G1280" s="10" t="s">
        <v>12654</v>
      </c>
      <c r="H1280" s="10" t="s">
        <v>871</v>
      </c>
      <c r="I1280" s="10" t="s">
        <v>55</v>
      </c>
      <c r="J1280" s="10" t="s">
        <v>13437</v>
      </c>
      <c r="K1280" s="10" t="s">
        <v>14582</v>
      </c>
      <c r="L1280" s="10" t="s">
        <v>42</v>
      </c>
    </row>
    <row r="1281" ht="15.75" customHeight="1">
      <c r="A1281" s="66">
        <v>45484.0</v>
      </c>
      <c r="B1281" s="55" t="str">
        <f>HYPERLINK("https://jobright.ai/jobs/info/6690ae11714748cce6c387dc?utm_campaign=1065&amp;utm_source=sheet", "Apply")</f>
        <v>Apply</v>
      </c>
      <c r="C1281" s="10" t="s">
        <v>14581</v>
      </c>
      <c r="D1281" s="56" t="s">
        <v>14380</v>
      </c>
      <c r="E1281" s="59">
        <v>45301.0</v>
      </c>
      <c r="F1281" s="10" t="s">
        <v>14381</v>
      </c>
      <c r="G1281" s="10" t="s">
        <v>12654</v>
      </c>
      <c r="H1281" s="10" t="s">
        <v>762</v>
      </c>
      <c r="I1281" s="10" t="s">
        <v>55</v>
      </c>
      <c r="J1281" s="10" t="s">
        <v>13437</v>
      </c>
      <c r="K1281" s="10" t="s">
        <v>14582</v>
      </c>
      <c r="L1281" s="10" t="s">
        <v>42</v>
      </c>
    </row>
    <row r="1282" ht="15.75" customHeight="1">
      <c r="A1282" s="66">
        <v>45484.0</v>
      </c>
      <c r="B1282" s="55" t="str">
        <f>HYPERLINK("https://jobright.ai/jobs/info/6690ae11714748cce6c387cb?utm_campaign=1065&amp;utm_source=sheet", "Apply")</f>
        <v>Apply</v>
      </c>
      <c r="C1282" s="10" t="s">
        <v>14579</v>
      </c>
      <c r="D1282" s="56" t="s">
        <v>14380</v>
      </c>
      <c r="E1282" s="59">
        <v>45301.0</v>
      </c>
      <c r="F1282" s="10" t="s">
        <v>14381</v>
      </c>
      <c r="G1282" s="10" t="s">
        <v>12654</v>
      </c>
      <c r="H1282" s="10" t="s">
        <v>947</v>
      </c>
      <c r="I1282" s="10" t="s">
        <v>55</v>
      </c>
      <c r="J1282" s="10" t="s">
        <v>13437</v>
      </c>
      <c r="K1282" s="10" t="s">
        <v>14580</v>
      </c>
      <c r="L1282" s="10" t="s">
        <v>42</v>
      </c>
    </row>
    <row r="1283" ht="15.75" customHeight="1">
      <c r="A1283" s="66">
        <v>45484.0</v>
      </c>
      <c r="B1283" s="55" t="str">
        <f>HYPERLINK("https://jobright.ai/jobs/info/6690ae11714748cce6c387f8?utm_campaign=1065&amp;utm_source=sheet", "Apply")</f>
        <v>Apply</v>
      </c>
      <c r="C1283" s="10" t="s">
        <v>14581</v>
      </c>
      <c r="D1283" s="56" t="s">
        <v>14380</v>
      </c>
      <c r="E1283" s="59">
        <v>45301.0</v>
      </c>
      <c r="F1283" s="10" t="s">
        <v>14381</v>
      </c>
      <c r="G1283" s="10" t="s">
        <v>12654</v>
      </c>
      <c r="H1283" s="10" t="s">
        <v>815</v>
      </c>
      <c r="I1283" s="10" t="s">
        <v>55</v>
      </c>
      <c r="J1283" s="10" t="s">
        <v>13437</v>
      </c>
      <c r="K1283" s="10" t="s">
        <v>14582</v>
      </c>
      <c r="L1283" s="10" t="s">
        <v>42</v>
      </c>
    </row>
    <row r="1284" ht="15.75" customHeight="1">
      <c r="A1284" s="66">
        <v>45484.0</v>
      </c>
      <c r="B1284" s="55" t="str">
        <f>HYPERLINK("https://jobright.ai/jobs/info/6690ae11714748cce6c38809?utm_campaign=1065&amp;utm_source=sheet", "Apply")</f>
        <v>Apply</v>
      </c>
      <c r="C1284" s="10" t="s">
        <v>14579</v>
      </c>
      <c r="D1284" s="56" t="s">
        <v>14380</v>
      </c>
      <c r="E1284" s="59">
        <v>45301.0</v>
      </c>
      <c r="F1284" s="10" t="s">
        <v>14381</v>
      </c>
      <c r="G1284" s="10" t="s">
        <v>12654</v>
      </c>
      <c r="H1284" s="10" t="s">
        <v>977</v>
      </c>
      <c r="I1284" s="10" t="s">
        <v>55</v>
      </c>
      <c r="J1284" s="10" t="s">
        <v>13437</v>
      </c>
      <c r="K1284" s="10" t="s">
        <v>14580</v>
      </c>
      <c r="L1284" s="10" t="s">
        <v>42</v>
      </c>
    </row>
    <row r="1285" ht="15.75" customHeight="1">
      <c r="A1285" s="66">
        <v>45484.0</v>
      </c>
      <c r="B1285" s="55" t="str">
        <f>HYPERLINK("https://jobright.ai/jobs/info/6690ae11714748cce6c38804?utm_campaign=1065&amp;utm_source=sheet", "Apply")</f>
        <v>Apply</v>
      </c>
      <c r="C1285" s="10" t="s">
        <v>14581</v>
      </c>
      <c r="D1285" s="56" t="s">
        <v>14380</v>
      </c>
      <c r="E1285" s="59">
        <v>45301.0</v>
      </c>
      <c r="F1285" s="10" t="s">
        <v>14381</v>
      </c>
      <c r="G1285" s="10" t="s">
        <v>12654</v>
      </c>
      <c r="H1285" s="10" t="s">
        <v>790</v>
      </c>
      <c r="I1285" s="10" t="s">
        <v>55</v>
      </c>
      <c r="J1285" s="10" t="s">
        <v>13437</v>
      </c>
      <c r="K1285" s="10" t="s">
        <v>14582</v>
      </c>
      <c r="L1285" s="10" t="s">
        <v>42</v>
      </c>
    </row>
    <row r="1286" ht="15.75" customHeight="1">
      <c r="A1286" s="66">
        <v>45484.0</v>
      </c>
      <c r="B1286" s="55" t="str">
        <f>HYPERLINK("https://jobright.ai/jobs/info/6690ae11714748cce6c387fd?utm_campaign=1065&amp;utm_source=sheet", "Apply")</f>
        <v>Apply</v>
      </c>
      <c r="C1286" s="10" t="s">
        <v>14579</v>
      </c>
      <c r="D1286" s="56" t="s">
        <v>14380</v>
      </c>
      <c r="E1286" s="59">
        <v>45301.0</v>
      </c>
      <c r="F1286" s="10" t="s">
        <v>14381</v>
      </c>
      <c r="G1286" s="10" t="s">
        <v>12654</v>
      </c>
      <c r="H1286" s="10" t="s">
        <v>1009</v>
      </c>
      <c r="I1286" s="10" t="s">
        <v>55</v>
      </c>
      <c r="J1286" s="10" t="s">
        <v>13437</v>
      </c>
      <c r="K1286" s="10" t="s">
        <v>14580</v>
      </c>
      <c r="L1286" s="10" t="s">
        <v>42</v>
      </c>
    </row>
    <row r="1287" ht="15.75" customHeight="1">
      <c r="A1287" s="66">
        <v>45484.0</v>
      </c>
      <c r="B1287" s="55" t="str">
        <f>HYPERLINK("https://jobright.ai/jobs/info/6690ae11714748cce6c387e1?utm_campaign=1065&amp;utm_source=sheet", "Apply")</f>
        <v>Apply</v>
      </c>
      <c r="C1287" s="10" t="s">
        <v>14581</v>
      </c>
      <c r="D1287" s="56" t="s">
        <v>14380</v>
      </c>
      <c r="E1287" s="59">
        <v>45301.0</v>
      </c>
      <c r="F1287" s="10" t="s">
        <v>14381</v>
      </c>
      <c r="G1287" s="10" t="s">
        <v>12654</v>
      </c>
      <c r="H1287" s="10" t="s">
        <v>864</v>
      </c>
      <c r="I1287" s="10" t="s">
        <v>55</v>
      </c>
      <c r="J1287" s="10" t="s">
        <v>13437</v>
      </c>
      <c r="K1287" s="10" t="s">
        <v>14582</v>
      </c>
      <c r="L1287" s="10" t="s">
        <v>42</v>
      </c>
    </row>
    <row r="1288" ht="15.75" customHeight="1">
      <c r="A1288" s="66">
        <v>45484.0</v>
      </c>
      <c r="B1288" s="55" t="str">
        <f>HYPERLINK("https://jobright.ai/jobs/info/6690ae11714748cce6c38815?utm_campaign=1065&amp;utm_source=sheet", "Apply")</f>
        <v>Apply</v>
      </c>
      <c r="C1288" s="10" t="s">
        <v>14579</v>
      </c>
      <c r="D1288" s="56" t="s">
        <v>14380</v>
      </c>
      <c r="E1288" s="59">
        <v>45301.0</v>
      </c>
      <c r="F1288" s="10" t="s">
        <v>14381</v>
      </c>
      <c r="G1288" s="10" t="s">
        <v>12654</v>
      </c>
      <c r="H1288" s="10" t="s">
        <v>844</v>
      </c>
      <c r="I1288" s="10" t="s">
        <v>55</v>
      </c>
      <c r="J1288" s="10" t="s">
        <v>13437</v>
      </c>
      <c r="K1288" s="10" t="s">
        <v>14580</v>
      </c>
      <c r="L1288" s="10" t="s">
        <v>42</v>
      </c>
    </row>
    <row r="1289" ht="15.75" customHeight="1">
      <c r="A1289" s="66">
        <v>45484.0</v>
      </c>
      <c r="B1289" s="55" t="str">
        <f>HYPERLINK("https://jobright.ai/jobs/info/6690ae11714748cce6c38829?utm_campaign=1065&amp;utm_source=sheet", "Apply")</f>
        <v>Apply</v>
      </c>
      <c r="C1289" s="10" t="s">
        <v>14581</v>
      </c>
      <c r="D1289" s="56" t="s">
        <v>14380</v>
      </c>
      <c r="E1289" s="59">
        <v>45301.0</v>
      </c>
      <c r="F1289" s="10" t="s">
        <v>14381</v>
      </c>
      <c r="G1289" s="10" t="s">
        <v>12654</v>
      </c>
      <c r="H1289" s="10" t="s">
        <v>1001</v>
      </c>
      <c r="I1289" s="10" t="s">
        <v>55</v>
      </c>
      <c r="J1289" s="10" t="s">
        <v>13437</v>
      </c>
      <c r="K1289" s="10" t="s">
        <v>14582</v>
      </c>
      <c r="L1289" s="10" t="s">
        <v>42</v>
      </c>
    </row>
    <row r="1290" ht="15.75" customHeight="1">
      <c r="A1290" s="66">
        <v>45484.0</v>
      </c>
      <c r="B1290" s="55" t="str">
        <f>HYPERLINK("https://jobright.ai/jobs/info/6690ae11714748cce6c3881e?utm_campaign=1065&amp;utm_source=sheet", "Apply")</f>
        <v>Apply</v>
      </c>
      <c r="C1290" s="10" t="s">
        <v>14581</v>
      </c>
      <c r="D1290" s="56" t="s">
        <v>14380</v>
      </c>
      <c r="E1290" s="59">
        <v>45301.0</v>
      </c>
      <c r="F1290" s="10" t="s">
        <v>14381</v>
      </c>
      <c r="G1290" s="10" t="s">
        <v>12654</v>
      </c>
      <c r="H1290" s="10" t="s">
        <v>870</v>
      </c>
      <c r="I1290" s="10" t="s">
        <v>55</v>
      </c>
      <c r="J1290" s="10" t="s">
        <v>13437</v>
      </c>
      <c r="K1290" s="10" t="s">
        <v>14582</v>
      </c>
      <c r="L1290" s="10" t="s">
        <v>42</v>
      </c>
    </row>
    <row r="1291" ht="15.75" customHeight="1">
      <c r="A1291" s="66">
        <v>45484.0</v>
      </c>
      <c r="B1291" s="55" t="str">
        <f>HYPERLINK("https://jobright.ai/jobs/info/6690ae11714748cce6c3880e?utm_campaign=1065&amp;utm_source=sheet", "Apply")</f>
        <v>Apply</v>
      </c>
      <c r="C1291" s="10" t="s">
        <v>14581</v>
      </c>
      <c r="D1291" s="56" t="s">
        <v>14380</v>
      </c>
      <c r="E1291" s="59">
        <v>45301.0</v>
      </c>
      <c r="F1291" s="10" t="s">
        <v>14381</v>
      </c>
      <c r="G1291" s="10" t="s">
        <v>12654</v>
      </c>
      <c r="H1291" s="10" t="s">
        <v>977</v>
      </c>
      <c r="I1291" s="10" t="s">
        <v>55</v>
      </c>
      <c r="J1291" s="10" t="s">
        <v>13437</v>
      </c>
      <c r="K1291" s="10" t="s">
        <v>14582</v>
      </c>
      <c r="L1291" s="10" t="s">
        <v>42</v>
      </c>
    </row>
    <row r="1292" ht="15.75" customHeight="1">
      <c r="A1292" s="66">
        <v>45484.0</v>
      </c>
      <c r="B1292" s="55" t="str">
        <f>HYPERLINK("https://jobright.ai/jobs/info/6690ae11714748cce6c3882e?utm_campaign=1065&amp;utm_source=sheet", "Apply")</f>
        <v>Apply</v>
      </c>
      <c r="C1292" s="10" t="s">
        <v>14579</v>
      </c>
      <c r="D1292" s="56" t="s">
        <v>14380</v>
      </c>
      <c r="E1292" s="59">
        <v>45301.0</v>
      </c>
      <c r="F1292" s="10" t="s">
        <v>14381</v>
      </c>
      <c r="G1292" s="10" t="s">
        <v>12654</v>
      </c>
      <c r="H1292" s="10" t="s">
        <v>903</v>
      </c>
      <c r="I1292" s="10" t="s">
        <v>55</v>
      </c>
      <c r="J1292" s="10" t="s">
        <v>13437</v>
      </c>
      <c r="K1292" s="10" t="s">
        <v>14580</v>
      </c>
      <c r="L1292" s="10" t="s">
        <v>42</v>
      </c>
    </row>
    <row r="1293" ht="15.75" customHeight="1">
      <c r="A1293" s="66">
        <v>45484.0</v>
      </c>
      <c r="B1293" s="55" t="str">
        <f>HYPERLINK("https://jobright.ai/jobs/info/6690ae11714748cce6c3880f?utm_campaign=1065&amp;utm_source=sheet", "Apply")</f>
        <v>Apply</v>
      </c>
      <c r="C1293" s="10" t="s">
        <v>14581</v>
      </c>
      <c r="D1293" s="56" t="s">
        <v>14380</v>
      </c>
      <c r="E1293" s="59">
        <v>45301.0</v>
      </c>
      <c r="F1293" s="10" t="s">
        <v>14381</v>
      </c>
      <c r="G1293" s="10" t="s">
        <v>12654</v>
      </c>
      <c r="H1293" s="10" t="s">
        <v>868</v>
      </c>
      <c r="I1293" s="10" t="s">
        <v>55</v>
      </c>
      <c r="J1293" s="10" t="s">
        <v>13437</v>
      </c>
      <c r="K1293" s="10" t="s">
        <v>14582</v>
      </c>
      <c r="L1293" s="10" t="s">
        <v>42</v>
      </c>
    </row>
    <row r="1294" ht="15.75" customHeight="1">
      <c r="A1294" s="66">
        <v>45484.0</v>
      </c>
      <c r="B1294" s="55" t="str">
        <f>HYPERLINK("https://jobright.ai/jobs/info/6690ae11714748cce6c38827?utm_campaign=1065&amp;utm_source=sheet", "Apply")</f>
        <v>Apply</v>
      </c>
      <c r="C1294" s="10" t="s">
        <v>14579</v>
      </c>
      <c r="D1294" s="56" t="s">
        <v>14380</v>
      </c>
      <c r="E1294" s="59">
        <v>45301.0</v>
      </c>
      <c r="F1294" s="10" t="s">
        <v>14381</v>
      </c>
      <c r="G1294" s="10" t="s">
        <v>12654</v>
      </c>
      <c r="H1294" s="10" t="s">
        <v>987</v>
      </c>
      <c r="I1294" s="10" t="s">
        <v>55</v>
      </c>
      <c r="J1294" s="10" t="s">
        <v>13437</v>
      </c>
      <c r="K1294" s="10" t="s">
        <v>14580</v>
      </c>
      <c r="L1294" s="10" t="s">
        <v>42</v>
      </c>
    </row>
    <row r="1295" ht="15.75" customHeight="1">
      <c r="A1295" s="66">
        <v>45484.0</v>
      </c>
      <c r="B1295" s="55" t="str">
        <f>HYPERLINK("https://jobright.ai/jobs/info/6690ae11714748cce6c3883d?utm_campaign=1065&amp;utm_source=sheet", "Apply")</f>
        <v>Apply</v>
      </c>
      <c r="C1295" s="10" t="s">
        <v>14581</v>
      </c>
      <c r="D1295" s="56" t="s">
        <v>14380</v>
      </c>
      <c r="E1295" s="59">
        <v>45301.0</v>
      </c>
      <c r="F1295" s="10" t="s">
        <v>14381</v>
      </c>
      <c r="G1295" s="10" t="s">
        <v>12654</v>
      </c>
      <c r="H1295" s="10" t="s">
        <v>901</v>
      </c>
      <c r="I1295" s="10" t="s">
        <v>55</v>
      </c>
      <c r="J1295" s="10" t="s">
        <v>13437</v>
      </c>
      <c r="K1295" s="10" t="s">
        <v>14582</v>
      </c>
      <c r="L1295" s="10" t="s">
        <v>42</v>
      </c>
    </row>
    <row r="1296" ht="15.75" customHeight="1">
      <c r="A1296" s="66">
        <v>45484.0</v>
      </c>
      <c r="B1296" s="55" t="str">
        <f>HYPERLINK("https://jobright.ai/jobs/info/6690ae11714748cce6c38843?utm_campaign=1065&amp;utm_source=sheet", "Apply")</f>
        <v>Apply</v>
      </c>
      <c r="C1296" s="10" t="s">
        <v>14579</v>
      </c>
      <c r="D1296" s="56" t="s">
        <v>14380</v>
      </c>
      <c r="E1296" s="59">
        <v>45301.0</v>
      </c>
      <c r="F1296" s="10" t="s">
        <v>14381</v>
      </c>
      <c r="G1296" s="10" t="s">
        <v>12654</v>
      </c>
      <c r="H1296" s="10" t="s">
        <v>803</v>
      </c>
      <c r="I1296" s="10" t="s">
        <v>55</v>
      </c>
      <c r="J1296" s="10" t="s">
        <v>13437</v>
      </c>
      <c r="K1296" s="10" t="s">
        <v>14580</v>
      </c>
      <c r="L1296" s="10" t="s">
        <v>42</v>
      </c>
    </row>
    <row r="1297" ht="15.75" customHeight="1">
      <c r="A1297" s="66">
        <v>45484.0</v>
      </c>
      <c r="B1297" s="55" t="str">
        <f>HYPERLINK("https://jobright.ai/jobs/info/6690ae11714748cce6c38847?utm_campaign=1065&amp;utm_source=sheet", "Apply")</f>
        <v>Apply</v>
      </c>
      <c r="C1297" s="10" t="s">
        <v>14581</v>
      </c>
      <c r="D1297" s="56" t="s">
        <v>14380</v>
      </c>
      <c r="E1297" s="59">
        <v>45301.0</v>
      </c>
      <c r="F1297" s="10" t="s">
        <v>14381</v>
      </c>
      <c r="G1297" s="10" t="s">
        <v>12654</v>
      </c>
      <c r="H1297" s="10" t="s">
        <v>874</v>
      </c>
      <c r="I1297" s="10" t="s">
        <v>55</v>
      </c>
      <c r="J1297" s="10" t="s">
        <v>13437</v>
      </c>
      <c r="K1297" s="10" t="s">
        <v>14582</v>
      </c>
      <c r="L1297" s="10" t="s">
        <v>42</v>
      </c>
    </row>
    <row r="1298" ht="15.75" customHeight="1">
      <c r="A1298" s="66">
        <v>45484.0</v>
      </c>
      <c r="B1298" s="55" t="str">
        <f>HYPERLINK("https://jobright.ai/jobs/info/6690ae11714748cce6c38849?utm_campaign=1065&amp;utm_source=sheet", "Apply")</f>
        <v>Apply</v>
      </c>
      <c r="C1298" s="10" t="s">
        <v>14579</v>
      </c>
      <c r="D1298" s="56" t="s">
        <v>14380</v>
      </c>
      <c r="E1298" s="59">
        <v>45301.0</v>
      </c>
      <c r="F1298" s="10" t="s">
        <v>14381</v>
      </c>
      <c r="G1298" s="10" t="s">
        <v>12654</v>
      </c>
      <c r="H1298" s="10" t="s">
        <v>971</v>
      </c>
      <c r="I1298" s="10" t="s">
        <v>55</v>
      </c>
      <c r="J1298" s="10" t="s">
        <v>13437</v>
      </c>
      <c r="K1298" s="10" t="s">
        <v>14580</v>
      </c>
      <c r="L1298" s="10" t="s">
        <v>42</v>
      </c>
    </row>
    <row r="1299" ht="15.75" customHeight="1">
      <c r="A1299" s="66">
        <v>45484.0</v>
      </c>
      <c r="B1299" s="55" t="str">
        <f>HYPERLINK("https://jobright.ai/jobs/info/6690ae11714748cce6c38857?utm_campaign=1065&amp;utm_source=sheet", "Apply")</f>
        <v>Apply</v>
      </c>
      <c r="C1299" s="10" t="s">
        <v>14581</v>
      </c>
      <c r="D1299" s="56" t="s">
        <v>14380</v>
      </c>
      <c r="E1299" s="59">
        <v>45301.0</v>
      </c>
      <c r="F1299" s="10" t="s">
        <v>14381</v>
      </c>
      <c r="G1299" s="10" t="s">
        <v>12654</v>
      </c>
      <c r="H1299" s="10" t="s">
        <v>949</v>
      </c>
      <c r="I1299" s="10" t="s">
        <v>55</v>
      </c>
      <c r="J1299" s="10" t="s">
        <v>13437</v>
      </c>
      <c r="K1299" s="10" t="s">
        <v>14582</v>
      </c>
      <c r="L1299" s="10" t="s">
        <v>42</v>
      </c>
    </row>
    <row r="1300" ht="15.75" customHeight="1">
      <c r="A1300" s="66">
        <v>45484.0</v>
      </c>
      <c r="B1300" s="55" t="str">
        <f>HYPERLINK("https://jobright.ai/jobs/info/6690ae19714748cce6c3885d?utm_campaign=1065&amp;utm_source=sheet", "Apply")</f>
        <v>Apply</v>
      </c>
      <c r="C1300" s="10" t="s">
        <v>14581</v>
      </c>
      <c r="D1300" s="56" t="s">
        <v>14380</v>
      </c>
      <c r="E1300" s="59">
        <v>45301.0</v>
      </c>
      <c r="F1300" s="10" t="s">
        <v>14381</v>
      </c>
      <c r="G1300" s="10" t="s">
        <v>12654</v>
      </c>
      <c r="H1300" s="10" t="s">
        <v>824</v>
      </c>
      <c r="I1300" s="10" t="s">
        <v>55</v>
      </c>
      <c r="J1300" s="10" t="s">
        <v>13437</v>
      </c>
      <c r="K1300" s="10" t="s">
        <v>14582</v>
      </c>
      <c r="L1300" s="10" t="s">
        <v>42</v>
      </c>
    </row>
    <row r="1301" ht="15.75" customHeight="1">
      <c r="A1301" s="66">
        <v>45484.0</v>
      </c>
      <c r="B1301" s="55" t="str">
        <f>HYPERLINK("https://jobright.ai/jobs/info/6690ae11714748cce6c38854?utm_campaign=1065&amp;utm_source=sheet", "Apply")</f>
        <v>Apply</v>
      </c>
      <c r="C1301" s="10" t="s">
        <v>14581</v>
      </c>
      <c r="D1301" s="56" t="s">
        <v>14380</v>
      </c>
      <c r="E1301" s="59">
        <v>45301.0</v>
      </c>
      <c r="F1301" s="10" t="s">
        <v>14381</v>
      </c>
      <c r="G1301" s="10" t="s">
        <v>12654</v>
      </c>
      <c r="H1301" s="10" t="s">
        <v>821</v>
      </c>
      <c r="I1301" s="10" t="s">
        <v>55</v>
      </c>
      <c r="J1301" s="10" t="s">
        <v>13437</v>
      </c>
      <c r="K1301" s="10" t="s">
        <v>14582</v>
      </c>
      <c r="L1301" s="10" t="s">
        <v>42</v>
      </c>
    </row>
    <row r="1302" ht="15.75" customHeight="1">
      <c r="A1302" s="66">
        <v>45484.0</v>
      </c>
      <c r="B1302" s="55" t="str">
        <f>HYPERLINK("https://jobright.ai/jobs/info/6690ae11714748cce6c38856?utm_campaign=1065&amp;utm_source=sheet", "Apply")</f>
        <v>Apply</v>
      </c>
      <c r="C1302" s="10" t="s">
        <v>14581</v>
      </c>
      <c r="D1302" s="56" t="s">
        <v>14380</v>
      </c>
      <c r="E1302" s="59">
        <v>45301.0</v>
      </c>
      <c r="F1302" s="10" t="s">
        <v>14381</v>
      </c>
      <c r="G1302" s="10" t="s">
        <v>12654</v>
      </c>
      <c r="H1302" s="10" t="s">
        <v>271</v>
      </c>
      <c r="I1302" s="10" t="s">
        <v>55</v>
      </c>
      <c r="J1302" s="10" t="s">
        <v>13437</v>
      </c>
      <c r="K1302" s="10" t="s">
        <v>14582</v>
      </c>
      <c r="L1302" s="10" t="s">
        <v>42</v>
      </c>
    </row>
    <row r="1303" ht="15.75" customHeight="1">
      <c r="A1303" s="66">
        <v>45484.0</v>
      </c>
      <c r="B1303" s="55" t="str">
        <f>HYPERLINK("https://jobright.ai/jobs/info/6690ae19714748cce6c38868?utm_campaign=1065&amp;utm_source=sheet", "Apply")</f>
        <v>Apply</v>
      </c>
      <c r="C1303" s="10" t="s">
        <v>14579</v>
      </c>
      <c r="D1303" s="56" t="s">
        <v>14380</v>
      </c>
      <c r="E1303" s="59">
        <v>45301.0</v>
      </c>
      <c r="F1303" s="10" t="s">
        <v>14381</v>
      </c>
      <c r="G1303" s="10" t="s">
        <v>12654</v>
      </c>
      <c r="H1303" s="10" t="s">
        <v>788</v>
      </c>
      <c r="I1303" s="10" t="s">
        <v>55</v>
      </c>
      <c r="J1303" s="10" t="s">
        <v>13437</v>
      </c>
      <c r="K1303" s="10" t="s">
        <v>14580</v>
      </c>
      <c r="L1303" s="10" t="s">
        <v>42</v>
      </c>
    </row>
    <row r="1304" ht="15.75" customHeight="1">
      <c r="A1304" s="66">
        <v>45484.0</v>
      </c>
      <c r="B1304" s="55" t="str">
        <f>HYPERLINK("https://jobright.ai/jobs/info/6690ae19714748cce6c3886e?utm_campaign=1065&amp;utm_source=sheet", "Apply")</f>
        <v>Apply</v>
      </c>
      <c r="C1304" s="10" t="s">
        <v>14581</v>
      </c>
      <c r="D1304" s="56" t="s">
        <v>14380</v>
      </c>
      <c r="E1304" s="59">
        <v>45301.0</v>
      </c>
      <c r="F1304" s="10" t="s">
        <v>14381</v>
      </c>
      <c r="G1304" s="10" t="s">
        <v>12654</v>
      </c>
      <c r="H1304" s="10" t="s">
        <v>906</v>
      </c>
      <c r="I1304" s="10" t="s">
        <v>55</v>
      </c>
      <c r="J1304" s="10" t="s">
        <v>13437</v>
      </c>
      <c r="K1304" s="10" t="s">
        <v>14582</v>
      </c>
      <c r="L1304" s="10" t="s">
        <v>42</v>
      </c>
    </row>
    <row r="1305" ht="15.75" customHeight="1">
      <c r="A1305" s="66">
        <v>45484.0</v>
      </c>
      <c r="B1305" s="55" t="str">
        <f>HYPERLINK("https://jobright.ai/jobs/info/6690ae19714748cce6c38871?utm_campaign=1065&amp;utm_source=sheet", "Apply")</f>
        <v>Apply</v>
      </c>
      <c r="C1305" s="10" t="s">
        <v>14579</v>
      </c>
      <c r="D1305" s="56" t="s">
        <v>14380</v>
      </c>
      <c r="E1305" s="59">
        <v>45301.0</v>
      </c>
      <c r="F1305" s="10" t="s">
        <v>14381</v>
      </c>
      <c r="G1305" s="10" t="s">
        <v>12654</v>
      </c>
      <c r="H1305" s="10" t="s">
        <v>152</v>
      </c>
      <c r="I1305" s="10" t="s">
        <v>55</v>
      </c>
      <c r="J1305" s="10" t="s">
        <v>13437</v>
      </c>
      <c r="K1305" s="10" t="s">
        <v>14580</v>
      </c>
      <c r="L1305" s="10" t="s">
        <v>42</v>
      </c>
    </row>
    <row r="1306" ht="15.75" customHeight="1">
      <c r="A1306" s="66">
        <v>45484.0</v>
      </c>
      <c r="B1306" s="55" t="str">
        <f>HYPERLINK("https://jobright.ai/jobs/info/6690ae19714748cce6c38873?utm_campaign=1065&amp;utm_source=sheet", "Apply")</f>
        <v>Apply</v>
      </c>
      <c r="C1306" s="10" t="s">
        <v>14579</v>
      </c>
      <c r="D1306" s="56" t="s">
        <v>14380</v>
      </c>
      <c r="E1306" s="59">
        <v>45301.0</v>
      </c>
      <c r="F1306" s="10" t="s">
        <v>14381</v>
      </c>
      <c r="G1306" s="10" t="s">
        <v>12654</v>
      </c>
      <c r="H1306" s="10" t="s">
        <v>929</v>
      </c>
      <c r="I1306" s="10" t="s">
        <v>55</v>
      </c>
      <c r="J1306" s="10" t="s">
        <v>13437</v>
      </c>
      <c r="K1306" s="10" t="s">
        <v>14580</v>
      </c>
      <c r="L1306" s="10" t="s">
        <v>42</v>
      </c>
    </row>
    <row r="1307" ht="15.75" customHeight="1">
      <c r="A1307" s="66">
        <v>45484.0</v>
      </c>
      <c r="B1307" s="55" t="str">
        <f>HYPERLINK("https://jobright.ai/jobs/info/6690ae19714748cce6c38875?utm_campaign=1065&amp;utm_source=sheet", "Apply")</f>
        <v>Apply</v>
      </c>
      <c r="C1307" s="10" t="s">
        <v>14581</v>
      </c>
      <c r="D1307" s="56" t="s">
        <v>14380</v>
      </c>
      <c r="E1307" s="59">
        <v>45301.0</v>
      </c>
      <c r="F1307" s="10" t="s">
        <v>14381</v>
      </c>
      <c r="G1307" s="10" t="s">
        <v>12654</v>
      </c>
      <c r="H1307" s="10" t="s">
        <v>957</v>
      </c>
      <c r="I1307" s="10" t="s">
        <v>55</v>
      </c>
      <c r="J1307" s="10" t="s">
        <v>13437</v>
      </c>
      <c r="K1307" s="10" t="s">
        <v>14582</v>
      </c>
      <c r="L1307" s="10" t="s">
        <v>42</v>
      </c>
    </row>
    <row r="1308" ht="15.75" customHeight="1">
      <c r="A1308" s="66">
        <v>45484.0</v>
      </c>
      <c r="B1308" s="55" t="str">
        <f>HYPERLINK("https://jobright.ai/jobs/info/6690ae19714748cce6c38867?utm_campaign=1065&amp;utm_source=sheet", "Apply")</f>
        <v>Apply</v>
      </c>
      <c r="C1308" s="10" t="s">
        <v>14579</v>
      </c>
      <c r="D1308" s="56" t="s">
        <v>14380</v>
      </c>
      <c r="E1308" s="59">
        <v>45301.0</v>
      </c>
      <c r="F1308" s="10" t="s">
        <v>14381</v>
      </c>
      <c r="G1308" s="10" t="s">
        <v>12654</v>
      </c>
      <c r="H1308" s="10" t="s">
        <v>865</v>
      </c>
      <c r="I1308" s="10" t="s">
        <v>55</v>
      </c>
      <c r="J1308" s="10" t="s">
        <v>13437</v>
      </c>
      <c r="K1308" s="10" t="s">
        <v>14580</v>
      </c>
      <c r="L1308" s="10" t="s">
        <v>42</v>
      </c>
    </row>
    <row r="1309" ht="15.75" customHeight="1">
      <c r="A1309" s="66">
        <v>45484.0</v>
      </c>
      <c r="B1309" s="55" t="str">
        <f>HYPERLINK("https://jobright.ai/jobs/info/6690ae19714748cce6c3886a?utm_campaign=1065&amp;utm_source=sheet", "Apply")</f>
        <v>Apply</v>
      </c>
      <c r="C1309" s="10" t="s">
        <v>14579</v>
      </c>
      <c r="D1309" s="56" t="s">
        <v>14380</v>
      </c>
      <c r="E1309" s="59">
        <v>45301.0</v>
      </c>
      <c r="F1309" s="10" t="s">
        <v>14381</v>
      </c>
      <c r="G1309" s="10" t="s">
        <v>12654</v>
      </c>
      <c r="H1309" s="10" t="s">
        <v>146</v>
      </c>
      <c r="I1309" s="10" t="s">
        <v>55</v>
      </c>
      <c r="J1309" s="10" t="s">
        <v>13437</v>
      </c>
      <c r="K1309" s="10" t="s">
        <v>14580</v>
      </c>
      <c r="L1309" s="10" t="s">
        <v>42</v>
      </c>
    </row>
    <row r="1310" ht="15.75" customHeight="1">
      <c r="A1310" s="66">
        <v>45484.0</v>
      </c>
      <c r="B1310" s="55" t="str">
        <f>HYPERLINK("https://jobright.ai/jobs/info/6690ae19714748cce6c38869?utm_campaign=1065&amp;utm_source=sheet", "Apply")</f>
        <v>Apply</v>
      </c>
      <c r="C1310" s="10" t="s">
        <v>14581</v>
      </c>
      <c r="D1310" s="56" t="s">
        <v>14380</v>
      </c>
      <c r="E1310" s="59">
        <v>45301.0</v>
      </c>
      <c r="F1310" s="10" t="s">
        <v>14381</v>
      </c>
      <c r="G1310" s="10" t="s">
        <v>12654</v>
      </c>
      <c r="H1310" s="10" t="s">
        <v>865</v>
      </c>
      <c r="I1310" s="10" t="s">
        <v>55</v>
      </c>
      <c r="J1310" s="10" t="s">
        <v>13437</v>
      </c>
      <c r="K1310" s="10" t="s">
        <v>14582</v>
      </c>
      <c r="L1310" s="10" t="s">
        <v>42</v>
      </c>
    </row>
    <row r="1311" ht="15.75" customHeight="1">
      <c r="A1311" s="66">
        <v>45484.0</v>
      </c>
      <c r="B1311" s="55" t="str">
        <f>HYPERLINK("https://jobright.ai/jobs/info/6690ae19714748cce6c38888?utm_campaign=1065&amp;utm_source=sheet", "Apply")</f>
        <v>Apply</v>
      </c>
      <c r="C1311" s="10" t="s">
        <v>14581</v>
      </c>
      <c r="D1311" s="56" t="s">
        <v>14380</v>
      </c>
      <c r="E1311" s="59">
        <v>45301.0</v>
      </c>
      <c r="F1311" s="10" t="s">
        <v>14381</v>
      </c>
      <c r="G1311" s="10" t="s">
        <v>12654</v>
      </c>
      <c r="H1311" s="10" t="s">
        <v>789</v>
      </c>
      <c r="I1311" s="10" t="s">
        <v>55</v>
      </c>
      <c r="J1311" s="10" t="s">
        <v>13437</v>
      </c>
      <c r="K1311" s="10" t="s">
        <v>14582</v>
      </c>
      <c r="L1311" s="10" t="s">
        <v>42</v>
      </c>
    </row>
    <row r="1312" ht="15.75" customHeight="1">
      <c r="A1312" s="66">
        <v>45484.0</v>
      </c>
      <c r="B1312" s="55" t="str">
        <f>HYPERLINK("https://jobright.ai/jobs/info/6690ae19714748cce6c38878?utm_campaign=1065&amp;utm_source=sheet", "Apply")</f>
        <v>Apply</v>
      </c>
      <c r="C1312" s="10" t="s">
        <v>14579</v>
      </c>
      <c r="D1312" s="56" t="s">
        <v>14380</v>
      </c>
      <c r="E1312" s="59">
        <v>45301.0</v>
      </c>
      <c r="F1312" s="10" t="s">
        <v>14381</v>
      </c>
      <c r="G1312" s="10" t="s">
        <v>12654</v>
      </c>
      <c r="H1312" s="10" t="s">
        <v>949</v>
      </c>
      <c r="I1312" s="10" t="s">
        <v>55</v>
      </c>
      <c r="J1312" s="10" t="s">
        <v>13437</v>
      </c>
      <c r="K1312" s="10" t="s">
        <v>14580</v>
      </c>
      <c r="L1312" s="10" t="s">
        <v>42</v>
      </c>
    </row>
    <row r="1313" ht="15.75" customHeight="1">
      <c r="A1313" s="66">
        <v>45484.0</v>
      </c>
      <c r="B1313" s="55" t="str">
        <f>HYPERLINK("https://jobright.ai/jobs/info/6690ae19714748cce6c38889?utm_campaign=1065&amp;utm_source=sheet", "Apply")</f>
        <v>Apply</v>
      </c>
      <c r="C1313" s="10" t="s">
        <v>14579</v>
      </c>
      <c r="D1313" s="56" t="s">
        <v>14380</v>
      </c>
      <c r="E1313" s="59">
        <v>45301.0</v>
      </c>
      <c r="F1313" s="10" t="s">
        <v>14381</v>
      </c>
      <c r="G1313" s="10" t="s">
        <v>12654</v>
      </c>
      <c r="H1313" s="10" t="s">
        <v>1044</v>
      </c>
      <c r="I1313" s="10" t="s">
        <v>55</v>
      </c>
      <c r="J1313" s="10" t="s">
        <v>13437</v>
      </c>
      <c r="K1313" s="10" t="s">
        <v>14580</v>
      </c>
      <c r="L1313" s="10" t="s">
        <v>42</v>
      </c>
    </row>
    <row r="1314" ht="15.75" customHeight="1">
      <c r="A1314" s="66">
        <v>45484.0</v>
      </c>
      <c r="B1314" s="55" t="str">
        <f>HYPERLINK("https://jobright.ai/jobs/info/6690ae19714748cce6c3887b?utm_campaign=1065&amp;utm_source=sheet", "Apply")</f>
        <v>Apply</v>
      </c>
      <c r="C1314" s="10" t="s">
        <v>14581</v>
      </c>
      <c r="D1314" s="56" t="s">
        <v>14380</v>
      </c>
      <c r="E1314" s="59">
        <v>45301.0</v>
      </c>
      <c r="F1314" s="10" t="s">
        <v>14381</v>
      </c>
      <c r="G1314" s="10" t="s">
        <v>12654</v>
      </c>
      <c r="H1314" s="10" t="s">
        <v>894</v>
      </c>
      <c r="I1314" s="10" t="s">
        <v>55</v>
      </c>
      <c r="J1314" s="10" t="s">
        <v>13437</v>
      </c>
      <c r="K1314" s="10" t="s">
        <v>14582</v>
      </c>
      <c r="L1314" s="10" t="s">
        <v>42</v>
      </c>
    </row>
    <row r="1315" ht="15.75" customHeight="1">
      <c r="A1315" s="66">
        <v>45484.0</v>
      </c>
      <c r="B1315" s="55" t="str">
        <f>HYPERLINK("https://jobright.ai/jobs/info/6690ae19714748cce6c3887f?utm_campaign=1065&amp;utm_source=sheet", "Apply")</f>
        <v>Apply</v>
      </c>
      <c r="C1315" s="10" t="s">
        <v>14579</v>
      </c>
      <c r="D1315" s="56" t="s">
        <v>14380</v>
      </c>
      <c r="E1315" s="59">
        <v>45301.0</v>
      </c>
      <c r="F1315" s="10" t="s">
        <v>14381</v>
      </c>
      <c r="G1315" s="10" t="s">
        <v>12654</v>
      </c>
      <c r="H1315" s="10" t="s">
        <v>889</v>
      </c>
      <c r="I1315" s="10" t="s">
        <v>55</v>
      </c>
      <c r="J1315" s="10" t="s">
        <v>13437</v>
      </c>
      <c r="K1315" s="10" t="s">
        <v>14580</v>
      </c>
      <c r="L1315" s="10" t="s">
        <v>42</v>
      </c>
    </row>
    <row r="1316" ht="15.75" customHeight="1">
      <c r="A1316" s="66">
        <v>45484.0</v>
      </c>
      <c r="B1316" s="55" t="str">
        <f>HYPERLINK("https://jobright.ai/jobs/info/6690ae19714748cce6c3887e?utm_campaign=1065&amp;utm_source=sheet", "Apply")</f>
        <v>Apply</v>
      </c>
      <c r="C1316" s="10" t="s">
        <v>14581</v>
      </c>
      <c r="D1316" s="56" t="s">
        <v>14380</v>
      </c>
      <c r="E1316" s="59">
        <v>45301.0</v>
      </c>
      <c r="F1316" s="10" t="s">
        <v>14381</v>
      </c>
      <c r="G1316" s="10" t="s">
        <v>12654</v>
      </c>
      <c r="H1316" s="10" t="s">
        <v>768</v>
      </c>
      <c r="I1316" s="10" t="s">
        <v>55</v>
      </c>
      <c r="J1316" s="10" t="s">
        <v>13437</v>
      </c>
      <c r="K1316" s="10" t="s">
        <v>14582</v>
      </c>
      <c r="L1316" s="10" t="s">
        <v>42</v>
      </c>
    </row>
    <row r="1317" ht="15.75" customHeight="1">
      <c r="A1317" s="66">
        <v>45484.0</v>
      </c>
      <c r="B1317" s="55" t="str">
        <f>HYPERLINK("https://jobright.ai/jobs/info/6690ae19714748cce6c38887?utm_campaign=1065&amp;utm_source=sheet", "Apply")</f>
        <v>Apply</v>
      </c>
      <c r="C1317" s="10" t="s">
        <v>14579</v>
      </c>
      <c r="D1317" s="56" t="s">
        <v>14380</v>
      </c>
      <c r="E1317" s="59">
        <v>45301.0</v>
      </c>
      <c r="F1317" s="10" t="s">
        <v>14381</v>
      </c>
      <c r="G1317" s="10" t="s">
        <v>12654</v>
      </c>
      <c r="H1317" s="10" t="s">
        <v>820</v>
      </c>
      <c r="I1317" s="10" t="s">
        <v>55</v>
      </c>
      <c r="J1317" s="10" t="s">
        <v>13437</v>
      </c>
      <c r="K1317" s="10" t="s">
        <v>14580</v>
      </c>
      <c r="L1317" s="10" t="s">
        <v>42</v>
      </c>
    </row>
    <row r="1318" ht="15.75" customHeight="1">
      <c r="A1318" s="66">
        <v>45484.0</v>
      </c>
      <c r="B1318" s="55" t="str">
        <f>HYPERLINK("https://jobright.ai/jobs/info/6690ae19714748cce6c3888e?utm_campaign=1065&amp;utm_source=sheet", "Apply")</f>
        <v>Apply</v>
      </c>
      <c r="C1318" s="10" t="s">
        <v>14579</v>
      </c>
      <c r="D1318" s="56" t="s">
        <v>14380</v>
      </c>
      <c r="E1318" s="59">
        <v>45301.0</v>
      </c>
      <c r="F1318" s="10" t="s">
        <v>14381</v>
      </c>
      <c r="G1318" s="10" t="s">
        <v>12654</v>
      </c>
      <c r="H1318" s="10" t="s">
        <v>899</v>
      </c>
      <c r="I1318" s="10" t="s">
        <v>55</v>
      </c>
      <c r="J1318" s="10" t="s">
        <v>13437</v>
      </c>
      <c r="K1318" s="10" t="s">
        <v>14580</v>
      </c>
      <c r="L1318" s="10" t="s">
        <v>42</v>
      </c>
    </row>
    <row r="1319" ht="15.75" customHeight="1">
      <c r="A1319" s="66">
        <v>45484.0</v>
      </c>
      <c r="B1319" s="55" t="str">
        <f>HYPERLINK("https://jobright.ai/jobs/info/6690ae19714748cce6c38883?utm_campaign=1065&amp;utm_source=sheet", "Apply")</f>
        <v>Apply</v>
      </c>
      <c r="C1319" s="10" t="s">
        <v>14579</v>
      </c>
      <c r="D1319" s="56" t="s">
        <v>14380</v>
      </c>
      <c r="E1319" s="59">
        <v>45301.0</v>
      </c>
      <c r="F1319" s="10" t="s">
        <v>14381</v>
      </c>
      <c r="G1319" s="10" t="s">
        <v>12654</v>
      </c>
      <c r="H1319" s="10" t="s">
        <v>886</v>
      </c>
      <c r="I1319" s="10" t="s">
        <v>55</v>
      </c>
      <c r="J1319" s="10" t="s">
        <v>13437</v>
      </c>
      <c r="K1319" s="10" t="s">
        <v>14580</v>
      </c>
      <c r="L1319" s="10" t="s">
        <v>42</v>
      </c>
    </row>
    <row r="1320" ht="15.75" customHeight="1">
      <c r="A1320" s="66">
        <v>45484.0</v>
      </c>
      <c r="B1320" s="55" t="str">
        <f>HYPERLINK("https://jobright.ai/jobs/info/6690ae19714748cce6c3887a?utm_campaign=1065&amp;utm_source=sheet", "Apply")</f>
        <v>Apply</v>
      </c>
      <c r="C1320" s="10" t="s">
        <v>14579</v>
      </c>
      <c r="D1320" s="56" t="s">
        <v>14380</v>
      </c>
      <c r="E1320" s="59">
        <v>45301.0</v>
      </c>
      <c r="F1320" s="10" t="s">
        <v>14381</v>
      </c>
      <c r="G1320" s="10" t="s">
        <v>12654</v>
      </c>
      <c r="H1320" s="10" t="s">
        <v>1008</v>
      </c>
      <c r="I1320" s="10" t="s">
        <v>55</v>
      </c>
      <c r="J1320" s="10" t="s">
        <v>13437</v>
      </c>
      <c r="K1320" s="10" t="s">
        <v>14580</v>
      </c>
      <c r="L1320" s="10" t="s">
        <v>42</v>
      </c>
    </row>
    <row r="1321" ht="15.75" customHeight="1">
      <c r="A1321" s="66">
        <v>45484.0</v>
      </c>
      <c r="B1321" s="55" t="str">
        <f>HYPERLINK("https://jobright.ai/jobs/info/6690ae19714748cce6c38890?utm_campaign=1065&amp;utm_source=sheet", "Apply")</f>
        <v>Apply</v>
      </c>
      <c r="C1321" s="10" t="s">
        <v>14581</v>
      </c>
      <c r="D1321" s="56" t="s">
        <v>14380</v>
      </c>
      <c r="E1321" s="59">
        <v>45301.0</v>
      </c>
      <c r="F1321" s="10" t="s">
        <v>14381</v>
      </c>
      <c r="G1321" s="10" t="s">
        <v>12654</v>
      </c>
      <c r="H1321" s="10" t="s">
        <v>955</v>
      </c>
      <c r="I1321" s="10" t="s">
        <v>55</v>
      </c>
      <c r="J1321" s="10" t="s">
        <v>13437</v>
      </c>
      <c r="K1321" s="10" t="s">
        <v>14582</v>
      </c>
      <c r="L1321" s="10" t="s">
        <v>42</v>
      </c>
    </row>
    <row r="1322" ht="15.75" customHeight="1">
      <c r="A1322" s="66">
        <v>45484.0</v>
      </c>
      <c r="B1322" s="55" t="str">
        <f>HYPERLINK("https://jobright.ai/jobs/info/6690ae19714748cce6c38885?utm_campaign=1065&amp;utm_source=sheet", "Apply")</f>
        <v>Apply</v>
      </c>
      <c r="C1322" s="10" t="s">
        <v>14579</v>
      </c>
      <c r="D1322" s="56" t="s">
        <v>14380</v>
      </c>
      <c r="E1322" s="59">
        <v>45301.0</v>
      </c>
      <c r="F1322" s="10" t="s">
        <v>14381</v>
      </c>
      <c r="G1322" s="10" t="s">
        <v>12654</v>
      </c>
      <c r="H1322" s="10" t="s">
        <v>912</v>
      </c>
      <c r="I1322" s="10" t="s">
        <v>55</v>
      </c>
      <c r="J1322" s="10" t="s">
        <v>13437</v>
      </c>
      <c r="K1322" s="10" t="s">
        <v>14580</v>
      </c>
      <c r="L1322" s="10" t="s">
        <v>42</v>
      </c>
    </row>
    <row r="1323" ht="15.75" customHeight="1">
      <c r="A1323" s="66">
        <v>45484.0</v>
      </c>
      <c r="B1323" s="55" t="str">
        <f>HYPERLINK("https://jobright.ai/jobs/info/6690ae19714748cce6c388a6?utm_campaign=1065&amp;utm_source=sheet", "Apply")</f>
        <v>Apply</v>
      </c>
      <c r="C1323" s="10" t="s">
        <v>14581</v>
      </c>
      <c r="D1323" s="56" t="s">
        <v>14380</v>
      </c>
      <c r="E1323" s="59">
        <v>45301.0</v>
      </c>
      <c r="F1323" s="10" t="s">
        <v>14381</v>
      </c>
      <c r="G1323" s="10" t="s">
        <v>12654</v>
      </c>
      <c r="H1323" s="10" t="s">
        <v>505</v>
      </c>
      <c r="I1323" s="10" t="s">
        <v>55</v>
      </c>
      <c r="J1323" s="10" t="s">
        <v>13437</v>
      </c>
      <c r="K1323" s="10" t="s">
        <v>14582</v>
      </c>
      <c r="L1323" s="10" t="s">
        <v>42</v>
      </c>
    </row>
    <row r="1324" ht="15.75" customHeight="1">
      <c r="A1324" s="66">
        <v>45484.0</v>
      </c>
      <c r="B1324" s="55" t="str">
        <f>HYPERLINK("https://jobright.ai/jobs/info/6690ae19714748cce6c3889a?utm_campaign=1065&amp;utm_source=sheet", "Apply")</f>
        <v>Apply</v>
      </c>
      <c r="C1324" s="10" t="s">
        <v>14579</v>
      </c>
      <c r="D1324" s="56" t="s">
        <v>14380</v>
      </c>
      <c r="E1324" s="59">
        <v>45301.0</v>
      </c>
      <c r="F1324" s="10" t="s">
        <v>14381</v>
      </c>
      <c r="G1324" s="10" t="s">
        <v>12654</v>
      </c>
      <c r="H1324" s="10" t="s">
        <v>805</v>
      </c>
      <c r="I1324" s="10" t="s">
        <v>55</v>
      </c>
      <c r="J1324" s="10" t="s">
        <v>13437</v>
      </c>
      <c r="K1324" s="10" t="s">
        <v>14580</v>
      </c>
      <c r="L1324" s="10" t="s">
        <v>42</v>
      </c>
    </row>
    <row r="1325" ht="15.75" customHeight="1">
      <c r="A1325" s="66">
        <v>45484.0</v>
      </c>
      <c r="B1325" s="55" t="str">
        <f>HYPERLINK("https://jobright.ai/jobs/info/6690ae19714748cce6c38894?utm_campaign=1065&amp;utm_source=sheet", "Apply")</f>
        <v>Apply</v>
      </c>
      <c r="C1325" s="10" t="s">
        <v>14579</v>
      </c>
      <c r="D1325" s="56" t="s">
        <v>14380</v>
      </c>
      <c r="E1325" s="59">
        <v>45301.0</v>
      </c>
      <c r="F1325" s="10" t="s">
        <v>14381</v>
      </c>
      <c r="G1325" s="10" t="s">
        <v>12654</v>
      </c>
      <c r="H1325" s="10" t="s">
        <v>761</v>
      </c>
      <c r="I1325" s="10" t="s">
        <v>55</v>
      </c>
      <c r="J1325" s="10" t="s">
        <v>13437</v>
      </c>
      <c r="K1325" s="10" t="s">
        <v>14580</v>
      </c>
      <c r="L1325" s="10" t="s">
        <v>42</v>
      </c>
    </row>
    <row r="1326" ht="15.75" customHeight="1">
      <c r="A1326" s="66">
        <v>45484.0</v>
      </c>
      <c r="B1326" s="55" t="str">
        <f>HYPERLINK("https://jobright.ai/jobs/info/6690ae19714748cce6c38891?utm_campaign=1065&amp;utm_source=sheet", "Apply")</f>
        <v>Apply</v>
      </c>
      <c r="C1326" s="10" t="s">
        <v>14579</v>
      </c>
      <c r="D1326" s="56" t="s">
        <v>14380</v>
      </c>
      <c r="E1326" s="59">
        <v>45301.0</v>
      </c>
      <c r="F1326" s="10" t="s">
        <v>14381</v>
      </c>
      <c r="G1326" s="10" t="s">
        <v>12654</v>
      </c>
      <c r="H1326" s="10" t="s">
        <v>609</v>
      </c>
      <c r="I1326" s="10" t="s">
        <v>55</v>
      </c>
      <c r="J1326" s="10" t="s">
        <v>13437</v>
      </c>
      <c r="K1326" s="10" t="s">
        <v>14580</v>
      </c>
      <c r="L1326" s="10" t="s">
        <v>42</v>
      </c>
    </row>
    <row r="1327" ht="15.75" customHeight="1">
      <c r="A1327" s="66">
        <v>45484.0</v>
      </c>
      <c r="B1327" s="55" t="str">
        <f>HYPERLINK("https://jobright.ai/jobs/info/6690ae19714748cce6c38893?utm_campaign=1065&amp;utm_source=sheet", "Apply")</f>
        <v>Apply</v>
      </c>
      <c r="C1327" s="10" t="s">
        <v>14579</v>
      </c>
      <c r="D1327" s="56" t="s">
        <v>14380</v>
      </c>
      <c r="E1327" s="59">
        <v>45301.0</v>
      </c>
      <c r="F1327" s="10" t="s">
        <v>14381</v>
      </c>
      <c r="G1327" s="10" t="s">
        <v>12654</v>
      </c>
      <c r="H1327" s="10" t="s">
        <v>1037</v>
      </c>
      <c r="I1327" s="10" t="s">
        <v>55</v>
      </c>
      <c r="J1327" s="10" t="s">
        <v>13437</v>
      </c>
      <c r="K1327" s="10" t="s">
        <v>14580</v>
      </c>
      <c r="L1327" s="10" t="s">
        <v>42</v>
      </c>
    </row>
    <row r="1328" ht="15.75" customHeight="1">
      <c r="A1328" s="66">
        <v>45484.0</v>
      </c>
      <c r="B1328" s="55" t="str">
        <f>HYPERLINK("https://jobright.ai/jobs/info/6690ae19714748cce6c3889f?utm_campaign=1065&amp;utm_source=sheet", "Apply")</f>
        <v>Apply</v>
      </c>
      <c r="C1328" s="10" t="s">
        <v>14579</v>
      </c>
      <c r="D1328" s="56" t="s">
        <v>14380</v>
      </c>
      <c r="E1328" s="59">
        <v>45301.0</v>
      </c>
      <c r="F1328" s="10" t="s">
        <v>14381</v>
      </c>
      <c r="G1328" s="10" t="s">
        <v>12654</v>
      </c>
      <c r="H1328" s="10" t="s">
        <v>785</v>
      </c>
      <c r="I1328" s="10" t="s">
        <v>55</v>
      </c>
      <c r="J1328" s="10" t="s">
        <v>13437</v>
      </c>
      <c r="K1328" s="10" t="s">
        <v>14580</v>
      </c>
      <c r="L1328" s="10" t="s">
        <v>42</v>
      </c>
    </row>
    <row r="1329" ht="15.75" customHeight="1">
      <c r="A1329" s="66">
        <v>45484.0</v>
      </c>
      <c r="B1329" s="55" t="str">
        <f>HYPERLINK("https://jobright.ai/jobs/info/6690ae19714748cce6c388a8?utm_campaign=1065&amp;utm_source=sheet", "Apply")</f>
        <v>Apply</v>
      </c>
      <c r="C1329" s="10" t="s">
        <v>14579</v>
      </c>
      <c r="D1329" s="56" t="s">
        <v>14380</v>
      </c>
      <c r="E1329" s="59">
        <v>45301.0</v>
      </c>
      <c r="F1329" s="10" t="s">
        <v>14381</v>
      </c>
      <c r="G1329" s="10" t="s">
        <v>12654</v>
      </c>
      <c r="H1329" s="10" t="s">
        <v>776</v>
      </c>
      <c r="I1329" s="10" t="s">
        <v>55</v>
      </c>
      <c r="J1329" s="10" t="s">
        <v>13437</v>
      </c>
      <c r="K1329" s="10" t="s">
        <v>14580</v>
      </c>
      <c r="L1329" s="10" t="s">
        <v>42</v>
      </c>
    </row>
    <row r="1330" ht="15.75" customHeight="1">
      <c r="A1330" s="66">
        <v>45484.0</v>
      </c>
      <c r="B1330" s="55" t="str">
        <f>HYPERLINK("https://jobright.ai/jobs/info/6690ae19714748cce6c388a5?utm_campaign=1065&amp;utm_source=sheet", "Apply")</f>
        <v>Apply</v>
      </c>
      <c r="C1330" s="10" t="s">
        <v>14581</v>
      </c>
      <c r="D1330" s="56" t="s">
        <v>14380</v>
      </c>
      <c r="E1330" s="59">
        <v>45301.0</v>
      </c>
      <c r="F1330" s="10" t="s">
        <v>14381</v>
      </c>
      <c r="G1330" s="10" t="s">
        <v>12654</v>
      </c>
      <c r="H1330" s="10" t="s">
        <v>771</v>
      </c>
      <c r="I1330" s="10" t="s">
        <v>55</v>
      </c>
      <c r="J1330" s="10" t="s">
        <v>13437</v>
      </c>
      <c r="K1330" s="10" t="s">
        <v>14582</v>
      </c>
      <c r="L1330" s="10" t="s">
        <v>42</v>
      </c>
    </row>
    <row r="1331" ht="15.75" customHeight="1">
      <c r="A1331" s="66">
        <v>45484.0</v>
      </c>
      <c r="B1331" s="55" t="str">
        <f>HYPERLINK("https://jobright.ai/jobs/info/6690ae19714748cce6c388a0?utm_campaign=1065&amp;utm_source=sheet", "Apply")</f>
        <v>Apply</v>
      </c>
      <c r="C1331" s="10" t="s">
        <v>14579</v>
      </c>
      <c r="D1331" s="56" t="s">
        <v>14380</v>
      </c>
      <c r="E1331" s="59">
        <v>45301.0</v>
      </c>
      <c r="F1331" s="10" t="s">
        <v>14381</v>
      </c>
      <c r="G1331" s="10" t="s">
        <v>12654</v>
      </c>
      <c r="H1331" s="10" t="s">
        <v>972</v>
      </c>
      <c r="I1331" s="10" t="s">
        <v>55</v>
      </c>
      <c r="J1331" s="10" t="s">
        <v>13437</v>
      </c>
      <c r="K1331" s="10" t="s">
        <v>14580</v>
      </c>
      <c r="L1331" s="10" t="s">
        <v>42</v>
      </c>
    </row>
    <row r="1332" ht="15.75" customHeight="1">
      <c r="A1332" s="66">
        <v>45484.0</v>
      </c>
      <c r="B1332" s="55" t="str">
        <f>HYPERLINK("https://jobright.ai/jobs/info/6690ae19714748cce6c388c8?utm_campaign=1065&amp;utm_source=sheet", "Apply")</f>
        <v>Apply</v>
      </c>
      <c r="C1332" s="10" t="s">
        <v>14579</v>
      </c>
      <c r="D1332" s="56" t="s">
        <v>14380</v>
      </c>
      <c r="E1332" s="59">
        <v>45301.0</v>
      </c>
      <c r="F1332" s="10" t="s">
        <v>14381</v>
      </c>
      <c r="G1332" s="10" t="s">
        <v>12654</v>
      </c>
      <c r="H1332" s="10" t="s">
        <v>835</v>
      </c>
      <c r="I1332" s="10" t="s">
        <v>55</v>
      </c>
      <c r="J1332" s="10" t="s">
        <v>13437</v>
      </c>
      <c r="K1332" s="10" t="s">
        <v>14580</v>
      </c>
      <c r="L1332" s="10" t="s">
        <v>42</v>
      </c>
    </row>
    <row r="1333" ht="15.75" customHeight="1">
      <c r="A1333" s="66">
        <v>45484.0</v>
      </c>
      <c r="B1333" s="55" t="str">
        <f>HYPERLINK("https://jobright.ai/jobs/info/6690ae19714748cce6c388c4?utm_campaign=1065&amp;utm_source=sheet", "Apply")</f>
        <v>Apply</v>
      </c>
      <c r="C1333" s="10" t="s">
        <v>14579</v>
      </c>
      <c r="D1333" s="56" t="s">
        <v>14380</v>
      </c>
      <c r="E1333" s="59">
        <v>45301.0</v>
      </c>
      <c r="F1333" s="10" t="s">
        <v>14381</v>
      </c>
      <c r="G1333" s="10" t="s">
        <v>12654</v>
      </c>
      <c r="H1333" s="10" t="s">
        <v>814</v>
      </c>
      <c r="I1333" s="10" t="s">
        <v>55</v>
      </c>
      <c r="J1333" s="10" t="s">
        <v>13437</v>
      </c>
      <c r="K1333" s="10" t="s">
        <v>14580</v>
      </c>
      <c r="L1333" s="10" t="s">
        <v>42</v>
      </c>
    </row>
    <row r="1334" ht="15.75" customHeight="1">
      <c r="A1334" s="66">
        <v>45484.0</v>
      </c>
      <c r="B1334" s="55" t="str">
        <f>HYPERLINK("https://jobright.ai/jobs/info/6690ae19714748cce6c388be?utm_campaign=1065&amp;utm_source=sheet", "Apply")</f>
        <v>Apply</v>
      </c>
      <c r="C1334" s="10" t="s">
        <v>14579</v>
      </c>
      <c r="D1334" s="56" t="s">
        <v>14380</v>
      </c>
      <c r="E1334" s="59">
        <v>45301.0</v>
      </c>
      <c r="F1334" s="10" t="s">
        <v>14381</v>
      </c>
      <c r="G1334" s="10" t="s">
        <v>12654</v>
      </c>
      <c r="H1334" s="10" t="s">
        <v>843</v>
      </c>
      <c r="I1334" s="10" t="s">
        <v>55</v>
      </c>
      <c r="J1334" s="10" t="s">
        <v>13437</v>
      </c>
      <c r="K1334" s="10" t="s">
        <v>14580</v>
      </c>
      <c r="L1334" s="10" t="s">
        <v>42</v>
      </c>
    </row>
    <row r="1335" ht="15.75" customHeight="1">
      <c r="A1335" s="66">
        <v>45484.0</v>
      </c>
      <c r="B1335" s="55" t="str">
        <f>HYPERLINK("https://jobright.ai/jobs/info/6690ae19714748cce6c388ac?utm_campaign=1065&amp;utm_source=sheet", "Apply")</f>
        <v>Apply</v>
      </c>
      <c r="C1335" s="10" t="s">
        <v>14579</v>
      </c>
      <c r="D1335" s="56" t="s">
        <v>14380</v>
      </c>
      <c r="E1335" s="59">
        <v>45301.0</v>
      </c>
      <c r="F1335" s="10" t="s">
        <v>14381</v>
      </c>
      <c r="G1335" s="10" t="s">
        <v>12654</v>
      </c>
      <c r="H1335" s="10" t="s">
        <v>847</v>
      </c>
      <c r="I1335" s="10" t="s">
        <v>55</v>
      </c>
      <c r="J1335" s="10" t="s">
        <v>13437</v>
      </c>
      <c r="K1335" s="10" t="s">
        <v>14580</v>
      </c>
      <c r="L1335" s="10" t="s">
        <v>42</v>
      </c>
    </row>
    <row r="1336" ht="15.75" customHeight="1">
      <c r="A1336" s="66">
        <v>45484.0</v>
      </c>
      <c r="B1336" s="55" t="str">
        <f>HYPERLINK("https://jobright.ai/jobs/info/6690ae19714748cce6c388b9?utm_campaign=1065&amp;utm_source=sheet", "Apply")</f>
        <v>Apply</v>
      </c>
      <c r="C1336" s="10" t="s">
        <v>14579</v>
      </c>
      <c r="D1336" s="56" t="s">
        <v>14380</v>
      </c>
      <c r="E1336" s="59">
        <v>45301.0</v>
      </c>
      <c r="F1336" s="10" t="s">
        <v>14381</v>
      </c>
      <c r="G1336" s="10" t="s">
        <v>12654</v>
      </c>
      <c r="H1336" s="10" t="s">
        <v>168</v>
      </c>
      <c r="I1336" s="10" t="s">
        <v>55</v>
      </c>
      <c r="J1336" s="10" t="s">
        <v>13437</v>
      </c>
      <c r="K1336" s="10" t="s">
        <v>14580</v>
      </c>
      <c r="L1336" s="10" t="s">
        <v>42</v>
      </c>
    </row>
    <row r="1337" ht="15.75" customHeight="1">
      <c r="A1337" s="66">
        <v>45484.0</v>
      </c>
      <c r="B1337" s="55" t="str">
        <f>HYPERLINK("https://jobright.ai/jobs/info/6690ae19714748cce6c388b0?utm_campaign=1065&amp;utm_source=sheet", "Apply")</f>
        <v>Apply</v>
      </c>
      <c r="C1337" s="10" t="s">
        <v>14579</v>
      </c>
      <c r="D1337" s="56" t="s">
        <v>14380</v>
      </c>
      <c r="E1337" s="59">
        <v>45301.0</v>
      </c>
      <c r="F1337" s="10" t="s">
        <v>14381</v>
      </c>
      <c r="G1337" s="10" t="s">
        <v>12654</v>
      </c>
      <c r="H1337" s="10" t="s">
        <v>884</v>
      </c>
      <c r="I1337" s="10" t="s">
        <v>55</v>
      </c>
      <c r="J1337" s="10" t="s">
        <v>13437</v>
      </c>
      <c r="K1337" s="10" t="s">
        <v>14580</v>
      </c>
      <c r="L1337" s="10" t="s">
        <v>42</v>
      </c>
    </row>
    <row r="1338" ht="15.75" customHeight="1">
      <c r="A1338" s="66">
        <v>45484.0</v>
      </c>
      <c r="B1338" s="55" t="str">
        <f>HYPERLINK("https://jobright.ai/jobs/info/6690ae19714748cce6c388af?utm_campaign=1065&amp;utm_source=sheet", "Apply")</f>
        <v>Apply</v>
      </c>
      <c r="C1338" s="10" t="s">
        <v>14579</v>
      </c>
      <c r="D1338" s="56" t="s">
        <v>14380</v>
      </c>
      <c r="E1338" s="59">
        <v>45301.0</v>
      </c>
      <c r="F1338" s="10" t="s">
        <v>14381</v>
      </c>
      <c r="G1338" s="10" t="s">
        <v>12654</v>
      </c>
      <c r="H1338" s="10" t="s">
        <v>796</v>
      </c>
      <c r="I1338" s="10" t="s">
        <v>55</v>
      </c>
      <c r="J1338" s="10" t="s">
        <v>13437</v>
      </c>
      <c r="K1338" s="10" t="s">
        <v>14580</v>
      </c>
      <c r="L1338" s="10" t="s">
        <v>42</v>
      </c>
    </row>
    <row r="1339" ht="15.75" customHeight="1">
      <c r="A1339" s="66">
        <v>45484.0</v>
      </c>
      <c r="B1339" s="55" t="str">
        <f>HYPERLINK("https://jobright.ai/jobs/info/6690ae19714748cce6c388da?utm_campaign=1065&amp;utm_source=sheet", "Apply")</f>
        <v>Apply</v>
      </c>
      <c r="C1339" s="10" t="s">
        <v>14581</v>
      </c>
      <c r="D1339" s="56" t="s">
        <v>14380</v>
      </c>
      <c r="E1339" s="59">
        <v>45301.0</v>
      </c>
      <c r="F1339" s="10" t="s">
        <v>14381</v>
      </c>
      <c r="G1339" s="10" t="s">
        <v>12654</v>
      </c>
      <c r="H1339" s="10" t="s">
        <v>769</v>
      </c>
      <c r="I1339" s="10" t="s">
        <v>55</v>
      </c>
      <c r="J1339" s="10" t="s">
        <v>13437</v>
      </c>
      <c r="K1339" s="10" t="s">
        <v>14582</v>
      </c>
      <c r="L1339" s="10" t="s">
        <v>42</v>
      </c>
    </row>
    <row r="1340" ht="15.75" customHeight="1">
      <c r="A1340" s="66">
        <v>45484.0</v>
      </c>
      <c r="B1340" s="55" t="str">
        <f>HYPERLINK("https://jobright.ai/jobs/info/6690ae19714748cce6c388dc?utm_campaign=1065&amp;utm_source=sheet", "Apply")</f>
        <v>Apply</v>
      </c>
      <c r="C1340" s="10" t="s">
        <v>14581</v>
      </c>
      <c r="D1340" s="56" t="s">
        <v>14380</v>
      </c>
      <c r="E1340" s="59">
        <v>45301.0</v>
      </c>
      <c r="F1340" s="10" t="s">
        <v>14381</v>
      </c>
      <c r="G1340" s="10" t="s">
        <v>12654</v>
      </c>
      <c r="H1340" s="10" t="s">
        <v>628</v>
      </c>
      <c r="I1340" s="10" t="s">
        <v>55</v>
      </c>
      <c r="J1340" s="10" t="s">
        <v>13437</v>
      </c>
      <c r="K1340" s="10" t="s">
        <v>14582</v>
      </c>
      <c r="L1340" s="10" t="s">
        <v>42</v>
      </c>
    </row>
    <row r="1341" ht="15.75" customHeight="1">
      <c r="A1341" s="66">
        <v>45484.0</v>
      </c>
      <c r="B1341" s="55" t="str">
        <f>HYPERLINK("https://jobright.ai/jobs/info/6690ae19714748cce6c388cc?utm_campaign=1065&amp;utm_source=sheet", "Apply")</f>
        <v>Apply</v>
      </c>
      <c r="C1341" s="10" t="s">
        <v>14579</v>
      </c>
      <c r="D1341" s="56" t="s">
        <v>14380</v>
      </c>
      <c r="E1341" s="59">
        <v>45301.0</v>
      </c>
      <c r="F1341" s="10" t="s">
        <v>14381</v>
      </c>
      <c r="G1341" s="10" t="s">
        <v>12654</v>
      </c>
      <c r="H1341" s="10" t="s">
        <v>963</v>
      </c>
      <c r="I1341" s="10" t="s">
        <v>55</v>
      </c>
      <c r="J1341" s="10" t="s">
        <v>13437</v>
      </c>
      <c r="K1341" s="10" t="s">
        <v>14580</v>
      </c>
      <c r="L1341" s="10" t="s">
        <v>42</v>
      </c>
    </row>
    <row r="1342" ht="15.75" customHeight="1">
      <c r="A1342" s="66">
        <v>45484.0</v>
      </c>
      <c r="B1342" s="55" t="str">
        <f>HYPERLINK("https://jobright.ai/jobs/info/6690ae19714748cce6c388e3?utm_campaign=1065&amp;utm_source=sheet", "Apply")</f>
        <v>Apply</v>
      </c>
      <c r="C1342" s="10" t="s">
        <v>14581</v>
      </c>
      <c r="D1342" s="56" t="s">
        <v>14380</v>
      </c>
      <c r="E1342" s="59">
        <v>45301.0</v>
      </c>
      <c r="F1342" s="10" t="s">
        <v>14381</v>
      </c>
      <c r="G1342" s="10" t="s">
        <v>12654</v>
      </c>
      <c r="H1342" s="10" t="s">
        <v>152</v>
      </c>
      <c r="I1342" s="10" t="s">
        <v>55</v>
      </c>
      <c r="J1342" s="10" t="s">
        <v>13437</v>
      </c>
      <c r="K1342" s="10" t="s">
        <v>14582</v>
      </c>
      <c r="L1342" s="10" t="s">
        <v>42</v>
      </c>
    </row>
    <row r="1343" ht="15.75" customHeight="1">
      <c r="A1343" s="66">
        <v>45484.0</v>
      </c>
      <c r="B1343" s="55" t="str">
        <f>HYPERLINK("https://jobright.ai/jobs/info/6690ae19714748cce6c388ca?utm_campaign=1065&amp;utm_source=sheet", "Apply")</f>
        <v>Apply</v>
      </c>
      <c r="C1343" s="10" t="s">
        <v>14579</v>
      </c>
      <c r="D1343" s="56" t="s">
        <v>14380</v>
      </c>
      <c r="E1343" s="59">
        <v>45301.0</v>
      </c>
      <c r="F1343" s="10" t="s">
        <v>14381</v>
      </c>
      <c r="G1343" s="10" t="s">
        <v>12654</v>
      </c>
      <c r="H1343" s="10" t="s">
        <v>928</v>
      </c>
      <c r="I1343" s="10" t="s">
        <v>55</v>
      </c>
      <c r="J1343" s="10" t="s">
        <v>13437</v>
      </c>
      <c r="K1343" s="10" t="s">
        <v>14580</v>
      </c>
      <c r="L1343" s="10" t="s">
        <v>42</v>
      </c>
    </row>
    <row r="1344" ht="15.75" customHeight="1">
      <c r="A1344" s="66">
        <v>45484.0</v>
      </c>
      <c r="B1344" s="55" t="str">
        <f>HYPERLINK("https://jobright.ai/jobs/info/6690ae19714748cce6c388eb?utm_campaign=1065&amp;utm_source=sheet", "Apply")</f>
        <v>Apply</v>
      </c>
      <c r="C1344" s="10" t="s">
        <v>14579</v>
      </c>
      <c r="D1344" s="56" t="s">
        <v>14380</v>
      </c>
      <c r="E1344" s="59">
        <v>45301.0</v>
      </c>
      <c r="F1344" s="10" t="s">
        <v>14381</v>
      </c>
      <c r="G1344" s="10" t="s">
        <v>12654</v>
      </c>
      <c r="H1344" s="10" t="s">
        <v>921</v>
      </c>
      <c r="I1344" s="10" t="s">
        <v>55</v>
      </c>
      <c r="J1344" s="10" t="s">
        <v>13437</v>
      </c>
      <c r="K1344" s="10" t="s">
        <v>14580</v>
      </c>
      <c r="L1344" s="10" t="s">
        <v>42</v>
      </c>
    </row>
    <row r="1345" ht="15.75" customHeight="1">
      <c r="A1345" s="66">
        <v>45484.0</v>
      </c>
      <c r="B1345" s="55" t="str">
        <f>HYPERLINK("https://jobright.ai/jobs/info/6690ae19714748cce6c388e2?utm_campaign=1065&amp;utm_source=sheet", "Apply")</f>
        <v>Apply</v>
      </c>
      <c r="C1345" s="10" t="s">
        <v>14579</v>
      </c>
      <c r="D1345" s="56" t="s">
        <v>14380</v>
      </c>
      <c r="E1345" s="59">
        <v>45301.0</v>
      </c>
      <c r="F1345" s="10" t="s">
        <v>14381</v>
      </c>
      <c r="G1345" s="10" t="s">
        <v>12654</v>
      </c>
      <c r="H1345" s="10" t="s">
        <v>970</v>
      </c>
      <c r="I1345" s="10" t="s">
        <v>55</v>
      </c>
      <c r="J1345" s="10" t="s">
        <v>13437</v>
      </c>
      <c r="K1345" s="10" t="s">
        <v>14580</v>
      </c>
      <c r="L1345" s="10" t="s">
        <v>42</v>
      </c>
    </row>
    <row r="1346" ht="15.75" customHeight="1">
      <c r="A1346" s="66">
        <v>45484.0</v>
      </c>
      <c r="B1346" s="55" t="str">
        <f>HYPERLINK("https://jobright.ai/jobs/info/6690ae19714748cce6c38902?utm_campaign=1065&amp;utm_source=sheet", "Apply")</f>
        <v>Apply</v>
      </c>
      <c r="C1346" s="10" t="s">
        <v>14579</v>
      </c>
      <c r="D1346" s="56" t="s">
        <v>14380</v>
      </c>
      <c r="E1346" s="59">
        <v>45301.0</v>
      </c>
      <c r="F1346" s="10" t="s">
        <v>14381</v>
      </c>
      <c r="G1346" s="10" t="s">
        <v>12654</v>
      </c>
      <c r="H1346" s="10" t="s">
        <v>892</v>
      </c>
      <c r="I1346" s="10" t="s">
        <v>55</v>
      </c>
      <c r="J1346" s="10" t="s">
        <v>13437</v>
      </c>
      <c r="K1346" s="10" t="s">
        <v>14580</v>
      </c>
      <c r="L1346" s="10" t="s">
        <v>42</v>
      </c>
    </row>
    <row r="1347" ht="15.75" customHeight="1">
      <c r="A1347" s="66">
        <v>45484.0</v>
      </c>
      <c r="B1347" s="55" t="str">
        <f>HYPERLINK("https://jobright.ai/jobs/info/6690ae19714748cce6c388f8?utm_campaign=1065&amp;utm_source=sheet", "Apply")</f>
        <v>Apply</v>
      </c>
      <c r="C1347" s="10" t="s">
        <v>14579</v>
      </c>
      <c r="D1347" s="56" t="s">
        <v>14380</v>
      </c>
      <c r="E1347" s="59">
        <v>45301.0</v>
      </c>
      <c r="F1347" s="10" t="s">
        <v>14381</v>
      </c>
      <c r="G1347" s="10" t="s">
        <v>12654</v>
      </c>
      <c r="H1347" s="10" t="s">
        <v>901</v>
      </c>
      <c r="I1347" s="10" t="s">
        <v>55</v>
      </c>
      <c r="J1347" s="10" t="s">
        <v>13437</v>
      </c>
      <c r="K1347" s="10" t="s">
        <v>14580</v>
      </c>
      <c r="L1347" s="10" t="s">
        <v>42</v>
      </c>
    </row>
    <row r="1348" ht="15.75" customHeight="1">
      <c r="A1348" s="66">
        <v>45484.0</v>
      </c>
      <c r="B1348" s="55" t="str">
        <f>HYPERLINK("https://jobright.ai/jobs/info/6690ae19714748cce6c38911?utm_campaign=1065&amp;utm_source=sheet", "Apply")</f>
        <v>Apply</v>
      </c>
      <c r="C1348" s="10" t="s">
        <v>14579</v>
      </c>
      <c r="D1348" s="56" t="s">
        <v>14380</v>
      </c>
      <c r="E1348" s="59">
        <v>45301.0</v>
      </c>
      <c r="F1348" s="10" t="s">
        <v>14381</v>
      </c>
      <c r="G1348" s="10" t="s">
        <v>12654</v>
      </c>
      <c r="H1348" s="10" t="s">
        <v>1036</v>
      </c>
      <c r="I1348" s="10" t="s">
        <v>55</v>
      </c>
      <c r="J1348" s="10" t="s">
        <v>13437</v>
      </c>
      <c r="K1348" s="10" t="s">
        <v>14580</v>
      </c>
      <c r="L1348" s="10" t="s">
        <v>42</v>
      </c>
    </row>
    <row r="1349" ht="15.75" customHeight="1">
      <c r="A1349" s="66">
        <v>45484.0</v>
      </c>
      <c r="B1349" s="55" t="str">
        <f>HYPERLINK("https://jobright.ai/jobs/info/6690ae19714748cce6c388f3?utm_campaign=1065&amp;utm_source=sheet", "Apply")</f>
        <v>Apply</v>
      </c>
      <c r="C1349" s="10" t="s">
        <v>14579</v>
      </c>
      <c r="D1349" s="56" t="s">
        <v>14380</v>
      </c>
      <c r="E1349" s="59">
        <v>45301.0</v>
      </c>
      <c r="F1349" s="10" t="s">
        <v>14381</v>
      </c>
      <c r="G1349" s="10" t="s">
        <v>12654</v>
      </c>
      <c r="H1349" s="10" t="s">
        <v>850</v>
      </c>
      <c r="I1349" s="10" t="s">
        <v>55</v>
      </c>
      <c r="J1349" s="10" t="s">
        <v>13437</v>
      </c>
      <c r="K1349" s="10" t="s">
        <v>14580</v>
      </c>
      <c r="L1349" s="10" t="s">
        <v>42</v>
      </c>
    </row>
    <row r="1350" ht="15.75" customHeight="1">
      <c r="A1350" s="66">
        <v>45484.0</v>
      </c>
      <c r="B1350" s="55" t="str">
        <f>HYPERLINK("https://jobright.ai/jobs/info/6690ae19714748cce6c3891c?utm_campaign=1065&amp;utm_source=sheet", "Apply")</f>
        <v>Apply</v>
      </c>
      <c r="C1350" s="10" t="s">
        <v>14579</v>
      </c>
      <c r="D1350" s="56" t="s">
        <v>14380</v>
      </c>
      <c r="E1350" s="59">
        <v>45301.0</v>
      </c>
      <c r="F1350" s="10" t="s">
        <v>14381</v>
      </c>
      <c r="G1350" s="10" t="s">
        <v>12654</v>
      </c>
      <c r="H1350" s="10" t="s">
        <v>1016</v>
      </c>
      <c r="I1350" s="10" t="s">
        <v>55</v>
      </c>
      <c r="J1350" s="10" t="s">
        <v>13437</v>
      </c>
      <c r="K1350" s="10" t="s">
        <v>14580</v>
      </c>
      <c r="L1350" s="10" t="s">
        <v>42</v>
      </c>
    </row>
    <row r="1351" ht="15.75" customHeight="1">
      <c r="A1351" s="66">
        <v>45484.0</v>
      </c>
      <c r="B1351" s="55" t="str">
        <f>HYPERLINK("https://jobright.ai/jobs/info/6690ae19714748cce6c38905?utm_campaign=1065&amp;utm_source=sheet", "Apply")</f>
        <v>Apply</v>
      </c>
      <c r="C1351" s="10" t="s">
        <v>14581</v>
      </c>
      <c r="D1351" s="56" t="s">
        <v>14380</v>
      </c>
      <c r="E1351" s="59">
        <v>45301.0</v>
      </c>
      <c r="F1351" s="10" t="s">
        <v>14381</v>
      </c>
      <c r="G1351" s="10" t="s">
        <v>12654</v>
      </c>
      <c r="H1351" s="10" t="s">
        <v>796</v>
      </c>
      <c r="I1351" s="10" t="s">
        <v>55</v>
      </c>
      <c r="J1351" s="10" t="s">
        <v>13437</v>
      </c>
      <c r="K1351" s="10" t="s">
        <v>14582</v>
      </c>
      <c r="L1351" s="10" t="s">
        <v>42</v>
      </c>
    </row>
    <row r="1352" ht="15.75" customHeight="1">
      <c r="A1352" s="66">
        <v>45484.0</v>
      </c>
      <c r="B1352" s="55" t="str">
        <f>HYPERLINK("https://jobright.ai/jobs/info/6690ae19714748cce6c3890a?utm_campaign=1065&amp;utm_source=sheet", "Apply")</f>
        <v>Apply</v>
      </c>
      <c r="C1352" s="10" t="s">
        <v>14579</v>
      </c>
      <c r="D1352" s="56" t="s">
        <v>14380</v>
      </c>
      <c r="E1352" s="59">
        <v>45301.0</v>
      </c>
      <c r="F1352" s="10" t="s">
        <v>14381</v>
      </c>
      <c r="G1352" s="10" t="s">
        <v>12654</v>
      </c>
      <c r="H1352" s="10" t="s">
        <v>880</v>
      </c>
      <c r="I1352" s="10" t="s">
        <v>55</v>
      </c>
      <c r="J1352" s="10" t="s">
        <v>13437</v>
      </c>
      <c r="K1352" s="10" t="s">
        <v>14580</v>
      </c>
      <c r="L1352" s="10" t="s">
        <v>42</v>
      </c>
    </row>
    <row r="1353" ht="15.75" customHeight="1">
      <c r="A1353" s="66">
        <v>45484.0</v>
      </c>
      <c r="B1353" s="55" t="str">
        <f>HYPERLINK("https://jobright.ai/jobs/info/6690ae19714748cce6c388f7?utm_campaign=1065&amp;utm_source=sheet", "Apply")</f>
        <v>Apply</v>
      </c>
      <c r="C1353" s="10" t="s">
        <v>14581</v>
      </c>
      <c r="D1353" s="56" t="s">
        <v>14380</v>
      </c>
      <c r="E1353" s="59">
        <v>45301.0</v>
      </c>
      <c r="F1353" s="10" t="s">
        <v>14381</v>
      </c>
      <c r="G1353" s="10" t="s">
        <v>12654</v>
      </c>
      <c r="H1353" s="10" t="s">
        <v>146</v>
      </c>
      <c r="I1353" s="10" t="s">
        <v>55</v>
      </c>
      <c r="J1353" s="10" t="s">
        <v>13437</v>
      </c>
      <c r="K1353" s="10" t="s">
        <v>14582</v>
      </c>
      <c r="L1353" s="10" t="s">
        <v>42</v>
      </c>
    </row>
    <row r="1354" ht="15.75" customHeight="1">
      <c r="A1354" s="66">
        <v>45484.0</v>
      </c>
      <c r="B1354" s="55" t="str">
        <f>HYPERLINK("https://jobright.ai/jobs/info/6690ae19714748cce6c38900?utm_campaign=1065&amp;utm_source=sheet", "Apply")</f>
        <v>Apply</v>
      </c>
      <c r="C1354" s="10" t="s">
        <v>14579</v>
      </c>
      <c r="D1354" s="56" t="s">
        <v>14380</v>
      </c>
      <c r="E1354" s="59">
        <v>45301.0</v>
      </c>
      <c r="F1354" s="10" t="s">
        <v>14381</v>
      </c>
      <c r="G1354" s="10" t="s">
        <v>12654</v>
      </c>
      <c r="H1354" s="10" t="s">
        <v>869</v>
      </c>
      <c r="I1354" s="10" t="s">
        <v>55</v>
      </c>
      <c r="J1354" s="10" t="s">
        <v>13437</v>
      </c>
      <c r="K1354" s="10" t="s">
        <v>14580</v>
      </c>
      <c r="L1354" s="10" t="s">
        <v>42</v>
      </c>
    </row>
    <row r="1355" ht="15.75" customHeight="1">
      <c r="A1355" s="66">
        <v>45484.0</v>
      </c>
      <c r="B1355" s="55" t="str">
        <f>HYPERLINK("https://jobright.ai/jobs/info/6690ae19714748cce6c3891a?utm_campaign=1065&amp;utm_source=sheet", "Apply")</f>
        <v>Apply</v>
      </c>
      <c r="C1355" s="10" t="s">
        <v>14581</v>
      </c>
      <c r="D1355" s="56" t="s">
        <v>14380</v>
      </c>
      <c r="E1355" s="59">
        <v>45301.0</v>
      </c>
      <c r="F1355" s="10" t="s">
        <v>14381</v>
      </c>
      <c r="G1355" s="10" t="s">
        <v>12654</v>
      </c>
      <c r="H1355" s="10" t="s">
        <v>954</v>
      </c>
      <c r="I1355" s="10" t="s">
        <v>55</v>
      </c>
      <c r="J1355" s="10" t="s">
        <v>13437</v>
      </c>
      <c r="K1355" s="10" t="s">
        <v>14582</v>
      </c>
      <c r="L1355" s="10" t="s">
        <v>42</v>
      </c>
    </row>
    <row r="1356" ht="15.75" customHeight="1">
      <c r="A1356" s="66">
        <v>45484.0</v>
      </c>
      <c r="B1356" s="55" t="str">
        <f>HYPERLINK("https://jobright.ai/jobs/info/6690ae19714748cce6c388f2?utm_campaign=1065&amp;utm_source=sheet", "Apply")</f>
        <v>Apply</v>
      </c>
      <c r="C1356" s="10" t="s">
        <v>14579</v>
      </c>
      <c r="D1356" s="56" t="s">
        <v>14380</v>
      </c>
      <c r="E1356" s="59">
        <v>45301.0</v>
      </c>
      <c r="F1356" s="10" t="s">
        <v>14381</v>
      </c>
      <c r="G1356" s="10" t="s">
        <v>12654</v>
      </c>
      <c r="H1356" s="10" t="s">
        <v>1051</v>
      </c>
      <c r="I1356" s="10" t="s">
        <v>55</v>
      </c>
      <c r="J1356" s="10" t="s">
        <v>13437</v>
      </c>
      <c r="K1356" s="10" t="s">
        <v>14580</v>
      </c>
      <c r="L1356" s="10" t="s">
        <v>42</v>
      </c>
    </row>
    <row r="1357" ht="15.75" customHeight="1">
      <c r="A1357" s="66">
        <v>45484.0</v>
      </c>
      <c r="B1357" s="55" t="str">
        <f>HYPERLINK("https://jobright.ai/jobs/info/6690ae21714748cce6c38943?utm_campaign=1065&amp;utm_source=sheet", "Apply")</f>
        <v>Apply</v>
      </c>
      <c r="C1357" s="10" t="s">
        <v>14579</v>
      </c>
      <c r="D1357" s="56" t="s">
        <v>14380</v>
      </c>
      <c r="E1357" s="59">
        <v>45301.0</v>
      </c>
      <c r="F1357" s="10" t="s">
        <v>14381</v>
      </c>
      <c r="G1357" s="10" t="s">
        <v>12654</v>
      </c>
      <c r="H1357" s="10" t="s">
        <v>1014</v>
      </c>
      <c r="I1357" s="10" t="s">
        <v>55</v>
      </c>
      <c r="J1357" s="10" t="s">
        <v>13437</v>
      </c>
      <c r="K1357" s="10" t="s">
        <v>14580</v>
      </c>
      <c r="L1357" s="10" t="s">
        <v>42</v>
      </c>
    </row>
    <row r="1358" ht="15.75" customHeight="1">
      <c r="A1358" s="66">
        <v>45484.0</v>
      </c>
      <c r="B1358" s="55" t="str">
        <f>HYPERLINK("https://jobright.ai/jobs/info/6690ae21714748cce6c3893e?utm_campaign=1065&amp;utm_source=sheet", "Apply")</f>
        <v>Apply</v>
      </c>
      <c r="C1358" s="10" t="s">
        <v>14579</v>
      </c>
      <c r="D1358" s="56" t="s">
        <v>14380</v>
      </c>
      <c r="E1358" s="59">
        <v>45301.0</v>
      </c>
      <c r="F1358" s="10" t="s">
        <v>14381</v>
      </c>
      <c r="G1358" s="10" t="s">
        <v>12654</v>
      </c>
      <c r="H1358" s="10" t="s">
        <v>762</v>
      </c>
      <c r="I1358" s="10" t="s">
        <v>55</v>
      </c>
      <c r="J1358" s="10" t="s">
        <v>13437</v>
      </c>
      <c r="K1358" s="10" t="s">
        <v>14580</v>
      </c>
      <c r="L1358" s="10" t="s">
        <v>42</v>
      </c>
    </row>
    <row r="1359" ht="15.75" customHeight="1">
      <c r="A1359" s="66">
        <v>45484.0</v>
      </c>
      <c r="B1359" s="55" t="str">
        <f>HYPERLINK("https://jobright.ai/jobs/info/6690ae21714748cce6c38923?utm_campaign=1065&amp;utm_source=sheet", "Apply")</f>
        <v>Apply</v>
      </c>
      <c r="C1359" s="10" t="s">
        <v>14579</v>
      </c>
      <c r="D1359" s="56" t="s">
        <v>14380</v>
      </c>
      <c r="E1359" s="59">
        <v>45301.0</v>
      </c>
      <c r="F1359" s="10" t="s">
        <v>14381</v>
      </c>
      <c r="G1359" s="10" t="s">
        <v>12654</v>
      </c>
      <c r="H1359" s="10" t="s">
        <v>778</v>
      </c>
      <c r="I1359" s="10" t="s">
        <v>55</v>
      </c>
      <c r="J1359" s="10" t="s">
        <v>13437</v>
      </c>
      <c r="K1359" s="10" t="s">
        <v>14580</v>
      </c>
      <c r="L1359" s="10" t="s">
        <v>42</v>
      </c>
    </row>
    <row r="1360" ht="15.75" customHeight="1">
      <c r="A1360" s="66">
        <v>45484.0</v>
      </c>
      <c r="B1360" s="55" t="str">
        <f>HYPERLINK("https://jobright.ai/jobs/info/6690ae21714748cce6c3892d?utm_campaign=1065&amp;utm_source=sheet", "Apply")</f>
        <v>Apply</v>
      </c>
      <c r="C1360" s="10" t="s">
        <v>14579</v>
      </c>
      <c r="D1360" s="56" t="s">
        <v>14380</v>
      </c>
      <c r="E1360" s="59">
        <v>45301.0</v>
      </c>
      <c r="F1360" s="10" t="s">
        <v>14381</v>
      </c>
      <c r="G1360" s="10" t="s">
        <v>12654</v>
      </c>
      <c r="H1360" s="10" t="s">
        <v>916</v>
      </c>
      <c r="I1360" s="10" t="s">
        <v>55</v>
      </c>
      <c r="J1360" s="10" t="s">
        <v>13437</v>
      </c>
      <c r="K1360" s="10" t="s">
        <v>14580</v>
      </c>
      <c r="L1360" s="10" t="s">
        <v>42</v>
      </c>
    </row>
    <row r="1361" ht="15.75" customHeight="1">
      <c r="A1361" s="66">
        <v>45484.0</v>
      </c>
      <c r="B1361" s="55" t="str">
        <f>HYPERLINK("https://jobright.ai/jobs/info/6690ae21714748cce6c38938?utm_campaign=1065&amp;utm_source=sheet", "Apply")</f>
        <v>Apply</v>
      </c>
      <c r="C1361" s="10" t="s">
        <v>14581</v>
      </c>
      <c r="D1361" s="56" t="s">
        <v>14380</v>
      </c>
      <c r="E1361" s="59">
        <v>45301.0</v>
      </c>
      <c r="F1361" s="10" t="s">
        <v>14381</v>
      </c>
      <c r="G1361" s="10" t="s">
        <v>12654</v>
      </c>
      <c r="H1361" s="10" t="s">
        <v>992</v>
      </c>
      <c r="I1361" s="10" t="s">
        <v>55</v>
      </c>
      <c r="J1361" s="10" t="s">
        <v>13437</v>
      </c>
      <c r="K1361" s="10" t="s">
        <v>14582</v>
      </c>
      <c r="L1361" s="10" t="s">
        <v>42</v>
      </c>
    </row>
    <row r="1362" ht="15.75" customHeight="1">
      <c r="A1362" s="66">
        <v>45484.0</v>
      </c>
      <c r="B1362" s="55" t="str">
        <f>HYPERLINK("https://jobright.ai/jobs/info/6690ae21714748cce6c3894b?utm_campaign=1065&amp;utm_source=sheet", "Apply")</f>
        <v>Apply</v>
      </c>
      <c r="C1362" s="10" t="s">
        <v>14579</v>
      </c>
      <c r="D1362" s="56" t="s">
        <v>14380</v>
      </c>
      <c r="E1362" s="59">
        <v>45301.0</v>
      </c>
      <c r="F1362" s="10" t="s">
        <v>14381</v>
      </c>
      <c r="G1362" s="10" t="s">
        <v>12654</v>
      </c>
      <c r="H1362" s="10" t="s">
        <v>851</v>
      </c>
      <c r="I1362" s="10" t="s">
        <v>55</v>
      </c>
      <c r="J1362" s="10" t="s">
        <v>13437</v>
      </c>
      <c r="K1362" s="10" t="s">
        <v>14580</v>
      </c>
      <c r="L1362" s="10" t="s">
        <v>42</v>
      </c>
    </row>
    <row r="1363" ht="15.75" customHeight="1">
      <c r="A1363" s="66">
        <v>45484.0</v>
      </c>
      <c r="B1363" s="55" t="str">
        <f>HYPERLINK("https://jobright.ai/jobs/info/6690ae21714748cce6c3894d?utm_campaign=1065&amp;utm_source=sheet", "Apply")</f>
        <v>Apply</v>
      </c>
      <c r="C1363" s="10" t="s">
        <v>14579</v>
      </c>
      <c r="D1363" s="56" t="s">
        <v>14380</v>
      </c>
      <c r="E1363" s="59">
        <v>45301.0</v>
      </c>
      <c r="F1363" s="10" t="s">
        <v>14381</v>
      </c>
      <c r="G1363" s="10" t="s">
        <v>12654</v>
      </c>
      <c r="H1363" s="10" t="s">
        <v>1047</v>
      </c>
      <c r="I1363" s="10" t="s">
        <v>55</v>
      </c>
      <c r="J1363" s="10" t="s">
        <v>13437</v>
      </c>
      <c r="K1363" s="10" t="s">
        <v>14580</v>
      </c>
      <c r="L1363" s="10" t="s">
        <v>42</v>
      </c>
    </row>
    <row r="1364" ht="15.75" customHeight="1">
      <c r="A1364" s="66">
        <v>45484.0</v>
      </c>
      <c r="B1364" s="55" t="str">
        <f>HYPERLINK("https://jobright.ai/jobs/info/6690ae21714748cce6c389bc?utm_campaign=1065&amp;utm_source=sheet", "Apply")</f>
        <v>Apply</v>
      </c>
      <c r="C1364" s="10" t="s">
        <v>14536</v>
      </c>
      <c r="D1364" s="56" t="s">
        <v>14380</v>
      </c>
      <c r="E1364" s="59">
        <v>45301.0</v>
      </c>
      <c r="F1364" s="10" t="s">
        <v>14381</v>
      </c>
      <c r="G1364" s="10" t="s">
        <v>12654</v>
      </c>
      <c r="H1364" s="10" t="s">
        <v>851</v>
      </c>
      <c r="I1364" s="10" t="s">
        <v>55</v>
      </c>
      <c r="J1364" s="10" t="s">
        <v>13437</v>
      </c>
      <c r="K1364" s="10" t="s">
        <v>14537</v>
      </c>
      <c r="L1364" s="10" t="s">
        <v>42</v>
      </c>
    </row>
    <row r="1365" ht="15.75" customHeight="1">
      <c r="A1365" s="66">
        <v>45484.0</v>
      </c>
      <c r="B1365" s="55" t="str">
        <f>HYPERLINK("https://jobright.ai/jobs/info/6690ae21714748cce6c389d0?utm_campaign=1065&amp;utm_source=sheet", "Apply")</f>
        <v>Apply</v>
      </c>
      <c r="C1365" s="10" t="s">
        <v>14536</v>
      </c>
      <c r="D1365" s="56" t="s">
        <v>14380</v>
      </c>
      <c r="E1365" s="59">
        <v>45301.0</v>
      </c>
      <c r="F1365" s="10" t="s">
        <v>14381</v>
      </c>
      <c r="G1365" s="10" t="s">
        <v>12654</v>
      </c>
      <c r="H1365" s="10" t="s">
        <v>902</v>
      </c>
      <c r="I1365" s="10" t="s">
        <v>55</v>
      </c>
      <c r="J1365" s="10" t="s">
        <v>13437</v>
      </c>
      <c r="K1365" s="10" t="s">
        <v>14537</v>
      </c>
      <c r="L1365" s="10" t="s">
        <v>42</v>
      </c>
    </row>
    <row r="1366" ht="15.75" customHeight="1">
      <c r="A1366" s="66">
        <v>45484.0</v>
      </c>
      <c r="B1366" s="55" t="str">
        <f>HYPERLINK("https://jobright.ai/jobs/info/6690ae21714748cce6c389c6?utm_campaign=1065&amp;utm_source=sheet", "Apply")</f>
        <v>Apply</v>
      </c>
      <c r="C1366" s="10" t="s">
        <v>14536</v>
      </c>
      <c r="D1366" s="56" t="s">
        <v>14380</v>
      </c>
      <c r="E1366" s="59">
        <v>45301.0</v>
      </c>
      <c r="F1366" s="10" t="s">
        <v>14381</v>
      </c>
      <c r="G1366" s="10" t="s">
        <v>12654</v>
      </c>
      <c r="H1366" s="10" t="s">
        <v>885</v>
      </c>
      <c r="I1366" s="10" t="s">
        <v>55</v>
      </c>
      <c r="J1366" s="10" t="s">
        <v>13437</v>
      </c>
      <c r="K1366" s="10" t="s">
        <v>14537</v>
      </c>
      <c r="L1366" s="10" t="s">
        <v>42</v>
      </c>
    </row>
    <row r="1367" ht="15.75" customHeight="1">
      <c r="A1367" s="66">
        <v>45484.0</v>
      </c>
      <c r="B1367" s="55" t="str">
        <f>HYPERLINK("https://jobright.ai/jobs/info/6690ae21714748cce6c389c8?utm_campaign=1065&amp;utm_source=sheet", "Apply")</f>
        <v>Apply</v>
      </c>
      <c r="C1367" s="10" t="s">
        <v>14536</v>
      </c>
      <c r="D1367" s="56" t="s">
        <v>14380</v>
      </c>
      <c r="E1367" s="59">
        <v>45301.0</v>
      </c>
      <c r="F1367" s="10" t="s">
        <v>14381</v>
      </c>
      <c r="G1367" s="10" t="s">
        <v>12654</v>
      </c>
      <c r="H1367" s="10" t="s">
        <v>962</v>
      </c>
      <c r="I1367" s="10" t="s">
        <v>55</v>
      </c>
      <c r="J1367" s="10" t="s">
        <v>13437</v>
      </c>
      <c r="K1367" s="10" t="s">
        <v>14537</v>
      </c>
      <c r="L1367" s="10" t="s">
        <v>42</v>
      </c>
    </row>
    <row r="1368" ht="15.75" customHeight="1">
      <c r="A1368" s="66">
        <v>45484.0</v>
      </c>
      <c r="B1368" s="55" t="str">
        <f>HYPERLINK("https://jobright.ai/jobs/info/6690ae21714748cce6c389c1?utm_campaign=1065&amp;utm_source=sheet", "Apply")</f>
        <v>Apply</v>
      </c>
      <c r="C1368" s="10" t="s">
        <v>14536</v>
      </c>
      <c r="D1368" s="56" t="s">
        <v>14380</v>
      </c>
      <c r="E1368" s="59">
        <v>45301.0</v>
      </c>
      <c r="F1368" s="10" t="s">
        <v>14381</v>
      </c>
      <c r="G1368" s="10" t="s">
        <v>12654</v>
      </c>
      <c r="H1368" s="10" t="s">
        <v>949</v>
      </c>
      <c r="I1368" s="10" t="s">
        <v>55</v>
      </c>
      <c r="J1368" s="10" t="s">
        <v>13437</v>
      </c>
      <c r="K1368" s="10" t="s">
        <v>14537</v>
      </c>
      <c r="L1368" s="10" t="s">
        <v>42</v>
      </c>
    </row>
    <row r="1369" ht="15.75" customHeight="1">
      <c r="A1369" s="66">
        <v>45484.0</v>
      </c>
      <c r="B1369" s="55" t="str">
        <f>HYPERLINK("https://jobright.ai/jobs/info/6690ae21714748cce6c389d7?utm_campaign=1065&amp;utm_source=sheet", "Apply")</f>
        <v>Apply</v>
      </c>
      <c r="C1369" s="10" t="s">
        <v>14536</v>
      </c>
      <c r="D1369" s="56" t="s">
        <v>14380</v>
      </c>
      <c r="E1369" s="59">
        <v>45301.0</v>
      </c>
      <c r="F1369" s="10" t="s">
        <v>14381</v>
      </c>
      <c r="G1369" s="10" t="s">
        <v>12654</v>
      </c>
      <c r="H1369" s="10" t="s">
        <v>313</v>
      </c>
      <c r="I1369" s="10" t="s">
        <v>55</v>
      </c>
      <c r="J1369" s="10" t="s">
        <v>13437</v>
      </c>
      <c r="K1369" s="10" t="s">
        <v>14537</v>
      </c>
      <c r="L1369" s="10" t="s">
        <v>42</v>
      </c>
    </row>
    <row r="1370" ht="15.75" customHeight="1">
      <c r="A1370" s="66">
        <v>45484.0</v>
      </c>
      <c r="B1370" s="55" t="str">
        <f>HYPERLINK("https://jobright.ai/jobs/info/6690ae21714748cce6c389e0?utm_campaign=1065&amp;utm_source=sheet", "Apply")</f>
        <v>Apply</v>
      </c>
      <c r="C1370" s="10" t="s">
        <v>14536</v>
      </c>
      <c r="D1370" s="56" t="s">
        <v>14380</v>
      </c>
      <c r="E1370" s="59">
        <v>45301.0</v>
      </c>
      <c r="F1370" s="10" t="s">
        <v>14381</v>
      </c>
      <c r="G1370" s="10" t="s">
        <v>12654</v>
      </c>
      <c r="H1370" s="10" t="s">
        <v>989</v>
      </c>
      <c r="I1370" s="10" t="s">
        <v>55</v>
      </c>
      <c r="J1370" s="10" t="s">
        <v>13437</v>
      </c>
      <c r="K1370" s="10" t="s">
        <v>14537</v>
      </c>
      <c r="L1370" s="10" t="s">
        <v>42</v>
      </c>
    </row>
    <row r="1371" ht="15.75" customHeight="1">
      <c r="A1371" s="66">
        <v>45484.0</v>
      </c>
      <c r="B1371" s="55" t="str">
        <f>HYPERLINK("https://jobright.ai/jobs/info/6690ae21714748cce6c389e1?utm_campaign=1065&amp;utm_source=sheet", "Apply")</f>
        <v>Apply</v>
      </c>
      <c r="C1371" s="10" t="s">
        <v>14536</v>
      </c>
      <c r="D1371" s="56" t="s">
        <v>14380</v>
      </c>
      <c r="E1371" s="59">
        <v>45301.0</v>
      </c>
      <c r="F1371" s="10" t="s">
        <v>14381</v>
      </c>
      <c r="G1371" s="10" t="s">
        <v>12654</v>
      </c>
      <c r="H1371" s="10" t="s">
        <v>1016</v>
      </c>
      <c r="I1371" s="10" t="s">
        <v>55</v>
      </c>
      <c r="J1371" s="10" t="s">
        <v>13437</v>
      </c>
      <c r="K1371" s="10" t="s">
        <v>14537</v>
      </c>
      <c r="L1371" s="10" t="s">
        <v>42</v>
      </c>
    </row>
    <row r="1372" ht="15.75" customHeight="1">
      <c r="A1372" s="66">
        <v>45484.0</v>
      </c>
      <c r="B1372" s="55" t="str">
        <f>HYPERLINK("https://jobright.ai/jobs/info/6690ae21714748cce6c389d5?utm_campaign=1065&amp;utm_source=sheet", "Apply")</f>
        <v>Apply</v>
      </c>
      <c r="C1372" s="10" t="s">
        <v>14536</v>
      </c>
      <c r="D1372" s="56" t="s">
        <v>14380</v>
      </c>
      <c r="E1372" s="59">
        <v>45301.0</v>
      </c>
      <c r="F1372" s="10" t="s">
        <v>14381</v>
      </c>
      <c r="G1372" s="10" t="s">
        <v>12654</v>
      </c>
      <c r="H1372" s="10" t="s">
        <v>828</v>
      </c>
      <c r="I1372" s="10" t="s">
        <v>55</v>
      </c>
      <c r="J1372" s="10" t="s">
        <v>13437</v>
      </c>
      <c r="K1372" s="10" t="s">
        <v>14537</v>
      </c>
      <c r="L1372" s="10" t="s">
        <v>42</v>
      </c>
    </row>
    <row r="1373" ht="15.75" customHeight="1">
      <c r="A1373" s="66">
        <v>45484.0</v>
      </c>
      <c r="B1373" s="55" t="str">
        <f>HYPERLINK("https://jobright.ai/jobs/info/6690ae21714748cce6c389e9?utm_campaign=1065&amp;utm_source=sheet", "Apply")</f>
        <v>Apply</v>
      </c>
      <c r="C1373" s="10" t="s">
        <v>14536</v>
      </c>
      <c r="D1373" s="56" t="s">
        <v>14380</v>
      </c>
      <c r="E1373" s="59">
        <v>45301.0</v>
      </c>
      <c r="F1373" s="10" t="s">
        <v>14381</v>
      </c>
      <c r="G1373" s="10" t="s">
        <v>12654</v>
      </c>
      <c r="H1373" s="10" t="s">
        <v>1021</v>
      </c>
      <c r="I1373" s="10" t="s">
        <v>55</v>
      </c>
      <c r="J1373" s="10" t="s">
        <v>13437</v>
      </c>
      <c r="K1373" s="10" t="s">
        <v>14537</v>
      </c>
      <c r="L1373" s="10" t="s">
        <v>42</v>
      </c>
    </row>
    <row r="1374" ht="15.75" customHeight="1">
      <c r="A1374" s="66">
        <v>45484.0</v>
      </c>
      <c r="B1374" s="55" t="str">
        <f>HYPERLINK("https://jobright.ai/jobs/info/6690ae28714748cce6c389f6?utm_campaign=1065&amp;utm_source=sheet", "Apply")</f>
        <v>Apply</v>
      </c>
      <c r="C1374" s="10" t="s">
        <v>14581</v>
      </c>
      <c r="D1374" s="56" t="s">
        <v>14380</v>
      </c>
      <c r="E1374" s="59">
        <v>45301.0</v>
      </c>
      <c r="F1374" s="10" t="s">
        <v>14381</v>
      </c>
      <c r="G1374" s="10" t="s">
        <v>12654</v>
      </c>
      <c r="H1374" s="10" t="s">
        <v>922</v>
      </c>
      <c r="I1374" s="10" t="s">
        <v>55</v>
      </c>
      <c r="J1374" s="10" t="s">
        <v>13437</v>
      </c>
      <c r="K1374" s="10" t="s">
        <v>14582</v>
      </c>
      <c r="L1374" s="10" t="s">
        <v>42</v>
      </c>
    </row>
    <row r="1375" ht="15.75" customHeight="1">
      <c r="A1375" s="66">
        <v>45484.0</v>
      </c>
      <c r="B1375" s="55" t="str">
        <f>HYPERLINK("https://jobright.ai/jobs/info/6690ae28714748cce6c389f7?utm_campaign=1065&amp;utm_source=sheet", "Apply")</f>
        <v>Apply</v>
      </c>
      <c r="C1375" s="10" t="s">
        <v>14536</v>
      </c>
      <c r="D1375" s="56" t="s">
        <v>14380</v>
      </c>
      <c r="E1375" s="59">
        <v>45301.0</v>
      </c>
      <c r="F1375" s="10" t="s">
        <v>14381</v>
      </c>
      <c r="G1375" s="10" t="s">
        <v>12654</v>
      </c>
      <c r="H1375" s="10" t="s">
        <v>1009</v>
      </c>
      <c r="I1375" s="10" t="s">
        <v>55</v>
      </c>
      <c r="J1375" s="10" t="s">
        <v>13437</v>
      </c>
      <c r="K1375" s="10" t="s">
        <v>14537</v>
      </c>
      <c r="L1375" s="10" t="s">
        <v>42</v>
      </c>
    </row>
    <row r="1376" ht="15.75" customHeight="1">
      <c r="A1376" s="66">
        <v>45484.0</v>
      </c>
      <c r="B1376" s="55" t="str">
        <f>HYPERLINK("https://jobright.ai/jobs/info/6690ae28714748cce6c389f5?utm_campaign=1065&amp;utm_source=sheet", "Apply")</f>
        <v>Apply</v>
      </c>
      <c r="C1376" s="10" t="s">
        <v>14581</v>
      </c>
      <c r="D1376" s="56" t="s">
        <v>14380</v>
      </c>
      <c r="E1376" s="59">
        <v>45301.0</v>
      </c>
      <c r="F1376" s="10" t="s">
        <v>14381</v>
      </c>
      <c r="G1376" s="10" t="s">
        <v>12654</v>
      </c>
      <c r="H1376" s="10" t="s">
        <v>896</v>
      </c>
      <c r="I1376" s="10" t="s">
        <v>55</v>
      </c>
      <c r="J1376" s="10" t="s">
        <v>13437</v>
      </c>
      <c r="K1376" s="10" t="s">
        <v>14582</v>
      </c>
      <c r="L1376" s="10" t="s">
        <v>42</v>
      </c>
    </row>
    <row r="1377" ht="15.75" customHeight="1">
      <c r="A1377" s="66">
        <v>45484.0</v>
      </c>
      <c r="B1377" s="55" t="str">
        <f>HYPERLINK("https://jobright.ai/jobs/info/6690ae28714748cce6c389fb?utm_campaign=1065&amp;utm_source=sheet", "Apply")</f>
        <v>Apply</v>
      </c>
      <c r="C1377" s="10" t="s">
        <v>14579</v>
      </c>
      <c r="D1377" s="56" t="s">
        <v>14380</v>
      </c>
      <c r="E1377" s="59">
        <v>45301.0</v>
      </c>
      <c r="F1377" s="10" t="s">
        <v>14381</v>
      </c>
      <c r="G1377" s="10" t="s">
        <v>12654</v>
      </c>
      <c r="H1377" s="10" t="s">
        <v>854</v>
      </c>
      <c r="I1377" s="10" t="s">
        <v>55</v>
      </c>
      <c r="J1377" s="10" t="s">
        <v>13437</v>
      </c>
      <c r="K1377" s="10" t="s">
        <v>14580</v>
      </c>
      <c r="L1377" s="10" t="s">
        <v>42</v>
      </c>
    </row>
    <row r="1378" ht="15.75" customHeight="1">
      <c r="A1378" s="66">
        <v>45484.0</v>
      </c>
      <c r="B1378" s="55" t="str">
        <f>HYPERLINK("https://jobright.ai/jobs/info/6690ae28714748cce6c389fc?utm_campaign=1065&amp;utm_source=sheet", "Apply")</f>
        <v>Apply</v>
      </c>
      <c r="C1378" s="10" t="s">
        <v>14579</v>
      </c>
      <c r="D1378" s="56" t="s">
        <v>14380</v>
      </c>
      <c r="E1378" s="59">
        <v>45301.0</v>
      </c>
      <c r="F1378" s="10" t="s">
        <v>14381</v>
      </c>
      <c r="G1378" s="10" t="s">
        <v>12654</v>
      </c>
      <c r="H1378" s="10" t="s">
        <v>795</v>
      </c>
      <c r="I1378" s="10" t="s">
        <v>55</v>
      </c>
      <c r="J1378" s="10" t="s">
        <v>13437</v>
      </c>
      <c r="K1378" s="10" t="s">
        <v>14580</v>
      </c>
      <c r="L1378" s="10" t="s">
        <v>42</v>
      </c>
    </row>
    <row r="1379" ht="15.75" customHeight="1">
      <c r="A1379" s="66">
        <v>45484.0</v>
      </c>
      <c r="B1379" s="55" t="str">
        <f>HYPERLINK("https://jobright.ai/jobs/info/6690ae28714748cce6c389f1?utm_campaign=1065&amp;utm_source=sheet", "Apply")</f>
        <v>Apply</v>
      </c>
      <c r="C1379" s="10" t="s">
        <v>14536</v>
      </c>
      <c r="D1379" s="56" t="s">
        <v>14380</v>
      </c>
      <c r="E1379" s="59">
        <v>45301.0</v>
      </c>
      <c r="F1379" s="10" t="s">
        <v>14381</v>
      </c>
      <c r="G1379" s="10" t="s">
        <v>12654</v>
      </c>
      <c r="H1379" s="10" t="s">
        <v>964</v>
      </c>
      <c r="I1379" s="10" t="s">
        <v>55</v>
      </c>
      <c r="J1379" s="10" t="s">
        <v>13437</v>
      </c>
      <c r="K1379" s="10" t="s">
        <v>14537</v>
      </c>
      <c r="L1379" s="10" t="s">
        <v>42</v>
      </c>
    </row>
    <row r="1380" ht="15.75" customHeight="1">
      <c r="A1380" s="66">
        <v>45484.0</v>
      </c>
      <c r="B1380" s="55" t="str">
        <f>HYPERLINK("https://jobright.ai/jobs/info/6690ae28714748cce6c38a0b?utm_campaign=1065&amp;utm_source=sheet", "Apply")</f>
        <v>Apply</v>
      </c>
      <c r="C1380" s="10" t="s">
        <v>14581</v>
      </c>
      <c r="D1380" s="56" t="s">
        <v>14380</v>
      </c>
      <c r="E1380" s="59">
        <v>45301.0</v>
      </c>
      <c r="F1380" s="10" t="s">
        <v>14381</v>
      </c>
      <c r="G1380" s="10" t="s">
        <v>12654</v>
      </c>
      <c r="H1380" s="10" t="s">
        <v>73</v>
      </c>
      <c r="I1380" s="10" t="s">
        <v>55</v>
      </c>
      <c r="J1380" s="10" t="s">
        <v>13437</v>
      </c>
      <c r="K1380" s="10" t="s">
        <v>14582</v>
      </c>
      <c r="L1380" s="10" t="s">
        <v>42</v>
      </c>
    </row>
    <row r="1381" ht="15.75" customHeight="1">
      <c r="A1381" s="66">
        <v>45484.0</v>
      </c>
      <c r="B1381" s="55" t="str">
        <f>HYPERLINK("https://jobright.ai/jobs/info/6690ae28714748cce6c389fd?utm_campaign=1065&amp;utm_source=sheet", "Apply")</f>
        <v>Apply</v>
      </c>
      <c r="C1381" s="10" t="s">
        <v>14536</v>
      </c>
      <c r="D1381" s="56" t="s">
        <v>14380</v>
      </c>
      <c r="E1381" s="59">
        <v>45301.0</v>
      </c>
      <c r="F1381" s="10" t="s">
        <v>14381</v>
      </c>
      <c r="G1381" s="10" t="s">
        <v>12654</v>
      </c>
      <c r="H1381" s="10" t="s">
        <v>941</v>
      </c>
      <c r="I1381" s="10" t="s">
        <v>55</v>
      </c>
      <c r="J1381" s="10" t="s">
        <v>13437</v>
      </c>
      <c r="K1381" s="10" t="s">
        <v>14537</v>
      </c>
      <c r="L1381" s="10" t="s">
        <v>42</v>
      </c>
    </row>
    <row r="1382" ht="15.75" customHeight="1">
      <c r="A1382" s="66">
        <v>45484.0</v>
      </c>
      <c r="B1382" s="55" t="str">
        <f>HYPERLINK("https://jobright.ai/jobs/info/6690ae28714748cce6c38a0d?utm_campaign=1065&amp;utm_source=sheet", "Apply")</f>
        <v>Apply</v>
      </c>
      <c r="C1382" s="10" t="s">
        <v>14536</v>
      </c>
      <c r="D1382" s="56" t="s">
        <v>14380</v>
      </c>
      <c r="E1382" s="59">
        <v>45301.0</v>
      </c>
      <c r="F1382" s="10" t="s">
        <v>14381</v>
      </c>
      <c r="G1382" s="10" t="s">
        <v>12654</v>
      </c>
      <c r="H1382" s="10" t="s">
        <v>988</v>
      </c>
      <c r="I1382" s="10" t="s">
        <v>55</v>
      </c>
      <c r="J1382" s="10" t="s">
        <v>13437</v>
      </c>
      <c r="K1382" s="10" t="s">
        <v>14537</v>
      </c>
      <c r="L1382" s="10" t="s">
        <v>42</v>
      </c>
    </row>
    <row r="1383" ht="15.75" customHeight="1">
      <c r="A1383" s="66">
        <v>45484.0</v>
      </c>
      <c r="B1383" s="55" t="str">
        <f>HYPERLINK("https://jobright.ai/jobs/info/6690ae28714748cce6c38a18?utm_campaign=1065&amp;utm_source=sheet", "Apply")</f>
        <v>Apply</v>
      </c>
      <c r="C1383" s="10" t="s">
        <v>14536</v>
      </c>
      <c r="D1383" s="56" t="s">
        <v>14380</v>
      </c>
      <c r="E1383" s="59">
        <v>45301.0</v>
      </c>
      <c r="F1383" s="10" t="s">
        <v>14381</v>
      </c>
      <c r="G1383" s="10" t="s">
        <v>12654</v>
      </c>
      <c r="H1383" s="10" t="s">
        <v>920</v>
      </c>
      <c r="I1383" s="10" t="s">
        <v>55</v>
      </c>
      <c r="J1383" s="10" t="s">
        <v>13437</v>
      </c>
      <c r="K1383" s="10" t="s">
        <v>14537</v>
      </c>
      <c r="L1383" s="10" t="s">
        <v>42</v>
      </c>
    </row>
    <row r="1384" ht="15.75" customHeight="1">
      <c r="A1384" s="66">
        <v>45484.0</v>
      </c>
      <c r="B1384" s="55" t="str">
        <f>HYPERLINK("https://jobright.ai/jobs/info/6690ae28714748cce6c38a14?utm_campaign=1065&amp;utm_source=sheet", "Apply")</f>
        <v>Apply</v>
      </c>
      <c r="C1384" s="10" t="s">
        <v>14536</v>
      </c>
      <c r="D1384" s="56" t="s">
        <v>14380</v>
      </c>
      <c r="E1384" s="59">
        <v>45301.0</v>
      </c>
      <c r="F1384" s="10" t="s">
        <v>14381</v>
      </c>
      <c r="G1384" s="10" t="s">
        <v>12654</v>
      </c>
      <c r="H1384" s="10" t="s">
        <v>982</v>
      </c>
      <c r="I1384" s="10" t="s">
        <v>55</v>
      </c>
      <c r="J1384" s="10" t="s">
        <v>13437</v>
      </c>
      <c r="K1384" s="10" t="s">
        <v>14537</v>
      </c>
      <c r="L1384" s="10" t="s">
        <v>42</v>
      </c>
    </row>
    <row r="1385" ht="15.75" customHeight="1">
      <c r="A1385" s="66">
        <v>45484.0</v>
      </c>
      <c r="B1385" s="55" t="str">
        <f>HYPERLINK("https://jobright.ai/jobs/info/6690ae28714748cce6c38a1e?utm_campaign=1065&amp;utm_source=sheet", "Apply")</f>
        <v>Apply</v>
      </c>
      <c r="C1385" s="10" t="s">
        <v>14536</v>
      </c>
      <c r="D1385" s="56" t="s">
        <v>14380</v>
      </c>
      <c r="E1385" s="59">
        <v>45301.0</v>
      </c>
      <c r="F1385" s="10" t="s">
        <v>14381</v>
      </c>
      <c r="G1385" s="10" t="s">
        <v>12654</v>
      </c>
      <c r="H1385" s="10" t="s">
        <v>820</v>
      </c>
      <c r="I1385" s="10" t="s">
        <v>55</v>
      </c>
      <c r="J1385" s="10" t="s">
        <v>13437</v>
      </c>
      <c r="K1385" s="10" t="s">
        <v>14537</v>
      </c>
      <c r="L1385" s="10" t="s">
        <v>42</v>
      </c>
    </row>
    <row r="1386" ht="15.75" customHeight="1">
      <c r="A1386" s="66">
        <v>45484.0</v>
      </c>
      <c r="B1386" s="55" t="str">
        <f>HYPERLINK("https://jobright.ai/jobs/info/6690ae28714748cce6c38a20?utm_campaign=1065&amp;utm_source=sheet", "Apply")</f>
        <v>Apply</v>
      </c>
      <c r="C1386" s="10" t="s">
        <v>14536</v>
      </c>
      <c r="D1386" s="56" t="s">
        <v>14380</v>
      </c>
      <c r="E1386" s="59">
        <v>45301.0</v>
      </c>
      <c r="F1386" s="10" t="s">
        <v>14381</v>
      </c>
      <c r="G1386" s="10" t="s">
        <v>12654</v>
      </c>
      <c r="H1386" s="10" t="s">
        <v>1018</v>
      </c>
      <c r="I1386" s="10" t="s">
        <v>55</v>
      </c>
      <c r="J1386" s="10" t="s">
        <v>13437</v>
      </c>
      <c r="K1386" s="10" t="s">
        <v>14537</v>
      </c>
      <c r="L1386" s="10" t="s">
        <v>42</v>
      </c>
    </row>
    <row r="1387" ht="15.75" customHeight="1">
      <c r="A1387" s="66">
        <v>45484.0</v>
      </c>
      <c r="B1387" s="55" t="str">
        <f>HYPERLINK("https://jobright.ai/jobs/info/6690ae28714748cce6c38a2b?utm_campaign=1065&amp;utm_source=sheet", "Apply")</f>
        <v>Apply</v>
      </c>
      <c r="C1387" s="10" t="s">
        <v>14536</v>
      </c>
      <c r="D1387" s="56" t="s">
        <v>14380</v>
      </c>
      <c r="E1387" s="59">
        <v>45301.0</v>
      </c>
      <c r="F1387" s="10" t="s">
        <v>14381</v>
      </c>
      <c r="G1387" s="10" t="s">
        <v>12654</v>
      </c>
      <c r="H1387" s="10" t="s">
        <v>839</v>
      </c>
      <c r="I1387" s="10" t="s">
        <v>55</v>
      </c>
      <c r="J1387" s="10" t="s">
        <v>13437</v>
      </c>
      <c r="K1387" s="10" t="s">
        <v>14537</v>
      </c>
      <c r="L1387" s="10" t="s">
        <v>42</v>
      </c>
    </row>
    <row r="1388" ht="15.75" customHeight="1">
      <c r="A1388" s="66">
        <v>45484.0</v>
      </c>
      <c r="B1388" s="55" t="str">
        <f>HYPERLINK("https://jobright.ai/jobs/info/6690ae28714748cce6c38a2a?utm_campaign=1065&amp;utm_source=sheet", "Apply")</f>
        <v>Apply</v>
      </c>
      <c r="C1388" s="10" t="s">
        <v>14536</v>
      </c>
      <c r="D1388" s="56" t="s">
        <v>14380</v>
      </c>
      <c r="E1388" s="59">
        <v>45301.0</v>
      </c>
      <c r="F1388" s="10" t="s">
        <v>14381</v>
      </c>
      <c r="G1388" s="10" t="s">
        <v>12654</v>
      </c>
      <c r="H1388" s="10" t="s">
        <v>113</v>
      </c>
      <c r="I1388" s="10" t="s">
        <v>55</v>
      </c>
      <c r="J1388" s="10" t="s">
        <v>13437</v>
      </c>
      <c r="K1388" s="10" t="s">
        <v>14537</v>
      </c>
      <c r="L1388" s="10" t="s">
        <v>42</v>
      </c>
    </row>
    <row r="1389" ht="15.75" customHeight="1">
      <c r="A1389" s="66">
        <v>45484.0</v>
      </c>
      <c r="B1389" s="55" t="str">
        <f>HYPERLINK("https://jobright.ai/jobs/info/6690ae28714748cce6c38a34?utm_campaign=1065&amp;utm_source=sheet", "Apply")</f>
        <v>Apply</v>
      </c>
      <c r="C1389" s="10" t="s">
        <v>14536</v>
      </c>
      <c r="D1389" s="56" t="s">
        <v>14380</v>
      </c>
      <c r="E1389" s="59">
        <v>45301.0</v>
      </c>
      <c r="F1389" s="10" t="s">
        <v>14381</v>
      </c>
      <c r="G1389" s="10" t="s">
        <v>12654</v>
      </c>
      <c r="H1389" s="10" t="s">
        <v>918</v>
      </c>
      <c r="I1389" s="10" t="s">
        <v>55</v>
      </c>
      <c r="J1389" s="10" t="s">
        <v>13437</v>
      </c>
      <c r="K1389" s="10" t="s">
        <v>14537</v>
      </c>
      <c r="L1389" s="10" t="s">
        <v>42</v>
      </c>
    </row>
    <row r="1390" ht="15.75" customHeight="1">
      <c r="A1390" s="66">
        <v>45484.0</v>
      </c>
      <c r="B1390" s="55" t="str">
        <f>HYPERLINK("https://jobright.ai/jobs/info/6690ae28714748cce6c38a39?utm_campaign=1065&amp;utm_source=sheet", "Apply")</f>
        <v>Apply</v>
      </c>
      <c r="C1390" s="10" t="s">
        <v>14579</v>
      </c>
      <c r="D1390" s="56" t="s">
        <v>14380</v>
      </c>
      <c r="E1390" s="59">
        <v>45301.0</v>
      </c>
      <c r="F1390" s="10" t="s">
        <v>14381</v>
      </c>
      <c r="G1390" s="10" t="s">
        <v>12654</v>
      </c>
      <c r="H1390" s="10" t="s">
        <v>1000</v>
      </c>
      <c r="I1390" s="10" t="s">
        <v>55</v>
      </c>
      <c r="J1390" s="10" t="s">
        <v>13437</v>
      </c>
      <c r="K1390" s="10" t="s">
        <v>14580</v>
      </c>
      <c r="L1390" s="10" t="s">
        <v>42</v>
      </c>
    </row>
    <row r="1391" ht="15.75" customHeight="1">
      <c r="A1391" s="66">
        <v>45484.0</v>
      </c>
      <c r="B1391" s="55" t="str">
        <f>HYPERLINK("https://jobright.ai/jobs/info/6690ae28714748cce6c38a3a?utm_campaign=1065&amp;utm_source=sheet", "Apply")</f>
        <v>Apply</v>
      </c>
      <c r="C1391" s="10" t="s">
        <v>14579</v>
      </c>
      <c r="D1391" s="56" t="s">
        <v>14380</v>
      </c>
      <c r="E1391" s="59">
        <v>45301.0</v>
      </c>
      <c r="F1391" s="10" t="s">
        <v>14381</v>
      </c>
      <c r="G1391" s="10" t="s">
        <v>12654</v>
      </c>
      <c r="H1391" s="10" t="s">
        <v>1041</v>
      </c>
      <c r="I1391" s="10" t="s">
        <v>55</v>
      </c>
      <c r="J1391" s="10" t="s">
        <v>13437</v>
      </c>
      <c r="K1391" s="10" t="s">
        <v>14580</v>
      </c>
      <c r="L1391" s="10" t="s">
        <v>42</v>
      </c>
    </row>
    <row r="1392" ht="15.75" customHeight="1">
      <c r="A1392" s="66">
        <v>45484.0</v>
      </c>
      <c r="B1392" s="55" t="str">
        <f>HYPERLINK("https://jobright.ai/jobs/info/6690ae28714748cce6c38a41?utm_campaign=1065&amp;utm_source=sheet", "Apply")</f>
        <v>Apply</v>
      </c>
      <c r="C1392" s="10" t="s">
        <v>14579</v>
      </c>
      <c r="D1392" s="56" t="s">
        <v>14380</v>
      </c>
      <c r="E1392" s="59">
        <v>45301.0</v>
      </c>
      <c r="F1392" s="10" t="s">
        <v>14381</v>
      </c>
      <c r="G1392" s="10" t="s">
        <v>12654</v>
      </c>
      <c r="H1392" s="10" t="s">
        <v>800</v>
      </c>
      <c r="I1392" s="10" t="s">
        <v>55</v>
      </c>
      <c r="J1392" s="10" t="s">
        <v>13437</v>
      </c>
      <c r="K1392" s="10" t="s">
        <v>14580</v>
      </c>
      <c r="L1392" s="10" t="s">
        <v>42</v>
      </c>
    </row>
    <row r="1393" ht="15.75" customHeight="1">
      <c r="A1393" s="66">
        <v>45484.0</v>
      </c>
      <c r="B1393" s="55" t="str">
        <f>HYPERLINK("https://jobright.ai/jobs/info/6690ae28714748cce6c38a40?utm_campaign=1065&amp;utm_source=sheet", "Apply")</f>
        <v>Apply</v>
      </c>
      <c r="C1393" s="10" t="s">
        <v>14579</v>
      </c>
      <c r="D1393" s="56" t="s">
        <v>14380</v>
      </c>
      <c r="E1393" s="59">
        <v>45301.0</v>
      </c>
      <c r="F1393" s="10" t="s">
        <v>14381</v>
      </c>
      <c r="G1393" s="10" t="s">
        <v>12654</v>
      </c>
      <c r="H1393" s="10" t="s">
        <v>773</v>
      </c>
      <c r="I1393" s="10" t="s">
        <v>55</v>
      </c>
      <c r="J1393" s="10" t="s">
        <v>13437</v>
      </c>
      <c r="K1393" s="10" t="s">
        <v>14580</v>
      </c>
      <c r="L1393" s="10" t="s">
        <v>42</v>
      </c>
    </row>
    <row r="1394" ht="15.75" customHeight="1">
      <c r="A1394" s="66">
        <v>45484.0</v>
      </c>
      <c r="B1394" s="55" t="str">
        <f>HYPERLINK("https://jobright.ai/jobs/info/6690ae28714748cce6c38a3c?utm_campaign=1065&amp;utm_source=sheet", "Apply")</f>
        <v>Apply</v>
      </c>
      <c r="C1394" s="10" t="s">
        <v>14579</v>
      </c>
      <c r="D1394" s="56" t="s">
        <v>14380</v>
      </c>
      <c r="E1394" s="59">
        <v>45301.0</v>
      </c>
      <c r="F1394" s="10" t="s">
        <v>14381</v>
      </c>
      <c r="G1394" s="10" t="s">
        <v>12654</v>
      </c>
      <c r="H1394" s="10" t="s">
        <v>837</v>
      </c>
      <c r="I1394" s="10" t="s">
        <v>55</v>
      </c>
      <c r="J1394" s="10" t="s">
        <v>13437</v>
      </c>
      <c r="K1394" s="10" t="s">
        <v>14580</v>
      </c>
      <c r="L1394" s="10" t="s">
        <v>42</v>
      </c>
    </row>
    <row r="1395" ht="15.75" customHeight="1">
      <c r="A1395" s="66">
        <v>45484.0</v>
      </c>
      <c r="B1395" s="55" t="str">
        <f>HYPERLINK("https://jobright.ai/jobs/info/6690ae28714748cce6c38a54?utm_campaign=1065&amp;utm_source=sheet", "Apply")</f>
        <v>Apply</v>
      </c>
      <c r="C1395" s="10" t="s">
        <v>14579</v>
      </c>
      <c r="D1395" s="56" t="s">
        <v>14380</v>
      </c>
      <c r="E1395" s="59">
        <v>45301.0</v>
      </c>
      <c r="F1395" s="10" t="s">
        <v>14381</v>
      </c>
      <c r="G1395" s="10" t="s">
        <v>12654</v>
      </c>
      <c r="H1395" s="10" t="s">
        <v>883</v>
      </c>
      <c r="I1395" s="10" t="s">
        <v>55</v>
      </c>
      <c r="J1395" s="10" t="s">
        <v>13437</v>
      </c>
      <c r="K1395" s="10" t="s">
        <v>14580</v>
      </c>
      <c r="L1395" s="10" t="s">
        <v>42</v>
      </c>
    </row>
    <row r="1396" ht="15.75" customHeight="1">
      <c r="A1396" s="66">
        <v>45484.0</v>
      </c>
      <c r="B1396" s="55" t="str">
        <f>HYPERLINK("https://jobright.ai/jobs/info/6690ae28714748cce6c38a50?utm_campaign=1065&amp;utm_source=sheet", "Apply")</f>
        <v>Apply</v>
      </c>
      <c r="C1396" s="10" t="s">
        <v>14579</v>
      </c>
      <c r="D1396" s="56" t="s">
        <v>14380</v>
      </c>
      <c r="E1396" s="59">
        <v>45301.0</v>
      </c>
      <c r="F1396" s="10" t="s">
        <v>14381</v>
      </c>
      <c r="G1396" s="10" t="s">
        <v>12654</v>
      </c>
      <c r="H1396" s="10" t="s">
        <v>1018</v>
      </c>
      <c r="I1396" s="10" t="s">
        <v>55</v>
      </c>
      <c r="J1396" s="10" t="s">
        <v>13437</v>
      </c>
      <c r="K1396" s="10" t="s">
        <v>14580</v>
      </c>
      <c r="L1396" s="10" t="s">
        <v>42</v>
      </c>
    </row>
    <row r="1397" ht="15.75" customHeight="1">
      <c r="A1397" s="66">
        <v>45484.0</v>
      </c>
      <c r="B1397" s="55" t="str">
        <f>HYPERLINK("https://jobright.ai/jobs/info/6690ae28714748cce6c38a4d?utm_campaign=1065&amp;utm_source=sheet", "Apply")</f>
        <v>Apply</v>
      </c>
      <c r="C1397" s="10" t="s">
        <v>14536</v>
      </c>
      <c r="D1397" s="56" t="s">
        <v>14380</v>
      </c>
      <c r="E1397" s="59">
        <v>45301.0</v>
      </c>
      <c r="F1397" s="10" t="s">
        <v>14381</v>
      </c>
      <c r="G1397" s="10" t="s">
        <v>12654</v>
      </c>
      <c r="H1397" s="10" t="s">
        <v>922</v>
      </c>
      <c r="I1397" s="10" t="s">
        <v>55</v>
      </c>
      <c r="J1397" s="10" t="s">
        <v>13437</v>
      </c>
      <c r="K1397" s="10" t="s">
        <v>14537</v>
      </c>
      <c r="L1397" s="10" t="s">
        <v>42</v>
      </c>
    </row>
    <row r="1398" ht="15.75" customHeight="1">
      <c r="A1398" s="66">
        <v>45484.0</v>
      </c>
      <c r="B1398" s="55" t="str">
        <f>HYPERLINK("https://jobright.ai/jobs/info/6690ae28714748cce6c38a42?utm_campaign=1065&amp;utm_source=sheet", "Apply")</f>
        <v>Apply</v>
      </c>
      <c r="C1398" s="10" t="s">
        <v>14579</v>
      </c>
      <c r="D1398" s="56" t="s">
        <v>14380</v>
      </c>
      <c r="E1398" s="59">
        <v>45301.0</v>
      </c>
      <c r="F1398" s="10" t="s">
        <v>14381</v>
      </c>
      <c r="G1398" s="10" t="s">
        <v>12654</v>
      </c>
      <c r="H1398" s="10" t="s">
        <v>967</v>
      </c>
      <c r="I1398" s="10" t="s">
        <v>55</v>
      </c>
      <c r="J1398" s="10" t="s">
        <v>13437</v>
      </c>
      <c r="K1398" s="10" t="s">
        <v>14580</v>
      </c>
      <c r="L1398" s="10" t="s">
        <v>42</v>
      </c>
    </row>
    <row r="1399" ht="15.75" customHeight="1">
      <c r="A1399" s="66">
        <v>45484.0</v>
      </c>
      <c r="B1399" s="55" t="str">
        <f>HYPERLINK("https://jobright.ai/jobs/info/6690ae28714748cce6c38a43?utm_campaign=1065&amp;utm_source=sheet", "Apply")</f>
        <v>Apply</v>
      </c>
      <c r="C1399" s="10" t="s">
        <v>14579</v>
      </c>
      <c r="D1399" s="56" t="s">
        <v>14380</v>
      </c>
      <c r="E1399" s="59">
        <v>45301.0</v>
      </c>
      <c r="F1399" s="10" t="s">
        <v>14381</v>
      </c>
      <c r="G1399" s="10" t="s">
        <v>12654</v>
      </c>
      <c r="H1399" s="10" t="s">
        <v>931</v>
      </c>
      <c r="I1399" s="10" t="s">
        <v>55</v>
      </c>
      <c r="J1399" s="10" t="s">
        <v>13437</v>
      </c>
      <c r="K1399" s="10" t="s">
        <v>14580</v>
      </c>
      <c r="L1399" s="10" t="s">
        <v>42</v>
      </c>
    </row>
    <row r="1400" ht="15.75" customHeight="1">
      <c r="A1400" s="66">
        <v>45484.0</v>
      </c>
      <c r="B1400" s="55" t="str">
        <f>HYPERLINK("https://jobright.ai/jobs/info/6690ae28714748cce6c38a48?utm_campaign=1065&amp;utm_source=sheet", "Apply")</f>
        <v>Apply</v>
      </c>
      <c r="C1400" s="10" t="s">
        <v>14579</v>
      </c>
      <c r="D1400" s="56" t="s">
        <v>14380</v>
      </c>
      <c r="E1400" s="59">
        <v>45301.0</v>
      </c>
      <c r="F1400" s="10" t="s">
        <v>14381</v>
      </c>
      <c r="G1400" s="10" t="s">
        <v>12654</v>
      </c>
      <c r="H1400" s="10" t="s">
        <v>708</v>
      </c>
      <c r="I1400" s="10" t="s">
        <v>55</v>
      </c>
      <c r="J1400" s="10" t="s">
        <v>13437</v>
      </c>
      <c r="K1400" s="10" t="s">
        <v>14580</v>
      </c>
      <c r="L1400" s="10" t="s">
        <v>42</v>
      </c>
    </row>
    <row r="1401" ht="15.75" customHeight="1">
      <c r="A1401" s="66">
        <v>45484.0</v>
      </c>
      <c r="B1401" s="55" t="str">
        <f>HYPERLINK("https://jobright.ai/jobs/info/6690ae28714748cce6c38a57?utm_campaign=1065&amp;utm_source=sheet", "Apply")</f>
        <v>Apply</v>
      </c>
      <c r="C1401" s="10" t="s">
        <v>14581</v>
      </c>
      <c r="D1401" s="56" t="s">
        <v>14380</v>
      </c>
      <c r="E1401" s="59">
        <v>45301.0</v>
      </c>
      <c r="F1401" s="10" t="s">
        <v>14381</v>
      </c>
      <c r="G1401" s="10" t="s">
        <v>12654</v>
      </c>
      <c r="H1401" s="10" t="s">
        <v>809</v>
      </c>
      <c r="I1401" s="10" t="s">
        <v>55</v>
      </c>
      <c r="J1401" s="10" t="s">
        <v>13437</v>
      </c>
      <c r="K1401" s="10" t="s">
        <v>14582</v>
      </c>
      <c r="L1401" s="10" t="s">
        <v>42</v>
      </c>
    </row>
    <row r="1402" ht="15.75" customHeight="1">
      <c r="A1402" s="66">
        <v>45484.0</v>
      </c>
      <c r="B1402" s="55" t="str">
        <f>HYPERLINK("https://jobright.ai/jobs/info/6690ae28714748cce6c38a5a?utm_campaign=1065&amp;utm_source=sheet", "Apply")</f>
        <v>Apply</v>
      </c>
      <c r="C1402" s="10" t="s">
        <v>14579</v>
      </c>
      <c r="D1402" s="56" t="s">
        <v>14380</v>
      </c>
      <c r="E1402" s="59">
        <v>45301.0</v>
      </c>
      <c r="F1402" s="10" t="s">
        <v>14381</v>
      </c>
      <c r="G1402" s="10" t="s">
        <v>12654</v>
      </c>
      <c r="H1402" s="10" t="s">
        <v>873</v>
      </c>
      <c r="I1402" s="10" t="s">
        <v>55</v>
      </c>
      <c r="J1402" s="10" t="s">
        <v>13437</v>
      </c>
      <c r="K1402" s="10" t="s">
        <v>14580</v>
      </c>
      <c r="L1402" s="10" t="s">
        <v>42</v>
      </c>
    </row>
    <row r="1403" ht="15.75" customHeight="1">
      <c r="A1403" s="66">
        <v>45484.0</v>
      </c>
      <c r="B1403" s="55" t="str">
        <f>HYPERLINK("https://jobright.ai/jobs/info/6690ae28714748cce6c38a69?utm_campaign=1065&amp;utm_source=sheet", "Apply")</f>
        <v>Apply</v>
      </c>
      <c r="C1403" s="10" t="s">
        <v>14579</v>
      </c>
      <c r="D1403" s="56" t="s">
        <v>14380</v>
      </c>
      <c r="E1403" s="59">
        <v>45301.0</v>
      </c>
      <c r="F1403" s="10" t="s">
        <v>14381</v>
      </c>
      <c r="G1403" s="10" t="s">
        <v>12654</v>
      </c>
      <c r="H1403" s="10" t="s">
        <v>953</v>
      </c>
      <c r="I1403" s="10" t="s">
        <v>55</v>
      </c>
      <c r="J1403" s="10" t="s">
        <v>13437</v>
      </c>
      <c r="K1403" s="10" t="s">
        <v>14580</v>
      </c>
      <c r="L1403" s="10" t="s">
        <v>42</v>
      </c>
    </row>
    <row r="1404" ht="15.75" customHeight="1">
      <c r="A1404" s="66">
        <v>45484.0</v>
      </c>
      <c r="B1404" s="55" t="str">
        <f>HYPERLINK("https://jobright.ai/jobs/info/6690ae28714748cce6c38a60?utm_campaign=1065&amp;utm_source=sheet", "Apply")</f>
        <v>Apply</v>
      </c>
      <c r="C1404" s="10" t="s">
        <v>14581</v>
      </c>
      <c r="D1404" s="56" t="s">
        <v>14380</v>
      </c>
      <c r="E1404" s="59">
        <v>45301.0</v>
      </c>
      <c r="F1404" s="10" t="s">
        <v>14381</v>
      </c>
      <c r="G1404" s="10" t="s">
        <v>12654</v>
      </c>
      <c r="H1404" s="10" t="s">
        <v>976</v>
      </c>
      <c r="I1404" s="10" t="s">
        <v>55</v>
      </c>
      <c r="J1404" s="10" t="s">
        <v>13437</v>
      </c>
      <c r="K1404" s="10" t="s">
        <v>14582</v>
      </c>
      <c r="L1404" s="10" t="s">
        <v>42</v>
      </c>
    </row>
    <row r="1405" ht="15.75" customHeight="1">
      <c r="A1405" s="66">
        <v>45484.0</v>
      </c>
      <c r="B1405" s="55" t="str">
        <f>HYPERLINK("https://jobright.ai/jobs/info/6690ae28714748cce6c38a61?utm_campaign=1065&amp;utm_source=sheet", "Apply")</f>
        <v>Apply</v>
      </c>
      <c r="C1405" s="10" t="s">
        <v>14579</v>
      </c>
      <c r="D1405" s="56" t="s">
        <v>14380</v>
      </c>
      <c r="E1405" s="59">
        <v>45301.0</v>
      </c>
      <c r="F1405" s="10" t="s">
        <v>14381</v>
      </c>
      <c r="G1405" s="10" t="s">
        <v>12654</v>
      </c>
      <c r="H1405" s="10" t="s">
        <v>1007</v>
      </c>
      <c r="I1405" s="10" t="s">
        <v>55</v>
      </c>
      <c r="J1405" s="10" t="s">
        <v>13437</v>
      </c>
      <c r="K1405" s="10" t="s">
        <v>14580</v>
      </c>
      <c r="L1405" s="10" t="s">
        <v>42</v>
      </c>
    </row>
    <row r="1406" ht="15.75" customHeight="1">
      <c r="A1406" s="66">
        <v>45484.0</v>
      </c>
      <c r="B1406" s="55" t="str">
        <f>HYPERLINK("https://jobright.ai/jobs/info/6690ae28714748cce6c38a65?utm_campaign=1065&amp;utm_source=sheet", "Apply")</f>
        <v>Apply</v>
      </c>
      <c r="C1406" s="10" t="s">
        <v>14579</v>
      </c>
      <c r="D1406" s="56" t="s">
        <v>14380</v>
      </c>
      <c r="E1406" s="59">
        <v>45301.0</v>
      </c>
      <c r="F1406" s="10" t="s">
        <v>14381</v>
      </c>
      <c r="G1406" s="10" t="s">
        <v>12654</v>
      </c>
      <c r="H1406" s="10" t="s">
        <v>1045</v>
      </c>
      <c r="I1406" s="10" t="s">
        <v>55</v>
      </c>
      <c r="J1406" s="10" t="s">
        <v>13437</v>
      </c>
      <c r="K1406" s="10" t="s">
        <v>14580</v>
      </c>
      <c r="L1406" s="10" t="s">
        <v>42</v>
      </c>
    </row>
    <row r="1407" ht="15.75" customHeight="1">
      <c r="A1407" s="66">
        <v>45484.0</v>
      </c>
      <c r="B1407" s="55" t="str">
        <f>HYPERLINK("https://jobright.ai/jobs/info/6690ae28714748cce6c38a59?utm_campaign=1065&amp;utm_source=sheet", "Apply")</f>
        <v>Apply</v>
      </c>
      <c r="C1407" s="10" t="s">
        <v>14581</v>
      </c>
      <c r="D1407" s="56" t="s">
        <v>14380</v>
      </c>
      <c r="E1407" s="59">
        <v>45301.0</v>
      </c>
      <c r="F1407" s="10" t="s">
        <v>14381</v>
      </c>
      <c r="G1407" s="10" t="s">
        <v>12654</v>
      </c>
      <c r="H1407" s="10" t="s">
        <v>845</v>
      </c>
      <c r="I1407" s="10" t="s">
        <v>55</v>
      </c>
      <c r="J1407" s="10" t="s">
        <v>13437</v>
      </c>
      <c r="K1407" s="10" t="s">
        <v>14582</v>
      </c>
      <c r="L1407" s="10" t="s">
        <v>42</v>
      </c>
    </row>
    <row r="1408" ht="15.75" customHeight="1">
      <c r="A1408" s="66">
        <v>45484.0</v>
      </c>
      <c r="B1408" s="55" t="str">
        <f>HYPERLINK("https://jobright.ai/jobs/info/6690ae28714748cce6c38a68?utm_campaign=1065&amp;utm_source=sheet", "Apply")</f>
        <v>Apply</v>
      </c>
      <c r="C1408" s="10" t="s">
        <v>14536</v>
      </c>
      <c r="D1408" s="56" t="s">
        <v>14380</v>
      </c>
      <c r="E1408" s="59">
        <v>45301.0</v>
      </c>
      <c r="F1408" s="10" t="s">
        <v>14381</v>
      </c>
      <c r="G1408" s="10" t="s">
        <v>12654</v>
      </c>
      <c r="H1408" s="10" t="s">
        <v>943</v>
      </c>
      <c r="I1408" s="10" t="s">
        <v>55</v>
      </c>
      <c r="J1408" s="10" t="s">
        <v>13437</v>
      </c>
      <c r="K1408" s="10" t="s">
        <v>14537</v>
      </c>
      <c r="L1408" s="10" t="s">
        <v>42</v>
      </c>
    </row>
    <row r="1409" ht="15.75" customHeight="1">
      <c r="A1409" s="66">
        <v>45484.0</v>
      </c>
      <c r="B1409" s="55" t="str">
        <f>HYPERLINK("https://jobright.ai/jobs/info/6690ae28714748cce6c38a66?utm_campaign=1065&amp;utm_source=sheet", "Apply")</f>
        <v>Apply</v>
      </c>
      <c r="C1409" s="10" t="s">
        <v>14579</v>
      </c>
      <c r="D1409" s="56" t="s">
        <v>14380</v>
      </c>
      <c r="E1409" s="59">
        <v>45301.0</v>
      </c>
      <c r="F1409" s="10" t="s">
        <v>14381</v>
      </c>
      <c r="G1409" s="10" t="s">
        <v>12654</v>
      </c>
      <c r="H1409" s="10" t="s">
        <v>862</v>
      </c>
      <c r="I1409" s="10" t="s">
        <v>55</v>
      </c>
      <c r="J1409" s="10" t="s">
        <v>13437</v>
      </c>
      <c r="K1409" s="10" t="s">
        <v>14580</v>
      </c>
      <c r="L1409" s="10" t="s">
        <v>42</v>
      </c>
    </row>
    <row r="1410" ht="15.75" customHeight="1">
      <c r="A1410" s="66">
        <v>45484.0</v>
      </c>
      <c r="B1410" s="55" t="str">
        <f>HYPERLINK("https://jobright.ai/jobs/info/6690ae28714748cce6c38a63?utm_campaign=1065&amp;utm_source=sheet", "Apply")</f>
        <v>Apply</v>
      </c>
      <c r="C1410" s="10" t="s">
        <v>14581</v>
      </c>
      <c r="D1410" s="56" t="s">
        <v>14380</v>
      </c>
      <c r="E1410" s="59">
        <v>45301.0</v>
      </c>
      <c r="F1410" s="10" t="s">
        <v>14381</v>
      </c>
      <c r="G1410" s="10" t="s">
        <v>12654</v>
      </c>
      <c r="H1410" s="10" t="s">
        <v>872</v>
      </c>
      <c r="I1410" s="10" t="s">
        <v>55</v>
      </c>
      <c r="J1410" s="10" t="s">
        <v>13437</v>
      </c>
      <c r="K1410" s="10" t="s">
        <v>14582</v>
      </c>
      <c r="L1410" s="10" t="s">
        <v>42</v>
      </c>
    </row>
    <row r="1411" ht="15.75" customHeight="1">
      <c r="A1411" s="66">
        <v>45484.0</v>
      </c>
      <c r="B1411" s="55" t="str">
        <f>HYPERLINK("https://jobright.ai/jobs/info/6690ae28714748cce6c38a6a?utm_campaign=1065&amp;utm_source=sheet", "Apply")</f>
        <v>Apply</v>
      </c>
      <c r="C1411" s="10" t="s">
        <v>14581</v>
      </c>
      <c r="D1411" s="56" t="s">
        <v>14380</v>
      </c>
      <c r="E1411" s="59">
        <v>45301.0</v>
      </c>
      <c r="F1411" s="10" t="s">
        <v>14381</v>
      </c>
      <c r="G1411" s="10" t="s">
        <v>12654</v>
      </c>
      <c r="H1411" s="10" t="s">
        <v>967</v>
      </c>
      <c r="I1411" s="10" t="s">
        <v>55</v>
      </c>
      <c r="J1411" s="10" t="s">
        <v>13437</v>
      </c>
      <c r="K1411" s="10" t="s">
        <v>14582</v>
      </c>
      <c r="L1411" s="10" t="s">
        <v>42</v>
      </c>
    </row>
    <row r="1412" ht="15.75" customHeight="1">
      <c r="A1412" s="66">
        <v>45484.0</v>
      </c>
      <c r="B1412" s="55" t="str">
        <f>HYPERLINK("https://jobright.ai/jobs/info/6690ae28714748cce6c38a7d?utm_campaign=1065&amp;utm_source=sheet", "Apply")</f>
        <v>Apply</v>
      </c>
      <c r="C1412" s="10" t="s">
        <v>14536</v>
      </c>
      <c r="D1412" s="56" t="s">
        <v>14380</v>
      </c>
      <c r="E1412" s="59">
        <v>45301.0</v>
      </c>
      <c r="F1412" s="10" t="s">
        <v>14381</v>
      </c>
      <c r="G1412" s="10" t="s">
        <v>12654</v>
      </c>
      <c r="H1412" s="10" t="s">
        <v>937</v>
      </c>
      <c r="I1412" s="10" t="s">
        <v>55</v>
      </c>
      <c r="J1412" s="10" t="s">
        <v>13437</v>
      </c>
      <c r="K1412" s="10" t="s">
        <v>14537</v>
      </c>
      <c r="L1412" s="10" t="s">
        <v>42</v>
      </c>
    </row>
    <row r="1413" ht="15.75" customHeight="1">
      <c r="A1413" s="66">
        <v>45484.0</v>
      </c>
      <c r="B1413" s="55" t="str">
        <f>HYPERLINK("https://jobright.ai/jobs/info/6690ae28714748cce6c38a77?utm_campaign=1065&amp;utm_source=sheet", "Apply")</f>
        <v>Apply</v>
      </c>
      <c r="C1413" s="10" t="s">
        <v>14579</v>
      </c>
      <c r="D1413" s="56" t="s">
        <v>14380</v>
      </c>
      <c r="E1413" s="59">
        <v>45301.0</v>
      </c>
      <c r="F1413" s="10" t="s">
        <v>14381</v>
      </c>
      <c r="G1413" s="10" t="s">
        <v>12654</v>
      </c>
      <c r="H1413" s="10" t="s">
        <v>1049</v>
      </c>
      <c r="I1413" s="10" t="s">
        <v>55</v>
      </c>
      <c r="J1413" s="10" t="s">
        <v>13437</v>
      </c>
      <c r="K1413" s="10" t="s">
        <v>14580</v>
      </c>
      <c r="L1413" s="10" t="s">
        <v>42</v>
      </c>
    </row>
    <row r="1414" ht="15.75" customHeight="1">
      <c r="A1414" s="66">
        <v>45484.0</v>
      </c>
      <c r="B1414" s="55" t="str">
        <f>HYPERLINK("https://jobright.ai/jobs/info/6690ae28714748cce6c38a79?utm_campaign=1065&amp;utm_source=sheet", "Apply")</f>
        <v>Apply</v>
      </c>
      <c r="C1414" s="10" t="s">
        <v>14536</v>
      </c>
      <c r="D1414" s="56" t="s">
        <v>14380</v>
      </c>
      <c r="E1414" s="59">
        <v>45301.0</v>
      </c>
      <c r="F1414" s="10" t="s">
        <v>14381</v>
      </c>
      <c r="G1414" s="10" t="s">
        <v>12654</v>
      </c>
      <c r="H1414" s="10" t="s">
        <v>1034</v>
      </c>
      <c r="I1414" s="10" t="s">
        <v>55</v>
      </c>
      <c r="J1414" s="10" t="s">
        <v>13437</v>
      </c>
      <c r="K1414" s="10" t="s">
        <v>14537</v>
      </c>
      <c r="L1414" s="10" t="s">
        <v>42</v>
      </c>
    </row>
    <row r="1415" ht="15.75" customHeight="1">
      <c r="A1415" s="66">
        <v>45484.0</v>
      </c>
      <c r="B1415" s="55" t="str">
        <f>HYPERLINK("https://jobright.ai/jobs/info/6690ae28714748cce6c38a6e?utm_campaign=1065&amp;utm_source=sheet", "Apply")</f>
        <v>Apply</v>
      </c>
      <c r="C1415" s="10" t="s">
        <v>14536</v>
      </c>
      <c r="D1415" s="56" t="s">
        <v>14380</v>
      </c>
      <c r="E1415" s="59">
        <v>45301.0</v>
      </c>
      <c r="F1415" s="10" t="s">
        <v>14381</v>
      </c>
      <c r="G1415" s="10" t="s">
        <v>12654</v>
      </c>
      <c r="H1415" s="10" t="s">
        <v>805</v>
      </c>
      <c r="I1415" s="10" t="s">
        <v>55</v>
      </c>
      <c r="J1415" s="10" t="s">
        <v>13437</v>
      </c>
      <c r="K1415" s="10" t="s">
        <v>14537</v>
      </c>
      <c r="L1415" s="10" t="s">
        <v>42</v>
      </c>
    </row>
    <row r="1416" ht="15.75" customHeight="1">
      <c r="A1416" s="66">
        <v>45484.0</v>
      </c>
      <c r="B1416" s="55" t="str">
        <f>HYPERLINK("https://jobright.ai/jobs/info/6690ae28714748cce6c38a7b?utm_campaign=1065&amp;utm_source=sheet", "Apply")</f>
        <v>Apply</v>
      </c>
      <c r="C1416" s="10" t="s">
        <v>14579</v>
      </c>
      <c r="D1416" s="56" t="s">
        <v>14380</v>
      </c>
      <c r="E1416" s="59">
        <v>45301.0</v>
      </c>
      <c r="F1416" s="10" t="s">
        <v>14381</v>
      </c>
      <c r="G1416" s="10" t="s">
        <v>12654</v>
      </c>
      <c r="H1416" s="10" t="s">
        <v>913</v>
      </c>
      <c r="I1416" s="10" t="s">
        <v>55</v>
      </c>
      <c r="J1416" s="10" t="s">
        <v>13437</v>
      </c>
      <c r="K1416" s="10" t="s">
        <v>14580</v>
      </c>
      <c r="L1416" s="10" t="s">
        <v>42</v>
      </c>
    </row>
    <row r="1417" ht="15.75" customHeight="1">
      <c r="A1417" s="66">
        <v>45484.0</v>
      </c>
      <c r="B1417" s="55" t="str">
        <f>HYPERLINK("https://jobright.ai/jobs/info/6690ae28714748cce6c38a6f?utm_campaign=1065&amp;utm_source=sheet", "Apply")</f>
        <v>Apply</v>
      </c>
      <c r="C1417" s="10" t="s">
        <v>14579</v>
      </c>
      <c r="D1417" s="56" t="s">
        <v>14380</v>
      </c>
      <c r="E1417" s="59">
        <v>45301.0</v>
      </c>
      <c r="F1417" s="10" t="s">
        <v>14381</v>
      </c>
      <c r="G1417" s="10" t="s">
        <v>12654</v>
      </c>
      <c r="H1417" s="10" t="s">
        <v>831</v>
      </c>
      <c r="I1417" s="10" t="s">
        <v>55</v>
      </c>
      <c r="J1417" s="10" t="s">
        <v>13437</v>
      </c>
      <c r="K1417" s="10" t="s">
        <v>14580</v>
      </c>
      <c r="L1417" s="10" t="s">
        <v>42</v>
      </c>
    </row>
    <row r="1418" ht="15.75" customHeight="1">
      <c r="A1418" s="66">
        <v>45484.0</v>
      </c>
      <c r="B1418" s="55" t="str">
        <f>HYPERLINK("https://jobright.ai/jobs/info/6690ae28714748cce6c38a74?utm_campaign=1065&amp;utm_source=sheet", "Apply")</f>
        <v>Apply</v>
      </c>
      <c r="C1418" s="10" t="s">
        <v>14579</v>
      </c>
      <c r="D1418" s="56" t="s">
        <v>14380</v>
      </c>
      <c r="E1418" s="59">
        <v>45301.0</v>
      </c>
      <c r="F1418" s="10" t="s">
        <v>14381</v>
      </c>
      <c r="G1418" s="10" t="s">
        <v>12654</v>
      </c>
      <c r="H1418" s="10" t="s">
        <v>1011</v>
      </c>
      <c r="I1418" s="10" t="s">
        <v>55</v>
      </c>
      <c r="J1418" s="10" t="s">
        <v>13437</v>
      </c>
      <c r="K1418" s="10" t="s">
        <v>14580</v>
      </c>
      <c r="L1418" s="10" t="s">
        <v>42</v>
      </c>
    </row>
    <row r="1419" ht="15.75" customHeight="1">
      <c r="A1419" s="66">
        <v>45484.0</v>
      </c>
      <c r="B1419" s="55" t="str">
        <f>HYPERLINK("https://jobright.ai/jobs/info/6690ae28714748cce6c38a7c?utm_campaign=1065&amp;utm_source=sheet", "Apply")</f>
        <v>Apply</v>
      </c>
      <c r="C1419" s="10" t="s">
        <v>14579</v>
      </c>
      <c r="D1419" s="56" t="s">
        <v>14380</v>
      </c>
      <c r="E1419" s="59">
        <v>45301.0</v>
      </c>
      <c r="F1419" s="10" t="s">
        <v>14381</v>
      </c>
      <c r="G1419" s="10" t="s">
        <v>12654</v>
      </c>
      <c r="H1419" s="10" t="s">
        <v>1029</v>
      </c>
      <c r="I1419" s="10" t="s">
        <v>55</v>
      </c>
      <c r="J1419" s="10" t="s">
        <v>13437</v>
      </c>
      <c r="K1419" s="10" t="s">
        <v>14580</v>
      </c>
      <c r="L1419" s="10" t="s">
        <v>42</v>
      </c>
    </row>
    <row r="1420" ht="15.75" customHeight="1">
      <c r="A1420" s="66">
        <v>45484.0</v>
      </c>
      <c r="B1420" s="55" t="str">
        <f>HYPERLINK("https://jobright.ai/jobs/info/6690ae28714748cce6c38a83?utm_campaign=1065&amp;utm_source=sheet", "Apply")</f>
        <v>Apply</v>
      </c>
      <c r="C1420" s="10" t="s">
        <v>14579</v>
      </c>
      <c r="D1420" s="56" t="s">
        <v>14380</v>
      </c>
      <c r="E1420" s="59">
        <v>45301.0</v>
      </c>
      <c r="F1420" s="10" t="s">
        <v>14381</v>
      </c>
      <c r="G1420" s="10" t="s">
        <v>12654</v>
      </c>
      <c r="H1420" s="10" t="s">
        <v>904</v>
      </c>
      <c r="I1420" s="10" t="s">
        <v>55</v>
      </c>
      <c r="J1420" s="10" t="s">
        <v>13437</v>
      </c>
      <c r="K1420" s="10" t="s">
        <v>14580</v>
      </c>
      <c r="L1420" s="10" t="s">
        <v>42</v>
      </c>
    </row>
    <row r="1421" ht="15.75" customHeight="1">
      <c r="A1421" s="66">
        <v>45484.0</v>
      </c>
      <c r="B1421" s="55" t="str">
        <f>HYPERLINK("https://jobright.ai/jobs/info/6690ae28714748cce6c38a72?utm_campaign=1065&amp;utm_source=sheet", "Apply")</f>
        <v>Apply</v>
      </c>
      <c r="C1421" s="10" t="s">
        <v>14579</v>
      </c>
      <c r="D1421" s="56" t="s">
        <v>14380</v>
      </c>
      <c r="E1421" s="59">
        <v>45301.0</v>
      </c>
      <c r="F1421" s="10" t="s">
        <v>14381</v>
      </c>
      <c r="G1421" s="10" t="s">
        <v>12654</v>
      </c>
      <c r="H1421" s="10" t="s">
        <v>1033</v>
      </c>
      <c r="I1421" s="10" t="s">
        <v>55</v>
      </c>
      <c r="J1421" s="10" t="s">
        <v>13437</v>
      </c>
      <c r="K1421" s="10" t="s">
        <v>14580</v>
      </c>
      <c r="L1421" s="10" t="s">
        <v>42</v>
      </c>
    </row>
    <row r="1422" ht="15.75" customHeight="1">
      <c r="A1422" s="66">
        <v>45484.0</v>
      </c>
      <c r="B1422" s="55" t="str">
        <f>HYPERLINK("https://jobright.ai/jobs/info/6690ae28714748cce6c38a76?utm_campaign=1065&amp;utm_source=sheet", "Apply")</f>
        <v>Apply</v>
      </c>
      <c r="C1422" s="10" t="s">
        <v>14579</v>
      </c>
      <c r="D1422" s="56" t="s">
        <v>14380</v>
      </c>
      <c r="E1422" s="59">
        <v>45301.0</v>
      </c>
      <c r="F1422" s="10" t="s">
        <v>14381</v>
      </c>
      <c r="G1422" s="10" t="s">
        <v>12654</v>
      </c>
      <c r="H1422" s="10" t="s">
        <v>841</v>
      </c>
      <c r="I1422" s="10" t="s">
        <v>55</v>
      </c>
      <c r="J1422" s="10" t="s">
        <v>13437</v>
      </c>
      <c r="K1422" s="10" t="s">
        <v>14580</v>
      </c>
      <c r="L1422" s="10" t="s">
        <v>42</v>
      </c>
    </row>
    <row r="1423" ht="15.75" customHeight="1">
      <c r="A1423" s="66">
        <v>45484.0</v>
      </c>
      <c r="B1423" s="55" t="str">
        <f>HYPERLINK("https://jobright.ai/jobs/info/6690ae28714748cce6c38a97?utm_campaign=1065&amp;utm_source=sheet", "Apply")</f>
        <v>Apply</v>
      </c>
      <c r="C1423" s="10" t="s">
        <v>14579</v>
      </c>
      <c r="D1423" s="56" t="s">
        <v>14380</v>
      </c>
      <c r="E1423" s="59">
        <v>45301.0</v>
      </c>
      <c r="F1423" s="10" t="s">
        <v>14381</v>
      </c>
      <c r="G1423" s="10" t="s">
        <v>12654</v>
      </c>
      <c r="H1423" s="10" t="s">
        <v>757</v>
      </c>
      <c r="I1423" s="10" t="s">
        <v>55</v>
      </c>
      <c r="J1423" s="10" t="s">
        <v>13437</v>
      </c>
      <c r="K1423" s="10" t="s">
        <v>14580</v>
      </c>
      <c r="L1423" s="10" t="s">
        <v>42</v>
      </c>
    </row>
    <row r="1424" ht="15.75" customHeight="1">
      <c r="A1424" s="66">
        <v>45484.0</v>
      </c>
      <c r="B1424" s="55" t="str">
        <f>HYPERLINK("https://jobright.ai/jobs/info/6690ae28714748cce6c38a96?utm_campaign=1065&amp;utm_source=sheet", "Apply")</f>
        <v>Apply</v>
      </c>
      <c r="C1424" s="10" t="s">
        <v>14581</v>
      </c>
      <c r="D1424" s="56" t="s">
        <v>14380</v>
      </c>
      <c r="E1424" s="59">
        <v>45301.0</v>
      </c>
      <c r="F1424" s="10" t="s">
        <v>14381</v>
      </c>
      <c r="G1424" s="10" t="s">
        <v>12654</v>
      </c>
      <c r="H1424" s="10" t="s">
        <v>1006</v>
      </c>
      <c r="I1424" s="10" t="s">
        <v>55</v>
      </c>
      <c r="J1424" s="10" t="s">
        <v>13437</v>
      </c>
      <c r="K1424" s="10" t="s">
        <v>14582</v>
      </c>
      <c r="L1424" s="10" t="s">
        <v>42</v>
      </c>
    </row>
    <row r="1425" ht="15.75" customHeight="1">
      <c r="A1425" s="66">
        <v>45484.0</v>
      </c>
      <c r="B1425" s="55" t="str">
        <f>HYPERLINK("https://jobright.ai/jobs/info/6690ae28714748cce6c38a95?utm_campaign=1065&amp;utm_source=sheet", "Apply")</f>
        <v>Apply</v>
      </c>
      <c r="C1425" s="10" t="s">
        <v>14579</v>
      </c>
      <c r="D1425" s="56" t="s">
        <v>14380</v>
      </c>
      <c r="E1425" s="59">
        <v>45301.0</v>
      </c>
      <c r="F1425" s="10" t="s">
        <v>14381</v>
      </c>
      <c r="G1425" s="10" t="s">
        <v>12654</v>
      </c>
      <c r="H1425" s="10" t="s">
        <v>976</v>
      </c>
      <c r="I1425" s="10" t="s">
        <v>55</v>
      </c>
      <c r="J1425" s="10" t="s">
        <v>13437</v>
      </c>
      <c r="K1425" s="10" t="s">
        <v>14580</v>
      </c>
      <c r="L1425" s="10" t="s">
        <v>42</v>
      </c>
    </row>
    <row r="1426" ht="15.75" customHeight="1">
      <c r="A1426" s="66">
        <v>45484.0</v>
      </c>
      <c r="B1426" s="55" t="str">
        <f>HYPERLINK("https://jobright.ai/jobs/info/6690ae28714748cce6c38a94?utm_campaign=1065&amp;utm_source=sheet", "Apply")</f>
        <v>Apply</v>
      </c>
      <c r="C1426" s="10" t="s">
        <v>14536</v>
      </c>
      <c r="D1426" s="56" t="s">
        <v>14380</v>
      </c>
      <c r="E1426" s="59">
        <v>45301.0</v>
      </c>
      <c r="F1426" s="10" t="s">
        <v>14381</v>
      </c>
      <c r="G1426" s="10" t="s">
        <v>12654</v>
      </c>
      <c r="H1426" s="10" t="s">
        <v>762</v>
      </c>
      <c r="I1426" s="10" t="s">
        <v>55</v>
      </c>
      <c r="J1426" s="10" t="s">
        <v>13437</v>
      </c>
      <c r="K1426" s="10" t="s">
        <v>14537</v>
      </c>
      <c r="L1426" s="10" t="s">
        <v>42</v>
      </c>
    </row>
    <row r="1427" ht="15.75" customHeight="1">
      <c r="A1427" s="66">
        <v>45484.0</v>
      </c>
      <c r="B1427" s="55" t="str">
        <f>HYPERLINK("https://jobright.ai/jobs/info/6690ae28714748cce6c38a89?utm_campaign=1065&amp;utm_source=sheet", "Apply")</f>
        <v>Apply</v>
      </c>
      <c r="C1427" s="10" t="s">
        <v>14579</v>
      </c>
      <c r="D1427" s="56" t="s">
        <v>14380</v>
      </c>
      <c r="E1427" s="59">
        <v>45301.0</v>
      </c>
      <c r="F1427" s="10" t="s">
        <v>14381</v>
      </c>
      <c r="G1427" s="10" t="s">
        <v>12654</v>
      </c>
      <c r="H1427" s="10" t="s">
        <v>818</v>
      </c>
      <c r="I1427" s="10" t="s">
        <v>55</v>
      </c>
      <c r="J1427" s="10" t="s">
        <v>13437</v>
      </c>
      <c r="K1427" s="10" t="s">
        <v>14580</v>
      </c>
      <c r="L1427" s="10" t="s">
        <v>42</v>
      </c>
    </row>
    <row r="1428" ht="15.75" customHeight="1">
      <c r="A1428" s="66">
        <v>45484.0</v>
      </c>
      <c r="B1428" s="55" t="str">
        <f>HYPERLINK("https://jobright.ai/jobs/info/6690ae28714748cce6c38a8b?utm_campaign=1065&amp;utm_source=sheet", "Apply")</f>
        <v>Apply</v>
      </c>
      <c r="C1428" s="10" t="s">
        <v>14579</v>
      </c>
      <c r="D1428" s="56" t="s">
        <v>14380</v>
      </c>
      <c r="E1428" s="59">
        <v>45301.0</v>
      </c>
      <c r="F1428" s="10" t="s">
        <v>14381</v>
      </c>
      <c r="G1428" s="10" t="s">
        <v>12654</v>
      </c>
      <c r="H1428" s="10" t="s">
        <v>354</v>
      </c>
      <c r="I1428" s="10" t="s">
        <v>55</v>
      </c>
      <c r="J1428" s="10" t="s">
        <v>13437</v>
      </c>
      <c r="K1428" s="10" t="s">
        <v>14580</v>
      </c>
      <c r="L1428" s="10" t="s">
        <v>42</v>
      </c>
    </row>
    <row r="1429" ht="15.75" customHeight="1">
      <c r="A1429" s="66">
        <v>45484.0</v>
      </c>
      <c r="B1429" s="55" t="str">
        <f>HYPERLINK("https://jobright.ai/jobs/info/6690ae28714748cce6c38a8e?utm_campaign=1065&amp;utm_source=sheet", "Apply")</f>
        <v>Apply</v>
      </c>
      <c r="C1429" s="10" t="s">
        <v>14536</v>
      </c>
      <c r="D1429" s="56" t="s">
        <v>14380</v>
      </c>
      <c r="E1429" s="59">
        <v>45301.0</v>
      </c>
      <c r="F1429" s="10" t="s">
        <v>14381</v>
      </c>
      <c r="G1429" s="10" t="s">
        <v>12654</v>
      </c>
      <c r="H1429" s="10" t="s">
        <v>774</v>
      </c>
      <c r="I1429" s="10" t="s">
        <v>55</v>
      </c>
      <c r="J1429" s="10" t="s">
        <v>13437</v>
      </c>
      <c r="K1429" s="10" t="s">
        <v>14537</v>
      </c>
      <c r="L1429" s="10" t="s">
        <v>42</v>
      </c>
    </row>
    <row r="1430" ht="15.75" customHeight="1">
      <c r="A1430" s="66">
        <v>45484.0</v>
      </c>
      <c r="B1430" s="55" t="str">
        <f>HYPERLINK("https://jobright.ai/jobs/info/6690ae28714748cce6c38a8c?utm_campaign=1065&amp;utm_source=sheet", "Apply")</f>
        <v>Apply</v>
      </c>
      <c r="C1430" s="10" t="s">
        <v>14581</v>
      </c>
      <c r="D1430" s="56" t="s">
        <v>14380</v>
      </c>
      <c r="E1430" s="59">
        <v>45301.0</v>
      </c>
      <c r="F1430" s="10" t="s">
        <v>14381</v>
      </c>
      <c r="G1430" s="10" t="s">
        <v>12654</v>
      </c>
      <c r="H1430" s="10" t="s">
        <v>131</v>
      </c>
      <c r="I1430" s="10" t="s">
        <v>55</v>
      </c>
      <c r="J1430" s="10" t="s">
        <v>13437</v>
      </c>
      <c r="K1430" s="10" t="s">
        <v>14582</v>
      </c>
      <c r="L1430" s="10" t="s">
        <v>42</v>
      </c>
    </row>
    <row r="1431" ht="15.75" customHeight="1">
      <c r="A1431" s="66">
        <v>45484.0</v>
      </c>
      <c r="B1431" s="55" t="str">
        <f>HYPERLINK("https://jobright.ai/jobs/info/6690ae28714748cce6c38a87?utm_campaign=1065&amp;utm_source=sheet", "Apply")</f>
        <v>Apply</v>
      </c>
      <c r="C1431" s="10" t="s">
        <v>14579</v>
      </c>
      <c r="D1431" s="56" t="s">
        <v>14380</v>
      </c>
      <c r="E1431" s="59">
        <v>45301.0</v>
      </c>
      <c r="F1431" s="10" t="s">
        <v>14381</v>
      </c>
      <c r="G1431" s="10" t="s">
        <v>12654</v>
      </c>
      <c r="H1431" s="10" t="s">
        <v>767</v>
      </c>
      <c r="I1431" s="10" t="s">
        <v>55</v>
      </c>
      <c r="J1431" s="10" t="s">
        <v>13437</v>
      </c>
      <c r="K1431" s="10" t="s">
        <v>14580</v>
      </c>
      <c r="L1431" s="10" t="s">
        <v>42</v>
      </c>
    </row>
    <row r="1432" ht="15.75" customHeight="1">
      <c r="A1432" s="66">
        <v>45484.0</v>
      </c>
      <c r="B1432" s="55" t="str">
        <f>HYPERLINK("https://jobright.ai/jobs/info/6690ae28714748cce6c38a9e?utm_campaign=1065&amp;utm_source=sheet", "Apply")</f>
        <v>Apply</v>
      </c>
      <c r="C1432" s="10" t="s">
        <v>14579</v>
      </c>
      <c r="D1432" s="56" t="s">
        <v>14380</v>
      </c>
      <c r="E1432" s="59">
        <v>45301.0</v>
      </c>
      <c r="F1432" s="10" t="s">
        <v>14381</v>
      </c>
      <c r="G1432" s="10" t="s">
        <v>12654</v>
      </c>
      <c r="H1432" s="10" t="s">
        <v>839</v>
      </c>
      <c r="I1432" s="10" t="s">
        <v>55</v>
      </c>
      <c r="J1432" s="10" t="s">
        <v>13437</v>
      </c>
      <c r="K1432" s="10" t="s">
        <v>14580</v>
      </c>
      <c r="L1432" s="10" t="s">
        <v>42</v>
      </c>
    </row>
    <row r="1433" ht="15.75" customHeight="1">
      <c r="A1433" s="66">
        <v>45484.0</v>
      </c>
      <c r="B1433" s="55" t="str">
        <f>HYPERLINK("https://jobright.ai/jobs/info/6690ae28714748cce6c38a9f?utm_campaign=1065&amp;utm_source=sheet", "Apply")</f>
        <v>Apply</v>
      </c>
      <c r="C1433" s="10" t="s">
        <v>14579</v>
      </c>
      <c r="D1433" s="56" t="s">
        <v>14380</v>
      </c>
      <c r="E1433" s="59">
        <v>45301.0</v>
      </c>
      <c r="F1433" s="10" t="s">
        <v>14381</v>
      </c>
      <c r="G1433" s="10" t="s">
        <v>12654</v>
      </c>
      <c r="H1433" s="10" t="s">
        <v>229</v>
      </c>
      <c r="I1433" s="10" t="s">
        <v>55</v>
      </c>
      <c r="J1433" s="10" t="s">
        <v>13437</v>
      </c>
      <c r="K1433" s="10" t="s">
        <v>14580</v>
      </c>
      <c r="L1433" s="10" t="s">
        <v>42</v>
      </c>
    </row>
    <row r="1434" ht="15.75" customHeight="1">
      <c r="A1434" s="66">
        <v>45484.0</v>
      </c>
      <c r="B1434" s="55" t="str">
        <f>HYPERLINK("https://jobright.ai/jobs/info/6690ae28714748cce6c38aac?utm_campaign=1065&amp;utm_source=sheet", "Apply")</f>
        <v>Apply</v>
      </c>
      <c r="C1434" s="10" t="s">
        <v>14579</v>
      </c>
      <c r="D1434" s="56" t="s">
        <v>14380</v>
      </c>
      <c r="E1434" s="59">
        <v>45301.0</v>
      </c>
      <c r="F1434" s="10" t="s">
        <v>14381</v>
      </c>
      <c r="G1434" s="10" t="s">
        <v>12654</v>
      </c>
      <c r="H1434" s="10" t="s">
        <v>1025</v>
      </c>
      <c r="I1434" s="10" t="s">
        <v>55</v>
      </c>
      <c r="J1434" s="10" t="s">
        <v>13437</v>
      </c>
      <c r="K1434" s="10" t="s">
        <v>14580</v>
      </c>
      <c r="L1434" s="10" t="s">
        <v>42</v>
      </c>
    </row>
    <row r="1435" ht="15.75" customHeight="1">
      <c r="A1435" s="66">
        <v>45484.0</v>
      </c>
      <c r="B1435" s="55" t="str">
        <f>HYPERLINK("https://jobright.ai/jobs/info/6690ae28714748cce6c38aa7?utm_campaign=1065&amp;utm_source=sheet", "Apply")</f>
        <v>Apply</v>
      </c>
      <c r="C1435" s="10" t="s">
        <v>14536</v>
      </c>
      <c r="D1435" s="56" t="s">
        <v>14380</v>
      </c>
      <c r="E1435" s="59">
        <v>45301.0</v>
      </c>
      <c r="F1435" s="10" t="s">
        <v>14381</v>
      </c>
      <c r="G1435" s="10" t="s">
        <v>12654</v>
      </c>
      <c r="H1435" s="10" t="s">
        <v>993</v>
      </c>
      <c r="I1435" s="10" t="s">
        <v>55</v>
      </c>
      <c r="J1435" s="10" t="s">
        <v>13437</v>
      </c>
      <c r="K1435" s="10" t="s">
        <v>14537</v>
      </c>
      <c r="L1435" s="10" t="s">
        <v>42</v>
      </c>
    </row>
    <row r="1436" ht="15.75" customHeight="1">
      <c r="A1436" s="66">
        <v>45484.0</v>
      </c>
      <c r="B1436" s="55" t="str">
        <f>HYPERLINK("https://jobright.ai/jobs/info/6690ae28714748cce6c38aa6?utm_campaign=1065&amp;utm_source=sheet", "Apply")</f>
        <v>Apply</v>
      </c>
      <c r="C1436" s="10" t="s">
        <v>14579</v>
      </c>
      <c r="D1436" s="56" t="s">
        <v>14380</v>
      </c>
      <c r="E1436" s="59">
        <v>45301.0</v>
      </c>
      <c r="F1436" s="10" t="s">
        <v>14381</v>
      </c>
      <c r="G1436" s="10" t="s">
        <v>12654</v>
      </c>
      <c r="H1436" s="10" t="s">
        <v>768</v>
      </c>
      <c r="I1436" s="10" t="s">
        <v>55</v>
      </c>
      <c r="J1436" s="10" t="s">
        <v>13437</v>
      </c>
      <c r="K1436" s="10" t="s">
        <v>14580</v>
      </c>
      <c r="L1436" s="10" t="s">
        <v>42</v>
      </c>
    </row>
    <row r="1437" ht="15.75" customHeight="1">
      <c r="A1437" s="66">
        <v>45484.0</v>
      </c>
      <c r="B1437" s="55" t="str">
        <f>HYPERLINK("https://jobright.ai/jobs/info/6690ae28714748cce6c38aa3?utm_campaign=1065&amp;utm_source=sheet", "Apply")</f>
        <v>Apply</v>
      </c>
      <c r="C1437" s="10" t="s">
        <v>14581</v>
      </c>
      <c r="D1437" s="56" t="s">
        <v>14380</v>
      </c>
      <c r="E1437" s="59">
        <v>45301.0</v>
      </c>
      <c r="F1437" s="10" t="s">
        <v>14381</v>
      </c>
      <c r="G1437" s="10" t="s">
        <v>12654</v>
      </c>
      <c r="H1437" s="10" t="s">
        <v>826</v>
      </c>
      <c r="I1437" s="10" t="s">
        <v>55</v>
      </c>
      <c r="J1437" s="10" t="s">
        <v>13437</v>
      </c>
      <c r="K1437" s="10" t="s">
        <v>14582</v>
      </c>
      <c r="L1437" s="10" t="s">
        <v>42</v>
      </c>
    </row>
    <row r="1438" ht="15.75" customHeight="1">
      <c r="A1438" s="66">
        <v>45484.0</v>
      </c>
      <c r="B1438" s="55" t="str">
        <f>HYPERLINK("https://jobright.ai/jobs/info/6690ae28714748cce6c38a9c?utm_campaign=1065&amp;utm_source=sheet", "Apply")</f>
        <v>Apply</v>
      </c>
      <c r="C1438" s="10" t="s">
        <v>14536</v>
      </c>
      <c r="D1438" s="56" t="s">
        <v>14380</v>
      </c>
      <c r="E1438" s="59">
        <v>45301.0</v>
      </c>
      <c r="F1438" s="10" t="s">
        <v>14381</v>
      </c>
      <c r="G1438" s="10" t="s">
        <v>12654</v>
      </c>
      <c r="H1438" s="10" t="s">
        <v>761</v>
      </c>
      <c r="I1438" s="10" t="s">
        <v>55</v>
      </c>
      <c r="J1438" s="10" t="s">
        <v>13437</v>
      </c>
      <c r="K1438" s="10" t="s">
        <v>14537</v>
      </c>
      <c r="L1438" s="10" t="s">
        <v>42</v>
      </c>
    </row>
    <row r="1439" ht="15.75" customHeight="1">
      <c r="A1439" s="66">
        <v>45484.0</v>
      </c>
      <c r="B1439" s="55" t="str">
        <f>HYPERLINK("https://jobright.ai/jobs/info/6690ae28714748cce6c38aad?utm_campaign=1065&amp;utm_source=sheet", "Apply")</f>
        <v>Apply</v>
      </c>
      <c r="C1439" s="10" t="s">
        <v>14581</v>
      </c>
      <c r="D1439" s="56" t="s">
        <v>14380</v>
      </c>
      <c r="E1439" s="59">
        <v>45301.0</v>
      </c>
      <c r="F1439" s="10" t="s">
        <v>14381</v>
      </c>
      <c r="G1439" s="10" t="s">
        <v>12654</v>
      </c>
      <c r="H1439" s="10" t="s">
        <v>605</v>
      </c>
      <c r="I1439" s="10" t="s">
        <v>55</v>
      </c>
      <c r="J1439" s="10" t="s">
        <v>13437</v>
      </c>
      <c r="K1439" s="10" t="s">
        <v>14582</v>
      </c>
      <c r="L1439" s="10" t="s">
        <v>42</v>
      </c>
    </row>
    <row r="1440" ht="15.75" customHeight="1">
      <c r="A1440" s="66">
        <v>45484.0</v>
      </c>
      <c r="B1440" s="55" t="str">
        <f>HYPERLINK("https://jobright.ai/jobs/info/6690ae28714748cce6c38a9b?utm_campaign=1065&amp;utm_source=sheet", "Apply")</f>
        <v>Apply</v>
      </c>
      <c r="C1440" s="10" t="s">
        <v>14579</v>
      </c>
      <c r="D1440" s="56" t="s">
        <v>14380</v>
      </c>
      <c r="E1440" s="59">
        <v>45301.0</v>
      </c>
      <c r="F1440" s="10" t="s">
        <v>14381</v>
      </c>
      <c r="G1440" s="10" t="s">
        <v>12654</v>
      </c>
      <c r="H1440" s="10" t="s">
        <v>1021</v>
      </c>
      <c r="I1440" s="10" t="s">
        <v>55</v>
      </c>
      <c r="J1440" s="10" t="s">
        <v>13437</v>
      </c>
      <c r="K1440" s="10" t="s">
        <v>14580</v>
      </c>
      <c r="L1440" s="10" t="s">
        <v>42</v>
      </c>
    </row>
    <row r="1441" ht="15.75" customHeight="1">
      <c r="A1441" s="66">
        <v>45484.0</v>
      </c>
      <c r="B1441" s="55" t="str">
        <f>HYPERLINK("https://jobright.ai/jobs/info/6690ae28714748cce6c38aae?utm_campaign=1065&amp;utm_source=sheet", "Apply")</f>
        <v>Apply</v>
      </c>
      <c r="C1441" s="10" t="s">
        <v>14579</v>
      </c>
      <c r="D1441" s="56" t="s">
        <v>14380</v>
      </c>
      <c r="E1441" s="59">
        <v>45301.0</v>
      </c>
      <c r="F1441" s="10" t="s">
        <v>14381</v>
      </c>
      <c r="G1441" s="10" t="s">
        <v>12654</v>
      </c>
      <c r="H1441" s="10" t="s">
        <v>890</v>
      </c>
      <c r="I1441" s="10" t="s">
        <v>55</v>
      </c>
      <c r="J1441" s="10" t="s">
        <v>13437</v>
      </c>
      <c r="K1441" s="10" t="s">
        <v>14580</v>
      </c>
      <c r="L1441" s="10" t="s">
        <v>42</v>
      </c>
    </row>
    <row r="1442" ht="15.75" customHeight="1">
      <c r="A1442" s="66">
        <v>45484.0</v>
      </c>
      <c r="B1442" s="55" t="str">
        <f>HYPERLINK("https://jobright.ai/jobs/info/6690ae30714748cce6c38ad9?utm_campaign=1065&amp;utm_source=sheet", "Apply")</f>
        <v>Apply</v>
      </c>
      <c r="C1442" s="10" t="s">
        <v>14579</v>
      </c>
      <c r="D1442" s="56" t="s">
        <v>14380</v>
      </c>
      <c r="E1442" s="59">
        <v>45301.0</v>
      </c>
      <c r="F1442" s="10" t="s">
        <v>14381</v>
      </c>
      <c r="G1442" s="10" t="s">
        <v>12654</v>
      </c>
      <c r="H1442" s="10" t="s">
        <v>997</v>
      </c>
      <c r="I1442" s="10" t="s">
        <v>55</v>
      </c>
      <c r="J1442" s="10" t="s">
        <v>13437</v>
      </c>
      <c r="K1442" s="10" t="s">
        <v>14580</v>
      </c>
      <c r="L1442" s="10" t="s">
        <v>42</v>
      </c>
    </row>
    <row r="1443" ht="15.75" customHeight="1">
      <c r="A1443" s="66">
        <v>45484.0</v>
      </c>
      <c r="B1443" s="55" t="str">
        <f>HYPERLINK("https://jobright.ai/jobs/info/6690ae28714748cce6c38ab2?utm_campaign=1065&amp;utm_source=sheet", "Apply")</f>
        <v>Apply</v>
      </c>
      <c r="C1443" s="10" t="s">
        <v>14579</v>
      </c>
      <c r="D1443" s="56" t="s">
        <v>14380</v>
      </c>
      <c r="E1443" s="59">
        <v>45301.0</v>
      </c>
      <c r="F1443" s="10" t="s">
        <v>14381</v>
      </c>
      <c r="G1443" s="10" t="s">
        <v>12654</v>
      </c>
      <c r="H1443" s="10" t="s">
        <v>271</v>
      </c>
      <c r="I1443" s="10" t="s">
        <v>55</v>
      </c>
      <c r="J1443" s="10" t="s">
        <v>13437</v>
      </c>
      <c r="K1443" s="10" t="s">
        <v>14580</v>
      </c>
      <c r="L1443" s="10" t="s">
        <v>42</v>
      </c>
    </row>
    <row r="1444" ht="15.75" customHeight="1">
      <c r="A1444" s="66">
        <v>45484.0</v>
      </c>
      <c r="B1444" s="55" t="str">
        <f>HYPERLINK("https://jobright.ai/jobs/info/6690ae30714748cce6c38ab9?utm_campaign=1065&amp;utm_source=sheet", "Apply")</f>
        <v>Apply</v>
      </c>
      <c r="C1444" s="10" t="s">
        <v>14579</v>
      </c>
      <c r="D1444" s="56" t="s">
        <v>14380</v>
      </c>
      <c r="E1444" s="59">
        <v>45301.0</v>
      </c>
      <c r="F1444" s="10" t="s">
        <v>14381</v>
      </c>
      <c r="G1444" s="10" t="s">
        <v>12654</v>
      </c>
      <c r="H1444" s="10" t="s">
        <v>875</v>
      </c>
      <c r="I1444" s="10" t="s">
        <v>55</v>
      </c>
      <c r="J1444" s="10" t="s">
        <v>13437</v>
      </c>
      <c r="K1444" s="10" t="s">
        <v>14580</v>
      </c>
      <c r="L1444" s="10" t="s">
        <v>42</v>
      </c>
    </row>
    <row r="1445" ht="15.75" customHeight="1">
      <c r="A1445" s="66">
        <v>45484.0</v>
      </c>
      <c r="B1445" s="55" t="str">
        <f>HYPERLINK("https://jobright.ai/jobs/info/6690ae30714748cce6c38ac4?utm_campaign=1065&amp;utm_source=sheet", "Apply")</f>
        <v>Apply</v>
      </c>
      <c r="C1445" s="10" t="s">
        <v>14581</v>
      </c>
      <c r="D1445" s="56" t="s">
        <v>14380</v>
      </c>
      <c r="E1445" s="59">
        <v>45301.0</v>
      </c>
      <c r="F1445" s="10" t="s">
        <v>14381</v>
      </c>
      <c r="G1445" s="10" t="s">
        <v>12654</v>
      </c>
      <c r="H1445" s="10" t="s">
        <v>930</v>
      </c>
      <c r="I1445" s="10" t="s">
        <v>55</v>
      </c>
      <c r="J1445" s="10" t="s">
        <v>13437</v>
      </c>
      <c r="K1445" s="10" t="s">
        <v>14582</v>
      </c>
      <c r="L1445" s="10" t="s">
        <v>42</v>
      </c>
    </row>
    <row r="1446" ht="15.75" customHeight="1">
      <c r="A1446" s="66">
        <v>45484.0</v>
      </c>
      <c r="B1446" s="55" t="str">
        <f>HYPERLINK("https://jobright.ai/jobs/info/6690ae30714748cce6c38ac8?utm_campaign=1065&amp;utm_source=sheet", "Apply")</f>
        <v>Apply</v>
      </c>
      <c r="C1446" s="10" t="s">
        <v>14581</v>
      </c>
      <c r="D1446" s="56" t="s">
        <v>14380</v>
      </c>
      <c r="E1446" s="59">
        <v>45301.0</v>
      </c>
      <c r="F1446" s="10" t="s">
        <v>14381</v>
      </c>
      <c r="G1446" s="10" t="s">
        <v>12654</v>
      </c>
      <c r="H1446" s="10" t="s">
        <v>846</v>
      </c>
      <c r="I1446" s="10" t="s">
        <v>55</v>
      </c>
      <c r="J1446" s="10" t="s">
        <v>13437</v>
      </c>
      <c r="K1446" s="10" t="s">
        <v>14582</v>
      </c>
      <c r="L1446" s="10" t="s">
        <v>42</v>
      </c>
    </row>
    <row r="1447" ht="15.75" customHeight="1">
      <c r="A1447" s="66">
        <v>45484.0</v>
      </c>
      <c r="B1447" s="55" t="str">
        <f>HYPERLINK("https://jobright.ai/jobs/info/6690ae30714748cce6c38ac9?utm_campaign=1065&amp;utm_source=sheet", "Apply")</f>
        <v>Apply</v>
      </c>
      <c r="C1447" s="10" t="s">
        <v>14581</v>
      </c>
      <c r="D1447" s="56" t="s">
        <v>14380</v>
      </c>
      <c r="E1447" s="59">
        <v>45301.0</v>
      </c>
      <c r="F1447" s="10" t="s">
        <v>14381</v>
      </c>
      <c r="G1447" s="10" t="s">
        <v>12654</v>
      </c>
      <c r="H1447" s="10" t="s">
        <v>956</v>
      </c>
      <c r="I1447" s="10" t="s">
        <v>55</v>
      </c>
      <c r="J1447" s="10" t="s">
        <v>13437</v>
      </c>
      <c r="K1447" s="10" t="s">
        <v>14582</v>
      </c>
      <c r="L1447" s="10" t="s">
        <v>42</v>
      </c>
    </row>
    <row r="1448" ht="15.75" customHeight="1">
      <c r="A1448" s="66">
        <v>45484.0</v>
      </c>
      <c r="B1448" s="55" t="str">
        <f>HYPERLINK("https://jobright.ai/jobs/info/6690ae30714748cce6c38ae2?utm_campaign=1065&amp;utm_source=sheet", "Apply")</f>
        <v>Apply</v>
      </c>
      <c r="C1448" s="10" t="s">
        <v>14579</v>
      </c>
      <c r="D1448" s="56" t="s">
        <v>14380</v>
      </c>
      <c r="E1448" s="59">
        <v>45301.0</v>
      </c>
      <c r="F1448" s="10" t="s">
        <v>14381</v>
      </c>
      <c r="G1448" s="10" t="s">
        <v>12654</v>
      </c>
      <c r="H1448" s="10" t="s">
        <v>1042</v>
      </c>
      <c r="I1448" s="10" t="s">
        <v>55</v>
      </c>
      <c r="J1448" s="10" t="s">
        <v>13437</v>
      </c>
      <c r="K1448" s="10" t="s">
        <v>14580</v>
      </c>
      <c r="L1448" s="10" t="s">
        <v>42</v>
      </c>
    </row>
    <row r="1449" ht="15.75" customHeight="1">
      <c r="A1449" s="66">
        <v>45484.0</v>
      </c>
      <c r="B1449" s="55" t="str">
        <f>HYPERLINK("https://jobright.ai/jobs/info/6690ae30714748cce6c38ae0?utm_campaign=1065&amp;utm_source=sheet", "Apply")</f>
        <v>Apply</v>
      </c>
      <c r="C1449" s="10" t="s">
        <v>14581</v>
      </c>
      <c r="D1449" s="56" t="s">
        <v>14380</v>
      </c>
      <c r="E1449" s="59">
        <v>45301.0</v>
      </c>
      <c r="F1449" s="10" t="s">
        <v>14381</v>
      </c>
      <c r="G1449" s="10" t="s">
        <v>12654</v>
      </c>
      <c r="H1449" s="10" t="s">
        <v>995</v>
      </c>
      <c r="I1449" s="10" t="s">
        <v>55</v>
      </c>
      <c r="J1449" s="10" t="s">
        <v>13437</v>
      </c>
      <c r="K1449" s="10" t="s">
        <v>14582</v>
      </c>
      <c r="L1449" s="10" t="s">
        <v>42</v>
      </c>
    </row>
    <row r="1450" ht="15.75" customHeight="1">
      <c r="A1450" s="66">
        <v>45484.0</v>
      </c>
      <c r="B1450" s="55" t="str">
        <f>HYPERLINK("https://jobright.ai/jobs/info/6690ae30714748cce6c38aed?utm_campaign=1065&amp;utm_source=sheet", "Apply")</f>
        <v>Apply</v>
      </c>
      <c r="C1450" s="10" t="s">
        <v>14581</v>
      </c>
      <c r="D1450" s="56" t="s">
        <v>14380</v>
      </c>
      <c r="E1450" s="59">
        <v>45301.0</v>
      </c>
      <c r="F1450" s="10" t="s">
        <v>14381</v>
      </c>
      <c r="G1450" s="10" t="s">
        <v>12654</v>
      </c>
      <c r="H1450" s="10" t="s">
        <v>890</v>
      </c>
      <c r="I1450" s="10" t="s">
        <v>55</v>
      </c>
      <c r="J1450" s="10" t="s">
        <v>13437</v>
      </c>
      <c r="K1450" s="10" t="s">
        <v>14582</v>
      </c>
      <c r="L1450" s="10" t="s">
        <v>42</v>
      </c>
    </row>
    <row r="1451" ht="15.75" customHeight="1">
      <c r="A1451" s="66">
        <v>45484.0</v>
      </c>
      <c r="B1451" s="55" t="str">
        <f>HYPERLINK("https://jobright.ai/jobs/info/6690ae30714748cce6c38aeb?utm_campaign=1065&amp;utm_source=sheet", "Apply")</f>
        <v>Apply</v>
      </c>
      <c r="C1451" s="10" t="s">
        <v>14579</v>
      </c>
      <c r="D1451" s="56" t="s">
        <v>14380</v>
      </c>
      <c r="E1451" s="59">
        <v>45301.0</v>
      </c>
      <c r="F1451" s="10" t="s">
        <v>14381</v>
      </c>
      <c r="G1451" s="10" t="s">
        <v>12654</v>
      </c>
      <c r="H1451" s="10" t="s">
        <v>232</v>
      </c>
      <c r="I1451" s="10" t="s">
        <v>55</v>
      </c>
      <c r="J1451" s="10" t="s">
        <v>13437</v>
      </c>
      <c r="K1451" s="10" t="s">
        <v>14580</v>
      </c>
      <c r="L1451" s="10" t="s">
        <v>42</v>
      </c>
    </row>
    <row r="1452" ht="15.75" customHeight="1">
      <c r="A1452" s="66">
        <v>45484.0</v>
      </c>
      <c r="B1452" s="55" t="str">
        <f>HYPERLINK("https://jobright.ai/jobs/info/6690ae30714748cce6c38af3?utm_campaign=1065&amp;utm_source=sheet", "Apply")</f>
        <v>Apply</v>
      </c>
      <c r="C1452" s="10" t="s">
        <v>14536</v>
      </c>
      <c r="D1452" s="56" t="s">
        <v>14380</v>
      </c>
      <c r="E1452" s="59">
        <v>45301.0</v>
      </c>
      <c r="F1452" s="10" t="s">
        <v>14381</v>
      </c>
      <c r="G1452" s="10" t="s">
        <v>12654</v>
      </c>
      <c r="H1452" s="10" t="s">
        <v>824</v>
      </c>
      <c r="I1452" s="10" t="s">
        <v>55</v>
      </c>
      <c r="J1452" s="10" t="s">
        <v>13437</v>
      </c>
      <c r="K1452" s="10" t="s">
        <v>14537</v>
      </c>
      <c r="L1452" s="10" t="s">
        <v>42</v>
      </c>
    </row>
    <row r="1453" ht="15.75" customHeight="1">
      <c r="A1453" s="66">
        <v>45484.0</v>
      </c>
      <c r="B1453" s="55" t="str">
        <f>HYPERLINK("https://jobright.ai/jobs/info/6690ae30714748cce6c38af4?utm_campaign=1065&amp;utm_source=sheet", "Apply")</f>
        <v>Apply</v>
      </c>
      <c r="C1453" s="10" t="s">
        <v>14579</v>
      </c>
      <c r="D1453" s="56" t="s">
        <v>14380</v>
      </c>
      <c r="E1453" s="59">
        <v>45301.0</v>
      </c>
      <c r="F1453" s="10" t="s">
        <v>14381</v>
      </c>
      <c r="G1453" s="10" t="s">
        <v>12654</v>
      </c>
      <c r="H1453" s="10" t="s">
        <v>823</v>
      </c>
      <c r="I1453" s="10" t="s">
        <v>55</v>
      </c>
      <c r="J1453" s="10" t="s">
        <v>13437</v>
      </c>
      <c r="K1453" s="10" t="s">
        <v>14580</v>
      </c>
      <c r="L1453" s="10" t="s">
        <v>42</v>
      </c>
    </row>
    <row r="1454" ht="15.75" customHeight="1">
      <c r="A1454" s="66">
        <v>45484.0</v>
      </c>
      <c r="B1454" s="55" t="str">
        <f>HYPERLINK("https://jobright.ai/jobs/info/6690ae30714748cce6c38b08?utm_campaign=1065&amp;utm_source=sheet", "Apply")</f>
        <v>Apply</v>
      </c>
      <c r="C1454" s="10" t="s">
        <v>14579</v>
      </c>
      <c r="D1454" s="56" t="s">
        <v>14380</v>
      </c>
      <c r="E1454" s="59">
        <v>45301.0</v>
      </c>
      <c r="F1454" s="10" t="s">
        <v>14381</v>
      </c>
      <c r="G1454" s="10" t="s">
        <v>12654</v>
      </c>
      <c r="H1454" s="10" t="s">
        <v>73</v>
      </c>
      <c r="I1454" s="10" t="s">
        <v>55</v>
      </c>
      <c r="J1454" s="10" t="s">
        <v>13437</v>
      </c>
      <c r="K1454" s="10" t="s">
        <v>14580</v>
      </c>
      <c r="L1454" s="10" t="s">
        <v>42</v>
      </c>
    </row>
    <row r="1455" ht="15.75" customHeight="1">
      <c r="A1455" s="66">
        <v>45484.0</v>
      </c>
      <c r="B1455" s="55" t="str">
        <f>HYPERLINK("https://jobright.ai/jobs/info/6690ae30714748cce6c38b1b?utm_campaign=1065&amp;utm_source=sheet", "Apply")</f>
        <v>Apply</v>
      </c>
      <c r="C1455" s="10" t="s">
        <v>14579</v>
      </c>
      <c r="D1455" s="56" t="s">
        <v>14380</v>
      </c>
      <c r="E1455" s="59">
        <v>45301.0</v>
      </c>
      <c r="F1455" s="10" t="s">
        <v>14381</v>
      </c>
      <c r="G1455" s="10" t="s">
        <v>12654</v>
      </c>
      <c r="H1455" s="10" t="s">
        <v>877</v>
      </c>
      <c r="I1455" s="10" t="s">
        <v>55</v>
      </c>
      <c r="J1455" s="10" t="s">
        <v>13437</v>
      </c>
      <c r="K1455" s="10" t="s">
        <v>14580</v>
      </c>
      <c r="L1455" s="10" t="s">
        <v>42</v>
      </c>
    </row>
    <row r="1456" ht="15.75" customHeight="1">
      <c r="A1456" s="66">
        <v>45484.0</v>
      </c>
      <c r="B1456" s="55" t="str">
        <f>HYPERLINK("https://jobright.ai/jobs/info/6690ae30714748cce6c38b34?utm_campaign=1065&amp;utm_source=sheet", "Apply")</f>
        <v>Apply</v>
      </c>
      <c r="C1456" s="10" t="s">
        <v>14579</v>
      </c>
      <c r="D1456" s="56" t="s">
        <v>14380</v>
      </c>
      <c r="E1456" s="59">
        <v>45301.0</v>
      </c>
      <c r="F1456" s="10" t="s">
        <v>14381</v>
      </c>
      <c r="G1456" s="10" t="s">
        <v>12654</v>
      </c>
      <c r="H1456" s="10" t="s">
        <v>876</v>
      </c>
      <c r="I1456" s="10" t="s">
        <v>55</v>
      </c>
      <c r="J1456" s="10" t="s">
        <v>13437</v>
      </c>
      <c r="K1456" s="10" t="s">
        <v>14580</v>
      </c>
      <c r="L1456" s="10" t="s">
        <v>42</v>
      </c>
    </row>
    <row r="1457" ht="15.75" customHeight="1">
      <c r="A1457" s="66">
        <v>45484.0</v>
      </c>
      <c r="B1457" s="55" t="str">
        <f>HYPERLINK("https://jobright.ai/jobs/info/6690ae30714748cce6c38b22?utm_campaign=1065&amp;utm_source=sheet", "Apply")</f>
        <v>Apply</v>
      </c>
      <c r="C1457" s="10" t="s">
        <v>14579</v>
      </c>
      <c r="D1457" s="56" t="s">
        <v>14380</v>
      </c>
      <c r="E1457" s="59">
        <v>45301.0</v>
      </c>
      <c r="F1457" s="10" t="s">
        <v>14381</v>
      </c>
      <c r="G1457" s="10" t="s">
        <v>12654</v>
      </c>
      <c r="H1457" s="10" t="s">
        <v>1002</v>
      </c>
      <c r="I1457" s="10" t="s">
        <v>55</v>
      </c>
      <c r="J1457" s="10" t="s">
        <v>13437</v>
      </c>
      <c r="K1457" s="10" t="s">
        <v>14580</v>
      </c>
      <c r="L1457" s="10" t="s">
        <v>42</v>
      </c>
    </row>
    <row r="1458" ht="15.75" customHeight="1">
      <c r="A1458" s="66">
        <v>45484.0</v>
      </c>
      <c r="B1458" s="55" t="str">
        <f>HYPERLINK("https://jobright.ai/jobs/info/6690ae30714748cce6c38b62?utm_campaign=1065&amp;utm_source=sheet", "Apply")</f>
        <v>Apply</v>
      </c>
      <c r="C1458" s="10" t="s">
        <v>14536</v>
      </c>
      <c r="D1458" s="56" t="s">
        <v>14380</v>
      </c>
      <c r="E1458" s="59">
        <v>45301.0</v>
      </c>
      <c r="F1458" s="10" t="s">
        <v>14381</v>
      </c>
      <c r="G1458" s="10" t="s">
        <v>12654</v>
      </c>
      <c r="H1458" s="10" t="s">
        <v>1052</v>
      </c>
      <c r="I1458" s="10" t="s">
        <v>55</v>
      </c>
      <c r="J1458" s="10" t="s">
        <v>13437</v>
      </c>
      <c r="K1458" s="10" t="s">
        <v>14537</v>
      </c>
      <c r="L1458" s="10" t="s">
        <v>42</v>
      </c>
    </row>
    <row r="1459" ht="15.75" customHeight="1">
      <c r="A1459" s="66">
        <v>45484.0</v>
      </c>
      <c r="B1459" s="55" t="str">
        <f>HYPERLINK("https://jobright.ai/jobs/info/6690ae30714748cce6c38b71?utm_campaign=1065&amp;utm_source=sheet", "Apply")</f>
        <v>Apply</v>
      </c>
      <c r="C1459" s="10" t="s">
        <v>14536</v>
      </c>
      <c r="D1459" s="56" t="s">
        <v>14380</v>
      </c>
      <c r="E1459" s="59">
        <v>45301.0</v>
      </c>
      <c r="F1459" s="10" t="s">
        <v>14381</v>
      </c>
      <c r="G1459" s="10" t="s">
        <v>12654</v>
      </c>
      <c r="H1459" s="10" t="s">
        <v>912</v>
      </c>
      <c r="I1459" s="10" t="s">
        <v>55</v>
      </c>
      <c r="J1459" s="10" t="s">
        <v>13437</v>
      </c>
      <c r="K1459" s="10" t="s">
        <v>14537</v>
      </c>
      <c r="L1459" s="10" t="s">
        <v>42</v>
      </c>
    </row>
    <row r="1460" ht="15.75" customHeight="1">
      <c r="A1460" s="66">
        <v>45484.0</v>
      </c>
      <c r="B1460" s="55" t="str">
        <f>HYPERLINK("https://jobright.ai/jobs/info/6690ae30714748cce6c38b61?utm_campaign=1065&amp;utm_source=sheet", "Apply")</f>
        <v>Apply</v>
      </c>
      <c r="C1460" s="10" t="s">
        <v>14536</v>
      </c>
      <c r="D1460" s="56" t="s">
        <v>14380</v>
      </c>
      <c r="E1460" s="59">
        <v>45301.0</v>
      </c>
      <c r="F1460" s="10" t="s">
        <v>14381</v>
      </c>
      <c r="G1460" s="10" t="s">
        <v>12654</v>
      </c>
      <c r="H1460" s="10" t="s">
        <v>785</v>
      </c>
      <c r="I1460" s="10" t="s">
        <v>55</v>
      </c>
      <c r="J1460" s="10" t="s">
        <v>13437</v>
      </c>
      <c r="K1460" s="10" t="s">
        <v>14537</v>
      </c>
      <c r="L1460" s="10" t="s">
        <v>42</v>
      </c>
    </row>
    <row r="1461" ht="15.75" customHeight="1">
      <c r="A1461" s="66">
        <v>45484.0</v>
      </c>
      <c r="B1461" s="55" t="str">
        <f>HYPERLINK("https://jobright.ai/jobs/info/6690ae30714748cce6c38b5f?utm_campaign=1065&amp;utm_source=sheet", "Apply")</f>
        <v>Apply</v>
      </c>
      <c r="C1461" s="10" t="s">
        <v>14536</v>
      </c>
      <c r="D1461" s="56" t="s">
        <v>14380</v>
      </c>
      <c r="E1461" s="59">
        <v>45301.0</v>
      </c>
      <c r="F1461" s="10" t="s">
        <v>14381</v>
      </c>
      <c r="G1461" s="10" t="s">
        <v>12654</v>
      </c>
      <c r="H1461" s="10" t="s">
        <v>981</v>
      </c>
      <c r="I1461" s="10" t="s">
        <v>55</v>
      </c>
      <c r="J1461" s="10" t="s">
        <v>13437</v>
      </c>
      <c r="K1461" s="10" t="s">
        <v>14537</v>
      </c>
      <c r="L1461" s="10" t="s">
        <v>42</v>
      </c>
    </row>
    <row r="1462" ht="15.75" customHeight="1">
      <c r="A1462" s="66">
        <v>45484.0</v>
      </c>
      <c r="B1462" s="55" t="str">
        <f>HYPERLINK("https://jobright.ai/jobs/info/6690ae30714748cce6c38b64?utm_campaign=1065&amp;utm_source=sheet", "Apply")</f>
        <v>Apply</v>
      </c>
      <c r="C1462" s="10" t="s">
        <v>14536</v>
      </c>
      <c r="D1462" s="56" t="s">
        <v>14380</v>
      </c>
      <c r="E1462" s="59">
        <v>45301.0</v>
      </c>
      <c r="F1462" s="10" t="s">
        <v>14381</v>
      </c>
      <c r="G1462" s="10" t="s">
        <v>12654</v>
      </c>
      <c r="H1462" s="10" t="s">
        <v>838</v>
      </c>
      <c r="I1462" s="10" t="s">
        <v>55</v>
      </c>
      <c r="J1462" s="10" t="s">
        <v>13437</v>
      </c>
      <c r="K1462" s="10" t="s">
        <v>14537</v>
      </c>
      <c r="L1462" s="10" t="s">
        <v>42</v>
      </c>
    </row>
    <row r="1463" ht="15.75" customHeight="1">
      <c r="A1463" s="66">
        <v>45484.0</v>
      </c>
      <c r="B1463" s="55" t="str">
        <f>HYPERLINK("https://jobright.ai/jobs/info/6690ae37714748cce6c38b7d?utm_campaign=1065&amp;utm_source=sheet", "Apply")</f>
        <v>Apply</v>
      </c>
      <c r="C1463" s="10" t="s">
        <v>14536</v>
      </c>
      <c r="D1463" s="56" t="s">
        <v>14380</v>
      </c>
      <c r="E1463" s="59">
        <v>45301.0</v>
      </c>
      <c r="F1463" s="10" t="s">
        <v>14381</v>
      </c>
      <c r="G1463" s="10" t="s">
        <v>12654</v>
      </c>
      <c r="H1463" s="10" t="s">
        <v>919</v>
      </c>
      <c r="I1463" s="10" t="s">
        <v>55</v>
      </c>
      <c r="J1463" s="10" t="s">
        <v>13437</v>
      </c>
      <c r="K1463" s="10" t="s">
        <v>14537</v>
      </c>
      <c r="L1463" s="10" t="s">
        <v>42</v>
      </c>
    </row>
    <row r="1464" ht="15.75" customHeight="1">
      <c r="A1464" s="66">
        <v>45484.0</v>
      </c>
      <c r="B1464" s="55" t="str">
        <f>HYPERLINK("https://jobright.ai/jobs/info/6690ae37714748cce6c38b89?utm_campaign=1065&amp;utm_source=sheet", "Apply")</f>
        <v>Apply</v>
      </c>
      <c r="C1464" s="10" t="s">
        <v>14536</v>
      </c>
      <c r="D1464" s="56" t="s">
        <v>14380</v>
      </c>
      <c r="E1464" s="59">
        <v>45301.0</v>
      </c>
      <c r="F1464" s="10" t="s">
        <v>14381</v>
      </c>
      <c r="G1464" s="10" t="s">
        <v>12654</v>
      </c>
      <c r="H1464" s="10" t="s">
        <v>1050</v>
      </c>
      <c r="I1464" s="10" t="s">
        <v>55</v>
      </c>
      <c r="J1464" s="10" t="s">
        <v>13437</v>
      </c>
      <c r="K1464" s="10" t="s">
        <v>14537</v>
      </c>
      <c r="L1464" s="10" t="s">
        <v>42</v>
      </c>
    </row>
    <row r="1465" ht="15.75" customHeight="1">
      <c r="A1465" s="66">
        <v>45484.0</v>
      </c>
      <c r="B1465" s="55" t="str">
        <f>HYPERLINK("https://jobright.ai/jobs/info/6690ae30714748cce6c38b77?utm_campaign=1065&amp;utm_source=sheet", "Apply")</f>
        <v>Apply</v>
      </c>
      <c r="C1465" s="10" t="s">
        <v>14536</v>
      </c>
      <c r="D1465" s="56" t="s">
        <v>14380</v>
      </c>
      <c r="E1465" s="59">
        <v>45301.0</v>
      </c>
      <c r="F1465" s="10" t="s">
        <v>14381</v>
      </c>
      <c r="G1465" s="10" t="s">
        <v>12654</v>
      </c>
      <c r="H1465" s="10" t="s">
        <v>961</v>
      </c>
      <c r="I1465" s="10" t="s">
        <v>55</v>
      </c>
      <c r="J1465" s="10" t="s">
        <v>13437</v>
      </c>
      <c r="K1465" s="10" t="s">
        <v>14537</v>
      </c>
      <c r="L1465" s="10" t="s">
        <v>42</v>
      </c>
    </row>
    <row r="1466" ht="15.75" customHeight="1">
      <c r="A1466" s="66">
        <v>45484.0</v>
      </c>
      <c r="B1466" s="55" t="str">
        <f>HYPERLINK("https://jobright.ai/jobs/info/6690ae30714748cce6c38b78?utm_campaign=1065&amp;utm_source=sheet", "Apply")</f>
        <v>Apply</v>
      </c>
      <c r="C1466" s="10" t="s">
        <v>14536</v>
      </c>
      <c r="D1466" s="56" t="s">
        <v>14380</v>
      </c>
      <c r="E1466" s="59">
        <v>45301.0</v>
      </c>
      <c r="F1466" s="10" t="s">
        <v>14381</v>
      </c>
      <c r="G1466" s="10" t="s">
        <v>12654</v>
      </c>
      <c r="H1466" s="10" t="s">
        <v>951</v>
      </c>
      <c r="I1466" s="10" t="s">
        <v>55</v>
      </c>
      <c r="J1466" s="10" t="s">
        <v>13437</v>
      </c>
      <c r="K1466" s="10" t="s">
        <v>14537</v>
      </c>
      <c r="L1466" s="10" t="s">
        <v>42</v>
      </c>
    </row>
    <row r="1467" ht="15.75" customHeight="1">
      <c r="A1467" s="66">
        <v>45484.0</v>
      </c>
      <c r="B1467" s="55" t="str">
        <f>HYPERLINK("https://jobright.ai/jobs/info/6690ae37714748cce6c38b7c?utm_campaign=1065&amp;utm_source=sheet", "Apply")</f>
        <v>Apply</v>
      </c>
      <c r="C1467" s="10" t="s">
        <v>14536</v>
      </c>
      <c r="D1467" s="56" t="s">
        <v>14380</v>
      </c>
      <c r="E1467" s="59">
        <v>45301.0</v>
      </c>
      <c r="F1467" s="10" t="s">
        <v>14381</v>
      </c>
      <c r="G1467" s="10" t="s">
        <v>12654</v>
      </c>
      <c r="H1467" s="10" t="s">
        <v>969</v>
      </c>
      <c r="I1467" s="10" t="s">
        <v>55</v>
      </c>
      <c r="J1467" s="10" t="s">
        <v>13437</v>
      </c>
      <c r="K1467" s="10" t="s">
        <v>14537</v>
      </c>
      <c r="L1467" s="10" t="s">
        <v>42</v>
      </c>
    </row>
    <row r="1468" ht="15.75" customHeight="1">
      <c r="A1468" s="66">
        <v>45484.0</v>
      </c>
      <c r="B1468" s="55" t="str">
        <f>HYPERLINK("https://jobright.ai/jobs/info/6690ae37714748cce6c38b7f?utm_campaign=1065&amp;utm_source=sheet", "Apply")</f>
        <v>Apply</v>
      </c>
      <c r="C1468" s="10" t="s">
        <v>14536</v>
      </c>
      <c r="D1468" s="56" t="s">
        <v>14380</v>
      </c>
      <c r="E1468" s="59">
        <v>45301.0</v>
      </c>
      <c r="F1468" s="10" t="s">
        <v>14381</v>
      </c>
      <c r="G1468" s="10" t="s">
        <v>12654</v>
      </c>
      <c r="H1468" s="10" t="s">
        <v>827</v>
      </c>
      <c r="I1468" s="10" t="s">
        <v>55</v>
      </c>
      <c r="J1468" s="10" t="s">
        <v>13437</v>
      </c>
      <c r="K1468" s="10" t="s">
        <v>14537</v>
      </c>
      <c r="L1468" s="10" t="s">
        <v>42</v>
      </c>
    </row>
    <row r="1469" ht="15.75" customHeight="1">
      <c r="A1469" s="66">
        <v>45484.0</v>
      </c>
      <c r="B1469" s="55" t="str">
        <f>HYPERLINK("https://jobright.ai/jobs/info/6690ae37714748cce6c38ba1?utm_campaign=1065&amp;utm_source=sheet", "Apply")</f>
        <v>Apply</v>
      </c>
      <c r="C1469" s="10" t="s">
        <v>14536</v>
      </c>
      <c r="D1469" s="56" t="s">
        <v>14380</v>
      </c>
      <c r="E1469" s="59">
        <v>45301.0</v>
      </c>
      <c r="F1469" s="10" t="s">
        <v>14381</v>
      </c>
      <c r="G1469" s="10" t="s">
        <v>12654</v>
      </c>
      <c r="H1469" s="10" t="s">
        <v>818</v>
      </c>
      <c r="I1469" s="10" t="s">
        <v>55</v>
      </c>
      <c r="J1469" s="10" t="s">
        <v>13437</v>
      </c>
      <c r="K1469" s="10" t="s">
        <v>14537</v>
      </c>
      <c r="L1469" s="10" t="s">
        <v>42</v>
      </c>
    </row>
    <row r="1470" ht="15.75" customHeight="1">
      <c r="A1470" s="66">
        <v>45484.0</v>
      </c>
      <c r="B1470" s="55" t="str">
        <f>HYPERLINK("https://jobright.ai/jobs/info/6690ae37714748cce6c38ba2?utm_campaign=1065&amp;utm_source=sheet", "Apply")</f>
        <v>Apply</v>
      </c>
      <c r="C1470" s="10" t="s">
        <v>14536</v>
      </c>
      <c r="D1470" s="56" t="s">
        <v>14380</v>
      </c>
      <c r="E1470" s="59">
        <v>45301.0</v>
      </c>
      <c r="F1470" s="10" t="s">
        <v>14381</v>
      </c>
      <c r="G1470" s="10" t="s">
        <v>12654</v>
      </c>
      <c r="H1470" s="10" t="s">
        <v>1048</v>
      </c>
      <c r="I1470" s="10" t="s">
        <v>55</v>
      </c>
      <c r="J1470" s="10" t="s">
        <v>13437</v>
      </c>
      <c r="K1470" s="10" t="s">
        <v>14537</v>
      </c>
      <c r="L1470" s="10" t="s">
        <v>42</v>
      </c>
    </row>
    <row r="1471" ht="15.75" customHeight="1">
      <c r="A1471" s="66">
        <v>45484.0</v>
      </c>
      <c r="B1471" s="55" t="str">
        <f>HYPERLINK("https://jobright.ai/jobs/info/6690ae37714748cce6c38b99?utm_campaign=1065&amp;utm_source=sheet", "Apply")</f>
        <v>Apply</v>
      </c>
      <c r="C1471" s="10" t="s">
        <v>14536</v>
      </c>
      <c r="D1471" s="56" t="s">
        <v>14380</v>
      </c>
      <c r="E1471" s="59">
        <v>45301.0</v>
      </c>
      <c r="F1471" s="10" t="s">
        <v>14381</v>
      </c>
      <c r="G1471" s="10" t="s">
        <v>12654</v>
      </c>
      <c r="H1471" s="10" t="s">
        <v>974</v>
      </c>
      <c r="I1471" s="10" t="s">
        <v>55</v>
      </c>
      <c r="J1471" s="10" t="s">
        <v>13437</v>
      </c>
      <c r="K1471" s="10" t="s">
        <v>14537</v>
      </c>
      <c r="L1471" s="10" t="s">
        <v>42</v>
      </c>
    </row>
    <row r="1472" ht="15.75" customHeight="1">
      <c r="A1472" s="66">
        <v>45484.0</v>
      </c>
      <c r="B1472" s="55" t="str">
        <f>HYPERLINK("https://jobright.ai/jobs/info/6690ae37714748cce6c38b9e?utm_campaign=1065&amp;utm_source=sheet", "Apply")</f>
        <v>Apply</v>
      </c>
      <c r="C1472" s="10" t="s">
        <v>14536</v>
      </c>
      <c r="D1472" s="56" t="s">
        <v>14380</v>
      </c>
      <c r="E1472" s="59">
        <v>45301.0</v>
      </c>
      <c r="F1472" s="10" t="s">
        <v>14381</v>
      </c>
      <c r="G1472" s="10" t="s">
        <v>12654</v>
      </c>
      <c r="H1472" s="10" t="s">
        <v>1032</v>
      </c>
      <c r="I1472" s="10" t="s">
        <v>55</v>
      </c>
      <c r="J1472" s="10" t="s">
        <v>13437</v>
      </c>
      <c r="K1472" s="10" t="s">
        <v>14537</v>
      </c>
      <c r="L1472" s="10" t="s">
        <v>42</v>
      </c>
    </row>
    <row r="1473" ht="15.75" customHeight="1">
      <c r="A1473" s="66">
        <v>45484.0</v>
      </c>
      <c r="B1473" s="55" t="str">
        <f>HYPERLINK("https://jobright.ai/jobs/info/6690ae37714748cce6c38b9c?utm_campaign=1065&amp;utm_source=sheet", "Apply")</f>
        <v>Apply</v>
      </c>
      <c r="C1473" s="10" t="s">
        <v>14536</v>
      </c>
      <c r="D1473" s="56" t="s">
        <v>14380</v>
      </c>
      <c r="E1473" s="59">
        <v>45301.0</v>
      </c>
      <c r="F1473" s="10" t="s">
        <v>14381</v>
      </c>
      <c r="G1473" s="10" t="s">
        <v>12654</v>
      </c>
      <c r="H1473" s="10" t="s">
        <v>1043</v>
      </c>
      <c r="I1473" s="10" t="s">
        <v>55</v>
      </c>
      <c r="J1473" s="10" t="s">
        <v>13437</v>
      </c>
      <c r="K1473" s="10" t="s">
        <v>14537</v>
      </c>
      <c r="L1473" s="10" t="s">
        <v>42</v>
      </c>
    </row>
    <row r="1474" ht="15.75" customHeight="1">
      <c r="A1474" s="64">
        <v>45484.0</v>
      </c>
      <c r="B1474" s="55" t="str">
        <f>HYPERLINK("https://jobright.ai/jobs/info/6690ae37714748cce6c38b9a?utm_campaign=1065&amp;utm_source=sheet", "Apply")</f>
        <v>Apply</v>
      </c>
      <c r="C1474" s="10" t="s">
        <v>14536</v>
      </c>
      <c r="D1474" s="56" t="s">
        <v>14380</v>
      </c>
      <c r="E1474" s="59">
        <v>45301.0</v>
      </c>
      <c r="F1474" s="10" t="s">
        <v>14381</v>
      </c>
      <c r="G1474" s="10" t="s">
        <v>12654</v>
      </c>
      <c r="H1474" s="10" t="s">
        <v>833</v>
      </c>
      <c r="I1474" s="10" t="s">
        <v>55</v>
      </c>
      <c r="J1474" s="10" t="s">
        <v>13437</v>
      </c>
      <c r="K1474" s="10" t="s">
        <v>14537</v>
      </c>
      <c r="L1474" s="10" t="s">
        <v>42</v>
      </c>
    </row>
    <row r="1475" ht="15.75" customHeight="1">
      <c r="A1475" s="64">
        <v>45484.0</v>
      </c>
      <c r="B1475" s="55" t="str">
        <f>HYPERLINK("https://jobright.ai/jobs/info/6690ae37714748cce6c38ba6?utm_campaign=1065&amp;utm_source=sheet", "Apply")</f>
        <v>Apply</v>
      </c>
      <c r="C1475" s="10" t="s">
        <v>14536</v>
      </c>
      <c r="D1475" s="56" t="s">
        <v>14380</v>
      </c>
      <c r="E1475" s="59">
        <v>45301.0</v>
      </c>
      <c r="F1475" s="10" t="s">
        <v>14381</v>
      </c>
      <c r="G1475" s="10" t="s">
        <v>12654</v>
      </c>
      <c r="H1475" s="10" t="s">
        <v>854</v>
      </c>
      <c r="I1475" s="10" t="s">
        <v>55</v>
      </c>
      <c r="J1475" s="10" t="s">
        <v>13437</v>
      </c>
      <c r="K1475" s="10" t="s">
        <v>14537</v>
      </c>
      <c r="L1475" s="10" t="s">
        <v>42</v>
      </c>
    </row>
    <row r="1476" ht="15.75" customHeight="1">
      <c r="A1476" s="64">
        <v>45484.0</v>
      </c>
      <c r="B1476" s="55" t="str">
        <f>HYPERLINK("https://jobright.ai/jobs/info/6690ae37714748cce6c38bbb?utm_campaign=1065&amp;utm_source=sheet", "Apply")</f>
        <v>Apply</v>
      </c>
      <c r="C1476" s="10" t="s">
        <v>14536</v>
      </c>
      <c r="D1476" s="56" t="s">
        <v>14380</v>
      </c>
      <c r="E1476" s="59">
        <v>45301.0</v>
      </c>
      <c r="F1476" s="10" t="s">
        <v>14381</v>
      </c>
      <c r="G1476" s="10" t="s">
        <v>12654</v>
      </c>
      <c r="H1476" s="10" t="s">
        <v>967</v>
      </c>
      <c r="I1476" s="10" t="s">
        <v>55</v>
      </c>
      <c r="J1476" s="10" t="s">
        <v>13437</v>
      </c>
      <c r="K1476" s="10" t="s">
        <v>14537</v>
      </c>
      <c r="L1476" s="10" t="s">
        <v>42</v>
      </c>
    </row>
    <row r="1477" ht="15.75" customHeight="1">
      <c r="A1477" s="64">
        <v>45484.0</v>
      </c>
      <c r="B1477" s="55" t="str">
        <f>HYPERLINK("https://jobright.ai/jobs/info/6690ae37714748cce6c38bb2?utm_campaign=1065&amp;utm_source=sheet", "Apply")</f>
        <v>Apply</v>
      </c>
      <c r="C1477" s="10" t="s">
        <v>14536</v>
      </c>
      <c r="D1477" s="56" t="s">
        <v>14380</v>
      </c>
      <c r="E1477" s="59">
        <v>45301.0</v>
      </c>
      <c r="F1477" s="10" t="s">
        <v>14381</v>
      </c>
      <c r="G1477" s="10" t="s">
        <v>12654</v>
      </c>
      <c r="H1477" s="10" t="s">
        <v>853</v>
      </c>
      <c r="I1477" s="10" t="s">
        <v>55</v>
      </c>
      <c r="J1477" s="10" t="s">
        <v>13437</v>
      </c>
      <c r="K1477" s="10" t="s">
        <v>14537</v>
      </c>
      <c r="L1477" s="10" t="s">
        <v>42</v>
      </c>
    </row>
    <row r="1478" ht="15.75" customHeight="1">
      <c r="A1478" s="64">
        <v>45484.0</v>
      </c>
      <c r="B1478" s="55" t="str">
        <f>HYPERLINK("https://jobright.ai/jobs/info/6690ae37714748cce6c38bb7?utm_campaign=1065&amp;utm_source=sheet", "Apply")</f>
        <v>Apply</v>
      </c>
      <c r="C1478" s="10" t="s">
        <v>14536</v>
      </c>
      <c r="D1478" s="56" t="s">
        <v>14380</v>
      </c>
      <c r="E1478" s="59">
        <v>45301.0</v>
      </c>
      <c r="F1478" s="10" t="s">
        <v>14381</v>
      </c>
      <c r="G1478" s="10" t="s">
        <v>12654</v>
      </c>
      <c r="H1478" s="10" t="s">
        <v>1037</v>
      </c>
      <c r="I1478" s="10" t="s">
        <v>55</v>
      </c>
      <c r="J1478" s="10" t="s">
        <v>13437</v>
      </c>
      <c r="K1478" s="10" t="s">
        <v>14537</v>
      </c>
      <c r="L1478" s="10" t="s">
        <v>42</v>
      </c>
    </row>
    <row r="1479" ht="15.75" customHeight="1">
      <c r="A1479" s="64">
        <v>45484.0</v>
      </c>
      <c r="B1479" s="55" t="str">
        <f>HYPERLINK("https://jobright.ai/jobs/info/6690ae37714748cce6c38bbf?utm_campaign=1065&amp;utm_source=sheet", "Apply")</f>
        <v>Apply</v>
      </c>
      <c r="C1479" s="10" t="s">
        <v>14536</v>
      </c>
      <c r="D1479" s="56" t="s">
        <v>14380</v>
      </c>
      <c r="E1479" s="59">
        <v>45301.0</v>
      </c>
      <c r="F1479" s="10" t="s">
        <v>14381</v>
      </c>
      <c r="G1479" s="10" t="s">
        <v>12654</v>
      </c>
      <c r="H1479" s="10" t="s">
        <v>986</v>
      </c>
      <c r="I1479" s="10" t="s">
        <v>55</v>
      </c>
      <c r="J1479" s="10" t="s">
        <v>13437</v>
      </c>
      <c r="K1479" s="10" t="s">
        <v>14537</v>
      </c>
      <c r="L1479" s="10" t="s">
        <v>42</v>
      </c>
    </row>
    <row r="1480" ht="15.75" customHeight="1">
      <c r="A1480" s="64">
        <v>45484.0</v>
      </c>
      <c r="B1480" s="55" t="str">
        <f>HYPERLINK("https://jobright.ai/jobs/info/6690ae37714748cce6c38bae?utm_campaign=1065&amp;utm_source=sheet", "Apply")</f>
        <v>Apply</v>
      </c>
      <c r="C1480" s="10" t="s">
        <v>14536</v>
      </c>
      <c r="D1480" s="56" t="s">
        <v>14380</v>
      </c>
      <c r="E1480" s="59">
        <v>45301.0</v>
      </c>
      <c r="F1480" s="10" t="s">
        <v>14381</v>
      </c>
      <c r="G1480" s="10" t="s">
        <v>12654</v>
      </c>
      <c r="H1480" s="10" t="s">
        <v>815</v>
      </c>
      <c r="I1480" s="10" t="s">
        <v>55</v>
      </c>
      <c r="J1480" s="10" t="s">
        <v>13437</v>
      </c>
      <c r="K1480" s="10" t="s">
        <v>14537</v>
      </c>
      <c r="L1480" s="10" t="s">
        <v>42</v>
      </c>
    </row>
    <row r="1481" ht="15.75" customHeight="1">
      <c r="A1481" s="64">
        <v>45484.0</v>
      </c>
      <c r="B1481" s="55" t="str">
        <f>HYPERLINK("https://jobright.ai/jobs/info/6690ae37714748cce6c38bad?utm_campaign=1065&amp;utm_source=sheet", "Apply")</f>
        <v>Apply</v>
      </c>
      <c r="C1481" s="10" t="s">
        <v>14536</v>
      </c>
      <c r="D1481" s="56" t="s">
        <v>14380</v>
      </c>
      <c r="E1481" s="59">
        <v>45301.0</v>
      </c>
      <c r="F1481" s="10" t="s">
        <v>14381</v>
      </c>
      <c r="G1481" s="10" t="s">
        <v>12654</v>
      </c>
      <c r="H1481" s="10" t="s">
        <v>1014</v>
      </c>
      <c r="I1481" s="10" t="s">
        <v>55</v>
      </c>
      <c r="J1481" s="10" t="s">
        <v>13437</v>
      </c>
      <c r="K1481" s="10" t="s">
        <v>14537</v>
      </c>
      <c r="L1481" s="10" t="s">
        <v>42</v>
      </c>
    </row>
    <row r="1482" ht="15.75" customHeight="1">
      <c r="A1482" s="64">
        <v>45484.0</v>
      </c>
      <c r="B1482" s="55" t="str">
        <f>HYPERLINK("https://jobright.ai/jobs/info/6690ae37714748cce6c38bd2?utm_campaign=1065&amp;utm_source=sheet", "Apply")</f>
        <v>Apply</v>
      </c>
      <c r="C1482" s="10" t="s">
        <v>14536</v>
      </c>
      <c r="D1482" s="56" t="s">
        <v>14380</v>
      </c>
      <c r="E1482" s="59">
        <v>45301.0</v>
      </c>
      <c r="F1482" s="10" t="s">
        <v>14381</v>
      </c>
      <c r="G1482" s="10" t="s">
        <v>12654</v>
      </c>
      <c r="H1482" s="10" t="s">
        <v>862</v>
      </c>
      <c r="I1482" s="10" t="s">
        <v>55</v>
      </c>
      <c r="J1482" s="10" t="s">
        <v>13437</v>
      </c>
      <c r="K1482" s="10" t="s">
        <v>14537</v>
      </c>
      <c r="L1482" s="10" t="s">
        <v>42</v>
      </c>
    </row>
    <row r="1483" ht="15.75" customHeight="1">
      <c r="A1483" s="64">
        <v>45484.0</v>
      </c>
      <c r="B1483" s="55" t="str">
        <f>HYPERLINK("https://jobright.ai/jobs/info/6690ae37714748cce6c38be0?utm_campaign=1065&amp;utm_source=sheet", "Apply")</f>
        <v>Apply</v>
      </c>
      <c r="C1483" s="10" t="s">
        <v>14536</v>
      </c>
      <c r="D1483" s="56" t="s">
        <v>14380</v>
      </c>
      <c r="E1483" s="59">
        <v>45301.0</v>
      </c>
      <c r="F1483" s="10" t="s">
        <v>14381</v>
      </c>
      <c r="G1483" s="10" t="s">
        <v>12654</v>
      </c>
      <c r="H1483" s="10" t="s">
        <v>832</v>
      </c>
      <c r="I1483" s="10" t="s">
        <v>55</v>
      </c>
      <c r="J1483" s="10" t="s">
        <v>13437</v>
      </c>
      <c r="K1483" s="10" t="s">
        <v>14537</v>
      </c>
      <c r="L1483" s="10" t="s">
        <v>42</v>
      </c>
    </row>
    <row r="1484" ht="15.75" customHeight="1">
      <c r="A1484" s="64">
        <v>45484.0</v>
      </c>
      <c r="B1484" s="55" t="str">
        <f>HYPERLINK("https://jobright.ai/jobs/info/6690ae37714748cce6c38be6?utm_campaign=1065&amp;utm_source=sheet", "Apply")</f>
        <v>Apply</v>
      </c>
      <c r="C1484" s="10" t="s">
        <v>14536</v>
      </c>
      <c r="D1484" s="56" t="s">
        <v>14380</v>
      </c>
      <c r="E1484" s="59">
        <v>45301.0</v>
      </c>
      <c r="F1484" s="10" t="s">
        <v>14381</v>
      </c>
      <c r="G1484" s="10" t="s">
        <v>12654</v>
      </c>
      <c r="H1484" s="10" t="s">
        <v>987</v>
      </c>
      <c r="I1484" s="10" t="s">
        <v>55</v>
      </c>
      <c r="J1484" s="10" t="s">
        <v>13437</v>
      </c>
      <c r="K1484" s="10" t="s">
        <v>14537</v>
      </c>
      <c r="L1484" s="10" t="s">
        <v>42</v>
      </c>
    </row>
    <row r="1485" ht="15.75" customHeight="1">
      <c r="A1485" s="64">
        <v>45484.0</v>
      </c>
      <c r="B1485" s="55" t="str">
        <f>HYPERLINK("https://jobright.ai/jobs/info/6690ae37714748cce6c38c09?utm_campaign=1065&amp;utm_source=sheet", "Apply")</f>
        <v>Apply</v>
      </c>
      <c r="C1485" s="10" t="s">
        <v>14536</v>
      </c>
      <c r="D1485" s="56" t="s">
        <v>14380</v>
      </c>
      <c r="E1485" s="59">
        <v>45301.0</v>
      </c>
      <c r="F1485" s="10" t="s">
        <v>14381</v>
      </c>
      <c r="G1485" s="10" t="s">
        <v>12654</v>
      </c>
      <c r="H1485" s="10" t="s">
        <v>963</v>
      </c>
      <c r="I1485" s="10" t="s">
        <v>55</v>
      </c>
      <c r="J1485" s="10" t="s">
        <v>13437</v>
      </c>
      <c r="K1485" s="10" t="s">
        <v>14537</v>
      </c>
      <c r="L1485" s="10" t="s">
        <v>42</v>
      </c>
    </row>
    <row r="1486" ht="15.75" customHeight="1">
      <c r="A1486" s="64">
        <v>45484.0</v>
      </c>
      <c r="B1486" s="55" t="str">
        <f>HYPERLINK("https://jobright.ai/jobs/info/6690ae37714748cce6c38bf6?utm_campaign=1065&amp;utm_source=sheet", "Apply")</f>
        <v>Apply</v>
      </c>
      <c r="C1486" s="10" t="s">
        <v>14536</v>
      </c>
      <c r="D1486" s="56" t="s">
        <v>14380</v>
      </c>
      <c r="E1486" s="59">
        <v>45301.0</v>
      </c>
      <c r="F1486" s="10" t="s">
        <v>14381</v>
      </c>
      <c r="G1486" s="10" t="s">
        <v>12654</v>
      </c>
      <c r="H1486" s="10" t="s">
        <v>1012</v>
      </c>
      <c r="I1486" s="10" t="s">
        <v>55</v>
      </c>
      <c r="J1486" s="10" t="s">
        <v>13437</v>
      </c>
      <c r="K1486" s="10" t="s">
        <v>14537</v>
      </c>
      <c r="L1486" s="10" t="s">
        <v>42</v>
      </c>
    </row>
    <row r="1487" ht="15.75" customHeight="1">
      <c r="A1487" s="64">
        <v>45484.0</v>
      </c>
      <c r="B1487" s="55" t="str">
        <f>HYPERLINK("https://jobright.ai/jobs/info/6690ae37714748cce6c38c08?utm_campaign=1065&amp;utm_source=sheet", "Apply")</f>
        <v>Apply</v>
      </c>
      <c r="C1487" s="10" t="s">
        <v>14579</v>
      </c>
      <c r="D1487" s="56" t="s">
        <v>14380</v>
      </c>
      <c r="E1487" s="59">
        <v>45301.0</v>
      </c>
      <c r="F1487" s="10" t="s">
        <v>14381</v>
      </c>
      <c r="G1487" s="10" t="s">
        <v>12654</v>
      </c>
      <c r="H1487" s="10" t="s">
        <v>918</v>
      </c>
      <c r="I1487" s="10" t="s">
        <v>55</v>
      </c>
      <c r="J1487" s="10" t="s">
        <v>13437</v>
      </c>
      <c r="K1487" s="10" t="s">
        <v>14580</v>
      </c>
      <c r="L1487" s="10" t="s">
        <v>42</v>
      </c>
    </row>
    <row r="1488" ht="15.75" customHeight="1">
      <c r="A1488" s="64">
        <v>45484.0</v>
      </c>
      <c r="B1488" s="55" t="str">
        <f>HYPERLINK("https://jobright.ai/jobs/info/6690ae37714748cce6c38c05?utm_campaign=1065&amp;utm_source=sheet", "Apply")</f>
        <v>Apply</v>
      </c>
      <c r="C1488" s="10" t="s">
        <v>14536</v>
      </c>
      <c r="D1488" s="56" t="s">
        <v>14380</v>
      </c>
      <c r="E1488" s="59">
        <v>45301.0</v>
      </c>
      <c r="F1488" s="10" t="s">
        <v>14381</v>
      </c>
      <c r="G1488" s="10" t="s">
        <v>12654</v>
      </c>
      <c r="H1488" s="10" t="s">
        <v>872</v>
      </c>
      <c r="I1488" s="10" t="s">
        <v>55</v>
      </c>
      <c r="J1488" s="10" t="s">
        <v>13437</v>
      </c>
      <c r="K1488" s="10" t="s">
        <v>14537</v>
      </c>
      <c r="L1488" s="10" t="s">
        <v>42</v>
      </c>
    </row>
    <row r="1489" ht="15.75" customHeight="1">
      <c r="A1489" s="64">
        <v>45484.0</v>
      </c>
      <c r="B1489" s="55" t="str">
        <f>HYPERLINK("https://jobright.ai/jobs/info/6690ae37714748cce6c38bf4?utm_campaign=1065&amp;utm_source=sheet", "Apply")</f>
        <v>Apply</v>
      </c>
      <c r="C1489" s="10" t="s">
        <v>14579</v>
      </c>
      <c r="D1489" s="56" t="s">
        <v>14380</v>
      </c>
      <c r="E1489" s="59">
        <v>45301.0</v>
      </c>
      <c r="F1489" s="10" t="s">
        <v>14381</v>
      </c>
      <c r="G1489" s="10" t="s">
        <v>12654</v>
      </c>
      <c r="H1489" s="10" t="s">
        <v>822</v>
      </c>
      <c r="I1489" s="10" t="s">
        <v>55</v>
      </c>
      <c r="J1489" s="10" t="s">
        <v>13437</v>
      </c>
      <c r="K1489" s="10" t="s">
        <v>14580</v>
      </c>
      <c r="L1489" s="10" t="s">
        <v>42</v>
      </c>
    </row>
    <row r="1490" ht="15.75" customHeight="1">
      <c r="A1490" s="64">
        <v>45484.0</v>
      </c>
      <c r="B1490" s="55" t="str">
        <f>HYPERLINK("https://jobright.ai/jobs/info/6690ae37714748cce6c38c07?utm_campaign=1065&amp;utm_source=sheet", "Apply")</f>
        <v>Apply</v>
      </c>
      <c r="C1490" s="10" t="s">
        <v>14536</v>
      </c>
      <c r="D1490" s="56" t="s">
        <v>14380</v>
      </c>
      <c r="E1490" s="59">
        <v>45301.0</v>
      </c>
      <c r="F1490" s="10" t="s">
        <v>14381</v>
      </c>
      <c r="G1490" s="10" t="s">
        <v>12654</v>
      </c>
      <c r="H1490" s="10" t="s">
        <v>795</v>
      </c>
      <c r="I1490" s="10" t="s">
        <v>55</v>
      </c>
      <c r="J1490" s="10" t="s">
        <v>13437</v>
      </c>
      <c r="K1490" s="10" t="s">
        <v>14537</v>
      </c>
      <c r="L1490" s="10" t="s">
        <v>42</v>
      </c>
    </row>
    <row r="1491" ht="15.75" customHeight="1">
      <c r="A1491" s="64">
        <v>45484.0</v>
      </c>
      <c r="B1491" s="55" t="str">
        <f>HYPERLINK("https://jobright.ai/jobs/info/6690ae37714748cce6c38c01?utm_campaign=1065&amp;utm_source=sheet", "Apply")</f>
        <v>Apply</v>
      </c>
      <c r="C1491" s="10" t="s">
        <v>14579</v>
      </c>
      <c r="D1491" s="56" t="s">
        <v>14380</v>
      </c>
      <c r="E1491" s="59">
        <v>45301.0</v>
      </c>
      <c r="F1491" s="10" t="s">
        <v>14381</v>
      </c>
      <c r="G1491" s="10" t="s">
        <v>12654</v>
      </c>
      <c r="H1491" s="10" t="s">
        <v>668</v>
      </c>
      <c r="I1491" s="10" t="s">
        <v>55</v>
      </c>
      <c r="J1491" s="10" t="s">
        <v>13437</v>
      </c>
      <c r="K1491" s="10" t="s">
        <v>14580</v>
      </c>
      <c r="L1491" s="10" t="s">
        <v>42</v>
      </c>
    </row>
    <row r="1492" ht="15.75" customHeight="1">
      <c r="A1492" s="64">
        <v>45484.0</v>
      </c>
      <c r="B1492" s="55" t="str">
        <f>HYPERLINK("https://jobright.ai/jobs/info/6690ae37714748cce6c38bf1?utm_campaign=1065&amp;utm_source=sheet", "Apply")</f>
        <v>Apply</v>
      </c>
      <c r="C1492" s="10" t="s">
        <v>14579</v>
      </c>
      <c r="D1492" s="56" t="s">
        <v>14380</v>
      </c>
      <c r="E1492" s="59">
        <v>45301.0</v>
      </c>
      <c r="F1492" s="10" t="s">
        <v>14381</v>
      </c>
      <c r="G1492" s="10" t="s">
        <v>12654</v>
      </c>
      <c r="H1492" s="10" t="s">
        <v>1019</v>
      </c>
      <c r="I1492" s="10" t="s">
        <v>55</v>
      </c>
      <c r="J1492" s="10" t="s">
        <v>13437</v>
      </c>
      <c r="K1492" s="10" t="s">
        <v>14580</v>
      </c>
      <c r="L1492" s="10" t="s">
        <v>42</v>
      </c>
    </row>
    <row r="1493" ht="15.75" customHeight="1">
      <c r="A1493" s="64">
        <v>45484.0</v>
      </c>
      <c r="B1493" s="55" t="str">
        <f>HYPERLINK("https://jobright.ai/jobs/info/6690ae37714748cce6c38c03?utm_campaign=1065&amp;utm_source=sheet", "Apply")</f>
        <v>Apply</v>
      </c>
      <c r="C1493" s="10" t="s">
        <v>14579</v>
      </c>
      <c r="D1493" s="56" t="s">
        <v>14380</v>
      </c>
      <c r="E1493" s="59">
        <v>45301.0</v>
      </c>
      <c r="F1493" s="10" t="s">
        <v>14381</v>
      </c>
      <c r="G1493" s="10" t="s">
        <v>12654</v>
      </c>
      <c r="H1493" s="10" t="s">
        <v>956</v>
      </c>
      <c r="I1493" s="10" t="s">
        <v>55</v>
      </c>
      <c r="J1493" s="10" t="s">
        <v>13437</v>
      </c>
      <c r="K1493" s="10" t="s">
        <v>14580</v>
      </c>
      <c r="L1493" s="10" t="s">
        <v>42</v>
      </c>
    </row>
    <row r="1494" ht="15.75" customHeight="1">
      <c r="A1494" s="64">
        <v>45484.0</v>
      </c>
      <c r="B1494" s="55" t="str">
        <f>HYPERLINK("https://jobright.ai/jobs/info/6690ae37714748cce6c38c12?utm_campaign=1065&amp;utm_source=sheet", "Apply")</f>
        <v>Apply</v>
      </c>
      <c r="C1494" s="10" t="s">
        <v>14579</v>
      </c>
      <c r="D1494" s="56" t="s">
        <v>14380</v>
      </c>
      <c r="E1494" s="59">
        <v>45301.0</v>
      </c>
      <c r="F1494" s="10" t="s">
        <v>14381</v>
      </c>
      <c r="G1494" s="10" t="s">
        <v>12654</v>
      </c>
      <c r="H1494" s="10" t="s">
        <v>866</v>
      </c>
      <c r="I1494" s="10" t="s">
        <v>55</v>
      </c>
      <c r="J1494" s="10" t="s">
        <v>13437</v>
      </c>
      <c r="K1494" s="10" t="s">
        <v>14580</v>
      </c>
      <c r="L1494" s="10" t="s">
        <v>42</v>
      </c>
    </row>
    <row r="1495" ht="15.75" customHeight="1">
      <c r="A1495" s="64">
        <v>45484.0</v>
      </c>
      <c r="B1495" s="55" t="str">
        <f>HYPERLINK("https://jobright.ai/jobs/info/6690ae37714748cce6c38c1d?utm_campaign=1065&amp;utm_source=sheet", "Apply")</f>
        <v>Apply</v>
      </c>
      <c r="C1495" s="10" t="s">
        <v>14536</v>
      </c>
      <c r="D1495" s="56" t="s">
        <v>14380</v>
      </c>
      <c r="E1495" s="59">
        <v>45301.0</v>
      </c>
      <c r="F1495" s="10" t="s">
        <v>14381</v>
      </c>
      <c r="G1495" s="10" t="s">
        <v>12654</v>
      </c>
      <c r="H1495" s="10" t="s">
        <v>188</v>
      </c>
      <c r="I1495" s="10" t="s">
        <v>55</v>
      </c>
      <c r="J1495" s="10" t="s">
        <v>13437</v>
      </c>
      <c r="K1495" s="10" t="s">
        <v>14537</v>
      </c>
      <c r="L1495" s="10" t="s">
        <v>42</v>
      </c>
    </row>
    <row r="1496" ht="15.75" customHeight="1">
      <c r="A1496" s="64">
        <v>45484.0</v>
      </c>
      <c r="B1496" s="55" t="str">
        <f>HYPERLINK("https://jobright.ai/jobs/info/6690ae37714748cce6c38c1e?utm_campaign=1065&amp;utm_source=sheet", "Apply")</f>
        <v>Apply</v>
      </c>
      <c r="C1496" s="10" t="s">
        <v>14579</v>
      </c>
      <c r="D1496" s="56" t="s">
        <v>14380</v>
      </c>
      <c r="E1496" s="59">
        <v>45301.0</v>
      </c>
      <c r="F1496" s="10" t="s">
        <v>14381</v>
      </c>
      <c r="G1496" s="10" t="s">
        <v>12654</v>
      </c>
      <c r="H1496" s="10" t="s">
        <v>763</v>
      </c>
      <c r="I1496" s="10" t="s">
        <v>55</v>
      </c>
      <c r="J1496" s="10" t="s">
        <v>13437</v>
      </c>
      <c r="K1496" s="10" t="s">
        <v>14580</v>
      </c>
      <c r="L1496" s="10" t="s">
        <v>42</v>
      </c>
    </row>
    <row r="1497" ht="15.75" customHeight="1">
      <c r="A1497" s="64">
        <v>45484.0</v>
      </c>
      <c r="B1497" s="55" t="str">
        <f>HYPERLINK("https://jobright.ai/jobs/info/6690ae37714748cce6c38c1c?utm_campaign=1065&amp;utm_source=sheet", "Apply")</f>
        <v>Apply</v>
      </c>
      <c r="C1497" s="10" t="s">
        <v>14579</v>
      </c>
      <c r="D1497" s="56" t="s">
        <v>14380</v>
      </c>
      <c r="E1497" s="59">
        <v>45301.0</v>
      </c>
      <c r="F1497" s="10" t="s">
        <v>14381</v>
      </c>
      <c r="G1497" s="10" t="s">
        <v>12654</v>
      </c>
      <c r="H1497" s="10" t="s">
        <v>1031</v>
      </c>
      <c r="I1497" s="10" t="s">
        <v>55</v>
      </c>
      <c r="J1497" s="10" t="s">
        <v>13437</v>
      </c>
      <c r="K1497" s="10" t="s">
        <v>14580</v>
      </c>
      <c r="L1497" s="10" t="s">
        <v>42</v>
      </c>
    </row>
    <row r="1498" ht="15.75" customHeight="1">
      <c r="A1498" s="64">
        <v>45484.0</v>
      </c>
      <c r="B1498" s="55" t="str">
        <f>HYPERLINK("https://jobright.ai/jobs/info/6690ae37714748cce6c38c21?utm_campaign=1065&amp;utm_source=sheet", "Apply")</f>
        <v>Apply</v>
      </c>
      <c r="C1498" s="10" t="s">
        <v>14579</v>
      </c>
      <c r="D1498" s="56" t="s">
        <v>14380</v>
      </c>
      <c r="E1498" s="59">
        <v>45301.0</v>
      </c>
      <c r="F1498" s="10" t="s">
        <v>14381</v>
      </c>
      <c r="G1498" s="10" t="s">
        <v>12654</v>
      </c>
      <c r="H1498" s="10" t="s">
        <v>888</v>
      </c>
      <c r="I1498" s="10" t="s">
        <v>55</v>
      </c>
      <c r="J1498" s="10" t="s">
        <v>13437</v>
      </c>
      <c r="K1498" s="10" t="s">
        <v>14580</v>
      </c>
      <c r="L1498" s="10" t="s">
        <v>42</v>
      </c>
    </row>
    <row r="1499" ht="15.75" customHeight="1">
      <c r="A1499" s="64">
        <v>45484.0</v>
      </c>
      <c r="B1499" s="55" t="str">
        <f>HYPERLINK("https://jobright.ai/jobs/info/6690ae37714748cce6c38c19?utm_campaign=1065&amp;utm_source=sheet", "Apply")</f>
        <v>Apply</v>
      </c>
      <c r="C1499" s="10" t="s">
        <v>14536</v>
      </c>
      <c r="D1499" s="56" t="s">
        <v>14380</v>
      </c>
      <c r="E1499" s="59">
        <v>45301.0</v>
      </c>
      <c r="F1499" s="10" t="s">
        <v>14381</v>
      </c>
      <c r="G1499" s="10" t="s">
        <v>12654</v>
      </c>
      <c r="H1499" s="10" t="s">
        <v>976</v>
      </c>
      <c r="I1499" s="10" t="s">
        <v>55</v>
      </c>
      <c r="J1499" s="10" t="s">
        <v>13437</v>
      </c>
      <c r="K1499" s="10" t="s">
        <v>14537</v>
      </c>
      <c r="L1499" s="10" t="s">
        <v>42</v>
      </c>
    </row>
    <row r="1500" ht="15.75" customHeight="1">
      <c r="A1500" s="64">
        <v>45484.0</v>
      </c>
      <c r="B1500" s="55" t="str">
        <f>HYPERLINK("https://jobright.ai/jobs/info/6690ae37714748cce6c38c0d?utm_campaign=1065&amp;utm_source=sheet", "Apply")</f>
        <v>Apply</v>
      </c>
      <c r="C1500" s="10" t="s">
        <v>14579</v>
      </c>
      <c r="D1500" s="56" t="s">
        <v>14380</v>
      </c>
      <c r="E1500" s="59">
        <v>45301.0</v>
      </c>
      <c r="F1500" s="10" t="s">
        <v>14381</v>
      </c>
      <c r="G1500" s="10" t="s">
        <v>12654</v>
      </c>
      <c r="H1500" s="10" t="s">
        <v>897</v>
      </c>
      <c r="I1500" s="10" t="s">
        <v>55</v>
      </c>
      <c r="J1500" s="10" t="s">
        <v>13437</v>
      </c>
      <c r="K1500" s="10" t="s">
        <v>14580</v>
      </c>
      <c r="L1500" s="10" t="s">
        <v>42</v>
      </c>
    </row>
    <row r="1501" ht="15.75" customHeight="1">
      <c r="A1501" s="64">
        <v>45484.0</v>
      </c>
      <c r="B1501" s="55" t="str">
        <f>HYPERLINK("https://jobright.ai/jobs/info/6690ae37714748cce6c38c26?utm_campaign=1065&amp;utm_source=sheet", "Apply")</f>
        <v>Apply</v>
      </c>
      <c r="C1501" s="10" t="s">
        <v>14579</v>
      </c>
      <c r="D1501" s="56" t="s">
        <v>14380</v>
      </c>
      <c r="E1501" s="59">
        <v>45301.0</v>
      </c>
      <c r="F1501" s="10" t="s">
        <v>14381</v>
      </c>
      <c r="G1501" s="10" t="s">
        <v>12654</v>
      </c>
      <c r="H1501" s="10" t="s">
        <v>826</v>
      </c>
      <c r="I1501" s="10" t="s">
        <v>55</v>
      </c>
      <c r="J1501" s="10" t="s">
        <v>13437</v>
      </c>
      <c r="K1501" s="10" t="s">
        <v>14580</v>
      </c>
      <c r="L1501" s="10" t="s">
        <v>42</v>
      </c>
    </row>
    <row r="1502" ht="15.75" customHeight="1">
      <c r="A1502" s="64">
        <v>45484.0</v>
      </c>
      <c r="B1502" s="55" t="str">
        <f>HYPERLINK("https://jobright.ai/jobs/info/6690ae37714748cce6c38c3f?utm_campaign=1065&amp;utm_source=sheet", "Apply")</f>
        <v>Apply</v>
      </c>
      <c r="C1502" s="10" t="s">
        <v>14579</v>
      </c>
      <c r="D1502" s="56" t="s">
        <v>14380</v>
      </c>
      <c r="E1502" s="59">
        <v>45301.0</v>
      </c>
      <c r="F1502" s="10" t="s">
        <v>14381</v>
      </c>
      <c r="G1502" s="10" t="s">
        <v>12654</v>
      </c>
      <c r="H1502" s="10" t="s">
        <v>842</v>
      </c>
      <c r="I1502" s="10" t="s">
        <v>55</v>
      </c>
      <c r="J1502" s="10" t="s">
        <v>13437</v>
      </c>
      <c r="K1502" s="10" t="s">
        <v>14580</v>
      </c>
      <c r="L1502" s="10" t="s">
        <v>42</v>
      </c>
    </row>
    <row r="1503" ht="15.75" customHeight="1">
      <c r="A1503" s="64">
        <v>45484.0</v>
      </c>
      <c r="B1503" s="55" t="str">
        <f>HYPERLINK("https://jobright.ai/jobs/info/6690ae37714748cce6c38c37?utm_campaign=1065&amp;utm_source=sheet", "Apply")</f>
        <v>Apply</v>
      </c>
      <c r="C1503" s="10" t="s">
        <v>14579</v>
      </c>
      <c r="D1503" s="56" t="s">
        <v>14380</v>
      </c>
      <c r="E1503" s="59">
        <v>45301.0</v>
      </c>
      <c r="F1503" s="10" t="s">
        <v>14381</v>
      </c>
      <c r="G1503" s="10" t="s">
        <v>12654</v>
      </c>
      <c r="H1503" s="10" t="s">
        <v>833</v>
      </c>
      <c r="I1503" s="10" t="s">
        <v>55</v>
      </c>
      <c r="J1503" s="10" t="s">
        <v>13437</v>
      </c>
      <c r="K1503" s="10" t="s">
        <v>14580</v>
      </c>
      <c r="L1503" s="10" t="s">
        <v>42</v>
      </c>
    </row>
    <row r="1504" ht="15.75" customHeight="1">
      <c r="A1504" s="64">
        <v>45484.0</v>
      </c>
      <c r="B1504" s="55" t="str">
        <f>HYPERLINK("https://jobright.ai/jobs/info/6690ae37714748cce6c38c2f?utm_campaign=1065&amp;utm_source=sheet", "Apply")</f>
        <v>Apply</v>
      </c>
      <c r="C1504" s="10" t="s">
        <v>14579</v>
      </c>
      <c r="D1504" s="56" t="s">
        <v>14380</v>
      </c>
      <c r="E1504" s="59">
        <v>45301.0</v>
      </c>
      <c r="F1504" s="10" t="s">
        <v>14381</v>
      </c>
      <c r="G1504" s="10" t="s">
        <v>12654</v>
      </c>
      <c r="H1504" s="10" t="s">
        <v>915</v>
      </c>
      <c r="I1504" s="10" t="s">
        <v>55</v>
      </c>
      <c r="J1504" s="10" t="s">
        <v>13437</v>
      </c>
      <c r="K1504" s="10" t="s">
        <v>14580</v>
      </c>
      <c r="L1504" s="10" t="s">
        <v>42</v>
      </c>
    </row>
    <row r="1505" ht="15.75" customHeight="1">
      <c r="A1505" s="64">
        <v>45484.0</v>
      </c>
      <c r="B1505" s="55" t="str">
        <f>HYPERLINK("https://jobright.ai/jobs/info/6690ae37714748cce6c38c2a?utm_campaign=1065&amp;utm_source=sheet", "Apply")</f>
        <v>Apply</v>
      </c>
      <c r="C1505" s="10" t="s">
        <v>14579</v>
      </c>
      <c r="D1505" s="56" t="s">
        <v>14380</v>
      </c>
      <c r="E1505" s="59">
        <v>45301.0</v>
      </c>
      <c r="F1505" s="10" t="s">
        <v>14381</v>
      </c>
      <c r="G1505" s="10" t="s">
        <v>12654</v>
      </c>
      <c r="H1505" s="10" t="s">
        <v>830</v>
      </c>
      <c r="I1505" s="10" t="s">
        <v>55</v>
      </c>
      <c r="J1505" s="10" t="s">
        <v>13437</v>
      </c>
      <c r="K1505" s="10" t="s">
        <v>14580</v>
      </c>
      <c r="L1505" s="10" t="s">
        <v>42</v>
      </c>
    </row>
    <row r="1506" ht="15.75" customHeight="1">
      <c r="A1506" s="64">
        <v>45484.0</v>
      </c>
      <c r="B1506" s="55" t="str">
        <f>HYPERLINK("https://jobright.ai/jobs/info/6690ae37714748cce6c38c2c?utm_campaign=1065&amp;utm_source=sheet", "Apply")</f>
        <v>Apply</v>
      </c>
      <c r="C1506" s="10" t="s">
        <v>14579</v>
      </c>
      <c r="D1506" s="56" t="s">
        <v>14380</v>
      </c>
      <c r="E1506" s="59">
        <v>45301.0</v>
      </c>
      <c r="F1506" s="10" t="s">
        <v>14381</v>
      </c>
      <c r="G1506" s="10" t="s">
        <v>12654</v>
      </c>
      <c r="H1506" s="10" t="s">
        <v>926</v>
      </c>
      <c r="I1506" s="10" t="s">
        <v>55</v>
      </c>
      <c r="J1506" s="10" t="s">
        <v>13437</v>
      </c>
      <c r="K1506" s="10" t="s">
        <v>14580</v>
      </c>
      <c r="L1506" s="10" t="s">
        <v>42</v>
      </c>
    </row>
    <row r="1507" ht="15.75" customHeight="1">
      <c r="A1507" s="64">
        <v>45484.0</v>
      </c>
      <c r="B1507" s="55" t="str">
        <f>HYPERLINK("https://jobright.ai/jobs/info/6690ae37714748cce6c38c39?utm_campaign=1065&amp;utm_source=sheet", "Apply")</f>
        <v>Apply</v>
      </c>
      <c r="C1507" s="10" t="s">
        <v>14579</v>
      </c>
      <c r="D1507" s="56" t="s">
        <v>14380</v>
      </c>
      <c r="E1507" s="59">
        <v>45301.0</v>
      </c>
      <c r="F1507" s="10" t="s">
        <v>14381</v>
      </c>
      <c r="G1507" s="10" t="s">
        <v>12654</v>
      </c>
      <c r="H1507" s="10" t="s">
        <v>113</v>
      </c>
      <c r="I1507" s="10" t="s">
        <v>55</v>
      </c>
      <c r="J1507" s="10" t="s">
        <v>13437</v>
      </c>
      <c r="K1507" s="10" t="s">
        <v>14580</v>
      </c>
      <c r="L1507" s="10" t="s">
        <v>42</v>
      </c>
    </row>
    <row r="1508" ht="15.75" customHeight="1">
      <c r="A1508" s="64">
        <v>45484.0</v>
      </c>
      <c r="B1508" s="55" t="str">
        <f>HYPERLINK("https://jobright.ai/jobs/info/6690ae37714748cce6c38c36?utm_campaign=1065&amp;utm_source=sheet", "Apply")</f>
        <v>Apply</v>
      </c>
      <c r="C1508" s="10" t="s">
        <v>14579</v>
      </c>
      <c r="D1508" s="56" t="s">
        <v>14380</v>
      </c>
      <c r="E1508" s="59">
        <v>45301.0</v>
      </c>
      <c r="F1508" s="10" t="s">
        <v>14381</v>
      </c>
      <c r="G1508" s="10" t="s">
        <v>12654</v>
      </c>
      <c r="H1508" s="10" t="s">
        <v>934</v>
      </c>
      <c r="I1508" s="10" t="s">
        <v>55</v>
      </c>
      <c r="J1508" s="10" t="s">
        <v>13437</v>
      </c>
      <c r="K1508" s="10" t="s">
        <v>14580</v>
      </c>
      <c r="L1508" s="10" t="s">
        <v>42</v>
      </c>
    </row>
    <row r="1509" ht="15.75" customHeight="1">
      <c r="A1509" s="64">
        <v>45484.0</v>
      </c>
      <c r="B1509" s="55" t="str">
        <f>HYPERLINK("https://jobright.ai/jobs/info/6690ae3f714748cce6c38c4e?utm_campaign=1065&amp;utm_source=sheet", "Apply")</f>
        <v>Apply</v>
      </c>
      <c r="C1509" s="10" t="s">
        <v>14579</v>
      </c>
      <c r="D1509" s="56" t="s">
        <v>14380</v>
      </c>
      <c r="E1509" s="59">
        <v>45301.0</v>
      </c>
      <c r="F1509" s="10" t="s">
        <v>14381</v>
      </c>
      <c r="G1509" s="10" t="s">
        <v>12654</v>
      </c>
      <c r="H1509" s="10" t="s">
        <v>898</v>
      </c>
      <c r="I1509" s="10" t="s">
        <v>55</v>
      </c>
      <c r="J1509" s="10" t="s">
        <v>13437</v>
      </c>
      <c r="K1509" s="10" t="s">
        <v>14580</v>
      </c>
      <c r="L1509" s="10" t="s">
        <v>42</v>
      </c>
    </row>
    <row r="1510" ht="15.75" customHeight="1">
      <c r="A1510" s="64">
        <v>45484.0</v>
      </c>
      <c r="B1510" s="55" t="str">
        <f>HYPERLINK("https://jobright.ai/jobs/info/6690ae3f714748cce6c38c53?utm_campaign=1065&amp;utm_source=sheet", "Apply")</f>
        <v>Apply</v>
      </c>
      <c r="C1510" s="10" t="s">
        <v>14579</v>
      </c>
      <c r="D1510" s="56" t="s">
        <v>14380</v>
      </c>
      <c r="E1510" s="59">
        <v>45301.0</v>
      </c>
      <c r="F1510" s="10" t="s">
        <v>14381</v>
      </c>
      <c r="G1510" s="10" t="s">
        <v>12654</v>
      </c>
      <c r="H1510" s="10" t="s">
        <v>216</v>
      </c>
      <c r="I1510" s="10" t="s">
        <v>55</v>
      </c>
      <c r="J1510" s="10" t="s">
        <v>13437</v>
      </c>
      <c r="K1510" s="10" t="s">
        <v>14580</v>
      </c>
      <c r="L1510" s="10" t="s">
        <v>42</v>
      </c>
    </row>
    <row r="1511" ht="15.75" customHeight="1">
      <c r="A1511" s="64">
        <v>45484.0</v>
      </c>
      <c r="B1511" s="55" t="str">
        <f>HYPERLINK("https://jobright.ai/jobs/info/6690ae3f714748cce6c38c45?utm_campaign=1065&amp;utm_source=sheet", "Apply")</f>
        <v>Apply</v>
      </c>
      <c r="C1511" s="10" t="s">
        <v>14579</v>
      </c>
      <c r="D1511" s="56" t="s">
        <v>14380</v>
      </c>
      <c r="E1511" s="59">
        <v>45301.0</v>
      </c>
      <c r="F1511" s="10" t="s">
        <v>14381</v>
      </c>
      <c r="G1511" s="10" t="s">
        <v>12654</v>
      </c>
      <c r="H1511" s="10" t="s">
        <v>955</v>
      </c>
      <c r="I1511" s="10" t="s">
        <v>55</v>
      </c>
      <c r="J1511" s="10" t="s">
        <v>13437</v>
      </c>
      <c r="K1511" s="10" t="s">
        <v>14580</v>
      </c>
      <c r="L1511" s="10" t="s">
        <v>42</v>
      </c>
    </row>
    <row r="1512" ht="15.75" customHeight="1">
      <c r="A1512" s="64">
        <v>45484.0</v>
      </c>
      <c r="B1512" s="55" t="str">
        <f>HYPERLINK("https://jobright.ai/jobs/info/6690ae3f714748cce6c38c43?utm_campaign=1065&amp;utm_source=sheet", "Apply")</f>
        <v>Apply</v>
      </c>
      <c r="C1512" s="10" t="s">
        <v>14536</v>
      </c>
      <c r="D1512" s="56" t="s">
        <v>14380</v>
      </c>
      <c r="E1512" s="59">
        <v>45301.0</v>
      </c>
      <c r="F1512" s="10" t="s">
        <v>14381</v>
      </c>
      <c r="G1512" s="10" t="s">
        <v>12654</v>
      </c>
      <c r="H1512" s="10" t="s">
        <v>923</v>
      </c>
      <c r="I1512" s="10" t="s">
        <v>55</v>
      </c>
      <c r="J1512" s="10" t="s">
        <v>13437</v>
      </c>
      <c r="K1512" s="10" t="s">
        <v>14537</v>
      </c>
      <c r="L1512" s="10" t="s">
        <v>42</v>
      </c>
    </row>
    <row r="1513" ht="15.75" customHeight="1">
      <c r="A1513" s="64">
        <v>45484.0</v>
      </c>
      <c r="B1513" s="55" t="str">
        <f>HYPERLINK("https://jobright.ai/jobs/info/6690ae3f714748cce6c38c50?utm_campaign=1065&amp;utm_source=sheet", "Apply")</f>
        <v>Apply</v>
      </c>
      <c r="C1513" s="10" t="s">
        <v>14536</v>
      </c>
      <c r="D1513" s="56" t="s">
        <v>14380</v>
      </c>
      <c r="E1513" s="59">
        <v>45301.0</v>
      </c>
      <c r="F1513" s="10" t="s">
        <v>14381</v>
      </c>
      <c r="G1513" s="10" t="s">
        <v>12654</v>
      </c>
      <c r="H1513" s="10" t="s">
        <v>884</v>
      </c>
      <c r="I1513" s="10" t="s">
        <v>55</v>
      </c>
      <c r="J1513" s="10" t="s">
        <v>13437</v>
      </c>
      <c r="K1513" s="10" t="s">
        <v>14537</v>
      </c>
      <c r="L1513" s="10" t="s">
        <v>42</v>
      </c>
    </row>
    <row r="1514" ht="15.75" customHeight="1">
      <c r="A1514" s="64">
        <v>45484.0</v>
      </c>
      <c r="B1514" s="55" t="str">
        <f>HYPERLINK("https://jobright.ai/jobs/info/6690ae3f714748cce6c38c5e?utm_campaign=1065&amp;utm_source=sheet", "Apply")</f>
        <v>Apply</v>
      </c>
      <c r="C1514" s="10" t="s">
        <v>14536</v>
      </c>
      <c r="D1514" s="56" t="s">
        <v>14380</v>
      </c>
      <c r="E1514" s="59">
        <v>45301.0</v>
      </c>
      <c r="F1514" s="10" t="s">
        <v>14381</v>
      </c>
      <c r="G1514" s="10" t="s">
        <v>12654</v>
      </c>
      <c r="H1514" s="10" t="s">
        <v>787</v>
      </c>
      <c r="I1514" s="10" t="s">
        <v>55</v>
      </c>
      <c r="J1514" s="10" t="s">
        <v>13437</v>
      </c>
      <c r="K1514" s="10" t="s">
        <v>14537</v>
      </c>
      <c r="L1514" s="10" t="s">
        <v>42</v>
      </c>
    </row>
    <row r="1515" ht="15.75" customHeight="1">
      <c r="A1515" s="64">
        <v>45484.0</v>
      </c>
      <c r="B1515" s="55" t="str">
        <f>HYPERLINK("https://jobright.ai/jobs/info/6690ae3f714748cce6c38c60?utm_campaign=1065&amp;utm_source=sheet", "Apply")</f>
        <v>Apply</v>
      </c>
      <c r="C1515" s="10" t="s">
        <v>14536</v>
      </c>
      <c r="D1515" s="56" t="s">
        <v>14380</v>
      </c>
      <c r="E1515" s="59">
        <v>45301.0</v>
      </c>
      <c r="F1515" s="10" t="s">
        <v>14381</v>
      </c>
      <c r="G1515" s="10" t="s">
        <v>12654</v>
      </c>
      <c r="H1515" s="10" t="s">
        <v>738</v>
      </c>
      <c r="I1515" s="10" t="s">
        <v>55</v>
      </c>
      <c r="J1515" s="10" t="s">
        <v>13437</v>
      </c>
      <c r="K1515" s="10" t="s">
        <v>14537</v>
      </c>
      <c r="L1515" s="10" t="s">
        <v>42</v>
      </c>
    </row>
    <row r="1516" ht="15.75" customHeight="1">
      <c r="A1516" s="64">
        <v>45484.0</v>
      </c>
      <c r="B1516" s="55" t="str">
        <f>HYPERLINK("https://jobright.ai/jobs/info/6690ae3f714748cce6c38c6b?utm_campaign=1065&amp;utm_source=sheet", "Apply")</f>
        <v>Apply</v>
      </c>
      <c r="C1516" s="10" t="s">
        <v>14536</v>
      </c>
      <c r="D1516" s="56" t="s">
        <v>14380</v>
      </c>
      <c r="E1516" s="59">
        <v>45301.0</v>
      </c>
      <c r="F1516" s="10" t="s">
        <v>14381</v>
      </c>
      <c r="G1516" s="10" t="s">
        <v>12654</v>
      </c>
      <c r="H1516" s="10" t="s">
        <v>804</v>
      </c>
      <c r="I1516" s="10" t="s">
        <v>55</v>
      </c>
      <c r="J1516" s="10" t="s">
        <v>13437</v>
      </c>
      <c r="K1516" s="10" t="s">
        <v>14537</v>
      </c>
      <c r="L1516" s="10" t="s">
        <v>42</v>
      </c>
    </row>
    <row r="1517" ht="15.75" customHeight="1">
      <c r="A1517" s="64">
        <v>45484.0</v>
      </c>
      <c r="B1517" s="55" t="str">
        <f>HYPERLINK("https://jobright.ai/jobs/info/6690ae3f714748cce6c38c66?utm_campaign=1065&amp;utm_source=sheet", "Apply")</f>
        <v>Apply</v>
      </c>
      <c r="C1517" s="10" t="s">
        <v>14536</v>
      </c>
      <c r="D1517" s="56" t="s">
        <v>14380</v>
      </c>
      <c r="E1517" s="59">
        <v>45301.0</v>
      </c>
      <c r="F1517" s="10" t="s">
        <v>14381</v>
      </c>
      <c r="G1517" s="10" t="s">
        <v>12654</v>
      </c>
      <c r="H1517" s="10" t="s">
        <v>877</v>
      </c>
      <c r="I1517" s="10" t="s">
        <v>55</v>
      </c>
      <c r="J1517" s="10" t="s">
        <v>13437</v>
      </c>
      <c r="K1517" s="10" t="s">
        <v>14537</v>
      </c>
      <c r="L1517" s="10" t="s">
        <v>42</v>
      </c>
    </row>
    <row r="1518" ht="15.75" customHeight="1">
      <c r="A1518" s="64">
        <v>45484.0</v>
      </c>
      <c r="B1518" s="55" t="str">
        <f>HYPERLINK("https://jobright.ai/jobs/info/6690ae3f714748cce6c38c68?utm_campaign=1065&amp;utm_source=sheet", "Apply")</f>
        <v>Apply</v>
      </c>
      <c r="C1518" s="10" t="s">
        <v>14579</v>
      </c>
      <c r="D1518" s="56" t="s">
        <v>14380</v>
      </c>
      <c r="E1518" s="59">
        <v>45301.0</v>
      </c>
      <c r="F1518" s="10" t="s">
        <v>14381</v>
      </c>
      <c r="G1518" s="10" t="s">
        <v>12654</v>
      </c>
      <c r="H1518" s="10" t="s">
        <v>946</v>
      </c>
      <c r="I1518" s="10" t="s">
        <v>55</v>
      </c>
      <c r="J1518" s="10" t="s">
        <v>13437</v>
      </c>
      <c r="K1518" s="10" t="s">
        <v>14580</v>
      </c>
      <c r="L1518" s="10" t="s">
        <v>42</v>
      </c>
    </row>
    <row r="1519" ht="15.75" customHeight="1">
      <c r="A1519" s="64">
        <v>45484.0</v>
      </c>
      <c r="B1519" s="55" t="str">
        <f>HYPERLINK("https://jobright.ai/jobs/info/6690ae3f714748cce6c38c79?utm_campaign=1065&amp;utm_source=sheet", "Apply")</f>
        <v>Apply</v>
      </c>
      <c r="C1519" s="10" t="s">
        <v>14536</v>
      </c>
      <c r="D1519" s="56" t="s">
        <v>14380</v>
      </c>
      <c r="E1519" s="59">
        <v>45301.0</v>
      </c>
      <c r="F1519" s="10" t="s">
        <v>14381</v>
      </c>
      <c r="G1519" s="10" t="s">
        <v>12654</v>
      </c>
      <c r="H1519" s="10" t="s">
        <v>821</v>
      </c>
      <c r="I1519" s="10" t="s">
        <v>55</v>
      </c>
      <c r="J1519" s="10" t="s">
        <v>13437</v>
      </c>
      <c r="K1519" s="10" t="s">
        <v>14537</v>
      </c>
      <c r="L1519" s="10" t="s">
        <v>42</v>
      </c>
    </row>
    <row r="1520" ht="15.75" customHeight="1">
      <c r="A1520" s="64">
        <v>45484.0</v>
      </c>
      <c r="B1520" s="55" t="str">
        <f>HYPERLINK("https://jobright.ai/jobs/info/6690ae3f714748cce6c38c7f?utm_campaign=1065&amp;utm_source=sheet", "Apply")</f>
        <v>Apply</v>
      </c>
      <c r="C1520" s="10" t="s">
        <v>14579</v>
      </c>
      <c r="D1520" s="56" t="s">
        <v>14380</v>
      </c>
      <c r="E1520" s="59">
        <v>45301.0</v>
      </c>
      <c r="F1520" s="10" t="s">
        <v>14381</v>
      </c>
      <c r="G1520" s="10" t="s">
        <v>12654</v>
      </c>
      <c r="H1520" s="10" t="s">
        <v>154</v>
      </c>
      <c r="I1520" s="10" t="s">
        <v>55</v>
      </c>
      <c r="J1520" s="10" t="s">
        <v>13437</v>
      </c>
      <c r="K1520" s="10" t="s">
        <v>14580</v>
      </c>
      <c r="L1520" s="10" t="s">
        <v>42</v>
      </c>
    </row>
    <row r="1521" ht="15.75" customHeight="1">
      <c r="A1521" s="64">
        <v>45484.0</v>
      </c>
      <c r="B1521" s="55" t="str">
        <f>HYPERLINK("https://jobright.ai/jobs/info/6690ae3f714748cce6c38c75?utm_campaign=1065&amp;utm_source=sheet", "Apply")</f>
        <v>Apply</v>
      </c>
      <c r="C1521" s="10" t="s">
        <v>14579</v>
      </c>
      <c r="D1521" s="56" t="s">
        <v>14380</v>
      </c>
      <c r="E1521" s="59">
        <v>45301.0</v>
      </c>
      <c r="F1521" s="10" t="s">
        <v>14381</v>
      </c>
      <c r="G1521" s="10" t="s">
        <v>12654</v>
      </c>
      <c r="H1521" s="10" t="s">
        <v>106</v>
      </c>
      <c r="I1521" s="10" t="s">
        <v>55</v>
      </c>
      <c r="J1521" s="10" t="s">
        <v>13437</v>
      </c>
      <c r="K1521" s="10" t="s">
        <v>14580</v>
      </c>
      <c r="L1521" s="10" t="s">
        <v>42</v>
      </c>
    </row>
    <row r="1522" ht="15.75" customHeight="1">
      <c r="A1522" s="64">
        <v>45484.0</v>
      </c>
      <c r="B1522" s="55" t="str">
        <f>HYPERLINK("https://jobright.ai/jobs/info/6690ae3f714748cce6c38c7a?utm_campaign=1065&amp;utm_source=sheet", "Apply")</f>
        <v>Apply</v>
      </c>
      <c r="C1522" s="10" t="s">
        <v>14579</v>
      </c>
      <c r="D1522" s="56" t="s">
        <v>14380</v>
      </c>
      <c r="E1522" s="59">
        <v>45301.0</v>
      </c>
      <c r="F1522" s="10" t="s">
        <v>14381</v>
      </c>
      <c r="G1522" s="10" t="s">
        <v>12654</v>
      </c>
      <c r="H1522" s="10" t="s">
        <v>821</v>
      </c>
      <c r="I1522" s="10" t="s">
        <v>55</v>
      </c>
      <c r="J1522" s="10" t="s">
        <v>13437</v>
      </c>
      <c r="K1522" s="10" t="s">
        <v>14580</v>
      </c>
      <c r="L1522" s="10" t="s">
        <v>42</v>
      </c>
    </row>
    <row r="1523" ht="15.75" customHeight="1">
      <c r="A1523" s="64">
        <v>45484.0</v>
      </c>
      <c r="B1523" s="55" t="str">
        <f>HYPERLINK("https://jobright.ai/jobs/info/6690ae3f714748cce6c38c84?utm_campaign=1065&amp;utm_source=sheet", "Apply")</f>
        <v>Apply</v>
      </c>
      <c r="C1523" s="10" t="s">
        <v>14579</v>
      </c>
      <c r="D1523" s="56" t="s">
        <v>14380</v>
      </c>
      <c r="E1523" s="59">
        <v>45301.0</v>
      </c>
      <c r="F1523" s="10" t="s">
        <v>14381</v>
      </c>
      <c r="G1523" s="10" t="s">
        <v>12654</v>
      </c>
      <c r="H1523" s="10" t="s">
        <v>874</v>
      </c>
      <c r="I1523" s="10" t="s">
        <v>55</v>
      </c>
      <c r="J1523" s="10" t="s">
        <v>13437</v>
      </c>
      <c r="K1523" s="10" t="s">
        <v>14580</v>
      </c>
      <c r="L1523" s="10" t="s">
        <v>42</v>
      </c>
    </row>
    <row r="1524" ht="15.75" customHeight="1">
      <c r="A1524" s="64">
        <v>45484.0</v>
      </c>
      <c r="B1524" s="55" t="str">
        <f>HYPERLINK("https://jobright.ai/jobs/info/6690ae3f714748cce6c38c82?utm_campaign=1065&amp;utm_source=sheet", "Apply")</f>
        <v>Apply</v>
      </c>
      <c r="C1524" s="10" t="s">
        <v>14579</v>
      </c>
      <c r="D1524" s="56" t="s">
        <v>14380</v>
      </c>
      <c r="E1524" s="59">
        <v>45301.0</v>
      </c>
      <c r="F1524" s="10" t="s">
        <v>14381</v>
      </c>
      <c r="G1524" s="10" t="s">
        <v>12654</v>
      </c>
      <c r="H1524" s="10" t="s">
        <v>945</v>
      </c>
      <c r="I1524" s="10" t="s">
        <v>55</v>
      </c>
      <c r="J1524" s="10" t="s">
        <v>13437</v>
      </c>
      <c r="K1524" s="10" t="s">
        <v>14580</v>
      </c>
      <c r="L1524" s="10" t="s">
        <v>42</v>
      </c>
    </row>
    <row r="1525" ht="15.75" customHeight="1">
      <c r="A1525" s="64">
        <v>45484.0</v>
      </c>
      <c r="B1525" s="55" t="str">
        <f>HYPERLINK("https://jobright.ai/jobs/info/6690ae3f714748cce6c38c80?utm_campaign=1065&amp;utm_source=sheet", "Apply")</f>
        <v>Apply</v>
      </c>
      <c r="C1525" s="10" t="s">
        <v>14536</v>
      </c>
      <c r="D1525" s="56" t="s">
        <v>14380</v>
      </c>
      <c r="E1525" s="59">
        <v>45301.0</v>
      </c>
      <c r="F1525" s="10" t="s">
        <v>14381</v>
      </c>
      <c r="G1525" s="10" t="s">
        <v>12654</v>
      </c>
      <c r="H1525" s="10" t="s">
        <v>1001</v>
      </c>
      <c r="I1525" s="10" t="s">
        <v>55</v>
      </c>
      <c r="J1525" s="10" t="s">
        <v>13437</v>
      </c>
      <c r="K1525" s="10" t="s">
        <v>14537</v>
      </c>
      <c r="L1525" s="10" t="s">
        <v>42</v>
      </c>
    </row>
    <row r="1526" ht="15.75" customHeight="1">
      <c r="A1526" s="64">
        <v>45484.0</v>
      </c>
      <c r="B1526" s="55" t="str">
        <f>HYPERLINK("https://jobright.ai/jobs/info/6690ae3f714748cce6c38c72?utm_campaign=1065&amp;utm_source=sheet", "Apply")</f>
        <v>Apply</v>
      </c>
      <c r="C1526" s="10" t="s">
        <v>14579</v>
      </c>
      <c r="D1526" s="56" t="s">
        <v>14380</v>
      </c>
      <c r="E1526" s="59">
        <v>45301.0</v>
      </c>
      <c r="F1526" s="10" t="s">
        <v>14381</v>
      </c>
      <c r="G1526" s="10" t="s">
        <v>12654</v>
      </c>
      <c r="H1526" s="10" t="s">
        <v>845</v>
      </c>
      <c r="I1526" s="10" t="s">
        <v>55</v>
      </c>
      <c r="J1526" s="10" t="s">
        <v>13437</v>
      </c>
      <c r="K1526" s="10" t="s">
        <v>14580</v>
      </c>
      <c r="L1526" s="10" t="s">
        <v>42</v>
      </c>
    </row>
    <row r="1527" ht="15.75" customHeight="1">
      <c r="A1527" s="64">
        <v>45484.0</v>
      </c>
      <c r="B1527" s="55" t="str">
        <f>HYPERLINK("https://jobright.ai/jobs/info/6690ae3f714748cce6c38c83?utm_campaign=1065&amp;utm_source=sheet", "Apply")</f>
        <v>Apply</v>
      </c>
      <c r="C1527" s="10" t="s">
        <v>14536</v>
      </c>
      <c r="D1527" s="56" t="s">
        <v>14380</v>
      </c>
      <c r="E1527" s="59">
        <v>45301.0</v>
      </c>
      <c r="F1527" s="10" t="s">
        <v>14381</v>
      </c>
      <c r="G1527" s="10" t="s">
        <v>12654</v>
      </c>
      <c r="H1527" s="10" t="s">
        <v>992</v>
      </c>
      <c r="I1527" s="10" t="s">
        <v>55</v>
      </c>
      <c r="J1527" s="10" t="s">
        <v>13437</v>
      </c>
      <c r="K1527" s="10" t="s">
        <v>14537</v>
      </c>
      <c r="L1527" s="10" t="s">
        <v>42</v>
      </c>
    </row>
    <row r="1528" ht="15.75" customHeight="1">
      <c r="A1528" s="64">
        <v>45484.0</v>
      </c>
      <c r="B1528" s="55" t="str">
        <f>HYPERLINK("https://jobright.ai/jobs/info/6690ae3f714748cce6c38c87?utm_campaign=1065&amp;utm_source=sheet", "Apply")</f>
        <v>Apply</v>
      </c>
      <c r="C1528" s="10" t="s">
        <v>14579</v>
      </c>
      <c r="D1528" s="56" t="s">
        <v>14380</v>
      </c>
      <c r="E1528" s="59">
        <v>45301.0</v>
      </c>
      <c r="F1528" s="10" t="s">
        <v>14381</v>
      </c>
      <c r="G1528" s="10" t="s">
        <v>12654</v>
      </c>
      <c r="H1528" s="10" t="s">
        <v>1004</v>
      </c>
      <c r="I1528" s="10" t="s">
        <v>55</v>
      </c>
      <c r="J1528" s="10" t="s">
        <v>13437</v>
      </c>
      <c r="K1528" s="10" t="s">
        <v>14580</v>
      </c>
      <c r="L1528" s="10" t="s">
        <v>42</v>
      </c>
    </row>
    <row r="1529" ht="15.75" customHeight="1">
      <c r="A1529" s="64">
        <v>45484.0</v>
      </c>
      <c r="B1529" s="55" t="str">
        <f>HYPERLINK("https://jobright.ai/jobs/info/6690ae3f714748cce6c38c96?utm_campaign=1065&amp;utm_source=sheet", "Apply")</f>
        <v>Apply</v>
      </c>
      <c r="C1529" s="10" t="s">
        <v>14581</v>
      </c>
      <c r="D1529" s="56" t="s">
        <v>14380</v>
      </c>
      <c r="E1529" s="59">
        <v>45301.0</v>
      </c>
      <c r="F1529" s="10" t="s">
        <v>14381</v>
      </c>
      <c r="G1529" s="10" t="s">
        <v>12654</v>
      </c>
      <c r="H1529" s="10" t="s">
        <v>878</v>
      </c>
      <c r="I1529" s="10" t="s">
        <v>55</v>
      </c>
      <c r="J1529" s="10" t="s">
        <v>13437</v>
      </c>
      <c r="K1529" s="10" t="s">
        <v>14582</v>
      </c>
      <c r="L1529" s="10" t="s">
        <v>42</v>
      </c>
    </row>
    <row r="1530" ht="15.75" customHeight="1">
      <c r="A1530" s="64">
        <v>45484.0</v>
      </c>
      <c r="B1530" s="55" t="str">
        <f>HYPERLINK("https://jobright.ai/jobs/info/6690ae3f714748cce6c38c95?utm_campaign=1065&amp;utm_source=sheet", "Apply")</f>
        <v>Apply</v>
      </c>
      <c r="C1530" s="10" t="s">
        <v>14581</v>
      </c>
      <c r="D1530" s="56" t="s">
        <v>14380</v>
      </c>
      <c r="E1530" s="59">
        <v>45301.0</v>
      </c>
      <c r="F1530" s="10" t="s">
        <v>14381</v>
      </c>
      <c r="G1530" s="10" t="s">
        <v>12654</v>
      </c>
      <c r="H1530" s="10" t="s">
        <v>783</v>
      </c>
      <c r="I1530" s="10" t="s">
        <v>55</v>
      </c>
      <c r="J1530" s="10" t="s">
        <v>13437</v>
      </c>
      <c r="K1530" s="10" t="s">
        <v>14582</v>
      </c>
      <c r="L1530" s="10" t="s">
        <v>42</v>
      </c>
    </row>
    <row r="1531" ht="15.75" customHeight="1">
      <c r="A1531" s="64">
        <v>45484.0</v>
      </c>
      <c r="B1531" s="55" t="str">
        <f>HYPERLINK("https://jobright.ai/jobs/info/6690ae3f714748cce6c38ca0?utm_campaign=1065&amp;utm_source=sheet", "Apply")</f>
        <v>Apply</v>
      </c>
      <c r="C1531" s="10" t="s">
        <v>14536</v>
      </c>
      <c r="D1531" s="56" t="s">
        <v>14380</v>
      </c>
      <c r="E1531" s="59">
        <v>45301.0</v>
      </c>
      <c r="F1531" s="10" t="s">
        <v>14381</v>
      </c>
      <c r="G1531" s="10" t="s">
        <v>12654</v>
      </c>
      <c r="H1531" s="10" t="s">
        <v>505</v>
      </c>
      <c r="I1531" s="10" t="s">
        <v>55</v>
      </c>
      <c r="J1531" s="10" t="s">
        <v>13437</v>
      </c>
      <c r="K1531" s="10" t="s">
        <v>14537</v>
      </c>
      <c r="L1531" s="10" t="s">
        <v>42</v>
      </c>
    </row>
    <row r="1532" ht="15.75" customHeight="1">
      <c r="A1532" s="64">
        <v>45484.0</v>
      </c>
      <c r="B1532" s="55" t="str">
        <f>HYPERLINK("https://jobright.ai/jobs/info/6690ae3f714748cce6c38c98?utm_campaign=1065&amp;utm_source=sheet", "Apply")</f>
        <v>Apply</v>
      </c>
      <c r="C1532" s="10" t="s">
        <v>14581</v>
      </c>
      <c r="D1532" s="56" t="s">
        <v>14380</v>
      </c>
      <c r="E1532" s="59">
        <v>45301.0</v>
      </c>
      <c r="F1532" s="10" t="s">
        <v>14381</v>
      </c>
      <c r="G1532" s="10" t="s">
        <v>12654</v>
      </c>
      <c r="H1532" s="10" t="s">
        <v>879</v>
      </c>
      <c r="I1532" s="10" t="s">
        <v>55</v>
      </c>
      <c r="J1532" s="10" t="s">
        <v>13437</v>
      </c>
      <c r="K1532" s="10" t="s">
        <v>14582</v>
      </c>
      <c r="L1532" s="10" t="s">
        <v>42</v>
      </c>
    </row>
    <row r="1533" ht="15.75" customHeight="1">
      <c r="A1533" s="64">
        <v>45484.0</v>
      </c>
      <c r="B1533" s="55" t="str">
        <f>HYPERLINK("https://jobright.ai/jobs/info/6690ae3f714748cce6c38ca6?utm_campaign=1065&amp;utm_source=sheet", "Apply")</f>
        <v>Apply</v>
      </c>
      <c r="C1533" s="10" t="s">
        <v>14579</v>
      </c>
      <c r="D1533" s="56" t="s">
        <v>14380</v>
      </c>
      <c r="E1533" s="59">
        <v>45301.0</v>
      </c>
      <c r="F1533" s="10" t="s">
        <v>14381</v>
      </c>
      <c r="G1533" s="10" t="s">
        <v>12654</v>
      </c>
      <c r="H1533" s="10" t="s">
        <v>117</v>
      </c>
      <c r="I1533" s="10" t="s">
        <v>55</v>
      </c>
      <c r="J1533" s="10" t="s">
        <v>13437</v>
      </c>
      <c r="K1533" s="10" t="s">
        <v>14580</v>
      </c>
      <c r="L1533" s="10" t="s">
        <v>42</v>
      </c>
    </row>
    <row r="1534" ht="15.75" customHeight="1">
      <c r="A1534" s="64">
        <v>45484.0</v>
      </c>
      <c r="B1534" s="55" t="str">
        <f>HYPERLINK("https://jobright.ai/jobs/info/6690ae3f714748cce6c38cd2?utm_campaign=1065&amp;utm_source=sheet", "Apply")</f>
        <v>Apply</v>
      </c>
      <c r="C1534" s="10" t="s">
        <v>14536</v>
      </c>
      <c r="D1534" s="56" t="s">
        <v>14380</v>
      </c>
      <c r="E1534" s="59">
        <v>45301.0</v>
      </c>
      <c r="F1534" s="10" t="s">
        <v>14381</v>
      </c>
      <c r="G1534" s="10" t="s">
        <v>12654</v>
      </c>
      <c r="H1534" s="10" t="s">
        <v>1042</v>
      </c>
      <c r="I1534" s="10" t="s">
        <v>55</v>
      </c>
      <c r="J1534" s="10" t="s">
        <v>13437</v>
      </c>
      <c r="K1534" s="10" t="s">
        <v>14537</v>
      </c>
      <c r="L1534" s="10" t="s">
        <v>42</v>
      </c>
    </row>
    <row r="1535" ht="15.75" customHeight="1">
      <c r="A1535" s="64">
        <v>45484.0</v>
      </c>
      <c r="B1535" s="55" t="str">
        <f>HYPERLINK("https://jobright.ai/jobs/info/6690ae3f714748cce6c38cbd?utm_campaign=1065&amp;utm_source=sheet", "Apply")</f>
        <v>Apply</v>
      </c>
      <c r="C1535" s="10" t="s">
        <v>14536</v>
      </c>
      <c r="D1535" s="56" t="s">
        <v>14380</v>
      </c>
      <c r="E1535" s="59">
        <v>45301.0</v>
      </c>
      <c r="F1535" s="10" t="s">
        <v>14381</v>
      </c>
      <c r="G1535" s="10" t="s">
        <v>12654</v>
      </c>
      <c r="H1535" s="10" t="s">
        <v>1008</v>
      </c>
      <c r="I1535" s="10" t="s">
        <v>55</v>
      </c>
      <c r="J1535" s="10" t="s">
        <v>13437</v>
      </c>
      <c r="K1535" s="10" t="s">
        <v>14537</v>
      </c>
      <c r="L1535" s="10" t="s">
        <v>42</v>
      </c>
    </row>
    <row r="1536" ht="15.75" customHeight="1">
      <c r="A1536" s="64">
        <v>45484.0</v>
      </c>
      <c r="B1536" s="55" t="str">
        <f>HYPERLINK("https://jobright.ai/jobs/info/6690ae3f714748cce6c38cc1?utm_campaign=1065&amp;utm_source=sheet", "Apply")</f>
        <v>Apply</v>
      </c>
      <c r="C1536" s="10" t="s">
        <v>14536</v>
      </c>
      <c r="D1536" s="56" t="s">
        <v>14380</v>
      </c>
      <c r="E1536" s="59">
        <v>45301.0</v>
      </c>
      <c r="F1536" s="10" t="s">
        <v>14381</v>
      </c>
      <c r="G1536" s="10" t="s">
        <v>12654</v>
      </c>
      <c r="H1536" s="10" t="s">
        <v>778</v>
      </c>
      <c r="I1536" s="10" t="s">
        <v>55</v>
      </c>
      <c r="J1536" s="10" t="s">
        <v>13437</v>
      </c>
      <c r="K1536" s="10" t="s">
        <v>14537</v>
      </c>
      <c r="L1536" s="10" t="s">
        <v>42</v>
      </c>
    </row>
    <row r="1537" ht="15.75" customHeight="1">
      <c r="A1537" s="64">
        <v>45484.0</v>
      </c>
      <c r="B1537" s="55" t="str">
        <f>HYPERLINK("https://jobright.ai/jobs/info/6690ae3f714748cce6c38cef?utm_campaign=1065&amp;utm_source=sheet", "Apply")</f>
        <v>Apply</v>
      </c>
      <c r="C1537" s="10" t="s">
        <v>14536</v>
      </c>
      <c r="D1537" s="56" t="s">
        <v>14380</v>
      </c>
      <c r="E1537" s="59">
        <v>45301.0</v>
      </c>
      <c r="F1537" s="10" t="s">
        <v>14381</v>
      </c>
      <c r="G1537" s="10" t="s">
        <v>12654</v>
      </c>
      <c r="H1537" s="10" t="s">
        <v>810</v>
      </c>
      <c r="I1537" s="10" t="s">
        <v>55</v>
      </c>
      <c r="J1537" s="10" t="s">
        <v>13437</v>
      </c>
      <c r="K1537" s="10" t="s">
        <v>14537</v>
      </c>
      <c r="L1537" s="10" t="s">
        <v>42</v>
      </c>
    </row>
    <row r="1538" ht="15.75" customHeight="1">
      <c r="A1538" s="64">
        <v>45484.0</v>
      </c>
      <c r="B1538" s="55" t="str">
        <f>HYPERLINK("https://jobright.ai/jobs/info/6690ae3f714748cce6c38d04?utm_campaign=1065&amp;utm_source=sheet", "Apply")</f>
        <v>Apply</v>
      </c>
      <c r="C1538" s="10" t="s">
        <v>14581</v>
      </c>
      <c r="D1538" s="56" t="s">
        <v>14380</v>
      </c>
      <c r="E1538" s="59">
        <v>45301.0</v>
      </c>
      <c r="F1538" s="10" t="s">
        <v>14381</v>
      </c>
      <c r="G1538" s="10" t="s">
        <v>12654</v>
      </c>
      <c r="H1538" s="10" t="s">
        <v>738</v>
      </c>
      <c r="I1538" s="10" t="s">
        <v>55</v>
      </c>
      <c r="J1538" s="10" t="s">
        <v>13437</v>
      </c>
      <c r="K1538" s="10" t="s">
        <v>14582</v>
      </c>
      <c r="L1538" s="10" t="s">
        <v>42</v>
      </c>
    </row>
    <row r="1539" ht="15.75" customHeight="1">
      <c r="A1539" s="64">
        <v>45484.0</v>
      </c>
      <c r="B1539" s="55" t="str">
        <f>HYPERLINK("https://jobright.ai/jobs/info/6690ae3f714748cce6c38d05?utm_campaign=1065&amp;utm_source=sheet", "Apply")</f>
        <v>Apply</v>
      </c>
      <c r="C1539" s="10" t="s">
        <v>14536</v>
      </c>
      <c r="D1539" s="56" t="s">
        <v>14380</v>
      </c>
      <c r="E1539" s="59">
        <v>45301.0</v>
      </c>
      <c r="F1539" s="10" t="s">
        <v>14381</v>
      </c>
      <c r="G1539" s="10" t="s">
        <v>12654</v>
      </c>
      <c r="H1539" s="10" t="s">
        <v>972</v>
      </c>
      <c r="I1539" s="10" t="s">
        <v>55</v>
      </c>
      <c r="J1539" s="10" t="s">
        <v>13437</v>
      </c>
      <c r="K1539" s="10" t="s">
        <v>14537</v>
      </c>
      <c r="L1539" s="10" t="s">
        <v>42</v>
      </c>
    </row>
    <row r="1540" ht="15.75" customHeight="1">
      <c r="A1540" s="64">
        <v>45484.0</v>
      </c>
      <c r="B1540" s="55" t="str">
        <f>HYPERLINK("https://jobright.ai/jobs/info/6690ae3f714748cce6c38cf7?utm_campaign=1065&amp;utm_source=sheet", "Apply")</f>
        <v>Apply</v>
      </c>
      <c r="C1540" s="10" t="s">
        <v>14579</v>
      </c>
      <c r="D1540" s="56" t="s">
        <v>14380</v>
      </c>
      <c r="E1540" s="59">
        <v>45301.0</v>
      </c>
      <c r="F1540" s="10" t="s">
        <v>14381</v>
      </c>
      <c r="G1540" s="10" t="s">
        <v>12654</v>
      </c>
      <c r="H1540" s="10" t="s">
        <v>933</v>
      </c>
      <c r="I1540" s="10" t="s">
        <v>55</v>
      </c>
      <c r="J1540" s="10" t="s">
        <v>13437</v>
      </c>
      <c r="K1540" s="10" t="s">
        <v>14580</v>
      </c>
      <c r="L1540" s="10" t="s">
        <v>42</v>
      </c>
    </row>
    <row r="1541" ht="15.75" customHeight="1">
      <c r="A1541" s="64">
        <v>45484.0</v>
      </c>
      <c r="B1541" s="55" t="str">
        <f>HYPERLINK("https://jobright.ai/jobs/info/6690ae3f714748cce6c38ce4?utm_campaign=1065&amp;utm_source=sheet", "Apply")</f>
        <v>Apply</v>
      </c>
      <c r="C1541" s="10" t="s">
        <v>14536</v>
      </c>
      <c r="D1541" s="56" t="s">
        <v>14380</v>
      </c>
      <c r="E1541" s="59">
        <v>45301.0</v>
      </c>
      <c r="F1541" s="10" t="s">
        <v>14381</v>
      </c>
      <c r="G1541" s="10" t="s">
        <v>12654</v>
      </c>
      <c r="H1541" s="10" t="s">
        <v>229</v>
      </c>
      <c r="I1541" s="10" t="s">
        <v>55</v>
      </c>
      <c r="J1541" s="10" t="s">
        <v>13437</v>
      </c>
      <c r="K1541" s="10" t="s">
        <v>14537</v>
      </c>
      <c r="L1541" s="10" t="s">
        <v>42</v>
      </c>
    </row>
    <row r="1542" ht="15.75" customHeight="1">
      <c r="A1542" s="64">
        <v>45484.0</v>
      </c>
      <c r="B1542" s="55" t="str">
        <f>HYPERLINK("https://jobright.ai/jobs/info/6690ae3f714748cce6c38cfc?utm_campaign=1065&amp;utm_source=sheet", "Apply")</f>
        <v>Apply</v>
      </c>
      <c r="C1542" s="10" t="s">
        <v>14536</v>
      </c>
      <c r="D1542" s="56" t="s">
        <v>14380</v>
      </c>
      <c r="E1542" s="59">
        <v>45301.0</v>
      </c>
      <c r="F1542" s="10" t="s">
        <v>14381</v>
      </c>
      <c r="G1542" s="10" t="s">
        <v>12654</v>
      </c>
      <c r="H1542" s="10" t="s">
        <v>829</v>
      </c>
      <c r="I1542" s="10" t="s">
        <v>55</v>
      </c>
      <c r="J1542" s="10" t="s">
        <v>13437</v>
      </c>
      <c r="K1542" s="10" t="s">
        <v>14537</v>
      </c>
      <c r="L1542" s="10" t="s">
        <v>42</v>
      </c>
    </row>
    <row r="1543" ht="15.75" customHeight="1">
      <c r="A1543" s="64">
        <v>45484.0</v>
      </c>
      <c r="B1543" s="55" t="str">
        <f>HYPERLINK("https://jobright.ai/jobs/info/6690ae47714748cce6c38d18?utm_campaign=1065&amp;utm_source=sheet", "Apply")</f>
        <v>Apply</v>
      </c>
      <c r="C1543" s="10" t="s">
        <v>14536</v>
      </c>
      <c r="D1543" s="56" t="s">
        <v>14380</v>
      </c>
      <c r="E1543" s="59">
        <v>45301.0</v>
      </c>
      <c r="F1543" s="10" t="s">
        <v>14381</v>
      </c>
      <c r="G1543" s="10" t="s">
        <v>12654</v>
      </c>
      <c r="H1543" s="10" t="s">
        <v>813</v>
      </c>
      <c r="I1543" s="10" t="s">
        <v>55</v>
      </c>
      <c r="J1543" s="10" t="s">
        <v>13437</v>
      </c>
      <c r="K1543" s="10" t="s">
        <v>14537</v>
      </c>
      <c r="L1543" s="10" t="s">
        <v>42</v>
      </c>
    </row>
    <row r="1544" ht="15.75" customHeight="1">
      <c r="A1544" s="64">
        <v>45484.0</v>
      </c>
      <c r="B1544" s="55" t="str">
        <f>HYPERLINK("https://jobright.ai/jobs/info/6690ae47714748cce6c38d1c?utm_campaign=1065&amp;utm_source=sheet", "Apply")</f>
        <v>Apply</v>
      </c>
      <c r="C1544" s="10" t="s">
        <v>14581</v>
      </c>
      <c r="D1544" s="56" t="s">
        <v>14380</v>
      </c>
      <c r="E1544" s="59">
        <v>45301.0</v>
      </c>
      <c r="F1544" s="10" t="s">
        <v>14381</v>
      </c>
      <c r="G1544" s="10" t="s">
        <v>12654</v>
      </c>
      <c r="H1544" s="10" t="s">
        <v>899</v>
      </c>
      <c r="I1544" s="10" t="s">
        <v>55</v>
      </c>
      <c r="J1544" s="10" t="s">
        <v>13437</v>
      </c>
      <c r="K1544" s="10" t="s">
        <v>14582</v>
      </c>
      <c r="L1544" s="10" t="s">
        <v>42</v>
      </c>
    </row>
    <row r="1545" ht="15.75" customHeight="1">
      <c r="A1545" s="64">
        <v>45484.0</v>
      </c>
      <c r="B1545" s="55" t="str">
        <f>HYPERLINK("https://jobright.ai/jobs/info/6690ae47714748cce6c38d46?utm_campaign=1065&amp;utm_source=sheet", "Apply")</f>
        <v>Apply</v>
      </c>
      <c r="C1545" s="10" t="s">
        <v>14536</v>
      </c>
      <c r="D1545" s="56" t="s">
        <v>14380</v>
      </c>
      <c r="E1545" s="59">
        <v>45301.0</v>
      </c>
      <c r="F1545" s="10" t="s">
        <v>14381</v>
      </c>
      <c r="G1545" s="10" t="s">
        <v>12654</v>
      </c>
      <c r="H1545" s="10" t="s">
        <v>782</v>
      </c>
      <c r="I1545" s="10" t="s">
        <v>55</v>
      </c>
      <c r="J1545" s="10" t="s">
        <v>13437</v>
      </c>
      <c r="K1545" s="10" t="s">
        <v>14537</v>
      </c>
      <c r="L1545" s="10" t="s">
        <v>42</v>
      </c>
    </row>
    <row r="1546" ht="15.75" customHeight="1">
      <c r="A1546" s="64">
        <v>45484.0</v>
      </c>
      <c r="B1546" s="55" t="str">
        <f>HYPERLINK("https://jobright.ai/jobs/info/6690ae47714748cce6c38d3c?utm_campaign=1065&amp;utm_source=sheet", "Apply")</f>
        <v>Apply</v>
      </c>
      <c r="C1546" s="10" t="s">
        <v>14536</v>
      </c>
      <c r="D1546" s="56" t="s">
        <v>14380</v>
      </c>
      <c r="E1546" s="59">
        <v>45301.0</v>
      </c>
      <c r="F1546" s="10" t="s">
        <v>14381</v>
      </c>
      <c r="G1546" s="10" t="s">
        <v>12654</v>
      </c>
      <c r="H1546" s="10" t="s">
        <v>1031</v>
      </c>
      <c r="I1546" s="10" t="s">
        <v>55</v>
      </c>
      <c r="J1546" s="10" t="s">
        <v>13437</v>
      </c>
      <c r="K1546" s="10" t="s">
        <v>14537</v>
      </c>
      <c r="L1546" s="10" t="s">
        <v>42</v>
      </c>
    </row>
    <row r="1547" ht="15.75" customHeight="1">
      <c r="A1547" s="64">
        <v>45484.0</v>
      </c>
      <c r="B1547" s="55" t="str">
        <f>HYPERLINK("https://jobright.ai/jobs/info/6690ae47714748cce6c38d35?utm_campaign=1065&amp;utm_source=sheet", "Apply")</f>
        <v>Apply</v>
      </c>
      <c r="C1547" s="10" t="s">
        <v>14536</v>
      </c>
      <c r="D1547" s="56" t="s">
        <v>14380</v>
      </c>
      <c r="E1547" s="59">
        <v>45301.0</v>
      </c>
      <c r="F1547" s="10" t="s">
        <v>14381</v>
      </c>
      <c r="G1547" s="10" t="s">
        <v>12654</v>
      </c>
      <c r="H1547" s="10" t="s">
        <v>1040</v>
      </c>
      <c r="I1547" s="10" t="s">
        <v>55</v>
      </c>
      <c r="J1547" s="10" t="s">
        <v>13437</v>
      </c>
      <c r="K1547" s="10" t="s">
        <v>14537</v>
      </c>
      <c r="L1547" s="10" t="s">
        <v>42</v>
      </c>
    </row>
    <row r="1548" ht="15.75" customHeight="1">
      <c r="A1548" s="64">
        <v>45484.0</v>
      </c>
      <c r="B1548" s="55" t="str">
        <f>HYPERLINK("https://jobright.ai/jobs/info/6690ae47714748cce6c38d30?utm_campaign=1065&amp;utm_source=sheet", "Apply")</f>
        <v>Apply</v>
      </c>
      <c r="C1548" s="10" t="s">
        <v>14581</v>
      </c>
      <c r="D1548" s="56" t="s">
        <v>14380</v>
      </c>
      <c r="E1548" s="59">
        <v>45301.0</v>
      </c>
      <c r="F1548" s="10" t="s">
        <v>14381</v>
      </c>
      <c r="G1548" s="10" t="s">
        <v>12654</v>
      </c>
      <c r="H1548" s="10" t="s">
        <v>578</v>
      </c>
      <c r="I1548" s="10" t="s">
        <v>55</v>
      </c>
      <c r="J1548" s="10" t="s">
        <v>13437</v>
      </c>
      <c r="K1548" s="10" t="s">
        <v>14582</v>
      </c>
      <c r="L1548" s="10" t="s">
        <v>42</v>
      </c>
    </row>
    <row r="1549" ht="15.75" customHeight="1">
      <c r="A1549" s="64">
        <v>45484.0</v>
      </c>
      <c r="B1549" s="55" t="str">
        <f>HYPERLINK("https://jobright.ai/jobs/info/6690ae47714748cce6c38d41?utm_campaign=1065&amp;utm_source=sheet", "Apply")</f>
        <v>Apply</v>
      </c>
      <c r="C1549" s="10" t="s">
        <v>14579</v>
      </c>
      <c r="D1549" s="56" t="s">
        <v>14380</v>
      </c>
      <c r="E1549" s="59">
        <v>45301.0</v>
      </c>
      <c r="F1549" s="10" t="s">
        <v>14381</v>
      </c>
      <c r="G1549" s="10" t="s">
        <v>12654</v>
      </c>
      <c r="H1549" s="10" t="s">
        <v>905</v>
      </c>
      <c r="I1549" s="10" t="s">
        <v>55</v>
      </c>
      <c r="J1549" s="10" t="s">
        <v>13437</v>
      </c>
      <c r="K1549" s="10" t="s">
        <v>14580</v>
      </c>
      <c r="L1549" s="10" t="s">
        <v>42</v>
      </c>
    </row>
    <row r="1550" ht="15.75" customHeight="1">
      <c r="A1550" s="64">
        <v>45484.0</v>
      </c>
      <c r="B1550" s="55" t="str">
        <f>HYPERLINK("https://jobright.ai/jobs/info/6690ae47714748cce6c38d76?utm_campaign=1065&amp;utm_source=sheet", "Apply")</f>
        <v>Apply</v>
      </c>
      <c r="C1550" s="10" t="s">
        <v>14536</v>
      </c>
      <c r="D1550" s="56" t="s">
        <v>14380</v>
      </c>
      <c r="E1550" s="59">
        <v>45301.0</v>
      </c>
      <c r="F1550" s="10" t="s">
        <v>14381</v>
      </c>
      <c r="G1550" s="10" t="s">
        <v>12654</v>
      </c>
      <c r="H1550" s="10" t="s">
        <v>811</v>
      </c>
      <c r="I1550" s="10" t="s">
        <v>55</v>
      </c>
      <c r="J1550" s="10" t="s">
        <v>13437</v>
      </c>
      <c r="K1550" s="10" t="s">
        <v>14537</v>
      </c>
      <c r="L1550" s="10" t="s">
        <v>42</v>
      </c>
    </row>
    <row r="1551" ht="15.75" customHeight="1">
      <c r="A1551" s="64">
        <v>45484.0</v>
      </c>
      <c r="B1551" s="55" t="str">
        <f>HYPERLINK("https://jobright.ai/jobs/info/6690ae47714748cce6c38d57?utm_campaign=1065&amp;utm_source=sheet", "Apply")</f>
        <v>Apply</v>
      </c>
      <c r="C1551" s="10" t="s">
        <v>14536</v>
      </c>
      <c r="D1551" s="56" t="s">
        <v>14380</v>
      </c>
      <c r="E1551" s="59">
        <v>45301.0</v>
      </c>
      <c r="F1551" s="10" t="s">
        <v>14381</v>
      </c>
      <c r="G1551" s="10" t="s">
        <v>12654</v>
      </c>
      <c r="H1551" s="10" t="s">
        <v>1041</v>
      </c>
      <c r="I1551" s="10" t="s">
        <v>55</v>
      </c>
      <c r="J1551" s="10" t="s">
        <v>13437</v>
      </c>
      <c r="K1551" s="10" t="s">
        <v>14537</v>
      </c>
      <c r="L1551" s="10" t="s">
        <v>42</v>
      </c>
    </row>
    <row r="1552" ht="15.75" customHeight="1">
      <c r="A1552" s="64">
        <v>45484.0</v>
      </c>
      <c r="B1552" s="55" t="str">
        <f>HYPERLINK("https://jobright.ai/jobs/info/6690ae47714748cce6c38d74?utm_campaign=1065&amp;utm_source=sheet", "Apply")</f>
        <v>Apply</v>
      </c>
      <c r="C1552" s="10" t="s">
        <v>14536</v>
      </c>
      <c r="D1552" s="56" t="s">
        <v>14380</v>
      </c>
      <c r="E1552" s="59">
        <v>45301.0</v>
      </c>
      <c r="F1552" s="10" t="s">
        <v>14381</v>
      </c>
      <c r="G1552" s="10" t="s">
        <v>12654</v>
      </c>
      <c r="H1552" s="10" t="s">
        <v>1046</v>
      </c>
      <c r="I1552" s="10" t="s">
        <v>55</v>
      </c>
      <c r="J1552" s="10" t="s">
        <v>13437</v>
      </c>
      <c r="K1552" s="10" t="s">
        <v>14537</v>
      </c>
      <c r="L1552" s="10" t="s">
        <v>42</v>
      </c>
    </row>
    <row r="1553" ht="15.75" customHeight="1">
      <c r="A1553" s="64">
        <v>45484.0</v>
      </c>
      <c r="B1553" s="55" t="str">
        <f>HYPERLINK("https://jobright.ai/jobs/info/6690ae47714748cce6c38d6e?utm_campaign=1065&amp;utm_source=sheet", "Apply")</f>
        <v>Apply</v>
      </c>
      <c r="C1553" s="10" t="s">
        <v>14536</v>
      </c>
      <c r="D1553" s="56" t="s">
        <v>14380</v>
      </c>
      <c r="E1553" s="59">
        <v>45301.0</v>
      </c>
      <c r="F1553" s="10" t="s">
        <v>14381</v>
      </c>
      <c r="G1553" s="10" t="s">
        <v>12654</v>
      </c>
      <c r="H1553" s="10" t="s">
        <v>953</v>
      </c>
      <c r="I1553" s="10" t="s">
        <v>55</v>
      </c>
      <c r="J1553" s="10" t="s">
        <v>13437</v>
      </c>
      <c r="K1553" s="10" t="s">
        <v>14537</v>
      </c>
      <c r="L1553" s="10" t="s">
        <v>42</v>
      </c>
    </row>
    <row r="1554" ht="15.75" customHeight="1">
      <c r="A1554" s="64">
        <v>45484.0</v>
      </c>
      <c r="B1554" s="55" t="str">
        <f>HYPERLINK("https://jobright.ai/jobs/info/6690ae47714748cce6c38d75?utm_campaign=1065&amp;utm_source=sheet", "Apply")</f>
        <v>Apply</v>
      </c>
      <c r="C1554" s="10" t="s">
        <v>14536</v>
      </c>
      <c r="D1554" s="56" t="s">
        <v>14380</v>
      </c>
      <c r="E1554" s="59">
        <v>45301.0</v>
      </c>
      <c r="F1554" s="10" t="s">
        <v>14381</v>
      </c>
      <c r="G1554" s="10" t="s">
        <v>12654</v>
      </c>
      <c r="H1554" s="10" t="s">
        <v>1019</v>
      </c>
      <c r="I1554" s="10" t="s">
        <v>55</v>
      </c>
      <c r="J1554" s="10" t="s">
        <v>13437</v>
      </c>
      <c r="K1554" s="10" t="s">
        <v>14537</v>
      </c>
      <c r="L1554" s="10" t="s">
        <v>42</v>
      </c>
    </row>
    <row r="1555" ht="15.75" customHeight="1">
      <c r="A1555" s="64">
        <v>45484.0</v>
      </c>
      <c r="B1555" s="55" t="str">
        <f>HYPERLINK("https://jobright.ai/jobs/info/6690ae47714748cce6c38d81?utm_campaign=1065&amp;utm_source=sheet", "Apply")</f>
        <v>Apply</v>
      </c>
      <c r="C1555" s="10" t="s">
        <v>14536</v>
      </c>
      <c r="D1555" s="56" t="s">
        <v>14380</v>
      </c>
      <c r="E1555" s="59">
        <v>45301.0</v>
      </c>
      <c r="F1555" s="10" t="s">
        <v>14381</v>
      </c>
      <c r="G1555" s="10" t="s">
        <v>12654</v>
      </c>
      <c r="H1555" s="10" t="s">
        <v>607</v>
      </c>
      <c r="I1555" s="10" t="s">
        <v>55</v>
      </c>
      <c r="J1555" s="10" t="s">
        <v>13437</v>
      </c>
      <c r="K1555" s="10" t="s">
        <v>14537</v>
      </c>
      <c r="L1555" s="10" t="s">
        <v>42</v>
      </c>
    </row>
    <row r="1556" ht="15.75" customHeight="1">
      <c r="A1556" s="64">
        <v>45484.0</v>
      </c>
      <c r="B1556" s="55" t="str">
        <f>HYPERLINK("https://jobright.ai/jobs/info/6690ae47714748cce6c38d78?utm_campaign=1065&amp;utm_source=sheet", "Apply")</f>
        <v>Apply</v>
      </c>
      <c r="C1556" s="10" t="s">
        <v>14536</v>
      </c>
      <c r="D1556" s="56" t="s">
        <v>14380</v>
      </c>
      <c r="E1556" s="59">
        <v>45301.0</v>
      </c>
      <c r="F1556" s="10" t="s">
        <v>14381</v>
      </c>
      <c r="G1556" s="10" t="s">
        <v>12654</v>
      </c>
      <c r="H1556" s="10" t="s">
        <v>903</v>
      </c>
      <c r="I1556" s="10" t="s">
        <v>55</v>
      </c>
      <c r="J1556" s="10" t="s">
        <v>13437</v>
      </c>
      <c r="K1556" s="10" t="s">
        <v>14537</v>
      </c>
      <c r="L1556" s="10" t="s">
        <v>42</v>
      </c>
    </row>
    <row r="1557" ht="15.75" customHeight="1">
      <c r="A1557" s="64">
        <v>45484.0</v>
      </c>
      <c r="B1557" s="55" t="str">
        <f>HYPERLINK("https://jobright.ai/jobs/info/6690ae47714748cce6c38d95?utm_campaign=1065&amp;utm_source=sheet", "Apply")</f>
        <v>Apply</v>
      </c>
      <c r="C1557" s="10" t="s">
        <v>14536</v>
      </c>
      <c r="D1557" s="56" t="s">
        <v>14380</v>
      </c>
      <c r="E1557" s="59">
        <v>45301.0</v>
      </c>
      <c r="F1557" s="10" t="s">
        <v>14381</v>
      </c>
      <c r="G1557" s="10" t="s">
        <v>12654</v>
      </c>
      <c r="H1557" s="10" t="s">
        <v>837</v>
      </c>
      <c r="I1557" s="10" t="s">
        <v>55</v>
      </c>
      <c r="J1557" s="10" t="s">
        <v>13437</v>
      </c>
      <c r="K1557" s="10" t="s">
        <v>14537</v>
      </c>
      <c r="L1557" s="10" t="s">
        <v>42</v>
      </c>
    </row>
    <row r="1558" ht="15.75" customHeight="1">
      <c r="A1558" s="64">
        <v>45484.0</v>
      </c>
      <c r="B1558" s="55" t="str">
        <f>HYPERLINK("https://jobright.ai/jobs/info/6690ae47714748cce6c38d8c?utm_campaign=1065&amp;utm_source=sheet", "Apply")</f>
        <v>Apply</v>
      </c>
      <c r="C1558" s="10" t="s">
        <v>14536</v>
      </c>
      <c r="D1558" s="56" t="s">
        <v>14380</v>
      </c>
      <c r="E1558" s="59">
        <v>45301.0</v>
      </c>
      <c r="F1558" s="10" t="s">
        <v>14381</v>
      </c>
      <c r="G1558" s="10" t="s">
        <v>12654</v>
      </c>
      <c r="H1558" s="10" t="s">
        <v>1025</v>
      </c>
      <c r="I1558" s="10" t="s">
        <v>55</v>
      </c>
      <c r="J1558" s="10" t="s">
        <v>13437</v>
      </c>
      <c r="K1558" s="10" t="s">
        <v>14537</v>
      </c>
      <c r="L1558" s="10" t="s">
        <v>42</v>
      </c>
    </row>
    <row r="1559" ht="15.75" customHeight="1">
      <c r="A1559" s="64">
        <v>45484.0</v>
      </c>
      <c r="B1559" s="55" t="str">
        <f>HYPERLINK("https://jobright.ai/jobs/info/6690ae47714748cce6c38da9?utm_campaign=1065&amp;utm_source=sheet", "Apply")</f>
        <v>Apply</v>
      </c>
      <c r="C1559" s="10" t="s">
        <v>14581</v>
      </c>
      <c r="D1559" s="56" t="s">
        <v>14380</v>
      </c>
      <c r="E1559" s="59">
        <v>45301.0</v>
      </c>
      <c r="F1559" s="10" t="s">
        <v>14381</v>
      </c>
      <c r="G1559" s="10" t="s">
        <v>12654</v>
      </c>
      <c r="H1559" s="10" t="s">
        <v>905</v>
      </c>
      <c r="I1559" s="10" t="s">
        <v>55</v>
      </c>
      <c r="J1559" s="10" t="s">
        <v>13437</v>
      </c>
      <c r="K1559" s="10" t="s">
        <v>14582</v>
      </c>
      <c r="L1559" s="10" t="s">
        <v>42</v>
      </c>
    </row>
    <row r="1560" ht="15.75" customHeight="1">
      <c r="A1560" s="64">
        <v>45484.0</v>
      </c>
      <c r="B1560" s="55" t="str">
        <f>HYPERLINK("https://jobright.ai/jobs/info/6690ae47714748cce6c38dba?utm_campaign=1065&amp;utm_source=sheet", "Apply")</f>
        <v>Apply</v>
      </c>
      <c r="C1560" s="10" t="s">
        <v>14536</v>
      </c>
      <c r="D1560" s="56" t="s">
        <v>14380</v>
      </c>
      <c r="E1560" s="59">
        <v>45301.0</v>
      </c>
      <c r="F1560" s="10" t="s">
        <v>14381</v>
      </c>
      <c r="G1560" s="10" t="s">
        <v>12654</v>
      </c>
      <c r="H1560" s="10" t="s">
        <v>245</v>
      </c>
      <c r="I1560" s="10" t="s">
        <v>55</v>
      </c>
      <c r="J1560" s="10" t="s">
        <v>13437</v>
      </c>
      <c r="K1560" s="10" t="s">
        <v>14537</v>
      </c>
      <c r="L1560" s="10" t="s">
        <v>42</v>
      </c>
    </row>
    <row r="1561" ht="15.75" customHeight="1">
      <c r="A1561" s="64">
        <v>45484.0</v>
      </c>
      <c r="B1561" s="55" t="str">
        <f>HYPERLINK("https://jobright.ai/jobs/info/6690ae4e714748cce6c38de1?utm_campaign=1065&amp;utm_source=sheet", "Apply")</f>
        <v>Apply</v>
      </c>
      <c r="C1561" s="10" t="s">
        <v>14579</v>
      </c>
      <c r="D1561" s="56" t="s">
        <v>14380</v>
      </c>
      <c r="E1561" s="59">
        <v>45301.0</v>
      </c>
      <c r="F1561" s="10" t="s">
        <v>14381</v>
      </c>
      <c r="G1561" s="10" t="s">
        <v>12654</v>
      </c>
      <c r="H1561" s="10" t="s">
        <v>932</v>
      </c>
      <c r="I1561" s="10" t="s">
        <v>55</v>
      </c>
      <c r="J1561" s="10" t="s">
        <v>13437</v>
      </c>
      <c r="K1561" s="10" t="s">
        <v>14580</v>
      </c>
      <c r="L1561" s="10" t="s">
        <v>42</v>
      </c>
    </row>
    <row r="1562" ht="15.75" customHeight="1">
      <c r="A1562" s="64">
        <v>45484.0</v>
      </c>
      <c r="B1562" s="55" t="str">
        <f>HYPERLINK("https://jobright.ai/jobs/info/6690ae4e714748cce6c38ddd?utm_campaign=1065&amp;utm_source=sheet", "Apply")</f>
        <v>Apply</v>
      </c>
      <c r="C1562" s="10" t="s">
        <v>14536</v>
      </c>
      <c r="D1562" s="56" t="s">
        <v>14380</v>
      </c>
      <c r="E1562" s="59">
        <v>45301.0</v>
      </c>
      <c r="F1562" s="10" t="s">
        <v>14381</v>
      </c>
      <c r="G1562" s="10" t="s">
        <v>12654</v>
      </c>
      <c r="H1562" s="10" t="s">
        <v>929</v>
      </c>
      <c r="I1562" s="10" t="s">
        <v>55</v>
      </c>
      <c r="J1562" s="10" t="s">
        <v>13437</v>
      </c>
      <c r="K1562" s="10" t="s">
        <v>14537</v>
      </c>
      <c r="L1562" s="10" t="s">
        <v>42</v>
      </c>
    </row>
    <row r="1563" ht="15.75" customHeight="1">
      <c r="A1563" s="64">
        <v>45484.0</v>
      </c>
      <c r="B1563" s="55" t="str">
        <f>HYPERLINK("https://jobright.ai/jobs/info/6690ae4e714748cce6c38df8?utm_campaign=1065&amp;utm_source=sheet", "Apply")</f>
        <v>Apply</v>
      </c>
      <c r="C1563" s="10" t="s">
        <v>14536</v>
      </c>
      <c r="D1563" s="56" t="s">
        <v>14380</v>
      </c>
      <c r="E1563" s="59">
        <v>45301.0</v>
      </c>
      <c r="F1563" s="10" t="s">
        <v>14381</v>
      </c>
      <c r="G1563" s="10" t="s">
        <v>12654</v>
      </c>
      <c r="H1563" s="10" t="s">
        <v>1004</v>
      </c>
      <c r="I1563" s="10" t="s">
        <v>55</v>
      </c>
      <c r="J1563" s="10" t="s">
        <v>13437</v>
      </c>
      <c r="K1563" s="10" t="s">
        <v>14537</v>
      </c>
      <c r="L1563" s="10" t="s">
        <v>42</v>
      </c>
    </row>
    <row r="1564" ht="15.75" customHeight="1">
      <c r="A1564" s="64">
        <v>45484.0</v>
      </c>
      <c r="B1564" s="55" t="str">
        <f>HYPERLINK("https://jobright.ai/jobs/info/6690ae4e714748cce6c38df0?utm_campaign=1065&amp;utm_source=sheet", "Apply")</f>
        <v>Apply</v>
      </c>
      <c r="C1564" s="10" t="s">
        <v>14536</v>
      </c>
      <c r="D1564" s="56" t="s">
        <v>14380</v>
      </c>
      <c r="E1564" s="59">
        <v>45301.0</v>
      </c>
      <c r="F1564" s="10" t="s">
        <v>14381</v>
      </c>
      <c r="G1564" s="10" t="s">
        <v>12654</v>
      </c>
      <c r="H1564" s="10" t="s">
        <v>791</v>
      </c>
      <c r="I1564" s="10" t="s">
        <v>55</v>
      </c>
      <c r="J1564" s="10" t="s">
        <v>13437</v>
      </c>
      <c r="K1564" s="10" t="s">
        <v>14537</v>
      </c>
      <c r="L1564" s="10" t="s">
        <v>42</v>
      </c>
    </row>
    <row r="1565" ht="15.75" customHeight="1">
      <c r="A1565" s="64">
        <v>45484.0</v>
      </c>
      <c r="B1565" s="55" t="str">
        <f>HYPERLINK("https://jobright.ai/jobs/info/6690ae4e714748cce6c38de7?utm_campaign=1065&amp;utm_source=sheet", "Apply")</f>
        <v>Apply</v>
      </c>
      <c r="C1565" s="10" t="s">
        <v>14536</v>
      </c>
      <c r="D1565" s="56" t="s">
        <v>14380</v>
      </c>
      <c r="E1565" s="59">
        <v>45301.0</v>
      </c>
      <c r="F1565" s="10" t="s">
        <v>14381</v>
      </c>
      <c r="G1565" s="10" t="s">
        <v>12654</v>
      </c>
      <c r="H1565" s="10" t="s">
        <v>879</v>
      </c>
      <c r="I1565" s="10" t="s">
        <v>55</v>
      </c>
      <c r="J1565" s="10" t="s">
        <v>13437</v>
      </c>
      <c r="K1565" s="10" t="s">
        <v>14537</v>
      </c>
      <c r="L1565" s="10" t="s">
        <v>42</v>
      </c>
    </row>
    <row r="1566" ht="15.75" customHeight="1">
      <c r="A1566" s="64">
        <v>45484.0</v>
      </c>
      <c r="B1566" s="55" t="str">
        <f>HYPERLINK("https://jobright.ai/jobs/info/6690ae4e714748cce6c38deb?utm_campaign=1065&amp;utm_source=sheet", "Apply")</f>
        <v>Apply</v>
      </c>
      <c r="C1566" s="10" t="s">
        <v>14536</v>
      </c>
      <c r="D1566" s="56" t="s">
        <v>14380</v>
      </c>
      <c r="E1566" s="59">
        <v>45301.0</v>
      </c>
      <c r="F1566" s="10" t="s">
        <v>14381</v>
      </c>
      <c r="G1566" s="10" t="s">
        <v>12654</v>
      </c>
      <c r="H1566" s="10" t="s">
        <v>846</v>
      </c>
      <c r="I1566" s="10" t="s">
        <v>55</v>
      </c>
      <c r="J1566" s="10" t="s">
        <v>13437</v>
      </c>
      <c r="K1566" s="10" t="s">
        <v>14537</v>
      </c>
      <c r="L1566" s="10" t="s">
        <v>42</v>
      </c>
    </row>
    <row r="1567" ht="15.75" customHeight="1">
      <c r="A1567" s="64">
        <v>45484.0</v>
      </c>
      <c r="B1567" s="55" t="str">
        <f>HYPERLINK("https://jobright.ai/jobs/info/6690ae4e714748cce6c38de6?utm_campaign=1065&amp;utm_source=sheet", "Apply")</f>
        <v>Apply</v>
      </c>
      <c r="C1567" s="10" t="s">
        <v>14536</v>
      </c>
      <c r="D1567" s="56" t="s">
        <v>14380</v>
      </c>
      <c r="E1567" s="59">
        <v>45301.0</v>
      </c>
      <c r="F1567" s="10" t="s">
        <v>14381</v>
      </c>
      <c r="G1567" s="10" t="s">
        <v>12654</v>
      </c>
      <c r="H1567" s="10" t="s">
        <v>984</v>
      </c>
      <c r="I1567" s="10" t="s">
        <v>55</v>
      </c>
      <c r="J1567" s="10" t="s">
        <v>13437</v>
      </c>
      <c r="K1567" s="10" t="s">
        <v>14537</v>
      </c>
      <c r="L1567" s="10" t="s">
        <v>42</v>
      </c>
    </row>
    <row r="1568" ht="15.75" customHeight="1">
      <c r="A1568" s="64">
        <v>45484.0</v>
      </c>
      <c r="B1568" s="55" t="str">
        <f>HYPERLINK("https://jobright.ai/jobs/info/6690ae4e714748cce6c38e02?utm_campaign=1065&amp;utm_source=sheet", "Apply")</f>
        <v>Apply</v>
      </c>
      <c r="C1568" s="10" t="s">
        <v>14581</v>
      </c>
      <c r="D1568" s="56" t="s">
        <v>14380</v>
      </c>
      <c r="E1568" s="59">
        <v>45301.0</v>
      </c>
      <c r="F1568" s="10" t="s">
        <v>14381</v>
      </c>
      <c r="G1568" s="10" t="s">
        <v>12654</v>
      </c>
      <c r="H1568" s="10" t="s">
        <v>802</v>
      </c>
      <c r="I1568" s="10" t="s">
        <v>55</v>
      </c>
      <c r="J1568" s="10" t="s">
        <v>13437</v>
      </c>
      <c r="K1568" s="10" t="s">
        <v>14582</v>
      </c>
      <c r="L1568" s="10" t="s">
        <v>42</v>
      </c>
    </row>
    <row r="1569" ht="15.75" customHeight="1">
      <c r="A1569" s="64">
        <v>45484.0</v>
      </c>
      <c r="B1569" s="55" t="str">
        <f>HYPERLINK("https://jobright.ai/jobs/info/6690ae4e714748cce6c38e0d?utm_campaign=1065&amp;utm_source=sheet", "Apply")</f>
        <v>Apply</v>
      </c>
      <c r="C1569" s="10" t="s">
        <v>14579</v>
      </c>
      <c r="D1569" s="56" t="s">
        <v>14380</v>
      </c>
      <c r="E1569" s="59">
        <v>45301.0</v>
      </c>
      <c r="F1569" s="10" t="s">
        <v>14381</v>
      </c>
      <c r="G1569" s="10" t="s">
        <v>12654</v>
      </c>
      <c r="H1569" s="10" t="s">
        <v>857</v>
      </c>
      <c r="I1569" s="10" t="s">
        <v>55</v>
      </c>
      <c r="J1569" s="10" t="s">
        <v>13437</v>
      </c>
      <c r="K1569" s="10" t="s">
        <v>14580</v>
      </c>
      <c r="L1569" s="10" t="s">
        <v>42</v>
      </c>
    </row>
    <row r="1570" ht="15.75" customHeight="1">
      <c r="A1570" s="64">
        <v>45484.0</v>
      </c>
      <c r="B1570" s="55" t="str">
        <f>HYPERLINK("https://jobright.ai/jobs/info/6690ae4e714748cce6c38e00?utm_campaign=1065&amp;utm_source=sheet", "Apply")</f>
        <v>Apply</v>
      </c>
      <c r="C1570" s="10" t="s">
        <v>14579</v>
      </c>
      <c r="D1570" s="56" t="s">
        <v>14380</v>
      </c>
      <c r="E1570" s="59">
        <v>45301.0</v>
      </c>
      <c r="F1570" s="10" t="s">
        <v>14381</v>
      </c>
      <c r="G1570" s="10" t="s">
        <v>12654</v>
      </c>
      <c r="H1570" s="10" t="s">
        <v>965</v>
      </c>
      <c r="I1570" s="10" t="s">
        <v>55</v>
      </c>
      <c r="J1570" s="10" t="s">
        <v>13437</v>
      </c>
      <c r="K1570" s="10" t="s">
        <v>14580</v>
      </c>
      <c r="L1570" s="10" t="s">
        <v>42</v>
      </c>
    </row>
    <row r="1571" ht="15.75" customHeight="1">
      <c r="A1571" s="64">
        <v>45484.0</v>
      </c>
      <c r="B1571" s="55" t="str">
        <f>HYPERLINK("https://jobright.ai/jobs/info/6690ae4e714748cce6c38dfd?utm_campaign=1065&amp;utm_source=sheet", "Apply")</f>
        <v>Apply</v>
      </c>
      <c r="C1571" s="10" t="s">
        <v>14536</v>
      </c>
      <c r="D1571" s="56" t="s">
        <v>14380</v>
      </c>
      <c r="E1571" s="59">
        <v>45301.0</v>
      </c>
      <c r="F1571" s="10" t="s">
        <v>14381</v>
      </c>
      <c r="G1571" s="10" t="s">
        <v>12654</v>
      </c>
      <c r="H1571" s="10" t="s">
        <v>165</v>
      </c>
      <c r="I1571" s="10" t="s">
        <v>55</v>
      </c>
      <c r="J1571" s="10" t="s">
        <v>13437</v>
      </c>
      <c r="K1571" s="10" t="s">
        <v>14537</v>
      </c>
      <c r="L1571" s="10" t="s">
        <v>42</v>
      </c>
    </row>
    <row r="1572" ht="15.75" customHeight="1">
      <c r="A1572" s="64">
        <v>45484.0</v>
      </c>
      <c r="B1572" s="55" t="str">
        <f>HYPERLINK("https://jobright.ai/jobs/info/6690ae4e714748cce6c38e13?utm_campaign=1065&amp;utm_source=sheet", "Apply")</f>
        <v>Apply</v>
      </c>
      <c r="C1572" s="10" t="s">
        <v>14536</v>
      </c>
      <c r="D1572" s="56" t="s">
        <v>14380</v>
      </c>
      <c r="E1572" s="59">
        <v>45301.0</v>
      </c>
      <c r="F1572" s="10" t="s">
        <v>14381</v>
      </c>
      <c r="G1572" s="10" t="s">
        <v>12654</v>
      </c>
      <c r="H1572" s="10" t="s">
        <v>661</v>
      </c>
      <c r="I1572" s="10" t="s">
        <v>55</v>
      </c>
      <c r="J1572" s="10" t="s">
        <v>13437</v>
      </c>
      <c r="K1572" s="10" t="s">
        <v>14537</v>
      </c>
      <c r="L1572" s="10" t="s">
        <v>42</v>
      </c>
    </row>
    <row r="1573" ht="15.75" customHeight="1">
      <c r="A1573" s="64">
        <v>45484.0</v>
      </c>
      <c r="B1573" s="55" t="str">
        <f>HYPERLINK("https://jobright.ai/jobs/info/6690ae4e714748cce6c38e0c?utm_campaign=1065&amp;utm_source=sheet", "Apply")</f>
        <v>Apply</v>
      </c>
      <c r="C1573" s="10" t="s">
        <v>14579</v>
      </c>
      <c r="D1573" s="56" t="s">
        <v>14380</v>
      </c>
      <c r="E1573" s="59">
        <v>45301.0</v>
      </c>
      <c r="F1573" s="10" t="s">
        <v>14381</v>
      </c>
      <c r="G1573" s="10" t="s">
        <v>12654</v>
      </c>
      <c r="H1573" s="10" t="s">
        <v>165</v>
      </c>
      <c r="I1573" s="10" t="s">
        <v>55</v>
      </c>
      <c r="J1573" s="10" t="s">
        <v>13437</v>
      </c>
      <c r="K1573" s="10" t="s">
        <v>14580</v>
      </c>
      <c r="L1573" s="10" t="s">
        <v>42</v>
      </c>
    </row>
    <row r="1574" ht="15.75" customHeight="1">
      <c r="A1574" s="64">
        <v>45484.0</v>
      </c>
      <c r="B1574" s="55" t="str">
        <f>HYPERLINK("https://jobright.ai/jobs/info/6690ae4e714748cce6c38e22?utm_campaign=1065&amp;utm_source=sheet", "Apply")</f>
        <v>Apply</v>
      </c>
      <c r="C1574" s="10" t="s">
        <v>14536</v>
      </c>
      <c r="D1574" s="56" t="s">
        <v>14380</v>
      </c>
      <c r="E1574" s="59">
        <v>45301.0</v>
      </c>
      <c r="F1574" s="10" t="s">
        <v>14381</v>
      </c>
      <c r="G1574" s="10" t="s">
        <v>12654</v>
      </c>
      <c r="H1574" s="10" t="s">
        <v>924</v>
      </c>
      <c r="I1574" s="10" t="s">
        <v>55</v>
      </c>
      <c r="J1574" s="10" t="s">
        <v>13437</v>
      </c>
      <c r="K1574" s="10" t="s">
        <v>14537</v>
      </c>
      <c r="L1574" s="10" t="s">
        <v>42</v>
      </c>
    </row>
    <row r="1575" ht="15.75" customHeight="1">
      <c r="A1575" s="64">
        <v>45484.0</v>
      </c>
      <c r="B1575" s="55" t="str">
        <f>HYPERLINK("https://jobright.ai/jobs/info/6690ae4e714748cce6c38e34?utm_campaign=1065&amp;utm_source=sheet", "Apply")</f>
        <v>Apply</v>
      </c>
      <c r="C1575" s="10" t="s">
        <v>14536</v>
      </c>
      <c r="D1575" s="56" t="s">
        <v>14380</v>
      </c>
      <c r="E1575" s="59">
        <v>45301.0</v>
      </c>
      <c r="F1575" s="10" t="s">
        <v>14381</v>
      </c>
      <c r="G1575" s="10" t="s">
        <v>12654</v>
      </c>
      <c r="H1575" s="10" t="s">
        <v>764</v>
      </c>
      <c r="I1575" s="10" t="s">
        <v>55</v>
      </c>
      <c r="J1575" s="10" t="s">
        <v>13437</v>
      </c>
      <c r="K1575" s="10" t="s">
        <v>14537</v>
      </c>
      <c r="L1575" s="10" t="s">
        <v>42</v>
      </c>
    </row>
    <row r="1576" ht="15.75" customHeight="1">
      <c r="A1576" s="64">
        <v>45484.0</v>
      </c>
      <c r="B1576" s="55" t="str">
        <f>HYPERLINK("https://jobright.ai/jobs/info/6690ae4e714748cce6c38e23?utm_campaign=1065&amp;utm_source=sheet", "Apply")</f>
        <v>Apply</v>
      </c>
      <c r="C1576" s="10" t="s">
        <v>14579</v>
      </c>
      <c r="D1576" s="56" t="s">
        <v>14380</v>
      </c>
      <c r="E1576" s="59">
        <v>45301.0</v>
      </c>
      <c r="F1576" s="10" t="s">
        <v>14381</v>
      </c>
      <c r="G1576" s="10" t="s">
        <v>12654</v>
      </c>
      <c r="H1576" s="10" t="s">
        <v>993</v>
      </c>
      <c r="I1576" s="10" t="s">
        <v>55</v>
      </c>
      <c r="J1576" s="10" t="s">
        <v>13437</v>
      </c>
      <c r="K1576" s="10" t="s">
        <v>14580</v>
      </c>
      <c r="L1576" s="10" t="s">
        <v>42</v>
      </c>
    </row>
    <row r="1577" ht="15.75" customHeight="1">
      <c r="A1577" s="64">
        <v>45484.0</v>
      </c>
      <c r="B1577" s="55" t="str">
        <f>HYPERLINK("https://jobright.ai/jobs/info/6690ae4e714748cce6c38e59?utm_campaign=1065&amp;utm_source=sheet", "Apply")</f>
        <v>Apply</v>
      </c>
      <c r="C1577" s="10" t="s">
        <v>14536</v>
      </c>
      <c r="D1577" s="56" t="s">
        <v>14380</v>
      </c>
      <c r="E1577" s="59">
        <v>45301.0</v>
      </c>
      <c r="F1577" s="10" t="s">
        <v>14381</v>
      </c>
      <c r="G1577" s="10" t="s">
        <v>12654</v>
      </c>
      <c r="H1577" s="10" t="s">
        <v>7690</v>
      </c>
      <c r="I1577" s="10" t="s">
        <v>55</v>
      </c>
      <c r="J1577" s="10" t="s">
        <v>13437</v>
      </c>
      <c r="K1577" s="10" t="s">
        <v>14537</v>
      </c>
      <c r="L1577" s="10" t="s">
        <v>42</v>
      </c>
    </row>
    <row r="1578" ht="15.75" customHeight="1">
      <c r="A1578" s="64">
        <v>45484.0</v>
      </c>
      <c r="B1578" s="55" t="str">
        <f>HYPERLINK("https://jobright.ai/jobs/info/6690ae4e714748cce6c38e48?utm_campaign=1065&amp;utm_source=sheet", "Apply")</f>
        <v>Apply</v>
      </c>
      <c r="C1578" s="10" t="s">
        <v>14581</v>
      </c>
      <c r="D1578" s="56" t="s">
        <v>14380</v>
      </c>
      <c r="E1578" s="59">
        <v>45301.0</v>
      </c>
      <c r="F1578" s="10" t="s">
        <v>14381</v>
      </c>
      <c r="G1578" s="10" t="s">
        <v>12654</v>
      </c>
      <c r="H1578" s="10" t="s">
        <v>932</v>
      </c>
      <c r="I1578" s="10" t="s">
        <v>55</v>
      </c>
      <c r="J1578" s="10" t="s">
        <v>13437</v>
      </c>
      <c r="K1578" s="10" t="s">
        <v>14582</v>
      </c>
      <c r="L1578" s="10" t="s">
        <v>42</v>
      </c>
    </row>
    <row r="1579" ht="15.75" customHeight="1">
      <c r="A1579" s="64">
        <v>45484.0</v>
      </c>
      <c r="B1579" s="55" t="str">
        <f>HYPERLINK("https://jobright.ai/jobs/info/6690ae4e714748cce6c38e71?utm_campaign=1065&amp;utm_source=sheet", "Apply")</f>
        <v>Apply</v>
      </c>
      <c r="C1579" s="10" t="s">
        <v>14536</v>
      </c>
      <c r="D1579" s="56" t="s">
        <v>14380</v>
      </c>
      <c r="E1579" s="59">
        <v>45301.0</v>
      </c>
      <c r="F1579" s="10" t="s">
        <v>14381</v>
      </c>
      <c r="G1579" s="10" t="s">
        <v>12654</v>
      </c>
      <c r="H1579" s="10" t="s">
        <v>757</v>
      </c>
      <c r="I1579" s="10" t="s">
        <v>55</v>
      </c>
      <c r="J1579" s="10" t="s">
        <v>13437</v>
      </c>
      <c r="K1579" s="10" t="s">
        <v>14537</v>
      </c>
      <c r="L1579" s="10" t="s">
        <v>42</v>
      </c>
    </row>
    <row r="1580" ht="15.75" customHeight="1">
      <c r="A1580" s="64">
        <v>45484.0</v>
      </c>
      <c r="B1580" s="55" t="str">
        <f>HYPERLINK("https://jobright.ai/jobs/info/6690ae4e714748cce6c38e7b?utm_campaign=1065&amp;utm_source=sheet", "Apply")</f>
        <v>Apply</v>
      </c>
      <c r="C1580" s="10" t="s">
        <v>14579</v>
      </c>
      <c r="D1580" s="56" t="s">
        <v>14380</v>
      </c>
      <c r="E1580" s="59">
        <v>45301.0</v>
      </c>
      <c r="F1580" s="10" t="s">
        <v>14381</v>
      </c>
      <c r="G1580" s="10" t="s">
        <v>12654</v>
      </c>
      <c r="H1580" s="10" t="s">
        <v>937</v>
      </c>
      <c r="I1580" s="10" t="s">
        <v>55</v>
      </c>
      <c r="J1580" s="10" t="s">
        <v>13437</v>
      </c>
      <c r="K1580" s="10" t="s">
        <v>14580</v>
      </c>
      <c r="L1580" s="10" t="s">
        <v>42</v>
      </c>
    </row>
    <row r="1581" ht="15.75" customHeight="1">
      <c r="A1581" s="64">
        <v>45484.0</v>
      </c>
      <c r="B1581" s="55" t="str">
        <f>HYPERLINK("https://jobright.ai/jobs/info/6690ae4e714748cce6c38e69?utm_campaign=1065&amp;utm_source=sheet", "Apply")</f>
        <v>Apply</v>
      </c>
      <c r="C1581" s="10" t="s">
        <v>14536</v>
      </c>
      <c r="D1581" s="56" t="s">
        <v>14380</v>
      </c>
      <c r="E1581" s="59">
        <v>45301.0</v>
      </c>
      <c r="F1581" s="10" t="s">
        <v>14381</v>
      </c>
      <c r="G1581" s="10" t="s">
        <v>12654</v>
      </c>
      <c r="H1581" s="10" t="s">
        <v>766</v>
      </c>
      <c r="I1581" s="10" t="s">
        <v>55</v>
      </c>
      <c r="J1581" s="10" t="s">
        <v>13437</v>
      </c>
      <c r="K1581" s="10" t="s">
        <v>14537</v>
      </c>
      <c r="L1581" s="10" t="s">
        <v>42</v>
      </c>
    </row>
    <row r="1582" ht="15.75" customHeight="1">
      <c r="A1582" s="64">
        <v>45484.0</v>
      </c>
      <c r="B1582" s="55" t="str">
        <f>HYPERLINK("https://jobright.ai/jobs/info/6690ae56714748cce6c38e9f?utm_campaign=1065&amp;utm_source=sheet", "Apply")</f>
        <v>Apply</v>
      </c>
      <c r="C1582" s="10" t="s">
        <v>14536</v>
      </c>
      <c r="D1582" s="56" t="s">
        <v>14380</v>
      </c>
      <c r="E1582" s="59">
        <v>45301.0</v>
      </c>
      <c r="F1582" s="10" t="s">
        <v>14381</v>
      </c>
      <c r="G1582" s="10" t="s">
        <v>12654</v>
      </c>
      <c r="H1582" s="10" t="s">
        <v>874</v>
      </c>
      <c r="I1582" s="10" t="s">
        <v>55</v>
      </c>
      <c r="J1582" s="10" t="s">
        <v>13437</v>
      </c>
      <c r="K1582" s="10" t="s">
        <v>14537</v>
      </c>
      <c r="L1582" s="10" t="s">
        <v>42</v>
      </c>
    </row>
    <row r="1583" ht="15.75" customHeight="1">
      <c r="A1583" s="64">
        <v>45484.0</v>
      </c>
      <c r="B1583" s="55" t="str">
        <f>HYPERLINK("https://jobright.ai/jobs/info/6690ae4e714748cce6c38e89?utm_campaign=1065&amp;utm_source=sheet", "Apply")</f>
        <v>Apply</v>
      </c>
      <c r="C1583" s="10" t="s">
        <v>14536</v>
      </c>
      <c r="D1583" s="56" t="s">
        <v>14380</v>
      </c>
      <c r="E1583" s="59">
        <v>45301.0</v>
      </c>
      <c r="F1583" s="10" t="s">
        <v>14381</v>
      </c>
      <c r="G1583" s="10" t="s">
        <v>12654</v>
      </c>
      <c r="H1583" s="10" t="s">
        <v>946</v>
      </c>
      <c r="I1583" s="10" t="s">
        <v>55</v>
      </c>
      <c r="J1583" s="10" t="s">
        <v>13437</v>
      </c>
      <c r="K1583" s="10" t="s">
        <v>14537</v>
      </c>
      <c r="L1583" s="10" t="s">
        <v>42</v>
      </c>
    </row>
    <row r="1584" ht="15.75" customHeight="1">
      <c r="A1584" s="64">
        <v>45484.0</v>
      </c>
      <c r="B1584" s="55" t="str">
        <f>HYPERLINK("https://jobright.ai/jobs/info/6690ae56714748cce6c38eb1?utm_campaign=1065&amp;utm_source=sheet", "Apply")</f>
        <v>Apply</v>
      </c>
      <c r="C1584" s="10" t="s">
        <v>14579</v>
      </c>
      <c r="D1584" s="56" t="s">
        <v>14380</v>
      </c>
      <c r="E1584" s="59">
        <v>45301.0</v>
      </c>
      <c r="F1584" s="10" t="s">
        <v>14381</v>
      </c>
      <c r="G1584" s="10" t="s">
        <v>12654</v>
      </c>
      <c r="H1584" s="10" t="s">
        <v>893</v>
      </c>
      <c r="I1584" s="10" t="s">
        <v>55</v>
      </c>
      <c r="J1584" s="10" t="s">
        <v>13437</v>
      </c>
      <c r="K1584" s="10" t="s">
        <v>14580</v>
      </c>
      <c r="L1584" s="10" t="s">
        <v>42</v>
      </c>
    </row>
    <row r="1585" ht="15.75" customHeight="1">
      <c r="A1585" s="64">
        <v>45484.0</v>
      </c>
      <c r="B1585" s="55" t="str">
        <f>HYPERLINK("https://jobright.ai/jobs/info/6690ae56714748cce6c38ea8?utm_campaign=1065&amp;utm_source=sheet", "Apply")</f>
        <v>Apply</v>
      </c>
      <c r="C1585" s="10" t="s">
        <v>14536</v>
      </c>
      <c r="D1585" s="56" t="s">
        <v>14380</v>
      </c>
      <c r="E1585" s="59">
        <v>45301.0</v>
      </c>
      <c r="F1585" s="10" t="s">
        <v>14381</v>
      </c>
      <c r="G1585" s="10" t="s">
        <v>12654</v>
      </c>
      <c r="H1585" s="10" t="s">
        <v>814</v>
      </c>
      <c r="I1585" s="10" t="s">
        <v>55</v>
      </c>
      <c r="J1585" s="10" t="s">
        <v>13437</v>
      </c>
      <c r="K1585" s="10" t="s">
        <v>14537</v>
      </c>
      <c r="L1585" s="10" t="s">
        <v>42</v>
      </c>
    </row>
    <row r="1586" ht="15.75" customHeight="1">
      <c r="A1586" s="64">
        <v>45484.0</v>
      </c>
      <c r="B1586" s="55" t="str">
        <f>HYPERLINK("https://jobright.ai/jobs/info/6690ae56714748cce6c38ec3?utm_campaign=1065&amp;utm_source=sheet", "Apply")</f>
        <v>Apply</v>
      </c>
      <c r="C1586" s="10" t="s">
        <v>14536</v>
      </c>
      <c r="D1586" s="56" t="s">
        <v>14380</v>
      </c>
      <c r="E1586" s="59">
        <v>45301.0</v>
      </c>
      <c r="F1586" s="10" t="s">
        <v>14381</v>
      </c>
      <c r="G1586" s="10" t="s">
        <v>12654</v>
      </c>
      <c r="H1586" s="10" t="s">
        <v>894</v>
      </c>
      <c r="I1586" s="10" t="s">
        <v>55</v>
      </c>
      <c r="J1586" s="10" t="s">
        <v>13437</v>
      </c>
      <c r="K1586" s="10" t="s">
        <v>14537</v>
      </c>
      <c r="L1586" s="10" t="s">
        <v>42</v>
      </c>
    </row>
    <row r="1587" ht="15.75" customHeight="1">
      <c r="A1587" s="64">
        <v>45484.0</v>
      </c>
      <c r="B1587" s="55" t="str">
        <f>HYPERLINK("https://jobright.ai/jobs/info/6690ae56714748cce6c38ed9?utm_campaign=1065&amp;utm_source=sheet", "Apply")</f>
        <v>Apply</v>
      </c>
      <c r="C1587" s="10" t="s">
        <v>14536</v>
      </c>
      <c r="D1587" s="56" t="s">
        <v>14380</v>
      </c>
      <c r="E1587" s="59">
        <v>45301.0</v>
      </c>
      <c r="F1587" s="10" t="s">
        <v>14381</v>
      </c>
      <c r="G1587" s="10" t="s">
        <v>12654</v>
      </c>
      <c r="H1587" s="10" t="s">
        <v>898</v>
      </c>
      <c r="I1587" s="10" t="s">
        <v>55</v>
      </c>
      <c r="J1587" s="10" t="s">
        <v>13437</v>
      </c>
      <c r="K1587" s="10" t="s">
        <v>14537</v>
      </c>
      <c r="L1587" s="10" t="s">
        <v>42</v>
      </c>
    </row>
    <row r="1588" ht="15.75" customHeight="1">
      <c r="A1588" s="64">
        <v>45484.0</v>
      </c>
      <c r="B1588" s="55" t="str">
        <f>HYPERLINK("https://jobright.ai/jobs/info/6690ae56714748cce6c38edf?utm_campaign=1065&amp;utm_source=sheet", "Apply")</f>
        <v>Apply</v>
      </c>
      <c r="C1588" s="10" t="s">
        <v>14536</v>
      </c>
      <c r="D1588" s="56" t="s">
        <v>14380</v>
      </c>
      <c r="E1588" s="59">
        <v>45301.0</v>
      </c>
      <c r="F1588" s="10" t="s">
        <v>14381</v>
      </c>
      <c r="G1588" s="10" t="s">
        <v>12654</v>
      </c>
      <c r="H1588" s="10" t="s">
        <v>628</v>
      </c>
      <c r="I1588" s="10" t="s">
        <v>55</v>
      </c>
      <c r="J1588" s="10" t="s">
        <v>13437</v>
      </c>
      <c r="K1588" s="10" t="s">
        <v>14537</v>
      </c>
      <c r="L1588" s="10" t="s">
        <v>42</v>
      </c>
    </row>
    <row r="1589" ht="15.75" customHeight="1">
      <c r="A1589" s="64">
        <v>45484.0</v>
      </c>
      <c r="B1589" s="55" t="str">
        <f>HYPERLINK("https://jobright.ai/jobs/info/6690ae56714748cce6c38ee3?utm_campaign=1065&amp;utm_source=sheet", "Apply")</f>
        <v>Apply</v>
      </c>
      <c r="C1589" s="10" t="s">
        <v>14536</v>
      </c>
      <c r="D1589" s="56" t="s">
        <v>14380</v>
      </c>
      <c r="E1589" s="59">
        <v>45301.0</v>
      </c>
      <c r="F1589" s="10" t="s">
        <v>14381</v>
      </c>
      <c r="G1589" s="10" t="s">
        <v>12654</v>
      </c>
      <c r="H1589" s="10" t="s">
        <v>907</v>
      </c>
      <c r="I1589" s="10" t="s">
        <v>55</v>
      </c>
      <c r="J1589" s="10" t="s">
        <v>13437</v>
      </c>
      <c r="K1589" s="10" t="s">
        <v>14537</v>
      </c>
      <c r="L1589" s="10" t="s">
        <v>42</v>
      </c>
    </row>
    <row r="1590" ht="15.75" customHeight="1">
      <c r="A1590" s="64">
        <v>45484.0</v>
      </c>
      <c r="B1590" s="55" t="str">
        <f>HYPERLINK("https://jobright.ai/jobs/info/6690ae56714748cce6c38f01?utm_campaign=1065&amp;utm_source=sheet", "Apply")</f>
        <v>Apply</v>
      </c>
      <c r="C1590" s="10" t="s">
        <v>14536</v>
      </c>
      <c r="D1590" s="56" t="s">
        <v>14380</v>
      </c>
      <c r="E1590" s="59">
        <v>45301.0</v>
      </c>
      <c r="F1590" s="10" t="s">
        <v>14381</v>
      </c>
      <c r="G1590" s="10" t="s">
        <v>12654</v>
      </c>
      <c r="H1590" s="10" t="s">
        <v>765</v>
      </c>
      <c r="I1590" s="10" t="s">
        <v>55</v>
      </c>
      <c r="J1590" s="10" t="s">
        <v>13437</v>
      </c>
      <c r="K1590" s="10" t="s">
        <v>14537</v>
      </c>
      <c r="L1590" s="10" t="s">
        <v>42</v>
      </c>
    </row>
    <row r="1591" ht="15.75" customHeight="1">
      <c r="A1591" s="64">
        <v>45484.0</v>
      </c>
      <c r="B1591" s="55" t="str">
        <f>HYPERLINK("https://jobright.ai/jobs/info/6690ae56714748cce6c38ef9?utm_campaign=1065&amp;utm_source=sheet", "Apply")</f>
        <v>Apply</v>
      </c>
      <c r="C1591" s="10" t="s">
        <v>14536</v>
      </c>
      <c r="D1591" s="56" t="s">
        <v>14380</v>
      </c>
      <c r="E1591" s="59">
        <v>45301.0</v>
      </c>
      <c r="F1591" s="10" t="s">
        <v>14381</v>
      </c>
      <c r="G1591" s="10" t="s">
        <v>12654</v>
      </c>
      <c r="H1591" s="10" t="s">
        <v>890</v>
      </c>
      <c r="I1591" s="10" t="s">
        <v>55</v>
      </c>
      <c r="J1591" s="10" t="s">
        <v>13437</v>
      </c>
      <c r="K1591" s="10" t="s">
        <v>14537</v>
      </c>
      <c r="L1591" s="10" t="s">
        <v>42</v>
      </c>
    </row>
    <row r="1592" ht="15.75" customHeight="1">
      <c r="A1592" s="64">
        <v>45484.0</v>
      </c>
      <c r="B1592" s="55" t="str">
        <f>HYPERLINK("https://jobright.ai/jobs/info/6690ae56714748cce6c38eee?utm_campaign=1065&amp;utm_source=sheet", "Apply")</f>
        <v>Apply</v>
      </c>
      <c r="C1592" s="10" t="s">
        <v>14536</v>
      </c>
      <c r="D1592" s="56" t="s">
        <v>14380</v>
      </c>
      <c r="E1592" s="59">
        <v>45301.0</v>
      </c>
      <c r="F1592" s="10" t="s">
        <v>14381</v>
      </c>
      <c r="G1592" s="10" t="s">
        <v>12654</v>
      </c>
      <c r="H1592" s="10" t="s">
        <v>609</v>
      </c>
      <c r="I1592" s="10" t="s">
        <v>55</v>
      </c>
      <c r="J1592" s="10" t="s">
        <v>13437</v>
      </c>
      <c r="K1592" s="10" t="s">
        <v>14537</v>
      </c>
      <c r="L1592" s="10" t="s">
        <v>42</v>
      </c>
    </row>
    <row r="1593" ht="15.75" customHeight="1">
      <c r="A1593" s="64">
        <v>45484.0</v>
      </c>
      <c r="B1593" s="55" t="str">
        <f>HYPERLINK("https://jobright.ai/jobs/info/6690ae56714748cce6c38f02?utm_campaign=1065&amp;utm_source=sheet", "Apply")</f>
        <v>Apply</v>
      </c>
      <c r="C1593" s="10" t="s">
        <v>14536</v>
      </c>
      <c r="D1593" s="56" t="s">
        <v>14380</v>
      </c>
      <c r="E1593" s="59">
        <v>45301.0</v>
      </c>
      <c r="F1593" s="10" t="s">
        <v>14381</v>
      </c>
      <c r="G1593" s="10" t="s">
        <v>12654</v>
      </c>
      <c r="H1593" s="10" t="s">
        <v>278</v>
      </c>
      <c r="I1593" s="10" t="s">
        <v>55</v>
      </c>
      <c r="J1593" s="10" t="s">
        <v>13437</v>
      </c>
      <c r="K1593" s="10" t="s">
        <v>14537</v>
      </c>
      <c r="L1593" s="10" t="s">
        <v>42</v>
      </c>
    </row>
    <row r="1594" ht="15.75" customHeight="1">
      <c r="A1594" s="64">
        <v>45484.0</v>
      </c>
      <c r="B1594" s="55" t="str">
        <f>HYPERLINK("https://jobright.ai/jobs/info/6690ae56714748cce6c38f03?utm_campaign=1065&amp;utm_source=sheet", "Apply")</f>
        <v>Apply</v>
      </c>
      <c r="C1594" s="10" t="s">
        <v>14536</v>
      </c>
      <c r="D1594" s="56" t="s">
        <v>14380</v>
      </c>
      <c r="E1594" s="59">
        <v>45301.0</v>
      </c>
      <c r="F1594" s="10" t="s">
        <v>14381</v>
      </c>
      <c r="G1594" s="10" t="s">
        <v>12654</v>
      </c>
      <c r="H1594" s="10" t="s">
        <v>956</v>
      </c>
      <c r="I1594" s="10" t="s">
        <v>55</v>
      </c>
      <c r="J1594" s="10" t="s">
        <v>13437</v>
      </c>
      <c r="K1594" s="10" t="s">
        <v>14537</v>
      </c>
      <c r="L1594" s="10" t="s">
        <v>42</v>
      </c>
    </row>
    <row r="1595" ht="15.75" customHeight="1">
      <c r="A1595" s="64">
        <v>45484.0</v>
      </c>
      <c r="B1595" s="55" t="str">
        <f>HYPERLINK("https://jobright.ai/jobs/info/6690ae56714748cce6c38f04?utm_campaign=1065&amp;utm_source=sheet", "Apply")</f>
        <v>Apply</v>
      </c>
      <c r="C1595" s="10" t="s">
        <v>14536</v>
      </c>
      <c r="D1595" s="56" t="s">
        <v>14380</v>
      </c>
      <c r="E1595" s="59">
        <v>45301.0</v>
      </c>
      <c r="F1595" s="10" t="s">
        <v>14381</v>
      </c>
      <c r="G1595" s="10" t="s">
        <v>12654</v>
      </c>
      <c r="H1595" s="10" t="s">
        <v>822</v>
      </c>
      <c r="I1595" s="10" t="s">
        <v>55</v>
      </c>
      <c r="J1595" s="10" t="s">
        <v>13437</v>
      </c>
      <c r="K1595" s="10" t="s">
        <v>14537</v>
      </c>
      <c r="L1595" s="10" t="s">
        <v>42</v>
      </c>
    </row>
    <row r="1596" ht="15.75" customHeight="1">
      <c r="A1596" s="64">
        <v>45484.0</v>
      </c>
      <c r="B1596" s="55" t="str">
        <f>HYPERLINK("https://jobright.ai/jobs/info/6690ae56714748cce6c38efc?utm_campaign=1065&amp;utm_source=sheet", "Apply")</f>
        <v>Apply</v>
      </c>
      <c r="C1596" s="10" t="s">
        <v>14536</v>
      </c>
      <c r="D1596" s="56" t="s">
        <v>14380</v>
      </c>
      <c r="E1596" s="59">
        <v>45301.0</v>
      </c>
      <c r="F1596" s="10" t="s">
        <v>14381</v>
      </c>
      <c r="G1596" s="10" t="s">
        <v>12654</v>
      </c>
      <c r="H1596" s="10" t="s">
        <v>777</v>
      </c>
      <c r="I1596" s="10" t="s">
        <v>55</v>
      </c>
      <c r="J1596" s="10" t="s">
        <v>13437</v>
      </c>
      <c r="K1596" s="10" t="s">
        <v>14537</v>
      </c>
      <c r="L1596" s="10" t="s">
        <v>42</v>
      </c>
    </row>
    <row r="1597" ht="15.75" customHeight="1">
      <c r="A1597" s="64">
        <v>45484.0</v>
      </c>
      <c r="B1597" s="55" t="str">
        <f>HYPERLINK("https://jobright.ai/jobs/info/6690ae56714748cce6c38efd?utm_campaign=1065&amp;utm_source=sheet", "Apply")</f>
        <v>Apply</v>
      </c>
      <c r="C1597" s="10" t="s">
        <v>14536</v>
      </c>
      <c r="D1597" s="56" t="s">
        <v>14380</v>
      </c>
      <c r="E1597" s="59">
        <v>45301.0</v>
      </c>
      <c r="F1597" s="10" t="s">
        <v>14381</v>
      </c>
      <c r="G1597" s="10" t="s">
        <v>12654</v>
      </c>
      <c r="H1597" s="10" t="s">
        <v>391</v>
      </c>
      <c r="I1597" s="10" t="s">
        <v>55</v>
      </c>
      <c r="J1597" s="10" t="s">
        <v>13437</v>
      </c>
      <c r="K1597" s="10" t="s">
        <v>14537</v>
      </c>
      <c r="L1597" s="10" t="s">
        <v>42</v>
      </c>
    </row>
    <row r="1598" ht="15.75" customHeight="1">
      <c r="A1598" s="64">
        <v>45484.0</v>
      </c>
      <c r="B1598" s="55" t="str">
        <f>HYPERLINK("https://jobright.ai/jobs/info/6690ae56714748cce6c38f22?utm_campaign=1065&amp;utm_source=sheet", "Apply")</f>
        <v>Apply</v>
      </c>
      <c r="C1598" s="10" t="s">
        <v>14536</v>
      </c>
      <c r="D1598" s="56" t="s">
        <v>14380</v>
      </c>
      <c r="E1598" s="59">
        <v>45301.0</v>
      </c>
      <c r="F1598" s="10" t="s">
        <v>14381</v>
      </c>
      <c r="G1598" s="10" t="s">
        <v>12654</v>
      </c>
      <c r="H1598" s="10" t="s">
        <v>1051</v>
      </c>
      <c r="I1598" s="10" t="s">
        <v>55</v>
      </c>
      <c r="J1598" s="10" t="s">
        <v>13437</v>
      </c>
      <c r="K1598" s="10" t="s">
        <v>14537</v>
      </c>
      <c r="L1598" s="10" t="s">
        <v>42</v>
      </c>
    </row>
    <row r="1599" ht="15.75" customHeight="1">
      <c r="A1599" s="64">
        <v>45484.0</v>
      </c>
      <c r="B1599" s="55" t="str">
        <f>HYPERLINK("https://jobright.ai/jobs/info/6690ae56714748cce6c38f15?utm_campaign=1065&amp;utm_source=sheet", "Apply")</f>
        <v>Apply</v>
      </c>
      <c r="C1599" s="10" t="s">
        <v>14536</v>
      </c>
      <c r="D1599" s="56" t="s">
        <v>14380</v>
      </c>
      <c r="E1599" s="59">
        <v>45301.0</v>
      </c>
      <c r="F1599" s="10" t="s">
        <v>14381</v>
      </c>
      <c r="G1599" s="10" t="s">
        <v>12654</v>
      </c>
      <c r="H1599" s="10" t="s">
        <v>870</v>
      </c>
      <c r="I1599" s="10" t="s">
        <v>55</v>
      </c>
      <c r="J1599" s="10" t="s">
        <v>13437</v>
      </c>
      <c r="K1599" s="10" t="s">
        <v>14537</v>
      </c>
      <c r="L1599" s="10" t="s">
        <v>42</v>
      </c>
    </row>
    <row r="1600" ht="15.75" customHeight="1">
      <c r="A1600" s="64">
        <v>45484.0</v>
      </c>
      <c r="B1600" s="55" t="str">
        <f>HYPERLINK("https://jobright.ai/jobs/info/6690ae56714748cce6c38f11?utm_campaign=1065&amp;utm_source=sheet", "Apply")</f>
        <v>Apply</v>
      </c>
      <c r="C1600" s="10" t="s">
        <v>14536</v>
      </c>
      <c r="D1600" s="56" t="s">
        <v>14380</v>
      </c>
      <c r="E1600" s="59">
        <v>45301.0</v>
      </c>
      <c r="F1600" s="10" t="s">
        <v>14381</v>
      </c>
      <c r="G1600" s="10" t="s">
        <v>12654</v>
      </c>
      <c r="H1600" s="10" t="s">
        <v>708</v>
      </c>
      <c r="I1600" s="10" t="s">
        <v>55</v>
      </c>
      <c r="J1600" s="10" t="s">
        <v>13437</v>
      </c>
      <c r="K1600" s="10" t="s">
        <v>14537</v>
      </c>
      <c r="L1600" s="10" t="s">
        <v>42</v>
      </c>
    </row>
    <row r="1601" ht="15.75" customHeight="1">
      <c r="A1601" s="64">
        <v>45484.0</v>
      </c>
      <c r="B1601" s="55" t="str">
        <f>HYPERLINK("https://jobright.ai/jobs/info/6690ae56714748cce6c38f10?utm_campaign=1065&amp;utm_source=sheet", "Apply")</f>
        <v>Apply</v>
      </c>
      <c r="C1601" s="10" t="s">
        <v>14536</v>
      </c>
      <c r="D1601" s="56" t="s">
        <v>14380</v>
      </c>
      <c r="E1601" s="59">
        <v>45301.0</v>
      </c>
      <c r="F1601" s="10" t="s">
        <v>14381</v>
      </c>
      <c r="G1601" s="10" t="s">
        <v>12654</v>
      </c>
      <c r="H1601" s="10" t="s">
        <v>896</v>
      </c>
      <c r="I1601" s="10" t="s">
        <v>55</v>
      </c>
      <c r="J1601" s="10" t="s">
        <v>13437</v>
      </c>
      <c r="K1601" s="10" t="s">
        <v>14537</v>
      </c>
      <c r="L1601" s="10" t="s">
        <v>42</v>
      </c>
    </row>
    <row r="1602" ht="15.75" customHeight="1">
      <c r="A1602" s="64">
        <v>45484.0</v>
      </c>
      <c r="B1602" s="55" t="str">
        <f>HYPERLINK("https://jobright.ai/jobs/info/6690ae56714748cce6c38f2c?utm_campaign=1065&amp;utm_source=sheet", "Apply")</f>
        <v>Apply</v>
      </c>
      <c r="C1602" s="10" t="s">
        <v>14536</v>
      </c>
      <c r="D1602" s="56" t="s">
        <v>14380</v>
      </c>
      <c r="E1602" s="59">
        <v>45301.0</v>
      </c>
      <c r="F1602" s="10" t="s">
        <v>14381</v>
      </c>
      <c r="G1602" s="10" t="s">
        <v>12654</v>
      </c>
      <c r="H1602" s="10" t="s">
        <v>806</v>
      </c>
      <c r="I1602" s="10" t="s">
        <v>55</v>
      </c>
      <c r="J1602" s="10" t="s">
        <v>13437</v>
      </c>
      <c r="K1602" s="10" t="s">
        <v>14537</v>
      </c>
      <c r="L1602" s="10" t="s">
        <v>42</v>
      </c>
    </row>
    <row r="1603" ht="15.75" customHeight="1">
      <c r="A1603" s="64">
        <v>45484.0</v>
      </c>
      <c r="B1603" s="55" t="str">
        <f>HYPERLINK("https://jobright.ai/jobs/info/6690ae56714748cce6c38f1a?utm_campaign=1065&amp;utm_source=sheet", "Apply")</f>
        <v>Apply</v>
      </c>
      <c r="C1603" s="10" t="s">
        <v>14536</v>
      </c>
      <c r="D1603" s="56" t="s">
        <v>14380</v>
      </c>
      <c r="E1603" s="59">
        <v>45301.0</v>
      </c>
      <c r="F1603" s="10" t="s">
        <v>14381</v>
      </c>
      <c r="G1603" s="10" t="s">
        <v>12654</v>
      </c>
      <c r="H1603" s="10" t="s">
        <v>798</v>
      </c>
      <c r="I1603" s="10" t="s">
        <v>55</v>
      </c>
      <c r="J1603" s="10" t="s">
        <v>13437</v>
      </c>
      <c r="K1603" s="10" t="s">
        <v>14537</v>
      </c>
      <c r="L1603" s="10" t="s">
        <v>42</v>
      </c>
    </row>
    <row r="1604" ht="15.75" customHeight="1">
      <c r="A1604" s="64">
        <v>45484.0</v>
      </c>
      <c r="B1604" s="55" t="str">
        <f>HYPERLINK("https://jobright.ai/jobs/info/6690ae56714748cce6c38f18?utm_campaign=1065&amp;utm_source=sheet", "Apply")</f>
        <v>Apply</v>
      </c>
      <c r="C1604" s="10" t="s">
        <v>14536</v>
      </c>
      <c r="D1604" s="56" t="s">
        <v>14380</v>
      </c>
      <c r="E1604" s="59">
        <v>45301.0</v>
      </c>
      <c r="F1604" s="10" t="s">
        <v>14381</v>
      </c>
      <c r="G1604" s="10" t="s">
        <v>12654</v>
      </c>
      <c r="H1604" s="10" t="s">
        <v>174</v>
      </c>
      <c r="I1604" s="10" t="s">
        <v>55</v>
      </c>
      <c r="J1604" s="10" t="s">
        <v>13437</v>
      </c>
      <c r="K1604" s="10" t="s">
        <v>14537</v>
      </c>
      <c r="L1604" s="10" t="s">
        <v>42</v>
      </c>
    </row>
    <row r="1605" ht="15.75" customHeight="1">
      <c r="A1605" s="64">
        <v>45484.0</v>
      </c>
      <c r="B1605" s="55" t="str">
        <f>HYPERLINK("https://jobright.ai/jobs/info/6690ae56714748cce6c38f35?utm_campaign=1065&amp;utm_source=sheet", "Apply")</f>
        <v>Apply</v>
      </c>
      <c r="C1605" s="10" t="s">
        <v>14536</v>
      </c>
      <c r="D1605" s="56" t="s">
        <v>14380</v>
      </c>
      <c r="E1605" s="59">
        <v>45301.0</v>
      </c>
      <c r="F1605" s="10" t="s">
        <v>14381</v>
      </c>
      <c r="G1605" s="10" t="s">
        <v>12654</v>
      </c>
      <c r="H1605" s="10" t="s">
        <v>913</v>
      </c>
      <c r="I1605" s="10" t="s">
        <v>55</v>
      </c>
      <c r="J1605" s="10" t="s">
        <v>13437</v>
      </c>
      <c r="K1605" s="10" t="s">
        <v>14537</v>
      </c>
      <c r="L1605" s="10" t="s">
        <v>42</v>
      </c>
    </row>
    <row r="1606" ht="15.75" customHeight="1">
      <c r="A1606" s="64">
        <v>45484.0</v>
      </c>
      <c r="B1606" s="55" t="str">
        <f>HYPERLINK("https://jobright.ai/jobs/info/6690ae56714748cce6c38f44?utm_campaign=1065&amp;utm_source=sheet", "Apply")</f>
        <v>Apply</v>
      </c>
      <c r="C1606" s="10" t="s">
        <v>14536</v>
      </c>
      <c r="D1606" s="56" t="s">
        <v>14380</v>
      </c>
      <c r="E1606" s="59">
        <v>45301.0</v>
      </c>
      <c r="F1606" s="10" t="s">
        <v>14381</v>
      </c>
      <c r="G1606" s="10" t="s">
        <v>12654</v>
      </c>
      <c r="H1606" s="10" t="s">
        <v>1002</v>
      </c>
      <c r="I1606" s="10" t="s">
        <v>55</v>
      </c>
      <c r="J1606" s="10" t="s">
        <v>13437</v>
      </c>
      <c r="K1606" s="10" t="s">
        <v>14537</v>
      </c>
      <c r="L1606" s="10" t="s">
        <v>42</v>
      </c>
    </row>
    <row r="1607" ht="15.75" customHeight="1">
      <c r="A1607" s="64">
        <v>45484.0</v>
      </c>
      <c r="B1607" s="55" t="str">
        <f>HYPERLINK("https://jobright.ai/jobs/info/6690ae56714748cce6c38f3e?utm_campaign=1065&amp;utm_source=sheet", "Apply")</f>
        <v>Apply</v>
      </c>
      <c r="C1607" s="10" t="s">
        <v>14536</v>
      </c>
      <c r="D1607" s="56" t="s">
        <v>14380</v>
      </c>
      <c r="E1607" s="59">
        <v>45301.0</v>
      </c>
      <c r="F1607" s="10" t="s">
        <v>14381</v>
      </c>
      <c r="G1607" s="10" t="s">
        <v>12654</v>
      </c>
      <c r="H1607" s="10" t="s">
        <v>942</v>
      </c>
      <c r="I1607" s="10" t="s">
        <v>55</v>
      </c>
      <c r="J1607" s="10" t="s">
        <v>13437</v>
      </c>
      <c r="K1607" s="10" t="s">
        <v>14537</v>
      </c>
      <c r="L1607" s="10" t="s">
        <v>42</v>
      </c>
    </row>
    <row r="1608" ht="15.75" customHeight="1">
      <c r="A1608" s="64">
        <v>45484.0</v>
      </c>
      <c r="B1608" s="55" t="str">
        <f>HYPERLINK("https://jobright.ai/jobs/info/6690ae5e714748cce6c38f65?utm_campaign=1065&amp;utm_source=sheet", "Apply")</f>
        <v>Apply</v>
      </c>
      <c r="C1608" s="10" t="s">
        <v>14536</v>
      </c>
      <c r="D1608" s="56" t="s">
        <v>14380</v>
      </c>
      <c r="E1608" s="59">
        <v>45301.0</v>
      </c>
      <c r="F1608" s="10" t="s">
        <v>14381</v>
      </c>
      <c r="G1608" s="10" t="s">
        <v>12654</v>
      </c>
      <c r="H1608" s="10" t="s">
        <v>411</v>
      </c>
      <c r="I1608" s="10" t="s">
        <v>55</v>
      </c>
      <c r="J1608" s="10" t="s">
        <v>13437</v>
      </c>
      <c r="K1608" s="10" t="s">
        <v>14537</v>
      </c>
      <c r="L1608" s="10" t="s">
        <v>42</v>
      </c>
    </row>
    <row r="1609" ht="15.75" customHeight="1">
      <c r="A1609" s="64">
        <v>45484.0</v>
      </c>
      <c r="B1609" s="55" t="str">
        <f>HYPERLINK("https://jobright.ai/jobs/info/6690ae5e714748cce6c38f6a?utm_campaign=1065&amp;utm_source=sheet", "Apply")</f>
        <v>Apply</v>
      </c>
      <c r="C1609" s="10" t="s">
        <v>14536</v>
      </c>
      <c r="D1609" s="56" t="s">
        <v>14380</v>
      </c>
      <c r="E1609" s="59">
        <v>45301.0</v>
      </c>
      <c r="F1609" s="10" t="s">
        <v>14381</v>
      </c>
      <c r="G1609" s="10" t="s">
        <v>12654</v>
      </c>
      <c r="H1609" s="10" t="s">
        <v>975</v>
      </c>
      <c r="I1609" s="10" t="s">
        <v>55</v>
      </c>
      <c r="J1609" s="10" t="s">
        <v>13437</v>
      </c>
      <c r="K1609" s="10" t="s">
        <v>14537</v>
      </c>
      <c r="L1609" s="10" t="s">
        <v>42</v>
      </c>
    </row>
    <row r="1610" ht="15.75" customHeight="1">
      <c r="A1610" s="64">
        <v>45484.0</v>
      </c>
      <c r="B1610" s="55" t="str">
        <f>HYPERLINK("https://jobright.ai/jobs/info/6690ae5e714748cce6c38f7f?utm_campaign=1065&amp;utm_source=sheet", "Apply")</f>
        <v>Apply</v>
      </c>
      <c r="C1610" s="10" t="s">
        <v>14536</v>
      </c>
      <c r="D1610" s="56" t="s">
        <v>14380</v>
      </c>
      <c r="E1610" s="59">
        <v>45301.0</v>
      </c>
      <c r="F1610" s="10" t="s">
        <v>14381</v>
      </c>
      <c r="G1610" s="10" t="s">
        <v>12654</v>
      </c>
      <c r="H1610" s="10" t="s">
        <v>899</v>
      </c>
      <c r="I1610" s="10" t="s">
        <v>55</v>
      </c>
      <c r="J1610" s="10" t="s">
        <v>13437</v>
      </c>
      <c r="K1610" s="10" t="s">
        <v>14537</v>
      </c>
      <c r="L1610" s="10" t="s">
        <v>42</v>
      </c>
    </row>
    <row r="1611" ht="15.75" customHeight="1">
      <c r="A1611" s="64">
        <v>45484.0</v>
      </c>
      <c r="B1611" s="55" t="str">
        <f>HYPERLINK("https://jobright.ai/jobs/info/6690ae5e714748cce6c38f9d?utm_campaign=1065&amp;utm_source=sheet", "Apply")</f>
        <v>Apply</v>
      </c>
      <c r="C1611" s="10" t="s">
        <v>14536</v>
      </c>
      <c r="D1611" s="56" t="s">
        <v>14380</v>
      </c>
      <c r="E1611" s="59">
        <v>45301.0</v>
      </c>
      <c r="F1611" s="10" t="s">
        <v>14381</v>
      </c>
      <c r="G1611" s="10" t="s">
        <v>12654</v>
      </c>
      <c r="H1611" s="10" t="s">
        <v>1003</v>
      </c>
      <c r="I1611" s="10" t="s">
        <v>55</v>
      </c>
      <c r="J1611" s="10" t="s">
        <v>13437</v>
      </c>
      <c r="K1611" s="10" t="s">
        <v>14537</v>
      </c>
      <c r="L1611" s="10" t="s">
        <v>42</v>
      </c>
    </row>
    <row r="1612" ht="15.75" customHeight="1">
      <c r="A1612" s="64">
        <v>45484.0</v>
      </c>
      <c r="B1612" s="55" t="str">
        <f>HYPERLINK("https://jobright.ai/jobs/info/6690ae5e714748cce6c38f82?utm_campaign=1065&amp;utm_source=sheet", "Apply")</f>
        <v>Apply</v>
      </c>
      <c r="C1612" s="10" t="s">
        <v>14536</v>
      </c>
      <c r="D1612" s="56" t="s">
        <v>14380</v>
      </c>
      <c r="E1612" s="59">
        <v>45301.0</v>
      </c>
      <c r="F1612" s="10" t="s">
        <v>14381</v>
      </c>
      <c r="G1612" s="10" t="s">
        <v>12654</v>
      </c>
      <c r="H1612" s="10" t="s">
        <v>167</v>
      </c>
      <c r="I1612" s="10" t="s">
        <v>55</v>
      </c>
      <c r="J1612" s="10" t="s">
        <v>13437</v>
      </c>
      <c r="K1612" s="10" t="s">
        <v>14537</v>
      </c>
      <c r="L1612" s="10" t="s">
        <v>42</v>
      </c>
    </row>
    <row r="1613" ht="15.75" customHeight="1">
      <c r="A1613" s="64">
        <v>45484.0</v>
      </c>
      <c r="B1613" s="55" t="str">
        <f>HYPERLINK("https://jobright.ai/jobs/info/6690ae5e714748cce6c38f94?utm_campaign=1065&amp;utm_source=sheet", "Apply")</f>
        <v>Apply</v>
      </c>
      <c r="C1613" s="10" t="s">
        <v>14536</v>
      </c>
      <c r="D1613" s="56" t="s">
        <v>14380</v>
      </c>
      <c r="E1613" s="59">
        <v>45301.0</v>
      </c>
      <c r="F1613" s="10" t="s">
        <v>14381</v>
      </c>
      <c r="G1613" s="10" t="s">
        <v>12654</v>
      </c>
      <c r="H1613" s="10" t="s">
        <v>910</v>
      </c>
      <c r="I1613" s="10" t="s">
        <v>55</v>
      </c>
      <c r="J1613" s="10" t="s">
        <v>13437</v>
      </c>
      <c r="K1613" s="10" t="s">
        <v>14537</v>
      </c>
      <c r="L1613" s="10" t="s">
        <v>42</v>
      </c>
    </row>
    <row r="1614" ht="15.75" customHeight="1">
      <c r="A1614" s="64">
        <v>45484.0</v>
      </c>
      <c r="B1614" s="55" t="str">
        <f>HYPERLINK("https://jobright.ai/jobs/info/6690ae5e714748cce6c38f8b?utm_campaign=1065&amp;utm_source=sheet", "Apply")</f>
        <v>Apply</v>
      </c>
      <c r="C1614" s="10" t="s">
        <v>14536</v>
      </c>
      <c r="D1614" s="56" t="s">
        <v>14380</v>
      </c>
      <c r="E1614" s="59">
        <v>45301.0</v>
      </c>
      <c r="F1614" s="10" t="s">
        <v>14381</v>
      </c>
      <c r="G1614" s="10" t="s">
        <v>12654</v>
      </c>
      <c r="H1614" s="10" t="s">
        <v>816</v>
      </c>
      <c r="I1614" s="10" t="s">
        <v>55</v>
      </c>
      <c r="J1614" s="10" t="s">
        <v>13437</v>
      </c>
      <c r="K1614" s="10" t="s">
        <v>14537</v>
      </c>
      <c r="L1614" s="10" t="s">
        <v>42</v>
      </c>
    </row>
    <row r="1615" ht="15.75" customHeight="1">
      <c r="A1615" s="64">
        <v>45484.0</v>
      </c>
      <c r="B1615" s="55" t="str">
        <f>HYPERLINK("https://jobright.ai/jobs/info/6690ae5e714748cce6c38fc4?utm_campaign=1065&amp;utm_source=sheet", "Apply")</f>
        <v>Apply</v>
      </c>
      <c r="C1615" s="10" t="s">
        <v>14536</v>
      </c>
      <c r="D1615" s="56" t="s">
        <v>14380</v>
      </c>
      <c r="E1615" s="59">
        <v>45301.0</v>
      </c>
      <c r="F1615" s="10" t="s">
        <v>14381</v>
      </c>
      <c r="G1615" s="10" t="s">
        <v>12654</v>
      </c>
      <c r="H1615" s="10" t="s">
        <v>767</v>
      </c>
      <c r="I1615" s="10" t="s">
        <v>55</v>
      </c>
      <c r="J1615" s="10" t="s">
        <v>13437</v>
      </c>
      <c r="K1615" s="10" t="s">
        <v>14537</v>
      </c>
      <c r="L1615" s="10" t="s">
        <v>42</v>
      </c>
    </row>
    <row r="1616" ht="15.75" customHeight="1">
      <c r="A1616" s="64">
        <v>45484.0</v>
      </c>
      <c r="B1616" s="55" t="str">
        <f>HYPERLINK("https://jobright.ai/jobs/info/6690ae5e714748cce6c38fa3?utm_campaign=1065&amp;utm_source=sheet", "Apply")</f>
        <v>Apply</v>
      </c>
      <c r="C1616" s="10" t="s">
        <v>14536</v>
      </c>
      <c r="D1616" s="56" t="s">
        <v>14380</v>
      </c>
      <c r="E1616" s="59">
        <v>45301.0</v>
      </c>
      <c r="F1616" s="10" t="s">
        <v>14381</v>
      </c>
      <c r="G1616" s="10" t="s">
        <v>12654</v>
      </c>
      <c r="H1616" s="10" t="s">
        <v>928</v>
      </c>
      <c r="I1616" s="10" t="s">
        <v>55</v>
      </c>
      <c r="J1616" s="10" t="s">
        <v>13437</v>
      </c>
      <c r="K1616" s="10" t="s">
        <v>14537</v>
      </c>
      <c r="L1616" s="10" t="s">
        <v>42</v>
      </c>
    </row>
    <row r="1617" ht="15.75" customHeight="1">
      <c r="A1617" s="64">
        <v>45484.0</v>
      </c>
      <c r="B1617" s="55" t="str">
        <f>HYPERLINK("https://jobright.ai/jobs/info/6690ae5e714748cce6c38fb3?utm_campaign=1065&amp;utm_source=sheet", "Apply")</f>
        <v>Apply</v>
      </c>
      <c r="C1617" s="10" t="s">
        <v>14536</v>
      </c>
      <c r="D1617" s="56" t="s">
        <v>14380</v>
      </c>
      <c r="E1617" s="59">
        <v>45301.0</v>
      </c>
      <c r="F1617" s="10" t="s">
        <v>14381</v>
      </c>
      <c r="G1617" s="10" t="s">
        <v>12654</v>
      </c>
      <c r="H1617" s="10" t="s">
        <v>917</v>
      </c>
      <c r="I1617" s="10" t="s">
        <v>55</v>
      </c>
      <c r="J1617" s="10" t="s">
        <v>13437</v>
      </c>
      <c r="K1617" s="10" t="s">
        <v>14537</v>
      </c>
      <c r="L1617" s="10" t="s">
        <v>42</v>
      </c>
    </row>
    <row r="1618" ht="15.75" customHeight="1">
      <c r="A1618" s="64">
        <v>45484.0</v>
      </c>
      <c r="B1618" s="55" t="str">
        <f>HYPERLINK("https://jobright.ai/jobs/info/6690ae5e714748cce6c38fe4?utm_campaign=1065&amp;utm_source=sheet", "Apply")</f>
        <v>Apply</v>
      </c>
      <c r="C1618" s="10" t="s">
        <v>14536</v>
      </c>
      <c r="D1618" s="56" t="s">
        <v>14380</v>
      </c>
      <c r="E1618" s="59">
        <v>45301.0</v>
      </c>
      <c r="F1618" s="10" t="s">
        <v>14381</v>
      </c>
      <c r="G1618" s="10" t="s">
        <v>12654</v>
      </c>
      <c r="H1618" s="10" t="s">
        <v>857</v>
      </c>
      <c r="I1618" s="10" t="s">
        <v>55</v>
      </c>
      <c r="J1618" s="10" t="s">
        <v>13437</v>
      </c>
      <c r="K1618" s="10" t="s">
        <v>14537</v>
      </c>
      <c r="L1618" s="10" t="s">
        <v>42</v>
      </c>
    </row>
    <row r="1619" ht="15.75" customHeight="1">
      <c r="A1619" s="64">
        <v>45484.0</v>
      </c>
      <c r="B1619" s="55" t="str">
        <f>HYPERLINK("https://jobright.ai/jobs/info/6690ae5e714748cce6c38fec?utm_campaign=1065&amp;utm_source=sheet", "Apply")</f>
        <v>Apply</v>
      </c>
      <c r="C1619" s="10" t="s">
        <v>14536</v>
      </c>
      <c r="D1619" s="56" t="s">
        <v>14380</v>
      </c>
      <c r="E1619" s="59">
        <v>45301.0</v>
      </c>
      <c r="F1619" s="10" t="s">
        <v>14381</v>
      </c>
      <c r="G1619" s="10" t="s">
        <v>12654</v>
      </c>
      <c r="H1619" s="10" t="s">
        <v>901</v>
      </c>
      <c r="I1619" s="10" t="s">
        <v>55</v>
      </c>
      <c r="J1619" s="10" t="s">
        <v>13437</v>
      </c>
      <c r="K1619" s="10" t="s">
        <v>14537</v>
      </c>
      <c r="L1619" s="10" t="s">
        <v>42</v>
      </c>
    </row>
    <row r="1620" ht="15.75" customHeight="1">
      <c r="A1620" s="64">
        <v>45484.0</v>
      </c>
      <c r="B1620" s="55" t="str">
        <f>HYPERLINK("https://jobright.ai/jobs/info/6690ae5e714748cce6c38ff4?utm_campaign=1065&amp;utm_source=sheet", "Apply")</f>
        <v>Apply</v>
      </c>
      <c r="C1620" s="10" t="s">
        <v>14536</v>
      </c>
      <c r="D1620" s="56" t="s">
        <v>14380</v>
      </c>
      <c r="E1620" s="59">
        <v>45301.0</v>
      </c>
      <c r="F1620" s="10" t="s">
        <v>14381</v>
      </c>
      <c r="G1620" s="10" t="s">
        <v>12654</v>
      </c>
      <c r="H1620" s="10" t="s">
        <v>131</v>
      </c>
      <c r="I1620" s="10" t="s">
        <v>55</v>
      </c>
      <c r="J1620" s="10" t="s">
        <v>13437</v>
      </c>
      <c r="K1620" s="10" t="s">
        <v>14537</v>
      </c>
      <c r="L1620" s="10" t="s">
        <v>42</v>
      </c>
    </row>
    <row r="1621" ht="15.75" customHeight="1">
      <c r="A1621" s="64">
        <v>45484.0</v>
      </c>
      <c r="B1621" s="55" t="str">
        <f>HYPERLINK("https://jobright.ai/jobs/info/6690ae5e714748cce6c38ff2?utm_campaign=1065&amp;utm_source=sheet", "Apply")</f>
        <v>Apply</v>
      </c>
      <c r="C1621" s="10" t="s">
        <v>14536</v>
      </c>
      <c r="D1621" s="56" t="s">
        <v>14380</v>
      </c>
      <c r="E1621" s="59">
        <v>45301.0</v>
      </c>
      <c r="F1621" s="10" t="s">
        <v>14381</v>
      </c>
      <c r="G1621" s="10" t="s">
        <v>12654</v>
      </c>
      <c r="H1621" s="10" t="s">
        <v>878</v>
      </c>
      <c r="I1621" s="10" t="s">
        <v>55</v>
      </c>
      <c r="J1621" s="10" t="s">
        <v>13437</v>
      </c>
      <c r="K1621" s="10" t="s">
        <v>14537</v>
      </c>
      <c r="L1621" s="10" t="s">
        <v>42</v>
      </c>
    </row>
    <row r="1622" ht="15.75" customHeight="1">
      <c r="A1622" s="64">
        <v>45484.0</v>
      </c>
      <c r="B1622" s="55" t="str">
        <f>HYPERLINK("https://jobright.ai/jobs/info/6690ae5e714748cce6c38ff7?utm_campaign=1065&amp;utm_source=sheet", "Apply")</f>
        <v>Apply</v>
      </c>
      <c r="C1622" s="10" t="s">
        <v>14536</v>
      </c>
      <c r="D1622" s="56" t="s">
        <v>14380</v>
      </c>
      <c r="E1622" s="59">
        <v>45301.0</v>
      </c>
      <c r="F1622" s="10" t="s">
        <v>14381</v>
      </c>
      <c r="G1622" s="10" t="s">
        <v>12654</v>
      </c>
      <c r="H1622" s="10" t="s">
        <v>1006</v>
      </c>
      <c r="I1622" s="10" t="s">
        <v>55</v>
      </c>
      <c r="J1622" s="10" t="s">
        <v>13437</v>
      </c>
      <c r="K1622" s="10" t="s">
        <v>14537</v>
      </c>
      <c r="L1622" s="10" t="s">
        <v>42</v>
      </c>
    </row>
    <row r="1623" ht="15.75" customHeight="1">
      <c r="A1623" s="64">
        <v>45484.0</v>
      </c>
      <c r="B1623" s="55" t="str">
        <f>HYPERLINK("https://jobright.ai/jobs/info/6690ae5e714748cce6c38fff?utm_campaign=1065&amp;utm_source=sheet", "Apply")</f>
        <v>Apply</v>
      </c>
      <c r="C1623" s="10" t="s">
        <v>14536</v>
      </c>
      <c r="D1623" s="56" t="s">
        <v>14380</v>
      </c>
      <c r="E1623" s="59">
        <v>45301.0</v>
      </c>
      <c r="F1623" s="10" t="s">
        <v>14381</v>
      </c>
      <c r="G1623" s="10" t="s">
        <v>12654</v>
      </c>
      <c r="H1623" s="10" t="s">
        <v>856</v>
      </c>
      <c r="I1623" s="10" t="s">
        <v>55</v>
      </c>
      <c r="J1623" s="10" t="s">
        <v>13437</v>
      </c>
      <c r="K1623" s="10" t="s">
        <v>14537</v>
      </c>
      <c r="L1623" s="10" t="s">
        <v>42</v>
      </c>
    </row>
    <row r="1624" ht="15.75" customHeight="1">
      <c r="A1624" s="64">
        <v>45484.0</v>
      </c>
      <c r="B1624" s="55" t="str">
        <f>HYPERLINK("https://jobright.ai/jobs/info/6690ae5e714748cce6c39003?utm_campaign=1065&amp;utm_source=sheet", "Apply")</f>
        <v>Apply</v>
      </c>
      <c r="C1624" s="10" t="s">
        <v>14536</v>
      </c>
      <c r="D1624" s="56" t="s">
        <v>14380</v>
      </c>
      <c r="E1624" s="59">
        <v>45301.0</v>
      </c>
      <c r="F1624" s="10" t="s">
        <v>14381</v>
      </c>
      <c r="G1624" s="10" t="s">
        <v>12654</v>
      </c>
      <c r="H1624" s="10" t="s">
        <v>760</v>
      </c>
      <c r="I1624" s="10" t="s">
        <v>55</v>
      </c>
      <c r="J1624" s="10" t="s">
        <v>13437</v>
      </c>
      <c r="K1624" s="10" t="s">
        <v>14537</v>
      </c>
      <c r="L1624" s="10" t="s">
        <v>42</v>
      </c>
    </row>
    <row r="1625" ht="15.75" customHeight="1">
      <c r="A1625" s="64">
        <v>45484.0</v>
      </c>
      <c r="B1625" s="55" t="str">
        <f>HYPERLINK("https://jobright.ai/jobs/info/6690ae5e714748cce6c3900c?utm_campaign=1065&amp;utm_source=sheet", "Apply")</f>
        <v>Apply</v>
      </c>
      <c r="C1625" s="10" t="s">
        <v>14536</v>
      </c>
      <c r="D1625" s="56" t="s">
        <v>14380</v>
      </c>
      <c r="E1625" s="59">
        <v>45301.0</v>
      </c>
      <c r="F1625" s="10" t="s">
        <v>14381</v>
      </c>
      <c r="G1625" s="10" t="s">
        <v>12654</v>
      </c>
      <c r="H1625" s="10" t="s">
        <v>960</v>
      </c>
      <c r="I1625" s="10" t="s">
        <v>55</v>
      </c>
      <c r="J1625" s="10" t="s">
        <v>13437</v>
      </c>
      <c r="K1625" s="10" t="s">
        <v>14537</v>
      </c>
      <c r="L1625" s="10" t="s">
        <v>42</v>
      </c>
    </row>
    <row r="1626" ht="15.75" customHeight="1">
      <c r="A1626" s="64">
        <v>45484.0</v>
      </c>
      <c r="B1626" s="55" t="str">
        <f>HYPERLINK("https://jobright.ai/jobs/info/6690ae5e714748cce6c3901c?utm_campaign=1065&amp;utm_source=sheet", "Apply")</f>
        <v>Apply</v>
      </c>
      <c r="C1626" s="10" t="s">
        <v>14536</v>
      </c>
      <c r="D1626" s="56" t="s">
        <v>14380</v>
      </c>
      <c r="E1626" s="59">
        <v>45301.0</v>
      </c>
      <c r="F1626" s="10" t="s">
        <v>14381</v>
      </c>
      <c r="G1626" s="10" t="s">
        <v>12654</v>
      </c>
      <c r="H1626" s="10" t="s">
        <v>914</v>
      </c>
      <c r="I1626" s="10" t="s">
        <v>55</v>
      </c>
      <c r="J1626" s="10" t="s">
        <v>13437</v>
      </c>
      <c r="K1626" s="10" t="s">
        <v>14537</v>
      </c>
      <c r="L1626" s="10" t="s">
        <v>42</v>
      </c>
    </row>
    <row r="1627" ht="15.75" customHeight="1">
      <c r="A1627" s="64">
        <v>45484.0</v>
      </c>
      <c r="B1627" s="55" t="str">
        <f>HYPERLINK("https://jobright.ai/jobs/info/6690ae5e714748cce6c39016?utm_campaign=1065&amp;utm_source=sheet", "Apply")</f>
        <v>Apply</v>
      </c>
      <c r="C1627" s="10" t="s">
        <v>14536</v>
      </c>
      <c r="D1627" s="56" t="s">
        <v>14380</v>
      </c>
      <c r="E1627" s="59">
        <v>45301.0</v>
      </c>
      <c r="F1627" s="10" t="s">
        <v>14381</v>
      </c>
      <c r="G1627" s="10" t="s">
        <v>12654</v>
      </c>
      <c r="H1627" s="10" t="s">
        <v>944</v>
      </c>
      <c r="I1627" s="10" t="s">
        <v>55</v>
      </c>
      <c r="J1627" s="10" t="s">
        <v>13437</v>
      </c>
      <c r="K1627" s="10" t="s">
        <v>14537</v>
      </c>
      <c r="L1627" s="10" t="s">
        <v>42</v>
      </c>
    </row>
    <row r="1628" ht="15.75" customHeight="1">
      <c r="A1628" s="64">
        <v>45484.0</v>
      </c>
      <c r="B1628" s="55" t="str">
        <f>HYPERLINK("https://jobright.ai/jobs/info/6690ae5e714748cce6c39015?utm_campaign=1065&amp;utm_source=sheet", "Apply")</f>
        <v>Apply</v>
      </c>
      <c r="C1628" s="10" t="s">
        <v>14536</v>
      </c>
      <c r="D1628" s="56" t="s">
        <v>14380</v>
      </c>
      <c r="E1628" s="59">
        <v>45301.0</v>
      </c>
      <c r="F1628" s="10" t="s">
        <v>14381</v>
      </c>
      <c r="G1628" s="10" t="s">
        <v>12654</v>
      </c>
      <c r="H1628" s="10" t="s">
        <v>842</v>
      </c>
      <c r="I1628" s="10" t="s">
        <v>55</v>
      </c>
      <c r="J1628" s="10" t="s">
        <v>13437</v>
      </c>
      <c r="K1628" s="10" t="s">
        <v>14537</v>
      </c>
      <c r="L1628" s="10" t="s">
        <v>42</v>
      </c>
    </row>
    <row r="1629" ht="15.75" customHeight="1">
      <c r="A1629" s="64">
        <v>45484.0</v>
      </c>
      <c r="B1629" s="55" t="str">
        <f>HYPERLINK("https://jobright.ai/jobs/info/6690ae5e714748cce6c39014?utm_campaign=1065&amp;utm_source=sheet", "Apply")</f>
        <v>Apply</v>
      </c>
      <c r="C1629" s="10" t="s">
        <v>14536</v>
      </c>
      <c r="D1629" s="56" t="s">
        <v>14380</v>
      </c>
      <c r="E1629" s="59">
        <v>45301.0</v>
      </c>
      <c r="F1629" s="10" t="s">
        <v>14381</v>
      </c>
      <c r="G1629" s="10" t="s">
        <v>12654</v>
      </c>
      <c r="H1629" s="10" t="s">
        <v>808</v>
      </c>
      <c r="I1629" s="10" t="s">
        <v>55</v>
      </c>
      <c r="J1629" s="10" t="s">
        <v>13437</v>
      </c>
      <c r="K1629" s="10" t="s">
        <v>14537</v>
      </c>
      <c r="L1629" s="10" t="s">
        <v>42</v>
      </c>
    </row>
    <row r="1630" ht="15.75" customHeight="1">
      <c r="A1630" s="64">
        <v>45484.0</v>
      </c>
      <c r="B1630" s="55" t="str">
        <f>HYPERLINK("https://jobright.ai/jobs/info/6690ae5e714748cce6c3901b?utm_campaign=1065&amp;utm_source=sheet", "Apply")</f>
        <v>Apply</v>
      </c>
      <c r="C1630" s="10" t="s">
        <v>14536</v>
      </c>
      <c r="D1630" s="56" t="s">
        <v>14380</v>
      </c>
      <c r="E1630" s="59">
        <v>45301.0</v>
      </c>
      <c r="F1630" s="10" t="s">
        <v>14381</v>
      </c>
      <c r="G1630" s="10" t="s">
        <v>12654</v>
      </c>
      <c r="H1630" s="10" t="s">
        <v>781</v>
      </c>
      <c r="I1630" s="10" t="s">
        <v>55</v>
      </c>
      <c r="J1630" s="10" t="s">
        <v>13437</v>
      </c>
      <c r="K1630" s="10" t="s">
        <v>14537</v>
      </c>
      <c r="L1630" s="10" t="s">
        <v>42</v>
      </c>
    </row>
    <row r="1631" ht="15.75" customHeight="1">
      <c r="A1631" s="64">
        <v>45484.0</v>
      </c>
      <c r="B1631" s="55" t="str">
        <f>HYPERLINK("https://jobright.ai/jobs/info/6690ae5e714748cce6c39026?utm_campaign=1065&amp;utm_source=sheet", "Apply")</f>
        <v>Apply</v>
      </c>
      <c r="C1631" s="10" t="s">
        <v>14536</v>
      </c>
      <c r="D1631" s="56" t="s">
        <v>14380</v>
      </c>
      <c r="E1631" s="59">
        <v>45301.0</v>
      </c>
      <c r="F1631" s="10" t="s">
        <v>14381</v>
      </c>
      <c r="G1631" s="10" t="s">
        <v>12654</v>
      </c>
      <c r="H1631" s="10" t="s">
        <v>866</v>
      </c>
      <c r="I1631" s="10" t="s">
        <v>55</v>
      </c>
      <c r="J1631" s="10" t="s">
        <v>13437</v>
      </c>
      <c r="K1631" s="10" t="s">
        <v>14537</v>
      </c>
      <c r="L1631" s="10" t="s">
        <v>42</v>
      </c>
    </row>
    <row r="1632" ht="15.75" customHeight="1">
      <c r="A1632" s="64">
        <v>45484.0</v>
      </c>
      <c r="B1632" s="55" t="str">
        <f>HYPERLINK("https://jobright.ai/jobs/info/6690ae66714748cce6c3902b?utm_campaign=1065&amp;utm_source=sheet", "Apply")</f>
        <v>Apply</v>
      </c>
      <c r="C1632" s="10" t="s">
        <v>14536</v>
      </c>
      <c r="D1632" s="56" t="s">
        <v>14380</v>
      </c>
      <c r="E1632" s="59">
        <v>45301.0</v>
      </c>
      <c r="F1632" s="10" t="s">
        <v>14381</v>
      </c>
      <c r="G1632" s="10" t="s">
        <v>12654</v>
      </c>
      <c r="H1632" s="10" t="s">
        <v>983</v>
      </c>
      <c r="I1632" s="10" t="s">
        <v>55</v>
      </c>
      <c r="J1632" s="10" t="s">
        <v>13437</v>
      </c>
      <c r="K1632" s="10" t="s">
        <v>14537</v>
      </c>
      <c r="L1632" s="10" t="s">
        <v>42</v>
      </c>
    </row>
    <row r="1633" ht="15.75" customHeight="1">
      <c r="A1633" s="64">
        <v>45484.0</v>
      </c>
      <c r="B1633" s="55" t="str">
        <f>HYPERLINK("https://jobright.ai/jobs/info/6690ae66714748cce6c3902e?utm_campaign=1065&amp;utm_source=sheet", "Apply")</f>
        <v>Apply</v>
      </c>
      <c r="C1633" s="10" t="s">
        <v>14536</v>
      </c>
      <c r="D1633" s="56" t="s">
        <v>14380</v>
      </c>
      <c r="E1633" s="59">
        <v>45301.0</v>
      </c>
      <c r="F1633" s="10" t="s">
        <v>14381</v>
      </c>
      <c r="G1633" s="10" t="s">
        <v>12654</v>
      </c>
      <c r="H1633" s="10" t="s">
        <v>935</v>
      </c>
      <c r="I1633" s="10" t="s">
        <v>55</v>
      </c>
      <c r="J1633" s="10" t="s">
        <v>13437</v>
      </c>
      <c r="K1633" s="10" t="s">
        <v>14537</v>
      </c>
      <c r="L1633" s="10" t="s">
        <v>42</v>
      </c>
    </row>
    <row r="1634" ht="15.75" customHeight="1">
      <c r="A1634" s="64">
        <v>45484.0</v>
      </c>
      <c r="B1634" s="55" t="str">
        <f>HYPERLINK("https://jobright.ai/jobs/info/6690ae66714748cce6c39033?utm_campaign=1065&amp;utm_source=sheet", "Apply")</f>
        <v>Apply</v>
      </c>
      <c r="C1634" s="10" t="s">
        <v>14536</v>
      </c>
      <c r="D1634" s="56" t="s">
        <v>14380</v>
      </c>
      <c r="E1634" s="59">
        <v>45301.0</v>
      </c>
      <c r="F1634" s="10" t="s">
        <v>14381</v>
      </c>
      <c r="G1634" s="10" t="s">
        <v>12654</v>
      </c>
      <c r="H1634" s="10" t="s">
        <v>106</v>
      </c>
      <c r="I1634" s="10" t="s">
        <v>55</v>
      </c>
      <c r="J1634" s="10" t="s">
        <v>13437</v>
      </c>
      <c r="K1634" s="10" t="s">
        <v>14537</v>
      </c>
      <c r="L1634" s="10" t="s">
        <v>42</v>
      </c>
    </row>
    <row r="1635" ht="15.75" customHeight="1">
      <c r="A1635" s="64">
        <v>45484.0</v>
      </c>
      <c r="B1635" s="55" t="str">
        <f>HYPERLINK("https://jobright.ai/jobs/info/6690ae66714748cce6c39031?utm_campaign=1065&amp;utm_source=sheet", "Apply")</f>
        <v>Apply</v>
      </c>
      <c r="C1635" s="10" t="s">
        <v>14536</v>
      </c>
      <c r="D1635" s="56" t="s">
        <v>14380</v>
      </c>
      <c r="E1635" s="59">
        <v>45301.0</v>
      </c>
      <c r="F1635" s="10" t="s">
        <v>14381</v>
      </c>
      <c r="G1635" s="10" t="s">
        <v>12654</v>
      </c>
      <c r="H1635" s="10" t="s">
        <v>770</v>
      </c>
      <c r="I1635" s="10" t="s">
        <v>55</v>
      </c>
      <c r="J1635" s="10" t="s">
        <v>13437</v>
      </c>
      <c r="K1635" s="10" t="s">
        <v>14537</v>
      </c>
      <c r="L1635" s="10" t="s">
        <v>42</v>
      </c>
    </row>
    <row r="1636" ht="15.75" customHeight="1">
      <c r="A1636" s="64">
        <v>45484.0</v>
      </c>
      <c r="B1636" s="55" t="str">
        <f>HYPERLINK("https://jobright.ai/jobs/info/6690ae66714748cce6c39041?utm_campaign=1065&amp;utm_source=sheet", "Apply")</f>
        <v>Apply</v>
      </c>
      <c r="C1636" s="10" t="s">
        <v>14536</v>
      </c>
      <c r="D1636" s="56" t="s">
        <v>14380</v>
      </c>
      <c r="E1636" s="59">
        <v>45301.0</v>
      </c>
      <c r="F1636" s="10" t="s">
        <v>14381</v>
      </c>
      <c r="G1636" s="10" t="s">
        <v>12654</v>
      </c>
      <c r="H1636" s="10" t="s">
        <v>966</v>
      </c>
      <c r="I1636" s="10" t="s">
        <v>55</v>
      </c>
      <c r="J1636" s="10" t="s">
        <v>13437</v>
      </c>
      <c r="K1636" s="10" t="s">
        <v>14537</v>
      </c>
      <c r="L1636" s="10" t="s">
        <v>42</v>
      </c>
    </row>
    <row r="1637" ht="15.75" customHeight="1">
      <c r="A1637" s="64">
        <v>45484.0</v>
      </c>
      <c r="B1637" s="55" t="str">
        <f>HYPERLINK("https://jobright.ai/jobs/info/6690ae66714748cce6c39043?utm_campaign=1065&amp;utm_source=sheet", "Apply")</f>
        <v>Apply</v>
      </c>
      <c r="C1637" s="10" t="s">
        <v>14536</v>
      </c>
      <c r="D1637" s="56" t="s">
        <v>14380</v>
      </c>
      <c r="E1637" s="59">
        <v>45301.0</v>
      </c>
      <c r="F1637" s="10" t="s">
        <v>14381</v>
      </c>
      <c r="G1637" s="10" t="s">
        <v>12654</v>
      </c>
      <c r="H1637" s="10" t="s">
        <v>948</v>
      </c>
      <c r="I1637" s="10" t="s">
        <v>55</v>
      </c>
      <c r="J1637" s="10" t="s">
        <v>13437</v>
      </c>
      <c r="K1637" s="10" t="s">
        <v>14537</v>
      </c>
      <c r="L1637" s="10" t="s">
        <v>42</v>
      </c>
    </row>
    <row r="1638" ht="15.75" customHeight="1">
      <c r="A1638" s="64">
        <v>45484.0</v>
      </c>
      <c r="B1638" s="55" t="str">
        <f>HYPERLINK("https://jobright.ai/jobs/info/6690ae66714748cce6c39054?utm_campaign=1065&amp;utm_source=sheet", "Apply")</f>
        <v>Apply</v>
      </c>
      <c r="C1638" s="10" t="s">
        <v>14536</v>
      </c>
      <c r="D1638" s="56" t="s">
        <v>14380</v>
      </c>
      <c r="E1638" s="59">
        <v>45301.0</v>
      </c>
      <c r="F1638" s="10" t="s">
        <v>14381</v>
      </c>
      <c r="G1638" s="10" t="s">
        <v>12654</v>
      </c>
      <c r="H1638" s="10" t="s">
        <v>858</v>
      </c>
      <c r="I1638" s="10" t="s">
        <v>55</v>
      </c>
      <c r="J1638" s="10" t="s">
        <v>13437</v>
      </c>
      <c r="K1638" s="10" t="s">
        <v>14537</v>
      </c>
      <c r="L1638" s="10" t="s">
        <v>42</v>
      </c>
    </row>
    <row r="1639" ht="15.75" customHeight="1">
      <c r="A1639" s="64">
        <v>45484.0</v>
      </c>
      <c r="B1639" s="55" t="str">
        <f>HYPERLINK("https://jobright.ai/jobs/info/6690ae66714748cce6c39070?utm_campaign=1065&amp;utm_source=sheet", "Apply")</f>
        <v>Apply</v>
      </c>
      <c r="C1639" s="10" t="s">
        <v>14536</v>
      </c>
      <c r="D1639" s="56" t="s">
        <v>14380</v>
      </c>
      <c r="E1639" s="59">
        <v>45301.0</v>
      </c>
      <c r="F1639" s="10" t="s">
        <v>14381</v>
      </c>
      <c r="G1639" s="10" t="s">
        <v>12654</v>
      </c>
      <c r="H1639" s="10" t="s">
        <v>1005</v>
      </c>
      <c r="I1639" s="10" t="s">
        <v>55</v>
      </c>
      <c r="J1639" s="10" t="s">
        <v>13437</v>
      </c>
      <c r="K1639" s="10" t="s">
        <v>14537</v>
      </c>
      <c r="L1639" s="10" t="s">
        <v>42</v>
      </c>
    </row>
    <row r="1640" ht="15.75" customHeight="1">
      <c r="A1640" s="64">
        <v>45484.0</v>
      </c>
      <c r="B1640" s="55" t="str">
        <f>HYPERLINK("https://jobright.ai/jobs/info/6690ae66714748cce6c39078?utm_campaign=1065&amp;utm_source=sheet", "Apply")</f>
        <v>Apply</v>
      </c>
      <c r="C1640" s="10" t="s">
        <v>14536</v>
      </c>
      <c r="D1640" s="56" t="s">
        <v>14380</v>
      </c>
      <c r="E1640" s="59">
        <v>45301.0</v>
      </c>
      <c r="F1640" s="10" t="s">
        <v>14381</v>
      </c>
      <c r="G1640" s="10" t="s">
        <v>12654</v>
      </c>
      <c r="H1640" s="10" t="s">
        <v>955</v>
      </c>
      <c r="I1640" s="10" t="s">
        <v>55</v>
      </c>
      <c r="J1640" s="10" t="s">
        <v>13437</v>
      </c>
      <c r="K1640" s="10" t="s">
        <v>14537</v>
      </c>
      <c r="L1640" s="10" t="s">
        <v>42</v>
      </c>
    </row>
    <row r="1641" ht="15.75" customHeight="1">
      <c r="A1641" s="64">
        <v>45484.0</v>
      </c>
      <c r="B1641" s="55" t="str">
        <f>HYPERLINK("https://jobright.ai/jobs/info/6690ae66714748cce6c39072?utm_campaign=1065&amp;utm_source=sheet", "Apply")</f>
        <v>Apply</v>
      </c>
      <c r="C1641" s="10" t="s">
        <v>14536</v>
      </c>
      <c r="D1641" s="56" t="s">
        <v>14380</v>
      </c>
      <c r="E1641" s="59">
        <v>45301.0</v>
      </c>
      <c r="F1641" s="10" t="s">
        <v>14381</v>
      </c>
      <c r="G1641" s="10" t="s">
        <v>12654</v>
      </c>
      <c r="H1641" s="10" t="s">
        <v>763</v>
      </c>
      <c r="I1641" s="10" t="s">
        <v>55</v>
      </c>
      <c r="J1641" s="10" t="s">
        <v>13437</v>
      </c>
      <c r="K1641" s="10" t="s">
        <v>14537</v>
      </c>
      <c r="L1641" s="10" t="s">
        <v>42</v>
      </c>
    </row>
    <row r="1642" ht="15.75" customHeight="1">
      <c r="A1642" s="64">
        <v>45484.0</v>
      </c>
      <c r="B1642" s="55" t="str">
        <f>HYPERLINK("https://jobright.ai/jobs/info/6690ae66714748cce6c39060?utm_campaign=1065&amp;utm_source=sheet", "Apply")</f>
        <v>Apply</v>
      </c>
      <c r="C1642" s="10" t="s">
        <v>14536</v>
      </c>
      <c r="D1642" s="56" t="s">
        <v>14380</v>
      </c>
      <c r="E1642" s="59">
        <v>45301.0</v>
      </c>
      <c r="F1642" s="10" t="s">
        <v>14381</v>
      </c>
      <c r="G1642" s="10" t="s">
        <v>12654</v>
      </c>
      <c r="H1642" s="10" t="s">
        <v>869</v>
      </c>
      <c r="I1642" s="10" t="s">
        <v>55</v>
      </c>
      <c r="J1642" s="10" t="s">
        <v>13437</v>
      </c>
      <c r="K1642" s="10" t="s">
        <v>14537</v>
      </c>
      <c r="L1642" s="10" t="s">
        <v>42</v>
      </c>
    </row>
    <row r="1643" ht="15.75" customHeight="1">
      <c r="A1643" s="64">
        <v>45484.0</v>
      </c>
      <c r="B1643" s="55" t="str">
        <f>HYPERLINK("https://jobright.ai/jobs/info/6690ae66714748cce6c39071?utm_campaign=1065&amp;utm_source=sheet", "Apply")</f>
        <v>Apply</v>
      </c>
      <c r="C1643" s="10" t="s">
        <v>14536</v>
      </c>
      <c r="D1643" s="56" t="s">
        <v>14380</v>
      </c>
      <c r="E1643" s="59">
        <v>45301.0</v>
      </c>
      <c r="F1643" s="10" t="s">
        <v>14381</v>
      </c>
      <c r="G1643" s="10" t="s">
        <v>12654</v>
      </c>
      <c r="H1643" s="10" t="s">
        <v>1010</v>
      </c>
      <c r="I1643" s="10" t="s">
        <v>55</v>
      </c>
      <c r="J1643" s="10" t="s">
        <v>13437</v>
      </c>
      <c r="K1643" s="10" t="s">
        <v>14537</v>
      </c>
      <c r="L1643" s="10" t="s">
        <v>42</v>
      </c>
    </row>
    <row r="1644" ht="15.75" customHeight="1">
      <c r="A1644" s="64">
        <v>45484.0</v>
      </c>
      <c r="B1644" s="55" t="str">
        <f>HYPERLINK("https://jobright.ai/jobs/info/6690ae66714748cce6c39057?utm_campaign=1065&amp;utm_source=sheet", "Apply")</f>
        <v>Apply</v>
      </c>
      <c r="C1644" s="10" t="s">
        <v>14536</v>
      </c>
      <c r="D1644" s="56" t="s">
        <v>14380</v>
      </c>
      <c r="E1644" s="59">
        <v>45301.0</v>
      </c>
      <c r="F1644" s="10" t="s">
        <v>14381</v>
      </c>
      <c r="G1644" s="10" t="s">
        <v>12654</v>
      </c>
      <c r="H1644" s="10" t="s">
        <v>973</v>
      </c>
      <c r="I1644" s="10" t="s">
        <v>55</v>
      </c>
      <c r="J1644" s="10" t="s">
        <v>13437</v>
      </c>
      <c r="K1644" s="10" t="s">
        <v>14537</v>
      </c>
      <c r="L1644" s="10" t="s">
        <v>42</v>
      </c>
    </row>
    <row r="1645" ht="15.75" customHeight="1">
      <c r="A1645" s="64">
        <v>45484.0</v>
      </c>
      <c r="B1645" s="55" t="str">
        <f>HYPERLINK("https://jobright.ai/jobs/info/6690ae66714748cce6c39080?utm_campaign=1065&amp;utm_source=sheet", "Apply")</f>
        <v>Apply</v>
      </c>
      <c r="C1645" s="10" t="s">
        <v>14536</v>
      </c>
      <c r="D1645" s="56" t="s">
        <v>14380</v>
      </c>
      <c r="E1645" s="59">
        <v>45301.0</v>
      </c>
      <c r="F1645" s="10" t="s">
        <v>14381</v>
      </c>
      <c r="G1645" s="10" t="s">
        <v>12654</v>
      </c>
      <c r="H1645" s="10" t="s">
        <v>776</v>
      </c>
      <c r="I1645" s="10" t="s">
        <v>55</v>
      </c>
      <c r="J1645" s="10" t="s">
        <v>13437</v>
      </c>
      <c r="K1645" s="10" t="s">
        <v>14537</v>
      </c>
      <c r="L1645" s="10" t="s">
        <v>42</v>
      </c>
    </row>
    <row r="1646" ht="15.75" customHeight="1">
      <c r="A1646" s="64">
        <v>45484.0</v>
      </c>
      <c r="B1646" s="55" t="str">
        <f>HYPERLINK("https://jobright.ai/jobs/info/6690ae66714748cce6c390a5?utm_campaign=1065&amp;utm_source=sheet", "Apply")</f>
        <v>Apply</v>
      </c>
      <c r="C1646" s="10" t="s">
        <v>14536</v>
      </c>
      <c r="D1646" s="56" t="s">
        <v>14380</v>
      </c>
      <c r="E1646" s="59">
        <v>45301.0</v>
      </c>
      <c r="F1646" s="10" t="s">
        <v>14381</v>
      </c>
      <c r="G1646" s="10" t="s">
        <v>12654</v>
      </c>
      <c r="H1646" s="10" t="s">
        <v>938</v>
      </c>
      <c r="I1646" s="10" t="s">
        <v>55</v>
      </c>
      <c r="J1646" s="10" t="s">
        <v>13437</v>
      </c>
      <c r="K1646" s="10" t="s">
        <v>14537</v>
      </c>
      <c r="L1646" s="10" t="s">
        <v>42</v>
      </c>
    </row>
    <row r="1647" ht="15.75" customHeight="1">
      <c r="A1647" s="64">
        <v>45484.0</v>
      </c>
      <c r="B1647" s="55" t="str">
        <f>HYPERLINK("https://jobright.ai/jobs/info/6690ae66714748cce6c3909a?utm_campaign=1065&amp;utm_source=sheet", "Apply")</f>
        <v>Apply</v>
      </c>
      <c r="C1647" s="10" t="s">
        <v>14536</v>
      </c>
      <c r="D1647" s="56" t="s">
        <v>14380</v>
      </c>
      <c r="E1647" s="59">
        <v>45301.0</v>
      </c>
      <c r="F1647" s="10" t="s">
        <v>14381</v>
      </c>
      <c r="G1647" s="10" t="s">
        <v>12654</v>
      </c>
      <c r="H1647" s="10" t="s">
        <v>880</v>
      </c>
      <c r="I1647" s="10" t="s">
        <v>55</v>
      </c>
      <c r="J1647" s="10" t="s">
        <v>13437</v>
      </c>
      <c r="K1647" s="10" t="s">
        <v>14537</v>
      </c>
      <c r="L1647" s="10" t="s">
        <v>42</v>
      </c>
    </row>
    <row r="1648" ht="15.75" customHeight="1">
      <c r="A1648" s="64">
        <v>45484.0</v>
      </c>
      <c r="B1648" s="55" t="str">
        <f>HYPERLINK("https://jobright.ai/jobs/info/6690ae66714748cce6c39095?utm_campaign=1065&amp;utm_source=sheet", "Apply")</f>
        <v>Apply</v>
      </c>
      <c r="C1648" s="10" t="s">
        <v>14536</v>
      </c>
      <c r="D1648" s="56" t="s">
        <v>14380</v>
      </c>
      <c r="E1648" s="59">
        <v>45301.0</v>
      </c>
      <c r="F1648" s="10" t="s">
        <v>14381</v>
      </c>
      <c r="G1648" s="10" t="s">
        <v>12654</v>
      </c>
      <c r="H1648" s="10" t="s">
        <v>915</v>
      </c>
      <c r="I1648" s="10" t="s">
        <v>55</v>
      </c>
      <c r="J1648" s="10" t="s">
        <v>13437</v>
      </c>
      <c r="K1648" s="10" t="s">
        <v>14537</v>
      </c>
      <c r="L1648" s="10" t="s">
        <v>42</v>
      </c>
    </row>
    <row r="1649" ht="15.75" customHeight="1">
      <c r="A1649" s="64">
        <v>45484.0</v>
      </c>
      <c r="B1649" s="55" t="str">
        <f>HYPERLINK("https://jobright.ai/jobs/info/6690ae66714748cce6c390a2?utm_campaign=1065&amp;utm_source=sheet", "Apply")</f>
        <v>Apply</v>
      </c>
      <c r="C1649" s="10" t="s">
        <v>14536</v>
      </c>
      <c r="D1649" s="56" t="s">
        <v>14380</v>
      </c>
      <c r="E1649" s="59">
        <v>45301.0</v>
      </c>
      <c r="F1649" s="10" t="s">
        <v>14381</v>
      </c>
      <c r="G1649" s="10" t="s">
        <v>12654</v>
      </c>
      <c r="H1649" s="10" t="s">
        <v>800</v>
      </c>
      <c r="I1649" s="10" t="s">
        <v>55</v>
      </c>
      <c r="J1649" s="10" t="s">
        <v>13437</v>
      </c>
      <c r="K1649" s="10" t="s">
        <v>14537</v>
      </c>
      <c r="L1649" s="10" t="s">
        <v>42</v>
      </c>
    </row>
    <row r="1650" ht="15.75" customHeight="1">
      <c r="A1650" s="64">
        <v>45484.0</v>
      </c>
      <c r="B1650" s="55" t="str">
        <f>HYPERLINK("https://jobright.ai/jobs/info/6690ae66714748cce6c390d0?utm_campaign=1065&amp;utm_source=sheet", "Apply")</f>
        <v>Apply</v>
      </c>
      <c r="C1650" s="10" t="s">
        <v>14536</v>
      </c>
      <c r="D1650" s="56" t="s">
        <v>14380</v>
      </c>
      <c r="E1650" s="59">
        <v>45301.0</v>
      </c>
      <c r="F1650" s="10" t="s">
        <v>14381</v>
      </c>
      <c r="G1650" s="10" t="s">
        <v>12654</v>
      </c>
      <c r="H1650" s="10" t="s">
        <v>939</v>
      </c>
      <c r="I1650" s="10" t="s">
        <v>55</v>
      </c>
      <c r="J1650" s="10" t="s">
        <v>13437</v>
      </c>
      <c r="K1650" s="10" t="s">
        <v>14537</v>
      </c>
      <c r="L1650" s="10" t="s">
        <v>42</v>
      </c>
    </row>
    <row r="1651" ht="15.75" customHeight="1">
      <c r="A1651" s="64">
        <v>45484.0</v>
      </c>
      <c r="B1651" s="55" t="str">
        <f>HYPERLINK("https://jobright.ai/jobs/info/6690ae66714748cce6c390c4?utm_campaign=1065&amp;utm_source=sheet", "Apply")</f>
        <v>Apply</v>
      </c>
      <c r="C1651" s="10" t="s">
        <v>14536</v>
      </c>
      <c r="D1651" s="56" t="s">
        <v>14380</v>
      </c>
      <c r="E1651" s="59">
        <v>45301.0</v>
      </c>
      <c r="F1651" s="10" t="s">
        <v>14381</v>
      </c>
      <c r="G1651" s="10" t="s">
        <v>12654</v>
      </c>
      <c r="H1651" s="10" t="s">
        <v>1007</v>
      </c>
      <c r="I1651" s="10" t="s">
        <v>55</v>
      </c>
      <c r="J1651" s="10" t="s">
        <v>13437</v>
      </c>
      <c r="K1651" s="10" t="s">
        <v>14537</v>
      </c>
      <c r="L1651" s="10" t="s">
        <v>42</v>
      </c>
    </row>
    <row r="1652" ht="15.75" customHeight="1">
      <c r="A1652" s="64">
        <v>45484.0</v>
      </c>
      <c r="B1652" s="55" t="str">
        <f>HYPERLINK("https://jobright.ai/jobs/info/6690ae66714748cce6c390d2?utm_campaign=1065&amp;utm_source=sheet", "Apply")</f>
        <v>Apply</v>
      </c>
      <c r="C1652" s="10" t="s">
        <v>14536</v>
      </c>
      <c r="D1652" s="56" t="s">
        <v>14380</v>
      </c>
      <c r="E1652" s="59">
        <v>45301.0</v>
      </c>
      <c r="F1652" s="10" t="s">
        <v>14381</v>
      </c>
      <c r="G1652" s="10" t="s">
        <v>12654</v>
      </c>
      <c r="H1652" s="10" t="s">
        <v>873</v>
      </c>
      <c r="I1652" s="10" t="s">
        <v>55</v>
      </c>
      <c r="J1652" s="10" t="s">
        <v>13437</v>
      </c>
      <c r="K1652" s="10" t="s">
        <v>14537</v>
      </c>
      <c r="L1652" s="10" t="s">
        <v>42</v>
      </c>
    </row>
    <row r="1653" ht="15.75" customHeight="1">
      <c r="A1653" s="64">
        <v>45484.0</v>
      </c>
      <c r="B1653" s="55" t="str">
        <f>HYPERLINK("https://jobright.ai/jobs/info/6690ae66714748cce6c390d9?utm_campaign=1065&amp;utm_source=sheet", "Apply")</f>
        <v>Apply</v>
      </c>
      <c r="C1653" s="10" t="s">
        <v>14536</v>
      </c>
      <c r="D1653" s="56" t="s">
        <v>14380</v>
      </c>
      <c r="E1653" s="59">
        <v>45301.0</v>
      </c>
      <c r="F1653" s="10" t="s">
        <v>14381</v>
      </c>
      <c r="G1653" s="10" t="s">
        <v>12654</v>
      </c>
      <c r="H1653" s="10" t="s">
        <v>771</v>
      </c>
      <c r="I1653" s="10" t="s">
        <v>55</v>
      </c>
      <c r="J1653" s="10" t="s">
        <v>13437</v>
      </c>
      <c r="K1653" s="10" t="s">
        <v>14537</v>
      </c>
      <c r="L1653" s="10" t="s">
        <v>42</v>
      </c>
    </row>
    <row r="1654" ht="15.75" customHeight="1">
      <c r="A1654" s="64">
        <v>45484.0</v>
      </c>
      <c r="B1654" s="55" t="str">
        <f>HYPERLINK("https://jobright.ai/jobs/info/6690ae66714748cce6c390c5?utm_campaign=1065&amp;utm_source=sheet", "Apply")</f>
        <v>Apply</v>
      </c>
      <c r="C1654" s="10" t="s">
        <v>14536</v>
      </c>
      <c r="D1654" s="56" t="s">
        <v>14380</v>
      </c>
      <c r="E1654" s="59">
        <v>45301.0</v>
      </c>
      <c r="F1654" s="10" t="s">
        <v>14381</v>
      </c>
      <c r="G1654" s="10" t="s">
        <v>12654</v>
      </c>
      <c r="H1654" s="10" t="s">
        <v>812</v>
      </c>
      <c r="I1654" s="10" t="s">
        <v>55</v>
      </c>
      <c r="J1654" s="10" t="s">
        <v>13437</v>
      </c>
      <c r="K1654" s="10" t="s">
        <v>14537</v>
      </c>
      <c r="L1654" s="10" t="s">
        <v>42</v>
      </c>
    </row>
    <row r="1655" ht="15.75" customHeight="1">
      <c r="A1655" s="64">
        <v>45484.0</v>
      </c>
      <c r="B1655" s="55" t="str">
        <f>HYPERLINK("https://jobright.ai/jobs/info/6690ae66714748cce6c390e2?utm_campaign=1065&amp;utm_source=sheet", "Apply")</f>
        <v>Apply</v>
      </c>
      <c r="C1655" s="10" t="s">
        <v>14536</v>
      </c>
      <c r="D1655" s="56" t="s">
        <v>14380</v>
      </c>
      <c r="E1655" s="59">
        <v>45301.0</v>
      </c>
      <c r="F1655" s="10" t="s">
        <v>14381</v>
      </c>
      <c r="G1655" s="10" t="s">
        <v>12654</v>
      </c>
      <c r="H1655" s="10" t="s">
        <v>834</v>
      </c>
      <c r="I1655" s="10" t="s">
        <v>55</v>
      </c>
      <c r="J1655" s="10" t="s">
        <v>13437</v>
      </c>
      <c r="K1655" s="10" t="s">
        <v>14537</v>
      </c>
      <c r="L1655" s="10" t="s">
        <v>42</v>
      </c>
    </row>
    <row r="1656" ht="15.75" customHeight="1">
      <c r="A1656" s="64">
        <v>45484.0</v>
      </c>
      <c r="B1656" s="55" t="str">
        <f>HYPERLINK("https://jobright.ai/jobs/info/6690ae66714748cce6c390f0?utm_campaign=1065&amp;utm_source=sheet", "Apply")</f>
        <v>Apply</v>
      </c>
      <c r="C1656" s="10" t="s">
        <v>14536</v>
      </c>
      <c r="D1656" s="56" t="s">
        <v>14380</v>
      </c>
      <c r="E1656" s="59">
        <v>45301.0</v>
      </c>
      <c r="F1656" s="10" t="s">
        <v>14381</v>
      </c>
      <c r="G1656" s="10" t="s">
        <v>12654</v>
      </c>
      <c r="H1656" s="10" t="s">
        <v>793</v>
      </c>
      <c r="I1656" s="10" t="s">
        <v>55</v>
      </c>
      <c r="J1656" s="10" t="s">
        <v>13437</v>
      </c>
      <c r="K1656" s="10" t="s">
        <v>14537</v>
      </c>
      <c r="L1656" s="10" t="s">
        <v>42</v>
      </c>
    </row>
    <row r="1657" ht="15.75" customHeight="1">
      <c r="A1657" s="64">
        <v>45484.0</v>
      </c>
      <c r="B1657" s="55" t="str">
        <f>HYPERLINK("https://jobright.ai/jobs/info/6690ae66714748cce6c390e6?utm_campaign=1065&amp;utm_source=sheet", "Apply")</f>
        <v>Apply</v>
      </c>
      <c r="C1657" s="10" t="s">
        <v>14536</v>
      </c>
      <c r="D1657" s="56" t="s">
        <v>14380</v>
      </c>
      <c r="E1657" s="59">
        <v>45301.0</v>
      </c>
      <c r="F1657" s="10" t="s">
        <v>14381</v>
      </c>
      <c r="G1657" s="10" t="s">
        <v>12654</v>
      </c>
      <c r="H1657" s="10" t="s">
        <v>841</v>
      </c>
      <c r="I1657" s="10" t="s">
        <v>55</v>
      </c>
      <c r="J1657" s="10" t="s">
        <v>13437</v>
      </c>
      <c r="K1657" s="10" t="s">
        <v>14537</v>
      </c>
      <c r="L1657" s="10" t="s">
        <v>42</v>
      </c>
    </row>
    <row r="1658" ht="15.75" customHeight="1">
      <c r="A1658" s="64">
        <v>45484.0</v>
      </c>
      <c r="B1658" s="55" t="str">
        <f>HYPERLINK("https://jobright.ai/jobs/info/6690ae6e714748cce6c390fe?utm_campaign=1065&amp;utm_source=sheet", "Apply")</f>
        <v>Apply</v>
      </c>
      <c r="C1658" s="10" t="s">
        <v>14536</v>
      </c>
      <c r="D1658" s="56" t="s">
        <v>14380</v>
      </c>
      <c r="E1658" s="59">
        <v>45301.0</v>
      </c>
      <c r="F1658" s="10" t="s">
        <v>14381</v>
      </c>
      <c r="G1658" s="10" t="s">
        <v>12654</v>
      </c>
      <c r="H1658" s="10" t="s">
        <v>73</v>
      </c>
      <c r="I1658" s="10" t="s">
        <v>55</v>
      </c>
      <c r="J1658" s="10" t="s">
        <v>13437</v>
      </c>
      <c r="K1658" s="10" t="s">
        <v>14537</v>
      </c>
      <c r="L1658" s="10" t="s">
        <v>42</v>
      </c>
    </row>
    <row r="1659" ht="15.75" customHeight="1">
      <c r="A1659" s="64">
        <v>45484.0</v>
      </c>
      <c r="B1659" s="55" t="str">
        <f>HYPERLINK("https://jobright.ai/jobs/info/6690ae6e714748cce6c390f4?utm_campaign=1065&amp;utm_source=sheet", "Apply")</f>
        <v>Apply</v>
      </c>
      <c r="C1659" s="10" t="s">
        <v>14536</v>
      </c>
      <c r="D1659" s="56" t="s">
        <v>14380</v>
      </c>
      <c r="E1659" s="59">
        <v>45301.0</v>
      </c>
      <c r="F1659" s="10" t="s">
        <v>14381</v>
      </c>
      <c r="G1659" s="10" t="s">
        <v>12654</v>
      </c>
      <c r="H1659" s="10" t="s">
        <v>843</v>
      </c>
      <c r="I1659" s="10" t="s">
        <v>55</v>
      </c>
      <c r="J1659" s="10" t="s">
        <v>13437</v>
      </c>
      <c r="K1659" s="10" t="s">
        <v>14537</v>
      </c>
      <c r="L1659" s="10" t="s">
        <v>42</v>
      </c>
    </row>
    <row r="1660" ht="15.75" customHeight="1">
      <c r="A1660" s="64">
        <v>45484.0</v>
      </c>
      <c r="B1660" s="55" t="str">
        <f>HYPERLINK("https://jobright.ai/jobs/info/6690ae6e714748cce6c39160?utm_campaign=1065&amp;utm_source=sheet", "Apply")</f>
        <v>Apply</v>
      </c>
      <c r="C1660" s="10" t="s">
        <v>14536</v>
      </c>
      <c r="D1660" s="56" t="s">
        <v>14380</v>
      </c>
      <c r="E1660" s="59">
        <v>45301.0</v>
      </c>
      <c r="F1660" s="10" t="s">
        <v>14381</v>
      </c>
      <c r="G1660" s="10" t="s">
        <v>12654</v>
      </c>
      <c r="H1660" s="10" t="s">
        <v>954</v>
      </c>
      <c r="I1660" s="10" t="s">
        <v>55</v>
      </c>
      <c r="J1660" s="10" t="s">
        <v>13437</v>
      </c>
      <c r="K1660" s="10" t="s">
        <v>14537</v>
      </c>
      <c r="L1660" s="10" t="s">
        <v>42</v>
      </c>
    </row>
    <row r="1661" ht="15.75" customHeight="1">
      <c r="A1661" s="64">
        <v>45484.0</v>
      </c>
      <c r="B1661" s="55" t="str">
        <f>HYPERLINK("https://jobright.ai/jobs/info/6690ae6e714748cce6c39164?utm_campaign=1065&amp;utm_source=sheet", "Apply")</f>
        <v>Apply</v>
      </c>
      <c r="C1661" s="10" t="s">
        <v>14536</v>
      </c>
      <c r="D1661" s="56" t="s">
        <v>14380</v>
      </c>
      <c r="E1661" s="59">
        <v>45301.0</v>
      </c>
      <c r="F1661" s="10" t="s">
        <v>14381</v>
      </c>
      <c r="G1661" s="10" t="s">
        <v>12654</v>
      </c>
      <c r="H1661" s="10" t="s">
        <v>139</v>
      </c>
      <c r="I1661" s="10" t="s">
        <v>55</v>
      </c>
      <c r="J1661" s="10" t="s">
        <v>13437</v>
      </c>
      <c r="K1661" s="10" t="s">
        <v>14537</v>
      </c>
      <c r="L1661" s="10" t="s">
        <v>42</v>
      </c>
    </row>
    <row r="1662" ht="15.75" customHeight="1">
      <c r="A1662" s="64">
        <v>45484.0</v>
      </c>
      <c r="B1662" s="55" t="str">
        <f>HYPERLINK("https://jobright.ai/jobs/info/6690ae6e714748cce6c3917c?utm_campaign=1065&amp;utm_source=sheet", "Apply")</f>
        <v>Apply</v>
      </c>
      <c r="C1662" s="10" t="s">
        <v>14581</v>
      </c>
      <c r="D1662" s="56" t="s">
        <v>14380</v>
      </c>
      <c r="E1662" s="59">
        <v>45301.0</v>
      </c>
      <c r="F1662" s="10" t="s">
        <v>14381</v>
      </c>
      <c r="G1662" s="10" t="s">
        <v>12654</v>
      </c>
      <c r="H1662" s="10" t="s">
        <v>849</v>
      </c>
      <c r="I1662" s="10" t="s">
        <v>55</v>
      </c>
      <c r="J1662" s="10" t="s">
        <v>13437</v>
      </c>
      <c r="K1662" s="10" t="s">
        <v>14582</v>
      </c>
      <c r="L1662" s="10" t="s">
        <v>42</v>
      </c>
    </row>
    <row r="1663" ht="15.75" customHeight="1">
      <c r="A1663" s="64">
        <v>45484.0</v>
      </c>
      <c r="B1663" s="55" t="str">
        <f>HYPERLINK("https://jobright.ai/jobs/info/6690ae6e714748cce6c39187?utm_campaign=1065&amp;utm_source=sheet", "Apply")</f>
        <v>Apply</v>
      </c>
      <c r="C1663" s="10" t="s">
        <v>14536</v>
      </c>
      <c r="D1663" s="56" t="s">
        <v>14380</v>
      </c>
      <c r="E1663" s="59">
        <v>45301.0</v>
      </c>
      <c r="F1663" s="10" t="s">
        <v>14381</v>
      </c>
      <c r="G1663" s="10" t="s">
        <v>12654</v>
      </c>
      <c r="H1663" s="10" t="s">
        <v>926</v>
      </c>
      <c r="I1663" s="10" t="s">
        <v>55</v>
      </c>
      <c r="J1663" s="10" t="s">
        <v>13437</v>
      </c>
      <c r="K1663" s="10" t="s">
        <v>14537</v>
      </c>
      <c r="L1663" s="10" t="s">
        <v>42</v>
      </c>
    </row>
    <row r="1664" ht="15.75" customHeight="1">
      <c r="A1664" s="64">
        <v>45484.0</v>
      </c>
      <c r="B1664" s="55" t="str">
        <f>HYPERLINK("https://jobright.ai/jobs/info/6690ae6e714748cce6c39174?utm_campaign=1065&amp;utm_source=sheet", "Apply")</f>
        <v>Apply</v>
      </c>
      <c r="C1664" s="10" t="s">
        <v>14536</v>
      </c>
      <c r="D1664" s="56" t="s">
        <v>14380</v>
      </c>
      <c r="E1664" s="59">
        <v>45301.0</v>
      </c>
      <c r="F1664" s="10" t="s">
        <v>14381</v>
      </c>
      <c r="G1664" s="10" t="s">
        <v>12654</v>
      </c>
      <c r="H1664" s="10" t="s">
        <v>809</v>
      </c>
      <c r="I1664" s="10" t="s">
        <v>55</v>
      </c>
      <c r="J1664" s="10" t="s">
        <v>13437</v>
      </c>
      <c r="K1664" s="10" t="s">
        <v>14537</v>
      </c>
      <c r="L1664" s="10" t="s">
        <v>42</v>
      </c>
    </row>
    <row r="1665" ht="15.75" customHeight="1">
      <c r="A1665" s="64">
        <v>45484.0</v>
      </c>
      <c r="B1665" s="55" t="str">
        <f>HYPERLINK("https://jobright.ai/jobs/info/6690ae6e714748cce6c39176?utm_campaign=1065&amp;utm_source=sheet", "Apply")</f>
        <v>Apply</v>
      </c>
      <c r="C1665" s="10" t="s">
        <v>14581</v>
      </c>
      <c r="D1665" s="56" t="s">
        <v>14380</v>
      </c>
      <c r="E1665" s="59">
        <v>45301.0</v>
      </c>
      <c r="F1665" s="10" t="s">
        <v>14381</v>
      </c>
      <c r="G1665" s="10" t="s">
        <v>12654</v>
      </c>
      <c r="H1665" s="10" t="s">
        <v>800</v>
      </c>
      <c r="I1665" s="10" t="s">
        <v>55</v>
      </c>
      <c r="J1665" s="10" t="s">
        <v>13437</v>
      </c>
      <c r="K1665" s="10" t="s">
        <v>14582</v>
      </c>
      <c r="L1665" s="10" t="s">
        <v>42</v>
      </c>
    </row>
    <row r="1666" ht="15.75" customHeight="1">
      <c r="A1666" s="64">
        <v>45484.0</v>
      </c>
      <c r="B1666" s="55" t="str">
        <f>HYPERLINK("https://jobright.ai/jobs/info/6690ae6e714748cce6c391a0?utm_campaign=1065&amp;utm_source=sheet", "Apply")</f>
        <v>Apply</v>
      </c>
      <c r="C1666" s="10" t="s">
        <v>14581</v>
      </c>
      <c r="D1666" s="56" t="s">
        <v>14380</v>
      </c>
      <c r="E1666" s="59">
        <v>45301.0</v>
      </c>
      <c r="F1666" s="10" t="s">
        <v>14381</v>
      </c>
      <c r="G1666" s="10" t="s">
        <v>12654</v>
      </c>
      <c r="H1666" s="10" t="s">
        <v>791</v>
      </c>
      <c r="I1666" s="10" t="s">
        <v>55</v>
      </c>
      <c r="J1666" s="10" t="s">
        <v>13437</v>
      </c>
      <c r="K1666" s="10" t="s">
        <v>14582</v>
      </c>
      <c r="L1666" s="10" t="s">
        <v>42</v>
      </c>
    </row>
    <row r="1667" ht="15.75" customHeight="1">
      <c r="A1667" s="64">
        <v>45484.0</v>
      </c>
      <c r="B1667" s="55" t="str">
        <f>HYPERLINK("https://jobright.ai/jobs/info/6690ae6e714748cce6c391af?utm_campaign=1065&amp;utm_source=sheet", "Apply")</f>
        <v>Apply</v>
      </c>
      <c r="C1667" s="10" t="s">
        <v>14581</v>
      </c>
      <c r="D1667" s="56" t="s">
        <v>14380</v>
      </c>
      <c r="E1667" s="59">
        <v>45301.0</v>
      </c>
      <c r="F1667" s="10" t="s">
        <v>14381</v>
      </c>
      <c r="G1667" s="10" t="s">
        <v>12654</v>
      </c>
      <c r="H1667" s="10" t="s">
        <v>1005</v>
      </c>
      <c r="I1667" s="10" t="s">
        <v>55</v>
      </c>
      <c r="J1667" s="10" t="s">
        <v>13437</v>
      </c>
      <c r="K1667" s="10" t="s">
        <v>14582</v>
      </c>
      <c r="L1667" s="10" t="s">
        <v>42</v>
      </c>
    </row>
    <row r="1668" ht="15.75" customHeight="1">
      <c r="A1668" s="64">
        <v>45484.0</v>
      </c>
      <c r="B1668" s="55" t="str">
        <f>HYPERLINK("https://jobright.ai/jobs/info/6690ae6e714748cce6c3919c?utm_campaign=1065&amp;utm_source=sheet", "Apply")</f>
        <v>Apply</v>
      </c>
      <c r="C1668" s="10" t="s">
        <v>14579</v>
      </c>
      <c r="D1668" s="56" t="s">
        <v>14380</v>
      </c>
      <c r="E1668" s="59">
        <v>45301.0</v>
      </c>
      <c r="F1668" s="10" t="s">
        <v>14381</v>
      </c>
      <c r="G1668" s="10" t="s">
        <v>12654</v>
      </c>
      <c r="H1668" s="10" t="s">
        <v>974</v>
      </c>
      <c r="I1668" s="10" t="s">
        <v>55</v>
      </c>
      <c r="J1668" s="10" t="s">
        <v>13437</v>
      </c>
      <c r="K1668" s="10" t="s">
        <v>14580</v>
      </c>
      <c r="L1668" s="10" t="s">
        <v>42</v>
      </c>
    </row>
    <row r="1669" ht="15.75" customHeight="1">
      <c r="A1669" s="64">
        <v>45484.0</v>
      </c>
      <c r="B1669" s="55" t="str">
        <f>HYPERLINK("https://jobright.ai/jobs/info/6690ae6e714748cce6c391a2?utm_campaign=1065&amp;utm_source=sheet", "Apply")</f>
        <v>Apply</v>
      </c>
      <c r="C1669" s="10" t="s">
        <v>14536</v>
      </c>
      <c r="D1669" s="56" t="s">
        <v>14380</v>
      </c>
      <c r="E1669" s="59">
        <v>45301.0</v>
      </c>
      <c r="F1669" s="10" t="s">
        <v>14381</v>
      </c>
      <c r="G1669" s="10" t="s">
        <v>12654</v>
      </c>
      <c r="H1669" s="10" t="s">
        <v>933</v>
      </c>
      <c r="I1669" s="10" t="s">
        <v>55</v>
      </c>
      <c r="J1669" s="10" t="s">
        <v>13437</v>
      </c>
      <c r="K1669" s="10" t="s">
        <v>14537</v>
      </c>
      <c r="L1669" s="10" t="s">
        <v>42</v>
      </c>
    </row>
    <row r="1670" ht="15.75" customHeight="1">
      <c r="A1670" s="64">
        <v>45484.0</v>
      </c>
      <c r="B1670" s="55" t="str">
        <f>HYPERLINK("https://jobright.ai/jobs/info/6690ae6e714748cce6c391b6?utm_campaign=1065&amp;utm_source=sheet", "Apply")</f>
        <v>Apply</v>
      </c>
      <c r="C1670" s="10" t="s">
        <v>14536</v>
      </c>
      <c r="D1670" s="56" t="s">
        <v>14380</v>
      </c>
      <c r="E1670" s="59">
        <v>45301.0</v>
      </c>
      <c r="F1670" s="10" t="s">
        <v>14381</v>
      </c>
      <c r="G1670" s="10" t="s">
        <v>12654</v>
      </c>
      <c r="H1670" s="10" t="s">
        <v>849</v>
      </c>
      <c r="I1670" s="10" t="s">
        <v>55</v>
      </c>
      <c r="J1670" s="10" t="s">
        <v>13437</v>
      </c>
      <c r="K1670" s="10" t="s">
        <v>14537</v>
      </c>
      <c r="L1670" s="10" t="s">
        <v>42</v>
      </c>
    </row>
    <row r="1671" ht="15.75" customHeight="1">
      <c r="A1671" s="64">
        <v>45484.0</v>
      </c>
      <c r="B1671" s="55" t="str">
        <f>HYPERLINK("https://jobright.ai/jobs/info/6690ae75714748cce6c391e6?utm_campaign=1065&amp;utm_source=sheet", "Apply")</f>
        <v>Apply</v>
      </c>
      <c r="C1671" s="10" t="s">
        <v>14581</v>
      </c>
      <c r="D1671" s="56" t="s">
        <v>14380</v>
      </c>
      <c r="E1671" s="59">
        <v>45301.0</v>
      </c>
      <c r="F1671" s="10" t="s">
        <v>14381</v>
      </c>
      <c r="G1671" s="10" t="s">
        <v>12654</v>
      </c>
      <c r="H1671" s="10" t="s">
        <v>885</v>
      </c>
      <c r="I1671" s="10" t="s">
        <v>55</v>
      </c>
      <c r="J1671" s="10" t="s">
        <v>13437</v>
      </c>
      <c r="K1671" s="10" t="s">
        <v>14582</v>
      </c>
      <c r="L1671" s="10" t="s">
        <v>42</v>
      </c>
    </row>
    <row r="1672" ht="15.75" customHeight="1">
      <c r="A1672" s="64">
        <v>45484.0</v>
      </c>
      <c r="B1672" s="55" t="str">
        <f>HYPERLINK("https://jobright.ai/jobs/info/6690ae75714748cce6c391d1?utm_campaign=1065&amp;utm_source=sheet", "Apply")</f>
        <v>Apply</v>
      </c>
      <c r="C1672" s="10" t="s">
        <v>14579</v>
      </c>
      <c r="D1672" s="56" t="s">
        <v>14380</v>
      </c>
      <c r="E1672" s="59">
        <v>45301.0</v>
      </c>
      <c r="F1672" s="10" t="s">
        <v>14381</v>
      </c>
      <c r="G1672" s="10" t="s">
        <v>12654</v>
      </c>
      <c r="H1672" s="10" t="s">
        <v>1052</v>
      </c>
      <c r="I1672" s="10" t="s">
        <v>55</v>
      </c>
      <c r="J1672" s="10" t="s">
        <v>13437</v>
      </c>
      <c r="K1672" s="10" t="s">
        <v>14580</v>
      </c>
      <c r="L1672" s="10" t="s">
        <v>42</v>
      </c>
    </row>
    <row r="1673" ht="15.75" customHeight="1">
      <c r="A1673" s="64">
        <v>45484.0</v>
      </c>
      <c r="B1673" s="55" t="str">
        <f>HYPERLINK("https://jobright.ai/jobs/info/6690ae75714748cce6c391e5?utm_campaign=1065&amp;utm_source=sheet", "Apply")</f>
        <v>Apply</v>
      </c>
      <c r="C1673" s="10" t="s">
        <v>14581</v>
      </c>
      <c r="D1673" s="56" t="s">
        <v>14380</v>
      </c>
      <c r="E1673" s="59">
        <v>45301.0</v>
      </c>
      <c r="F1673" s="10" t="s">
        <v>14381</v>
      </c>
      <c r="G1673" s="10" t="s">
        <v>12654</v>
      </c>
      <c r="H1673" s="10" t="s">
        <v>943</v>
      </c>
      <c r="I1673" s="10" t="s">
        <v>55</v>
      </c>
      <c r="J1673" s="10" t="s">
        <v>13437</v>
      </c>
      <c r="K1673" s="10" t="s">
        <v>14582</v>
      </c>
      <c r="L1673" s="10" t="s">
        <v>42</v>
      </c>
    </row>
    <row r="1674" ht="15.75" customHeight="1">
      <c r="A1674" s="64">
        <v>45484.0</v>
      </c>
      <c r="B1674" s="55" t="str">
        <f>HYPERLINK("https://jobright.ai/jobs/info/6690ae75714748cce6c391d2?utm_campaign=1065&amp;utm_source=sheet", "Apply")</f>
        <v>Apply</v>
      </c>
      <c r="C1674" s="10" t="s">
        <v>14536</v>
      </c>
      <c r="D1674" s="56" t="s">
        <v>14380</v>
      </c>
      <c r="E1674" s="59">
        <v>45301.0</v>
      </c>
      <c r="F1674" s="10" t="s">
        <v>14381</v>
      </c>
      <c r="G1674" s="10" t="s">
        <v>12654</v>
      </c>
      <c r="H1674" s="10" t="s">
        <v>991</v>
      </c>
      <c r="I1674" s="10" t="s">
        <v>55</v>
      </c>
      <c r="J1674" s="10" t="s">
        <v>13437</v>
      </c>
      <c r="K1674" s="10" t="s">
        <v>14537</v>
      </c>
      <c r="L1674" s="10" t="s">
        <v>42</v>
      </c>
    </row>
    <row r="1675" ht="15.75" customHeight="1">
      <c r="A1675" s="64">
        <v>45484.0</v>
      </c>
      <c r="B1675" s="55" t="str">
        <f>HYPERLINK("https://jobright.ai/jobs/info/6690ae75714748cce6c391cb?utm_campaign=1065&amp;utm_source=sheet", "Apply")</f>
        <v>Apply</v>
      </c>
      <c r="C1675" s="10" t="s">
        <v>14581</v>
      </c>
      <c r="D1675" s="56" t="s">
        <v>14380</v>
      </c>
      <c r="E1675" s="59">
        <v>45301.0</v>
      </c>
      <c r="F1675" s="10" t="s">
        <v>14381</v>
      </c>
      <c r="G1675" s="10" t="s">
        <v>12654</v>
      </c>
      <c r="H1675" s="10" t="s">
        <v>925</v>
      </c>
      <c r="I1675" s="10" t="s">
        <v>55</v>
      </c>
      <c r="J1675" s="10" t="s">
        <v>13437</v>
      </c>
      <c r="K1675" s="10" t="s">
        <v>14582</v>
      </c>
      <c r="L1675" s="10" t="s">
        <v>42</v>
      </c>
    </row>
    <row r="1676" ht="15.75" customHeight="1">
      <c r="A1676" s="64">
        <v>45484.0</v>
      </c>
      <c r="B1676" s="55" t="str">
        <f>HYPERLINK("https://jobright.ai/jobs/info/6690ae75714748cce6c391fd?utm_campaign=1065&amp;utm_source=sheet", "Apply")</f>
        <v>Apply</v>
      </c>
      <c r="C1676" s="10" t="s">
        <v>14536</v>
      </c>
      <c r="D1676" s="56" t="s">
        <v>14380</v>
      </c>
      <c r="E1676" s="59">
        <v>45301.0</v>
      </c>
      <c r="F1676" s="10" t="s">
        <v>14381</v>
      </c>
      <c r="G1676" s="10" t="s">
        <v>12654</v>
      </c>
      <c r="H1676" s="10" t="s">
        <v>152</v>
      </c>
      <c r="I1676" s="10" t="s">
        <v>55</v>
      </c>
      <c r="J1676" s="10" t="s">
        <v>13437</v>
      </c>
      <c r="K1676" s="10" t="s">
        <v>14537</v>
      </c>
      <c r="L1676" s="10" t="s">
        <v>42</v>
      </c>
    </row>
    <row r="1677" ht="15.75" customHeight="1">
      <c r="A1677" s="64">
        <v>45484.0</v>
      </c>
      <c r="B1677" s="55" t="str">
        <f>HYPERLINK("https://jobright.ai/jobs/info/6690ae75714748cce6c391f5?utm_campaign=1065&amp;utm_source=sheet", "Apply")</f>
        <v>Apply</v>
      </c>
      <c r="C1677" s="10" t="s">
        <v>14536</v>
      </c>
      <c r="D1677" s="56" t="s">
        <v>14380</v>
      </c>
      <c r="E1677" s="59">
        <v>45301.0</v>
      </c>
      <c r="F1677" s="10" t="s">
        <v>14381</v>
      </c>
      <c r="G1677" s="10" t="s">
        <v>12654</v>
      </c>
      <c r="H1677" s="10" t="s">
        <v>775</v>
      </c>
      <c r="I1677" s="10" t="s">
        <v>55</v>
      </c>
      <c r="J1677" s="10" t="s">
        <v>13437</v>
      </c>
      <c r="K1677" s="10" t="s">
        <v>14537</v>
      </c>
      <c r="L1677" s="10" t="s">
        <v>42</v>
      </c>
    </row>
    <row r="1678" ht="15.75" customHeight="1">
      <c r="A1678" s="64">
        <v>45484.0</v>
      </c>
      <c r="B1678" s="55" t="str">
        <f>HYPERLINK("https://jobright.ai/jobs/info/6690ae75714748cce6c391ee?utm_campaign=1065&amp;utm_source=sheet", "Apply")</f>
        <v>Apply</v>
      </c>
      <c r="C1678" s="10" t="s">
        <v>14579</v>
      </c>
      <c r="D1678" s="56" t="s">
        <v>14380</v>
      </c>
      <c r="E1678" s="59">
        <v>45301.0</v>
      </c>
      <c r="F1678" s="10" t="s">
        <v>14381</v>
      </c>
      <c r="G1678" s="10" t="s">
        <v>12654</v>
      </c>
      <c r="H1678" s="10" t="s">
        <v>988</v>
      </c>
      <c r="I1678" s="10" t="s">
        <v>55</v>
      </c>
      <c r="J1678" s="10" t="s">
        <v>13437</v>
      </c>
      <c r="K1678" s="10" t="s">
        <v>14580</v>
      </c>
      <c r="L1678" s="10" t="s">
        <v>42</v>
      </c>
    </row>
    <row r="1679" ht="15.75" customHeight="1">
      <c r="A1679" s="64">
        <v>45484.0</v>
      </c>
      <c r="B1679" s="55" t="str">
        <f>HYPERLINK("https://jobright.ai/jobs/info/6690ae75714748cce6c391fe?utm_campaign=1065&amp;utm_source=sheet", "Apply")</f>
        <v>Apply</v>
      </c>
      <c r="C1679" s="10" t="s">
        <v>14579</v>
      </c>
      <c r="D1679" s="56" t="s">
        <v>14380</v>
      </c>
      <c r="E1679" s="59">
        <v>45301.0</v>
      </c>
      <c r="F1679" s="10" t="s">
        <v>14381</v>
      </c>
      <c r="G1679" s="10" t="s">
        <v>12654</v>
      </c>
      <c r="H1679" s="10" t="s">
        <v>863</v>
      </c>
      <c r="I1679" s="10" t="s">
        <v>55</v>
      </c>
      <c r="J1679" s="10" t="s">
        <v>13437</v>
      </c>
      <c r="K1679" s="10" t="s">
        <v>14580</v>
      </c>
      <c r="L1679" s="10" t="s">
        <v>42</v>
      </c>
    </row>
    <row r="1680" ht="15.75" customHeight="1">
      <c r="A1680" s="64">
        <v>45484.0</v>
      </c>
      <c r="B1680" s="55" t="str">
        <f>HYPERLINK("https://jobright.ai/jobs/info/6690ae75714748cce6c39205?utm_campaign=1065&amp;utm_source=sheet", "Apply")</f>
        <v>Apply</v>
      </c>
      <c r="C1680" s="10" t="s">
        <v>14536</v>
      </c>
      <c r="D1680" s="56" t="s">
        <v>14380</v>
      </c>
      <c r="E1680" s="59">
        <v>45301.0</v>
      </c>
      <c r="F1680" s="10" t="s">
        <v>14381</v>
      </c>
      <c r="G1680" s="10" t="s">
        <v>12654</v>
      </c>
      <c r="H1680" s="10" t="s">
        <v>1049</v>
      </c>
      <c r="I1680" s="10" t="s">
        <v>55</v>
      </c>
      <c r="J1680" s="10" t="s">
        <v>13437</v>
      </c>
      <c r="K1680" s="10" t="s">
        <v>14537</v>
      </c>
      <c r="L1680" s="10" t="s">
        <v>42</v>
      </c>
    </row>
    <row r="1681" ht="15.75" customHeight="1">
      <c r="A1681" s="64">
        <v>45484.0</v>
      </c>
      <c r="B1681" s="55" t="str">
        <f>HYPERLINK("https://jobright.ai/jobs/info/6690ae75714748cce6c39201?utm_campaign=1065&amp;utm_source=sheet", "Apply")</f>
        <v>Apply</v>
      </c>
      <c r="C1681" s="10" t="s">
        <v>14536</v>
      </c>
      <c r="D1681" s="56" t="s">
        <v>14380</v>
      </c>
      <c r="E1681" s="59">
        <v>45301.0</v>
      </c>
      <c r="F1681" s="10" t="s">
        <v>14381</v>
      </c>
      <c r="G1681" s="10" t="s">
        <v>12654</v>
      </c>
      <c r="H1681" s="10" t="s">
        <v>783</v>
      </c>
      <c r="I1681" s="10" t="s">
        <v>55</v>
      </c>
      <c r="J1681" s="10" t="s">
        <v>13437</v>
      </c>
      <c r="K1681" s="10" t="s">
        <v>14537</v>
      </c>
      <c r="L1681" s="10" t="s">
        <v>42</v>
      </c>
    </row>
    <row r="1682" ht="15.75" customHeight="1">
      <c r="A1682" s="64">
        <v>45484.0</v>
      </c>
      <c r="B1682" s="55" t="str">
        <f>HYPERLINK("https://jobright.ai/jobs/info/6690ae75714748cce6c3920b?utm_campaign=1065&amp;utm_source=sheet", "Apply")</f>
        <v>Apply</v>
      </c>
      <c r="C1682" s="10" t="s">
        <v>14579</v>
      </c>
      <c r="D1682" s="56" t="s">
        <v>14380</v>
      </c>
      <c r="E1682" s="59">
        <v>45301.0</v>
      </c>
      <c r="F1682" s="10" t="s">
        <v>14381</v>
      </c>
      <c r="G1682" s="10" t="s">
        <v>12654</v>
      </c>
      <c r="H1682" s="10" t="s">
        <v>572</v>
      </c>
      <c r="I1682" s="10" t="s">
        <v>55</v>
      </c>
      <c r="J1682" s="10" t="s">
        <v>13437</v>
      </c>
      <c r="K1682" s="10" t="s">
        <v>14580</v>
      </c>
      <c r="L1682" s="10" t="s">
        <v>42</v>
      </c>
    </row>
    <row r="1683" ht="15.75" customHeight="1">
      <c r="A1683" s="64">
        <v>45484.0</v>
      </c>
      <c r="B1683" s="55" t="str">
        <f>HYPERLINK("https://jobright.ai/jobs/info/6690ae75714748cce6c39207?utm_campaign=1065&amp;utm_source=sheet", "Apply")</f>
        <v>Apply</v>
      </c>
      <c r="C1683" s="10" t="s">
        <v>14536</v>
      </c>
      <c r="D1683" s="56" t="s">
        <v>14380</v>
      </c>
      <c r="E1683" s="59">
        <v>45301.0</v>
      </c>
      <c r="F1683" s="10" t="s">
        <v>14381</v>
      </c>
      <c r="G1683" s="10" t="s">
        <v>12654</v>
      </c>
      <c r="H1683" s="10" t="s">
        <v>995</v>
      </c>
      <c r="I1683" s="10" t="s">
        <v>55</v>
      </c>
      <c r="J1683" s="10" t="s">
        <v>13437</v>
      </c>
      <c r="K1683" s="10" t="s">
        <v>14537</v>
      </c>
      <c r="L1683" s="10" t="s">
        <v>42</v>
      </c>
    </row>
    <row r="1684" ht="15.75" customHeight="1">
      <c r="A1684" s="64">
        <v>45484.0</v>
      </c>
      <c r="B1684" s="55" t="str">
        <f>HYPERLINK("https://jobright.ai/jobs/info/6690ae75714748cce6c39212?utm_campaign=1065&amp;utm_source=sheet", "Apply")</f>
        <v>Apply</v>
      </c>
      <c r="C1684" s="10" t="s">
        <v>14579</v>
      </c>
      <c r="D1684" s="56" t="s">
        <v>14380</v>
      </c>
      <c r="E1684" s="59">
        <v>45301.0</v>
      </c>
      <c r="F1684" s="10" t="s">
        <v>14381</v>
      </c>
      <c r="G1684" s="10" t="s">
        <v>12654</v>
      </c>
      <c r="H1684" s="10" t="s">
        <v>139</v>
      </c>
      <c r="I1684" s="10" t="s">
        <v>55</v>
      </c>
      <c r="J1684" s="10" t="s">
        <v>13437</v>
      </c>
      <c r="K1684" s="10" t="s">
        <v>14580</v>
      </c>
      <c r="L1684" s="10" t="s">
        <v>42</v>
      </c>
    </row>
    <row r="1685" ht="15.75" customHeight="1">
      <c r="A1685" s="64">
        <v>45484.0</v>
      </c>
      <c r="B1685" s="55" t="str">
        <f>HYPERLINK("https://jobright.ai/jobs/info/6690ae75714748cce6c39222?utm_campaign=1065&amp;utm_source=sheet", "Apply")</f>
        <v>Apply</v>
      </c>
      <c r="C1685" s="10" t="s">
        <v>14536</v>
      </c>
      <c r="D1685" s="56" t="s">
        <v>14380</v>
      </c>
      <c r="E1685" s="59">
        <v>45301.0</v>
      </c>
      <c r="F1685" s="10" t="s">
        <v>14381</v>
      </c>
      <c r="G1685" s="10" t="s">
        <v>12654</v>
      </c>
      <c r="H1685" s="10" t="s">
        <v>985</v>
      </c>
      <c r="I1685" s="10" t="s">
        <v>55</v>
      </c>
      <c r="J1685" s="10" t="s">
        <v>13437</v>
      </c>
      <c r="K1685" s="10" t="s">
        <v>14537</v>
      </c>
      <c r="L1685" s="10" t="s">
        <v>42</v>
      </c>
    </row>
    <row r="1686" ht="15.75" customHeight="1">
      <c r="A1686" s="64">
        <v>45484.0</v>
      </c>
      <c r="B1686" s="55" t="str">
        <f>HYPERLINK("https://jobright.ai/jobs/info/6690ae75714748cce6c3922c?utm_campaign=1065&amp;utm_source=sheet", "Apply")</f>
        <v>Apply</v>
      </c>
      <c r="C1686" s="10" t="s">
        <v>14536</v>
      </c>
      <c r="D1686" s="56" t="s">
        <v>14380</v>
      </c>
      <c r="E1686" s="59">
        <v>45301.0</v>
      </c>
      <c r="F1686" s="10" t="s">
        <v>14381</v>
      </c>
      <c r="G1686" s="10" t="s">
        <v>12654</v>
      </c>
      <c r="H1686" s="10" t="s">
        <v>994</v>
      </c>
      <c r="I1686" s="10" t="s">
        <v>55</v>
      </c>
      <c r="J1686" s="10" t="s">
        <v>13437</v>
      </c>
      <c r="K1686" s="10" t="s">
        <v>14537</v>
      </c>
      <c r="L1686" s="10" t="s">
        <v>42</v>
      </c>
    </row>
    <row r="1687" ht="15.75" customHeight="1">
      <c r="A1687" s="64">
        <v>45484.0</v>
      </c>
      <c r="B1687" s="55" t="str">
        <f>HYPERLINK("https://jobright.ai/jobs/info/6690ae75714748cce6c3923c?utm_campaign=1065&amp;utm_source=sheet", "Apply")</f>
        <v>Apply</v>
      </c>
      <c r="C1687" s="10" t="s">
        <v>14536</v>
      </c>
      <c r="D1687" s="56" t="s">
        <v>14380</v>
      </c>
      <c r="E1687" s="59">
        <v>45301.0</v>
      </c>
      <c r="F1687" s="10" t="s">
        <v>14381</v>
      </c>
      <c r="G1687" s="10" t="s">
        <v>12654</v>
      </c>
      <c r="H1687" s="10" t="s">
        <v>802</v>
      </c>
      <c r="I1687" s="10" t="s">
        <v>55</v>
      </c>
      <c r="J1687" s="10" t="s">
        <v>13437</v>
      </c>
      <c r="K1687" s="10" t="s">
        <v>14537</v>
      </c>
      <c r="L1687" s="10" t="s">
        <v>42</v>
      </c>
    </row>
    <row r="1688" ht="15.75" customHeight="1">
      <c r="A1688" s="64">
        <v>45484.0</v>
      </c>
      <c r="B1688" s="55" t="str">
        <f>HYPERLINK("https://jobright.ai/jobs/info/6690ae75714748cce6c39241?utm_campaign=1065&amp;utm_source=sheet", "Apply")</f>
        <v>Apply</v>
      </c>
      <c r="C1688" s="10" t="s">
        <v>14536</v>
      </c>
      <c r="D1688" s="56" t="s">
        <v>14380</v>
      </c>
      <c r="E1688" s="59">
        <v>45301.0</v>
      </c>
      <c r="F1688" s="10" t="s">
        <v>14381</v>
      </c>
      <c r="G1688" s="10" t="s">
        <v>12654</v>
      </c>
      <c r="H1688" s="10" t="s">
        <v>950</v>
      </c>
      <c r="I1688" s="10" t="s">
        <v>55</v>
      </c>
      <c r="J1688" s="10" t="s">
        <v>13437</v>
      </c>
      <c r="K1688" s="10" t="s">
        <v>14537</v>
      </c>
      <c r="L1688" s="10" t="s">
        <v>42</v>
      </c>
    </row>
    <row r="1689" ht="15.75" customHeight="1">
      <c r="A1689" s="64">
        <v>45484.0</v>
      </c>
      <c r="B1689" s="55" t="str">
        <f>HYPERLINK("https://jobright.ai/jobs/info/6690ae75714748cce6c39243?utm_campaign=1065&amp;utm_source=sheet", "Apply")</f>
        <v>Apply</v>
      </c>
      <c r="C1689" s="10" t="s">
        <v>14536</v>
      </c>
      <c r="D1689" s="56" t="s">
        <v>14380</v>
      </c>
      <c r="E1689" s="59">
        <v>45301.0</v>
      </c>
      <c r="F1689" s="10" t="s">
        <v>14381</v>
      </c>
      <c r="G1689" s="10" t="s">
        <v>12654</v>
      </c>
      <c r="H1689" s="10" t="s">
        <v>980</v>
      </c>
      <c r="I1689" s="10" t="s">
        <v>55</v>
      </c>
      <c r="J1689" s="10" t="s">
        <v>13437</v>
      </c>
      <c r="K1689" s="10" t="s">
        <v>14537</v>
      </c>
      <c r="L1689" s="10" t="s">
        <v>42</v>
      </c>
    </row>
    <row r="1690" ht="15.75" customHeight="1">
      <c r="A1690" s="64">
        <v>45484.0</v>
      </c>
      <c r="B1690" s="55" t="str">
        <f>HYPERLINK("https://jobright.ai/jobs/info/6690ae75714748cce6c39247?utm_campaign=1065&amp;utm_source=sheet", "Apply")</f>
        <v>Apply</v>
      </c>
      <c r="C1690" s="10" t="s">
        <v>14536</v>
      </c>
      <c r="D1690" s="56" t="s">
        <v>14380</v>
      </c>
      <c r="E1690" s="59">
        <v>45301.0</v>
      </c>
      <c r="F1690" s="10" t="s">
        <v>14381</v>
      </c>
      <c r="G1690" s="10" t="s">
        <v>12654</v>
      </c>
      <c r="H1690" s="10" t="s">
        <v>863</v>
      </c>
      <c r="I1690" s="10" t="s">
        <v>55</v>
      </c>
      <c r="J1690" s="10" t="s">
        <v>13437</v>
      </c>
      <c r="K1690" s="10" t="s">
        <v>14537</v>
      </c>
      <c r="L1690" s="10" t="s">
        <v>42</v>
      </c>
    </row>
    <row r="1691" ht="15.75" customHeight="1">
      <c r="A1691" s="64">
        <v>45484.0</v>
      </c>
      <c r="B1691" s="55" t="str">
        <f>HYPERLINK("https://jobright.ai/jobs/info/6690ae75714748cce6c3924e?utm_campaign=1065&amp;utm_source=sheet", "Apply")</f>
        <v>Apply</v>
      </c>
      <c r="C1691" s="10" t="s">
        <v>14536</v>
      </c>
      <c r="D1691" s="56" t="s">
        <v>14380</v>
      </c>
      <c r="E1691" s="59">
        <v>45301.0</v>
      </c>
      <c r="F1691" s="10" t="s">
        <v>14381</v>
      </c>
      <c r="G1691" s="10" t="s">
        <v>12654</v>
      </c>
      <c r="H1691" s="10" t="s">
        <v>216</v>
      </c>
      <c r="I1691" s="10" t="s">
        <v>55</v>
      </c>
      <c r="J1691" s="10" t="s">
        <v>13437</v>
      </c>
      <c r="K1691" s="10" t="s">
        <v>14537</v>
      </c>
      <c r="L1691" s="10" t="s">
        <v>42</v>
      </c>
    </row>
    <row r="1692" ht="15.75" customHeight="1">
      <c r="A1692" s="64">
        <v>45484.0</v>
      </c>
      <c r="B1692" s="55" t="str">
        <f>HYPERLINK("https://jobright.ai/jobs/info/6690ae75714748cce6c3924c?utm_campaign=1065&amp;utm_source=sheet", "Apply")</f>
        <v>Apply</v>
      </c>
      <c r="C1692" s="10" t="s">
        <v>14536</v>
      </c>
      <c r="D1692" s="56" t="s">
        <v>14380</v>
      </c>
      <c r="E1692" s="59">
        <v>45301.0</v>
      </c>
      <c r="F1692" s="10" t="s">
        <v>14381</v>
      </c>
      <c r="G1692" s="10" t="s">
        <v>12654</v>
      </c>
      <c r="H1692" s="10" t="s">
        <v>146</v>
      </c>
      <c r="I1692" s="10" t="s">
        <v>55</v>
      </c>
      <c r="J1692" s="10" t="s">
        <v>13437</v>
      </c>
      <c r="K1692" s="10" t="s">
        <v>14537</v>
      </c>
      <c r="L1692" s="10" t="s">
        <v>42</v>
      </c>
    </row>
    <row r="1693" ht="15.75" customHeight="1">
      <c r="A1693" s="64">
        <v>45484.0</v>
      </c>
      <c r="B1693" s="55" t="str">
        <f>HYPERLINK("https://jobright.ai/jobs/info/6690ae75714748cce6c39250?utm_campaign=1065&amp;utm_source=sheet", "Apply")</f>
        <v>Apply</v>
      </c>
      <c r="C1693" s="10" t="s">
        <v>14536</v>
      </c>
      <c r="D1693" s="56" t="s">
        <v>14380</v>
      </c>
      <c r="E1693" s="59">
        <v>45301.0</v>
      </c>
      <c r="F1693" s="10" t="s">
        <v>14381</v>
      </c>
      <c r="G1693" s="10" t="s">
        <v>12654</v>
      </c>
      <c r="H1693" s="10" t="s">
        <v>908</v>
      </c>
      <c r="I1693" s="10" t="s">
        <v>55</v>
      </c>
      <c r="J1693" s="10" t="s">
        <v>13437</v>
      </c>
      <c r="K1693" s="10" t="s">
        <v>14537</v>
      </c>
      <c r="L1693" s="10" t="s">
        <v>42</v>
      </c>
    </row>
    <row r="1694" ht="15.75" customHeight="1">
      <c r="A1694" s="64">
        <v>45484.0</v>
      </c>
      <c r="B1694" s="55" t="str">
        <f>HYPERLINK("https://jobright.ai/jobs/info/6690ae75714748cce6c39255?utm_campaign=1065&amp;utm_source=sheet", "Apply")</f>
        <v>Apply</v>
      </c>
      <c r="C1694" s="10" t="s">
        <v>14536</v>
      </c>
      <c r="D1694" s="56" t="s">
        <v>14380</v>
      </c>
      <c r="E1694" s="59">
        <v>45301.0</v>
      </c>
      <c r="F1694" s="10" t="s">
        <v>14381</v>
      </c>
      <c r="G1694" s="10" t="s">
        <v>12654</v>
      </c>
      <c r="H1694" s="10" t="s">
        <v>835</v>
      </c>
      <c r="I1694" s="10" t="s">
        <v>55</v>
      </c>
      <c r="J1694" s="10" t="s">
        <v>13437</v>
      </c>
      <c r="K1694" s="10" t="s">
        <v>14537</v>
      </c>
      <c r="L1694" s="10" t="s">
        <v>42</v>
      </c>
    </row>
    <row r="1695" ht="15.75" customHeight="1">
      <c r="A1695" s="64">
        <v>45484.0</v>
      </c>
      <c r="B1695" s="55" t="str">
        <f>HYPERLINK("https://jobright.ai/jobs/info/6690ae75714748cce6c39257?utm_campaign=1065&amp;utm_source=sheet", "Apply")</f>
        <v>Apply</v>
      </c>
      <c r="C1695" s="10" t="s">
        <v>14536</v>
      </c>
      <c r="D1695" s="56" t="s">
        <v>14380</v>
      </c>
      <c r="E1695" s="59">
        <v>45301.0</v>
      </c>
      <c r="F1695" s="10" t="s">
        <v>14381</v>
      </c>
      <c r="G1695" s="10" t="s">
        <v>12654</v>
      </c>
      <c r="H1695" s="10" t="s">
        <v>1015</v>
      </c>
      <c r="I1695" s="10" t="s">
        <v>55</v>
      </c>
      <c r="J1695" s="10" t="s">
        <v>13437</v>
      </c>
      <c r="K1695" s="10" t="s">
        <v>14537</v>
      </c>
      <c r="L1695" s="10" t="s">
        <v>42</v>
      </c>
    </row>
    <row r="1696" ht="15.75" customHeight="1">
      <c r="A1696" s="64">
        <v>45484.0</v>
      </c>
      <c r="B1696" s="55" t="str">
        <f>HYPERLINK("https://jobright.ai/jobs/info/6690ae75714748cce6c39265?utm_campaign=1065&amp;utm_source=sheet", "Apply")</f>
        <v>Apply</v>
      </c>
      <c r="C1696" s="10" t="s">
        <v>14536</v>
      </c>
      <c r="D1696" s="56" t="s">
        <v>14380</v>
      </c>
      <c r="E1696" s="59">
        <v>45301.0</v>
      </c>
      <c r="F1696" s="10" t="s">
        <v>14381</v>
      </c>
      <c r="G1696" s="10" t="s">
        <v>12654</v>
      </c>
      <c r="H1696" s="10" t="s">
        <v>797</v>
      </c>
      <c r="I1696" s="10" t="s">
        <v>55</v>
      </c>
      <c r="J1696" s="10" t="s">
        <v>13437</v>
      </c>
      <c r="K1696" s="10" t="s">
        <v>14537</v>
      </c>
      <c r="L1696" s="10" t="s">
        <v>42</v>
      </c>
    </row>
    <row r="1697" ht="15.75" customHeight="1">
      <c r="A1697" s="64">
        <v>45484.0</v>
      </c>
      <c r="B1697" s="55" t="str">
        <f>HYPERLINK("https://jobright.ai/jobs/info/6690ae75714748cce6c39260?utm_campaign=1065&amp;utm_source=sheet", "Apply")</f>
        <v>Apply</v>
      </c>
      <c r="C1697" s="10" t="s">
        <v>14536</v>
      </c>
      <c r="D1697" s="56" t="s">
        <v>14380</v>
      </c>
      <c r="E1697" s="59">
        <v>45301.0</v>
      </c>
      <c r="F1697" s="10" t="s">
        <v>14381</v>
      </c>
      <c r="G1697" s="10" t="s">
        <v>12654</v>
      </c>
      <c r="H1697" s="10" t="s">
        <v>772</v>
      </c>
      <c r="I1697" s="10" t="s">
        <v>55</v>
      </c>
      <c r="J1697" s="10" t="s">
        <v>13437</v>
      </c>
      <c r="K1697" s="10" t="s">
        <v>14537</v>
      </c>
      <c r="L1697" s="10" t="s">
        <v>42</v>
      </c>
    </row>
    <row r="1698" ht="15.75" customHeight="1">
      <c r="A1698" s="64">
        <v>45484.0</v>
      </c>
      <c r="B1698" s="55" t="str">
        <f>HYPERLINK("https://jobright.ai/jobs/info/6690ae75714748cce6c3926e?utm_campaign=1065&amp;utm_source=sheet", "Apply")</f>
        <v>Apply</v>
      </c>
      <c r="C1698" s="10" t="s">
        <v>14536</v>
      </c>
      <c r="D1698" s="56" t="s">
        <v>14380</v>
      </c>
      <c r="E1698" s="59">
        <v>45301.0</v>
      </c>
      <c r="F1698" s="10" t="s">
        <v>14381</v>
      </c>
      <c r="G1698" s="10" t="s">
        <v>12654</v>
      </c>
      <c r="H1698" s="10" t="s">
        <v>940</v>
      </c>
      <c r="I1698" s="10" t="s">
        <v>55</v>
      </c>
      <c r="J1698" s="10" t="s">
        <v>13437</v>
      </c>
      <c r="K1698" s="10" t="s">
        <v>14537</v>
      </c>
      <c r="L1698" s="10" t="s">
        <v>42</v>
      </c>
    </row>
    <row r="1699" ht="15.75" customHeight="1">
      <c r="A1699" s="64">
        <v>45484.0</v>
      </c>
      <c r="B1699" s="55" t="str">
        <f>HYPERLINK("https://jobright.ai/jobs/info/6690ae7d714748cce6c39291?utm_campaign=1065&amp;utm_source=sheet", "Apply")</f>
        <v>Apply</v>
      </c>
      <c r="C1699" s="10" t="s">
        <v>14536</v>
      </c>
      <c r="D1699" s="56" t="s">
        <v>14380</v>
      </c>
      <c r="E1699" s="59">
        <v>45301.0</v>
      </c>
      <c r="F1699" s="10" t="s">
        <v>14381</v>
      </c>
      <c r="G1699" s="10" t="s">
        <v>12654</v>
      </c>
      <c r="H1699" s="10" t="s">
        <v>916</v>
      </c>
      <c r="I1699" s="10" t="s">
        <v>55</v>
      </c>
      <c r="J1699" s="10" t="s">
        <v>13437</v>
      </c>
      <c r="K1699" s="10" t="s">
        <v>14537</v>
      </c>
      <c r="L1699" s="10" t="s">
        <v>42</v>
      </c>
    </row>
    <row r="1700" ht="15.75" customHeight="1">
      <c r="A1700" s="64">
        <v>45484.0</v>
      </c>
      <c r="B1700" s="55" t="str">
        <f>HYPERLINK("https://jobright.ai/jobs/info/6690ae7d714748cce6c3929d?utm_campaign=1065&amp;utm_source=sheet", "Apply")</f>
        <v>Apply</v>
      </c>
      <c r="C1700" s="10" t="s">
        <v>14536</v>
      </c>
      <c r="D1700" s="56" t="s">
        <v>14380</v>
      </c>
      <c r="E1700" s="59">
        <v>45301.0</v>
      </c>
      <c r="F1700" s="10" t="s">
        <v>14381</v>
      </c>
      <c r="G1700" s="10" t="s">
        <v>12654</v>
      </c>
      <c r="H1700" s="10" t="s">
        <v>790</v>
      </c>
      <c r="I1700" s="10" t="s">
        <v>55</v>
      </c>
      <c r="J1700" s="10" t="s">
        <v>13437</v>
      </c>
      <c r="K1700" s="10" t="s">
        <v>14537</v>
      </c>
      <c r="L1700" s="10" t="s">
        <v>42</v>
      </c>
    </row>
    <row r="1701" ht="15.75" customHeight="1">
      <c r="A1701" s="64">
        <v>45484.0</v>
      </c>
      <c r="B1701" s="55" t="str">
        <f>HYPERLINK("https://jobright.ai/jobs/info/6690ae7d714748cce6c39285?utm_campaign=1065&amp;utm_source=sheet", "Apply")</f>
        <v>Apply</v>
      </c>
      <c r="C1701" s="10" t="s">
        <v>14536</v>
      </c>
      <c r="D1701" s="56" t="s">
        <v>14380</v>
      </c>
      <c r="E1701" s="59">
        <v>45301.0</v>
      </c>
      <c r="F1701" s="10" t="s">
        <v>14381</v>
      </c>
      <c r="G1701" s="10" t="s">
        <v>12654</v>
      </c>
      <c r="H1701" s="10" t="s">
        <v>867</v>
      </c>
      <c r="I1701" s="10" t="s">
        <v>55</v>
      </c>
      <c r="J1701" s="10" t="s">
        <v>13437</v>
      </c>
      <c r="K1701" s="10" t="s">
        <v>14537</v>
      </c>
      <c r="L1701" s="10" t="s">
        <v>42</v>
      </c>
    </row>
    <row r="1702" ht="15.75" customHeight="1">
      <c r="A1702" s="64">
        <v>45484.0</v>
      </c>
      <c r="B1702" s="55" t="str">
        <f>HYPERLINK("https://jobright.ai/jobs/info/6690ae7d714748cce6c39290?utm_campaign=1065&amp;utm_source=sheet", "Apply")</f>
        <v>Apply</v>
      </c>
      <c r="C1702" s="10" t="s">
        <v>14536</v>
      </c>
      <c r="D1702" s="56" t="s">
        <v>14380</v>
      </c>
      <c r="E1702" s="59">
        <v>45301.0</v>
      </c>
      <c r="F1702" s="10" t="s">
        <v>14381</v>
      </c>
      <c r="G1702" s="10" t="s">
        <v>12654</v>
      </c>
      <c r="H1702" s="10" t="s">
        <v>864</v>
      </c>
      <c r="I1702" s="10" t="s">
        <v>55</v>
      </c>
      <c r="J1702" s="10" t="s">
        <v>13437</v>
      </c>
      <c r="K1702" s="10" t="s">
        <v>14537</v>
      </c>
      <c r="L1702" s="10" t="s">
        <v>42</v>
      </c>
    </row>
    <row r="1703" ht="15.75" customHeight="1">
      <c r="A1703" s="64">
        <v>45484.0</v>
      </c>
      <c r="B1703" s="55" t="str">
        <f>HYPERLINK("https://jobright.ai/jobs/info/6690ae7d714748cce6c392a5?utm_campaign=1065&amp;utm_source=sheet", "Apply")</f>
        <v>Apply</v>
      </c>
      <c r="C1703" s="10" t="s">
        <v>14536</v>
      </c>
      <c r="D1703" s="56" t="s">
        <v>14380</v>
      </c>
      <c r="E1703" s="59">
        <v>45301.0</v>
      </c>
      <c r="F1703" s="10" t="s">
        <v>14381</v>
      </c>
      <c r="G1703" s="10" t="s">
        <v>12654</v>
      </c>
      <c r="H1703" s="10" t="s">
        <v>1020</v>
      </c>
      <c r="I1703" s="10" t="s">
        <v>55</v>
      </c>
      <c r="J1703" s="10" t="s">
        <v>13437</v>
      </c>
      <c r="K1703" s="10" t="s">
        <v>14537</v>
      </c>
      <c r="L1703" s="10" t="s">
        <v>42</v>
      </c>
    </row>
    <row r="1704" ht="15.75" customHeight="1">
      <c r="A1704" s="64">
        <v>45484.0</v>
      </c>
      <c r="B1704" s="55" t="str">
        <f>HYPERLINK("https://jobright.ai/jobs/info/6690ae7d714748cce6c39287?utm_campaign=1065&amp;utm_source=sheet", "Apply")</f>
        <v>Apply</v>
      </c>
      <c r="C1704" s="10" t="s">
        <v>14536</v>
      </c>
      <c r="D1704" s="56" t="s">
        <v>14380</v>
      </c>
      <c r="E1704" s="59">
        <v>45301.0</v>
      </c>
      <c r="F1704" s="10" t="s">
        <v>14381</v>
      </c>
      <c r="G1704" s="10" t="s">
        <v>12654</v>
      </c>
      <c r="H1704" s="10" t="s">
        <v>1027</v>
      </c>
      <c r="I1704" s="10" t="s">
        <v>55</v>
      </c>
      <c r="J1704" s="10" t="s">
        <v>13437</v>
      </c>
      <c r="K1704" s="10" t="s">
        <v>14537</v>
      </c>
      <c r="L1704" s="10" t="s">
        <v>42</v>
      </c>
    </row>
    <row r="1705" ht="15.75" customHeight="1">
      <c r="A1705" s="64">
        <v>45484.0</v>
      </c>
      <c r="B1705" s="55" t="str">
        <f>HYPERLINK("https://jobright.ai/jobs/info/6690ae75714748cce6c3927b?utm_campaign=1065&amp;utm_source=sheet", "Apply")</f>
        <v>Apply</v>
      </c>
      <c r="C1705" s="10" t="s">
        <v>14536</v>
      </c>
      <c r="D1705" s="56" t="s">
        <v>14380</v>
      </c>
      <c r="E1705" s="59">
        <v>45301.0</v>
      </c>
      <c r="F1705" s="10" t="s">
        <v>14381</v>
      </c>
      <c r="G1705" s="10" t="s">
        <v>12654</v>
      </c>
      <c r="H1705" s="10" t="s">
        <v>1028</v>
      </c>
      <c r="I1705" s="10" t="s">
        <v>55</v>
      </c>
      <c r="J1705" s="10" t="s">
        <v>13437</v>
      </c>
      <c r="K1705" s="10" t="s">
        <v>14537</v>
      </c>
      <c r="L1705" s="10" t="s">
        <v>42</v>
      </c>
    </row>
    <row r="1706" ht="15.75" customHeight="1">
      <c r="A1706" s="64">
        <v>45484.0</v>
      </c>
      <c r="B1706" s="55" t="str">
        <f>HYPERLINK("https://jobright.ai/jobs/info/6690ae7d714748cce6c392ad?utm_campaign=1065&amp;utm_source=sheet", "Apply")</f>
        <v>Apply</v>
      </c>
      <c r="C1706" s="10" t="s">
        <v>14536</v>
      </c>
      <c r="D1706" s="56" t="s">
        <v>14380</v>
      </c>
      <c r="E1706" s="59">
        <v>45301.0</v>
      </c>
      <c r="F1706" s="10" t="s">
        <v>14381</v>
      </c>
      <c r="G1706" s="10" t="s">
        <v>12654</v>
      </c>
      <c r="H1706" s="10" t="s">
        <v>773</v>
      </c>
      <c r="I1706" s="10" t="s">
        <v>55</v>
      </c>
      <c r="J1706" s="10" t="s">
        <v>13437</v>
      </c>
      <c r="K1706" s="10" t="s">
        <v>14537</v>
      </c>
      <c r="L1706" s="10" t="s">
        <v>42</v>
      </c>
    </row>
    <row r="1707" ht="15.75" customHeight="1">
      <c r="A1707" s="64">
        <v>45484.0</v>
      </c>
      <c r="B1707" s="55" t="str">
        <f>HYPERLINK("https://jobright.ai/jobs/info/6690ae7d714748cce6c392cd?utm_campaign=1065&amp;utm_source=sheet", "Apply")</f>
        <v>Apply</v>
      </c>
      <c r="C1707" s="10" t="s">
        <v>14536</v>
      </c>
      <c r="D1707" s="56" t="s">
        <v>14380</v>
      </c>
      <c r="E1707" s="59">
        <v>45301.0</v>
      </c>
      <c r="F1707" s="10" t="s">
        <v>14381</v>
      </c>
      <c r="G1707" s="10" t="s">
        <v>12654</v>
      </c>
      <c r="H1707" s="10" t="s">
        <v>925</v>
      </c>
      <c r="I1707" s="10" t="s">
        <v>55</v>
      </c>
      <c r="J1707" s="10" t="s">
        <v>13437</v>
      </c>
      <c r="K1707" s="10" t="s">
        <v>14537</v>
      </c>
      <c r="L1707" s="10" t="s">
        <v>42</v>
      </c>
    </row>
    <row r="1708" ht="15.75" customHeight="1">
      <c r="A1708" s="64">
        <v>45484.0</v>
      </c>
      <c r="B1708" s="55" t="str">
        <f>HYPERLINK("https://jobright.ai/jobs/info/6690ae7d714748cce6c392f3?utm_campaign=1065&amp;utm_source=sheet", "Apply")</f>
        <v>Apply</v>
      </c>
      <c r="C1708" s="10" t="s">
        <v>14536</v>
      </c>
      <c r="D1708" s="56" t="s">
        <v>14380</v>
      </c>
      <c r="E1708" s="59">
        <v>45301.0</v>
      </c>
      <c r="F1708" s="10" t="s">
        <v>14381</v>
      </c>
      <c r="G1708" s="10" t="s">
        <v>12654</v>
      </c>
      <c r="H1708" s="10" t="s">
        <v>405</v>
      </c>
      <c r="I1708" s="10" t="s">
        <v>55</v>
      </c>
      <c r="J1708" s="10" t="s">
        <v>13437</v>
      </c>
      <c r="K1708" s="10" t="s">
        <v>14537</v>
      </c>
      <c r="L1708" s="10" t="s">
        <v>42</v>
      </c>
    </row>
    <row r="1709" ht="15.75" customHeight="1">
      <c r="A1709" s="64">
        <v>45484.0</v>
      </c>
      <c r="B1709" s="55" t="str">
        <f>HYPERLINK("https://jobright.ai/jobs/info/6690ae7d714748cce6c392d8?utm_campaign=1065&amp;utm_source=sheet", "Apply")</f>
        <v>Apply</v>
      </c>
      <c r="C1709" s="10" t="s">
        <v>14536</v>
      </c>
      <c r="D1709" s="56" t="s">
        <v>14380</v>
      </c>
      <c r="E1709" s="59">
        <v>45301.0</v>
      </c>
      <c r="F1709" s="10" t="s">
        <v>14381</v>
      </c>
      <c r="G1709" s="10" t="s">
        <v>12654</v>
      </c>
      <c r="H1709" s="10" t="s">
        <v>957</v>
      </c>
      <c r="I1709" s="10" t="s">
        <v>55</v>
      </c>
      <c r="J1709" s="10" t="s">
        <v>13437</v>
      </c>
      <c r="K1709" s="10" t="s">
        <v>14537</v>
      </c>
      <c r="L1709" s="10" t="s">
        <v>42</v>
      </c>
    </row>
    <row r="1710" ht="15.75" customHeight="1">
      <c r="A1710" s="64">
        <v>45484.0</v>
      </c>
      <c r="B1710" s="55" t="str">
        <f>HYPERLINK("https://jobright.ai/jobs/info/6690ae7d714748cce6c39326?utm_campaign=1065&amp;utm_source=sheet", "Apply")</f>
        <v>Apply</v>
      </c>
      <c r="C1710" s="10" t="s">
        <v>14536</v>
      </c>
      <c r="D1710" s="56" t="s">
        <v>14380</v>
      </c>
      <c r="E1710" s="59">
        <v>45301.0</v>
      </c>
      <c r="F1710" s="10" t="s">
        <v>14381</v>
      </c>
      <c r="G1710" s="10" t="s">
        <v>12654</v>
      </c>
      <c r="H1710" s="10" t="s">
        <v>840</v>
      </c>
      <c r="I1710" s="10" t="s">
        <v>55</v>
      </c>
      <c r="J1710" s="10" t="s">
        <v>13437</v>
      </c>
      <c r="K1710" s="10" t="s">
        <v>14537</v>
      </c>
      <c r="L1710" s="10" t="s">
        <v>42</v>
      </c>
    </row>
    <row r="1711" ht="15.75" customHeight="1">
      <c r="A1711" s="64">
        <v>45484.0</v>
      </c>
      <c r="B1711" s="55" t="str">
        <f>HYPERLINK("https://jobright.ai/jobs/info/6690ae7d714748cce6c39338?utm_campaign=1065&amp;utm_source=sheet", "Apply")</f>
        <v>Apply</v>
      </c>
      <c r="C1711" s="10" t="s">
        <v>14536</v>
      </c>
      <c r="D1711" s="56" t="s">
        <v>14380</v>
      </c>
      <c r="E1711" s="59">
        <v>45301.0</v>
      </c>
      <c r="F1711" s="10" t="s">
        <v>14381</v>
      </c>
      <c r="G1711" s="10" t="s">
        <v>12654</v>
      </c>
      <c r="H1711" s="10" t="s">
        <v>1044</v>
      </c>
      <c r="I1711" s="10" t="s">
        <v>55</v>
      </c>
      <c r="J1711" s="10" t="s">
        <v>13437</v>
      </c>
      <c r="K1711" s="10" t="s">
        <v>14537</v>
      </c>
      <c r="L1711" s="10" t="s">
        <v>42</v>
      </c>
    </row>
    <row r="1712" ht="15.75" customHeight="1">
      <c r="A1712" s="64">
        <v>45484.0</v>
      </c>
      <c r="B1712" s="55" t="str">
        <f>HYPERLINK("https://jobright.ai/jobs/info/6690ae7d714748cce6c3933a?utm_campaign=1065&amp;utm_source=sheet", "Apply")</f>
        <v>Apply</v>
      </c>
      <c r="C1712" s="10" t="s">
        <v>14536</v>
      </c>
      <c r="D1712" s="56" t="s">
        <v>14380</v>
      </c>
      <c r="E1712" s="59">
        <v>45301.0</v>
      </c>
      <c r="F1712" s="10" t="s">
        <v>14381</v>
      </c>
      <c r="G1712" s="10" t="s">
        <v>12654</v>
      </c>
      <c r="H1712" s="10" t="s">
        <v>621</v>
      </c>
      <c r="I1712" s="10" t="s">
        <v>55</v>
      </c>
      <c r="J1712" s="10" t="s">
        <v>13437</v>
      </c>
      <c r="K1712" s="10" t="s">
        <v>14537</v>
      </c>
      <c r="L1712" s="10" t="s">
        <v>42</v>
      </c>
    </row>
    <row r="1713" ht="15.75" customHeight="1">
      <c r="A1713" s="64">
        <v>45484.0</v>
      </c>
      <c r="B1713" s="55" t="str">
        <f>HYPERLINK("https://jobright.ai/jobs/info/6690ae7d714748cce6c3933b?utm_campaign=1065&amp;utm_source=sheet", "Apply")</f>
        <v>Apply</v>
      </c>
      <c r="C1713" s="10" t="s">
        <v>14536</v>
      </c>
      <c r="D1713" s="56" t="s">
        <v>14380</v>
      </c>
      <c r="E1713" s="59">
        <v>45301.0</v>
      </c>
      <c r="F1713" s="10" t="s">
        <v>14381</v>
      </c>
      <c r="G1713" s="10" t="s">
        <v>12654</v>
      </c>
      <c r="H1713" s="10" t="s">
        <v>971</v>
      </c>
      <c r="I1713" s="10" t="s">
        <v>55</v>
      </c>
      <c r="J1713" s="10" t="s">
        <v>13437</v>
      </c>
      <c r="K1713" s="10" t="s">
        <v>14537</v>
      </c>
      <c r="L1713" s="10" t="s">
        <v>42</v>
      </c>
    </row>
    <row r="1714" ht="15.75" customHeight="1">
      <c r="A1714" s="64">
        <v>45484.0</v>
      </c>
      <c r="B1714" s="55" t="str">
        <f>HYPERLINK("https://jobright.ai/jobs/info/6690ae85714748cce6c3934d?utm_campaign=1065&amp;utm_source=sheet", "Apply")</f>
        <v>Apply</v>
      </c>
      <c r="C1714" s="10" t="s">
        <v>14536</v>
      </c>
      <c r="D1714" s="56" t="s">
        <v>14380</v>
      </c>
      <c r="E1714" s="59">
        <v>45301.0</v>
      </c>
      <c r="F1714" s="10" t="s">
        <v>14381</v>
      </c>
      <c r="G1714" s="10" t="s">
        <v>12654</v>
      </c>
      <c r="H1714" s="10" t="s">
        <v>965</v>
      </c>
      <c r="I1714" s="10" t="s">
        <v>55</v>
      </c>
      <c r="J1714" s="10" t="s">
        <v>13437</v>
      </c>
      <c r="K1714" s="10" t="s">
        <v>14537</v>
      </c>
      <c r="L1714" s="10" t="s">
        <v>42</v>
      </c>
    </row>
    <row r="1715" ht="15.75" customHeight="1">
      <c r="A1715" s="64">
        <v>45484.0</v>
      </c>
      <c r="B1715" s="55" t="str">
        <f>HYPERLINK("https://jobright.ai/jobs/info/6690ae85714748cce6c39398?utm_campaign=1065&amp;utm_source=sheet", "Apply")</f>
        <v>Apply</v>
      </c>
      <c r="C1715" s="10" t="s">
        <v>14536</v>
      </c>
      <c r="D1715" s="56" t="s">
        <v>14380</v>
      </c>
      <c r="E1715" s="59">
        <v>45301.0</v>
      </c>
      <c r="F1715" s="10" t="s">
        <v>14381</v>
      </c>
      <c r="G1715" s="10" t="s">
        <v>12654</v>
      </c>
      <c r="H1715" s="10" t="s">
        <v>1024</v>
      </c>
      <c r="I1715" s="10" t="s">
        <v>55</v>
      </c>
      <c r="J1715" s="10" t="s">
        <v>13437</v>
      </c>
      <c r="K1715" s="10" t="s">
        <v>14537</v>
      </c>
      <c r="L1715" s="10" t="s">
        <v>42</v>
      </c>
    </row>
    <row r="1716" ht="15.75" customHeight="1">
      <c r="A1716" s="64">
        <v>45484.0</v>
      </c>
      <c r="B1716" s="55" t="str">
        <f>HYPERLINK("https://jobright.ai/jobs/info/6690ae85714748cce6c393d7?utm_campaign=1065&amp;utm_source=sheet", "Apply")</f>
        <v>Apply</v>
      </c>
      <c r="C1716" s="10" t="s">
        <v>14536</v>
      </c>
      <c r="D1716" s="56" t="s">
        <v>14380</v>
      </c>
      <c r="E1716" s="59">
        <v>45301.0</v>
      </c>
      <c r="F1716" s="10" t="s">
        <v>14381</v>
      </c>
      <c r="G1716" s="10" t="s">
        <v>12654</v>
      </c>
      <c r="H1716" s="10" t="s">
        <v>881</v>
      </c>
      <c r="I1716" s="10" t="s">
        <v>55</v>
      </c>
      <c r="J1716" s="10" t="s">
        <v>13437</v>
      </c>
      <c r="K1716" s="10" t="s">
        <v>14537</v>
      </c>
      <c r="L1716" s="10" t="s">
        <v>42</v>
      </c>
    </row>
    <row r="1717" ht="15.75" customHeight="1">
      <c r="A1717" s="64">
        <v>45484.0</v>
      </c>
      <c r="B1717" s="55" t="str">
        <f>HYPERLINK("https://jobright.ai/jobs/info/6690ae85714748cce6c393d3?utm_campaign=1065&amp;utm_source=sheet", "Apply")</f>
        <v>Apply</v>
      </c>
      <c r="C1717" s="10" t="s">
        <v>14536</v>
      </c>
      <c r="D1717" s="56" t="s">
        <v>14380</v>
      </c>
      <c r="E1717" s="59">
        <v>45301.0</v>
      </c>
      <c r="F1717" s="10" t="s">
        <v>14381</v>
      </c>
      <c r="G1717" s="10" t="s">
        <v>12654</v>
      </c>
      <c r="H1717" s="10" t="s">
        <v>271</v>
      </c>
      <c r="I1717" s="10" t="s">
        <v>55</v>
      </c>
      <c r="J1717" s="10" t="s">
        <v>13437</v>
      </c>
      <c r="K1717" s="10" t="s">
        <v>14537</v>
      </c>
      <c r="L1717" s="10" t="s">
        <v>42</v>
      </c>
    </row>
    <row r="1718" ht="15.75" customHeight="1">
      <c r="A1718" s="64">
        <v>45484.0</v>
      </c>
      <c r="B1718" s="55" t="str">
        <f>HYPERLINK("https://jobright.ai/jobs/info/6690ae85714748cce6c393bf?utm_campaign=1065&amp;utm_source=sheet", "Apply")</f>
        <v>Apply</v>
      </c>
      <c r="C1718" s="10" t="s">
        <v>14536</v>
      </c>
      <c r="D1718" s="56" t="s">
        <v>14380</v>
      </c>
      <c r="E1718" s="59">
        <v>45301.0</v>
      </c>
      <c r="F1718" s="10" t="s">
        <v>14381</v>
      </c>
      <c r="G1718" s="10" t="s">
        <v>12654</v>
      </c>
      <c r="H1718" s="10" t="s">
        <v>892</v>
      </c>
      <c r="I1718" s="10" t="s">
        <v>55</v>
      </c>
      <c r="J1718" s="10" t="s">
        <v>13437</v>
      </c>
      <c r="K1718" s="10" t="s">
        <v>14537</v>
      </c>
      <c r="L1718" s="10" t="s">
        <v>42</v>
      </c>
    </row>
    <row r="1719" ht="15.75" customHeight="1">
      <c r="A1719" s="64">
        <v>45484.0</v>
      </c>
      <c r="B1719" s="55" t="str">
        <f>HYPERLINK("https://jobright.ai/jobs/info/6690ae85714748cce6c393b7?utm_campaign=1065&amp;utm_source=sheet", "Apply")</f>
        <v>Apply</v>
      </c>
      <c r="C1719" s="10" t="s">
        <v>14536</v>
      </c>
      <c r="D1719" s="56" t="s">
        <v>14380</v>
      </c>
      <c r="E1719" s="59">
        <v>45301.0</v>
      </c>
      <c r="F1719" s="10" t="s">
        <v>14381</v>
      </c>
      <c r="G1719" s="10" t="s">
        <v>12654</v>
      </c>
      <c r="H1719" s="10" t="s">
        <v>860</v>
      </c>
      <c r="I1719" s="10" t="s">
        <v>55</v>
      </c>
      <c r="J1719" s="10" t="s">
        <v>13437</v>
      </c>
      <c r="K1719" s="10" t="s">
        <v>14537</v>
      </c>
      <c r="L1719" s="10" t="s">
        <v>42</v>
      </c>
    </row>
    <row r="1720" ht="15.75" customHeight="1">
      <c r="A1720" s="64">
        <v>45484.0</v>
      </c>
      <c r="B1720" s="55" t="str">
        <f>HYPERLINK("https://jobright.ai/jobs/info/6690ae85714748cce6c393b6?utm_campaign=1065&amp;utm_source=sheet", "Apply")</f>
        <v>Apply</v>
      </c>
      <c r="C1720" s="10" t="s">
        <v>14536</v>
      </c>
      <c r="D1720" s="56" t="s">
        <v>14380</v>
      </c>
      <c r="E1720" s="59">
        <v>45301.0</v>
      </c>
      <c r="F1720" s="10" t="s">
        <v>14381</v>
      </c>
      <c r="G1720" s="10" t="s">
        <v>12654</v>
      </c>
      <c r="H1720" s="10" t="s">
        <v>823</v>
      </c>
      <c r="I1720" s="10" t="s">
        <v>55</v>
      </c>
      <c r="J1720" s="10" t="s">
        <v>13437</v>
      </c>
      <c r="K1720" s="10" t="s">
        <v>14537</v>
      </c>
      <c r="L1720" s="10" t="s">
        <v>42</v>
      </c>
    </row>
    <row r="1721" ht="15.75" customHeight="1">
      <c r="A1721" s="64">
        <v>45484.0</v>
      </c>
      <c r="B1721" s="55" t="str">
        <f>HYPERLINK("https://jobright.ai/jobs/info/6690ae85714748cce6c393d8?utm_campaign=1065&amp;utm_source=sheet", "Apply")</f>
        <v>Apply</v>
      </c>
      <c r="C1721" s="10" t="s">
        <v>14536</v>
      </c>
      <c r="D1721" s="56" t="s">
        <v>14380</v>
      </c>
      <c r="E1721" s="59">
        <v>45301.0</v>
      </c>
      <c r="F1721" s="10" t="s">
        <v>14381</v>
      </c>
      <c r="G1721" s="10" t="s">
        <v>12654</v>
      </c>
      <c r="H1721" s="10" t="s">
        <v>952</v>
      </c>
      <c r="I1721" s="10" t="s">
        <v>55</v>
      </c>
      <c r="J1721" s="10" t="s">
        <v>13437</v>
      </c>
      <c r="K1721" s="10" t="s">
        <v>14537</v>
      </c>
      <c r="L1721" s="10" t="s">
        <v>42</v>
      </c>
    </row>
    <row r="1722" ht="15.75" customHeight="1">
      <c r="A1722" s="64">
        <v>45484.0</v>
      </c>
      <c r="B1722" s="55" t="str">
        <f>HYPERLINK("https://jobright.ai/jobs/info/6690ae85714748cce6c393df?utm_campaign=1065&amp;utm_source=sheet", "Apply")</f>
        <v>Apply</v>
      </c>
      <c r="C1722" s="10" t="s">
        <v>14536</v>
      </c>
      <c r="D1722" s="56" t="s">
        <v>14380</v>
      </c>
      <c r="E1722" s="59">
        <v>45301.0</v>
      </c>
      <c r="F1722" s="10" t="s">
        <v>14381</v>
      </c>
      <c r="G1722" s="10" t="s">
        <v>12654</v>
      </c>
      <c r="H1722" s="10" t="s">
        <v>1013</v>
      </c>
      <c r="I1722" s="10" t="s">
        <v>55</v>
      </c>
      <c r="J1722" s="10" t="s">
        <v>13437</v>
      </c>
      <c r="K1722" s="10" t="s">
        <v>14537</v>
      </c>
      <c r="L1722" s="10" t="s">
        <v>42</v>
      </c>
    </row>
    <row r="1723" ht="15.75" customHeight="1">
      <c r="A1723" s="64">
        <v>45484.0</v>
      </c>
      <c r="B1723" s="55" t="str">
        <f>HYPERLINK("https://jobright.ai/jobs/info/6690ae85714748cce6c393ec?utm_campaign=1065&amp;utm_source=sheet", "Apply")</f>
        <v>Apply</v>
      </c>
      <c r="C1723" s="10" t="s">
        <v>14536</v>
      </c>
      <c r="D1723" s="56" t="s">
        <v>14380</v>
      </c>
      <c r="E1723" s="59">
        <v>45301.0</v>
      </c>
      <c r="F1723" s="10" t="s">
        <v>14381</v>
      </c>
      <c r="G1723" s="10" t="s">
        <v>12654</v>
      </c>
      <c r="H1723" s="10" t="s">
        <v>792</v>
      </c>
      <c r="I1723" s="10" t="s">
        <v>55</v>
      </c>
      <c r="J1723" s="10" t="s">
        <v>13437</v>
      </c>
      <c r="K1723" s="10" t="s">
        <v>14537</v>
      </c>
      <c r="L1723" s="10" t="s">
        <v>42</v>
      </c>
    </row>
    <row r="1724" ht="15.75" customHeight="1">
      <c r="A1724" s="64">
        <v>45484.0</v>
      </c>
      <c r="B1724" s="55" t="str">
        <f>HYPERLINK("https://jobright.ai/jobs/info/6690ae85714748cce6c393e8?utm_campaign=1065&amp;utm_source=sheet", "Apply")</f>
        <v>Apply</v>
      </c>
      <c r="C1724" s="10" t="s">
        <v>14536</v>
      </c>
      <c r="D1724" s="56" t="s">
        <v>14380</v>
      </c>
      <c r="E1724" s="59">
        <v>45301.0</v>
      </c>
      <c r="F1724" s="10" t="s">
        <v>14381</v>
      </c>
      <c r="G1724" s="10" t="s">
        <v>12654</v>
      </c>
      <c r="H1724" s="10" t="s">
        <v>831</v>
      </c>
      <c r="I1724" s="10" t="s">
        <v>55</v>
      </c>
      <c r="J1724" s="10" t="s">
        <v>13437</v>
      </c>
      <c r="K1724" s="10" t="s">
        <v>14537</v>
      </c>
      <c r="L1724" s="10" t="s">
        <v>42</v>
      </c>
    </row>
    <row r="1725" ht="15.75" customHeight="1">
      <c r="A1725" s="64">
        <v>45484.0</v>
      </c>
      <c r="B1725" s="55" t="str">
        <f>HYPERLINK("https://jobright.ai/jobs/info/6690ae85714748cce6c393e2?utm_campaign=1065&amp;utm_source=sheet", "Apply")</f>
        <v>Apply</v>
      </c>
      <c r="C1725" s="10" t="s">
        <v>14536</v>
      </c>
      <c r="D1725" s="56" t="s">
        <v>14380</v>
      </c>
      <c r="E1725" s="59">
        <v>45301.0</v>
      </c>
      <c r="F1725" s="10" t="s">
        <v>14381</v>
      </c>
      <c r="G1725" s="10" t="s">
        <v>12654</v>
      </c>
      <c r="H1725" s="10" t="s">
        <v>796</v>
      </c>
      <c r="I1725" s="10" t="s">
        <v>55</v>
      </c>
      <c r="J1725" s="10" t="s">
        <v>13437</v>
      </c>
      <c r="K1725" s="10" t="s">
        <v>14537</v>
      </c>
      <c r="L1725" s="10" t="s">
        <v>42</v>
      </c>
    </row>
    <row r="1726" ht="15.75" customHeight="1">
      <c r="A1726" s="64">
        <v>45484.0</v>
      </c>
      <c r="B1726" s="55" t="str">
        <f>HYPERLINK("https://jobright.ai/jobs/info/6690ae85714748cce6c393f8?utm_campaign=1065&amp;utm_source=sheet", "Apply")</f>
        <v>Apply</v>
      </c>
      <c r="C1726" s="10" t="s">
        <v>14536</v>
      </c>
      <c r="D1726" s="56" t="s">
        <v>14380</v>
      </c>
      <c r="E1726" s="59">
        <v>45301.0</v>
      </c>
      <c r="F1726" s="10" t="s">
        <v>14381</v>
      </c>
      <c r="G1726" s="10" t="s">
        <v>12654</v>
      </c>
      <c r="H1726" s="10" t="s">
        <v>354</v>
      </c>
      <c r="I1726" s="10" t="s">
        <v>55</v>
      </c>
      <c r="J1726" s="10" t="s">
        <v>13437</v>
      </c>
      <c r="K1726" s="10" t="s">
        <v>14537</v>
      </c>
      <c r="L1726" s="10" t="s">
        <v>42</v>
      </c>
    </row>
    <row r="1727" ht="15.75" customHeight="1">
      <c r="A1727" s="64">
        <v>45484.0</v>
      </c>
      <c r="B1727" s="55" t="str">
        <f>HYPERLINK("https://jobright.ai/jobs/info/6690ae85714748cce6c393e1?utm_campaign=1065&amp;utm_source=sheet", "Apply")</f>
        <v>Apply</v>
      </c>
      <c r="C1727" s="10" t="s">
        <v>14536</v>
      </c>
      <c r="D1727" s="56" t="s">
        <v>14380</v>
      </c>
      <c r="E1727" s="59">
        <v>45301.0</v>
      </c>
      <c r="F1727" s="10" t="s">
        <v>14381</v>
      </c>
      <c r="G1727" s="10" t="s">
        <v>12654</v>
      </c>
      <c r="H1727" s="10" t="s">
        <v>780</v>
      </c>
      <c r="I1727" s="10" t="s">
        <v>55</v>
      </c>
      <c r="J1727" s="10" t="s">
        <v>13437</v>
      </c>
      <c r="K1727" s="10" t="s">
        <v>14537</v>
      </c>
      <c r="L1727" s="10" t="s">
        <v>42</v>
      </c>
    </row>
    <row r="1728" ht="15.75" customHeight="1">
      <c r="A1728" s="64">
        <v>45484.0</v>
      </c>
      <c r="B1728" s="55" t="str">
        <f>HYPERLINK("https://jobright.ai/jobs/info/6690ae85714748cce6c39403?utm_campaign=1065&amp;utm_source=sheet", "Apply")</f>
        <v>Apply</v>
      </c>
      <c r="C1728" s="10" t="s">
        <v>14536</v>
      </c>
      <c r="D1728" s="56" t="s">
        <v>14380</v>
      </c>
      <c r="E1728" s="59">
        <v>45301.0</v>
      </c>
      <c r="F1728" s="10" t="s">
        <v>14381</v>
      </c>
      <c r="G1728" s="10" t="s">
        <v>12654</v>
      </c>
      <c r="H1728" s="10" t="s">
        <v>1036</v>
      </c>
      <c r="I1728" s="10" t="s">
        <v>55</v>
      </c>
      <c r="J1728" s="10" t="s">
        <v>13437</v>
      </c>
      <c r="K1728" s="10" t="s">
        <v>14537</v>
      </c>
      <c r="L1728" s="10" t="s">
        <v>42</v>
      </c>
    </row>
    <row r="1729" ht="15.75" customHeight="1">
      <c r="A1729" s="64">
        <v>45484.0</v>
      </c>
      <c r="B1729" s="55" t="str">
        <f>HYPERLINK("https://jobright.ai/jobs/info/6690ae85714748cce6c393e7?utm_campaign=1065&amp;utm_source=sheet", "Apply")</f>
        <v>Apply</v>
      </c>
      <c r="C1729" s="10" t="s">
        <v>14536</v>
      </c>
      <c r="D1729" s="56" t="s">
        <v>14380</v>
      </c>
      <c r="E1729" s="59">
        <v>45301.0</v>
      </c>
      <c r="F1729" s="10" t="s">
        <v>14381</v>
      </c>
      <c r="G1729" s="10" t="s">
        <v>12654</v>
      </c>
      <c r="H1729" s="10" t="s">
        <v>830</v>
      </c>
      <c r="I1729" s="10" t="s">
        <v>55</v>
      </c>
      <c r="J1729" s="10" t="s">
        <v>13437</v>
      </c>
      <c r="K1729" s="10" t="s">
        <v>14537</v>
      </c>
      <c r="L1729" s="10" t="s">
        <v>42</v>
      </c>
    </row>
    <row r="1730" ht="15.75" customHeight="1">
      <c r="A1730" s="64">
        <v>45484.0</v>
      </c>
      <c r="B1730" s="55" t="str">
        <f>HYPERLINK("https://jobright.ai/jobs/info/6690ae8d714748cce6c3941d?utm_campaign=1065&amp;utm_source=sheet", "Apply")</f>
        <v>Apply</v>
      </c>
      <c r="C1730" s="10" t="s">
        <v>14536</v>
      </c>
      <c r="D1730" s="56" t="s">
        <v>14380</v>
      </c>
      <c r="E1730" s="59">
        <v>45301.0</v>
      </c>
      <c r="F1730" s="10" t="s">
        <v>14381</v>
      </c>
      <c r="G1730" s="10" t="s">
        <v>12654</v>
      </c>
      <c r="H1730" s="10" t="s">
        <v>887</v>
      </c>
      <c r="I1730" s="10" t="s">
        <v>55</v>
      </c>
      <c r="J1730" s="10" t="s">
        <v>13437</v>
      </c>
      <c r="K1730" s="10" t="s">
        <v>14537</v>
      </c>
      <c r="L1730" s="10" t="s">
        <v>42</v>
      </c>
    </row>
    <row r="1731" ht="15.75" customHeight="1">
      <c r="A1731" s="64">
        <v>45484.0</v>
      </c>
      <c r="B1731" s="55" t="str">
        <f>HYPERLINK("https://jobright.ai/jobs/info/6690ae85714748cce6c39406?utm_campaign=1065&amp;utm_source=sheet", "Apply")</f>
        <v>Apply</v>
      </c>
      <c r="C1731" s="10" t="s">
        <v>14536</v>
      </c>
      <c r="D1731" s="56" t="s">
        <v>14380</v>
      </c>
      <c r="E1731" s="59">
        <v>45301.0</v>
      </c>
      <c r="F1731" s="10" t="s">
        <v>14381</v>
      </c>
      <c r="G1731" s="10" t="s">
        <v>12654</v>
      </c>
      <c r="H1731" s="10" t="s">
        <v>1047</v>
      </c>
      <c r="I1731" s="10" t="s">
        <v>55</v>
      </c>
      <c r="J1731" s="10" t="s">
        <v>13437</v>
      </c>
      <c r="K1731" s="10" t="s">
        <v>14537</v>
      </c>
      <c r="L1731" s="10" t="s">
        <v>42</v>
      </c>
    </row>
    <row r="1732" ht="15.75" customHeight="1">
      <c r="A1732" s="64">
        <v>45484.0</v>
      </c>
      <c r="B1732" s="55" t="str">
        <f>HYPERLINK("https://jobright.ai/jobs/info/6690ae8d714748cce6c39418?utm_campaign=1065&amp;utm_source=sheet", "Apply")</f>
        <v>Apply</v>
      </c>
      <c r="C1732" s="10" t="s">
        <v>14536</v>
      </c>
      <c r="D1732" s="56" t="s">
        <v>14380</v>
      </c>
      <c r="E1732" s="59">
        <v>45301.0</v>
      </c>
      <c r="F1732" s="10" t="s">
        <v>14381</v>
      </c>
      <c r="G1732" s="10" t="s">
        <v>12654</v>
      </c>
      <c r="H1732" s="10" t="s">
        <v>900</v>
      </c>
      <c r="I1732" s="10" t="s">
        <v>55</v>
      </c>
      <c r="J1732" s="10" t="s">
        <v>13437</v>
      </c>
      <c r="K1732" s="10" t="s">
        <v>14537</v>
      </c>
      <c r="L1732" s="10" t="s">
        <v>42</v>
      </c>
    </row>
    <row r="1733" ht="15.75" customHeight="1">
      <c r="A1733" s="64">
        <v>45484.0</v>
      </c>
      <c r="B1733" s="55" t="str">
        <f>HYPERLINK("https://jobright.ai/jobs/info/6690ae85714748cce6c3940d?utm_campaign=1065&amp;utm_source=sheet", "Apply")</f>
        <v>Apply</v>
      </c>
      <c r="C1733" s="10" t="s">
        <v>14536</v>
      </c>
      <c r="D1733" s="56" t="s">
        <v>14380</v>
      </c>
      <c r="E1733" s="59">
        <v>45301.0</v>
      </c>
      <c r="F1733" s="10" t="s">
        <v>14381</v>
      </c>
      <c r="G1733" s="10" t="s">
        <v>12654</v>
      </c>
      <c r="H1733" s="10" t="s">
        <v>117</v>
      </c>
      <c r="I1733" s="10" t="s">
        <v>55</v>
      </c>
      <c r="J1733" s="10" t="s">
        <v>13437</v>
      </c>
      <c r="K1733" s="10" t="s">
        <v>14537</v>
      </c>
      <c r="L1733" s="10" t="s">
        <v>42</v>
      </c>
    </row>
    <row r="1734" ht="15.75" customHeight="1">
      <c r="A1734" s="64">
        <v>45484.0</v>
      </c>
      <c r="B1734" s="55" t="str">
        <f>HYPERLINK("https://jobright.ai/jobs/info/6690ae8d714748cce6c3941f?utm_campaign=1065&amp;utm_source=sheet", "Apply")</f>
        <v>Apply</v>
      </c>
      <c r="C1734" s="10" t="s">
        <v>14536</v>
      </c>
      <c r="D1734" s="56" t="s">
        <v>14380</v>
      </c>
      <c r="E1734" s="59">
        <v>45301.0</v>
      </c>
      <c r="F1734" s="10" t="s">
        <v>14381</v>
      </c>
      <c r="G1734" s="10" t="s">
        <v>12654</v>
      </c>
      <c r="H1734" s="10" t="s">
        <v>978</v>
      </c>
      <c r="I1734" s="10" t="s">
        <v>55</v>
      </c>
      <c r="J1734" s="10" t="s">
        <v>13437</v>
      </c>
      <c r="K1734" s="10" t="s">
        <v>14537</v>
      </c>
      <c r="L1734" s="10" t="s">
        <v>42</v>
      </c>
    </row>
    <row r="1735" ht="15.75" customHeight="1">
      <c r="A1735" s="64">
        <v>45484.0</v>
      </c>
      <c r="B1735" s="55" t="str">
        <f>HYPERLINK("https://jobright.ai/jobs/info/6690ae8d714748cce6c39426?utm_campaign=1065&amp;utm_source=sheet", "Apply")</f>
        <v>Apply</v>
      </c>
      <c r="C1735" s="10" t="s">
        <v>14536</v>
      </c>
      <c r="D1735" s="56" t="s">
        <v>14380</v>
      </c>
      <c r="E1735" s="59">
        <v>45301.0</v>
      </c>
      <c r="F1735" s="10" t="s">
        <v>14381</v>
      </c>
      <c r="G1735" s="10" t="s">
        <v>12654</v>
      </c>
      <c r="H1735" s="10" t="s">
        <v>817</v>
      </c>
      <c r="I1735" s="10" t="s">
        <v>55</v>
      </c>
      <c r="J1735" s="10" t="s">
        <v>13437</v>
      </c>
      <c r="K1735" s="10" t="s">
        <v>14537</v>
      </c>
      <c r="L1735" s="10" t="s">
        <v>42</v>
      </c>
    </row>
    <row r="1736" ht="15.75" customHeight="1">
      <c r="A1736" s="64">
        <v>45484.0</v>
      </c>
      <c r="B1736" s="55" t="str">
        <f>HYPERLINK("https://jobright.ai/jobs/info/6690ae8d714748cce6c39420?utm_campaign=1065&amp;utm_source=sheet", "Apply")</f>
        <v>Apply</v>
      </c>
      <c r="C1736" s="10" t="s">
        <v>14536</v>
      </c>
      <c r="D1736" s="56" t="s">
        <v>14380</v>
      </c>
      <c r="E1736" s="59">
        <v>45301.0</v>
      </c>
      <c r="F1736" s="10" t="s">
        <v>14381</v>
      </c>
      <c r="G1736" s="10" t="s">
        <v>12654</v>
      </c>
      <c r="H1736" s="10" t="s">
        <v>883</v>
      </c>
      <c r="I1736" s="10" t="s">
        <v>55</v>
      </c>
      <c r="J1736" s="10" t="s">
        <v>13437</v>
      </c>
      <c r="K1736" s="10" t="s">
        <v>14537</v>
      </c>
      <c r="L1736" s="10" t="s">
        <v>42</v>
      </c>
    </row>
    <row r="1737" ht="15.75" customHeight="1">
      <c r="A1737" s="64">
        <v>45484.0</v>
      </c>
      <c r="B1737" s="55" t="str">
        <f>HYPERLINK("https://jobright.ai/jobs/info/6690ae8d714748cce6c3943e?utm_campaign=1065&amp;utm_source=sheet", "Apply")</f>
        <v>Apply</v>
      </c>
      <c r="C1737" s="10" t="s">
        <v>14536</v>
      </c>
      <c r="D1737" s="56" t="s">
        <v>14380</v>
      </c>
      <c r="E1737" s="59">
        <v>45301.0</v>
      </c>
      <c r="F1737" s="10" t="s">
        <v>14381</v>
      </c>
      <c r="G1737" s="10" t="s">
        <v>12654</v>
      </c>
      <c r="H1737" s="10" t="s">
        <v>859</v>
      </c>
      <c r="I1737" s="10" t="s">
        <v>55</v>
      </c>
      <c r="J1737" s="10" t="s">
        <v>13437</v>
      </c>
      <c r="K1737" s="10" t="s">
        <v>14537</v>
      </c>
      <c r="L1737" s="10" t="s">
        <v>42</v>
      </c>
    </row>
    <row r="1738" ht="15.75" customHeight="1">
      <c r="A1738" s="64">
        <v>45484.0</v>
      </c>
      <c r="B1738" s="55" t="str">
        <f>HYPERLINK("https://jobright.ai/jobs/info/6690ae8d714748cce6c3942d?utm_campaign=1065&amp;utm_source=sheet", "Apply")</f>
        <v>Apply</v>
      </c>
      <c r="C1738" s="10" t="s">
        <v>14536</v>
      </c>
      <c r="D1738" s="56" t="s">
        <v>14380</v>
      </c>
      <c r="E1738" s="59">
        <v>45301.0</v>
      </c>
      <c r="F1738" s="10" t="s">
        <v>14381</v>
      </c>
      <c r="G1738" s="10" t="s">
        <v>12654</v>
      </c>
      <c r="H1738" s="10" t="s">
        <v>1029</v>
      </c>
      <c r="I1738" s="10" t="s">
        <v>55</v>
      </c>
      <c r="J1738" s="10" t="s">
        <v>13437</v>
      </c>
      <c r="K1738" s="10" t="s">
        <v>14537</v>
      </c>
      <c r="L1738" s="10" t="s">
        <v>42</v>
      </c>
    </row>
    <row r="1739" ht="15.75" customHeight="1">
      <c r="A1739" s="64">
        <v>45484.0</v>
      </c>
      <c r="B1739" s="55" t="str">
        <f>HYPERLINK("https://jobright.ai/jobs/info/6690ae8d714748cce6c3943c?utm_campaign=1065&amp;utm_source=sheet", "Apply")</f>
        <v>Apply</v>
      </c>
      <c r="C1739" s="10" t="s">
        <v>14536</v>
      </c>
      <c r="D1739" s="56" t="s">
        <v>14380</v>
      </c>
      <c r="E1739" s="59">
        <v>45301.0</v>
      </c>
      <c r="F1739" s="10" t="s">
        <v>14381</v>
      </c>
      <c r="G1739" s="10" t="s">
        <v>12654</v>
      </c>
      <c r="H1739" s="10" t="s">
        <v>934</v>
      </c>
      <c r="I1739" s="10" t="s">
        <v>55</v>
      </c>
      <c r="J1739" s="10" t="s">
        <v>13437</v>
      </c>
      <c r="K1739" s="10" t="s">
        <v>14537</v>
      </c>
      <c r="L1739" s="10" t="s">
        <v>42</v>
      </c>
    </row>
    <row r="1740" ht="15.75" customHeight="1">
      <c r="A1740" s="64">
        <v>45484.0</v>
      </c>
      <c r="B1740" s="55" t="str">
        <f>HYPERLINK("https://jobright.ai/jobs/info/6690ae8d714748cce6c3942c?utm_campaign=1065&amp;utm_source=sheet", "Apply")</f>
        <v>Apply</v>
      </c>
      <c r="C1740" s="10" t="s">
        <v>14536</v>
      </c>
      <c r="D1740" s="56" t="s">
        <v>14380</v>
      </c>
      <c r="E1740" s="59">
        <v>45301.0</v>
      </c>
      <c r="F1740" s="10" t="s">
        <v>14381</v>
      </c>
      <c r="G1740" s="10" t="s">
        <v>12654</v>
      </c>
      <c r="H1740" s="10" t="s">
        <v>861</v>
      </c>
      <c r="I1740" s="10" t="s">
        <v>55</v>
      </c>
      <c r="J1740" s="10" t="s">
        <v>13437</v>
      </c>
      <c r="K1740" s="10" t="s">
        <v>14537</v>
      </c>
      <c r="L1740" s="10" t="s">
        <v>42</v>
      </c>
    </row>
    <row r="1741" ht="15.75" customHeight="1">
      <c r="A1741" s="64">
        <v>45484.0</v>
      </c>
      <c r="B1741" s="55" t="str">
        <f>HYPERLINK("https://jobright.ai/jobs/info/6690ae8d714748cce6c39433?utm_campaign=1065&amp;utm_source=sheet", "Apply")</f>
        <v>Apply</v>
      </c>
      <c r="C1741" s="10" t="s">
        <v>14536</v>
      </c>
      <c r="D1741" s="56" t="s">
        <v>14380</v>
      </c>
      <c r="E1741" s="59">
        <v>45301.0</v>
      </c>
      <c r="F1741" s="10" t="s">
        <v>14381</v>
      </c>
      <c r="G1741" s="10" t="s">
        <v>12654</v>
      </c>
      <c r="H1741" s="10" t="s">
        <v>868</v>
      </c>
      <c r="I1741" s="10" t="s">
        <v>55</v>
      </c>
      <c r="J1741" s="10" t="s">
        <v>13437</v>
      </c>
      <c r="K1741" s="10" t="s">
        <v>14537</v>
      </c>
      <c r="L1741" s="10" t="s">
        <v>42</v>
      </c>
    </row>
    <row r="1742" ht="15.75" customHeight="1">
      <c r="A1742" s="64">
        <v>45484.0</v>
      </c>
      <c r="B1742" s="55" t="str">
        <f>HYPERLINK("https://jobright.ai/jobs/info/6690ae8d714748cce6c39421?utm_campaign=1065&amp;utm_source=sheet", "Apply")</f>
        <v>Apply</v>
      </c>
      <c r="C1742" s="10" t="s">
        <v>14536</v>
      </c>
      <c r="D1742" s="56" t="s">
        <v>14380</v>
      </c>
      <c r="E1742" s="59">
        <v>45301.0</v>
      </c>
      <c r="F1742" s="10" t="s">
        <v>14381</v>
      </c>
      <c r="G1742" s="10" t="s">
        <v>12654</v>
      </c>
      <c r="H1742" s="10" t="s">
        <v>1026</v>
      </c>
      <c r="I1742" s="10" t="s">
        <v>55</v>
      </c>
      <c r="J1742" s="10" t="s">
        <v>13437</v>
      </c>
      <c r="K1742" s="10" t="s">
        <v>14537</v>
      </c>
      <c r="L1742" s="10" t="s">
        <v>42</v>
      </c>
    </row>
    <row r="1743" ht="15.75" customHeight="1">
      <c r="A1743" s="64">
        <v>45484.0</v>
      </c>
      <c r="B1743" s="55" t="str">
        <f>HYPERLINK("https://jobright.ai/jobs/info/6690ae8d714748cce6c39429?utm_campaign=1065&amp;utm_source=sheet", "Apply")</f>
        <v>Apply</v>
      </c>
      <c r="C1743" s="10" t="s">
        <v>14536</v>
      </c>
      <c r="D1743" s="56" t="s">
        <v>14380</v>
      </c>
      <c r="E1743" s="59">
        <v>45301.0</v>
      </c>
      <c r="F1743" s="10" t="s">
        <v>14381</v>
      </c>
      <c r="G1743" s="10" t="s">
        <v>12654</v>
      </c>
      <c r="H1743" s="10" t="s">
        <v>990</v>
      </c>
      <c r="I1743" s="10" t="s">
        <v>55</v>
      </c>
      <c r="J1743" s="10" t="s">
        <v>13437</v>
      </c>
      <c r="K1743" s="10" t="s">
        <v>14537</v>
      </c>
      <c r="L1743" s="10" t="s">
        <v>42</v>
      </c>
    </row>
    <row r="1744" ht="15.75" customHeight="1">
      <c r="A1744" s="64">
        <v>45484.0</v>
      </c>
      <c r="B1744" s="55" t="str">
        <f>HYPERLINK("https://jobright.ai/jobs/info/6690ae8d714748cce6c39450?utm_campaign=1065&amp;utm_source=sheet", "Apply")</f>
        <v>Apply</v>
      </c>
      <c r="C1744" s="10" t="s">
        <v>14536</v>
      </c>
      <c r="D1744" s="56" t="s">
        <v>14380</v>
      </c>
      <c r="E1744" s="59">
        <v>45301.0</v>
      </c>
      <c r="F1744" s="10" t="s">
        <v>14381</v>
      </c>
      <c r="G1744" s="10" t="s">
        <v>12654</v>
      </c>
      <c r="H1744" s="10" t="s">
        <v>668</v>
      </c>
      <c r="I1744" s="10" t="s">
        <v>55</v>
      </c>
      <c r="J1744" s="10" t="s">
        <v>13437</v>
      </c>
      <c r="K1744" s="10" t="s">
        <v>14537</v>
      </c>
      <c r="L1744" s="10" t="s">
        <v>42</v>
      </c>
    </row>
    <row r="1745" ht="15.75" customHeight="1">
      <c r="A1745" s="64">
        <v>45484.0</v>
      </c>
      <c r="B1745" s="55" t="str">
        <f>HYPERLINK("https://jobright.ai/jobs/info/6690ae8d714748cce6c39451?utm_campaign=1065&amp;utm_source=sheet", "Apply")</f>
        <v>Apply</v>
      </c>
      <c r="C1745" s="10" t="s">
        <v>14536</v>
      </c>
      <c r="D1745" s="56" t="s">
        <v>14380</v>
      </c>
      <c r="E1745" s="59">
        <v>45301.0</v>
      </c>
      <c r="F1745" s="10" t="s">
        <v>14381</v>
      </c>
      <c r="G1745" s="10" t="s">
        <v>12654</v>
      </c>
      <c r="H1745" s="10" t="s">
        <v>434</v>
      </c>
      <c r="I1745" s="10" t="s">
        <v>55</v>
      </c>
      <c r="J1745" s="10" t="s">
        <v>13437</v>
      </c>
      <c r="K1745" s="10" t="s">
        <v>14537</v>
      </c>
      <c r="L1745" s="10" t="s">
        <v>42</v>
      </c>
    </row>
    <row r="1746" ht="15.75" customHeight="1">
      <c r="A1746" s="64">
        <v>45484.0</v>
      </c>
      <c r="B1746" s="55" t="str">
        <f>HYPERLINK("https://jobright.ai/jobs/info/6690ae8d714748cce6c3944f?utm_campaign=1065&amp;utm_source=sheet", "Apply")</f>
        <v>Apply</v>
      </c>
      <c r="C1746" s="10" t="s">
        <v>14536</v>
      </c>
      <c r="D1746" s="56" t="s">
        <v>14380</v>
      </c>
      <c r="E1746" s="59">
        <v>45301.0</v>
      </c>
      <c r="F1746" s="10" t="s">
        <v>14381</v>
      </c>
      <c r="G1746" s="10" t="s">
        <v>12654</v>
      </c>
      <c r="H1746" s="10" t="s">
        <v>897</v>
      </c>
      <c r="I1746" s="10" t="s">
        <v>55</v>
      </c>
      <c r="J1746" s="10" t="s">
        <v>13437</v>
      </c>
      <c r="K1746" s="10" t="s">
        <v>14537</v>
      </c>
      <c r="L1746" s="10" t="s">
        <v>42</v>
      </c>
    </row>
    <row r="1747" ht="15.75" customHeight="1">
      <c r="A1747" s="64">
        <v>45484.0</v>
      </c>
      <c r="B1747" s="55" t="str">
        <f>HYPERLINK("https://jobright.ai/jobs/info/6690ae8d714748cce6c3945b?utm_campaign=1065&amp;utm_source=sheet", "Apply")</f>
        <v>Apply</v>
      </c>
      <c r="C1747" s="10" t="s">
        <v>14536</v>
      </c>
      <c r="D1747" s="56" t="s">
        <v>14380</v>
      </c>
      <c r="E1747" s="59">
        <v>45301.0</v>
      </c>
      <c r="F1747" s="10" t="s">
        <v>14381</v>
      </c>
      <c r="G1747" s="10" t="s">
        <v>12654</v>
      </c>
      <c r="H1747" s="10" t="s">
        <v>1045</v>
      </c>
      <c r="I1747" s="10" t="s">
        <v>55</v>
      </c>
      <c r="J1747" s="10" t="s">
        <v>13437</v>
      </c>
      <c r="K1747" s="10" t="s">
        <v>14537</v>
      </c>
      <c r="L1747" s="10" t="s">
        <v>42</v>
      </c>
    </row>
    <row r="1748" ht="15.75" customHeight="1">
      <c r="A1748" s="64">
        <v>45484.0</v>
      </c>
      <c r="B1748" s="55" t="str">
        <f>HYPERLINK("https://jobright.ai/jobs/info/6690ae8d714748cce6c39460?utm_campaign=1065&amp;utm_source=sheet", "Apply")</f>
        <v>Apply</v>
      </c>
      <c r="C1748" s="10" t="s">
        <v>14536</v>
      </c>
      <c r="D1748" s="56" t="s">
        <v>14380</v>
      </c>
      <c r="E1748" s="59">
        <v>45301.0</v>
      </c>
      <c r="F1748" s="10" t="s">
        <v>14381</v>
      </c>
      <c r="G1748" s="10" t="s">
        <v>12654</v>
      </c>
      <c r="H1748" s="10" t="s">
        <v>779</v>
      </c>
      <c r="I1748" s="10" t="s">
        <v>55</v>
      </c>
      <c r="J1748" s="10" t="s">
        <v>13437</v>
      </c>
      <c r="K1748" s="10" t="s">
        <v>14537</v>
      </c>
      <c r="L1748" s="10" t="s">
        <v>42</v>
      </c>
    </row>
    <row r="1749" ht="15.75" customHeight="1">
      <c r="A1749" s="64">
        <v>45484.0</v>
      </c>
      <c r="B1749" s="55" t="str">
        <f>HYPERLINK("https://jobright.ai/jobs/info/6690ae8d714748cce6c39469?utm_campaign=1065&amp;utm_source=sheet", "Apply")</f>
        <v>Apply</v>
      </c>
      <c r="C1749" s="10" t="s">
        <v>14536</v>
      </c>
      <c r="D1749" s="56" t="s">
        <v>14380</v>
      </c>
      <c r="E1749" s="59">
        <v>45301.0</v>
      </c>
      <c r="F1749" s="10" t="s">
        <v>14381</v>
      </c>
      <c r="G1749" s="10" t="s">
        <v>12654</v>
      </c>
      <c r="H1749" s="10" t="s">
        <v>977</v>
      </c>
      <c r="I1749" s="10" t="s">
        <v>55</v>
      </c>
      <c r="J1749" s="10" t="s">
        <v>13437</v>
      </c>
      <c r="K1749" s="10" t="s">
        <v>14537</v>
      </c>
      <c r="L1749" s="10" t="s">
        <v>42</v>
      </c>
    </row>
    <row r="1750" ht="15.75" customHeight="1">
      <c r="A1750" s="64">
        <v>45484.0</v>
      </c>
      <c r="B1750" s="55" t="str">
        <f>HYPERLINK("https://jobright.ai/jobs/info/6690ae8d714748cce6c3945e?utm_campaign=1065&amp;utm_source=sheet", "Apply")</f>
        <v>Apply</v>
      </c>
      <c r="C1750" s="10" t="s">
        <v>14536</v>
      </c>
      <c r="D1750" s="56" t="s">
        <v>14380</v>
      </c>
      <c r="E1750" s="59">
        <v>45301.0</v>
      </c>
      <c r="F1750" s="10" t="s">
        <v>14381</v>
      </c>
      <c r="G1750" s="10" t="s">
        <v>12654</v>
      </c>
      <c r="H1750" s="10" t="s">
        <v>154</v>
      </c>
      <c r="I1750" s="10" t="s">
        <v>55</v>
      </c>
      <c r="J1750" s="10" t="s">
        <v>13437</v>
      </c>
      <c r="K1750" s="10" t="s">
        <v>14537</v>
      </c>
      <c r="L1750" s="10" t="s">
        <v>42</v>
      </c>
    </row>
    <row r="1751" ht="15.75" customHeight="1">
      <c r="A1751" s="64">
        <v>45484.0</v>
      </c>
      <c r="B1751" s="55" t="str">
        <f>HYPERLINK("https://jobright.ai/jobs/info/6690ae8d714748cce6c39466?utm_campaign=1065&amp;utm_source=sheet", "Apply")</f>
        <v>Apply</v>
      </c>
      <c r="C1751" s="10" t="s">
        <v>14536</v>
      </c>
      <c r="D1751" s="56" t="s">
        <v>14380</v>
      </c>
      <c r="E1751" s="59">
        <v>45301.0</v>
      </c>
      <c r="F1751" s="10" t="s">
        <v>14381</v>
      </c>
      <c r="G1751" s="10" t="s">
        <v>12654</v>
      </c>
      <c r="H1751" s="10" t="s">
        <v>1038</v>
      </c>
      <c r="I1751" s="10" t="s">
        <v>55</v>
      </c>
      <c r="J1751" s="10" t="s">
        <v>13437</v>
      </c>
      <c r="K1751" s="10" t="s">
        <v>14537</v>
      </c>
      <c r="L1751" s="10" t="s">
        <v>42</v>
      </c>
    </row>
    <row r="1752" ht="15.75" customHeight="1">
      <c r="A1752" s="64">
        <v>45484.0</v>
      </c>
      <c r="B1752" s="55" t="str">
        <f>HYPERLINK("https://jobright.ai/jobs/info/6690ae8d714748cce6c3946a?utm_campaign=1065&amp;utm_source=sheet", "Apply")</f>
        <v>Apply</v>
      </c>
      <c r="C1752" s="10" t="s">
        <v>14536</v>
      </c>
      <c r="D1752" s="56" t="s">
        <v>14380</v>
      </c>
      <c r="E1752" s="59">
        <v>45301.0</v>
      </c>
      <c r="F1752" s="10" t="s">
        <v>14381</v>
      </c>
      <c r="G1752" s="10" t="s">
        <v>12654</v>
      </c>
      <c r="H1752" s="10" t="s">
        <v>979</v>
      </c>
      <c r="I1752" s="10" t="s">
        <v>55</v>
      </c>
      <c r="J1752" s="10" t="s">
        <v>13437</v>
      </c>
      <c r="K1752" s="10" t="s">
        <v>14537</v>
      </c>
      <c r="L1752" s="10" t="s">
        <v>42</v>
      </c>
    </row>
    <row r="1753" ht="15.75" customHeight="1">
      <c r="A1753" s="64">
        <v>45484.0</v>
      </c>
      <c r="B1753" s="55" t="str">
        <f>HYPERLINK("https://jobright.ai/jobs/info/6690ae8d714748cce6c39477?utm_campaign=1065&amp;utm_source=sheet", "Apply")</f>
        <v>Apply</v>
      </c>
      <c r="C1753" s="10" t="s">
        <v>14536</v>
      </c>
      <c r="D1753" s="56" t="s">
        <v>14380</v>
      </c>
      <c r="E1753" s="59">
        <v>45301.0</v>
      </c>
      <c r="F1753" s="10" t="s">
        <v>14381</v>
      </c>
      <c r="G1753" s="10" t="s">
        <v>12654</v>
      </c>
      <c r="H1753" s="10" t="s">
        <v>889</v>
      </c>
      <c r="I1753" s="10" t="s">
        <v>55</v>
      </c>
      <c r="J1753" s="10" t="s">
        <v>13437</v>
      </c>
      <c r="K1753" s="10" t="s">
        <v>14537</v>
      </c>
      <c r="L1753" s="10" t="s">
        <v>42</v>
      </c>
    </row>
    <row r="1754" ht="15.75" customHeight="1">
      <c r="A1754" s="64">
        <v>45484.0</v>
      </c>
      <c r="B1754" s="55" t="str">
        <f>HYPERLINK("https://jobright.ai/jobs/info/6690ae8d714748cce6c3947b?utm_campaign=1065&amp;utm_source=sheet", "Apply")</f>
        <v>Apply</v>
      </c>
      <c r="C1754" s="10" t="s">
        <v>14536</v>
      </c>
      <c r="D1754" s="56" t="s">
        <v>14380</v>
      </c>
      <c r="E1754" s="59">
        <v>45301.0</v>
      </c>
      <c r="F1754" s="10" t="s">
        <v>14381</v>
      </c>
      <c r="G1754" s="10" t="s">
        <v>12654</v>
      </c>
      <c r="H1754" s="10" t="s">
        <v>888</v>
      </c>
      <c r="I1754" s="10" t="s">
        <v>55</v>
      </c>
      <c r="J1754" s="10" t="s">
        <v>13437</v>
      </c>
      <c r="K1754" s="10" t="s">
        <v>14537</v>
      </c>
      <c r="L1754" s="10" t="s">
        <v>42</v>
      </c>
    </row>
    <row r="1755" ht="15.75" customHeight="1">
      <c r="A1755" s="64">
        <v>45484.0</v>
      </c>
      <c r="B1755" s="55" t="str">
        <f>HYPERLINK("https://jobright.ai/jobs/info/6690ae8d714748cce6c39478?utm_campaign=1065&amp;utm_source=sheet", "Apply")</f>
        <v>Apply</v>
      </c>
      <c r="C1755" s="10" t="s">
        <v>14536</v>
      </c>
      <c r="D1755" s="56" t="s">
        <v>14380</v>
      </c>
      <c r="E1755" s="59">
        <v>45301.0</v>
      </c>
      <c r="F1755" s="10" t="s">
        <v>14381</v>
      </c>
      <c r="G1755" s="10" t="s">
        <v>12654</v>
      </c>
      <c r="H1755" s="10" t="s">
        <v>959</v>
      </c>
      <c r="I1755" s="10" t="s">
        <v>55</v>
      </c>
      <c r="J1755" s="10" t="s">
        <v>13437</v>
      </c>
      <c r="K1755" s="10" t="s">
        <v>14537</v>
      </c>
      <c r="L1755" s="10" t="s">
        <v>42</v>
      </c>
    </row>
    <row r="1756" ht="15.75" customHeight="1">
      <c r="A1756" s="64">
        <v>45484.0</v>
      </c>
      <c r="B1756" s="55" t="str">
        <f>HYPERLINK("https://jobright.ai/jobs/info/6690ae8d714748cce6c39476?utm_campaign=1065&amp;utm_source=sheet", "Apply")</f>
        <v>Apply</v>
      </c>
      <c r="C1756" s="10" t="s">
        <v>14536</v>
      </c>
      <c r="D1756" s="56" t="s">
        <v>14380</v>
      </c>
      <c r="E1756" s="59">
        <v>45301.0</v>
      </c>
      <c r="F1756" s="10" t="s">
        <v>14381</v>
      </c>
      <c r="G1756" s="10" t="s">
        <v>12654</v>
      </c>
      <c r="H1756" s="10" t="s">
        <v>844</v>
      </c>
      <c r="I1756" s="10" t="s">
        <v>55</v>
      </c>
      <c r="J1756" s="10" t="s">
        <v>13437</v>
      </c>
      <c r="K1756" s="10" t="s">
        <v>14537</v>
      </c>
      <c r="L1756" s="10" t="s">
        <v>42</v>
      </c>
    </row>
    <row r="1757" ht="15.75" customHeight="1">
      <c r="A1757" s="64">
        <v>45484.0</v>
      </c>
      <c r="B1757" s="55" t="str">
        <f>HYPERLINK("https://jobright.ai/jobs/info/6690ae8d714748cce6c39472?utm_campaign=1065&amp;utm_source=sheet", "Apply")</f>
        <v>Apply</v>
      </c>
      <c r="C1757" s="10" t="s">
        <v>14536</v>
      </c>
      <c r="D1757" s="56" t="s">
        <v>14380</v>
      </c>
      <c r="E1757" s="59">
        <v>45301.0</v>
      </c>
      <c r="F1757" s="10" t="s">
        <v>14381</v>
      </c>
      <c r="G1757" s="10" t="s">
        <v>12654</v>
      </c>
      <c r="H1757" s="10" t="s">
        <v>904</v>
      </c>
      <c r="I1757" s="10" t="s">
        <v>55</v>
      </c>
      <c r="J1757" s="10" t="s">
        <v>13437</v>
      </c>
      <c r="K1757" s="10" t="s">
        <v>14537</v>
      </c>
      <c r="L1757" s="10" t="s">
        <v>42</v>
      </c>
    </row>
    <row r="1758" ht="15.75" customHeight="1">
      <c r="A1758" s="64">
        <v>45484.0</v>
      </c>
      <c r="B1758" s="55" t="str">
        <f>HYPERLINK("https://jobright.ai/jobs/info/6690ae8d714748cce6c3947c?utm_campaign=1065&amp;utm_source=sheet", "Apply")</f>
        <v>Apply</v>
      </c>
      <c r="C1758" s="10" t="s">
        <v>14536</v>
      </c>
      <c r="D1758" s="56" t="s">
        <v>14380</v>
      </c>
      <c r="E1758" s="59">
        <v>45301.0</v>
      </c>
      <c r="F1758" s="10" t="s">
        <v>14381</v>
      </c>
      <c r="G1758" s="10" t="s">
        <v>12654</v>
      </c>
      <c r="H1758" s="10" t="s">
        <v>572</v>
      </c>
      <c r="I1758" s="10" t="s">
        <v>55</v>
      </c>
      <c r="J1758" s="10" t="s">
        <v>13437</v>
      </c>
      <c r="K1758" s="10" t="s">
        <v>14537</v>
      </c>
      <c r="L1758" s="10" t="s">
        <v>42</v>
      </c>
    </row>
    <row r="1759" ht="15.75" customHeight="1">
      <c r="A1759" s="64">
        <v>45484.0</v>
      </c>
      <c r="B1759" s="55" t="str">
        <f>HYPERLINK("https://jobright.ai/jobs/info/6690ae8d714748cce6c39498?utm_campaign=1065&amp;utm_source=sheet", "Apply")</f>
        <v>Apply</v>
      </c>
      <c r="C1759" s="10" t="s">
        <v>14536</v>
      </c>
      <c r="D1759" s="56" t="s">
        <v>14380</v>
      </c>
      <c r="E1759" s="59">
        <v>45301.0</v>
      </c>
      <c r="F1759" s="10" t="s">
        <v>14381</v>
      </c>
      <c r="G1759" s="10" t="s">
        <v>12654</v>
      </c>
      <c r="H1759" s="10" t="s">
        <v>578</v>
      </c>
      <c r="I1759" s="10" t="s">
        <v>55</v>
      </c>
      <c r="J1759" s="10" t="s">
        <v>13437</v>
      </c>
      <c r="K1759" s="10" t="s">
        <v>14537</v>
      </c>
      <c r="L1759" s="10" t="s">
        <v>42</v>
      </c>
    </row>
    <row r="1760" ht="15.75" customHeight="1">
      <c r="A1760" s="64">
        <v>45484.0</v>
      </c>
      <c r="B1760" s="55" t="str">
        <f>HYPERLINK("https://jobright.ai/jobs/info/6690b62c1acf37e6b24816a4?utm_campaign=1065&amp;utm_source=sheet", "Apply")</f>
        <v>Apply</v>
      </c>
      <c r="C1760" s="10" t="s">
        <v>14536</v>
      </c>
      <c r="D1760" s="56" t="s">
        <v>14380</v>
      </c>
      <c r="E1760" s="59">
        <v>45301.0</v>
      </c>
      <c r="F1760" s="10" t="s">
        <v>14381</v>
      </c>
      <c r="G1760" s="10" t="s">
        <v>12654</v>
      </c>
      <c r="H1760" s="10" t="s">
        <v>423</v>
      </c>
      <c r="I1760" s="10" t="s">
        <v>55</v>
      </c>
      <c r="J1760" s="10" t="s">
        <v>13437</v>
      </c>
      <c r="K1760" s="10" t="s">
        <v>14537</v>
      </c>
      <c r="L1760" s="10" t="s">
        <v>42</v>
      </c>
    </row>
    <row r="1761" ht="15.75" customHeight="1">
      <c r="A1761" s="64">
        <v>45484.0</v>
      </c>
      <c r="B1761" s="55" t="str">
        <f>HYPERLINK("https://jobright.ai/jobs/info/6690b62c1acf37e6b24816a0?utm_campaign=1065&amp;utm_source=sheet", "Apply")</f>
        <v>Apply</v>
      </c>
      <c r="C1761" s="10" t="s">
        <v>14536</v>
      </c>
      <c r="D1761" s="56" t="s">
        <v>14380</v>
      </c>
      <c r="E1761" s="59">
        <v>45301.0</v>
      </c>
      <c r="F1761" s="10" t="s">
        <v>14381</v>
      </c>
      <c r="G1761" s="10" t="s">
        <v>12654</v>
      </c>
      <c r="H1761" s="10" t="s">
        <v>769</v>
      </c>
      <c r="I1761" s="10" t="s">
        <v>55</v>
      </c>
      <c r="J1761" s="10" t="s">
        <v>13437</v>
      </c>
      <c r="K1761" s="10" t="s">
        <v>14537</v>
      </c>
      <c r="L1761" s="10" t="s">
        <v>42</v>
      </c>
    </row>
    <row r="1762" ht="15.75" customHeight="1">
      <c r="A1762" s="64">
        <v>45484.0</v>
      </c>
      <c r="B1762" s="55" t="str">
        <f>HYPERLINK("https://jobright.ai/jobs/info/6690b62c1acf37e6b2481691?utm_campaign=1065&amp;utm_source=sheet", "Apply")</f>
        <v>Apply</v>
      </c>
      <c r="C1762" s="10" t="s">
        <v>14536</v>
      </c>
      <c r="D1762" s="56" t="s">
        <v>14380</v>
      </c>
      <c r="E1762" s="59">
        <v>45301.0</v>
      </c>
      <c r="F1762" s="10" t="s">
        <v>14381</v>
      </c>
      <c r="G1762" s="10" t="s">
        <v>12654</v>
      </c>
      <c r="H1762" s="10" t="s">
        <v>153</v>
      </c>
      <c r="I1762" s="10" t="s">
        <v>55</v>
      </c>
      <c r="J1762" s="10" t="s">
        <v>13437</v>
      </c>
      <c r="K1762" s="10" t="s">
        <v>14537</v>
      </c>
      <c r="L1762" s="10" t="s">
        <v>42</v>
      </c>
    </row>
    <row r="1763" ht="15.75" customHeight="1">
      <c r="A1763" s="64">
        <v>45484.0</v>
      </c>
      <c r="B1763" s="55" t="str">
        <f>HYPERLINK("https://jobright.ai/jobs/info/6690b62c1acf37e6b24816b8?utm_campaign=1065&amp;utm_source=sheet", "Apply")</f>
        <v>Apply</v>
      </c>
      <c r="C1763" s="10" t="s">
        <v>14536</v>
      </c>
      <c r="D1763" s="56" t="s">
        <v>14380</v>
      </c>
      <c r="E1763" s="59">
        <v>45301.0</v>
      </c>
      <c r="F1763" s="10" t="s">
        <v>14381</v>
      </c>
      <c r="G1763" s="10" t="s">
        <v>12654</v>
      </c>
      <c r="H1763" s="10" t="s">
        <v>875</v>
      </c>
      <c r="I1763" s="10" t="s">
        <v>55</v>
      </c>
      <c r="J1763" s="10" t="s">
        <v>13437</v>
      </c>
      <c r="K1763" s="10" t="s">
        <v>14537</v>
      </c>
      <c r="L1763" s="10" t="s">
        <v>42</v>
      </c>
    </row>
    <row r="1764" ht="15.75" customHeight="1">
      <c r="A1764" s="64">
        <v>45484.0</v>
      </c>
      <c r="B1764" s="55" t="str">
        <f>HYPERLINK("https://jobright.ai/jobs/info/6690b62c1acf37e6b24816cc?utm_campaign=1065&amp;utm_source=sheet", "Apply")</f>
        <v>Apply</v>
      </c>
      <c r="C1764" s="10" t="s">
        <v>14536</v>
      </c>
      <c r="D1764" s="56" t="s">
        <v>14380</v>
      </c>
      <c r="E1764" s="59">
        <v>45301.0</v>
      </c>
      <c r="F1764" s="10" t="s">
        <v>14381</v>
      </c>
      <c r="G1764" s="10" t="s">
        <v>12654</v>
      </c>
      <c r="H1764" s="10" t="s">
        <v>605</v>
      </c>
      <c r="I1764" s="10" t="s">
        <v>55</v>
      </c>
      <c r="J1764" s="10" t="s">
        <v>13437</v>
      </c>
      <c r="K1764" s="10" t="s">
        <v>14537</v>
      </c>
      <c r="L1764" s="10" t="s">
        <v>42</v>
      </c>
    </row>
    <row r="1765" ht="15.75" customHeight="1">
      <c r="A1765" s="64">
        <v>45484.0</v>
      </c>
      <c r="B1765" s="55" t="str">
        <f>HYPERLINK("https://jobright.ai/jobs/info/6690b62c1acf37e6b24816d5?utm_campaign=1065&amp;utm_source=sheet", "Apply")</f>
        <v>Apply</v>
      </c>
      <c r="C1765" s="10" t="s">
        <v>14536</v>
      </c>
      <c r="D1765" s="56" t="s">
        <v>14380</v>
      </c>
      <c r="E1765" s="59">
        <v>45301.0</v>
      </c>
      <c r="F1765" s="10" t="s">
        <v>14381</v>
      </c>
      <c r="G1765" s="10" t="s">
        <v>12654</v>
      </c>
      <c r="H1765" s="10" t="s">
        <v>825</v>
      </c>
      <c r="I1765" s="10" t="s">
        <v>55</v>
      </c>
      <c r="J1765" s="10" t="s">
        <v>13437</v>
      </c>
      <c r="K1765" s="10" t="s">
        <v>14537</v>
      </c>
      <c r="L1765" s="10" t="s">
        <v>42</v>
      </c>
    </row>
    <row r="1766" ht="15.75" customHeight="1">
      <c r="A1766" s="64">
        <v>45484.0</v>
      </c>
      <c r="B1766" s="55" t="str">
        <f>HYPERLINK("https://jobright.ai/jobs/info/6690b62c1acf37e6b24816dc?utm_campaign=1065&amp;utm_source=sheet", "Apply")</f>
        <v>Apply</v>
      </c>
      <c r="C1766" s="10" t="s">
        <v>14536</v>
      </c>
      <c r="D1766" s="56" t="s">
        <v>14380</v>
      </c>
      <c r="E1766" s="59">
        <v>45301.0</v>
      </c>
      <c r="F1766" s="10" t="s">
        <v>14381</v>
      </c>
      <c r="G1766" s="10" t="s">
        <v>12654</v>
      </c>
      <c r="H1766" s="10" t="s">
        <v>836</v>
      </c>
      <c r="I1766" s="10" t="s">
        <v>55</v>
      </c>
      <c r="J1766" s="10" t="s">
        <v>13437</v>
      </c>
      <c r="K1766" s="10" t="s">
        <v>14537</v>
      </c>
      <c r="L1766" s="10" t="s">
        <v>42</v>
      </c>
    </row>
    <row r="1767" ht="15.75" customHeight="1">
      <c r="A1767" s="64">
        <v>45484.0</v>
      </c>
      <c r="B1767" s="55" t="str">
        <f>HYPERLINK("https://jobright.ai/jobs/info/6690b62c1acf37e6b24816f4?utm_campaign=1065&amp;utm_source=sheet", "Apply")</f>
        <v>Apply</v>
      </c>
      <c r="C1767" s="10" t="s">
        <v>14536</v>
      </c>
      <c r="D1767" s="56" t="s">
        <v>14380</v>
      </c>
      <c r="E1767" s="59">
        <v>45301.0</v>
      </c>
      <c r="F1767" s="10" t="s">
        <v>14381</v>
      </c>
      <c r="G1767" s="10" t="s">
        <v>12654</v>
      </c>
      <c r="H1767" s="10" t="s">
        <v>905</v>
      </c>
      <c r="I1767" s="10" t="s">
        <v>55</v>
      </c>
      <c r="J1767" s="10" t="s">
        <v>13437</v>
      </c>
      <c r="K1767" s="10" t="s">
        <v>14537</v>
      </c>
      <c r="L1767" s="10" t="s">
        <v>42</v>
      </c>
    </row>
    <row r="1768" ht="15.75" customHeight="1">
      <c r="A1768" s="64">
        <v>45484.0</v>
      </c>
      <c r="B1768" s="55" t="str">
        <f>HYPERLINK("https://jobright.ai/jobs/info/6690b6331acf37e6b2481768?utm_campaign=1065&amp;utm_source=sheet", "Apply")</f>
        <v>Apply</v>
      </c>
      <c r="C1768" s="10" t="s">
        <v>14536</v>
      </c>
      <c r="D1768" s="56" t="s">
        <v>14380</v>
      </c>
      <c r="E1768" s="59">
        <v>45301.0</v>
      </c>
      <c r="F1768" s="10" t="s">
        <v>14381</v>
      </c>
      <c r="G1768" s="10" t="s">
        <v>12654</v>
      </c>
      <c r="H1768" s="10" t="s">
        <v>1039</v>
      </c>
      <c r="I1768" s="10" t="s">
        <v>55</v>
      </c>
      <c r="J1768" s="10" t="s">
        <v>13437</v>
      </c>
      <c r="K1768" s="10" t="s">
        <v>14537</v>
      </c>
      <c r="L1768" s="10" t="s">
        <v>42</v>
      </c>
    </row>
    <row r="1769" ht="15.75" customHeight="1">
      <c r="A1769" s="64">
        <v>45484.0</v>
      </c>
      <c r="B1769" s="55" t="str">
        <f>HYPERLINK("https://jobright.ai/jobs/info/6690b6331acf37e6b2481766?utm_campaign=1065&amp;utm_source=sheet", "Apply")</f>
        <v>Apply</v>
      </c>
      <c r="C1769" s="10" t="s">
        <v>14536</v>
      </c>
      <c r="D1769" s="56" t="s">
        <v>14380</v>
      </c>
      <c r="E1769" s="59">
        <v>45301.0</v>
      </c>
      <c r="F1769" s="10" t="s">
        <v>14381</v>
      </c>
      <c r="G1769" s="10" t="s">
        <v>12654</v>
      </c>
      <c r="H1769" s="10" t="s">
        <v>882</v>
      </c>
      <c r="I1769" s="10" t="s">
        <v>55</v>
      </c>
      <c r="J1769" s="10" t="s">
        <v>13437</v>
      </c>
      <c r="K1769" s="10" t="s">
        <v>14537</v>
      </c>
      <c r="L1769" s="10" t="s">
        <v>42</v>
      </c>
    </row>
    <row r="1770" ht="15.75" customHeight="1">
      <c r="A1770" s="64">
        <v>45484.0</v>
      </c>
      <c r="B1770" s="55" t="str">
        <f>HYPERLINK("https://jobright.ai/jobs/info/6690b6331acf37e6b248176b?utm_campaign=1065&amp;utm_source=sheet", "Apply")</f>
        <v>Apply</v>
      </c>
      <c r="C1770" s="10" t="s">
        <v>14536</v>
      </c>
      <c r="D1770" s="56" t="s">
        <v>14380</v>
      </c>
      <c r="E1770" s="59">
        <v>45301.0</v>
      </c>
      <c r="F1770" s="10" t="s">
        <v>14381</v>
      </c>
      <c r="G1770" s="10" t="s">
        <v>12654</v>
      </c>
      <c r="H1770" s="10" t="s">
        <v>1030</v>
      </c>
      <c r="I1770" s="10" t="s">
        <v>55</v>
      </c>
      <c r="J1770" s="10" t="s">
        <v>13437</v>
      </c>
      <c r="K1770" s="10" t="s">
        <v>14537</v>
      </c>
      <c r="L1770" s="10" t="s">
        <v>42</v>
      </c>
    </row>
    <row r="1771" ht="15.75" customHeight="1">
      <c r="A1771" s="64">
        <v>45484.0</v>
      </c>
      <c r="B1771" s="55" t="str">
        <f>HYPERLINK("https://jobright.ai/jobs/info/6690b6331acf37e6b2481780?utm_campaign=1065&amp;utm_source=sheet", "Apply")</f>
        <v>Apply</v>
      </c>
      <c r="C1771" s="10" t="s">
        <v>14536</v>
      </c>
      <c r="D1771" s="56" t="s">
        <v>14380</v>
      </c>
      <c r="E1771" s="59">
        <v>45301.0</v>
      </c>
      <c r="F1771" s="10" t="s">
        <v>14381</v>
      </c>
      <c r="G1771" s="10" t="s">
        <v>12654</v>
      </c>
      <c r="H1771" s="10" t="s">
        <v>931</v>
      </c>
      <c r="I1771" s="10" t="s">
        <v>55</v>
      </c>
      <c r="J1771" s="10" t="s">
        <v>13437</v>
      </c>
      <c r="K1771" s="10" t="s">
        <v>14537</v>
      </c>
      <c r="L1771" s="10" t="s">
        <v>42</v>
      </c>
    </row>
    <row r="1772" ht="15.75" customHeight="1">
      <c r="A1772" s="64">
        <v>45484.0</v>
      </c>
      <c r="B1772" s="55" t="str">
        <f>HYPERLINK("https://jobright.ai/jobs/info/6690b6331acf37e6b2481790?utm_campaign=1065&amp;utm_source=sheet", "Apply")</f>
        <v>Apply</v>
      </c>
      <c r="C1772" s="10" t="s">
        <v>14536</v>
      </c>
      <c r="D1772" s="56" t="s">
        <v>14380</v>
      </c>
      <c r="E1772" s="59">
        <v>45301.0</v>
      </c>
      <c r="F1772" s="10" t="s">
        <v>14381</v>
      </c>
      <c r="G1772" s="10" t="s">
        <v>12654</v>
      </c>
      <c r="H1772" s="10" t="s">
        <v>108</v>
      </c>
      <c r="I1772" s="10" t="s">
        <v>55</v>
      </c>
      <c r="J1772" s="10" t="s">
        <v>13437</v>
      </c>
      <c r="K1772" s="10" t="s">
        <v>14537</v>
      </c>
      <c r="L1772" s="10" t="s">
        <v>42</v>
      </c>
    </row>
    <row r="1773" ht="15.75" customHeight="1">
      <c r="A1773" s="64">
        <v>45484.0</v>
      </c>
      <c r="B1773" s="55" t="str">
        <f>HYPERLINK("https://jobright.ai/jobs/info/6690b6331acf37e6b2481784?utm_campaign=1065&amp;utm_source=sheet", "Apply")</f>
        <v>Apply</v>
      </c>
      <c r="C1773" s="10" t="s">
        <v>14536</v>
      </c>
      <c r="D1773" s="56" t="s">
        <v>14380</v>
      </c>
      <c r="E1773" s="59">
        <v>45301.0</v>
      </c>
      <c r="F1773" s="10" t="s">
        <v>14381</v>
      </c>
      <c r="G1773" s="10" t="s">
        <v>12654</v>
      </c>
      <c r="H1773" s="10" t="s">
        <v>927</v>
      </c>
      <c r="I1773" s="10" t="s">
        <v>55</v>
      </c>
      <c r="J1773" s="10" t="s">
        <v>13437</v>
      </c>
      <c r="K1773" s="10" t="s">
        <v>14537</v>
      </c>
      <c r="L1773" s="10" t="s">
        <v>42</v>
      </c>
    </row>
    <row r="1774" ht="15.75" customHeight="1">
      <c r="A1774" s="64">
        <v>45484.0</v>
      </c>
      <c r="B1774" s="55" t="str">
        <f>HYPERLINK("https://jobright.ai/jobs/info/6690b6331acf37e6b248178e?utm_campaign=1065&amp;utm_source=sheet", "Apply")</f>
        <v>Apply</v>
      </c>
      <c r="C1774" s="10" t="s">
        <v>14536</v>
      </c>
      <c r="D1774" s="56" t="s">
        <v>14380</v>
      </c>
      <c r="E1774" s="59">
        <v>45301.0</v>
      </c>
      <c r="F1774" s="10" t="s">
        <v>14381</v>
      </c>
      <c r="G1774" s="10" t="s">
        <v>12654</v>
      </c>
      <c r="H1774" s="10" t="s">
        <v>848</v>
      </c>
      <c r="I1774" s="10" t="s">
        <v>55</v>
      </c>
      <c r="J1774" s="10" t="s">
        <v>13437</v>
      </c>
      <c r="K1774" s="10" t="s">
        <v>14537</v>
      </c>
      <c r="L1774" s="10" t="s">
        <v>42</v>
      </c>
    </row>
    <row r="1775" ht="15.75" customHeight="1">
      <c r="A1775" s="64">
        <v>45484.0</v>
      </c>
      <c r="B1775" s="55" t="str">
        <f>HYPERLINK("https://jobright.ai/jobs/info/6690b6331acf37e6b2481792?utm_campaign=1065&amp;utm_source=sheet", "Apply")</f>
        <v>Apply</v>
      </c>
      <c r="C1775" s="10" t="s">
        <v>14536</v>
      </c>
      <c r="D1775" s="56" t="s">
        <v>14380</v>
      </c>
      <c r="E1775" s="59">
        <v>45301.0</v>
      </c>
      <c r="F1775" s="10" t="s">
        <v>14381</v>
      </c>
      <c r="G1775" s="10" t="s">
        <v>12654</v>
      </c>
      <c r="H1775" s="10" t="s">
        <v>958</v>
      </c>
      <c r="I1775" s="10" t="s">
        <v>55</v>
      </c>
      <c r="J1775" s="10" t="s">
        <v>13437</v>
      </c>
      <c r="K1775" s="10" t="s">
        <v>14537</v>
      </c>
      <c r="L1775" s="10" t="s">
        <v>42</v>
      </c>
    </row>
    <row r="1776" ht="15.75" customHeight="1">
      <c r="A1776" s="64">
        <v>45484.0</v>
      </c>
      <c r="B1776" s="55" t="str">
        <f>HYPERLINK("https://jobright.ai/jobs/info/6690b6331acf37e6b248177a?utm_campaign=1065&amp;utm_source=sheet", "Apply")</f>
        <v>Apply</v>
      </c>
      <c r="C1776" s="10" t="s">
        <v>14536</v>
      </c>
      <c r="D1776" s="56" t="s">
        <v>14380</v>
      </c>
      <c r="E1776" s="59">
        <v>45301.0</v>
      </c>
      <c r="F1776" s="10" t="s">
        <v>14381</v>
      </c>
      <c r="G1776" s="10" t="s">
        <v>12654</v>
      </c>
      <c r="H1776" s="10" t="s">
        <v>847</v>
      </c>
      <c r="I1776" s="10" t="s">
        <v>55</v>
      </c>
      <c r="J1776" s="10" t="s">
        <v>13437</v>
      </c>
      <c r="K1776" s="10" t="s">
        <v>14537</v>
      </c>
      <c r="L1776" s="10" t="s">
        <v>42</v>
      </c>
    </row>
    <row r="1777" ht="15.75" customHeight="1">
      <c r="A1777" s="64">
        <v>45484.0</v>
      </c>
      <c r="B1777" s="55" t="str">
        <f>HYPERLINK("https://jobright.ai/jobs/info/6690b6331acf37e6b2481795?utm_campaign=1065&amp;utm_source=sheet", "Apply")</f>
        <v>Apply</v>
      </c>
      <c r="C1777" s="10" t="s">
        <v>14536</v>
      </c>
      <c r="D1777" s="56" t="s">
        <v>14380</v>
      </c>
      <c r="E1777" s="59">
        <v>45301.0</v>
      </c>
      <c r="F1777" s="10" t="s">
        <v>14381</v>
      </c>
      <c r="G1777" s="10" t="s">
        <v>12654</v>
      </c>
      <c r="H1777" s="10" t="s">
        <v>1023</v>
      </c>
      <c r="I1777" s="10" t="s">
        <v>55</v>
      </c>
      <c r="J1777" s="10" t="s">
        <v>13437</v>
      </c>
      <c r="K1777" s="10" t="s">
        <v>14537</v>
      </c>
      <c r="L1777" s="10" t="s">
        <v>42</v>
      </c>
    </row>
    <row r="1778" ht="15.75" customHeight="1">
      <c r="A1778" s="64">
        <v>45484.0</v>
      </c>
      <c r="B1778" s="55" t="str">
        <f>HYPERLINK("https://jobright.ai/jobs/info/6690b6331acf37e6b24817b6?utm_campaign=1065&amp;utm_source=sheet", "Apply")</f>
        <v>Apply</v>
      </c>
      <c r="C1778" s="10" t="s">
        <v>14536</v>
      </c>
      <c r="D1778" s="56" t="s">
        <v>14380</v>
      </c>
      <c r="E1778" s="59">
        <v>45301.0</v>
      </c>
      <c r="F1778" s="10" t="s">
        <v>14381</v>
      </c>
      <c r="G1778" s="10" t="s">
        <v>12654</v>
      </c>
      <c r="H1778" s="10" t="s">
        <v>1017</v>
      </c>
      <c r="I1778" s="10" t="s">
        <v>55</v>
      </c>
      <c r="J1778" s="10" t="s">
        <v>13437</v>
      </c>
      <c r="K1778" s="10" t="s">
        <v>14537</v>
      </c>
      <c r="L1778" s="10" t="s">
        <v>42</v>
      </c>
    </row>
    <row r="1779" ht="15.75" customHeight="1">
      <c r="A1779" s="64">
        <v>45484.0</v>
      </c>
      <c r="B1779" s="55" t="str">
        <f>HYPERLINK("https://jobright.ai/jobs/info/6690b6331acf37e6b24817a3?utm_campaign=1065&amp;utm_source=sheet", "Apply")</f>
        <v>Apply</v>
      </c>
      <c r="C1779" s="10" t="s">
        <v>14536</v>
      </c>
      <c r="D1779" s="56" t="s">
        <v>14380</v>
      </c>
      <c r="E1779" s="59">
        <v>45301.0</v>
      </c>
      <c r="F1779" s="10" t="s">
        <v>14381</v>
      </c>
      <c r="G1779" s="10" t="s">
        <v>12654</v>
      </c>
      <c r="H1779" s="10" t="s">
        <v>786</v>
      </c>
      <c r="I1779" s="10" t="s">
        <v>55</v>
      </c>
      <c r="J1779" s="10" t="s">
        <v>13437</v>
      </c>
      <c r="K1779" s="10" t="s">
        <v>14537</v>
      </c>
      <c r="L1779" s="10" t="s">
        <v>42</v>
      </c>
    </row>
    <row r="1780" ht="15.75" customHeight="1">
      <c r="A1780" s="64">
        <v>45484.0</v>
      </c>
      <c r="B1780" s="55" t="str">
        <f>HYPERLINK("https://jobright.ai/jobs/info/6690b6331acf37e6b24817b4?utm_campaign=1065&amp;utm_source=sheet", "Apply")</f>
        <v>Apply</v>
      </c>
      <c r="C1780" s="10" t="s">
        <v>14536</v>
      </c>
      <c r="D1780" s="56" t="s">
        <v>14380</v>
      </c>
      <c r="E1780" s="59">
        <v>45301.0</v>
      </c>
      <c r="F1780" s="10" t="s">
        <v>14381</v>
      </c>
      <c r="G1780" s="10" t="s">
        <v>12654</v>
      </c>
      <c r="H1780" s="10" t="s">
        <v>1022</v>
      </c>
      <c r="I1780" s="10" t="s">
        <v>55</v>
      </c>
      <c r="J1780" s="10" t="s">
        <v>13437</v>
      </c>
      <c r="K1780" s="10" t="s">
        <v>14537</v>
      </c>
      <c r="L1780" s="10" t="s">
        <v>42</v>
      </c>
    </row>
    <row r="1781" ht="15.75" customHeight="1">
      <c r="A1781" s="64">
        <v>45484.0</v>
      </c>
      <c r="B1781" s="55" t="str">
        <f>HYPERLINK("https://jobright.ai/jobs/info/6690b6331acf37e6b24817b7?utm_campaign=1065&amp;utm_source=sheet", "Apply")</f>
        <v>Apply</v>
      </c>
      <c r="C1781" s="10" t="s">
        <v>14536</v>
      </c>
      <c r="D1781" s="56" t="s">
        <v>14380</v>
      </c>
      <c r="E1781" s="59">
        <v>45301.0</v>
      </c>
      <c r="F1781" s="10" t="s">
        <v>14381</v>
      </c>
      <c r="G1781" s="10" t="s">
        <v>12654</v>
      </c>
      <c r="H1781" s="10" t="s">
        <v>930</v>
      </c>
      <c r="I1781" s="10" t="s">
        <v>55</v>
      </c>
      <c r="J1781" s="10" t="s">
        <v>13437</v>
      </c>
      <c r="K1781" s="10" t="s">
        <v>14537</v>
      </c>
      <c r="L1781" s="10" t="s">
        <v>42</v>
      </c>
    </row>
    <row r="1782" ht="15.75" customHeight="1">
      <c r="A1782" s="64">
        <v>45484.0</v>
      </c>
      <c r="B1782" s="55" t="str">
        <f>HYPERLINK("https://jobright.ai/jobs/info/6690b6331acf37e6b24817b9?utm_campaign=1065&amp;utm_source=sheet", "Apply")</f>
        <v>Apply</v>
      </c>
      <c r="C1782" s="10" t="s">
        <v>14536</v>
      </c>
      <c r="D1782" s="56" t="s">
        <v>14380</v>
      </c>
      <c r="E1782" s="59">
        <v>45301.0</v>
      </c>
      <c r="F1782" s="10" t="s">
        <v>14381</v>
      </c>
      <c r="G1782" s="10" t="s">
        <v>12654</v>
      </c>
      <c r="H1782" s="10" t="s">
        <v>891</v>
      </c>
      <c r="I1782" s="10" t="s">
        <v>55</v>
      </c>
      <c r="J1782" s="10" t="s">
        <v>13437</v>
      </c>
      <c r="K1782" s="10" t="s">
        <v>14537</v>
      </c>
      <c r="L1782" s="10" t="s">
        <v>42</v>
      </c>
    </row>
    <row r="1783" ht="15.75" customHeight="1">
      <c r="A1783" s="64">
        <v>45484.0</v>
      </c>
      <c r="B1783" s="55" t="str">
        <f>HYPERLINK("https://jobright.ai/jobs/info/6690b6331acf37e6b24817e7?utm_campaign=1065&amp;utm_source=sheet", "Apply")</f>
        <v>Apply</v>
      </c>
      <c r="C1783" s="10" t="s">
        <v>14536</v>
      </c>
      <c r="D1783" s="56" t="s">
        <v>14380</v>
      </c>
      <c r="E1783" s="59">
        <v>45301.0</v>
      </c>
      <c r="F1783" s="10" t="s">
        <v>14381</v>
      </c>
      <c r="G1783" s="10" t="s">
        <v>12654</v>
      </c>
      <c r="H1783" s="10" t="s">
        <v>911</v>
      </c>
      <c r="I1783" s="10" t="s">
        <v>55</v>
      </c>
      <c r="J1783" s="10" t="s">
        <v>13437</v>
      </c>
      <c r="K1783" s="10" t="s">
        <v>14537</v>
      </c>
      <c r="L1783" s="10" t="s">
        <v>42</v>
      </c>
    </row>
    <row r="1784" ht="15.75" customHeight="1">
      <c r="A1784" s="64">
        <v>45484.0</v>
      </c>
      <c r="B1784" s="55" t="str">
        <f>HYPERLINK("https://jobright.ai/jobs/info/6690b6331acf37e6b24817cc?utm_campaign=1065&amp;utm_source=sheet", "Apply")</f>
        <v>Apply</v>
      </c>
      <c r="C1784" s="10" t="s">
        <v>14536</v>
      </c>
      <c r="D1784" s="56" t="s">
        <v>14380</v>
      </c>
      <c r="E1784" s="59">
        <v>45301.0</v>
      </c>
      <c r="F1784" s="10" t="s">
        <v>14381</v>
      </c>
      <c r="G1784" s="10" t="s">
        <v>12654</v>
      </c>
      <c r="H1784" s="10" t="s">
        <v>998</v>
      </c>
      <c r="I1784" s="10" t="s">
        <v>55</v>
      </c>
      <c r="J1784" s="10" t="s">
        <v>13437</v>
      </c>
      <c r="K1784" s="10" t="s">
        <v>14537</v>
      </c>
      <c r="L1784" s="10" t="s">
        <v>42</v>
      </c>
    </row>
    <row r="1785" ht="15.75" customHeight="1">
      <c r="A1785" s="64">
        <v>45484.0</v>
      </c>
      <c r="B1785" s="55" t="str">
        <f>HYPERLINK("https://jobright.ai/jobs/info/6690b6331acf37e6b24817e6?utm_campaign=1065&amp;utm_source=sheet", "Apply")</f>
        <v>Apply</v>
      </c>
      <c r="C1785" s="10" t="s">
        <v>14536</v>
      </c>
      <c r="D1785" s="56" t="s">
        <v>14380</v>
      </c>
      <c r="E1785" s="59">
        <v>45301.0</v>
      </c>
      <c r="F1785" s="10" t="s">
        <v>14381</v>
      </c>
      <c r="G1785" s="10" t="s">
        <v>12654</v>
      </c>
      <c r="H1785" s="10" t="s">
        <v>807</v>
      </c>
      <c r="I1785" s="10" t="s">
        <v>55</v>
      </c>
      <c r="J1785" s="10" t="s">
        <v>13437</v>
      </c>
      <c r="K1785" s="10" t="s">
        <v>14537</v>
      </c>
      <c r="L1785" s="10" t="s">
        <v>42</v>
      </c>
    </row>
    <row r="1786" ht="15.75" customHeight="1">
      <c r="A1786" s="64">
        <v>45484.0</v>
      </c>
      <c r="B1786" s="55" t="str">
        <f>HYPERLINK("https://jobright.ai/jobs/info/6690b6331acf37e6b24817c9?utm_campaign=1065&amp;utm_source=sheet", "Apply")</f>
        <v>Apply</v>
      </c>
      <c r="C1786" s="10" t="s">
        <v>14536</v>
      </c>
      <c r="D1786" s="56" t="s">
        <v>14380</v>
      </c>
      <c r="E1786" s="59">
        <v>45301.0</v>
      </c>
      <c r="F1786" s="10" t="s">
        <v>14381</v>
      </c>
      <c r="G1786" s="10" t="s">
        <v>12654</v>
      </c>
      <c r="H1786" s="10" t="s">
        <v>906</v>
      </c>
      <c r="I1786" s="10" t="s">
        <v>55</v>
      </c>
      <c r="J1786" s="10" t="s">
        <v>13437</v>
      </c>
      <c r="K1786" s="10" t="s">
        <v>14537</v>
      </c>
      <c r="L1786" s="10" t="s">
        <v>42</v>
      </c>
    </row>
    <row r="1787" ht="15.75" customHeight="1">
      <c r="A1787" s="64">
        <v>45484.0</v>
      </c>
      <c r="B1787" s="55" t="str">
        <f>HYPERLINK("https://jobright.ai/jobs/info/6690b63b1acf37e6b2481803?utm_campaign=1065&amp;utm_source=sheet", "Apply")</f>
        <v>Apply</v>
      </c>
      <c r="C1787" s="10" t="s">
        <v>14536</v>
      </c>
      <c r="D1787" s="56" t="s">
        <v>14380</v>
      </c>
      <c r="E1787" s="59">
        <v>45301.0</v>
      </c>
      <c r="F1787" s="10" t="s">
        <v>14381</v>
      </c>
      <c r="G1787" s="10" t="s">
        <v>12654</v>
      </c>
      <c r="H1787" s="10" t="s">
        <v>970</v>
      </c>
      <c r="I1787" s="10" t="s">
        <v>55</v>
      </c>
      <c r="J1787" s="10" t="s">
        <v>13437</v>
      </c>
      <c r="K1787" s="10" t="s">
        <v>14537</v>
      </c>
      <c r="L1787" s="10" t="s">
        <v>42</v>
      </c>
    </row>
    <row r="1788" ht="15.75" customHeight="1">
      <c r="A1788" s="64">
        <v>45484.0</v>
      </c>
      <c r="B1788" s="55" t="str">
        <f>HYPERLINK("https://jobright.ai/jobs/info/6690b63b1acf37e6b248180b?utm_campaign=1065&amp;utm_source=sheet", "Apply")</f>
        <v>Apply</v>
      </c>
      <c r="C1788" s="10" t="s">
        <v>14536</v>
      </c>
      <c r="D1788" s="56" t="s">
        <v>14380</v>
      </c>
      <c r="E1788" s="59">
        <v>45301.0</v>
      </c>
      <c r="F1788" s="10" t="s">
        <v>14381</v>
      </c>
      <c r="G1788" s="10" t="s">
        <v>12654</v>
      </c>
      <c r="H1788" s="10" t="s">
        <v>168</v>
      </c>
      <c r="I1788" s="10" t="s">
        <v>55</v>
      </c>
      <c r="J1788" s="10" t="s">
        <v>13437</v>
      </c>
      <c r="K1788" s="10" t="s">
        <v>14537</v>
      </c>
      <c r="L1788" s="10" t="s">
        <v>42</v>
      </c>
    </row>
    <row r="1789" ht="15.75" customHeight="1">
      <c r="A1789" s="64">
        <v>45484.0</v>
      </c>
      <c r="B1789" s="55" t="str">
        <f>HYPERLINK("https://jobright.ai/jobs/info/6690b63b1acf37e6b24817fd?utm_campaign=1065&amp;utm_source=sheet", "Apply")</f>
        <v>Apply</v>
      </c>
      <c r="C1789" s="10" t="s">
        <v>14536</v>
      </c>
      <c r="D1789" s="56" t="s">
        <v>14380</v>
      </c>
      <c r="E1789" s="59">
        <v>45301.0</v>
      </c>
      <c r="F1789" s="10" t="s">
        <v>14381</v>
      </c>
      <c r="G1789" s="10" t="s">
        <v>12654</v>
      </c>
      <c r="H1789" s="10" t="s">
        <v>850</v>
      </c>
      <c r="I1789" s="10" t="s">
        <v>55</v>
      </c>
      <c r="J1789" s="10" t="s">
        <v>13437</v>
      </c>
      <c r="K1789" s="10" t="s">
        <v>14537</v>
      </c>
      <c r="L1789" s="10" t="s">
        <v>42</v>
      </c>
    </row>
    <row r="1790" ht="15.75" customHeight="1">
      <c r="A1790" s="64">
        <v>45484.0</v>
      </c>
      <c r="B1790" s="55" t="str">
        <f>HYPERLINK("https://jobright.ai/jobs/info/6690b63b1acf37e6b24817fe?utm_campaign=1065&amp;utm_source=sheet", "Apply")</f>
        <v>Apply</v>
      </c>
      <c r="C1790" s="10" t="s">
        <v>14536</v>
      </c>
      <c r="D1790" s="56" t="s">
        <v>14380</v>
      </c>
      <c r="E1790" s="59">
        <v>45301.0</v>
      </c>
      <c r="F1790" s="10" t="s">
        <v>14381</v>
      </c>
      <c r="G1790" s="10" t="s">
        <v>12654</v>
      </c>
      <c r="H1790" s="10" t="s">
        <v>1011</v>
      </c>
      <c r="I1790" s="10" t="s">
        <v>55</v>
      </c>
      <c r="J1790" s="10" t="s">
        <v>13437</v>
      </c>
      <c r="K1790" s="10" t="s">
        <v>14537</v>
      </c>
      <c r="L1790" s="10" t="s">
        <v>42</v>
      </c>
    </row>
    <row r="1791" ht="15.75" customHeight="1">
      <c r="A1791" s="64">
        <v>45484.0</v>
      </c>
      <c r="B1791" s="55" t="str">
        <f>HYPERLINK("https://jobright.ai/jobs/info/6690b6331acf37e6b24817f1?utm_campaign=1065&amp;utm_source=sheet", "Apply")</f>
        <v>Apply</v>
      </c>
      <c r="C1791" s="10" t="s">
        <v>14536</v>
      </c>
      <c r="D1791" s="56" t="s">
        <v>14380</v>
      </c>
      <c r="E1791" s="59">
        <v>45301.0</v>
      </c>
      <c r="F1791" s="10" t="s">
        <v>14381</v>
      </c>
      <c r="G1791" s="10" t="s">
        <v>12654</v>
      </c>
      <c r="H1791" s="10" t="s">
        <v>361</v>
      </c>
      <c r="I1791" s="10" t="s">
        <v>55</v>
      </c>
      <c r="J1791" s="10" t="s">
        <v>13437</v>
      </c>
      <c r="K1791" s="10" t="s">
        <v>14537</v>
      </c>
      <c r="L1791" s="10" t="s">
        <v>42</v>
      </c>
    </row>
    <row r="1792" ht="15.75" customHeight="1">
      <c r="A1792" s="64">
        <v>45484.0</v>
      </c>
      <c r="B1792" s="55" t="str">
        <f>HYPERLINK("https://jobright.ai/jobs/info/6690b6331acf37e6b24817fa?utm_campaign=1065&amp;utm_source=sheet", "Apply")</f>
        <v>Apply</v>
      </c>
      <c r="C1792" s="10" t="s">
        <v>14536</v>
      </c>
      <c r="D1792" s="56" t="s">
        <v>14380</v>
      </c>
      <c r="E1792" s="59">
        <v>45301.0</v>
      </c>
      <c r="F1792" s="10" t="s">
        <v>14381</v>
      </c>
      <c r="G1792" s="10" t="s">
        <v>12654</v>
      </c>
      <c r="H1792" s="10" t="s">
        <v>768</v>
      </c>
      <c r="I1792" s="10" t="s">
        <v>55</v>
      </c>
      <c r="J1792" s="10" t="s">
        <v>13437</v>
      </c>
      <c r="K1792" s="10" t="s">
        <v>14537</v>
      </c>
      <c r="L1792" s="10" t="s">
        <v>42</v>
      </c>
    </row>
    <row r="1793" ht="15.75" customHeight="1">
      <c r="A1793" s="64">
        <v>45484.0</v>
      </c>
      <c r="B1793" s="55" t="str">
        <f>HYPERLINK("https://jobright.ai/jobs/info/6690b63b1acf37e6b248180f?utm_campaign=1065&amp;utm_source=sheet", "Apply")</f>
        <v>Apply</v>
      </c>
      <c r="C1793" s="10" t="s">
        <v>14536</v>
      </c>
      <c r="D1793" s="56" t="s">
        <v>14380</v>
      </c>
      <c r="E1793" s="59">
        <v>45301.0</v>
      </c>
      <c r="F1793" s="10" t="s">
        <v>14381</v>
      </c>
      <c r="G1793" s="10" t="s">
        <v>12654</v>
      </c>
      <c r="H1793" s="10" t="s">
        <v>936</v>
      </c>
      <c r="I1793" s="10" t="s">
        <v>55</v>
      </c>
      <c r="J1793" s="10" t="s">
        <v>13437</v>
      </c>
      <c r="K1793" s="10" t="s">
        <v>14537</v>
      </c>
      <c r="L1793" s="10" t="s">
        <v>42</v>
      </c>
    </row>
    <row r="1794" ht="15.75" customHeight="1">
      <c r="A1794" s="64">
        <v>45484.0</v>
      </c>
      <c r="B1794" s="55" t="str">
        <f>HYPERLINK("https://jobright.ai/jobs/info/6690b6331acf37e6b24817f4?utm_campaign=1065&amp;utm_source=sheet", "Apply")</f>
        <v>Apply</v>
      </c>
      <c r="C1794" s="10" t="s">
        <v>14536</v>
      </c>
      <c r="D1794" s="56" t="s">
        <v>14380</v>
      </c>
      <c r="E1794" s="59">
        <v>45301.0</v>
      </c>
      <c r="F1794" s="10" t="s">
        <v>14381</v>
      </c>
      <c r="G1794" s="10" t="s">
        <v>12654</v>
      </c>
      <c r="H1794" s="10" t="s">
        <v>794</v>
      </c>
      <c r="I1794" s="10" t="s">
        <v>55</v>
      </c>
      <c r="J1794" s="10" t="s">
        <v>13437</v>
      </c>
      <c r="K1794" s="10" t="s">
        <v>14537</v>
      </c>
      <c r="L1794" s="10" t="s">
        <v>42</v>
      </c>
    </row>
    <row r="1795" ht="15.75" customHeight="1">
      <c r="A1795" s="64">
        <v>45484.0</v>
      </c>
      <c r="B1795" s="55" t="str">
        <f>HYPERLINK("https://jobright.ai/jobs/info/6690b63b1acf37e6b248181c?utm_campaign=1065&amp;utm_source=sheet", "Apply")</f>
        <v>Apply</v>
      </c>
      <c r="C1795" s="10" t="s">
        <v>14536</v>
      </c>
      <c r="D1795" s="56" t="s">
        <v>14380</v>
      </c>
      <c r="E1795" s="59">
        <v>45301.0</v>
      </c>
      <c r="F1795" s="10" t="s">
        <v>14381</v>
      </c>
      <c r="G1795" s="10" t="s">
        <v>12654</v>
      </c>
      <c r="H1795" s="10" t="s">
        <v>997</v>
      </c>
      <c r="I1795" s="10" t="s">
        <v>55</v>
      </c>
      <c r="J1795" s="10" t="s">
        <v>13437</v>
      </c>
      <c r="K1795" s="10" t="s">
        <v>14537</v>
      </c>
      <c r="L1795" s="10" t="s">
        <v>42</v>
      </c>
    </row>
    <row r="1796" ht="15.75" customHeight="1">
      <c r="A1796" s="64">
        <v>45484.0</v>
      </c>
      <c r="B1796" s="55" t="str">
        <f>HYPERLINK("https://jobright.ai/jobs/info/6690b63b1acf37e6b248182c?utm_campaign=1065&amp;utm_source=sheet", "Apply")</f>
        <v>Apply</v>
      </c>
      <c r="C1796" s="10" t="s">
        <v>14536</v>
      </c>
      <c r="D1796" s="56" t="s">
        <v>14380</v>
      </c>
      <c r="E1796" s="59">
        <v>45301.0</v>
      </c>
      <c r="F1796" s="10" t="s">
        <v>14381</v>
      </c>
      <c r="G1796" s="10" t="s">
        <v>12654</v>
      </c>
      <c r="H1796" s="10" t="s">
        <v>759</v>
      </c>
      <c r="I1796" s="10" t="s">
        <v>55</v>
      </c>
      <c r="J1796" s="10" t="s">
        <v>13437</v>
      </c>
      <c r="K1796" s="10" t="s">
        <v>14537</v>
      </c>
      <c r="L1796" s="10" t="s">
        <v>42</v>
      </c>
    </row>
    <row r="1797" ht="15.75" customHeight="1">
      <c r="A1797" s="64">
        <v>45484.0</v>
      </c>
      <c r="B1797" s="55" t="str">
        <f>HYPERLINK("https://jobright.ai/jobs/info/6690b63b1acf37e6b248183b?utm_campaign=1065&amp;utm_source=sheet", "Apply")</f>
        <v>Apply</v>
      </c>
      <c r="C1797" s="10" t="s">
        <v>14536</v>
      </c>
      <c r="D1797" s="56" t="s">
        <v>14380</v>
      </c>
      <c r="E1797" s="59">
        <v>45301.0</v>
      </c>
      <c r="F1797" s="10" t="s">
        <v>14381</v>
      </c>
      <c r="G1797" s="10" t="s">
        <v>12654</v>
      </c>
      <c r="H1797" s="10" t="s">
        <v>86</v>
      </c>
      <c r="I1797" s="10" t="s">
        <v>55</v>
      </c>
      <c r="J1797" s="10" t="s">
        <v>13437</v>
      </c>
      <c r="K1797" s="10" t="s">
        <v>14537</v>
      </c>
      <c r="L1797" s="10" t="s">
        <v>42</v>
      </c>
    </row>
    <row r="1798" ht="15.75" customHeight="1">
      <c r="A1798" s="64">
        <v>45484.0</v>
      </c>
      <c r="B1798" s="55" t="str">
        <f>HYPERLINK("https://jobright.ai/jobs/info/6690b63b1acf37e6b248184f?utm_campaign=1065&amp;utm_source=sheet", "Apply")</f>
        <v>Apply</v>
      </c>
      <c r="C1798" s="10" t="s">
        <v>14536</v>
      </c>
      <c r="D1798" s="56" t="s">
        <v>14380</v>
      </c>
      <c r="E1798" s="59">
        <v>45301.0</v>
      </c>
      <c r="F1798" s="10" t="s">
        <v>14381</v>
      </c>
      <c r="G1798" s="10" t="s">
        <v>12654</v>
      </c>
      <c r="H1798" s="10" t="s">
        <v>932</v>
      </c>
      <c r="I1798" s="10" t="s">
        <v>55</v>
      </c>
      <c r="J1798" s="10" t="s">
        <v>13437</v>
      </c>
      <c r="K1798" s="10" t="s">
        <v>14537</v>
      </c>
      <c r="L1798" s="10" t="s">
        <v>42</v>
      </c>
    </row>
    <row r="1799" ht="15.75" customHeight="1">
      <c r="A1799" s="64">
        <v>45484.0</v>
      </c>
      <c r="B1799" s="55" t="str">
        <f>HYPERLINK("https://jobright.ai/jobs/info/6690b63b1acf37e6b2481854?utm_campaign=1065&amp;utm_source=sheet", "Apply")</f>
        <v>Apply</v>
      </c>
      <c r="C1799" s="10" t="s">
        <v>14536</v>
      </c>
      <c r="D1799" s="56" t="s">
        <v>14380</v>
      </c>
      <c r="E1799" s="59">
        <v>45301.0</v>
      </c>
      <c r="F1799" s="10" t="s">
        <v>14381</v>
      </c>
      <c r="G1799" s="10" t="s">
        <v>12654</v>
      </c>
      <c r="H1799" s="10" t="s">
        <v>968</v>
      </c>
      <c r="I1799" s="10" t="s">
        <v>55</v>
      </c>
      <c r="J1799" s="10" t="s">
        <v>13437</v>
      </c>
      <c r="K1799" s="10" t="s">
        <v>14537</v>
      </c>
      <c r="L1799" s="10" t="s">
        <v>42</v>
      </c>
    </row>
    <row r="1800" ht="15.75" customHeight="1">
      <c r="A1800" s="64">
        <v>45484.0</v>
      </c>
      <c r="B1800" s="55" t="str">
        <f>HYPERLINK("https://jobright.ai/jobs/info/6690b63b1acf37e6b2481863?utm_campaign=1065&amp;utm_source=sheet", "Apply")</f>
        <v>Apply</v>
      </c>
      <c r="C1800" s="10" t="s">
        <v>14536</v>
      </c>
      <c r="D1800" s="56" t="s">
        <v>14380</v>
      </c>
      <c r="E1800" s="59">
        <v>45301.0</v>
      </c>
      <c r="F1800" s="10" t="s">
        <v>14381</v>
      </c>
      <c r="G1800" s="10" t="s">
        <v>12654</v>
      </c>
      <c r="H1800" s="10" t="s">
        <v>945</v>
      </c>
      <c r="I1800" s="10" t="s">
        <v>55</v>
      </c>
      <c r="J1800" s="10" t="s">
        <v>13437</v>
      </c>
      <c r="K1800" s="10" t="s">
        <v>14537</v>
      </c>
      <c r="L1800" s="10" t="s">
        <v>42</v>
      </c>
    </row>
    <row r="1801" ht="15.75" customHeight="1">
      <c r="A1801" s="64">
        <v>45484.0</v>
      </c>
      <c r="B1801" s="55" t="str">
        <f>HYPERLINK("https://jobright.ai/jobs/info/6690b63b1acf37e6b248185c?utm_campaign=1065&amp;utm_source=sheet", "Apply")</f>
        <v>Apply</v>
      </c>
      <c r="C1801" s="10" t="s">
        <v>14536</v>
      </c>
      <c r="D1801" s="56" t="s">
        <v>14380</v>
      </c>
      <c r="E1801" s="59">
        <v>45301.0</v>
      </c>
      <c r="F1801" s="10" t="s">
        <v>14381</v>
      </c>
      <c r="G1801" s="10" t="s">
        <v>12654</v>
      </c>
      <c r="H1801" s="10" t="s">
        <v>1035</v>
      </c>
      <c r="I1801" s="10" t="s">
        <v>55</v>
      </c>
      <c r="J1801" s="10" t="s">
        <v>13437</v>
      </c>
      <c r="K1801" s="10" t="s">
        <v>14537</v>
      </c>
      <c r="L1801" s="10" t="s">
        <v>42</v>
      </c>
    </row>
    <row r="1802" ht="15.75" customHeight="1">
      <c r="A1802" s="64">
        <v>45484.0</v>
      </c>
      <c r="B1802" s="55" t="str">
        <f>HYPERLINK("https://jobright.ai/jobs/info/6690b63b1acf37e6b248186b?utm_campaign=1065&amp;utm_source=sheet", "Apply")</f>
        <v>Apply</v>
      </c>
      <c r="C1802" s="10" t="s">
        <v>14536</v>
      </c>
      <c r="D1802" s="56" t="s">
        <v>14380</v>
      </c>
      <c r="E1802" s="59">
        <v>45301.0</v>
      </c>
      <c r="F1802" s="10" t="s">
        <v>14381</v>
      </c>
      <c r="G1802" s="10" t="s">
        <v>12654</v>
      </c>
      <c r="H1802" s="10" t="s">
        <v>893</v>
      </c>
      <c r="I1802" s="10" t="s">
        <v>55</v>
      </c>
      <c r="J1802" s="10" t="s">
        <v>13437</v>
      </c>
      <c r="K1802" s="10" t="s">
        <v>14537</v>
      </c>
      <c r="L1802" s="10" t="s">
        <v>42</v>
      </c>
    </row>
    <row r="1803" ht="15.75" customHeight="1">
      <c r="A1803" s="64">
        <v>45484.0</v>
      </c>
      <c r="B1803" s="55" t="str">
        <f>HYPERLINK("https://jobright.ai/jobs/info/6690b63b1acf37e6b2481873?utm_campaign=1065&amp;utm_source=sheet", "Apply")</f>
        <v>Apply</v>
      </c>
      <c r="C1803" s="10" t="s">
        <v>14536</v>
      </c>
      <c r="D1803" s="56" t="s">
        <v>14380</v>
      </c>
      <c r="E1803" s="59">
        <v>45301.0</v>
      </c>
      <c r="F1803" s="10" t="s">
        <v>14381</v>
      </c>
      <c r="G1803" s="10" t="s">
        <v>12654</v>
      </c>
      <c r="H1803" s="10" t="s">
        <v>845</v>
      </c>
      <c r="I1803" s="10" t="s">
        <v>55</v>
      </c>
      <c r="J1803" s="10" t="s">
        <v>13437</v>
      </c>
      <c r="K1803" s="10" t="s">
        <v>14537</v>
      </c>
      <c r="L1803" s="10" t="s">
        <v>42</v>
      </c>
    </row>
    <row r="1804" ht="15.75" customHeight="1">
      <c r="A1804" s="64">
        <v>45484.0</v>
      </c>
      <c r="B1804" s="55" t="str">
        <f>HYPERLINK("https://jobright.ai/jobs/info/6690b63b1acf37e6b2481877?utm_campaign=1065&amp;utm_source=sheet", "Apply")</f>
        <v>Apply</v>
      </c>
      <c r="C1804" s="10" t="s">
        <v>14536</v>
      </c>
      <c r="D1804" s="56" t="s">
        <v>14380</v>
      </c>
      <c r="E1804" s="59">
        <v>45301.0</v>
      </c>
      <c r="F1804" s="10" t="s">
        <v>14381</v>
      </c>
      <c r="G1804" s="10" t="s">
        <v>12654</v>
      </c>
      <c r="H1804" s="10" t="s">
        <v>789</v>
      </c>
      <c r="I1804" s="10" t="s">
        <v>55</v>
      </c>
      <c r="J1804" s="10" t="s">
        <v>13437</v>
      </c>
      <c r="K1804" s="10" t="s">
        <v>14537</v>
      </c>
      <c r="L1804" s="10" t="s">
        <v>42</v>
      </c>
    </row>
    <row r="1805" ht="15.75" customHeight="1">
      <c r="A1805" s="64">
        <v>45484.0</v>
      </c>
      <c r="B1805" s="55" t="str">
        <f>HYPERLINK("https://jobright.ai/jobs/info/6690b63b1acf37e6b2481872?utm_campaign=1065&amp;utm_source=sheet", "Apply")</f>
        <v>Apply</v>
      </c>
      <c r="C1805" s="10" t="s">
        <v>14536</v>
      </c>
      <c r="D1805" s="56" t="s">
        <v>14380</v>
      </c>
      <c r="E1805" s="59">
        <v>45301.0</v>
      </c>
      <c r="F1805" s="10" t="s">
        <v>14381</v>
      </c>
      <c r="G1805" s="10" t="s">
        <v>12654</v>
      </c>
      <c r="H1805" s="10" t="s">
        <v>909</v>
      </c>
      <c r="I1805" s="10" t="s">
        <v>55</v>
      </c>
      <c r="J1805" s="10" t="s">
        <v>13437</v>
      </c>
      <c r="K1805" s="10" t="s">
        <v>14537</v>
      </c>
      <c r="L1805" s="10" t="s">
        <v>42</v>
      </c>
    </row>
    <row r="1806" ht="15.75" customHeight="1">
      <c r="A1806" s="64">
        <v>45484.0</v>
      </c>
      <c r="B1806" s="55" t="str">
        <f>HYPERLINK("https://jobright.ai/jobs/info/6690b63b1acf37e6b2481874?utm_campaign=1065&amp;utm_source=sheet", "Apply")</f>
        <v>Apply</v>
      </c>
      <c r="C1806" s="10" t="s">
        <v>14536</v>
      </c>
      <c r="D1806" s="56" t="s">
        <v>14380</v>
      </c>
      <c r="E1806" s="59">
        <v>45301.0</v>
      </c>
      <c r="F1806" s="10" t="s">
        <v>14381</v>
      </c>
      <c r="G1806" s="10" t="s">
        <v>12654</v>
      </c>
      <c r="H1806" s="10" t="s">
        <v>871</v>
      </c>
      <c r="I1806" s="10" t="s">
        <v>55</v>
      </c>
      <c r="J1806" s="10" t="s">
        <v>13437</v>
      </c>
      <c r="K1806" s="10" t="s">
        <v>14537</v>
      </c>
      <c r="L1806" s="10" t="s">
        <v>42</v>
      </c>
    </row>
    <row r="1807" ht="15.75" customHeight="1">
      <c r="A1807" s="64">
        <v>45484.0</v>
      </c>
      <c r="B1807" s="55" t="str">
        <f>HYPERLINK("https://jobright.ai/jobs/info/6690b6431acf37e6b2481919?utm_campaign=1065&amp;utm_source=sheet", "Apply")</f>
        <v>Apply</v>
      </c>
      <c r="C1807" s="10" t="s">
        <v>14536</v>
      </c>
      <c r="D1807" s="56" t="s">
        <v>14380</v>
      </c>
      <c r="E1807" s="59">
        <v>45301.0</v>
      </c>
      <c r="F1807" s="10" t="s">
        <v>14381</v>
      </c>
      <c r="G1807" s="10" t="s">
        <v>12654</v>
      </c>
      <c r="H1807" s="10" t="s">
        <v>999</v>
      </c>
      <c r="I1807" s="10" t="s">
        <v>55</v>
      </c>
      <c r="J1807" s="10" t="s">
        <v>13437</v>
      </c>
      <c r="K1807" s="10" t="s">
        <v>14537</v>
      </c>
      <c r="L1807" s="10" t="s">
        <v>42</v>
      </c>
    </row>
    <row r="1808" ht="15.75" customHeight="1">
      <c r="A1808" s="64">
        <v>45484.0</v>
      </c>
      <c r="B1808" s="55" t="str">
        <f>HYPERLINK("https://jobright.ai/jobs/info/6690b6431acf37e6b2481914?utm_campaign=1065&amp;utm_source=sheet", "Apply")</f>
        <v>Apply</v>
      </c>
      <c r="C1808" s="10" t="s">
        <v>14536</v>
      </c>
      <c r="D1808" s="56" t="s">
        <v>14380</v>
      </c>
      <c r="E1808" s="59">
        <v>45301.0</v>
      </c>
      <c r="F1808" s="10" t="s">
        <v>14381</v>
      </c>
      <c r="G1808" s="10" t="s">
        <v>12654</v>
      </c>
      <c r="H1808" s="10" t="s">
        <v>801</v>
      </c>
      <c r="I1808" s="10" t="s">
        <v>55</v>
      </c>
      <c r="J1808" s="10" t="s">
        <v>13437</v>
      </c>
      <c r="K1808" s="10" t="s">
        <v>14537</v>
      </c>
      <c r="L1808" s="10" t="s">
        <v>42</v>
      </c>
    </row>
    <row r="1809" ht="15.75" customHeight="1">
      <c r="A1809" s="64">
        <v>45484.0</v>
      </c>
      <c r="B1809" s="55" t="str">
        <f>HYPERLINK("https://jobright.ai/jobs/info/6690b6431acf37e6b248192b?utm_campaign=1065&amp;utm_source=sheet", "Apply")</f>
        <v>Apply</v>
      </c>
      <c r="C1809" s="10" t="s">
        <v>14536</v>
      </c>
      <c r="D1809" s="56" t="s">
        <v>14380</v>
      </c>
      <c r="E1809" s="59">
        <v>45301.0</v>
      </c>
      <c r="F1809" s="10" t="s">
        <v>14381</v>
      </c>
      <c r="G1809" s="10" t="s">
        <v>12654</v>
      </c>
      <c r="H1809" s="10" t="s">
        <v>826</v>
      </c>
      <c r="I1809" s="10" t="s">
        <v>55</v>
      </c>
      <c r="J1809" s="10" t="s">
        <v>13437</v>
      </c>
      <c r="K1809" s="10" t="s">
        <v>14537</v>
      </c>
      <c r="L1809" s="10" t="s">
        <v>42</v>
      </c>
    </row>
    <row r="1810" ht="15.75" customHeight="1">
      <c r="A1810" s="64">
        <v>45484.0</v>
      </c>
      <c r="B1810" s="55" t="str">
        <f>HYPERLINK("https://jobright.ai/jobs/info/6690b6431acf37e6b2481960?utm_campaign=1065&amp;utm_source=sheet", "Apply")</f>
        <v>Apply</v>
      </c>
      <c r="C1810" s="10" t="s">
        <v>14536</v>
      </c>
      <c r="D1810" s="56" t="s">
        <v>14380</v>
      </c>
      <c r="E1810" s="59">
        <v>45301.0</v>
      </c>
      <c r="F1810" s="10" t="s">
        <v>14381</v>
      </c>
      <c r="G1810" s="10" t="s">
        <v>12654</v>
      </c>
      <c r="H1810" s="10" t="s">
        <v>803</v>
      </c>
      <c r="I1810" s="10" t="s">
        <v>55</v>
      </c>
      <c r="J1810" s="10" t="s">
        <v>13437</v>
      </c>
      <c r="K1810" s="10" t="s">
        <v>14537</v>
      </c>
      <c r="L1810" s="10" t="s">
        <v>42</v>
      </c>
    </row>
    <row r="1811" ht="15.75" customHeight="1">
      <c r="A1811" s="64">
        <v>45484.0</v>
      </c>
      <c r="B1811" s="55" t="str">
        <f>HYPERLINK("https://jobright.ai/jobs/info/6690b6431acf37e6b2481965?utm_campaign=1065&amp;utm_source=sheet", "Apply")</f>
        <v>Apply</v>
      </c>
      <c r="C1811" s="10" t="s">
        <v>14536</v>
      </c>
      <c r="D1811" s="56" t="s">
        <v>14380</v>
      </c>
      <c r="E1811" s="59">
        <v>45301.0</v>
      </c>
      <c r="F1811" s="10" t="s">
        <v>14381</v>
      </c>
      <c r="G1811" s="10" t="s">
        <v>12654</v>
      </c>
      <c r="H1811" s="10" t="s">
        <v>996</v>
      </c>
      <c r="I1811" s="10" t="s">
        <v>55</v>
      </c>
      <c r="J1811" s="10" t="s">
        <v>13437</v>
      </c>
      <c r="K1811" s="10" t="s">
        <v>14537</v>
      </c>
      <c r="L1811" s="10" t="s">
        <v>42</v>
      </c>
    </row>
    <row r="1812" ht="15.75" customHeight="1">
      <c r="A1812" s="64">
        <v>45484.0</v>
      </c>
      <c r="B1812" s="55" t="str">
        <f>HYPERLINK("https://jobright.ai/jobs/info/6690b6541acf37e6b2481aa6?utm_campaign=1065&amp;utm_source=sheet", "Apply")</f>
        <v>Apply</v>
      </c>
      <c r="C1812" s="10" t="s">
        <v>14536</v>
      </c>
      <c r="D1812" s="56" t="s">
        <v>14380</v>
      </c>
      <c r="E1812" s="59">
        <v>45301.0</v>
      </c>
      <c r="F1812" s="10" t="s">
        <v>14381</v>
      </c>
      <c r="G1812" s="10" t="s">
        <v>12654</v>
      </c>
      <c r="H1812" s="10" t="s">
        <v>947</v>
      </c>
      <c r="I1812" s="10" t="s">
        <v>55</v>
      </c>
      <c r="J1812" s="10" t="s">
        <v>13437</v>
      </c>
      <c r="K1812" s="10" t="s">
        <v>14537</v>
      </c>
      <c r="L1812" s="10" t="s">
        <v>42</v>
      </c>
    </row>
    <row r="1813" ht="15.75" customHeight="1">
      <c r="A1813" s="64">
        <v>45484.0</v>
      </c>
      <c r="B1813" s="55" t="str">
        <f>HYPERLINK("https://jobright.ai/jobs/info/6690b6b11acf37e6b24822dd?utm_campaign=1065&amp;utm_source=sheet", "Apply")</f>
        <v>Apply</v>
      </c>
      <c r="C1813" s="10" t="s">
        <v>14581</v>
      </c>
      <c r="D1813" s="56" t="s">
        <v>14380</v>
      </c>
      <c r="E1813" s="59">
        <v>45301.0</v>
      </c>
      <c r="F1813" s="10" t="s">
        <v>14381</v>
      </c>
      <c r="G1813" s="10" t="s">
        <v>12654</v>
      </c>
      <c r="H1813" s="10" t="s">
        <v>787</v>
      </c>
      <c r="I1813" s="10" t="s">
        <v>55</v>
      </c>
      <c r="J1813" s="10" t="s">
        <v>13437</v>
      </c>
      <c r="K1813" s="10" t="s">
        <v>14582</v>
      </c>
      <c r="L1813" s="10" t="s">
        <v>42</v>
      </c>
    </row>
    <row r="1814" ht="15.75" customHeight="1">
      <c r="A1814" s="64">
        <v>45484.0</v>
      </c>
      <c r="B1814" s="55" t="str">
        <f>HYPERLINK("https://jobright.ai/jobs/info/6690b6b11acf37e6b24822de?utm_campaign=1065&amp;utm_source=sheet", "Apply")</f>
        <v>Apply</v>
      </c>
      <c r="C1814" s="10" t="s">
        <v>14581</v>
      </c>
      <c r="D1814" s="56" t="s">
        <v>14380</v>
      </c>
      <c r="E1814" s="59">
        <v>45301.0</v>
      </c>
      <c r="F1814" s="10" t="s">
        <v>14381</v>
      </c>
      <c r="G1814" s="10" t="s">
        <v>12654</v>
      </c>
      <c r="H1814" s="10" t="s">
        <v>1044</v>
      </c>
      <c r="I1814" s="10" t="s">
        <v>55</v>
      </c>
      <c r="J1814" s="10" t="s">
        <v>13437</v>
      </c>
      <c r="K1814" s="10" t="s">
        <v>14582</v>
      </c>
      <c r="L1814" s="10" t="s">
        <v>42</v>
      </c>
    </row>
    <row r="1815" ht="15.75" customHeight="1">
      <c r="A1815" s="64">
        <v>45484.0</v>
      </c>
      <c r="B1815" s="55" t="str">
        <f>HYPERLINK("https://jobright.ai/jobs/info/6690b6b11acf37e6b24822e0?utm_campaign=1065&amp;utm_source=sheet", "Apply")</f>
        <v>Apply</v>
      </c>
      <c r="C1815" s="10" t="s">
        <v>14581</v>
      </c>
      <c r="D1815" s="56" t="s">
        <v>14380</v>
      </c>
      <c r="E1815" s="59">
        <v>45301.0</v>
      </c>
      <c r="F1815" s="10" t="s">
        <v>14381</v>
      </c>
      <c r="G1815" s="10" t="s">
        <v>12654</v>
      </c>
      <c r="H1815" s="10" t="s">
        <v>1020</v>
      </c>
      <c r="I1815" s="10" t="s">
        <v>55</v>
      </c>
      <c r="J1815" s="10" t="s">
        <v>13437</v>
      </c>
      <c r="K1815" s="10" t="s">
        <v>14582</v>
      </c>
      <c r="L1815" s="10" t="s">
        <v>42</v>
      </c>
    </row>
    <row r="1816" ht="15.75" customHeight="1">
      <c r="A1816" s="64">
        <v>45484.0</v>
      </c>
      <c r="B1816" s="55" t="str">
        <f>HYPERLINK("https://jobright.ai/jobs/info/6690b6b11acf37e6b24822df?utm_campaign=1065&amp;utm_source=sheet", "Apply")</f>
        <v>Apply</v>
      </c>
      <c r="C1816" s="10" t="s">
        <v>14581</v>
      </c>
      <c r="D1816" s="56" t="s">
        <v>14380</v>
      </c>
      <c r="E1816" s="59">
        <v>45301.0</v>
      </c>
      <c r="F1816" s="10" t="s">
        <v>14381</v>
      </c>
      <c r="G1816" s="10" t="s">
        <v>12654</v>
      </c>
      <c r="H1816" s="10" t="s">
        <v>917</v>
      </c>
      <c r="I1816" s="10" t="s">
        <v>55</v>
      </c>
      <c r="J1816" s="10" t="s">
        <v>13437</v>
      </c>
      <c r="K1816" s="10" t="s">
        <v>14582</v>
      </c>
      <c r="L1816" s="10" t="s">
        <v>42</v>
      </c>
    </row>
    <row r="1817" ht="15.75" customHeight="1">
      <c r="A1817" s="64">
        <v>45484.0</v>
      </c>
      <c r="B1817" s="55" t="str">
        <f>HYPERLINK("https://jobright.ai/jobs/info/6690b6b11acf37e6b24822e1?utm_campaign=1065&amp;utm_source=sheet", "Apply")</f>
        <v>Apply</v>
      </c>
      <c r="C1817" s="10" t="s">
        <v>14536</v>
      </c>
      <c r="D1817" s="56" t="s">
        <v>14380</v>
      </c>
      <c r="E1817" s="59">
        <v>45301.0</v>
      </c>
      <c r="F1817" s="10" t="s">
        <v>14381</v>
      </c>
      <c r="G1817" s="10" t="s">
        <v>12654</v>
      </c>
      <c r="H1817" s="10" t="s">
        <v>865</v>
      </c>
      <c r="I1817" s="10" t="s">
        <v>55</v>
      </c>
      <c r="J1817" s="10" t="s">
        <v>13437</v>
      </c>
      <c r="K1817" s="10" t="s">
        <v>14537</v>
      </c>
      <c r="L1817" s="10" t="s">
        <v>42</v>
      </c>
    </row>
    <row r="1818" ht="15.75" customHeight="1">
      <c r="A1818" s="64">
        <v>45484.0</v>
      </c>
      <c r="B1818" s="55" t="str">
        <f>HYPERLINK("https://jobright.ai/jobs/info/6690b6b11acf37e6b24822e5?utm_campaign=1065&amp;utm_source=sheet", "Apply")</f>
        <v>Apply</v>
      </c>
      <c r="C1818" s="10" t="s">
        <v>14579</v>
      </c>
      <c r="D1818" s="56" t="s">
        <v>14380</v>
      </c>
      <c r="E1818" s="59">
        <v>45301.0</v>
      </c>
      <c r="F1818" s="10" t="s">
        <v>14381</v>
      </c>
      <c r="G1818" s="10" t="s">
        <v>12654</v>
      </c>
      <c r="H1818" s="10" t="s">
        <v>966</v>
      </c>
      <c r="I1818" s="10" t="s">
        <v>55</v>
      </c>
      <c r="J1818" s="10" t="s">
        <v>13437</v>
      </c>
      <c r="K1818" s="10" t="s">
        <v>14580</v>
      </c>
      <c r="L1818" s="10" t="s">
        <v>42</v>
      </c>
    </row>
    <row r="1819" ht="15.75" customHeight="1">
      <c r="A1819" s="64">
        <v>45484.0</v>
      </c>
      <c r="B1819" s="55" t="str">
        <f>HYPERLINK("https://jobright.ai/jobs/info/6690b6b11acf37e6b24822e3?utm_campaign=1065&amp;utm_source=sheet", "Apply")</f>
        <v>Apply</v>
      </c>
      <c r="C1819" s="10" t="s">
        <v>14579</v>
      </c>
      <c r="D1819" s="56" t="s">
        <v>14380</v>
      </c>
      <c r="E1819" s="59">
        <v>45301.0</v>
      </c>
      <c r="F1819" s="10" t="s">
        <v>14381</v>
      </c>
      <c r="G1819" s="10" t="s">
        <v>12654</v>
      </c>
      <c r="H1819" s="10" t="s">
        <v>505</v>
      </c>
      <c r="I1819" s="10" t="s">
        <v>55</v>
      </c>
      <c r="J1819" s="10" t="s">
        <v>13437</v>
      </c>
      <c r="K1819" s="10" t="s">
        <v>14580</v>
      </c>
      <c r="L1819" s="10" t="s">
        <v>42</v>
      </c>
    </row>
    <row r="1820" ht="15.75" customHeight="1">
      <c r="A1820" s="64">
        <v>45484.0</v>
      </c>
      <c r="B1820" s="55" t="str">
        <f>HYPERLINK("https://jobright.ai/jobs/info/6690b6b11acf37e6b24822e2?utm_campaign=1065&amp;utm_source=sheet", "Apply")</f>
        <v>Apply</v>
      </c>
      <c r="C1820" s="10" t="s">
        <v>14581</v>
      </c>
      <c r="D1820" s="56" t="s">
        <v>14380</v>
      </c>
      <c r="E1820" s="59">
        <v>45301.0</v>
      </c>
      <c r="F1820" s="10" t="s">
        <v>14381</v>
      </c>
      <c r="G1820" s="10" t="s">
        <v>12654</v>
      </c>
      <c r="H1820" s="10" t="s">
        <v>883</v>
      </c>
      <c r="I1820" s="10" t="s">
        <v>55</v>
      </c>
      <c r="J1820" s="10" t="s">
        <v>13437</v>
      </c>
      <c r="K1820" s="10" t="s">
        <v>14582</v>
      </c>
      <c r="L1820" s="10" t="s">
        <v>42</v>
      </c>
    </row>
    <row r="1821" ht="15.75" customHeight="1">
      <c r="A1821" s="64">
        <v>45484.0</v>
      </c>
      <c r="B1821" s="55" t="str">
        <f>HYPERLINK("https://jobright.ai/jobs/info/66941e1ade93e8e96b77a10b?utm_campaign=1065&amp;utm_source=sheet", "Apply")</f>
        <v>Apply</v>
      </c>
      <c r="C1821" s="10" t="s">
        <v>14579</v>
      </c>
      <c r="D1821" s="56" t="s">
        <v>14380</v>
      </c>
      <c r="E1821" s="59">
        <v>45301.0</v>
      </c>
      <c r="F1821" s="10" t="s">
        <v>14381</v>
      </c>
      <c r="G1821" s="10" t="s">
        <v>12654</v>
      </c>
      <c r="H1821" s="10" t="s">
        <v>96</v>
      </c>
      <c r="I1821" s="10" t="s">
        <v>55</v>
      </c>
      <c r="J1821" s="10" t="s">
        <v>13437</v>
      </c>
      <c r="K1821" s="10" t="s">
        <v>14580</v>
      </c>
      <c r="L1821" s="10" t="s">
        <v>42</v>
      </c>
    </row>
    <row r="1822" ht="15.75" customHeight="1">
      <c r="A1822" s="64">
        <v>45484.0</v>
      </c>
      <c r="B1822" s="55" t="str">
        <f>HYPERLINK("https://jobright.ai/jobs/info/66909bda0aa6f308865b7e92?utm_campaign=1065&amp;utm_source=sheet", "Apply")</f>
        <v>Apply</v>
      </c>
      <c r="C1822" s="10" t="s">
        <v>14579</v>
      </c>
      <c r="D1822" s="56" t="s">
        <v>14380</v>
      </c>
      <c r="E1822" s="59">
        <v>45301.0</v>
      </c>
      <c r="F1822" s="10" t="s">
        <v>14381</v>
      </c>
      <c r="G1822" s="10" t="s">
        <v>12654</v>
      </c>
      <c r="H1822" s="10" t="s">
        <v>917</v>
      </c>
      <c r="I1822" s="10" t="s">
        <v>55</v>
      </c>
      <c r="J1822" s="10" t="s">
        <v>13437</v>
      </c>
      <c r="K1822" s="10" t="s">
        <v>14580</v>
      </c>
      <c r="L1822" s="10" t="s">
        <v>42</v>
      </c>
    </row>
    <row r="1823" ht="15.75" customHeight="1">
      <c r="A1823" s="64">
        <v>45484.0</v>
      </c>
      <c r="B1823" s="55" t="str">
        <f>HYPERLINK("https://jobright.ai/jobs/info/66909bf10aa6f308865b80c7?utm_campaign=1065&amp;utm_source=sheet", "Apply")</f>
        <v>Apply</v>
      </c>
      <c r="C1823" s="10" t="s">
        <v>14579</v>
      </c>
      <c r="D1823" s="56" t="s">
        <v>14380</v>
      </c>
      <c r="E1823" s="59">
        <v>45301.0</v>
      </c>
      <c r="F1823" s="10" t="s">
        <v>14381</v>
      </c>
      <c r="G1823" s="10" t="s">
        <v>12654</v>
      </c>
      <c r="H1823" s="10" t="s">
        <v>887</v>
      </c>
      <c r="I1823" s="10" t="s">
        <v>55</v>
      </c>
      <c r="J1823" s="10" t="s">
        <v>13437</v>
      </c>
      <c r="K1823" s="10" t="s">
        <v>14580</v>
      </c>
      <c r="L1823" s="10" t="s">
        <v>42</v>
      </c>
    </row>
    <row r="1824" ht="15.75" customHeight="1">
      <c r="A1824" s="64">
        <v>45484.0</v>
      </c>
      <c r="B1824" s="55" t="str">
        <f>HYPERLINK("https://jobright.ai/jobs/info/6690b5781acf37e6b24805b8?utm_campaign=1065&amp;utm_source=sheet", "Apply")</f>
        <v>Apply</v>
      </c>
      <c r="C1824" s="10" t="s">
        <v>14585</v>
      </c>
      <c r="D1824" s="56" t="s">
        <v>14586</v>
      </c>
      <c r="E1824" s="10">
        <v>3.0</v>
      </c>
      <c r="G1824" s="10" t="s">
        <v>12630</v>
      </c>
      <c r="H1824" s="10" t="s">
        <v>14587</v>
      </c>
      <c r="I1824" s="10" t="s">
        <v>48</v>
      </c>
      <c r="J1824" s="10" t="s">
        <v>1409</v>
      </c>
      <c r="K1824" s="10" t="s">
        <v>14588</v>
      </c>
      <c r="L1824" s="10" t="s">
        <v>42</v>
      </c>
    </row>
    <row r="1825" ht="15.75" customHeight="1">
      <c r="A1825" s="64">
        <v>45484.0</v>
      </c>
      <c r="B1825" s="55" t="str">
        <f>HYPERLINK("https://jobright.ai/jobs/info/6690b6d31acf37e6b2482596?utm_campaign=1065&amp;utm_source=sheet", "Apply")</f>
        <v>Apply</v>
      </c>
      <c r="C1825" s="10" t="s">
        <v>14589</v>
      </c>
      <c r="D1825" s="56" t="s">
        <v>13006</v>
      </c>
      <c r="E1825" s="10" t="s">
        <v>79</v>
      </c>
      <c r="F1825" s="10" t="s">
        <v>13007</v>
      </c>
      <c r="G1825" s="10" t="s">
        <v>12645</v>
      </c>
      <c r="H1825" s="10" t="s">
        <v>14590</v>
      </c>
      <c r="I1825" s="10" t="s">
        <v>48</v>
      </c>
      <c r="J1825" s="10" t="s">
        <v>13766</v>
      </c>
      <c r="K1825" s="10" t="s">
        <v>13742</v>
      </c>
      <c r="L1825" s="10" t="s">
        <v>42</v>
      </c>
    </row>
    <row r="1826" ht="15.75" customHeight="1">
      <c r="A1826" s="64">
        <v>45484.0</v>
      </c>
      <c r="B1826" s="55" t="str">
        <f>HYPERLINK("https://jobright.ai/jobs/info/6690e84696e6beb86b131d5f?utm_campaign=1065&amp;utm_source=sheet", "Apply")</f>
        <v>Apply</v>
      </c>
      <c r="C1826" s="10" t="s">
        <v>14591</v>
      </c>
      <c r="D1826" s="56" t="s">
        <v>9937</v>
      </c>
      <c r="E1826" s="10" t="s">
        <v>45</v>
      </c>
      <c r="F1826" s="10" t="s">
        <v>9938</v>
      </c>
      <c r="G1826" s="10" t="s">
        <v>12654</v>
      </c>
      <c r="H1826" s="10" t="s">
        <v>152</v>
      </c>
      <c r="I1826" s="10" t="s">
        <v>55</v>
      </c>
      <c r="K1826" s="10" t="s">
        <v>14592</v>
      </c>
      <c r="L1826" s="10" t="s">
        <v>42</v>
      </c>
    </row>
    <row r="1827" ht="15.75" customHeight="1">
      <c r="A1827" s="64">
        <v>45484.0</v>
      </c>
      <c r="B1827" s="55" t="str">
        <f>HYPERLINK("https://jobright.ai/jobs/info/6690e608707d87f68e50575f?utm_campaign=1065&amp;utm_source=sheet", "Apply")</f>
        <v>Apply</v>
      </c>
      <c r="C1827" s="10" t="s">
        <v>14593</v>
      </c>
      <c r="D1827" s="56" t="s">
        <v>14594</v>
      </c>
      <c r="E1827" s="10" t="s">
        <v>249</v>
      </c>
      <c r="G1827" s="10" t="s">
        <v>12654</v>
      </c>
      <c r="H1827" s="10" t="s">
        <v>981</v>
      </c>
      <c r="I1827" s="10" t="s">
        <v>55</v>
      </c>
      <c r="J1827" s="10" t="s">
        <v>14595</v>
      </c>
      <c r="K1827" s="10" t="s">
        <v>14596</v>
      </c>
      <c r="L1827" s="10" t="s">
        <v>42</v>
      </c>
    </row>
    <row r="1828" ht="15.75" customHeight="1">
      <c r="A1828" s="64">
        <v>45484.0</v>
      </c>
      <c r="B1828" s="55" t="str">
        <f>HYPERLINK("https://jobright.ai/jobs/info/668d5b1e89a9651beddfa4d6?utm_campaign=1065&amp;utm_source=sheet", "Apply")</f>
        <v>Apply</v>
      </c>
      <c r="C1828" s="10" t="s">
        <v>14597</v>
      </c>
      <c r="D1828" s="56" t="s">
        <v>14598</v>
      </c>
      <c r="E1828" s="10">
        <v>645.0</v>
      </c>
      <c r="G1828" s="10" t="s">
        <v>12645</v>
      </c>
      <c r="H1828" s="10" t="s">
        <v>14599</v>
      </c>
      <c r="I1828" s="10" t="s">
        <v>55</v>
      </c>
      <c r="J1828" s="10" t="s">
        <v>14600</v>
      </c>
      <c r="K1828" s="10" t="s">
        <v>14601</v>
      </c>
      <c r="L1828" s="10" t="s">
        <v>42</v>
      </c>
    </row>
    <row r="1829" ht="15.75" customHeight="1">
      <c r="A1829" s="64">
        <v>45484.0</v>
      </c>
      <c r="B1829" s="55" t="str">
        <f>HYPERLINK("https://jobright.ai/jobs/info/66909fd3bb6223b93a70a38b?utm_campaign=1065&amp;utm_source=sheet", "Apply")</f>
        <v>Apply</v>
      </c>
      <c r="C1829" s="10" t="s">
        <v>14602</v>
      </c>
      <c r="D1829" s="56" t="s">
        <v>9937</v>
      </c>
      <c r="E1829" s="10" t="s">
        <v>45</v>
      </c>
      <c r="F1829" s="10" t="s">
        <v>9938</v>
      </c>
      <c r="G1829" s="10" t="s">
        <v>12654</v>
      </c>
      <c r="H1829" s="10" t="s">
        <v>152</v>
      </c>
      <c r="I1829" s="10" t="s">
        <v>48</v>
      </c>
      <c r="K1829" s="10" t="s">
        <v>14603</v>
      </c>
      <c r="L1829" s="10" t="s">
        <v>42</v>
      </c>
    </row>
    <row r="1830" ht="15.75" customHeight="1">
      <c r="A1830" s="64">
        <v>45484.0</v>
      </c>
      <c r="B1830" s="55" t="str">
        <f>HYPERLINK("https://jobright.ai/jobs/info/6690cfd4b9480c9896c8f058?utm_campaign=1065&amp;utm_source=sheet", "Apply")</f>
        <v>Apply</v>
      </c>
      <c r="C1830" s="10" t="s">
        <v>14424</v>
      </c>
      <c r="D1830" s="56" t="s">
        <v>10169</v>
      </c>
      <c r="E1830" s="10" t="s">
        <v>45</v>
      </c>
      <c r="F1830" s="10" t="s">
        <v>10170</v>
      </c>
      <c r="G1830" s="10" t="s">
        <v>12635</v>
      </c>
      <c r="H1830" s="10" t="s">
        <v>757</v>
      </c>
      <c r="I1830" s="10" t="s">
        <v>55</v>
      </c>
      <c r="J1830" s="10" t="s">
        <v>1797</v>
      </c>
      <c r="K1830" s="10" t="s">
        <v>14604</v>
      </c>
      <c r="L1830" s="10" t="s">
        <v>42</v>
      </c>
    </row>
    <row r="1831" ht="15.75" customHeight="1">
      <c r="A1831" s="64">
        <v>45484.0</v>
      </c>
      <c r="B1831" s="55" t="str">
        <f>HYPERLINK("https://jobright.ai/jobs/info/6690cfd4b9480c9896c8f085?utm_campaign=1065&amp;utm_source=sheet", "Apply")</f>
        <v>Apply</v>
      </c>
      <c r="C1831" s="10" t="s">
        <v>14605</v>
      </c>
      <c r="D1831" s="56" t="s">
        <v>1178</v>
      </c>
      <c r="E1831" s="10" t="s">
        <v>137</v>
      </c>
      <c r="F1831" s="10" t="s">
        <v>1179</v>
      </c>
      <c r="G1831" s="10" t="s">
        <v>12654</v>
      </c>
      <c r="H1831" s="10" t="s">
        <v>5790</v>
      </c>
      <c r="I1831" s="10" t="s">
        <v>48</v>
      </c>
      <c r="K1831" s="10" t="s">
        <v>14606</v>
      </c>
      <c r="L1831" s="10" t="s">
        <v>42</v>
      </c>
    </row>
    <row r="1832" ht="15.75" customHeight="1">
      <c r="A1832" s="64">
        <v>45484.0</v>
      </c>
      <c r="B1832" s="55" t="str">
        <f>HYPERLINK("https://jobright.ai/jobs/info/668868bb0681494788888351?utm_campaign=1065&amp;utm_source=sheet", "Apply")</f>
        <v>Apply</v>
      </c>
      <c r="C1832" s="10" t="s">
        <v>14607</v>
      </c>
      <c r="D1832" s="56" t="s">
        <v>14608</v>
      </c>
      <c r="E1832" s="10" t="s">
        <v>45</v>
      </c>
      <c r="F1832" s="10" t="s">
        <v>14609</v>
      </c>
      <c r="G1832" s="10" t="s">
        <v>12654</v>
      </c>
      <c r="H1832" s="10" t="s">
        <v>423</v>
      </c>
      <c r="I1832" s="10" t="s">
        <v>48</v>
      </c>
      <c r="J1832" s="10" t="s">
        <v>14288</v>
      </c>
      <c r="K1832" s="10" t="s">
        <v>14610</v>
      </c>
      <c r="L1832" s="10" t="s">
        <v>42</v>
      </c>
    </row>
    <row r="1833" ht="15.75" customHeight="1">
      <c r="A1833" s="64">
        <v>45484.0</v>
      </c>
      <c r="B1833" s="55" t="str">
        <f>HYPERLINK("https://jobright.ai/jobs/info/6690594331ee667aa93be84a?utm_campaign=1065&amp;utm_source=sheet", "Apply")</f>
        <v>Apply</v>
      </c>
      <c r="C1833" s="10" t="s">
        <v>9688</v>
      </c>
      <c r="D1833" s="56" t="s">
        <v>14611</v>
      </c>
      <c r="E1833" s="10" t="s">
        <v>71</v>
      </c>
      <c r="F1833" s="10" t="s">
        <v>2758</v>
      </c>
      <c r="G1833" s="10" t="s">
        <v>12630</v>
      </c>
      <c r="H1833" s="10" t="s">
        <v>4627</v>
      </c>
      <c r="I1833" s="10" t="s">
        <v>55</v>
      </c>
      <c r="K1833" s="10" t="s">
        <v>14612</v>
      </c>
      <c r="L1833" s="10" t="s">
        <v>42</v>
      </c>
    </row>
    <row r="1834" ht="15.75" customHeight="1">
      <c r="A1834" s="64">
        <v>45484.0</v>
      </c>
      <c r="B1834" s="55" t="str">
        <f>HYPERLINK("https://jobright.ai/jobs/info/6690cfd4b9480c9896c8f0c5?utm_campaign=1065&amp;utm_source=sheet", "Apply")</f>
        <v>Apply</v>
      </c>
      <c r="C1834" s="10" t="s">
        <v>14613</v>
      </c>
      <c r="D1834" s="56" t="s">
        <v>4551</v>
      </c>
      <c r="E1834" s="10" t="s">
        <v>65</v>
      </c>
      <c r="F1834" s="10" t="s">
        <v>3205</v>
      </c>
      <c r="G1834" s="10" t="s">
        <v>12630</v>
      </c>
      <c r="H1834" s="10" t="s">
        <v>4552</v>
      </c>
      <c r="I1834" s="10" t="s">
        <v>55</v>
      </c>
      <c r="K1834" s="10" t="s">
        <v>14614</v>
      </c>
      <c r="L1834" s="10" t="s">
        <v>42</v>
      </c>
    </row>
    <row r="1835" ht="15.75" customHeight="1">
      <c r="A1835" s="64">
        <v>45484.0</v>
      </c>
      <c r="B1835" s="55" t="str">
        <f>HYPERLINK("https://jobright.ai/jobs/info/66993749975fbba320ca421b?utm_campaign=1065&amp;utm_source=sheet", "Apply")</f>
        <v>Apply</v>
      </c>
      <c r="C1835" s="10" t="s">
        <v>14615</v>
      </c>
      <c r="D1835" s="56" t="s">
        <v>14616</v>
      </c>
      <c r="E1835" s="10" t="s">
        <v>45</v>
      </c>
      <c r="F1835" s="10" t="s">
        <v>370</v>
      </c>
      <c r="G1835" s="10" t="s">
        <v>12645</v>
      </c>
      <c r="H1835" s="10" t="s">
        <v>11488</v>
      </c>
      <c r="I1835" s="10" t="s">
        <v>55</v>
      </c>
      <c r="K1835" s="10" t="s">
        <v>14617</v>
      </c>
      <c r="L1835" s="10" t="s">
        <v>42</v>
      </c>
    </row>
    <row r="1836" ht="15.75" customHeight="1">
      <c r="A1836" s="64">
        <v>45484.0</v>
      </c>
      <c r="B1836" s="55" t="str">
        <f>HYPERLINK("https://jobright.ai/jobs/info/6697e2e956214b548fc6f847?utm_campaign=1065&amp;utm_source=sheet", "Apply")</f>
        <v>Apply</v>
      </c>
      <c r="C1836" s="10" t="s">
        <v>14618</v>
      </c>
      <c r="D1836" s="56" t="s">
        <v>6350</v>
      </c>
      <c r="E1836" s="10" t="s">
        <v>65</v>
      </c>
      <c r="F1836" s="10" t="s">
        <v>2579</v>
      </c>
      <c r="G1836" s="10" t="s">
        <v>12630</v>
      </c>
      <c r="H1836" s="10" t="s">
        <v>1025</v>
      </c>
      <c r="I1836" s="10" t="s">
        <v>55</v>
      </c>
      <c r="J1836" s="10" t="s">
        <v>1616</v>
      </c>
      <c r="K1836" s="10" t="s">
        <v>14619</v>
      </c>
      <c r="L1836" s="10" t="s">
        <v>42</v>
      </c>
    </row>
    <row r="1837" ht="15.75" customHeight="1">
      <c r="A1837" s="64">
        <v>45484.0</v>
      </c>
      <c r="B1837" s="55" t="str">
        <f>HYPERLINK("https://jobright.ai/jobs/info/66905d12759f226286d90c9b?utm_campaign=1065&amp;utm_source=sheet", "Apply")</f>
        <v>Apply</v>
      </c>
      <c r="C1837" s="10" t="s">
        <v>14620</v>
      </c>
      <c r="D1837" s="56" t="s">
        <v>14621</v>
      </c>
      <c r="E1837" s="10" t="s">
        <v>137</v>
      </c>
      <c r="F1837" s="10" t="s">
        <v>1833</v>
      </c>
      <c r="G1837" s="10" t="s">
        <v>12654</v>
      </c>
      <c r="H1837" s="10" t="s">
        <v>882</v>
      </c>
      <c r="I1837" s="10" t="s">
        <v>55</v>
      </c>
      <c r="K1837" s="10" t="s">
        <v>14622</v>
      </c>
      <c r="L1837" s="10" t="s">
        <v>42</v>
      </c>
    </row>
    <row r="1838" ht="15.75" customHeight="1">
      <c r="A1838" s="64">
        <v>45484.0</v>
      </c>
      <c r="B1838" s="55" t="str">
        <f>HYPERLINK("https://jobright.ai/jobs/info/66992c46751dbade0dd17cb2?utm_campaign=1065&amp;utm_source=sheet", "Apply")</f>
        <v>Apply</v>
      </c>
      <c r="C1838" s="10" t="s">
        <v>12938</v>
      </c>
      <c r="D1838" s="56" t="s">
        <v>14623</v>
      </c>
      <c r="E1838" s="10" t="s">
        <v>276</v>
      </c>
      <c r="F1838" s="10" t="s">
        <v>1485</v>
      </c>
      <c r="G1838" s="10" t="s">
        <v>12630</v>
      </c>
      <c r="H1838" s="10" t="s">
        <v>1172</v>
      </c>
      <c r="I1838" s="10" t="s">
        <v>55</v>
      </c>
      <c r="J1838" s="10" t="s">
        <v>14624</v>
      </c>
      <c r="K1838" s="10" t="s">
        <v>14625</v>
      </c>
      <c r="L1838" s="10" t="s">
        <v>42</v>
      </c>
    </row>
    <row r="1839" ht="15.75" customHeight="1">
      <c r="A1839" s="64">
        <v>45484.0</v>
      </c>
      <c r="B1839" s="55" t="str">
        <f>HYPERLINK("https://jobright.ai/jobs/info/66a2632ae2e98d0163787a22?utm_campaign=1065&amp;utm_source=sheet", "Apply")</f>
        <v>Apply</v>
      </c>
      <c r="C1839" s="10" t="s">
        <v>14626</v>
      </c>
      <c r="D1839" s="56" t="s">
        <v>14627</v>
      </c>
      <c r="E1839" s="59">
        <v>45301.0</v>
      </c>
      <c r="F1839" s="10" t="s">
        <v>13718</v>
      </c>
      <c r="G1839" s="10" t="s">
        <v>12630</v>
      </c>
      <c r="H1839" s="10" t="s">
        <v>1263</v>
      </c>
      <c r="I1839" s="10" t="s">
        <v>55</v>
      </c>
      <c r="J1839" s="10" t="s">
        <v>14628</v>
      </c>
      <c r="K1839" s="10" t="s">
        <v>14629</v>
      </c>
      <c r="L1839" s="10" t="s">
        <v>42</v>
      </c>
    </row>
    <row r="1840" ht="15.75" customHeight="1">
      <c r="A1840" s="64">
        <v>45484.0</v>
      </c>
      <c r="B1840" s="55" t="str">
        <f>HYPERLINK("https://jobright.ai/jobs/info/66927ef63b605588c2986008?utm_campaign=1065&amp;utm_source=sheet", "Apply")</f>
        <v>Apply</v>
      </c>
      <c r="C1840" s="10" t="s">
        <v>14630</v>
      </c>
      <c r="D1840" s="56" t="s">
        <v>14631</v>
      </c>
      <c r="E1840" s="10" t="s">
        <v>276</v>
      </c>
      <c r="F1840" s="10" t="s">
        <v>14632</v>
      </c>
      <c r="G1840" s="10" t="s">
        <v>12635</v>
      </c>
      <c r="H1840" s="10" t="s">
        <v>361</v>
      </c>
      <c r="I1840" s="10" t="s">
        <v>55</v>
      </c>
      <c r="K1840" s="10" t="s">
        <v>14633</v>
      </c>
      <c r="L1840" s="10" t="s">
        <v>42</v>
      </c>
    </row>
    <row r="1841" ht="15.75" customHeight="1">
      <c r="A1841" s="64">
        <v>45484.0</v>
      </c>
      <c r="B1841" s="55" t="str">
        <f>HYPERLINK("https://jobright.ai/jobs/info/6697bdf9cd39248771d740d9?utm_campaign=1065&amp;utm_source=sheet", "Apply")</f>
        <v>Apply</v>
      </c>
      <c r="C1841" s="10" t="s">
        <v>14634</v>
      </c>
      <c r="D1841" s="56" t="s">
        <v>2749</v>
      </c>
      <c r="E1841" s="10" t="s">
        <v>45</v>
      </c>
      <c r="F1841" s="10" t="s">
        <v>2750</v>
      </c>
      <c r="G1841" s="10" t="s">
        <v>12630</v>
      </c>
      <c r="H1841" s="10" t="s">
        <v>674</v>
      </c>
      <c r="I1841" s="10" t="s">
        <v>55</v>
      </c>
      <c r="K1841" s="10" t="s">
        <v>14635</v>
      </c>
      <c r="L1841" s="10" t="s">
        <v>42</v>
      </c>
    </row>
    <row r="1842" ht="15.75" customHeight="1">
      <c r="A1842" s="64">
        <v>45484.0</v>
      </c>
      <c r="B1842" s="55" t="str">
        <f>HYPERLINK("https://jobright.ai/jobs/info/6699089585d3eb5179cd73d6?utm_campaign=1065&amp;utm_source=sheet", "Apply")</f>
        <v>Apply</v>
      </c>
      <c r="C1842" s="10" t="s">
        <v>14636</v>
      </c>
      <c r="D1842" s="56" t="s">
        <v>14637</v>
      </c>
      <c r="E1842" s="10" t="s">
        <v>79</v>
      </c>
      <c r="F1842" s="10" t="s">
        <v>13819</v>
      </c>
      <c r="G1842" s="10" t="s">
        <v>12654</v>
      </c>
      <c r="H1842" s="10" t="s">
        <v>170</v>
      </c>
      <c r="I1842" s="10" t="s">
        <v>55</v>
      </c>
      <c r="J1842" s="10" t="s">
        <v>14638</v>
      </c>
      <c r="K1842" s="10" t="s">
        <v>14639</v>
      </c>
      <c r="L1842" s="10" t="s">
        <v>42</v>
      </c>
    </row>
    <row r="1843" ht="15.75" customHeight="1">
      <c r="A1843" s="64">
        <v>45484.0</v>
      </c>
      <c r="B1843" s="55" t="str">
        <f>HYPERLINK("https://jobright.ai/jobs/info/66a23d69cb41cff09deadfc5?utm_campaign=1065&amp;utm_source=sheet", "Apply")</f>
        <v>Apply</v>
      </c>
      <c r="C1843" s="10" t="s">
        <v>12650</v>
      </c>
      <c r="D1843" s="56" t="s">
        <v>5165</v>
      </c>
      <c r="E1843" s="10" t="s">
        <v>209</v>
      </c>
      <c r="F1843" s="10" t="s">
        <v>5166</v>
      </c>
      <c r="G1843" s="10" t="s">
        <v>12635</v>
      </c>
      <c r="H1843" s="10" t="s">
        <v>423</v>
      </c>
      <c r="I1843" s="10" t="s">
        <v>55</v>
      </c>
      <c r="J1843" s="10" t="s">
        <v>5167</v>
      </c>
      <c r="K1843" s="10" t="s">
        <v>14640</v>
      </c>
      <c r="L1843" s="10" t="s">
        <v>42</v>
      </c>
    </row>
    <row r="1844" ht="15.75" customHeight="1">
      <c r="A1844" s="64">
        <v>45484.0</v>
      </c>
      <c r="B1844" s="55" t="str">
        <f>HYPERLINK("https://jobright.ai/jobs/info/6690a4afbde41292f4f54b85?utm_campaign=1065&amp;utm_source=sheet", "Apply")</f>
        <v>Apply</v>
      </c>
      <c r="C1844" s="10" t="s">
        <v>13889</v>
      </c>
      <c r="D1844" s="56" t="s">
        <v>14641</v>
      </c>
      <c r="E1844" s="59">
        <v>45301.0</v>
      </c>
      <c r="F1844" s="10" t="s">
        <v>277</v>
      </c>
      <c r="G1844" s="10" t="s">
        <v>12635</v>
      </c>
      <c r="H1844" s="10" t="s">
        <v>3674</v>
      </c>
      <c r="I1844" s="10" t="s">
        <v>48</v>
      </c>
      <c r="K1844" s="10" t="s">
        <v>14642</v>
      </c>
      <c r="L1844" s="10" t="s">
        <v>42</v>
      </c>
    </row>
    <row r="1845" ht="15.75" customHeight="1">
      <c r="A1845" s="64">
        <v>45484.0</v>
      </c>
      <c r="B1845" s="55" t="str">
        <f>HYPERLINK("https://jobright.ai/jobs/info/6690a0bc43cab07c25cd0847?utm_campaign=1065&amp;utm_source=sheet", "Apply")</f>
        <v>Apply</v>
      </c>
      <c r="C1845" s="10" t="s">
        <v>14643</v>
      </c>
      <c r="D1845" s="56" t="s">
        <v>14644</v>
      </c>
      <c r="E1845" s="10" t="s">
        <v>276</v>
      </c>
      <c r="F1845" s="10" t="s">
        <v>6217</v>
      </c>
      <c r="G1845" s="10" t="s">
        <v>12654</v>
      </c>
      <c r="H1845" s="10" t="s">
        <v>5845</v>
      </c>
      <c r="I1845" s="10" t="s">
        <v>48</v>
      </c>
      <c r="K1845" s="10" t="s">
        <v>14645</v>
      </c>
      <c r="L1845" s="10" t="s">
        <v>42</v>
      </c>
    </row>
    <row r="1846" ht="15.75" customHeight="1">
      <c r="A1846" s="64">
        <v>45484.0</v>
      </c>
      <c r="B1846" s="55" t="str">
        <f>HYPERLINK("https://jobright.ai/jobs/info/669110211275f0d7353dcd8a?utm_campaign=1065&amp;utm_source=sheet", "Apply")</f>
        <v>Apply</v>
      </c>
      <c r="C1846" s="10" t="s">
        <v>14646</v>
      </c>
      <c r="D1846" s="56" t="s">
        <v>14647</v>
      </c>
      <c r="G1846" s="10" t="s">
        <v>12630</v>
      </c>
      <c r="H1846" s="10" t="s">
        <v>1050</v>
      </c>
      <c r="I1846" s="10" t="s">
        <v>55</v>
      </c>
      <c r="K1846" s="10" t="s">
        <v>14648</v>
      </c>
      <c r="L1846" s="10" t="s">
        <v>42</v>
      </c>
    </row>
    <row r="1847" ht="15.75" customHeight="1">
      <c r="A1847" s="64">
        <v>45484.0</v>
      </c>
      <c r="B1847" s="55" t="str">
        <f>HYPERLINK("https://jobright.ai/jobs/info/6691102e1275f0d7353dced7?utm_campaign=1065&amp;utm_source=sheet", "Apply")</f>
        <v>Apply</v>
      </c>
      <c r="C1847" s="10" t="s">
        <v>14649</v>
      </c>
      <c r="D1847" s="56" t="s">
        <v>11212</v>
      </c>
      <c r="E1847" s="10">
        <v>132.0</v>
      </c>
      <c r="G1847" s="10" t="s">
        <v>12654</v>
      </c>
      <c r="H1847" s="10" t="s">
        <v>113</v>
      </c>
      <c r="I1847" s="10" t="s">
        <v>55</v>
      </c>
      <c r="K1847" s="10" t="s">
        <v>14650</v>
      </c>
      <c r="L1847" s="10" t="s">
        <v>42</v>
      </c>
    </row>
    <row r="1848" ht="15.75" customHeight="1">
      <c r="A1848" s="64">
        <v>45484.0</v>
      </c>
      <c r="B1848" s="55" t="str">
        <f>HYPERLINK("https://jobright.ai/jobs/info/66925870f26d612dd5977b07?utm_campaign=1065&amp;utm_source=sheet", "Apply")</f>
        <v>Apply</v>
      </c>
      <c r="C1848" s="10" t="s">
        <v>14651</v>
      </c>
      <c r="D1848" s="56" t="s">
        <v>13273</v>
      </c>
      <c r="E1848" s="10" t="s">
        <v>45</v>
      </c>
      <c r="F1848" s="10" t="s">
        <v>13274</v>
      </c>
      <c r="G1848" s="10" t="s">
        <v>12635</v>
      </c>
      <c r="H1848" s="10" t="s">
        <v>14652</v>
      </c>
      <c r="I1848" s="10" t="s">
        <v>55</v>
      </c>
      <c r="K1848" s="10" t="s">
        <v>14357</v>
      </c>
      <c r="L1848" s="10" t="s">
        <v>42</v>
      </c>
    </row>
    <row r="1849" ht="15.75" customHeight="1">
      <c r="A1849" s="64">
        <v>45484.0</v>
      </c>
      <c r="B1849" s="55" t="str">
        <f>HYPERLINK("https://jobright.ai/jobs/info/6690a4afbde41292f4f54bad?utm_campaign=1065&amp;utm_source=sheet", "Apply")</f>
        <v>Apply</v>
      </c>
      <c r="C1849" s="10" t="s">
        <v>12650</v>
      </c>
      <c r="D1849" s="56" t="s">
        <v>14653</v>
      </c>
      <c r="F1849" s="10" t="s">
        <v>14654</v>
      </c>
      <c r="G1849" s="10" t="s">
        <v>12630</v>
      </c>
      <c r="H1849" s="10" t="s">
        <v>5471</v>
      </c>
      <c r="I1849" s="10" t="s">
        <v>55</v>
      </c>
      <c r="K1849" s="10" t="s">
        <v>14655</v>
      </c>
      <c r="L1849" s="10" t="s">
        <v>42</v>
      </c>
    </row>
    <row r="1850" ht="15.75" customHeight="1">
      <c r="A1850" s="64">
        <v>45484.0</v>
      </c>
      <c r="B1850" s="55" t="str">
        <f>HYPERLINK("https://jobright.ai/jobs/info/6690ef6db248b676adc653c9?utm_campaign=1065&amp;utm_source=sheet", "Apply")</f>
        <v>Apply</v>
      </c>
      <c r="C1850" s="10" t="s">
        <v>12650</v>
      </c>
      <c r="D1850" s="56" t="s">
        <v>4683</v>
      </c>
      <c r="E1850" s="10" t="s">
        <v>65</v>
      </c>
      <c r="F1850" s="10" t="s">
        <v>1700</v>
      </c>
      <c r="G1850" s="10" t="s">
        <v>12654</v>
      </c>
      <c r="H1850" s="10" t="s">
        <v>11228</v>
      </c>
      <c r="I1850" s="10" t="s">
        <v>55</v>
      </c>
      <c r="K1850" s="10" t="s">
        <v>14656</v>
      </c>
      <c r="L1850" s="10" t="s">
        <v>42</v>
      </c>
    </row>
    <row r="1851" ht="15.75" customHeight="1">
      <c r="A1851" s="64">
        <v>45484.0</v>
      </c>
      <c r="B1851" s="55" t="str">
        <f>HYPERLINK("https://jobright.ai/jobs/info/6690f20f71973c20cb601cec?utm_campaign=1065&amp;utm_source=sheet", "Apply")</f>
        <v>Apply</v>
      </c>
      <c r="C1851" s="10" t="s">
        <v>14657</v>
      </c>
      <c r="D1851" s="56" t="s">
        <v>14658</v>
      </c>
      <c r="E1851" s="10" t="s">
        <v>137</v>
      </c>
      <c r="F1851" s="10" t="s">
        <v>1641</v>
      </c>
      <c r="G1851" s="10" t="s">
        <v>12630</v>
      </c>
      <c r="H1851" s="10" t="s">
        <v>3674</v>
      </c>
      <c r="I1851" s="10" t="s">
        <v>55</v>
      </c>
      <c r="J1851" s="10" t="s">
        <v>8269</v>
      </c>
      <c r="K1851" s="10" t="s">
        <v>14659</v>
      </c>
      <c r="L1851" s="10" t="s">
        <v>42</v>
      </c>
    </row>
    <row r="1852" ht="15.75" customHeight="1">
      <c r="A1852" s="64">
        <v>45484.0</v>
      </c>
      <c r="B1852" s="55" t="str">
        <f>HYPERLINK("https://jobright.ai/jobs/info/6690ef2ecfcca3c4c8c9d4a1?utm_campaign=1065&amp;utm_source=sheet", "Apply")</f>
        <v>Apply</v>
      </c>
      <c r="C1852" s="10" t="s">
        <v>13624</v>
      </c>
      <c r="D1852" s="56" t="s">
        <v>14660</v>
      </c>
      <c r="E1852" s="10" t="s">
        <v>276</v>
      </c>
      <c r="F1852" s="10" t="s">
        <v>9833</v>
      </c>
      <c r="G1852" s="10" t="s">
        <v>12654</v>
      </c>
      <c r="H1852" s="10" t="s">
        <v>423</v>
      </c>
      <c r="I1852" s="10" t="s">
        <v>48</v>
      </c>
      <c r="J1852" s="10" t="s">
        <v>14661</v>
      </c>
      <c r="K1852" s="10" t="s">
        <v>14662</v>
      </c>
      <c r="L1852" s="10" t="s">
        <v>42</v>
      </c>
    </row>
    <row r="1853" ht="15.75" customHeight="1">
      <c r="A1853" s="64">
        <v>45484.0</v>
      </c>
      <c r="B1853" s="55" t="str">
        <f>HYPERLINK("https://jobright.ai/jobs/info/6690de8db63f2faa3634a564?utm_campaign=1065&amp;utm_source=sheet", "Apply")</f>
        <v>Apply</v>
      </c>
      <c r="C1853" s="10" t="s">
        <v>14663</v>
      </c>
      <c r="D1853" s="56" t="s">
        <v>10244</v>
      </c>
      <c r="E1853" s="10" t="s">
        <v>45</v>
      </c>
      <c r="G1853" s="10" t="s">
        <v>12654</v>
      </c>
      <c r="H1853" s="10" t="s">
        <v>12675</v>
      </c>
      <c r="I1853" s="10" t="s">
        <v>55</v>
      </c>
      <c r="J1853" s="10" t="s">
        <v>1960</v>
      </c>
      <c r="K1853" s="10" t="s">
        <v>12746</v>
      </c>
      <c r="L1853" s="10" t="s">
        <v>42</v>
      </c>
    </row>
    <row r="1854" ht="15.75" customHeight="1">
      <c r="A1854" s="64">
        <v>45484.0</v>
      </c>
      <c r="B1854" s="55" t="str">
        <f>HYPERLINK("https://jobright.ai/jobs/info/6690dea2b63f2faa3634a63f?utm_campaign=1065&amp;utm_source=sheet", "Apply")</f>
        <v>Apply</v>
      </c>
      <c r="C1854" s="10" t="s">
        <v>14664</v>
      </c>
      <c r="D1854" s="56" t="s">
        <v>1982</v>
      </c>
      <c r="E1854" s="10" t="s">
        <v>276</v>
      </c>
      <c r="F1854" s="10" t="s">
        <v>1983</v>
      </c>
      <c r="G1854" s="10" t="s">
        <v>12654</v>
      </c>
      <c r="H1854" s="10" t="s">
        <v>170</v>
      </c>
      <c r="I1854" s="10" t="s">
        <v>55</v>
      </c>
      <c r="J1854" s="10" t="s">
        <v>1984</v>
      </c>
      <c r="K1854" s="10" t="s">
        <v>14665</v>
      </c>
      <c r="L1854" s="10" t="s">
        <v>42</v>
      </c>
    </row>
    <row r="1855" ht="15.75" customHeight="1">
      <c r="A1855" s="64">
        <v>45484.0</v>
      </c>
      <c r="B1855" s="55" t="str">
        <f>HYPERLINK("https://jobright.ai/jobs/info/6690d6deff50681e8b56953d?utm_campaign=1065&amp;utm_source=sheet", "Apply")</f>
        <v>Apply</v>
      </c>
      <c r="C1855" s="10" t="s">
        <v>14666</v>
      </c>
      <c r="D1855" s="56" t="s">
        <v>14667</v>
      </c>
      <c r="E1855" s="10" t="s">
        <v>65</v>
      </c>
      <c r="F1855" s="10" t="s">
        <v>14668</v>
      </c>
      <c r="G1855" s="10" t="s">
        <v>12645</v>
      </c>
      <c r="H1855" s="10" t="s">
        <v>96</v>
      </c>
      <c r="I1855" s="10" t="s">
        <v>48</v>
      </c>
      <c r="J1855" s="10" t="s">
        <v>1960</v>
      </c>
      <c r="K1855" s="10" t="s">
        <v>14669</v>
      </c>
      <c r="L1855" s="10" t="s">
        <v>42</v>
      </c>
    </row>
    <row r="1856" ht="15.75" customHeight="1">
      <c r="A1856" s="64">
        <v>45484.0</v>
      </c>
      <c r="B1856" s="55" t="str">
        <f>HYPERLINK("https://jobright.ai/jobs/info/6690bfe9555345cb31084899?utm_campaign=1065&amp;utm_source=sheet", "Apply")</f>
        <v>Apply</v>
      </c>
      <c r="C1856" s="10" t="s">
        <v>14670</v>
      </c>
      <c r="D1856" s="56" t="s">
        <v>14671</v>
      </c>
      <c r="G1856" s="10" t="s">
        <v>12654</v>
      </c>
      <c r="H1856" s="10" t="s">
        <v>7462</v>
      </c>
      <c r="I1856" s="10" t="s">
        <v>48</v>
      </c>
      <c r="K1856" s="10" t="s">
        <v>14672</v>
      </c>
      <c r="L1856" s="10" t="s">
        <v>42</v>
      </c>
    </row>
    <row r="1857" ht="15.75" customHeight="1">
      <c r="A1857" s="64">
        <v>45484.0</v>
      </c>
      <c r="B1857" s="55" t="str">
        <f>HYPERLINK("https://jobright.ai/jobs/info/668c9113a04664baea38a4c4?utm_campaign=1065&amp;utm_source=sheet", "Apply")</f>
        <v>Apply</v>
      </c>
      <c r="C1857" s="10" t="s">
        <v>12727</v>
      </c>
      <c r="D1857" s="56" t="s">
        <v>14673</v>
      </c>
      <c r="E1857" s="10" t="s">
        <v>276</v>
      </c>
      <c r="F1857" s="10" t="s">
        <v>627</v>
      </c>
      <c r="G1857" s="10" t="s">
        <v>12645</v>
      </c>
      <c r="H1857" s="10" t="s">
        <v>11228</v>
      </c>
      <c r="I1857" s="10" t="s">
        <v>55</v>
      </c>
      <c r="J1857" s="10" t="s">
        <v>1984</v>
      </c>
      <c r="K1857" s="10" t="s">
        <v>14674</v>
      </c>
      <c r="L1857" s="10" t="s">
        <v>42</v>
      </c>
    </row>
    <row r="1858" ht="15.75" customHeight="1">
      <c r="A1858" s="64">
        <v>45484.0</v>
      </c>
      <c r="B1858" s="55" t="str">
        <f>HYPERLINK("https://jobright.ai/jobs/info/66907ed398d7c253fc4c49a8?utm_campaign=1065&amp;utm_source=sheet", "Apply")</f>
        <v>Apply</v>
      </c>
      <c r="C1858" s="10" t="s">
        <v>14675</v>
      </c>
      <c r="D1858" s="56" t="s">
        <v>7209</v>
      </c>
      <c r="E1858" s="10" t="s">
        <v>45</v>
      </c>
      <c r="F1858" s="10" t="s">
        <v>7210</v>
      </c>
      <c r="G1858" s="10" t="s">
        <v>12654</v>
      </c>
      <c r="H1858" s="10" t="s">
        <v>96</v>
      </c>
      <c r="I1858" s="10" t="s">
        <v>55</v>
      </c>
      <c r="J1858" s="10" t="s">
        <v>1960</v>
      </c>
      <c r="K1858" s="10" t="s">
        <v>14676</v>
      </c>
      <c r="L1858" s="10" t="s">
        <v>42</v>
      </c>
    </row>
    <row r="1859" ht="15.75" customHeight="1">
      <c r="A1859" s="64">
        <v>45484.0</v>
      </c>
      <c r="B1859" s="55" t="str">
        <f>HYPERLINK("https://jobright.ai/jobs/info/665e63f4f93f730301284026?utm_campaign=1065&amp;utm_source=sheet", "Apply")</f>
        <v>Apply</v>
      </c>
      <c r="C1859" s="10" t="s">
        <v>14677</v>
      </c>
      <c r="D1859" s="56" t="s">
        <v>12935</v>
      </c>
      <c r="E1859" s="10" t="s">
        <v>65</v>
      </c>
      <c r="F1859" s="10" t="s">
        <v>12936</v>
      </c>
      <c r="G1859" s="10" t="s">
        <v>12654</v>
      </c>
      <c r="H1859" s="10" t="s">
        <v>9486</v>
      </c>
      <c r="I1859" s="10" t="s">
        <v>48</v>
      </c>
      <c r="J1859" s="10" t="s">
        <v>1165</v>
      </c>
      <c r="K1859" s="10" t="s">
        <v>14678</v>
      </c>
      <c r="L1859" s="10" t="s">
        <v>42</v>
      </c>
    </row>
    <row r="1860" ht="15.75" customHeight="1">
      <c r="A1860" s="64">
        <v>45484.0</v>
      </c>
      <c r="B1860" s="55" t="str">
        <f>HYPERLINK("https://jobright.ai/jobs/info/6690d011b9480c9896c8f65d?utm_campaign=1065&amp;utm_source=sheet", "Apply")</f>
        <v>Apply</v>
      </c>
      <c r="C1860" s="10" t="s">
        <v>12904</v>
      </c>
      <c r="D1860" s="56" t="s">
        <v>14679</v>
      </c>
      <c r="E1860" s="10" t="s">
        <v>249</v>
      </c>
      <c r="F1860" s="10" t="s">
        <v>14680</v>
      </c>
      <c r="G1860" s="10" t="s">
        <v>12654</v>
      </c>
      <c r="H1860" s="10" t="s">
        <v>979</v>
      </c>
      <c r="I1860" s="10" t="s">
        <v>55</v>
      </c>
      <c r="K1860" s="10" t="s">
        <v>14681</v>
      </c>
      <c r="L1860" s="10" t="s">
        <v>42</v>
      </c>
    </row>
    <row r="1861" ht="15.75" customHeight="1">
      <c r="A1861" s="64">
        <v>45484.0</v>
      </c>
      <c r="B1861" s="55" t="str">
        <f>HYPERLINK("https://jobright.ai/jobs/info/6697359d55f25cd12fe91b35?utm_campaign=1065&amp;utm_source=sheet", "Apply")</f>
        <v>Apply</v>
      </c>
      <c r="C1861" s="10" t="s">
        <v>14682</v>
      </c>
      <c r="D1861" s="56" t="s">
        <v>2077</v>
      </c>
      <c r="E1861" s="10" t="s">
        <v>45</v>
      </c>
      <c r="F1861" s="10" t="s">
        <v>1234</v>
      </c>
      <c r="G1861" s="10" t="s">
        <v>12654</v>
      </c>
      <c r="H1861" s="10" t="s">
        <v>2078</v>
      </c>
      <c r="I1861" s="10" t="s">
        <v>55</v>
      </c>
      <c r="J1861" s="10" t="s">
        <v>10706</v>
      </c>
      <c r="K1861" s="10" t="s">
        <v>14683</v>
      </c>
      <c r="L1861" s="10" t="s">
        <v>42</v>
      </c>
    </row>
    <row r="1862" ht="15.75" customHeight="1">
      <c r="A1862" s="64">
        <v>45484.0</v>
      </c>
      <c r="B1862" s="55" t="str">
        <f>HYPERLINK("https://jobright.ai/jobs/info/6685fd7965635af39111dea4?utm_campaign=1065&amp;utm_source=sheet", "Apply")</f>
        <v>Apply</v>
      </c>
      <c r="C1862" s="10" t="s">
        <v>14322</v>
      </c>
      <c r="D1862" s="56" t="s">
        <v>14684</v>
      </c>
      <c r="E1862" s="10" t="s">
        <v>249</v>
      </c>
      <c r="F1862" s="10" t="s">
        <v>529</v>
      </c>
      <c r="G1862" s="10" t="s">
        <v>12693</v>
      </c>
      <c r="H1862" s="10" t="s">
        <v>442</v>
      </c>
      <c r="I1862" s="10" t="s">
        <v>55</v>
      </c>
      <c r="K1862" s="10" t="s">
        <v>14685</v>
      </c>
      <c r="L1862" s="10" t="s">
        <v>42</v>
      </c>
    </row>
    <row r="1863" ht="15.75" customHeight="1">
      <c r="A1863" s="64">
        <v>45484.0</v>
      </c>
      <c r="B1863" s="55" t="str">
        <f>HYPERLINK("https://jobright.ai/jobs/info/668f4991478c8663838f26d5?utm_campaign=1065&amp;utm_source=sheet", "Apply")</f>
        <v>Apply</v>
      </c>
      <c r="C1863" s="10" t="s">
        <v>14686</v>
      </c>
      <c r="D1863" s="56" t="s">
        <v>1955</v>
      </c>
      <c r="E1863" s="10" t="s">
        <v>45</v>
      </c>
      <c r="F1863" s="10" t="s">
        <v>1234</v>
      </c>
      <c r="G1863" s="10" t="s">
        <v>12630</v>
      </c>
      <c r="H1863" s="10" t="s">
        <v>139</v>
      </c>
      <c r="I1863" s="10" t="s">
        <v>55</v>
      </c>
      <c r="J1863" s="10" t="s">
        <v>1761</v>
      </c>
      <c r="K1863" s="10" t="s">
        <v>14687</v>
      </c>
      <c r="L1863" s="10" t="s">
        <v>42</v>
      </c>
    </row>
    <row r="1864" ht="15.75" customHeight="1">
      <c r="A1864" s="64">
        <v>45484.0</v>
      </c>
      <c r="B1864" s="55" t="str">
        <f>HYPERLINK("https://jobright.ai/jobs/info/668ff9930f79b533b8729590?utm_campaign=1065&amp;utm_source=sheet", "Apply")</f>
        <v>Apply</v>
      </c>
      <c r="C1864" s="10" t="s">
        <v>14688</v>
      </c>
      <c r="D1864" s="56" t="s">
        <v>1955</v>
      </c>
      <c r="E1864" s="10" t="s">
        <v>45</v>
      </c>
      <c r="F1864" s="10" t="s">
        <v>1234</v>
      </c>
      <c r="G1864" s="10" t="s">
        <v>12654</v>
      </c>
      <c r="H1864" s="10" t="s">
        <v>139</v>
      </c>
      <c r="I1864" s="10" t="s">
        <v>55</v>
      </c>
      <c r="J1864" s="10" t="s">
        <v>1761</v>
      </c>
      <c r="K1864" s="10" t="s">
        <v>14689</v>
      </c>
      <c r="L1864" s="10" t="s">
        <v>42</v>
      </c>
    </row>
    <row r="1865" ht="15.75" customHeight="1">
      <c r="A1865" s="64">
        <v>45484.0</v>
      </c>
      <c r="B1865" s="55" t="str">
        <f>HYPERLINK("https://jobright.ai/jobs/info/6690386b42d6be273658b9ec?utm_campaign=1065&amp;utm_source=sheet", "Apply")</f>
        <v>Apply</v>
      </c>
      <c r="C1865" s="10" t="s">
        <v>14602</v>
      </c>
      <c r="D1865" s="56" t="s">
        <v>9937</v>
      </c>
      <c r="E1865" s="10" t="s">
        <v>45</v>
      </c>
      <c r="F1865" s="10" t="s">
        <v>9938</v>
      </c>
      <c r="G1865" s="10" t="s">
        <v>12654</v>
      </c>
      <c r="H1865" s="10" t="s">
        <v>14690</v>
      </c>
      <c r="I1865" s="10" t="s">
        <v>55</v>
      </c>
      <c r="K1865" s="10" t="s">
        <v>14603</v>
      </c>
      <c r="L1865" s="10" t="s">
        <v>42</v>
      </c>
    </row>
    <row r="1866" ht="15.75" customHeight="1">
      <c r="A1866" s="64">
        <v>45484.0</v>
      </c>
      <c r="B1866" s="55" t="str">
        <f>HYPERLINK("https://jobright.ai/jobs/info/6690931f8d6939edee8a78b5?utm_campaign=1065&amp;utm_source=sheet", "Apply")</f>
        <v>Apply</v>
      </c>
      <c r="C1866" s="10" t="s">
        <v>14546</v>
      </c>
      <c r="D1866" s="56" t="s">
        <v>13160</v>
      </c>
      <c r="E1866" s="10" t="s">
        <v>45</v>
      </c>
      <c r="F1866" s="10" t="s">
        <v>13161</v>
      </c>
      <c r="G1866" s="10" t="s">
        <v>12635</v>
      </c>
      <c r="H1866" s="10" t="s">
        <v>3440</v>
      </c>
      <c r="I1866" s="10" t="s">
        <v>55</v>
      </c>
      <c r="K1866" s="10" t="s">
        <v>14547</v>
      </c>
      <c r="L1866" s="10" t="s">
        <v>42</v>
      </c>
    </row>
    <row r="1867" ht="15.75" customHeight="1">
      <c r="A1867" s="64">
        <v>45483.0</v>
      </c>
      <c r="B1867" s="55" t="str">
        <f>HYPERLINK("https://jobright.ai/jobs/info/668f37e068ac1b2390bf16d4?utm_campaign=1065&amp;utm_source=sheet", "Apply")</f>
        <v>Apply</v>
      </c>
      <c r="C1867" s="10" t="s">
        <v>14691</v>
      </c>
      <c r="D1867" s="56" t="s">
        <v>14692</v>
      </c>
      <c r="E1867" s="10" t="s">
        <v>65</v>
      </c>
      <c r="F1867" s="10" t="s">
        <v>14693</v>
      </c>
      <c r="G1867" s="10" t="s">
        <v>12645</v>
      </c>
      <c r="H1867" s="10" t="s">
        <v>3006</v>
      </c>
      <c r="I1867" s="10" t="s">
        <v>48</v>
      </c>
      <c r="K1867" s="10" t="s">
        <v>14694</v>
      </c>
      <c r="L1867" s="10" t="s">
        <v>42</v>
      </c>
    </row>
    <row r="1868" ht="15.75" customHeight="1">
      <c r="A1868" s="64">
        <v>45483.0</v>
      </c>
      <c r="B1868" s="55" t="str">
        <f>HYPERLINK("https://jobright.ai/jobs/info/668f428ee74ffdb5b62627b9?utm_campaign=1065&amp;utm_source=sheet", "Apply")</f>
        <v>Apply</v>
      </c>
      <c r="C1868" s="10" t="s">
        <v>14695</v>
      </c>
      <c r="D1868" s="56" t="s">
        <v>1690</v>
      </c>
      <c r="E1868" s="10" t="s">
        <v>45</v>
      </c>
      <c r="F1868" s="10" t="s">
        <v>564</v>
      </c>
      <c r="G1868" s="10" t="s">
        <v>12654</v>
      </c>
      <c r="H1868" s="10" t="s">
        <v>1691</v>
      </c>
      <c r="I1868" s="10" t="s">
        <v>55</v>
      </c>
      <c r="K1868" s="10" t="s">
        <v>14696</v>
      </c>
      <c r="L1868" s="10" t="s">
        <v>42</v>
      </c>
    </row>
    <row r="1869" ht="15.75" customHeight="1">
      <c r="A1869" s="64">
        <v>45483.0</v>
      </c>
      <c r="B1869" s="55" t="str">
        <f>HYPERLINK("https://jobright.ai/jobs/info/668f4223e74ffdb5b6261df9?utm_campaign=1065&amp;utm_source=sheet", "Apply")</f>
        <v>Apply</v>
      </c>
      <c r="C1869" s="10" t="s">
        <v>14697</v>
      </c>
      <c r="D1869" s="56" t="s">
        <v>14698</v>
      </c>
      <c r="E1869" s="10" t="s">
        <v>137</v>
      </c>
      <c r="F1869" s="10" t="s">
        <v>14699</v>
      </c>
      <c r="G1869" s="10" t="s">
        <v>12630</v>
      </c>
      <c r="H1869" s="10" t="s">
        <v>152</v>
      </c>
      <c r="I1869" s="10" t="s">
        <v>55</v>
      </c>
      <c r="K1869" s="10" t="s">
        <v>14700</v>
      </c>
      <c r="L1869" s="10" t="s">
        <v>42</v>
      </c>
    </row>
    <row r="1870" ht="15.75" customHeight="1">
      <c r="A1870" s="64">
        <v>45483.0</v>
      </c>
      <c r="B1870" s="55" t="str">
        <f>HYPERLINK("https://jobright.ai/jobs/info/668f4223e74ffdb5b6261e27?utm_campaign=1065&amp;utm_source=sheet", "Apply")</f>
        <v>Apply</v>
      </c>
      <c r="C1870" s="10" t="s">
        <v>14701</v>
      </c>
      <c r="D1870" s="56" t="s">
        <v>13968</v>
      </c>
      <c r="E1870" s="10" t="s">
        <v>137</v>
      </c>
      <c r="F1870" s="10" t="s">
        <v>2265</v>
      </c>
      <c r="G1870" s="10" t="s">
        <v>12630</v>
      </c>
      <c r="H1870" s="10" t="s">
        <v>898</v>
      </c>
      <c r="I1870" s="10" t="s">
        <v>55</v>
      </c>
      <c r="K1870" s="10" t="s">
        <v>14702</v>
      </c>
      <c r="L1870" s="10" t="s">
        <v>42</v>
      </c>
    </row>
    <row r="1871" ht="15.75" customHeight="1">
      <c r="A1871" s="64">
        <v>45483.0</v>
      </c>
      <c r="B1871" s="55" t="str">
        <f>HYPERLINK("https://jobright.ai/jobs/info/6683f877e84f587dd5633a46?utm_campaign=1065&amp;utm_source=sheet", "Apply")</f>
        <v>Apply</v>
      </c>
      <c r="C1871" s="10" t="s">
        <v>14703</v>
      </c>
      <c r="D1871" s="56" t="s">
        <v>5175</v>
      </c>
      <c r="E1871" s="10" t="s">
        <v>45</v>
      </c>
      <c r="F1871" s="10" t="s">
        <v>5176</v>
      </c>
      <c r="G1871" s="10" t="s">
        <v>12635</v>
      </c>
      <c r="H1871" s="10" t="s">
        <v>1005</v>
      </c>
      <c r="I1871" s="10" t="s">
        <v>55</v>
      </c>
      <c r="K1871" s="10" t="s">
        <v>14704</v>
      </c>
      <c r="L1871" s="10" t="s">
        <v>42</v>
      </c>
    </row>
    <row r="1872" ht="15.75" customHeight="1">
      <c r="A1872" s="64">
        <v>45483.0</v>
      </c>
      <c r="B1872" s="55" t="str">
        <f>HYPERLINK("https://jobright.ai/jobs/info/668f499c478c8663838f27cb?utm_campaign=1065&amp;utm_source=sheet", "Apply")</f>
        <v>Apply</v>
      </c>
      <c r="C1872" s="10" t="s">
        <v>13624</v>
      </c>
      <c r="D1872" s="56" t="s">
        <v>14660</v>
      </c>
      <c r="E1872" s="10" t="s">
        <v>276</v>
      </c>
      <c r="F1872" s="10" t="s">
        <v>9833</v>
      </c>
      <c r="G1872" s="10" t="s">
        <v>12654</v>
      </c>
      <c r="H1872" s="10" t="s">
        <v>113</v>
      </c>
      <c r="I1872" s="10" t="s">
        <v>48</v>
      </c>
      <c r="K1872" s="10" t="s">
        <v>14662</v>
      </c>
      <c r="L1872" s="10" t="s">
        <v>42</v>
      </c>
    </row>
    <row r="1873" ht="15.75" customHeight="1">
      <c r="A1873" s="64">
        <v>45483.0</v>
      </c>
      <c r="B1873" s="55" t="str">
        <f>HYPERLINK("https://jobright.ai/jobs/info/668f49b0478c8663838f29a8?utm_campaign=1065&amp;utm_source=sheet", "Apply")</f>
        <v>Apply</v>
      </c>
      <c r="C1873" s="10" t="s">
        <v>14705</v>
      </c>
      <c r="D1873" s="56" t="s">
        <v>14706</v>
      </c>
      <c r="E1873" s="10" t="s">
        <v>137</v>
      </c>
      <c r="F1873" s="10" t="s">
        <v>14707</v>
      </c>
      <c r="G1873" s="10" t="s">
        <v>12654</v>
      </c>
      <c r="H1873" s="10" t="s">
        <v>165</v>
      </c>
      <c r="I1873" s="10" t="s">
        <v>55</v>
      </c>
      <c r="K1873" s="10" t="s">
        <v>14708</v>
      </c>
      <c r="L1873" s="10" t="s">
        <v>42</v>
      </c>
    </row>
    <row r="1874" ht="15.75" customHeight="1">
      <c r="A1874" s="64">
        <v>45483.0</v>
      </c>
      <c r="B1874" s="55" t="str">
        <f>HYPERLINK("https://jobright.ai/jobs/info/669030d0a9f0fa8f5274b254?utm_campaign=1065&amp;utm_source=sheet", "Apply")</f>
        <v>Apply</v>
      </c>
      <c r="C1874" s="10" t="s">
        <v>12650</v>
      </c>
      <c r="D1874" s="56" t="s">
        <v>14709</v>
      </c>
      <c r="E1874" s="10" t="s">
        <v>71</v>
      </c>
      <c r="F1874" s="10" t="s">
        <v>14710</v>
      </c>
      <c r="G1874" s="10" t="s">
        <v>12630</v>
      </c>
      <c r="H1874" s="10" t="s">
        <v>610</v>
      </c>
      <c r="I1874" s="10" t="s">
        <v>55</v>
      </c>
      <c r="K1874" s="10" t="s">
        <v>14711</v>
      </c>
      <c r="L1874" s="10" t="s">
        <v>42</v>
      </c>
    </row>
    <row r="1875" ht="15.75" customHeight="1">
      <c r="A1875" s="64">
        <v>45483.0</v>
      </c>
      <c r="B1875" s="55" t="str">
        <f>HYPERLINK("https://jobright.ai/jobs/info/6690298a6f438a3944c866b5?utm_campaign=1065&amp;utm_source=sheet", "Apply")</f>
        <v>Apply</v>
      </c>
      <c r="C1875" s="10" t="s">
        <v>14712</v>
      </c>
      <c r="D1875" s="56" t="s">
        <v>14713</v>
      </c>
      <c r="E1875" s="10" t="s">
        <v>209</v>
      </c>
      <c r="F1875" s="10" t="s">
        <v>14714</v>
      </c>
      <c r="G1875" s="10" t="s">
        <v>12693</v>
      </c>
      <c r="H1875" s="10" t="s">
        <v>829</v>
      </c>
      <c r="I1875" s="10" t="s">
        <v>55</v>
      </c>
      <c r="K1875" s="10" t="s">
        <v>14715</v>
      </c>
      <c r="L1875" s="10" t="s">
        <v>42</v>
      </c>
    </row>
    <row r="1876" ht="15.75" customHeight="1">
      <c r="A1876" s="64">
        <v>45483.0</v>
      </c>
      <c r="B1876" s="55" t="str">
        <f>HYPERLINK("https://jobright.ai/jobs/info/6683410ba77cf77fee2dc8e3?utm_campaign=1065&amp;utm_source=sheet", "Apply")</f>
        <v>Apply</v>
      </c>
      <c r="C1876" s="10" t="s">
        <v>13269</v>
      </c>
      <c r="D1876" s="56" t="s">
        <v>14673</v>
      </c>
      <c r="E1876" s="10" t="s">
        <v>276</v>
      </c>
      <c r="F1876" s="10" t="s">
        <v>627</v>
      </c>
      <c r="G1876" s="10" t="s">
        <v>12654</v>
      </c>
      <c r="H1876" s="10" t="s">
        <v>11228</v>
      </c>
      <c r="I1876" s="10" t="s">
        <v>55</v>
      </c>
      <c r="J1876" s="10" t="s">
        <v>1984</v>
      </c>
      <c r="K1876" s="10" t="s">
        <v>14716</v>
      </c>
      <c r="L1876" s="10" t="s">
        <v>42</v>
      </c>
    </row>
    <row r="1877" ht="15.75" customHeight="1">
      <c r="A1877" s="64">
        <v>45483.0</v>
      </c>
      <c r="B1877" s="55" t="str">
        <f>HYPERLINK("https://jobright.ai/jobs/info/668ecf52eeb01b369f32b4bc?utm_campaign=1065&amp;utm_source=sheet", "Apply")</f>
        <v>Apply</v>
      </c>
      <c r="C1877" s="10" t="s">
        <v>14717</v>
      </c>
      <c r="D1877" s="56" t="s">
        <v>14718</v>
      </c>
      <c r="E1877" s="10" t="s">
        <v>249</v>
      </c>
      <c r="G1877" s="10" t="s">
        <v>12630</v>
      </c>
      <c r="H1877" s="10" t="s">
        <v>6759</v>
      </c>
      <c r="I1877" s="10" t="s">
        <v>55</v>
      </c>
      <c r="K1877" s="10" t="s">
        <v>14719</v>
      </c>
      <c r="L1877" s="10" t="s">
        <v>42</v>
      </c>
    </row>
    <row r="1878" ht="15.75" customHeight="1">
      <c r="A1878" s="64">
        <v>45483.0</v>
      </c>
      <c r="B1878" s="55" t="str">
        <f>HYPERLINK("https://jobright.ai/jobs/info/668ecbc6bf93d98adcfd4362?utm_campaign=1065&amp;utm_source=sheet", "Apply")</f>
        <v>Apply</v>
      </c>
      <c r="C1878" s="10" t="s">
        <v>14720</v>
      </c>
      <c r="D1878" s="56" t="s">
        <v>12687</v>
      </c>
      <c r="E1878" s="10" t="s">
        <v>65</v>
      </c>
      <c r="F1878" s="10" t="s">
        <v>12688</v>
      </c>
      <c r="G1878" s="10" t="s">
        <v>12654</v>
      </c>
      <c r="H1878" s="10" t="s">
        <v>1556</v>
      </c>
      <c r="I1878" s="10" t="s">
        <v>48</v>
      </c>
      <c r="K1878" s="10" t="s">
        <v>12850</v>
      </c>
      <c r="L1878" s="10" t="s">
        <v>42</v>
      </c>
    </row>
    <row r="1879" ht="15.75" customHeight="1">
      <c r="A1879" s="64">
        <v>45483.0</v>
      </c>
      <c r="B1879" s="55" t="str">
        <f>HYPERLINK("https://jobright.ai/jobs/info/669001956322084f2d52ceca?utm_campaign=1065&amp;utm_source=sheet", "Apply")</f>
        <v>Apply</v>
      </c>
      <c r="C1879" s="10" t="s">
        <v>14322</v>
      </c>
      <c r="D1879" s="56" t="s">
        <v>6907</v>
      </c>
      <c r="E1879" s="10" t="s">
        <v>137</v>
      </c>
      <c r="F1879" s="10" t="s">
        <v>2806</v>
      </c>
      <c r="G1879" s="10" t="s">
        <v>12693</v>
      </c>
      <c r="H1879" s="10" t="s">
        <v>607</v>
      </c>
      <c r="I1879" s="10" t="s">
        <v>55</v>
      </c>
      <c r="K1879" s="10" t="s">
        <v>14721</v>
      </c>
      <c r="L1879" s="10" t="s">
        <v>42</v>
      </c>
    </row>
    <row r="1880" ht="15.75" customHeight="1">
      <c r="A1880" s="64">
        <v>45483.0</v>
      </c>
      <c r="B1880" s="55" t="str">
        <f>HYPERLINK("https://jobright.ai/jobs/info/668fba23dfbcb403a465afbf?utm_campaign=1065&amp;utm_source=sheet", "Apply")</f>
        <v>Apply</v>
      </c>
      <c r="C1880" s="10" t="s">
        <v>12965</v>
      </c>
      <c r="D1880" s="56" t="s">
        <v>14722</v>
      </c>
      <c r="E1880" s="10" t="s">
        <v>137</v>
      </c>
      <c r="F1880" s="10" t="s">
        <v>14723</v>
      </c>
      <c r="G1880" s="10" t="s">
        <v>12654</v>
      </c>
      <c r="H1880" s="10" t="s">
        <v>12881</v>
      </c>
      <c r="I1880" s="10" t="s">
        <v>55</v>
      </c>
      <c r="K1880" s="10" t="s">
        <v>14724</v>
      </c>
      <c r="L1880" s="10" t="s">
        <v>42</v>
      </c>
    </row>
    <row r="1881" ht="15.75" customHeight="1">
      <c r="A1881" s="64">
        <v>45483.0</v>
      </c>
      <c r="B1881" s="55" t="str">
        <f>HYPERLINK("https://jobright.ai/jobs/info/6693e140fef584d361bf0d12?utm_campaign=1065&amp;utm_source=sheet", "Apply")</f>
        <v>Apply</v>
      </c>
      <c r="C1881" s="10" t="s">
        <v>14725</v>
      </c>
      <c r="D1881" s="56" t="s">
        <v>6946</v>
      </c>
      <c r="E1881" s="10" t="s">
        <v>45</v>
      </c>
      <c r="G1881" s="10" t="s">
        <v>12630</v>
      </c>
      <c r="H1881" s="10" t="s">
        <v>159</v>
      </c>
      <c r="I1881" s="10" t="s">
        <v>48</v>
      </c>
      <c r="J1881" s="10" t="s">
        <v>2742</v>
      </c>
      <c r="K1881" s="10" t="s">
        <v>14726</v>
      </c>
      <c r="L1881" s="10" t="s">
        <v>42</v>
      </c>
    </row>
    <row r="1882" ht="15.75" customHeight="1">
      <c r="A1882" s="64">
        <v>45483.0</v>
      </c>
      <c r="B1882" s="55" t="str">
        <f>HYPERLINK("https://jobright.ai/jobs/info/6692926cb8b019ec9066fe11?utm_campaign=1065&amp;utm_source=sheet", "Apply")</f>
        <v>Apply</v>
      </c>
      <c r="C1882" s="10" t="s">
        <v>14727</v>
      </c>
      <c r="D1882" s="56" t="s">
        <v>14728</v>
      </c>
      <c r="E1882" s="10" t="s">
        <v>65</v>
      </c>
      <c r="F1882" s="10" t="s">
        <v>3906</v>
      </c>
      <c r="G1882" s="10" t="s">
        <v>12654</v>
      </c>
      <c r="H1882" s="10" t="s">
        <v>165</v>
      </c>
      <c r="I1882" s="10" t="s">
        <v>55</v>
      </c>
      <c r="K1882" s="10" t="s">
        <v>14729</v>
      </c>
      <c r="L1882" s="10" t="s">
        <v>42</v>
      </c>
    </row>
    <row r="1883" ht="15.75" customHeight="1">
      <c r="A1883" s="64">
        <v>45483.0</v>
      </c>
      <c r="B1883" s="55" t="str">
        <f>HYPERLINK("https://jobright.ai/jobs/info/668fdb8022cfeb6ebf476db1?utm_campaign=1065&amp;utm_source=sheet", "Apply")</f>
        <v>Apply</v>
      </c>
      <c r="C1883" s="10" t="s">
        <v>14730</v>
      </c>
      <c r="D1883" s="56" t="s">
        <v>14731</v>
      </c>
      <c r="E1883" s="10" t="s">
        <v>71</v>
      </c>
      <c r="F1883" s="10" t="s">
        <v>2409</v>
      </c>
      <c r="G1883" s="10" t="s">
        <v>12630</v>
      </c>
      <c r="H1883" s="10" t="s">
        <v>3019</v>
      </c>
      <c r="I1883" s="10" t="s">
        <v>55</v>
      </c>
      <c r="K1883" s="10" t="s">
        <v>14732</v>
      </c>
      <c r="L1883" s="10" t="s">
        <v>42</v>
      </c>
    </row>
    <row r="1884" ht="15.75" customHeight="1">
      <c r="A1884" s="64">
        <v>45483.0</v>
      </c>
      <c r="B1884" s="55" t="str">
        <f>HYPERLINK("https://jobright.ai/jobs/info/668fd39c5bdf80a0306d7e37?utm_campaign=1065&amp;utm_source=sheet", "Apply")</f>
        <v>Apply</v>
      </c>
      <c r="C1884" s="10" t="s">
        <v>14733</v>
      </c>
      <c r="D1884" s="56" t="s">
        <v>14734</v>
      </c>
      <c r="E1884" s="10" t="s">
        <v>249</v>
      </c>
      <c r="F1884" s="10" t="s">
        <v>7760</v>
      </c>
      <c r="G1884" s="10" t="s">
        <v>12630</v>
      </c>
      <c r="H1884" s="10" t="s">
        <v>1292</v>
      </c>
      <c r="I1884" s="10" t="s">
        <v>55</v>
      </c>
      <c r="K1884" s="10" t="s">
        <v>14735</v>
      </c>
      <c r="L1884" s="10" t="s">
        <v>42</v>
      </c>
    </row>
    <row r="1885" ht="15.75" customHeight="1">
      <c r="A1885" s="64">
        <v>45483.0</v>
      </c>
      <c r="B1885" s="55" t="str">
        <f>HYPERLINK("https://jobright.ai/jobs/info/6671ce6f3a5607a134ff343d?utm_campaign=1065&amp;utm_source=sheet", "Apply")</f>
        <v>Apply</v>
      </c>
      <c r="C1885" s="10" t="s">
        <v>14736</v>
      </c>
      <c r="D1885" s="56" t="s">
        <v>10169</v>
      </c>
      <c r="E1885" s="10" t="s">
        <v>45</v>
      </c>
      <c r="F1885" s="10" t="s">
        <v>10170</v>
      </c>
      <c r="G1885" s="10" t="s">
        <v>12635</v>
      </c>
      <c r="H1885" s="10" t="s">
        <v>571</v>
      </c>
      <c r="I1885" s="10" t="s">
        <v>55</v>
      </c>
      <c r="J1885" s="10" t="s">
        <v>1608</v>
      </c>
      <c r="K1885" s="10" t="s">
        <v>12846</v>
      </c>
      <c r="L1885" s="10" t="s">
        <v>42</v>
      </c>
    </row>
    <row r="1886" ht="15.75" customHeight="1">
      <c r="A1886" s="64">
        <v>45483.0</v>
      </c>
      <c r="B1886" s="55" t="str">
        <f>HYPERLINK("https://jobright.ai/jobs/info/6697a6c6620f4ec9da97a0c3?utm_campaign=1065&amp;utm_source=sheet", "Apply")</f>
        <v>Apply</v>
      </c>
      <c r="C1886" s="10" t="s">
        <v>13068</v>
      </c>
      <c r="D1886" s="56" t="s">
        <v>1178</v>
      </c>
      <c r="E1886" s="10" t="s">
        <v>137</v>
      </c>
      <c r="F1886" s="10" t="s">
        <v>1179</v>
      </c>
      <c r="G1886" s="10" t="s">
        <v>12654</v>
      </c>
      <c r="H1886" s="10" t="s">
        <v>153</v>
      </c>
      <c r="I1886" s="10" t="s">
        <v>55</v>
      </c>
      <c r="K1886" s="10" t="s">
        <v>14737</v>
      </c>
      <c r="L1886" s="10" t="s">
        <v>42</v>
      </c>
    </row>
    <row r="1887" ht="15.75" customHeight="1">
      <c r="A1887" s="64">
        <v>45483.0</v>
      </c>
      <c r="B1887" s="55" t="str">
        <f>HYPERLINK("https://jobright.ai/jobs/info/66269f607b2149c058535860?utm_campaign=1065&amp;utm_source=sheet", "Apply")</f>
        <v>Apply</v>
      </c>
      <c r="C1887" s="10" t="s">
        <v>14738</v>
      </c>
      <c r="D1887" s="56" t="s">
        <v>12687</v>
      </c>
      <c r="E1887" s="10" t="s">
        <v>65</v>
      </c>
      <c r="F1887" s="10" t="s">
        <v>12688</v>
      </c>
      <c r="G1887" s="10" t="s">
        <v>12654</v>
      </c>
      <c r="H1887" s="10" t="s">
        <v>1556</v>
      </c>
      <c r="I1887" s="10" t="s">
        <v>48</v>
      </c>
      <c r="K1887" s="10" t="s">
        <v>12850</v>
      </c>
      <c r="L1887" s="10" t="s">
        <v>42</v>
      </c>
    </row>
    <row r="1888" ht="15.75" customHeight="1">
      <c r="A1888" s="64">
        <v>45483.0</v>
      </c>
      <c r="B1888" s="55" t="str">
        <f>HYPERLINK("https://jobright.ai/jobs/info/6671ce6f3a5607a134ff3410?utm_campaign=1065&amp;utm_source=sheet", "Apply")</f>
        <v>Apply</v>
      </c>
      <c r="C1888" s="10" t="s">
        <v>14739</v>
      </c>
      <c r="D1888" s="56" t="s">
        <v>10169</v>
      </c>
      <c r="E1888" s="10" t="s">
        <v>45</v>
      </c>
      <c r="F1888" s="10" t="s">
        <v>10170</v>
      </c>
      <c r="G1888" s="10" t="s">
        <v>12635</v>
      </c>
      <c r="H1888" s="10" t="s">
        <v>7798</v>
      </c>
      <c r="I1888" s="10" t="s">
        <v>55</v>
      </c>
      <c r="J1888" s="10" t="s">
        <v>1608</v>
      </c>
      <c r="K1888" s="10" t="s">
        <v>12846</v>
      </c>
      <c r="L1888" s="10" t="s">
        <v>42</v>
      </c>
    </row>
    <row r="1889" ht="15.75" customHeight="1">
      <c r="A1889" s="64">
        <v>45483.0</v>
      </c>
      <c r="B1889" s="55" t="str">
        <f>HYPERLINK("https://jobright.ai/jobs/info/668e5ced2c5758b00fd0b4aa?utm_campaign=1065&amp;utm_source=sheet", "Apply")</f>
        <v>Apply</v>
      </c>
      <c r="C1889" s="10" t="s">
        <v>12965</v>
      </c>
      <c r="D1889" s="56" t="s">
        <v>1178</v>
      </c>
      <c r="E1889" s="10" t="s">
        <v>137</v>
      </c>
      <c r="F1889" s="10" t="s">
        <v>1179</v>
      </c>
      <c r="G1889" s="10" t="s">
        <v>12630</v>
      </c>
      <c r="H1889" s="10" t="s">
        <v>96</v>
      </c>
      <c r="I1889" s="10" t="s">
        <v>55</v>
      </c>
      <c r="J1889" s="10" t="s">
        <v>10306</v>
      </c>
      <c r="K1889" s="10" t="s">
        <v>14740</v>
      </c>
      <c r="L1889" s="10" t="s">
        <v>42</v>
      </c>
    </row>
    <row r="1890" ht="15.75" customHeight="1">
      <c r="A1890" s="64">
        <v>45483.0</v>
      </c>
      <c r="B1890" s="55" t="str">
        <f>HYPERLINK("https://jobright.ai/jobs/info/668ece2a8ce0244c48c55f8d?utm_campaign=1065&amp;utm_source=sheet", "Apply")</f>
        <v>Apply</v>
      </c>
      <c r="C1890" s="10" t="s">
        <v>14741</v>
      </c>
      <c r="D1890" s="56" t="s">
        <v>13273</v>
      </c>
      <c r="E1890" s="10" t="s">
        <v>45</v>
      </c>
      <c r="F1890" s="10" t="s">
        <v>13274</v>
      </c>
      <c r="G1890" s="10" t="s">
        <v>12654</v>
      </c>
      <c r="H1890" s="10" t="s">
        <v>14742</v>
      </c>
      <c r="I1890" s="10" t="s">
        <v>55</v>
      </c>
      <c r="K1890" s="10" t="s">
        <v>14743</v>
      </c>
      <c r="L1890" s="10" t="s">
        <v>42</v>
      </c>
    </row>
    <row r="1891" ht="15.75" customHeight="1">
      <c r="A1891" s="64">
        <v>45483.0</v>
      </c>
      <c r="B1891" s="55" t="str">
        <f>HYPERLINK("https://jobright.ai/jobs/info/668f424fe74ffdb5b6262125?utm_campaign=1065&amp;utm_source=sheet", "Apply")</f>
        <v>Apply</v>
      </c>
      <c r="C1891" s="10" t="s">
        <v>14744</v>
      </c>
      <c r="D1891" s="56" t="s">
        <v>13290</v>
      </c>
      <c r="E1891" s="10" t="s">
        <v>65</v>
      </c>
      <c r="F1891" s="10" t="s">
        <v>13291</v>
      </c>
      <c r="G1891" s="10" t="s">
        <v>12654</v>
      </c>
      <c r="H1891" s="10" t="s">
        <v>994</v>
      </c>
      <c r="I1891" s="10" t="s">
        <v>55</v>
      </c>
      <c r="J1891" s="10" t="s">
        <v>2609</v>
      </c>
      <c r="K1891" s="10" t="s">
        <v>14745</v>
      </c>
      <c r="L1891" s="10" t="s">
        <v>42</v>
      </c>
    </row>
    <row r="1892" ht="15.75" customHeight="1">
      <c r="A1892" s="64">
        <v>45482.0</v>
      </c>
      <c r="B1892" s="55" t="str">
        <f>HYPERLINK("https://jobright.ai/jobs/info/668e8a0006f3000f3f211d06?utm_campaign=1065&amp;utm_source=sheet", "Apply")</f>
        <v>Apply</v>
      </c>
      <c r="C1892" s="10" t="s">
        <v>12938</v>
      </c>
      <c r="D1892" s="56" t="s">
        <v>14746</v>
      </c>
      <c r="E1892" s="10" t="s">
        <v>137</v>
      </c>
      <c r="F1892" s="10" t="s">
        <v>14747</v>
      </c>
      <c r="G1892" s="10" t="s">
        <v>12630</v>
      </c>
      <c r="H1892" s="10" t="s">
        <v>760</v>
      </c>
      <c r="I1892" s="10" t="s">
        <v>55</v>
      </c>
      <c r="J1892" s="10" t="s">
        <v>1409</v>
      </c>
      <c r="K1892" s="10" t="s">
        <v>14748</v>
      </c>
      <c r="L1892" s="10" t="s">
        <v>42</v>
      </c>
    </row>
    <row r="1893" ht="15.75" customHeight="1">
      <c r="A1893" s="64">
        <v>45482.0</v>
      </c>
      <c r="B1893" s="55" t="str">
        <f>HYPERLINK("https://jobright.ai/jobs/info/668deb966da13c2496823e85?utm_campaign=1065&amp;utm_source=sheet", "Apply")</f>
        <v>Apply</v>
      </c>
      <c r="C1893" s="10" t="s">
        <v>14562</v>
      </c>
      <c r="D1893" s="56" t="s">
        <v>567</v>
      </c>
      <c r="E1893" s="10" t="s">
        <v>65</v>
      </c>
      <c r="F1893" s="10" t="s">
        <v>568</v>
      </c>
      <c r="G1893" s="10" t="s">
        <v>12630</v>
      </c>
      <c r="H1893" s="10" t="s">
        <v>159</v>
      </c>
      <c r="I1893" s="10" t="s">
        <v>55</v>
      </c>
      <c r="K1893" s="10" t="s">
        <v>14564</v>
      </c>
      <c r="L1893" s="10" t="s">
        <v>42</v>
      </c>
    </row>
    <row r="1894" ht="15.75" customHeight="1">
      <c r="A1894" s="64">
        <v>45482.0</v>
      </c>
      <c r="B1894" s="55" t="str">
        <f>HYPERLINK("https://jobright.ai/jobs/info/668e8a2006f3000f3f211efd?utm_campaign=1065&amp;utm_source=sheet", "Apply")</f>
        <v>Apply</v>
      </c>
      <c r="C1894" s="10" t="s">
        <v>14749</v>
      </c>
      <c r="D1894" s="56" t="s">
        <v>13006</v>
      </c>
      <c r="E1894" s="10" t="s">
        <v>79</v>
      </c>
      <c r="F1894" s="10" t="s">
        <v>13007</v>
      </c>
      <c r="G1894" s="10" t="s">
        <v>12645</v>
      </c>
      <c r="H1894" s="10" t="s">
        <v>877</v>
      </c>
      <c r="I1894" s="10" t="s">
        <v>55</v>
      </c>
      <c r="J1894" s="10" t="s">
        <v>13766</v>
      </c>
      <c r="K1894" s="10" t="s">
        <v>13742</v>
      </c>
      <c r="L1894" s="10" t="s">
        <v>42</v>
      </c>
    </row>
    <row r="1895" ht="15.75" customHeight="1">
      <c r="A1895" s="64">
        <v>45482.0</v>
      </c>
      <c r="B1895" s="55" t="str">
        <f>HYPERLINK("https://jobright.ai/jobs/info/668e8aa606f3000f3f212a1a?utm_campaign=1065&amp;utm_source=sheet", "Apply")</f>
        <v>Apply</v>
      </c>
      <c r="C1895" s="10" t="s">
        <v>14749</v>
      </c>
      <c r="D1895" s="56" t="s">
        <v>13006</v>
      </c>
      <c r="E1895" s="10" t="s">
        <v>79</v>
      </c>
      <c r="F1895" s="10" t="s">
        <v>13007</v>
      </c>
      <c r="G1895" s="10" t="s">
        <v>12645</v>
      </c>
      <c r="H1895" s="10" t="s">
        <v>113</v>
      </c>
      <c r="I1895" s="10" t="s">
        <v>55</v>
      </c>
      <c r="J1895" s="10" t="s">
        <v>13766</v>
      </c>
      <c r="K1895" s="10" t="s">
        <v>13742</v>
      </c>
      <c r="L1895" s="10" t="s">
        <v>42</v>
      </c>
    </row>
    <row r="1896" ht="15.75" customHeight="1">
      <c r="A1896" s="64">
        <v>45482.0</v>
      </c>
      <c r="B1896" s="55" t="str">
        <f>HYPERLINK("https://jobright.ai/jobs/info/668df8e17ad721a70cf40522?utm_campaign=1065&amp;utm_source=sheet", "Apply")</f>
        <v>Apply</v>
      </c>
      <c r="C1896" s="10" t="s">
        <v>14750</v>
      </c>
      <c r="D1896" s="56" t="s">
        <v>14751</v>
      </c>
      <c r="E1896" s="10" t="s">
        <v>65</v>
      </c>
      <c r="F1896" s="10" t="s">
        <v>1512</v>
      </c>
      <c r="G1896" s="10" t="s">
        <v>12635</v>
      </c>
      <c r="H1896" s="10" t="s">
        <v>14752</v>
      </c>
      <c r="I1896" s="10" t="s">
        <v>55</v>
      </c>
      <c r="J1896" s="10" t="s">
        <v>1761</v>
      </c>
      <c r="K1896" s="10" t="s">
        <v>14753</v>
      </c>
      <c r="L1896" s="10" t="s">
        <v>42</v>
      </c>
    </row>
    <row r="1897" ht="15.75" customHeight="1">
      <c r="A1897" s="64">
        <v>45482.0</v>
      </c>
      <c r="B1897" s="55" t="str">
        <f>HYPERLINK("https://jobright.ai/jobs/info/668e76b57001c300f1fbb257?utm_campaign=1065&amp;utm_source=sheet", "Apply")</f>
        <v>Apply</v>
      </c>
      <c r="C1897" s="10" t="s">
        <v>14754</v>
      </c>
      <c r="D1897" s="56" t="s">
        <v>14755</v>
      </c>
      <c r="E1897" s="10" t="s">
        <v>137</v>
      </c>
      <c r="F1897" s="10" t="s">
        <v>14756</v>
      </c>
      <c r="G1897" s="10" t="s">
        <v>12630</v>
      </c>
      <c r="H1897" s="10" t="s">
        <v>962</v>
      </c>
      <c r="I1897" s="10" t="s">
        <v>55</v>
      </c>
      <c r="K1897" s="10" t="s">
        <v>14757</v>
      </c>
      <c r="L1897" s="10" t="s">
        <v>42</v>
      </c>
    </row>
    <row r="1898" ht="15.75" customHeight="1">
      <c r="A1898" s="64">
        <v>45482.0</v>
      </c>
      <c r="B1898" s="55" t="str">
        <f>HYPERLINK("https://jobright.ai/jobs/info/668da14e5c4e3c8d6a5ece38?utm_campaign=1065&amp;utm_source=sheet", "Apply")</f>
        <v>Apply</v>
      </c>
      <c r="C1898" s="10" t="s">
        <v>14758</v>
      </c>
      <c r="D1898" s="56" t="s">
        <v>14759</v>
      </c>
      <c r="E1898" s="10" t="s">
        <v>65</v>
      </c>
      <c r="F1898" s="10" t="s">
        <v>9573</v>
      </c>
      <c r="G1898" s="10" t="s">
        <v>12654</v>
      </c>
      <c r="H1898" s="10" t="s">
        <v>96</v>
      </c>
      <c r="I1898" s="10" t="s">
        <v>55</v>
      </c>
      <c r="K1898" s="10" t="s">
        <v>14760</v>
      </c>
      <c r="L1898" s="10" t="s">
        <v>42</v>
      </c>
    </row>
    <row r="1899" ht="15.75" customHeight="1">
      <c r="A1899" s="64">
        <v>45482.0</v>
      </c>
      <c r="B1899" s="55" t="str">
        <f>HYPERLINK("https://jobright.ai/jobs/info/668d97ff274a895265383a33?utm_campaign=1065&amp;utm_source=sheet", "Apply")</f>
        <v>Apply</v>
      </c>
      <c r="C1899" s="10" t="s">
        <v>14761</v>
      </c>
      <c r="D1899" s="56" t="s">
        <v>14762</v>
      </c>
      <c r="E1899" s="10" t="s">
        <v>276</v>
      </c>
      <c r="F1899" s="10" t="s">
        <v>14763</v>
      </c>
      <c r="G1899" s="10" t="s">
        <v>12630</v>
      </c>
      <c r="H1899" s="10" t="s">
        <v>610</v>
      </c>
      <c r="I1899" s="10" t="s">
        <v>55</v>
      </c>
      <c r="J1899" s="10" t="s">
        <v>1409</v>
      </c>
      <c r="K1899" s="10" t="s">
        <v>14764</v>
      </c>
      <c r="L1899" s="10" t="s">
        <v>42</v>
      </c>
    </row>
    <row r="1900" ht="15.75" customHeight="1">
      <c r="A1900" s="64">
        <v>45482.0</v>
      </c>
      <c r="B1900" s="55" t="str">
        <f>HYPERLINK("https://jobright.ai/jobs/info/668da1565c4e3c8d6a5ecef4?utm_campaign=1065&amp;utm_source=sheet", "Apply")</f>
        <v>Apply</v>
      </c>
      <c r="C1900" s="10" t="s">
        <v>12965</v>
      </c>
      <c r="D1900" s="56" t="s">
        <v>14765</v>
      </c>
      <c r="E1900" s="10" t="s">
        <v>65</v>
      </c>
      <c r="F1900" s="10" t="s">
        <v>10385</v>
      </c>
      <c r="G1900" s="10" t="s">
        <v>12630</v>
      </c>
      <c r="H1900" s="10" t="s">
        <v>96</v>
      </c>
      <c r="I1900" s="10" t="s">
        <v>48</v>
      </c>
      <c r="J1900" s="10" t="s">
        <v>10306</v>
      </c>
      <c r="K1900" s="10" t="s">
        <v>14766</v>
      </c>
      <c r="L1900" s="10" t="s">
        <v>42</v>
      </c>
    </row>
    <row r="1901" ht="15.75" customHeight="1">
      <c r="A1901" s="64">
        <v>45482.0</v>
      </c>
      <c r="B1901" s="55" t="str">
        <f>HYPERLINK("https://jobright.ai/jobs/info/668d97ff274a895265383a45?utm_campaign=1065&amp;utm_source=sheet", "Apply")</f>
        <v>Apply</v>
      </c>
      <c r="C1901" s="10" t="s">
        <v>12965</v>
      </c>
      <c r="D1901" s="56" t="s">
        <v>14767</v>
      </c>
      <c r="E1901" s="10" t="s">
        <v>79</v>
      </c>
      <c r="F1901" s="10" t="s">
        <v>14768</v>
      </c>
      <c r="G1901" s="10" t="s">
        <v>12630</v>
      </c>
      <c r="H1901" s="10" t="s">
        <v>6014</v>
      </c>
      <c r="I1901" s="10" t="s">
        <v>48</v>
      </c>
      <c r="J1901" s="10" t="s">
        <v>1409</v>
      </c>
      <c r="K1901" s="10" t="s">
        <v>14769</v>
      </c>
      <c r="L1901" s="10" t="s">
        <v>42</v>
      </c>
    </row>
    <row r="1902" ht="15.75" customHeight="1">
      <c r="A1902" s="64">
        <v>45482.0</v>
      </c>
      <c r="B1902" s="55" t="str">
        <f>HYPERLINK("https://jobright.ai/jobs/info/668d7d292949d64d8e447bcc?utm_campaign=1065&amp;utm_source=sheet", "Apply")</f>
        <v>Apply</v>
      </c>
      <c r="C1902" s="10" t="s">
        <v>14770</v>
      </c>
      <c r="D1902" s="56" t="s">
        <v>14771</v>
      </c>
      <c r="E1902" s="10" t="s">
        <v>45</v>
      </c>
      <c r="F1902" s="10" t="s">
        <v>14772</v>
      </c>
      <c r="G1902" s="10" t="s">
        <v>12630</v>
      </c>
      <c r="H1902" s="10" t="s">
        <v>251</v>
      </c>
      <c r="I1902" s="10" t="s">
        <v>252</v>
      </c>
      <c r="J1902" s="10" t="s">
        <v>14773</v>
      </c>
      <c r="K1902" s="10" t="s">
        <v>14774</v>
      </c>
      <c r="L1902" s="10" t="s">
        <v>42</v>
      </c>
    </row>
    <row r="1903" ht="15.75" customHeight="1">
      <c r="A1903" s="64">
        <v>45482.0</v>
      </c>
      <c r="B1903" s="55" t="str">
        <f>HYPERLINK("https://jobright.ai/jobs/info/668d8df06abc78b21c1dc936?utm_campaign=1065&amp;utm_source=sheet", "Apply")</f>
        <v>Apply</v>
      </c>
      <c r="C1903" s="10" t="s">
        <v>14775</v>
      </c>
      <c r="D1903" s="56" t="s">
        <v>14776</v>
      </c>
      <c r="E1903" s="59"/>
      <c r="F1903" s="10" t="s">
        <v>14777</v>
      </c>
      <c r="G1903" s="10" t="s">
        <v>12654</v>
      </c>
      <c r="H1903" s="10" t="s">
        <v>965</v>
      </c>
      <c r="I1903" s="10" t="s">
        <v>55</v>
      </c>
      <c r="K1903" s="10" t="s">
        <v>14778</v>
      </c>
      <c r="L1903" s="10" t="s">
        <v>42</v>
      </c>
    </row>
    <row r="1904" ht="15.75" customHeight="1">
      <c r="A1904" s="64">
        <v>45482.0</v>
      </c>
      <c r="B1904" s="55" t="str">
        <f>HYPERLINK("https://jobright.ai/jobs/info/667cbc586c03d6aa6d804c9b?utm_campaign=1065&amp;utm_source=sheet", "Apply")</f>
        <v>Apply</v>
      </c>
      <c r="C1904" s="10" t="s">
        <v>14779</v>
      </c>
      <c r="D1904" s="56" t="s">
        <v>14780</v>
      </c>
      <c r="E1904" s="10" t="s">
        <v>45</v>
      </c>
      <c r="F1904" s="10" t="s">
        <v>14781</v>
      </c>
      <c r="G1904" s="10" t="s">
        <v>12654</v>
      </c>
      <c r="H1904" s="10" t="s">
        <v>113</v>
      </c>
      <c r="I1904" s="10" t="s">
        <v>55</v>
      </c>
      <c r="K1904" s="10" t="s">
        <v>14782</v>
      </c>
      <c r="L1904" s="10" t="s">
        <v>42</v>
      </c>
    </row>
    <row r="1905" ht="15.75" customHeight="1">
      <c r="A1905" s="64">
        <v>45482.0</v>
      </c>
      <c r="B1905" s="55" t="str">
        <f>HYPERLINK("https://jobright.ai/jobs/info/668d785cd5c4383256bc14cd?utm_campaign=1065&amp;utm_source=sheet", "Apply")</f>
        <v>Apply</v>
      </c>
      <c r="C1905" s="10" t="s">
        <v>14783</v>
      </c>
      <c r="D1905" s="56" t="s">
        <v>14784</v>
      </c>
      <c r="E1905" s="10" t="s">
        <v>45</v>
      </c>
      <c r="F1905" s="10" t="s">
        <v>14785</v>
      </c>
      <c r="G1905" s="10" t="s">
        <v>12654</v>
      </c>
      <c r="H1905" s="10" t="s">
        <v>578</v>
      </c>
      <c r="I1905" s="10" t="s">
        <v>55</v>
      </c>
      <c r="J1905" s="10" t="s">
        <v>1797</v>
      </c>
      <c r="K1905" s="10" t="s">
        <v>14786</v>
      </c>
      <c r="L1905" s="10" t="s">
        <v>42</v>
      </c>
    </row>
    <row r="1906" ht="15.75" customHeight="1">
      <c r="A1906" s="64">
        <v>45482.0</v>
      </c>
      <c r="B1906" s="55" t="str">
        <f>HYPERLINK("https://jobright.ai/jobs/info/668d7880d5c4383256bc17e8?utm_campaign=1065&amp;utm_source=sheet", "Apply")</f>
        <v>Apply</v>
      </c>
      <c r="C1906" s="10" t="s">
        <v>14787</v>
      </c>
      <c r="D1906" s="56" t="s">
        <v>14788</v>
      </c>
      <c r="E1906" s="59">
        <v>45301.0</v>
      </c>
      <c r="F1906" s="10" t="s">
        <v>3180</v>
      </c>
      <c r="G1906" s="10" t="s">
        <v>12635</v>
      </c>
      <c r="H1906" s="10" t="s">
        <v>169</v>
      </c>
      <c r="I1906" s="10" t="s">
        <v>55</v>
      </c>
      <c r="K1906" s="10" t="s">
        <v>14789</v>
      </c>
      <c r="L1906" s="10" t="s">
        <v>42</v>
      </c>
    </row>
    <row r="1907" ht="15.75" customHeight="1">
      <c r="A1907" s="64">
        <v>45482.0</v>
      </c>
      <c r="B1907" s="55" t="str">
        <f>HYPERLINK("https://jobright.ai/jobs/info/668ebbb6f8776ede103d12bd?utm_campaign=1065&amp;utm_source=sheet", "Apply")</f>
        <v>Apply</v>
      </c>
      <c r="C1907" s="10" t="s">
        <v>14790</v>
      </c>
      <c r="D1907" s="56" t="s">
        <v>7075</v>
      </c>
      <c r="E1907" s="10" t="s">
        <v>45</v>
      </c>
      <c r="F1907" s="10" t="s">
        <v>7076</v>
      </c>
      <c r="G1907" s="10" t="s">
        <v>12630</v>
      </c>
      <c r="H1907" s="10" t="s">
        <v>153</v>
      </c>
      <c r="I1907" s="10" t="s">
        <v>55</v>
      </c>
      <c r="J1907" s="10" t="s">
        <v>12701</v>
      </c>
      <c r="K1907" s="10" t="s">
        <v>14791</v>
      </c>
      <c r="L1907" s="10" t="s">
        <v>42</v>
      </c>
    </row>
    <row r="1908" ht="15.75" customHeight="1">
      <c r="A1908" s="64">
        <v>45482.0</v>
      </c>
      <c r="B1908" s="55" t="str">
        <f>HYPERLINK("https://jobright.ai/jobs/info/668ebbbff8776ede103d1363?utm_campaign=1065&amp;utm_source=sheet", "Apply")</f>
        <v>Apply</v>
      </c>
      <c r="C1908" s="10" t="s">
        <v>13338</v>
      </c>
      <c r="D1908" s="56" t="s">
        <v>7075</v>
      </c>
      <c r="E1908" s="10" t="s">
        <v>45</v>
      </c>
      <c r="F1908" s="10" t="s">
        <v>7076</v>
      </c>
      <c r="G1908" s="10" t="s">
        <v>12654</v>
      </c>
      <c r="H1908" s="10" t="s">
        <v>14792</v>
      </c>
      <c r="I1908" s="10" t="s">
        <v>55</v>
      </c>
      <c r="K1908" s="10" t="s">
        <v>14793</v>
      </c>
      <c r="L1908" s="10" t="s">
        <v>42</v>
      </c>
    </row>
    <row r="1909" ht="15.75" customHeight="1">
      <c r="A1909" s="64">
        <v>45482.0</v>
      </c>
      <c r="B1909" s="55" t="str">
        <f>HYPERLINK("https://jobright.ai/jobs/info/668d8df06abc78b21c1dc9ce?utm_campaign=1065&amp;utm_source=sheet", "Apply")</f>
        <v>Apply</v>
      </c>
      <c r="C1909" s="10" t="s">
        <v>14794</v>
      </c>
      <c r="D1909" s="56" t="s">
        <v>4152</v>
      </c>
      <c r="E1909" s="10" t="s">
        <v>249</v>
      </c>
      <c r="F1909" s="10" t="s">
        <v>1587</v>
      </c>
      <c r="G1909" s="10" t="s">
        <v>12630</v>
      </c>
      <c r="H1909" s="10" t="s">
        <v>914</v>
      </c>
      <c r="I1909" s="10" t="s">
        <v>55</v>
      </c>
      <c r="K1909" s="10" t="s">
        <v>14795</v>
      </c>
      <c r="L1909" s="10" t="s">
        <v>42</v>
      </c>
    </row>
    <row r="1910" ht="15.75" customHeight="1">
      <c r="A1910" s="64">
        <v>45482.0</v>
      </c>
      <c r="B1910" s="55" t="str">
        <f>HYPERLINK("https://jobright.ai/jobs/info/668d73801b3deecce708940c?utm_campaign=1065&amp;utm_source=sheet", "Apply")</f>
        <v>Apply</v>
      </c>
      <c r="C1910" s="10" t="s">
        <v>12965</v>
      </c>
      <c r="D1910" s="56" t="s">
        <v>14796</v>
      </c>
      <c r="E1910" s="10" t="s">
        <v>276</v>
      </c>
      <c r="F1910" s="10" t="s">
        <v>5497</v>
      </c>
      <c r="G1910" s="10" t="s">
        <v>12630</v>
      </c>
      <c r="H1910" s="10" t="s">
        <v>1048</v>
      </c>
      <c r="I1910" s="10" t="s">
        <v>55</v>
      </c>
      <c r="K1910" s="10" t="s">
        <v>14797</v>
      </c>
      <c r="L1910" s="10" t="s">
        <v>42</v>
      </c>
    </row>
    <row r="1911" ht="15.75" customHeight="1">
      <c r="A1911" s="64">
        <v>45482.0</v>
      </c>
      <c r="B1911" s="55" t="str">
        <f>HYPERLINK("https://jobright.ai/jobs/info/66966ff9c042ef592bddc4af?utm_campaign=1065&amp;utm_source=sheet", "Apply")</f>
        <v>Apply</v>
      </c>
      <c r="C1911" s="10" t="s">
        <v>14798</v>
      </c>
      <c r="D1911" s="56" t="s">
        <v>1178</v>
      </c>
      <c r="E1911" s="10" t="s">
        <v>137</v>
      </c>
      <c r="F1911" s="10" t="s">
        <v>1179</v>
      </c>
      <c r="G1911" s="10" t="s">
        <v>12630</v>
      </c>
      <c r="H1911" s="10" t="s">
        <v>1254</v>
      </c>
      <c r="I1911" s="10" t="s">
        <v>55</v>
      </c>
      <c r="J1911" s="10" t="s">
        <v>366</v>
      </c>
      <c r="K1911" s="10" t="s">
        <v>14799</v>
      </c>
      <c r="L1911" s="10" t="s">
        <v>42</v>
      </c>
    </row>
    <row r="1912" ht="15.75" customHeight="1">
      <c r="A1912" s="64">
        <v>45482.0</v>
      </c>
      <c r="B1912" s="55" t="str">
        <f>HYPERLINK("https://jobright.ai/jobs/info/65da544636f38e2b2b338050?utm_campaign=1065&amp;utm_source=sheet", "Apply")</f>
        <v>Apply</v>
      </c>
      <c r="C1912" s="10" t="s">
        <v>14800</v>
      </c>
      <c r="D1912" s="56" t="s">
        <v>1064</v>
      </c>
      <c r="E1912" s="10" t="s">
        <v>65</v>
      </c>
      <c r="F1912" s="10" t="s">
        <v>1065</v>
      </c>
      <c r="G1912" s="10" t="s">
        <v>12635</v>
      </c>
      <c r="H1912" s="10" t="s">
        <v>952</v>
      </c>
      <c r="I1912" s="10" t="s">
        <v>55</v>
      </c>
      <c r="K1912" s="10" t="s">
        <v>14801</v>
      </c>
      <c r="L1912" s="10" t="s">
        <v>42</v>
      </c>
    </row>
    <row r="1913" ht="15.75" customHeight="1">
      <c r="A1913" s="64">
        <v>45482.0</v>
      </c>
      <c r="B1913" s="55" t="str">
        <f>HYPERLINK("https://jobright.ai/jobs/info/668fd2bb356b641823e30a52?utm_campaign=1065&amp;utm_source=sheet", "Apply")</f>
        <v>Apply</v>
      </c>
      <c r="C1913" s="10" t="s">
        <v>14802</v>
      </c>
      <c r="D1913" s="56" t="s">
        <v>13273</v>
      </c>
      <c r="E1913" s="10" t="s">
        <v>45</v>
      </c>
      <c r="F1913" s="10" t="s">
        <v>13274</v>
      </c>
      <c r="G1913" s="10" t="s">
        <v>12654</v>
      </c>
      <c r="H1913" s="10" t="s">
        <v>14803</v>
      </c>
      <c r="I1913" s="10" t="s">
        <v>55</v>
      </c>
      <c r="K1913" s="10" t="s">
        <v>14804</v>
      </c>
      <c r="L1913" s="10" t="s">
        <v>42</v>
      </c>
    </row>
    <row r="1914" ht="15.75" customHeight="1">
      <c r="A1914" s="64">
        <v>45482.0</v>
      </c>
      <c r="B1914" s="55" t="str">
        <f>HYPERLINK("https://jobright.ai/jobs/info/668fd2bb356b641823e30a0d?utm_campaign=1065&amp;utm_source=sheet", "Apply")</f>
        <v>Apply</v>
      </c>
      <c r="C1914" s="10" t="s">
        <v>14741</v>
      </c>
      <c r="D1914" s="56" t="s">
        <v>13273</v>
      </c>
      <c r="E1914" s="10" t="s">
        <v>45</v>
      </c>
      <c r="F1914" s="10" t="s">
        <v>13274</v>
      </c>
      <c r="G1914" s="10" t="s">
        <v>12654</v>
      </c>
      <c r="H1914" s="10" t="s">
        <v>14742</v>
      </c>
      <c r="I1914" s="10" t="s">
        <v>55</v>
      </c>
      <c r="K1914" s="10" t="s">
        <v>14805</v>
      </c>
      <c r="L1914" s="10" t="s">
        <v>42</v>
      </c>
    </row>
    <row r="1915" ht="15.75" customHeight="1">
      <c r="A1915" s="64">
        <v>45482.0</v>
      </c>
      <c r="B1915" s="55" t="str">
        <f>HYPERLINK("https://jobright.ai/jobs/info/667072714bfbdf14493499b0?utm_campaign=1065&amp;utm_source=sheet", "Apply")</f>
        <v>Apply</v>
      </c>
      <c r="C1915" s="10" t="s">
        <v>14806</v>
      </c>
      <c r="D1915" s="56" t="s">
        <v>5469</v>
      </c>
      <c r="E1915" s="10" t="s">
        <v>71</v>
      </c>
      <c r="F1915" s="10" t="s">
        <v>5470</v>
      </c>
      <c r="G1915" s="10" t="s">
        <v>12654</v>
      </c>
      <c r="H1915" s="10" t="s">
        <v>14807</v>
      </c>
      <c r="I1915" s="10" t="s">
        <v>48</v>
      </c>
      <c r="K1915" s="10" t="s">
        <v>14808</v>
      </c>
      <c r="L1915" s="10" t="s">
        <v>42</v>
      </c>
    </row>
    <row r="1916" ht="15.75" customHeight="1">
      <c r="A1916" s="64">
        <v>45482.0</v>
      </c>
      <c r="B1916" s="55" t="str">
        <f>HYPERLINK("https://jobright.ai/jobs/info/6677b2bed57a2b58a480d008?utm_campaign=1065&amp;utm_source=sheet", "Apply")</f>
        <v>Apply</v>
      </c>
      <c r="C1916" s="10" t="s">
        <v>14809</v>
      </c>
      <c r="D1916" s="56" t="s">
        <v>1883</v>
      </c>
      <c r="E1916" s="10" t="s">
        <v>209</v>
      </c>
      <c r="F1916" s="10" t="s">
        <v>1884</v>
      </c>
      <c r="G1916" s="10" t="s">
        <v>12654</v>
      </c>
      <c r="H1916" s="10" t="s">
        <v>1007</v>
      </c>
      <c r="I1916" s="10" t="s">
        <v>48</v>
      </c>
      <c r="J1916" s="10" t="s">
        <v>1984</v>
      </c>
      <c r="K1916" s="10" t="s">
        <v>14810</v>
      </c>
      <c r="L1916" s="10" t="s">
        <v>42</v>
      </c>
    </row>
    <row r="1917" ht="15.75" customHeight="1">
      <c r="A1917" s="64">
        <v>45482.0</v>
      </c>
      <c r="B1917" s="55" t="str">
        <f>HYPERLINK("https://jobright.ai/jobs/info/6675c8df3b408d33d5602e9c?utm_campaign=1065&amp;utm_source=sheet", "Apply")</f>
        <v>Apply</v>
      </c>
      <c r="C1917" s="10" t="s">
        <v>14811</v>
      </c>
      <c r="D1917" s="56" t="s">
        <v>14812</v>
      </c>
      <c r="E1917" s="10" t="s">
        <v>45</v>
      </c>
      <c r="F1917" s="10" t="s">
        <v>14813</v>
      </c>
      <c r="G1917" s="10" t="s">
        <v>12693</v>
      </c>
      <c r="H1917" s="10" t="s">
        <v>4001</v>
      </c>
      <c r="I1917" s="10" t="s">
        <v>55</v>
      </c>
      <c r="K1917" s="10" t="s">
        <v>14814</v>
      </c>
      <c r="L1917" s="10" t="s">
        <v>42</v>
      </c>
    </row>
    <row r="1918" ht="15.75" customHeight="1">
      <c r="A1918" s="64">
        <v>45482.0</v>
      </c>
      <c r="B1918" s="55" t="str">
        <f>HYPERLINK("https://jobright.ai/jobs/info/668d12925e604b50b8d78841?utm_campaign=1065&amp;utm_source=sheet", "Apply")</f>
        <v>Apply</v>
      </c>
      <c r="C1918" s="10" t="s">
        <v>14815</v>
      </c>
      <c r="D1918" s="56" t="s">
        <v>14816</v>
      </c>
      <c r="E1918" s="10" t="s">
        <v>65</v>
      </c>
      <c r="F1918" s="10" t="s">
        <v>14817</v>
      </c>
      <c r="G1918" s="10" t="s">
        <v>12630</v>
      </c>
      <c r="H1918" s="10" t="s">
        <v>229</v>
      </c>
      <c r="I1918" s="10" t="s">
        <v>55</v>
      </c>
      <c r="K1918" s="10" t="s">
        <v>14818</v>
      </c>
      <c r="L1918" s="10" t="s">
        <v>42</v>
      </c>
    </row>
    <row r="1919" ht="15.75" customHeight="1">
      <c r="A1919" s="64">
        <v>45482.0</v>
      </c>
      <c r="B1919" s="55" t="str">
        <f>HYPERLINK("https://jobright.ai/jobs/info/66327b03f20ca69f599603c3?utm_campaign=1065&amp;utm_source=sheet", "Apply")</f>
        <v>Apply</v>
      </c>
      <c r="C1919" s="10" t="s">
        <v>14819</v>
      </c>
      <c r="D1919" s="56" t="s">
        <v>12687</v>
      </c>
      <c r="E1919" s="10" t="s">
        <v>65</v>
      </c>
      <c r="F1919" s="10" t="s">
        <v>12688</v>
      </c>
      <c r="G1919" s="10" t="s">
        <v>12654</v>
      </c>
      <c r="H1919" s="10" t="s">
        <v>1556</v>
      </c>
      <c r="I1919" s="10" t="s">
        <v>48</v>
      </c>
      <c r="K1919" s="10" t="s">
        <v>12850</v>
      </c>
      <c r="L1919" s="10" t="s">
        <v>42</v>
      </c>
    </row>
    <row r="1920" ht="15.75" customHeight="1">
      <c r="A1920" s="64">
        <v>45482.0</v>
      </c>
      <c r="B1920" s="55" t="str">
        <f>HYPERLINK("https://jobright.ai/jobs/info/668e4892e68520683d47e242?utm_campaign=1065&amp;utm_source=sheet", "Apply")</f>
        <v>Apply</v>
      </c>
      <c r="C1920" s="10" t="s">
        <v>14820</v>
      </c>
      <c r="D1920" s="56" t="s">
        <v>14821</v>
      </c>
      <c r="E1920" s="10" t="s">
        <v>137</v>
      </c>
      <c r="F1920" s="10" t="s">
        <v>627</v>
      </c>
      <c r="G1920" s="10" t="s">
        <v>12630</v>
      </c>
      <c r="H1920" s="10" t="s">
        <v>434</v>
      </c>
      <c r="I1920" s="10" t="s">
        <v>55</v>
      </c>
      <c r="K1920" s="10" t="s">
        <v>14822</v>
      </c>
      <c r="L1920" s="10" t="s">
        <v>42</v>
      </c>
    </row>
    <row r="1921" ht="15.75" customHeight="1">
      <c r="A1921" s="64">
        <v>45482.0</v>
      </c>
      <c r="B1921" s="55" t="str">
        <f>HYPERLINK("https://jobright.ai/jobs/info/668ce077dd30cc550de032b8?utm_campaign=1065&amp;utm_source=sheet", "Apply")</f>
        <v>Apply</v>
      </c>
      <c r="C1921" s="10" t="s">
        <v>14823</v>
      </c>
      <c r="D1921" s="56" t="s">
        <v>14824</v>
      </c>
      <c r="E1921" s="10">
        <v>5.0</v>
      </c>
      <c r="G1921" s="10" t="s">
        <v>12654</v>
      </c>
      <c r="H1921" s="10" t="s">
        <v>165</v>
      </c>
      <c r="I1921" s="10" t="s">
        <v>55</v>
      </c>
      <c r="K1921" s="10" t="s">
        <v>14825</v>
      </c>
      <c r="L1921" s="10" t="s">
        <v>42</v>
      </c>
    </row>
    <row r="1922" ht="15.75" customHeight="1">
      <c r="A1922" s="64">
        <v>45482.0</v>
      </c>
      <c r="B1922" s="55" t="str">
        <f>HYPERLINK("https://jobright.ai/jobs/info/668cca6114f0a5d72850df3c?utm_campaign=1065&amp;utm_source=sheet", "Apply")</f>
        <v>Apply</v>
      </c>
      <c r="C1922" s="10" t="s">
        <v>12650</v>
      </c>
      <c r="D1922" s="56" t="s">
        <v>14826</v>
      </c>
      <c r="E1922" s="59">
        <v>45301.0</v>
      </c>
      <c r="F1922" s="10" t="s">
        <v>13247</v>
      </c>
      <c r="G1922" s="10" t="s">
        <v>12635</v>
      </c>
      <c r="H1922" s="10" t="s">
        <v>251</v>
      </c>
      <c r="I1922" s="10" t="s">
        <v>252</v>
      </c>
      <c r="K1922" s="10" t="s">
        <v>14827</v>
      </c>
      <c r="L1922" s="10" t="s">
        <v>42</v>
      </c>
    </row>
    <row r="1923" ht="15.75" customHeight="1">
      <c r="A1923" s="64">
        <v>45482.0</v>
      </c>
      <c r="B1923" s="55" t="str">
        <f>HYPERLINK("https://jobright.ai/jobs/info/668cce682c3a4daee99ff088?utm_campaign=1065&amp;utm_source=sheet", "Apply")</f>
        <v>Apply</v>
      </c>
      <c r="C1923" s="10" t="s">
        <v>12877</v>
      </c>
      <c r="D1923" s="56" t="s">
        <v>12878</v>
      </c>
      <c r="E1923" s="10" t="s">
        <v>209</v>
      </c>
      <c r="F1923" s="10" t="s">
        <v>9496</v>
      </c>
      <c r="G1923" s="10" t="s">
        <v>12635</v>
      </c>
      <c r="H1923" s="10" t="s">
        <v>14828</v>
      </c>
      <c r="I1923" s="10" t="s">
        <v>55</v>
      </c>
      <c r="K1923" s="10" t="s">
        <v>12879</v>
      </c>
      <c r="L1923" s="10" t="s">
        <v>42</v>
      </c>
    </row>
    <row r="1924" ht="15.75" customHeight="1">
      <c r="A1924" s="64">
        <v>45482.0</v>
      </c>
      <c r="B1924" s="55" t="str">
        <f>HYPERLINK("https://jobright.ai/jobs/info/668cae946f68874267987a20?utm_campaign=1065&amp;utm_source=sheet", "Apply")</f>
        <v>Apply</v>
      </c>
      <c r="C1924" s="10" t="s">
        <v>14829</v>
      </c>
      <c r="D1924" s="56" t="s">
        <v>14830</v>
      </c>
      <c r="E1924" s="10">
        <v>11.0</v>
      </c>
      <c r="G1924" s="10" t="s">
        <v>12654</v>
      </c>
      <c r="H1924" s="10" t="s">
        <v>251</v>
      </c>
      <c r="I1924" s="10" t="s">
        <v>252</v>
      </c>
      <c r="J1924" s="10" t="s">
        <v>14831</v>
      </c>
      <c r="K1924" s="10" t="s">
        <v>14832</v>
      </c>
      <c r="L1924" s="10" t="s">
        <v>42</v>
      </c>
    </row>
    <row r="1925" ht="15.75" customHeight="1">
      <c r="A1925" s="64">
        <v>45482.0</v>
      </c>
      <c r="B1925" s="55" t="str">
        <f>HYPERLINK("https://jobright.ai/jobs/info/668cb6f5c5aa0957f9001bb4?utm_campaign=1065&amp;utm_source=sheet", "Apply")</f>
        <v>Apply</v>
      </c>
      <c r="C1925" s="10" t="s">
        <v>14833</v>
      </c>
      <c r="D1925" s="56" t="s">
        <v>14834</v>
      </c>
      <c r="E1925" s="10" t="s">
        <v>79</v>
      </c>
      <c r="F1925" s="10" t="s">
        <v>3035</v>
      </c>
      <c r="G1925" s="10" t="s">
        <v>12654</v>
      </c>
      <c r="H1925" s="10" t="s">
        <v>170</v>
      </c>
      <c r="I1925" s="10" t="s">
        <v>55</v>
      </c>
      <c r="J1925" s="10" t="s">
        <v>14835</v>
      </c>
      <c r="K1925" s="10" t="s">
        <v>14836</v>
      </c>
      <c r="L1925" s="10" t="s">
        <v>42</v>
      </c>
    </row>
    <row r="1926" ht="15.75" customHeight="1">
      <c r="A1926" s="64">
        <v>45482.0</v>
      </c>
      <c r="B1926" s="55" t="str">
        <f>HYPERLINK("https://jobright.ai/jobs/info/668c90f9a04664baea38a3a2?utm_campaign=1065&amp;utm_source=sheet", "Apply")</f>
        <v>Apply</v>
      </c>
      <c r="C1926" s="10" t="s">
        <v>14837</v>
      </c>
      <c r="D1926" s="56" t="s">
        <v>10244</v>
      </c>
      <c r="E1926" s="10" t="s">
        <v>45</v>
      </c>
      <c r="G1926" s="10" t="s">
        <v>12654</v>
      </c>
      <c r="H1926" s="10" t="s">
        <v>73</v>
      </c>
      <c r="I1926" s="10" t="s">
        <v>55</v>
      </c>
      <c r="J1926" s="10" t="s">
        <v>4117</v>
      </c>
      <c r="K1926" s="10" t="s">
        <v>12746</v>
      </c>
      <c r="L1926" s="10" t="s">
        <v>42</v>
      </c>
    </row>
    <row r="1927" ht="15.75" customHeight="1">
      <c r="A1927" s="64">
        <v>45482.0</v>
      </c>
      <c r="B1927" s="55" t="str">
        <f>HYPERLINK("https://jobright.ai/jobs/info/668de1a893467c0d94cca0b4?utm_campaign=1065&amp;utm_source=sheet", "Apply")</f>
        <v>Apply</v>
      </c>
      <c r="C1927" s="10" t="s">
        <v>14523</v>
      </c>
      <c r="D1927" s="56" t="s">
        <v>14524</v>
      </c>
      <c r="E1927" s="10" t="s">
        <v>45</v>
      </c>
      <c r="F1927" s="10" t="s">
        <v>14525</v>
      </c>
      <c r="G1927" s="10" t="s">
        <v>12630</v>
      </c>
      <c r="H1927" s="10" t="s">
        <v>14838</v>
      </c>
      <c r="I1927" s="10" t="s">
        <v>55</v>
      </c>
      <c r="K1927" s="10" t="s">
        <v>14839</v>
      </c>
      <c r="L1927" s="10" t="s">
        <v>42</v>
      </c>
    </row>
    <row r="1928" ht="15.75" customHeight="1">
      <c r="A1928" s="64">
        <v>45482.0</v>
      </c>
      <c r="B1928" s="55" t="str">
        <f>HYPERLINK("https://jobright.ai/jobs/info/668db9e1b1cc53b16ef0dca1?utm_campaign=1065&amp;utm_source=sheet", "Apply")</f>
        <v>Apply</v>
      </c>
      <c r="C1928" s="10" t="s">
        <v>9688</v>
      </c>
      <c r="D1928" s="56" t="s">
        <v>14840</v>
      </c>
      <c r="E1928" s="10" t="s">
        <v>137</v>
      </c>
      <c r="F1928" s="10" t="s">
        <v>12654</v>
      </c>
      <c r="G1928" s="10" t="s">
        <v>12630</v>
      </c>
      <c r="H1928" s="10" t="s">
        <v>14841</v>
      </c>
      <c r="I1928" s="10" t="s">
        <v>48</v>
      </c>
      <c r="J1928" s="10" t="s">
        <v>1409</v>
      </c>
      <c r="K1928" s="10" t="s">
        <v>14842</v>
      </c>
      <c r="L1928" s="10" t="s">
        <v>42</v>
      </c>
    </row>
    <row r="1929" ht="15.75" customHeight="1">
      <c r="A1929" s="64">
        <v>45482.0</v>
      </c>
      <c r="B1929" s="55" t="str">
        <f>HYPERLINK("https://jobright.ai/jobs/info/668d8e086abc78b21c1dcae5?utm_campaign=1065&amp;utm_source=sheet", "Apply")</f>
        <v>Apply</v>
      </c>
      <c r="C1929" s="10" t="s">
        <v>12965</v>
      </c>
      <c r="D1929" s="56" t="s">
        <v>13850</v>
      </c>
      <c r="E1929" s="10" t="s">
        <v>45</v>
      </c>
      <c r="F1929" s="10" t="s">
        <v>13851</v>
      </c>
      <c r="G1929" s="10" t="s">
        <v>12630</v>
      </c>
      <c r="H1929" s="10" t="s">
        <v>13852</v>
      </c>
      <c r="I1929" s="10" t="s">
        <v>55</v>
      </c>
      <c r="J1929" s="10" t="s">
        <v>4480</v>
      </c>
      <c r="K1929" s="10" t="s">
        <v>14513</v>
      </c>
      <c r="L1929" s="10" t="s">
        <v>42</v>
      </c>
    </row>
    <row r="1930" ht="15.75" customHeight="1">
      <c r="A1930" s="64">
        <v>45481.0</v>
      </c>
      <c r="B1930" s="55" t="str">
        <f>HYPERLINK("https://jobright.ai/jobs/info/668c9113a04664baea38a48e?utm_campaign=1065&amp;utm_source=sheet", "Apply")</f>
        <v>Apply</v>
      </c>
      <c r="C1930" s="10" t="s">
        <v>14843</v>
      </c>
      <c r="D1930" s="56" t="s">
        <v>10244</v>
      </c>
      <c r="E1930" s="10" t="s">
        <v>45</v>
      </c>
      <c r="G1930" s="10" t="s">
        <v>12654</v>
      </c>
      <c r="H1930" s="10" t="s">
        <v>232</v>
      </c>
      <c r="I1930" s="10" t="s">
        <v>55</v>
      </c>
      <c r="J1930" s="10" t="s">
        <v>1960</v>
      </c>
      <c r="K1930" s="10" t="s">
        <v>12750</v>
      </c>
      <c r="L1930" s="10" t="s">
        <v>42</v>
      </c>
    </row>
    <row r="1931" ht="15.75" customHeight="1">
      <c r="A1931" s="64">
        <v>45481.0</v>
      </c>
      <c r="B1931" s="55" t="str">
        <f>HYPERLINK("https://jobright.ai/jobs/info/668c8c068ed7931878918178?utm_campaign=1065&amp;utm_source=sheet", "Apply")</f>
        <v>Apply</v>
      </c>
      <c r="C1931" s="10" t="s">
        <v>14605</v>
      </c>
      <c r="D1931" s="56" t="s">
        <v>14844</v>
      </c>
      <c r="E1931" s="10" t="s">
        <v>45</v>
      </c>
      <c r="F1931" s="10" t="s">
        <v>12921</v>
      </c>
      <c r="G1931" s="10" t="s">
        <v>12654</v>
      </c>
      <c r="H1931" s="10" t="s">
        <v>5790</v>
      </c>
      <c r="I1931" s="10" t="s">
        <v>48</v>
      </c>
      <c r="K1931" s="10" t="s">
        <v>14606</v>
      </c>
      <c r="L1931" s="10" t="s">
        <v>42</v>
      </c>
    </row>
    <row r="1932" ht="15.75" customHeight="1">
      <c r="A1932" s="64">
        <v>45481.0</v>
      </c>
      <c r="B1932" s="55" t="str">
        <f>HYPERLINK("https://jobright.ai/jobs/info/668c8696be2c6384db57e2ad?utm_campaign=1065&amp;utm_source=sheet", "Apply")</f>
        <v>Apply</v>
      </c>
      <c r="C1932" s="10" t="s">
        <v>14845</v>
      </c>
      <c r="D1932" s="56" t="s">
        <v>14846</v>
      </c>
      <c r="E1932" s="10" t="s">
        <v>79</v>
      </c>
      <c r="F1932" s="10" t="s">
        <v>14847</v>
      </c>
      <c r="G1932" s="10" t="s">
        <v>12630</v>
      </c>
      <c r="H1932" s="10" t="s">
        <v>159</v>
      </c>
      <c r="I1932" s="10" t="s">
        <v>55</v>
      </c>
      <c r="K1932" s="10" t="s">
        <v>14848</v>
      </c>
      <c r="L1932" s="10" t="s">
        <v>42</v>
      </c>
    </row>
    <row r="1933" ht="15.75" customHeight="1">
      <c r="A1933" s="64">
        <v>45481.0</v>
      </c>
      <c r="B1933" s="55" t="str">
        <f>HYPERLINK("https://jobright.ai/jobs/info/668c815ba276b317cb9f2812?utm_campaign=1065&amp;utm_source=sheet", "Apply")</f>
        <v>Apply</v>
      </c>
      <c r="C1933" s="10" t="s">
        <v>14798</v>
      </c>
      <c r="D1933" s="56" t="s">
        <v>1667</v>
      </c>
      <c r="E1933" s="10">
        <v>37644.0</v>
      </c>
      <c r="G1933" s="10" t="s">
        <v>12630</v>
      </c>
      <c r="H1933" s="10" t="s">
        <v>96</v>
      </c>
      <c r="I1933" s="10" t="s">
        <v>55</v>
      </c>
      <c r="J1933" s="10" t="s">
        <v>366</v>
      </c>
      <c r="K1933" s="10" t="s">
        <v>14799</v>
      </c>
      <c r="L1933" s="10" t="s">
        <v>42</v>
      </c>
    </row>
    <row r="1934" ht="15.75" customHeight="1">
      <c r="A1934" s="64">
        <v>45481.0</v>
      </c>
      <c r="B1934" s="55" t="str">
        <f>HYPERLINK("https://jobright.ai/jobs/info/668c8166a276b317cb9f289a?utm_campaign=1065&amp;utm_source=sheet", "Apply")</f>
        <v>Apply</v>
      </c>
      <c r="C1934" s="10" t="s">
        <v>14849</v>
      </c>
      <c r="D1934" s="56" t="s">
        <v>14850</v>
      </c>
      <c r="E1934" s="10" t="s">
        <v>276</v>
      </c>
      <c r="F1934" s="10" t="s">
        <v>12539</v>
      </c>
      <c r="G1934" s="10" t="s">
        <v>12630</v>
      </c>
      <c r="H1934" s="10" t="s">
        <v>96</v>
      </c>
      <c r="I1934" s="10" t="s">
        <v>48</v>
      </c>
      <c r="K1934" s="10" t="s">
        <v>14851</v>
      </c>
      <c r="L1934" s="10" t="s">
        <v>42</v>
      </c>
    </row>
    <row r="1935" ht="15.75" customHeight="1">
      <c r="A1935" s="64">
        <v>45481.0</v>
      </c>
      <c r="B1935" s="55" t="str">
        <f>HYPERLINK("https://jobright.ai/jobs/info/668cbc4dcd512a9f1bf43999?utm_campaign=1065&amp;utm_source=sheet", "Apply")</f>
        <v>Apply</v>
      </c>
      <c r="C1935" s="10" t="s">
        <v>14852</v>
      </c>
      <c r="D1935" s="56" t="s">
        <v>14853</v>
      </c>
      <c r="E1935" s="10" t="s">
        <v>137</v>
      </c>
      <c r="F1935" s="10" t="s">
        <v>14854</v>
      </c>
      <c r="G1935" s="10" t="s">
        <v>12645</v>
      </c>
      <c r="H1935" s="10" t="s">
        <v>602</v>
      </c>
      <c r="I1935" s="10" t="s">
        <v>55</v>
      </c>
      <c r="J1935" s="10" t="s">
        <v>1984</v>
      </c>
      <c r="K1935" s="10" t="s">
        <v>14855</v>
      </c>
      <c r="L1935" s="10" t="s">
        <v>42</v>
      </c>
    </row>
    <row r="1936" ht="15.75" customHeight="1">
      <c r="A1936" s="64">
        <v>45481.0</v>
      </c>
      <c r="B1936" s="55" t="str">
        <f>HYPERLINK("https://jobright.ai/jobs/info/668c40ea6d815327bc02d4f6?utm_campaign=1065&amp;utm_source=sheet", "Apply")</f>
        <v>Apply</v>
      </c>
      <c r="C1936" s="10" t="s">
        <v>14856</v>
      </c>
      <c r="D1936" s="56" t="s">
        <v>14857</v>
      </c>
      <c r="E1936" s="10" t="s">
        <v>137</v>
      </c>
      <c r="F1936" s="10" t="s">
        <v>14858</v>
      </c>
      <c r="G1936" s="10" t="s">
        <v>12630</v>
      </c>
      <c r="H1936" s="10" t="s">
        <v>14859</v>
      </c>
      <c r="I1936" s="10" t="s">
        <v>48</v>
      </c>
      <c r="K1936" s="10" t="s">
        <v>14860</v>
      </c>
      <c r="L1936" s="10" t="s">
        <v>42</v>
      </c>
    </row>
    <row r="1937" ht="15.75" customHeight="1">
      <c r="A1937" s="64">
        <v>45481.0</v>
      </c>
      <c r="B1937" s="55" t="str">
        <f>HYPERLINK("https://jobright.ai/jobs/info/668d0eb75c1b1ddc8b19369c?utm_campaign=1065&amp;utm_source=sheet", "Apply")</f>
        <v>Apply</v>
      </c>
      <c r="C1937" s="10" t="s">
        <v>14861</v>
      </c>
      <c r="D1937" s="56" t="s">
        <v>2033</v>
      </c>
      <c r="E1937" s="10" t="s">
        <v>209</v>
      </c>
      <c r="F1937" s="10" t="s">
        <v>2034</v>
      </c>
      <c r="G1937" s="10" t="s">
        <v>12654</v>
      </c>
      <c r="H1937" s="10" t="s">
        <v>86</v>
      </c>
      <c r="I1937" s="10" t="s">
        <v>55</v>
      </c>
      <c r="J1937" s="10" t="s">
        <v>1608</v>
      </c>
      <c r="K1937" s="10" t="s">
        <v>2035</v>
      </c>
      <c r="L1937" s="10" t="s">
        <v>42</v>
      </c>
    </row>
    <row r="1938" ht="15.75" customHeight="1">
      <c r="A1938" s="64">
        <v>45481.0</v>
      </c>
      <c r="B1938" s="55" t="str">
        <f>HYPERLINK("https://jobright.ai/jobs/info/668c378aa1686f7e71b6a3f5?utm_campaign=1065&amp;utm_source=sheet", "Apply")</f>
        <v>Apply</v>
      </c>
      <c r="C1938" s="10" t="s">
        <v>12650</v>
      </c>
      <c r="D1938" s="56" t="s">
        <v>14862</v>
      </c>
      <c r="E1938" s="10" t="s">
        <v>137</v>
      </c>
      <c r="F1938" s="10" t="s">
        <v>14863</v>
      </c>
      <c r="G1938" s="10" t="s">
        <v>12630</v>
      </c>
      <c r="H1938" s="10" t="s">
        <v>14864</v>
      </c>
      <c r="I1938" s="10" t="s">
        <v>55</v>
      </c>
      <c r="J1938" s="10" t="s">
        <v>11147</v>
      </c>
      <c r="K1938" s="10" t="s">
        <v>14865</v>
      </c>
      <c r="L1938" s="10" t="s">
        <v>42</v>
      </c>
    </row>
    <row r="1939" ht="15.75" customHeight="1">
      <c r="A1939" s="64">
        <v>45481.0</v>
      </c>
      <c r="B1939" s="55" t="str">
        <f>HYPERLINK("https://jobright.ai/jobs/info/668c44ad998303acf288f9e7?utm_campaign=1065&amp;utm_source=sheet", "Apply")</f>
        <v>Apply</v>
      </c>
      <c r="C1939" s="10" t="s">
        <v>14866</v>
      </c>
      <c r="D1939" s="56" t="s">
        <v>13400</v>
      </c>
      <c r="E1939" s="10" t="s">
        <v>276</v>
      </c>
      <c r="F1939" s="10" t="s">
        <v>3770</v>
      </c>
      <c r="G1939" s="10" t="s">
        <v>12654</v>
      </c>
      <c r="H1939" s="10" t="s">
        <v>1028</v>
      </c>
      <c r="I1939" s="10" t="s">
        <v>55</v>
      </c>
      <c r="J1939" s="10" t="s">
        <v>6879</v>
      </c>
      <c r="K1939" s="10" t="s">
        <v>14867</v>
      </c>
      <c r="L1939" s="10" t="s">
        <v>42</v>
      </c>
    </row>
    <row r="1940" ht="15.75" customHeight="1">
      <c r="A1940" s="64">
        <v>45481.0</v>
      </c>
      <c r="B1940" s="55" t="str">
        <f>HYPERLINK("https://jobright.ai/jobs/info/668c2960dbe1aedcdfe00a43?utm_campaign=1065&amp;utm_source=sheet", "Apply")</f>
        <v>Apply</v>
      </c>
      <c r="C1940" s="10" t="s">
        <v>14845</v>
      </c>
      <c r="D1940" s="56" t="s">
        <v>14846</v>
      </c>
      <c r="E1940" s="10" t="s">
        <v>79</v>
      </c>
      <c r="F1940" s="10" t="s">
        <v>14847</v>
      </c>
      <c r="G1940" s="10" t="s">
        <v>12630</v>
      </c>
      <c r="H1940" s="10" t="s">
        <v>251</v>
      </c>
      <c r="I1940" s="10" t="s">
        <v>252</v>
      </c>
      <c r="K1940" s="10" t="s">
        <v>14868</v>
      </c>
      <c r="L1940" s="10" t="s">
        <v>42</v>
      </c>
    </row>
    <row r="1941" ht="15.75" customHeight="1">
      <c r="A1941" s="64">
        <v>45481.0</v>
      </c>
      <c r="B1941" s="55" t="str">
        <f>HYPERLINK("https://jobright.ai/jobs/info/668c09e2aea348a0f4028185?utm_campaign=1065&amp;utm_source=sheet", "Apply")</f>
        <v>Apply</v>
      </c>
      <c r="C1941" s="10" t="s">
        <v>14869</v>
      </c>
      <c r="D1941" s="56" t="s">
        <v>14870</v>
      </c>
      <c r="E1941" s="10">
        <v>6.0</v>
      </c>
      <c r="G1941" s="10" t="s">
        <v>12654</v>
      </c>
      <c r="H1941" s="10" t="s">
        <v>14871</v>
      </c>
      <c r="I1941" s="10" t="s">
        <v>55</v>
      </c>
      <c r="K1941" s="10" t="s">
        <v>14872</v>
      </c>
      <c r="L1941" s="10" t="s">
        <v>42</v>
      </c>
    </row>
    <row r="1942" ht="15.75" customHeight="1">
      <c r="A1942" s="64">
        <v>45481.0</v>
      </c>
      <c r="B1942" s="55" t="str">
        <f>HYPERLINK("https://jobright.ai/jobs/info/668bf73737e908a4a06495a5?utm_campaign=1065&amp;utm_source=sheet", "Apply")</f>
        <v>Apply</v>
      </c>
      <c r="C1942" s="10" t="s">
        <v>12650</v>
      </c>
      <c r="D1942" s="56" t="s">
        <v>14873</v>
      </c>
      <c r="E1942" s="10" t="s">
        <v>137</v>
      </c>
      <c r="F1942" s="10" t="s">
        <v>2651</v>
      </c>
      <c r="G1942" s="10" t="s">
        <v>12635</v>
      </c>
      <c r="H1942" s="10" t="s">
        <v>14874</v>
      </c>
      <c r="I1942" s="10" t="s">
        <v>48</v>
      </c>
      <c r="J1942" s="10" t="s">
        <v>1984</v>
      </c>
      <c r="K1942" s="10" t="s">
        <v>14875</v>
      </c>
      <c r="L1942" s="10" t="s">
        <v>42</v>
      </c>
    </row>
    <row r="1943" ht="15.75" customHeight="1">
      <c r="A1943" s="64">
        <v>45481.0</v>
      </c>
      <c r="B1943" s="55" t="str">
        <f>HYPERLINK("https://jobright.ai/jobs/info/6695023d83a291681bf26664?utm_campaign=1065&amp;utm_source=sheet", "Apply")</f>
        <v>Apply</v>
      </c>
      <c r="C1943" s="10" t="s">
        <v>14876</v>
      </c>
      <c r="D1943" s="56" t="s">
        <v>14380</v>
      </c>
      <c r="E1943" s="59">
        <v>45301.0</v>
      </c>
      <c r="F1943" s="10" t="s">
        <v>14381</v>
      </c>
      <c r="G1943" s="10" t="s">
        <v>12654</v>
      </c>
      <c r="H1943" s="10" t="s">
        <v>96</v>
      </c>
      <c r="I1943" s="10" t="s">
        <v>55</v>
      </c>
      <c r="J1943" s="10" t="s">
        <v>13437</v>
      </c>
      <c r="K1943" s="10" t="s">
        <v>14877</v>
      </c>
      <c r="L1943" s="10" t="s">
        <v>42</v>
      </c>
    </row>
    <row r="1944" ht="15.75" customHeight="1">
      <c r="A1944" s="64">
        <v>45481.0</v>
      </c>
      <c r="B1944" s="55" t="str">
        <f>HYPERLINK("https://jobright.ai/jobs/info/6695023d83a291681bf26683?utm_campaign=1065&amp;utm_source=sheet", "Apply")</f>
        <v>Apply</v>
      </c>
      <c r="C1944" s="10" t="s">
        <v>13061</v>
      </c>
      <c r="D1944" s="56" t="s">
        <v>1178</v>
      </c>
      <c r="E1944" s="10" t="s">
        <v>137</v>
      </c>
      <c r="F1944" s="10" t="s">
        <v>1179</v>
      </c>
      <c r="G1944" s="10" t="s">
        <v>12654</v>
      </c>
      <c r="H1944" s="10" t="s">
        <v>3278</v>
      </c>
      <c r="I1944" s="10" t="s">
        <v>55</v>
      </c>
      <c r="J1944" s="10" t="s">
        <v>366</v>
      </c>
      <c r="K1944" s="10" t="s">
        <v>13062</v>
      </c>
      <c r="L1944" s="10" t="s">
        <v>42</v>
      </c>
    </row>
    <row r="1945" ht="15.75" customHeight="1">
      <c r="A1945" s="64">
        <v>45481.0</v>
      </c>
      <c r="B1945" s="55" t="str">
        <f>HYPERLINK("https://jobright.ai/jobs/info/668bd986ac083f9791920c73?utm_campaign=1065&amp;utm_source=sheet", "Apply")</f>
        <v>Apply</v>
      </c>
      <c r="C1945" s="10" t="s">
        <v>14809</v>
      </c>
      <c r="D1945" s="56" t="s">
        <v>1178</v>
      </c>
      <c r="E1945" s="10" t="s">
        <v>137</v>
      </c>
      <c r="F1945" s="10" t="s">
        <v>1179</v>
      </c>
      <c r="G1945" s="10" t="s">
        <v>12654</v>
      </c>
      <c r="H1945" s="10" t="s">
        <v>1007</v>
      </c>
      <c r="I1945" s="10" t="s">
        <v>48</v>
      </c>
      <c r="J1945" s="10" t="s">
        <v>1984</v>
      </c>
      <c r="K1945" s="10" t="s">
        <v>14810</v>
      </c>
      <c r="L1945" s="10" t="s">
        <v>42</v>
      </c>
    </row>
    <row r="1946" ht="15.75" customHeight="1">
      <c r="A1946" s="64">
        <v>45481.0</v>
      </c>
      <c r="B1946" s="55" t="str">
        <f>HYPERLINK("https://jobright.ai/jobs/info/668e6a0c93519db874d56c3e?utm_campaign=1065&amp;utm_source=sheet", "Apply")</f>
        <v>Apply</v>
      </c>
      <c r="C1946" s="10" t="s">
        <v>14878</v>
      </c>
      <c r="D1946" s="56" t="s">
        <v>13273</v>
      </c>
      <c r="E1946" s="10" t="s">
        <v>45</v>
      </c>
      <c r="F1946" s="10" t="s">
        <v>13274</v>
      </c>
      <c r="G1946" s="10" t="s">
        <v>12635</v>
      </c>
      <c r="H1946" s="10" t="s">
        <v>999</v>
      </c>
      <c r="I1946" s="10" t="s">
        <v>55</v>
      </c>
      <c r="K1946" s="10" t="s">
        <v>14550</v>
      </c>
      <c r="L1946" s="10" t="s">
        <v>42</v>
      </c>
    </row>
    <row r="1947" ht="15.75" customHeight="1">
      <c r="A1947" s="64">
        <v>45481.0</v>
      </c>
      <c r="B1947" s="55" t="str">
        <f>HYPERLINK("https://jobright.ai/jobs/info/6650cd72577e8e3700b89412?utm_campaign=1065&amp;utm_source=sheet", "Apply")</f>
        <v>Apply</v>
      </c>
      <c r="C1947" s="10" t="s">
        <v>14879</v>
      </c>
      <c r="D1947" s="56" t="s">
        <v>12687</v>
      </c>
      <c r="E1947" s="10" t="s">
        <v>65</v>
      </c>
      <c r="F1947" s="10" t="s">
        <v>12688</v>
      </c>
      <c r="G1947" s="10" t="s">
        <v>12654</v>
      </c>
      <c r="H1947" s="10" t="s">
        <v>723</v>
      </c>
      <c r="I1947" s="10" t="s">
        <v>48</v>
      </c>
      <c r="K1947" s="10" t="s">
        <v>14078</v>
      </c>
      <c r="L1947" s="10" t="s">
        <v>42</v>
      </c>
    </row>
    <row r="1948" ht="15.75" customHeight="1">
      <c r="A1948" s="64">
        <v>45481.0</v>
      </c>
      <c r="B1948" s="55" t="str">
        <f>HYPERLINK("https://jobright.ai/jobs/info/668bbf0ce16f971d971077b2?utm_campaign=1065&amp;utm_source=sheet", "Apply")</f>
        <v>Apply</v>
      </c>
      <c r="C1948" s="10" t="s">
        <v>14880</v>
      </c>
      <c r="D1948" s="56" t="s">
        <v>9893</v>
      </c>
      <c r="E1948" s="10" t="s">
        <v>65</v>
      </c>
      <c r="F1948" s="10" t="s">
        <v>259</v>
      </c>
      <c r="G1948" s="10" t="s">
        <v>12645</v>
      </c>
      <c r="H1948" s="10" t="s">
        <v>9894</v>
      </c>
      <c r="I1948" s="10" t="s">
        <v>55</v>
      </c>
      <c r="K1948" s="10" t="s">
        <v>14881</v>
      </c>
      <c r="L1948" s="10" t="s">
        <v>42</v>
      </c>
    </row>
    <row r="1949" ht="15.75" customHeight="1">
      <c r="A1949" s="64">
        <v>45481.0</v>
      </c>
      <c r="B1949" s="55" t="str">
        <f>HYPERLINK("https://jobright.ai/jobs/info/668879e2adbb085532cf9636?utm_campaign=1065&amp;utm_source=sheet", "Apply")</f>
        <v>Apply</v>
      </c>
      <c r="C1949" s="10" t="s">
        <v>14882</v>
      </c>
      <c r="D1949" s="56" t="s">
        <v>9686</v>
      </c>
      <c r="E1949" s="10" t="s">
        <v>209</v>
      </c>
      <c r="F1949" s="10" t="s">
        <v>5813</v>
      </c>
      <c r="G1949" s="10" t="s">
        <v>12654</v>
      </c>
      <c r="H1949" s="10" t="s">
        <v>153</v>
      </c>
      <c r="I1949" s="10" t="s">
        <v>55</v>
      </c>
      <c r="K1949" s="10" t="s">
        <v>14883</v>
      </c>
      <c r="L1949" s="10" t="s">
        <v>42</v>
      </c>
    </row>
    <row r="1950" ht="15.75" customHeight="1">
      <c r="A1950" s="64">
        <v>45481.0</v>
      </c>
      <c r="B1950" s="55" t="str">
        <f>HYPERLINK("https://jobright.ai/jobs/info/668e0be35bb009a1d745e45c?utm_campaign=1065&amp;utm_source=sheet", "Apply")</f>
        <v>Apply</v>
      </c>
      <c r="C1950" s="10" t="s">
        <v>14884</v>
      </c>
      <c r="D1950" s="56" t="s">
        <v>14885</v>
      </c>
      <c r="E1950" s="10" t="s">
        <v>137</v>
      </c>
      <c r="F1950" s="10" t="s">
        <v>14886</v>
      </c>
      <c r="G1950" s="10" t="s">
        <v>12654</v>
      </c>
      <c r="H1950" s="10" t="s">
        <v>610</v>
      </c>
      <c r="I1950" s="10" t="s">
        <v>55</v>
      </c>
      <c r="K1950" s="10" t="s">
        <v>14887</v>
      </c>
      <c r="L1950" s="10" t="s">
        <v>42</v>
      </c>
    </row>
    <row r="1951" ht="15.75" customHeight="1">
      <c r="A1951" s="64">
        <v>45481.0</v>
      </c>
      <c r="B1951" s="55" t="str">
        <f>HYPERLINK("https://jobright.ai/jobs/info/668c05408044ac76a5c82784?utm_campaign=1065&amp;utm_source=sheet", "Apply")</f>
        <v>Apply</v>
      </c>
      <c r="C1951" s="10" t="s">
        <v>13230</v>
      </c>
      <c r="D1951" s="56" t="s">
        <v>14888</v>
      </c>
      <c r="E1951" s="10" t="s">
        <v>137</v>
      </c>
      <c r="F1951" s="10" t="s">
        <v>14889</v>
      </c>
      <c r="G1951" s="10" t="s">
        <v>12654</v>
      </c>
      <c r="H1951" s="10" t="s">
        <v>958</v>
      </c>
      <c r="I1951" s="10" t="s">
        <v>55</v>
      </c>
      <c r="K1951" s="10" t="s">
        <v>14890</v>
      </c>
      <c r="L1951" s="10" t="s">
        <v>42</v>
      </c>
    </row>
    <row r="1952" ht="15.75" customHeight="1">
      <c r="A1952" s="64">
        <v>45481.0</v>
      </c>
      <c r="B1952" s="55" t="str">
        <f>HYPERLINK("https://jobright.ai/jobs/info/668c8c1f8ed793187891835e?utm_campaign=1065&amp;utm_source=sheet", "Apply")</f>
        <v>Apply</v>
      </c>
      <c r="C1952" s="10" t="s">
        <v>12958</v>
      </c>
      <c r="D1952" s="56" t="s">
        <v>14891</v>
      </c>
      <c r="E1952" s="10">
        <v>117.0</v>
      </c>
      <c r="G1952" s="10" t="s">
        <v>12654</v>
      </c>
      <c r="H1952" s="10" t="s">
        <v>3050</v>
      </c>
      <c r="I1952" s="10" t="s">
        <v>55</v>
      </c>
      <c r="K1952" s="10" t="s">
        <v>14892</v>
      </c>
      <c r="L1952" s="10" t="s">
        <v>42</v>
      </c>
    </row>
    <row r="1953" ht="15.75" customHeight="1">
      <c r="A1953" s="64">
        <v>45481.0</v>
      </c>
      <c r="B1953" s="55" t="str">
        <f>HYPERLINK("https://jobright.ai/jobs/info/668c77e6e5af25d419015ba0?utm_campaign=1065&amp;utm_source=sheet", "Apply")</f>
        <v>Apply</v>
      </c>
      <c r="C1953" s="10" t="s">
        <v>14893</v>
      </c>
      <c r="D1953" s="56" t="s">
        <v>14894</v>
      </c>
      <c r="E1953" s="10" t="s">
        <v>71</v>
      </c>
      <c r="F1953" s="10" t="s">
        <v>14895</v>
      </c>
      <c r="G1953" s="10" t="s">
        <v>12654</v>
      </c>
      <c r="H1953" s="10" t="s">
        <v>170</v>
      </c>
      <c r="I1953" s="10" t="s">
        <v>55</v>
      </c>
      <c r="J1953" s="10" t="s">
        <v>3979</v>
      </c>
      <c r="K1953" s="10" t="s">
        <v>14896</v>
      </c>
      <c r="L1953" s="10" t="s">
        <v>42</v>
      </c>
    </row>
    <row r="1954" ht="15.75" customHeight="1">
      <c r="A1954" s="64">
        <v>45481.0</v>
      </c>
      <c r="B1954" s="55" t="str">
        <f>HYPERLINK("https://jobright.ai/jobs/info/668c40fe6d815327bc02d710?utm_campaign=1065&amp;utm_source=sheet", "Apply")</f>
        <v>Apply</v>
      </c>
      <c r="C1954" s="10" t="s">
        <v>14465</v>
      </c>
      <c r="D1954" s="56" t="s">
        <v>3211</v>
      </c>
      <c r="E1954" s="10" t="s">
        <v>45</v>
      </c>
      <c r="F1954" s="10" t="s">
        <v>3212</v>
      </c>
      <c r="G1954" s="10" t="s">
        <v>12635</v>
      </c>
      <c r="H1954" s="10" t="s">
        <v>7291</v>
      </c>
      <c r="I1954" s="10" t="s">
        <v>55</v>
      </c>
      <c r="J1954" s="10" t="s">
        <v>5249</v>
      </c>
      <c r="K1954" s="10" t="s">
        <v>14466</v>
      </c>
      <c r="L1954" s="10" t="s">
        <v>42</v>
      </c>
    </row>
    <row r="1955" ht="15.75" customHeight="1">
      <c r="A1955" s="64">
        <v>45480.0</v>
      </c>
      <c r="B1955" s="55" t="str">
        <f>HYPERLINK("https://jobright.ai/jobs/info/668b2bc2f0119e53a8f6ad49?utm_campaign=1065&amp;utm_source=sheet", "Apply")</f>
        <v>Apply</v>
      </c>
      <c r="C1955" s="10" t="s">
        <v>14897</v>
      </c>
      <c r="D1955" s="56" t="s">
        <v>14898</v>
      </c>
      <c r="E1955" s="10" t="s">
        <v>249</v>
      </c>
      <c r="F1955" s="10" t="s">
        <v>5166</v>
      </c>
      <c r="G1955" s="10" t="s">
        <v>12630</v>
      </c>
      <c r="H1955" s="10" t="s">
        <v>159</v>
      </c>
      <c r="I1955" s="10" t="s">
        <v>55</v>
      </c>
      <c r="J1955" s="10" t="s">
        <v>1608</v>
      </c>
      <c r="K1955" s="10" t="s">
        <v>14899</v>
      </c>
      <c r="L1955" s="10" t="s">
        <v>42</v>
      </c>
    </row>
    <row r="1956" ht="15.75" customHeight="1">
      <c r="A1956" s="64">
        <v>45480.0</v>
      </c>
      <c r="B1956" s="55" t="str">
        <f>HYPERLINK("https://jobright.ai/jobs/info/66845492030332c425faf8bd?utm_campaign=1065&amp;utm_source=sheet", "Apply")</f>
        <v>Apply</v>
      </c>
      <c r="C1956" s="10" t="s">
        <v>13624</v>
      </c>
      <c r="D1956" s="56" t="s">
        <v>14706</v>
      </c>
      <c r="E1956" s="10" t="s">
        <v>137</v>
      </c>
      <c r="F1956" s="10" t="s">
        <v>14707</v>
      </c>
      <c r="G1956" s="10" t="s">
        <v>12654</v>
      </c>
      <c r="H1956" s="10" t="s">
        <v>6071</v>
      </c>
      <c r="I1956" s="10" t="s">
        <v>55</v>
      </c>
      <c r="K1956" s="10" t="s">
        <v>14900</v>
      </c>
      <c r="L1956" s="10" t="s">
        <v>42</v>
      </c>
    </row>
    <row r="1957" ht="15.75" customHeight="1">
      <c r="A1957" s="64">
        <v>45480.0</v>
      </c>
      <c r="B1957" s="55" t="str">
        <f>HYPERLINK("https://jobright.ai/jobs/info/6682e8cac4dccd5cdecc8a1e?utm_campaign=1065&amp;utm_source=sheet", "Apply")</f>
        <v>Apply</v>
      </c>
      <c r="C1957" s="10" t="s">
        <v>14901</v>
      </c>
      <c r="D1957" s="56" t="s">
        <v>14902</v>
      </c>
      <c r="E1957" s="10" t="s">
        <v>209</v>
      </c>
      <c r="F1957" s="10" t="s">
        <v>13893</v>
      </c>
      <c r="G1957" s="10" t="s">
        <v>12630</v>
      </c>
      <c r="H1957" s="10" t="s">
        <v>14903</v>
      </c>
      <c r="I1957" s="10" t="s">
        <v>55</v>
      </c>
      <c r="J1957" s="10" t="s">
        <v>1409</v>
      </c>
      <c r="K1957" s="10" t="s">
        <v>14904</v>
      </c>
      <c r="L1957" s="10" t="s">
        <v>42</v>
      </c>
    </row>
    <row r="1958" ht="15.75" customHeight="1">
      <c r="A1958" s="64">
        <v>45480.0</v>
      </c>
      <c r="B1958" s="55" t="str">
        <f>HYPERLINK("https://jobright.ai/jobs/info/6652465d96880e84e2f3314b?utm_campaign=1065&amp;utm_source=sheet", "Apply")</f>
        <v>Apply</v>
      </c>
      <c r="C1958" s="10" t="s">
        <v>13643</v>
      </c>
      <c r="D1958" s="56" t="s">
        <v>10169</v>
      </c>
      <c r="E1958" s="10" t="s">
        <v>45</v>
      </c>
      <c r="F1958" s="10" t="s">
        <v>10170</v>
      </c>
      <c r="G1958" s="10" t="s">
        <v>12635</v>
      </c>
      <c r="H1958" s="10" t="s">
        <v>4514</v>
      </c>
      <c r="I1958" s="10" t="s">
        <v>55</v>
      </c>
      <c r="J1958" s="10" t="s">
        <v>1409</v>
      </c>
      <c r="K1958" s="10" t="s">
        <v>13645</v>
      </c>
      <c r="L1958" s="10" t="s">
        <v>42</v>
      </c>
    </row>
    <row r="1959" ht="15.75" customHeight="1">
      <c r="A1959" s="64">
        <v>45480.0</v>
      </c>
      <c r="B1959" s="55" t="str">
        <f>HYPERLINK("https://jobright.ai/jobs/info/666dd4b6d14e0c07f592b719?utm_campaign=1065&amp;utm_source=sheet", "Apply")</f>
        <v>Apply</v>
      </c>
      <c r="C1959" s="10" t="s">
        <v>14905</v>
      </c>
      <c r="D1959" s="56" t="s">
        <v>10169</v>
      </c>
      <c r="E1959" s="10" t="s">
        <v>45</v>
      </c>
      <c r="F1959" s="10" t="s">
        <v>10170</v>
      </c>
      <c r="G1959" s="10" t="s">
        <v>12635</v>
      </c>
      <c r="H1959" s="10" t="s">
        <v>2674</v>
      </c>
      <c r="I1959" s="10" t="s">
        <v>55</v>
      </c>
      <c r="J1959" s="10" t="s">
        <v>1608</v>
      </c>
      <c r="K1959" s="10" t="s">
        <v>12846</v>
      </c>
      <c r="L1959" s="10" t="s">
        <v>42</v>
      </c>
    </row>
    <row r="1960" ht="15.75" customHeight="1">
      <c r="A1960" s="64">
        <v>45480.0</v>
      </c>
      <c r="B1960" s="55" t="str">
        <f>HYPERLINK("https://jobright.ai/jobs/info/6685839e798cca6c3817352e?utm_campaign=1065&amp;utm_source=sheet", "Apply")</f>
        <v>Apply</v>
      </c>
      <c r="C1960" s="10" t="s">
        <v>14906</v>
      </c>
      <c r="D1960" s="56" t="s">
        <v>14907</v>
      </c>
      <c r="E1960" s="10">
        <v>277.0</v>
      </c>
      <c r="G1960" s="10" t="s">
        <v>12654</v>
      </c>
      <c r="H1960" s="10" t="s">
        <v>1172</v>
      </c>
      <c r="I1960" s="10" t="s">
        <v>48</v>
      </c>
      <c r="K1960" s="10" t="s">
        <v>14908</v>
      </c>
      <c r="L1960" s="10" t="s">
        <v>42</v>
      </c>
    </row>
    <row r="1961" ht="15.75" customHeight="1">
      <c r="A1961" s="64">
        <v>45479.0</v>
      </c>
      <c r="B1961" s="55" t="str">
        <f>HYPERLINK("https://jobright.ai/jobs/info/6689567a46f35c17a600c399?utm_campaign=1065&amp;utm_source=sheet", "Apply")</f>
        <v>Apply</v>
      </c>
      <c r="C1961" s="10" t="s">
        <v>13051</v>
      </c>
      <c r="D1961" s="56" t="s">
        <v>14909</v>
      </c>
      <c r="E1961" s="10" t="s">
        <v>137</v>
      </c>
      <c r="F1961" s="10" t="s">
        <v>14910</v>
      </c>
      <c r="G1961" s="10" t="s">
        <v>12630</v>
      </c>
      <c r="H1961" s="10" t="s">
        <v>14911</v>
      </c>
      <c r="I1961" s="10" t="s">
        <v>48</v>
      </c>
      <c r="J1961" s="10" t="s">
        <v>1729</v>
      </c>
      <c r="K1961" s="10" t="s">
        <v>14912</v>
      </c>
      <c r="L1961" s="10" t="s">
        <v>42</v>
      </c>
    </row>
    <row r="1962" ht="15.75" customHeight="1">
      <c r="A1962" s="64">
        <v>45479.0</v>
      </c>
      <c r="B1962" s="55" t="str">
        <f>HYPERLINK("https://jobright.ai/jobs/info/66796979d86d626ab8b789c1?utm_campaign=1065&amp;utm_source=sheet", "Apply")</f>
        <v>Apply</v>
      </c>
      <c r="C1962" s="10" t="s">
        <v>14913</v>
      </c>
      <c r="D1962" s="56" t="s">
        <v>308</v>
      </c>
      <c r="E1962" s="10" t="s">
        <v>45</v>
      </c>
      <c r="F1962" s="10" t="s">
        <v>239</v>
      </c>
      <c r="G1962" s="10" t="s">
        <v>12693</v>
      </c>
      <c r="H1962" s="10" t="s">
        <v>5286</v>
      </c>
      <c r="I1962" s="10" t="s">
        <v>55</v>
      </c>
      <c r="K1962" s="10" t="s">
        <v>14914</v>
      </c>
      <c r="L1962" s="10" t="s">
        <v>42</v>
      </c>
    </row>
    <row r="1963" ht="15.75" customHeight="1">
      <c r="A1963" s="64">
        <v>45479.0</v>
      </c>
      <c r="B1963" s="55" t="str">
        <f>HYPERLINK("https://jobright.ai/jobs/info/666c838a1cdb951cdbe5f9a2?utm_campaign=1065&amp;utm_source=sheet", "Apply")</f>
        <v>Apply</v>
      </c>
      <c r="C1963" s="10" t="s">
        <v>14915</v>
      </c>
      <c r="D1963" s="56" t="s">
        <v>3413</v>
      </c>
      <c r="E1963" s="10" t="s">
        <v>45</v>
      </c>
      <c r="F1963" s="10" t="s">
        <v>3414</v>
      </c>
      <c r="G1963" s="10" t="s">
        <v>12654</v>
      </c>
      <c r="H1963" s="10" t="s">
        <v>4799</v>
      </c>
      <c r="I1963" s="10" t="s">
        <v>55</v>
      </c>
      <c r="K1963" s="10" t="s">
        <v>14916</v>
      </c>
      <c r="L1963" s="10" t="s">
        <v>42</v>
      </c>
    </row>
    <row r="1964" ht="15.75" customHeight="1">
      <c r="A1964" s="64">
        <v>45478.0</v>
      </c>
      <c r="B1964" s="55" t="str">
        <f>HYPERLINK("https://jobright.ai/jobs/info/66888aee7fb9812780bf3524?utm_campaign=1065&amp;utm_source=sheet", "Apply")</f>
        <v>Apply</v>
      </c>
      <c r="C1964" s="10" t="s">
        <v>14917</v>
      </c>
      <c r="D1964" s="56" t="s">
        <v>14918</v>
      </c>
      <c r="E1964" s="10" t="s">
        <v>65</v>
      </c>
      <c r="F1964" s="10" t="s">
        <v>7792</v>
      </c>
      <c r="G1964" s="10" t="s">
        <v>12630</v>
      </c>
      <c r="H1964" s="10" t="s">
        <v>14919</v>
      </c>
      <c r="I1964" s="10" t="s">
        <v>55</v>
      </c>
      <c r="K1964" s="10" t="s">
        <v>14920</v>
      </c>
      <c r="L1964" s="10" t="s">
        <v>42</v>
      </c>
    </row>
    <row r="1965" ht="15.75" customHeight="1">
      <c r="A1965" s="64">
        <v>45478.0</v>
      </c>
      <c r="B1965" s="55" t="str">
        <f>HYPERLINK("https://jobright.ai/jobs/info/66886cc7dc41ac17c470f12e?utm_campaign=1065&amp;utm_source=sheet", "Apply")</f>
        <v>Apply</v>
      </c>
      <c r="C1965" s="10" t="s">
        <v>14921</v>
      </c>
      <c r="D1965" s="56" t="s">
        <v>14922</v>
      </c>
      <c r="E1965" s="10" t="s">
        <v>137</v>
      </c>
      <c r="F1965" s="10" t="s">
        <v>11687</v>
      </c>
      <c r="G1965" s="10" t="s">
        <v>12645</v>
      </c>
      <c r="H1965" s="10" t="s">
        <v>159</v>
      </c>
      <c r="I1965" s="10" t="s">
        <v>48</v>
      </c>
      <c r="K1965" s="10" t="s">
        <v>14923</v>
      </c>
      <c r="L1965" s="10" t="s">
        <v>42</v>
      </c>
    </row>
    <row r="1966" ht="15.75" customHeight="1">
      <c r="A1966" s="64">
        <v>45478.0</v>
      </c>
      <c r="B1966" s="55" t="str">
        <f>HYPERLINK("https://jobright.ai/jobs/info/668831b6267b613d19e459d7?utm_campaign=1065&amp;utm_source=sheet", "Apply")</f>
        <v>Apply</v>
      </c>
      <c r="C1966" s="10" t="s">
        <v>14924</v>
      </c>
      <c r="D1966" s="56" t="s">
        <v>14925</v>
      </c>
      <c r="E1966" s="10" t="s">
        <v>71</v>
      </c>
      <c r="F1966" s="10" t="s">
        <v>1601</v>
      </c>
      <c r="G1966" s="10" t="s">
        <v>12645</v>
      </c>
      <c r="H1966" s="10" t="s">
        <v>3674</v>
      </c>
      <c r="I1966" s="10" t="s">
        <v>55</v>
      </c>
      <c r="K1966" s="10" t="s">
        <v>14926</v>
      </c>
      <c r="L1966" s="10" t="s">
        <v>42</v>
      </c>
    </row>
    <row r="1967" ht="15.75" customHeight="1">
      <c r="A1967" s="64">
        <v>45478.0</v>
      </c>
      <c r="B1967" s="55" t="str">
        <f>HYPERLINK("https://jobright.ai/jobs/info/669a7f9bd6a8ad59ac565618?utm_campaign=1065&amp;utm_source=sheet", "Apply")</f>
        <v>Apply</v>
      </c>
      <c r="C1967" s="10" t="s">
        <v>14927</v>
      </c>
      <c r="D1967" s="56" t="s">
        <v>14928</v>
      </c>
      <c r="E1967" s="10">
        <v>29.0</v>
      </c>
      <c r="G1967" s="10" t="s">
        <v>12630</v>
      </c>
      <c r="H1967" s="10" t="s">
        <v>14929</v>
      </c>
      <c r="I1967" s="10" t="s">
        <v>55</v>
      </c>
      <c r="K1967" s="10" t="s">
        <v>14930</v>
      </c>
      <c r="L1967" s="10" t="s">
        <v>42</v>
      </c>
    </row>
    <row r="1968" ht="15.75" customHeight="1">
      <c r="A1968" s="64">
        <v>45478.0</v>
      </c>
      <c r="B1968" s="55" t="str">
        <f>HYPERLINK("https://jobright.ai/jobs/info/666b725280b0510a62c7e719?utm_campaign=1065&amp;utm_source=sheet", "Apply")</f>
        <v>Apply</v>
      </c>
      <c r="C1968" s="10" t="s">
        <v>14931</v>
      </c>
      <c r="D1968" s="56" t="s">
        <v>7387</v>
      </c>
      <c r="E1968" s="10" t="s">
        <v>65</v>
      </c>
      <c r="F1968" s="10" t="s">
        <v>7388</v>
      </c>
      <c r="G1968" s="10" t="s">
        <v>12635</v>
      </c>
      <c r="H1968" s="10" t="s">
        <v>965</v>
      </c>
      <c r="I1968" s="10" t="s">
        <v>55</v>
      </c>
      <c r="K1968" s="10" t="s">
        <v>7396</v>
      </c>
      <c r="L1968" s="10" t="s">
        <v>42</v>
      </c>
    </row>
    <row r="1969" ht="15.75" customHeight="1">
      <c r="A1969" s="64">
        <v>45478.0</v>
      </c>
      <c r="B1969" s="55" t="str">
        <f>HYPERLINK("https://jobright.ai/jobs/info/668801a5f2620e116ee3ba61?utm_campaign=1065&amp;utm_source=sheet", "Apply")</f>
        <v>Apply</v>
      </c>
      <c r="C1969" s="10" t="s">
        <v>14932</v>
      </c>
      <c r="D1969" s="56" t="s">
        <v>1955</v>
      </c>
      <c r="E1969" s="10" t="s">
        <v>45</v>
      </c>
      <c r="F1969" s="10" t="s">
        <v>1234</v>
      </c>
      <c r="G1969" s="10" t="s">
        <v>12630</v>
      </c>
      <c r="H1969" s="10" t="s">
        <v>139</v>
      </c>
      <c r="I1969" s="10" t="s">
        <v>55</v>
      </c>
      <c r="J1969" s="10" t="s">
        <v>1761</v>
      </c>
      <c r="K1969" s="10" t="s">
        <v>14933</v>
      </c>
      <c r="L1969" s="10" t="s">
        <v>42</v>
      </c>
    </row>
    <row r="1970" ht="15.75" customHeight="1">
      <c r="A1970" s="64">
        <v>45478.0</v>
      </c>
      <c r="B1970" s="55" t="str">
        <f>HYPERLINK("https://jobright.ai/jobs/info/6688180662540871552c450e?utm_campaign=1065&amp;utm_source=sheet", "Apply")</f>
        <v>Apply</v>
      </c>
      <c r="C1970" s="10" t="s">
        <v>14934</v>
      </c>
      <c r="D1970" s="56" t="s">
        <v>1955</v>
      </c>
      <c r="E1970" s="10" t="s">
        <v>45</v>
      </c>
      <c r="F1970" s="10" t="s">
        <v>1234</v>
      </c>
      <c r="G1970" s="10" t="s">
        <v>12654</v>
      </c>
      <c r="H1970" s="10" t="s">
        <v>139</v>
      </c>
      <c r="I1970" s="10" t="s">
        <v>55</v>
      </c>
      <c r="J1970" s="10" t="s">
        <v>1761</v>
      </c>
      <c r="K1970" s="10" t="s">
        <v>14935</v>
      </c>
      <c r="L1970" s="10" t="s">
        <v>42</v>
      </c>
    </row>
    <row r="1971" ht="15.75" customHeight="1">
      <c r="A1971" s="64">
        <v>45478.0</v>
      </c>
      <c r="B1971" s="55" t="str">
        <f>HYPERLINK("https://jobright.ai/jobs/info/6691269f306aef04a401c250?utm_campaign=1065&amp;utm_source=sheet", "Apply")</f>
        <v>Apply</v>
      </c>
      <c r="C1971" s="10" t="s">
        <v>14936</v>
      </c>
      <c r="D1971" s="56" t="s">
        <v>11373</v>
      </c>
      <c r="E1971" s="10" t="s">
        <v>209</v>
      </c>
      <c r="F1971" s="10" t="s">
        <v>370</v>
      </c>
      <c r="G1971" s="10" t="s">
        <v>12635</v>
      </c>
      <c r="H1971" s="10" t="s">
        <v>113</v>
      </c>
      <c r="I1971" s="10" t="s">
        <v>55</v>
      </c>
      <c r="K1971" s="10" t="s">
        <v>14937</v>
      </c>
      <c r="L1971" s="10" t="s">
        <v>42</v>
      </c>
    </row>
    <row r="1972" ht="15.75" customHeight="1">
      <c r="A1972" s="64">
        <v>45478.0</v>
      </c>
      <c r="B1972" s="55" t="str">
        <f>HYPERLINK("https://jobright.ai/jobs/info/669a620663d445bd111bc936?utm_campaign=1065&amp;utm_source=sheet", "Apply")</f>
        <v>Apply</v>
      </c>
      <c r="C1972" s="10" t="s">
        <v>14938</v>
      </c>
      <c r="D1972" s="56" t="s">
        <v>14524</v>
      </c>
      <c r="E1972" s="10" t="s">
        <v>45</v>
      </c>
      <c r="F1972" s="10" t="s">
        <v>14525</v>
      </c>
      <c r="G1972" s="10" t="s">
        <v>12635</v>
      </c>
      <c r="H1972" s="10" t="s">
        <v>251</v>
      </c>
      <c r="I1972" s="10" t="s">
        <v>252</v>
      </c>
      <c r="J1972" s="10" t="s">
        <v>1984</v>
      </c>
      <c r="K1972" s="10" t="s">
        <v>14939</v>
      </c>
      <c r="L1972" s="10" t="s">
        <v>42</v>
      </c>
    </row>
    <row r="1973" ht="15.75" customHeight="1">
      <c r="A1973" s="64">
        <v>45478.0</v>
      </c>
      <c r="B1973" s="55" t="str">
        <f>HYPERLINK("https://jobright.ai/jobs/info/6691161aa0ceb2f039c78a13?utm_campaign=1065&amp;utm_source=sheet", "Apply")</f>
        <v>Apply</v>
      </c>
      <c r="C1973" s="10" t="s">
        <v>14940</v>
      </c>
      <c r="D1973" s="56" t="s">
        <v>13273</v>
      </c>
      <c r="E1973" s="10" t="s">
        <v>45</v>
      </c>
      <c r="F1973" s="10" t="s">
        <v>13274</v>
      </c>
      <c r="G1973" s="10" t="s">
        <v>12630</v>
      </c>
      <c r="H1973" s="10" t="s">
        <v>861</v>
      </c>
      <c r="I1973" s="10" t="s">
        <v>55</v>
      </c>
      <c r="K1973" s="10" t="s">
        <v>14941</v>
      </c>
      <c r="L1973" s="10" t="s">
        <v>42</v>
      </c>
    </row>
    <row r="1974" ht="15.75" customHeight="1">
      <c r="A1974" s="64">
        <v>45478.0</v>
      </c>
      <c r="B1974" s="55" t="str">
        <f>HYPERLINK("https://jobright.ai/jobs/info/655d36e356aaff5ca19b4cb8?utm_campaign=1065&amp;utm_source=sheet", "Apply")</f>
        <v>Apply</v>
      </c>
      <c r="C1974" s="10" t="s">
        <v>14942</v>
      </c>
      <c r="D1974" s="56" t="s">
        <v>12687</v>
      </c>
      <c r="E1974" s="10" t="s">
        <v>65</v>
      </c>
      <c r="F1974" s="10" t="s">
        <v>12688</v>
      </c>
      <c r="G1974" s="10" t="s">
        <v>12654</v>
      </c>
      <c r="H1974" s="10" t="s">
        <v>1556</v>
      </c>
      <c r="I1974" s="10" t="s">
        <v>48</v>
      </c>
      <c r="K1974" s="10" t="s">
        <v>12850</v>
      </c>
      <c r="L1974" s="10" t="s">
        <v>42</v>
      </c>
    </row>
    <row r="1975" ht="15.75" customHeight="1">
      <c r="A1975" s="64">
        <v>45478.0</v>
      </c>
      <c r="B1975" s="55" t="str">
        <f>HYPERLINK("https://jobright.ai/jobs/info/66888769060c796bfbb93b9a?utm_campaign=1065&amp;utm_source=sheet", "Apply")</f>
        <v>Apply</v>
      </c>
      <c r="C1975" s="10" t="s">
        <v>14943</v>
      </c>
      <c r="D1975" s="56" t="s">
        <v>14944</v>
      </c>
      <c r="E1975" s="10" t="s">
        <v>137</v>
      </c>
      <c r="G1975" s="10" t="s">
        <v>12654</v>
      </c>
      <c r="H1975" s="10" t="s">
        <v>792</v>
      </c>
      <c r="I1975" s="10" t="s">
        <v>55</v>
      </c>
      <c r="J1975" s="10" t="s">
        <v>4117</v>
      </c>
      <c r="K1975" s="10" t="s">
        <v>14945</v>
      </c>
      <c r="L1975" s="10" t="s">
        <v>42</v>
      </c>
    </row>
    <row r="1976" ht="15.75" customHeight="1">
      <c r="A1976" s="64">
        <v>45477.0</v>
      </c>
      <c r="B1976" s="55" t="str">
        <f>HYPERLINK("https://jobright.ai/jobs/info/66992a2451cbb3cd564b4688?utm_campaign=1065&amp;utm_source=sheet", "Apply")</f>
        <v>Apply</v>
      </c>
      <c r="C1976" s="10" t="s">
        <v>14946</v>
      </c>
      <c r="D1976" s="56" t="s">
        <v>14532</v>
      </c>
      <c r="E1976" s="10" t="s">
        <v>276</v>
      </c>
      <c r="F1976" s="10" t="s">
        <v>14533</v>
      </c>
      <c r="G1976" s="10" t="s">
        <v>12635</v>
      </c>
      <c r="H1976" s="10" t="s">
        <v>616</v>
      </c>
      <c r="I1976" s="10" t="s">
        <v>55</v>
      </c>
      <c r="J1976" s="10" t="s">
        <v>14534</v>
      </c>
      <c r="K1976" s="10" t="s">
        <v>14947</v>
      </c>
      <c r="L1976" s="10" t="s">
        <v>42</v>
      </c>
    </row>
    <row r="1977" ht="15.75" customHeight="1">
      <c r="A1977" s="64">
        <v>45477.0</v>
      </c>
      <c r="B1977" s="55" t="str">
        <f>HYPERLINK("https://jobright.ai/jobs/info/6686a200cc76e214d61976cc?utm_campaign=1065&amp;utm_source=sheet", "Apply")</f>
        <v>Apply</v>
      </c>
      <c r="C1977" s="10" t="s">
        <v>14948</v>
      </c>
      <c r="D1977" s="56" t="s">
        <v>2269</v>
      </c>
      <c r="E1977" s="10" t="s">
        <v>45</v>
      </c>
      <c r="F1977" s="10" t="s">
        <v>665</v>
      </c>
      <c r="G1977" s="10" t="s">
        <v>12645</v>
      </c>
      <c r="H1977" s="10" t="s">
        <v>1198</v>
      </c>
      <c r="I1977" s="10" t="s">
        <v>55</v>
      </c>
      <c r="K1977" s="10" t="s">
        <v>14949</v>
      </c>
      <c r="L1977" s="10" t="s">
        <v>42</v>
      </c>
    </row>
    <row r="1978" ht="15.75" customHeight="1">
      <c r="A1978" s="64">
        <v>45477.0</v>
      </c>
      <c r="B1978" s="55" t="str">
        <f>HYPERLINK("https://jobright.ai/jobs/info/668fc075c304bf57947c22f5?utm_campaign=1065&amp;utm_source=sheet", "Apply")</f>
        <v>Apply</v>
      </c>
      <c r="C1978" s="10" t="s">
        <v>14950</v>
      </c>
      <c r="D1978" s="58" t="s">
        <v>14951</v>
      </c>
      <c r="E1978" s="10" t="s">
        <v>276</v>
      </c>
      <c r="F1978" s="10" t="s">
        <v>2186</v>
      </c>
      <c r="G1978" s="10" t="s">
        <v>12645</v>
      </c>
      <c r="H1978" s="10" t="s">
        <v>96</v>
      </c>
      <c r="I1978" s="10" t="s">
        <v>55</v>
      </c>
      <c r="K1978" s="10" t="s">
        <v>14952</v>
      </c>
      <c r="L1978" s="10" t="s">
        <v>42</v>
      </c>
    </row>
    <row r="1979" ht="15.75" customHeight="1">
      <c r="A1979" s="64">
        <v>45477.0</v>
      </c>
      <c r="B1979" s="55" t="str">
        <f>HYPERLINK("https://jobright.ai/jobs/info/6686262e5a1b884a286faaeb?utm_campaign=1065&amp;utm_source=sheet", "Apply")</f>
        <v>Apply</v>
      </c>
      <c r="C1979" s="10" t="s">
        <v>12877</v>
      </c>
      <c r="D1979" s="56" t="s">
        <v>12878</v>
      </c>
      <c r="E1979" s="10" t="s">
        <v>209</v>
      </c>
      <c r="F1979" s="10" t="s">
        <v>9496</v>
      </c>
      <c r="G1979" s="10" t="s">
        <v>12635</v>
      </c>
      <c r="H1979" s="10" t="s">
        <v>578</v>
      </c>
      <c r="I1979" s="10" t="s">
        <v>55</v>
      </c>
      <c r="K1979" s="10" t="s">
        <v>12879</v>
      </c>
      <c r="L1979" s="10" t="s">
        <v>42</v>
      </c>
    </row>
    <row r="1980" ht="15.75" customHeight="1">
      <c r="A1980" s="64">
        <v>45477.0</v>
      </c>
      <c r="B1980" s="55" t="str">
        <f>HYPERLINK("https://jobright.ai/jobs/info/66860469da5ea22bb3d0f313?utm_campaign=1065&amp;utm_source=sheet", "Apply")</f>
        <v>Apply</v>
      </c>
      <c r="C1980" s="10" t="s">
        <v>14953</v>
      </c>
      <c r="D1980" s="56" t="s">
        <v>14954</v>
      </c>
      <c r="E1980" s="10" t="s">
        <v>65</v>
      </c>
      <c r="F1980" s="10" t="s">
        <v>14955</v>
      </c>
      <c r="G1980" s="10" t="s">
        <v>12654</v>
      </c>
      <c r="H1980" s="10" t="s">
        <v>170</v>
      </c>
      <c r="I1980" s="10" t="s">
        <v>55</v>
      </c>
      <c r="J1980" s="10" t="s">
        <v>1984</v>
      </c>
      <c r="K1980" s="10" t="s">
        <v>14956</v>
      </c>
      <c r="L1980" s="10" t="s">
        <v>42</v>
      </c>
    </row>
    <row r="1981" ht="15.75" customHeight="1">
      <c r="A1981" s="64">
        <v>45476.0</v>
      </c>
      <c r="B1981" s="55" t="str">
        <f>HYPERLINK("https://jobright.ai/jobs/info/6685e1c2adbfe96e189b6f05?utm_campaign=1065&amp;utm_source=sheet", "Apply")</f>
        <v>Apply</v>
      </c>
      <c r="C1981" s="10" t="s">
        <v>14957</v>
      </c>
      <c r="D1981" s="56" t="s">
        <v>14958</v>
      </c>
      <c r="E1981" s="10" t="s">
        <v>276</v>
      </c>
      <c r="F1981" s="10" t="s">
        <v>14959</v>
      </c>
      <c r="G1981" s="10" t="s">
        <v>12630</v>
      </c>
      <c r="H1981" s="10" t="s">
        <v>159</v>
      </c>
      <c r="I1981" s="10" t="s">
        <v>48</v>
      </c>
      <c r="K1981" s="10" t="s">
        <v>14960</v>
      </c>
      <c r="L1981" s="10" t="s">
        <v>42</v>
      </c>
    </row>
    <row r="1982" ht="15.75" customHeight="1">
      <c r="A1982" s="64">
        <v>45476.0</v>
      </c>
      <c r="B1982" s="55" t="str">
        <f>HYPERLINK("https://jobright.ai/jobs/info/6685d8ee3aae3c4b011ad67a?utm_campaign=1065&amp;utm_source=sheet", "Apply")</f>
        <v>Apply</v>
      </c>
      <c r="C1982" s="10" t="s">
        <v>14961</v>
      </c>
      <c r="D1982" s="56" t="s">
        <v>1502</v>
      </c>
      <c r="E1982" s="10">
        <v>10345.0</v>
      </c>
      <c r="G1982" s="10" t="s">
        <v>12654</v>
      </c>
      <c r="H1982" s="10" t="s">
        <v>106</v>
      </c>
      <c r="I1982" s="10" t="s">
        <v>48</v>
      </c>
      <c r="J1982" s="10" t="s">
        <v>13509</v>
      </c>
      <c r="K1982" s="10" t="s">
        <v>14962</v>
      </c>
      <c r="L1982" s="10" t="s">
        <v>42</v>
      </c>
    </row>
    <row r="1983" ht="15.75" customHeight="1">
      <c r="A1983" s="64">
        <v>45476.0</v>
      </c>
      <c r="B1983" s="55" t="str">
        <f>HYPERLINK("https://jobright.ai/jobs/info/6685c5a0f7b0cec5c1b1375e?utm_campaign=1065&amp;utm_source=sheet", "Apply")</f>
        <v>Apply</v>
      </c>
      <c r="C1983" s="10" t="s">
        <v>14963</v>
      </c>
      <c r="D1983" s="56" t="s">
        <v>1143</v>
      </c>
      <c r="E1983" s="10" t="s">
        <v>209</v>
      </c>
      <c r="G1983" s="10" t="s">
        <v>12630</v>
      </c>
      <c r="H1983" s="10" t="s">
        <v>1144</v>
      </c>
      <c r="I1983" s="10" t="s">
        <v>55</v>
      </c>
      <c r="K1983" s="10" t="s">
        <v>14964</v>
      </c>
      <c r="L1983" s="10" t="s">
        <v>42</v>
      </c>
    </row>
    <row r="1984" ht="15.75" customHeight="1">
      <c r="A1984" s="64">
        <v>45476.0</v>
      </c>
      <c r="B1984" s="55" t="str">
        <f>HYPERLINK("https://jobright.ai/jobs/info/6685bb29daed635a51efb370?utm_campaign=1065&amp;utm_source=sheet", "Apply")</f>
        <v>Apply</v>
      </c>
      <c r="C1984" s="10" t="s">
        <v>14965</v>
      </c>
      <c r="D1984" s="56" t="s">
        <v>14966</v>
      </c>
      <c r="E1984" s="10">
        <v>2.0</v>
      </c>
      <c r="G1984" s="10" t="s">
        <v>12635</v>
      </c>
      <c r="H1984" s="10" t="s">
        <v>3266</v>
      </c>
      <c r="I1984" s="10" t="s">
        <v>252</v>
      </c>
      <c r="K1984" s="10" t="s">
        <v>14967</v>
      </c>
      <c r="L1984" s="10" t="s">
        <v>42</v>
      </c>
    </row>
    <row r="1985" ht="15.75" customHeight="1">
      <c r="A1985" s="64">
        <v>45476.0</v>
      </c>
      <c r="B1985" s="55" t="str">
        <f>HYPERLINK("https://jobright.ai/jobs/info/668599ded827c4fd0f1047c8?utm_campaign=1065&amp;utm_source=sheet", "Apply")</f>
        <v>Apply</v>
      </c>
      <c r="C1985" s="10" t="s">
        <v>14968</v>
      </c>
      <c r="D1985" s="56" t="s">
        <v>14969</v>
      </c>
      <c r="E1985" s="10" t="s">
        <v>65</v>
      </c>
      <c r="F1985" s="10" t="s">
        <v>14970</v>
      </c>
      <c r="G1985" s="10" t="s">
        <v>12654</v>
      </c>
      <c r="H1985" s="10" t="s">
        <v>14971</v>
      </c>
      <c r="I1985" s="10" t="s">
        <v>55</v>
      </c>
      <c r="J1985" s="10" t="s">
        <v>4976</v>
      </c>
      <c r="K1985" s="10" t="s">
        <v>14972</v>
      </c>
      <c r="L1985" s="10" t="s">
        <v>42</v>
      </c>
    </row>
    <row r="1986" ht="15.75" customHeight="1">
      <c r="A1986" s="64">
        <v>45476.0</v>
      </c>
      <c r="B1986" s="55" t="str">
        <f>HYPERLINK("https://jobright.ai/jobs/info/6685978f8bf03a11b5c796a9?utm_campaign=1065&amp;utm_source=sheet", "Apply")</f>
        <v>Apply</v>
      </c>
      <c r="C1986" s="10" t="s">
        <v>14230</v>
      </c>
      <c r="D1986" s="56" t="s">
        <v>14973</v>
      </c>
      <c r="E1986" s="10" t="s">
        <v>209</v>
      </c>
      <c r="F1986" s="10" t="s">
        <v>14974</v>
      </c>
      <c r="G1986" s="10" t="s">
        <v>12630</v>
      </c>
      <c r="H1986" s="10" t="s">
        <v>3331</v>
      </c>
      <c r="I1986" s="10" t="s">
        <v>48</v>
      </c>
      <c r="J1986" s="10" t="s">
        <v>1984</v>
      </c>
      <c r="K1986" s="10" t="s">
        <v>14975</v>
      </c>
      <c r="L1986" s="10" t="s">
        <v>42</v>
      </c>
    </row>
    <row r="1987" ht="15.75" customHeight="1">
      <c r="A1987" s="64">
        <v>45476.0</v>
      </c>
      <c r="B1987" s="55" t="str">
        <f>HYPERLINK("https://jobright.ai/jobs/info/668573555c487336af023c1d?utm_campaign=1065&amp;utm_source=sheet", "Apply")</f>
        <v>Apply</v>
      </c>
      <c r="C1987" s="10" t="s">
        <v>14322</v>
      </c>
      <c r="D1987" s="56" t="s">
        <v>14976</v>
      </c>
      <c r="E1987" s="10" t="s">
        <v>209</v>
      </c>
      <c r="F1987" s="10" t="s">
        <v>14977</v>
      </c>
      <c r="G1987" s="10" t="s">
        <v>12693</v>
      </c>
      <c r="H1987" s="10" t="s">
        <v>14978</v>
      </c>
      <c r="I1987" s="10" t="s">
        <v>55</v>
      </c>
      <c r="K1987" s="10" t="s">
        <v>14979</v>
      </c>
      <c r="L1987" s="10" t="s">
        <v>42</v>
      </c>
    </row>
    <row r="1988" ht="15.75" customHeight="1">
      <c r="A1988" s="64">
        <v>45476.0</v>
      </c>
      <c r="B1988" s="55" t="str">
        <f>HYPERLINK("https://jobright.ai/jobs/info/668636d3c3a227946a5ec25b?utm_campaign=1065&amp;utm_source=sheet", "Apply")</f>
        <v>Apply</v>
      </c>
      <c r="C1988" s="10" t="s">
        <v>13724</v>
      </c>
      <c r="D1988" s="56" t="s">
        <v>14980</v>
      </c>
      <c r="E1988" s="10" t="s">
        <v>79</v>
      </c>
      <c r="F1988" s="10" t="s">
        <v>14981</v>
      </c>
      <c r="G1988" s="10" t="s">
        <v>12635</v>
      </c>
      <c r="H1988" s="10" t="s">
        <v>11767</v>
      </c>
      <c r="I1988" s="10" t="s">
        <v>55</v>
      </c>
      <c r="J1988" s="10" t="s">
        <v>14982</v>
      </c>
      <c r="K1988" s="10" t="s">
        <v>14983</v>
      </c>
      <c r="L1988" s="10" t="s">
        <v>42</v>
      </c>
    </row>
    <row r="1989" ht="15.75" customHeight="1">
      <c r="A1989" s="64">
        <v>45476.0</v>
      </c>
      <c r="B1989" s="55" t="str">
        <f>HYPERLINK("https://jobright.ai/jobs/info/6684e4cbb57bbac4cad725fa?utm_campaign=1065&amp;utm_source=sheet", "Apply")</f>
        <v>Apply</v>
      </c>
      <c r="C1989" s="10" t="s">
        <v>14984</v>
      </c>
      <c r="D1989" s="56" t="s">
        <v>14985</v>
      </c>
      <c r="E1989" s="10" t="s">
        <v>137</v>
      </c>
      <c r="G1989" s="10" t="s">
        <v>12654</v>
      </c>
      <c r="H1989" s="10" t="s">
        <v>1015</v>
      </c>
      <c r="I1989" s="10" t="s">
        <v>55</v>
      </c>
      <c r="K1989" s="10" t="s">
        <v>14986</v>
      </c>
      <c r="L1989" s="10" t="s">
        <v>42</v>
      </c>
    </row>
    <row r="1990" ht="15.75" customHeight="1">
      <c r="A1990" s="64">
        <v>45476.0</v>
      </c>
      <c r="B1990" s="55" t="str">
        <f>HYPERLINK("https://jobright.ai/jobs/info/66877472a27625d19d290cc7?utm_campaign=1065&amp;utm_source=sheet", "Apply")</f>
        <v>Apply</v>
      </c>
      <c r="C1990" s="10" t="s">
        <v>14987</v>
      </c>
      <c r="D1990" s="56" t="s">
        <v>14532</v>
      </c>
      <c r="E1990" s="10" t="s">
        <v>276</v>
      </c>
      <c r="F1990" s="10" t="s">
        <v>14533</v>
      </c>
      <c r="G1990" s="10" t="s">
        <v>12630</v>
      </c>
      <c r="H1990" s="10" t="s">
        <v>616</v>
      </c>
      <c r="I1990" s="10" t="s">
        <v>55</v>
      </c>
      <c r="J1990" s="10" t="s">
        <v>14534</v>
      </c>
      <c r="K1990" s="10" t="s">
        <v>14988</v>
      </c>
      <c r="L1990" s="10" t="s">
        <v>42</v>
      </c>
    </row>
    <row r="1991" ht="15.75" customHeight="1">
      <c r="A1991" s="64">
        <v>45476.0</v>
      </c>
      <c r="B1991" s="55" t="str">
        <f>HYPERLINK("https://jobright.ai/jobs/info/6684d7a5613b832fe6991a28?utm_campaign=1065&amp;utm_source=sheet", "Apply")</f>
        <v>Apply</v>
      </c>
      <c r="C1991" s="10" t="s">
        <v>13338</v>
      </c>
      <c r="D1991" s="56" t="s">
        <v>14989</v>
      </c>
      <c r="E1991" s="10" t="s">
        <v>137</v>
      </c>
      <c r="F1991" s="10" t="s">
        <v>2315</v>
      </c>
      <c r="G1991" s="10" t="s">
        <v>12654</v>
      </c>
      <c r="H1991" s="10" t="s">
        <v>994</v>
      </c>
      <c r="I1991" s="10" t="s">
        <v>55</v>
      </c>
      <c r="J1991" s="10" t="s">
        <v>1409</v>
      </c>
      <c r="K1991" s="10" t="s">
        <v>14990</v>
      </c>
      <c r="L1991" s="10" t="s">
        <v>42</v>
      </c>
    </row>
    <row r="1992" ht="15.75" customHeight="1">
      <c r="A1992" s="64">
        <v>45476.0</v>
      </c>
      <c r="B1992" s="55" t="str">
        <f>HYPERLINK("https://jobright.ai/jobs/info/6684d7b3613b832fe6991adc?utm_campaign=1065&amp;utm_source=sheet", "Apply")</f>
        <v>Apply</v>
      </c>
      <c r="C1992" s="10" t="s">
        <v>14991</v>
      </c>
      <c r="D1992" s="56" t="s">
        <v>14279</v>
      </c>
      <c r="E1992" s="10" t="s">
        <v>276</v>
      </c>
      <c r="F1992" s="10" t="s">
        <v>14280</v>
      </c>
      <c r="G1992" s="10" t="s">
        <v>12654</v>
      </c>
      <c r="H1992" s="10" t="s">
        <v>898</v>
      </c>
      <c r="I1992" s="10" t="s">
        <v>55</v>
      </c>
      <c r="K1992" s="10" t="s">
        <v>14281</v>
      </c>
      <c r="L1992" s="10" t="s">
        <v>42</v>
      </c>
    </row>
    <row r="1993" ht="15.75" customHeight="1">
      <c r="A1993" s="64">
        <v>45476.0</v>
      </c>
      <c r="B1993" s="55" t="str">
        <f>HYPERLINK("https://jobright.ai/jobs/info/6684bc774c3c8b0fd7245fb8?utm_campaign=1065&amp;utm_source=sheet", "Apply")</f>
        <v>Apply</v>
      </c>
      <c r="C1993" s="10" t="s">
        <v>14992</v>
      </c>
      <c r="D1993" s="56" t="s">
        <v>12673</v>
      </c>
      <c r="E1993" s="10" t="s">
        <v>276</v>
      </c>
      <c r="F1993" s="10" t="s">
        <v>12674</v>
      </c>
      <c r="G1993" s="10" t="s">
        <v>12645</v>
      </c>
      <c r="H1993" s="10" t="s">
        <v>12675</v>
      </c>
      <c r="I1993" s="10" t="s">
        <v>55</v>
      </c>
      <c r="K1993" s="10" t="s">
        <v>14993</v>
      </c>
      <c r="L1993" s="10" t="s">
        <v>42</v>
      </c>
    </row>
    <row r="1994" ht="15.75" customHeight="1">
      <c r="A1994" s="64">
        <v>45476.0</v>
      </c>
      <c r="B1994" s="55" t="str">
        <f>HYPERLINK("https://jobright.ai/jobs/info/668583bb798cca6c38173768?utm_campaign=1065&amp;utm_source=sheet", "Apply")</f>
        <v>Apply</v>
      </c>
      <c r="C1994" s="10" t="s">
        <v>12650</v>
      </c>
      <c r="D1994" s="56" t="s">
        <v>14994</v>
      </c>
      <c r="E1994" s="10" t="s">
        <v>276</v>
      </c>
      <c r="F1994" s="10" t="s">
        <v>14995</v>
      </c>
      <c r="G1994" s="10" t="s">
        <v>12630</v>
      </c>
      <c r="H1994" s="10" t="s">
        <v>14996</v>
      </c>
      <c r="I1994" s="10" t="s">
        <v>48</v>
      </c>
      <c r="K1994" s="10" t="s">
        <v>14997</v>
      </c>
      <c r="L1994" s="10" t="s">
        <v>42</v>
      </c>
    </row>
    <row r="1995" ht="15.75" customHeight="1">
      <c r="A1995" s="64">
        <v>45476.0</v>
      </c>
      <c r="B1995" s="55" t="str">
        <f>HYPERLINK("https://jobright.ai/jobs/info/6685f2fac18bebcab14e3eb8?utm_campaign=1065&amp;utm_source=sheet", "Apply")</f>
        <v>Apply</v>
      </c>
      <c r="C1995" s="10" t="s">
        <v>14230</v>
      </c>
      <c r="D1995" s="56" t="s">
        <v>14998</v>
      </c>
      <c r="E1995" s="10" t="s">
        <v>79</v>
      </c>
      <c r="F1995" s="10" t="s">
        <v>14999</v>
      </c>
      <c r="G1995" s="10" t="s">
        <v>12630</v>
      </c>
      <c r="H1995" s="10" t="s">
        <v>605</v>
      </c>
      <c r="I1995" s="10" t="s">
        <v>55</v>
      </c>
      <c r="K1995" s="10" t="s">
        <v>15000</v>
      </c>
      <c r="L1995" s="10" t="s">
        <v>42</v>
      </c>
    </row>
    <row r="1996" ht="15.75" customHeight="1">
      <c r="A1996" s="64">
        <v>45476.0</v>
      </c>
      <c r="B1996" s="55" t="str">
        <f>HYPERLINK("https://jobright.ai/jobs/info/6685f2fac18bebcab14e3ec5?utm_campaign=1065&amp;utm_source=sheet", "Apply")</f>
        <v>Apply</v>
      </c>
      <c r="C1996" s="10" t="s">
        <v>15001</v>
      </c>
      <c r="D1996" s="56" t="s">
        <v>14998</v>
      </c>
      <c r="E1996" s="10" t="s">
        <v>79</v>
      </c>
      <c r="F1996" s="10" t="s">
        <v>14999</v>
      </c>
      <c r="G1996" s="10" t="s">
        <v>12654</v>
      </c>
      <c r="H1996" s="10" t="s">
        <v>605</v>
      </c>
      <c r="I1996" s="10" t="s">
        <v>55</v>
      </c>
      <c r="K1996" s="10" t="s">
        <v>15002</v>
      </c>
      <c r="L1996" s="10" t="s">
        <v>42</v>
      </c>
    </row>
    <row r="1997" ht="15.75" customHeight="1">
      <c r="A1997" s="64">
        <v>45476.0</v>
      </c>
      <c r="B1997" s="55" t="str">
        <f>HYPERLINK("https://jobright.ai/jobs/info/6685f06c188ab17c33cd7ed9?utm_campaign=1065&amp;utm_source=sheet", "Apply")</f>
        <v>Apply</v>
      </c>
      <c r="C1997" s="10" t="s">
        <v>12650</v>
      </c>
      <c r="D1997" s="56" t="s">
        <v>15003</v>
      </c>
      <c r="E1997" s="10" t="s">
        <v>249</v>
      </c>
      <c r="F1997" s="10" t="s">
        <v>15004</v>
      </c>
      <c r="G1997" s="10" t="s">
        <v>12635</v>
      </c>
      <c r="H1997" s="10" t="s">
        <v>875</v>
      </c>
      <c r="I1997" s="10" t="s">
        <v>55</v>
      </c>
      <c r="K1997" s="10" t="s">
        <v>15005</v>
      </c>
      <c r="L1997" s="10" t="s">
        <v>42</v>
      </c>
    </row>
    <row r="1998" ht="15.75" customHeight="1">
      <c r="A1998" s="64">
        <v>45476.0</v>
      </c>
      <c r="B1998" s="55" t="str">
        <f>HYPERLINK("https://jobright.ai/jobs/info/6685d3707596db7e6ee5080a?utm_campaign=1065&amp;utm_source=sheet", "Apply")</f>
        <v>Apply</v>
      </c>
      <c r="C1998" s="10" t="s">
        <v>14950</v>
      </c>
      <c r="D1998" s="58" t="s">
        <v>14951</v>
      </c>
      <c r="E1998" s="10" t="s">
        <v>276</v>
      </c>
      <c r="F1998" s="10" t="s">
        <v>2186</v>
      </c>
      <c r="G1998" s="10" t="s">
        <v>12645</v>
      </c>
      <c r="H1998" s="10" t="s">
        <v>96</v>
      </c>
      <c r="I1998" s="10" t="s">
        <v>48</v>
      </c>
      <c r="K1998" s="10" t="s">
        <v>14952</v>
      </c>
      <c r="L1998" s="10" t="s">
        <v>42</v>
      </c>
    </row>
    <row r="1999" ht="15.75" customHeight="1">
      <c r="A1999" s="64">
        <v>45476.0</v>
      </c>
      <c r="B1999" s="55" t="str">
        <f>HYPERLINK("https://jobright.ai/jobs/info/668561151d11a7b22ab583f5?utm_campaign=1065&amp;utm_source=sheet", "Apply")</f>
        <v>Apply</v>
      </c>
      <c r="C1999" s="10" t="s">
        <v>15006</v>
      </c>
      <c r="D1999" s="56" t="s">
        <v>11095</v>
      </c>
      <c r="E1999" s="10" t="s">
        <v>45</v>
      </c>
      <c r="F1999" s="10" t="s">
        <v>11096</v>
      </c>
      <c r="G1999" s="10" t="s">
        <v>12645</v>
      </c>
      <c r="H1999" s="10" t="s">
        <v>6990</v>
      </c>
      <c r="I1999" s="10" t="s">
        <v>55</v>
      </c>
      <c r="J1999" s="10" t="s">
        <v>11097</v>
      </c>
      <c r="K1999" s="10" t="s">
        <v>15007</v>
      </c>
      <c r="L1999" s="10" t="s">
        <v>42</v>
      </c>
    </row>
    <row r="2000" ht="15.75" customHeight="1">
      <c r="A2000" s="64">
        <v>45476.0</v>
      </c>
      <c r="B2000" s="55" t="str">
        <f>HYPERLINK("https://jobright.ai/jobs/info/6685bb16daed635a51efb237?utm_campaign=1065&amp;utm_source=sheet", "Apply")</f>
        <v>Apply</v>
      </c>
      <c r="C2000" s="10" t="s">
        <v>13063</v>
      </c>
      <c r="D2000" s="56" t="s">
        <v>13064</v>
      </c>
      <c r="E2000" s="10" t="s">
        <v>209</v>
      </c>
      <c r="F2000" s="10" t="s">
        <v>13065</v>
      </c>
      <c r="G2000" s="10" t="s">
        <v>12635</v>
      </c>
      <c r="H2000" s="10" t="s">
        <v>154</v>
      </c>
      <c r="I2000" s="10" t="s">
        <v>55</v>
      </c>
      <c r="K2000" s="10" t="s">
        <v>13066</v>
      </c>
      <c r="L2000" s="10" t="s">
        <v>42</v>
      </c>
    </row>
    <row r="2001" ht="15.75" customHeight="1">
      <c r="A2001" s="64">
        <v>45476.0</v>
      </c>
      <c r="B2001" s="55" t="str">
        <f>HYPERLINK("https://jobright.ai/jobs/info/668f2b0d1eb843fbb41218b0?utm_campaign=1065&amp;utm_source=sheet", "Apply")</f>
        <v>Apply</v>
      </c>
      <c r="C2001" s="10" t="s">
        <v>13311</v>
      </c>
      <c r="D2001" s="56" t="s">
        <v>13312</v>
      </c>
      <c r="E2001" s="10" t="s">
        <v>79</v>
      </c>
      <c r="F2001" s="10" t="s">
        <v>13313</v>
      </c>
      <c r="G2001" s="10" t="s">
        <v>12635</v>
      </c>
      <c r="H2001" s="10" t="s">
        <v>15008</v>
      </c>
      <c r="I2001" s="10" t="s">
        <v>48</v>
      </c>
      <c r="K2001" s="10" t="s">
        <v>13314</v>
      </c>
      <c r="L2001" s="10" t="s">
        <v>42</v>
      </c>
    </row>
    <row r="2002" ht="15.75" customHeight="1">
      <c r="A2002" s="64">
        <v>45476.0</v>
      </c>
      <c r="B2002" s="55" t="str">
        <f>HYPERLINK("https://jobright.ai/jobs/info/66860b95aab98524db9618b9?utm_campaign=1065&amp;utm_source=sheet", "Apply")</f>
        <v>Apply</v>
      </c>
      <c r="C2002" s="10" t="s">
        <v>13724</v>
      </c>
      <c r="D2002" s="56" t="s">
        <v>15009</v>
      </c>
      <c r="E2002" s="10" t="s">
        <v>249</v>
      </c>
      <c r="F2002" s="10" t="s">
        <v>2824</v>
      </c>
      <c r="G2002" s="10" t="s">
        <v>12635</v>
      </c>
      <c r="H2002" s="10" t="s">
        <v>15010</v>
      </c>
      <c r="I2002" s="10" t="s">
        <v>55</v>
      </c>
      <c r="J2002" s="10" t="s">
        <v>14982</v>
      </c>
      <c r="K2002" s="10" t="s">
        <v>14983</v>
      </c>
      <c r="L2002" s="10" t="s">
        <v>42</v>
      </c>
    </row>
    <row r="2003" ht="15.75" customHeight="1">
      <c r="A2003" s="64">
        <v>45475.0</v>
      </c>
      <c r="B2003" s="55" t="str">
        <f>HYPERLINK("https://jobright.ai/jobs/info/668489ca2ca14dafe69a1bd8?utm_campaign=1065&amp;utm_source=sheet", "Apply")</f>
        <v>Apply</v>
      </c>
      <c r="C2003" s="10" t="s">
        <v>15011</v>
      </c>
      <c r="D2003" s="56" t="s">
        <v>15012</v>
      </c>
      <c r="E2003" s="10" t="s">
        <v>276</v>
      </c>
      <c r="F2003" s="10" t="s">
        <v>15013</v>
      </c>
      <c r="G2003" s="10" t="s">
        <v>12654</v>
      </c>
      <c r="H2003" s="10" t="s">
        <v>843</v>
      </c>
      <c r="I2003" s="10" t="s">
        <v>55</v>
      </c>
      <c r="K2003" s="10" t="s">
        <v>15014</v>
      </c>
      <c r="L2003" s="10" t="s">
        <v>42</v>
      </c>
    </row>
    <row r="2004" ht="15.75" customHeight="1">
      <c r="A2004" s="64">
        <v>45475.0</v>
      </c>
      <c r="B2004" s="55" t="str">
        <f>HYPERLINK("https://jobright.ai/jobs/info/668462d0387089b883176471?utm_campaign=1065&amp;utm_source=sheet", "Apply")</f>
        <v>Apply</v>
      </c>
      <c r="C2004" s="10" t="s">
        <v>12650</v>
      </c>
      <c r="D2004" s="56" t="s">
        <v>15015</v>
      </c>
      <c r="E2004" s="10" t="s">
        <v>71</v>
      </c>
      <c r="F2004" s="10" t="s">
        <v>722</v>
      </c>
      <c r="G2004" s="10" t="s">
        <v>12654</v>
      </c>
      <c r="H2004" s="10" t="s">
        <v>15016</v>
      </c>
      <c r="I2004" s="10" t="s">
        <v>55</v>
      </c>
      <c r="K2004" s="10" t="s">
        <v>15017</v>
      </c>
      <c r="L2004" s="10" t="s">
        <v>42</v>
      </c>
    </row>
    <row r="2005" ht="15.75" customHeight="1">
      <c r="A2005" s="64">
        <v>45475.0</v>
      </c>
      <c r="B2005" s="55" t="str">
        <f>HYPERLINK("https://jobright.ai/jobs/info/6679ae040876913fed304ffb?utm_campaign=1065&amp;utm_source=sheet", "Apply")</f>
        <v>Apply</v>
      </c>
      <c r="C2005" s="10" t="s">
        <v>15018</v>
      </c>
      <c r="D2005" s="56" t="s">
        <v>1273</v>
      </c>
      <c r="E2005" s="10" t="s">
        <v>45</v>
      </c>
      <c r="F2005" s="10" t="s">
        <v>1274</v>
      </c>
      <c r="G2005" s="10" t="s">
        <v>12645</v>
      </c>
      <c r="H2005" s="10" t="s">
        <v>2154</v>
      </c>
      <c r="I2005" s="10" t="s">
        <v>55</v>
      </c>
      <c r="K2005" s="10" t="s">
        <v>15019</v>
      </c>
      <c r="L2005" s="10" t="s">
        <v>42</v>
      </c>
    </row>
    <row r="2006" ht="15.75" customHeight="1">
      <c r="A2006" s="64">
        <v>45475.0</v>
      </c>
      <c r="B2006" s="55" t="str">
        <f>HYPERLINK("https://jobright.ai/jobs/info/66842fd3fb29648f2cae36a4?utm_campaign=1065&amp;utm_source=sheet", "Apply")</f>
        <v>Apply</v>
      </c>
      <c r="C2006" s="10" t="s">
        <v>15020</v>
      </c>
      <c r="D2006" s="56" t="s">
        <v>15021</v>
      </c>
      <c r="E2006" s="10">
        <v>283.0</v>
      </c>
      <c r="G2006" s="10" t="s">
        <v>12635</v>
      </c>
      <c r="H2006" s="10" t="s">
        <v>774</v>
      </c>
      <c r="I2006" s="10" t="s">
        <v>55</v>
      </c>
      <c r="J2006" s="10" t="s">
        <v>15022</v>
      </c>
      <c r="K2006" s="10" t="s">
        <v>15023</v>
      </c>
      <c r="L2006" s="10" t="s">
        <v>42</v>
      </c>
    </row>
    <row r="2007" ht="15.75" customHeight="1">
      <c r="A2007" s="64">
        <v>45475.0</v>
      </c>
      <c r="B2007" s="55" t="str">
        <f>HYPERLINK("https://jobright.ai/jobs/info/66967b43d8df5b2cf3163f17?utm_campaign=1065&amp;utm_source=sheet", "Apply")</f>
        <v>Apply</v>
      </c>
      <c r="C2007" s="10" t="s">
        <v>15024</v>
      </c>
      <c r="D2007" s="56" t="s">
        <v>13913</v>
      </c>
      <c r="E2007" s="10" t="s">
        <v>45</v>
      </c>
      <c r="F2007" s="10" t="s">
        <v>13842</v>
      </c>
      <c r="G2007" s="10" t="s">
        <v>12654</v>
      </c>
      <c r="H2007" s="10" t="s">
        <v>144</v>
      </c>
      <c r="I2007" s="10" t="s">
        <v>55</v>
      </c>
      <c r="J2007" s="10" t="s">
        <v>2609</v>
      </c>
      <c r="K2007" s="10" t="s">
        <v>13915</v>
      </c>
      <c r="L2007" s="10" t="s">
        <v>42</v>
      </c>
    </row>
    <row r="2008" ht="15.75" customHeight="1">
      <c r="A2008" s="64">
        <v>45475.0</v>
      </c>
      <c r="B2008" s="55" t="str">
        <f>HYPERLINK("https://jobright.ai/jobs/info/668bd9c8ac083f97919210bd?utm_campaign=1065&amp;utm_source=sheet", "Apply")</f>
        <v>Apply</v>
      </c>
      <c r="C2008" s="10" t="s">
        <v>15025</v>
      </c>
      <c r="D2008" s="56" t="s">
        <v>1178</v>
      </c>
      <c r="E2008" s="10" t="s">
        <v>137</v>
      </c>
      <c r="F2008" s="10" t="s">
        <v>1179</v>
      </c>
      <c r="G2008" s="10" t="s">
        <v>12630</v>
      </c>
      <c r="H2008" s="10" t="s">
        <v>1254</v>
      </c>
      <c r="I2008" s="10" t="s">
        <v>55</v>
      </c>
      <c r="K2008" s="10" t="s">
        <v>15026</v>
      </c>
      <c r="L2008" s="10" t="s">
        <v>42</v>
      </c>
    </row>
    <row r="2009" ht="15.75" customHeight="1">
      <c r="A2009" s="64">
        <v>45475.0</v>
      </c>
      <c r="B2009" s="55" t="str">
        <f>HYPERLINK("https://jobright.ai/jobs/info/6684ecbbb38e65b35097bd58?utm_campaign=1065&amp;utm_source=sheet", "Apply")</f>
        <v>Apply</v>
      </c>
      <c r="C2009" s="10" t="s">
        <v>15027</v>
      </c>
      <c r="D2009" s="56" t="s">
        <v>15028</v>
      </c>
      <c r="E2009" s="10" t="s">
        <v>276</v>
      </c>
      <c r="F2009" s="10" t="s">
        <v>627</v>
      </c>
      <c r="G2009" s="10" t="s">
        <v>12645</v>
      </c>
      <c r="H2009" s="10" t="s">
        <v>15029</v>
      </c>
      <c r="I2009" s="10" t="s">
        <v>55</v>
      </c>
      <c r="K2009" s="10" t="s">
        <v>15030</v>
      </c>
      <c r="L2009" s="10" t="s">
        <v>42</v>
      </c>
    </row>
    <row r="2010" ht="15.75" customHeight="1">
      <c r="A2010" s="64">
        <v>45475.0</v>
      </c>
      <c r="B2010" s="55" t="str">
        <f>HYPERLINK("https://jobright.ai/jobs/info/6684ecbbb38e65b35097bd5a?utm_campaign=1065&amp;utm_source=sheet", "Apply")</f>
        <v>Apply</v>
      </c>
      <c r="C2010" s="10" t="s">
        <v>15031</v>
      </c>
      <c r="D2010" s="56" t="s">
        <v>15028</v>
      </c>
      <c r="E2010" s="10" t="s">
        <v>276</v>
      </c>
      <c r="F2010" s="10" t="s">
        <v>627</v>
      </c>
      <c r="G2010" s="10" t="s">
        <v>12635</v>
      </c>
      <c r="H2010" s="10" t="s">
        <v>15029</v>
      </c>
      <c r="I2010" s="10" t="s">
        <v>55</v>
      </c>
      <c r="K2010" s="10" t="s">
        <v>15032</v>
      </c>
      <c r="L2010" s="10" t="s">
        <v>42</v>
      </c>
    </row>
    <row r="2011" ht="15.75" customHeight="1">
      <c r="A2011" s="64">
        <v>45475.0</v>
      </c>
      <c r="B2011" s="55" t="str">
        <f>HYPERLINK("https://jobright.ai/jobs/info/6684ecbbb38e65b35097bd63?utm_campaign=1065&amp;utm_source=sheet", "Apply")</f>
        <v>Apply</v>
      </c>
      <c r="C2011" s="10" t="s">
        <v>15033</v>
      </c>
      <c r="D2011" s="56" t="s">
        <v>15028</v>
      </c>
      <c r="E2011" s="10" t="s">
        <v>276</v>
      </c>
      <c r="F2011" s="10" t="s">
        <v>627</v>
      </c>
      <c r="G2011" s="10" t="s">
        <v>12635</v>
      </c>
      <c r="H2011" s="10" t="s">
        <v>15029</v>
      </c>
      <c r="I2011" s="10" t="s">
        <v>55</v>
      </c>
      <c r="K2011" s="10" t="s">
        <v>15034</v>
      </c>
      <c r="L2011" s="10" t="s">
        <v>42</v>
      </c>
    </row>
    <row r="2012" ht="15.75" customHeight="1">
      <c r="A2012" s="64">
        <v>45475.0</v>
      </c>
      <c r="B2012" s="55" t="str">
        <f>HYPERLINK("https://jobright.ai/jobs/info/667e3e812370d685e8a61539?utm_campaign=1065&amp;utm_source=sheet", "Apply")</f>
        <v>Apply</v>
      </c>
      <c r="C2012" s="10" t="s">
        <v>15035</v>
      </c>
      <c r="D2012" s="56" t="s">
        <v>1650</v>
      </c>
      <c r="E2012" s="10" t="s">
        <v>209</v>
      </c>
      <c r="F2012" s="10" t="s">
        <v>1243</v>
      </c>
      <c r="G2012" s="10" t="s">
        <v>12654</v>
      </c>
      <c r="H2012" s="10" t="s">
        <v>898</v>
      </c>
      <c r="I2012" s="10" t="s">
        <v>55</v>
      </c>
      <c r="K2012" s="10" t="s">
        <v>15036</v>
      </c>
      <c r="L2012" s="10" t="s">
        <v>42</v>
      </c>
    </row>
    <row r="2013" ht="15.75" customHeight="1">
      <c r="A2013" s="64">
        <v>45474.0</v>
      </c>
      <c r="B2013" s="55" t="str">
        <f>HYPERLINK("https://jobright.ai/jobs/info/668337deb5752eff96c79a45?utm_campaign=1065&amp;utm_source=sheet", "Apply")</f>
        <v>Apply</v>
      </c>
      <c r="C2013" s="10" t="s">
        <v>13338</v>
      </c>
      <c r="D2013" s="56" t="s">
        <v>15037</v>
      </c>
      <c r="E2013" s="10" t="s">
        <v>137</v>
      </c>
      <c r="F2013" s="10" t="s">
        <v>395</v>
      </c>
      <c r="G2013" s="10" t="s">
        <v>12630</v>
      </c>
      <c r="H2013" s="10" t="s">
        <v>5137</v>
      </c>
      <c r="I2013" s="10" t="s">
        <v>48</v>
      </c>
      <c r="J2013" s="10" t="s">
        <v>3979</v>
      </c>
      <c r="K2013" s="10" t="s">
        <v>15038</v>
      </c>
      <c r="L2013" s="10" t="s">
        <v>42</v>
      </c>
    </row>
    <row r="2014" ht="15.75" customHeight="1">
      <c r="A2014" s="64">
        <v>45474.0</v>
      </c>
      <c r="B2014" s="55" t="str">
        <f>HYPERLINK("https://jobright.ai/jobs/info/66833818b5752eff96c79dfb?utm_campaign=1065&amp;utm_source=sheet", "Apply")</f>
        <v>Apply</v>
      </c>
      <c r="C2014" s="10" t="s">
        <v>15039</v>
      </c>
      <c r="D2014" s="56" t="s">
        <v>15040</v>
      </c>
      <c r="E2014" s="10">
        <v>320.0</v>
      </c>
      <c r="G2014" s="10" t="s">
        <v>12630</v>
      </c>
      <c r="H2014" s="10" t="s">
        <v>628</v>
      </c>
      <c r="I2014" s="10" t="s">
        <v>55</v>
      </c>
      <c r="K2014" s="10" t="s">
        <v>15041</v>
      </c>
      <c r="L2014" s="10" t="s">
        <v>42</v>
      </c>
    </row>
    <row r="2015" ht="15.75" customHeight="1">
      <c r="A2015" s="64">
        <v>45474.0</v>
      </c>
      <c r="B2015" s="55" t="str">
        <f>HYPERLINK("https://jobright.ai/jobs/info/66833818b5752eff96c79e6c?utm_campaign=1065&amp;utm_source=sheet", "Apply")</f>
        <v>Apply</v>
      </c>
      <c r="C2015" s="10" t="s">
        <v>13863</v>
      </c>
      <c r="D2015" s="56" t="s">
        <v>7919</v>
      </c>
      <c r="E2015" s="10" t="s">
        <v>45</v>
      </c>
      <c r="F2015" s="10" t="s">
        <v>1234</v>
      </c>
      <c r="G2015" s="10" t="s">
        <v>12645</v>
      </c>
      <c r="H2015" s="10" t="s">
        <v>131</v>
      </c>
      <c r="I2015" s="10" t="s">
        <v>48</v>
      </c>
      <c r="K2015" s="10" t="s">
        <v>15042</v>
      </c>
      <c r="L2015" s="10" t="s">
        <v>42</v>
      </c>
    </row>
    <row r="2016" ht="15.75" customHeight="1">
      <c r="A2016" s="64">
        <v>45474.0</v>
      </c>
      <c r="B2016" s="55" t="str">
        <f>HYPERLINK("https://jobright.ai/jobs/info/668331588dbe7d280774b86f?utm_campaign=1065&amp;utm_source=sheet", "Apply")</f>
        <v>Apply</v>
      </c>
      <c r="C2016" s="10" t="s">
        <v>15043</v>
      </c>
      <c r="D2016" s="56" t="s">
        <v>15040</v>
      </c>
      <c r="E2016" s="10">
        <v>320.0</v>
      </c>
      <c r="G2016" s="10" t="s">
        <v>12630</v>
      </c>
      <c r="H2016" s="10" t="s">
        <v>628</v>
      </c>
      <c r="I2016" s="10" t="s">
        <v>55</v>
      </c>
      <c r="K2016" s="10" t="s">
        <v>15041</v>
      </c>
      <c r="L2016" s="10" t="s">
        <v>42</v>
      </c>
    </row>
    <row r="2017" ht="15.75" customHeight="1">
      <c r="A2017" s="64">
        <v>45474.0</v>
      </c>
      <c r="B2017" s="55" t="str">
        <f>HYPERLINK("https://jobright.ai/jobs/info/668326befe80743b5aa36bfc?utm_campaign=1065&amp;utm_source=sheet", "Apply")</f>
        <v>Apply</v>
      </c>
      <c r="C2017" s="10" t="s">
        <v>15044</v>
      </c>
      <c r="D2017" s="56" t="s">
        <v>14751</v>
      </c>
      <c r="E2017" s="10" t="s">
        <v>65</v>
      </c>
      <c r="F2017" s="10" t="s">
        <v>1512</v>
      </c>
      <c r="G2017" s="10" t="s">
        <v>12635</v>
      </c>
      <c r="H2017" s="10" t="s">
        <v>14752</v>
      </c>
      <c r="I2017" s="10" t="s">
        <v>55</v>
      </c>
      <c r="J2017" s="10" t="s">
        <v>3294</v>
      </c>
      <c r="K2017" s="10" t="s">
        <v>14753</v>
      </c>
      <c r="L2017" s="10" t="s">
        <v>42</v>
      </c>
    </row>
    <row r="2018" ht="15.75" customHeight="1">
      <c r="A2018" s="64">
        <v>45474.0</v>
      </c>
      <c r="B2018" s="55" t="str">
        <f>HYPERLINK("https://jobright.ai/jobs/info/6683093dca2bf3ad4c8f5341?utm_campaign=1065&amp;utm_source=sheet", "Apply")</f>
        <v>Apply</v>
      </c>
      <c r="C2018" s="10" t="s">
        <v>15045</v>
      </c>
      <c r="D2018" s="56" t="s">
        <v>15046</v>
      </c>
      <c r="E2018" s="10" t="s">
        <v>71</v>
      </c>
      <c r="F2018" s="10" t="s">
        <v>15047</v>
      </c>
      <c r="G2018" s="10" t="s">
        <v>12630</v>
      </c>
      <c r="H2018" s="10" t="s">
        <v>168</v>
      </c>
      <c r="I2018" s="10" t="s">
        <v>55</v>
      </c>
      <c r="K2018" s="10" t="s">
        <v>15048</v>
      </c>
      <c r="L2018" s="10" t="s">
        <v>42</v>
      </c>
    </row>
    <row r="2019" ht="15.75" customHeight="1">
      <c r="A2019" s="64">
        <v>45474.0</v>
      </c>
      <c r="B2019" s="55" t="str">
        <f>HYPERLINK("https://jobright.ai/jobs/info/6683e6e4bff8e7c8fbc4af2e?utm_campaign=1065&amp;utm_source=sheet", "Apply")</f>
        <v>Apply</v>
      </c>
      <c r="C2019" s="10" t="s">
        <v>15025</v>
      </c>
      <c r="D2019" s="56" t="s">
        <v>1178</v>
      </c>
      <c r="E2019" s="10" t="s">
        <v>137</v>
      </c>
      <c r="F2019" s="10" t="s">
        <v>1179</v>
      </c>
      <c r="G2019" s="10" t="s">
        <v>12630</v>
      </c>
      <c r="H2019" s="10" t="s">
        <v>1254</v>
      </c>
      <c r="I2019" s="10" t="s">
        <v>55</v>
      </c>
      <c r="K2019" s="10" t="s">
        <v>15026</v>
      </c>
      <c r="L2019" s="10" t="s">
        <v>42</v>
      </c>
    </row>
    <row r="2020" ht="15.75" customHeight="1">
      <c r="A2020" s="64">
        <v>45474.0</v>
      </c>
      <c r="B2020" s="55" t="str">
        <f>HYPERLINK("https://jobright.ai/jobs/info/6682eeb6d0cb3bcfb06e4f43?utm_campaign=1065&amp;utm_source=sheet", "Apply")</f>
        <v>Apply</v>
      </c>
      <c r="C2020" s="10" t="s">
        <v>15049</v>
      </c>
      <c r="D2020" s="56" t="s">
        <v>15050</v>
      </c>
      <c r="E2020" s="10" t="s">
        <v>137</v>
      </c>
      <c r="F2020" s="10" t="s">
        <v>15051</v>
      </c>
      <c r="G2020" s="10" t="s">
        <v>12654</v>
      </c>
      <c r="H2020" s="10" t="s">
        <v>610</v>
      </c>
      <c r="I2020" s="10" t="s">
        <v>55</v>
      </c>
      <c r="J2020" s="10" t="s">
        <v>15052</v>
      </c>
      <c r="K2020" s="10" t="s">
        <v>15053</v>
      </c>
      <c r="L2020" s="10" t="s">
        <v>42</v>
      </c>
    </row>
    <row r="2021" ht="15.75" customHeight="1">
      <c r="A2021" s="64">
        <v>45474.0</v>
      </c>
      <c r="B2021" s="55" t="str">
        <f>HYPERLINK("https://jobright.ai/jobs/info/668290dd80444982f0ddb826?utm_campaign=1065&amp;utm_source=sheet", "Apply")</f>
        <v>Apply</v>
      </c>
      <c r="C2021" s="10" t="s">
        <v>15054</v>
      </c>
      <c r="D2021" s="56" t="s">
        <v>14698</v>
      </c>
      <c r="E2021" s="10" t="s">
        <v>137</v>
      </c>
      <c r="F2021" s="10" t="s">
        <v>14699</v>
      </c>
      <c r="G2021" s="10" t="s">
        <v>12654</v>
      </c>
      <c r="H2021" s="10" t="s">
        <v>152</v>
      </c>
      <c r="I2021" s="10" t="s">
        <v>55</v>
      </c>
      <c r="K2021" s="10" t="s">
        <v>15055</v>
      </c>
      <c r="L2021" s="10" t="s">
        <v>42</v>
      </c>
    </row>
    <row r="2022" ht="15.75" customHeight="1">
      <c r="A2022" s="64">
        <v>45474.0</v>
      </c>
      <c r="B2022" s="55" t="str">
        <f>HYPERLINK("https://jobright.ai/jobs/info/6684ecc4b38e65b35097bd91?utm_campaign=1065&amp;utm_source=sheet", "Apply")</f>
        <v>Apply</v>
      </c>
      <c r="C2022" s="10" t="s">
        <v>15056</v>
      </c>
      <c r="D2022" s="56" t="s">
        <v>15057</v>
      </c>
      <c r="E2022" s="10" t="s">
        <v>276</v>
      </c>
      <c r="F2022" s="10" t="s">
        <v>1893</v>
      </c>
      <c r="G2022" s="10" t="s">
        <v>12635</v>
      </c>
      <c r="H2022" s="10" t="s">
        <v>154</v>
      </c>
      <c r="I2022" s="10" t="s">
        <v>55</v>
      </c>
      <c r="K2022" s="10" t="s">
        <v>15058</v>
      </c>
      <c r="L2022" s="10" t="s">
        <v>42</v>
      </c>
    </row>
    <row r="2023" ht="15.75" customHeight="1">
      <c r="A2023" s="64">
        <v>45474.0</v>
      </c>
      <c r="B2023" s="55" t="str">
        <f>HYPERLINK("https://jobright.ai/jobs/info/668344418264d4aa18e993ae?utm_campaign=1065&amp;utm_source=sheet", "Apply")</f>
        <v>Apply</v>
      </c>
      <c r="C2023" s="10" t="s">
        <v>15059</v>
      </c>
      <c r="D2023" s="56" t="s">
        <v>15060</v>
      </c>
      <c r="E2023" s="10" t="s">
        <v>71</v>
      </c>
      <c r="F2023" s="10" t="s">
        <v>3035</v>
      </c>
      <c r="G2023" s="10" t="s">
        <v>12645</v>
      </c>
      <c r="H2023" s="10" t="s">
        <v>96</v>
      </c>
      <c r="I2023" s="10" t="s">
        <v>252</v>
      </c>
      <c r="K2023" s="10" t="s">
        <v>15061</v>
      </c>
      <c r="L2023" s="10" t="s">
        <v>42</v>
      </c>
    </row>
    <row r="2024" ht="15.75" customHeight="1">
      <c r="A2024" s="64">
        <v>45474.0</v>
      </c>
      <c r="B2024" s="55" t="str">
        <f>HYPERLINK("https://jobright.ai/jobs/info/668205a6e674a15b6c728740?utm_campaign=1065&amp;utm_source=sheet", "Apply")</f>
        <v>Apply</v>
      </c>
      <c r="C2024" s="10" t="s">
        <v>15062</v>
      </c>
      <c r="D2024" s="56" t="s">
        <v>15063</v>
      </c>
      <c r="E2024" s="10">
        <v>12.0</v>
      </c>
      <c r="G2024" s="10" t="s">
        <v>12630</v>
      </c>
      <c r="H2024" s="10" t="s">
        <v>6524</v>
      </c>
      <c r="I2024" s="10" t="s">
        <v>55</v>
      </c>
      <c r="K2024" s="10" t="s">
        <v>15064</v>
      </c>
      <c r="L2024" s="10" t="s">
        <v>42</v>
      </c>
    </row>
    <row r="2025" ht="15.75" customHeight="1">
      <c r="A2025" s="64">
        <v>45474.0</v>
      </c>
      <c r="B2025" s="55" t="str">
        <f>HYPERLINK("https://jobright.ai/jobs/info/668f27bda1fd93c90f19c2bd?utm_campaign=1065&amp;utm_source=sheet", "Apply")</f>
        <v>Apply</v>
      </c>
      <c r="C2025" s="10" t="s">
        <v>14666</v>
      </c>
      <c r="D2025" s="56" t="s">
        <v>14667</v>
      </c>
      <c r="E2025" s="10" t="s">
        <v>65</v>
      </c>
      <c r="F2025" s="10" t="s">
        <v>14668</v>
      </c>
      <c r="G2025" s="10" t="s">
        <v>12645</v>
      </c>
      <c r="H2025" s="10" t="s">
        <v>1155</v>
      </c>
      <c r="I2025" s="10" t="s">
        <v>48</v>
      </c>
      <c r="J2025" s="10" t="s">
        <v>1960</v>
      </c>
      <c r="K2025" s="10" t="s">
        <v>14669</v>
      </c>
      <c r="L2025" s="10" t="s">
        <v>42</v>
      </c>
    </row>
    <row r="2026" ht="15.75" customHeight="1">
      <c r="A2026" s="64">
        <v>45473.0</v>
      </c>
      <c r="B2026" s="55" t="str">
        <f>HYPERLINK("https://jobright.ai/jobs/info/6681a978127400923c6621f9?utm_campaign=1065&amp;utm_source=sheet", "Apply")</f>
        <v>Apply</v>
      </c>
      <c r="C2026" s="10" t="s">
        <v>13906</v>
      </c>
      <c r="D2026" s="56" t="s">
        <v>95</v>
      </c>
      <c r="E2026" s="10">
        <v>52.0</v>
      </c>
      <c r="G2026" s="10" t="s">
        <v>12654</v>
      </c>
      <c r="H2026" s="10" t="s">
        <v>361</v>
      </c>
      <c r="I2026" s="10" t="s">
        <v>55</v>
      </c>
      <c r="K2026" s="10" t="s">
        <v>13907</v>
      </c>
      <c r="L2026" s="10" t="s">
        <v>42</v>
      </c>
    </row>
    <row r="2027" ht="15.75" customHeight="1">
      <c r="A2027" s="64">
        <v>45473.0</v>
      </c>
      <c r="B2027" s="55" t="str">
        <f>HYPERLINK("https://jobright.ai/jobs/info/6681a978127400923c6621fb?utm_campaign=1065&amp;utm_source=sheet", "Apply")</f>
        <v>Apply</v>
      </c>
      <c r="C2027" s="10" t="s">
        <v>13906</v>
      </c>
      <c r="D2027" s="56" t="s">
        <v>95</v>
      </c>
      <c r="E2027" s="10">
        <v>52.0</v>
      </c>
      <c r="G2027" s="10" t="s">
        <v>12654</v>
      </c>
      <c r="H2027" s="10" t="s">
        <v>802</v>
      </c>
      <c r="I2027" s="10" t="s">
        <v>55</v>
      </c>
      <c r="K2027" s="10" t="s">
        <v>13907</v>
      </c>
      <c r="L2027" s="10" t="s">
        <v>42</v>
      </c>
    </row>
    <row r="2028" ht="15.75" customHeight="1">
      <c r="A2028" s="64">
        <v>45473.0</v>
      </c>
      <c r="B2028" s="55" t="str">
        <f>HYPERLINK("https://jobright.ai/jobs/info/6681a978127400923c6621fe?utm_campaign=1065&amp;utm_source=sheet", "Apply")</f>
        <v>Apply</v>
      </c>
      <c r="C2028" s="10" t="s">
        <v>13906</v>
      </c>
      <c r="D2028" s="56" t="s">
        <v>95</v>
      </c>
      <c r="E2028" s="10">
        <v>52.0</v>
      </c>
      <c r="G2028" s="10" t="s">
        <v>12654</v>
      </c>
      <c r="H2028" s="10" t="s">
        <v>907</v>
      </c>
      <c r="I2028" s="10" t="s">
        <v>55</v>
      </c>
      <c r="K2028" s="10" t="s">
        <v>13907</v>
      </c>
      <c r="L2028" s="10" t="s">
        <v>42</v>
      </c>
    </row>
    <row r="2029" ht="15.75" customHeight="1">
      <c r="A2029" s="64">
        <v>45473.0</v>
      </c>
      <c r="B2029" s="55" t="str">
        <f>HYPERLINK("https://jobright.ai/jobs/info/6681a978127400923c662201?utm_campaign=1065&amp;utm_source=sheet", "Apply")</f>
        <v>Apply</v>
      </c>
      <c r="C2029" s="10" t="s">
        <v>13906</v>
      </c>
      <c r="D2029" s="56" t="s">
        <v>95</v>
      </c>
      <c r="E2029" s="10">
        <v>52.0</v>
      </c>
      <c r="G2029" s="10" t="s">
        <v>12654</v>
      </c>
      <c r="H2029" s="10" t="s">
        <v>773</v>
      </c>
      <c r="I2029" s="10" t="s">
        <v>55</v>
      </c>
      <c r="K2029" s="10" t="s">
        <v>13907</v>
      </c>
      <c r="L2029" s="10" t="s">
        <v>42</v>
      </c>
    </row>
    <row r="2030" ht="15.75" customHeight="1">
      <c r="A2030" s="64">
        <v>45473.0</v>
      </c>
      <c r="B2030" s="55" t="str">
        <f>HYPERLINK("https://jobright.ai/jobs/info/6681a978127400923c662202?utm_campaign=1065&amp;utm_source=sheet", "Apply")</f>
        <v>Apply</v>
      </c>
      <c r="C2030" s="10" t="s">
        <v>13906</v>
      </c>
      <c r="D2030" s="56" t="s">
        <v>95</v>
      </c>
      <c r="E2030" s="10">
        <v>52.0</v>
      </c>
      <c r="G2030" s="10" t="s">
        <v>12654</v>
      </c>
      <c r="H2030" s="10" t="s">
        <v>1001</v>
      </c>
      <c r="I2030" s="10" t="s">
        <v>55</v>
      </c>
      <c r="K2030" s="10" t="s">
        <v>13907</v>
      </c>
      <c r="L2030" s="10" t="s">
        <v>42</v>
      </c>
    </row>
    <row r="2031" ht="15.75" customHeight="1">
      <c r="A2031" s="64">
        <v>45473.0</v>
      </c>
      <c r="B2031" s="55" t="str">
        <f>HYPERLINK("https://jobright.ai/jobs/info/6681a978127400923c662206?utm_campaign=1065&amp;utm_source=sheet", "Apply")</f>
        <v>Apply</v>
      </c>
      <c r="C2031" s="10" t="s">
        <v>13906</v>
      </c>
      <c r="D2031" s="56" t="s">
        <v>95</v>
      </c>
      <c r="E2031" s="10">
        <v>52.0</v>
      </c>
      <c r="G2031" s="10" t="s">
        <v>12654</v>
      </c>
      <c r="H2031" s="10" t="s">
        <v>1021</v>
      </c>
      <c r="I2031" s="10" t="s">
        <v>55</v>
      </c>
      <c r="K2031" s="10" t="s">
        <v>13907</v>
      </c>
      <c r="L2031" s="10" t="s">
        <v>42</v>
      </c>
    </row>
    <row r="2032" ht="15.75" customHeight="1">
      <c r="A2032" s="64">
        <v>45473.0</v>
      </c>
      <c r="B2032" s="55" t="str">
        <f>HYPERLINK("https://jobright.ai/jobs/info/6681a978127400923c66220e?utm_campaign=1065&amp;utm_source=sheet", "Apply")</f>
        <v>Apply</v>
      </c>
      <c r="C2032" s="10" t="s">
        <v>13906</v>
      </c>
      <c r="D2032" s="56" t="s">
        <v>95</v>
      </c>
      <c r="E2032" s="10">
        <v>52.0</v>
      </c>
      <c r="G2032" s="10" t="s">
        <v>12654</v>
      </c>
      <c r="H2032" s="10" t="s">
        <v>845</v>
      </c>
      <c r="I2032" s="10" t="s">
        <v>55</v>
      </c>
      <c r="K2032" s="10" t="s">
        <v>13907</v>
      </c>
      <c r="L2032" s="10" t="s">
        <v>42</v>
      </c>
    </row>
    <row r="2033" ht="15.75" customHeight="1">
      <c r="A2033" s="64">
        <v>45473.0</v>
      </c>
      <c r="B2033" s="55" t="str">
        <f>HYPERLINK("https://jobright.ai/jobs/info/6681a978127400923c662209?utm_campaign=1065&amp;utm_source=sheet", "Apply")</f>
        <v>Apply</v>
      </c>
      <c r="C2033" s="10" t="s">
        <v>13906</v>
      </c>
      <c r="D2033" s="56" t="s">
        <v>95</v>
      </c>
      <c r="E2033" s="10">
        <v>52.0</v>
      </c>
      <c r="G2033" s="10" t="s">
        <v>12654</v>
      </c>
      <c r="H2033" s="10" t="s">
        <v>939</v>
      </c>
      <c r="I2033" s="10" t="s">
        <v>55</v>
      </c>
      <c r="K2033" s="10" t="s">
        <v>13907</v>
      </c>
      <c r="L2033" s="10" t="s">
        <v>42</v>
      </c>
    </row>
    <row r="2034" ht="15.75" customHeight="1">
      <c r="A2034" s="64">
        <v>45473.0</v>
      </c>
      <c r="B2034" s="55" t="str">
        <f>HYPERLINK("https://jobright.ai/jobs/info/6681a978127400923c662226?utm_campaign=1065&amp;utm_source=sheet", "Apply")</f>
        <v>Apply</v>
      </c>
      <c r="C2034" s="10" t="s">
        <v>13906</v>
      </c>
      <c r="D2034" s="56" t="s">
        <v>95</v>
      </c>
      <c r="E2034" s="10">
        <v>52.0</v>
      </c>
      <c r="G2034" s="10" t="s">
        <v>12654</v>
      </c>
      <c r="H2034" s="10" t="s">
        <v>867</v>
      </c>
      <c r="I2034" s="10" t="s">
        <v>55</v>
      </c>
      <c r="K2034" s="10" t="s">
        <v>13907</v>
      </c>
      <c r="L2034" s="10" t="s">
        <v>42</v>
      </c>
    </row>
    <row r="2035" ht="15.75" customHeight="1">
      <c r="A2035" s="64">
        <v>45473.0</v>
      </c>
      <c r="B2035" s="55" t="str">
        <f>HYPERLINK("https://jobright.ai/jobs/info/6681a978127400923c662215?utm_campaign=1065&amp;utm_source=sheet", "Apply")</f>
        <v>Apply</v>
      </c>
      <c r="C2035" s="10" t="s">
        <v>13906</v>
      </c>
      <c r="D2035" s="56" t="s">
        <v>95</v>
      </c>
      <c r="E2035" s="10">
        <v>52.0</v>
      </c>
      <c r="G2035" s="10" t="s">
        <v>12654</v>
      </c>
      <c r="H2035" s="10" t="s">
        <v>782</v>
      </c>
      <c r="I2035" s="10" t="s">
        <v>55</v>
      </c>
      <c r="K2035" s="10" t="s">
        <v>13907</v>
      </c>
      <c r="L2035" s="10" t="s">
        <v>42</v>
      </c>
    </row>
    <row r="2036" ht="15.75" customHeight="1">
      <c r="A2036" s="64">
        <v>45473.0</v>
      </c>
      <c r="B2036" s="55" t="str">
        <f>HYPERLINK("https://jobright.ai/jobs/info/6681a978127400923c662221?utm_campaign=1065&amp;utm_source=sheet", "Apply")</f>
        <v>Apply</v>
      </c>
      <c r="C2036" s="10" t="s">
        <v>13906</v>
      </c>
      <c r="D2036" s="56" t="s">
        <v>95</v>
      </c>
      <c r="E2036" s="10">
        <v>52.0</v>
      </c>
      <c r="G2036" s="10" t="s">
        <v>12654</v>
      </c>
      <c r="H2036" s="10" t="s">
        <v>924</v>
      </c>
      <c r="I2036" s="10" t="s">
        <v>55</v>
      </c>
      <c r="K2036" s="10" t="s">
        <v>13907</v>
      </c>
      <c r="L2036" s="10" t="s">
        <v>42</v>
      </c>
    </row>
    <row r="2037" ht="15.75" customHeight="1">
      <c r="A2037" s="64">
        <v>45473.0</v>
      </c>
      <c r="B2037" s="55" t="str">
        <f>HYPERLINK("https://jobright.ai/jobs/info/6681a978127400923c66220f?utm_campaign=1065&amp;utm_source=sheet", "Apply")</f>
        <v>Apply</v>
      </c>
      <c r="C2037" s="10" t="s">
        <v>13906</v>
      </c>
      <c r="D2037" s="56" t="s">
        <v>95</v>
      </c>
      <c r="E2037" s="10">
        <v>52.0</v>
      </c>
      <c r="G2037" s="10" t="s">
        <v>12654</v>
      </c>
      <c r="H2037" s="10" t="s">
        <v>106</v>
      </c>
      <c r="I2037" s="10" t="s">
        <v>55</v>
      </c>
      <c r="K2037" s="10" t="s">
        <v>13907</v>
      </c>
      <c r="L2037" s="10" t="s">
        <v>42</v>
      </c>
    </row>
    <row r="2038" ht="15.75" customHeight="1">
      <c r="A2038" s="64">
        <v>45473.0</v>
      </c>
      <c r="B2038" s="55" t="str">
        <f>HYPERLINK("https://jobright.ai/jobs/info/6681a978127400923c662211?utm_campaign=1065&amp;utm_source=sheet", "Apply")</f>
        <v>Apply</v>
      </c>
      <c r="C2038" s="10" t="s">
        <v>13906</v>
      </c>
      <c r="D2038" s="56" t="s">
        <v>95</v>
      </c>
      <c r="E2038" s="10">
        <v>52.0</v>
      </c>
      <c r="G2038" s="10" t="s">
        <v>12654</v>
      </c>
      <c r="H2038" s="10" t="s">
        <v>875</v>
      </c>
      <c r="I2038" s="10" t="s">
        <v>55</v>
      </c>
      <c r="K2038" s="10" t="s">
        <v>13907</v>
      </c>
      <c r="L2038" s="10" t="s">
        <v>42</v>
      </c>
    </row>
    <row r="2039" ht="15.75" customHeight="1">
      <c r="A2039" s="64">
        <v>45473.0</v>
      </c>
      <c r="B2039" s="55" t="str">
        <f>HYPERLINK("https://jobright.ai/jobs/info/6681a978127400923c662224?utm_campaign=1065&amp;utm_source=sheet", "Apply")</f>
        <v>Apply</v>
      </c>
      <c r="C2039" s="10" t="s">
        <v>13906</v>
      </c>
      <c r="D2039" s="56" t="s">
        <v>95</v>
      </c>
      <c r="E2039" s="10">
        <v>52.0</v>
      </c>
      <c r="G2039" s="10" t="s">
        <v>12654</v>
      </c>
      <c r="H2039" s="10" t="s">
        <v>834</v>
      </c>
      <c r="I2039" s="10" t="s">
        <v>55</v>
      </c>
      <c r="K2039" s="10" t="s">
        <v>13907</v>
      </c>
      <c r="L2039" s="10" t="s">
        <v>42</v>
      </c>
    </row>
    <row r="2040" ht="15.75" customHeight="1">
      <c r="A2040" s="64">
        <v>45473.0</v>
      </c>
      <c r="B2040" s="55" t="str">
        <f>HYPERLINK("https://jobright.ai/jobs/info/6681a978127400923c662222?utm_campaign=1065&amp;utm_source=sheet", "Apply")</f>
        <v>Apply</v>
      </c>
      <c r="C2040" s="10" t="s">
        <v>13906</v>
      </c>
      <c r="D2040" s="56" t="s">
        <v>95</v>
      </c>
      <c r="E2040" s="10">
        <v>52.0</v>
      </c>
      <c r="G2040" s="10" t="s">
        <v>12654</v>
      </c>
      <c r="H2040" s="10" t="s">
        <v>806</v>
      </c>
      <c r="I2040" s="10" t="s">
        <v>55</v>
      </c>
      <c r="K2040" s="10" t="s">
        <v>13907</v>
      </c>
      <c r="L2040" s="10" t="s">
        <v>42</v>
      </c>
    </row>
    <row r="2041" ht="15.75" customHeight="1">
      <c r="A2041" s="64">
        <v>45473.0</v>
      </c>
      <c r="B2041" s="55" t="str">
        <f>HYPERLINK("https://jobright.ai/jobs/info/6681a978127400923c662216?utm_campaign=1065&amp;utm_source=sheet", "Apply")</f>
        <v>Apply</v>
      </c>
      <c r="C2041" s="10" t="s">
        <v>13906</v>
      </c>
      <c r="D2041" s="56" t="s">
        <v>95</v>
      </c>
      <c r="E2041" s="10">
        <v>52.0</v>
      </c>
      <c r="G2041" s="10" t="s">
        <v>12654</v>
      </c>
      <c r="H2041" s="10" t="s">
        <v>964</v>
      </c>
      <c r="I2041" s="10" t="s">
        <v>55</v>
      </c>
      <c r="K2041" s="10" t="s">
        <v>13907</v>
      </c>
      <c r="L2041" s="10" t="s">
        <v>42</v>
      </c>
    </row>
    <row r="2042" ht="15.75" customHeight="1">
      <c r="A2042" s="64">
        <v>45473.0</v>
      </c>
      <c r="B2042" s="55" t="str">
        <f>HYPERLINK("https://jobright.ai/jobs/info/6681a978127400923c662212?utm_campaign=1065&amp;utm_source=sheet", "Apply")</f>
        <v>Apply</v>
      </c>
      <c r="C2042" s="10" t="s">
        <v>13906</v>
      </c>
      <c r="D2042" s="56" t="s">
        <v>95</v>
      </c>
      <c r="E2042" s="10">
        <v>52.0</v>
      </c>
      <c r="G2042" s="10" t="s">
        <v>12654</v>
      </c>
      <c r="H2042" s="10" t="s">
        <v>925</v>
      </c>
      <c r="I2042" s="10" t="s">
        <v>55</v>
      </c>
      <c r="K2042" s="10" t="s">
        <v>13907</v>
      </c>
      <c r="L2042" s="10" t="s">
        <v>42</v>
      </c>
    </row>
    <row r="2043" ht="15.75" customHeight="1">
      <c r="A2043" s="64">
        <v>45473.0</v>
      </c>
      <c r="B2043" s="55" t="str">
        <f>HYPERLINK("https://jobright.ai/jobs/info/6681a978127400923c662219?utm_campaign=1065&amp;utm_source=sheet", "Apply")</f>
        <v>Apply</v>
      </c>
      <c r="C2043" s="10" t="s">
        <v>13906</v>
      </c>
      <c r="D2043" s="56" t="s">
        <v>95</v>
      </c>
      <c r="E2043" s="10">
        <v>52.0</v>
      </c>
      <c r="G2043" s="10" t="s">
        <v>12654</v>
      </c>
      <c r="H2043" s="10" t="s">
        <v>876</v>
      </c>
      <c r="I2043" s="10" t="s">
        <v>55</v>
      </c>
      <c r="K2043" s="10" t="s">
        <v>13907</v>
      </c>
      <c r="L2043" s="10" t="s">
        <v>42</v>
      </c>
    </row>
    <row r="2044" ht="15.75" customHeight="1">
      <c r="A2044" s="64">
        <v>45473.0</v>
      </c>
      <c r="B2044" s="55" t="str">
        <f>HYPERLINK("https://jobright.ai/jobs/info/6681a978127400923c662220?utm_campaign=1065&amp;utm_source=sheet", "Apply")</f>
        <v>Apply</v>
      </c>
      <c r="C2044" s="10" t="s">
        <v>13906</v>
      </c>
      <c r="D2044" s="56" t="s">
        <v>95</v>
      </c>
      <c r="E2044" s="10">
        <v>52.0</v>
      </c>
      <c r="G2044" s="10" t="s">
        <v>12654</v>
      </c>
      <c r="H2044" s="10" t="s">
        <v>889</v>
      </c>
      <c r="I2044" s="10" t="s">
        <v>55</v>
      </c>
      <c r="K2044" s="10" t="s">
        <v>13907</v>
      </c>
      <c r="L2044" s="10" t="s">
        <v>42</v>
      </c>
    </row>
    <row r="2045" ht="15.75" customHeight="1">
      <c r="A2045" s="64">
        <v>45473.0</v>
      </c>
      <c r="B2045" s="55" t="str">
        <f>HYPERLINK("https://jobright.ai/jobs/info/6681a978127400923c66221b?utm_campaign=1065&amp;utm_source=sheet", "Apply")</f>
        <v>Apply</v>
      </c>
      <c r="C2045" s="10" t="s">
        <v>13906</v>
      </c>
      <c r="D2045" s="56" t="s">
        <v>95</v>
      </c>
      <c r="E2045" s="10">
        <v>52.0</v>
      </c>
      <c r="G2045" s="10" t="s">
        <v>12654</v>
      </c>
      <c r="H2045" s="10" t="s">
        <v>930</v>
      </c>
      <c r="I2045" s="10" t="s">
        <v>55</v>
      </c>
      <c r="K2045" s="10" t="s">
        <v>13907</v>
      </c>
      <c r="L2045" s="10" t="s">
        <v>42</v>
      </c>
    </row>
    <row r="2046" ht="15.75" customHeight="1">
      <c r="A2046" s="64">
        <v>45473.0</v>
      </c>
      <c r="B2046" s="55" t="str">
        <f>HYPERLINK("https://jobright.ai/jobs/info/6681a978127400923c662223?utm_campaign=1065&amp;utm_source=sheet", "Apply")</f>
        <v>Apply</v>
      </c>
      <c r="C2046" s="10" t="s">
        <v>13906</v>
      </c>
      <c r="D2046" s="56" t="s">
        <v>95</v>
      </c>
      <c r="E2046" s="10">
        <v>52.0</v>
      </c>
      <c r="G2046" s="10" t="s">
        <v>12654</v>
      </c>
      <c r="H2046" s="10" t="s">
        <v>848</v>
      </c>
      <c r="I2046" s="10" t="s">
        <v>55</v>
      </c>
      <c r="K2046" s="10" t="s">
        <v>13907</v>
      </c>
      <c r="L2046" s="10" t="s">
        <v>42</v>
      </c>
    </row>
    <row r="2047" ht="15.75" customHeight="1">
      <c r="A2047" s="64">
        <v>45473.0</v>
      </c>
      <c r="B2047" s="55" t="str">
        <f>HYPERLINK("https://jobright.ai/jobs/info/6681a978127400923c662238?utm_campaign=1065&amp;utm_source=sheet", "Apply")</f>
        <v>Apply</v>
      </c>
      <c r="C2047" s="10" t="s">
        <v>13906</v>
      </c>
      <c r="D2047" s="56" t="s">
        <v>95</v>
      </c>
      <c r="E2047" s="10">
        <v>52.0</v>
      </c>
      <c r="G2047" s="10" t="s">
        <v>12654</v>
      </c>
      <c r="H2047" s="10" t="s">
        <v>887</v>
      </c>
      <c r="I2047" s="10" t="s">
        <v>55</v>
      </c>
      <c r="K2047" s="10" t="s">
        <v>13907</v>
      </c>
      <c r="L2047" s="10" t="s">
        <v>42</v>
      </c>
    </row>
    <row r="2048" ht="15.75" customHeight="1">
      <c r="A2048" s="64">
        <v>45473.0</v>
      </c>
      <c r="B2048" s="55" t="str">
        <f>HYPERLINK("https://jobright.ai/jobs/info/6681a978127400923c662230?utm_campaign=1065&amp;utm_source=sheet", "Apply")</f>
        <v>Apply</v>
      </c>
      <c r="C2048" s="10" t="s">
        <v>13906</v>
      </c>
      <c r="D2048" s="56" t="s">
        <v>95</v>
      </c>
      <c r="E2048" s="10">
        <v>52.0</v>
      </c>
      <c r="G2048" s="10" t="s">
        <v>12654</v>
      </c>
      <c r="H2048" s="10" t="s">
        <v>777</v>
      </c>
      <c r="I2048" s="10" t="s">
        <v>55</v>
      </c>
      <c r="K2048" s="10" t="s">
        <v>13907</v>
      </c>
      <c r="L2048" s="10" t="s">
        <v>42</v>
      </c>
    </row>
    <row r="2049" ht="15.75" customHeight="1">
      <c r="A2049" s="64">
        <v>45473.0</v>
      </c>
      <c r="B2049" s="55" t="str">
        <f>HYPERLINK("https://jobright.ai/jobs/info/6681a978127400923c662229?utm_campaign=1065&amp;utm_source=sheet", "Apply")</f>
        <v>Apply</v>
      </c>
      <c r="C2049" s="10" t="s">
        <v>13906</v>
      </c>
      <c r="D2049" s="56" t="s">
        <v>95</v>
      </c>
      <c r="E2049" s="10">
        <v>52.0</v>
      </c>
      <c r="G2049" s="10" t="s">
        <v>12654</v>
      </c>
      <c r="H2049" s="10" t="s">
        <v>852</v>
      </c>
      <c r="I2049" s="10" t="s">
        <v>55</v>
      </c>
      <c r="K2049" s="10" t="s">
        <v>13907</v>
      </c>
      <c r="L2049" s="10" t="s">
        <v>42</v>
      </c>
    </row>
    <row r="2050" ht="15.75" customHeight="1">
      <c r="A2050" s="64">
        <v>45473.0</v>
      </c>
      <c r="B2050" s="55" t="str">
        <f>HYPERLINK("https://jobright.ai/jobs/info/6681a978127400923c662227?utm_campaign=1065&amp;utm_source=sheet", "Apply")</f>
        <v>Apply</v>
      </c>
      <c r="C2050" s="10" t="s">
        <v>13906</v>
      </c>
      <c r="D2050" s="56" t="s">
        <v>95</v>
      </c>
      <c r="E2050" s="10">
        <v>52.0</v>
      </c>
      <c r="G2050" s="10" t="s">
        <v>12654</v>
      </c>
      <c r="H2050" s="10" t="s">
        <v>954</v>
      </c>
      <c r="I2050" s="10" t="s">
        <v>55</v>
      </c>
      <c r="K2050" s="10" t="s">
        <v>13907</v>
      </c>
      <c r="L2050" s="10" t="s">
        <v>42</v>
      </c>
    </row>
    <row r="2051" ht="15.75" customHeight="1">
      <c r="A2051" s="64">
        <v>45473.0</v>
      </c>
      <c r="B2051" s="55" t="str">
        <f>HYPERLINK("https://jobright.ai/jobs/info/6681a978127400923c662228?utm_campaign=1065&amp;utm_source=sheet", "Apply")</f>
        <v>Apply</v>
      </c>
      <c r="C2051" s="10" t="s">
        <v>13906</v>
      </c>
      <c r="D2051" s="56" t="s">
        <v>95</v>
      </c>
      <c r="E2051" s="10">
        <v>52.0</v>
      </c>
      <c r="G2051" s="10" t="s">
        <v>12654</v>
      </c>
      <c r="H2051" s="10" t="s">
        <v>152</v>
      </c>
      <c r="I2051" s="10" t="s">
        <v>55</v>
      </c>
      <c r="K2051" s="10" t="s">
        <v>13907</v>
      </c>
      <c r="L2051" s="10" t="s">
        <v>42</v>
      </c>
    </row>
    <row r="2052" ht="15.75" customHeight="1">
      <c r="A2052" s="64">
        <v>45473.0</v>
      </c>
      <c r="B2052" s="55" t="str">
        <f>HYPERLINK("https://jobright.ai/jobs/info/6681a978127400923c662232?utm_campaign=1065&amp;utm_source=sheet", "Apply")</f>
        <v>Apply</v>
      </c>
      <c r="C2052" s="10" t="s">
        <v>13906</v>
      </c>
      <c r="D2052" s="56" t="s">
        <v>95</v>
      </c>
      <c r="E2052" s="10">
        <v>52.0</v>
      </c>
      <c r="G2052" s="10" t="s">
        <v>12654</v>
      </c>
      <c r="H2052" s="10" t="s">
        <v>958</v>
      </c>
      <c r="I2052" s="10" t="s">
        <v>55</v>
      </c>
      <c r="K2052" s="10" t="s">
        <v>13907</v>
      </c>
      <c r="L2052" s="10" t="s">
        <v>42</v>
      </c>
    </row>
    <row r="2053" ht="15.75" customHeight="1">
      <c r="A2053" s="64">
        <v>45473.0</v>
      </c>
      <c r="B2053" s="55" t="str">
        <f>HYPERLINK("https://jobright.ai/jobs/info/6681a978127400923c66224f?utm_campaign=1065&amp;utm_source=sheet", "Apply")</f>
        <v>Apply</v>
      </c>
      <c r="C2053" s="10" t="s">
        <v>13906</v>
      </c>
      <c r="D2053" s="56" t="s">
        <v>95</v>
      </c>
      <c r="E2053" s="10">
        <v>52.0</v>
      </c>
      <c r="G2053" s="10" t="s">
        <v>12654</v>
      </c>
      <c r="H2053" s="10" t="s">
        <v>978</v>
      </c>
      <c r="I2053" s="10" t="s">
        <v>55</v>
      </c>
      <c r="K2053" s="10" t="s">
        <v>13907</v>
      </c>
      <c r="L2053" s="10" t="s">
        <v>42</v>
      </c>
    </row>
    <row r="2054" ht="15.75" customHeight="1">
      <c r="A2054" s="64">
        <v>45473.0</v>
      </c>
      <c r="B2054" s="55" t="str">
        <f>HYPERLINK("https://jobright.ai/jobs/info/6681a978127400923c66224c?utm_campaign=1065&amp;utm_source=sheet", "Apply")</f>
        <v>Apply</v>
      </c>
      <c r="C2054" s="10" t="s">
        <v>13906</v>
      </c>
      <c r="D2054" s="56" t="s">
        <v>95</v>
      </c>
      <c r="E2054" s="10">
        <v>52.0</v>
      </c>
      <c r="G2054" s="10" t="s">
        <v>12654</v>
      </c>
      <c r="H2054" s="10" t="s">
        <v>1016</v>
      </c>
      <c r="I2054" s="10" t="s">
        <v>55</v>
      </c>
      <c r="K2054" s="10" t="s">
        <v>13907</v>
      </c>
      <c r="L2054" s="10" t="s">
        <v>42</v>
      </c>
    </row>
    <row r="2055" ht="15.75" customHeight="1">
      <c r="A2055" s="64">
        <v>45473.0</v>
      </c>
      <c r="B2055" s="55" t="str">
        <f>HYPERLINK("https://jobright.ai/jobs/info/6681a978127400923c662249?utm_campaign=1065&amp;utm_source=sheet", "Apply")</f>
        <v>Apply</v>
      </c>
      <c r="C2055" s="10" t="s">
        <v>13906</v>
      </c>
      <c r="D2055" s="56" t="s">
        <v>95</v>
      </c>
      <c r="E2055" s="10">
        <v>52.0</v>
      </c>
      <c r="G2055" s="10" t="s">
        <v>12654</v>
      </c>
      <c r="H2055" s="10" t="s">
        <v>888</v>
      </c>
      <c r="I2055" s="10" t="s">
        <v>55</v>
      </c>
      <c r="K2055" s="10" t="s">
        <v>13907</v>
      </c>
      <c r="L2055" s="10" t="s">
        <v>42</v>
      </c>
    </row>
    <row r="2056" ht="15.75" customHeight="1">
      <c r="A2056" s="64">
        <v>45473.0</v>
      </c>
      <c r="B2056" s="55" t="str">
        <f>HYPERLINK("https://jobright.ai/jobs/info/6681a978127400923c66223e?utm_campaign=1065&amp;utm_source=sheet", "Apply")</f>
        <v>Apply</v>
      </c>
      <c r="C2056" s="10" t="s">
        <v>13906</v>
      </c>
      <c r="D2056" s="56" t="s">
        <v>95</v>
      </c>
      <c r="E2056" s="10">
        <v>52.0</v>
      </c>
      <c r="G2056" s="10" t="s">
        <v>12654</v>
      </c>
      <c r="H2056" s="10" t="s">
        <v>884</v>
      </c>
      <c r="I2056" s="10" t="s">
        <v>55</v>
      </c>
      <c r="K2056" s="10" t="s">
        <v>13907</v>
      </c>
      <c r="L2056" s="10" t="s">
        <v>42</v>
      </c>
    </row>
    <row r="2057" ht="15.75" customHeight="1">
      <c r="A2057" s="64">
        <v>45473.0</v>
      </c>
      <c r="B2057" s="55" t="str">
        <f>HYPERLINK("https://jobright.ai/jobs/info/6681a978127400923c662247?utm_campaign=1065&amp;utm_source=sheet", "Apply")</f>
        <v>Apply</v>
      </c>
      <c r="C2057" s="10" t="s">
        <v>13906</v>
      </c>
      <c r="D2057" s="56" t="s">
        <v>95</v>
      </c>
      <c r="E2057" s="10">
        <v>52.0</v>
      </c>
      <c r="G2057" s="10" t="s">
        <v>12654</v>
      </c>
      <c r="H2057" s="10" t="s">
        <v>959</v>
      </c>
      <c r="I2057" s="10" t="s">
        <v>55</v>
      </c>
      <c r="K2057" s="10" t="s">
        <v>13907</v>
      </c>
      <c r="L2057" s="10" t="s">
        <v>42</v>
      </c>
    </row>
    <row r="2058" ht="15.75" customHeight="1">
      <c r="A2058" s="64">
        <v>45473.0</v>
      </c>
      <c r="B2058" s="55" t="str">
        <f>HYPERLINK("https://jobright.ai/jobs/info/6681a978127400923c662259?utm_campaign=1065&amp;utm_source=sheet", "Apply")</f>
        <v>Apply</v>
      </c>
      <c r="C2058" s="10" t="s">
        <v>13906</v>
      </c>
      <c r="D2058" s="56" t="s">
        <v>95</v>
      </c>
      <c r="E2058" s="10">
        <v>52.0</v>
      </c>
      <c r="G2058" s="10" t="s">
        <v>12654</v>
      </c>
      <c r="H2058" s="10" t="s">
        <v>835</v>
      </c>
      <c r="I2058" s="10" t="s">
        <v>55</v>
      </c>
      <c r="K2058" s="10" t="s">
        <v>13907</v>
      </c>
      <c r="L2058" s="10" t="s">
        <v>42</v>
      </c>
    </row>
    <row r="2059" ht="15.75" customHeight="1">
      <c r="A2059" s="64">
        <v>45473.0</v>
      </c>
      <c r="B2059" s="55" t="str">
        <f>HYPERLINK("https://jobright.ai/jobs/info/6681a978127400923c66225b?utm_campaign=1065&amp;utm_source=sheet", "Apply")</f>
        <v>Apply</v>
      </c>
      <c r="C2059" s="10" t="s">
        <v>13906</v>
      </c>
      <c r="D2059" s="56" t="s">
        <v>95</v>
      </c>
      <c r="E2059" s="10">
        <v>52.0</v>
      </c>
      <c r="G2059" s="10" t="s">
        <v>12654</v>
      </c>
      <c r="H2059" s="10" t="s">
        <v>943</v>
      </c>
      <c r="I2059" s="10" t="s">
        <v>55</v>
      </c>
      <c r="K2059" s="10" t="s">
        <v>13907</v>
      </c>
      <c r="L2059" s="10" t="s">
        <v>42</v>
      </c>
    </row>
    <row r="2060" ht="15.75" customHeight="1">
      <c r="A2060" s="64">
        <v>45473.0</v>
      </c>
      <c r="B2060" s="55" t="str">
        <f>HYPERLINK("https://jobright.ai/jobs/info/6681a978127400923c662251?utm_campaign=1065&amp;utm_source=sheet", "Apply")</f>
        <v>Apply</v>
      </c>
      <c r="C2060" s="10" t="s">
        <v>13906</v>
      </c>
      <c r="D2060" s="56" t="s">
        <v>95</v>
      </c>
      <c r="E2060" s="10">
        <v>52.0</v>
      </c>
      <c r="G2060" s="10" t="s">
        <v>12654</v>
      </c>
      <c r="H2060" s="10" t="s">
        <v>799</v>
      </c>
      <c r="I2060" s="10" t="s">
        <v>55</v>
      </c>
      <c r="K2060" s="10" t="s">
        <v>13907</v>
      </c>
      <c r="L2060" s="10" t="s">
        <v>42</v>
      </c>
    </row>
    <row r="2061" ht="15.75" customHeight="1">
      <c r="A2061" s="64">
        <v>45473.0</v>
      </c>
      <c r="B2061" s="55" t="str">
        <f>HYPERLINK("https://jobright.ai/jobs/info/6681a978127400923c662264?utm_campaign=1065&amp;utm_source=sheet", "Apply")</f>
        <v>Apply</v>
      </c>
      <c r="C2061" s="10" t="s">
        <v>13906</v>
      </c>
      <c r="D2061" s="56" t="s">
        <v>95</v>
      </c>
      <c r="E2061" s="10">
        <v>52.0</v>
      </c>
      <c r="G2061" s="10" t="s">
        <v>12654</v>
      </c>
      <c r="H2061" s="10" t="s">
        <v>844</v>
      </c>
      <c r="I2061" s="10" t="s">
        <v>55</v>
      </c>
      <c r="K2061" s="10" t="s">
        <v>13907</v>
      </c>
      <c r="L2061" s="10" t="s">
        <v>42</v>
      </c>
    </row>
    <row r="2062" ht="15.75" customHeight="1">
      <c r="A2062" s="64">
        <v>45473.0</v>
      </c>
      <c r="B2062" s="55" t="str">
        <f>HYPERLINK("https://jobright.ai/jobs/info/6681a978127400923c662266?utm_campaign=1065&amp;utm_source=sheet", "Apply")</f>
        <v>Apply</v>
      </c>
      <c r="C2062" s="10" t="s">
        <v>13906</v>
      </c>
      <c r="D2062" s="56" t="s">
        <v>95</v>
      </c>
      <c r="E2062" s="10">
        <v>52.0</v>
      </c>
      <c r="G2062" s="10" t="s">
        <v>12654</v>
      </c>
      <c r="H2062" s="10" t="s">
        <v>965</v>
      </c>
      <c r="I2062" s="10" t="s">
        <v>55</v>
      </c>
      <c r="K2062" s="10" t="s">
        <v>13907</v>
      </c>
      <c r="L2062" s="10" t="s">
        <v>42</v>
      </c>
    </row>
    <row r="2063" ht="15.75" customHeight="1">
      <c r="A2063" s="64">
        <v>45473.0</v>
      </c>
      <c r="B2063" s="55" t="str">
        <f>HYPERLINK("https://jobright.ai/jobs/info/6681a978127400923c662279?utm_campaign=1065&amp;utm_source=sheet", "Apply")</f>
        <v>Apply</v>
      </c>
      <c r="C2063" s="10" t="s">
        <v>13906</v>
      </c>
      <c r="D2063" s="56" t="s">
        <v>95</v>
      </c>
      <c r="E2063" s="10">
        <v>52.0</v>
      </c>
      <c r="G2063" s="10" t="s">
        <v>12654</v>
      </c>
      <c r="H2063" s="10" t="s">
        <v>819</v>
      </c>
      <c r="I2063" s="10" t="s">
        <v>55</v>
      </c>
      <c r="K2063" s="10" t="s">
        <v>13907</v>
      </c>
      <c r="L2063" s="10" t="s">
        <v>42</v>
      </c>
    </row>
    <row r="2064" ht="15.75" customHeight="1">
      <c r="A2064" s="64">
        <v>45473.0</v>
      </c>
      <c r="B2064" s="55" t="str">
        <f>HYPERLINK("https://jobright.ai/jobs/info/6681a978127400923c662283?utm_campaign=1065&amp;utm_source=sheet", "Apply")</f>
        <v>Apply</v>
      </c>
      <c r="C2064" s="10" t="s">
        <v>13906</v>
      </c>
      <c r="D2064" s="56" t="s">
        <v>95</v>
      </c>
      <c r="E2064" s="10">
        <v>52.0</v>
      </c>
      <c r="G2064" s="10" t="s">
        <v>12654</v>
      </c>
      <c r="H2064" s="10" t="s">
        <v>993</v>
      </c>
      <c r="I2064" s="10" t="s">
        <v>55</v>
      </c>
      <c r="K2064" s="10" t="s">
        <v>13907</v>
      </c>
      <c r="L2064" s="10" t="s">
        <v>42</v>
      </c>
    </row>
    <row r="2065" ht="15.75" customHeight="1">
      <c r="A2065" s="64">
        <v>45473.0</v>
      </c>
      <c r="B2065" s="55" t="str">
        <f>HYPERLINK("https://jobright.ai/jobs/info/6681a978127400923c662289?utm_campaign=1065&amp;utm_source=sheet", "Apply")</f>
        <v>Apply</v>
      </c>
      <c r="C2065" s="10" t="s">
        <v>13906</v>
      </c>
      <c r="D2065" s="56" t="s">
        <v>95</v>
      </c>
      <c r="E2065" s="10">
        <v>52.0</v>
      </c>
      <c r="G2065" s="10" t="s">
        <v>12654</v>
      </c>
      <c r="H2065" s="10" t="s">
        <v>795</v>
      </c>
      <c r="I2065" s="10" t="s">
        <v>55</v>
      </c>
      <c r="K2065" s="10" t="s">
        <v>13907</v>
      </c>
      <c r="L2065" s="10" t="s">
        <v>42</v>
      </c>
    </row>
    <row r="2066" ht="15.75" customHeight="1">
      <c r="A2066" s="64">
        <v>45473.0</v>
      </c>
      <c r="B2066" s="55" t="str">
        <f>HYPERLINK("https://jobright.ai/jobs/info/6681a978127400923c66227e?utm_campaign=1065&amp;utm_source=sheet", "Apply")</f>
        <v>Apply</v>
      </c>
      <c r="C2066" s="10" t="s">
        <v>13906</v>
      </c>
      <c r="D2066" s="56" t="s">
        <v>95</v>
      </c>
      <c r="E2066" s="10">
        <v>52.0</v>
      </c>
      <c r="G2066" s="10" t="s">
        <v>12654</v>
      </c>
      <c r="H2066" s="10" t="s">
        <v>833</v>
      </c>
      <c r="I2066" s="10" t="s">
        <v>55</v>
      </c>
      <c r="K2066" s="10" t="s">
        <v>13907</v>
      </c>
      <c r="L2066" s="10" t="s">
        <v>42</v>
      </c>
    </row>
    <row r="2067" ht="15.75" customHeight="1">
      <c r="A2067" s="64">
        <v>45473.0</v>
      </c>
      <c r="B2067" s="55" t="str">
        <f>HYPERLINK("https://jobright.ai/jobs/info/6681a978127400923c662286?utm_campaign=1065&amp;utm_source=sheet", "Apply")</f>
        <v>Apply</v>
      </c>
      <c r="C2067" s="10" t="s">
        <v>13906</v>
      </c>
      <c r="D2067" s="56" t="s">
        <v>95</v>
      </c>
      <c r="E2067" s="10">
        <v>52.0</v>
      </c>
      <c r="G2067" s="10" t="s">
        <v>12654</v>
      </c>
      <c r="H2067" s="10" t="s">
        <v>847</v>
      </c>
      <c r="I2067" s="10" t="s">
        <v>55</v>
      </c>
      <c r="K2067" s="10" t="s">
        <v>13907</v>
      </c>
      <c r="L2067" s="10" t="s">
        <v>42</v>
      </c>
    </row>
    <row r="2068" ht="15.75" customHeight="1">
      <c r="A2068" s="64">
        <v>45473.0</v>
      </c>
      <c r="B2068" s="55" t="str">
        <f>HYPERLINK("https://jobright.ai/jobs/info/6681a978127400923c66227d?utm_campaign=1065&amp;utm_source=sheet", "Apply")</f>
        <v>Apply</v>
      </c>
      <c r="C2068" s="10" t="s">
        <v>13906</v>
      </c>
      <c r="D2068" s="56" t="s">
        <v>95</v>
      </c>
      <c r="E2068" s="10">
        <v>52.0</v>
      </c>
      <c r="G2068" s="10" t="s">
        <v>12654</v>
      </c>
      <c r="H2068" s="10" t="s">
        <v>1012</v>
      </c>
      <c r="I2068" s="10" t="s">
        <v>55</v>
      </c>
      <c r="K2068" s="10" t="s">
        <v>13907</v>
      </c>
      <c r="L2068" s="10" t="s">
        <v>42</v>
      </c>
    </row>
    <row r="2069" ht="15.75" customHeight="1">
      <c r="A2069" s="64">
        <v>45473.0</v>
      </c>
      <c r="B2069" s="55" t="str">
        <f>HYPERLINK("https://jobright.ai/jobs/info/6681a978127400923c662294?utm_campaign=1065&amp;utm_source=sheet", "Apply")</f>
        <v>Apply</v>
      </c>
      <c r="C2069" s="10" t="s">
        <v>13906</v>
      </c>
      <c r="D2069" s="56" t="s">
        <v>95</v>
      </c>
      <c r="E2069" s="10">
        <v>52.0</v>
      </c>
      <c r="G2069" s="10" t="s">
        <v>12654</v>
      </c>
      <c r="H2069" s="10" t="s">
        <v>1052</v>
      </c>
      <c r="I2069" s="10" t="s">
        <v>55</v>
      </c>
      <c r="K2069" s="10" t="s">
        <v>13907</v>
      </c>
      <c r="L2069" s="10" t="s">
        <v>42</v>
      </c>
    </row>
    <row r="2070" ht="15.75" customHeight="1">
      <c r="A2070" s="64">
        <v>45473.0</v>
      </c>
      <c r="B2070" s="55" t="str">
        <f>HYPERLINK("https://jobright.ai/jobs/info/6681a978127400923c662293?utm_campaign=1065&amp;utm_source=sheet", "Apply")</f>
        <v>Apply</v>
      </c>
      <c r="C2070" s="10" t="s">
        <v>13906</v>
      </c>
      <c r="D2070" s="56" t="s">
        <v>95</v>
      </c>
      <c r="E2070" s="10">
        <v>52.0</v>
      </c>
      <c r="G2070" s="10" t="s">
        <v>12654</v>
      </c>
      <c r="H2070" s="10" t="s">
        <v>952</v>
      </c>
      <c r="I2070" s="10" t="s">
        <v>55</v>
      </c>
      <c r="K2070" s="10" t="s">
        <v>13907</v>
      </c>
      <c r="L2070" s="10" t="s">
        <v>42</v>
      </c>
    </row>
    <row r="2071" ht="15.75" customHeight="1">
      <c r="A2071" s="64">
        <v>45473.0</v>
      </c>
      <c r="B2071" s="55" t="str">
        <f>HYPERLINK("https://jobright.ai/jobs/info/6681a978127400923c66229a?utm_campaign=1065&amp;utm_source=sheet", "Apply")</f>
        <v>Apply</v>
      </c>
      <c r="C2071" s="10" t="s">
        <v>13906</v>
      </c>
      <c r="D2071" s="56" t="s">
        <v>95</v>
      </c>
      <c r="E2071" s="10">
        <v>52.0</v>
      </c>
      <c r="G2071" s="10" t="s">
        <v>12654</v>
      </c>
      <c r="H2071" s="10" t="s">
        <v>1038</v>
      </c>
      <c r="I2071" s="10" t="s">
        <v>55</v>
      </c>
      <c r="K2071" s="10" t="s">
        <v>13907</v>
      </c>
      <c r="L2071" s="10" t="s">
        <v>42</v>
      </c>
    </row>
    <row r="2072" ht="15.75" customHeight="1">
      <c r="A2072" s="64">
        <v>45473.0</v>
      </c>
      <c r="B2072" s="55" t="str">
        <f>HYPERLINK("https://jobright.ai/jobs/info/6681a978127400923c662297?utm_campaign=1065&amp;utm_source=sheet", "Apply")</f>
        <v>Apply</v>
      </c>
      <c r="C2072" s="10" t="s">
        <v>13906</v>
      </c>
      <c r="D2072" s="56" t="s">
        <v>95</v>
      </c>
      <c r="E2072" s="10">
        <v>52.0</v>
      </c>
      <c r="G2072" s="10" t="s">
        <v>12654</v>
      </c>
      <c r="H2072" s="10" t="s">
        <v>841</v>
      </c>
      <c r="I2072" s="10" t="s">
        <v>55</v>
      </c>
      <c r="K2072" s="10" t="s">
        <v>13907</v>
      </c>
      <c r="L2072" s="10" t="s">
        <v>42</v>
      </c>
    </row>
    <row r="2073" ht="15.75" customHeight="1">
      <c r="A2073" s="64">
        <v>45473.0</v>
      </c>
      <c r="B2073" s="55" t="str">
        <f>HYPERLINK("https://jobright.ai/jobs/info/6681a97f127400923c66229c?utm_campaign=1065&amp;utm_source=sheet", "Apply")</f>
        <v>Apply</v>
      </c>
      <c r="C2073" s="10" t="s">
        <v>13906</v>
      </c>
      <c r="D2073" s="56" t="s">
        <v>95</v>
      </c>
      <c r="E2073" s="10">
        <v>52.0</v>
      </c>
      <c r="G2073" s="10" t="s">
        <v>12654</v>
      </c>
      <c r="H2073" s="10" t="s">
        <v>738</v>
      </c>
      <c r="I2073" s="10" t="s">
        <v>55</v>
      </c>
      <c r="K2073" s="10" t="s">
        <v>13907</v>
      </c>
      <c r="L2073" s="10" t="s">
        <v>42</v>
      </c>
    </row>
    <row r="2074" ht="15.75" customHeight="1">
      <c r="A2074" s="64">
        <v>45473.0</v>
      </c>
      <c r="B2074" s="55" t="str">
        <f>HYPERLINK("https://jobright.ai/jobs/info/6681a97f127400923c6622a2?utm_campaign=1065&amp;utm_source=sheet", "Apply")</f>
        <v>Apply</v>
      </c>
      <c r="C2074" s="10" t="s">
        <v>13906</v>
      </c>
      <c r="D2074" s="56" t="s">
        <v>95</v>
      </c>
      <c r="E2074" s="10">
        <v>52.0</v>
      </c>
      <c r="G2074" s="10" t="s">
        <v>12654</v>
      </c>
      <c r="H2074" s="10" t="s">
        <v>901</v>
      </c>
      <c r="I2074" s="10" t="s">
        <v>55</v>
      </c>
      <c r="K2074" s="10" t="s">
        <v>13907</v>
      </c>
      <c r="L2074" s="10" t="s">
        <v>42</v>
      </c>
    </row>
    <row r="2075" ht="15.75" customHeight="1">
      <c r="A2075" s="64">
        <v>45473.0</v>
      </c>
      <c r="B2075" s="55" t="str">
        <f>HYPERLINK("https://jobright.ai/jobs/info/6681a97f127400923c6622a8?utm_campaign=1065&amp;utm_source=sheet", "Apply")</f>
        <v>Apply</v>
      </c>
      <c r="C2075" s="10" t="s">
        <v>13906</v>
      </c>
      <c r="D2075" s="56" t="s">
        <v>95</v>
      </c>
      <c r="E2075" s="10">
        <v>52.0</v>
      </c>
      <c r="G2075" s="10" t="s">
        <v>12654</v>
      </c>
      <c r="H2075" s="10" t="s">
        <v>951</v>
      </c>
      <c r="I2075" s="10" t="s">
        <v>55</v>
      </c>
      <c r="K2075" s="10" t="s">
        <v>13907</v>
      </c>
      <c r="L2075" s="10" t="s">
        <v>42</v>
      </c>
    </row>
    <row r="2076" ht="15.75" customHeight="1">
      <c r="A2076" s="64">
        <v>45473.0</v>
      </c>
      <c r="B2076" s="55" t="str">
        <f>HYPERLINK("https://jobright.ai/jobs/info/6681a97f127400923c6622ad?utm_campaign=1065&amp;utm_source=sheet", "Apply")</f>
        <v>Apply</v>
      </c>
      <c r="C2076" s="10" t="s">
        <v>13906</v>
      </c>
      <c r="D2076" s="56" t="s">
        <v>95</v>
      </c>
      <c r="E2076" s="10">
        <v>52.0</v>
      </c>
      <c r="G2076" s="10" t="s">
        <v>12654</v>
      </c>
      <c r="H2076" s="10" t="s">
        <v>768</v>
      </c>
      <c r="I2076" s="10" t="s">
        <v>55</v>
      </c>
      <c r="K2076" s="10" t="s">
        <v>13907</v>
      </c>
      <c r="L2076" s="10" t="s">
        <v>42</v>
      </c>
    </row>
    <row r="2077" ht="15.75" customHeight="1">
      <c r="A2077" s="64">
        <v>45473.0</v>
      </c>
      <c r="B2077" s="55" t="str">
        <f>HYPERLINK("https://jobright.ai/jobs/info/6681a97f127400923c66229f?utm_campaign=1065&amp;utm_source=sheet", "Apply")</f>
        <v>Apply</v>
      </c>
      <c r="C2077" s="10" t="s">
        <v>13906</v>
      </c>
      <c r="D2077" s="56" t="s">
        <v>95</v>
      </c>
      <c r="E2077" s="10">
        <v>52.0</v>
      </c>
      <c r="G2077" s="10" t="s">
        <v>12654</v>
      </c>
      <c r="H2077" s="10" t="s">
        <v>1036</v>
      </c>
      <c r="I2077" s="10" t="s">
        <v>55</v>
      </c>
      <c r="K2077" s="10" t="s">
        <v>13907</v>
      </c>
      <c r="L2077" s="10" t="s">
        <v>42</v>
      </c>
    </row>
    <row r="2078" ht="15.75" customHeight="1">
      <c r="A2078" s="64">
        <v>45473.0</v>
      </c>
      <c r="B2078" s="55" t="str">
        <f>HYPERLINK("https://jobright.ai/jobs/info/6681a97f127400923c6622a6?utm_campaign=1065&amp;utm_source=sheet", "Apply")</f>
        <v>Apply</v>
      </c>
      <c r="C2078" s="10" t="s">
        <v>13906</v>
      </c>
      <c r="D2078" s="56" t="s">
        <v>95</v>
      </c>
      <c r="E2078" s="10">
        <v>52.0</v>
      </c>
      <c r="G2078" s="10" t="s">
        <v>12654</v>
      </c>
      <c r="H2078" s="10" t="s">
        <v>900</v>
      </c>
      <c r="I2078" s="10" t="s">
        <v>55</v>
      </c>
      <c r="K2078" s="10" t="s">
        <v>13907</v>
      </c>
      <c r="L2078" s="10" t="s">
        <v>42</v>
      </c>
    </row>
    <row r="2079" ht="15.75" customHeight="1">
      <c r="A2079" s="64">
        <v>45473.0</v>
      </c>
      <c r="B2079" s="55" t="str">
        <f>HYPERLINK("https://jobright.ai/jobs/info/6681a97f127400923c6622b6?utm_campaign=1065&amp;utm_source=sheet", "Apply")</f>
        <v>Apply</v>
      </c>
      <c r="C2079" s="10" t="s">
        <v>13906</v>
      </c>
      <c r="D2079" s="56" t="s">
        <v>95</v>
      </c>
      <c r="E2079" s="10">
        <v>52.0</v>
      </c>
      <c r="G2079" s="10" t="s">
        <v>12654</v>
      </c>
      <c r="H2079" s="10" t="s">
        <v>938</v>
      </c>
      <c r="I2079" s="10" t="s">
        <v>55</v>
      </c>
      <c r="K2079" s="10" t="s">
        <v>13907</v>
      </c>
      <c r="L2079" s="10" t="s">
        <v>42</v>
      </c>
    </row>
    <row r="2080" ht="15.75" customHeight="1">
      <c r="A2080" s="64">
        <v>45473.0</v>
      </c>
      <c r="B2080" s="55" t="str">
        <f>HYPERLINK("https://jobright.ai/jobs/info/6681a97f127400923c6622b4?utm_campaign=1065&amp;utm_source=sheet", "Apply")</f>
        <v>Apply</v>
      </c>
      <c r="C2080" s="10" t="s">
        <v>13906</v>
      </c>
      <c r="D2080" s="56" t="s">
        <v>95</v>
      </c>
      <c r="E2080" s="10">
        <v>52.0</v>
      </c>
      <c r="G2080" s="10" t="s">
        <v>12654</v>
      </c>
      <c r="H2080" s="10" t="s">
        <v>837</v>
      </c>
      <c r="I2080" s="10" t="s">
        <v>55</v>
      </c>
      <c r="K2080" s="10" t="s">
        <v>13907</v>
      </c>
      <c r="L2080" s="10" t="s">
        <v>42</v>
      </c>
    </row>
    <row r="2081" ht="15.75" customHeight="1">
      <c r="A2081" s="64">
        <v>45472.0</v>
      </c>
      <c r="B2081" s="55" t="str">
        <f>HYPERLINK("https://jobright.ai/jobs/info/6680adc95891fceca503d418?utm_campaign=1065&amp;utm_source=sheet", "Apply")</f>
        <v>Apply</v>
      </c>
      <c r="C2081" s="10" t="s">
        <v>15065</v>
      </c>
      <c r="D2081" s="56" t="s">
        <v>15066</v>
      </c>
      <c r="G2081" s="10" t="s">
        <v>12630</v>
      </c>
      <c r="H2081" s="10" t="s">
        <v>914</v>
      </c>
      <c r="I2081" s="10" t="s">
        <v>55</v>
      </c>
      <c r="J2081" s="10" t="s">
        <v>1761</v>
      </c>
      <c r="K2081" s="10" t="s">
        <v>15067</v>
      </c>
      <c r="L2081" s="10" t="s">
        <v>42</v>
      </c>
    </row>
    <row r="2082" ht="15.75" customHeight="1">
      <c r="A2082" s="64">
        <v>45472.0</v>
      </c>
      <c r="B2082" s="55" t="str">
        <f>HYPERLINK("https://jobright.ai/jobs/info/667fba7a387af1b86c51b718?utm_campaign=1065&amp;utm_source=sheet", "Apply")</f>
        <v>Apply</v>
      </c>
      <c r="C2082" s="10" t="s">
        <v>15068</v>
      </c>
      <c r="D2082" s="56" t="s">
        <v>2118</v>
      </c>
      <c r="E2082" s="10" t="s">
        <v>276</v>
      </c>
      <c r="F2082" s="10" t="s">
        <v>2119</v>
      </c>
      <c r="G2082" s="10" t="s">
        <v>12630</v>
      </c>
      <c r="H2082" s="10" t="s">
        <v>167</v>
      </c>
      <c r="I2082" s="10" t="s">
        <v>55</v>
      </c>
      <c r="K2082" s="10" t="s">
        <v>15069</v>
      </c>
      <c r="L2082" s="10" t="s">
        <v>42</v>
      </c>
    </row>
    <row r="2083" ht="15.75" customHeight="1">
      <c r="A2083" s="64">
        <v>45472.0</v>
      </c>
      <c r="B2083" s="55" t="str">
        <f>HYPERLINK("https://jobright.ai/jobs/info/667f6a605e2e018177ec099b?utm_campaign=1065&amp;utm_source=sheet", "Apply")</f>
        <v>Apply</v>
      </c>
      <c r="C2083" s="10" t="s">
        <v>15070</v>
      </c>
      <c r="D2083" s="56" t="s">
        <v>15071</v>
      </c>
      <c r="E2083" s="10" t="s">
        <v>137</v>
      </c>
      <c r="F2083" s="10" t="s">
        <v>345</v>
      </c>
      <c r="G2083" s="10" t="s">
        <v>12630</v>
      </c>
      <c r="H2083" s="10" t="s">
        <v>3371</v>
      </c>
      <c r="I2083" s="10" t="s">
        <v>55</v>
      </c>
      <c r="L2083" s="10" t="s">
        <v>42</v>
      </c>
    </row>
    <row r="2084" ht="15.75" customHeight="1">
      <c r="A2084" s="64">
        <v>45472.0</v>
      </c>
      <c r="B2084" s="55" t="str">
        <f>HYPERLINK("https://jobright.ai/jobs/info/667f6a605e2e018177ec0a05?utm_campaign=1065&amp;utm_source=sheet", "Apply")</f>
        <v>Apply</v>
      </c>
      <c r="C2084" s="10" t="s">
        <v>15072</v>
      </c>
      <c r="D2084" s="56" t="s">
        <v>1636</v>
      </c>
      <c r="E2084" s="10">
        <v>6029.0</v>
      </c>
      <c r="G2084" s="10" t="s">
        <v>12654</v>
      </c>
      <c r="H2084" s="10" t="s">
        <v>170</v>
      </c>
      <c r="I2084" s="10" t="s">
        <v>55</v>
      </c>
      <c r="J2084" s="10" t="s">
        <v>2127</v>
      </c>
      <c r="K2084" s="10" t="s">
        <v>15073</v>
      </c>
      <c r="L2084" s="10" t="s">
        <v>42</v>
      </c>
    </row>
    <row r="2085" ht="15.75" customHeight="1">
      <c r="A2085" s="64">
        <v>45472.0</v>
      </c>
      <c r="B2085" s="55" t="str">
        <f>HYPERLINK("https://jobright.ai/jobs/info/667fba7a387af1b86c51b725?utm_campaign=1065&amp;utm_source=sheet", "Apply")</f>
        <v>Apply</v>
      </c>
      <c r="C2085" s="10" t="s">
        <v>12650</v>
      </c>
      <c r="D2085" s="56" t="s">
        <v>15074</v>
      </c>
      <c r="E2085" s="10" t="s">
        <v>79</v>
      </c>
      <c r="F2085" s="10" t="s">
        <v>14070</v>
      </c>
      <c r="G2085" s="10" t="s">
        <v>12630</v>
      </c>
      <c r="H2085" s="10" t="s">
        <v>605</v>
      </c>
      <c r="I2085" s="10" t="s">
        <v>55</v>
      </c>
      <c r="J2085" s="10" t="s">
        <v>15075</v>
      </c>
      <c r="K2085" s="10" t="s">
        <v>15076</v>
      </c>
      <c r="L2085" s="10" t="s">
        <v>42</v>
      </c>
    </row>
    <row r="2086" ht="15.75" customHeight="1">
      <c r="A2086" s="64">
        <v>45472.0</v>
      </c>
      <c r="B2086" s="55" t="str">
        <f>HYPERLINK("https://jobright.ai/jobs/info/667f9b955060667d3c167de4?utm_campaign=1065&amp;utm_source=sheet", "Apply")</f>
        <v>Apply</v>
      </c>
      <c r="C2086" s="10" t="s">
        <v>15077</v>
      </c>
      <c r="D2086" s="56" t="s">
        <v>10244</v>
      </c>
      <c r="E2086" s="10" t="s">
        <v>45</v>
      </c>
      <c r="G2086" s="10" t="s">
        <v>12654</v>
      </c>
      <c r="H2086" s="10" t="s">
        <v>15078</v>
      </c>
      <c r="I2086" s="10" t="s">
        <v>55</v>
      </c>
      <c r="J2086" s="10" t="s">
        <v>15079</v>
      </c>
      <c r="K2086" s="10" t="s">
        <v>15080</v>
      </c>
      <c r="L2086" s="10" t="s">
        <v>42</v>
      </c>
    </row>
    <row r="2087" ht="15.75" customHeight="1">
      <c r="A2087" s="64">
        <v>45471.0</v>
      </c>
      <c r="B2087" s="55" t="str">
        <f>HYPERLINK("https://jobright.ai/jobs/info/667f6470f1495e3b5cecc501?utm_campaign=1065&amp;utm_source=sheet", "Apply")</f>
        <v>Apply</v>
      </c>
      <c r="C2087" s="10" t="s">
        <v>15081</v>
      </c>
      <c r="D2087" s="56" t="s">
        <v>15082</v>
      </c>
      <c r="E2087" s="10" t="s">
        <v>276</v>
      </c>
      <c r="F2087" s="10" t="s">
        <v>1259</v>
      </c>
      <c r="G2087" s="10" t="s">
        <v>12630</v>
      </c>
      <c r="H2087" s="10" t="s">
        <v>411</v>
      </c>
      <c r="I2087" s="10" t="s">
        <v>48</v>
      </c>
      <c r="J2087" s="10" t="s">
        <v>4117</v>
      </c>
      <c r="K2087" s="10" t="s">
        <v>15083</v>
      </c>
      <c r="L2087" s="10" t="s">
        <v>42</v>
      </c>
    </row>
    <row r="2088" ht="15.75" customHeight="1">
      <c r="A2088" s="64">
        <v>45471.0</v>
      </c>
      <c r="B2088" s="55" t="str">
        <f>HYPERLINK("https://jobright.ai/jobs/info/667f6cb47334a672aaca1bed?utm_campaign=1065&amp;utm_source=sheet", "Apply")</f>
        <v>Apply</v>
      </c>
      <c r="C2088" s="10" t="s">
        <v>13863</v>
      </c>
      <c r="D2088" s="56" t="s">
        <v>7919</v>
      </c>
      <c r="E2088" s="10" t="s">
        <v>45</v>
      </c>
      <c r="F2088" s="10" t="s">
        <v>1234</v>
      </c>
      <c r="G2088" s="10" t="s">
        <v>12635</v>
      </c>
      <c r="H2088" s="10" t="s">
        <v>131</v>
      </c>
      <c r="I2088" s="10" t="s">
        <v>55</v>
      </c>
      <c r="K2088" s="10" t="s">
        <v>15084</v>
      </c>
      <c r="L2088" s="10" t="s">
        <v>42</v>
      </c>
    </row>
    <row r="2089" ht="15.75" customHeight="1">
      <c r="A2089" s="64">
        <v>45471.0</v>
      </c>
      <c r="B2089" s="55" t="str">
        <f>HYPERLINK("https://jobright.ai/jobs/info/667f3b3361f2588c341879a2?utm_campaign=1065&amp;utm_source=sheet", "Apply")</f>
        <v>Apply</v>
      </c>
      <c r="C2089" s="10" t="s">
        <v>9688</v>
      </c>
      <c r="D2089" s="56" t="s">
        <v>15085</v>
      </c>
      <c r="E2089" s="10" t="s">
        <v>79</v>
      </c>
      <c r="F2089" s="10" t="s">
        <v>3035</v>
      </c>
      <c r="G2089" s="10" t="s">
        <v>12630</v>
      </c>
      <c r="H2089" s="10" t="s">
        <v>170</v>
      </c>
      <c r="I2089" s="10" t="s">
        <v>55</v>
      </c>
      <c r="K2089" s="10" t="s">
        <v>15086</v>
      </c>
      <c r="L2089" s="10" t="s">
        <v>42</v>
      </c>
    </row>
    <row r="2090" ht="15.75" customHeight="1">
      <c r="A2090" s="64">
        <v>45471.0</v>
      </c>
      <c r="B2090" s="55" t="str">
        <f>HYPERLINK("https://jobright.ai/jobs/info/667f3b4b61f2588c34187afc?utm_campaign=1065&amp;utm_source=sheet", "Apply")</f>
        <v>Apply</v>
      </c>
      <c r="C2090" s="10" t="s">
        <v>13863</v>
      </c>
      <c r="D2090" s="56" t="s">
        <v>7919</v>
      </c>
      <c r="E2090" s="10" t="s">
        <v>45</v>
      </c>
      <c r="F2090" s="10" t="s">
        <v>1234</v>
      </c>
      <c r="G2090" s="10" t="s">
        <v>12635</v>
      </c>
      <c r="H2090" s="10" t="s">
        <v>131</v>
      </c>
      <c r="I2090" s="10" t="s">
        <v>48</v>
      </c>
      <c r="K2090" s="10" t="s">
        <v>15087</v>
      </c>
      <c r="L2090" s="10" t="s">
        <v>42</v>
      </c>
    </row>
    <row r="2091" ht="15.75" customHeight="1">
      <c r="A2091" s="64">
        <v>45471.0</v>
      </c>
      <c r="B2091" s="55" t="str">
        <f>HYPERLINK("https://jobright.ai/jobs/info/667f4176d75e995f5c70721c?utm_campaign=1065&amp;utm_source=sheet", "Apply")</f>
        <v>Apply</v>
      </c>
      <c r="C2091" s="10" t="s">
        <v>15088</v>
      </c>
      <c r="D2091" s="56" t="s">
        <v>15089</v>
      </c>
      <c r="E2091" s="10" t="s">
        <v>79</v>
      </c>
      <c r="F2091" s="10" t="s">
        <v>15090</v>
      </c>
      <c r="G2091" s="10" t="s">
        <v>12635</v>
      </c>
      <c r="H2091" s="10" t="s">
        <v>167</v>
      </c>
      <c r="I2091" s="10" t="s">
        <v>55</v>
      </c>
      <c r="K2091" s="10" t="s">
        <v>15091</v>
      </c>
      <c r="L2091" s="10" t="s">
        <v>42</v>
      </c>
    </row>
    <row r="2092" ht="15.75" customHeight="1">
      <c r="A2092" s="64">
        <v>45471.0</v>
      </c>
      <c r="B2092" s="55" t="str">
        <f>HYPERLINK("https://jobright.ai/jobs/info/667f171e67cd08a9a3f3ee96?utm_campaign=1065&amp;utm_source=sheet", "Apply")</f>
        <v>Apply</v>
      </c>
      <c r="C2092" s="10" t="s">
        <v>15092</v>
      </c>
      <c r="D2092" s="56" t="s">
        <v>2118</v>
      </c>
      <c r="E2092" s="10" t="s">
        <v>276</v>
      </c>
      <c r="F2092" s="10" t="s">
        <v>2119</v>
      </c>
      <c r="G2092" s="10" t="s">
        <v>12654</v>
      </c>
      <c r="H2092" s="10" t="s">
        <v>167</v>
      </c>
      <c r="I2092" s="10" t="s">
        <v>55</v>
      </c>
      <c r="K2092" s="10" t="s">
        <v>15093</v>
      </c>
      <c r="L2092" s="10" t="s">
        <v>42</v>
      </c>
    </row>
    <row r="2093" ht="15.75" customHeight="1">
      <c r="A2093" s="64">
        <v>45471.0</v>
      </c>
      <c r="B2093" s="55" t="str">
        <f>HYPERLINK("https://jobright.ai/jobs/info/667f22f10dd968ff61cf1e5a?utm_campaign=1065&amp;utm_source=sheet", "Apply")</f>
        <v>Apply</v>
      </c>
      <c r="C2093" s="10" t="s">
        <v>15094</v>
      </c>
      <c r="D2093" s="56" t="s">
        <v>13400</v>
      </c>
      <c r="E2093" s="10" t="s">
        <v>276</v>
      </c>
      <c r="F2093" s="10" t="s">
        <v>3770</v>
      </c>
      <c r="G2093" s="10" t="s">
        <v>12630</v>
      </c>
      <c r="H2093" s="10" t="s">
        <v>571</v>
      </c>
      <c r="I2093" s="10" t="s">
        <v>55</v>
      </c>
      <c r="J2093" s="10" t="s">
        <v>3651</v>
      </c>
      <c r="K2093" s="10" t="s">
        <v>15095</v>
      </c>
      <c r="L2093" s="10" t="s">
        <v>42</v>
      </c>
    </row>
    <row r="2094" ht="15.75" customHeight="1">
      <c r="A2094" s="64">
        <v>45471.0</v>
      </c>
      <c r="B2094" s="55" t="str">
        <f>HYPERLINK("https://jobright.ai/jobs/info/667ee829279a2f751e24f542?utm_campaign=1065&amp;utm_source=sheet", "Apply")</f>
        <v>Apply</v>
      </c>
      <c r="C2094" s="10" t="s">
        <v>15096</v>
      </c>
      <c r="D2094" s="56" t="s">
        <v>15097</v>
      </c>
      <c r="E2094" s="10" t="s">
        <v>45</v>
      </c>
      <c r="F2094" s="10" t="s">
        <v>15098</v>
      </c>
      <c r="G2094" s="10" t="s">
        <v>12630</v>
      </c>
      <c r="H2094" s="10" t="s">
        <v>15099</v>
      </c>
      <c r="I2094" s="10" t="s">
        <v>48</v>
      </c>
      <c r="K2094" s="10" t="s">
        <v>15100</v>
      </c>
      <c r="L2094" s="10" t="s">
        <v>42</v>
      </c>
    </row>
    <row r="2095" ht="15.75" customHeight="1">
      <c r="A2095" s="64">
        <v>45471.0</v>
      </c>
      <c r="B2095" s="55" t="str">
        <f>HYPERLINK("https://jobright.ai/jobs/info/6686a811d4be2b4f08f25746?utm_campaign=1065&amp;utm_source=sheet", "Apply")</f>
        <v>Apply</v>
      </c>
      <c r="C2095" s="10" t="s">
        <v>15101</v>
      </c>
      <c r="D2095" s="56" t="s">
        <v>6700</v>
      </c>
      <c r="E2095" s="10" t="s">
        <v>65</v>
      </c>
      <c r="F2095" s="10" t="s">
        <v>6701</v>
      </c>
      <c r="G2095" s="10" t="s">
        <v>12630</v>
      </c>
      <c r="H2095" s="10" t="s">
        <v>6295</v>
      </c>
      <c r="I2095" s="10" t="s">
        <v>55</v>
      </c>
      <c r="J2095" s="10" t="s">
        <v>5777</v>
      </c>
      <c r="K2095" s="10" t="s">
        <v>15102</v>
      </c>
      <c r="L2095" s="10" t="s">
        <v>42</v>
      </c>
    </row>
    <row r="2096" ht="15.75" customHeight="1">
      <c r="A2096" s="64">
        <v>45471.0</v>
      </c>
      <c r="B2096" s="55" t="str">
        <f>HYPERLINK("https://jobright.ai/jobs/info/667fee1dc72a4cb5f3dd67af?utm_campaign=1065&amp;utm_source=sheet", "Apply")</f>
        <v>Apply</v>
      </c>
      <c r="C2096" s="10" t="s">
        <v>15103</v>
      </c>
      <c r="D2096" s="56" t="s">
        <v>15104</v>
      </c>
      <c r="E2096" s="10" t="s">
        <v>137</v>
      </c>
      <c r="F2096" s="10" t="s">
        <v>14747</v>
      </c>
      <c r="G2096" s="10" t="s">
        <v>12630</v>
      </c>
      <c r="H2096" s="10" t="s">
        <v>5245</v>
      </c>
      <c r="I2096" s="10" t="s">
        <v>55</v>
      </c>
      <c r="K2096" s="10" t="s">
        <v>15105</v>
      </c>
      <c r="L2096" s="10" t="s">
        <v>42</v>
      </c>
    </row>
    <row r="2097" ht="15.75" customHeight="1">
      <c r="A2097" s="64">
        <v>45471.0</v>
      </c>
      <c r="B2097" s="55" t="str">
        <f>HYPERLINK("https://jobright.ai/jobs/info/667e43f7a8a665ec08d13e03?utm_campaign=1065&amp;utm_source=sheet", "Apply")</f>
        <v>Apply</v>
      </c>
      <c r="C2097" s="10" t="s">
        <v>15106</v>
      </c>
      <c r="D2097" s="56" t="s">
        <v>15107</v>
      </c>
      <c r="E2097" s="10" t="s">
        <v>71</v>
      </c>
      <c r="F2097" s="10" t="s">
        <v>15108</v>
      </c>
      <c r="G2097" s="10" t="s">
        <v>12630</v>
      </c>
      <c r="H2097" s="10" t="s">
        <v>607</v>
      </c>
      <c r="I2097" s="10" t="s">
        <v>55</v>
      </c>
      <c r="K2097" s="10" t="s">
        <v>15109</v>
      </c>
      <c r="L2097" s="10" t="s">
        <v>42</v>
      </c>
    </row>
    <row r="2098" ht="15.75" customHeight="1">
      <c r="A2098" s="64">
        <v>45471.0</v>
      </c>
      <c r="B2098" s="55" t="str">
        <f>HYPERLINK("https://jobright.ai/jobs/info/667f59f517e959dc66d2b310?utm_campaign=1065&amp;utm_source=sheet", "Apply")</f>
        <v>Apply</v>
      </c>
      <c r="C2098" s="10" t="s">
        <v>9688</v>
      </c>
      <c r="D2098" s="56" t="s">
        <v>15110</v>
      </c>
      <c r="E2098" s="10" t="s">
        <v>276</v>
      </c>
      <c r="F2098" s="10" t="s">
        <v>15111</v>
      </c>
      <c r="G2098" s="10" t="s">
        <v>12630</v>
      </c>
      <c r="H2098" s="10" t="s">
        <v>784</v>
      </c>
      <c r="I2098" s="10" t="s">
        <v>48</v>
      </c>
      <c r="K2098" s="10" t="s">
        <v>15112</v>
      </c>
      <c r="L2098" s="10" t="s">
        <v>42</v>
      </c>
    </row>
    <row r="2099" ht="15.75" customHeight="1">
      <c r="A2099" s="64">
        <v>45471.0</v>
      </c>
      <c r="B2099" s="55" t="str">
        <f>HYPERLINK("https://jobright.ai/jobs/info/667f647cf1495e3b5cecc5ba?utm_campaign=1065&amp;utm_source=sheet", "Apply")</f>
        <v>Apply</v>
      </c>
      <c r="C2099" s="10" t="s">
        <v>12650</v>
      </c>
      <c r="D2099" s="56" t="s">
        <v>14031</v>
      </c>
      <c r="E2099" s="10" t="s">
        <v>45</v>
      </c>
      <c r="F2099" s="10" t="s">
        <v>14032</v>
      </c>
      <c r="G2099" s="10" t="s">
        <v>12630</v>
      </c>
      <c r="H2099" s="10" t="s">
        <v>152</v>
      </c>
      <c r="I2099" s="10" t="s">
        <v>55</v>
      </c>
      <c r="J2099" s="10" t="s">
        <v>1409</v>
      </c>
      <c r="K2099" s="10" t="s">
        <v>14033</v>
      </c>
      <c r="L2099" s="10" t="s">
        <v>42</v>
      </c>
    </row>
    <row r="2100" ht="15.75" customHeight="1">
      <c r="A2100" s="64">
        <v>45471.0</v>
      </c>
      <c r="B2100" s="55" t="str">
        <f>HYPERLINK("https://jobright.ai/jobs/info/667f01db6900d892b3bcbe2f?utm_campaign=1065&amp;utm_source=sheet", "Apply")</f>
        <v>Apply</v>
      </c>
      <c r="C2100" s="10" t="s">
        <v>15072</v>
      </c>
      <c r="D2100" s="56" t="s">
        <v>1636</v>
      </c>
      <c r="E2100" s="10">
        <v>6029.0</v>
      </c>
      <c r="G2100" s="10" t="s">
        <v>12654</v>
      </c>
      <c r="H2100" s="10" t="s">
        <v>15113</v>
      </c>
      <c r="I2100" s="10" t="s">
        <v>55</v>
      </c>
      <c r="J2100" s="10" t="s">
        <v>2127</v>
      </c>
      <c r="K2100" s="10" t="s">
        <v>15073</v>
      </c>
      <c r="L2100" s="10" t="s">
        <v>42</v>
      </c>
    </row>
    <row r="2101" ht="15.75" customHeight="1">
      <c r="A2101" s="64">
        <v>45470.0</v>
      </c>
      <c r="B2101" s="55" t="str">
        <f>HYPERLINK("https://jobright.ai/jobs/info/667e11a095e89dbb3ea3ef5f?utm_campaign=1065&amp;utm_source=sheet", "Apply")</f>
        <v>Apply</v>
      </c>
      <c r="C2101" s="10" t="s">
        <v>12650</v>
      </c>
      <c r="D2101" s="56" t="s">
        <v>15114</v>
      </c>
      <c r="E2101" s="10">
        <v>21.0</v>
      </c>
      <c r="G2101" s="10" t="s">
        <v>12635</v>
      </c>
      <c r="H2101" s="10" t="s">
        <v>278</v>
      </c>
      <c r="I2101" s="10" t="s">
        <v>48</v>
      </c>
      <c r="K2101" s="10" t="s">
        <v>15115</v>
      </c>
      <c r="L2101" s="10" t="s">
        <v>42</v>
      </c>
    </row>
    <row r="2102" ht="15.75" customHeight="1">
      <c r="A2102" s="64">
        <v>45470.0</v>
      </c>
      <c r="B2102" s="55" t="str">
        <f>HYPERLINK("https://jobright.ai/jobs/info/667df31fa8cfb857af6f1b37?utm_campaign=1065&amp;utm_source=sheet", "Apply")</f>
        <v>Apply</v>
      </c>
      <c r="C2102" s="10" t="s">
        <v>15116</v>
      </c>
      <c r="D2102" s="56" t="s">
        <v>15117</v>
      </c>
      <c r="E2102" s="10" t="s">
        <v>137</v>
      </c>
      <c r="F2102" s="10" t="s">
        <v>627</v>
      </c>
      <c r="G2102" s="10" t="s">
        <v>12630</v>
      </c>
      <c r="H2102" s="10" t="s">
        <v>165</v>
      </c>
      <c r="I2102" s="10" t="s">
        <v>55</v>
      </c>
      <c r="J2102" s="10" t="s">
        <v>1797</v>
      </c>
      <c r="K2102" s="10" t="s">
        <v>15118</v>
      </c>
      <c r="L2102" s="10" t="s">
        <v>42</v>
      </c>
    </row>
    <row r="2103" ht="15.75" customHeight="1">
      <c r="A2103" s="64">
        <v>45470.0</v>
      </c>
      <c r="B2103" s="55" t="str">
        <f>HYPERLINK("https://jobright.ai/jobs/info/667deba7f8422465584896da?utm_campaign=1065&amp;utm_source=sheet", "Apply")</f>
        <v>Apply</v>
      </c>
      <c r="C2103" s="10" t="s">
        <v>15116</v>
      </c>
      <c r="D2103" s="56" t="s">
        <v>15117</v>
      </c>
      <c r="E2103" s="10" t="s">
        <v>137</v>
      </c>
      <c r="F2103" s="10" t="s">
        <v>627</v>
      </c>
      <c r="G2103" s="10" t="s">
        <v>12630</v>
      </c>
      <c r="H2103" s="10" t="s">
        <v>96</v>
      </c>
      <c r="I2103" s="10" t="s">
        <v>55</v>
      </c>
      <c r="J2103" s="10" t="s">
        <v>1797</v>
      </c>
      <c r="K2103" s="10" t="s">
        <v>15118</v>
      </c>
      <c r="L2103" s="10" t="s">
        <v>42</v>
      </c>
    </row>
    <row r="2104" ht="15.75" customHeight="1">
      <c r="A2104" s="64">
        <v>45470.0</v>
      </c>
      <c r="B2104" s="55" t="str">
        <f>HYPERLINK("https://jobright.ai/jobs/info/665e81cba0c484f066989e43?utm_campaign=1065&amp;utm_source=sheet", "Apply")</f>
        <v>Apply</v>
      </c>
      <c r="C2104" s="10" t="s">
        <v>15119</v>
      </c>
      <c r="D2104" s="56" t="s">
        <v>15120</v>
      </c>
      <c r="E2104" s="10" t="s">
        <v>137</v>
      </c>
      <c r="F2104" s="10" t="s">
        <v>1323</v>
      </c>
      <c r="G2104" s="10" t="s">
        <v>12654</v>
      </c>
      <c r="H2104" s="10" t="s">
        <v>251</v>
      </c>
      <c r="I2104" s="10" t="s">
        <v>252</v>
      </c>
      <c r="K2104" s="10" t="s">
        <v>15121</v>
      </c>
      <c r="L2104" s="10" t="s">
        <v>42</v>
      </c>
    </row>
    <row r="2105" ht="15.75" customHeight="1">
      <c r="A2105" s="64">
        <v>45470.0</v>
      </c>
      <c r="B2105" s="55" t="str">
        <f>HYPERLINK("https://jobright.ai/jobs/info/667e09dbad1ad78c0012858b?utm_campaign=1065&amp;utm_source=sheet", "Apply")</f>
        <v>Apply</v>
      </c>
      <c r="C2105" s="10" t="s">
        <v>14876</v>
      </c>
      <c r="D2105" s="56" t="s">
        <v>14380</v>
      </c>
      <c r="E2105" s="59">
        <v>45301.0</v>
      </c>
      <c r="F2105" s="10" t="s">
        <v>14381</v>
      </c>
      <c r="G2105" s="10" t="s">
        <v>12654</v>
      </c>
      <c r="H2105" s="10" t="s">
        <v>936</v>
      </c>
      <c r="I2105" s="10" t="s">
        <v>55</v>
      </c>
      <c r="J2105" s="10" t="s">
        <v>13437</v>
      </c>
      <c r="K2105" s="10" t="s">
        <v>14877</v>
      </c>
      <c r="L2105" s="10" t="s">
        <v>42</v>
      </c>
    </row>
    <row r="2106" ht="15.75" customHeight="1">
      <c r="A2106" s="64">
        <v>45470.0</v>
      </c>
      <c r="B2106" s="55" t="str">
        <f>HYPERLINK("https://jobright.ai/jobs/info/667e09dbad1ad78c0012858c?utm_campaign=1065&amp;utm_source=sheet", "Apply")</f>
        <v>Apply</v>
      </c>
      <c r="C2106" s="10" t="s">
        <v>14876</v>
      </c>
      <c r="D2106" s="56" t="s">
        <v>14380</v>
      </c>
      <c r="E2106" s="59">
        <v>45301.0</v>
      </c>
      <c r="F2106" s="10" t="s">
        <v>14381</v>
      </c>
      <c r="G2106" s="10" t="s">
        <v>12654</v>
      </c>
      <c r="H2106" s="10" t="s">
        <v>1021</v>
      </c>
      <c r="I2106" s="10" t="s">
        <v>55</v>
      </c>
      <c r="J2106" s="10" t="s">
        <v>13437</v>
      </c>
      <c r="K2106" s="10" t="s">
        <v>14877</v>
      </c>
      <c r="L2106" s="10" t="s">
        <v>42</v>
      </c>
    </row>
    <row r="2107" ht="15.75" customHeight="1">
      <c r="A2107" s="64">
        <v>45470.0</v>
      </c>
      <c r="B2107" s="55" t="str">
        <f>HYPERLINK("https://jobright.ai/jobs/info/667debe0f842246558489c16?utm_campaign=1065&amp;utm_source=sheet", "Apply")</f>
        <v>Apply</v>
      </c>
      <c r="C2107" s="10" t="s">
        <v>14876</v>
      </c>
      <c r="D2107" s="56" t="s">
        <v>14380</v>
      </c>
      <c r="E2107" s="59">
        <v>45301.0</v>
      </c>
      <c r="F2107" s="10" t="s">
        <v>14381</v>
      </c>
      <c r="G2107" s="10" t="s">
        <v>12654</v>
      </c>
      <c r="H2107" s="10" t="s">
        <v>864</v>
      </c>
      <c r="I2107" s="10" t="s">
        <v>55</v>
      </c>
      <c r="J2107" s="10" t="s">
        <v>13437</v>
      </c>
      <c r="K2107" s="10" t="s">
        <v>14877</v>
      </c>
      <c r="L2107" s="10" t="s">
        <v>42</v>
      </c>
    </row>
    <row r="2108" ht="15.75" customHeight="1">
      <c r="A2108" s="64">
        <v>45470.0</v>
      </c>
      <c r="B2108" s="55" t="str">
        <f>HYPERLINK("https://jobright.ai/jobs/info/667debe0f842246558489c17?utm_campaign=1065&amp;utm_source=sheet", "Apply")</f>
        <v>Apply</v>
      </c>
      <c r="C2108" s="10" t="s">
        <v>14876</v>
      </c>
      <c r="D2108" s="56" t="s">
        <v>14380</v>
      </c>
      <c r="E2108" s="59">
        <v>45301.0</v>
      </c>
      <c r="F2108" s="10" t="s">
        <v>14381</v>
      </c>
      <c r="G2108" s="10" t="s">
        <v>12654</v>
      </c>
      <c r="H2108" s="10" t="s">
        <v>889</v>
      </c>
      <c r="I2108" s="10" t="s">
        <v>55</v>
      </c>
      <c r="J2108" s="10" t="s">
        <v>13437</v>
      </c>
      <c r="K2108" s="10" t="s">
        <v>14877</v>
      </c>
      <c r="L2108" s="10" t="s">
        <v>42</v>
      </c>
    </row>
    <row r="2109" ht="15.75" customHeight="1">
      <c r="A2109" s="64">
        <v>45470.0</v>
      </c>
      <c r="B2109" s="55" t="str">
        <f>HYPERLINK("https://jobright.ai/jobs/info/667debe0f842246558489c18?utm_campaign=1065&amp;utm_source=sheet", "Apply")</f>
        <v>Apply</v>
      </c>
      <c r="C2109" s="10" t="s">
        <v>14876</v>
      </c>
      <c r="D2109" s="56" t="s">
        <v>14380</v>
      </c>
      <c r="E2109" s="59">
        <v>45301.0</v>
      </c>
      <c r="F2109" s="10" t="s">
        <v>14381</v>
      </c>
      <c r="G2109" s="10" t="s">
        <v>12654</v>
      </c>
      <c r="H2109" s="10" t="s">
        <v>860</v>
      </c>
      <c r="I2109" s="10" t="s">
        <v>55</v>
      </c>
      <c r="J2109" s="10" t="s">
        <v>13437</v>
      </c>
      <c r="K2109" s="10" t="s">
        <v>14877</v>
      </c>
      <c r="L2109" s="10" t="s">
        <v>42</v>
      </c>
    </row>
    <row r="2110" ht="15.75" customHeight="1">
      <c r="A2110" s="64">
        <v>45470.0</v>
      </c>
      <c r="B2110" s="55" t="str">
        <f>HYPERLINK("https://jobright.ai/jobs/info/667debe0f842246558489c19?utm_campaign=1065&amp;utm_source=sheet", "Apply")</f>
        <v>Apply</v>
      </c>
      <c r="C2110" s="10" t="s">
        <v>14876</v>
      </c>
      <c r="D2110" s="56" t="s">
        <v>14380</v>
      </c>
      <c r="E2110" s="59">
        <v>45301.0</v>
      </c>
      <c r="F2110" s="10" t="s">
        <v>14381</v>
      </c>
      <c r="G2110" s="10" t="s">
        <v>12654</v>
      </c>
      <c r="H2110" s="10" t="s">
        <v>835</v>
      </c>
      <c r="I2110" s="10" t="s">
        <v>55</v>
      </c>
      <c r="J2110" s="10" t="s">
        <v>13437</v>
      </c>
      <c r="K2110" s="10" t="s">
        <v>14877</v>
      </c>
      <c r="L2110" s="10" t="s">
        <v>42</v>
      </c>
    </row>
    <row r="2111" ht="15.75" customHeight="1">
      <c r="A2111" s="64">
        <v>45470.0</v>
      </c>
      <c r="B2111" s="55" t="str">
        <f>HYPERLINK("https://jobright.ai/jobs/info/667debe0f842246558489c15?utm_campaign=1065&amp;utm_source=sheet", "Apply")</f>
        <v>Apply</v>
      </c>
      <c r="C2111" s="10" t="s">
        <v>14876</v>
      </c>
      <c r="D2111" s="56" t="s">
        <v>14380</v>
      </c>
      <c r="E2111" s="59">
        <v>45301.0</v>
      </c>
      <c r="F2111" s="10" t="s">
        <v>14381</v>
      </c>
      <c r="G2111" s="10" t="s">
        <v>12654</v>
      </c>
      <c r="H2111" s="10" t="s">
        <v>905</v>
      </c>
      <c r="I2111" s="10" t="s">
        <v>55</v>
      </c>
      <c r="J2111" s="10" t="s">
        <v>13437</v>
      </c>
      <c r="K2111" s="10" t="s">
        <v>14877</v>
      </c>
      <c r="L2111" s="10" t="s">
        <v>42</v>
      </c>
    </row>
    <row r="2112" ht="15.75" customHeight="1">
      <c r="A2112" s="64">
        <v>45470.0</v>
      </c>
      <c r="B2112" s="55" t="str">
        <f>HYPERLINK("https://jobright.ai/jobs/info/667debe0f842246558489c20?utm_campaign=1065&amp;utm_source=sheet", "Apply")</f>
        <v>Apply</v>
      </c>
      <c r="C2112" s="10" t="s">
        <v>14876</v>
      </c>
      <c r="D2112" s="56" t="s">
        <v>14380</v>
      </c>
      <c r="E2112" s="59">
        <v>45301.0</v>
      </c>
      <c r="F2112" s="10" t="s">
        <v>14381</v>
      </c>
      <c r="G2112" s="10" t="s">
        <v>12654</v>
      </c>
      <c r="H2112" s="10" t="s">
        <v>782</v>
      </c>
      <c r="I2112" s="10" t="s">
        <v>55</v>
      </c>
      <c r="J2112" s="10" t="s">
        <v>13437</v>
      </c>
      <c r="K2112" s="10" t="s">
        <v>14877</v>
      </c>
      <c r="L2112" s="10" t="s">
        <v>42</v>
      </c>
    </row>
    <row r="2113" ht="15.75" customHeight="1">
      <c r="A2113" s="64">
        <v>45470.0</v>
      </c>
      <c r="B2113" s="55" t="str">
        <f>HYPERLINK("https://jobright.ai/jobs/info/667debe0f842246558489c1e?utm_campaign=1065&amp;utm_source=sheet", "Apply")</f>
        <v>Apply</v>
      </c>
      <c r="C2113" s="10" t="s">
        <v>14876</v>
      </c>
      <c r="D2113" s="56" t="s">
        <v>14380</v>
      </c>
      <c r="E2113" s="59">
        <v>45301.0</v>
      </c>
      <c r="F2113" s="10" t="s">
        <v>14381</v>
      </c>
      <c r="G2113" s="10" t="s">
        <v>12654</v>
      </c>
      <c r="H2113" s="10" t="s">
        <v>1004</v>
      </c>
      <c r="I2113" s="10" t="s">
        <v>55</v>
      </c>
      <c r="J2113" s="10" t="s">
        <v>13437</v>
      </c>
      <c r="K2113" s="10" t="s">
        <v>14877</v>
      </c>
      <c r="L2113" s="10" t="s">
        <v>42</v>
      </c>
    </row>
    <row r="2114" ht="15.75" customHeight="1">
      <c r="A2114" s="64">
        <v>45470.0</v>
      </c>
      <c r="B2114" s="55" t="str">
        <f>HYPERLINK("https://jobright.ai/jobs/info/667debe0f842246558489c1d?utm_campaign=1065&amp;utm_source=sheet", "Apply")</f>
        <v>Apply</v>
      </c>
      <c r="C2114" s="10" t="s">
        <v>14876</v>
      </c>
      <c r="D2114" s="56" t="s">
        <v>14380</v>
      </c>
      <c r="E2114" s="59">
        <v>45301.0</v>
      </c>
      <c r="F2114" s="10" t="s">
        <v>14381</v>
      </c>
      <c r="G2114" s="10" t="s">
        <v>12654</v>
      </c>
      <c r="H2114" s="10" t="s">
        <v>152</v>
      </c>
      <c r="I2114" s="10" t="s">
        <v>55</v>
      </c>
      <c r="J2114" s="10" t="s">
        <v>13437</v>
      </c>
      <c r="K2114" s="10" t="s">
        <v>14877</v>
      </c>
      <c r="L2114" s="10" t="s">
        <v>42</v>
      </c>
    </row>
    <row r="2115" ht="15.75" customHeight="1">
      <c r="A2115" s="64">
        <v>45470.0</v>
      </c>
      <c r="B2115" s="55" t="str">
        <f>HYPERLINK("https://jobright.ai/jobs/info/667debe0f842246558489c1c?utm_campaign=1065&amp;utm_source=sheet", "Apply")</f>
        <v>Apply</v>
      </c>
      <c r="C2115" s="10" t="s">
        <v>14876</v>
      </c>
      <c r="D2115" s="56" t="s">
        <v>14380</v>
      </c>
      <c r="E2115" s="59">
        <v>45301.0</v>
      </c>
      <c r="F2115" s="10" t="s">
        <v>14381</v>
      </c>
      <c r="G2115" s="10" t="s">
        <v>12654</v>
      </c>
      <c r="H2115" s="10" t="s">
        <v>916</v>
      </c>
      <c r="I2115" s="10" t="s">
        <v>55</v>
      </c>
      <c r="J2115" s="10" t="s">
        <v>13437</v>
      </c>
      <c r="K2115" s="10" t="s">
        <v>14877</v>
      </c>
      <c r="L2115" s="10" t="s">
        <v>42</v>
      </c>
    </row>
    <row r="2116" ht="15.75" customHeight="1">
      <c r="A2116" s="64">
        <v>45470.0</v>
      </c>
      <c r="B2116" s="55" t="str">
        <f>HYPERLINK("https://jobright.ai/jobs/info/667debe0f842246558489c1a?utm_campaign=1065&amp;utm_source=sheet", "Apply")</f>
        <v>Apply</v>
      </c>
      <c r="C2116" s="10" t="s">
        <v>14876</v>
      </c>
      <c r="D2116" s="56" t="s">
        <v>14380</v>
      </c>
      <c r="E2116" s="59">
        <v>45301.0</v>
      </c>
      <c r="F2116" s="10" t="s">
        <v>14381</v>
      </c>
      <c r="G2116" s="10" t="s">
        <v>12654</v>
      </c>
      <c r="H2116" s="10" t="s">
        <v>998</v>
      </c>
      <c r="I2116" s="10" t="s">
        <v>55</v>
      </c>
      <c r="J2116" s="10" t="s">
        <v>13437</v>
      </c>
      <c r="K2116" s="10" t="s">
        <v>14877</v>
      </c>
      <c r="L2116" s="10" t="s">
        <v>42</v>
      </c>
    </row>
    <row r="2117" ht="15.75" customHeight="1">
      <c r="A2117" s="64">
        <v>45470.0</v>
      </c>
      <c r="B2117" s="55" t="str">
        <f>HYPERLINK("https://jobright.ai/jobs/info/667debe0f842246558489c1f?utm_campaign=1065&amp;utm_source=sheet", "Apply")</f>
        <v>Apply</v>
      </c>
      <c r="C2117" s="10" t="s">
        <v>14876</v>
      </c>
      <c r="D2117" s="56" t="s">
        <v>14380</v>
      </c>
      <c r="E2117" s="59">
        <v>45301.0</v>
      </c>
      <c r="F2117" s="10" t="s">
        <v>14381</v>
      </c>
      <c r="G2117" s="10" t="s">
        <v>12654</v>
      </c>
      <c r="H2117" s="10" t="s">
        <v>232</v>
      </c>
      <c r="I2117" s="10" t="s">
        <v>55</v>
      </c>
      <c r="J2117" s="10" t="s">
        <v>13437</v>
      </c>
      <c r="K2117" s="10" t="s">
        <v>14877</v>
      </c>
      <c r="L2117" s="10" t="s">
        <v>42</v>
      </c>
    </row>
    <row r="2118" ht="15.75" customHeight="1">
      <c r="A2118" s="64">
        <v>45470.0</v>
      </c>
      <c r="B2118" s="55" t="str">
        <f>HYPERLINK("https://jobright.ai/jobs/info/667debe0f842246558489c1b?utm_campaign=1065&amp;utm_source=sheet", "Apply")</f>
        <v>Apply</v>
      </c>
      <c r="C2118" s="10" t="s">
        <v>14876</v>
      </c>
      <c r="D2118" s="56" t="s">
        <v>14380</v>
      </c>
      <c r="E2118" s="59">
        <v>45301.0</v>
      </c>
      <c r="F2118" s="10" t="s">
        <v>14381</v>
      </c>
      <c r="G2118" s="10" t="s">
        <v>12654</v>
      </c>
      <c r="H2118" s="10" t="s">
        <v>839</v>
      </c>
      <c r="I2118" s="10" t="s">
        <v>55</v>
      </c>
      <c r="J2118" s="10" t="s">
        <v>13437</v>
      </c>
      <c r="K2118" s="10" t="s">
        <v>14877</v>
      </c>
      <c r="L2118" s="10" t="s">
        <v>42</v>
      </c>
    </row>
    <row r="2119" ht="15.75" customHeight="1">
      <c r="A2119" s="64">
        <v>45470.0</v>
      </c>
      <c r="B2119" s="55" t="str">
        <f>HYPERLINK("https://jobright.ai/jobs/info/667debe0f842246558489c21?utm_campaign=1065&amp;utm_source=sheet", "Apply")</f>
        <v>Apply</v>
      </c>
      <c r="C2119" s="10" t="s">
        <v>14876</v>
      </c>
      <c r="D2119" s="56" t="s">
        <v>14380</v>
      </c>
      <c r="E2119" s="59">
        <v>45301.0</v>
      </c>
      <c r="F2119" s="10" t="s">
        <v>14381</v>
      </c>
      <c r="G2119" s="10" t="s">
        <v>12654</v>
      </c>
      <c r="H2119" s="10" t="s">
        <v>1039</v>
      </c>
      <c r="I2119" s="10" t="s">
        <v>55</v>
      </c>
      <c r="J2119" s="10" t="s">
        <v>13437</v>
      </c>
      <c r="K2119" s="10" t="s">
        <v>14877</v>
      </c>
      <c r="L2119" s="10" t="s">
        <v>42</v>
      </c>
    </row>
    <row r="2120" ht="15.75" customHeight="1">
      <c r="A2120" s="64">
        <v>45470.0</v>
      </c>
      <c r="B2120" s="55" t="str">
        <f>HYPERLINK("https://jobright.ai/jobs/info/667debe0f842246558489c23?utm_campaign=1065&amp;utm_source=sheet", "Apply")</f>
        <v>Apply</v>
      </c>
      <c r="C2120" s="10" t="s">
        <v>14876</v>
      </c>
      <c r="D2120" s="56" t="s">
        <v>14380</v>
      </c>
      <c r="E2120" s="59">
        <v>45301.0</v>
      </c>
      <c r="F2120" s="10" t="s">
        <v>14381</v>
      </c>
      <c r="G2120" s="10" t="s">
        <v>12654</v>
      </c>
      <c r="H2120" s="10" t="s">
        <v>868</v>
      </c>
      <c r="I2120" s="10" t="s">
        <v>55</v>
      </c>
      <c r="J2120" s="10" t="s">
        <v>13437</v>
      </c>
      <c r="K2120" s="10" t="s">
        <v>14877</v>
      </c>
      <c r="L2120" s="10" t="s">
        <v>42</v>
      </c>
    </row>
    <row r="2121" ht="15.75" customHeight="1">
      <c r="A2121" s="64">
        <v>45470.0</v>
      </c>
      <c r="B2121" s="55" t="str">
        <f>HYPERLINK("https://jobright.ai/jobs/info/667debe0f842246558489c22?utm_campaign=1065&amp;utm_source=sheet", "Apply")</f>
        <v>Apply</v>
      </c>
      <c r="C2121" s="10" t="s">
        <v>14876</v>
      </c>
      <c r="D2121" s="56" t="s">
        <v>14380</v>
      </c>
      <c r="E2121" s="59">
        <v>45301.0</v>
      </c>
      <c r="F2121" s="10" t="s">
        <v>14381</v>
      </c>
      <c r="G2121" s="10" t="s">
        <v>12654</v>
      </c>
      <c r="H2121" s="10" t="s">
        <v>873</v>
      </c>
      <c r="I2121" s="10" t="s">
        <v>55</v>
      </c>
      <c r="J2121" s="10" t="s">
        <v>13437</v>
      </c>
      <c r="K2121" s="10" t="s">
        <v>14877</v>
      </c>
      <c r="L2121" s="10" t="s">
        <v>42</v>
      </c>
    </row>
    <row r="2122" ht="15.75" customHeight="1">
      <c r="A2122" s="64">
        <v>45470.0</v>
      </c>
      <c r="B2122" s="55" t="str">
        <f>HYPERLINK("https://jobright.ai/jobs/info/667dc9b34ad514cf71dc105e?utm_campaign=1065&amp;utm_source=sheet", "Apply")</f>
        <v>Apply</v>
      </c>
      <c r="C2122" s="10" t="s">
        <v>13765</v>
      </c>
      <c r="D2122" s="56" t="s">
        <v>13006</v>
      </c>
      <c r="E2122" s="10" t="s">
        <v>79</v>
      </c>
      <c r="F2122" s="10" t="s">
        <v>13007</v>
      </c>
      <c r="G2122" s="10" t="s">
        <v>12630</v>
      </c>
      <c r="H2122" s="10" t="s">
        <v>153</v>
      </c>
      <c r="I2122" s="10" t="s">
        <v>55</v>
      </c>
      <c r="J2122" s="10" t="s">
        <v>13766</v>
      </c>
      <c r="K2122" s="10" t="s">
        <v>13742</v>
      </c>
      <c r="L2122" s="10" t="s">
        <v>42</v>
      </c>
    </row>
    <row r="2123" ht="15.75" customHeight="1">
      <c r="A2123" s="64">
        <v>45470.0</v>
      </c>
      <c r="B2123" s="55" t="str">
        <f>HYPERLINK("https://jobright.ai/jobs/info/667dc9cf4ad514cf71dc126d?utm_campaign=1065&amp;utm_source=sheet", "Apply")</f>
        <v>Apply</v>
      </c>
      <c r="C2123" s="10" t="s">
        <v>14876</v>
      </c>
      <c r="D2123" s="56" t="s">
        <v>14380</v>
      </c>
      <c r="E2123" s="59">
        <v>45301.0</v>
      </c>
      <c r="F2123" s="10" t="s">
        <v>14381</v>
      </c>
      <c r="G2123" s="10" t="s">
        <v>12654</v>
      </c>
      <c r="H2123" s="10" t="s">
        <v>932</v>
      </c>
      <c r="I2123" s="10" t="s">
        <v>55</v>
      </c>
      <c r="J2123" s="10" t="s">
        <v>13437</v>
      </c>
      <c r="K2123" s="10" t="s">
        <v>14877</v>
      </c>
      <c r="L2123" s="10" t="s">
        <v>42</v>
      </c>
    </row>
    <row r="2124" ht="15.75" customHeight="1">
      <c r="A2124" s="64">
        <v>45470.0</v>
      </c>
      <c r="B2124" s="55" t="str">
        <f>HYPERLINK("https://jobright.ai/jobs/info/667dc9cf4ad514cf71dc127b?utm_campaign=1065&amp;utm_source=sheet", "Apply")</f>
        <v>Apply</v>
      </c>
      <c r="C2124" s="10" t="s">
        <v>14876</v>
      </c>
      <c r="D2124" s="56" t="s">
        <v>14380</v>
      </c>
      <c r="E2124" s="59">
        <v>45301.0</v>
      </c>
      <c r="F2124" s="10" t="s">
        <v>14381</v>
      </c>
      <c r="G2124" s="10" t="s">
        <v>12654</v>
      </c>
      <c r="H2124" s="10" t="s">
        <v>909</v>
      </c>
      <c r="I2124" s="10" t="s">
        <v>55</v>
      </c>
      <c r="J2124" s="10" t="s">
        <v>13437</v>
      </c>
      <c r="K2124" s="10" t="s">
        <v>14877</v>
      </c>
      <c r="L2124" s="10" t="s">
        <v>42</v>
      </c>
    </row>
    <row r="2125" ht="15.75" customHeight="1">
      <c r="A2125" s="64">
        <v>45470.0</v>
      </c>
      <c r="B2125" s="55" t="str">
        <f>HYPERLINK("https://jobright.ai/jobs/info/667dc9cf4ad514cf71dc1279?utm_campaign=1065&amp;utm_source=sheet", "Apply")</f>
        <v>Apply</v>
      </c>
      <c r="C2125" s="10" t="s">
        <v>14876</v>
      </c>
      <c r="D2125" s="56" t="s">
        <v>14380</v>
      </c>
      <c r="E2125" s="59">
        <v>45301.0</v>
      </c>
      <c r="F2125" s="10" t="s">
        <v>14381</v>
      </c>
      <c r="G2125" s="10" t="s">
        <v>12654</v>
      </c>
      <c r="H2125" s="10" t="s">
        <v>823</v>
      </c>
      <c r="I2125" s="10" t="s">
        <v>55</v>
      </c>
      <c r="J2125" s="10" t="s">
        <v>13437</v>
      </c>
      <c r="K2125" s="10" t="s">
        <v>14877</v>
      </c>
      <c r="L2125" s="10" t="s">
        <v>42</v>
      </c>
    </row>
    <row r="2126" ht="15.75" customHeight="1">
      <c r="A2126" s="64">
        <v>45470.0</v>
      </c>
      <c r="B2126" s="55" t="str">
        <f>HYPERLINK("https://jobright.ai/jobs/info/667dc9cf4ad514cf71dc1277?utm_campaign=1065&amp;utm_source=sheet", "Apply")</f>
        <v>Apply</v>
      </c>
      <c r="C2126" s="10" t="s">
        <v>14876</v>
      </c>
      <c r="D2126" s="56" t="s">
        <v>14380</v>
      </c>
      <c r="E2126" s="59">
        <v>45301.0</v>
      </c>
      <c r="F2126" s="10" t="s">
        <v>14381</v>
      </c>
      <c r="G2126" s="10" t="s">
        <v>12654</v>
      </c>
      <c r="H2126" s="10" t="s">
        <v>795</v>
      </c>
      <c r="I2126" s="10" t="s">
        <v>55</v>
      </c>
      <c r="J2126" s="10" t="s">
        <v>13437</v>
      </c>
      <c r="K2126" s="10" t="s">
        <v>14877</v>
      </c>
      <c r="L2126" s="10" t="s">
        <v>42</v>
      </c>
    </row>
    <row r="2127" ht="15.75" customHeight="1">
      <c r="A2127" s="64">
        <v>45470.0</v>
      </c>
      <c r="B2127" s="55" t="str">
        <f>HYPERLINK("https://jobright.ai/jobs/info/667dc9cf4ad514cf71dc1276?utm_campaign=1065&amp;utm_source=sheet", "Apply")</f>
        <v>Apply</v>
      </c>
      <c r="C2127" s="10" t="s">
        <v>14876</v>
      </c>
      <c r="D2127" s="56" t="s">
        <v>14380</v>
      </c>
      <c r="E2127" s="59">
        <v>45301.0</v>
      </c>
      <c r="F2127" s="10" t="s">
        <v>14381</v>
      </c>
      <c r="G2127" s="10" t="s">
        <v>12654</v>
      </c>
      <c r="H2127" s="10" t="s">
        <v>983</v>
      </c>
      <c r="I2127" s="10" t="s">
        <v>55</v>
      </c>
      <c r="J2127" s="10" t="s">
        <v>13437</v>
      </c>
      <c r="K2127" s="10" t="s">
        <v>14877</v>
      </c>
      <c r="L2127" s="10" t="s">
        <v>42</v>
      </c>
    </row>
    <row r="2128" ht="15.75" customHeight="1">
      <c r="A2128" s="64">
        <v>45470.0</v>
      </c>
      <c r="B2128" s="55" t="str">
        <f>HYPERLINK("https://jobright.ai/jobs/info/667dc9cf4ad514cf71dc1274?utm_campaign=1065&amp;utm_source=sheet", "Apply")</f>
        <v>Apply</v>
      </c>
      <c r="C2128" s="10" t="s">
        <v>14876</v>
      </c>
      <c r="D2128" s="56" t="s">
        <v>14380</v>
      </c>
      <c r="E2128" s="59">
        <v>45301.0</v>
      </c>
      <c r="F2128" s="10" t="s">
        <v>14381</v>
      </c>
      <c r="G2128" s="10" t="s">
        <v>12654</v>
      </c>
      <c r="H2128" s="10" t="s">
        <v>974</v>
      </c>
      <c r="I2128" s="10" t="s">
        <v>55</v>
      </c>
      <c r="J2128" s="10" t="s">
        <v>13437</v>
      </c>
      <c r="K2128" s="10" t="s">
        <v>14877</v>
      </c>
      <c r="L2128" s="10" t="s">
        <v>42</v>
      </c>
    </row>
    <row r="2129" ht="15.75" customHeight="1">
      <c r="A2129" s="64">
        <v>45470.0</v>
      </c>
      <c r="B2129" s="55" t="str">
        <f>HYPERLINK("https://jobright.ai/jobs/info/667dc9cf4ad514cf71dc1275?utm_campaign=1065&amp;utm_source=sheet", "Apply")</f>
        <v>Apply</v>
      </c>
      <c r="C2129" s="10" t="s">
        <v>14876</v>
      </c>
      <c r="D2129" s="56" t="s">
        <v>14380</v>
      </c>
      <c r="E2129" s="59">
        <v>45301.0</v>
      </c>
      <c r="F2129" s="10" t="s">
        <v>14381</v>
      </c>
      <c r="G2129" s="10" t="s">
        <v>12654</v>
      </c>
      <c r="H2129" s="10" t="s">
        <v>1048</v>
      </c>
      <c r="I2129" s="10" t="s">
        <v>55</v>
      </c>
      <c r="J2129" s="10" t="s">
        <v>13437</v>
      </c>
      <c r="K2129" s="10" t="s">
        <v>14877</v>
      </c>
      <c r="L2129" s="10" t="s">
        <v>42</v>
      </c>
    </row>
    <row r="2130" ht="15.75" customHeight="1">
      <c r="A2130" s="64">
        <v>45470.0</v>
      </c>
      <c r="B2130" s="55" t="str">
        <f>HYPERLINK("https://jobright.ai/jobs/info/667dc9cf4ad514cf71dc1278?utm_campaign=1065&amp;utm_source=sheet", "Apply")</f>
        <v>Apply</v>
      </c>
      <c r="C2130" s="10" t="s">
        <v>14876</v>
      </c>
      <c r="D2130" s="56" t="s">
        <v>14380</v>
      </c>
      <c r="E2130" s="59">
        <v>45301.0</v>
      </c>
      <c r="F2130" s="10" t="s">
        <v>14381</v>
      </c>
      <c r="G2130" s="10" t="s">
        <v>12654</v>
      </c>
      <c r="H2130" s="10" t="s">
        <v>774</v>
      </c>
      <c r="I2130" s="10" t="s">
        <v>55</v>
      </c>
      <c r="J2130" s="10" t="s">
        <v>13437</v>
      </c>
      <c r="K2130" s="10" t="s">
        <v>14877</v>
      </c>
      <c r="L2130" s="10" t="s">
        <v>42</v>
      </c>
    </row>
    <row r="2131" ht="15.75" customHeight="1">
      <c r="A2131" s="64">
        <v>45470.0</v>
      </c>
      <c r="B2131" s="55" t="str">
        <f>HYPERLINK("https://jobright.ai/jobs/info/667dc9cf4ad514cf71dc1272?utm_campaign=1065&amp;utm_source=sheet", "Apply")</f>
        <v>Apply</v>
      </c>
      <c r="C2131" s="10" t="s">
        <v>14876</v>
      </c>
      <c r="D2131" s="56" t="s">
        <v>14380</v>
      </c>
      <c r="E2131" s="59">
        <v>45301.0</v>
      </c>
      <c r="F2131" s="10" t="s">
        <v>14381</v>
      </c>
      <c r="G2131" s="10" t="s">
        <v>12654</v>
      </c>
      <c r="H2131" s="10" t="s">
        <v>776</v>
      </c>
      <c r="I2131" s="10" t="s">
        <v>55</v>
      </c>
      <c r="J2131" s="10" t="s">
        <v>13437</v>
      </c>
      <c r="K2131" s="10" t="s">
        <v>14877</v>
      </c>
      <c r="L2131" s="10" t="s">
        <v>42</v>
      </c>
    </row>
    <row r="2132" ht="15.75" customHeight="1">
      <c r="A2132" s="64">
        <v>45470.0</v>
      </c>
      <c r="B2132" s="55" t="str">
        <f>HYPERLINK("https://jobright.ai/jobs/info/667dc9cf4ad514cf71dc127a?utm_campaign=1065&amp;utm_source=sheet", "Apply")</f>
        <v>Apply</v>
      </c>
      <c r="C2132" s="10" t="s">
        <v>14876</v>
      </c>
      <c r="D2132" s="56" t="s">
        <v>14380</v>
      </c>
      <c r="E2132" s="59">
        <v>45301.0</v>
      </c>
      <c r="F2132" s="10" t="s">
        <v>14381</v>
      </c>
      <c r="G2132" s="10" t="s">
        <v>12654</v>
      </c>
      <c r="H2132" s="10" t="s">
        <v>918</v>
      </c>
      <c r="I2132" s="10" t="s">
        <v>55</v>
      </c>
      <c r="J2132" s="10" t="s">
        <v>13437</v>
      </c>
      <c r="K2132" s="10" t="s">
        <v>14877</v>
      </c>
      <c r="L2132" s="10" t="s">
        <v>42</v>
      </c>
    </row>
    <row r="2133" ht="15.75" customHeight="1">
      <c r="A2133" s="64">
        <v>45470.0</v>
      </c>
      <c r="B2133" s="55" t="str">
        <f>HYPERLINK("https://jobright.ai/jobs/info/667dc9cf4ad514cf71dc1273?utm_campaign=1065&amp;utm_source=sheet", "Apply")</f>
        <v>Apply</v>
      </c>
      <c r="C2133" s="10" t="s">
        <v>14876</v>
      </c>
      <c r="D2133" s="56" t="s">
        <v>14380</v>
      </c>
      <c r="E2133" s="59">
        <v>45301.0</v>
      </c>
      <c r="F2133" s="10" t="s">
        <v>14381</v>
      </c>
      <c r="G2133" s="10" t="s">
        <v>12654</v>
      </c>
      <c r="H2133" s="10" t="s">
        <v>894</v>
      </c>
      <c r="I2133" s="10" t="s">
        <v>55</v>
      </c>
      <c r="J2133" s="10" t="s">
        <v>13437</v>
      </c>
      <c r="K2133" s="10" t="s">
        <v>14877</v>
      </c>
      <c r="L2133" s="10" t="s">
        <v>42</v>
      </c>
    </row>
    <row r="2134" ht="15.75" customHeight="1">
      <c r="A2134" s="64">
        <v>45470.0</v>
      </c>
      <c r="B2134" s="55" t="str">
        <f>HYPERLINK("https://jobright.ai/jobs/info/667dc9cf4ad514cf71dc1271?utm_campaign=1065&amp;utm_source=sheet", "Apply")</f>
        <v>Apply</v>
      </c>
      <c r="C2134" s="10" t="s">
        <v>14876</v>
      </c>
      <c r="D2134" s="56" t="s">
        <v>14380</v>
      </c>
      <c r="E2134" s="59">
        <v>45301.0</v>
      </c>
      <c r="F2134" s="10" t="s">
        <v>14381</v>
      </c>
      <c r="G2134" s="10" t="s">
        <v>12654</v>
      </c>
      <c r="H2134" s="10" t="s">
        <v>799</v>
      </c>
      <c r="I2134" s="10" t="s">
        <v>55</v>
      </c>
      <c r="J2134" s="10" t="s">
        <v>13437</v>
      </c>
      <c r="K2134" s="10" t="s">
        <v>14877</v>
      </c>
      <c r="L2134" s="10" t="s">
        <v>42</v>
      </c>
    </row>
    <row r="2135" ht="15.75" customHeight="1">
      <c r="A2135" s="64">
        <v>45470.0</v>
      </c>
      <c r="B2135" s="55" t="str">
        <f>HYPERLINK("https://jobright.ai/jobs/info/667dc9cf4ad514cf71dc1270?utm_campaign=1065&amp;utm_source=sheet", "Apply")</f>
        <v>Apply</v>
      </c>
      <c r="C2135" s="10" t="s">
        <v>14876</v>
      </c>
      <c r="D2135" s="56" t="s">
        <v>14380</v>
      </c>
      <c r="E2135" s="59">
        <v>45301.0</v>
      </c>
      <c r="F2135" s="10" t="s">
        <v>14381</v>
      </c>
      <c r="G2135" s="10" t="s">
        <v>12654</v>
      </c>
      <c r="H2135" s="10" t="s">
        <v>930</v>
      </c>
      <c r="I2135" s="10" t="s">
        <v>55</v>
      </c>
      <c r="J2135" s="10" t="s">
        <v>13437</v>
      </c>
      <c r="K2135" s="10" t="s">
        <v>14877</v>
      </c>
      <c r="L2135" s="10" t="s">
        <v>42</v>
      </c>
    </row>
    <row r="2136" ht="15.75" customHeight="1">
      <c r="A2136" s="64">
        <v>45470.0</v>
      </c>
      <c r="B2136" s="55" t="str">
        <f>HYPERLINK("https://jobright.ai/jobs/info/667dc9cf4ad514cf71dc126f?utm_campaign=1065&amp;utm_source=sheet", "Apply")</f>
        <v>Apply</v>
      </c>
      <c r="C2136" s="10" t="s">
        <v>14876</v>
      </c>
      <c r="D2136" s="56" t="s">
        <v>14380</v>
      </c>
      <c r="E2136" s="59">
        <v>45301.0</v>
      </c>
      <c r="F2136" s="10" t="s">
        <v>14381</v>
      </c>
      <c r="G2136" s="10" t="s">
        <v>12654</v>
      </c>
      <c r="H2136" s="10" t="s">
        <v>829</v>
      </c>
      <c r="I2136" s="10" t="s">
        <v>55</v>
      </c>
      <c r="J2136" s="10" t="s">
        <v>13437</v>
      </c>
      <c r="K2136" s="10" t="s">
        <v>14877</v>
      </c>
      <c r="L2136" s="10" t="s">
        <v>42</v>
      </c>
    </row>
    <row r="2137" ht="15.75" customHeight="1">
      <c r="A2137" s="64">
        <v>45470.0</v>
      </c>
      <c r="B2137" s="55" t="str">
        <f>HYPERLINK("https://jobright.ai/jobs/info/667dc9cf4ad514cf71dc127c?utm_campaign=1065&amp;utm_source=sheet", "Apply")</f>
        <v>Apply</v>
      </c>
      <c r="C2137" s="10" t="s">
        <v>14876</v>
      </c>
      <c r="D2137" s="56" t="s">
        <v>14380</v>
      </c>
      <c r="E2137" s="59">
        <v>45301.0</v>
      </c>
      <c r="F2137" s="10" t="s">
        <v>14381</v>
      </c>
      <c r="G2137" s="10" t="s">
        <v>12654</v>
      </c>
      <c r="H2137" s="10" t="s">
        <v>928</v>
      </c>
      <c r="I2137" s="10" t="s">
        <v>55</v>
      </c>
      <c r="J2137" s="10" t="s">
        <v>13437</v>
      </c>
      <c r="K2137" s="10" t="s">
        <v>14877</v>
      </c>
      <c r="L2137" s="10" t="s">
        <v>42</v>
      </c>
    </row>
    <row r="2138" ht="15.75" customHeight="1">
      <c r="A2138" s="64">
        <v>45470.0</v>
      </c>
      <c r="B2138" s="55" t="str">
        <f>HYPERLINK("https://jobright.ai/jobs/info/667dc9cf4ad514cf71dc127d?utm_campaign=1065&amp;utm_source=sheet", "Apply")</f>
        <v>Apply</v>
      </c>
      <c r="C2138" s="10" t="s">
        <v>14876</v>
      </c>
      <c r="D2138" s="56" t="s">
        <v>14380</v>
      </c>
      <c r="E2138" s="59">
        <v>45301.0</v>
      </c>
      <c r="F2138" s="10" t="s">
        <v>14381</v>
      </c>
      <c r="G2138" s="10" t="s">
        <v>12654</v>
      </c>
      <c r="H2138" s="10" t="s">
        <v>952</v>
      </c>
      <c r="I2138" s="10" t="s">
        <v>55</v>
      </c>
      <c r="J2138" s="10" t="s">
        <v>13437</v>
      </c>
      <c r="K2138" s="10" t="s">
        <v>14877</v>
      </c>
      <c r="L2138" s="10" t="s">
        <v>42</v>
      </c>
    </row>
    <row r="2139" ht="15.75" customHeight="1">
      <c r="A2139" s="64">
        <v>45470.0</v>
      </c>
      <c r="B2139" s="55" t="str">
        <f>HYPERLINK("https://jobright.ai/jobs/info/667dc9cf4ad514cf71dc127e?utm_campaign=1065&amp;utm_source=sheet", "Apply")</f>
        <v>Apply</v>
      </c>
      <c r="C2139" s="10" t="s">
        <v>14876</v>
      </c>
      <c r="D2139" s="56" t="s">
        <v>14380</v>
      </c>
      <c r="E2139" s="59">
        <v>45301.0</v>
      </c>
      <c r="F2139" s="10" t="s">
        <v>14381</v>
      </c>
      <c r="G2139" s="10" t="s">
        <v>12654</v>
      </c>
      <c r="H2139" s="10" t="s">
        <v>1025</v>
      </c>
      <c r="I2139" s="10" t="s">
        <v>55</v>
      </c>
      <c r="J2139" s="10" t="s">
        <v>13437</v>
      </c>
      <c r="K2139" s="10" t="s">
        <v>14877</v>
      </c>
      <c r="L2139" s="10" t="s">
        <v>42</v>
      </c>
    </row>
    <row r="2140" ht="15.75" customHeight="1">
      <c r="A2140" s="64">
        <v>45470.0</v>
      </c>
      <c r="B2140" s="55" t="str">
        <f>HYPERLINK("https://jobright.ai/jobs/info/667dc9cf4ad514cf71dc1285?utm_campaign=1065&amp;utm_source=sheet", "Apply")</f>
        <v>Apply</v>
      </c>
      <c r="C2140" s="10" t="s">
        <v>14876</v>
      </c>
      <c r="D2140" s="56" t="s">
        <v>14380</v>
      </c>
      <c r="E2140" s="59">
        <v>45301.0</v>
      </c>
      <c r="F2140" s="10" t="s">
        <v>14381</v>
      </c>
      <c r="G2140" s="10" t="s">
        <v>12654</v>
      </c>
      <c r="H2140" s="10" t="s">
        <v>948</v>
      </c>
      <c r="I2140" s="10" t="s">
        <v>55</v>
      </c>
      <c r="J2140" s="10" t="s">
        <v>13437</v>
      </c>
      <c r="K2140" s="10" t="s">
        <v>14877</v>
      </c>
      <c r="L2140" s="10" t="s">
        <v>42</v>
      </c>
    </row>
    <row r="2141" ht="15.75" customHeight="1">
      <c r="A2141" s="64">
        <v>45470.0</v>
      </c>
      <c r="B2141" s="55" t="str">
        <f>HYPERLINK("https://jobright.ai/jobs/info/667dc9cf4ad514cf71dc128d?utm_campaign=1065&amp;utm_source=sheet", "Apply")</f>
        <v>Apply</v>
      </c>
      <c r="C2141" s="10" t="s">
        <v>14876</v>
      </c>
      <c r="D2141" s="56" t="s">
        <v>14380</v>
      </c>
      <c r="E2141" s="59">
        <v>45301.0</v>
      </c>
      <c r="F2141" s="10" t="s">
        <v>14381</v>
      </c>
      <c r="G2141" s="10" t="s">
        <v>12654</v>
      </c>
      <c r="H2141" s="10" t="s">
        <v>791</v>
      </c>
      <c r="I2141" s="10" t="s">
        <v>55</v>
      </c>
      <c r="J2141" s="10" t="s">
        <v>13437</v>
      </c>
      <c r="K2141" s="10" t="s">
        <v>14877</v>
      </c>
      <c r="L2141" s="10" t="s">
        <v>42</v>
      </c>
    </row>
    <row r="2142" ht="15.75" customHeight="1">
      <c r="A2142" s="64">
        <v>45470.0</v>
      </c>
      <c r="B2142" s="55" t="str">
        <f>HYPERLINK("https://jobright.ai/jobs/info/667dc9cf4ad514cf71dc1284?utm_campaign=1065&amp;utm_source=sheet", "Apply")</f>
        <v>Apply</v>
      </c>
      <c r="C2142" s="10" t="s">
        <v>14876</v>
      </c>
      <c r="D2142" s="56" t="s">
        <v>14380</v>
      </c>
      <c r="E2142" s="59">
        <v>45301.0</v>
      </c>
      <c r="F2142" s="10" t="s">
        <v>14381</v>
      </c>
      <c r="G2142" s="10" t="s">
        <v>12654</v>
      </c>
      <c r="H2142" s="10" t="s">
        <v>767</v>
      </c>
      <c r="I2142" s="10" t="s">
        <v>55</v>
      </c>
      <c r="J2142" s="10" t="s">
        <v>13437</v>
      </c>
      <c r="K2142" s="10" t="s">
        <v>14877</v>
      </c>
      <c r="L2142" s="10" t="s">
        <v>42</v>
      </c>
    </row>
    <row r="2143" ht="15.75" customHeight="1">
      <c r="A2143" s="64">
        <v>45470.0</v>
      </c>
      <c r="B2143" s="55" t="str">
        <f>HYPERLINK("https://jobright.ai/jobs/info/667dc9cf4ad514cf71dc1281?utm_campaign=1065&amp;utm_source=sheet", "Apply")</f>
        <v>Apply</v>
      </c>
      <c r="C2143" s="10" t="s">
        <v>14876</v>
      </c>
      <c r="D2143" s="56" t="s">
        <v>14380</v>
      </c>
      <c r="E2143" s="59">
        <v>45301.0</v>
      </c>
      <c r="F2143" s="10" t="s">
        <v>14381</v>
      </c>
      <c r="G2143" s="10" t="s">
        <v>12654</v>
      </c>
      <c r="H2143" s="10" t="s">
        <v>853</v>
      </c>
      <c r="I2143" s="10" t="s">
        <v>55</v>
      </c>
      <c r="J2143" s="10" t="s">
        <v>13437</v>
      </c>
      <c r="K2143" s="10" t="s">
        <v>14877</v>
      </c>
      <c r="L2143" s="10" t="s">
        <v>42</v>
      </c>
    </row>
    <row r="2144" ht="15.75" customHeight="1">
      <c r="A2144" s="64">
        <v>45470.0</v>
      </c>
      <c r="B2144" s="55" t="str">
        <f>HYPERLINK("https://jobright.ai/jobs/info/667dc9cf4ad514cf71dc128b?utm_campaign=1065&amp;utm_source=sheet", "Apply")</f>
        <v>Apply</v>
      </c>
      <c r="C2144" s="10" t="s">
        <v>14876</v>
      </c>
      <c r="D2144" s="56" t="s">
        <v>14380</v>
      </c>
      <c r="E2144" s="59">
        <v>45301.0</v>
      </c>
      <c r="F2144" s="10" t="s">
        <v>14381</v>
      </c>
      <c r="G2144" s="10" t="s">
        <v>12654</v>
      </c>
      <c r="H2144" s="10" t="s">
        <v>801</v>
      </c>
      <c r="I2144" s="10" t="s">
        <v>55</v>
      </c>
      <c r="J2144" s="10" t="s">
        <v>13437</v>
      </c>
      <c r="K2144" s="10" t="s">
        <v>14877</v>
      </c>
      <c r="L2144" s="10" t="s">
        <v>42</v>
      </c>
    </row>
    <row r="2145" ht="15.75" customHeight="1">
      <c r="A2145" s="64">
        <v>45470.0</v>
      </c>
      <c r="B2145" s="55" t="str">
        <f>HYPERLINK("https://jobright.ai/jobs/info/667dc9cf4ad514cf71dc1296?utm_campaign=1065&amp;utm_source=sheet", "Apply")</f>
        <v>Apply</v>
      </c>
      <c r="C2145" s="10" t="s">
        <v>14876</v>
      </c>
      <c r="D2145" s="56" t="s">
        <v>14380</v>
      </c>
      <c r="E2145" s="59">
        <v>45301.0</v>
      </c>
      <c r="F2145" s="10" t="s">
        <v>14381</v>
      </c>
      <c r="G2145" s="10" t="s">
        <v>12654</v>
      </c>
      <c r="H2145" s="10" t="s">
        <v>245</v>
      </c>
      <c r="I2145" s="10" t="s">
        <v>55</v>
      </c>
      <c r="J2145" s="10" t="s">
        <v>13437</v>
      </c>
      <c r="K2145" s="10" t="s">
        <v>14877</v>
      </c>
      <c r="L2145" s="10" t="s">
        <v>42</v>
      </c>
    </row>
    <row r="2146" ht="15.75" customHeight="1">
      <c r="A2146" s="64">
        <v>45470.0</v>
      </c>
      <c r="B2146" s="55" t="str">
        <f>HYPERLINK("https://jobright.ai/jobs/info/667dc9cf4ad514cf71dc1292?utm_campaign=1065&amp;utm_source=sheet", "Apply")</f>
        <v>Apply</v>
      </c>
      <c r="C2146" s="10" t="s">
        <v>14876</v>
      </c>
      <c r="D2146" s="56" t="s">
        <v>14380</v>
      </c>
      <c r="E2146" s="59">
        <v>45301.0</v>
      </c>
      <c r="F2146" s="10" t="s">
        <v>14381</v>
      </c>
      <c r="G2146" s="10" t="s">
        <v>12654</v>
      </c>
      <c r="H2146" s="10" t="s">
        <v>945</v>
      </c>
      <c r="I2146" s="10" t="s">
        <v>55</v>
      </c>
      <c r="J2146" s="10" t="s">
        <v>13437</v>
      </c>
      <c r="K2146" s="10" t="s">
        <v>14877</v>
      </c>
      <c r="L2146" s="10" t="s">
        <v>42</v>
      </c>
    </row>
    <row r="2147" ht="15.75" customHeight="1">
      <c r="A2147" s="64">
        <v>45470.0</v>
      </c>
      <c r="B2147" s="55" t="str">
        <f>HYPERLINK("https://jobright.ai/jobs/info/667dc9cf4ad514cf71dc128f?utm_campaign=1065&amp;utm_source=sheet", "Apply")</f>
        <v>Apply</v>
      </c>
      <c r="C2147" s="10" t="s">
        <v>14876</v>
      </c>
      <c r="D2147" s="56" t="s">
        <v>14380</v>
      </c>
      <c r="E2147" s="59">
        <v>45301.0</v>
      </c>
      <c r="F2147" s="10" t="s">
        <v>14381</v>
      </c>
      <c r="G2147" s="10" t="s">
        <v>12654</v>
      </c>
      <c r="H2147" s="10" t="s">
        <v>798</v>
      </c>
      <c r="I2147" s="10" t="s">
        <v>55</v>
      </c>
      <c r="J2147" s="10" t="s">
        <v>13437</v>
      </c>
      <c r="K2147" s="10" t="s">
        <v>14877</v>
      </c>
      <c r="L2147" s="10" t="s">
        <v>42</v>
      </c>
    </row>
    <row r="2148" ht="15.75" customHeight="1">
      <c r="A2148" s="64">
        <v>45470.0</v>
      </c>
      <c r="B2148" s="55" t="str">
        <f>HYPERLINK("https://jobright.ai/jobs/info/667dc9cf4ad514cf71dc128c?utm_campaign=1065&amp;utm_source=sheet", "Apply")</f>
        <v>Apply</v>
      </c>
      <c r="C2148" s="10" t="s">
        <v>14876</v>
      </c>
      <c r="D2148" s="56" t="s">
        <v>14380</v>
      </c>
      <c r="E2148" s="59">
        <v>45301.0</v>
      </c>
      <c r="F2148" s="10" t="s">
        <v>14381</v>
      </c>
      <c r="G2148" s="10" t="s">
        <v>12654</v>
      </c>
      <c r="H2148" s="10" t="s">
        <v>1022</v>
      </c>
      <c r="I2148" s="10" t="s">
        <v>55</v>
      </c>
      <c r="J2148" s="10" t="s">
        <v>13437</v>
      </c>
      <c r="K2148" s="10" t="s">
        <v>14877</v>
      </c>
      <c r="L2148" s="10" t="s">
        <v>42</v>
      </c>
    </row>
    <row r="2149" ht="15.75" customHeight="1">
      <c r="A2149" s="64">
        <v>45470.0</v>
      </c>
      <c r="B2149" s="55" t="str">
        <f>HYPERLINK("https://jobright.ai/jobs/info/667dc9cf4ad514cf71dc1288?utm_campaign=1065&amp;utm_source=sheet", "Apply")</f>
        <v>Apply</v>
      </c>
      <c r="C2149" s="10" t="s">
        <v>14876</v>
      </c>
      <c r="D2149" s="56" t="s">
        <v>14380</v>
      </c>
      <c r="E2149" s="59">
        <v>45301.0</v>
      </c>
      <c r="F2149" s="10" t="s">
        <v>14381</v>
      </c>
      <c r="G2149" s="10" t="s">
        <v>12654</v>
      </c>
      <c r="H2149" s="10" t="s">
        <v>1010</v>
      </c>
      <c r="I2149" s="10" t="s">
        <v>55</v>
      </c>
      <c r="J2149" s="10" t="s">
        <v>13437</v>
      </c>
      <c r="K2149" s="10" t="s">
        <v>14877</v>
      </c>
      <c r="L2149" s="10" t="s">
        <v>42</v>
      </c>
    </row>
    <row r="2150" ht="15.75" customHeight="1">
      <c r="A2150" s="64">
        <v>45470.0</v>
      </c>
      <c r="B2150" s="55" t="str">
        <f>HYPERLINK("https://jobright.ai/jobs/info/667dc9cf4ad514cf71dc1290?utm_campaign=1065&amp;utm_source=sheet", "Apply")</f>
        <v>Apply</v>
      </c>
      <c r="C2150" s="10" t="s">
        <v>14876</v>
      </c>
      <c r="D2150" s="56" t="s">
        <v>14380</v>
      </c>
      <c r="E2150" s="59">
        <v>45301.0</v>
      </c>
      <c r="F2150" s="10" t="s">
        <v>14381</v>
      </c>
      <c r="G2150" s="10" t="s">
        <v>12654</v>
      </c>
      <c r="H2150" s="10" t="s">
        <v>810</v>
      </c>
      <c r="I2150" s="10" t="s">
        <v>55</v>
      </c>
      <c r="J2150" s="10" t="s">
        <v>13437</v>
      </c>
      <c r="K2150" s="10" t="s">
        <v>14877</v>
      </c>
      <c r="L2150" s="10" t="s">
        <v>42</v>
      </c>
    </row>
    <row r="2151" ht="15.75" customHeight="1">
      <c r="A2151" s="64">
        <v>45470.0</v>
      </c>
      <c r="B2151" s="55" t="str">
        <f>HYPERLINK("https://jobright.ai/jobs/info/667dc9cf4ad514cf71dc1297?utm_campaign=1065&amp;utm_source=sheet", "Apply")</f>
        <v>Apply</v>
      </c>
      <c r="C2151" s="10" t="s">
        <v>14876</v>
      </c>
      <c r="D2151" s="56" t="s">
        <v>14380</v>
      </c>
      <c r="E2151" s="59">
        <v>45301.0</v>
      </c>
      <c r="F2151" s="10" t="s">
        <v>14381</v>
      </c>
      <c r="G2151" s="10" t="s">
        <v>12654</v>
      </c>
      <c r="H2151" s="10" t="s">
        <v>827</v>
      </c>
      <c r="I2151" s="10" t="s">
        <v>55</v>
      </c>
      <c r="J2151" s="10" t="s">
        <v>13437</v>
      </c>
      <c r="K2151" s="10" t="s">
        <v>14877</v>
      </c>
      <c r="L2151" s="10" t="s">
        <v>42</v>
      </c>
    </row>
    <row r="2152" ht="15.75" customHeight="1">
      <c r="A2152" s="64">
        <v>45470.0</v>
      </c>
      <c r="B2152" s="55" t="str">
        <f>HYPERLINK("https://jobright.ai/jobs/info/667dc9cf4ad514cf71dc1283?utm_campaign=1065&amp;utm_source=sheet", "Apply")</f>
        <v>Apply</v>
      </c>
      <c r="C2152" s="10" t="s">
        <v>14876</v>
      </c>
      <c r="D2152" s="56" t="s">
        <v>14380</v>
      </c>
      <c r="E2152" s="59">
        <v>45301.0</v>
      </c>
      <c r="F2152" s="10" t="s">
        <v>14381</v>
      </c>
      <c r="G2152" s="10" t="s">
        <v>12654</v>
      </c>
      <c r="H2152" s="10" t="s">
        <v>851</v>
      </c>
      <c r="I2152" s="10" t="s">
        <v>55</v>
      </c>
      <c r="J2152" s="10" t="s">
        <v>13437</v>
      </c>
      <c r="K2152" s="10" t="s">
        <v>14877</v>
      </c>
      <c r="L2152" s="10" t="s">
        <v>42</v>
      </c>
    </row>
    <row r="2153" ht="15.75" customHeight="1">
      <c r="A2153" s="64">
        <v>45470.0</v>
      </c>
      <c r="B2153" s="55" t="str">
        <f>HYPERLINK("https://jobright.ai/jobs/info/667dc9cf4ad514cf71dc1294?utm_campaign=1065&amp;utm_source=sheet", "Apply")</f>
        <v>Apply</v>
      </c>
      <c r="C2153" s="10" t="s">
        <v>14876</v>
      </c>
      <c r="D2153" s="56" t="s">
        <v>14380</v>
      </c>
      <c r="E2153" s="59">
        <v>45301.0</v>
      </c>
      <c r="F2153" s="10" t="s">
        <v>14381</v>
      </c>
      <c r="G2153" s="10" t="s">
        <v>12654</v>
      </c>
      <c r="H2153" s="10" t="s">
        <v>817</v>
      </c>
      <c r="I2153" s="10" t="s">
        <v>55</v>
      </c>
      <c r="J2153" s="10" t="s">
        <v>13437</v>
      </c>
      <c r="K2153" s="10" t="s">
        <v>14877</v>
      </c>
      <c r="L2153" s="10" t="s">
        <v>42</v>
      </c>
    </row>
    <row r="2154" ht="15.75" customHeight="1">
      <c r="A2154" s="64">
        <v>45470.0</v>
      </c>
      <c r="B2154" s="55" t="str">
        <f>HYPERLINK("https://jobright.ai/jobs/info/667dc9cf4ad514cf71dc1282?utm_campaign=1065&amp;utm_source=sheet", "Apply")</f>
        <v>Apply</v>
      </c>
      <c r="C2154" s="10" t="s">
        <v>14876</v>
      </c>
      <c r="D2154" s="56" t="s">
        <v>14380</v>
      </c>
      <c r="E2154" s="59">
        <v>45301.0</v>
      </c>
      <c r="F2154" s="10" t="s">
        <v>14381</v>
      </c>
      <c r="G2154" s="10" t="s">
        <v>12654</v>
      </c>
      <c r="H2154" s="10" t="s">
        <v>1011</v>
      </c>
      <c r="I2154" s="10" t="s">
        <v>55</v>
      </c>
      <c r="J2154" s="10" t="s">
        <v>13437</v>
      </c>
      <c r="K2154" s="10" t="s">
        <v>14877</v>
      </c>
      <c r="L2154" s="10" t="s">
        <v>42</v>
      </c>
    </row>
    <row r="2155" ht="15.75" customHeight="1">
      <c r="A2155" s="64">
        <v>45470.0</v>
      </c>
      <c r="B2155" s="55" t="str">
        <f>HYPERLINK("https://jobright.ai/jobs/info/667dc9cf4ad514cf71dc1291?utm_campaign=1065&amp;utm_source=sheet", "Apply")</f>
        <v>Apply</v>
      </c>
      <c r="C2155" s="10" t="s">
        <v>14876</v>
      </c>
      <c r="D2155" s="56" t="s">
        <v>14380</v>
      </c>
      <c r="E2155" s="59">
        <v>45301.0</v>
      </c>
      <c r="F2155" s="10" t="s">
        <v>14381</v>
      </c>
      <c r="G2155" s="10" t="s">
        <v>12654</v>
      </c>
      <c r="H2155" s="10" t="s">
        <v>229</v>
      </c>
      <c r="I2155" s="10" t="s">
        <v>55</v>
      </c>
      <c r="J2155" s="10" t="s">
        <v>13437</v>
      </c>
      <c r="K2155" s="10" t="s">
        <v>14877</v>
      </c>
      <c r="L2155" s="10" t="s">
        <v>42</v>
      </c>
    </row>
    <row r="2156" ht="15.75" customHeight="1">
      <c r="A2156" s="64">
        <v>45470.0</v>
      </c>
      <c r="B2156" s="55" t="str">
        <f>HYPERLINK("https://jobright.ai/jobs/info/667dc9cf4ad514cf71dc1295?utm_campaign=1065&amp;utm_source=sheet", "Apply")</f>
        <v>Apply</v>
      </c>
      <c r="C2156" s="10" t="s">
        <v>14876</v>
      </c>
      <c r="D2156" s="56" t="s">
        <v>14380</v>
      </c>
      <c r="E2156" s="59">
        <v>45301.0</v>
      </c>
      <c r="F2156" s="10" t="s">
        <v>14381</v>
      </c>
      <c r="G2156" s="10" t="s">
        <v>12654</v>
      </c>
      <c r="H2156" s="10" t="s">
        <v>946</v>
      </c>
      <c r="I2156" s="10" t="s">
        <v>55</v>
      </c>
      <c r="J2156" s="10" t="s">
        <v>13437</v>
      </c>
      <c r="K2156" s="10" t="s">
        <v>14877</v>
      </c>
      <c r="L2156" s="10" t="s">
        <v>42</v>
      </c>
    </row>
    <row r="2157" ht="15.75" customHeight="1">
      <c r="A2157" s="64">
        <v>45470.0</v>
      </c>
      <c r="B2157" s="55" t="str">
        <f>HYPERLINK("https://jobright.ai/jobs/info/667dc9cf4ad514cf71dc128e?utm_campaign=1065&amp;utm_source=sheet", "Apply")</f>
        <v>Apply</v>
      </c>
      <c r="C2157" s="10" t="s">
        <v>14876</v>
      </c>
      <c r="D2157" s="56" t="s">
        <v>14380</v>
      </c>
      <c r="E2157" s="59">
        <v>45301.0</v>
      </c>
      <c r="F2157" s="10" t="s">
        <v>14381</v>
      </c>
      <c r="G2157" s="10" t="s">
        <v>12654</v>
      </c>
      <c r="H2157" s="10" t="s">
        <v>278</v>
      </c>
      <c r="I2157" s="10" t="s">
        <v>55</v>
      </c>
      <c r="J2157" s="10" t="s">
        <v>13437</v>
      </c>
      <c r="K2157" s="10" t="s">
        <v>14877</v>
      </c>
      <c r="L2157" s="10" t="s">
        <v>42</v>
      </c>
    </row>
    <row r="2158" ht="15.75" customHeight="1">
      <c r="A2158" s="64">
        <v>45470.0</v>
      </c>
      <c r="B2158" s="55" t="str">
        <f>HYPERLINK("https://jobright.ai/jobs/info/667dc9cf4ad514cf71dc1286?utm_campaign=1065&amp;utm_source=sheet", "Apply")</f>
        <v>Apply</v>
      </c>
      <c r="C2158" s="10" t="s">
        <v>14876</v>
      </c>
      <c r="D2158" s="56" t="s">
        <v>14380</v>
      </c>
      <c r="E2158" s="59">
        <v>45301.0</v>
      </c>
      <c r="F2158" s="10" t="s">
        <v>14381</v>
      </c>
      <c r="G2158" s="10" t="s">
        <v>12654</v>
      </c>
      <c r="H2158" s="10" t="s">
        <v>784</v>
      </c>
      <c r="I2158" s="10" t="s">
        <v>55</v>
      </c>
      <c r="J2158" s="10" t="s">
        <v>13437</v>
      </c>
      <c r="K2158" s="10" t="s">
        <v>14877</v>
      </c>
      <c r="L2158" s="10" t="s">
        <v>42</v>
      </c>
    </row>
    <row r="2159" ht="15.75" customHeight="1">
      <c r="A2159" s="64">
        <v>45470.0</v>
      </c>
      <c r="B2159" s="55" t="str">
        <f>HYPERLINK("https://jobright.ai/jobs/info/667dc9cf4ad514cf71dc128a?utm_campaign=1065&amp;utm_source=sheet", "Apply")</f>
        <v>Apply</v>
      </c>
      <c r="C2159" s="10" t="s">
        <v>14876</v>
      </c>
      <c r="D2159" s="56" t="s">
        <v>14380</v>
      </c>
      <c r="E2159" s="59">
        <v>45301.0</v>
      </c>
      <c r="F2159" s="10" t="s">
        <v>14381</v>
      </c>
      <c r="G2159" s="10" t="s">
        <v>12654</v>
      </c>
      <c r="H2159" s="10" t="s">
        <v>929</v>
      </c>
      <c r="I2159" s="10" t="s">
        <v>55</v>
      </c>
      <c r="J2159" s="10" t="s">
        <v>13437</v>
      </c>
      <c r="K2159" s="10" t="s">
        <v>14877</v>
      </c>
      <c r="L2159" s="10" t="s">
        <v>42</v>
      </c>
    </row>
    <row r="2160" ht="15.75" customHeight="1">
      <c r="A2160" s="64">
        <v>45470.0</v>
      </c>
      <c r="B2160" s="55" t="str">
        <f>HYPERLINK("https://jobright.ai/jobs/info/667dc9cf4ad514cf71dc1289?utm_campaign=1065&amp;utm_source=sheet", "Apply")</f>
        <v>Apply</v>
      </c>
      <c r="C2160" s="10" t="s">
        <v>14876</v>
      </c>
      <c r="D2160" s="56" t="s">
        <v>14380</v>
      </c>
      <c r="E2160" s="59">
        <v>45301.0</v>
      </c>
      <c r="F2160" s="10" t="s">
        <v>14381</v>
      </c>
      <c r="G2160" s="10" t="s">
        <v>12654</v>
      </c>
      <c r="H2160" s="10" t="s">
        <v>987</v>
      </c>
      <c r="I2160" s="10" t="s">
        <v>55</v>
      </c>
      <c r="J2160" s="10" t="s">
        <v>13437</v>
      </c>
      <c r="K2160" s="10" t="s">
        <v>14877</v>
      </c>
      <c r="L2160" s="10" t="s">
        <v>42</v>
      </c>
    </row>
    <row r="2161" ht="15.75" customHeight="1">
      <c r="A2161" s="64">
        <v>45470.0</v>
      </c>
      <c r="B2161" s="55" t="str">
        <f>HYPERLINK("https://jobright.ai/jobs/info/667dc9cf4ad514cf71dc1298?utm_campaign=1065&amp;utm_source=sheet", "Apply")</f>
        <v>Apply</v>
      </c>
      <c r="C2161" s="10" t="s">
        <v>14876</v>
      </c>
      <c r="D2161" s="56" t="s">
        <v>14380</v>
      </c>
      <c r="E2161" s="59">
        <v>45301.0</v>
      </c>
      <c r="F2161" s="10" t="s">
        <v>14381</v>
      </c>
      <c r="G2161" s="10" t="s">
        <v>12654</v>
      </c>
      <c r="H2161" s="10" t="s">
        <v>785</v>
      </c>
      <c r="I2161" s="10" t="s">
        <v>55</v>
      </c>
      <c r="J2161" s="10" t="s">
        <v>13437</v>
      </c>
      <c r="K2161" s="10" t="s">
        <v>14877</v>
      </c>
      <c r="L2161" s="10" t="s">
        <v>42</v>
      </c>
    </row>
    <row r="2162" ht="15.75" customHeight="1">
      <c r="A2162" s="64">
        <v>45470.0</v>
      </c>
      <c r="B2162" s="55" t="str">
        <f>HYPERLINK("https://jobright.ai/jobs/info/667dc9cf4ad514cf71dc1287?utm_campaign=1065&amp;utm_source=sheet", "Apply")</f>
        <v>Apply</v>
      </c>
      <c r="C2162" s="10" t="s">
        <v>14876</v>
      </c>
      <c r="D2162" s="56" t="s">
        <v>14380</v>
      </c>
      <c r="E2162" s="59">
        <v>45301.0</v>
      </c>
      <c r="F2162" s="10" t="s">
        <v>14381</v>
      </c>
      <c r="G2162" s="10" t="s">
        <v>12654</v>
      </c>
      <c r="H2162" s="10" t="s">
        <v>1044</v>
      </c>
      <c r="I2162" s="10" t="s">
        <v>55</v>
      </c>
      <c r="J2162" s="10" t="s">
        <v>13437</v>
      </c>
      <c r="K2162" s="10" t="s">
        <v>14877</v>
      </c>
      <c r="L2162" s="10" t="s">
        <v>42</v>
      </c>
    </row>
    <row r="2163" ht="15.75" customHeight="1">
      <c r="A2163" s="64">
        <v>45470.0</v>
      </c>
      <c r="B2163" s="55" t="str">
        <f>HYPERLINK("https://jobright.ai/jobs/info/667dc9cf4ad514cf71dc1280?utm_campaign=1065&amp;utm_source=sheet", "Apply")</f>
        <v>Apply</v>
      </c>
      <c r="C2163" s="10" t="s">
        <v>14876</v>
      </c>
      <c r="D2163" s="56" t="s">
        <v>14380</v>
      </c>
      <c r="E2163" s="59">
        <v>45301.0</v>
      </c>
      <c r="F2163" s="10" t="s">
        <v>14381</v>
      </c>
      <c r="G2163" s="10" t="s">
        <v>12654</v>
      </c>
      <c r="H2163" s="10" t="s">
        <v>965</v>
      </c>
      <c r="I2163" s="10" t="s">
        <v>55</v>
      </c>
      <c r="J2163" s="10" t="s">
        <v>13437</v>
      </c>
      <c r="K2163" s="10" t="s">
        <v>14877</v>
      </c>
      <c r="L2163" s="10" t="s">
        <v>42</v>
      </c>
    </row>
    <row r="2164" ht="15.75" customHeight="1">
      <c r="A2164" s="64">
        <v>45470.0</v>
      </c>
      <c r="B2164" s="55" t="str">
        <f>HYPERLINK("https://jobright.ai/jobs/info/667dc9cf4ad514cf71dc129e?utm_campaign=1065&amp;utm_source=sheet", "Apply")</f>
        <v>Apply</v>
      </c>
      <c r="C2164" s="10" t="s">
        <v>14876</v>
      </c>
      <c r="D2164" s="56" t="s">
        <v>14380</v>
      </c>
      <c r="E2164" s="59">
        <v>45301.0</v>
      </c>
      <c r="F2164" s="10" t="s">
        <v>14381</v>
      </c>
      <c r="G2164" s="10" t="s">
        <v>12654</v>
      </c>
      <c r="H2164" s="10" t="s">
        <v>979</v>
      </c>
      <c r="I2164" s="10" t="s">
        <v>55</v>
      </c>
      <c r="J2164" s="10" t="s">
        <v>13437</v>
      </c>
      <c r="K2164" s="10" t="s">
        <v>14877</v>
      </c>
      <c r="L2164" s="10" t="s">
        <v>42</v>
      </c>
    </row>
    <row r="2165" ht="15.75" customHeight="1">
      <c r="A2165" s="64">
        <v>45470.0</v>
      </c>
      <c r="B2165" s="55" t="str">
        <f>HYPERLINK("https://jobright.ai/jobs/info/667dc9cf4ad514cf71dc129b?utm_campaign=1065&amp;utm_source=sheet", "Apply")</f>
        <v>Apply</v>
      </c>
      <c r="C2165" s="10" t="s">
        <v>14876</v>
      </c>
      <c r="D2165" s="56" t="s">
        <v>14380</v>
      </c>
      <c r="E2165" s="59">
        <v>45301.0</v>
      </c>
      <c r="F2165" s="10" t="s">
        <v>14381</v>
      </c>
      <c r="G2165" s="10" t="s">
        <v>12654</v>
      </c>
      <c r="H2165" s="10" t="s">
        <v>869</v>
      </c>
      <c r="I2165" s="10" t="s">
        <v>55</v>
      </c>
      <c r="J2165" s="10" t="s">
        <v>13437</v>
      </c>
      <c r="K2165" s="10" t="s">
        <v>14877</v>
      </c>
      <c r="L2165" s="10" t="s">
        <v>42</v>
      </c>
    </row>
    <row r="2166" ht="15.75" customHeight="1">
      <c r="A2166" s="64">
        <v>45470.0</v>
      </c>
      <c r="B2166" s="55" t="str">
        <f>HYPERLINK("https://jobright.ai/jobs/info/667dc9cf4ad514cf71dc1299?utm_campaign=1065&amp;utm_source=sheet", "Apply")</f>
        <v>Apply</v>
      </c>
      <c r="C2166" s="10" t="s">
        <v>14876</v>
      </c>
      <c r="D2166" s="56" t="s">
        <v>14380</v>
      </c>
      <c r="E2166" s="59">
        <v>45301.0</v>
      </c>
      <c r="F2166" s="10" t="s">
        <v>14381</v>
      </c>
      <c r="G2166" s="10" t="s">
        <v>12654</v>
      </c>
      <c r="H2166" s="10" t="s">
        <v>832</v>
      </c>
      <c r="I2166" s="10" t="s">
        <v>55</v>
      </c>
      <c r="J2166" s="10" t="s">
        <v>13437</v>
      </c>
      <c r="K2166" s="10" t="s">
        <v>14877</v>
      </c>
      <c r="L2166" s="10" t="s">
        <v>42</v>
      </c>
    </row>
    <row r="2167" ht="15.75" customHeight="1">
      <c r="A2167" s="64">
        <v>45470.0</v>
      </c>
      <c r="B2167" s="55" t="str">
        <f>HYPERLINK("https://jobright.ai/jobs/info/667dc9cf4ad514cf71dc129c?utm_campaign=1065&amp;utm_source=sheet", "Apply")</f>
        <v>Apply</v>
      </c>
      <c r="C2167" s="10" t="s">
        <v>14876</v>
      </c>
      <c r="D2167" s="56" t="s">
        <v>14380</v>
      </c>
      <c r="E2167" s="59">
        <v>45301.0</v>
      </c>
      <c r="F2167" s="10" t="s">
        <v>14381</v>
      </c>
      <c r="G2167" s="10" t="s">
        <v>12654</v>
      </c>
      <c r="H2167" s="10" t="s">
        <v>921</v>
      </c>
      <c r="I2167" s="10" t="s">
        <v>55</v>
      </c>
      <c r="J2167" s="10" t="s">
        <v>13437</v>
      </c>
      <c r="K2167" s="10" t="s">
        <v>14877</v>
      </c>
      <c r="L2167" s="10" t="s">
        <v>42</v>
      </c>
    </row>
    <row r="2168" ht="15.75" customHeight="1">
      <c r="A2168" s="64">
        <v>45470.0</v>
      </c>
      <c r="B2168" s="55" t="str">
        <f>HYPERLINK("https://jobright.ai/jobs/info/667dc9cf4ad514cf71dc12a6?utm_campaign=1065&amp;utm_source=sheet", "Apply")</f>
        <v>Apply</v>
      </c>
      <c r="C2168" s="10" t="s">
        <v>14876</v>
      </c>
      <c r="D2168" s="56" t="s">
        <v>14380</v>
      </c>
      <c r="E2168" s="59">
        <v>45301.0</v>
      </c>
      <c r="F2168" s="10" t="s">
        <v>14381</v>
      </c>
      <c r="G2168" s="10" t="s">
        <v>12654</v>
      </c>
      <c r="H2168" s="10" t="s">
        <v>899</v>
      </c>
      <c r="I2168" s="10" t="s">
        <v>55</v>
      </c>
      <c r="J2168" s="10" t="s">
        <v>13437</v>
      </c>
      <c r="K2168" s="10" t="s">
        <v>14877</v>
      </c>
      <c r="L2168" s="10" t="s">
        <v>42</v>
      </c>
    </row>
    <row r="2169" ht="15.75" customHeight="1">
      <c r="A2169" s="64">
        <v>45470.0</v>
      </c>
      <c r="B2169" s="55" t="str">
        <f>HYPERLINK("https://jobright.ai/jobs/info/667dc9cf4ad514cf71dc129a?utm_campaign=1065&amp;utm_source=sheet", "Apply")</f>
        <v>Apply</v>
      </c>
      <c r="C2169" s="10" t="s">
        <v>14876</v>
      </c>
      <c r="D2169" s="56" t="s">
        <v>14380</v>
      </c>
      <c r="E2169" s="59">
        <v>45301.0</v>
      </c>
      <c r="F2169" s="10" t="s">
        <v>14381</v>
      </c>
      <c r="G2169" s="10" t="s">
        <v>12654</v>
      </c>
      <c r="H2169" s="10" t="s">
        <v>844</v>
      </c>
      <c r="I2169" s="10" t="s">
        <v>55</v>
      </c>
      <c r="J2169" s="10" t="s">
        <v>13437</v>
      </c>
      <c r="K2169" s="10" t="s">
        <v>14877</v>
      </c>
      <c r="L2169" s="10" t="s">
        <v>42</v>
      </c>
    </row>
    <row r="2170" ht="15.75" customHeight="1">
      <c r="A2170" s="64">
        <v>45470.0</v>
      </c>
      <c r="B2170" s="55" t="str">
        <f>HYPERLINK("https://jobright.ai/jobs/info/667dc9cf4ad514cf71dc12a0?utm_campaign=1065&amp;utm_source=sheet", "Apply")</f>
        <v>Apply</v>
      </c>
      <c r="C2170" s="10" t="s">
        <v>14876</v>
      </c>
      <c r="D2170" s="56" t="s">
        <v>14380</v>
      </c>
      <c r="E2170" s="59">
        <v>45301.0</v>
      </c>
      <c r="F2170" s="10" t="s">
        <v>14381</v>
      </c>
      <c r="G2170" s="10" t="s">
        <v>12654</v>
      </c>
      <c r="H2170" s="10" t="s">
        <v>848</v>
      </c>
      <c r="I2170" s="10" t="s">
        <v>55</v>
      </c>
      <c r="J2170" s="10" t="s">
        <v>13437</v>
      </c>
      <c r="K2170" s="10" t="s">
        <v>14877</v>
      </c>
      <c r="L2170" s="10" t="s">
        <v>42</v>
      </c>
    </row>
    <row r="2171" ht="15.75" customHeight="1">
      <c r="A2171" s="64">
        <v>45470.0</v>
      </c>
      <c r="B2171" s="55" t="str">
        <f>HYPERLINK("https://jobright.ai/jobs/info/667dc9cf4ad514cf71dc12a1?utm_campaign=1065&amp;utm_source=sheet", "Apply")</f>
        <v>Apply</v>
      </c>
      <c r="C2171" s="10" t="s">
        <v>14876</v>
      </c>
      <c r="D2171" s="56" t="s">
        <v>14380</v>
      </c>
      <c r="E2171" s="59">
        <v>45301.0</v>
      </c>
      <c r="F2171" s="10" t="s">
        <v>14381</v>
      </c>
      <c r="G2171" s="10" t="s">
        <v>12654</v>
      </c>
      <c r="H2171" s="10" t="s">
        <v>972</v>
      </c>
      <c r="I2171" s="10" t="s">
        <v>55</v>
      </c>
      <c r="J2171" s="10" t="s">
        <v>13437</v>
      </c>
      <c r="K2171" s="10" t="s">
        <v>14877</v>
      </c>
      <c r="L2171" s="10" t="s">
        <v>42</v>
      </c>
    </row>
    <row r="2172" ht="15.75" customHeight="1">
      <c r="A2172" s="64">
        <v>45470.0</v>
      </c>
      <c r="B2172" s="55" t="str">
        <f>HYPERLINK("https://jobright.ai/jobs/info/667dc9cf4ad514cf71dc129f?utm_campaign=1065&amp;utm_source=sheet", "Apply")</f>
        <v>Apply</v>
      </c>
      <c r="C2172" s="10" t="s">
        <v>14876</v>
      </c>
      <c r="D2172" s="56" t="s">
        <v>14380</v>
      </c>
      <c r="E2172" s="59">
        <v>45301.0</v>
      </c>
      <c r="F2172" s="10" t="s">
        <v>14381</v>
      </c>
      <c r="G2172" s="10" t="s">
        <v>12654</v>
      </c>
      <c r="H2172" s="10" t="s">
        <v>1050</v>
      </c>
      <c r="I2172" s="10" t="s">
        <v>55</v>
      </c>
      <c r="J2172" s="10" t="s">
        <v>13437</v>
      </c>
      <c r="K2172" s="10" t="s">
        <v>14877</v>
      </c>
      <c r="L2172" s="10" t="s">
        <v>42</v>
      </c>
    </row>
    <row r="2173" ht="15.75" customHeight="1">
      <c r="A2173" s="64">
        <v>45470.0</v>
      </c>
      <c r="B2173" s="55" t="str">
        <f>HYPERLINK("https://jobright.ai/jobs/info/667dc9cf4ad514cf71dc12a4?utm_campaign=1065&amp;utm_source=sheet", "Apply")</f>
        <v>Apply</v>
      </c>
      <c r="C2173" s="10" t="s">
        <v>14876</v>
      </c>
      <c r="D2173" s="56" t="s">
        <v>14380</v>
      </c>
      <c r="E2173" s="59">
        <v>45301.0</v>
      </c>
      <c r="F2173" s="10" t="s">
        <v>14381</v>
      </c>
      <c r="G2173" s="10" t="s">
        <v>12654</v>
      </c>
      <c r="H2173" s="10" t="s">
        <v>313</v>
      </c>
      <c r="I2173" s="10" t="s">
        <v>55</v>
      </c>
      <c r="J2173" s="10" t="s">
        <v>13437</v>
      </c>
      <c r="K2173" s="10" t="s">
        <v>14877</v>
      </c>
      <c r="L2173" s="10" t="s">
        <v>42</v>
      </c>
    </row>
    <row r="2174" ht="15.75" customHeight="1">
      <c r="A2174" s="64">
        <v>45470.0</v>
      </c>
      <c r="B2174" s="55" t="str">
        <f>HYPERLINK("https://jobright.ai/jobs/info/667dc9cf4ad514cf71dc12a5?utm_campaign=1065&amp;utm_source=sheet", "Apply")</f>
        <v>Apply</v>
      </c>
      <c r="C2174" s="10" t="s">
        <v>14876</v>
      </c>
      <c r="D2174" s="56" t="s">
        <v>14380</v>
      </c>
      <c r="E2174" s="59">
        <v>45301.0</v>
      </c>
      <c r="F2174" s="10" t="s">
        <v>14381</v>
      </c>
      <c r="G2174" s="10" t="s">
        <v>12654</v>
      </c>
      <c r="H2174" s="10" t="s">
        <v>816</v>
      </c>
      <c r="I2174" s="10" t="s">
        <v>55</v>
      </c>
      <c r="J2174" s="10" t="s">
        <v>13437</v>
      </c>
      <c r="K2174" s="10" t="s">
        <v>14877</v>
      </c>
      <c r="L2174" s="10" t="s">
        <v>42</v>
      </c>
    </row>
    <row r="2175" ht="15.75" customHeight="1">
      <c r="A2175" s="64">
        <v>45470.0</v>
      </c>
      <c r="B2175" s="55" t="str">
        <f>HYPERLINK("https://jobright.ai/jobs/info/667dc9cf4ad514cf71dc12a2?utm_campaign=1065&amp;utm_source=sheet", "Apply")</f>
        <v>Apply</v>
      </c>
      <c r="C2175" s="10" t="s">
        <v>14876</v>
      </c>
      <c r="D2175" s="56" t="s">
        <v>14380</v>
      </c>
      <c r="E2175" s="59">
        <v>45301.0</v>
      </c>
      <c r="F2175" s="10" t="s">
        <v>14381</v>
      </c>
      <c r="G2175" s="10" t="s">
        <v>12654</v>
      </c>
      <c r="H2175" s="10" t="s">
        <v>840</v>
      </c>
      <c r="I2175" s="10" t="s">
        <v>55</v>
      </c>
      <c r="J2175" s="10" t="s">
        <v>13437</v>
      </c>
      <c r="K2175" s="10" t="s">
        <v>14877</v>
      </c>
      <c r="L2175" s="10" t="s">
        <v>42</v>
      </c>
    </row>
    <row r="2176" ht="15.75" customHeight="1">
      <c r="A2176" s="64">
        <v>45470.0</v>
      </c>
      <c r="B2176" s="55" t="str">
        <f>HYPERLINK("https://jobright.ai/jobs/info/667dc9cf4ad514cf71dc129d?utm_campaign=1065&amp;utm_source=sheet", "Apply")</f>
        <v>Apply</v>
      </c>
      <c r="C2176" s="10" t="s">
        <v>14876</v>
      </c>
      <c r="D2176" s="56" t="s">
        <v>14380</v>
      </c>
      <c r="E2176" s="59">
        <v>45301.0</v>
      </c>
      <c r="F2176" s="10" t="s">
        <v>14381</v>
      </c>
      <c r="G2176" s="10" t="s">
        <v>12654</v>
      </c>
      <c r="H2176" s="10" t="s">
        <v>1005</v>
      </c>
      <c r="I2176" s="10" t="s">
        <v>55</v>
      </c>
      <c r="J2176" s="10" t="s">
        <v>13437</v>
      </c>
      <c r="K2176" s="10" t="s">
        <v>14877</v>
      </c>
      <c r="L2176" s="10" t="s">
        <v>42</v>
      </c>
    </row>
    <row r="2177" ht="15.75" customHeight="1">
      <c r="A2177" s="64">
        <v>45470.0</v>
      </c>
      <c r="B2177" s="55" t="str">
        <f>HYPERLINK("https://jobright.ai/jobs/info/667dc9cf4ad514cf71dc12a3?utm_campaign=1065&amp;utm_source=sheet", "Apply")</f>
        <v>Apply</v>
      </c>
      <c r="C2177" s="10" t="s">
        <v>14876</v>
      </c>
      <c r="D2177" s="56" t="s">
        <v>14380</v>
      </c>
      <c r="E2177" s="59">
        <v>45301.0</v>
      </c>
      <c r="F2177" s="10" t="s">
        <v>14381</v>
      </c>
      <c r="G2177" s="10" t="s">
        <v>12654</v>
      </c>
      <c r="H2177" s="10" t="s">
        <v>890</v>
      </c>
      <c r="I2177" s="10" t="s">
        <v>55</v>
      </c>
      <c r="J2177" s="10" t="s">
        <v>13437</v>
      </c>
      <c r="K2177" s="10" t="s">
        <v>14877</v>
      </c>
      <c r="L2177" s="10" t="s">
        <v>42</v>
      </c>
    </row>
    <row r="2178" ht="15.75" customHeight="1">
      <c r="A2178" s="64">
        <v>45470.0</v>
      </c>
      <c r="B2178" s="55" t="str">
        <f>HYPERLINK("https://jobright.ai/jobs/info/667dc9cf4ad514cf71dc12a7?utm_campaign=1065&amp;utm_source=sheet", "Apply")</f>
        <v>Apply</v>
      </c>
      <c r="C2178" s="10" t="s">
        <v>14876</v>
      </c>
      <c r="D2178" s="56" t="s">
        <v>14380</v>
      </c>
      <c r="E2178" s="59">
        <v>45301.0</v>
      </c>
      <c r="F2178" s="10" t="s">
        <v>14381</v>
      </c>
      <c r="G2178" s="10" t="s">
        <v>12654</v>
      </c>
      <c r="H2178" s="10" t="s">
        <v>900</v>
      </c>
      <c r="I2178" s="10" t="s">
        <v>55</v>
      </c>
      <c r="J2178" s="10" t="s">
        <v>13437</v>
      </c>
      <c r="K2178" s="10" t="s">
        <v>14877</v>
      </c>
      <c r="L2178" s="10" t="s">
        <v>42</v>
      </c>
    </row>
    <row r="2179" ht="15.75" customHeight="1">
      <c r="A2179" s="64">
        <v>45470.0</v>
      </c>
      <c r="B2179" s="55" t="str">
        <f>HYPERLINK("https://jobright.ai/jobs/info/667dc9cf4ad514cf71dc12a9?utm_campaign=1065&amp;utm_source=sheet", "Apply")</f>
        <v>Apply</v>
      </c>
      <c r="C2179" s="10" t="s">
        <v>14876</v>
      </c>
      <c r="D2179" s="56" t="s">
        <v>14380</v>
      </c>
      <c r="E2179" s="59">
        <v>45301.0</v>
      </c>
      <c r="F2179" s="10" t="s">
        <v>14381</v>
      </c>
      <c r="G2179" s="10" t="s">
        <v>12654</v>
      </c>
      <c r="H2179" s="10" t="s">
        <v>833</v>
      </c>
      <c r="I2179" s="10" t="s">
        <v>55</v>
      </c>
      <c r="J2179" s="10" t="s">
        <v>13437</v>
      </c>
      <c r="K2179" s="10" t="s">
        <v>14877</v>
      </c>
      <c r="L2179" s="10" t="s">
        <v>42</v>
      </c>
    </row>
    <row r="2180" ht="15.75" customHeight="1">
      <c r="A2180" s="64">
        <v>45470.0</v>
      </c>
      <c r="B2180" s="55" t="str">
        <f>HYPERLINK("https://jobright.ai/jobs/info/667dc9cf4ad514cf71dc12a8?utm_campaign=1065&amp;utm_source=sheet", "Apply")</f>
        <v>Apply</v>
      </c>
      <c r="C2180" s="10" t="s">
        <v>14876</v>
      </c>
      <c r="D2180" s="56" t="s">
        <v>14380</v>
      </c>
      <c r="E2180" s="59">
        <v>45301.0</v>
      </c>
      <c r="F2180" s="10" t="s">
        <v>14381</v>
      </c>
      <c r="G2180" s="10" t="s">
        <v>12654</v>
      </c>
      <c r="H2180" s="10" t="s">
        <v>919</v>
      </c>
      <c r="I2180" s="10" t="s">
        <v>55</v>
      </c>
      <c r="J2180" s="10" t="s">
        <v>13437</v>
      </c>
      <c r="K2180" s="10" t="s">
        <v>14877</v>
      </c>
      <c r="L2180" s="10" t="s">
        <v>42</v>
      </c>
    </row>
    <row r="2181" ht="15.75" customHeight="1">
      <c r="A2181" s="64">
        <v>45470.0</v>
      </c>
      <c r="B2181" s="55" t="str">
        <f>HYPERLINK("https://jobright.ai/jobs/info/667dc9cf4ad514cf71dc12ac?utm_campaign=1065&amp;utm_source=sheet", "Apply")</f>
        <v>Apply</v>
      </c>
      <c r="C2181" s="10" t="s">
        <v>14876</v>
      </c>
      <c r="D2181" s="56" t="s">
        <v>14380</v>
      </c>
      <c r="E2181" s="59">
        <v>45301.0</v>
      </c>
      <c r="F2181" s="10" t="s">
        <v>14381</v>
      </c>
      <c r="G2181" s="10" t="s">
        <v>12654</v>
      </c>
      <c r="H2181" s="10" t="s">
        <v>812</v>
      </c>
      <c r="I2181" s="10" t="s">
        <v>55</v>
      </c>
      <c r="J2181" s="10" t="s">
        <v>13437</v>
      </c>
      <c r="K2181" s="10" t="s">
        <v>14877</v>
      </c>
      <c r="L2181" s="10" t="s">
        <v>42</v>
      </c>
    </row>
    <row r="2182" ht="15.75" customHeight="1">
      <c r="A2182" s="64">
        <v>45470.0</v>
      </c>
      <c r="B2182" s="55" t="str">
        <f>HYPERLINK("https://jobright.ai/jobs/info/667dc9cf4ad514cf71dc12ab?utm_campaign=1065&amp;utm_source=sheet", "Apply")</f>
        <v>Apply</v>
      </c>
      <c r="C2182" s="10" t="s">
        <v>14876</v>
      </c>
      <c r="D2182" s="56" t="s">
        <v>14380</v>
      </c>
      <c r="E2182" s="59">
        <v>45301.0</v>
      </c>
      <c r="F2182" s="10" t="s">
        <v>14381</v>
      </c>
      <c r="G2182" s="10" t="s">
        <v>12654</v>
      </c>
      <c r="H2182" s="10" t="s">
        <v>1029</v>
      </c>
      <c r="I2182" s="10" t="s">
        <v>55</v>
      </c>
      <c r="J2182" s="10" t="s">
        <v>13437</v>
      </c>
      <c r="K2182" s="10" t="s">
        <v>14877</v>
      </c>
      <c r="L2182" s="10" t="s">
        <v>42</v>
      </c>
    </row>
    <row r="2183" ht="15.75" customHeight="1">
      <c r="A2183" s="64">
        <v>45470.0</v>
      </c>
      <c r="B2183" s="55" t="str">
        <f>HYPERLINK("https://jobright.ai/jobs/info/667dc9cf4ad514cf71dc12ad?utm_campaign=1065&amp;utm_source=sheet", "Apply")</f>
        <v>Apply</v>
      </c>
      <c r="C2183" s="10" t="s">
        <v>14876</v>
      </c>
      <c r="D2183" s="56" t="s">
        <v>14380</v>
      </c>
      <c r="E2183" s="59">
        <v>45301.0</v>
      </c>
      <c r="F2183" s="10" t="s">
        <v>14381</v>
      </c>
      <c r="G2183" s="10" t="s">
        <v>12654</v>
      </c>
      <c r="H2183" s="10" t="s">
        <v>1040</v>
      </c>
      <c r="I2183" s="10" t="s">
        <v>55</v>
      </c>
      <c r="J2183" s="10" t="s">
        <v>13437</v>
      </c>
      <c r="K2183" s="10" t="s">
        <v>14877</v>
      </c>
      <c r="L2183" s="10" t="s">
        <v>42</v>
      </c>
    </row>
    <row r="2184" ht="15.75" customHeight="1">
      <c r="A2184" s="64">
        <v>45470.0</v>
      </c>
      <c r="B2184" s="55" t="str">
        <f>HYPERLINK("https://jobright.ai/jobs/info/667dc9cf4ad514cf71dc12ae?utm_campaign=1065&amp;utm_source=sheet", "Apply")</f>
        <v>Apply</v>
      </c>
      <c r="C2184" s="10" t="s">
        <v>14876</v>
      </c>
      <c r="D2184" s="56" t="s">
        <v>14380</v>
      </c>
      <c r="E2184" s="59">
        <v>45301.0</v>
      </c>
      <c r="F2184" s="10" t="s">
        <v>14381</v>
      </c>
      <c r="G2184" s="10" t="s">
        <v>12654</v>
      </c>
      <c r="H2184" s="10" t="s">
        <v>954</v>
      </c>
      <c r="I2184" s="10" t="s">
        <v>55</v>
      </c>
      <c r="J2184" s="10" t="s">
        <v>13437</v>
      </c>
      <c r="K2184" s="10" t="s">
        <v>14877</v>
      </c>
      <c r="L2184" s="10" t="s">
        <v>42</v>
      </c>
    </row>
    <row r="2185" ht="15.75" customHeight="1">
      <c r="A2185" s="64">
        <v>45470.0</v>
      </c>
      <c r="B2185" s="55" t="str">
        <f>HYPERLINK("https://jobright.ai/jobs/info/667dd80f8d93809a9317aebc?utm_campaign=1065&amp;utm_source=sheet", "Apply")</f>
        <v>Apply</v>
      </c>
      <c r="C2185" s="10" t="s">
        <v>14876</v>
      </c>
      <c r="D2185" s="56" t="s">
        <v>14380</v>
      </c>
      <c r="E2185" s="59">
        <v>45301.0</v>
      </c>
      <c r="F2185" s="10" t="s">
        <v>14381</v>
      </c>
      <c r="G2185" s="10" t="s">
        <v>12654</v>
      </c>
      <c r="H2185" s="10" t="s">
        <v>938</v>
      </c>
      <c r="I2185" s="10" t="s">
        <v>55</v>
      </c>
      <c r="J2185" s="10" t="s">
        <v>13437</v>
      </c>
      <c r="K2185" s="10" t="s">
        <v>14877</v>
      </c>
      <c r="L2185" s="10" t="s">
        <v>42</v>
      </c>
    </row>
    <row r="2186" ht="15.75" customHeight="1">
      <c r="A2186" s="64">
        <v>45470.0</v>
      </c>
      <c r="B2186" s="55" t="str">
        <f>HYPERLINK("https://jobright.ai/jobs/info/667dd80f8d93809a9317aec6?utm_campaign=1065&amp;utm_source=sheet", "Apply")</f>
        <v>Apply</v>
      </c>
      <c r="C2186" s="10" t="s">
        <v>14876</v>
      </c>
      <c r="D2186" s="56" t="s">
        <v>14380</v>
      </c>
      <c r="E2186" s="59">
        <v>45301.0</v>
      </c>
      <c r="F2186" s="10" t="s">
        <v>14381</v>
      </c>
      <c r="G2186" s="10" t="s">
        <v>12654</v>
      </c>
      <c r="H2186" s="10" t="s">
        <v>893</v>
      </c>
      <c r="I2186" s="10" t="s">
        <v>55</v>
      </c>
      <c r="J2186" s="10" t="s">
        <v>13437</v>
      </c>
      <c r="K2186" s="10" t="s">
        <v>14877</v>
      </c>
      <c r="L2186" s="10" t="s">
        <v>42</v>
      </c>
    </row>
    <row r="2187" ht="15.75" customHeight="1">
      <c r="A2187" s="64">
        <v>45470.0</v>
      </c>
      <c r="B2187" s="55" t="str">
        <f>HYPERLINK("https://jobright.ai/jobs/info/667dd80f8d93809a9317aebd?utm_campaign=1065&amp;utm_source=sheet", "Apply")</f>
        <v>Apply</v>
      </c>
      <c r="C2187" s="10" t="s">
        <v>14876</v>
      </c>
      <c r="D2187" s="56" t="s">
        <v>14380</v>
      </c>
      <c r="E2187" s="59">
        <v>45301.0</v>
      </c>
      <c r="F2187" s="10" t="s">
        <v>14381</v>
      </c>
      <c r="G2187" s="10" t="s">
        <v>12654</v>
      </c>
      <c r="H2187" s="10" t="s">
        <v>902</v>
      </c>
      <c r="I2187" s="10" t="s">
        <v>55</v>
      </c>
      <c r="J2187" s="10" t="s">
        <v>13437</v>
      </c>
      <c r="K2187" s="10" t="s">
        <v>14877</v>
      </c>
      <c r="L2187" s="10" t="s">
        <v>42</v>
      </c>
    </row>
    <row r="2188" ht="15.75" customHeight="1">
      <c r="A2188" s="64">
        <v>45470.0</v>
      </c>
      <c r="B2188" s="55" t="str">
        <f>HYPERLINK("https://jobright.ai/jobs/info/667dd80f8d93809a9317aeca?utm_campaign=1065&amp;utm_source=sheet", "Apply")</f>
        <v>Apply</v>
      </c>
      <c r="C2188" s="10" t="s">
        <v>14876</v>
      </c>
      <c r="D2188" s="56" t="s">
        <v>14380</v>
      </c>
      <c r="E2188" s="59">
        <v>45301.0</v>
      </c>
      <c r="F2188" s="10" t="s">
        <v>14381</v>
      </c>
      <c r="G2188" s="10" t="s">
        <v>12654</v>
      </c>
      <c r="H2188" s="10" t="s">
        <v>1006</v>
      </c>
      <c r="I2188" s="10" t="s">
        <v>55</v>
      </c>
      <c r="J2188" s="10" t="s">
        <v>13437</v>
      </c>
      <c r="K2188" s="10" t="s">
        <v>14877</v>
      </c>
      <c r="L2188" s="10" t="s">
        <v>42</v>
      </c>
    </row>
    <row r="2189" ht="15.75" customHeight="1">
      <c r="A2189" s="64">
        <v>45470.0</v>
      </c>
      <c r="B2189" s="55" t="str">
        <f>HYPERLINK("https://jobright.ai/jobs/info/667dd80f8d93809a9317aecb?utm_campaign=1065&amp;utm_source=sheet", "Apply")</f>
        <v>Apply</v>
      </c>
      <c r="C2189" s="10" t="s">
        <v>14876</v>
      </c>
      <c r="D2189" s="56" t="s">
        <v>14380</v>
      </c>
      <c r="E2189" s="59">
        <v>45301.0</v>
      </c>
      <c r="F2189" s="10" t="s">
        <v>14381</v>
      </c>
      <c r="G2189" s="10" t="s">
        <v>12654</v>
      </c>
      <c r="H2189" s="10" t="s">
        <v>942</v>
      </c>
      <c r="I2189" s="10" t="s">
        <v>55</v>
      </c>
      <c r="J2189" s="10" t="s">
        <v>13437</v>
      </c>
      <c r="K2189" s="10" t="s">
        <v>14877</v>
      </c>
      <c r="L2189" s="10" t="s">
        <v>42</v>
      </c>
    </row>
    <row r="2190" ht="15.75" customHeight="1">
      <c r="A2190" s="64">
        <v>45470.0</v>
      </c>
      <c r="B2190" s="55" t="str">
        <f>HYPERLINK("https://jobright.ai/jobs/info/667dd80f8d93809a9317aebe?utm_campaign=1065&amp;utm_source=sheet", "Apply")</f>
        <v>Apply</v>
      </c>
      <c r="C2190" s="10" t="s">
        <v>14876</v>
      </c>
      <c r="D2190" s="56" t="s">
        <v>14380</v>
      </c>
      <c r="E2190" s="59">
        <v>45301.0</v>
      </c>
      <c r="F2190" s="10" t="s">
        <v>14381</v>
      </c>
      <c r="G2190" s="10" t="s">
        <v>12654</v>
      </c>
      <c r="H2190" s="10" t="s">
        <v>154</v>
      </c>
      <c r="I2190" s="10" t="s">
        <v>55</v>
      </c>
      <c r="J2190" s="10" t="s">
        <v>13437</v>
      </c>
      <c r="K2190" s="10" t="s">
        <v>14877</v>
      </c>
      <c r="L2190" s="10" t="s">
        <v>42</v>
      </c>
    </row>
    <row r="2191" ht="15.75" customHeight="1">
      <c r="A2191" s="64">
        <v>45470.0</v>
      </c>
      <c r="B2191" s="55" t="str">
        <f>HYPERLINK("https://jobright.ai/jobs/info/667dd80f8d93809a9317aec9?utm_campaign=1065&amp;utm_source=sheet", "Apply")</f>
        <v>Apply</v>
      </c>
      <c r="C2191" s="10" t="s">
        <v>14876</v>
      </c>
      <c r="D2191" s="56" t="s">
        <v>14380</v>
      </c>
      <c r="E2191" s="59">
        <v>45301.0</v>
      </c>
      <c r="F2191" s="10" t="s">
        <v>14381</v>
      </c>
      <c r="G2191" s="10" t="s">
        <v>12654</v>
      </c>
      <c r="H2191" s="10" t="s">
        <v>874</v>
      </c>
      <c r="I2191" s="10" t="s">
        <v>55</v>
      </c>
      <c r="J2191" s="10" t="s">
        <v>13437</v>
      </c>
      <c r="K2191" s="10" t="s">
        <v>14877</v>
      </c>
      <c r="L2191" s="10" t="s">
        <v>42</v>
      </c>
    </row>
    <row r="2192" ht="15.75" customHeight="1">
      <c r="A2192" s="64">
        <v>45470.0</v>
      </c>
      <c r="B2192" s="55" t="str">
        <f>HYPERLINK("https://jobright.ai/jobs/info/667dd80f8d93809a9317aec4?utm_campaign=1065&amp;utm_source=sheet", "Apply")</f>
        <v>Apply</v>
      </c>
      <c r="C2192" s="10" t="s">
        <v>14876</v>
      </c>
      <c r="D2192" s="56" t="s">
        <v>14380</v>
      </c>
      <c r="E2192" s="59">
        <v>45301.0</v>
      </c>
      <c r="F2192" s="10" t="s">
        <v>14381</v>
      </c>
      <c r="G2192" s="10" t="s">
        <v>12654</v>
      </c>
      <c r="H2192" s="10" t="s">
        <v>931</v>
      </c>
      <c r="I2192" s="10" t="s">
        <v>55</v>
      </c>
      <c r="J2192" s="10" t="s">
        <v>13437</v>
      </c>
      <c r="K2192" s="10" t="s">
        <v>14877</v>
      </c>
      <c r="L2192" s="10" t="s">
        <v>42</v>
      </c>
    </row>
    <row r="2193" ht="15.75" customHeight="1">
      <c r="A2193" s="64">
        <v>45470.0</v>
      </c>
      <c r="B2193" s="55" t="str">
        <f>HYPERLINK("https://jobright.ai/jobs/info/667dd80f8d93809a9317aed2?utm_campaign=1065&amp;utm_source=sheet", "Apply")</f>
        <v>Apply</v>
      </c>
      <c r="C2193" s="10" t="s">
        <v>14876</v>
      </c>
      <c r="D2193" s="56" t="s">
        <v>14380</v>
      </c>
      <c r="E2193" s="59">
        <v>45301.0</v>
      </c>
      <c r="F2193" s="10" t="s">
        <v>14381</v>
      </c>
      <c r="G2193" s="10" t="s">
        <v>12654</v>
      </c>
      <c r="H2193" s="10" t="s">
        <v>886</v>
      </c>
      <c r="I2193" s="10" t="s">
        <v>55</v>
      </c>
      <c r="J2193" s="10" t="s">
        <v>13437</v>
      </c>
      <c r="K2193" s="10" t="s">
        <v>14877</v>
      </c>
      <c r="L2193" s="10" t="s">
        <v>42</v>
      </c>
    </row>
    <row r="2194" ht="15.75" customHeight="1">
      <c r="A2194" s="64">
        <v>45470.0</v>
      </c>
      <c r="B2194" s="55" t="str">
        <f>HYPERLINK("https://jobright.ai/jobs/info/667dd80f8d93809a9317aece?utm_campaign=1065&amp;utm_source=sheet", "Apply")</f>
        <v>Apply</v>
      </c>
      <c r="C2194" s="10" t="s">
        <v>14876</v>
      </c>
      <c r="D2194" s="56" t="s">
        <v>14380</v>
      </c>
      <c r="E2194" s="59">
        <v>45301.0</v>
      </c>
      <c r="F2194" s="10" t="s">
        <v>14381</v>
      </c>
      <c r="G2194" s="10" t="s">
        <v>12654</v>
      </c>
      <c r="H2194" s="10" t="s">
        <v>842</v>
      </c>
      <c r="I2194" s="10" t="s">
        <v>55</v>
      </c>
      <c r="J2194" s="10" t="s">
        <v>13437</v>
      </c>
      <c r="K2194" s="10" t="s">
        <v>14877</v>
      </c>
      <c r="L2194" s="10" t="s">
        <v>42</v>
      </c>
    </row>
    <row r="2195" ht="15.75" customHeight="1">
      <c r="A2195" s="64">
        <v>45470.0</v>
      </c>
      <c r="B2195" s="55" t="str">
        <f>HYPERLINK("https://jobright.ai/jobs/info/667dd80f8d93809a9317aec0?utm_campaign=1065&amp;utm_source=sheet", "Apply")</f>
        <v>Apply</v>
      </c>
      <c r="C2195" s="10" t="s">
        <v>14876</v>
      </c>
      <c r="D2195" s="56" t="s">
        <v>14380</v>
      </c>
      <c r="E2195" s="59">
        <v>45301.0</v>
      </c>
      <c r="F2195" s="10" t="s">
        <v>14381</v>
      </c>
      <c r="G2195" s="10" t="s">
        <v>12654</v>
      </c>
      <c r="H2195" s="10" t="s">
        <v>913</v>
      </c>
      <c r="I2195" s="10" t="s">
        <v>55</v>
      </c>
      <c r="J2195" s="10" t="s">
        <v>13437</v>
      </c>
      <c r="K2195" s="10" t="s">
        <v>14877</v>
      </c>
      <c r="L2195" s="10" t="s">
        <v>42</v>
      </c>
    </row>
    <row r="2196" ht="15.75" customHeight="1">
      <c r="A2196" s="64">
        <v>45470.0</v>
      </c>
      <c r="B2196" s="55" t="str">
        <f>HYPERLINK("https://jobright.ai/jobs/info/667dd80f8d93809a9317aec2?utm_campaign=1065&amp;utm_source=sheet", "Apply")</f>
        <v>Apply</v>
      </c>
      <c r="C2196" s="10" t="s">
        <v>14876</v>
      </c>
      <c r="D2196" s="56" t="s">
        <v>14380</v>
      </c>
      <c r="E2196" s="59">
        <v>45301.0</v>
      </c>
      <c r="F2196" s="10" t="s">
        <v>14381</v>
      </c>
      <c r="G2196" s="10" t="s">
        <v>12654</v>
      </c>
      <c r="H2196" s="10" t="s">
        <v>926</v>
      </c>
      <c r="I2196" s="10" t="s">
        <v>55</v>
      </c>
      <c r="J2196" s="10" t="s">
        <v>13437</v>
      </c>
      <c r="K2196" s="10" t="s">
        <v>14877</v>
      </c>
      <c r="L2196" s="10" t="s">
        <v>42</v>
      </c>
    </row>
    <row r="2197" ht="15.75" customHeight="1">
      <c r="A2197" s="64">
        <v>45470.0</v>
      </c>
      <c r="B2197" s="55" t="str">
        <f>HYPERLINK("https://jobright.ai/jobs/info/667dd80f8d93809a9317aecc?utm_campaign=1065&amp;utm_source=sheet", "Apply")</f>
        <v>Apply</v>
      </c>
      <c r="C2197" s="10" t="s">
        <v>14876</v>
      </c>
      <c r="D2197" s="56" t="s">
        <v>14380</v>
      </c>
      <c r="E2197" s="59">
        <v>45301.0</v>
      </c>
      <c r="F2197" s="10" t="s">
        <v>14381</v>
      </c>
      <c r="G2197" s="10" t="s">
        <v>12654</v>
      </c>
      <c r="H2197" s="10" t="s">
        <v>1002</v>
      </c>
      <c r="I2197" s="10" t="s">
        <v>55</v>
      </c>
      <c r="J2197" s="10" t="s">
        <v>13437</v>
      </c>
      <c r="K2197" s="10" t="s">
        <v>14877</v>
      </c>
      <c r="L2197" s="10" t="s">
        <v>42</v>
      </c>
    </row>
    <row r="2198" ht="15.75" customHeight="1">
      <c r="A2198" s="64">
        <v>45470.0</v>
      </c>
      <c r="B2198" s="55" t="str">
        <f>HYPERLINK("https://jobright.ai/jobs/info/667dd80f8d93809a9317aecf?utm_campaign=1065&amp;utm_source=sheet", "Apply")</f>
        <v>Apply</v>
      </c>
      <c r="C2198" s="10" t="s">
        <v>14876</v>
      </c>
      <c r="D2198" s="56" t="s">
        <v>14380</v>
      </c>
      <c r="E2198" s="59">
        <v>45301.0</v>
      </c>
      <c r="F2198" s="10" t="s">
        <v>14381</v>
      </c>
      <c r="G2198" s="10" t="s">
        <v>12654</v>
      </c>
      <c r="H2198" s="10" t="s">
        <v>958</v>
      </c>
      <c r="I2198" s="10" t="s">
        <v>55</v>
      </c>
      <c r="J2198" s="10" t="s">
        <v>13437</v>
      </c>
      <c r="K2198" s="10" t="s">
        <v>14877</v>
      </c>
      <c r="L2198" s="10" t="s">
        <v>42</v>
      </c>
    </row>
    <row r="2199" ht="15.75" customHeight="1">
      <c r="A2199" s="64">
        <v>45470.0</v>
      </c>
      <c r="B2199" s="55" t="str">
        <f>HYPERLINK("https://jobright.ai/jobs/info/667dd80f8d93809a9317aed0?utm_campaign=1065&amp;utm_source=sheet", "Apply")</f>
        <v>Apply</v>
      </c>
      <c r="C2199" s="10" t="s">
        <v>14876</v>
      </c>
      <c r="D2199" s="56" t="s">
        <v>14380</v>
      </c>
      <c r="E2199" s="59">
        <v>45301.0</v>
      </c>
      <c r="F2199" s="10" t="s">
        <v>14381</v>
      </c>
      <c r="G2199" s="10" t="s">
        <v>12654</v>
      </c>
      <c r="H2199" s="10" t="s">
        <v>821</v>
      </c>
      <c r="I2199" s="10" t="s">
        <v>55</v>
      </c>
      <c r="J2199" s="10" t="s">
        <v>13437</v>
      </c>
      <c r="K2199" s="10" t="s">
        <v>14877</v>
      </c>
      <c r="L2199" s="10" t="s">
        <v>42</v>
      </c>
    </row>
    <row r="2200" ht="15.75" customHeight="1">
      <c r="A2200" s="64">
        <v>45470.0</v>
      </c>
      <c r="B2200" s="55" t="str">
        <f>HYPERLINK("https://jobright.ai/jobs/info/667dd80f8d93809a9317aed3?utm_campaign=1065&amp;utm_source=sheet", "Apply")</f>
        <v>Apply</v>
      </c>
      <c r="C2200" s="10" t="s">
        <v>14876</v>
      </c>
      <c r="D2200" s="56" t="s">
        <v>14380</v>
      </c>
      <c r="E2200" s="59">
        <v>45301.0</v>
      </c>
      <c r="F2200" s="10" t="s">
        <v>14381</v>
      </c>
      <c r="G2200" s="10" t="s">
        <v>12654</v>
      </c>
      <c r="H2200" s="10" t="s">
        <v>764</v>
      </c>
      <c r="I2200" s="10" t="s">
        <v>55</v>
      </c>
      <c r="J2200" s="10" t="s">
        <v>13437</v>
      </c>
      <c r="K2200" s="10" t="s">
        <v>14877</v>
      </c>
      <c r="L2200" s="10" t="s">
        <v>42</v>
      </c>
    </row>
    <row r="2201" ht="15.75" customHeight="1">
      <c r="A2201" s="64">
        <v>45470.0</v>
      </c>
      <c r="B2201" s="55" t="str">
        <f>HYPERLINK("https://jobright.ai/jobs/info/667dd80f8d93809a9317aed1?utm_campaign=1065&amp;utm_source=sheet", "Apply")</f>
        <v>Apply</v>
      </c>
      <c r="C2201" s="10" t="s">
        <v>14876</v>
      </c>
      <c r="D2201" s="56" t="s">
        <v>14380</v>
      </c>
      <c r="E2201" s="59">
        <v>45301.0</v>
      </c>
      <c r="F2201" s="10" t="s">
        <v>14381</v>
      </c>
      <c r="G2201" s="10" t="s">
        <v>12654</v>
      </c>
      <c r="H2201" s="10" t="s">
        <v>887</v>
      </c>
      <c r="I2201" s="10" t="s">
        <v>55</v>
      </c>
      <c r="J2201" s="10" t="s">
        <v>13437</v>
      </c>
      <c r="K2201" s="10" t="s">
        <v>14877</v>
      </c>
      <c r="L2201" s="10" t="s">
        <v>42</v>
      </c>
    </row>
    <row r="2202" ht="15.75" customHeight="1">
      <c r="A2202" s="64">
        <v>45470.0</v>
      </c>
      <c r="B2202" s="55" t="str">
        <f>HYPERLINK("https://jobright.ai/jobs/info/667dd80f8d93809a9317aec7?utm_campaign=1065&amp;utm_source=sheet", "Apply")</f>
        <v>Apply</v>
      </c>
      <c r="C2202" s="10" t="s">
        <v>14876</v>
      </c>
      <c r="D2202" s="56" t="s">
        <v>14380</v>
      </c>
      <c r="E2202" s="59">
        <v>45301.0</v>
      </c>
      <c r="F2202" s="10" t="s">
        <v>14381</v>
      </c>
      <c r="G2202" s="10" t="s">
        <v>12654</v>
      </c>
      <c r="H2202" s="10" t="s">
        <v>854</v>
      </c>
      <c r="I2202" s="10" t="s">
        <v>55</v>
      </c>
      <c r="J2202" s="10" t="s">
        <v>13437</v>
      </c>
      <c r="K2202" s="10" t="s">
        <v>14877</v>
      </c>
      <c r="L2202" s="10" t="s">
        <v>42</v>
      </c>
    </row>
    <row r="2203" ht="15.75" customHeight="1">
      <c r="A2203" s="64">
        <v>45470.0</v>
      </c>
      <c r="B2203" s="55" t="str">
        <f>HYPERLINK("https://jobright.ai/jobs/info/667dd80f8d93809a9317aecd?utm_campaign=1065&amp;utm_source=sheet", "Apply")</f>
        <v>Apply</v>
      </c>
      <c r="C2203" s="10" t="s">
        <v>14876</v>
      </c>
      <c r="D2203" s="56" t="s">
        <v>14380</v>
      </c>
      <c r="E2203" s="59">
        <v>45301.0</v>
      </c>
      <c r="F2203" s="10" t="s">
        <v>14381</v>
      </c>
      <c r="G2203" s="10" t="s">
        <v>12654</v>
      </c>
      <c r="H2203" s="10" t="s">
        <v>621</v>
      </c>
      <c r="I2203" s="10" t="s">
        <v>55</v>
      </c>
      <c r="J2203" s="10" t="s">
        <v>13437</v>
      </c>
      <c r="K2203" s="10" t="s">
        <v>14877</v>
      </c>
      <c r="L2203" s="10" t="s">
        <v>42</v>
      </c>
    </row>
    <row r="2204" ht="15.75" customHeight="1">
      <c r="A2204" s="64">
        <v>45470.0</v>
      </c>
      <c r="B2204" s="55" t="str">
        <f>HYPERLINK("https://jobright.ai/jobs/info/667dd80f8d93809a9317aec8?utm_campaign=1065&amp;utm_source=sheet", "Apply")</f>
        <v>Apply</v>
      </c>
      <c r="C2204" s="10" t="s">
        <v>14876</v>
      </c>
      <c r="D2204" s="56" t="s">
        <v>14380</v>
      </c>
      <c r="E2204" s="59">
        <v>45301.0</v>
      </c>
      <c r="F2204" s="10" t="s">
        <v>14381</v>
      </c>
      <c r="G2204" s="10" t="s">
        <v>12654</v>
      </c>
      <c r="H2204" s="10" t="s">
        <v>1049</v>
      </c>
      <c r="I2204" s="10" t="s">
        <v>55</v>
      </c>
      <c r="J2204" s="10" t="s">
        <v>13437</v>
      </c>
      <c r="K2204" s="10" t="s">
        <v>14877</v>
      </c>
      <c r="L2204" s="10" t="s">
        <v>42</v>
      </c>
    </row>
    <row r="2205" ht="15.75" customHeight="1">
      <c r="A2205" s="64">
        <v>45470.0</v>
      </c>
      <c r="B2205" s="55" t="str">
        <f>HYPERLINK("https://jobright.ai/jobs/info/667dd80f8d93809a9317aec1?utm_campaign=1065&amp;utm_source=sheet", "Apply")</f>
        <v>Apply</v>
      </c>
      <c r="C2205" s="10" t="s">
        <v>14876</v>
      </c>
      <c r="D2205" s="56" t="s">
        <v>14380</v>
      </c>
      <c r="E2205" s="59">
        <v>45301.0</v>
      </c>
      <c r="F2205" s="10" t="s">
        <v>14381</v>
      </c>
      <c r="G2205" s="10" t="s">
        <v>12654</v>
      </c>
      <c r="H2205" s="10" t="s">
        <v>847</v>
      </c>
      <c r="I2205" s="10" t="s">
        <v>55</v>
      </c>
      <c r="J2205" s="10" t="s">
        <v>13437</v>
      </c>
      <c r="K2205" s="10" t="s">
        <v>14877</v>
      </c>
      <c r="L2205" s="10" t="s">
        <v>42</v>
      </c>
    </row>
    <row r="2206" ht="15.75" customHeight="1">
      <c r="A2206" s="64">
        <v>45470.0</v>
      </c>
      <c r="B2206" s="55" t="str">
        <f>HYPERLINK("https://jobright.ai/jobs/info/667dd80f8d93809a9317aec5?utm_campaign=1065&amp;utm_source=sheet", "Apply")</f>
        <v>Apply</v>
      </c>
      <c r="C2206" s="10" t="s">
        <v>14876</v>
      </c>
      <c r="D2206" s="56" t="s">
        <v>14380</v>
      </c>
      <c r="E2206" s="59">
        <v>45301.0</v>
      </c>
      <c r="F2206" s="10" t="s">
        <v>14381</v>
      </c>
      <c r="G2206" s="10" t="s">
        <v>12654</v>
      </c>
      <c r="H2206" s="10" t="s">
        <v>1024</v>
      </c>
      <c r="I2206" s="10" t="s">
        <v>55</v>
      </c>
      <c r="J2206" s="10" t="s">
        <v>13437</v>
      </c>
      <c r="K2206" s="10" t="s">
        <v>14877</v>
      </c>
      <c r="L2206" s="10" t="s">
        <v>42</v>
      </c>
    </row>
    <row r="2207" ht="15.75" customHeight="1">
      <c r="A2207" s="64">
        <v>45470.0</v>
      </c>
      <c r="B2207" s="55" t="str">
        <f>HYPERLINK("https://jobright.ai/jobs/info/667dd80f8d93809a9317aec3?utm_campaign=1065&amp;utm_source=sheet", "Apply")</f>
        <v>Apply</v>
      </c>
      <c r="C2207" s="10" t="s">
        <v>14876</v>
      </c>
      <c r="D2207" s="56" t="s">
        <v>14380</v>
      </c>
      <c r="E2207" s="59">
        <v>45301.0</v>
      </c>
      <c r="F2207" s="10" t="s">
        <v>14381</v>
      </c>
      <c r="G2207" s="10" t="s">
        <v>12654</v>
      </c>
      <c r="H2207" s="10" t="s">
        <v>760</v>
      </c>
      <c r="I2207" s="10" t="s">
        <v>55</v>
      </c>
      <c r="J2207" s="10" t="s">
        <v>13437</v>
      </c>
      <c r="K2207" s="10" t="s">
        <v>14877</v>
      </c>
      <c r="L2207" s="10" t="s">
        <v>42</v>
      </c>
    </row>
    <row r="2208" ht="15.75" customHeight="1">
      <c r="A2208" s="64">
        <v>45470.0</v>
      </c>
      <c r="B2208" s="55" t="str">
        <f>HYPERLINK("https://jobright.ai/jobs/info/667dd80f8d93809a9317aed9?utm_campaign=1065&amp;utm_source=sheet", "Apply")</f>
        <v>Apply</v>
      </c>
      <c r="C2208" s="10" t="s">
        <v>14876</v>
      </c>
      <c r="D2208" s="56" t="s">
        <v>14380</v>
      </c>
      <c r="E2208" s="59">
        <v>45301.0</v>
      </c>
      <c r="F2208" s="10" t="s">
        <v>14381</v>
      </c>
      <c r="G2208" s="10" t="s">
        <v>12654</v>
      </c>
      <c r="H2208" s="10" t="s">
        <v>953</v>
      </c>
      <c r="I2208" s="10" t="s">
        <v>55</v>
      </c>
      <c r="J2208" s="10" t="s">
        <v>13437</v>
      </c>
      <c r="K2208" s="10" t="s">
        <v>14877</v>
      </c>
      <c r="L2208" s="10" t="s">
        <v>42</v>
      </c>
    </row>
    <row r="2209" ht="15.75" customHeight="1">
      <c r="A2209" s="64">
        <v>45470.0</v>
      </c>
      <c r="B2209" s="55" t="str">
        <f>HYPERLINK("https://jobright.ai/jobs/info/667dd80f8d93809a9317aed8?utm_campaign=1065&amp;utm_source=sheet", "Apply")</f>
        <v>Apply</v>
      </c>
      <c r="C2209" s="10" t="s">
        <v>14876</v>
      </c>
      <c r="D2209" s="56" t="s">
        <v>14380</v>
      </c>
      <c r="E2209" s="59">
        <v>45301.0</v>
      </c>
      <c r="F2209" s="10" t="s">
        <v>14381</v>
      </c>
      <c r="G2209" s="10" t="s">
        <v>12654</v>
      </c>
      <c r="H2209" s="10" t="s">
        <v>884</v>
      </c>
      <c r="I2209" s="10" t="s">
        <v>55</v>
      </c>
      <c r="J2209" s="10" t="s">
        <v>13437</v>
      </c>
      <c r="K2209" s="10" t="s">
        <v>14877</v>
      </c>
      <c r="L2209" s="10" t="s">
        <v>42</v>
      </c>
    </row>
    <row r="2210" ht="15.75" customHeight="1">
      <c r="A2210" s="64">
        <v>45470.0</v>
      </c>
      <c r="B2210" s="55" t="str">
        <f>HYPERLINK("https://jobright.ai/jobs/info/667dd80f8d93809a9317aed5?utm_campaign=1065&amp;utm_source=sheet", "Apply")</f>
        <v>Apply</v>
      </c>
      <c r="C2210" s="10" t="s">
        <v>14876</v>
      </c>
      <c r="D2210" s="56" t="s">
        <v>14380</v>
      </c>
      <c r="E2210" s="59">
        <v>45301.0</v>
      </c>
      <c r="F2210" s="10" t="s">
        <v>14381</v>
      </c>
      <c r="G2210" s="10" t="s">
        <v>12654</v>
      </c>
      <c r="H2210" s="10" t="s">
        <v>188</v>
      </c>
      <c r="I2210" s="10" t="s">
        <v>55</v>
      </c>
      <c r="J2210" s="10" t="s">
        <v>13437</v>
      </c>
      <c r="K2210" s="10" t="s">
        <v>14877</v>
      </c>
      <c r="L2210" s="10" t="s">
        <v>42</v>
      </c>
    </row>
    <row r="2211" ht="15.75" customHeight="1">
      <c r="A2211" s="64">
        <v>45470.0</v>
      </c>
      <c r="B2211" s="55" t="str">
        <f>HYPERLINK("https://jobright.ai/jobs/info/667dd80f8d93809a9317aed4?utm_campaign=1065&amp;utm_source=sheet", "Apply")</f>
        <v>Apply</v>
      </c>
      <c r="C2211" s="10" t="s">
        <v>14876</v>
      </c>
      <c r="D2211" s="56" t="s">
        <v>14380</v>
      </c>
      <c r="E2211" s="59">
        <v>45301.0</v>
      </c>
      <c r="F2211" s="10" t="s">
        <v>14381</v>
      </c>
      <c r="G2211" s="10" t="s">
        <v>12654</v>
      </c>
      <c r="H2211" s="10" t="s">
        <v>989</v>
      </c>
      <c r="I2211" s="10" t="s">
        <v>55</v>
      </c>
      <c r="J2211" s="10" t="s">
        <v>13437</v>
      </c>
      <c r="K2211" s="10" t="s">
        <v>14877</v>
      </c>
      <c r="L2211" s="10" t="s">
        <v>42</v>
      </c>
    </row>
    <row r="2212" ht="15.75" customHeight="1">
      <c r="A2212" s="64">
        <v>45470.0</v>
      </c>
      <c r="B2212" s="55" t="str">
        <f>HYPERLINK("https://jobright.ai/jobs/info/667dd80f8d93809a9317aed6?utm_campaign=1065&amp;utm_source=sheet", "Apply")</f>
        <v>Apply</v>
      </c>
      <c r="C2212" s="10" t="s">
        <v>14876</v>
      </c>
      <c r="D2212" s="56" t="s">
        <v>14380</v>
      </c>
      <c r="E2212" s="59">
        <v>45301.0</v>
      </c>
      <c r="F2212" s="10" t="s">
        <v>14381</v>
      </c>
      <c r="G2212" s="10" t="s">
        <v>12654</v>
      </c>
      <c r="H2212" s="10" t="s">
        <v>106</v>
      </c>
      <c r="I2212" s="10" t="s">
        <v>55</v>
      </c>
      <c r="J2212" s="10" t="s">
        <v>13437</v>
      </c>
      <c r="K2212" s="10" t="s">
        <v>14877</v>
      </c>
      <c r="L2212" s="10" t="s">
        <v>42</v>
      </c>
    </row>
    <row r="2213" ht="15.75" customHeight="1">
      <c r="A2213" s="64">
        <v>45470.0</v>
      </c>
      <c r="B2213" s="55" t="str">
        <f>HYPERLINK("https://jobright.ai/jobs/info/667dd80f8d93809a9317aeda?utm_campaign=1065&amp;utm_source=sheet", "Apply")</f>
        <v>Apply</v>
      </c>
      <c r="C2213" s="10" t="s">
        <v>14876</v>
      </c>
      <c r="D2213" s="56" t="s">
        <v>14380</v>
      </c>
      <c r="E2213" s="59">
        <v>45301.0</v>
      </c>
      <c r="F2213" s="10" t="s">
        <v>14381</v>
      </c>
      <c r="G2213" s="10" t="s">
        <v>12654</v>
      </c>
      <c r="H2213" s="10" t="s">
        <v>354</v>
      </c>
      <c r="I2213" s="10" t="s">
        <v>55</v>
      </c>
      <c r="J2213" s="10" t="s">
        <v>13437</v>
      </c>
      <c r="K2213" s="10" t="s">
        <v>14877</v>
      </c>
      <c r="L2213" s="10" t="s">
        <v>42</v>
      </c>
    </row>
    <row r="2214" ht="15.75" customHeight="1">
      <c r="A2214" s="64">
        <v>45470.0</v>
      </c>
      <c r="B2214" s="55" t="str">
        <f>HYPERLINK("https://jobright.ai/jobs/info/667dc9cf4ad514cf71dc1302?utm_campaign=1065&amp;utm_source=sheet", "Apply")</f>
        <v>Apply</v>
      </c>
      <c r="C2214" s="10" t="s">
        <v>14876</v>
      </c>
      <c r="D2214" s="56" t="s">
        <v>14380</v>
      </c>
      <c r="E2214" s="59">
        <v>45301.0</v>
      </c>
      <c r="F2214" s="10" t="s">
        <v>14381</v>
      </c>
      <c r="G2214" s="10" t="s">
        <v>12654</v>
      </c>
      <c r="H2214" s="10" t="s">
        <v>871</v>
      </c>
      <c r="I2214" s="10" t="s">
        <v>55</v>
      </c>
      <c r="J2214" s="10" t="s">
        <v>13437</v>
      </c>
      <c r="K2214" s="10" t="s">
        <v>14877</v>
      </c>
      <c r="L2214" s="10" t="s">
        <v>42</v>
      </c>
    </row>
    <row r="2215" ht="15.75" customHeight="1">
      <c r="A2215" s="64">
        <v>45470.0</v>
      </c>
      <c r="B2215" s="55" t="str">
        <f>HYPERLINK("https://jobright.ai/jobs/info/667dc9d84ad514cf71dc130f?utm_campaign=1065&amp;utm_source=sheet", "Apply")</f>
        <v>Apply</v>
      </c>
      <c r="C2215" s="10" t="s">
        <v>14876</v>
      </c>
      <c r="D2215" s="56" t="s">
        <v>14380</v>
      </c>
      <c r="E2215" s="59">
        <v>45301.0</v>
      </c>
      <c r="F2215" s="10" t="s">
        <v>14381</v>
      </c>
      <c r="G2215" s="10" t="s">
        <v>12654</v>
      </c>
      <c r="H2215" s="10" t="s">
        <v>956</v>
      </c>
      <c r="I2215" s="10" t="s">
        <v>55</v>
      </c>
      <c r="J2215" s="10" t="s">
        <v>13437</v>
      </c>
      <c r="K2215" s="10" t="s">
        <v>14877</v>
      </c>
      <c r="L2215" s="10" t="s">
        <v>42</v>
      </c>
    </row>
    <row r="2216" ht="15.75" customHeight="1">
      <c r="A2216" s="64">
        <v>45470.0</v>
      </c>
      <c r="B2216" s="55" t="str">
        <f>HYPERLINK("https://jobright.ai/jobs/info/667dc9d84ad514cf71dc1312?utm_campaign=1065&amp;utm_source=sheet", "Apply")</f>
        <v>Apply</v>
      </c>
      <c r="C2216" s="10" t="s">
        <v>14876</v>
      </c>
      <c r="D2216" s="56" t="s">
        <v>14380</v>
      </c>
      <c r="E2216" s="59">
        <v>45301.0</v>
      </c>
      <c r="F2216" s="10" t="s">
        <v>14381</v>
      </c>
      <c r="G2216" s="10" t="s">
        <v>12654</v>
      </c>
      <c r="H2216" s="10" t="s">
        <v>911</v>
      </c>
      <c r="I2216" s="10" t="s">
        <v>55</v>
      </c>
      <c r="J2216" s="10" t="s">
        <v>13437</v>
      </c>
      <c r="K2216" s="10" t="s">
        <v>14877</v>
      </c>
      <c r="L2216" s="10" t="s">
        <v>42</v>
      </c>
    </row>
    <row r="2217" ht="15.75" customHeight="1">
      <c r="A2217" s="64">
        <v>45470.0</v>
      </c>
      <c r="B2217" s="55" t="str">
        <f>HYPERLINK("https://jobright.ai/jobs/info/667dc9cf4ad514cf71dc1304?utm_campaign=1065&amp;utm_source=sheet", "Apply")</f>
        <v>Apply</v>
      </c>
      <c r="C2217" s="10" t="s">
        <v>14876</v>
      </c>
      <c r="D2217" s="56" t="s">
        <v>14380</v>
      </c>
      <c r="E2217" s="59">
        <v>45301.0</v>
      </c>
      <c r="F2217" s="10" t="s">
        <v>14381</v>
      </c>
      <c r="G2217" s="10" t="s">
        <v>12654</v>
      </c>
      <c r="H2217" s="10" t="s">
        <v>885</v>
      </c>
      <c r="I2217" s="10" t="s">
        <v>55</v>
      </c>
      <c r="J2217" s="10" t="s">
        <v>13437</v>
      </c>
      <c r="K2217" s="10" t="s">
        <v>14877</v>
      </c>
      <c r="L2217" s="10" t="s">
        <v>42</v>
      </c>
    </row>
    <row r="2218" ht="15.75" customHeight="1">
      <c r="A2218" s="64">
        <v>45470.0</v>
      </c>
      <c r="B2218" s="55" t="str">
        <f>HYPERLINK("https://jobright.ai/jobs/info/667dc9d84ad514cf71dc1307?utm_campaign=1065&amp;utm_source=sheet", "Apply")</f>
        <v>Apply</v>
      </c>
      <c r="C2218" s="10" t="s">
        <v>14876</v>
      </c>
      <c r="D2218" s="56" t="s">
        <v>14380</v>
      </c>
      <c r="E2218" s="59">
        <v>45301.0</v>
      </c>
      <c r="F2218" s="10" t="s">
        <v>14381</v>
      </c>
      <c r="G2218" s="10" t="s">
        <v>12654</v>
      </c>
      <c r="H2218" s="10" t="s">
        <v>950</v>
      </c>
      <c r="I2218" s="10" t="s">
        <v>55</v>
      </c>
      <c r="J2218" s="10" t="s">
        <v>13437</v>
      </c>
      <c r="K2218" s="10" t="s">
        <v>14877</v>
      </c>
      <c r="L2218" s="10" t="s">
        <v>42</v>
      </c>
    </row>
    <row r="2219" ht="15.75" customHeight="1">
      <c r="A2219" s="64">
        <v>45470.0</v>
      </c>
      <c r="B2219" s="55" t="str">
        <f>HYPERLINK("https://jobright.ai/jobs/info/667dc9d84ad514cf71dc130e?utm_campaign=1065&amp;utm_source=sheet", "Apply")</f>
        <v>Apply</v>
      </c>
      <c r="C2219" s="10" t="s">
        <v>14876</v>
      </c>
      <c r="D2219" s="56" t="s">
        <v>14380</v>
      </c>
      <c r="E2219" s="59">
        <v>45301.0</v>
      </c>
      <c r="F2219" s="10" t="s">
        <v>14381</v>
      </c>
      <c r="G2219" s="10" t="s">
        <v>12654</v>
      </c>
      <c r="H2219" s="10" t="s">
        <v>113</v>
      </c>
      <c r="I2219" s="10" t="s">
        <v>55</v>
      </c>
      <c r="J2219" s="10" t="s">
        <v>13437</v>
      </c>
      <c r="K2219" s="10" t="s">
        <v>14877</v>
      </c>
      <c r="L2219" s="10" t="s">
        <v>42</v>
      </c>
    </row>
    <row r="2220" ht="15.75" customHeight="1">
      <c r="A2220" s="64">
        <v>45470.0</v>
      </c>
      <c r="B2220" s="55" t="str">
        <f>HYPERLINK("https://jobright.ai/jobs/info/667dc9d84ad514cf71dc1306?utm_campaign=1065&amp;utm_source=sheet", "Apply")</f>
        <v>Apply</v>
      </c>
      <c r="C2220" s="10" t="s">
        <v>14876</v>
      </c>
      <c r="D2220" s="56" t="s">
        <v>14380</v>
      </c>
      <c r="E2220" s="59">
        <v>45301.0</v>
      </c>
      <c r="F2220" s="10" t="s">
        <v>14381</v>
      </c>
      <c r="G2220" s="10" t="s">
        <v>12654</v>
      </c>
      <c r="H2220" s="10" t="s">
        <v>838</v>
      </c>
      <c r="I2220" s="10" t="s">
        <v>55</v>
      </c>
      <c r="J2220" s="10" t="s">
        <v>13437</v>
      </c>
      <c r="K2220" s="10" t="s">
        <v>14877</v>
      </c>
      <c r="L2220" s="10" t="s">
        <v>42</v>
      </c>
    </row>
    <row r="2221" ht="15.75" customHeight="1">
      <c r="A2221" s="64">
        <v>45470.0</v>
      </c>
      <c r="B2221" s="55" t="str">
        <f>HYPERLINK("https://jobright.ai/jobs/info/667dc9d84ad514cf71dc130b?utm_campaign=1065&amp;utm_source=sheet", "Apply")</f>
        <v>Apply</v>
      </c>
      <c r="C2221" s="10" t="s">
        <v>14876</v>
      </c>
      <c r="D2221" s="56" t="s">
        <v>14380</v>
      </c>
      <c r="E2221" s="59">
        <v>45301.0</v>
      </c>
      <c r="F2221" s="10" t="s">
        <v>14381</v>
      </c>
      <c r="G2221" s="10" t="s">
        <v>12654</v>
      </c>
      <c r="H2221" s="10" t="s">
        <v>883</v>
      </c>
      <c r="I2221" s="10" t="s">
        <v>55</v>
      </c>
      <c r="J2221" s="10" t="s">
        <v>13437</v>
      </c>
      <c r="K2221" s="10" t="s">
        <v>14877</v>
      </c>
      <c r="L2221" s="10" t="s">
        <v>42</v>
      </c>
    </row>
    <row r="2222" ht="15.75" customHeight="1">
      <c r="A2222" s="64">
        <v>45470.0</v>
      </c>
      <c r="B2222" s="55" t="str">
        <f>HYPERLINK("https://jobright.ai/jobs/info/667dc9d84ad514cf71dc130c?utm_campaign=1065&amp;utm_source=sheet", "Apply")</f>
        <v>Apply</v>
      </c>
      <c r="C2222" s="10" t="s">
        <v>14876</v>
      </c>
      <c r="D2222" s="56" t="s">
        <v>14380</v>
      </c>
      <c r="E2222" s="59">
        <v>45301.0</v>
      </c>
      <c r="F2222" s="10" t="s">
        <v>14381</v>
      </c>
      <c r="G2222" s="10" t="s">
        <v>12654</v>
      </c>
      <c r="H2222" s="10" t="s">
        <v>910</v>
      </c>
      <c r="I2222" s="10" t="s">
        <v>55</v>
      </c>
      <c r="J2222" s="10" t="s">
        <v>13437</v>
      </c>
      <c r="K2222" s="10" t="s">
        <v>14877</v>
      </c>
      <c r="L2222" s="10" t="s">
        <v>42</v>
      </c>
    </row>
    <row r="2223" ht="15.75" customHeight="1">
      <c r="A2223" s="64">
        <v>45470.0</v>
      </c>
      <c r="B2223" s="55" t="str">
        <f>HYPERLINK("https://jobright.ai/jobs/info/667dc9d84ad514cf71dc1310?utm_campaign=1065&amp;utm_source=sheet", "Apply")</f>
        <v>Apply</v>
      </c>
      <c r="C2223" s="10" t="s">
        <v>14876</v>
      </c>
      <c r="D2223" s="56" t="s">
        <v>14380</v>
      </c>
      <c r="E2223" s="59">
        <v>45301.0</v>
      </c>
      <c r="F2223" s="10" t="s">
        <v>14381</v>
      </c>
      <c r="G2223" s="10" t="s">
        <v>12654</v>
      </c>
      <c r="H2223" s="10" t="s">
        <v>1052</v>
      </c>
      <c r="I2223" s="10" t="s">
        <v>55</v>
      </c>
      <c r="J2223" s="10" t="s">
        <v>13437</v>
      </c>
      <c r="K2223" s="10" t="s">
        <v>14877</v>
      </c>
      <c r="L2223" s="10" t="s">
        <v>42</v>
      </c>
    </row>
    <row r="2224" ht="15.75" customHeight="1">
      <c r="A2224" s="64">
        <v>45470.0</v>
      </c>
      <c r="B2224" s="55" t="str">
        <f>HYPERLINK("https://jobright.ai/jobs/info/667dc9d84ad514cf71dc130d?utm_campaign=1065&amp;utm_source=sheet", "Apply")</f>
        <v>Apply</v>
      </c>
      <c r="C2224" s="10" t="s">
        <v>14876</v>
      </c>
      <c r="D2224" s="56" t="s">
        <v>14380</v>
      </c>
      <c r="E2224" s="59">
        <v>45301.0</v>
      </c>
      <c r="F2224" s="10" t="s">
        <v>14381</v>
      </c>
      <c r="G2224" s="10" t="s">
        <v>12654</v>
      </c>
      <c r="H2224" s="10" t="s">
        <v>888</v>
      </c>
      <c r="I2224" s="10" t="s">
        <v>55</v>
      </c>
      <c r="J2224" s="10" t="s">
        <v>13437</v>
      </c>
      <c r="K2224" s="10" t="s">
        <v>14877</v>
      </c>
      <c r="L2224" s="10" t="s">
        <v>42</v>
      </c>
    </row>
    <row r="2225" ht="15.75" customHeight="1">
      <c r="A2225" s="64">
        <v>45470.0</v>
      </c>
      <c r="B2225" s="55" t="str">
        <f>HYPERLINK("https://jobright.ai/jobs/info/667dc9d84ad514cf71dc1308?utm_campaign=1065&amp;utm_source=sheet", "Apply")</f>
        <v>Apply</v>
      </c>
      <c r="C2225" s="10" t="s">
        <v>14876</v>
      </c>
      <c r="D2225" s="56" t="s">
        <v>14380</v>
      </c>
      <c r="E2225" s="59">
        <v>45301.0</v>
      </c>
      <c r="F2225" s="10" t="s">
        <v>14381</v>
      </c>
      <c r="G2225" s="10" t="s">
        <v>12654</v>
      </c>
      <c r="H2225" s="10" t="s">
        <v>981</v>
      </c>
      <c r="I2225" s="10" t="s">
        <v>55</v>
      </c>
      <c r="J2225" s="10" t="s">
        <v>13437</v>
      </c>
      <c r="K2225" s="10" t="s">
        <v>14877</v>
      </c>
      <c r="L2225" s="10" t="s">
        <v>42</v>
      </c>
    </row>
    <row r="2226" ht="15.75" customHeight="1">
      <c r="A2226" s="64">
        <v>45470.0</v>
      </c>
      <c r="B2226" s="55" t="str">
        <f>HYPERLINK("https://jobright.ai/jobs/info/667dc9d84ad514cf71dc1311?utm_campaign=1065&amp;utm_source=sheet", "Apply")</f>
        <v>Apply</v>
      </c>
      <c r="C2226" s="10" t="s">
        <v>14876</v>
      </c>
      <c r="D2226" s="56" t="s">
        <v>14380</v>
      </c>
      <c r="E2226" s="59">
        <v>45301.0</v>
      </c>
      <c r="F2226" s="10" t="s">
        <v>14381</v>
      </c>
      <c r="G2226" s="10" t="s">
        <v>12654</v>
      </c>
      <c r="H2226" s="10" t="s">
        <v>708</v>
      </c>
      <c r="I2226" s="10" t="s">
        <v>55</v>
      </c>
      <c r="J2226" s="10" t="s">
        <v>13437</v>
      </c>
      <c r="K2226" s="10" t="s">
        <v>14877</v>
      </c>
      <c r="L2226" s="10" t="s">
        <v>42</v>
      </c>
    </row>
    <row r="2227" ht="15.75" customHeight="1">
      <c r="A2227" s="64">
        <v>45470.0</v>
      </c>
      <c r="B2227" s="55" t="str">
        <f>HYPERLINK("https://jobright.ai/jobs/info/667dc9d84ad514cf71dc1305?utm_campaign=1065&amp;utm_source=sheet", "Apply")</f>
        <v>Apply</v>
      </c>
      <c r="C2227" s="10" t="s">
        <v>14876</v>
      </c>
      <c r="D2227" s="56" t="s">
        <v>14380</v>
      </c>
      <c r="E2227" s="59">
        <v>45301.0</v>
      </c>
      <c r="F2227" s="10" t="s">
        <v>14381</v>
      </c>
      <c r="G2227" s="10" t="s">
        <v>12654</v>
      </c>
      <c r="H2227" s="10" t="s">
        <v>895</v>
      </c>
      <c r="I2227" s="10" t="s">
        <v>55</v>
      </c>
      <c r="J2227" s="10" t="s">
        <v>13437</v>
      </c>
      <c r="K2227" s="10" t="s">
        <v>14877</v>
      </c>
      <c r="L2227" s="10" t="s">
        <v>42</v>
      </c>
    </row>
    <row r="2228" ht="15.75" customHeight="1">
      <c r="A2228" s="64">
        <v>45470.0</v>
      </c>
      <c r="B2228" s="55" t="str">
        <f>HYPERLINK("https://jobright.ai/jobs/info/667dc9d84ad514cf71dc1309?utm_campaign=1065&amp;utm_source=sheet", "Apply")</f>
        <v>Apply</v>
      </c>
      <c r="C2228" s="10" t="s">
        <v>14876</v>
      </c>
      <c r="D2228" s="56" t="s">
        <v>14380</v>
      </c>
      <c r="E2228" s="59">
        <v>45301.0</v>
      </c>
      <c r="F2228" s="10" t="s">
        <v>14381</v>
      </c>
      <c r="G2228" s="10" t="s">
        <v>12654</v>
      </c>
      <c r="H2228" s="10" t="s">
        <v>920</v>
      </c>
      <c r="I2228" s="10" t="s">
        <v>55</v>
      </c>
      <c r="J2228" s="10" t="s">
        <v>13437</v>
      </c>
      <c r="K2228" s="10" t="s">
        <v>14877</v>
      </c>
      <c r="L2228" s="10" t="s">
        <v>42</v>
      </c>
    </row>
    <row r="2229" ht="15.75" customHeight="1">
      <c r="A2229" s="64">
        <v>45470.0</v>
      </c>
      <c r="B2229" s="55" t="str">
        <f>HYPERLINK("https://jobright.ai/jobs/info/667dc9d84ad514cf71dc130a?utm_campaign=1065&amp;utm_source=sheet", "Apply")</f>
        <v>Apply</v>
      </c>
      <c r="C2229" s="10" t="s">
        <v>14876</v>
      </c>
      <c r="D2229" s="56" t="s">
        <v>14380</v>
      </c>
      <c r="E2229" s="59">
        <v>45301.0</v>
      </c>
      <c r="F2229" s="10" t="s">
        <v>14381</v>
      </c>
      <c r="G2229" s="10" t="s">
        <v>12654</v>
      </c>
      <c r="H2229" s="10" t="s">
        <v>1023</v>
      </c>
      <c r="I2229" s="10" t="s">
        <v>55</v>
      </c>
      <c r="J2229" s="10" t="s">
        <v>13437</v>
      </c>
      <c r="K2229" s="10" t="s">
        <v>14877</v>
      </c>
      <c r="L2229" s="10" t="s">
        <v>42</v>
      </c>
    </row>
    <row r="2230" ht="15.75" customHeight="1">
      <c r="A2230" s="64">
        <v>45470.0</v>
      </c>
      <c r="B2230" s="55" t="str">
        <f>HYPERLINK("https://jobright.ai/jobs/info/667dc9cf4ad514cf71dc1303?utm_campaign=1065&amp;utm_source=sheet", "Apply")</f>
        <v>Apply</v>
      </c>
      <c r="C2230" s="10" t="s">
        <v>14876</v>
      </c>
      <c r="D2230" s="56" t="s">
        <v>14380</v>
      </c>
      <c r="E2230" s="59">
        <v>45301.0</v>
      </c>
      <c r="F2230" s="10" t="s">
        <v>14381</v>
      </c>
      <c r="G2230" s="10" t="s">
        <v>12654</v>
      </c>
      <c r="H2230" s="10" t="s">
        <v>881</v>
      </c>
      <c r="I2230" s="10" t="s">
        <v>55</v>
      </c>
      <c r="J2230" s="10" t="s">
        <v>13437</v>
      </c>
      <c r="K2230" s="10" t="s">
        <v>14877</v>
      </c>
      <c r="L2230" s="10" t="s">
        <v>42</v>
      </c>
    </row>
    <row r="2231" ht="15.75" customHeight="1">
      <c r="A2231" s="64">
        <v>45470.0</v>
      </c>
      <c r="B2231" s="55" t="str">
        <f>HYPERLINK("https://jobright.ai/jobs/info/667dc9d84ad514cf71dc1315?utm_campaign=1065&amp;utm_source=sheet", "Apply")</f>
        <v>Apply</v>
      </c>
      <c r="C2231" s="10" t="s">
        <v>14876</v>
      </c>
      <c r="D2231" s="56" t="s">
        <v>14380</v>
      </c>
      <c r="E2231" s="59">
        <v>45301.0</v>
      </c>
      <c r="F2231" s="10" t="s">
        <v>14381</v>
      </c>
      <c r="G2231" s="10" t="s">
        <v>12654</v>
      </c>
      <c r="H2231" s="10" t="s">
        <v>966</v>
      </c>
      <c r="I2231" s="10" t="s">
        <v>55</v>
      </c>
      <c r="J2231" s="10" t="s">
        <v>13437</v>
      </c>
      <c r="K2231" s="10" t="s">
        <v>14877</v>
      </c>
      <c r="L2231" s="10" t="s">
        <v>42</v>
      </c>
    </row>
    <row r="2232" ht="15.75" customHeight="1">
      <c r="A2232" s="64">
        <v>45470.0</v>
      </c>
      <c r="B2232" s="55" t="str">
        <f>HYPERLINK("https://jobright.ai/jobs/info/667dc9d84ad514cf71dc1313?utm_campaign=1065&amp;utm_source=sheet", "Apply")</f>
        <v>Apply</v>
      </c>
      <c r="C2232" s="10" t="s">
        <v>14876</v>
      </c>
      <c r="D2232" s="56" t="s">
        <v>14380</v>
      </c>
      <c r="E2232" s="59">
        <v>45301.0</v>
      </c>
      <c r="F2232" s="10" t="s">
        <v>14381</v>
      </c>
      <c r="G2232" s="10" t="s">
        <v>12654</v>
      </c>
      <c r="H2232" s="10" t="s">
        <v>996</v>
      </c>
      <c r="I2232" s="10" t="s">
        <v>55</v>
      </c>
      <c r="J2232" s="10" t="s">
        <v>13437</v>
      </c>
      <c r="K2232" s="10" t="s">
        <v>14877</v>
      </c>
      <c r="L2232" s="10" t="s">
        <v>42</v>
      </c>
    </row>
    <row r="2233" ht="15.75" customHeight="1">
      <c r="A2233" s="64">
        <v>45470.0</v>
      </c>
      <c r="B2233" s="55" t="str">
        <f>HYPERLINK("https://jobright.ai/jobs/info/667dc9d84ad514cf71dc131f?utm_campaign=1065&amp;utm_source=sheet", "Apply")</f>
        <v>Apply</v>
      </c>
      <c r="C2233" s="10" t="s">
        <v>14876</v>
      </c>
      <c r="D2233" s="56" t="s">
        <v>14380</v>
      </c>
      <c r="E2233" s="59">
        <v>45301.0</v>
      </c>
      <c r="F2233" s="10" t="s">
        <v>14381</v>
      </c>
      <c r="G2233" s="10" t="s">
        <v>12654</v>
      </c>
      <c r="H2233" s="10" t="s">
        <v>997</v>
      </c>
      <c r="I2233" s="10" t="s">
        <v>55</v>
      </c>
      <c r="J2233" s="10" t="s">
        <v>13437</v>
      </c>
      <c r="K2233" s="10" t="s">
        <v>14877</v>
      </c>
      <c r="L2233" s="10" t="s">
        <v>42</v>
      </c>
    </row>
    <row r="2234" ht="15.75" customHeight="1">
      <c r="A2234" s="64">
        <v>45470.0</v>
      </c>
      <c r="B2234" s="55" t="str">
        <f>HYPERLINK("https://jobright.ai/jobs/info/667dc9d84ad514cf71dc1320?utm_campaign=1065&amp;utm_source=sheet", "Apply")</f>
        <v>Apply</v>
      </c>
      <c r="C2234" s="10" t="s">
        <v>14876</v>
      </c>
      <c r="D2234" s="56" t="s">
        <v>14380</v>
      </c>
      <c r="E2234" s="59">
        <v>45301.0</v>
      </c>
      <c r="F2234" s="10" t="s">
        <v>14381</v>
      </c>
      <c r="G2234" s="10" t="s">
        <v>12654</v>
      </c>
      <c r="H2234" s="10" t="s">
        <v>960</v>
      </c>
      <c r="I2234" s="10" t="s">
        <v>55</v>
      </c>
      <c r="J2234" s="10" t="s">
        <v>13437</v>
      </c>
      <c r="K2234" s="10" t="s">
        <v>14877</v>
      </c>
      <c r="L2234" s="10" t="s">
        <v>42</v>
      </c>
    </row>
    <row r="2235" ht="15.75" customHeight="1">
      <c r="A2235" s="64">
        <v>45470.0</v>
      </c>
      <c r="B2235" s="55" t="str">
        <f>HYPERLINK("https://jobright.ai/jobs/info/667dc9d84ad514cf71dc131b?utm_campaign=1065&amp;utm_source=sheet", "Apply")</f>
        <v>Apply</v>
      </c>
      <c r="C2235" s="10" t="s">
        <v>14876</v>
      </c>
      <c r="D2235" s="56" t="s">
        <v>14380</v>
      </c>
      <c r="E2235" s="59">
        <v>45301.0</v>
      </c>
      <c r="F2235" s="10" t="s">
        <v>14381</v>
      </c>
      <c r="G2235" s="10" t="s">
        <v>12654</v>
      </c>
      <c r="H2235" s="10" t="s">
        <v>1037</v>
      </c>
      <c r="I2235" s="10" t="s">
        <v>55</v>
      </c>
      <c r="J2235" s="10" t="s">
        <v>13437</v>
      </c>
      <c r="K2235" s="10" t="s">
        <v>14877</v>
      </c>
      <c r="L2235" s="10" t="s">
        <v>42</v>
      </c>
    </row>
    <row r="2236" ht="15.75" customHeight="1">
      <c r="A2236" s="64">
        <v>45470.0</v>
      </c>
      <c r="B2236" s="55" t="str">
        <f>HYPERLINK("https://jobright.ai/jobs/info/667dc9d84ad514cf71dc1317?utm_campaign=1065&amp;utm_source=sheet", "Apply")</f>
        <v>Apply</v>
      </c>
      <c r="C2236" s="10" t="s">
        <v>14876</v>
      </c>
      <c r="D2236" s="56" t="s">
        <v>14380</v>
      </c>
      <c r="E2236" s="59">
        <v>45301.0</v>
      </c>
      <c r="F2236" s="10" t="s">
        <v>14381</v>
      </c>
      <c r="G2236" s="10" t="s">
        <v>12654</v>
      </c>
      <c r="H2236" s="10" t="s">
        <v>969</v>
      </c>
      <c r="I2236" s="10" t="s">
        <v>55</v>
      </c>
      <c r="J2236" s="10" t="s">
        <v>13437</v>
      </c>
      <c r="K2236" s="10" t="s">
        <v>14877</v>
      </c>
      <c r="L2236" s="10" t="s">
        <v>42</v>
      </c>
    </row>
    <row r="2237" ht="15.75" customHeight="1">
      <c r="A2237" s="64">
        <v>45470.0</v>
      </c>
      <c r="B2237" s="55" t="str">
        <f>HYPERLINK("https://jobright.ai/jobs/info/667dc9d84ad514cf71dc131c?utm_campaign=1065&amp;utm_source=sheet", "Apply")</f>
        <v>Apply</v>
      </c>
      <c r="C2237" s="10" t="s">
        <v>14876</v>
      </c>
      <c r="D2237" s="56" t="s">
        <v>14380</v>
      </c>
      <c r="E2237" s="59">
        <v>45301.0</v>
      </c>
      <c r="F2237" s="10" t="s">
        <v>14381</v>
      </c>
      <c r="G2237" s="10" t="s">
        <v>12654</v>
      </c>
      <c r="H2237" s="10" t="s">
        <v>837</v>
      </c>
      <c r="I2237" s="10" t="s">
        <v>55</v>
      </c>
      <c r="J2237" s="10" t="s">
        <v>13437</v>
      </c>
      <c r="K2237" s="10" t="s">
        <v>14877</v>
      </c>
      <c r="L2237" s="10" t="s">
        <v>42</v>
      </c>
    </row>
    <row r="2238" ht="15.75" customHeight="1">
      <c r="A2238" s="64">
        <v>45470.0</v>
      </c>
      <c r="B2238" s="55" t="str">
        <f>HYPERLINK("https://jobright.ai/jobs/info/667dc9d84ad514cf71dc1319?utm_campaign=1065&amp;utm_source=sheet", "Apply")</f>
        <v>Apply</v>
      </c>
      <c r="C2238" s="10" t="s">
        <v>14876</v>
      </c>
      <c r="D2238" s="56" t="s">
        <v>14380</v>
      </c>
      <c r="E2238" s="59">
        <v>45301.0</v>
      </c>
      <c r="F2238" s="10" t="s">
        <v>14381</v>
      </c>
      <c r="G2238" s="10" t="s">
        <v>12654</v>
      </c>
      <c r="H2238" s="10" t="s">
        <v>955</v>
      </c>
      <c r="I2238" s="10" t="s">
        <v>55</v>
      </c>
      <c r="J2238" s="10" t="s">
        <v>13437</v>
      </c>
      <c r="K2238" s="10" t="s">
        <v>14877</v>
      </c>
      <c r="L2238" s="10" t="s">
        <v>42</v>
      </c>
    </row>
    <row r="2239" ht="15.75" customHeight="1">
      <c r="A2239" s="64">
        <v>45470.0</v>
      </c>
      <c r="B2239" s="55" t="str">
        <f>HYPERLINK("https://jobright.ai/jobs/info/667dc9d84ad514cf71dc1316?utm_campaign=1065&amp;utm_source=sheet", "Apply")</f>
        <v>Apply</v>
      </c>
      <c r="C2239" s="10" t="s">
        <v>14876</v>
      </c>
      <c r="D2239" s="56" t="s">
        <v>14380</v>
      </c>
      <c r="E2239" s="59">
        <v>45301.0</v>
      </c>
      <c r="F2239" s="10" t="s">
        <v>14381</v>
      </c>
      <c r="G2239" s="10" t="s">
        <v>12654</v>
      </c>
      <c r="H2239" s="10" t="s">
        <v>1042</v>
      </c>
      <c r="I2239" s="10" t="s">
        <v>55</v>
      </c>
      <c r="J2239" s="10" t="s">
        <v>13437</v>
      </c>
      <c r="K2239" s="10" t="s">
        <v>14877</v>
      </c>
      <c r="L2239" s="10" t="s">
        <v>42</v>
      </c>
    </row>
    <row r="2240" ht="15.75" customHeight="1">
      <c r="A2240" s="64">
        <v>45470.0</v>
      </c>
      <c r="B2240" s="55" t="str">
        <f>HYPERLINK("https://jobright.ai/jobs/info/667dc9d84ad514cf71dc1321?utm_campaign=1065&amp;utm_source=sheet", "Apply")</f>
        <v>Apply</v>
      </c>
      <c r="C2240" s="10" t="s">
        <v>14876</v>
      </c>
      <c r="D2240" s="56" t="s">
        <v>14380</v>
      </c>
      <c r="E2240" s="59">
        <v>45301.0</v>
      </c>
      <c r="F2240" s="10" t="s">
        <v>14381</v>
      </c>
      <c r="G2240" s="10" t="s">
        <v>12654</v>
      </c>
      <c r="H2240" s="10" t="s">
        <v>845</v>
      </c>
      <c r="I2240" s="10" t="s">
        <v>55</v>
      </c>
      <c r="J2240" s="10" t="s">
        <v>13437</v>
      </c>
      <c r="K2240" s="10" t="s">
        <v>14877</v>
      </c>
      <c r="L2240" s="10" t="s">
        <v>42</v>
      </c>
    </row>
    <row r="2241" ht="15.75" customHeight="1">
      <c r="A2241" s="64">
        <v>45470.0</v>
      </c>
      <c r="B2241" s="55" t="str">
        <f>HYPERLINK("https://jobright.ai/jobs/info/667dc9d84ad514cf71dc131e?utm_campaign=1065&amp;utm_source=sheet", "Apply")</f>
        <v>Apply</v>
      </c>
      <c r="C2241" s="10" t="s">
        <v>14876</v>
      </c>
      <c r="D2241" s="56" t="s">
        <v>14380</v>
      </c>
      <c r="E2241" s="59">
        <v>45301.0</v>
      </c>
      <c r="F2241" s="10" t="s">
        <v>14381</v>
      </c>
      <c r="G2241" s="10" t="s">
        <v>12654</v>
      </c>
      <c r="H2241" s="10" t="s">
        <v>167</v>
      </c>
      <c r="I2241" s="10" t="s">
        <v>55</v>
      </c>
      <c r="J2241" s="10" t="s">
        <v>13437</v>
      </c>
      <c r="K2241" s="10" t="s">
        <v>14877</v>
      </c>
      <c r="L2241" s="10" t="s">
        <v>42</v>
      </c>
    </row>
    <row r="2242" ht="15.75" customHeight="1">
      <c r="A2242" s="64">
        <v>45470.0</v>
      </c>
      <c r="B2242" s="55" t="str">
        <f>HYPERLINK("https://jobright.ai/jobs/info/667dc9d84ad514cf71dc131d?utm_campaign=1065&amp;utm_source=sheet", "Apply")</f>
        <v>Apply</v>
      </c>
      <c r="C2242" s="10" t="s">
        <v>14876</v>
      </c>
      <c r="D2242" s="56" t="s">
        <v>14380</v>
      </c>
      <c r="E2242" s="59">
        <v>45301.0</v>
      </c>
      <c r="F2242" s="10" t="s">
        <v>14381</v>
      </c>
      <c r="G2242" s="10" t="s">
        <v>12654</v>
      </c>
      <c r="H2242" s="10" t="s">
        <v>992</v>
      </c>
      <c r="I2242" s="10" t="s">
        <v>55</v>
      </c>
      <c r="J2242" s="10" t="s">
        <v>13437</v>
      </c>
      <c r="K2242" s="10" t="s">
        <v>14877</v>
      </c>
      <c r="L2242" s="10" t="s">
        <v>42</v>
      </c>
    </row>
    <row r="2243" ht="15.75" customHeight="1">
      <c r="A2243" s="64">
        <v>45470.0</v>
      </c>
      <c r="B2243" s="55" t="str">
        <f>HYPERLINK("https://jobright.ai/jobs/info/667dc9d84ad514cf71dc131a?utm_campaign=1065&amp;utm_source=sheet", "Apply")</f>
        <v>Apply</v>
      </c>
      <c r="C2243" s="10" t="s">
        <v>14876</v>
      </c>
      <c r="D2243" s="56" t="s">
        <v>14380</v>
      </c>
      <c r="E2243" s="59">
        <v>45301.0</v>
      </c>
      <c r="F2243" s="10" t="s">
        <v>14381</v>
      </c>
      <c r="G2243" s="10" t="s">
        <v>12654</v>
      </c>
      <c r="H2243" s="10" t="s">
        <v>768</v>
      </c>
      <c r="I2243" s="10" t="s">
        <v>55</v>
      </c>
      <c r="J2243" s="10" t="s">
        <v>13437</v>
      </c>
      <c r="K2243" s="10" t="s">
        <v>14877</v>
      </c>
      <c r="L2243" s="10" t="s">
        <v>42</v>
      </c>
    </row>
    <row r="2244" ht="15.75" customHeight="1">
      <c r="A2244" s="64">
        <v>45470.0</v>
      </c>
      <c r="B2244" s="55" t="str">
        <f>HYPERLINK("https://jobright.ai/jobs/info/667dc9d84ad514cf71dc1314?utm_campaign=1065&amp;utm_source=sheet", "Apply")</f>
        <v>Apply</v>
      </c>
      <c r="C2244" s="10" t="s">
        <v>14876</v>
      </c>
      <c r="D2244" s="56" t="s">
        <v>14380</v>
      </c>
      <c r="E2244" s="59">
        <v>45301.0</v>
      </c>
      <c r="F2244" s="10" t="s">
        <v>14381</v>
      </c>
      <c r="G2244" s="10" t="s">
        <v>12654</v>
      </c>
      <c r="H2244" s="10" t="s">
        <v>794</v>
      </c>
      <c r="I2244" s="10" t="s">
        <v>55</v>
      </c>
      <c r="J2244" s="10" t="s">
        <v>13437</v>
      </c>
      <c r="K2244" s="10" t="s">
        <v>14877</v>
      </c>
      <c r="L2244" s="10" t="s">
        <v>42</v>
      </c>
    </row>
    <row r="2245" ht="15.75" customHeight="1">
      <c r="A2245" s="64">
        <v>45470.0</v>
      </c>
      <c r="B2245" s="55" t="str">
        <f>HYPERLINK("https://jobright.ai/jobs/info/667dc9d84ad514cf71dc1318?utm_campaign=1065&amp;utm_source=sheet", "Apply")</f>
        <v>Apply</v>
      </c>
      <c r="C2245" s="10" t="s">
        <v>14876</v>
      </c>
      <c r="D2245" s="56" t="s">
        <v>14380</v>
      </c>
      <c r="E2245" s="59">
        <v>45301.0</v>
      </c>
      <c r="F2245" s="10" t="s">
        <v>14381</v>
      </c>
      <c r="G2245" s="10" t="s">
        <v>12654</v>
      </c>
      <c r="H2245" s="10" t="s">
        <v>139</v>
      </c>
      <c r="I2245" s="10" t="s">
        <v>55</v>
      </c>
      <c r="J2245" s="10" t="s">
        <v>13437</v>
      </c>
      <c r="K2245" s="10" t="s">
        <v>14877</v>
      </c>
      <c r="L2245" s="10" t="s">
        <v>42</v>
      </c>
    </row>
    <row r="2246" ht="15.75" customHeight="1">
      <c r="A2246" s="64">
        <v>45470.0</v>
      </c>
      <c r="B2246" s="55" t="str">
        <f>HYPERLINK("https://jobright.ai/jobs/info/667dc9d84ad514cf71dc1338?utm_campaign=1065&amp;utm_source=sheet", "Apply")</f>
        <v>Apply</v>
      </c>
      <c r="C2246" s="10" t="s">
        <v>14876</v>
      </c>
      <c r="D2246" s="56" t="s">
        <v>14380</v>
      </c>
      <c r="E2246" s="59">
        <v>45301.0</v>
      </c>
      <c r="F2246" s="10" t="s">
        <v>14381</v>
      </c>
      <c r="G2246" s="10" t="s">
        <v>12654</v>
      </c>
      <c r="H2246" s="10" t="s">
        <v>957</v>
      </c>
      <c r="I2246" s="10" t="s">
        <v>55</v>
      </c>
      <c r="J2246" s="10" t="s">
        <v>13437</v>
      </c>
      <c r="K2246" s="10" t="s">
        <v>14877</v>
      </c>
      <c r="L2246" s="10" t="s">
        <v>42</v>
      </c>
    </row>
    <row r="2247" ht="15.75" customHeight="1">
      <c r="A2247" s="64">
        <v>45470.0</v>
      </c>
      <c r="B2247" s="55" t="str">
        <f>HYPERLINK("https://jobright.ai/jobs/info/667dc9d84ad514cf71dc132f?utm_campaign=1065&amp;utm_source=sheet", "Apply")</f>
        <v>Apply</v>
      </c>
      <c r="C2247" s="10" t="s">
        <v>14876</v>
      </c>
      <c r="D2247" s="56" t="s">
        <v>14380</v>
      </c>
      <c r="E2247" s="59">
        <v>45301.0</v>
      </c>
      <c r="F2247" s="10" t="s">
        <v>14381</v>
      </c>
      <c r="G2247" s="10" t="s">
        <v>12654</v>
      </c>
      <c r="H2247" s="10" t="s">
        <v>802</v>
      </c>
      <c r="I2247" s="10" t="s">
        <v>55</v>
      </c>
      <c r="J2247" s="10" t="s">
        <v>13437</v>
      </c>
      <c r="K2247" s="10" t="s">
        <v>14877</v>
      </c>
      <c r="L2247" s="10" t="s">
        <v>42</v>
      </c>
    </row>
    <row r="2248" ht="15.75" customHeight="1">
      <c r="A2248" s="64">
        <v>45470.0</v>
      </c>
      <c r="B2248" s="55" t="str">
        <f>HYPERLINK("https://jobright.ai/jobs/info/667dc9d84ad514cf71dc1334?utm_campaign=1065&amp;utm_source=sheet", "Apply")</f>
        <v>Apply</v>
      </c>
      <c r="C2248" s="10" t="s">
        <v>14876</v>
      </c>
      <c r="D2248" s="56" t="s">
        <v>14380</v>
      </c>
      <c r="E2248" s="59">
        <v>45301.0</v>
      </c>
      <c r="F2248" s="10" t="s">
        <v>14381</v>
      </c>
      <c r="G2248" s="10" t="s">
        <v>12654</v>
      </c>
      <c r="H2248" s="10" t="s">
        <v>867</v>
      </c>
      <c r="I2248" s="10" t="s">
        <v>55</v>
      </c>
      <c r="J2248" s="10" t="s">
        <v>13437</v>
      </c>
      <c r="K2248" s="10" t="s">
        <v>14877</v>
      </c>
      <c r="L2248" s="10" t="s">
        <v>42</v>
      </c>
    </row>
    <row r="2249" ht="15.75" customHeight="1">
      <c r="A2249" s="64">
        <v>45470.0</v>
      </c>
      <c r="B2249" s="55" t="str">
        <f>HYPERLINK("https://jobright.ai/jobs/info/667dc9d84ad514cf71dc1328?utm_campaign=1065&amp;utm_source=sheet", "Apply")</f>
        <v>Apply</v>
      </c>
      <c r="C2249" s="10" t="s">
        <v>14876</v>
      </c>
      <c r="D2249" s="56" t="s">
        <v>14380</v>
      </c>
      <c r="E2249" s="59">
        <v>45301.0</v>
      </c>
      <c r="F2249" s="10" t="s">
        <v>14381</v>
      </c>
      <c r="G2249" s="10" t="s">
        <v>12654</v>
      </c>
      <c r="H2249" s="10" t="s">
        <v>922</v>
      </c>
      <c r="I2249" s="10" t="s">
        <v>55</v>
      </c>
      <c r="J2249" s="10" t="s">
        <v>13437</v>
      </c>
      <c r="K2249" s="10" t="s">
        <v>14877</v>
      </c>
      <c r="L2249" s="10" t="s">
        <v>42</v>
      </c>
    </row>
    <row r="2250" ht="15.75" customHeight="1">
      <c r="A2250" s="64">
        <v>45470.0</v>
      </c>
      <c r="B2250" s="55" t="str">
        <f>HYPERLINK("https://jobright.ai/jobs/info/667dc9d84ad514cf71dc1326?utm_campaign=1065&amp;utm_source=sheet", "Apply")</f>
        <v>Apply</v>
      </c>
      <c r="C2250" s="10" t="s">
        <v>14876</v>
      </c>
      <c r="D2250" s="56" t="s">
        <v>14380</v>
      </c>
      <c r="E2250" s="59">
        <v>45301.0</v>
      </c>
      <c r="F2250" s="10" t="s">
        <v>14381</v>
      </c>
      <c r="G2250" s="10" t="s">
        <v>12654</v>
      </c>
      <c r="H2250" s="10" t="s">
        <v>941</v>
      </c>
      <c r="I2250" s="10" t="s">
        <v>55</v>
      </c>
      <c r="J2250" s="10" t="s">
        <v>13437</v>
      </c>
      <c r="K2250" s="10" t="s">
        <v>14877</v>
      </c>
      <c r="L2250" s="10" t="s">
        <v>42</v>
      </c>
    </row>
    <row r="2251" ht="15.75" customHeight="1">
      <c r="A2251" s="64">
        <v>45470.0</v>
      </c>
      <c r="B2251" s="55" t="str">
        <f>HYPERLINK("https://jobright.ai/jobs/info/667dc9d84ad514cf71dc1339?utm_campaign=1065&amp;utm_source=sheet", "Apply")</f>
        <v>Apply</v>
      </c>
      <c r="C2251" s="10" t="s">
        <v>14876</v>
      </c>
      <c r="D2251" s="56" t="s">
        <v>14380</v>
      </c>
      <c r="E2251" s="59">
        <v>45301.0</v>
      </c>
      <c r="F2251" s="10" t="s">
        <v>14381</v>
      </c>
      <c r="G2251" s="10" t="s">
        <v>12654</v>
      </c>
      <c r="H2251" s="10" t="s">
        <v>975</v>
      </c>
      <c r="I2251" s="10" t="s">
        <v>55</v>
      </c>
      <c r="J2251" s="10" t="s">
        <v>13437</v>
      </c>
      <c r="K2251" s="10" t="s">
        <v>14877</v>
      </c>
      <c r="L2251" s="10" t="s">
        <v>42</v>
      </c>
    </row>
    <row r="2252" ht="15.75" customHeight="1">
      <c r="A2252" s="64">
        <v>45470.0</v>
      </c>
      <c r="B2252" s="55" t="str">
        <f>HYPERLINK("https://jobright.ai/jobs/info/667dc9d84ad514cf71dc132e?utm_campaign=1065&amp;utm_source=sheet", "Apply")</f>
        <v>Apply</v>
      </c>
      <c r="C2252" s="10" t="s">
        <v>14876</v>
      </c>
      <c r="D2252" s="56" t="s">
        <v>14380</v>
      </c>
      <c r="E2252" s="59">
        <v>45301.0</v>
      </c>
      <c r="F2252" s="10" t="s">
        <v>14381</v>
      </c>
      <c r="G2252" s="10" t="s">
        <v>12654</v>
      </c>
      <c r="H2252" s="10" t="s">
        <v>1009</v>
      </c>
      <c r="I2252" s="10" t="s">
        <v>55</v>
      </c>
      <c r="J2252" s="10" t="s">
        <v>13437</v>
      </c>
      <c r="K2252" s="10" t="s">
        <v>14877</v>
      </c>
      <c r="L2252" s="10" t="s">
        <v>42</v>
      </c>
    </row>
    <row r="2253" ht="15.75" customHeight="1">
      <c r="A2253" s="64">
        <v>45470.0</v>
      </c>
      <c r="B2253" s="55" t="str">
        <f>HYPERLINK("https://jobright.ai/jobs/info/667dc9d84ad514cf71dc1337?utm_campaign=1065&amp;utm_source=sheet", "Apply")</f>
        <v>Apply</v>
      </c>
      <c r="C2253" s="10" t="s">
        <v>14876</v>
      </c>
      <c r="D2253" s="56" t="s">
        <v>14380</v>
      </c>
      <c r="E2253" s="59">
        <v>45301.0</v>
      </c>
      <c r="F2253" s="10" t="s">
        <v>14381</v>
      </c>
      <c r="G2253" s="10" t="s">
        <v>12654</v>
      </c>
      <c r="H2253" s="10" t="s">
        <v>892</v>
      </c>
      <c r="I2253" s="10" t="s">
        <v>55</v>
      </c>
      <c r="J2253" s="10" t="s">
        <v>13437</v>
      </c>
      <c r="K2253" s="10" t="s">
        <v>14877</v>
      </c>
      <c r="L2253" s="10" t="s">
        <v>42</v>
      </c>
    </row>
    <row r="2254" ht="15.75" customHeight="1">
      <c r="A2254" s="64">
        <v>45470.0</v>
      </c>
      <c r="B2254" s="55" t="str">
        <f>HYPERLINK("https://jobright.ai/jobs/info/667dc9d84ad514cf71dc1335?utm_campaign=1065&amp;utm_source=sheet", "Apply")</f>
        <v>Apply</v>
      </c>
      <c r="C2254" s="10" t="s">
        <v>14876</v>
      </c>
      <c r="D2254" s="56" t="s">
        <v>14380</v>
      </c>
      <c r="E2254" s="59">
        <v>45301.0</v>
      </c>
      <c r="F2254" s="10" t="s">
        <v>14381</v>
      </c>
      <c r="G2254" s="10" t="s">
        <v>12654</v>
      </c>
      <c r="H2254" s="10" t="s">
        <v>800</v>
      </c>
      <c r="I2254" s="10" t="s">
        <v>55</v>
      </c>
      <c r="J2254" s="10" t="s">
        <v>13437</v>
      </c>
      <c r="K2254" s="10" t="s">
        <v>14877</v>
      </c>
      <c r="L2254" s="10" t="s">
        <v>42</v>
      </c>
    </row>
    <row r="2255" ht="15.75" customHeight="1">
      <c r="A2255" s="64">
        <v>45470.0</v>
      </c>
      <c r="B2255" s="55" t="str">
        <f>HYPERLINK("https://jobright.ai/jobs/info/667dc9d84ad514cf71dc1331?utm_campaign=1065&amp;utm_source=sheet", "Apply")</f>
        <v>Apply</v>
      </c>
      <c r="C2255" s="10" t="s">
        <v>14876</v>
      </c>
      <c r="D2255" s="56" t="s">
        <v>14380</v>
      </c>
      <c r="E2255" s="59">
        <v>45301.0</v>
      </c>
      <c r="F2255" s="10" t="s">
        <v>14381</v>
      </c>
      <c r="G2255" s="10" t="s">
        <v>12654</v>
      </c>
      <c r="H2255" s="10" t="s">
        <v>661</v>
      </c>
      <c r="I2255" s="10" t="s">
        <v>55</v>
      </c>
      <c r="J2255" s="10" t="s">
        <v>13437</v>
      </c>
      <c r="K2255" s="10" t="s">
        <v>14877</v>
      </c>
      <c r="L2255" s="10" t="s">
        <v>42</v>
      </c>
    </row>
    <row r="2256" ht="15.75" customHeight="1">
      <c r="A2256" s="64">
        <v>45470.0</v>
      </c>
      <c r="B2256" s="55" t="str">
        <f>HYPERLINK("https://jobright.ai/jobs/info/667dc9d84ad514cf71dc1325?utm_campaign=1065&amp;utm_source=sheet", "Apply")</f>
        <v>Apply</v>
      </c>
      <c r="C2256" s="10" t="s">
        <v>14876</v>
      </c>
      <c r="D2256" s="56" t="s">
        <v>14380</v>
      </c>
      <c r="E2256" s="59">
        <v>45301.0</v>
      </c>
      <c r="F2256" s="10" t="s">
        <v>14381</v>
      </c>
      <c r="G2256" s="10" t="s">
        <v>12654</v>
      </c>
      <c r="H2256" s="10" t="s">
        <v>825</v>
      </c>
      <c r="I2256" s="10" t="s">
        <v>55</v>
      </c>
      <c r="J2256" s="10" t="s">
        <v>13437</v>
      </c>
      <c r="K2256" s="10" t="s">
        <v>14877</v>
      </c>
      <c r="L2256" s="10" t="s">
        <v>42</v>
      </c>
    </row>
    <row r="2257" ht="15.75" customHeight="1">
      <c r="A2257" s="64">
        <v>45470.0</v>
      </c>
      <c r="B2257" s="55" t="str">
        <f>HYPERLINK("https://jobright.ai/jobs/info/667dc9d84ad514cf71dc1332?utm_campaign=1065&amp;utm_source=sheet", "Apply")</f>
        <v>Apply</v>
      </c>
      <c r="C2257" s="10" t="s">
        <v>14876</v>
      </c>
      <c r="D2257" s="56" t="s">
        <v>14380</v>
      </c>
      <c r="E2257" s="59">
        <v>45301.0</v>
      </c>
      <c r="F2257" s="10" t="s">
        <v>14381</v>
      </c>
      <c r="G2257" s="10" t="s">
        <v>12654</v>
      </c>
      <c r="H2257" s="10" t="s">
        <v>780</v>
      </c>
      <c r="I2257" s="10" t="s">
        <v>55</v>
      </c>
      <c r="J2257" s="10" t="s">
        <v>13437</v>
      </c>
      <c r="K2257" s="10" t="s">
        <v>14877</v>
      </c>
      <c r="L2257" s="10" t="s">
        <v>42</v>
      </c>
    </row>
    <row r="2258" ht="15.75" customHeight="1">
      <c r="A2258" s="64">
        <v>45470.0</v>
      </c>
      <c r="B2258" s="55" t="str">
        <f>HYPERLINK("https://jobright.ai/jobs/info/667dc9d84ad514cf71dc1333?utm_campaign=1065&amp;utm_source=sheet", "Apply")</f>
        <v>Apply</v>
      </c>
      <c r="C2258" s="10" t="s">
        <v>14876</v>
      </c>
      <c r="D2258" s="56" t="s">
        <v>14380</v>
      </c>
      <c r="E2258" s="59">
        <v>45301.0</v>
      </c>
      <c r="F2258" s="10" t="s">
        <v>14381</v>
      </c>
      <c r="G2258" s="10" t="s">
        <v>12654</v>
      </c>
      <c r="H2258" s="10" t="s">
        <v>763</v>
      </c>
      <c r="I2258" s="10" t="s">
        <v>55</v>
      </c>
      <c r="J2258" s="10" t="s">
        <v>13437</v>
      </c>
      <c r="K2258" s="10" t="s">
        <v>14877</v>
      </c>
      <c r="L2258" s="10" t="s">
        <v>42</v>
      </c>
    </row>
    <row r="2259" ht="15.75" customHeight="1">
      <c r="A2259" s="64">
        <v>45470.0</v>
      </c>
      <c r="B2259" s="55" t="str">
        <f>HYPERLINK("https://jobright.ai/jobs/info/667dc9d84ad514cf71dc1327?utm_campaign=1065&amp;utm_source=sheet", "Apply")</f>
        <v>Apply</v>
      </c>
      <c r="C2259" s="10" t="s">
        <v>14876</v>
      </c>
      <c r="D2259" s="56" t="s">
        <v>14380</v>
      </c>
      <c r="E2259" s="59">
        <v>45301.0</v>
      </c>
      <c r="F2259" s="10" t="s">
        <v>14381</v>
      </c>
      <c r="G2259" s="10" t="s">
        <v>12654</v>
      </c>
      <c r="H2259" s="10" t="s">
        <v>849</v>
      </c>
      <c r="I2259" s="10" t="s">
        <v>55</v>
      </c>
      <c r="J2259" s="10" t="s">
        <v>13437</v>
      </c>
      <c r="K2259" s="10" t="s">
        <v>14877</v>
      </c>
      <c r="L2259" s="10" t="s">
        <v>42</v>
      </c>
    </row>
    <row r="2260" ht="15.75" customHeight="1">
      <c r="A2260" s="64">
        <v>45470.0</v>
      </c>
      <c r="B2260" s="55" t="str">
        <f>HYPERLINK("https://jobright.ai/jobs/info/667dc9d84ad514cf71dc1330?utm_campaign=1065&amp;utm_source=sheet", "Apply")</f>
        <v>Apply</v>
      </c>
      <c r="C2260" s="10" t="s">
        <v>14876</v>
      </c>
      <c r="D2260" s="56" t="s">
        <v>14380</v>
      </c>
      <c r="E2260" s="59">
        <v>45301.0</v>
      </c>
      <c r="F2260" s="10" t="s">
        <v>14381</v>
      </c>
      <c r="G2260" s="10" t="s">
        <v>12654</v>
      </c>
      <c r="H2260" s="10" t="s">
        <v>814</v>
      </c>
      <c r="I2260" s="10" t="s">
        <v>55</v>
      </c>
      <c r="J2260" s="10" t="s">
        <v>13437</v>
      </c>
      <c r="K2260" s="10" t="s">
        <v>14877</v>
      </c>
      <c r="L2260" s="10" t="s">
        <v>42</v>
      </c>
    </row>
    <row r="2261" ht="15.75" customHeight="1">
      <c r="A2261" s="64">
        <v>45470.0</v>
      </c>
      <c r="B2261" s="55" t="str">
        <f>HYPERLINK("https://jobright.ai/jobs/info/667dc9d84ad514cf71dc1323?utm_campaign=1065&amp;utm_source=sheet", "Apply")</f>
        <v>Apply</v>
      </c>
      <c r="C2261" s="10" t="s">
        <v>14876</v>
      </c>
      <c r="D2261" s="56" t="s">
        <v>14380</v>
      </c>
      <c r="E2261" s="59">
        <v>45301.0</v>
      </c>
      <c r="F2261" s="10" t="s">
        <v>14381</v>
      </c>
      <c r="G2261" s="10" t="s">
        <v>12654</v>
      </c>
      <c r="H2261" s="10" t="s">
        <v>1007</v>
      </c>
      <c r="I2261" s="10" t="s">
        <v>55</v>
      </c>
      <c r="J2261" s="10" t="s">
        <v>13437</v>
      </c>
      <c r="K2261" s="10" t="s">
        <v>14877</v>
      </c>
      <c r="L2261" s="10" t="s">
        <v>42</v>
      </c>
    </row>
    <row r="2262" ht="15.75" customHeight="1">
      <c r="A2262" s="64">
        <v>45470.0</v>
      </c>
      <c r="B2262" s="55" t="str">
        <f>HYPERLINK("https://jobright.ai/jobs/info/667dc9d84ad514cf71dc132a?utm_campaign=1065&amp;utm_source=sheet", "Apply")</f>
        <v>Apply</v>
      </c>
      <c r="C2262" s="10" t="s">
        <v>14876</v>
      </c>
      <c r="D2262" s="56" t="s">
        <v>14380</v>
      </c>
      <c r="E2262" s="59">
        <v>45301.0</v>
      </c>
      <c r="F2262" s="10" t="s">
        <v>14381</v>
      </c>
      <c r="G2262" s="10" t="s">
        <v>12654</v>
      </c>
      <c r="H2262" s="10" t="s">
        <v>970</v>
      </c>
      <c r="I2262" s="10" t="s">
        <v>55</v>
      </c>
      <c r="J2262" s="10" t="s">
        <v>13437</v>
      </c>
      <c r="K2262" s="10" t="s">
        <v>14877</v>
      </c>
      <c r="L2262" s="10" t="s">
        <v>42</v>
      </c>
    </row>
    <row r="2263" ht="15.75" customHeight="1">
      <c r="A2263" s="64">
        <v>45470.0</v>
      </c>
      <c r="B2263" s="55" t="str">
        <f>HYPERLINK("https://jobright.ai/jobs/info/667dc9d84ad514cf71dc1336?utm_campaign=1065&amp;utm_source=sheet", "Apply")</f>
        <v>Apply</v>
      </c>
      <c r="C2263" s="10" t="s">
        <v>14876</v>
      </c>
      <c r="D2263" s="56" t="s">
        <v>14380</v>
      </c>
      <c r="E2263" s="59">
        <v>45301.0</v>
      </c>
      <c r="F2263" s="10" t="s">
        <v>14381</v>
      </c>
      <c r="G2263" s="10" t="s">
        <v>12654</v>
      </c>
      <c r="H2263" s="10" t="s">
        <v>761</v>
      </c>
      <c r="I2263" s="10" t="s">
        <v>55</v>
      </c>
      <c r="J2263" s="10" t="s">
        <v>13437</v>
      </c>
      <c r="K2263" s="10" t="s">
        <v>14877</v>
      </c>
      <c r="L2263" s="10" t="s">
        <v>42</v>
      </c>
    </row>
    <row r="2264" ht="15.75" customHeight="1">
      <c r="A2264" s="64">
        <v>45470.0</v>
      </c>
      <c r="B2264" s="55" t="str">
        <f>HYPERLINK("https://jobright.ai/jobs/info/667dc9d84ad514cf71dc133a?utm_campaign=1065&amp;utm_source=sheet", "Apply")</f>
        <v>Apply</v>
      </c>
      <c r="C2264" s="10" t="s">
        <v>14876</v>
      </c>
      <c r="D2264" s="56" t="s">
        <v>14380</v>
      </c>
      <c r="E2264" s="59">
        <v>45301.0</v>
      </c>
      <c r="F2264" s="10" t="s">
        <v>14381</v>
      </c>
      <c r="G2264" s="10" t="s">
        <v>12654</v>
      </c>
      <c r="H2264" s="10" t="s">
        <v>165</v>
      </c>
      <c r="I2264" s="10" t="s">
        <v>55</v>
      </c>
      <c r="J2264" s="10" t="s">
        <v>13437</v>
      </c>
      <c r="K2264" s="10" t="s">
        <v>14877</v>
      </c>
      <c r="L2264" s="10" t="s">
        <v>42</v>
      </c>
    </row>
    <row r="2265" ht="15.75" customHeight="1">
      <c r="A2265" s="64">
        <v>45470.0</v>
      </c>
      <c r="B2265" s="55" t="str">
        <f>HYPERLINK("https://jobright.ai/jobs/info/667dc9d84ad514cf71dc132d?utm_campaign=1065&amp;utm_source=sheet", "Apply")</f>
        <v>Apply</v>
      </c>
      <c r="C2265" s="10" t="s">
        <v>14876</v>
      </c>
      <c r="D2265" s="56" t="s">
        <v>14380</v>
      </c>
      <c r="E2265" s="59">
        <v>45301.0</v>
      </c>
      <c r="F2265" s="10" t="s">
        <v>14381</v>
      </c>
      <c r="G2265" s="10" t="s">
        <v>12654</v>
      </c>
      <c r="H2265" s="10" t="s">
        <v>973</v>
      </c>
      <c r="I2265" s="10" t="s">
        <v>55</v>
      </c>
      <c r="J2265" s="10" t="s">
        <v>13437</v>
      </c>
      <c r="K2265" s="10" t="s">
        <v>14877</v>
      </c>
      <c r="L2265" s="10" t="s">
        <v>42</v>
      </c>
    </row>
    <row r="2266" ht="15.75" customHeight="1">
      <c r="A2266" s="64">
        <v>45470.0</v>
      </c>
      <c r="B2266" s="55" t="str">
        <f>HYPERLINK("https://jobright.ai/jobs/info/667dc9d84ad514cf71dc132c?utm_campaign=1065&amp;utm_source=sheet", "Apply")</f>
        <v>Apply</v>
      </c>
      <c r="C2266" s="10" t="s">
        <v>14876</v>
      </c>
      <c r="D2266" s="56" t="s">
        <v>14380</v>
      </c>
      <c r="E2266" s="59">
        <v>45301.0</v>
      </c>
      <c r="F2266" s="10" t="s">
        <v>14381</v>
      </c>
      <c r="G2266" s="10" t="s">
        <v>12654</v>
      </c>
      <c r="H2266" s="10" t="s">
        <v>168</v>
      </c>
      <c r="I2266" s="10" t="s">
        <v>55</v>
      </c>
      <c r="J2266" s="10" t="s">
        <v>13437</v>
      </c>
      <c r="K2266" s="10" t="s">
        <v>14877</v>
      </c>
      <c r="L2266" s="10" t="s">
        <v>42</v>
      </c>
    </row>
    <row r="2267" ht="15.75" customHeight="1">
      <c r="A2267" s="64">
        <v>45470.0</v>
      </c>
      <c r="B2267" s="55" t="str">
        <f>HYPERLINK("https://jobright.ai/jobs/info/667dc9d84ad514cf71dc1322?utm_campaign=1065&amp;utm_source=sheet", "Apply")</f>
        <v>Apply</v>
      </c>
      <c r="C2267" s="10" t="s">
        <v>14876</v>
      </c>
      <c r="D2267" s="56" t="s">
        <v>14380</v>
      </c>
      <c r="E2267" s="59">
        <v>45301.0</v>
      </c>
      <c r="F2267" s="10" t="s">
        <v>14381</v>
      </c>
      <c r="G2267" s="10" t="s">
        <v>12654</v>
      </c>
      <c r="H2267" s="10" t="s">
        <v>982</v>
      </c>
      <c r="I2267" s="10" t="s">
        <v>55</v>
      </c>
      <c r="J2267" s="10" t="s">
        <v>13437</v>
      </c>
      <c r="K2267" s="10" t="s">
        <v>14877</v>
      </c>
      <c r="L2267" s="10" t="s">
        <v>42</v>
      </c>
    </row>
    <row r="2268" ht="15.75" customHeight="1">
      <c r="A2268" s="64">
        <v>45470.0</v>
      </c>
      <c r="B2268" s="55" t="str">
        <f>HYPERLINK("https://jobright.ai/jobs/info/667dc9d84ad514cf71dc1329?utm_campaign=1065&amp;utm_source=sheet", "Apply")</f>
        <v>Apply</v>
      </c>
      <c r="C2268" s="10" t="s">
        <v>14876</v>
      </c>
      <c r="D2268" s="56" t="s">
        <v>14380</v>
      </c>
      <c r="E2268" s="59">
        <v>45301.0</v>
      </c>
      <c r="F2268" s="10" t="s">
        <v>14381</v>
      </c>
      <c r="G2268" s="10" t="s">
        <v>12654</v>
      </c>
      <c r="H2268" s="10" t="s">
        <v>991</v>
      </c>
      <c r="I2268" s="10" t="s">
        <v>55</v>
      </c>
      <c r="J2268" s="10" t="s">
        <v>13437</v>
      </c>
      <c r="K2268" s="10" t="s">
        <v>14877</v>
      </c>
      <c r="L2268" s="10" t="s">
        <v>42</v>
      </c>
    </row>
    <row r="2269" ht="15.75" customHeight="1">
      <c r="A2269" s="64">
        <v>45470.0</v>
      </c>
      <c r="B2269" s="55" t="str">
        <f>HYPERLINK("https://jobright.ai/jobs/info/667dc9d84ad514cf71dc1324?utm_campaign=1065&amp;utm_source=sheet", "Apply")</f>
        <v>Apply</v>
      </c>
      <c r="C2269" s="10" t="s">
        <v>14876</v>
      </c>
      <c r="D2269" s="56" t="s">
        <v>14380</v>
      </c>
      <c r="E2269" s="59">
        <v>45301.0</v>
      </c>
      <c r="F2269" s="10" t="s">
        <v>14381</v>
      </c>
      <c r="G2269" s="10" t="s">
        <v>12654</v>
      </c>
      <c r="H2269" s="10" t="s">
        <v>86</v>
      </c>
      <c r="I2269" s="10" t="s">
        <v>55</v>
      </c>
      <c r="J2269" s="10" t="s">
        <v>13437</v>
      </c>
      <c r="K2269" s="10" t="s">
        <v>14877</v>
      </c>
      <c r="L2269" s="10" t="s">
        <v>42</v>
      </c>
    </row>
    <row r="2270" ht="15.75" customHeight="1">
      <c r="A2270" s="64">
        <v>45470.0</v>
      </c>
      <c r="B2270" s="55" t="str">
        <f>HYPERLINK("https://jobright.ai/jobs/info/667dc9d84ad514cf71dc132b?utm_campaign=1065&amp;utm_source=sheet", "Apply")</f>
        <v>Apply</v>
      </c>
      <c r="C2270" s="10" t="s">
        <v>14876</v>
      </c>
      <c r="D2270" s="56" t="s">
        <v>14380</v>
      </c>
      <c r="E2270" s="59">
        <v>45301.0</v>
      </c>
      <c r="F2270" s="10" t="s">
        <v>14381</v>
      </c>
      <c r="G2270" s="10" t="s">
        <v>12654</v>
      </c>
      <c r="H2270" s="10" t="s">
        <v>609</v>
      </c>
      <c r="I2270" s="10" t="s">
        <v>55</v>
      </c>
      <c r="J2270" s="10" t="s">
        <v>13437</v>
      </c>
      <c r="K2270" s="10" t="s">
        <v>14877</v>
      </c>
      <c r="L2270" s="10" t="s">
        <v>42</v>
      </c>
    </row>
    <row r="2271" ht="15.75" customHeight="1">
      <c r="A2271" s="64">
        <v>45470.0</v>
      </c>
      <c r="B2271" s="55" t="str">
        <f>HYPERLINK("https://jobright.ai/jobs/info/667dc9d84ad514cf71dc1343?utm_campaign=1065&amp;utm_source=sheet", "Apply")</f>
        <v>Apply</v>
      </c>
      <c r="C2271" s="10" t="s">
        <v>14876</v>
      </c>
      <c r="D2271" s="56" t="s">
        <v>14380</v>
      </c>
      <c r="E2271" s="59">
        <v>45301.0</v>
      </c>
      <c r="F2271" s="10" t="s">
        <v>14381</v>
      </c>
      <c r="G2271" s="10" t="s">
        <v>12654</v>
      </c>
      <c r="H2271" s="10" t="s">
        <v>771</v>
      </c>
      <c r="I2271" s="10" t="s">
        <v>55</v>
      </c>
      <c r="J2271" s="10" t="s">
        <v>13437</v>
      </c>
      <c r="K2271" s="10" t="s">
        <v>14877</v>
      </c>
      <c r="L2271" s="10" t="s">
        <v>42</v>
      </c>
    </row>
    <row r="2272" ht="15.75" customHeight="1">
      <c r="A2272" s="64">
        <v>45470.0</v>
      </c>
      <c r="B2272" s="55" t="str">
        <f>HYPERLINK("https://jobright.ai/jobs/info/667dc9d84ad514cf71dc1340?utm_campaign=1065&amp;utm_source=sheet", "Apply")</f>
        <v>Apply</v>
      </c>
      <c r="C2272" s="10" t="s">
        <v>14876</v>
      </c>
      <c r="D2272" s="56" t="s">
        <v>14380</v>
      </c>
      <c r="E2272" s="59">
        <v>45301.0</v>
      </c>
      <c r="F2272" s="10" t="s">
        <v>14381</v>
      </c>
      <c r="G2272" s="10" t="s">
        <v>12654</v>
      </c>
      <c r="H2272" s="10" t="s">
        <v>153</v>
      </c>
      <c r="I2272" s="10" t="s">
        <v>55</v>
      </c>
      <c r="J2272" s="10" t="s">
        <v>13437</v>
      </c>
      <c r="K2272" s="10" t="s">
        <v>14877</v>
      </c>
      <c r="L2272" s="10" t="s">
        <v>42</v>
      </c>
    </row>
    <row r="2273" ht="15.75" customHeight="1">
      <c r="A2273" s="64">
        <v>45470.0</v>
      </c>
      <c r="B2273" s="55" t="str">
        <f>HYPERLINK("https://jobright.ai/jobs/info/667dc9d84ad514cf71dc133b?utm_campaign=1065&amp;utm_source=sheet", "Apply")</f>
        <v>Apply</v>
      </c>
      <c r="C2273" s="10" t="s">
        <v>14876</v>
      </c>
      <c r="D2273" s="56" t="s">
        <v>14380</v>
      </c>
      <c r="E2273" s="59">
        <v>45301.0</v>
      </c>
      <c r="F2273" s="10" t="s">
        <v>14381</v>
      </c>
      <c r="G2273" s="10" t="s">
        <v>12654</v>
      </c>
      <c r="H2273" s="10" t="s">
        <v>901</v>
      </c>
      <c r="I2273" s="10" t="s">
        <v>55</v>
      </c>
      <c r="J2273" s="10" t="s">
        <v>13437</v>
      </c>
      <c r="K2273" s="10" t="s">
        <v>14877</v>
      </c>
      <c r="L2273" s="10" t="s">
        <v>42</v>
      </c>
    </row>
    <row r="2274" ht="15.75" customHeight="1">
      <c r="A2274" s="64">
        <v>45470.0</v>
      </c>
      <c r="B2274" s="55" t="str">
        <f>HYPERLINK("https://jobright.ai/jobs/info/667dc9d84ad514cf71dc133c?utm_campaign=1065&amp;utm_source=sheet", "Apply")</f>
        <v>Apply</v>
      </c>
      <c r="C2274" s="10" t="s">
        <v>14876</v>
      </c>
      <c r="D2274" s="56" t="s">
        <v>14380</v>
      </c>
      <c r="E2274" s="59">
        <v>45301.0</v>
      </c>
      <c r="F2274" s="10" t="s">
        <v>14381</v>
      </c>
      <c r="G2274" s="10" t="s">
        <v>12654</v>
      </c>
      <c r="H2274" s="10" t="s">
        <v>826</v>
      </c>
      <c r="I2274" s="10" t="s">
        <v>55</v>
      </c>
      <c r="J2274" s="10" t="s">
        <v>13437</v>
      </c>
      <c r="K2274" s="10" t="s">
        <v>14877</v>
      </c>
      <c r="L2274" s="10" t="s">
        <v>42</v>
      </c>
    </row>
    <row r="2275" ht="15.75" customHeight="1">
      <c r="A2275" s="64">
        <v>45470.0</v>
      </c>
      <c r="B2275" s="55" t="str">
        <f>HYPERLINK("https://jobright.ai/jobs/info/667dc9d84ad514cf71dc1344?utm_campaign=1065&amp;utm_source=sheet", "Apply")</f>
        <v>Apply</v>
      </c>
      <c r="C2275" s="10" t="s">
        <v>14876</v>
      </c>
      <c r="D2275" s="56" t="s">
        <v>14380</v>
      </c>
      <c r="E2275" s="59">
        <v>45301.0</v>
      </c>
      <c r="F2275" s="10" t="s">
        <v>14381</v>
      </c>
      <c r="G2275" s="10" t="s">
        <v>12654</v>
      </c>
      <c r="H2275" s="10" t="s">
        <v>875</v>
      </c>
      <c r="I2275" s="10" t="s">
        <v>55</v>
      </c>
      <c r="J2275" s="10" t="s">
        <v>13437</v>
      </c>
      <c r="K2275" s="10" t="s">
        <v>14877</v>
      </c>
      <c r="L2275" s="10" t="s">
        <v>42</v>
      </c>
    </row>
    <row r="2276" ht="15.75" customHeight="1">
      <c r="A2276" s="64">
        <v>45470.0</v>
      </c>
      <c r="B2276" s="55" t="str">
        <f>HYPERLINK("https://jobright.ai/jobs/info/667dc9d84ad514cf71dc1342?utm_campaign=1065&amp;utm_source=sheet", "Apply")</f>
        <v>Apply</v>
      </c>
      <c r="C2276" s="10" t="s">
        <v>14876</v>
      </c>
      <c r="D2276" s="56" t="s">
        <v>14380</v>
      </c>
      <c r="E2276" s="59">
        <v>45301.0</v>
      </c>
      <c r="F2276" s="10" t="s">
        <v>14381</v>
      </c>
      <c r="G2276" s="10" t="s">
        <v>12654</v>
      </c>
      <c r="H2276" s="10" t="s">
        <v>405</v>
      </c>
      <c r="I2276" s="10" t="s">
        <v>55</v>
      </c>
      <c r="J2276" s="10" t="s">
        <v>13437</v>
      </c>
      <c r="K2276" s="10" t="s">
        <v>14877</v>
      </c>
      <c r="L2276" s="10" t="s">
        <v>42</v>
      </c>
    </row>
    <row r="2277" ht="15.75" customHeight="1">
      <c r="A2277" s="64">
        <v>45470.0</v>
      </c>
      <c r="B2277" s="55" t="str">
        <f>HYPERLINK("https://jobright.ai/jobs/info/667dc9d84ad514cf71dc1341?utm_campaign=1065&amp;utm_source=sheet", "Apply")</f>
        <v>Apply</v>
      </c>
      <c r="C2277" s="10" t="s">
        <v>14876</v>
      </c>
      <c r="D2277" s="56" t="s">
        <v>14380</v>
      </c>
      <c r="E2277" s="59">
        <v>45301.0</v>
      </c>
      <c r="F2277" s="10" t="s">
        <v>14381</v>
      </c>
      <c r="G2277" s="10" t="s">
        <v>12654</v>
      </c>
      <c r="H2277" s="10" t="s">
        <v>1020</v>
      </c>
      <c r="I2277" s="10" t="s">
        <v>55</v>
      </c>
      <c r="J2277" s="10" t="s">
        <v>13437</v>
      </c>
      <c r="K2277" s="10" t="s">
        <v>14877</v>
      </c>
      <c r="L2277" s="10" t="s">
        <v>42</v>
      </c>
    </row>
    <row r="2278" ht="15.75" customHeight="1">
      <c r="A2278" s="64">
        <v>45470.0</v>
      </c>
      <c r="B2278" s="55" t="str">
        <f>HYPERLINK("https://jobright.ai/jobs/info/667dc9d84ad514cf71dc133e?utm_campaign=1065&amp;utm_source=sheet", "Apply")</f>
        <v>Apply</v>
      </c>
      <c r="C2278" s="10" t="s">
        <v>14876</v>
      </c>
      <c r="D2278" s="56" t="s">
        <v>14380</v>
      </c>
      <c r="E2278" s="59">
        <v>45301.0</v>
      </c>
      <c r="F2278" s="10" t="s">
        <v>14381</v>
      </c>
      <c r="G2278" s="10" t="s">
        <v>12654</v>
      </c>
      <c r="H2278" s="10" t="s">
        <v>361</v>
      </c>
      <c r="I2278" s="10" t="s">
        <v>55</v>
      </c>
      <c r="J2278" s="10" t="s">
        <v>13437</v>
      </c>
      <c r="K2278" s="10" t="s">
        <v>14877</v>
      </c>
      <c r="L2278" s="10" t="s">
        <v>42</v>
      </c>
    </row>
    <row r="2279" ht="15.75" customHeight="1">
      <c r="A2279" s="64">
        <v>45470.0</v>
      </c>
      <c r="B2279" s="55" t="str">
        <f>HYPERLINK("https://jobright.ai/jobs/info/667dc9d84ad514cf71dc133f?utm_campaign=1065&amp;utm_source=sheet", "Apply")</f>
        <v>Apply</v>
      </c>
      <c r="C2279" s="10" t="s">
        <v>14876</v>
      </c>
      <c r="D2279" s="56" t="s">
        <v>14380</v>
      </c>
      <c r="E2279" s="59">
        <v>45301.0</v>
      </c>
      <c r="F2279" s="10" t="s">
        <v>14381</v>
      </c>
      <c r="G2279" s="10" t="s">
        <v>12654</v>
      </c>
      <c r="H2279" s="10" t="s">
        <v>820</v>
      </c>
      <c r="I2279" s="10" t="s">
        <v>55</v>
      </c>
      <c r="J2279" s="10" t="s">
        <v>13437</v>
      </c>
      <c r="K2279" s="10" t="s">
        <v>14877</v>
      </c>
      <c r="L2279" s="10" t="s">
        <v>42</v>
      </c>
    </row>
    <row r="2280" ht="15.75" customHeight="1">
      <c r="A2280" s="64">
        <v>45470.0</v>
      </c>
      <c r="B2280" s="55" t="str">
        <f>HYPERLINK("https://jobright.ai/jobs/info/667dc9d84ad514cf71dc133d?utm_campaign=1065&amp;utm_source=sheet", "Apply")</f>
        <v>Apply</v>
      </c>
      <c r="C2280" s="10" t="s">
        <v>14876</v>
      </c>
      <c r="D2280" s="56" t="s">
        <v>14380</v>
      </c>
      <c r="E2280" s="59">
        <v>45301.0</v>
      </c>
      <c r="F2280" s="10" t="s">
        <v>14381</v>
      </c>
      <c r="G2280" s="10" t="s">
        <v>12654</v>
      </c>
      <c r="H2280" s="10" t="s">
        <v>1038</v>
      </c>
      <c r="I2280" s="10" t="s">
        <v>55</v>
      </c>
      <c r="J2280" s="10" t="s">
        <v>13437</v>
      </c>
      <c r="K2280" s="10" t="s">
        <v>14877</v>
      </c>
      <c r="L2280" s="10" t="s">
        <v>42</v>
      </c>
    </row>
    <row r="2281" ht="15.75" customHeight="1">
      <c r="A2281" s="64">
        <v>45470.0</v>
      </c>
      <c r="B2281" s="55" t="str">
        <f>HYPERLINK("https://jobright.ai/jobs/info/667dc9d84ad514cf71dc1345?utm_campaign=1065&amp;utm_source=sheet", "Apply")</f>
        <v>Apply</v>
      </c>
      <c r="C2281" s="10" t="s">
        <v>14876</v>
      </c>
      <c r="D2281" s="56" t="s">
        <v>14380</v>
      </c>
      <c r="E2281" s="59">
        <v>45301.0</v>
      </c>
      <c r="F2281" s="10" t="s">
        <v>14381</v>
      </c>
      <c r="G2281" s="10" t="s">
        <v>12654</v>
      </c>
      <c r="H2281" s="10" t="s">
        <v>605</v>
      </c>
      <c r="I2281" s="10" t="s">
        <v>55</v>
      </c>
      <c r="J2281" s="10" t="s">
        <v>13437</v>
      </c>
      <c r="K2281" s="10" t="s">
        <v>14877</v>
      </c>
      <c r="L2281" s="10" t="s">
        <v>42</v>
      </c>
    </row>
    <row r="2282" ht="15.75" customHeight="1">
      <c r="A2282" s="64">
        <v>45470.0</v>
      </c>
      <c r="B2282" s="55" t="str">
        <f>HYPERLINK("https://jobright.ai/jobs/info/667dc9d84ad514cf71dc1346?utm_campaign=1065&amp;utm_source=sheet", "Apply")</f>
        <v>Apply</v>
      </c>
      <c r="C2282" s="10" t="s">
        <v>14876</v>
      </c>
      <c r="D2282" s="56" t="s">
        <v>14380</v>
      </c>
      <c r="E2282" s="59">
        <v>45301.0</v>
      </c>
      <c r="F2282" s="10" t="s">
        <v>14381</v>
      </c>
      <c r="G2282" s="10" t="s">
        <v>12654</v>
      </c>
      <c r="H2282" s="10" t="s">
        <v>986</v>
      </c>
      <c r="I2282" s="10" t="s">
        <v>55</v>
      </c>
      <c r="J2282" s="10" t="s">
        <v>13437</v>
      </c>
      <c r="K2282" s="10" t="s">
        <v>14877</v>
      </c>
      <c r="L2282" s="10" t="s">
        <v>42</v>
      </c>
    </row>
    <row r="2283" ht="15.75" customHeight="1">
      <c r="A2283" s="64">
        <v>45470.0</v>
      </c>
      <c r="B2283" s="55" t="str">
        <f>HYPERLINK("https://jobright.ai/jobs/info/667dc9d84ad514cf71dc134a?utm_campaign=1065&amp;utm_source=sheet", "Apply")</f>
        <v>Apply</v>
      </c>
      <c r="C2283" s="10" t="s">
        <v>14876</v>
      </c>
      <c r="D2283" s="56" t="s">
        <v>14380</v>
      </c>
      <c r="E2283" s="59">
        <v>45301.0</v>
      </c>
      <c r="F2283" s="10" t="s">
        <v>14381</v>
      </c>
      <c r="G2283" s="10" t="s">
        <v>12654</v>
      </c>
      <c r="H2283" s="10" t="s">
        <v>846</v>
      </c>
      <c r="I2283" s="10" t="s">
        <v>55</v>
      </c>
      <c r="J2283" s="10" t="s">
        <v>13437</v>
      </c>
      <c r="K2283" s="10" t="s">
        <v>14877</v>
      </c>
      <c r="L2283" s="10" t="s">
        <v>42</v>
      </c>
    </row>
    <row r="2284" ht="15.75" customHeight="1">
      <c r="A2284" s="64">
        <v>45470.0</v>
      </c>
      <c r="B2284" s="55" t="str">
        <f>HYPERLINK("https://jobright.ai/jobs/info/667dc9d84ad514cf71dc134b?utm_campaign=1065&amp;utm_source=sheet", "Apply")</f>
        <v>Apply</v>
      </c>
      <c r="C2284" s="10" t="s">
        <v>14876</v>
      </c>
      <c r="D2284" s="56" t="s">
        <v>14380</v>
      </c>
      <c r="E2284" s="59">
        <v>45301.0</v>
      </c>
      <c r="F2284" s="10" t="s">
        <v>14381</v>
      </c>
      <c r="G2284" s="10" t="s">
        <v>12654</v>
      </c>
      <c r="H2284" s="10" t="s">
        <v>971</v>
      </c>
      <c r="I2284" s="10" t="s">
        <v>55</v>
      </c>
      <c r="J2284" s="10" t="s">
        <v>13437</v>
      </c>
      <c r="K2284" s="10" t="s">
        <v>14877</v>
      </c>
      <c r="L2284" s="10" t="s">
        <v>42</v>
      </c>
    </row>
    <row r="2285" ht="15.75" customHeight="1">
      <c r="A2285" s="64">
        <v>45470.0</v>
      </c>
      <c r="B2285" s="55" t="str">
        <f>HYPERLINK("https://jobright.ai/jobs/info/667dc9d84ad514cf71dc1348?utm_campaign=1065&amp;utm_source=sheet", "Apply")</f>
        <v>Apply</v>
      </c>
      <c r="C2285" s="10" t="s">
        <v>14876</v>
      </c>
      <c r="D2285" s="56" t="s">
        <v>14380</v>
      </c>
      <c r="E2285" s="59">
        <v>45301.0</v>
      </c>
      <c r="F2285" s="10" t="s">
        <v>14381</v>
      </c>
      <c r="G2285" s="10" t="s">
        <v>12654</v>
      </c>
      <c r="H2285" s="10" t="s">
        <v>423</v>
      </c>
      <c r="I2285" s="10" t="s">
        <v>55</v>
      </c>
      <c r="J2285" s="10" t="s">
        <v>13437</v>
      </c>
      <c r="K2285" s="10" t="s">
        <v>14877</v>
      </c>
      <c r="L2285" s="10" t="s">
        <v>42</v>
      </c>
    </row>
    <row r="2286" ht="15.75" customHeight="1">
      <c r="A2286" s="64">
        <v>45470.0</v>
      </c>
      <c r="B2286" s="55" t="str">
        <f>HYPERLINK("https://jobright.ai/jobs/info/667dc9d84ad514cf71dc1349?utm_campaign=1065&amp;utm_source=sheet", "Apply")</f>
        <v>Apply</v>
      </c>
      <c r="C2286" s="10" t="s">
        <v>14876</v>
      </c>
      <c r="D2286" s="56" t="s">
        <v>14380</v>
      </c>
      <c r="E2286" s="59">
        <v>45301.0</v>
      </c>
      <c r="F2286" s="10" t="s">
        <v>14381</v>
      </c>
      <c r="G2286" s="10" t="s">
        <v>12654</v>
      </c>
      <c r="H2286" s="10" t="s">
        <v>411</v>
      </c>
      <c r="I2286" s="10" t="s">
        <v>55</v>
      </c>
      <c r="J2286" s="10" t="s">
        <v>13437</v>
      </c>
      <c r="K2286" s="10" t="s">
        <v>14877</v>
      </c>
      <c r="L2286" s="10" t="s">
        <v>42</v>
      </c>
    </row>
    <row r="2287" ht="15.75" customHeight="1">
      <c r="A2287" s="64">
        <v>45470.0</v>
      </c>
      <c r="B2287" s="55" t="str">
        <f>HYPERLINK("https://jobright.ai/jobs/info/667dc9d84ad514cf71dc1347?utm_campaign=1065&amp;utm_source=sheet", "Apply")</f>
        <v>Apply</v>
      </c>
      <c r="C2287" s="10" t="s">
        <v>14876</v>
      </c>
      <c r="D2287" s="56" t="s">
        <v>14380</v>
      </c>
      <c r="E2287" s="59">
        <v>45301.0</v>
      </c>
      <c r="F2287" s="10" t="s">
        <v>14381</v>
      </c>
      <c r="G2287" s="10" t="s">
        <v>12654</v>
      </c>
      <c r="H2287" s="10" t="s">
        <v>968</v>
      </c>
      <c r="I2287" s="10" t="s">
        <v>55</v>
      </c>
      <c r="J2287" s="10" t="s">
        <v>13437</v>
      </c>
      <c r="K2287" s="10" t="s">
        <v>14877</v>
      </c>
      <c r="L2287" s="10" t="s">
        <v>42</v>
      </c>
    </row>
    <row r="2288" ht="15.75" customHeight="1">
      <c r="A2288" s="64">
        <v>45470.0</v>
      </c>
      <c r="B2288" s="55" t="str">
        <f>HYPERLINK("https://jobright.ai/jobs/info/667dc9d84ad514cf71dc134c?utm_campaign=1065&amp;utm_source=sheet", "Apply")</f>
        <v>Apply</v>
      </c>
      <c r="C2288" s="10" t="s">
        <v>14876</v>
      </c>
      <c r="D2288" s="56" t="s">
        <v>14380</v>
      </c>
      <c r="E2288" s="59">
        <v>45301.0</v>
      </c>
      <c r="F2288" s="10" t="s">
        <v>14381</v>
      </c>
      <c r="G2288" s="10" t="s">
        <v>12654</v>
      </c>
      <c r="H2288" s="10" t="s">
        <v>1035</v>
      </c>
      <c r="I2288" s="10" t="s">
        <v>55</v>
      </c>
      <c r="J2288" s="10" t="s">
        <v>13437</v>
      </c>
      <c r="K2288" s="10" t="s">
        <v>14877</v>
      </c>
      <c r="L2288" s="10" t="s">
        <v>42</v>
      </c>
    </row>
    <row r="2289" ht="15.75" customHeight="1">
      <c r="A2289" s="64">
        <v>45470.0</v>
      </c>
      <c r="B2289" s="55" t="str">
        <f>HYPERLINK("https://jobright.ai/jobs/info/667dc9d84ad514cf71dc134e?utm_campaign=1065&amp;utm_source=sheet", "Apply")</f>
        <v>Apply</v>
      </c>
      <c r="C2289" s="10" t="s">
        <v>14876</v>
      </c>
      <c r="D2289" s="56" t="s">
        <v>14380</v>
      </c>
      <c r="E2289" s="59">
        <v>45301.0</v>
      </c>
      <c r="F2289" s="10" t="s">
        <v>14381</v>
      </c>
      <c r="G2289" s="10" t="s">
        <v>12654</v>
      </c>
      <c r="H2289" s="10" t="s">
        <v>216</v>
      </c>
      <c r="I2289" s="10" t="s">
        <v>55</v>
      </c>
      <c r="J2289" s="10" t="s">
        <v>13437</v>
      </c>
      <c r="K2289" s="10" t="s">
        <v>14877</v>
      </c>
      <c r="L2289" s="10" t="s">
        <v>42</v>
      </c>
    </row>
    <row r="2290" ht="15.75" customHeight="1">
      <c r="A2290" s="64">
        <v>45470.0</v>
      </c>
      <c r="B2290" s="55" t="str">
        <f>HYPERLINK("https://jobright.ai/jobs/info/667dc9d84ad514cf71dc134d?utm_campaign=1065&amp;utm_source=sheet", "Apply")</f>
        <v>Apply</v>
      </c>
      <c r="C2290" s="10" t="s">
        <v>14876</v>
      </c>
      <c r="D2290" s="56" t="s">
        <v>14380</v>
      </c>
      <c r="E2290" s="59">
        <v>45301.0</v>
      </c>
      <c r="F2290" s="10" t="s">
        <v>14381</v>
      </c>
      <c r="G2290" s="10" t="s">
        <v>12654</v>
      </c>
      <c r="H2290" s="10" t="s">
        <v>572</v>
      </c>
      <c r="I2290" s="10" t="s">
        <v>55</v>
      </c>
      <c r="J2290" s="10" t="s">
        <v>13437</v>
      </c>
      <c r="K2290" s="10" t="s">
        <v>14877</v>
      </c>
      <c r="L2290" s="10" t="s">
        <v>42</v>
      </c>
    </row>
    <row r="2291" ht="15.75" customHeight="1">
      <c r="A2291" s="64">
        <v>45470.0</v>
      </c>
      <c r="B2291" s="55" t="str">
        <f>HYPERLINK("https://jobright.ai/jobs/info/667dc9d84ad514cf71dc1350?utm_campaign=1065&amp;utm_source=sheet", "Apply")</f>
        <v>Apply</v>
      </c>
      <c r="C2291" s="10" t="s">
        <v>14876</v>
      </c>
      <c r="D2291" s="56" t="s">
        <v>14380</v>
      </c>
      <c r="E2291" s="59">
        <v>45301.0</v>
      </c>
      <c r="F2291" s="10" t="s">
        <v>14381</v>
      </c>
      <c r="G2291" s="10" t="s">
        <v>12654</v>
      </c>
      <c r="H2291" s="10" t="s">
        <v>897</v>
      </c>
      <c r="I2291" s="10" t="s">
        <v>55</v>
      </c>
      <c r="J2291" s="10" t="s">
        <v>13437</v>
      </c>
      <c r="K2291" s="10" t="s">
        <v>14877</v>
      </c>
      <c r="L2291" s="10" t="s">
        <v>42</v>
      </c>
    </row>
    <row r="2292" ht="15.75" customHeight="1">
      <c r="A2292" s="64">
        <v>45470.0</v>
      </c>
      <c r="B2292" s="55" t="str">
        <f>HYPERLINK("https://jobright.ai/jobs/info/667dc9d84ad514cf71dc1351?utm_campaign=1065&amp;utm_source=sheet", "Apply")</f>
        <v>Apply</v>
      </c>
      <c r="C2292" s="10" t="s">
        <v>14876</v>
      </c>
      <c r="D2292" s="56" t="s">
        <v>14380</v>
      </c>
      <c r="E2292" s="59">
        <v>45301.0</v>
      </c>
      <c r="F2292" s="10" t="s">
        <v>14381</v>
      </c>
      <c r="G2292" s="10" t="s">
        <v>12654</v>
      </c>
      <c r="H2292" s="10" t="s">
        <v>824</v>
      </c>
      <c r="I2292" s="10" t="s">
        <v>55</v>
      </c>
      <c r="J2292" s="10" t="s">
        <v>13437</v>
      </c>
      <c r="K2292" s="10" t="s">
        <v>14877</v>
      </c>
      <c r="L2292" s="10" t="s">
        <v>42</v>
      </c>
    </row>
    <row r="2293" ht="15.75" customHeight="1">
      <c r="A2293" s="64">
        <v>45470.0</v>
      </c>
      <c r="B2293" s="55" t="str">
        <f>HYPERLINK("https://jobright.ai/jobs/info/667dc9d84ad514cf71dc134f?utm_campaign=1065&amp;utm_source=sheet", "Apply")</f>
        <v>Apply</v>
      </c>
      <c r="C2293" s="10" t="s">
        <v>14876</v>
      </c>
      <c r="D2293" s="56" t="s">
        <v>14380</v>
      </c>
      <c r="E2293" s="59">
        <v>45301.0</v>
      </c>
      <c r="F2293" s="10" t="s">
        <v>14381</v>
      </c>
      <c r="G2293" s="10" t="s">
        <v>12654</v>
      </c>
      <c r="H2293" s="10" t="s">
        <v>1036</v>
      </c>
      <c r="I2293" s="10" t="s">
        <v>55</v>
      </c>
      <c r="J2293" s="10" t="s">
        <v>13437</v>
      </c>
      <c r="K2293" s="10" t="s">
        <v>14877</v>
      </c>
      <c r="L2293" s="10" t="s">
        <v>42</v>
      </c>
    </row>
    <row r="2294" ht="15.75" customHeight="1">
      <c r="A2294" s="64">
        <v>45470.0</v>
      </c>
      <c r="B2294" s="55" t="str">
        <f>HYPERLINK("https://jobright.ai/jobs/info/667e0c2348f3492b0f46cdd9?utm_campaign=1065&amp;utm_source=sheet", "Apply")</f>
        <v>Apply</v>
      </c>
      <c r="C2294" s="10" t="s">
        <v>14876</v>
      </c>
      <c r="D2294" s="56" t="s">
        <v>14380</v>
      </c>
      <c r="E2294" s="59">
        <v>45301.0</v>
      </c>
      <c r="F2294" s="10" t="s">
        <v>14381</v>
      </c>
      <c r="G2294" s="10" t="s">
        <v>12654</v>
      </c>
      <c r="H2294" s="10" t="s">
        <v>790</v>
      </c>
      <c r="I2294" s="10" t="s">
        <v>55</v>
      </c>
      <c r="J2294" s="10" t="s">
        <v>13437</v>
      </c>
      <c r="K2294" s="10" t="s">
        <v>14877</v>
      </c>
      <c r="L2294" s="10" t="s">
        <v>42</v>
      </c>
    </row>
    <row r="2295" ht="15.75" customHeight="1">
      <c r="A2295" s="64">
        <v>45470.0</v>
      </c>
      <c r="B2295" s="55" t="str">
        <f>HYPERLINK("https://jobright.ai/jobs/info/667dd5b849161264b2727f27?utm_campaign=1065&amp;utm_source=sheet", "Apply")</f>
        <v>Apply</v>
      </c>
      <c r="C2295" s="10" t="s">
        <v>14876</v>
      </c>
      <c r="D2295" s="56" t="s">
        <v>14380</v>
      </c>
      <c r="E2295" s="59">
        <v>45301.0</v>
      </c>
      <c r="F2295" s="10" t="s">
        <v>14381</v>
      </c>
      <c r="G2295" s="10" t="s">
        <v>12654</v>
      </c>
      <c r="H2295" s="10" t="s">
        <v>813</v>
      </c>
      <c r="I2295" s="10" t="s">
        <v>55</v>
      </c>
      <c r="J2295" s="10" t="s">
        <v>13437</v>
      </c>
      <c r="K2295" s="10" t="s">
        <v>14877</v>
      </c>
      <c r="L2295" s="10" t="s">
        <v>42</v>
      </c>
    </row>
    <row r="2296" ht="15.75" customHeight="1">
      <c r="A2296" s="64">
        <v>45470.0</v>
      </c>
      <c r="B2296" s="55" t="str">
        <f>HYPERLINK("https://jobright.ai/jobs/info/667dd5b849161264b2727f24?utm_campaign=1065&amp;utm_source=sheet", "Apply")</f>
        <v>Apply</v>
      </c>
      <c r="C2296" s="10" t="s">
        <v>14876</v>
      </c>
      <c r="D2296" s="56" t="s">
        <v>14380</v>
      </c>
      <c r="E2296" s="59">
        <v>45301.0</v>
      </c>
      <c r="F2296" s="10" t="s">
        <v>14381</v>
      </c>
      <c r="G2296" s="10" t="s">
        <v>12654</v>
      </c>
      <c r="H2296" s="10" t="s">
        <v>1047</v>
      </c>
      <c r="I2296" s="10" t="s">
        <v>55</v>
      </c>
      <c r="J2296" s="10" t="s">
        <v>13437</v>
      </c>
      <c r="K2296" s="10" t="s">
        <v>14877</v>
      </c>
      <c r="L2296" s="10" t="s">
        <v>42</v>
      </c>
    </row>
    <row r="2297" ht="15.75" customHeight="1">
      <c r="A2297" s="64">
        <v>45470.0</v>
      </c>
      <c r="B2297" s="55" t="str">
        <f>HYPERLINK("https://jobright.ai/jobs/info/667dd5b849161264b2727f2b?utm_campaign=1065&amp;utm_source=sheet", "Apply")</f>
        <v>Apply</v>
      </c>
      <c r="C2297" s="10" t="s">
        <v>14876</v>
      </c>
      <c r="D2297" s="56" t="s">
        <v>14380</v>
      </c>
      <c r="E2297" s="59">
        <v>45301.0</v>
      </c>
      <c r="F2297" s="10" t="s">
        <v>14381</v>
      </c>
      <c r="G2297" s="10" t="s">
        <v>12654</v>
      </c>
      <c r="H2297" s="10" t="s">
        <v>994</v>
      </c>
      <c r="I2297" s="10" t="s">
        <v>55</v>
      </c>
      <c r="J2297" s="10" t="s">
        <v>13437</v>
      </c>
      <c r="K2297" s="10" t="s">
        <v>14877</v>
      </c>
      <c r="L2297" s="10" t="s">
        <v>42</v>
      </c>
    </row>
    <row r="2298" ht="15.75" customHeight="1">
      <c r="A2298" s="64">
        <v>45470.0</v>
      </c>
      <c r="B2298" s="55" t="str">
        <f>HYPERLINK("https://jobright.ai/jobs/info/667dd5b849161264b2727f22?utm_campaign=1065&amp;utm_source=sheet", "Apply")</f>
        <v>Apply</v>
      </c>
      <c r="C2298" s="10" t="s">
        <v>14876</v>
      </c>
      <c r="D2298" s="56" t="s">
        <v>14380</v>
      </c>
      <c r="E2298" s="59">
        <v>45301.0</v>
      </c>
      <c r="F2298" s="10" t="s">
        <v>14381</v>
      </c>
      <c r="G2298" s="10" t="s">
        <v>12654</v>
      </c>
      <c r="H2298" s="10" t="s">
        <v>803</v>
      </c>
      <c r="I2298" s="10" t="s">
        <v>55</v>
      </c>
      <c r="J2298" s="10" t="s">
        <v>13437</v>
      </c>
      <c r="K2298" s="10" t="s">
        <v>14877</v>
      </c>
      <c r="L2298" s="10" t="s">
        <v>42</v>
      </c>
    </row>
    <row r="2299" ht="15.75" customHeight="1">
      <c r="A2299" s="64">
        <v>45470.0</v>
      </c>
      <c r="B2299" s="55" t="str">
        <f>HYPERLINK("https://jobright.ai/jobs/info/667dd5b849161264b2727f25?utm_campaign=1065&amp;utm_source=sheet", "Apply")</f>
        <v>Apply</v>
      </c>
      <c r="C2299" s="10" t="s">
        <v>14876</v>
      </c>
      <c r="D2299" s="56" t="s">
        <v>14380</v>
      </c>
      <c r="E2299" s="59">
        <v>45301.0</v>
      </c>
      <c r="F2299" s="10" t="s">
        <v>14381</v>
      </c>
      <c r="G2299" s="10" t="s">
        <v>12654</v>
      </c>
      <c r="H2299" s="10" t="s">
        <v>1046</v>
      </c>
      <c r="I2299" s="10" t="s">
        <v>55</v>
      </c>
      <c r="J2299" s="10" t="s">
        <v>13437</v>
      </c>
      <c r="K2299" s="10" t="s">
        <v>14877</v>
      </c>
      <c r="L2299" s="10" t="s">
        <v>42</v>
      </c>
    </row>
    <row r="2300" ht="15.75" customHeight="1">
      <c r="A2300" s="64">
        <v>45470.0</v>
      </c>
      <c r="B2300" s="55" t="str">
        <f>HYPERLINK("https://jobright.ai/jobs/info/667dd5b849161264b2727f26?utm_campaign=1065&amp;utm_source=sheet", "Apply")</f>
        <v>Apply</v>
      </c>
      <c r="C2300" s="10" t="s">
        <v>14876</v>
      </c>
      <c r="D2300" s="56" t="s">
        <v>14380</v>
      </c>
      <c r="E2300" s="59">
        <v>45301.0</v>
      </c>
      <c r="F2300" s="10" t="s">
        <v>14381</v>
      </c>
      <c r="G2300" s="10" t="s">
        <v>12654</v>
      </c>
      <c r="H2300" s="10" t="s">
        <v>980</v>
      </c>
      <c r="I2300" s="10" t="s">
        <v>55</v>
      </c>
      <c r="J2300" s="10" t="s">
        <v>13437</v>
      </c>
      <c r="K2300" s="10" t="s">
        <v>14877</v>
      </c>
      <c r="L2300" s="10" t="s">
        <v>42</v>
      </c>
    </row>
    <row r="2301" ht="15.75" customHeight="1">
      <c r="A2301" s="64">
        <v>45470.0</v>
      </c>
      <c r="B2301" s="55" t="str">
        <f>HYPERLINK("https://jobright.ai/jobs/info/667dd5b849161264b2727f2d?utm_campaign=1065&amp;utm_source=sheet", "Apply")</f>
        <v>Apply</v>
      </c>
      <c r="C2301" s="10" t="s">
        <v>14876</v>
      </c>
      <c r="D2301" s="56" t="s">
        <v>14380</v>
      </c>
      <c r="E2301" s="59">
        <v>45301.0</v>
      </c>
      <c r="F2301" s="10" t="s">
        <v>14381</v>
      </c>
      <c r="G2301" s="10" t="s">
        <v>12654</v>
      </c>
      <c r="H2301" s="10" t="s">
        <v>807</v>
      </c>
      <c r="I2301" s="10" t="s">
        <v>55</v>
      </c>
      <c r="J2301" s="10" t="s">
        <v>13437</v>
      </c>
      <c r="K2301" s="10" t="s">
        <v>14877</v>
      </c>
      <c r="L2301" s="10" t="s">
        <v>42</v>
      </c>
    </row>
    <row r="2302" ht="15.75" customHeight="1">
      <c r="A2302" s="64">
        <v>45470.0</v>
      </c>
      <c r="B2302" s="55" t="str">
        <f>HYPERLINK("https://jobright.ai/jobs/info/667dd5b849161264b2727f29?utm_campaign=1065&amp;utm_source=sheet", "Apply")</f>
        <v>Apply</v>
      </c>
      <c r="C2302" s="10" t="s">
        <v>14876</v>
      </c>
      <c r="D2302" s="56" t="s">
        <v>14380</v>
      </c>
      <c r="E2302" s="59">
        <v>45301.0</v>
      </c>
      <c r="F2302" s="10" t="s">
        <v>14381</v>
      </c>
      <c r="G2302" s="10" t="s">
        <v>12654</v>
      </c>
      <c r="H2302" s="10" t="s">
        <v>1017</v>
      </c>
      <c r="I2302" s="10" t="s">
        <v>55</v>
      </c>
      <c r="J2302" s="10" t="s">
        <v>13437</v>
      </c>
      <c r="K2302" s="10" t="s">
        <v>14877</v>
      </c>
      <c r="L2302" s="10" t="s">
        <v>42</v>
      </c>
    </row>
    <row r="2303" ht="15.75" customHeight="1">
      <c r="A2303" s="64">
        <v>45470.0</v>
      </c>
      <c r="B2303" s="55" t="str">
        <f>HYPERLINK("https://jobright.ai/jobs/info/667dd5b849161264b2727f28?utm_campaign=1065&amp;utm_source=sheet", "Apply")</f>
        <v>Apply</v>
      </c>
      <c r="C2303" s="10" t="s">
        <v>14876</v>
      </c>
      <c r="D2303" s="56" t="s">
        <v>14380</v>
      </c>
      <c r="E2303" s="59">
        <v>45301.0</v>
      </c>
      <c r="F2303" s="10" t="s">
        <v>14381</v>
      </c>
      <c r="G2303" s="10" t="s">
        <v>12654</v>
      </c>
      <c r="H2303" s="10" t="s">
        <v>806</v>
      </c>
      <c r="I2303" s="10" t="s">
        <v>55</v>
      </c>
      <c r="J2303" s="10" t="s">
        <v>13437</v>
      </c>
      <c r="K2303" s="10" t="s">
        <v>14877</v>
      </c>
      <c r="L2303" s="10" t="s">
        <v>42</v>
      </c>
    </row>
    <row r="2304" ht="15.75" customHeight="1">
      <c r="A2304" s="64">
        <v>45470.0</v>
      </c>
      <c r="B2304" s="55" t="str">
        <f>HYPERLINK("https://jobright.ai/jobs/info/667dd5b849161264b2727f2f?utm_campaign=1065&amp;utm_source=sheet", "Apply")</f>
        <v>Apply</v>
      </c>
      <c r="C2304" s="10" t="s">
        <v>14876</v>
      </c>
      <c r="D2304" s="56" t="s">
        <v>14380</v>
      </c>
      <c r="E2304" s="59">
        <v>45301.0</v>
      </c>
      <c r="F2304" s="10" t="s">
        <v>14381</v>
      </c>
      <c r="G2304" s="10" t="s">
        <v>12654</v>
      </c>
      <c r="H2304" s="10" t="s">
        <v>578</v>
      </c>
      <c r="I2304" s="10" t="s">
        <v>55</v>
      </c>
      <c r="J2304" s="10" t="s">
        <v>13437</v>
      </c>
      <c r="K2304" s="10" t="s">
        <v>14877</v>
      </c>
      <c r="L2304" s="10" t="s">
        <v>42</v>
      </c>
    </row>
    <row r="2305" ht="15.75" customHeight="1">
      <c r="A2305" s="64">
        <v>45470.0</v>
      </c>
      <c r="B2305" s="55" t="str">
        <f>HYPERLINK("https://jobright.ai/jobs/info/667dd5b849161264b2727f23?utm_campaign=1065&amp;utm_source=sheet", "Apply")</f>
        <v>Apply</v>
      </c>
      <c r="C2305" s="10" t="s">
        <v>14876</v>
      </c>
      <c r="D2305" s="56" t="s">
        <v>14380</v>
      </c>
      <c r="E2305" s="59">
        <v>45301.0</v>
      </c>
      <c r="F2305" s="10" t="s">
        <v>14381</v>
      </c>
      <c r="G2305" s="10" t="s">
        <v>12654</v>
      </c>
      <c r="H2305" s="10" t="s">
        <v>822</v>
      </c>
      <c r="I2305" s="10" t="s">
        <v>55</v>
      </c>
      <c r="J2305" s="10" t="s">
        <v>13437</v>
      </c>
      <c r="K2305" s="10" t="s">
        <v>14877</v>
      </c>
      <c r="L2305" s="10" t="s">
        <v>42</v>
      </c>
    </row>
    <row r="2306" ht="15.75" customHeight="1">
      <c r="A2306" s="64">
        <v>45470.0</v>
      </c>
      <c r="B2306" s="55" t="str">
        <f>HYPERLINK("https://jobright.ai/jobs/info/667dd5b849161264b2727f2c?utm_campaign=1065&amp;utm_source=sheet", "Apply")</f>
        <v>Apply</v>
      </c>
      <c r="C2306" s="10" t="s">
        <v>14876</v>
      </c>
      <c r="D2306" s="56" t="s">
        <v>14380</v>
      </c>
      <c r="E2306" s="59">
        <v>45301.0</v>
      </c>
      <c r="F2306" s="10" t="s">
        <v>14381</v>
      </c>
      <c r="G2306" s="10" t="s">
        <v>12654</v>
      </c>
      <c r="H2306" s="10" t="s">
        <v>1030</v>
      </c>
      <c r="I2306" s="10" t="s">
        <v>55</v>
      </c>
      <c r="J2306" s="10" t="s">
        <v>13437</v>
      </c>
      <c r="K2306" s="10" t="s">
        <v>14877</v>
      </c>
      <c r="L2306" s="10" t="s">
        <v>42</v>
      </c>
    </row>
    <row r="2307" ht="15.75" customHeight="1">
      <c r="A2307" s="64">
        <v>45470.0</v>
      </c>
      <c r="B2307" s="55" t="str">
        <f>HYPERLINK("https://jobright.ai/jobs/info/667dd5b849161264b2727f2e?utm_campaign=1065&amp;utm_source=sheet", "Apply")</f>
        <v>Apply</v>
      </c>
      <c r="C2307" s="10" t="s">
        <v>14876</v>
      </c>
      <c r="D2307" s="56" t="s">
        <v>14380</v>
      </c>
      <c r="E2307" s="59">
        <v>45301.0</v>
      </c>
      <c r="F2307" s="10" t="s">
        <v>14381</v>
      </c>
      <c r="G2307" s="10" t="s">
        <v>12654</v>
      </c>
      <c r="H2307" s="10" t="s">
        <v>770</v>
      </c>
      <c r="I2307" s="10" t="s">
        <v>55</v>
      </c>
      <c r="J2307" s="10" t="s">
        <v>13437</v>
      </c>
      <c r="K2307" s="10" t="s">
        <v>14877</v>
      </c>
      <c r="L2307" s="10" t="s">
        <v>42</v>
      </c>
    </row>
    <row r="2308" ht="15.75" customHeight="1">
      <c r="A2308" s="64">
        <v>45470.0</v>
      </c>
      <c r="B2308" s="55" t="str">
        <f>HYPERLINK("https://jobright.ai/jobs/info/667dd5b849161264b2727f3a?utm_campaign=1065&amp;utm_source=sheet", "Apply")</f>
        <v>Apply</v>
      </c>
      <c r="C2308" s="10" t="s">
        <v>14876</v>
      </c>
      <c r="D2308" s="56" t="s">
        <v>14380</v>
      </c>
      <c r="E2308" s="59">
        <v>45301.0</v>
      </c>
      <c r="F2308" s="10" t="s">
        <v>14381</v>
      </c>
      <c r="G2308" s="10" t="s">
        <v>12654</v>
      </c>
      <c r="H2308" s="10" t="s">
        <v>1019</v>
      </c>
      <c r="I2308" s="10" t="s">
        <v>55</v>
      </c>
      <c r="J2308" s="10" t="s">
        <v>13437</v>
      </c>
      <c r="K2308" s="10" t="s">
        <v>14877</v>
      </c>
      <c r="L2308" s="10" t="s">
        <v>42</v>
      </c>
    </row>
    <row r="2309" ht="15.75" customHeight="1">
      <c r="A2309" s="64">
        <v>45470.0</v>
      </c>
      <c r="B2309" s="55" t="str">
        <f>HYPERLINK("https://jobright.ai/jobs/info/667dd5b849161264b2727f39?utm_campaign=1065&amp;utm_source=sheet", "Apply")</f>
        <v>Apply</v>
      </c>
      <c r="C2309" s="10" t="s">
        <v>14876</v>
      </c>
      <c r="D2309" s="56" t="s">
        <v>14380</v>
      </c>
      <c r="E2309" s="59">
        <v>45301.0</v>
      </c>
      <c r="F2309" s="10" t="s">
        <v>14381</v>
      </c>
      <c r="G2309" s="10" t="s">
        <v>12654</v>
      </c>
      <c r="H2309" s="10" t="s">
        <v>927</v>
      </c>
      <c r="I2309" s="10" t="s">
        <v>55</v>
      </c>
      <c r="J2309" s="10" t="s">
        <v>13437</v>
      </c>
      <c r="K2309" s="10" t="s">
        <v>14877</v>
      </c>
      <c r="L2309" s="10" t="s">
        <v>42</v>
      </c>
    </row>
    <row r="2310" ht="15.75" customHeight="1">
      <c r="A2310" s="64">
        <v>45470.0</v>
      </c>
      <c r="B2310" s="55" t="str">
        <f>HYPERLINK("https://jobright.ai/jobs/info/667dd5b849161264b2727f34?utm_campaign=1065&amp;utm_source=sheet", "Apply")</f>
        <v>Apply</v>
      </c>
      <c r="C2310" s="10" t="s">
        <v>14876</v>
      </c>
      <c r="D2310" s="56" t="s">
        <v>14380</v>
      </c>
      <c r="E2310" s="59">
        <v>45301.0</v>
      </c>
      <c r="F2310" s="10" t="s">
        <v>14381</v>
      </c>
      <c r="G2310" s="10" t="s">
        <v>12654</v>
      </c>
      <c r="H2310" s="10" t="s">
        <v>775</v>
      </c>
      <c r="I2310" s="10" t="s">
        <v>55</v>
      </c>
      <c r="J2310" s="10" t="s">
        <v>13437</v>
      </c>
      <c r="K2310" s="10" t="s">
        <v>14877</v>
      </c>
      <c r="L2310" s="10" t="s">
        <v>42</v>
      </c>
    </row>
    <row r="2311" ht="15.75" customHeight="1">
      <c r="A2311" s="64">
        <v>45470.0</v>
      </c>
      <c r="B2311" s="55" t="str">
        <f>HYPERLINK("https://jobright.ai/jobs/info/667dd5b849161264b2727f3b?utm_campaign=1065&amp;utm_source=sheet", "Apply")</f>
        <v>Apply</v>
      </c>
      <c r="C2311" s="10" t="s">
        <v>14876</v>
      </c>
      <c r="D2311" s="56" t="s">
        <v>14380</v>
      </c>
      <c r="E2311" s="59">
        <v>45301.0</v>
      </c>
      <c r="F2311" s="10" t="s">
        <v>14381</v>
      </c>
      <c r="G2311" s="10" t="s">
        <v>12654</v>
      </c>
      <c r="H2311" s="10" t="s">
        <v>896</v>
      </c>
      <c r="I2311" s="10" t="s">
        <v>55</v>
      </c>
      <c r="J2311" s="10" t="s">
        <v>13437</v>
      </c>
      <c r="K2311" s="10" t="s">
        <v>14877</v>
      </c>
      <c r="L2311" s="10" t="s">
        <v>42</v>
      </c>
    </row>
    <row r="2312" ht="15.75" customHeight="1">
      <c r="A2312" s="64">
        <v>45470.0</v>
      </c>
      <c r="B2312" s="55" t="str">
        <f>HYPERLINK("https://jobright.ai/jobs/info/667dd5b849161264b2727f38?utm_campaign=1065&amp;utm_source=sheet", "Apply")</f>
        <v>Apply</v>
      </c>
      <c r="C2312" s="10" t="s">
        <v>14876</v>
      </c>
      <c r="D2312" s="56" t="s">
        <v>14380</v>
      </c>
      <c r="E2312" s="59">
        <v>45301.0</v>
      </c>
      <c r="F2312" s="10" t="s">
        <v>14381</v>
      </c>
      <c r="G2312" s="10" t="s">
        <v>12654</v>
      </c>
      <c r="H2312" s="10" t="s">
        <v>131</v>
      </c>
      <c r="I2312" s="10" t="s">
        <v>55</v>
      </c>
      <c r="J2312" s="10" t="s">
        <v>13437</v>
      </c>
      <c r="K2312" s="10" t="s">
        <v>14877</v>
      </c>
      <c r="L2312" s="10" t="s">
        <v>42</v>
      </c>
    </row>
    <row r="2313" ht="15.75" customHeight="1">
      <c r="A2313" s="64">
        <v>45470.0</v>
      </c>
      <c r="B2313" s="55" t="str">
        <f>HYPERLINK("https://jobright.ai/jobs/info/667dd5b849161264b2727f32?utm_campaign=1065&amp;utm_source=sheet", "Apply")</f>
        <v>Apply</v>
      </c>
      <c r="C2313" s="10" t="s">
        <v>14876</v>
      </c>
      <c r="D2313" s="56" t="s">
        <v>14380</v>
      </c>
      <c r="E2313" s="59">
        <v>45301.0</v>
      </c>
      <c r="F2313" s="10" t="s">
        <v>14381</v>
      </c>
      <c r="G2313" s="10" t="s">
        <v>12654</v>
      </c>
      <c r="H2313" s="10" t="s">
        <v>914</v>
      </c>
      <c r="I2313" s="10" t="s">
        <v>55</v>
      </c>
      <c r="J2313" s="10" t="s">
        <v>13437</v>
      </c>
      <c r="K2313" s="10" t="s">
        <v>14877</v>
      </c>
      <c r="L2313" s="10" t="s">
        <v>42</v>
      </c>
    </row>
    <row r="2314" ht="15.75" customHeight="1">
      <c r="A2314" s="64">
        <v>45470.0</v>
      </c>
      <c r="B2314" s="55" t="str">
        <f>HYPERLINK("https://jobright.ai/jobs/info/667dd5b849161264b2727f37?utm_campaign=1065&amp;utm_source=sheet", "Apply")</f>
        <v>Apply</v>
      </c>
      <c r="C2314" s="10" t="s">
        <v>14876</v>
      </c>
      <c r="D2314" s="56" t="s">
        <v>14380</v>
      </c>
      <c r="E2314" s="59">
        <v>45301.0</v>
      </c>
      <c r="F2314" s="10" t="s">
        <v>14381</v>
      </c>
      <c r="G2314" s="10" t="s">
        <v>12654</v>
      </c>
      <c r="H2314" s="10" t="s">
        <v>959</v>
      </c>
      <c r="I2314" s="10" t="s">
        <v>55</v>
      </c>
      <c r="J2314" s="10" t="s">
        <v>13437</v>
      </c>
      <c r="K2314" s="10" t="s">
        <v>14877</v>
      </c>
      <c r="L2314" s="10" t="s">
        <v>42</v>
      </c>
    </row>
    <row r="2315" ht="15.75" customHeight="1">
      <c r="A2315" s="64">
        <v>45470.0</v>
      </c>
      <c r="B2315" s="55" t="str">
        <f>HYPERLINK("https://jobright.ai/jobs/info/667dd5b849161264b2727f35?utm_campaign=1065&amp;utm_source=sheet", "Apply")</f>
        <v>Apply</v>
      </c>
      <c r="C2315" s="10" t="s">
        <v>14876</v>
      </c>
      <c r="D2315" s="56" t="s">
        <v>14380</v>
      </c>
      <c r="E2315" s="59">
        <v>45301.0</v>
      </c>
      <c r="F2315" s="10" t="s">
        <v>14381</v>
      </c>
      <c r="G2315" s="10" t="s">
        <v>12654</v>
      </c>
      <c r="H2315" s="10" t="s">
        <v>787</v>
      </c>
      <c r="I2315" s="10" t="s">
        <v>55</v>
      </c>
      <c r="J2315" s="10" t="s">
        <v>13437</v>
      </c>
      <c r="K2315" s="10" t="s">
        <v>14877</v>
      </c>
      <c r="L2315" s="10" t="s">
        <v>42</v>
      </c>
    </row>
    <row r="2316" ht="15.75" customHeight="1">
      <c r="A2316" s="64">
        <v>45470.0</v>
      </c>
      <c r="B2316" s="55" t="str">
        <f>HYPERLINK("https://jobright.ai/jobs/info/667dd5b849161264b2727f36?utm_campaign=1065&amp;utm_source=sheet", "Apply")</f>
        <v>Apply</v>
      </c>
      <c r="C2316" s="10" t="s">
        <v>14876</v>
      </c>
      <c r="D2316" s="56" t="s">
        <v>14380</v>
      </c>
      <c r="E2316" s="59">
        <v>45301.0</v>
      </c>
      <c r="F2316" s="10" t="s">
        <v>14381</v>
      </c>
      <c r="G2316" s="10" t="s">
        <v>12654</v>
      </c>
      <c r="H2316" s="10" t="s">
        <v>809</v>
      </c>
      <c r="I2316" s="10" t="s">
        <v>55</v>
      </c>
      <c r="J2316" s="10" t="s">
        <v>13437</v>
      </c>
      <c r="K2316" s="10" t="s">
        <v>14877</v>
      </c>
      <c r="L2316" s="10" t="s">
        <v>42</v>
      </c>
    </row>
    <row r="2317" ht="15.75" customHeight="1">
      <c r="A2317" s="64">
        <v>45470.0</v>
      </c>
      <c r="B2317" s="55" t="str">
        <f>HYPERLINK("https://jobright.ai/jobs/info/667dd5b849161264b2727f33?utm_campaign=1065&amp;utm_source=sheet", "Apply")</f>
        <v>Apply</v>
      </c>
      <c r="C2317" s="10" t="s">
        <v>14876</v>
      </c>
      <c r="D2317" s="56" t="s">
        <v>14380</v>
      </c>
      <c r="E2317" s="59">
        <v>45301.0</v>
      </c>
      <c r="F2317" s="10" t="s">
        <v>14381</v>
      </c>
      <c r="G2317" s="10" t="s">
        <v>12654</v>
      </c>
      <c r="H2317" s="10" t="s">
        <v>963</v>
      </c>
      <c r="I2317" s="10" t="s">
        <v>55</v>
      </c>
      <c r="J2317" s="10" t="s">
        <v>13437</v>
      </c>
      <c r="K2317" s="10" t="s">
        <v>14877</v>
      </c>
      <c r="L2317" s="10" t="s">
        <v>42</v>
      </c>
    </row>
    <row r="2318" ht="15.75" customHeight="1">
      <c r="A2318" s="64">
        <v>45470.0</v>
      </c>
      <c r="B2318" s="55" t="str">
        <f>HYPERLINK("https://jobright.ai/jobs/info/667dd5b849161264b2727f30?utm_campaign=1065&amp;utm_source=sheet", "Apply")</f>
        <v>Apply</v>
      </c>
      <c r="C2318" s="10" t="s">
        <v>14876</v>
      </c>
      <c r="D2318" s="56" t="s">
        <v>14380</v>
      </c>
      <c r="E2318" s="59">
        <v>45301.0</v>
      </c>
      <c r="F2318" s="10" t="s">
        <v>14381</v>
      </c>
      <c r="G2318" s="10" t="s">
        <v>12654</v>
      </c>
      <c r="H2318" s="10" t="s">
        <v>856</v>
      </c>
      <c r="I2318" s="10" t="s">
        <v>55</v>
      </c>
      <c r="J2318" s="10" t="s">
        <v>13437</v>
      </c>
      <c r="K2318" s="10" t="s">
        <v>14877</v>
      </c>
      <c r="L2318" s="10" t="s">
        <v>42</v>
      </c>
    </row>
    <row r="2319" ht="15.75" customHeight="1">
      <c r="A2319" s="64">
        <v>45470.0</v>
      </c>
      <c r="B2319" s="55" t="str">
        <f>HYPERLINK("https://jobright.ai/jobs/info/667dd5b849161264b2727f31?utm_campaign=1065&amp;utm_source=sheet", "Apply")</f>
        <v>Apply</v>
      </c>
      <c r="C2319" s="10" t="s">
        <v>14876</v>
      </c>
      <c r="D2319" s="56" t="s">
        <v>14380</v>
      </c>
      <c r="E2319" s="59">
        <v>45301.0</v>
      </c>
      <c r="F2319" s="10" t="s">
        <v>14381</v>
      </c>
      <c r="G2319" s="10" t="s">
        <v>12654</v>
      </c>
      <c r="H2319" s="10" t="s">
        <v>947</v>
      </c>
      <c r="I2319" s="10" t="s">
        <v>55</v>
      </c>
      <c r="J2319" s="10" t="s">
        <v>13437</v>
      </c>
      <c r="K2319" s="10" t="s">
        <v>14877</v>
      </c>
      <c r="L2319" s="10" t="s">
        <v>42</v>
      </c>
    </row>
    <row r="2320" ht="15.75" customHeight="1">
      <c r="A2320" s="64">
        <v>45470.0</v>
      </c>
      <c r="B2320" s="55" t="str">
        <f>HYPERLINK("https://jobright.ai/jobs/info/667dd5b849161264b2727f3d?utm_campaign=1065&amp;utm_source=sheet", "Apply")</f>
        <v>Apply</v>
      </c>
      <c r="C2320" s="10" t="s">
        <v>14876</v>
      </c>
      <c r="D2320" s="56" t="s">
        <v>14380</v>
      </c>
      <c r="E2320" s="59">
        <v>45301.0</v>
      </c>
      <c r="F2320" s="10" t="s">
        <v>14381</v>
      </c>
      <c r="G2320" s="10" t="s">
        <v>12654</v>
      </c>
      <c r="H2320" s="10" t="s">
        <v>858</v>
      </c>
      <c r="I2320" s="10" t="s">
        <v>55</v>
      </c>
      <c r="J2320" s="10" t="s">
        <v>13437</v>
      </c>
      <c r="K2320" s="10" t="s">
        <v>14877</v>
      </c>
      <c r="L2320" s="10" t="s">
        <v>42</v>
      </c>
    </row>
    <row r="2321" ht="15.75" customHeight="1">
      <c r="A2321" s="64">
        <v>45470.0</v>
      </c>
      <c r="B2321" s="55" t="str">
        <f>HYPERLINK("https://jobright.ai/jobs/info/667dd5b849161264b2727f40?utm_campaign=1065&amp;utm_source=sheet", "Apply")</f>
        <v>Apply</v>
      </c>
      <c r="C2321" s="10" t="s">
        <v>14876</v>
      </c>
      <c r="D2321" s="56" t="s">
        <v>14380</v>
      </c>
      <c r="E2321" s="59">
        <v>45301.0</v>
      </c>
      <c r="F2321" s="10" t="s">
        <v>14381</v>
      </c>
      <c r="G2321" s="10" t="s">
        <v>12654</v>
      </c>
      <c r="H2321" s="10" t="s">
        <v>818</v>
      </c>
      <c r="I2321" s="10" t="s">
        <v>55</v>
      </c>
      <c r="J2321" s="10" t="s">
        <v>13437</v>
      </c>
      <c r="K2321" s="10" t="s">
        <v>14877</v>
      </c>
      <c r="L2321" s="10" t="s">
        <v>42</v>
      </c>
    </row>
    <row r="2322" ht="15.75" customHeight="1">
      <c r="A2322" s="64">
        <v>45470.0</v>
      </c>
      <c r="B2322" s="55" t="str">
        <f>HYPERLINK("https://jobright.ai/jobs/info/667dd5b849161264b2727f3f?utm_campaign=1065&amp;utm_source=sheet", "Apply")</f>
        <v>Apply</v>
      </c>
      <c r="C2322" s="10" t="s">
        <v>14876</v>
      </c>
      <c r="D2322" s="56" t="s">
        <v>14380</v>
      </c>
      <c r="E2322" s="59">
        <v>45301.0</v>
      </c>
      <c r="F2322" s="10" t="s">
        <v>14381</v>
      </c>
      <c r="G2322" s="10" t="s">
        <v>12654</v>
      </c>
      <c r="H2322" s="10" t="s">
        <v>1016</v>
      </c>
      <c r="I2322" s="10" t="s">
        <v>55</v>
      </c>
      <c r="J2322" s="10" t="s">
        <v>13437</v>
      </c>
      <c r="K2322" s="10" t="s">
        <v>14877</v>
      </c>
      <c r="L2322" s="10" t="s">
        <v>42</v>
      </c>
    </row>
    <row r="2323" ht="15.75" customHeight="1">
      <c r="A2323" s="64">
        <v>45470.0</v>
      </c>
      <c r="B2323" s="55" t="str">
        <f>HYPERLINK("https://jobright.ai/jobs/info/667dd5b849161264b2727f41?utm_campaign=1065&amp;utm_source=sheet", "Apply")</f>
        <v>Apply</v>
      </c>
      <c r="C2323" s="10" t="s">
        <v>14876</v>
      </c>
      <c r="D2323" s="56" t="s">
        <v>14380</v>
      </c>
      <c r="E2323" s="59">
        <v>45301.0</v>
      </c>
      <c r="F2323" s="10" t="s">
        <v>14381</v>
      </c>
      <c r="G2323" s="10" t="s">
        <v>12654</v>
      </c>
      <c r="H2323" s="10" t="s">
        <v>904</v>
      </c>
      <c r="I2323" s="10" t="s">
        <v>55</v>
      </c>
      <c r="J2323" s="10" t="s">
        <v>13437</v>
      </c>
      <c r="K2323" s="10" t="s">
        <v>14877</v>
      </c>
      <c r="L2323" s="10" t="s">
        <v>42</v>
      </c>
    </row>
    <row r="2324" ht="15.75" customHeight="1">
      <c r="A2324" s="64">
        <v>45470.0</v>
      </c>
      <c r="B2324" s="55" t="str">
        <f>HYPERLINK("https://jobright.ai/jobs/info/667dd5b849161264b2727f3c?utm_campaign=1065&amp;utm_source=sheet", "Apply")</f>
        <v>Apply</v>
      </c>
      <c r="C2324" s="10" t="s">
        <v>14876</v>
      </c>
      <c r="D2324" s="56" t="s">
        <v>14380</v>
      </c>
      <c r="E2324" s="59">
        <v>45301.0</v>
      </c>
      <c r="F2324" s="10" t="s">
        <v>14381</v>
      </c>
      <c r="G2324" s="10" t="s">
        <v>12654</v>
      </c>
      <c r="H2324" s="10" t="s">
        <v>1027</v>
      </c>
      <c r="I2324" s="10" t="s">
        <v>55</v>
      </c>
      <c r="J2324" s="10" t="s">
        <v>13437</v>
      </c>
      <c r="K2324" s="10" t="s">
        <v>14877</v>
      </c>
      <c r="L2324" s="10" t="s">
        <v>42</v>
      </c>
    </row>
    <row r="2325" ht="15.75" customHeight="1">
      <c r="A2325" s="64">
        <v>45470.0</v>
      </c>
      <c r="B2325" s="55" t="str">
        <f>HYPERLINK("https://jobright.ai/jobs/info/667dd5b849161264b2727f42?utm_campaign=1065&amp;utm_source=sheet", "Apply")</f>
        <v>Apply</v>
      </c>
      <c r="C2325" s="10" t="s">
        <v>14876</v>
      </c>
      <c r="D2325" s="56" t="s">
        <v>14380</v>
      </c>
      <c r="E2325" s="59">
        <v>45301.0</v>
      </c>
      <c r="F2325" s="10" t="s">
        <v>14381</v>
      </c>
      <c r="G2325" s="10" t="s">
        <v>12654</v>
      </c>
      <c r="H2325" s="10" t="s">
        <v>990</v>
      </c>
      <c r="I2325" s="10" t="s">
        <v>55</v>
      </c>
      <c r="J2325" s="10" t="s">
        <v>13437</v>
      </c>
      <c r="K2325" s="10" t="s">
        <v>14877</v>
      </c>
      <c r="L2325" s="10" t="s">
        <v>42</v>
      </c>
    </row>
    <row r="2326" ht="15.75" customHeight="1">
      <c r="A2326" s="64">
        <v>45470.0</v>
      </c>
      <c r="B2326" s="55" t="str">
        <f>HYPERLINK("https://jobright.ai/jobs/info/667dd5b849161264b2727f3e?utm_campaign=1065&amp;utm_source=sheet", "Apply")</f>
        <v>Apply</v>
      </c>
      <c r="C2326" s="10" t="s">
        <v>14876</v>
      </c>
      <c r="D2326" s="56" t="s">
        <v>14380</v>
      </c>
      <c r="E2326" s="59">
        <v>45301.0</v>
      </c>
      <c r="F2326" s="10" t="s">
        <v>14381</v>
      </c>
      <c r="G2326" s="10" t="s">
        <v>12654</v>
      </c>
      <c r="H2326" s="10" t="s">
        <v>174</v>
      </c>
      <c r="I2326" s="10" t="s">
        <v>55</v>
      </c>
      <c r="J2326" s="10" t="s">
        <v>13437</v>
      </c>
      <c r="K2326" s="10" t="s">
        <v>14877</v>
      </c>
      <c r="L2326" s="10" t="s">
        <v>42</v>
      </c>
    </row>
    <row r="2327" ht="15.75" customHeight="1">
      <c r="A2327" s="64">
        <v>45470.0</v>
      </c>
      <c r="B2327" s="55" t="str">
        <f>HYPERLINK("https://jobright.ai/jobs/info/667dd5b849161264b2727f44?utm_campaign=1065&amp;utm_source=sheet", "Apply")</f>
        <v>Apply</v>
      </c>
      <c r="C2327" s="10" t="s">
        <v>14876</v>
      </c>
      <c r="D2327" s="56" t="s">
        <v>14380</v>
      </c>
      <c r="E2327" s="59">
        <v>45301.0</v>
      </c>
      <c r="F2327" s="10" t="s">
        <v>14381</v>
      </c>
      <c r="G2327" s="10" t="s">
        <v>12654</v>
      </c>
      <c r="H2327" s="10" t="s">
        <v>939</v>
      </c>
      <c r="I2327" s="10" t="s">
        <v>55</v>
      </c>
      <c r="J2327" s="10" t="s">
        <v>13437</v>
      </c>
      <c r="K2327" s="10" t="s">
        <v>14877</v>
      </c>
      <c r="L2327" s="10" t="s">
        <v>42</v>
      </c>
    </row>
    <row r="2328" ht="15.75" customHeight="1">
      <c r="A2328" s="64">
        <v>45470.0</v>
      </c>
      <c r="B2328" s="55" t="str">
        <f>HYPERLINK("https://jobright.ai/jobs/info/667dd5b849161264b2727f48?utm_campaign=1065&amp;utm_source=sheet", "Apply")</f>
        <v>Apply</v>
      </c>
      <c r="C2328" s="10" t="s">
        <v>14876</v>
      </c>
      <c r="D2328" s="56" t="s">
        <v>14380</v>
      </c>
      <c r="E2328" s="59">
        <v>45301.0</v>
      </c>
      <c r="F2328" s="10" t="s">
        <v>14381</v>
      </c>
      <c r="G2328" s="10" t="s">
        <v>12654</v>
      </c>
      <c r="H2328" s="10" t="s">
        <v>773</v>
      </c>
      <c r="I2328" s="10" t="s">
        <v>55</v>
      </c>
      <c r="J2328" s="10" t="s">
        <v>13437</v>
      </c>
      <c r="K2328" s="10" t="s">
        <v>14877</v>
      </c>
      <c r="L2328" s="10" t="s">
        <v>42</v>
      </c>
    </row>
    <row r="2329" ht="15.75" customHeight="1">
      <c r="A2329" s="64">
        <v>45470.0</v>
      </c>
      <c r="B2329" s="55" t="str">
        <f>HYPERLINK("https://jobright.ai/jobs/info/667dd5b849161264b2727f45?utm_campaign=1065&amp;utm_source=sheet", "Apply")</f>
        <v>Apply</v>
      </c>
      <c r="C2329" s="10" t="s">
        <v>14876</v>
      </c>
      <c r="D2329" s="56" t="s">
        <v>14380</v>
      </c>
      <c r="E2329" s="59">
        <v>45301.0</v>
      </c>
      <c r="F2329" s="10" t="s">
        <v>14381</v>
      </c>
      <c r="G2329" s="10" t="s">
        <v>12654</v>
      </c>
      <c r="H2329" s="10" t="s">
        <v>984</v>
      </c>
      <c r="I2329" s="10" t="s">
        <v>55</v>
      </c>
      <c r="J2329" s="10" t="s">
        <v>13437</v>
      </c>
      <c r="K2329" s="10" t="s">
        <v>14877</v>
      </c>
      <c r="L2329" s="10" t="s">
        <v>42</v>
      </c>
    </row>
    <row r="2330" ht="15.75" customHeight="1">
      <c r="A2330" s="64">
        <v>45470.0</v>
      </c>
      <c r="B2330" s="55" t="str">
        <f>HYPERLINK("https://jobright.ai/jobs/info/667dd5b849161264b2727f47?utm_campaign=1065&amp;utm_source=sheet", "Apply")</f>
        <v>Apply</v>
      </c>
      <c r="C2330" s="10" t="s">
        <v>14876</v>
      </c>
      <c r="D2330" s="56" t="s">
        <v>14380</v>
      </c>
      <c r="E2330" s="59">
        <v>45301.0</v>
      </c>
      <c r="F2330" s="10" t="s">
        <v>14381</v>
      </c>
      <c r="G2330" s="10" t="s">
        <v>12654</v>
      </c>
      <c r="H2330" s="10" t="s">
        <v>7690</v>
      </c>
      <c r="I2330" s="10" t="s">
        <v>55</v>
      </c>
      <c r="J2330" s="10" t="s">
        <v>13437</v>
      </c>
      <c r="K2330" s="10" t="s">
        <v>14877</v>
      </c>
      <c r="L2330" s="10" t="s">
        <v>42</v>
      </c>
    </row>
    <row r="2331" ht="15.75" customHeight="1">
      <c r="A2331" s="64">
        <v>45470.0</v>
      </c>
      <c r="B2331" s="55" t="str">
        <f>HYPERLINK("https://jobright.ai/jobs/info/667dd5b849161264b2727f46?utm_campaign=1065&amp;utm_source=sheet", "Apply")</f>
        <v>Apply</v>
      </c>
      <c r="C2331" s="10" t="s">
        <v>14876</v>
      </c>
      <c r="D2331" s="56" t="s">
        <v>14380</v>
      </c>
      <c r="E2331" s="59">
        <v>45301.0</v>
      </c>
      <c r="F2331" s="10" t="s">
        <v>14381</v>
      </c>
      <c r="G2331" s="10" t="s">
        <v>12654</v>
      </c>
      <c r="H2331" s="10" t="s">
        <v>1018</v>
      </c>
      <c r="I2331" s="10" t="s">
        <v>55</v>
      </c>
      <c r="J2331" s="10" t="s">
        <v>13437</v>
      </c>
      <c r="K2331" s="10" t="s">
        <v>14877</v>
      </c>
      <c r="L2331" s="10" t="s">
        <v>42</v>
      </c>
    </row>
    <row r="2332" ht="15.75" customHeight="1">
      <c r="A2332" s="64">
        <v>45470.0</v>
      </c>
      <c r="B2332" s="55" t="str">
        <f>HYPERLINK("https://jobright.ai/jobs/info/667dd5b849161264b2727f43?utm_campaign=1065&amp;utm_source=sheet", "Apply")</f>
        <v>Apply</v>
      </c>
      <c r="C2332" s="10" t="s">
        <v>14876</v>
      </c>
      <c r="D2332" s="56" t="s">
        <v>14380</v>
      </c>
      <c r="E2332" s="59">
        <v>45301.0</v>
      </c>
      <c r="F2332" s="10" t="s">
        <v>14381</v>
      </c>
      <c r="G2332" s="10" t="s">
        <v>12654</v>
      </c>
      <c r="H2332" s="10" t="s">
        <v>1034</v>
      </c>
      <c r="I2332" s="10" t="s">
        <v>55</v>
      </c>
      <c r="J2332" s="10" t="s">
        <v>13437</v>
      </c>
      <c r="K2332" s="10" t="s">
        <v>14877</v>
      </c>
      <c r="L2332" s="10" t="s">
        <v>42</v>
      </c>
    </row>
    <row r="2333" ht="15.75" customHeight="1">
      <c r="A2333" s="64">
        <v>45470.0</v>
      </c>
      <c r="B2333" s="55" t="str">
        <f>HYPERLINK("https://jobright.ai/jobs/info/667dd5b849161264b2727f49?utm_campaign=1065&amp;utm_source=sheet", "Apply")</f>
        <v>Apply</v>
      </c>
      <c r="C2333" s="10" t="s">
        <v>14876</v>
      </c>
      <c r="D2333" s="56" t="s">
        <v>14380</v>
      </c>
      <c r="E2333" s="59">
        <v>45301.0</v>
      </c>
      <c r="F2333" s="10" t="s">
        <v>14381</v>
      </c>
      <c r="G2333" s="10" t="s">
        <v>12654</v>
      </c>
      <c r="H2333" s="10" t="s">
        <v>865</v>
      </c>
      <c r="I2333" s="10" t="s">
        <v>55</v>
      </c>
      <c r="J2333" s="10" t="s">
        <v>13437</v>
      </c>
      <c r="K2333" s="10" t="s">
        <v>14877</v>
      </c>
      <c r="L2333" s="10" t="s">
        <v>42</v>
      </c>
    </row>
    <row r="2334" ht="15.75" customHeight="1">
      <c r="A2334" s="64">
        <v>45470.0</v>
      </c>
      <c r="B2334" s="55" t="str">
        <f>HYPERLINK("https://jobright.ai/jobs/info/667dd5b849161264b2727f4a?utm_campaign=1065&amp;utm_source=sheet", "Apply")</f>
        <v>Apply</v>
      </c>
      <c r="C2334" s="10" t="s">
        <v>14876</v>
      </c>
      <c r="D2334" s="56" t="s">
        <v>14380</v>
      </c>
      <c r="E2334" s="59">
        <v>45301.0</v>
      </c>
      <c r="F2334" s="10" t="s">
        <v>14381</v>
      </c>
      <c r="G2334" s="10" t="s">
        <v>12654</v>
      </c>
      <c r="H2334" s="10" t="s">
        <v>933</v>
      </c>
      <c r="I2334" s="10" t="s">
        <v>55</v>
      </c>
      <c r="J2334" s="10" t="s">
        <v>13437</v>
      </c>
      <c r="K2334" s="10" t="s">
        <v>14877</v>
      </c>
      <c r="L2334" s="10" t="s">
        <v>42</v>
      </c>
    </row>
    <row r="2335" ht="15.75" customHeight="1">
      <c r="A2335" s="64">
        <v>45470.0</v>
      </c>
      <c r="B2335" s="55" t="str">
        <f>HYPERLINK("https://jobright.ai/jobs/info/667df332a8cfb857af6f1c18?utm_campaign=1065&amp;utm_source=sheet", "Apply")</f>
        <v>Apply</v>
      </c>
      <c r="C2335" s="10" t="s">
        <v>14876</v>
      </c>
      <c r="D2335" s="56" t="s">
        <v>14380</v>
      </c>
      <c r="E2335" s="59">
        <v>45301.0</v>
      </c>
      <c r="F2335" s="10" t="s">
        <v>14381</v>
      </c>
      <c r="G2335" s="10" t="s">
        <v>12654</v>
      </c>
      <c r="H2335" s="10" t="s">
        <v>738</v>
      </c>
      <c r="I2335" s="10" t="s">
        <v>55</v>
      </c>
      <c r="J2335" s="10" t="s">
        <v>13437</v>
      </c>
      <c r="K2335" s="10" t="s">
        <v>14877</v>
      </c>
      <c r="L2335" s="10" t="s">
        <v>42</v>
      </c>
    </row>
    <row r="2336" ht="15.75" customHeight="1">
      <c r="A2336" s="64">
        <v>45470.0</v>
      </c>
      <c r="B2336" s="55" t="str">
        <f>HYPERLINK("https://jobright.ai/jobs/info/667df332a8cfb857af6f1c1a?utm_campaign=1065&amp;utm_source=sheet", "Apply")</f>
        <v>Apply</v>
      </c>
      <c r="C2336" s="10" t="s">
        <v>14876</v>
      </c>
      <c r="D2336" s="56" t="s">
        <v>14380</v>
      </c>
      <c r="E2336" s="59">
        <v>45301.0</v>
      </c>
      <c r="F2336" s="10" t="s">
        <v>14381</v>
      </c>
      <c r="G2336" s="10" t="s">
        <v>12654</v>
      </c>
      <c r="H2336" s="10" t="s">
        <v>925</v>
      </c>
      <c r="I2336" s="10" t="s">
        <v>55</v>
      </c>
      <c r="J2336" s="10" t="s">
        <v>13437</v>
      </c>
      <c r="K2336" s="10" t="s">
        <v>14877</v>
      </c>
      <c r="L2336" s="10" t="s">
        <v>42</v>
      </c>
    </row>
    <row r="2337" ht="15.75" customHeight="1">
      <c r="A2337" s="64">
        <v>45470.0</v>
      </c>
      <c r="B2337" s="55" t="str">
        <f>HYPERLINK("https://jobright.ai/jobs/info/667df332a8cfb857af6f1c19?utm_campaign=1065&amp;utm_source=sheet", "Apply")</f>
        <v>Apply</v>
      </c>
      <c r="C2337" s="10" t="s">
        <v>14876</v>
      </c>
      <c r="D2337" s="56" t="s">
        <v>14380</v>
      </c>
      <c r="E2337" s="59">
        <v>45301.0</v>
      </c>
      <c r="F2337" s="10" t="s">
        <v>14381</v>
      </c>
      <c r="G2337" s="10" t="s">
        <v>12654</v>
      </c>
      <c r="H2337" s="10" t="s">
        <v>1041</v>
      </c>
      <c r="I2337" s="10" t="s">
        <v>55</v>
      </c>
      <c r="J2337" s="10" t="s">
        <v>13437</v>
      </c>
      <c r="K2337" s="10" t="s">
        <v>14877</v>
      </c>
      <c r="L2337" s="10" t="s">
        <v>42</v>
      </c>
    </row>
    <row r="2338" ht="15.75" customHeight="1">
      <c r="A2338" s="64">
        <v>45470.0</v>
      </c>
      <c r="B2338" s="55" t="str">
        <f>HYPERLINK("https://jobright.ai/jobs/info/667dc33cf75efc0f0683c12e?utm_campaign=1065&amp;utm_source=sheet", "Apply")</f>
        <v>Apply</v>
      </c>
      <c r="C2338" s="10" t="s">
        <v>14876</v>
      </c>
      <c r="D2338" s="56" t="s">
        <v>14380</v>
      </c>
      <c r="E2338" s="59">
        <v>45301.0</v>
      </c>
      <c r="F2338" s="10" t="s">
        <v>14381</v>
      </c>
      <c r="G2338" s="10" t="s">
        <v>12654</v>
      </c>
      <c r="H2338" s="10" t="s">
        <v>759</v>
      </c>
      <c r="I2338" s="10" t="s">
        <v>55</v>
      </c>
      <c r="J2338" s="10" t="s">
        <v>13437</v>
      </c>
      <c r="K2338" s="10" t="s">
        <v>14877</v>
      </c>
      <c r="L2338" s="10" t="s">
        <v>42</v>
      </c>
    </row>
    <row r="2339" ht="15.75" customHeight="1">
      <c r="A2339" s="64">
        <v>45470.0</v>
      </c>
      <c r="B2339" s="55" t="str">
        <f>HYPERLINK("https://jobright.ai/jobs/info/667dc33cf75efc0f0683c12d?utm_campaign=1065&amp;utm_source=sheet", "Apply")</f>
        <v>Apply</v>
      </c>
      <c r="C2339" s="10" t="s">
        <v>14876</v>
      </c>
      <c r="D2339" s="56" t="s">
        <v>14380</v>
      </c>
      <c r="E2339" s="59">
        <v>45301.0</v>
      </c>
      <c r="F2339" s="10" t="s">
        <v>14381</v>
      </c>
      <c r="G2339" s="10" t="s">
        <v>12654</v>
      </c>
      <c r="H2339" s="10" t="s">
        <v>870</v>
      </c>
      <c r="I2339" s="10" t="s">
        <v>55</v>
      </c>
      <c r="J2339" s="10" t="s">
        <v>13437</v>
      </c>
      <c r="K2339" s="10" t="s">
        <v>14877</v>
      </c>
      <c r="L2339" s="10" t="s">
        <v>42</v>
      </c>
    </row>
    <row r="2340" ht="15.75" customHeight="1">
      <c r="A2340" s="64">
        <v>45470.0</v>
      </c>
      <c r="B2340" s="55" t="str">
        <f>HYPERLINK("https://jobright.ai/jobs/info/667dc33cf75efc0f0683c133?utm_campaign=1065&amp;utm_source=sheet", "Apply")</f>
        <v>Apply</v>
      </c>
      <c r="C2340" s="10" t="s">
        <v>14876</v>
      </c>
      <c r="D2340" s="56" t="s">
        <v>14380</v>
      </c>
      <c r="E2340" s="59">
        <v>45301.0</v>
      </c>
      <c r="F2340" s="10" t="s">
        <v>14381</v>
      </c>
      <c r="G2340" s="10" t="s">
        <v>12654</v>
      </c>
      <c r="H2340" s="10" t="s">
        <v>995</v>
      </c>
      <c r="I2340" s="10" t="s">
        <v>55</v>
      </c>
      <c r="J2340" s="10" t="s">
        <v>13437</v>
      </c>
      <c r="K2340" s="10" t="s">
        <v>14877</v>
      </c>
      <c r="L2340" s="10" t="s">
        <v>42</v>
      </c>
    </row>
    <row r="2341" ht="15.75" customHeight="1">
      <c r="A2341" s="64">
        <v>45470.0</v>
      </c>
      <c r="B2341" s="55" t="str">
        <f>HYPERLINK("https://jobright.ai/jobs/info/667dc33cf75efc0f0683c132?utm_campaign=1065&amp;utm_source=sheet", "Apply")</f>
        <v>Apply</v>
      </c>
      <c r="C2341" s="10" t="s">
        <v>14876</v>
      </c>
      <c r="D2341" s="56" t="s">
        <v>14380</v>
      </c>
      <c r="E2341" s="59">
        <v>45301.0</v>
      </c>
      <c r="F2341" s="10" t="s">
        <v>14381</v>
      </c>
      <c r="G2341" s="10" t="s">
        <v>12654</v>
      </c>
      <c r="H2341" s="10" t="s">
        <v>434</v>
      </c>
      <c r="I2341" s="10" t="s">
        <v>55</v>
      </c>
      <c r="J2341" s="10" t="s">
        <v>13437</v>
      </c>
      <c r="K2341" s="10" t="s">
        <v>14877</v>
      </c>
      <c r="L2341" s="10" t="s">
        <v>42</v>
      </c>
    </row>
    <row r="2342" ht="15.75" customHeight="1">
      <c r="A2342" s="64">
        <v>45470.0</v>
      </c>
      <c r="B2342" s="55" t="str">
        <f>HYPERLINK("https://jobright.ai/jobs/info/667dc33cf75efc0f0683c134?utm_campaign=1065&amp;utm_source=sheet", "Apply")</f>
        <v>Apply</v>
      </c>
      <c r="C2342" s="10" t="s">
        <v>14876</v>
      </c>
      <c r="D2342" s="56" t="s">
        <v>14380</v>
      </c>
      <c r="E2342" s="59">
        <v>45301.0</v>
      </c>
      <c r="F2342" s="10" t="s">
        <v>14381</v>
      </c>
      <c r="G2342" s="10" t="s">
        <v>12654</v>
      </c>
      <c r="H2342" s="10" t="s">
        <v>108</v>
      </c>
      <c r="I2342" s="10" t="s">
        <v>55</v>
      </c>
      <c r="J2342" s="10" t="s">
        <v>13437</v>
      </c>
      <c r="K2342" s="10" t="s">
        <v>14877</v>
      </c>
      <c r="L2342" s="10" t="s">
        <v>42</v>
      </c>
    </row>
    <row r="2343" ht="15.75" customHeight="1">
      <c r="A2343" s="64">
        <v>45470.0</v>
      </c>
      <c r="B2343" s="55" t="str">
        <f>HYPERLINK("https://jobright.ai/jobs/info/667dc33cf75efc0f0683c131?utm_campaign=1065&amp;utm_source=sheet", "Apply")</f>
        <v>Apply</v>
      </c>
      <c r="C2343" s="10" t="s">
        <v>14876</v>
      </c>
      <c r="D2343" s="56" t="s">
        <v>14380</v>
      </c>
      <c r="E2343" s="59">
        <v>45301.0</v>
      </c>
      <c r="F2343" s="10" t="s">
        <v>14381</v>
      </c>
      <c r="G2343" s="10" t="s">
        <v>12654</v>
      </c>
      <c r="H2343" s="10" t="s">
        <v>976</v>
      </c>
      <c r="I2343" s="10" t="s">
        <v>55</v>
      </c>
      <c r="J2343" s="10" t="s">
        <v>13437</v>
      </c>
      <c r="K2343" s="10" t="s">
        <v>14877</v>
      </c>
      <c r="L2343" s="10" t="s">
        <v>42</v>
      </c>
    </row>
    <row r="2344" ht="15.75" customHeight="1">
      <c r="A2344" s="64">
        <v>45470.0</v>
      </c>
      <c r="B2344" s="55" t="str">
        <f>HYPERLINK("https://jobright.ai/jobs/info/667dc33cf75efc0f0683c144?utm_campaign=1065&amp;utm_source=sheet", "Apply")</f>
        <v>Apply</v>
      </c>
      <c r="C2344" s="10" t="s">
        <v>14876</v>
      </c>
      <c r="D2344" s="56" t="s">
        <v>14380</v>
      </c>
      <c r="E2344" s="59">
        <v>45301.0</v>
      </c>
      <c r="F2344" s="10" t="s">
        <v>14381</v>
      </c>
      <c r="G2344" s="10" t="s">
        <v>12654</v>
      </c>
      <c r="H2344" s="10" t="s">
        <v>628</v>
      </c>
      <c r="I2344" s="10" t="s">
        <v>55</v>
      </c>
      <c r="J2344" s="10" t="s">
        <v>13437</v>
      </c>
      <c r="K2344" s="10" t="s">
        <v>14877</v>
      </c>
      <c r="L2344" s="10" t="s">
        <v>42</v>
      </c>
    </row>
    <row r="2345" ht="15.75" customHeight="1">
      <c r="A2345" s="64">
        <v>45470.0</v>
      </c>
      <c r="B2345" s="55" t="str">
        <f>HYPERLINK("https://jobright.ai/jobs/info/667dc33cf75efc0f0683c13a?utm_campaign=1065&amp;utm_source=sheet", "Apply")</f>
        <v>Apply</v>
      </c>
      <c r="C2345" s="10" t="s">
        <v>14876</v>
      </c>
      <c r="D2345" s="56" t="s">
        <v>14380</v>
      </c>
      <c r="E2345" s="59">
        <v>45301.0</v>
      </c>
      <c r="F2345" s="10" t="s">
        <v>14381</v>
      </c>
      <c r="G2345" s="10" t="s">
        <v>12654</v>
      </c>
      <c r="H2345" s="10" t="s">
        <v>1033</v>
      </c>
      <c r="I2345" s="10" t="s">
        <v>55</v>
      </c>
      <c r="J2345" s="10" t="s">
        <v>13437</v>
      </c>
      <c r="K2345" s="10" t="s">
        <v>14877</v>
      </c>
      <c r="L2345" s="10" t="s">
        <v>42</v>
      </c>
    </row>
    <row r="2346" ht="15.75" customHeight="1">
      <c r="A2346" s="64">
        <v>45470.0</v>
      </c>
      <c r="B2346" s="55" t="str">
        <f>HYPERLINK("https://jobright.ai/jobs/info/667dc33cf75efc0f0683c13d?utm_campaign=1065&amp;utm_source=sheet", "Apply")</f>
        <v>Apply</v>
      </c>
      <c r="C2346" s="10" t="s">
        <v>14876</v>
      </c>
      <c r="D2346" s="56" t="s">
        <v>14380</v>
      </c>
      <c r="E2346" s="59">
        <v>45301.0</v>
      </c>
      <c r="F2346" s="10" t="s">
        <v>14381</v>
      </c>
      <c r="G2346" s="10" t="s">
        <v>12654</v>
      </c>
      <c r="H2346" s="10" t="s">
        <v>811</v>
      </c>
      <c r="I2346" s="10" t="s">
        <v>55</v>
      </c>
      <c r="J2346" s="10" t="s">
        <v>13437</v>
      </c>
      <c r="K2346" s="10" t="s">
        <v>14877</v>
      </c>
      <c r="L2346" s="10" t="s">
        <v>42</v>
      </c>
    </row>
    <row r="2347" ht="15.75" customHeight="1">
      <c r="A2347" s="64">
        <v>45470.0</v>
      </c>
      <c r="B2347" s="55" t="str">
        <f>HYPERLINK("https://jobright.ai/jobs/info/667dc33cf75efc0f0683c13f?utm_campaign=1065&amp;utm_source=sheet", "Apply")</f>
        <v>Apply</v>
      </c>
      <c r="C2347" s="10" t="s">
        <v>14876</v>
      </c>
      <c r="D2347" s="56" t="s">
        <v>14380</v>
      </c>
      <c r="E2347" s="59">
        <v>45301.0</v>
      </c>
      <c r="F2347" s="10" t="s">
        <v>14381</v>
      </c>
      <c r="G2347" s="10" t="s">
        <v>12654</v>
      </c>
      <c r="H2347" s="10" t="s">
        <v>943</v>
      </c>
      <c r="I2347" s="10" t="s">
        <v>55</v>
      </c>
      <c r="J2347" s="10" t="s">
        <v>13437</v>
      </c>
      <c r="K2347" s="10" t="s">
        <v>14877</v>
      </c>
      <c r="L2347" s="10" t="s">
        <v>42</v>
      </c>
    </row>
    <row r="2348" ht="15.75" customHeight="1">
      <c r="A2348" s="64">
        <v>45470.0</v>
      </c>
      <c r="B2348" s="55" t="str">
        <f>HYPERLINK("https://jobright.ai/jobs/info/667dc33cf75efc0f0683c13b?utm_campaign=1065&amp;utm_source=sheet", "Apply")</f>
        <v>Apply</v>
      </c>
      <c r="C2348" s="10" t="s">
        <v>14876</v>
      </c>
      <c r="D2348" s="56" t="s">
        <v>14380</v>
      </c>
      <c r="E2348" s="59">
        <v>45301.0</v>
      </c>
      <c r="F2348" s="10" t="s">
        <v>14381</v>
      </c>
      <c r="G2348" s="10" t="s">
        <v>12654</v>
      </c>
      <c r="H2348" s="10" t="s">
        <v>967</v>
      </c>
      <c r="I2348" s="10" t="s">
        <v>55</v>
      </c>
      <c r="J2348" s="10" t="s">
        <v>13437</v>
      </c>
      <c r="K2348" s="10" t="s">
        <v>14877</v>
      </c>
      <c r="L2348" s="10" t="s">
        <v>42</v>
      </c>
    </row>
    <row r="2349" ht="15.75" customHeight="1">
      <c r="A2349" s="64">
        <v>45470.0</v>
      </c>
      <c r="B2349" s="55" t="str">
        <f>HYPERLINK("https://jobright.ai/jobs/info/667dc33cf75efc0f0683c140?utm_campaign=1065&amp;utm_source=sheet", "Apply")</f>
        <v>Apply</v>
      </c>
      <c r="C2349" s="10" t="s">
        <v>14876</v>
      </c>
      <c r="D2349" s="56" t="s">
        <v>14380</v>
      </c>
      <c r="E2349" s="59">
        <v>45301.0</v>
      </c>
      <c r="F2349" s="10" t="s">
        <v>14381</v>
      </c>
      <c r="G2349" s="10" t="s">
        <v>12654</v>
      </c>
      <c r="H2349" s="10" t="s">
        <v>978</v>
      </c>
      <c r="I2349" s="10" t="s">
        <v>55</v>
      </c>
      <c r="J2349" s="10" t="s">
        <v>13437</v>
      </c>
      <c r="K2349" s="10" t="s">
        <v>14877</v>
      </c>
      <c r="L2349" s="10" t="s">
        <v>42</v>
      </c>
    </row>
    <row r="2350" ht="15.75" customHeight="1">
      <c r="A2350" s="64">
        <v>45470.0</v>
      </c>
      <c r="B2350" s="55" t="str">
        <f>HYPERLINK("https://jobright.ai/jobs/info/667dc33cf75efc0f0683c143?utm_campaign=1065&amp;utm_source=sheet", "Apply")</f>
        <v>Apply</v>
      </c>
      <c r="C2350" s="10" t="s">
        <v>14876</v>
      </c>
      <c r="D2350" s="56" t="s">
        <v>14380</v>
      </c>
      <c r="E2350" s="59">
        <v>45301.0</v>
      </c>
      <c r="F2350" s="10" t="s">
        <v>14381</v>
      </c>
      <c r="G2350" s="10" t="s">
        <v>12654</v>
      </c>
      <c r="H2350" s="10" t="s">
        <v>757</v>
      </c>
      <c r="I2350" s="10" t="s">
        <v>55</v>
      </c>
      <c r="J2350" s="10" t="s">
        <v>13437</v>
      </c>
      <c r="K2350" s="10" t="s">
        <v>14877</v>
      </c>
      <c r="L2350" s="10" t="s">
        <v>42</v>
      </c>
    </row>
    <row r="2351" ht="15.75" customHeight="1">
      <c r="A2351" s="64">
        <v>45470.0</v>
      </c>
      <c r="B2351" s="55" t="str">
        <f>HYPERLINK("https://jobright.ai/jobs/info/667dc33cf75efc0f0683c148?utm_campaign=1065&amp;utm_source=sheet", "Apply")</f>
        <v>Apply</v>
      </c>
      <c r="C2351" s="10" t="s">
        <v>14876</v>
      </c>
      <c r="D2351" s="56" t="s">
        <v>14380</v>
      </c>
      <c r="E2351" s="59">
        <v>45301.0</v>
      </c>
      <c r="F2351" s="10" t="s">
        <v>14381</v>
      </c>
      <c r="G2351" s="10" t="s">
        <v>12654</v>
      </c>
      <c r="H2351" s="10" t="s">
        <v>977</v>
      </c>
      <c r="I2351" s="10" t="s">
        <v>55</v>
      </c>
      <c r="J2351" s="10" t="s">
        <v>13437</v>
      </c>
      <c r="K2351" s="10" t="s">
        <v>14877</v>
      </c>
      <c r="L2351" s="10" t="s">
        <v>42</v>
      </c>
    </row>
    <row r="2352" ht="15.75" customHeight="1">
      <c r="A2352" s="64">
        <v>45470.0</v>
      </c>
      <c r="B2352" s="55" t="str">
        <f>HYPERLINK("https://jobright.ai/jobs/info/667dc33cf75efc0f0683c13c?utm_campaign=1065&amp;utm_source=sheet", "Apply")</f>
        <v>Apply</v>
      </c>
      <c r="C2352" s="10" t="s">
        <v>14876</v>
      </c>
      <c r="D2352" s="56" t="s">
        <v>14380</v>
      </c>
      <c r="E2352" s="59">
        <v>45301.0</v>
      </c>
      <c r="F2352" s="10" t="s">
        <v>14381</v>
      </c>
      <c r="G2352" s="10" t="s">
        <v>12654</v>
      </c>
      <c r="H2352" s="10" t="s">
        <v>857</v>
      </c>
      <c r="I2352" s="10" t="s">
        <v>55</v>
      </c>
      <c r="J2352" s="10" t="s">
        <v>13437</v>
      </c>
      <c r="K2352" s="10" t="s">
        <v>14877</v>
      </c>
      <c r="L2352" s="10" t="s">
        <v>42</v>
      </c>
    </row>
    <row r="2353" ht="15.75" customHeight="1">
      <c r="A2353" s="64">
        <v>45470.0</v>
      </c>
      <c r="B2353" s="55" t="str">
        <f>HYPERLINK("https://jobright.ai/jobs/info/667dc33cf75efc0f0683c137?utm_campaign=1065&amp;utm_source=sheet", "Apply")</f>
        <v>Apply</v>
      </c>
      <c r="C2353" s="10" t="s">
        <v>14876</v>
      </c>
      <c r="D2353" s="56" t="s">
        <v>14380</v>
      </c>
      <c r="E2353" s="59">
        <v>45301.0</v>
      </c>
      <c r="F2353" s="10" t="s">
        <v>14381</v>
      </c>
      <c r="G2353" s="10" t="s">
        <v>12654</v>
      </c>
      <c r="H2353" s="10" t="s">
        <v>778</v>
      </c>
      <c r="I2353" s="10" t="s">
        <v>55</v>
      </c>
      <c r="J2353" s="10" t="s">
        <v>13437</v>
      </c>
      <c r="K2353" s="10" t="s">
        <v>14877</v>
      </c>
      <c r="L2353" s="10" t="s">
        <v>42</v>
      </c>
    </row>
    <row r="2354" ht="15.75" customHeight="1">
      <c r="A2354" s="64">
        <v>45470.0</v>
      </c>
      <c r="B2354" s="55" t="str">
        <f>HYPERLINK("https://jobright.ai/jobs/info/667dc33cf75efc0f0683c14e?utm_campaign=1065&amp;utm_source=sheet", "Apply")</f>
        <v>Apply</v>
      </c>
      <c r="C2354" s="10" t="s">
        <v>14876</v>
      </c>
      <c r="D2354" s="56" t="s">
        <v>14380</v>
      </c>
      <c r="E2354" s="59">
        <v>45301.0</v>
      </c>
      <c r="F2354" s="10" t="s">
        <v>14381</v>
      </c>
      <c r="G2354" s="10" t="s">
        <v>12654</v>
      </c>
      <c r="H2354" s="10" t="s">
        <v>793</v>
      </c>
      <c r="I2354" s="10" t="s">
        <v>55</v>
      </c>
      <c r="J2354" s="10" t="s">
        <v>13437</v>
      </c>
      <c r="K2354" s="10" t="s">
        <v>14877</v>
      </c>
      <c r="L2354" s="10" t="s">
        <v>42</v>
      </c>
    </row>
    <row r="2355" ht="15.75" customHeight="1">
      <c r="A2355" s="64">
        <v>45470.0</v>
      </c>
      <c r="B2355" s="55" t="str">
        <f>HYPERLINK("https://jobright.ai/jobs/info/667dc33cf75efc0f0683c14d?utm_campaign=1065&amp;utm_source=sheet", "Apply")</f>
        <v>Apply</v>
      </c>
      <c r="C2355" s="10" t="s">
        <v>14876</v>
      </c>
      <c r="D2355" s="56" t="s">
        <v>14380</v>
      </c>
      <c r="E2355" s="59">
        <v>45301.0</v>
      </c>
      <c r="F2355" s="10" t="s">
        <v>14381</v>
      </c>
      <c r="G2355" s="10" t="s">
        <v>12654</v>
      </c>
      <c r="H2355" s="10" t="s">
        <v>830</v>
      </c>
      <c r="I2355" s="10" t="s">
        <v>55</v>
      </c>
      <c r="J2355" s="10" t="s">
        <v>13437</v>
      </c>
      <c r="K2355" s="10" t="s">
        <v>14877</v>
      </c>
      <c r="L2355" s="10" t="s">
        <v>42</v>
      </c>
    </row>
    <row r="2356" ht="15.75" customHeight="1">
      <c r="A2356" s="64">
        <v>45470.0</v>
      </c>
      <c r="B2356" s="55" t="str">
        <f>HYPERLINK("https://jobright.ai/jobs/info/667dc33cf75efc0f0683c136?utm_campaign=1065&amp;utm_source=sheet", "Apply")</f>
        <v>Apply</v>
      </c>
      <c r="C2356" s="10" t="s">
        <v>14876</v>
      </c>
      <c r="D2356" s="56" t="s">
        <v>14380</v>
      </c>
      <c r="E2356" s="59">
        <v>45301.0</v>
      </c>
      <c r="F2356" s="10" t="s">
        <v>14381</v>
      </c>
      <c r="G2356" s="10" t="s">
        <v>12654</v>
      </c>
      <c r="H2356" s="10" t="s">
        <v>1014</v>
      </c>
      <c r="I2356" s="10" t="s">
        <v>55</v>
      </c>
      <c r="J2356" s="10" t="s">
        <v>13437</v>
      </c>
      <c r="K2356" s="10" t="s">
        <v>14877</v>
      </c>
      <c r="L2356" s="10" t="s">
        <v>42</v>
      </c>
    </row>
    <row r="2357" ht="15.75" customHeight="1">
      <c r="A2357" s="64">
        <v>45470.0</v>
      </c>
      <c r="B2357" s="55" t="str">
        <f>HYPERLINK("https://jobright.ai/jobs/info/667dc33cf75efc0f0683c146?utm_campaign=1065&amp;utm_source=sheet", "Apply")</f>
        <v>Apply</v>
      </c>
      <c r="C2357" s="10" t="s">
        <v>14876</v>
      </c>
      <c r="D2357" s="56" t="s">
        <v>14380</v>
      </c>
      <c r="E2357" s="59">
        <v>45301.0</v>
      </c>
      <c r="F2357" s="10" t="s">
        <v>14381</v>
      </c>
      <c r="G2357" s="10" t="s">
        <v>12654</v>
      </c>
      <c r="H2357" s="10" t="s">
        <v>907</v>
      </c>
      <c r="I2357" s="10" t="s">
        <v>55</v>
      </c>
      <c r="J2357" s="10" t="s">
        <v>13437</v>
      </c>
      <c r="K2357" s="10" t="s">
        <v>14877</v>
      </c>
      <c r="L2357" s="10" t="s">
        <v>42</v>
      </c>
    </row>
    <row r="2358" ht="15.75" customHeight="1">
      <c r="A2358" s="64">
        <v>45470.0</v>
      </c>
      <c r="B2358" s="55" t="str">
        <f>HYPERLINK("https://jobright.ai/jobs/info/667dc33cf75efc0f0683c139?utm_campaign=1065&amp;utm_source=sheet", "Apply")</f>
        <v>Apply</v>
      </c>
      <c r="C2358" s="10" t="s">
        <v>14876</v>
      </c>
      <c r="D2358" s="56" t="s">
        <v>14380</v>
      </c>
      <c r="E2358" s="59">
        <v>45301.0</v>
      </c>
      <c r="F2358" s="10" t="s">
        <v>14381</v>
      </c>
      <c r="G2358" s="10" t="s">
        <v>12654</v>
      </c>
      <c r="H2358" s="10" t="s">
        <v>828</v>
      </c>
      <c r="I2358" s="10" t="s">
        <v>55</v>
      </c>
      <c r="J2358" s="10" t="s">
        <v>13437</v>
      </c>
      <c r="K2358" s="10" t="s">
        <v>14877</v>
      </c>
      <c r="L2358" s="10" t="s">
        <v>42</v>
      </c>
    </row>
    <row r="2359" ht="15.75" customHeight="1">
      <c r="A2359" s="64">
        <v>45470.0</v>
      </c>
      <c r="B2359" s="55" t="str">
        <f>HYPERLINK("https://jobright.ai/jobs/info/667dc33cf75efc0f0683c14f?utm_campaign=1065&amp;utm_source=sheet", "Apply")</f>
        <v>Apply</v>
      </c>
      <c r="C2359" s="10" t="s">
        <v>14876</v>
      </c>
      <c r="D2359" s="56" t="s">
        <v>14380</v>
      </c>
      <c r="E2359" s="59">
        <v>45301.0</v>
      </c>
      <c r="F2359" s="10" t="s">
        <v>14381</v>
      </c>
      <c r="G2359" s="10" t="s">
        <v>12654</v>
      </c>
      <c r="H2359" s="10" t="s">
        <v>937</v>
      </c>
      <c r="I2359" s="10" t="s">
        <v>55</v>
      </c>
      <c r="J2359" s="10" t="s">
        <v>13437</v>
      </c>
      <c r="K2359" s="10" t="s">
        <v>14877</v>
      </c>
      <c r="L2359" s="10" t="s">
        <v>42</v>
      </c>
    </row>
    <row r="2360" ht="15.75" customHeight="1">
      <c r="A2360" s="64">
        <v>45470.0</v>
      </c>
      <c r="B2360" s="55" t="str">
        <f>HYPERLINK("https://jobright.ai/jobs/info/667dc33cf75efc0f0683c147?utm_campaign=1065&amp;utm_source=sheet", "Apply")</f>
        <v>Apply</v>
      </c>
      <c r="C2360" s="10" t="s">
        <v>14876</v>
      </c>
      <c r="D2360" s="56" t="s">
        <v>14380</v>
      </c>
      <c r="E2360" s="59">
        <v>45301.0</v>
      </c>
      <c r="F2360" s="10" t="s">
        <v>14381</v>
      </c>
      <c r="G2360" s="10" t="s">
        <v>12654</v>
      </c>
      <c r="H2360" s="10" t="s">
        <v>779</v>
      </c>
      <c r="I2360" s="10" t="s">
        <v>55</v>
      </c>
      <c r="J2360" s="10" t="s">
        <v>13437</v>
      </c>
      <c r="K2360" s="10" t="s">
        <v>14877</v>
      </c>
      <c r="L2360" s="10" t="s">
        <v>42</v>
      </c>
    </row>
    <row r="2361" ht="15.75" customHeight="1">
      <c r="A2361" s="64">
        <v>45470.0</v>
      </c>
      <c r="B2361" s="55" t="str">
        <f>HYPERLINK("https://jobright.ai/jobs/info/667dc33cf75efc0f0683c142?utm_campaign=1065&amp;utm_source=sheet", "Apply")</f>
        <v>Apply</v>
      </c>
      <c r="C2361" s="10" t="s">
        <v>14876</v>
      </c>
      <c r="D2361" s="56" t="s">
        <v>14380</v>
      </c>
      <c r="E2361" s="59">
        <v>45301.0</v>
      </c>
      <c r="F2361" s="10" t="s">
        <v>14381</v>
      </c>
      <c r="G2361" s="10" t="s">
        <v>12654</v>
      </c>
      <c r="H2361" s="10" t="s">
        <v>852</v>
      </c>
      <c r="I2361" s="10" t="s">
        <v>55</v>
      </c>
      <c r="J2361" s="10" t="s">
        <v>13437</v>
      </c>
      <c r="K2361" s="10" t="s">
        <v>14877</v>
      </c>
      <c r="L2361" s="10" t="s">
        <v>42</v>
      </c>
    </row>
    <row r="2362" ht="15.75" customHeight="1">
      <c r="A2362" s="64">
        <v>45470.0</v>
      </c>
      <c r="B2362" s="55" t="str">
        <f>HYPERLINK("https://jobright.ai/jobs/info/667dc33cf75efc0f0683c14b?utm_campaign=1065&amp;utm_source=sheet", "Apply")</f>
        <v>Apply</v>
      </c>
      <c r="C2362" s="10" t="s">
        <v>14876</v>
      </c>
      <c r="D2362" s="56" t="s">
        <v>14380</v>
      </c>
      <c r="E2362" s="59">
        <v>45301.0</v>
      </c>
      <c r="F2362" s="10" t="s">
        <v>14381</v>
      </c>
      <c r="G2362" s="10" t="s">
        <v>12654</v>
      </c>
      <c r="H2362" s="10" t="s">
        <v>882</v>
      </c>
      <c r="I2362" s="10" t="s">
        <v>55</v>
      </c>
      <c r="J2362" s="10" t="s">
        <v>13437</v>
      </c>
      <c r="K2362" s="10" t="s">
        <v>14877</v>
      </c>
      <c r="L2362" s="10" t="s">
        <v>42</v>
      </c>
    </row>
    <row r="2363" ht="15.75" customHeight="1">
      <c r="A2363" s="64">
        <v>45470.0</v>
      </c>
      <c r="B2363" s="55" t="str">
        <f>HYPERLINK("https://jobright.ai/jobs/info/667dc33cf75efc0f0683c141?utm_campaign=1065&amp;utm_source=sheet", "Apply")</f>
        <v>Apply</v>
      </c>
      <c r="C2363" s="10" t="s">
        <v>14876</v>
      </c>
      <c r="D2363" s="56" t="s">
        <v>14380</v>
      </c>
      <c r="E2363" s="59">
        <v>45301.0</v>
      </c>
      <c r="F2363" s="10" t="s">
        <v>14381</v>
      </c>
      <c r="G2363" s="10" t="s">
        <v>12654</v>
      </c>
      <c r="H2363" s="10" t="s">
        <v>923</v>
      </c>
      <c r="I2363" s="10" t="s">
        <v>55</v>
      </c>
      <c r="J2363" s="10" t="s">
        <v>13437</v>
      </c>
      <c r="K2363" s="10" t="s">
        <v>14877</v>
      </c>
      <c r="L2363" s="10" t="s">
        <v>42</v>
      </c>
    </row>
    <row r="2364" ht="15.75" customHeight="1">
      <c r="A2364" s="64">
        <v>45470.0</v>
      </c>
      <c r="B2364" s="55" t="str">
        <f>HYPERLINK("https://jobright.ai/jobs/info/667dc33cf75efc0f0683c13e?utm_campaign=1065&amp;utm_source=sheet", "Apply")</f>
        <v>Apply</v>
      </c>
      <c r="C2364" s="10" t="s">
        <v>14876</v>
      </c>
      <c r="D2364" s="56" t="s">
        <v>14380</v>
      </c>
      <c r="E2364" s="59">
        <v>45301.0</v>
      </c>
      <c r="F2364" s="10" t="s">
        <v>14381</v>
      </c>
      <c r="G2364" s="10" t="s">
        <v>12654</v>
      </c>
      <c r="H2364" s="10" t="s">
        <v>788</v>
      </c>
      <c r="I2364" s="10" t="s">
        <v>55</v>
      </c>
      <c r="J2364" s="10" t="s">
        <v>13437</v>
      </c>
      <c r="K2364" s="10" t="s">
        <v>14877</v>
      </c>
      <c r="L2364" s="10" t="s">
        <v>42</v>
      </c>
    </row>
    <row r="2365" ht="15.75" customHeight="1">
      <c r="A2365" s="64">
        <v>45470.0</v>
      </c>
      <c r="B2365" s="55" t="str">
        <f>HYPERLINK("https://jobright.ai/jobs/info/667dc33cf75efc0f0683c145?utm_campaign=1065&amp;utm_source=sheet", "Apply")</f>
        <v>Apply</v>
      </c>
      <c r="C2365" s="10" t="s">
        <v>14876</v>
      </c>
      <c r="D2365" s="56" t="s">
        <v>14380</v>
      </c>
      <c r="E2365" s="59">
        <v>45301.0</v>
      </c>
      <c r="F2365" s="10" t="s">
        <v>14381</v>
      </c>
      <c r="G2365" s="10" t="s">
        <v>12654</v>
      </c>
      <c r="H2365" s="10" t="s">
        <v>836</v>
      </c>
      <c r="I2365" s="10" t="s">
        <v>55</v>
      </c>
      <c r="J2365" s="10" t="s">
        <v>13437</v>
      </c>
      <c r="K2365" s="10" t="s">
        <v>14877</v>
      </c>
      <c r="L2365" s="10" t="s">
        <v>42</v>
      </c>
    </row>
    <row r="2366" ht="15.75" customHeight="1">
      <c r="A2366" s="64">
        <v>45470.0</v>
      </c>
      <c r="B2366" s="55" t="str">
        <f>HYPERLINK("https://jobright.ai/jobs/info/667dc33cf75efc0f0683c14a?utm_campaign=1065&amp;utm_source=sheet", "Apply")</f>
        <v>Apply</v>
      </c>
      <c r="C2366" s="10" t="s">
        <v>14876</v>
      </c>
      <c r="D2366" s="56" t="s">
        <v>14380</v>
      </c>
      <c r="E2366" s="59">
        <v>45301.0</v>
      </c>
      <c r="F2366" s="10" t="s">
        <v>14381</v>
      </c>
      <c r="G2366" s="10" t="s">
        <v>12654</v>
      </c>
      <c r="H2366" s="10" t="s">
        <v>792</v>
      </c>
      <c r="I2366" s="10" t="s">
        <v>55</v>
      </c>
      <c r="J2366" s="10" t="s">
        <v>13437</v>
      </c>
      <c r="K2366" s="10" t="s">
        <v>14877</v>
      </c>
      <c r="L2366" s="10" t="s">
        <v>42</v>
      </c>
    </row>
    <row r="2367" ht="15.75" customHeight="1">
      <c r="A2367" s="64">
        <v>45470.0</v>
      </c>
      <c r="B2367" s="55" t="str">
        <f>HYPERLINK("https://jobright.ai/jobs/info/667dc33cf75efc0f0683c14c?utm_campaign=1065&amp;utm_source=sheet", "Apply")</f>
        <v>Apply</v>
      </c>
      <c r="C2367" s="10" t="s">
        <v>14876</v>
      </c>
      <c r="D2367" s="56" t="s">
        <v>14380</v>
      </c>
      <c r="E2367" s="59">
        <v>45301.0</v>
      </c>
      <c r="F2367" s="10" t="s">
        <v>14381</v>
      </c>
      <c r="G2367" s="10" t="s">
        <v>12654</v>
      </c>
      <c r="H2367" s="10" t="s">
        <v>912</v>
      </c>
      <c r="I2367" s="10" t="s">
        <v>55</v>
      </c>
      <c r="J2367" s="10" t="s">
        <v>13437</v>
      </c>
      <c r="K2367" s="10" t="s">
        <v>14877</v>
      </c>
      <c r="L2367" s="10" t="s">
        <v>42</v>
      </c>
    </row>
    <row r="2368" ht="15.75" customHeight="1">
      <c r="A2368" s="64">
        <v>45470.0</v>
      </c>
      <c r="B2368" s="55" t="str">
        <f>HYPERLINK("https://jobright.ai/jobs/info/667dc33cf75efc0f0683c150?utm_campaign=1065&amp;utm_source=sheet", "Apply")</f>
        <v>Apply</v>
      </c>
      <c r="C2368" s="10" t="s">
        <v>14876</v>
      </c>
      <c r="D2368" s="56" t="s">
        <v>14380</v>
      </c>
      <c r="E2368" s="59">
        <v>45301.0</v>
      </c>
      <c r="F2368" s="10" t="s">
        <v>14381</v>
      </c>
      <c r="G2368" s="10" t="s">
        <v>12654</v>
      </c>
      <c r="H2368" s="10" t="s">
        <v>866</v>
      </c>
      <c r="I2368" s="10" t="s">
        <v>55</v>
      </c>
      <c r="J2368" s="10" t="s">
        <v>13437</v>
      </c>
      <c r="K2368" s="10" t="s">
        <v>14877</v>
      </c>
      <c r="L2368" s="10" t="s">
        <v>42</v>
      </c>
    </row>
    <row r="2369" ht="15.75" customHeight="1">
      <c r="A2369" s="64">
        <v>45470.0</v>
      </c>
      <c r="B2369" s="55" t="str">
        <f>HYPERLINK("https://jobright.ai/jobs/info/667dc33cf75efc0f0683c138?utm_campaign=1065&amp;utm_source=sheet", "Apply")</f>
        <v>Apply</v>
      </c>
      <c r="C2369" s="10" t="s">
        <v>14876</v>
      </c>
      <c r="D2369" s="56" t="s">
        <v>14380</v>
      </c>
      <c r="E2369" s="59">
        <v>45301.0</v>
      </c>
      <c r="F2369" s="10" t="s">
        <v>14381</v>
      </c>
      <c r="G2369" s="10" t="s">
        <v>12654</v>
      </c>
      <c r="H2369" s="10" t="s">
        <v>962</v>
      </c>
      <c r="I2369" s="10" t="s">
        <v>55</v>
      </c>
      <c r="J2369" s="10" t="s">
        <v>13437</v>
      </c>
      <c r="K2369" s="10" t="s">
        <v>14877</v>
      </c>
      <c r="L2369" s="10" t="s">
        <v>42</v>
      </c>
    </row>
    <row r="2370" ht="15.75" customHeight="1">
      <c r="A2370" s="64">
        <v>45470.0</v>
      </c>
      <c r="B2370" s="55" t="str">
        <f>HYPERLINK("https://jobright.ai/jobs/info/667dc33cf75efc0f0683c149?utm_campaign=1065&amp;utm_source=sheet", "Apply")</f>
        <v>Apply</v>
      </c>
      <c r="C2370" s="10" t="s">
        <v>14876</v>
      </c>
      <c r="D2370" s="56" t="s">
        <v>14380</v>
      </c>
      <c r="E2370" s="59">
        <v>45301.0</v>
      </c>
      <c r="F2370" s="10" t="s">
        <v>14381</v>
      </c>
      <c r="G2370" s="10" t="s">
        <v>12654</v>
      </c>
      <c r="H2370" s="10" t="s">
        <v>762</v>
      </c>
      <c r="I2370" s="10" t="s">
        <v>55</v>
      </c>
      <c r="J2370" s="10" t="s">
        <v>13437</v>
      </c>
      <c r="K2370" s="10" t="s">
        <v>14877</v>
      </c>
      <c r="L2370" s="10" t="s">
        <v>42</v>
      </c>
    </row>
    <row r="2371" ht="15.75" customHeight="1">
      <c r="A2371" s="64">
        <v>45470.0</v>
      </c>
      <c r="B2371" s="55" t="str">
        <f>HYPERLINK("https://jobright.ai/jobs/info/667dc33cf75efc0f0683c152?utm_campaign=1065&amp;utm_source=sheet", "Apply")</f>
        <v>Apply</v>
      </c>
      <c r="C2371" s="10" t="s">
        <v>14876</v>
      </c>
      <c r="D2371" s="56" t="s">
        <v>14380</v>
      </c>
      <c r="E2371" s="59">
        <v>45301.0</v>
      </c>
      <c r="F2371" s="10" t="s">
        <v>14381</v>
      </c>
      <c r="G2371" s="10" t="s">
        <v>12654</v>
      </c>
      <c r="H2371" s="10" t="s">
        <v>772</v>
      </c>
      <c r="I2371" s="10" t="s">
        <v>55</v>
      </c>
      <c r="J2371" s="10" t="s">
        <v>13437</v>
      </c>
      <c r="K2371" s="10" t="s">
        <v>14877</v>
      </c>
      <c r="L2371" s="10" t="s">
        <v>42</v>
      </c>
    </row>
    <row r="2372" ht="15.75" customHeight="1">
      <c r="A2372" s="64">
        <v>45470.0</v>
      </c>
      <c r="B2372" s="55" t="str">
        <f>HYPERLINK("https://jobright.ai/jobs/info/667dc33cf75efc0f0683c15c?utm_campaign=1065&amp;utm_source=sheet", "Apply")</f>
        <v>Apply</v>
      </c>
      <c r="C2372" s="10" t="s">
        <v>14876</v>
      </c>
      <c r="D2372" s="56" t="s">
        <v>14380</v>
      </c>
      <c r="E2372" s="59">
        <v>45301.0</v>
      </c>
      <c r="F2372" s="10" t="s">
        <v>14381</v>
      </c>
      <c r="G2372" s="10" t="s">
        <v>12654</v>
      </c>
      <c r="H2372" s="10" t="s">
        <v>1043</v>
      </c>
      <c r="I2372" s="10" t="s">
        <v>55</v>
      </c>
      <c r="J2372" s="10" t="s">
        <v>13437</v>
      </c>
      <c r="K2372" s="10" t="s">
        <v>14877</v>
      </c>
      <c r="L2372" s="10" t="s">
        <v>42</v>
      </c>
    </row>
    <row r="2373" ht="15.75" customHeight="1">
      <c r="A2373" s="64">
        <v>45470.0</v>
      </c>
      <c r="B2373" s="55" t="str">
        <f>HYPERLINK("https://jobright.ai/jobs/info/667dc33cf75efc0f0683c15d?utm_campaign=1065&amp;utm_source=sheet", "Apply")</f>
        <v>Apply</v>
      </c>
      <c r="C2373" s="10" t="s">
        <v>14876</v>
      </c>
      <c r="D2373" s="56" t="s">
        <v>14380</v>
      </c>
      <c r="E2373" s="59">
        <v>45301.0</v>
      </c>
      <c r="F2373" s="10" t="s">
        <v>14381</v>
      </c>
      <c r="G2373" s="10" t="s">
        <v>12654</v>
      </c>
      <c r="H2373" s="10" t="s">
        <v>1000</v>
      </c>
      <c r="I2373" s="10" t="s">
        <v>55</v>
      </c>
      <c r="J2373" s="10" t="s">
        <v>13437</v>
      </c>
      <c r="K2373" s="10" t="s">
        <v>14877</v>
      </c>
      <c r="L2373" s="10" t="s">
        <v>42</v>
      </c>
    </row>
    <row r="2374" ht="15.75" customHeight="1">
      <c r="A2374" s="64">
        <v>45470.0</v>
      </c>
      <c r="B2374" s="55" t="str">
        <f>HYPERLINK("https://jobright.ai/jobs/info/667dc33cf75efc0f0683c160?utm_campaign=1065&amp;utm_source=sheet", "Apply")</f>
        <v>Apply</v>
      </c>
      <c r="C2374" s="10" t="s">
        <v>14876</v>
      </c>
      <c r="D2374" s="56" t="s">
        <v>14380</v>
      </c>
      <c r="E2374" s="59">
        <v>45301.0</v>
      </c>
      <c r="F2374" s="10" t="s">
        <v>14381</v>
      </c>
      <c r="G2374" s="10" t="s">
        <v>12654</v>
      </c>
      <c r="H2374" s="10" t="s">
        <v>906</v>
      </c>
      <c r="I2374" s="10" t="s">
        <v>55</v>
      </c>
      <c r="J2374" s="10" t="s">
        <v>13437</v>
      </c>
      <c r="K2374" s="10" t="s">
        <v>14877</v>
      </c>
      <c r="L2374" s="10" t="s">
        <v>42</v>
      </c>
    </row>
    <row r="2375" ht="15.75" customHeight="1">
      <c r="A2375" s="64">
        <v>45470.0</v>
      </c>
      <c r="B2375" s="55" t="str">
        <f>HYPERLINK("https://jobright.ai/jobs/info/667dc33cf75efc0f0683c151?utm_campaign=1065&amp;utm_source=sheet", "Apply")</f>
        <v>Apply</v>
      </c>
      <c r="C2375" s="10" t="s">
        <v>14876</v>
      </c>
      <c r="D2375" s="56" t="s">
        <v>14380</v>
      </c>
      <c r="E2375" s="59">
        <v>45301.0</v>
      </c>
      <c r="F2375" s="10" t="s">
        <v>14381</v>
      </c>
      <c r="G2375" s="10" t="s">
        <v>12654</v>
      </c>
      <c r="H2375" s="10" t="s">
        <v>985</v>
      </c>
      <c r="I2375" s="10" t="s">
        <v>55</v>
      </c>
      <c r="J2375" s="10" t="s">
        <v>13437</v>
      </c>
      <c r="K2375" s="10" t="s">
        <v>14877</v>
      </c>
      <c r="L2375" s="10" t="s">
        <v>42</v>
      </c>
    </row>
    <row r="2376" ht="15.75" customHeight="1">
      <c r="A2376" s="64">
        <v>45470.0</v>
      </c>
      <c r="B2376" s="55" t="str">
        <f>HYPERLINK("https://jobright.ai/jobs/info/667dc33cf75efc0f0683c153?utm_campaign=1065&amp;utm_source=sheet", "Apply")</f>
        <v>Apply</v>
      </c>
      <c r="C2376" s="10" t="s">
        <v>14876</v>
      </c>
      <c r="D2376" s="56" t="s">
        <v>14380</v>
      </c>
      <c r="E2376" s="59">
        <v>45301.0</v>
      </c>
      <c r="F2376" s="10" t="s">
        <v>14381</v>
      </c>
      <c r="G2376" s="10" t="s">
        <v>12654</v>
      </c>
      <c r="H2376" s="10" t="s">
        <v>766</v>
      </c>
      <c r="I2376" s="10" t="s">
        <v>55</v>
      </c>
      <c r="J2376" s="10" t="s">
        <v>13437</v>
      </c>
      <c r="K2376" s="10" t="s">
        <v>14877</v>
      </c>
      <c r="L2376" s="10" t="s">
        <v>42</v>
      </c>
    </row>
    <row r="2377" ht="15.75" customHeight="1">
      <c r="A2377" s="64">
        <v>45470.0</v>
      </c>
      <c r="B2377" s="55" t="str">
        <f>HYPERLINK("https://jobright.ai/jobs/info/667dc33cf75efc0f0683c15a?utm_campaign=1065&amp;utm_source=sheet", "Apply")</f>
        <v>Apply</v>
      </c>
      <c r="C2377" s="10" t="s">
        <v>14876</v>
      </c>
      <c r="D2377" s="56" t="s">
        <v>14380</v>
      </c>
      <c r="E2377" s="59">
        <v>45301.0</v>
      </c>
      <c r="F2377" s="10" t="s">
        <v>14381</v>
      </c>
      <c r="G2377" s="10" t="s">
        <v>12654</v>
      </c>
      <c r="H2377" s="10" t="s">
        <v>917</v>
      </c>
      <c r="I2377" s="10" t="s">
        <v>55</v>
      </c>
      <c r="J2377" s="10" t="s">
        <v>13437</v>
      </c>
      <c r="K2377" s="10" t="s">
        <v>14877</v>
      </c>
      <c r="L2377" s="10" t="s">
        <v>42</v>
      </c>
    </row>
    <row r="2378" ht="15.75" customHeight="1">
      <c r="A2378" s="64">
        <v>45470.0</v>
      </c>
      <c r="B2378" s="55" t="str">
        <f>HYPERLINK("https://jobright.ai/jobs/info/667dc33cf75efc0f0683c162?utm_campaign=1065&amp;utm_source=sheet", "Apply")</f>
        <v>Apply</v>
      </c>
      <c r="C2378" s="10" t="s">
        <v>14876</v>
      </c>
      <c r="D2378" s="56" t="s">
        <v>14380</v>
      </c>
      <c r="E2378" s="59">
        <v>45301.0</v>
      </c>
      <c r="F2378" s="10" t="s">
        <v>14381</v>
      </c>
      <c r="G2378" s="10" t="s">
        <v>12654</v>
      </c>
      <c r="H2378" s="10" t="s">
        <v>804</v>
      </c>
      <c r="I2378" s="10" t="s">
        <v>55</v>
      </c>
      <c r="J2378" s="10" t="s">
        <v>13437</v>
      </c>
      <c r="K2378" s="10" t="s">
        <v>14877</v>
      </c>
      <c r="L2378" s="10" t="s">
        <v>42</v>
      </c>
    </row>
    <row r="2379" ht="15.75" customHeight="1">
      <c r="A2379" s="64">
        <v>45470.0</v>
      </c>
      <c r="B2379" s="55" t="str">
        <f>HYPERLINK("https://jobright.ai/jobs/info/667dc33cf75efc0f0683c15b?utm_campaign=1065&amp;utm_source=sheet", "Apply")</f>
        <v>Apply</v>
      </c>
      <c r="C2379" s="10" t="s">
        <v>14876</v>
      </c>
      <c r="D2379" s="56" t="s">
        <v>14380</v>
      </c>
      <c r="E2379" s="59">
        <v>45301.0</v>
      </c>
      <c r="F2379" s="10" t="s">
        <v>14381</v>
      </c>
      <c r="G2379" s="10" t="s">
        <v>12654</v>
      </c>
      <c r="H2379" s="10" t="s">
        <v>841</v>
      </c>
      <c r="I2379" s="10" t="s">
        <v>55</v>
      </c>
      <c r="J2379" s="10" t="s">
        <v>13437</v>
      </c>
      <c r="K2379" s="10" t="s">
        <v>14877</v>
      </c>
      <c r="L2379" s="10" t="s">
        <v>42</v>
      </c>
    </row>
    <row r="2380" ht="15.75" customHeight="1">
      <c r="A2380" s="64">
        <v>45470.0</v>
      </c>
      <c r="B2380" s="55" t="str">
        <f>HYPERLINK("https://jobright.ai/jobs/info/667dc33cf75efc0f0683c161?utm_campaign=1065&amp;utm_source=sheet", "Apply")</f>
        <v>Apply</v>
      </c>
      <c r="C2380" s="10" t="s">
        <v>14876</v>
      </c>
      <c r="D2380" s="56" t="s">
        <v>14380</v>
      </c>
      <c r="E2380" s="59">
        <v>45301.0</v>
      </c>
      <c r="F2380" s="10" t="s">
        <v>14381</v>
      </c>
      <c r="G2380" s="10" t="s">
        <v>12654</v>
      </c>
      <c r="H2380" s="10" t="s">
        <v>898</v>
      </c>
      <c r="I2380" s="10" t="s">
        <v>55</v>
      </c>
      <c r="J2380" s="10" t="s">
        <v>13437</v>
      </c>
      <c r="K2380" s="10" t="s">
        <v>14877</v>
      </c>
      <c r="L2380" s="10" t="s">
        <v>42</v>
      </c>
    </row>
    <row r="2381" ht="15.75" customHeight="1">
      <c r="A2381" s="64">
        <v>45470.0</v>
      </c>
      <c r="B2381" s="55" t="str">
        <f>HYPERLINK("https://jobright.ai/jobs/info/667dc33cf75efc0f0683c159?utm_campaign=1065&amp;utm_source=sheet", "Apply")</f>
        <v>Apply</v>
      </c>
      <c r="C2381" s="10" t="s">
        <v>14876</v>
      </c>
      <c r="D2381" s="56" t="s">
        <v>14380</v>
      </c>
      <c r="E2381" s="59">
        <v>45301.0</v>
      </c>
      <c r="F2381" s="10" t="s">
        <v>14381</v>
      </c>
      <c r="G2381" s="10" t="s">
        <v>12654</v>
      </c>
      <c r="H2381" s="10" t="s">
        <v>872</v>
      </c>
      <c r="I2381" s="10" t="s">
        <v>55</v>
      </c>
      <c r="J2381" s="10" t="s">
        <v>13437</v>
      </c>
      <c r="K2381" s="10" t="s">
        <v>14877</v>
      </c>
      <c r="L2381" s="10" t="s">
        <v>42</v>
      </c>
    </row>
    <row r="2382" ht="15.75" customHeight="1">
      <c r="A2382" s="64">
        <v>45470.0</v>
      </c>
      <c r="B2382" s="55" t="str">
        <f>HYPERLINK("https://jobright.ai/jobs/info/667dc33cf75efc0f0683c156?utm_campaign=1065&amp;utm_source=sheet", "Apply")</f>
        <v>Apply</v>
      </c>
      <c r="C2382" s="10" t="s">
        <v>14876</v>
      </c>
      <c r="D2382" s="56" t="s">
        <v>14380</v>
      </c>
      <c r="E2382" s="59">
        <v>45301.0</v>
      </c>
      <c r="F2382" s="10" t="s">
        <v>14381</v>
      </c>
      <c r="G2382" s="10" t="s">
        <v>12654</v>
      </c>
      <c r="H2382" s="10" t="s">
        <v>505</v>
      </c>
      <c r="I2382" s="10" t="s">
        <v>55</v>
      </c>
      <c r="J2382" s="10" t="s">
        <v>13437</v>
      </c>
      <c r="K2382" s="10" t="s">
        <v>14877</v>
      </c>
      <c r="L2382" s="10" t="s">
        <v>42</v>
      </c>
    </row>
    <row r="2383" ht="15.75" customHeight="1">
      <c r="A2383" s="64">
        <v>45470.0</v>
      </c>
      <c r="B2383" s="55" t="str">
        <f>HYPERLINK("https://jobright.ai/jobs/info/667dc33cf75efc0f0683c15f?utm_campaign=1065&amp;utm_source=sheet", "Apply")</f>
        <v>Apply</v>
      </c>
      <c r="C2383" s="10" t="s">
        <v>14876</v>
      </c>
      <c r="D2383" s="56" t="s">
        <v>14380</v>
      </c>
      <c r="E2383" s="59">
        <v>45301.0</v>
      </c>
      <c r="F2383" s="10" t="s">
        <v>14381</v>
      </c>
      <c r="G2383" s="10" t="s">
        <v>12654</v>
      </c>
      <c r="H2383" s="10" t="s">
        <v>607</v>
      </c>
      <c r="I2383" s="10" t="s">
        <v>55</v>
      </c>
      <c r="J2383" s="10" t="s">
        <v>13437</v>
      </c>
      <c r="K2383" s="10" t="s">
        <v>14877</v>
      </c>
      <c r="L2383" s="10" t="s">
        <v>42</v>
      </c>
    </row>
    <row r="2384" ht="15.75" customHeight="1">
      <c r="A2384" s="64">
        <v>45470.0</v>
      </c>
      <c r="B2384" s="55" t="str">
        <f>HYPERLINK("https://jobright.ai/jobs/info/667dc33cf75efc0f0683c157?utm_campaign=1065&amp;utm_source=sheet", "Apply")</f>
        <v>Apply</v>
      </c>
      <c r="C2384" s="10" t="s">
        <v>14876</v>
      </c>
      <c r="D2384" s="56" t="s">
        <v>14380</v>
      </c>
      <c r="E2384" s="59">
        <v>45301.0</v>
      </c>
      <c r="F2384" s="10" t="s">
        <v>14381</v>
      </c>
      <c r="G2384" s="10" t="s">
        <v>12654</v>
      </c>
      <c r="H2384" s="10" t="s">
        <v>876</v>
      </c>
      <c r="I2384" s="10" t="s">
        <v>55</v>
      </c>
      <c r="J2384" s="10" t="s">
        <v>13437</v>
      </c>
      <c r="K2384" s="10" t="s">
        <v>14877</v>
      </c>
      <c r="L2384" s="10" t="s">
        <v>42</v>
      </c>
    </row>
    <row r="2385" ht="15.75" customHeight="1">
      <c r="A2385" s="64">
        <v>45470.0</v>
      </c>
      <c r="B2385" s="55" t="str">
        <f>HYPERLINK("https://jobright.ai/jobs/info/667dc33cf75efc0f0683c158?utm_campaign=1065&amp;utm_source=sheet", "Apply")</f>
        <v>Apply</v>
      </c>
      <c r="C2385" s="10" t="s">
        <v>14876</v>
      </c>
      <c r="D2385" s="56" t="s">
        <v>14380</v>
      </c>
      <c r="E2385" s="59">
        <v>45301.0</v>
      </c>
      <c r="F2385" s="10" t="s">
        <v>14381</v>
      </c>
      <c r="G2385" s="10" t="s">
        <v>12654</v>
      </c>
      <c r="H2385" s="10" t="s">
        <v>783</v>
      </c>
      <c r="I2385" s="10" t="s">
        <v>55</v>
      </c>
      <c r="J2385" s="10" t="s">
        <v>13437</v>
      </c>
      <c r="K2385" s="10" t="s">
        <v>14877</v>
      </c>
      <c r="L2385" s="10" t="s">
        <v>42</v>
      </c>
    </row>
    <row r="2386" ht="15.75" customHeight="1">
      <c r="A2386" s="64">
        <v>45470.0</v>
      </c>
      <c r="B2386" s="55" t="str">
        <f>HYPERLINK("https://jobright.ai/jobs/info/667dc33cf75efc0f0683c15e?utm_campaign=1065&amp;utm_source=sheet", "Apply")</f>
        <v>Apply</v>
      </c>
      <c r="C2386" s="10" t="s">
        <v>14876</v>
      </c>
      <c r="D2386" s="56" t="s">
        <v>14380</v>
      </c>
      <c r="E2386" s="59">
        <v>45301.0</v>
      </c>
      <c r="F2386" s="10" t="s">
        <v>14381</v>
      </c>
      <c r="G2386" s="10" t="s">
        <v>12654</v>
      </c>
      <c r="H2386" s="10" t="s">
        <v>1031</v>
      </c>
      <c r="I2386" s="10" t="s">
        <v>55</v>
      </c>
      <c r="J2386" s="10" t="s">
        <v>13437</v>
      </c>
      <c r="K2386" s="10" t="s">
        <v>14877</v>
      </c>
      <c r="L2386" s="10" t="s">
        <v>42</v>
      </c>
    </row>
    <row r="2387" ht="15.75" customHeight="1">
      <c r="A2387" s="64">
        <v>45470.0</v>
      </c>
      <c r="B2387" s="55" t="str">
        <f>HYPERLINK("https://jobright.ai/jobs/info/667dc33cf75efc0f0683c155?utm_campaign=1065&amp;utm_source=sheet", "Apply")</f>
        <v>Apply</v>
      </c>
      <c r="C2387" s="10" t="s">
        <v>14876</v>
      </c>
      <c r="D2387" s="56" t="s">
        <v>14380</v>
      </c>
      <c r="E2387" s="59">
        <v>45301.0</v>
      </c>
      <c r="F2387" s="10" t="s">
        <v>14381</v>
      </c>
      <c r="G2387" s="10" t="s">
        <v>12654</v>
      </c>
      <c r="H2387" s="10" t="s">
        <v>924</v>
      </c>
      <c r="I2387" s="10" t="s">
        <v>55</v>
      </c>
      <c r="J2387" s="10" t="s">
        <v>13437</v>
      </c>
      <c r="K2387" s="10" t="s">
        <v>14877</v>
      </c>
      <c r="L2387" s="10" t="s">
        <v>42</v>
      </c>
    </row>
    <row r="2388" ht="15.75" customHeight="1">
      <c r="A2388" s="64">
        <v>45470.0</v>
      </c>
      <c r="B2388" s="55" t="str">
        <f>HYPERLINK("https://jobright.ai/jobs/info/667dc33cf75efc0f0683c163?utm_campaign=1065&amp;utm_source=sheet", "Apply")</f>
        <v>Apply</v>
      </c>
      <c r="C2388" s="10" t="s">
        <v>14876</v>
      </c>
      <c r="D2388" s="56" t="s">
        <v>14380</v>
      </c>
      <c r="E2388" s="59">
        <v>45301.0</v>
      </c>
      <c r="F2388" s="10" t="s">
        <v>14381</v>
      </c>
      <c r="G2388" s="10" t="s">
        <v>12654</v>
      </c>
      <c r="H2388" s="10" t="s">
        <v>271</v>
      </c>
      <c r="I2388" s="10" t="s">
        <v>55</v>
      </c>
      <c r="J2388" s="10" t="s">
        <v>13437</v>
      </c>
      <c r="K2388" s="10" t="s">
        <v>14877</v>
      </c>
      <c r="L2388" s="10" t="s">
        <v>42</v>
      </c>
    </row>
    <row r="2389" ht="15.75" customHeight="1">
      <c r="A2389" s="64">
        <v>45470.0</v>
      </c>
      <c r="B2389" s="55" t="str">
        <f>HYPERLINK("https://jobright.ai/jobs/info/667dc33cf75efc0f0683c16b?utm_campaign=1065&amp;utm_source=sheet", "Apply")</f>
        <v>Apply</v>
      </c>
      <c r="C2389" s="10" t="s">
        <v>14876</v>
      </c>
      <c r="D2389" s="56" t="s">
        <v>14380</v>
      </c>
      <c r="E2389" s="59">
        <v>45301.0</v>
      </c>
      <c r="F2389" s="10" t="s">
        <v>14381</v>
      </c>
      <c r="G2389" s="10" t="s">
        <v>12654</v>
      </c>
      <c r="H2389" s="10" t="s">
        <v>891</v>
      </c>
      <c r="I2389" s="10" t="s">
        <v>55</v>
      </c>
      <c r="J2389" s="10" t="s">
        <v>13437</v>
      </c>
      <c r="K2389" s="10" t="s">
        <v>14877</v>
      </c>
      <c r="L2389" s="10" t="s">
        <v>42</v>
      </c>
    </row>
    <row r="2390" ht="15.75" customHeight="1">
      <c r="A2390" s="64">
        <v>45470.0</v>
      </c>
      <c r="B2390" s="55" t="str">
        <f>HYPERLINK("https://jobright.ai/jobs/info/667dc33cf75efc0f0683c16c?utm_campaign=1065&amp;utm_source=sheet", "Apply")</f>
        <v>Apply</v>
      </c>
      <c r="C2390" s="10" t="s">
        <v>14876</v>
      </c>
      <c r="D2390" s="56" t="s">
        <v>14380</v>
      </c>
      <c r="E2390" s="59">
        <v>45301.0</v>
      </c>
      <c r="F2390" s="10" t="s">
        <v>14381</v>
      </c>
      <c r="G2390" s="10" t="s">
        <v>12654</v>
      </c>
      <c r="H2390" s="10" t="s">
        <v>915</v>
      </c>
      <c r="I2390" s="10" t="s">
        <v>55</v>
      </c>
      <c r="J2390" s="10" t="s">
        <v>13437</v>
      </c>
      <c r="K2390" s="10" t="s">
        <v>14877</v>
      </c>
      <c r="L2390" s="10" t="s">
        <v>42</v>
      </c>
    </row>
    <row r="2391" ht="15.75" customHeight="1">
      <c r="A2391" s="64">
        <v>45470.0</v>
      </c>
      <c r="B2391" s="55" t="str">
        <f>HYPERLINK("https://jobright.ai/jobs/info/667dc33cf75efc0f0683c167?utm_campaign=1065&amp;utm_source=sheet", "Apply")</f>
        <v>Apply</v>
      </c>
      <c r="C2391" s="10" t="s">
        <v>14876</v>
      </c>
      <c r="D2391" s="56" t="s">
        <v>14380</v>
      </c>
      <c r="E2391" s="59">
        <v>45301.0</v>
      </c>
      <c r="F2391" s="10" t="s">
        <v>14381</v>
      </c>
      <c r="G2391" s="10" t="s">
        <v>12654</v>
      </c>
      <c r="H2391" s="10" t="s">
        <v>951</v>
      </c>
      <c r="I2391" s="10" t="s">
        <v>55</v>
      </c>
      <c r="J2391" s="10" t="s">
        <v>13437</v>
      </c>
      <c r="K2391" s="10" t="s">
        <v>14877</v>
      </c>
      <c r="L2391" s="10" t="s">
        <v>42</v>
      </c>
    </row>
    <row r="2392" ht="15.75" customHeight="1">
      <c r="A2392" s="64">
        <v>45470.0</v>
      </c>
      <c r="B2392" s="55" t="str">
        <f>HYPERLINK("https://jobright.ai/jobs/info/667dc33cf75efc0f0683c16a?utm_campaign=1065&amp;utm_source=sheet", "Apply")</f>
        <v>Apply</v>
      </c>
      <c r="C2392" s="10" t="s">
        <v>14876</v>
      </c>
      <c r="D2392" s="56" t="s">
        <v>14380</v>
      </c>
      <c r="E2392" s="59">
        <v>45301.0</v>
      </c>
      <c r="F2392" s="10" t="s">
        <v>14381</v>
      </c>
      <c r="G2392" s="10" t="s">
        <v>12654</v>
      </c>
      <c r="H2392" s="10" t="s">
        <v>796</v>
      </c>
      <c r="I2392" s="10" t="s">
        <v>55</v>
      </c>
      <c r="J2392" s="10" t="s">
        <v>13437</v>
      </c>
      <c r="K2392" s="10" t="s">
        <v>14877</v>
      </c>
      <c r="L2392" s="10" t="s">
        <v>42</v>
      </c>
    </row>
    <row r="2393" ht="15.75" customHeight="1">
      <c r="A2393" s="64">
        <v>45470.0</v>
      </c>
      <c r="B2393" s="55" t="str">
        <f>HYPERLINK("https://jobright.ai/jobs/info/667dc33cf75efc0f0683c165?utm_campaign=1065&amp;utm_source=sheet", "Apply")</f>
        <v>Apply</v>
      </c>
      <c r="C2393" s="10" t="s">
        <v>14876</v>
      </c>
      <c r="D2393" s="56" t="s">
        <v>14380</v>
      </c>
      <c r="E2393" s="59">
        <v>45301.0</v>
      </c>
      <c r="F2393" s="10" t="s">
        <v>14381</v>
      </c>
      <c r="G2393" s="10" t="s">
        <v>12654</v>
      </c>
      <c r="H2393" s="10" t="s">
        <v>668</v>
      </c>
      <c r="I2393" s="10" t="s">
        <v>55</v>
      </c>
      <c r="J2393" s="10" t="s">
        <v>13437</v>
      </c>
      <c r="K2393" s="10" t="s">
        <v>14877</v>
      </c>
      <c r="L2393" s="10" t="s">
        <v>42</v>
      </c>
    </row>
    <row r="2394" ht="15.75" customHeight="1">
      <c r="A2394" s="64">
        <v>45470.0</v>
      </c>
      <c r="B2394" s="55" t="str">
        <f>HYPERLINK("https://jobright.ai/jobs/info/667dc33cf75efc0f0683c16d?utm_campaign=1065&amp;utm_source=sheet", "Apply")</f>
        <v>Apply</v>
      </c>
      <c r="C2394" s="10" t="s">
        <v>14876</v>
      </c>
      <c r="D2394" s="56" t="s">
        <v>14380</v>
      </c>
      <c r="E2394" s="59">
        <v>45301.0</v>
      </c>
      <c r="F2394" s="10" t="s">
        <v>14381</v>
      </c>
      <c r="G2394" s="10" t="s">
        <v>12654</v>
      </c>
      <c r="H2394" s="10" t="s">
        <v>117</v>
      </c>
      <c r="I2394" s="10" t="s">
        <v>55</v>
      </c>
      <c r="J2394" s="10" t="s">
        <v>13437</v>
      </c>
      <c r="K2394" s="10" t="s">
        <v>14877</v>
      </c>
      <c r="L2394" s="10" t="s">
        <v>42</v>
      </c>
    </row>
    <row r="2395" ht="15.75" customHeight="1">
      <c r="A2395" s="64">
        <v>45470.0</v>
      </c>
      <c r="B2395" s="55" t="str">
        <f>HYPERLINK("https://jobright.ai/jobs/info/667dc33cf75efc0f0683c164?utm_campaign=1065&amp;utm_source=sheet", "Apply")</f>
        <v>Apply</v>
      </c>
      <c r="C2395" s="10" t="s">
        <v>14876</v>
      </c>
      <c r="D2395" s="56" t="s">
        <v>14380</v>
      </c>
      <c r="E2395" s="59">
        <v>45301.0</v>
      </c>
      <c r="F2395" s="10" t="s">
        <v>14381</v>
      </c>
      <c r="G2395" s="10" t="s">
        <v>12654</v>
      </c>
      <c r="H2395" s="10" t="s">
        <v>961</v>
      </c>
      <c r="I2395" s="10" t="s">
        <v>55</v>
      </c>
      <c r="J2395" s="10" t="s">
        <v>13437</v>
      </c>
      <c r="K2395" s="10" t="s">
        <v>14877</v>
      </c>
      <c r="L2395" s="10" t="s">
        <v>42</v>
      </c>
    </row>
    <row r="2396" ht="15.75" customHeight="1">
      <c r="A2396" s="64">
        <v>45470.0</v>
      </c>
      <c r="B2396" s="55" t="str">
        <f>HYPERLINK("https://jobright.ai/jobs/info/667dc33cf75efc0f0683c169?utm_campaign=1065&amp;utm_source=sheet", "Apply")</f>
        <v>Apply</v>
      </c>
      <c r="C2396" s="10" t="s">
        <v>14876</v>
      </c>
      <c r="D2396" s="56" t="s">
        <v>14380</v>
      </c>
      <c r="E2396" s="59">
        <v>45301.0</v>
      </c>
      <c r="F2396" s="10" t="s">
        <v>14381</v>
      </c>
      <c r="G2396" s="10" t="s">
        <v>12654</v>
      </c>
      <c r="H2396" s="10" t="s">
        <v>1012</v>
      </c>
      <c r="I2396" s="10" t="s">
        <v>55</v>
      </c>
      <c r="J2396" s="10" t="s">
        <v>13437</v>
      </c>
      <c r="K2396" s="10" t="s">
        <v>14877</v>
      </c>
      <c r="L2396" s="10" t="s">
        <v>42</v>
      </c>
    </row>
    <row r="2397" ht="15.75" customHeight="1">
      <c r="A2397" s="64">
        <v>45470.0</v>
      </c>
      <c r="B2397" s="55" t="str">
        <f>HYPERLINK("https://jobright.ai/jobs/info/667dc33cf75efc0f0683c168?utm_campaign=1065&amp;utm_source=sheet", "Apply")</f>
        <v>Apply</v>
      </c>
      <c r="C2397" s="10" t="s">
        <v>14876</v>
      </c>
      <c r="D2397" s="56" t="s">
        <v>14380</v>
      </c>
      <c r="E2397" s="59">
        <v>45301.0</v>
      </c>
      <c r="F2397" s="10" t="s">
        <v>14381</v>
      </c>
      <c r="G2397" s="10" t="s">
        <v>12654</v>
      </c>
      <c r="H2397" s="10" t="s">
        <v>831</v>
      </c>
      <c r="I2397" s="10" t="s">
        <v>55</v>
      </c>
      <c r="J2397" s="10" t="s">
        <v>13437</v>
      </c>
      <c r="K2397" s="10" t="s">
        <v>14877</v>
      </c>
      <c r="L2397" s="10" t="s">
        <v>42</v>
      </c>
    </row>
    <row r="2398" ht="15.75" customHeight="1">
      <c r="A2398" s="64">
        <v>45470.0</v>
      </c>
      <c r="B2398" s="55" t="str">
        <f>HYPERLINK("https://jobright.ai/jobs/info/667dc33cf75efc0f0683c166?utm_campaign=1065&amp;utm_source=sheet", "Apply")</f>
        <v>Apply</v>
      </c>
      <c r="C2398" s="10" t="s">
        <v>14876</v>
      </c>
      <c r="D2398" s="56" t="s">
        <v>14380</v>
      </c>
      <c r="E2398" s="59">
        <v>45301.0</v>
      </c>
      <c r="F2398" s="10" t="s">
        <v>14381</v>
      </c>
      <c r="G2398" s="10" t="s">
        <v>12654</v>
      </c>
      <c r="H2398" s="10" t="s">
        <v>769</v>
      </c>
      <c r="I2398" s="10" t="s">
        <v>55</v>
      </c>
      <c r="J2398" s="10" t="s">
        <v>13437</v>
      </c>
      <c r="K2398" s="10" t="s">
        <v>14877</v>
      </c>
      <c r="L2398" s="10" t="s">
        <v>42</v>
      </c>
    </row>
    <row r="2399" ht="15.75" customHeight="1">
      <c r="A2399" s="64">
        <v>45470.0</v>
      </c>
      <c r="B2399" s="55" t="str">
        <f>HYPERLINK("https://jobright.ai/jobs/info/667dfd1063c037a1350fd97c?utm_campaign=1065&amp;utm_source=sheet", "Apply")</f>
        <v>Apply</v>
      </c>
      <c r="C2399" s="10" t="s">
        <v>14876</v>
      </c>
      <c r="D2399" s="56" t="s">
        <v>14380</v>
      </c>
      <c r="E2399" s="59">
        <v>45301.0</v>
      </c>
      <c r="F2399" s="10" t="s">
        <v>14381</v>
      </c>
      <c r="G2399" s="10" t="s">
        <v>12654</v>
      </c>
      <c r="H2399" s="10" t="s">
        <v>1028</v>
      </c>
      <c r="I2399" s="10" t="s">
        <v>55</v>
      </c>
      <c r="J2399" s="10" t="s">
        <v>13437</v>
      </c>
      <c r="K2399" s="10" t="s">
        <v>14877</v>
      </c>
      <c r="L2399" s="10" t="s">
        <v>42</v>
      </c>
    </row>
    <row r="2400" ht="15.75" customHeight="1">
      <c r="A2400" s="64">
        <v>45470.0</v>
      </c>
      <c r="B2400" s="55" t="str">
        <f>HYPERLINK("https://jobright.ai/jobs/info/667dfd1063c037a1350fd97d?utm_campaign=1065&amp;utm_source=sheet", "Apply")</f>
        <v>Apply</v>
      </c>
      <c r="C2400" s="10" t="s">
        <v>14876</v>
      </c>
      <c r="D2400" s="56" t="s">
        <v>14380</v>
      </c>
      <c r="E2400" s="59">
        <v>45301.0</v>
      </c>
      <c r="F2400" s="10" t="s">
        <v>14381</v>
      </c>
      <c r="G2400" s="10" t="s">
        <v>12654</v>
      </c>
      <c r="H2400" s="10" t="s">
        <v>863</v>
      </c>
      <c r="I2400" s="10" t="s">
        <v>55</v>
      </c>
      <c r="J2400" s="10" t="s">
        <v>13437</v>
      </c>
      <c r="K2400" s="10" t="s">
        <v>14877</v>
      </c>
      <c r="L2400" s="10" t="s">
        <v>42</v>
      </c>
    </row>
    <row r="2401" ht="15.75" customHeight="1">
      <c r="A2401" s="64">
        <v>45470.0</v>
      </c>
      <c r="B2401" s="55" t="str">
        <f>HYPERLINK("https://jobright.ai/jobs/info/667debe0f842246558489c2a?utm_campaign=1065&amp;utm_source=sheet", "Apply")</f>
        <v>Apply</v>
      </c>
      <c r="C2401" s="10" t="s">
        <v>14876</v>
      </c>
      <c r="D2401" s="56" t="s">
        <v>14380</v>
      </c>
      <c r="E2401" s="59">
        <v>45301.0</v>
      </c>
      <c r="F2401" s="10" t="s">
        <v>14381</v>
      </c>
      <c r="G2401" s="10" t="s">
        <v>12654</v>
      </c>
      <c r="H2401" s="10" t="s">
        <v>843</v>
      </c>
      <c r="I2401" s="10" t="s">
        <v>55</v>
      </c>
      <c r="J2401" s="10" t="s">
        <v>13437</v>
      </c>
      <c r="K2401" s="10" t="s">
        <v>14877</v>
      </c>
      <c r="L2401" s="10" t="s">
        <v>42</v>
      </c>
    </row>
    <row r="2402" ht="15.75" customHeight="1">
      <c r="A2402" s="64">
        <v>45470.0</v>
      </c>
      <c r="B2402" s="55" t="str">
        <f>HYPERLINK("https://jobright.ai/jobs/info/667debe0f842246558489c28?utm_campaign=1065&amp;utm_source=sheet", "Apply")</f>
        <v>Apply</v>
      </c>
      <c r="C2402" s="10" t="s">
        <v>14876</v>
      </c>
      <c r="D2402" s="56" t="s">
        <v>14380</v>
      </c>
      <c r="E2402" s="59">
        <v>45301.0</v>
      </c>
      <c r="F2402" s="10" t="s">
        <v>14381</v>
      </c>
      <c r="G2402" s="10" t="s">
        <v>12654</v>
      </c>
      <c r="H2402" s="10" t="s">
        <v>1051</v>
      </c>
      <c r="I2402" s="10" t="s">
        <v>55</v>
      </c>
      <c r="J2402" s="10" t="s">
        <v>13437</v>
      </c>
      <c r="K2402" s="10" t="s">
        <v>14877</v>
      </c>
      <c r="L2402" s="10" t="s">
        <v>42</v>
      </c>
    </row>
    <row r="2403" ht="15.75" customHeight="1">
      <c r="A2403" s="64">
        <v>45470.0</v>
      </c>
      <c r="B2403" s="55" t="str">
        <f>HYPERLINK("https://jobright.ai/jobs/info/667debe0f842246558489c27?utm_campaign=1065&amp;utm_source=sheet", "Apply")</f>
        <v>Apply</v>
      </c>
      <c r="C2403" s="10" t="s">
        <v>14876</v>
      </c>
      <c r="D2403" s="56" t="s">
        <v>14380</v>
      </c>
      <c r="E2403" s="59">
        <v>45301.0</v>
      </c>
      <c r="F2403" s="10" t="s">
        <v>14381</v>
      </c>
      <c r="G2403" s="10" t="s">
        <v>12654</v>
      </c>
      <c r="H2403" s="10" t="s">
        <v>934</v>
      </c>
      <c r="I2403" s="10" t="s">
        <v>55</v>
      </c>
      <c r="J2403" s="10" t="s">
        <v>13437</v>
      </c>
      <c r="K2403" s="10" t="s">
        <v>14877</v>
      </c>
      <c r="L2403" s="10" t="s">
        <v>42</v>
      </c>
    </row>
    <row r="2404" ht="15.75" customHeight="1">
      <c r="A2404" s="64">
        <v>45470.0</v>
      </c>
      <c r="B2404" s="55" t="str">
        <f>HYPERLINK("https://jobright.ai/jobs/info/667debe0f842246558489c29?utm_campaign=1065&amp;utm_source=sheet", "Apply")</f>
        <v>Apply</v>
      </c>
      <c r="C2404" s="10" t="s">
        <v>14876</v>
      </c>
      <c r="D2404" s="56" t="s">
        <v>14380</v>
      </c>
      <c r="E2404" s="59">
        <v>45301.0</v>
      </c>
      <c r="F2404" s="10" t="s">
        <v>14381</v>
      </c>
      <c r="G2404" s="10" t="s">
        <v>12654</v>
      </c>
      <c r="H2404" s="10" t="s">
        <v>391</v>
      </c>
      <c r="I2404" s="10" t="s">
        <v>55</v>
      </c>
      <c r="J2404" s="10" t="s">
        <v>13437</v>
      </c>
      <c r="K2404" s="10" t="s">
        <v>14877</v>
      </c>
      <c r="L2404" s="10" t="s">
        <v>42</v>
      </c>
    </row>
    <row r="2405" ht="15.75" customHeight="1">
      <c r="A2405" s="64">
        <v>45470.0</v>
      </c>
      <c r="B2405" s="55" t="str">
        <f>HYPERLINK("https://jobright.ai/jobs/info/667debe8f842246558489c2d?utm_campaign=1065&amp;utm_source=sheet", "Apply")</f>
        <v>Apply</v>
      </c>
      <c r="C2405" s="10" t="s">
        <v>14876</v>
      </c>
      <c r="D2405" s="56" t="s">
        <v>14380</v>
      </c>
      <c r="E2405" s="59">
        <v>45301.0</v>
      </c>
      <c r="F2405" s="10" t="s">
        <v>14381</v>
      </c>
      <c r="G2405" s="10" t="s">
        <v>12654</v>
      </c>
      <c r="H2405" s="10" t="s">
        <v>850</v>
      </c>
      <c r="I2405" s="10" t="s">
        <v>55</v>
      </c>
      <c r="J2405" s="10" t="s">
        <v>13437</v>
      </c>
      <c r="K2405" s="10" t="s">
        <v>14877</v>
      </c>
      <c r="L2405" s="10" t="s">
        <v>42</v>
      </c>
    </row>
    <row r="2406" ht="15.75" customHeight="1">
      <c r="A2406" s="64">
        <v>45470.0</v>
      </c>
      <c r="B2406" s="55" t="str">
        <f>HYPERLINK("https://jobright.ai/jobs/info/667debe8f842246558489c2f?utm_campaign=1065&amp;utm_source=sheet", "Apply")</f>
        <v>Apply</v>
      </c>
      <c r="C2406" s="10" t="s">
        <v>14876</v>
      </c>
      <c r="D2406" s="56" t="s">
        <v>14380</v>
      </c>
      <c r="E2406" s="59">
        <v>45301.0</v>
      </c>
      <c r="F2406" s="10" t="s">
        <v>14381</v>
      </c>
      <c r="G2406" s="10" t="s">
        <v>12654</v>
      </c>
      <c r="H2406" s="10" t="s">
        <v>879</v>
      </c>
      <c r="I2406" s="10" t="s">
        <v>55</v>
      </c>
      <c r="J2406" s="10" t="s">
        <v>13437</v>
      </c>
      <c r="K2406" s="10" t="s">
        <v>14877</v>
      </c>
      <c r="L2406" s="10" t="s">
        <v>42</v>
      </c>
    </row>
    <row r="2407" ht="15.75" customHeight="1">
      <c r="A2407" s="64">
        <v>45470.0</v>
      </c>
      <c r="B2407" s="55" t="str">
        <f>HYPERLINK("https://jobright.ai/jobs/info/667debe8f842246558489c2e?utm_campaign=1065&amp;utm_source=sheet", "Apply")</f>
        <v>Apply</v>
      </c>
      <c r="C2407" s="10" t="s">
        <v>14876</v>
      </c>
      <c r="D2407" s="56" t="s">
        <v>14380</v>
      </c>
      <c r="E2407" s="59">
        <v>45301.0</v>
      </c>
      <c r="F2407" s="10" t="s">
        <v>14381</v>
      </c>
      <c r="G2407" s="10" t="s">
        <v>12654</v>
      </c>
      <c r="H2407" s="10" t="s">
        <v>861</v>
      </c>
      <c r="I2407" s="10" t="s">
        <v>55</v>
      </c>
      <c r="J2407" s="10" t="s">
        <v>13437</v>
      </c>
      <c r="K2407" s="10" t="s">
        <v>14877</v>
      </c>
      <c r="L2407" s="10" t="s">
        <v>42</v>
      </c>
    </row>
    <row r="2408" ht="15.75" customHeight="1">
      <c r="A2408" s="64">
        <v>45470.0</v>
      </c>
      <c r="B2408" s="55" t="str">
        <f>HYPERLINK("https://jobright.ai/jobs/info/667debe0f842246558489c2b?utm_campaign=1065&amp;utm_source=sheet", "Apply")</f>
        <v>Apply</v>
      </c>
      <c r="C2408" s="10" t="s">
        <v>14876</v>
      </c>
      <c r="D2408" s="56" t="s">
        <v>14380</v>
      </c>
      <c r="E2408" s="59">
        <v>45301.0</v>
      </c>
      <c r="F2408" s="10" t="s">
        <v>14381</v>
      </c>
      <c r="G2408" s="10" t="s">
        <v>12654</v>
      </c>
      <c r="H2408" s="10" t="s">
        <v>765</v>
      </c>
      <c r="I2408" s="10" t="s">
        <v>55</v>
      </c>
      <c r="J2408" s="10" t="s">
        <v>13437</v>
      </c>
      <c r="K2408" s="10" t="s">
        <v>14877</v>
      </c>
      <c r="L2408" s="10" t="s">
        <v>42</v>
      </c>
    </row>
    <row r="2409" ht="15.75" customHeight="1">
      <c r="A2409" s="64">
        <v>45470.0</v>
      </c>
      <c r="B2409" s="55" t="str">
        <f>HYPERLINK("https://jobright.ai/jobs/info/667debe0f842246558489c2c?utm_campaign=1065&amp;utm_source=sheet", "Apply")</f>
        <v>Apply</v>
      </c>
      <c r="C2409" s="10" t="s">
        <v>14876</v>
      </c>
      <c r="D2409" s="56" t="s">
        <v>14380</v>
      </c>
      <c r="E2409" s="59">
        <v>45301.0</v>
      </c>
      <c r="F2409" s="10" t="s">
        <v>14381</v>
      </c>
      <c r="G2409" s="10" t="s">
        <v>12654</v>
      </c>
      <c r="H2409" s="10" t="s">
        <v>786</v>
      </c>
      <c r="I2409" s="10" t="s">
        <v>55</v>
      </c>
      <c r="J2409" s="10" t="s">
        <v>13437</v>
      </c>
      <c r="K2409" s="10" t="s">
        <v>14877</v>
      </c>
      <c r="L2409" s="10" t="s">
        <v>42</v>
      </c>
    </row>
    <row r="2410" ht="15.75" customHeight="1">
      <c r="A2410" s="64">
        <v>45470.0</v>
      </c>
      <c r="B2410" s="55" t="str">
        <f>HYPERLINK("https://jobright.ai/jobs/info/667ddd8a083431332d681275?utm_campaign=1065&amp;utm_source=sheet", "Apply")</f>
        <v>Apply</v>
      </c>
      <c r="C2410" s="10" t="s">
        <v>14876</v>
      </c>
      <c r="D2410" s="56" t="s">
        <v>14380</v>
      </c>
      <c r="E2410" s="59">
        <v>45301.0</v>
      </c>
      <c r="F2410" s="10" t="s">
        <v>14381</v>
      </c>
      <c r="G2410" s="10" t="s">
        <v>12654</v>
      </c>
      <c r="H2410" s="10" t="s">
        <v>949</v>
      </c>
      <c r="I2410" s="10" t="s">
        <v>55</v>
      </c>
      <c r="J2410" s="10" t="s">
        <v>13437</v>
      </c>
      <c r="K2410" s="10" t="s">
        <v>14877</v>
      </c>
      <c r="L2410" s="10" t="s">
        <v>42</v>
      </c>
    </row>
    <row r="2411" ht="15.75" customHeight="1">
      <c r="A2411" s="64">
        <v>45470.0</v>
      </c>
      <c r="B2411" s="55" t="str">
        <f>HYPERLINK("https://jobright.ai/jobs/info/667ddd8a083431332d68127c?utm_campaign=1065&amp;utm_source=sheet", "Apply")</f>
        <v>Apply</v>
      </c>
      <c r="C2411" s="10" t="s">
        <v>14876</v>
      </c>
      <c r="D2411" s="56" t="s">
        <v>14380</v>
      </c>
      <c r="E2411" s="59">
        <v>45301.0</v>
      </c>
      <c r="F2411" s="10" t="s">
        <v>14381</v>
      </c>
      <c r="G2411" s="10" t="s">
        <v>12654</v>
      </c>
      <c r="H2411" s="10" t="s">
        <v>819</v>
      </c>
      <c r="I2411" s="10" t="s">
        <v>55</v>
      </c>
      <c r="J2411" s="10" t="s">
        <v>13437</v>
      </c>
      <c r="K2411" s="10" t="s">
        <v>14877</v>
      </c>
      <c r="L2411" s="10" t="s">
        <v>42</v>
      </c>
    </row>
    <row r="2412" ht="15.75" customHeight="1">
      <c r="A2412" s="64">
        <v>45470.0</v>
      </c>
      <c r="B2412" s="55" t="str">
        <f>HYPERLINK("https://jobright.ai/jobs/info/667ddd8a083431332d68127b?utm_campaign=1065&amp;utm_source=sheet", "Apply")</f>
        <v>Apply</v>
      </c>
      <c r="C2412" s="10" t="s">
        <v>14876</v>
      </c>
      <c r="D2412" s="56" t="s">
        <v>14380</v>
      </c>
      <c r="E2412" s="59">
        <v>45301.0</v>
      </c>
      <c r="F2412" s="10" t="s">
        <v>14381</v>
      </c>
      <c r="G2412" s="10" t="s">
        <v>12654</v>
      </c>
      <c r="H2412" s="10" t="s">
        <v>1026</v>
      </c>
      <c r="I2412" s="10" t="s">
        <v>55</v>
      </c>
      <c r="J2412" s="10" t="s">
        <v>13437</v>
      </c>
      <c r="K2412" s="10" t="s">
        <v>14877</v>
      </c>
      <c r="L2412" s="10" t="s">
        <v>42</v>
      </c>
    </row>
    <row r="2413" ht="15.75" customHeight="1">
      <c r="A2413" s="64">
        <v>45470.0</v>
      </c>
      <c r="B2413" s="55" t="str">
        <f>HYPERLINK("https://jobright.ai/jobs/info/667ddd8a083431332d681276?utm_campaign=1065&amp;utm_source=sheet", "Apply")</f>
        <v>Apply</v>
      </c>
      <c r="C2413" s="10" t="s">
        <v>14876</v>
      </c>
      <c r="D2413" s="56" t="s">
        <v>14380</v>
      </c>
      <c r="E2413" s="59">
        <v>45301.0</v>
      </c>
      <c r="F2413" s="10" t="s">
        <v>14381</v>
      </c>
      <c r="G2413" s="10" t="s">
        <v>12654</v>
      </c>
      <c r="H2413" s="10" t="s">
        <v>1008</v>
      </c>
      <c r="I2413" s="10" t="s">
        <v>55</v>
      </c>
      <c r="J2413" s="10" t="s">
        <v>13437</v>
      </c>
      <c r="K2413" s="10" t="s">
        <v>14877</v>
      </c>
      <c r="L2413" s="10" t="s">
        <v>42</v>
      </c>
    </row>
    <row r="2414" ht="15.75" customHeight="1">
      <c r="A2414" s="64">
        <v>45470.0</v>
      </c>
      <c r="B2414" s="55" t="str">
        <f>HYPERLINK("https://jobright.ai/jobs/info/667ddd8a083431332d68127e?utm_campaign=1065&amp;utm_source=sheet", "Apply")</f>
        <v>Apply</v>
      </c>
      <c r="C2414" s="10" t="s">
        <v>14876</v>
      </c>
      <c r="D2414" s="56" t="s">
        <v>14380</v>
      </c>
      <c r="E2414" s="59">
        <v>45301.0</v>
      </c>
      <c r="F2414" s="10" t="s">
        <v>14381</v>
      </c>
      <c r="G2414" s="10" t="s">
        <v>12654</v>
      </c>
      <c r="H2414" s="10" t="s">
        <v>859</v>
      </c>
      <c r="I2414" s="10" t="s">
        <v>55</v>
      </c>
      <c r="J2414" s="10" t="s">
        <v>13437</v>
      </c>
      <c r="K2414" s="10" t="s">
        <v>14877</v>
      </c>
      <c r="L2414" s="10" t="s">
        <v>42</v>
      </c>
    </row>
    <row r="2415" ht="15.75" customHeight="1">
      <c r="A2415" s="64">
        <v>45470.0</v>
      </c>
      <c r="B2415" s="55" t="str">
        <f>HYPERLINK("https://jobright.ai/jobs/info/667ddd8a083431332d681278?utm_campaign=1065&amp;utm_source=sheet", "Apply")</f>
        <v>Apply</v>
      </c>
      <c r="C2415" s="10" t="s">
        <v>14876</v>
      </c>
      <c r="D2415" s="56" t="s">
        <v>14380</v>
      </c>
      <c r="E2415" s="59">
        <v>45301.0</v>
      </c>
      <c r="F2415" s="10" t="s">
        <v>14381</v>
      </c>
      <c r="G2415" s="10" t="s">
        <v>12654</v>
      </c>
      <c r="H2415" s="10" t="s">
        <v>1003</v>
      </c>
      <c r="I2415" s="10" t="s">
        <v>55</v>
      </c>
      <c r="J2415" s="10" t="s">
        <v>13437</v>
      </c>
      <c r="K2415" s="10" t="s">
        <v>14877</v>
      </c>
      <c r="L2415" s="10" t="s">
        <v>42</v>
      </c>
    </row>
    <row r="2416" ht="15.75" customHeight="1">
      <c r="A2416" s="64">
        <v>45470.0</v>
      </c>
      <c r="B2416" s="55" t="str">
        <f>HYPERLINK("https://jobright.ai/jobs/info/667ddd8a083431332d68127a?utm_campaign=1065&amp;utm_source=sheet", "Apply")</f>
        <v>Apply</v>
      </c>
      <c r="C2416" s="10" t="s">
        <v>14876</v>
      </c>
      <c r="D2416" s="56" t="s">
        <v>14380</v>
      </c>
      <c r="E2416" s="59">
        <v>45301.0</v>
      </c>
      <c r="F2416" s="10" t="s">
        <v>14381</v>
      </c>
      <c r="G2416" s="10" t="s">
        <v>12654</v>
      </c>
      <c r="H2416" s="10" t="s">
        <v>1015</v>
      </c>
      <c r="I2416" s="10" t="s">
        <v>55</v>
      </c>
      <c r="J2416" s="10" t="s">
        <v>13437</v>
      </c>
      <c r="K2416" s="10" t="s">
        <v>14877</v>
      </c>
      <c r="L2416" s="10" t="s">
        <v>42</v>
      </c>
    </row>
    <row r="2417" ht="15.75" customHeight="1">
      <c r="A2417" s="64">
        <v>45470.0</v>
      </c>
      <c r="B2417" s="55" t="str">
        <f>HYPERLINK("https://jobright.ai/jobs/info/667ddd8a083431332d681277?utm_campaign=1065&amp;utm_source=sheet", "Apply")</f>
        <v>Apply</v>
      </c>
      <c r="C2417" s="10" t="s">
        <v>14876</v>
      </c>
      <c r="D2417" s="56" t="s">
        <v>14380</v>
      </c>
      <c r="E2417" s="59">
        <v>45301.0</v>
      </c>
      <c r="F2417" s="10" t="s">
        <v>14381</v>
      </c>
      <c r="G2417" s="10" t="s">
        <v>12654</v>
      </c>
      <c r="H2417" s="10" t="s">
        <v>815</v>
      </c>
      <c r="I2417" s="10" t="s">
        <v>55</v>
      </c>
      <c r="J2417" s="10" t="s">
        <v>13437</v>
      </c>
      <c r="K2417" s="10" t="s">
        <v>14877</v>
      </c>
      <c r="L2417" s="10" t="s">
        <v>42</v>
      </c>
    </row>
    <row r="2418" ht="15.75" customHeight="1">
      <c r="A2418" s="64">
        <v>45470.0</v>
      </c>
      <c r="B2418" s="55" t="str">
        <f>HYPERLINK("https://jobright.ai/jobs/info/667ddd8a083431332d681280?utm_campaign=1065&amp;utm_source=sheet", "Apply")</f>
        <v>Apply</v>
      </c>
      <c r="C2418" s="10" t="s">
        <v>14876</v>
      </c>
      <c r="D2418" s="56" t="s">
        <v>14380</v>
      </c>
      <c r="E2418" s="59">
        <v>45301.0</v>
      </c>
      <c r="F2418" s="10" t="s">
        <v>14381</v>
      </c>
      <c r="G2418" s="10" t="s">
        <v>12654</v>
      </c>
      <c r="H2418" s="10" t="s">
        <v>1045</v>
      </c>
      <c r="I2418" s="10" t="s">
        <v>55</v>
      </c>
      <c r="J2418" s="10" t="s">
        <v>13437</v>
      </c>
      <c r="K2418" s="10" t="s">
        <v>14877</v>
      </c>
      <c r="L2418" s="10" t="s">
        <v>42</v>
      </c>
    </row>
    <row r="2419" ht="15.75" customHeight="1">
      <c r="A2419" s="64">
        <v>45470.0</v>
      </c>
      <c r="B2419" s="55" t="str">
        <f>HYPERLINK("https://jobright.ai/jobs/info/667ddd8a083431332d68127f?utm_campaign=1065&amp;utm_source=sheet", "Apply")</f>
        <v>Apply</v>
      </c>
      <c r="C2419" s="10" t="s">
        <v>14876</v>
      </c>
      <c r="D2419" s="56" t="s">
        <v>14380</v>
      </c>
      <c r="E2419" s="59">
        <v>45301.0</v>
      </c>
      <c r="F2419" s="10" t="s">
        <v>14381</v>
      </c>
      <c r="G2419" s="10" t="s">
        <v>12654</v>
      </c>
      <c r="H2419" s="10" t="s">
        <v>935</v>
      </c>
      <c r="I2419" s="10" t="s">
        <v>55</v>
      </c>
      <c r="J2419" s="10" t="s">
        <v>13437</v>
      </c>
      <c r="K2419" s="10" t="s">
        <v>14877</v>
      </c>
      <c r="L2419" s="10" t="s">
        <v>42</v>
      </c>
    </row>
    <row r="2420" ht="15.75" customHeight="1">
      <c r="A2420" s="64">
        <v>45470.0</v>
      </c>
      <c r="B2420" s="55" t="str">
        <f>HYPERLINK("https://jobright.ai/jobs/info/667ddd8a083431332d68127d?utm_campaign=1065&amp;utm_source=sheet", "Apply")</f>
        <v>Apply</v>
      </c>
      <c r="C2420" s="10" t="s">
        <v>14876</v>
      </c>
      <c r="D2420" s="56" t="s">
        <v>14380</v>
      </c>
      <c r="E2420" s="59">
        <v>45301.0</v>
      </c>
      <c r="F2420" s="10" t="s">
        <v>14381</v>
      </c>
      <c r="G2420" s="10" t="s">
        <v>12654</v>
      </c>
      <c r="H2420" s="10" t="s">
        <v>1013</v>
      </c>
      <c r="I2420" s="10" t="s">
        <v>55</v>
      </c>
      <c r="J2420" s="10" t="s">
        <v>13437</v>
      </c>
      <c r="K2420" s="10" t="s">
        <v>14877</v>
      </c>
      <c r="L2420" s="10" t="s">
        <v>42</v>
      </c>
    </row>
    <row r="2421" ht="15.75" customHeight="1">
      <c r="A2421" s="64">
        <v>45470.0</v>
      </c>
      <c r="B2421" s="55" t="str">
        <f>HYPERLINK("https://jobright.ai/jobs/info/667ddd8a083431332d681279?utm_campaign=1065&amp;utm_source=sheet", "Apply")</f>
        <v>Apply</v>
      </c>
      <c r="C2421" s="10" t="s">
        <v>14876</v>
      </c>
      <c r="D2421" s="56" t="s">
        <v>14380</v>
      </c>
      <c r="E2421" s="59">
        <v>45301.0</v>
      </c>
      <c r="F2421" s="10" t="s">
        <v>14381</v>
      </c>
      <c r="G2421" s="10" t="s">
        <v>12654</v>
      </c>
      <c r="H2421" s="10" t="s">
        <v>862</v>
      </c>
      <c r="I2421" s="10" t="s">
        <v>55</v>
      </c>
      <c r="J2421" s="10" t="s">
        <v>13437</v>
      </c>
      <c r="K2421" s="10" t="s">
        <v>14877</v>
      </c>
      <c r="L2421" s="10" t="s">
        <v>42</v>
      </c>
    </row>
    <row r="2422" ht="15.75" customHeight="1">
      <c r="A2422" s="64">
        <v>45470.0</v>
      </c>
      <c r="B2422" s="55" t="str">
        <f>HYPERLINK("https://jobright.ai/jobs/info/667ddd8a083431332d681283?utm_campaign=1065&amp;utm_source=sheet", "Apply")</f>
        <v>Apply</v>
      </c>
      <c r="C2422" s="10" t="s">
        <v>14876</v>
      </c>
      <c r="D2422" s="56" t="s">
        <v>14380</v>
      </c>
      <c r="E2422" s="59">
        <v>45301.0</v>
      </c>
      <c r="F2422" s="10" t="s">
        <v>14381</v>
      </c>
      <c r="G2422" s="10" t="s">
        <v>12654</v>
      </c>
      <c r="H2422" s="10" t="s">
        <v>908</v>
      </c>
      <c r="I2422" s="10" t="s">
        <v>55</v>
      </c>
      <c r="J2422" s="10" t="s">
        <v>13437</v>
      </c>
      <c r="K2422" s="10" t="s">
        <v>14877</v>
      </c>
      <c r="L2422" s="10" t="s">
        <v>42</v>
      </c>
    </row>
    <row r="2423" ht="15.75" customHeight="1">
      <c r="A2423" s="64">
        <v>45470.0</v>
      </c>
      <c r="B2423" s="55" t="str">
        <f>HYPERLINK("https://jobright.ai/jobs/info/667ddd8a083431332d681281?utm_campaign=1065&amp;utm_source=sheet", "Apply")</f>
        <v>Apply</v>
      </c>
      <c r="C2423" s="10" t="s">
        <v>14876</v>
      </c>
      <c r="D2423" s="56" t="s">
        <v>14380</v>
      </c>
      <c r="E2423" s="59">
        <v>45301.0</v>
      </c>
      <c r="F2423" s="10" t="s">
        <v>14381</v>
      </c>
      <c r="G2423" s="10" t="s">
        <v>12654</v>
      </c>
      <c r="H2423" s="10" t="s">
        <v>1032</v>
      </c>
      <c r="I2423" s="10" t="s">
        <v>55</v>
      </c>
      <c r="J2423" s="10" t="s">
        <v>13437</v>
      </c>
      <c r="K2423" s="10" t="s">
        <v>14877</v>
      </c>
      <c r="L2423" s="10" t="s">
        <v>42</v>
      </c>
    </row>
    <row r="2424" ht="15.75" customHeight="1">
      <c r="A2424" s="64">
        <v>45470.0</v>
      </c>
      <c r="B2424" s="55" t="str">
        <f>HYPERLINK("https://jobright.ai/jobs/info/667ddd8a083431332d681282?utm_campaign=1065&amp;utm_source=sheet", "Apply")</f>
        <v>Apply</v>
      </c>
      <c r="C2424" s="10" t="s">
        <v>14876</v>
      </c>
      <c r="D2424" s="56" t="s">
        <v>14380</v>
      </c>
      <c r="E2424" s="59">
        <v>45301.0</v>
      </c>
      <c r="F2424" s="10" t="s">
        <v>14381</v>
      </c>
      <c r="G2424" s="10" t="s">
        <v>12654</v>
      </c>
      <c r="H2424" s="10" t="s">
        <v>999</v>
      </c>
      <c r="I2424" s="10" t="s">
        <v>55</v>
      </c>
      <c r="J2424" s="10" t="s">
        <v>13437</v>
      </c>
      <c r="K2424" s="10" t="s">
        <v>14877</v>
      </c>
      <c r="L2424" s="10" t="s">
        <v>42</v>
      </c>
    </row>
    <row r="2425" ht="15.75" customHeight="1">
      <c r="A2425" s="64">
        <v>45470.0</v>
      </c>
      <c r="B2425" s="55" t="str">
        <f>HYPERLINK("https://jobright.ai/jobs/info/667ddd8a083431332d681285?utm_campaign=1065&amp;utm_source=sheet", "Apply")</f>
        <v>Apply</v>
      </c>
      <c r="C2425" s="10" t="s">
        <v>14876</v>
      </c>
      <c r="D2425" s="56" t="s">
        <v>14380</v>
      </c>
      <c r="E2425" s="59">
        <v>45301.0</v>
      </c>
      <c r="F2425" s="10" t="s">
        <v>14381</v>
      </c>
      <c r="G2425" s="10" t="s">
        <v>12654</v>
      </c>
      <c r="H2425" s="10" t="s">
        <v>797</v>
      </c>
      <c r="I2425" s="10" t="s">
        <v>55</v>
      </c>
      <c r="J2425" s="10" t="s">
        <v>13437</v>
      </c>
      <c r="K2425" s="10" t="s">
        <v>14877</v>
      </c>
      <c r="L2425" s="10" t="s">
        <v>42</v>
      </c>
    </row>
    <row r="2426" ht="15.75" customHeight="1">
      <c r="A2426" s="64">
        <v>45470.0</v>
      </c>
      <c r="B2426" s="55" t="str">
        <f>HYPERLINK("https://jobright.ai/jobs/info/667ddd8a083431332d681284?utm_campaign=1065&amp;utm_source=sheet", "Apply")</f>
        <v>Apply</v>
      </c>
      <c r="C2426" s="10" t="s">
        <v>14876</v>
      </c>
      <c r="D2426" s="56" t="s">
        <v>14380</v>
      </c>
      <c r="E2426" s="59">
        <v>45301.0</v>
      </c>
      <c r="F2426" s="10" t="s">
        <v>14381</v>
      </c>
      <c r="G2426" s="10" t="s">
        <v>12654</v>
      </c>
      <c r="H2426" s="10" t="s">
        <v>944</v>
      </c>
      <c r="I2426" s="10" t="s">
        <v>55</v>
      </c>
      <c r="J2426" s="10" t="s">
        <v>13437</v>
      </c>
      <c r="K2426" s="10" t="s">
        <v>14877</v>
      </c>
      <c r="L2426" s="10" t="s">
        <v>42</v>
      </c>
    </row>
    <row r="2427" ht="15.75" customHeight="1">
      <c r="A2427" s="64">
        <v>45470.0</v>
      </c>
      <c r="B2427" s="55" t="str">
        <f>HYPERLINK("https://jobright.ai/jobs/info/667ddd8a083431332d681286?utm_campaign=1065&amp;utm_source=sheet", "Apply")</f>
        <v>Apply</v>
      </c>
      <c r="C2427" s="10" t="s">
        <v>14876</v>
      </c>
      <c r="D2427" s="56" t="s">
        <v>14380</v>
      </c>
      <c r="E2427" s="59">
        <v>45301.0</v>
      </c>
      <c r="F2427" s="10" t="s">
        <v>14381</v>
      </c>
      <c r="G2427" s="10" t="s">
        <v>12654</v>
      </c>
      <c r="H2427" s="10" t="s">
        <v>73</v>
      </c>
      <c r="I2427" s="10" t="s">
        <v>55</v>
      </c>
      <c r="J2427" s="10" t="s">
        <v>13437</v>
      </c>
      <c r="K2427" s="10" t="s">
        <v>14877</v>
      </c>
      <c r="L2427" s="10" t="s">
        <v>42</v>
      </c>
    </row>
    <row r="2428" ht="15.75" customHeight="1">
      <c r="A2428" s="64">
        <v>45470.0</v>
      </c>
      <c r="B2428" s="55" t="str">
        <f>HYPERLINK("https://jobright.ai/jobs/info/667db75deade89152c96ff29?utm_campaign=1065&amp;utm_source=sheet", "Apply")</f>
        <v>Apply</v>
      </c>
      <c r="C2428" s="10" t="s">
        <v>14876</v>
      </c>
      <c r="D2428" s="56" t="s">
        <v>14380</v>
      </c>
      <c r="E2428" s="59">
        <v>45301.0</v>
      </c>
      <c r="F2428" s="10" t="s">
        <v>14381</v>
      </c>
      <c r="G2428" s="10" t="s">
        <v>12654</v>
      </c>
      <c r="H2428" s="10" t="s">
        <v>777</v>
      </c>
      <c r="I2428" s="10" t="s">
        <v>55</v>
      </c>
      <c r="J2428" s="10" t="s">
        <v>13437</v>
      </c>
      <c r="K2428" s="10" t="s">
        <v>14877</v>
      </c>
      <c r="L2428" s="10" t="s">
        <v>42</v>
      </c>
    </row>
    <row r="2429" ht="15.75" customHeight="1">
      <c r="A2429" s="64">
        <v>45470.0</v>
      </c>
      <c r="B2429" s="55" t="str">
        <f>HYPERLINK("https://jobright.ai/jobs/info/667db78feade89152c9703a0?utm_campaign=1065&amp;utm_source=sheet", "Apply")</f>
        <v>Apply</v>
      </c>
      <c r="C2429" s="10" t="s">
        <v>14876</v>
      </c>
      <c r="D2429" s="56" t="s">
        <v>14380</v>
      </c>
      <c r="E2429" s="59">
        <v>45301.0</v>
      </c>
      <c r="F2429" s="10" t="s">
        <v>14381</v>
      </c>
      <c r="G2429" s="10" t="s">
        <v>12654</v>
      </c>
      <c r="H2429" s="10" t="s">
        <v>877</v>
      </c>
      <c r="I2429" s="10" t="s">
        <v>55</v>
      </c>
      <c r="J2429" s="10" t="s">
        <v>13437</v>
      </c>
      <c r="K2429" s="10" t="s">
        <v>14877</v>
      </c>
      <c r="L2429" s="10" t="s">
        <v>42</v>
      </c>
    </row>
    <row r="2430" ht="15.75" customHeight="1">
      <c r="A2430" s="64">
        <v>45470.0</v>
      </c>
      <c r="B2430" s="55" t="str">
        <f>HYPERLINK("https://jobright.ai/jobs/info/667db78feade89152c9703ab?utm_campaign=1065&amp;utm_source=sheet", "Apply")</f>
        <v>Apply</v>
      </c>
      <c r="C2430" s="10" t="s">
        <v>14876</v>
      </c>
      <c r="D2430" s="56" t="s">
        <v>14380</v>
      </c>
      <c r="E2430" s="59">
        <v>45301.0</v>
      </c>
      <c r="F2430" s="10" t="s">
        <v>14381</v>
      </c>
      <c r="G2430" s="10" t="s">
        <v>12654</v>
      </c>
      <c r="H2430" s="10" t="s">
        <v>964</v>
      </c>
      <c r="I2430" s="10" t="s">
        <v>55</v>
      </c>
      <c r="J2430" s="10" t="s">
        <v>13437</v>
      </c>
      <c r="K2430" s="10" t="s">
        <v>14877</v>
      </c>
      <c r="L2430" s="10" t="s">
        <v>42</v>
      </c>
    </row>
    <row r="2431" ht="15.75" customHeight="1">
      <c r="A2431" s="64">
        <v>45470.0</v>
      </c>
      <c r="B2431" s="55" t="str">
        <f>HYPERLINK("https://jobright.ai/jobs/info/667db78feade89152c9703aa?utm_campaign=1065&amp;utm_source=sheet", "Apply")</f>
        <v>Apply</v>
      </c>
      <c r="C2431" s="10" t="s">
        <v>14876</v>
      </c>
      <c r="D2431" s="56" t="s">
        <v>14380</v>
      </c>
      <c r="E2431" s="59">
        <v>45301.0</v>
      </c>
      <c r="F2431" s="10" t="s">
        <v>14381</v>
      </c>
      <c r="G2431" s="10" t="s">
        <v>12654</v>
      </c>
      <c r="H2431" s="10" t="s">
        <v>789</v>
      </c>
      <c r="I2431" s="10" t="s">
        <v>55</v>
      </c>
      <c r="J2431" s="10" t="s">
        <v>13437</v>
      </c>
      <c r="K2431" s="10" t="s">
        <v>14877</v>
      </c>
      <c r="L2431" s="10" t="s">
        <v>42</v>
      </c>
    </row>
    <row r="2432" ht="15.75" customHeight="1">
      <c r="A2432" s="64">
        <v>45470.0</v>
      </c>
      <c r="B2432" s="55" t="str">
        <f>HYPERLINK("https://jobright.ai/jobs/info/667db78feade89152c9703a2?utm_campaign=1065&amp;utm_source=sheet", "Apply")</f>
        <v>Apply</v>
      </c>
      <c r="C2432" s="10" t="s">
        <v>14876</v>
      </c>
      <c r="D2432" s="56" t="s">
        <v>14380</v>
      </c>
      <c r="E2432" s="59">
        <v>45301.0</v>
      </c>
      <c r="F2432" s="10" t="s">
        <v>14381</v>
      </c>
      <c r="G2432" s="10" t="s">
        <v>12654</v>
      </c>
      <c r="H2432" s="10" t="s">
        <v>805</v>
      </c>
      <c r="I2432" s="10" t="s">
        <v>55</v>
      </c>
      <c r="J2432" s="10" t="s">
        <v>13437</v>
      </c>
      <c r="K2432" s="10" t="s">
        <v>14877</v>
      </c>
      <c r="L2432" s="10" t="s">
        <v>42</v>
      </c>
    </row>
    <row r="2433" ht="15.75" customHeight="1">
      <c r="A2433" s="64">
        <v>45470.0</v>
      </c>
      <c r="B2433" s="55" t="str">
        <f>HYPERLINK("https://jobright.ai/jobs/info/667db78feade89152c9703a8?utm_campaign=1065&amp;utm_source=sheet", "Apply")</f>
        <v>Apply</v>
      </c>
      <c r="C2433" s="10" t="s">
        <v>14876</v>
      </c>
      <c r="D2433" s="56" t="s">
        <v>14380</v>
      </c>
      <c r="E2433" s="59">
        <v>45301.0</v>
      </c>
      <c r="F2433" s="10" t="s">
        <v>14381</v>
      </c>
      <c r="G2433" s="10" t="s">
        <v>12654</v>
      </c>
      <c r="H2433" s="10" t="s">
        <v>878</v>
      </c>
      <c r="I2433" s="10" t="s">
        <v>55</v>
      </c>
      <c r="J2433" s="10" t="s">
        <v>13437</v>
      </c>
      <c r="K2433" s="10" t="s">
        <v>14877</v>
      </c>
      <c r="L2433" s="10" t="s">
        <v>42</v>
      </c>
    </row>
    <row r="2434" ht="15.75" customHeight="1">
      <c r="A2434" s="64">
        <v>45470.0</v>
      </c>
      <c r="B2434" s="55" t="str">
        <f>HYPERLINK("https://jobright.ai/jobs/info/667db78feade89152c9703a5?utm_campaign=1065&amp;utm_source=sheet", "Apply")</f>
        <v>Apply</v>
      </c>
      <c r="C2434" s="10" t="s">
        <v>14876</v>
      </c>
      <c r="D2434" s="56" t="s">
        <v>14380</v>
      </c>
      <c r="E2434" s="59">
        <v>45301.0</v>
      </c>
      <c r="F2434" s="10" t="s">
        <v>14381</v>
      </c>
      <c r="G2434" s="10" t="s">
        <v>12654</v>
      </c>
      <c r="H2434" s="10" t="s">
        <v>1001</v>
      </c>
      <c r="I2434" s="10" t="s">
        <v>55</v>
      </c>
      <c r="J2434" s="10" t="s">
        <v>13437</v>
      </c>
      <c r="K2434" s="10" t="s">
        <v>14877</v>
      </c>
      <c r="L2434" s="10" t="s">
        <v>42</v>
      </c>
    </row>
    <row r="2435" ht="15.75" customHeight="1">
      <c r="A2435" s="64">
        <v>45470.0</v>
      </c>
      <c r="B2435" s="55" t="str">
        <f>HYPERLINK("https://jobright.ai/jobs/info/667db78feade89152c9703a6?utm_campaign=1065&amp;utm_source=sheet", "Apply")</f>
        <v>Apply</v>
      </c>
      <c r="C2435" s="10" t="s">
        <v>14876</v>
      </c>
      <c r="D2435" s="56" t="s">
        <v>14380</v>
      </c>
      <c r="E2435" s="59">
        <v>45301.0</v>
      </c>
      <c r="F2435" s="10" t="s">
        <v>14381</v>
      </c>
      <c r="G2435" s="10" t="s">
        <v>12654</v>
      </c>
      <c r="H2435" s="10" t="s">
        <v>834</v>
      </c>
      <c r="I2435" s="10" t="s">
        <v>55</v>
      </c>
      <c r="J2435" s="10" t="s">
        <v>13437</v>
      </c>
      <c r="K2435" s="10" t="s">
        <v>14877</v>
      </c>
      <c r="L2435" s="10" t="s">
        <v>42</v>
      </c>
    </row>
    <row r="2436" ht="15.75" customHeight="1">
      <c r="A2436" s="64">
        <v>45470.0</v>
      </c>
      <c r="B2436" s="55" t="str">
        <f>HYPERLINK("https://jobright.ai/jobs/info/667db78feade89152c9703a3?utm_campaign=1065&amp;utm_source=sheet", "Apply")</f>
        <v>Apply</v>
      </c>
      <c r="C2436" s="10" t="s">
        <v>14876</v>
      </c>
      <c r="D2436" s="56" t="s">
        <v>14380</v>
      </c>
      <c r="E2436" s="59">
        <v>45301.0</v>
      </c>
      <c r="F2436" s="10" t="s">
        <v>14381</v>
      </c>
      <c r="G2436" s="10" t="s">
        <v>12654</v>
      </c>
      <c r="H2436" s="10" t="s">
        <v>993</v>
      </c>
      <c r="I2436" s="10" t="s">
        <v>55</v>
      </c>
      <c r="J2436" s="10" t="s">
        <v>13437</v>
      </c>
      <c r="K2436" s="10" t="s">
        <v>14877</v>
      </c>
      <c r="L2436" s="10" t="s">
        <v>42</v>
      </c>
    </row>
    <row r="2437" ht="15.75" customHeight="1">
      <c r="A2437" s="64">
        <v>45470.0</v>
      </c>
      <c r="B2437" s="55" t="str">
        <f>HYPERLINK("https://jobright.ai/jobs/info/667db78feade89152c9703a9?utm_campaign=1065&amp;utm_source=sheet", "Apply")</f>
        <v>Apply</v>
      </c>
      <c r="C2437" s="10" t="s">
        <v>14876</v>
      </c>
      <c r="D2437" s="56" t="s">
        <v>14380</v>
      </c>
      <c r="E2437" s="59">
        <v>45301.0</v>
      </c>
      <c r="F2437" s="10" t="s">
        <v>14381</v>
      </c>
      <c r="G2437" s="10" t="s">
        <v>12654</v>
      </c>
      <c r="H2437" s="10" t="s">
        <v>903</v>
      </c>
      <c r="I2437" s="10" t="s">
        <v>55</v>
      </c>
      <c r="J2437" s="10" t="s">
        <v>13437</v>
      </c>
      <c r="K2437" s="10" t="s">
        <v>14877</v>
      </c>
      <c r="L2437" s="10" t="s">
        <v>42</v>
      </c>
    </row>
    <row r="2438" ht="15.75" customHeight="1">
      <c r="A2438" s="64">
        <v>45470.0</v>
      </c>
      <c r="B2438" s="55" t="str">
        <f>HYPERLINK("https://jobright.ai/jobs/info/667db78feade89152c9703a1?utm_campaign=1065&amp;utm_source=sheet", "Apply")</f>
        <v>Apply</v>
      </c>
      <c r="C2438" s="10" t="s">
        <v>14876</v>
      </c>
      <c r="D2438" s="56" t="s">
        <v>14380</v>
      </c>
      <c r="E2438" s="59">
        <v>45301.0</v>
      </c>
      <c r="F2438" s="10" t="s">
        <v>14381</v>
      </c>
      <c r="G2438" s="10" t="s">
        <v>12654</v>
      </c>
      <c r="H2438" s="10" t="s">
        <v>808</v>
      </c>
      <c r="I2438" s="10" t="s">
        <v>55</v>
      </c>
      <c r="J2438" s="10" t="s">
        <v>13437</v>
      </c>
      <c r="K2438" s="10" t="s">
        <v>14877</v>
      </c>
      <c r="L2438" s="10" t="s">
        <v>42</v>
      </c>
    </row>
    <row r="2439" ht="15.75" customHeight="1">
      <c r="A2439" s="64">
        <v>45470.0</v>
      </c>
      <c r="B2439" s="55" t="str">
        <f>HYPERLINK("https://jobright.ai/jobs/info/667db78feade89152c9703a7?utm_campaign=1065&amp;utm_source=sheet", "Apply")</f>
        <v>Apply</v>
      </c>
      <c r="C2439" s="10" t="s">
        <v>14876</v>
      </c>
      <c r="D2439" s="56" t="s">
        <v>14380</v>
      </c>
      <c r="E2439" s="59">
        <v>45301.0</v>
      </c>
      <c r="F2439" s="10" t="s">
        <v>14381</v>
      </c>
      <c r="G2439" s="10" t="s">
        <v>12654</v>
      </c>
      <c r="H2439" s="10" t="s">
        <v>781</v>
      </c>
      <c r="I2439" s="10" t="s">
        <v>55</v>
      </c>
      <c r="J2439" s="10" t="s">
        <v>13437</v>
      </c>
      <c r="K2439" s="10" t="s">
        <v>14877</v>
      </c>
      <c r="L2439" s="10" t="s">
        <v>42</v>
      </c>
    </row>
    <row r="2440" ht="15.75" customHeight="1">
      <c r="A2440" s="64">
        <v>45470.0</v>
      </c>
      <c r="B2440" s="55" t="str">
        <f>HYPERLINK("https://jobright.ai/jobs/info/667db78feade89152c9703a4?utm_campaign=1065&amp;utm_source=sheet", "Apply")</f>
        <v>Apply</v>
      </c>
      <c r="C2440" s="10" t="s">
        <v>14876</v>
      </c>
      <c r="D2440" s="56" t="s">
        <v>14380</v>
      </c>
      <c r="E2440" s="59">
        <v>45301.0</v>
      </c>
      <c r="F2440" s="10" t="s">
        <v>14381</v>
      </c>
      <c r="G2440" s="10" t="s">
        <v>12654</v>
      </c>
      <c r="H2440" s="10" t="s">
        <v>880</v>
      </c>
      <c r="I2440" s="10" t="s">
        <v>55</v>
      </c>
      <c r="J2440" s="10" t="s">
        <v>13437</v>
      </c>
      <c r="K2440" s="10" t="s">
        <v>14877</v>
      </c>
      <c r="L2440" s="10" t="s">
        <v>42</v>
      </c>
    </row>
    <row r="2441" ht="15.75" customHeight="1">
      <c r="A2441" s="64">
        <v>45470.0</v>
      </c>
      <c r="B2441" s="55" t="str">
        <f>HYPERLINK("https://jobright.ai/jobs/info/667db78feade89152c9703ac?utm_campaign=1065&amp;utm_source=sheet", "Apply")</f>
        <v>Apply</v>
      </c>
      <c r="C2441" s="10" t="s">
        <v>14876</v>
      </c>
      <c r="D2441" s="56" t="s">
        <v>14380</v>
      </c>
      <c r="E2441" s="59">
        <v>45301.0</v>
      </c>
      <c r="F2441" s="10" t="s">
        <v>14381</v>
      </c>
      <c r="G2441" s="10" t="s">
        <v>12654</v>
      </c>
      <c r="H2441" s="10" t="s">
        <v>146</v>
      </c>
      <c r="I2441" s="10" t="s">
        <v>55</v>
      </c>
      <c r="J2441" s="10" t="s">
        <v>13437</v>
      </c>
      <c r="K2441" s="10" t="s">
        <v>14877</v>
      </c>
      <c r="L2441" s="10" t="s">
        <v>42</v>
      </c>
    </row>
    <row r="2442" ht="15.75" customHeight="1">
      <c r="A2442" s="64">
        <v>45470.0</v>
      </c>
      <c r="B2442" s="55" t="str">
        <f>HYPERLINK("https://jobright.ai/jobs/info/667db78feade89152c9703ad?utm_campaign=1065&amp;utm_source=sheet", "Apply")</f>
        <v>Apply</v>
      </c>
      <c r="C2442" s="10" t="s">
        <v>14876</v>
      </c>
      <c r="D2442" s="56" t="s">
        <v>14380</v>
      </c>
      <c r="E2442" s="59">
        <v>45301.0</v>
      </c>
      <c r="F2442" s="10" t="s">
        <v>14381</v>
      </c>
      <c r="G2442" s="10" t="s">
        <v>12654</v>
      </c>
      <c r="H2442" s="10" t="s">
        <v>988</v>
      </c>
      <c r="I2442" s="10" t="s">
        <v>55</v>
      </c>
      <c r="J2442" s="10" t="s">
        <v>13437</v>
      </c>
      <c r="K2442" s="10" t="s">
        <v>14877</v>
      </c>
      <c r="L2442" s="10" t="s">
        <v>42</v>
      </c>
    </row>
    <row r="2443" ht="15.75" customHeight="1">
      <c r="A2443" s="64">
        <v>45470.0</v>
      </c>
      <c r="B2443" s="55" t="str">
        <f>HYPERLINK("https://jobright.ai/jobs/info/667db78feade89152c9703ae?utm_campaign=1065&amp;utm_source=sheet", "Apply")</f>
        <v>Apply</v>
      </c>
      <c r="C2443" s="10" t="s">
        <v>14876</v>
      </c>
      <c r="D2443" s="56" t="s">
        <v>14380</v>
      </c>
      <c r="E2443" s="59">
        <v>45301.0</v>
      </c>
      <c r="F2443" s="10" t="s">
        <v>14381</v>
      </c>
      <c r="G2443" s="10" t="s">
        <v>12654</v>
      </c>
      <c r="H2443" s="10" t="s">
        <v>940</v>
      </c>
      <c r="I2443" s="10" t="s">
        <v>55</v>
      </c>
      <c r="J2443" s="10" t="s">
        <v>13437</v>
      </c>
      <c r="K2443" s="10" t="s">
        <v>14877</v>
      </c>
      <c r="L2443" s="10" t="s">
        <v>42</v>
      </c>
    </row>
    <row r="2444" ht="15.75" customHeight="1">
      <c r="A2444" s="64">
        <v>45470.0</v>
      </c>
      <c r="B2444" s="55" t="str">
        <f>HYPERLINK("https://jobright.ai/jobs/info/667da5f4f7d63fcb0d13f2bf?utm_campaign=1065&amp;utm_source=sheet", "Apply")</f>
        <v>Apply</v>
      </c>
      <c r="C2444" s="10" t="s">
        <v>9688</v>
      </c>
      <c r="D2444" s="56" t="s">
        <v>15122</v>
      </c>
      <c r="E2444" s="10" t="s">
        <v>79</v>
      </c>
      <c r="F2444" s="10" t="s">
        <v>3569</v>
      </c>
      <c r="G2444" s="10" t="s">
        <v>12630</v>
      </c>
      <c r="H2444" s="10" t="s">
        <v>859</v>
      </c>
      <c r="I2444" s="10" t="s">
        <v>48</v>
      </c>
      <c r="K2444" s="10" t="s">
        <v>15123</v>
      </c>
      <c r="L2444" s="10" t="s">
        <v>42</v>
      </c>
    </row>
    <row r="2445" ht="15.75" customHeight="1">
      <c r="A2445" s="64">
        <v>45470.0</v>
      </c>
      <c r="B2445" s="55" t="str">
        <f>HYPERLINK("https://jobright.ai/jobs/info/667d9fd5cbd7b9ae87c70d89?utm_campaign=1065&amp;utm_source=sheet", "Apply")</f>
        <v>Apply</v>
      </c>
      <c r="C2445" s="10" t="s">
        <v>12650</v>
      </c>
      <c r="D2445" s="56" t="s">
        <v>15124</v>
      </c>
      <c r="E2445" s="10" t="s">
        <v>276</v>
      </c>
      <c r="F2445" s="10" t="s">
        <v>15125</v>
      </c>
      <c r="G2445" s="10" t="s">
        <v>12635</v>
      </c>
      <c r="H2445" s="10" t="s">
        <v>165</v>
      </c>
      <c r="I2445" s="10" t="s">
        <v>48</v>
      </c>
      <c r="K2445" s="10" t="s">
        <v>15126</v>
      </c>
      <c r="L2445" s="10" t="s">
        <v>42</v>
      </c>
    </row>
    <row r="2446" ht="15.75" customHeight="1">
      <c r="A2446" s="64">
        <v>45470.0</v>
      </c>
      <c r="B2446" s="55" t="str">
        <f>HYPERLINK("https://jobright.ai/jobs/info/66582720074840e3652a4445?utm_campaign=1065&amp;utm_source=sheet", "Apply")</f>
        <v>Apply</v>
      </c>
      <c r="C2446" s="10" t="s">
        <v>15127</v>
      </c>
      <c r="D2446" s="56" t="s">
        <v>15128</v>
      </c>
      <c r="E2446" s="10">
        <v>1993.0</v>
      </c>
      <c r="G2446" s="10" t="s">
        <v>12635</v>
      </c>
      <c r="H2446" s="10" t="s">
        <v>5245</v>
      </c>
      <c r="I2446" s="10" t="s">
        <v>55</v>
      </c>
      <c r="K2446" s="10" t="s">
        <v>15129</v>
      </c>
      <c r="L2446" s="10" t="s">
        <v>42</v>
      </c>
    </row>
    <row r="2447" ht="15.75" customHeight="1">
      <c r="A2447" s="64">
        <v>45470.0</v>
      </c>
      <c r="B2447" s="55" t="str">
        <f>HYPERLINK("https://jobright.ai/jobs/info/667cdfe4cf9539fe777a7f1c?utm_campaign=1065&amp;utm_source=sheet", "Apply")</f>
        <v>Apply</v>
      </c>
      <c r="C2447" s="10" t="s">
        <v>15130</v>
      </c>
      <c r="D2447" s="56" t="s">
        <v>7830</v>
      </c>
      <c r="E2447" s="10" t="s">
        <v>249</v>
      </c>
      <c r="F2447" s="10" t="s">
        <v>3906</v>
      </c>
      <c r="G2447" s="10" t="s">
        <v>12630</v>
      </c>
      <c r="H2447" s="10" t="s">
        <v>96</v>
      </c>
      <c r="I2447" s="10" t="s">
        <v>55</v>
      </c>
      <c r="J2447" s="10" t="s">
        <v>3979</v>
      </c>
      <c r="K2447" s="10" t="s">
        <v>15131</v>
      </c>
      <c r="L2447" s="10" t="s">
        <v>42</v>
      </c>
    </row>
    <row r="2448" ht="15.75" customHeight="1">
      <c r="A2448" s="64">
        <v>45470.0</v>
      </c>
      <c r="B2448" s="55" t="str">
        <f>HYPERLINK("https://jobright.ai/jobs/info/667cdfe4cf9539fe777a7f2c?utm_campaign=1065&amp;utm_source=sheet", "Apply")</f>
        <v>Apply</v>
      </c>
      <c r="C2448" s="10" t="s">
        <v>15132</v>
      </c>
      <c r="D2448" s="56" t="s">
        <v>7830</v>
      </c>
      <c r="E2448" s="10" t="s">
        <v>249</v>
      </c>
      <c r="F2448" s="10" t="s">
        <v>3906</v>
      </c>
      <c r="G2448" s="10" t="s">
        <v>12693</v>
      </c>
      <c r="H2448" s="10" t="s">
        <v>96</v>
      </c>
      <c r="I2448" s="10" t="s">
        <v>55</v>
      </c>
      <c r="J2448" s="10" t="s">
        <v>3979</v>
      </c>
      <c r="K2448" s="10" t="s">
        <v>15133</v>
      </c>
      <c r="L2448" s="10" t="s">
        <v>42</v>
      </c>
    </row>
    <row r="2449" ht="15.75" customHeight="1">
      <c r="A2449" s="64">
        <v>45470.0</v>
      </c>
      <c r="B2449" s="55" t="str">
        <f>HYPERLINK("https://jobright.ai/jobs/info/667dfcec63c037a1350fd5ee?utm_campaign=1065&amp;utm_source=sheet", "Apply")</f>
        <v>Apply</v>
      </c>
      <c r="C2449" s="10" t="s">
        <v>15134</v>
      </c>
      <c r="D2449" s="56" t="s">
        <v>13913</v>
      </c>
      <c r="E2449" s="10" t="s">
        <v>45</v>
      </c>
      <c r="F2449" s="10" t="s">
        <v>13842</v>
      </c>
      <c r="G2449" s="10" t="s">
        <v>12635</v>
      </c>
      <c r="H2449" s="10" t="s">
        <v>914</v>
      </c>
      <c r="I2449" s="10" t="s">
        <v>55</v>
      </c>
      <c r="J2449" s="10" t="s">
        <v>14245</v>
      </c>
      <c r="K2449" s="10" t="s">
        <v>13915</v>
      </c>
      <c r="L2449" s="10" t="s">
        <v>42</v>
      </c>
    </row>
    <row r="2450" ht="15.75" customHeight="1">
      <c r="A2450" s="64">
        <v>45470.0</v>
      </c>
      <c r="B2450" s="55" t="str">
        <f>HYPERLINK("https://jobright.ai/jobs/info/667dd5a549161264b2727d8d?utm_campaign=1065&amp;utm_source=sheet", "Apply")</f>
        <v>Apply</v>
      </c>
      <c r="C2450" s="10" t="s">
        <v>15024</v>
      </c>
      <c r="D2450" s="56" t="s">
        <v>14248</v>
      </c>
      <c r="E2450" s="10" t="s">
        <v>276</v>
      </c>
      <c r="F2450" s="10" t="s">
        <v>14249</v>
      </c>
      <c r="G2450" s="10" t="s">
        <v>12654</v>
      </c>
      <c r="H2450" s="10" t="s">
        <v>15135</v>
      </c>
      <c r="I2450" s="10" t="s">
        <v>55</v>
      </c>
      <c r="J2450" s="10" t="s">
        <v>2609</v>
      </c>
      <c r="K2450" s="10" t="s">
        <v>15136</v>
      </c>
      <c r="L2450" s="10" t="s">
        <v>42</v>
      </c>
    </row>
    <row r="2451" ht="15.75" customHeight="1">
      <c r="A2451" s="64">
        <v>45470.0</v>
      </c>
      <c r="B2451" s="55" t="str">
        <f>HYPERLINK("https://jobright.ai/jobs/info/667daf9885f8076f244b273f?utm_campaign=1065&amp;utm_source=sheet", "Apply")</f>
        <v>Apply</v>
      </c>
      <c r="C2451" s="10" t="s">
        <v>13815</v>
      </c>
      <c r="D2451" s="56" t="s">
        <v>13812</v>
      </c>
      <c r="E2451" s="10" t="s">
        <v>276</v>
      </c>
      <c r="F2451" s="10" t="s">
        <v>13813</v>
      </c>
      <c r="G2451" s="10" t="s">
        <v>12630</v>
      </c>
      <c r="H2451" s="10" t="s">
        <v>15137</v>
      </c>
      <c r="I2451" s="10" t="s">
        <v>55</v>
      </c>
      <c r="J2451" s="10" t="s">
        <v>1797</v>
      </c>
      <c r="K2451" s="10" t="s">
        <v>13816</v>
      </c>
      <c r="L2451" s="10" t="s">
        <v>42</v>
      </c>
    </row>
    <row r="2452" ht="15.75" customHeight="1">
      <c r="A2452" s="64">
        <v>45470.0</v>
      </c>
      <c r="B2452" s="55" t="str">
        <f>HYPERLINK("https://jobright.ai/jobs/info/667daf9885f8076f244b2775?utm_campaign=1065&amp;utm_source=sheet", "Apply")</f>
        <v>Apply</v>
      </c>
      <c r="C2452" s="10" t="s">
        <v>13811</v>
      </c>
      <c r="D2452" s="56" t="s">
        <v>13812</v>
      </c>
      <c r="E2452" s="10" t="s">
        <v>276</v>
      </c>
      <c r="F2452" s="10" t="s">
        <v>13813</v>
      </c>
      <c r="G2452" s="10" t="s">
        <v>12630</v>
      </c>
      <c r="H2452" s="10" t="s">
        <v>15137</v>
      </c>
      <c r="I2452" s="10" t="s">
        <v>55</v>
      </c>
      <c r="J2452" s="10" t="s">
        <v>1797</v>
      </c>
      <c r="K2452" s="10" t="s">
        <v>13814</v>
      </c>
      <c r="L2452" s="10" t="s">
        <v>42</v>
      </c>
    </row>
    <row r="2453" ht="15.75" customHeight="1">
      <c r="A2453" s="64">
        <v>45470.0</v>
      </c>
      <c r="B2453" s="55" t="str">
        <f>HYPERLINK("https://jobright.ai/jobs/info/6690d024b9480c9896c8f7b3?utm_campaign=1065&amp;utm_source=sheet", "Apply")</f>
        <v>Apply</v>
      </c>
      <c r="C2453" s="10" t="s">
        <v>15116</v>
      </c>
      <c r="D2453" s="56" t="s">
        <v>15117</v>
      </c>
      <c r="E2453" s="10" t="s">
        <v>137</v>
      </c>
      <c r="F2453" s="10" t="s">
        <v>627</v>
      </c>
      <c r="G2453" s="10" t="s">
        <v>12630</v>
      </c>
      <c r="H2453" s="10" t="s">
        <v>15138</v>
      </c>
      <c r="I2453" s="10" t="s">
        <v>55</v>
      </c>
      <c r="J2453" s="10" t="s">
        <v>1797</v>
      </c>
      <c r="K2453" s="10" t="s">
        <v>15118</v>
      </c>
      <c r="L2453" s="10" t="s">
        <v>42</v>
      </c>
    </row>
    <row r="2454" ht="15.75" customHeight="1">
      <c r="A2454" s="64">
        <v>45470.0</v>
      </c>
      <c r="B2454" s="55" t="str">
        <f>HYPERLINK("https://jobright.ai/jobs/info/6690d0dfb9480c9896c90676?utm_campaign=1065&amp;utm_source=sheet", "Apply")</f>
        <v>Apply</v>
      </c>
      <c r="C2454" s="10" t="s">
        <v>15116</v>
      </c>
      <c r="D2454" s="56" t="s">
        <v>15117</v>
      </c>
      <c r="E2454" s="10" t="s">
        <v>137</v>
      </c>
      <c r="F2454" s="10" t="s">
        <v>627</v>
      </c>
      <c r="G2454" s="10" t="s">
        <v>12630</v>
      </c>
      <c r="H2454" s="10" t="s">
        <v>165</v>
      </c>
      <c r="I2454" s="10" t="s">
        <v>55</v>
      </c>
      <c r="J2454" s="10" t="s">
        <v>1797</v>
      </c>
      <c r="K2454" s="10" t="s">
        <v>15118</v>
      </c>
      <c r="L2454" s="10" t="s">
        <v>42</v>
      </c>
    </row>
    <row r="2455" ht="15.75" customHeight="1">
      <c r="A2455" s="64">
        <v>45470.0</v>
      </c>
      <c r="B2455" s="55" t="str">
        <f>HYPERLINK("https://jobright.ai/jobs/info/667db868bdd03d9fd8cf7841?utm_campaign=1065&amp;utm_source=sheet", "Apply")</f>
        <v>Apply</v>
      </c>
      <c r="C2455" s="10" t="s">
        <v>12785</v>
      </c>
      <c r="D2455" s="56" t="s">
        <v>3402</v>
      </c>
      <c r="E2455" s="10" t="s">
        <v>45</v>
      </c>
      <c r="F2455" s="10" t="s">
        <v>3403</v>
      </c>
      <c r="G2455" s="10" t="s">
        <v>12635</v>
      </c>
      <c r="H2455" s="10" t="s">
        <v>10427</v>
      </c>
      <c r="I2455" s="10" t="s">
        <v>55</v>
      </c>
      <c r="K2455" s="10" t="s">
        <v>12787</v>
      </c>
      <c r="L2455" s="10" t="s">
        <v>42</v>
      </c>
    </row>
    <row r="2456" ht="15.75" customHeight="1">
      <c r="A2456" s="64">
        <v>45469.0</v>
      </c>
      <c r="B2456" s="55" t="str">
        <f>HYPERLINK("https://jobright.ai/jobs/info/667ca074c08973d614a470d3?utm_campaign=1065&amp;utm_source=sheet", "Apply")</f>
        <v>Apply</v>
      </c>
      <c r="C2456" s="10" t="s">
        <v>15139</v>
      </c>
      <c r="D2456" s="56" t="s">
        <v>1794</v>
      </c>
      <c r="E2456" s="10" t="s">
        <v>65</v>
      </c>
      <c r="F2456" s="10" t="s">
        <v>1795</v>
      </c>
      <c r="G2456" s="10" t="s">
        <v>12630</v>
      </c>
      <c r="H2456" s="10" t="s">
        <v>1796</v>
      </c>
      <c r="I2456" s="10" t="s">
        <v>48</v>
      </c>
      <c r="J2456" s="10" t="s">
        <v>1761</v>
      </c>
      <c r="K2456" s="10" t="s">
        <v>15140</v>
      </c>
      <c r="L2456" s="10" t="s">
        <v>42</v>
      </c>
    </row>
    <row r="2457" ht="15.75" customHeight="1">
      <c r="A2457" s="64">
        <v>45469.0</v>
      </c>
      <c r="B2457" s="55" t="str">
        <f>HYPERLINK("https://jobright.ai/jobs/info/6677ddbbfbac42152a147099?utm_campaign=1065&amp;utm_source=sheet", "Apply")</f>
        <v>Apply</v>
      </c>
      <c r="C2457" s="10" t="s">
        <v>15139</v>
      </c>
      <c r="D2457" s="56" t="s">
        <v>1794</v>
      </c>
      <c r="E2457" s="10" t="s">
        <v>65</v>
      </c>
      <c r="F2457" s="10" t="s">
        <v>1795</v>
      </c>
      <c r="G2457" s="10" t="s">
        <v>12630</v>
      </c>
      <c r="H2457" s="10" t="s">
        <v>1796</v>
      </c>
      <c r="I2457" s="10" t="s">
        <v>55</v>
      </c>
      <c r="J2457" s="10" t="s">
        <v>1761</v>
      </c>
      <c r="K2457" s="10" t="s">
        <v>15140</v>
      </c>
      <c r="L2457" s="10" t="s">
        <v>42</v>
      </c>
    </row>
    <row r="2458" ht="15.75" customHeight="1">
      <c r="A2458" s="64">
        <v>45469.0</v>
      </c>
      <c r="B2458" s="55" t="str">
        <f>HYPERLINK("https://jobright.ai/jobs/info/667c95988b79c077c3ac2150?utm_campaign=1065&amp;utm_source=sheet", "Apply")</f>
        <v>Apply</v>
      </c>
      <c r="C2458" s="10" t="s">
        <v>13338</v>
      </c>
      <c r="D2458" s="56" t="s">
        <v>15141</v>
      </c>
      <c r="E2458" s="10" t="s">
        <v>276</v>
      </c>
      <c r="F2458" s="10" t="s">
        <v>15142</v>
      </c>
      <c r="G2458" s="10" t="s">
        <v>12654</v>
      </c>
      <c r="H2458" s="10" t="s">
        <v>857</v>
      </c>
      <c r="I2458" s="10" t="s">
        <v>55</v>
      </c>
      <c r="K2458" s="10" t="s">
        <v>15143</v>
      </c>
      <c r="L2458" s="10" t="s">
        <v>42</v>
      </c>
    </row>
    <row r="2459" ht="15.75" customHeight="1">
      <c r="A2459" s="64">
        <v>45469.0</v>
      </c>
      <c r="B2459" s="55" t="str">
        <f>HYPERLINK("https://jobright.ai/jobs/info/667c50b9fc279489db4ebf01?utm_campaign=1065&amp;utm_source=sheet", "Apply")</f>
        <v>Apply</v>
      </c>
      <c r="C2459" s="10" t="s">
        <v>12650</v>
      </c>
      <c r="D2459" s="58" t="s">
        <v>15144</v>
      </c>
      <c r="E2459" s="10" t="s">
        <v>71</v>
      </c>
      <c r="F2459" s="10" t="s">
        <v>15145</v>
      </c>
      <c r="G2459" s="10" t="s">
        <v>12635</v>
      </c>
      <c r="H2459" s="10" t="s">
        <v>96</v>
      </c>
      <c r="I2459" s="10" t="s">
        <v>48</v>
      </c>
      <c r="J2459" s="10" t="s">
        <v>1797</v>
      </c>
      <c r="K2459" s="10" t="s">
        <v>15146</v>
      </c>
      <c r="L2459" s="10" t="s">
        <v>42</v>
      </c>
    </row>
    <row r="2460" ht="15.75" customHeight="1">
      <c r="A2460" s="64">
        <v>45469.0</v>
      </c>
      <c r="B2460" s="55" t="str">
        <f>HYPERLINK("https://jobright.ai/jobs/info/666bcac81638e3c00ea5b549?utm_campaign=1065&amp;utm_source=sheet", "Apply")</f>
        <v>Apply</v>
      </c>
      <c r="C2460" s="10" t="s">
        <v>15147</v>
      </c>
      <c r="D2460" s="56" t="s">
        <v>1576</v>
      </c>
      <c r="E2460" s="10" t="s">
        <v>45</v>
      </c>
      <c r="F2460" s="10" t="s">
        <v>1577</v>
      </c>
      <c r="G2460" s="10" t="s">
        <v>12635</v>
      </c>
      <c r="H2460" s="10" t="s">
        <v>5622</v>
      </c>
      <c r="I2460" s="10" t="s">
        <v>55</v>
      </c>
      <c r="J2460" s="10" t="s">
        <v>1579</v>
      </c>
      <c r="K2460" s="10" t="s">
        <v>14273</v>
      </c>
      <c r="L2460" s="10" t="s">
        <v>42</v>
      </c>
    </row>
    <row r="2461" ht="15.75" customHeight="1">
      <c r="A2461" s="64">
        <v>45469.0</v>
      </c>
      <c r="B2461" s="55" t="str">
        <f>HYPERLINK("https://jobright.ai/jobs/info/667bc8ccc0cf2a2e8c7c3a23?utm_campaign=1065&amp;utm_source=sheet", "Apply")</f>
        <v>Apply</v>
      </c>
      <c r="C2461" s="10" t="s">
        <v>15148</v>
      </c>
      <c r="D2461" s="56" t="s">
        <v>15149</v>
      </c>
      <c r="E2461" s="10" t="s">
        <v>137</v>
      </c>
      <c r="F2461" s="10" t="s">
        <v>15150</v>
      </c>
      <c r="G2461" s="10" t="s">
        <v>12654</v>
      </c>
      <c r="H2461" s="10" t="s">
        <v>153</v>
      </c>
      <c r="I2461" s="10" t="s">
        <v>55</v>
      </c>
      <c r="K2461" s="10" t="s">
        <v>15151</v>
      </c>
      <c r="L2461" s="10" t="s">
        <v>42</v>
      </c>
    </row>
    <row r="2462" ht="15.75" customHeight="1">
      <c r="A2462" s="64">
        <v>45469.0</v>
      </c>
      <c r="B2462" s="55" t="str">
        <f>HYPERLINK("https://jobright.ai/jobs/info/667bb55828265d9f5e768908?utm_campaign=1065&amp;utm_source=sheet", "Apply")</f>
        <v>Apply</v>
      </c>
      <c r="C2462" s="10" t="s">
        <v>15152</v>
      </c>
      <c r="D2462" s="56" t="s">
        <v>15153</v>
      </c>
      <c r="G2462" s="10" t="s">
        <v>12630</v>
      </c>
      <c r="H2462" s="10" t="s">
        <v>811</v>
      </c>
      <c r="I2462" s="10" t="s">
        <v>55</v>
      </c>
      <c r="K2462" s="10" t="s">
        <v>15154</v>
      </c>
      <c r="L2462" s="10" t="s">
        <v>42</v>
      </c>
    </row>
    <row r="2463" ht="15.75" customHeight="1">
      <c r="A2463" s="64">
        <v>45469.0</v>
      </c>
      <c r="B2463" s="55" t="str">
        <f>HYPERLINK("https://jobright.ai/jobs/info/667bb2eab49b956dfaaef2d3?utm_campaign=1065&amp;utm_source=sheet", "Apply")</f>
        <v>Apply</v>
      </c>
      <c r="C2463" s="10" t="s">
        <v>15155</v>
      </c>
      <c r="D2463" s="56" t="s">
        <v>15156</v>
      </c>
      <c r="E2463" s="10">
        <v>7.0</v>
      </c>
      <c r="G2463" s="10" t="s">
        <v>12630</v>
      </c>
      <c r="H2463" s="10" t="s">
        <v>113</v>
      </c>
      <c r="I2463" s="10" t="s">
        <v>55</v>
      </c>
      <c r="K2463" s="10" t="s">
        <v>15157</v>
      </c>
      <c r="L2463" s="10" t="s">
        <v>42</v>
      </c>
    </row>
    <row r="2464" ht="15.75" customHeight="1">
      <c r="A2464" s="64">
        <v>45469.0</v>
      </c>
      <c r="B2464" s="55" t="str">
        <f>HYPERLINK("https://jobright.ai/jobs/info/667e3a3682295a58888e78d7?utm_campaign=1065&amp;utm_source=sheet", "Apply")</f>
        <v>Apply</v>
      </c>
      <c r="C2464" s="10" t="s">
        <v>15158</v>
      </c>
      <c r="D2464" s="56" t="s">
        <v>11462</v>
      </c>
      <c r="E2464" s="10" t="s">
        <v>45</v>
      </c>
      <c r="F2464" s="10" t="s">
        <v>11463</v>
      </c>
      <c r="G2464" s="10" t="s">
        <v>12635</v>
      </c>
      <c r="H2464" s="10" t="s">
        <v>794</v>
      </c>
      <c r="I2464" s="10" t="s">
        <v>55</v>
      </c>
      <c r="J2464" s="10" t="s">
        <v>15159</v>
      </c>
      <c r="K2464" s="10" t="s">
        <v>15160</v>
      </c>
      <c r="L2464" s="10" t="s">
        <v>42</v>
      </c>
    </row>
    <row r="2465" ht="15.75" customHeight="1">
      <c r="A2465" s="64">
        <v>45469.0</v>
      </c>
      <c r="B2465" s="55" t="str">
        <f>HYPERLINK("https://jobright.ai/jobs/info/667b939d6419fb0823b9c2f8?utm_campaign=1065&amp;utm_source=sheet", "Apply")</f>
        <v>Apply</v>
      </c>
      <c r="C2465" s="10" t="s">
        <v>15161</v>
      </c>
      <c r="D2465" s="56" t="s">
        <v>7830</v>
      </c>
      <c r="E2465" s="10" t="s">
        <v>249</v>
      </c>
      <c r="F2465" s="10" t="s">
        <v>3906</v>
      </c>
      <c r="G2465" s="10" t="s">
        <v>12630</v>
      </c>
      <c r="H2465" s="10" t="s">
        <v>96</v>
      </c>
      <c r="I2465" s="10" t="s">
        <v>55</v>
      </c>
      <c r="J2465" s="10" t="s">
        <v>3979</v>
      </c>
      <c r="K2465" s="10" t="s">
        <v>15162</v>
      </c>
      <c r="L2465" s="10" t="s">
        <v>42</v>
      </c>
    </row>
    <row r="2466" ht="15.75" customHeight="1">
      <c r="A2466" s="64">
        <v>45469.0</v>
      </c>
      <c r="B2466" s="55" t="str">
        <f>HYPERLINK("https://jobright.ai/jobs/info/667cad55d9af9dd1ef5d7cc7?utm_campaign=1065&amp;utm_source=sheet", "Apply")</f>
        <v>Apply</v>
      </c>
      <c r="C2466" s="10" t="s">
        <v>15163</v>
      </c>
      <c r="D2466" s="56" t="s">
        <v>15060</v>
      </c>
      <c r="E2466" s="10" t="s">
        <v>71</v>
      </c>
      <c r="F2466" s="10" t="s">
        <v>3035</v>
      </c>
      <c r="G2466" s="10" t="s">
        <v>12654</v>
      </c>
      <c r="H2466" s="10" t="s">
        <v>96</v>
      </c>
      <c r="I2466" s="10" t="s">
        <v>252</v>
      </c>
      <c r="K2466" s="10" t="s">
        <v>15164</v>
      </c>
      <c r="L2466" s="10" t="s">
        <v>42</v>
      </c>
    </row>
    <row r="2467" ht="15.75" customHeight="1">
      <c r="A2467" s="64">
        <v>45469.0</v>
      </c>
      <c r="B2467" s="55" t="str">
        <f>HYPERLINK("https://jobright.ai/jobs/info/667b77bd6d67dd6e98a66aef?utm_campaign=1065&amp;utm_source=sheet", "Apply")</f>
        <v>Apply</v>
      </c>
      <c r="C2467" s="10" t="s">
        <v>15165</v>
      </c>
      <c r="D2467" s="56" t="s">
        <v>15166</v>
      </c>
      <c r="F2467" s="10" t="s">
        <v>15167</v>
      </c>
      <c r="G2467" s="10" t="s">
        <v>12654</v>
      </c>
      <c r="H2467" s="10" t="s">
        <v>1044</v>
      </c>
      <c r="I2467" s="10" t="s">
        <v>55</v>
      </c>
      <c r="K2467" s="10" t="s">
        <v>15168</v>
      </c>
      <c r="L2467" s="10" t="s">
        <v>42</v>
      </c>
    </row>
    <row r="2468" ht="15.75" customHeight="1">
      <c r="A2468" s="64">
        <v>45469.0</v>
      </c>
      <c r="B2468" s="55" t="str">
        <f>HYPERLINK("https://jobright.ai/jobs/info/667c8c587dcf43f2e675203c?utm_campaign=1065&amp;utm_source=sheet", "Apply")</f>
        <v>Apply</v>
      </c>
      <c r="C2468" s="10" t="s">
        <v>12650</v>
      </c>
      <c r="D2468" s="56" t="s">
        <v>15169</v>
      </c>
      <c r="E2468" s="10">
        <v>125.0</v>
      </c>
      <c r="G2468" s="10" t="s">
        <v>12635</v>
      </c>
      <c r="H2468" s="10" t="s">
        <v>7294</v>
      </c>
      <c r="I2468" s="10" t="s">
        <v>48</v>
      </c>
      <c r="K2468" s="10" t="s">
        <v>15170</v>
      </c>
      <c r="L2468" s="10" t="s">
        <v>42</v>
      </c>
    </row>
    <row r="2469" ht="15.75" customHeight="1">
      <c r="A2469" s="64">
        <v>45469.0</v>
      </c>
      <c r="B2469" s="55" t="str">
        <f>HYPERLINK("https://jobright.ai/jobs/info/667c9c535bb91f3e5e18bd91?utm_campaign=1065&amp;utm_source=sheet", "Apply")</f>
        <v>Apply</v>
      </c>
      <c r="C2469" s="10" t="s">
        <v>15171</v>
      </c>
      <c r="D2469" s="56" t="s">
        <v>14894</v>
      </c>
      <c r="E2469" s="10" t="s">
        <v>71</v>
      </c>
      <c r="F2469" s="10" t="s">
        <v>14895</v>
      </c>
      <c r="G2469" s="10" t="s">
        <v>12630</v>
      </c>
      <c r="H2469" s="10" t="s">
        <v>170</v>
      </c>
      <c r="I2469" s="10" t="s">
        <v>55</v>
      </c>
      <c r="J2469" s="10" t="s">
        <v>1608</v>
      </c>
      <c r="K2469" s="10" t="s">
        <v>15172</v>
      </c>
      <c r="L2469" s="10" t="s">
        <v>42</v>
      </c>
    </row>
    <row r="2470" ht="15.75" customHeight="1">
      <c r="A2470" s="64">
        <v>45469.0</v>
      </c>
      <c r="B2470" s="55" t="str">
        <f>HYPERLINK("https://jobright.ai/jobs/info/667b71db20cdb15491e3e9de?utm_campaign=1065&amp;utm_source=sheet", "Apply")</f>
        <v>Apply</v>
      </c>
      <c r="C2470" s="10" t="s">
        <v>15173</v>
      </c>
      <c r="D2470" s="56" t="s">
        <v>15166</v>
      </c>
      <c r="F2470" s="10" t="s">
        <v>15167</v>
      </c>
      <c r="G2470" s="10" t="s">
        <v>12654</v>
      </c>
      <c r="H2470" s="10" t="s">
        <v>1044</v>
      </c>
      <c r="I2470" s="10" t="s">
        <v>55</v>
      </c>
      <c r="K2470" s="10" t="s">
        <v>15174</v>
      </c>
      <c r="L2470" s="10" t="s">
        <v>42</v>
      </c>
    </row>
    <row r="2471" ht="15.75" customHeight="1">
      <c r="A2471" s="64">
        <v>45469.0</v>
      </c>
      <c r="B2471" s="55" t="str">
        <f>HYPERLINK("https://jobright.ai/jobs/info/667d239bfc9f508670ec3b8b?utm_campaign=1065&amp;utm_source=sheet", "Apply")</f>
        <v>Apply</v>
      </c>
      <c r="C2471" s="10" t="s">
        <v>15175</v>
      </c>
      <c r="D2471" s="56" t="s">
        <v>11462</v>
      </c>
      <c r="E2471" s="10" t="s">
        <v>45</v>
      </c>
      <c r="F2471" s="10" t="s">
        <v>11463</v>
      </c>
      <c r="G2471" s="10" t="s">
        <v>12693</v>
      </c>
      <c r="H2471" s="10" t="s">
        <v>15176</v>
      </c>
      <c r="I2471" s="10" t="s">
        <v>55</v>
      </c>
      <c r="J2471" s="10" t="s">
        <v>15159</v>
      </c>
      <c r="K2471" s="10" t="s">
        <v>15177</v>
      </c>
      <c r="L2471" s="10" t="s">
        <v>42</v>
      </c>
    </row>
    <row r="2472" ht="15.75" customHeight="1">
      <c r="A2472" s="64">
        <v>45469.0</v>
      </c>
      <c r="B2472" s="55" t="str">
        <f>HYPERLINK("https://jobright.ai/jobs/info/667c83f572fe6297b8f5e640?utm_campaign=1065&amp;utm_source=sheet", "Apply")</f>
        <v>Apply</v>
      </c>
      <c r="C2472" s="10" t="s">
        <v>14258</v>
      </c>
      <c r="D2472" s="56" t="s">
        <v>15178</v>
      </c>
      <c r="E2472" s="10" t="s">
        <v>276</v>
      </c>
      <c r="F2472" s="10" t="s">
        <v>15179</v>
      </c>
      <c r="G2472" s="10" t="s">
        <v>12693</v>
      </c>
      <c r="H2472" s="10" t="s">
        <v>15180</v>
      </c>
      <c r="I2472" s="10" t="s">
        <v>55</v>
      </c>
      <c r="K2472" s="10" t="s">
        <v>15181</v>
      </c>
      <c r="L2472" s="10" t="s">
        <v>42</v>
      </c>
    </row>
    <row r="2473" ht="15.75" customHeight="1">
      <c r="A2473" s="64">
        <v>45468.0</v>
      </c>
      <c r="B2473" s="55" t="str">
        <f>HYPERLINK("https://jobright.ai/jobs/info/667b65a2dfc11611c8515f3d?utm_campaign=1065&amp;utm_source=sheet", "Apply")</f>
        <v>Apply</v>
      </c>
      <c r="C2473" s="10" t="s">
        <v>15148</v>
      </c>
      <c r="D2473" s="56" t="s">
        <v>15166</v>
      </c>
      <c r="F2473" s="10" t="s">
        <v>15167</v>
      </c>
      <c r="G2473" s="10" t="s">
        <v>12654</v>
      </c>
      <c r="H2473" s="10" t="s">
        <v>153</v>
      </c>
      <c r="I2473" s="10" t="s">
        <v>55</v>
      </c>
      <c r="K2473" s="10" t="s">
        <v>15168</v>
      </c>
      <c r="L2473" s="10" t="s">
        <v>42</v>
      </c>
    </row>
    <row r="2474" ht="15.75" customHeight="1">
      <c r="A2474" s="64">
        <v>45468.0</v>
      </c>
      <c r="B2474" s="55" t="str">
        <f>HYPERLINK("https://jobright.ai/jobs/info/667b6596dfc11611c8515eca?utm_campaign=1065&amp;utm_source=sheet", "Apply")</f>
        <v>Apply</v>
      </c>
      <c r="C2474" s="10" t="s">
        <v>15182</v>
      </c>
      <c r="D2474" s="56" t="s">
        <v>15166</v>
      </c>
      <c r="E2474" s="59"/>
      <c r="F2474" s="10" t="s">
        <v>15167</v>
      </c>
      <c r="G2474" s="10" t="s">
        <v>12654</v>
      </c>
      <c r="H2474" s="10" t="s">
        <v>1044</v>
      </c>
      <c r="I2474" s="10" t="s">
        <v>55</v>
      </c>
      <c r="K2474" s="10" t="s">
        <v>15168</v>
      </c>
      <c r="L2474" s="10" t="s">
        <v>42</v>
      </c>
    </row>
    <row r="2475" ht="15.75" customHeight="1">
      <c r="A2475" s="64">
        <v>45468.0</v>
      </c>
      <c r="B2475" s="55" t="str">
        <f>HYPERLINK("https://jobright.ai/jobs/info/667b2e4de24347abeb4240d7?utm_campaign=1065&amp;utm_source=sheet", "Apply")</f>
        <v>Apply</v>
      </c>
      <c r="C2475" s="10" t="s">
        <v>12650</v>
      </c>
      <c r="D2475" s="56" t="s">
        <v>15183</v>
      </c>
      <c r="E2475" s="10" t="s">
        <v>137</v>
      </c>
      <c r="F2475" s="10" t="s">
        <v>15184</v>
      </c>
      <c r="G2475" s="10" t="s">
        <v>12630</v>
      </c>
      <c r="H2475" s="10" t="s">
        <v>251</v>
      </c>
      <c r="I2475" s="10" t="s">
        <v>252</v>
      </c>
      <c r="K2475" s="10" t="s">
        <v>15185</v>
      </c>
      <c r="L2475" s="10" t="s">
        <v>42</v>
      </c>
    </row>
    <row r="2476" ht="15.75" customHeight="1">
      <c r="A2476" s="64">
        <v>45468.0</v>
      </c>
      <c r="B2476" s="55" t="str">
        <f>HYPERLINK("https://jobright.ai/jobs/info/667b2b4d1b02ac33e0d75a02?utm_campaign=1065&amp;utm_source=sheet", "Apply")</f>
        <v>Apply</v>
      </c>
      <c r="C2476" s="10" t="s">
        <v>15186</v>
      </c>
      <c r="D2476" s="56" t="s">
        <v>14667</v>
      </c>
      <c r="E2476" s="10" t="s">
        <v>65</v>
      </c>
      <c r="F2476" s="10" t="s">
        <v>14668</v>
      </c>
      <c r="G2476" s="10" t="s">
        <v>12630</v>
      </c>
      <c r="H2476" s="10" t="s">
        <v>96</v>
      </c>
      <c r="I2476" s="10" t="s">
        <v>48</v>
      </c>
      <c r="J2476" s="10" t="s">
        <v>1960</v>
      </c>
      <c r="K2476" s="10" t="s">
        <v>15187</v>
      </c>
      <c r="L2476" s="10" t="s">
        <v>42</v>
      </c>
    </row>
    <row r="2477" ht="15.75" customHeight="1">
      <c r="A2477" s="64">
        <v>45468.0</v>
      </c>
      <c r="B2477" s="55" t="str">
        <f>HYPERLINK("https://jobright.ai/jobs/info/667b2b131b02ac33e0d7549d?utm_campaign=1065&amp;utm_source=sheet", "Apply")</f>
        <v>Apply</v>
      </c>
      <c r="C2477" s="10" t="s">
        <v>15186</v>
      </c>
      <c r="D2477" s="56" t="s">
        <v>14667</v>
      </c>
      <c r="E2477" s="10" t="s">
        <v>65</v>
      </c>
      <c r="F2477" s="10" t="s">
        <v>14668</v>
      </c>
      <c r="G2477" s="10" t="s">
        <v>12630</v>
      </c>
      <c r="H2477" s="10" t="s">
        <v>251</v>
      </c>
      <c r="I2477" s="10" t="s">
        <v>48</v>
      </c>
      <c r="J2477" s="10" t="s">
        <v>1960</v>
      </c>
      <c r="K2477" s="10" t="s">
        <v>15187</v>
      </c>
      <c r="L2477" s="10" t="s">
        <v>42</v>
      </c>
    </row>
    <row r="2478" ht="15.75" customHeight="1">
      <c r="A2478" s="64">
        <v>45468.0</v>
      </c>
      <c r="B2478" s="55" t="str">
        <f>HYPERLINK("https://jobright.ai/jobs/info/667b2b1c1b02ac33e0d7557d?utm_campaign=1065&amp;utm_source=sheet", "Apply")</f>
        <v>Apply</v>
      </c>
      <c r="C2478" s="10" t="s">
        <v>15188</v>
      </c>
      <c r="D2478" s="56" t="s">
        <v>7830</v>
      </c>
      <c r="E2478" s="10" t="s">
        <v>249</v>
      </c>
      <c r="F2478" s="10" t="s">
        <v>3906</v>
      </c>
      <c r="G2478" s="10" t="s">
        <v>12654</v>
      </c>
      <c r="H2478" s="10" t="s">
        <v>170</v>
      </c>
      <c r="I2478" s="10" t="s">
        <v>55</v>
      </c>
      <c r="J2478" s="10" t="s">
        <v>3979</v>
      </c>
      <c r="K2478" s="10" t="s">
        <v>15189</v>
      </c>
      <c r="L2478" s="10" t="s">
        <v>42</v>
      </c>
    </row>
    <row r="2479" ht="15.75" customHeight="1">
      <c r="A2479" s="64">
        <v>45468.0</v>
      </c>
      <c r="B2479" s="55" t="str">
        <f>HYPERLINK("https://jobright.ai/jobs/info/667b2b251b02ac33e0d756ad?utm_campaign=1065&amp;utm_source=sheet", "Apply")</f>
        <v>Apply</v>
      </c>
      <c r="C2479" s="10" t="s">
        <v>15190</v>
      </c>
      <c r="D2479" s="56" t="s">
        <v>15191</v>
      </c>
      <c r="E2479" s="10" t="s">
        <v>137</v>
      </c>
      <c r="F2479" s="10" t="s">
        <v>8882</v>
      </c>
      <c r="G2479" s="10" t="s">
        <v>12630</v>
      </c>
      <c r="H2479" s="10" t="s">
        <v>159</v>
      </c>
      <c r="I2479" s="10" t="s">
        <v>55</v>
      </c>
      <c r="K2479" s="10" t="s">
        <v>15192</v>
      </c>
      <c r="L2479" s="10" t="s">
        <v>42</v>
      </c>
    </row>
    <row r="2480" ht="15.75" customHeight="1">
      <c r="A2480" s="64">
        <v>45468.0</v>
      </c>
      <c r="B2480" s="55" t="str">
        <f>HYPERLINK("https://jobright.ai/jobs/info/667a3ee9b82864157266399d?utm_campaign=1065&amp;utm_source=sheet", "Apply")</f>
        <v>Apply</v>
      </c>
      <c r="C2480" s="10" t="s">
        <v>12650</v>
      </c>
      <c r="D2480" s="56" t="s">
        <v>15193</v>
      </c>
      <c r="E2480" s="10" t="s">
        <v>137</v>
      </c>
      <c r="F2480" s="10" t="s">
        <v>15194</v>
      </c>
      <c r="G2480" s="10" t="s">
        <v>12635</v>
      </c>
      <c r="H2480" s="10" t="s">
        <v>878</v>
      </c>
      <c r="I2480" s="10" t="s">
        <v>55</v>
      </c>
      <c r="J2480" s="10" t="s">
        <v>1729</v>
      </c>
      <c r="K2480" s="10" t="s">
        <v>15195</v>
      </c>
      <c r="L2480" s="10" t="s">
        <v>42</v>
      </c>
    </row>
    <row r="2481" ht="15.75" customHeight="1">
      <c r="A2481" s="64">
        <v>45468.0</v>
      </c>
      <c r="B2481" s="55" t="str">
        <f>HYPERLINK("https://jobright.ai/jobs/info/667a3ee9b82864157266394c?utm_campaign=1065&amp;utm_source=sheet", "Apply")</f>
        <v>Apply</v>
      </c>
      <c r="C2481" s="10" t="s">
        <v>15196</v>
      </c>
      <c r="D2481" s="56" t="s">
        <v>13422</v>
      </c>
      <c r="E2481" s="10" t="s">
        <v>137</v>
      </c>
      <c r="F2481" s="10" t="s">
        <v>13423</v>
      </c>
      <c r="G2481" s="10" t="s">
        <v>12654</v>
      </c>
      <c r="H2481" s="10" t="s">
        <v>251</v>
      </c>
      <c r="I2481" s="10" t="s">
        <v>252</v>
      </c>
      <c r="J2481" s="10" t="s">
        <v>1608</v>
      </c>
      <c r="K2481" s="10" t="s">
        <v>15197</v>
      </c>
      <c r="L2481" s="10" t="s">
        <v>42</v>
      </c>
    </row>
    <row r="2482" ht="15.75" customHeight="1">
      <c r="A2482" s="64">
        <v>45468.0</v>
      </c>
      <c r="B2482" s="55" t="str">
        <f>HYPERLINK("https://jobright.ai/jobs/info/667561e842bae55a958284c5?utm_campaign=1065&amp;utm_source=sheet", "Apply")</f>
        <v>Apply</v>
      </c>
      <c r="C2482" s="10" t="s">
        <v>15198</v>
      </c>
      <c r="D2482" s="56" t="s">
        <v>14608</v>
      </c>
      <c r="E2482" s="10" t="s">
        <v>45</v>
      </c>
      <c r="F2482" s="10" t="s">
        <v>14609</v>
      </c>
      <c r="G2482" s="10" t="s">
        <v>12654</v>
      </c>
      <c r="H2482" s="10" t="s">
        <v>472</v>
      </c>
      <c r="I2482" s="10" t="s">
        <v>55</v>
      </c>
      <c r="J2482" s="10" t="s">
        <v>1409</v>
      </c>
      <c r="K2482" s="10" t="s">
        <v>15199</v>
      </c>
      <c r="L2482" s="10" t="s">
        <v>42</v>
      </c>
    </row>
    <row r="2483" ht="15.75" customHeight="1">
      <c r="A2483" s="64">
        <v>45468.0</v>
      </c>
      <c r="B2483" s="55" t="str">
        <f>HYPERLINK("https://jobright.ai/jobs/info/667b77f56d67dd6e98a66ea0?utm_campaign=1065&amp;utm_source=sheet", "Apply")</f>
        <v>Apply</v>
      </c>
      <c r="C2483" s="10" t="s">
        <v>14083</v>
      </c>
      <c r="D2483" s="56" t="s">
        <v>8666</v>
      </c>
      <c r="E2483" s="10" t="s">
        <v>45</v>
      </c>
      <c r="F2483" s="10" t="s">
        <v>8667</v>
      </c>
      <c r="G2483" s="10" t="s">
        <v>12635</v>
      </c>
      <c r="H2483" s="10" t="s">
        <v>15200</v>
      </c>
      <c r="I2483" s="10" t="s">
        <v>55</v>
      </c>
      <c r="J2483" s="10" t="s">
        <v>14084</v>
      </c>
      <c r="K2483" s="10" t="s">
        <v>14085</v>
      </c>
      <c r="L2483" s="10" t="s">
        <v>42</v>
      </c>
    </row>
    <row r="2484" ht="15.75" customHeight="1">
      <c r="A2484" s="64">
        <v>45468.0</v>
      </c>
      <c r="B2484" s="55" t="str">
        <f>HYPERLINK("https://jobright.ai/jobs/info/667b1bce3fcd72ae62403dc8?utm_campaign=1065&amp;utm_source=sheet", "Apply")</f>
        <v>Apply</v>
      </c>
      <c r="C2484" s="10" t="s">
        <v>14938</v>
      </c>
      <c r="D2484" s="56" t="s">
        <v>14524</v>
      </c>
      <c r="E2484" s="10" t="s">
        <v>45</v>
      </c>
      <c r="F2484" s="10" t="s">
        <v>14525</v>
      </c>
      <c r="G2484" s="10" t="s">
        <v>12635</v>
      </c>
      <c r="H2484" s="10" t="s">
        <v>14838</v>
      </c>
      <c r="I2484" s="10" t="s">
        <v>55</v>
      </c>
      <c r="K2484" s="10" t="s">
        <v>14939</v>
      </c>
      <c r="L2484" s="10" t="s">
        <v>42</v>
      </c>
    </row>
    <row r="2485" ht="15.75" customHeight="1">
      <c r="A2485" s="64">
        <v>45468.0</v>
      </c>
      <c r="B2485" s="55" t="str">
        <f>HYPERLINK("https://jobright.ai/jobs/info/667b6c17a28bede768876736?utm_campaign=1065&amp;utm_source=sheet", "Apply")</f>
        <v>Apply</v>
      </c>
      <c r="C2485" s="10" t="s">
        <v>15201</v>
      </c>
      <c r="D2485" s="56" t="s">
        <v>13236</v>
      </c>
      <c r="E2485" s="10" t="s">
        <v>249</v>
      </c>
      <c r="F2485" s="10" t="s">
        <v>13237</v>
      </c>
      <c r="G2485" s="10" t="s">
        <v>12654</v>
      </c>
      <c r="H2485" s="10" t="s">
        <v>15202</v>
      </c>
      <c r="I2485" s="10" t="s">
        <v>48</v>
      </c>
      <c r="K2485" s="10" t="s">
        <v>15203</v>
      </c>
      <c r="L2485" s="10" t="s">
        <v>42</v>
      </c>
    </row>
    <row r="2486" ht="15.75" customHeight="1">
      <c r="A2486" s="64">
        <v>45468.0</v>
      </c>
      <c r="B2486" s="55" t="str">
        <f>HYPERLINK("https://jobright.ai/jobs/info/667b6c24a28bede768876769?utm_campaign=1065&amp;utm_source=sheet", "Apply")</f>
        <v>Apply</v>
      </c>
      <c r="C2486" s="10" t="s">
        <v>15204</v>
      </c>
      <c r="D2486" s="56" t="s">
        <v>13236</v>
      </c>
      <c r="E2486" s="10" t="s">
        <v>249</v>
      </c>
      <c r="F2486" s="10" t="s">
        <v>13237</v>
      </c>
      <c r="G2486" s="10" t="s">
        <v>12635</v>
      </c>
      <c r="H2486" s="10" t="s">
        <v>15202</v>
      </c>
      <c r="I2486" s="10" t="s">
        <v>48</v>
      </c>
      <c r="K2486" s="10" t="s">
        <v>15205</v>
      </c>
      <c r="L2486" s="10" t="s">
        <v>42</v>
      </c>
    </row>
    <row r="2487" ht="15.75" customHeight="1">
      <c r="A2487" s="64">
        <v>45468.0</v>
      </c>
      <c r="B2487" s="55" t="str">
        <f>HYPERLINK("https://jobright.ai/jobs/info/667b1bce3fcd72ae62403db7?utm_campaign=1065&amp;utm_source=sheet", "Apply")</f>
        <v>Apply</v>
      </c>
      <c r="C2487" s="10" t="s">
        <v>13952</v>
      </c>
      <c r="D2487" s="56" t="s">
        <v>9671</v>
      </c>
      <c r="E2487" s="10" t="s">
        <v>45</v>
      </c>
      <c r="F2487" s="10" t="s">
        <v>1084</v>
      </c>
      <c r="G2487" s="10" t="s">
        <v>12645</v>
      </c>
      <c r="H2487" s="10" t="s">
        <v>10425</v>
      </c>
      <c r="I2487" s="10" t="s">
        <v>55</v>
      </c>
      <c r="J2487" s="10" t="s">
        <v>10332</v>
      </c>
      <c r="K2487" s="10" t="s">
        <v>13953</v>
      </c>
      <c r="L2487" s="10" t="s">
        <v>42</v>
      </c>
    </row>
    <row r="2488" ht="15.75" customHeight="1">
      <c r="A2488" s="64">
        <v>45467.0</v>
      </c>
      <c r="B2488" s="55" t="str">
        <f>HYPERLINK("https://jobright.ai/jobs/info/6675665c06c286fadd13fe5c?utm_campaign=1065&amp;utm_source=sheet", "Apply")</f>
        <v>Apply</v>
      </c>
      <c r="C2488" s="10" t="s">
        <v>15206</v>
      </c>
      <c r="D2488" s="56" t="s">
        <v>14608</v>
      </c>
      <c r="E2488" s="10" t="s">
        <v>45</v>
      </c>
      <c r="F2488" s="10" t="s">
        <v>14609</v>
      </c>
      <c r="G2488" s="10" t="s">
        <v>12654</v>
      </c>
      <c r="H2488" s="10" t="s">
        <v>165</v>
      </c>
      <c r="I2488" s="10" t="s">
        <v>55</v>
      </c>
      <c r="J2488" s="10" t="s">
        <v>14288</v>
      </c>
      <c r="K2488" s="10" t="s">
        <v>15207</v>
      </c>
      <c r="L2488" s="10" t="s">
        <v>42</v>
      </c>
    </row>
    <row r="2489" ht="15.75" customHeight="1">
      <c r="A2489" s="64">
        <v>45467.0</v>
      </c>
      <c r="B2489" s="55" t="str">
        <f>HYPERLINK("https://jobright.ai/jobs/info/66755235140e36496f904f1b?utm_campaign=1065&amp;utm_source=sheet", "Apply")</f>
        <v>Apply</v>
      </c>
      <c r="C2489" s="10" t="s">
        <v>15206</v>
      </c>
      <c r="D2489" s="56" t="s">
        <v>14608</v>
      </c>
      <c r="E2489" s="10" t="s">
        <v>45</v>
      </c>
      <c r="F2489" s="10" t="s">
        <v>14609</v>
      </c>
      <c r="G2489" s="10" t="s">
        <v>12654</v>
      </c>
      <c r="H2489" s="10" t="s">
        <v>165</v>
      </c>
      <c r="I2489" s="10" t="s">
        <v>48</v>
      </c>
      <c r="J2489" s="10" t="s">
        <v>14288</v>
      </c>
      <c r="K2489" s="10" t="s">
        <v>15207</v>
      </c>
      <c r="L2489" s="10" t="s">
        <v>42</v>
      </c>
    </row>
    <row r="2490" ht="15.75" customHeight="1">
      <c r="A2490" s="64">
        <v>45467.0</v>
      </c>
      <c r="B2490" s="55" t="str">
        <f>HYPERLINK("https://jobright.ai/jobs/info/66795e8edd14b36e4d979f0b?utm_campaign=1065&amp;utm_source=sheet", "Apply")</f>
        <v>Apply</v>
      </c>
      <c r="C2490" s="10" t="s">
        <v>15208</v>
      </c>
      <c r="D2490" s="56" t="s">
        <v>15209</v>
      </c>
      <c r="E2490" s="10" t="s">
        <v>71</v>
      </c>
      <c r="F2490" s="10" t="s">
        <v>15210</v>
      </c>
      <c r="G2490" s="10" t="s">
        <v>12654</v>
      </c>
      <c r="H2490" s="10" t="s">
        <v>159</v>
      </c>
      <c r="I2490" s="10" t="s">
        <v>48</v>
      </c>
      <c r="J2490" s="10" t="s">
        <v>366</v>
      </c>
      <c r="K2490" s="10" t="s">
        <v>15211</v>
      </c>
      <c r="L2490" s="10" t="s">
        <v>42</v>
      </c>
    </row>
    <row r="2491" ht="15.75" customHeight="1">
      <c r="A2491" s="64">
        <v>45467.0</v>
      </c>
      <c r="B2491" s="55" t="str">
        <f>HYPERLINK("https://jobright.ai/jobs/info/667bebae0e83388656e2ec2c?utm_campaign=1065&amp;utm_source=sheet", "Apply")</f>
        <v>Apply</v>
      </c>
      <c r="C2491" s="10" t="s">
        <v>15212</v>
      </c>
      <c r="D2491" s="56" t="s">
        <v>15213</v>
      </c>
      <c r="E2491" s="10" t="s">
        <v>276</v>
      </c>
      <c r="F2491" s="10" t="s">
        <v>15214</v>
      </c>
      <c r="G2491" s="10" t="s">
        <v>12630</v>
      </c>
      <c r="H2491" s="10" t="s">
        <v>994</v>
      </c>
      <c r="I2491" s="10" t="s">
        <v>55</v>
      </c>
      <c r="K2491" s="10" t="s">
        <v>15215</v>
      </c>
      <c r="L2491" s="10" t="s">
        <v>42</v>
      </c>
    </row>
    <row r="2492" ht="15.75" customHeight="1">
      <c r="A2492" s="64">
        <v>45467.0</v>
      </c>
      <c r="B2492" s="55" t="str">
        <f>HYPERLINK("https://jobright.ai/jobs/info/66792c49909a39419de476a2?utm_campaign=1065&amp;utm_source=sheet", "Apply")</f>
        <v>Apply</v>
      </c>
      <c r="C2492" s="10" t="s">
        <v>15216</v>
      </c>
      <c r="D2492" s="56" t="s">
        <v>15217</v>
      </c>
      <c r="E2492" s="10" t="s">
        <v>137</v>
      </c>
      <c r="F2492" s="10" t="s">
        <v>277</v>
      </c>
      <c r="G2492" s="10" t="s">
        <v>12630</v>
      </c>
      <c r="H2492" s="10" t="s">
        <v>802</v>
      </c>
      <c r="I2492" s="10" t="s">
        <v>55</v>
      </c>
      <c r="K2492" s="10" t="s">
        <v>15218</v>
      </c>
      <c r="L2492" s="10" t="s">
        <v>42</v>
      </c>
    </row>
    <row r="2493" ht="15.75" customHeight="1">
      <c r="A2493" s="64">
        <v>45467.0</v>
      </c>
      <c r="B2493" s="55" t="str">
        <f>HYPERLINK("https://jobright.ai/jobs/info/667904b839eabaadffee57bc?utm_campaign=1065&amp;utm_source=sheet", "Apply")</f>
        <v>Apply</v>
      </c>
      <c r="C2493" s="10" t="s">
        <v>9941</v>
      </c>
      <c r="D2493" s="56" t="s">
        <v>2387</v>
      </c>
      <c r="E2493" s="10" t="s">
        <v>45</v>
      </c>
      <c r="F2493" s="10" t="s">
        <v>1084</v>
      </c>
      <c r="G2493" s="10" t="s">
        <v>12645</v>
      </c>
      <c r="H2493" s="10" t="s">
        <v>96</v>
      </c>
      <c r="I2493" s="10" t="s">
        <v>55</v>
      </c>
      <c r="J2493" s="10" t="s">
        <v>9944</v>
      </c>
      <c r="K2493" s="10" t="s">
        <v>9945</v>
      </c>
      <c r="L2493" s="10" t="s">
        <v>42</v>
      </c>
    </row>
    <row r="2494" ht="15.75" customHeight="1">
      <c r="A2494" s="64">
        <v>45465.0</v>
      </c>
      <c r="B2494" s="55" t="str">
        <f>HYPERLINK("https://jobright.ai/jobs/info/6675c8653b408d33d560243a?utm_campaign=1065&amp;utm_source=sheet", "Apply")</f>
        <v>Apply</v>
      </c>
      <c r="C2494" s="10" t="s">
        <v>15219</v>
      </c>
      <c r="D2494" s="56" t="s">
        <v>13400</v>
      </c>
      <c r="E2494" s="10" t="s">
        <v>276</v>
      </c>
      <c r="F2494" s="10" t="s">
        <v>3770</v>
      </c>
      <c r="G2494" s="10" t="s">
        <v>12654</v>
      </c>
      <c r="H2494" s="10" t="s">
        <v>411</v>
      </c>
      <c r="I2494" s="10" t="s">
        <v>55</v>
      </c>
      <c r="J2494" s="10" t="s">
        <v>1761</v>
      </c>
      <c r="K2494" s="10" t="s">
        <v>15220</v>
      </c>
      <c r="L2494" s="10" t="s">
        <v>42</v>
      </c>
    </row>
    <row r="2495" ht="15.75" customHeight="1">
      <c r="A2495" s="64">
        <v>45465.0</v>
      </c>
      <c r="B2495" s="55" t="str">
        <f>HYPERLINK("https://jobright.ai/jobs/info/66762e85b94daa33c52a4db4?utm_campaign=1065&amp;utm_source=sheet", "Apply")</f>
        <v>Apply</v>
      </c>
      <c r="C2495" s="10" t="s">
        <v>15221</v>
      </c>
      <c r="D2495" s="56" t="s">
        <v>15222</v>
      </c>
      <c r="E2495" s="10">
        <v>972.0</v>
      </c>
      <c r="G2495" s="10" t="s">
        <v>12654</v>
      </c>
      <c r="H2495" s="10" t="s">
        <v>153</v>
      </c>
      <c r="I2495" s="10" t="s">
        <v>55</v>
      </c>
      <c r="J2495" s="10" t="s">
        <v>1409</v>
      </c>
      <c r="K2495" s="10" t="s">
        <v>15223</v>
      </c>
      <c r="L2495" s="10" t="s">
        <v>42</v>
      </c>
    </row>
    <row r="2496" ht="15.75" customHeight="1">
      <c r="A2496" s="64">
        <v>45464.0</v>
      </c>
      <c r="B2496" s="55" t="str">
        <f>HYPERLINK("https://jobright.ai/jobs/info/66760de4ad2dd17614c488ca?utm_campaign=1065&amp;utm_source=sheet", "Apply")</f>
        <v>Apply</v>
      </c>
      <c r="C2496" s="10" t="s">
        <v>15224</v>
      </c>
      <c r="D2496" s="56" t="s">
        <v>14279</v>
      </c>
      <c r="E2496" s="10" t="s">
        <v>276</v>
      </c>
      <c r="F2496" s="10" t="s">
        <v>14280</v>
      </c>
      <c r="G2496" s="10" t="s">
        <v>12630</v>
      </c>
      <c r="H2496" s="10" t="s">
        <v>159</v>
      </c>
      <c r="I2496" s="10" t="s">
        <v>55</v>
      </c>
      <c r="K2496" s="10" t="s">
        <v>15225</v>
      </c>
      <c r="L2496" s="10" t="s">
        <v>42</v>
      </c>
    </row>
    <row r="2497" ht="15.75" customHeight="1">
      <c r="A2497" s="64">
        <v>45464.0</v>
      </c>
      <c r="B2497" s="55" t="str">
        <f>HYPERLINK("https://jobright.ai/jobs/info/6675e13be95c1a0a225b8770?utm_campaign=1065&amp;utm_source=sheet", "Apply")</f>
        <v>Apply</v>
      </c>
      <c r="C2497" s="10" t="s">
        <v>15226</v>
      </c>
      <c r="D2497" s="56" t="s">
        <v>8233</v>
      </c>
      <c r="E2497" s="10" t="s">
        <v>65</v>
      </c>
      <c r="F2497" s="10" t="s">
        <v>1234</v>
      </c>
      <c r="G2497" s="10" t="s">
        <v>12630</v>
      </c>
      <c r="H2497" s="10" t="s">
        <v>117</v>
      </c>
      <c r="I2497" s="10" t="s">
        <v>55</v>
      </c>
      <c r="K2497" s="10" t="s">
        <v>15227</v>
      </c>
      <c r="L2497" s="10" t="s">
        <v>42</v>
      </c>
    </row>
    <row r="2498" ht="15.75" customHeight="1">
      <c r="A2498" s="64">
        <v>45464.0</v>
      </c>
      <c r="B2498" s="55" t="str">
        <f>HYPERLINK("https://jobright.ai/jobs/info/6675e577002960a5a8d1a2ff?utm_campaign=1065&amp;utm_source=sheet", "Apply")</f>
        <v>Apply</v>
      </c>
      <c r="C2498" s="10" t="s">
        <v>15228</v>
      </c>
      <c r="D2498" s="56" t="s">
        <v>15229</v>
      </c>
      <c r="E2498" s="10" t="s">
        <v>79</v>
      </c>
      <c r="F2498" s="10" t="s">
        <v>15230</v>
      </c>
      <c r="G2498" s="10" t="s">
        <v>12654</v>
      </c>
      <c r="H2498" s="10" t="s">
        <v>278</v>
      </c>
      <c r="I2498" s="10" t="s">
        <v>55</v>
      </c>
      <c r="K2498" s="10" t="s">
        <v>15231</v>
      </c>
      <c r="L2498" s="10" t="s">
        <v>42</v>
      </c>
    </row>
    <row r="2499" ht="15.75" customHeight="1">
      <c r="A2499" s="64">
        <v>45464.0</v>
      </c>
      <c r="B2499" s="55" t="str">
        <f>HYPERLINK("https://jobright.ai/jobs/info/6675d7a828c07253dad694a5?utm_campaign=1065&amp;utm_source=sheet", "Apply")</f>
        <v>Apply</v>
      </c>
      <c r="C2499" s="10" t="s">
        <v>12965</v>
      </c>
      <c r="D2499" s="56" t="s">
        <v>14583</v>
      </c>
      <c r="E2499" s="10" t="s">
        <v>137</v>
      </c>
      <c r="F2499" s="10" t="s">
        <v>9747</v>
      </c>
      <c r="G2499" s="10" t="s">
        <v>12630</v>
      </c>
      <c r="H2499" s="10" t="s">
        <v>3847</v>
      </c>
      <c r="I2499" s="10" t="s">
        <v>48</v>
      </c>
      <c r="J2499" s="10" t="s">
        <v>1409</v>
      </c>
      <c r="K2499" s="10" t="s">
        <v>15232</v>
      </c>
      <c r="L2499" s="10" t="s">
        <v>42</v>
      </c>
    </row>
    <row r="2500" ht="15.75" customHeight="1">
      <c r="A2500" s="64">
        <v>45464.0</v>
      </c>
      <c r="B2500" s="55" t="str">
        <f>HYPERLINK("https://jobright.ai/jobs/info/6677a25382327573f52c0e51?utm_campaign=1065&amp;utm_source=sheet", "Apply")</f>
        <v>Apply</v>
      </c>
      <c r="C2500" s="10" t="s">
        <v>15233</v>
      </c>
      <c r="D2500" s="56" t="s">
        <v>15234</v>
      </c>
      <c r="E2500" s="10">
        <v>8048.0</v>
      </c>
      <c r="G2500" s="10" t="s">
        <v>12654</v>
      </c>
      <c r="H2500" s="10" t="s">
        <v>96</v>
      </c>
      <c r="I2500" s="10" t="s">
        <v>48</v>
      </c>
      <c r="J2500" s="10" t="s">
        <v>13774</v>
      </c>
      <c r="K2500" s="10" t="s">
        <v>15235</v>
      </c>
      <c r="L2500" s="10" t="s">
        <v>42</v>
      </c>
    </row>
    <row r="2501" ht="15.75" customHeight="1">
      <c r="A2501" s="64">
        <v>45464.0</v>
      </c>
      <c r="B2501" s="55" t="str">
        <f>HYPERLINK("https://jobright.ai/jobs/info/6679739a8f20c6df6b89a0e4?utm_campaign=1065&amp;utm_source=sheet", "Apply")</f>
        <v>Apply</v>
      </c>
      <c r="C2501" s="10" t="s">
        <v>12650</v>
      </c>
      <c r="D2501" s="56" t="s">
        <v>15236</v>
      </c>
      <c r="E2501" s="10" t="s">
        <v>71</v>
      </c>
      <c r="F2501" s="10" t="s">
        <v>1893</v>
      </c>
      <c r="G2501" s="10" t="s">
        <v>12635</v>
      </c>
      <c r="H2501" s="10" t="s">
        <v>571</v>
      </c>
      <c r="I2501" s="10" t="s">
        <v>55</v>
      </c>
      <c r="J2501" s="10" t="s">
        <v>1409</v>
      </c>
      <c r="K2501" s="10" t="s">
        <v>15237</v>
      </c>
      <c r="L2501" s="10" t="s">
        <v>42</v>
      </c>
    </row>
    <row r="2502" ht="15.75" customHeight="1">
      <c r="A2502" s="64">
        <v>45464.0</v>
      </c>
      <c r="B2502" s="55" t="str">
        <f>HYPERLINK("https://jobright.ai/jobs/info/6677a7ec0cb41ca3d012d4bf?utm_campaign=1065&amp;utm_source=sheet", "Apply")</f>
        <v>Apply</v>
      </c>
      <c r="C2502" s="10" t="s">
        <v>9688</v>
      </c>
      <c r="D2502" s="56" t="s">
        <v>15238</v>
      </c>
      <c r="E2502" s="10">
        <v>47.0</v>
      </c>
      <c r="G2502" s="10" t="s">
        <v>12630</v>
      </c>
      <c r="H2502" s="10" t="s">
        <v>4799</v>
      </c>
      <c r="I2502" s="10" t="s">
        <v>55</v>
      </c>
      <c r="K2502" s="10" t="s">
        <v>15239</v>
      </c>
      <c r="L2502" s="10" t="s">
        <v>42</v>
      </c>
    </row>
    <row r="2503" ht="15.75" customHeight="1">
      <c r="A2503" s="64">
        <v>45463.0</v>
      </c>
      <c r="B2503" s="55" t="str">
        <f>HYPERLINK("https://jobright.ai/jobs/info/6674c2eeff55bb599a64927a?utm_campaign=1065&amp;utm_source=sheet", "Apply")</f>
        <v>Apply</v>
      </c>
      <c r="C2503" s="10" t="s">
        <v>15240</v>
      </c>
      <c r="D2503" s="56" t="s">
        <v>13913</v>
      </c>
      <c r="E2503" s="10" t="s">
        <v>45</v>
      </c>
      <c r="F2503" s="10" t="s">
        <v>13842</v>
      </c>
      <c r="G2503" s="10" t="s">
        <v>12635</v>
      </c>
      <c r="H2503" s="10" t="s">
        <v>15241</v>
      </c>
      <c r="I2503" s="10" t="s">
        <v>55</v>
      </c>
      <c r="K2503" s="10" t="s">
        <v>15242</v>
      </c>
      <c r="L2503" s="10" t="s">
        <v>42</v>
      </c>
    </row>
    <row r="2504" ht="15.75" customHeight="1">
      <c r="A2504" s="64">
        <v>45463.0</v>
      </c>
      <c r="B2504" s="55" t="str">
        <f>HYPERLINK("https://jobright.ai/jobs/info/667973bf8f20c6df6b89a438?utm_campaign=1065&amp;utm_source=sheet", "Apply")</f>
        <v>Apply</v>
      </c>
      <c r="C2504" s="10" t="s">
        <v>13347</v>
      </c>
      <c r="D2504" s="56" t="s">
        <v>15243</v>
      </c>
      <c r="E2504" s="59">
        <v>45301.0</v>
      </c>
      <c r="F2504" s="10" t="s">
        <v>1893</v>
      </c>
      <c r="G2504" s="10" t="s">
        <v>12654</v>
      </c>
      <c r="H2504" s="10" t="s">
        <v>113</v>
      </c>
      <c r="I2504" s="10" t="s">
        <v>55</v>
      </c>
      <c r="K2504" s="10" t="s">
        <v>15244</v>
      </c>
      <c r="L2504" s="10" t="s">
        <v>42</v>
      </c>
    </row>
    <row r="2505" ht="15.75" customHeight="1">
      <c r="A2505" s="64">
        <v>45463.0</v>
      </c>
      <c r="B2505" s="55" t="str">
        <f>HYPERLINK("https://jobright.ai/jobs/info/6674243b9634b665d7e50497?utm_campaign=1065&amp;utm_source=sheet", "Apply")</f>
        <v>Apply</v>
      </c>
      <c r="C2505" s="10" t="s">
        <v>15245</v>
      </c>
      <c r="D2505" s="56" t="s">
        <v>15246</v>
      </c>
      <c r="E2505" s="10" t="s">
        <v>79</v>
      </c>
      <c r="G2505" s="10" t="s">
        <v>12654</v>
      </c>
      <c r="H2505" s="10" t="s">
        <v>505</v>
      </c>
      <c r="I2505" s="10" t="s">
        <v>55</v>
      </c>
      <c r="J2505" s="10" t="s">
        <v>1984</v>
      </c>
      <c r="K2505" s="10" t="s">
        <v>15247</v>
      </c>
      <c r="L2505" s="10" t="s">
        <v>42</v>
      </c>
    </row>
    <row r="2506" ht="15.75" customHeight="1">
      <c r="A2506" s="64">
        <v>45463.0</v>
      </c>
      <c r="B2506" s="55" t="str">
        <f>HYPERLINK("https://jobright.ai/jobs/info/66753f19b0803f5d74de6828?utm_campaign=1065&amp;utm_source=sheet", "Apply")</f>
        <v>Apply</v>
      </c>
      <c r="C2506" s="10" t="s">
        <v>12650</v>
      </c>
      <c r="D2506" s="56" t="s">
        <v>15248</v>
      </c>
      <c r="E2506" s="10" t="s">
        <v>276</v>
      </c>
      <c r="F2506" s="10" t="s">
        <v>15249</v>
      </c>
      <c r="G2506" s="10" t="s">
        <v>12635</v>
      </c>
      <c r="H2506" s="10" t="s">
        <v>688</v>
      </c>
      <c r="I2506" s="10" t="s">
        <v>55</v>
      </c>
      <c r="K2506" s="10" t="s">
        <v>15250</v>
      </c>
      <c r="L2506" s="10" t="s">
        <v>42</v>
      </c>
    </row>
    <row r="2507" ht="15.75" customHeight="1">
      <c r="A2507" s="64">
        <v>45463.0</v>
      </c>
      <c r="B2507" s="55" t="str">
        <f>HYPERLINK("https://jobright.ai/jobs/info/66738edb03cbcd16c4f1551a?utm_campaign=1065&amp;utm_source=sheet", "Apply")</f>
        <v>Apply</v>
      </c>
      <c r="C2507" s="10" t="s">
        <v>15251</v>
      </c>
      <c r="D2507" s="56" t="s">
        <v>8233</v>
      </c>
      <c r="E2507" s="10" t="s">
        <v>65</v>
      </c>
      <c r="F2507" s="10" t="s">
        <v>1234</v>
      </c>
      <c r="G2507" s="10" t="s">
        <v>12630</v>
      </c>
      <c r="H2507" s="10" t="s">
        <v>117</v>
      </c>
      <c r="I2507" s="10" t="s">
        <v>55</v>
      </c>
      <c r="K2507" s="10" t="s">
        <v>15252</v>
      </c>
      <c r="L2507" s="10" t="s">
        <v>42</v>
      </c>
    </row>
    <row r="2508" ht="15.75" customHeight="1">
      <c r="A2508" s="64">
        <v>45463.0</v>
      </c>
      <c r="B2508" s="55" t="str">
        <f>HYPERLINK("https://jobright.ai/jobs/info/66747e63d8033409f2da2e4d?utm_campaign=1065&amp;utm_source=sheet", "Apply")</f>
        <v>Apply</v>
      </c>
      <c r="C2508" s="10" t="s">
        <v>12938</v>
      </c>
      <c r="D2508" s="56" t="s">
        <v>15253</v>
      </c>
      <c r="E2508" s="10" t="s">
        <v>137</v>
      </c>
      <c r="F2508" s="10" t="s">
        <v>15254</v>
      </c>
      <c r="G2508" s="10" t="s">
        <v>12654</v>
      </c>
      <c r="H2508" s="10" t="s">
        <v>4799</v>
      </c>
      <c r="I2508" s="10" t="s">
        <v>55</v>
      </c>
      <c r="K2508" s="10" t="s">
        <v>15255</v>
      </c>
      <c r="L2508" s="10" t="s">
        <v>42</v>
      </c>
    </row>
    <row r="2509" ht="15.75" customHeight="1">
      <c r="A2509" s="64">
        <v>45463.0</v>
      </c>
      <c r="B2509" s="55" t="str">
        <f>HYPERLINK("https://jobright.ai/jobs/info/66749979e2555414447e6301?utm_campaign=1065&amp;utm_source=sheet", "Apply")</f>
        <v>Apply</v>
      </c>
      <c r="C2509" s="10" t="s">
        <v>14542</v>
      </c>
      <c r="D2509" s="56" t="s">
        <v>14543</v>
      </c>
      <c r="E2509" s="10" t="s">
        <v>65</v>
      </c>
      <c r="F2509" s="10" t="s">
        <v>665</v>
      </c>
      <c r="G2509" s="10" t="s">
        <v>12693</v>
      </c>
      <c r="H2509" s="10" t="s">
        <v>15256</v>
      </c>
      <c r="I2509" s="10" t="s">
        <v>55</v>
      </c>
      <c r="J2509" s="10" t="s">
        <v>6003</v>
      </c>
      <c r="K2509" s="10" t="s">
        <v>14544</v>
      </c>
      <c r="L2509" s="10" t="s">
        <v>42</v>
      </c>
    </row>
    <row r="2510" ht="15.75" customHeight="1">
      <c r="A2510" s="64">
        <v>45463.0</v>
      </c>
      <c r="B2510" s="55" t="str">
        <f>HYPERLINK("https://jobright.ai/jobs/info/6674537e951b5ae68ba9b275?utm_campaign=1065&amp;utm_source=sheet", "Apply")</f>
        <v>Apply</v>
      </c>
      <c r="C2510" s="10" t="s">
        <v>13729</v>
      </c>
      <c r="D2510" s="56" t="s">
        <v>15257</v>
      </c>
      <c r="E2510" s="10" t="s">
        <v>79</v>
      </c>
      <c r="F2510" s="10" t="s">
        <v>15258</v>
      </c>
      <c r="G2510" s="10" t="s">
        <v>12635</v>
      </c>
      <c r="H2510" s="10" t="s">
        <v>15259</v>
      </c>
      <c r="I2510" s="10" t="s">
        <v>55</v>
      </c>
      <c r="K2510" s="10" t="s">
        <v>15260</v>
      </c>
      <c r="L2510" s="10" t="s">
        <v>42</v>
      </c>
    </row>
    <row r="2511" ht="15.75" customHeight="1">
      <c r="A2511" s="64">
        <v>45462.0</v>
      </c>
      <c r="B2511" s="55" t="str">
        <f>HYPERLINK("https://jobright.ai/jobs/info/6673b7e75c2298713339f5a1?utm_campaign=1065&amp;utm_source=sheet", "Apply")</f>
        <v>Apply</v>
      </c>
      <c r="C2511" s="10" t="s">
        <v>14379</v>
      </c>
      <c r="D2511" s="56" t="s">
        <v>14380</v>
      </c>
      <c r="E2511" s="59">
        <v>45301.0</v>
      </c>
      <c r="F2511" s="10" t="s">
        <v>14381</v>
      </c>
      <c r="G2511" s="10" t="s">
        <v>12654</v>
      </c>
      <c r="H2511" s="10" t="s">
        <v>786</v>
      </c>
      <c r="I2511" s="10" t="s">
        <v>55</v>
      </c>
      <c r="J2511" s="10" t="s">
        <v>14382</v>
      </c>
      <c r="K2511" s="10" t="s">
        <v>14383</v>
      </c>
      <c r="L2511" s="10" t="s">
        <v>42</v>
      </c>
    </row>
    <row r="2512" ht="15.75" customHeight="1">
      <c r="A2512" s="64">
        <v>45462.0</v>
      </c>
      <c r="B2512" s="55" t="str">
        <f>HYPERLINK("https://jobright.ai/jobs/info/6673b7e75c2298713339f5a2?utm_campaign=1065&amp;utm_source=sheet", "Apply")</f>
        <v>Apply</v>
      </c>
      <c r="C2512" s="10" t="s">
        <v>14379</v>
      </c>
      <c r="D2512" s="56" t="s">
        <v>14380</v>
      </c>
      <c r="E2512" s="59">
        <v>45301.0</v>
      </c>
      <c r="F2512" s="10" t="s">
        <v>14381</v>
      </c>
      <c r="G2512" s="10" t="s">
        <v>12654</v>
      </c>
      <c r="H2512" s="10" t="s">
        <v>1051</v>
      </c>
      <c r="I2512" s="10" t="s">
        <v>55</v>
      </c>
      <c r="J2512" s="10" t="s">
        <v>14382</v>
      </c>
      <c r="K2512" s="10" t="s">
        <v>14383</v>
      </c>
      <c r="L2512" s="10" t="s">
        <v>42</v>
      </c>
    </row>
    <row r="2513" ht="15.75" customHeight="1">
      <c r="A2513" s="64">
        <v>45462.0</v>
      </c>
      <c r="B2513" s="55" t="str">
        <f>HYPERLINK("https://jobright.ai/jobs/info/6673c2b71adf452983f80e41?utm_campaign=1065&amp;utm_source=sheet", "Apply")</f>
        <v>Apply</v>
      </c>
      <c r="C2513" s="10" t="s">
        <v>14379</v>
      </c>
      <c r="D2513" s="56" t="s">
        <v>14380</v>
      </c>
      <c r="E2513" s="59">
        <v>45301.0</v>
      </c>
      <c r="F2513" s="10" t="s">
        <v>14381</v>
      </c>
      <c r="G2513" s="10" t="s">
        <v>12654</v>
      </c>
      <c r="H2513" s="10" t="s">
        <v>1047</v>
      </c>
      <c r="I2513" s="10" t="s">
        <v>55</v>
      </c>
      <c r="J2513" s="10" t="s">
        <v>14382</v>
      </c>
      <c r="K2513" s="10" t="s">
        <v>14383</v>
      </c>
      <c r="L2513" s="10" t="s">
        <v>42</v>
      </c>
    </row>
    <row r="2514" ht="15.75" customHeight="1">
      <c r="A2514" s="64">
        <v>45462.0</v>
      </c>
      <c r="B2514" s="55" t="str">
        <f>HYPERLINK("https://jobright.ai/jobs/info/6673c2b71adf452983f80e42?utm_campaign=1065&amp;utm_source=sheet", "Apply")</f>
        <v>Apply</v>
      </c>
      <c r="C2514" s="10" t="s">
        <v>14379</v>
      </c>
      <c r="D2514" s="56" t="s">
        <v>14380</v>
      </c>
      <c r="E2514" s="59">
        <v>45301.0</v>
      </c>
      <c r="F2514" s="10" t="s">
        <v>14381</v>
      </c>
      <c r="G2514" s="10" t="s">
        <v>12654</v>
      </c>
      <c r="H2514" s="10" t="s">
        <v>832</v>
      </c>
      <c r="I2514" s="10" t="s">
        <v>55</v>
      </c>
      <c r="J2514" s="10" t="s">
        <v>14382</v>
      </c>
      <c r="K2514" s="10" t="s">
        <v>14383</v>
      </c>
      <c r="L2514" s="10" t="s">
        <v>42</v>
      </c>
    </row>
    <row r="2515" ht="15.75" customHeight="1">
      <c r="A2515" s="64">
        <v>45462.0</v>
      </c>
      <c r="B2515" s="55" t="str">
        <f>HYPERLINK("https://jobright.ai/jobs/info/6673c2b71adf452983f80e43?utm_campaign=1065&amp;utm_source=sheet", "Apply")</f>
        <v>Apply</v>
      </c>
      <c r="C2515" s="10" t="s">
        <v>14379</v>
      </c>
      <c r="D2515" s="56" t="s">
        <v>14380</v>
      </c>
      <c r="E2515" s="59">
        <v>45301.0</v>
      </c>
      <c r="F2515" s="10" t="s">
        <v>14381</v>
      </c>
      <c r="G2515" s="10" t="s">
        <v>12654</v>
      </c>
      <c r="H2515" s="10" t="s">
        <v>949</v>
      </c>
      <c r="I2515" s="10" t="s">
        <v>55</v>
      </c>
      <c r="J2515" s="10" t="s">
        <v>14382</v>
      </c>
      <c r="K2515" s="10" t="s">
        <v>14383</v>
      </c>
      <c r="L2515" s="10" t="s">
        <v>42</v>
      </c>
    </row>
    <row r="2516" ht="15.75" customHeight="1">
      <c r="A2516" s="64">
        <v>45462.0</v>
      </c>
      <c r="B2516" s="55" t="str">
        <f>HYPERLINK("https://jobright.ai/jobs/info/6673c2b71adf452983f80e46?utm_campaign=1065&amp;utm_source=sheet", "Apply")</f>
        <v>Apply</v>
      </c>
      <c r="C2516" s="10" t="s">
        <v>14379</v>
      </c>
      <c r="D2516" s="56" t="s">
        <v>14380</v>
      </c>
      <c r="E2516" s="59">
        <v>45301.0</v>
      </c>
      <c r="F2516" s="10" t="s">
        <v>14381</v>
      </c>
      <c r="G2516" s="10" t="s">
        <v>12654</v>
      </c>
      <c r="H2516" s="10" t="s">
        <v>845</v>
      </c>
      <c r="I2516" s="10" t="s">
        <v>55</v>
      </c>
      <c r="J2516" s="10" t="s">
        <v>14382</v>
      </c>
      <c r="K2516" s="10" t="s">
        <v>14383</v>
      </c>
      <c r="L2516" s="10" t="s">
        <v>42</v>
      </c>
    </row>
    <row r="2517" ht="15.75" customHeight="1">
      <c r="A2517" s="64">
        <v>45462.0</v>
      </c>
      <c r="B2517" s="55" t="str">
        <f>HYPERLINK("https://jobright.ai/jobs/info/6673c2b71adf452983f80e48?utm_campaign=1065&amp;utm_source=sheet", "Apply")</f>
        <v>Apply</v>
      </c>
      <c r="C2517" s="10" t="s">
        <v>14379</v>
      </c>
      <c r="D2517" s="56" t="s">
        <v>14380</v>
      </c>
      <c r="E2517" s="59">
        <v>45301.0</v>
      </c>
      <c r="F2517" s="10" t="s">
        <v>14381</v>
      </c>
      <c r="G2517" s="10" t="s">
        <v>12654</v>
      </c>
      <c r="H2517" s="10" t="s">
        <v>1050</v>
      </c>
      <c r="I2517" s="10" t="s">
        <v>55</v>
      </c>
      <c r="J2517" s="10" t="s">
        <v>14382</v>
      </c>
      <c r="K2517" s="10" t="s">
        <v>14383</v>
      </c>
      <c r="L2517" s="10" t="s">
        <v>42</v>
      </c>
    </row>
    <row r="2518" ht="15.75" customHeight="1">
      <c r="A2518" s="64">
        <v>45462.0</v>
      </c>
      <c r="B2518" s="55" t="str">
        <f>HYPERLINK("https://jobright.ai/jobs/info/6673c2b71adf452983f80e4a?utm_campaign=1065&amp;utm_source=sheet", "Apply")</f>
        <v>Apply</v>
      </c>
      <c r="C2518" s="10" t="s">
        <v>14379</v>
      </c>
      <c r="D2518" s="56" t="s">
        <v>14380</v>
      </c>
      <c r="E2518" s="59">
        <v>45301.0</v>
      </c>
      <c r="F2518" s="10" t="s">
        <v>14381</v>
      </c>
      <c r="G2518" s="10" t="s">
        <v>12654</v>
      </c>
      <c r="H2518" s="10" t="s">
        <v>1041</v>
      </c>
      <c r="I2518" s="10" t="s">
        <v>55</v>
      </c>
      <c r="J2518" s="10" t="s">
        <v>14382</v>
      </c>
      <c r="K2518" s="10" t="s">
        <v>14383</v>
      </c>
      <c r="L2518" s="10" t="s">
        <v>42</v>
      </c>
    </row>
    <row r="2519" ht="15.75" customHeight="1">
      <c r="A2519" s="64">
        <v>45462.0</v>
      </c>
      <c r="B2519" s="55" t="str">
        <f>HYPERLINK("https://jobright.ai/jobs/info/6673c2b71adf452983f80e4d?utm_campaign=1065&amp;utm_source=sheet", "Apply")</f>
        <v>Apply</v>
      </c>
      <c r="C2519" s="10" t="s">
        <v>14379</v>
      </c>
      <c r="D2519" s="56" t="s">
        <v>14380</v>
      </c>
      <c r="E2519" s="59">
        <v>45301.0</v>
      </c>
      <c r="F2519" s="10" t="s">
        <v>14381</v>
      </c>
      <c r="G2519" s="10" t="s">
        <v>12654</v>
      </c>
      <c r="H2519" s="10" t="s">
        <v>278</v>
      </c>
      <c r="I2519" s="10" t="s">
        <v>55</v>
      </c>
      <c r="J2519" s="10" t="s">
        <v>14382</v>
      </c>
      <c r="K2519" s="10" t="s">
        <v>14383</v>
      </c>
      <c r="L2519" s="10" t="s">
        <v>42</v>
      </c>
    </row>
    <row r="2520" ht="15.75" customHeight="1">
      <c r="A2520" s="64">
        <v>45462.0</v>
      </c>
      <c r="B2520" s="55" t="str">
        <f>HYPERLINK("https://jobright.ai/jobs/info/6673c2b71adf452983f80e50?utm_campaign=1065&amp;utm_source=sheet", "Apply")</f>
        <v>Apply</v>
      </c>
      <c r="C2520" s="10" t="s">
        <v>14379</v>
      </c>
      <c r="D2520" s="56" t="s">
        <v>14380</v>
      </c>
      <c r="E2520" s="59">
        <v>45301.0</v>
      </c>
      <c r="F2520" s="10" t="s">
        <v>14381</v>
      </c>
      <c r="G2520" s="10" t="s">
        <v>12654</v>
      </c>
      <c r="H2520" s="10" t="s">
        <v>809</v>
      </c>
      <c r="I2520" s="10" t="s">
        <v>55</v>
      </c>
      <c r="J2520" s="10" t="s">
        <v>14382</v>
      </c>
      <c r="K2520" s="10" t="s">
        <v>14383</v>
      </c>
      <c r="L2520" s="10" t="s">
        <v>42</v>
      </c>
    </row>
    <row r="2521" ht="15.75" customHeight="1">
      <c r="A2521" s="64">
        <v>45462.0</v>
      </c>
      <c r="B2521" s="55" t="str">
        <f>HYPERLINK("https://jobright.ai/jobs/info/6673c2b71adf452983f80e51?utm_campaign=1065&amp;utm_source=sheet", "Apply")</f>
        <v>Apply</v>
      </c>
      <c r="C2521" s="10" t="s">
        <v>14379</v>
      </c>
      <c r="D2521" s="56" t="s">
        <v>14380</v>
      </c>
      <c r="E2521" s="59">
        <v>45301.0</v>
      </c>
      <c r="F2521" s="10" t="s">
        <v>14381</v>
      </c>
      <c r="G2521" s="10" t="s">
        <v>12654</v>
      </c>
      <c r="H2521" s="10" t="s">
        <v>970</v>
      </c>
      <c r="I2521" s="10" t="s">
        <v>55</v>
      </c>
      <c r="J2521" s="10" t="s">
        <v>14382</v>
      </c>
      <c r="K2521" s="10" t="s">
        <v>14383</v>
      </c>
      <c r="L2521" s="10" t="s">
        <v>42</v>
      </c>
    </row>
    <row r="2522" ht="15.75" customHeight="1">
      <c r="A2522" s="64">
        <v>45462.0</v>
      </c>
      <c r="B2522" s="55" t="str">
        <f>HYPERLINK("https://jobright.ai/jobs/info/6673c2b71adf452983f80e52?utm_campaign=1065&amp;utm_source=sheet", "Apply")</f>
        <v>Apply</v>
      </c>
      <c r="C2522" s="10" t="s">
        <v>14379</v>
      </c>
      <c r="D2522" s="56" t="s">
        <v>14380</v>
      </c>
      <c r="E2522" s="59">
        <v>45301.0</v>
      </c>
      <c r="F2522" s="10" t="s">
        <v>14381</v>
      </c>
      <c r="G2522" s="10" t="s">
        <v>12654</v>
      </c>
      <c r="H2522" s="10" t="s">
        <v>1029</v>
      </c>
      <c r="I2522" s="10" t="s">
        <v>55</v>
      </c>
      <c r="J2522" s="10" t="s">
        <v>14382</v>
      </c>
      <c r="K2522" s="10" t="s">
        <v>14383</v>
      </c>
      <c r="L2522" s="10" t="s">
        <v>42</v>
      </c>
    </row>
    <row r="2523" ht="15.75" customHeight="1">
      <c r="A2523" s="64">
        <v>45462.0</v>
      </c>
      <c r="B2523" s="55" t="str">
        <f>HYPERLINK("https://jobright.ai/jobs/info/6673c2b71adf452983f80e53?utm_campaign=1065&amp;utm_source=sheet", "Apply")</f>
        <v>Apply</v>
      </c>
      <c r="C2523" s="10" t="s">
        <v>14379</v>
      </c>
      <c r="D2523" s="56" t="s">
        <v>14380</v>
      </c>
      <c r="E2523" s="59">
        <v>45301.0</v>
      </c>
      <c r="F2523" s="10" t="s">
        <v>14381</v>
      </c>
      <c r="G2523" s="10" t="s">
        <v>12654</v>
      </c>
      <c r="H2523" s="10" t="s">
        <v>505</v>
      </c>
      <c r="I2523" s="10" t="s">
        <v>55</v>
      </c>
      <c r="J2523" s="10" t="s">
        <v>14382</v>
      </c>
      <c r="K2523" s="10" t="s">
        <v>14383</v>
      </c>
      <c r="L2523" s="10" t="s">
        <v>42</v>
      </c>
    </row>
    <row r="2524" ht="15.75" customHeight="1">
      <c r="A2524" s="64">
        <v>45462.0</v>
      </c>
      <c r="B2524" s="55" t="str">
        <f>HYPERLINK("https://jobright.ai/jobs/info/6673c2b71adf452983f80e55?utm_campaign=1065&amp;utm_source=sheet", "Apply")</f>
        <v>Apply</v>
      </c>
      <c r="C2524" s="10" t="s">
        <v>14379</v>
      </c>
      <c r="D2524" s="56" t="s">
        <v>14380</v>
      </c>
      <c r="E2524" s="59">
        <v>45301.0</v>
      </c>
      <c r="F2524" s="10" t="s">
        <v>14381</v>
      </c>
      <c r="G2524" s="10" t="s">
        <v>12654</v>
      </c>
      <c r="H2524" s="10" t="s">
        <v>760</v>
      </c>
      <c r="I2524" s="10" t="s">
        <v>55</v>
      </c>
      <c r="J2524" s="10" t="s">
        <v>14382</v>
      </c>
      <c r="K2524" s="10" t="s">
        <v>14383</v>
      </c>
      <c r="L2524" s="10" t="s">
        <v>42</v>
      </c>
    </row>
    <row r="2525" ht="15.75" customHeight="1">
      <c r="A2525" s="64">
        <v>45462.0</v>
      </c>
      <c r="B2525" s="55" t="str">
        <f>HYPERLINK("https://jobright.ai/jobs/info/6673c2b71adf452983f80e5a?utm_campaign=1065&amp;utm_source=sheet", "Apply")</f>
        <v>Apply</v>
      </c>
      <c r="C2525" s="10" t="s">
        <v>14379</v>
      </c>
      <c r="D2525" s="56" t="s">
        <v>14380</v>
      </c>
      <c r="E2525" s="59">
        <v>45301.0</v>
      </c>
      <c r="F2525" s="10" t="s">
        <v>14381</v>
      </c>
      <c r="G2525" s="10" t="s">
        <v>12654</v>
      </c>
      <c r="H2525" s="10" t="s">
        <v>942</v>
      </c>
      <c r="I2525" s="10" t="s">
        <v>55</v>
      </c>
      <c r="J2525" s="10" t="s">
        <v>14382</v>
      </c>
      <c r="K2525" s="10" t="s">
        <v>14383</v>
      </c>
      <c r="L2525" s="10" t="s">
        <v>42</v>
      </c>
    </row>
    <row r="2526" ht="15.75" customHeight="1">
      <c r="A2526" s="64">
        <v>45462.0</v>
      </c>
      <c r="B2526" s="55" t="str">
        <f>HYPERLINK("https://jobright.ai/jobs/info/6673c2b71adf452983f80e5b?utm_campaign=1065&amp;utm_source=sheet", "Apply")</f>
        <v>Apply</v>
      </c>
      <c r="C2526" s="10" t="s">
        <v>14379</v>
      </c>
      <c r="D2526" s="56" t="s">
        <v>14380</v>
      </c>
      <c r="E2526" s="59">
        <v>45301.0</v>
      </c>
      <c r="F2526" s="10" t="s">
        <v>14381</v>
      </c>
      <c r="G2526" s="10" t="s">
        <v>12654</v>
      </c>
      <c r="H2526" s="10" t="s">
        <v>801</v>
      </c>
      <c r="I2526" s="10" t="s">
        <v>55</v>
      </c>
      <c r="J2526" s="10" t="s">
        <v>14382</v>
      </c>
      <c r="K2526" s="10" t="s">
        <v>14383</v>
      </c>
      <c r="L2526" s="10" t="s">
        <v>42</v>
      </c>
    </row>
    <row r="2527" ht="15.75" customHeight="1">
      <c r="A2527" s="64">
        <v>45462.0</v>
      </c>
      <c r="B2527" s="55" t="str">
        <f>HYPERLINK("https://jobright.ai/jobs/info/6673c2b71adf452983f80e5c?utm_campaign=1065&amp;utm_source=sheet", "Apply")</f>
        <v>Apply</v>
      </c>
      <c r="C2527" s="10" t="s">
        <v>14379</v>
      </c>
      <c r="D2527" s="56" t="s">
        <v>14380</v>
      </c>
      <c r="E2527" s="59">
        <v>45301.0</v>
      </c>
      <c r="F2527" s="10" t="s">
        <v>14381</v>
      </c>
      <c r="G2527" s="10" t="s">
        <v>12654</v>
      </c>
      <c r="H2527" s="10" t="s">
        <v>895</v>
      </c>
      <c r="I2527" s="10" t="s">
        <v>55</v>
      </c>
      <c r="J2527" s="10" t="s">
        <v>14382</v>
      </c>
      <c r="K2527" s="10" t="s">
        <v>14383</v>
      </c>
      <c r="L2527" s="10" t="s">
        <v>42</v>
      </c>
    </row>
    <row r="2528" ht="15.75" customHeight="1">
      <c r="A2528" s="64">
        <v>45462.0</v>
      </c>
      <c r="B2528" s="55" t="str">
        <f>HYPERLINK("https://jobright.ai/jobs/info/6673c2b71adf452983f80e5d?utm_campaign=1065&amp;utm_source=sheet", "Apply")</f>
        <v>Apply</v>
      </c>
      <c r="C2528" s="10" t="s">
        <v>14379</v>
      </c>
      <c r="D2528" s="56" t="s">
        <v>14380</v>
      </c>
      <c r="E2528" s="59">
        <v>45301.0</v>
      </c>
      <c r="F2528" s="10" t="s">
        <v>14381</v>
      </c>
      <c r="G2528" s="10" t="s">
        <v>12654</v>
      </c>
      <c r="H2528" s="10" t="s">
        <v>1001</v>
      </c>
      <c r="I2528" s="10" t="s">
        <v>55</v>
      </c>
      <c r="J2528" s="10" t="s">
        <v>14382</v>
      </c>
      <c r="K2528" s="10" t="s">
        <v>14383</v>
      </c>
      <c r="L2528" s="10" t="s">
        <v>42</v>
      </c>
    </row>
    <row r="2529" ht="15.75" customHeight="1">
      <c r="A2529" s="64">
        <v>45462.0</v>
      </c>
      <c r="B2529" s="55" t="str">
        <f>HYPERLINK("https://jobright.ai/jobs/info/66737e9c1bd2435aab8ca52b?utm_campaign=1065&amp;utm_source=sheet", "Apply")</f>
        <v>Apply</v>
      </c>
      <c r="C2529" s="10" t="s">
        <v>14379</v>
      </c>
      <c r="D2529" s="56" t="s">
        <v>14380</v>
      </c>
      <c r="E2529" s="59">
        <v>45301.0</v>
      </c>
      <c r="F2529" s="10" t="s">
        <v>14381</v>
      </c>
      <c r="G2529" s="10" t="s">
        <v>12654</v>
      </c>
      <c r="H2529" s="10" t="s">
        <v>763</v>
      </c>
      <c r="I2529" s="10" t="s">
        <v>55</v>
      </c>
      <c r="J2529" s="10" t="s">
        <v>14382</v>
      </c>
      <c r="K2529" s="10" t="s">
        <v>14383</v>
      </c>
      <c r="L2529" s="10" t="s">
        <v>42</v>
      </c>
    </row>
    <row r="2530" ht="15.75" customHeight="1">
      <c r="A2530" s="64">
        <v>45462.0</v>
      </c>
      <c r="B2530" s="55" t="str">
        <f>HYPERLINK("https://jobright.ai/jobs/info/66737e9c1bd2435aab8ca52c?utm_campaign=1065&amp;utm_source=sheet", "Apply")</f>
        <v>Apply</v>
      </c>
      <c r="C2530" s="10" t="s">
        <v>14379</v>
      </c>
      <c r="D2530" s="56" t="s">
        <v>14380</v>
      </c>
      <c r="E2530" s="59">
        <v>45301.0</v>
      </c>
      <c r="F2530" s="10" t="s">
        <v>14381</v>
      </c>
      <c r="G2530" s="10" t="s">
        <v>12654</v>
      </c>
      <c r="H2530" s="10" t="s">
        <v>1026</v>
      </c>
      <c r="I2530" s="10" t="s">
        <v>55</v>
      </c>
      <c r="J2530" s="10" t="s">
        <v>14382</v>
      </c>
      <c r="K2530" s="10" t="s">
        <v>14383</v>
      </c>
      <c r="L2530" s="10" t="s">
        <v>42</v>
      </c>
    </row>
    <row r="2531" ht="15.75" customHeight="1">
      <c r="A2531" s="64">
        <v>45462.0</v>
      </c>
      <c r="B2531" s="55" t="str">
        <f>HYPERLINK("https://jobright.ai/jobs/info/66737e9c1bd2435aab8ca52d?utm_campaign=1065&amp;utm_source=sheet", "Apply")</f>
        <v>Apply</v>
      </c>
      <c r="C2531" s="10" t="s">
        <v>14379</v>
      </c>
      <c r="D2531" s="56" t="s">
        <v>14380</v>
      </c>
      <c r="E2531" s="59">
        <v>45301.0</v>
      </c>
      <c r="F2531" s="10" t="s">
        <v>14381</v>
      </c>
      <c r="G2531" s="10" t="s">
        <v>12654</v>
      </c>
      <c r="H2531" s="10" t="s">
        <v>935</v>
      </c>
      <c r="I2531" s="10" t="s">
        <v>55</v>
      </c>
      <c r="J2531" s="10" t="s">
        <v>14382</v>
      </c>
      <c r="K2531" s="10" t="s">
        <v>14383</v>
      </c>
      <c r="L2531" s="10" t="s">
        <v>42</v>
      </c>
    </row>
    <row r="2532" ht="15.75" customHeight="1">
      <c r="A2532" s="64">
        <v>45462.0</v>
      </c>
      <c r="B2532" s="55" t="str">
        <f>HYPERLINK("https://jobright.ai/jobs/info/66737e9c1bd2435aab8ca52e?utm_campaign=1065&amp;utm_source=sheet", "Apply")</f>
        <v>Apply</v>
      </c>
      <c r="C2532" s="10" t="s">
        <v>14379</v>
      </c>
      <c r="D2532" s="56" t="s">
        <v>14380</v>
      </c>
      <c r="E2532" s="59">
        <v>45301.0</v>
      </c>
      <c r="F2532" s="10" t="s">
        <v>14381</v>
      </c>
      <c r="G2532" s="10" t="s">
        <v>12654</v>
      </c>
      <c r="H2532" s="10" t="s">
        <v>73</v>
      </c>
      <c r="I2532" s="10" t="s">
        <v>55</v>
      </c>
      <c r="J2532" s="10" t="s">
        <v>14382</v>
      </c>
      <c r="K2532" s="10" t="s">
        <v>14383</v>
      </c>
      <c r="L2532" s="10" t="s">
        <v>42</v>
      </c>
    </row>
    <row r="2533" ht="15.75" customHeight="1">
      <c r="A2533" s="64">
        <v>45462.0</v>
      </c>
      <c r="B2533" s="55" t="str">
        <f>HYPERLINK("https://jobright.ai/jobs/info/66737e9c1bd2435aab8ca52f?utm_campaign=1065&amp;utm_source=sheet", "Apply")</f>
        <v>Apply</v>
      </c>
      <c r="C2533" s="10" t="s">
        <v>14379</v>
      </c>
      <c r="D2533" s="56" t="s">
        <v>14380</v>
      </c>
      <c r="E2533" s="59">
        <v>45301.0</v>
      </c>
      <c r="F2533" s="10" t="s">
        <v>14381</v>
      </c>
      <c r="G2533" s="10" t="s">
        <v>12654</v>
      </c>
      <c r="H2533" s="10" t="s">
        <v>901</v>
      </c>
      <c r="I2533" s="10" t="s">
        <v>55</v>
      </c>
      <c r="J2533" s="10" t="s">
        <v>14382</v>
      </c>
      <c r="K2533" s="10" t="s">
        <v>14383</v>
      </c>
      <c r="L2533" s="10" t="s">
        <v>42</v>
      </c>
    </row>
    <row r="2534" ht="15.75" customHeight="1">
      <c r="A2534" s="64">
        <v>45462.0</v>
      </c>
      <c r="B2534" s="55" t="str">
        <f>HYPERLINK("https://jobright.ai/jobs/info/66737e9c1bd2435aab8ca530?utm_campaign=1065&amp;utm_source=sheet", "Apply")</f>
        <v>Apply</v>
      </c>
      <c r="C2534" s="10" t="s">
        <v>15261</v>
      </c>
      <c r="D2534" s="56" t="s">
        <v>14380</v>
      </c>
      <c r="E2534" s="59">
        <v>45301.0</v>
      </c>
      <c r="F2534" s="10" t="s">
        <v>14381</v>
      </c>
      <c r="G2534" s="10" t="s">
        <v>12654</v>
      </c>
      <c r="H2534" s="10" t="s">
        <v>849</v>
      </c>
      <c r="I2534" s="10" t="s">
        <v>55</v>
      </c>
      <c r="K2534" s="10" t="s">
        <v>15262</v>
      </c>
      <c r="L2534" s="10" t="s">
        <v>42</v>
      </c>
    </row>
    <row r="2535" ht="15.75" customHeight="1">
      <c r="A2535" s="64">
        <v>45462.0</v>
      </c>
      <c r="B2535" s="55" t="str">
        <f>HYPERLINK("https://jobright.ai/jobs/info/66737e9c1bd2435aab8ca532?utm_campaign=1065&amp;utm_source=sheet", "Apply")</f>
        <v>Apply</v>
      </c>
      <c r="C2535" s="10" t="s">
        <v>14379</v>
      </c>
      <c r="D2535" s="56" t="s">
        <v>14380</v>
      </c>
      <c r="E2535" s="59">
        <v>45301.0</v>
      </c>
      <c r="F2535" s="10" t="s">
        <v>14381</v>
      </c>
      <c r="G2535" s="10" t="s">
        <v>12654</v>
      </c>
      <c r="H2535" s="10" t="s">
        <v>762</v>
      </c>
      <c r="I2535" s="10" t="s">
        <v>55</v>
      </c>
      <c r="J2535" s="10" t="s">
        <v>14382</v>
      </c>
      <c r="K2535" s="10" t="s">
        <v>14383</v>
      </c>
      <c r="L2535" s="10" t="s">
        <v>42</v>
      </c>
    </row>
    <row r="2536" ht="15.75" customHeight="1">
      <c r="A2536" s="64">
        <v>45462.0</v>
      </c>
      <c r="B2536" s="55" t="str">
        <f>HYPERLINK("https://jobright.ai/jobs/info/66737e9c1bd2435aab8ca531?utm_campaign=1065&amp;utm_source=sheet", "Apply")</f>
        <v>Apply</v>
      </c>
      <c r="C2536" s="10" t="s">
        <v>15261</v>
      </c>
      <c r="D2536" s="56" t="s">
        <v>14380</v>
      </c>
      <c r="E2536" s="59">
        <v>45301.0</v>
      </c>
      <c r="F2536" s="10" t="s">
        <v>14381</v>
      </c>
      <c r="G2536" s="10" t="s">
        <v>12654</v>
      </c>
      <c r="H2536" s="10" t="s">
        <v>922</v>
      </c>
      <c r="I2536" s="10" t="s">
        <v>55</v>
      </c>
      <c r="K2536" s="10" t="s">
        <v>15262</v>
      </c>
      <c r="L2536" s="10" t="s">
        <v>42</v>
      </c>
    </row>
    <row r="2537" ht="15.75" customHeight="1">
      <c r="A2537" s="64">
        <v>45462.0</v>
      </c>
      <c r="B2537" s="55" t="str">
        <f>HYPERLINK("https://jobright.ai/jobs/info/66737e9c1bd2435aab8ca533?utm_campaign=1065&amp;utm_source=sheet", "Apply")</f>
        <v>Apply</v>
      </c>
      <c r="C2537" s="10" t="s">
        <v>14379</v>
      </c>
      <c r="D2537" s="56" t="s">
        <v>14380</v>
      </c>
      <c r="E2537" s="59">
        <v>45301.0</v>
      </c>
      <c r="F2537" s="10" t="s">
        <v>14381</v>
      </c>
      <c r="G2537" s="10" t="s">
        <v>12654</v>
      </c>
      <c r="H2537" s="10" t="s">
        <v>139</v>
      </c>
      <c r="I2537" s="10" t="s">
        <v>55</v>
      </c>
      <c r="J2537" s="10" t="s">
        <v>14382</v>
      </c>
      <c r="K2537" s="10" t="s">
        <v>14383</v>
      </c>
      <c r="L2537" s="10" t="s">
        <v>42</v>
      </c>
    </row>
    <row r="2538" ht="15.75" customHeight="1">
      <c r="A2538" s="64">
        <v>45462.0</v>
      </c>
      <c r="B2538" s="55" t="str">
        <f>HYPERLINK("https://jobright.ai/jobs/info/66737e9c1bd2435aab8ca536?utm_campaign=1065&amp;utm_source=sheet", "Apply")</f>
        <v>Apply</v>
      </c>
      <c r="C2538" s="10" t="s">
        <v>14379</v>
      </c>
      <c r="D2538" s="56" t="s">
        <v>14380</v>
      </c>
      <c r="E2538" s="59">
        <v>45301.0</v>
      </c>
      <c r="F2538" s="10" t="s">
        <v>14381</v>
      </c>
      <c r="G2538" s="10" t="s">
        <v>12654</v>
      </c>
      <c r="H2538" s="10" t="s">
        <v>810</v>
      </c>
      <c r="I2538" s="10" t="s">
        <v>55</v>
      </c>
      <c r="J2538" s="10" t="s">
        <v>14382</v>
      </c>
      <c r="K2538" s="10" t="s">
        <v>14383</v>
      </c>
      <c r="L2538" s="10" t="s">
        <v>42</v>
      </c>
    </row>
    <row r="2539" ht="15.75" customHeight="1">
      <c r="A2539" s="64">
        <v>45462.0</v>
      </c>
      <c r="B2539" s="55" t="str">
        <f>HYPERLINK("https://jobright.ai/jobs/info/66737e9c1bd2435aab8ca537?utm_campaign=1065&amp;utm_source=sheet", "Apply")</f>
        <v>Apply</v>
      </c>
      <c r="C2539" s="10" t="s">
        <v>14379</v>
      </c>
      <c r="D2539" s="56" t="s">
        <v>14380</v>
      </c>
      <c r="E2539" s="59">
        <v>45301.0</v>
      </c>
      <c r="F2539" s="10" t="s">
        <v>14381</v>
      </c>
      <c r="G2539" s="10" t="s">
        <v>12654</v>
      </c>
      <c r="H2539" s="10" t="s">
        <v>769</v>
      </c>
      <c r="I2539" s="10" t="s">
        <v>55</v>
      </c>
      <c r="J2539" s="10" t="s">
        <v>14382</v>
      </c>
      <c r="K2539" s="10" t="s">
        <v>14383</v>
      </c>
      <c r="L2539" s="10" t="s">
        <v>42</v>
      </c>
    </row>
    <row r="2540" ht="15.75" customHeight="1">
      <c r="A2540" s="64">
        <v>45462.0</v>
      </c>
      <c r="B2540" s="55" t="str">
        <f>HYPERLINK("https://jobright.ai/jobs/info/66737e9c1bd2435aab8ca538?utm_campaign=1065&amp;utm_source=sheet", "Apply")</f>
        <v>Apply</v>
      </c>
      <c r="C2540" s="10" t="s">
        <v>15261</v>
      </c>
      <c r="D2540" s="56" t="s">
        <v>14380</v>
      </c>
      <c r="E2540" s="59">
        <v>45301.0</v>
      </c>
      <c r="F2540" s="10" t="s">
        <v>14381</v>
      </c>
      <c r="G2540" s="10" t="s">
        <v>12654</v>
      </c>
      <c r="H2540" s="10" t="s">
        <v>857</v>
      </c>
      <c r="I2540" s="10" t="s">
        <v>55</v>
      </c>
      <c r="K2540" s="10" t="s">
        <v>15262</v>
      </c>
      <c r="L2540" s="10" t="s">
        <v>42</v>
      </c>
    </row>
    <row r="2541" ht="15.75" customHeight="1">
      <c r="A2541" s="64">
        <v>45462.0</v>
      </c>
      <c r="B2541" s="55" t="str">
        <f>HYPERLINK("https://jobright.ai/jobs/info/66737e9c1bd2435aab8ca539?utm_campaign=1065&amp;utm_source=sheet", "Apply")</f>
        <v>Apply</v>
      </c>
      <c r="C2541" s="10" t="s">
        <v>15261</v>
      </c>
      <c r="D2541" s="56" t="s">
        <v>14380</v>
      </c>
      <c r="E2541" s="59">
        <v>45301.0</v>
      </c>
      <c r="F2541" s="10" t="s">
        <v>14381</v>
      </c>
      <c r="G2541" s="10" t="s">
        <v>12654</v>
      </c>
      <c r="H2541" s="10" t="s">
        <v>921</v>
      </c>
      <c r="I2541" s="10" t="s">
        <v>55</v>
      </c>
      <c r="K2541" s="10" t="s">
        <v>15262</v>
      </c>
      <c r="L2541" s="10" t="s">
        <v>42</v>
      </c>
    </row>
    <row r="2542" ht="15.75" customHeight="1">
      <c r="A2542" s="64">
        <v>45462.0</v>
      </c>
      <c r="B2542" s="55" t="str">
        <f>HYPERLINK("https://jobright.ai/jobs/info/66737e9c1bd2435aab8ca535?utm_campaign=1065&amp;utm_source=sheet", "Apply")</f>
        <v>Apply</v>
      </c>
      <c r="C2542" s="10" t="s">
        <v>14379</v>
      </c>
      <c r="D2542" s="56" t="s">
        <v>14380</v>
      </c>
      <c r="E2542" s="59">
        <v>45301.0</v>
      </c>
      <c r="F2542" s="10" t="s">
        <v>14381</v>
      </c>
      <c r="G2542" s="10" t="s">
        <v>12654</v>
      </c>
      <c r="H2542" s="10" t="s">
        <v>1022</v>
      </c>
      <c r="I2542" s="10" t="s">
        <v>55</v>
      </c>
      <c r="J2542" s="10" t="s">
        <v>14382</v>
      </c>
      <c r="K2542" s="10" t="s">
        <v>14383</v>
      </c>
      <c r="L2542" s="10" t="s">
        <v>42</v>
      </c>
    </row>
    <row r="2543" ht="15.75" customHeight="1">
      <c r="A2543" s="64">
        <v>45462.0</v>
      </c>
      <c r="B2543" s="55" t="str">
        <f>HYPERLINK("https://jobright.ai/jobs/info/66737e9c1bd2435aab8ca53a?utm_campaign=1065&amp;utm_source=sheet", "Apply")</f>
        <v>Apply</v>
      </c>
      <c r="C2543" s="10" t="s">
        <v>14379</v>
      </c>
      <c r="D2543" s="56" t="s">
        <v>14380</v>
      </c>
      <c r="E2543" s="59">
        <v>45301.0</v>
      </c>
      <c r="F2543" s="10" t="s">
        <v>14381</v>
      </c>
      <c r="G2543" s="10" t="s">
        <v>12654</v>
      </c>
      <c r="H2543" s="10" t="s">
        <v>572</v>
      </c>
      <c r="I2543" s="10" t="s">
        <v>55</v>
      </c>
      <c r="J2543" s="10" t="s">
        <v>14382</v>
      </c>
      <c r="K2543" s="10" t="s">
        <v>14383</v>
      </c>
      <c r="L2543" s="10" t="s">
        <v>42</v>
      </c>
    </row>
    <row r="2544" ht="15.75" customHeight="1">
      <c r="A2544" s="64">
        <v>45462.0</v>
      </c>
      <c r="B2544" s="55" t="str">
        <f>HYPERLINK("https://jobright.ai/jobs/info/66737e9c1bd2435aab8ca53b?utm_campaign=1065&amp;utm_source=sheet", "Apply")</f>
        <v>Apply</v>
      </c>
      <c r="C2544" s="10" t="s">
        <v>14379</v>
      </c>
      <c r="D2544" s="56" t="s">
        <v>14380</v>
      </c>
      <c r="E2544" s="59">
        <v>45301.0</v>
      </c>
      <c r="F2544" s="10" t="s">
        <v>14381</v>
      </c>
      <c r="G2544" s="10" t="s">
        <v>12654</v>
      </c>
      <c r="H2544" s="10" t="s">
        <v>902</v>
      </c>
      <c r="I2544" s="10" t="s">
        <v>55</v>
      </c>
      <c r="J2544" s="10" t="s">
        <v>14382</v>
      </c>
      <c r="K2544" s="10" t="s">
        <v>14383</v>
      </c>
      <c r="L2544" s="10" t="s">
        <v>42</v>
      </c>
    </row>
    <row r="2545" ht="15.75" customHeight="1">
      <c r="A2545" s="64">
        <v>45462.0</v>
      </c>
      <c r="B2545" s="55" t="str">
        <f>HYPERLINK("https://jobright.ai/jobs/info/66737e9c1bd2435aab8ca534?utm_campaign=1065&amp;utm_source=sheet", "Apply")</f>
        <v>Apply</v>
      </c>
      <c r="C2545" s="10" t="s">
        <v>14379</v>
      </c>
      <c r="D2545" s="56" t="s">
        <v>14380</v>
      </c>
      <c r="E2545" s="59">
        <v>45301.0</v>
      </c>
      <c r="F2545" s="10" t="s">
        <v>14381</v>
      </c>
      <c r="G2545" s="10" t="s">
        <v>12654</v>
      </c>
      <c r="H2545" s="10" t="s">
        <v>774</v>
      </c>
      <c r="I2545" s="10" t="s">
        <v>55</v>
      </c>
      <c r="J2545" s="10" t="s">
        <v>14382</v>
      </c>
      <c r="K2545" s="10" t="s">
        <v>14383</v>
      </c>
      <c r="L2545" s="10" t="s">
        <v>42</v>
      </c>
    </row>
    <row r="2546" ht="15.75" customHeight="1">
      <c r="A2546" s="64">
        <v>45462.0</v>
      </c>
      <c r="B2546" s="55" t="str">
        <f>HYPERLINK("https://jobright.ai/jobs/info/66737e9c1bd2435aab8ca541?utm_campaign=1065&amp;utm_source=sheet", "Apply")</f>
        <v>Apply</v>
      </c>
      <c r="C2546" s="10" t="s">
        <v>14379</v>
      </c>
      <c r="D2546" s="56" t="s">
        <v>14380</v>
      </c>
      <c r="E2546" s="59">
        <v>45301.0</v>
      </c>
      <c r="F2546" s="10" t="s">
        <v>14381</v>
      </c>
      <c r="G2546" s="10" t="s">
        <v>12654</v>
      </c>
      <c r="H2546" s="10" t="s">
        <v>943</v>
      </c>
      <c r="I2546" s="10" t="s">
        <v>55</v>
      </c>
      <c r="J2546" s="10" t="s">
        <v>14382</v>
      </c>
      <c r="K2546" s="10" t="s">
        <v>14383</v>
      </c>
      <c r="L2546" s="10" t="s">
        <v>42</v>
      </c>
    </row>
    <row r="2547" ht="15.75" customHeight="1">
      <c r="A2547" s="64">
        <v>45462.0</v>
      </c>
      <c r="B2547" s="55" t="str">
        <f>HYPERLINK("https://jobright.ai/jobs/info/66737e9c1bd2435aab8ca544?utm_campaign=1065&amp;utm_source=sheet", "Apply")</f>
        <v>Apply</v>
      </c>
      <c r="C2547" s="10" t="s">
        <v>14379</v>
      </c>
      <c r="D2547" s="56" t="s">
        <v>14380</v>
      </c>
      <c r="E2547" s="59">
        <v>45301.0</v>
      </c>
      <c r="F2547" s="10" t="s">
        <v>14381</v>
      </c>
      <c r="G2547" s="10" t="s">
        <v>12654</v>
      </c>
      <c r="H2547" s="10" t="s">
        <v>1005</v>
      </c>
      <c r="I2547" s="10" t="s">
        <v>55</v>
      </c>
      <c r="J2547" s="10" t="s">
        <v>14382</v>
      </c>
      <c r="K2547" s="10" t="s">
        <v>14383</v>
      </c>
      <c r="L2547" s="10" t="s">
        <v>42</v>
      </c>
    </row>
    <row r="2548" ht="15.75" customHeight="1">
      <c r="A2548" s="64">
        <v>45462.0</v>
      </c>
      <c r="B2548" s="55" t="str">
        <f>HYPERLINK("https://jobright.ai/jobs/info/66737e9c1bd2435aab8ca542?utm_campaign=1065&amp;utm_source=sheet", "Apply")</f>
        <v>Apply</v>
      </c>
      <c r="C2548" s="10" t="s">
        <v>14379</v>
      </c>
      <c r="D2548" s="56" t="s">
        <v>14380</v>
      </c>
      <c r="E2548" s="59">
        <v>45301.0</v>
      </c>
      <c r="F2548" s="10" t="s">
        <v>14381</v>
      </c>
      <c r="G2548" s="10" t="s">
        <v>12654</v>
      </c>
      <c r="H2548" s="10" t="s">
        <v>940</v>
      </c>
      <c r="I2548" s="10" t="s">
        <v>55</v>
      </c>
      <c r="J2548" s="10" t="s">
        <v>14382</v>
      </c>
      <c r="K2548" s="10" t="s">
        <v>14383</v>
      </c>
      <c r="L2548" s="10" t="s">
        <v>42</v>
      </c>
    </row>
    <row r="2549" ht="15.75" customHeight="1">
      <c r="A2549" s="64">
        <v>45462.0</v>
      </c>
      <c r="B2549" s="55" t="str">
        <f>HYPERLINK("https://jobright.ai/jobs/info/66737e9c1bd2435aab8ca53f?utm_campaign=1065&amp;utm_source=sheet", "Apply")</f>
        <v>Apply</v>
      </c>
      <c r="C2549" s="10" t="s">
        <v>14379</v>
      </c>
      <c r="D2549" s="56" t="s">
        <v>14380</v>
      </c>
      <c r="E2549" s="59">
        <v>45301.0</v>
      </c>
      <c r="F2549" s="10" t="s">
        <v>14381</v>
      </c>
      <c r="G2549" s="10" t="s">
        <v>12654</v>
      </c>
      <c r="H2549" s="10" t="s">
        <v>959</v>
      </c>
      <c r="I2549" s="10" t="s">
        <v>55</v>
      </c>
      <c r="J2549" s="10" t="s">
        <v>14382</v>
      </c>
      <c r="K2549" s="10" t="s">
        <v>14383</v>
      </c>
      <c r="L2549" s="10" t="s">
        <v>42</v>
      </c>
    </row>
    <row r="2550" ht="15.75" customHeight="1">
      <c r="A2550" s="64">
        <v>45462.0</v>
      </c>
      <c r="B2550" s="55" t="str">
        <f>HYPERLINK("https://jobright.ai/jobs/info/66737e9c1bd2435aab8ca540?utm_campaign=1065&amp;utm_source=sheet", "Apply")</f>
        <v>Apply</v>
      </c>
      <c r="C2550" s="10" t="s">
        <v>15261</v>
      </c>
      <c r="D2550" s="56" t="s">
        <v>14380</v>
      </c>
      <c r="E2550" s="59">
        <v>45301.0</v>
      </c>
      <c r="F2550" s="10" t="s">
        <v>14381</v>
      </c>
      <c r="G2550" s="10" t="s">
        <v>12654</v>
      </c>
      <c r="H2550" s="10" t="s">
        <v>361</v>
      </c>
      <c r="I2550" s="10" t="s">
        <v>55</v>
      </c>
      <c r="K2550" s="10" t="s">
        <v>15262</v>
      </c>
      <c r="L2550" s="10" t="s">
        <v>42</v>
      </c>
    </row>
    <row r="2551" ht="15.75" customHeight="1">
      <c r="A2551" s="64">
        <v>45462.0</v>
      </c>
      <c r="B2551" s="55" t="str">
        <f>HYPERLINK("https://jobright.ai/jobs/info/66737e9c1bd2435aab8ca53e?utm_campaign=1065&amp;utm_source=sheet", "Apply")</f>
        <v>Apply</v>
      </c>
      <c r="C2551" s="10" t="s">
        <v>14379</v>
      </c>
      <c r="D2551" s="56" t="s">
        <v>14380</v>
      </c>
      <c r="E2551" s="59">
        <v>45301.0</v>
      </c>
      <c r="F2551" s="10" t="s">
        <v>14381</v>
      </c>
      <c r="G2551" s="10" t="s">
        <v>12654</v>
      </c>
      <c r="H2551" s="10" t="s">
        <v>985</v>
      </c>
      <c r="I2551" s="10" t="s">
        <v>55</v>
      </c>
      <c r="J2551" s="10" t="s">
        <v>14382</v>
      </c>
      <c r="K2551" s="10" t="s">
        <v>14383</v>
      </c>
      <c r="L2551" s="10" t="s">
        <v>42</v>
      </c>
    </row>
    <row r="2552" ht="15.75" customHeight="1">
      <c r="A2552" s="64">
        <v>45462.0</v>
      </c>
      <c r="B2552" s="55" t="str">
        <f>HYPERLINK("https://jobright.ai/jobs/info/66737e9c1bd2435aab8ca53d?utm_campaign=1065&amp;utm_source=sheet", "Apply")</f>
        <v>Apply</v>
      </c>
      <c r="C2552" s="10" t="s">
        <v>14379</v>
      </c>
      <c r="D2552" s="56" t="s">
        <v>14380</v>
      </c>
      <c r="E2552" s="59">
        <v>45301.0</v>
      </c>
      <c r="F2552" s="10" t="s">
        <v>14381</v>
      </c>
      <c r="G2552" s="10" t="s">
        <v>12654</v>
      </c>
      <c r="H2552" s="10" t="s">
        <v>851</v>
      </c>
      <c r="I2552" s="10" t="s">
        <v>55</v>
      </c>
      <c r="J2552" s="10" t="s">
        <v>14382</v>
      </c>
      <c r="K2552" s="10" t="s">
        <v>14383</v>
      </c>
      <c r="L2552" s="10" t="s">
        <v>42</v>
      </c>
    </row>
    <row r="2553" ht="15.75" customHeight="1">
      <c r="A2553" s="64">
        <v>45462.0</v>
      </c>
      <c r="B2553" s="55" t="str">
        <f>HYPERLINK("https://jobright.ai/jobs/info/66737e9c1bd2435aab8ca53c?utm_campaign=1065&amp;utm_source=sheet", "Apply")</f>
        <v>Apply</v>
      </c>
      <c r="C2553" s="10" t="s">
        <v>14379</v>
      </c>
      <c r="D2553" s="56" t="s">
        <v>14380</v>
      </c>
      <c r="E2553" s="59">
        <v>45301.0</v>
      </c>
      <c r="F2553" s="10" t="s">
        <v>14381</v>
      </c>
      <c r="G2553" s="10" t="s">
        <v>12654</v>
      </c>
      <c r="H2553" s="10" t="s">
        <v>860</v>
      </c>
      <c r="I2553" s="10" t="s">
        <v>55</v>
      </c>
      <c r="J2553" s="10" t="s">
        <v>14382</v>
      </c>
      <c r="K2553" s="10" t="s">
        <v>14383</v>
      </c>
      <c r="L2553" s="10" t="s">
        <v>42</v>
      </c>
    </row>
    <row r="2554" ht="15.75" customHeight="1">
      <c r="A2554" s="64">
        <v>45462.0</v>
      </c>
      <c r="B2554" s="55" t="str">
        <f>HYPERLINK("https://jobright.ai/jobs/info/66737e9c1bd2435aab8ca543?utm_campaign=1065&amp;utm_source=sheet", "Apply")</f>
        <v>Apply</v>
      </c>
      <c r="C2554" s="10" t="s">
        <v>15261</v>
      </c>
      <c r="D2554" s="56" t="s">
        <v>14380</v>
      </c>
      <c r="E2554" s="59">
        <v>45301.0</v>
      </c>
      <c r="F2554" s="10" t="s">
        <v>14381</v>
      </c>
      <c r="G2554" s="10" t="s">
        <v>12654</v>
      </c>
      <c r="H2554" s="10" t="s">
        <v>861</v>
      </c>
      <c r="I2554" s="10" t="s">
        <v>55</v>
      </c>
      <c r="K2554" s="10" t="s">
        <v>15262</v>
      </c>
      <c r="L2554" s="10" t="s">
        <v>42</v>
      </c>
    </row>
    <row r="2555" ht="15.75" customHeight="1">
      <c r="A2555" s="64">
        <v>45462.0</v>
      </c>
      <c r="B2555" s="55" t="str">
        <f>HYPERLINK("https://jobright.ai/jobs/info/66737e9c1bd2435aab8ca545?utm_campaign=1065&amp;utm_source=sheet", "Apply")</f>
        <v>Apply</v>
      </c>
      <c r="C2555" s="10" t="s">
        <v>14379</v>
      </c>
      <c r="D2555" s="56" t="s">
        <v>14380</v>
      </c>
      <c r="E2555" s="59">
        <v>45301.0</v>
      </c>
      <c r="F2555" s="10" t="s">
        <v>14381</v>
      </c>
      <c r="G2555" s="10" t="s">
        <v>12654</v>
      </c>
      <c r="H2555" s="10" t="s">
        <v>870</v>
      </c>
      <c r="I2555" s="10" t="s">
        <v>55</v>
      </c>
      <c r="J2555" s="10" t="s">
        <v>14382</v>
      </c>
      <c r="K2555" s="10" t="s">
        <v>14383</v>
      </c>
      <c r="L2555" s="10" t="s">
        <v>42</v>
      </c>
    </row>
    <row r="2556" ht="15.75" customHeight="1">
      <c r="A2556" s="64">
        <v>45462.0</v>
      </c>
      <c r="B2556" s="55" t="str">
        <f>HYPERLINK("https://jobright.ai/jobs/info/66736e9f21f478e9a4d0ffbd?utm_campaign=1065&amp;utm_source=sheet", "Apply")</f>
        <v>Apply</v>
      </c>
      <c r="C2556" s="10" t="s">
        <v>14379</v>
      </c>
      <c r="D2556" s="56" t="s">
        <v>14380</v>
      </c>
      <c r="E2556" s="59">
        <v>45301.0</v>
      </c>
      <c r="F2556" s="10" t="s">
        <v>14381</v>
      </c>
      <c r="G2556" s="10" t="s">
        <v>12654</v>
      </c>
      <c r="H2556" s="10" t="s">
        <v>905</v>
      </c>
      <c r="I2556" s="10" t="s">
        <v>55</v>
      </c>
      <c r="J2556" s="10" t="s">
        <v>14382</v>
      </c>
      <c r="K2556" s="10" t="s">
        <v>14383</v>
      </c>
      <c r="L2556" s="10" t="s">
        <v>42</v>
      </c>
    </row>
    <row r="2557" ht="15.75" customHeight="1">
      <c r="A2557" s="64">
        <v>45462.0</v>
      </c>
      <c r="B2557" s="55" t="str">
        <f>HYPERLINK("https://jobright.ai/jobs/info/66736e9f21f478e9a4d0ffbf?utm_campaign=1065&amp;utm_source=sheet", "Apply")</f>
        <v>Apply</v>
      </c>
      <c r="C2557" s="10" t="s">
        <v>15261</v>
      </c>
      <c r="D2557" s="56" t="s">
        <v>14380</v>
      </c>
      <c r="E2557" s="59">
        <v>45301.0</v>
      </c>
      <c r="F2557" s="10" t="s">
        <v>14381</v>
      </c>
      <c r="G2557" s="10" t="s">
        <v>12654</v>
      </c>
      <c r="H2557" s="10" t="s">
        <v>992</v>
      </c>
      <c r="I2557" s="10" t="s">
        <v>55</v>
      </c>
      <c r="K2557" s="10" t="s">
        <v>15262</v>
      </c>
      <c r="L2557" s="10" t="s">
        <v>42</v>
      </c>
    </row>
    <row r="2558" ht="15.75" customHeight="1">
      <c r="A2558" s="64">
        <v>45462.0</v>
      </c>
      <c r="B2558" s="55" t="str">
        <f>HYPERLINK("https://jobright.ai/jobs/info/66736e9f21f478e9a4d0ffc0?utm_campaign=1065&amp;utm_source=sheet", "Apply")</f>
        <v>Apply</v>
      </c>
      <c r="C2558" s="10" t="s">
        <v>14379</v>
      </c>
      <c r="D2558" s="56" t="s">
        <v>14380</v>
      </c>
      <c r="E2558" s="59">
        <v>45301.0</v>
      </c>
      <c r="F2558" s="10" t="s">
        <v>14381</v>
      </c>
      <c r="G2558" s="10" t="s">
        <v>12654</v>
      </c>
      <c r="H2558" s="10" t="s">
        <v>1033</v>
      </c>
      <c r="I2558" s="10" t="s">
        <v>55</v>
      </c>
      <c r="J2558" s="10" t="s">
        <v>14382</v>
      </c>
      <c r="K2558" s="10" t="s">
        <v>14383</v>
      </c>
      <c r="L2558" s="10" t="s">
        <v>42</v>
      </c>
    </row>
    <row r="2559" ht="15.75" customHeight="1">
      <c r="A2559" s="64">
        <v>45462.0</v>
      </c>
      <c r="B2559" s="55" t="str">
        <f>HYPERLINK("https://jobright.ai/jobs/info/66736e9f21f478e9a4d0ffc1?utm_campaign=1065&amp;utm_source=sheet", "Apply")</f>
        <v>Apply</v>
      </c>
      <c r="C2559" s="10" t="s">
        <v>15261</v>
      </c>
      <c r="D2559" s="56" t="s">
        <v>14380</v>
      </c>
      <c r="E2559" s="59">
        <v>45301.0</v>
      </c>
      <c r="F2559" s="10" t="s">
        <v>14381</v>
      </c>
      <c r="G2559" s="10" t="s">
        <v>12654</v>
      </c>
      <c r="H2559" s="10" t="s">
        <v>967</v>
      </c>
      <c r="I2559" s="10" t="s">
        <v>55</v>
      </c>
      <c r="K2559" s="10" t="s">
        <v>15262</v>
      </c>
      <c r="L2559" s="10" t="s">
        <v>42</v>
      </c>
    </row>
    <row r="2560" ht="15.75" customHeight="1">
      <c r="A2560" s="64">
        <v>45462.0</v>
      </c>
      <c r="B2560" s="55" t="str">
        <f>HYPERLINK("https://jobright.ai/jobs/info/66736e9f21f478e9a4d0ffbe?utm_campaign=1065&amp;utm_source=sheet", "Apply")</f>
        <v>Apply</v>
      </c>
      <c r="C2560" s="10" t="s">
        <v>15261</v>
      </c>
      <c r="D2560" s="56" t="s">
        <v>14380</v>
      </c>
      <c r="E2560" s="59">
        <v>45301.0</v>
      </c>
      <c r="F2560" s="10" t="s">
        <v>14381</v>
      </c>
      <c r="G2560" s="10" t="s">
        <v>12654</v>
      </c>
      <c r="H2560" s="10" t="s">
        <v>911</v>
      </c>
      <c r="I2560" s="10" t="s">
        <v>55</v>
      </c>
      <c r="K2560" s="10" t="s">
        <v>15262</v>
      </c>
      <c r="L2560" s="10" t="s">
        <v>42</v>
      </c>
    </row>
    <row r="2561" ht="15.75" customHeight="1">
      <c r="A2561" s="64">
        <v>45462.0</v>
      </c>
      <c r="B2561" s="55" t="str">
        <f>HYPERLINK("https://jobright.ai/jobs/info/66736e9f21f478e9a4d0ffc2?utm_campaign=1065&amp;utm_source=sheet", "Apply")</f>
        <v>Apply</v>
      </c>
      <c r="C2561" s="10" t="s">
        <v>14379</v>
      </c>
      <c r="D2561" s="56" t="s">
        <v>14380</v>
      </c>
      <c r="E2561" s="59">
        <v>45301.0</v>
      </c>
      <c r="F2561" s="10" t="s">
        <v>14381</v>
      </c>
      <c r="G2561" s="10" t="s">
        <v>12654</v>
      </c>
      <c r="H2561" s="10" t="s">
        <v>956</v>
      </c>
      <c r="I2561" s="10" t="s">
        <v>55</v>
      </c>
      <c r="J2561" s="10" t="s">
        <v>14382</v>
      </c>
      <c r="K2561" s="10" t="s">
        <v>14383</v>
      </c>
      <c r="L2561" s="10" t="s">
        <v>42</v>
      </c>
    </row>
    <row r="2562" ht="15.75" customHeight="1">
      <c r="A2562" s="64">
        <v>45462.0</v>
      </c>
      <c r="B2562" s="55" t="str">
        <f>HYPERLINK("https://jobright.ai/jobs/info/66736e9f21f478e9a4d0ffc4?utm_campaign=1065&amp;utm_source=sheet", "Apply")</f>
        <v>Apply</v>
      </c>
      <c r="C2562" s="10" t="s">
        <v>15261</v>
      </c>
      <c r="D2562" s="56" t="s">
        <v>14380</v>
      </c>
      <c r="E2562" s="59">
        <v>45301.0</v>
      </c>
      <c r="F2562" s="10" t="s">
        <v>14381</v>
      </c>
      <c r="G2562" s="10" t="s">
        <v>12654</v>
      </c>
      <c r="H2562" s="10" t="s">
        <v>168</v>
      </c>
      <c r="I2562" s="10" t="s">
        <v>55</v>
      </c>
      <c r="K2562" s="10" t="s">
        <v>15262</v>
      </c>
      <c r="L2562" s="10" t="s">
        <v>42</v>
      </c>
    </row>
    <row r="2563" ht="15.75" customHeight="1">
      <c r="A2563" s="64">
        <v>45462.0</v>
      </c>
      <c r="B2563" s="55" t="str">
        <f>HYPERLINK("https://jobright.ai/jobs/info/66736e9f21f478e9a4d0ffc5?utm_campaign=1065&amp;utm_source=sheet", "Apply")</f>
        <v>Apply</v>
      </c>
      <c r="C2563" s="10" t="s">
        <v>14379</v>
      </c>
      <c r="D2563" s="56" t="s">
        <v>14380</v>
      </c>
      <c r="E2563" s="59">
        <v>45301.0</v>
      </c>
      <c r="F2563" s="10" t="s">
        <v>14381</v>
      </c>
      <c r="G2563" s="10" t="s">
        <v>12654</v>
      </c>
      <c r="H2563" s="10" t="s">
        <v>850</v>
      </c>
      <c r="I2563" s="10" t="s">
        <v>55</v>
      </c>
      <c r="J2563" s="10" t="s">
        <v>14382</v>
      </c>
      <c r="K2563" s="10" t="s">
        <v>14383</v>
      </c>
      <c r="L2563" s="10" t="s">
        <v>42</v>
      </c>
    </row>
    <row r="2564" ht="15.75" customHeight="1">
      <c r="A2564" s="64">
        <v>45462.0</v>
      </c>
      <c r="B2564" s="55" t="str">
        <f>HYPERLINK("https://jobright.ai/jobs/info/66736e9f21f478e9a4d0ffc3?utm_campaign=1065&amp;utm_source=sheet", "Apply")</f>
        <v>Apply</v>
      </c>
      <c r="C2564" s="10" t="s">
        <v>15261</v>
      </c>
      <c r="D2564" s="56" t="s">
        <v>14380</v>
      </c>
      <c r="E2564" s="59">
        <v>45301.0</v>
      </c>
      <c r="F2564" s="10" t="s">
        <v>14381</v>
      </c>
      <c r="G2564" s="10" t="s">
        <v>12654</v>
      </c>
      <c r="H2564" s="10" t="s">
        <v>850</v>
      </c>
      <c r="I2564" s="10" t="s">
        <v>55</v>
      </c>
      <c r="K2564" s="10" t="s">
        <v>15262</v>
      </c>
      <c r="L2564" s="10" t="s">
        <v>42</v>
      </c>
    </row>
    <row r="2565" ht="15.75" customHeight="1">
      <c r="A2565" s="64">
        <v>45462.0</v>
      </c>
      <c r="B2565" s="55" t="str">
        <f>HYPERLINK("https://jobright.ai/jobs/info/66736e9f21f478e9a4d0ffc6?utm_campaign=1065&amp;utm_source=sheet", "Apply")</f>
        <v>Apply</v>
      </c>
      <c r="C2565" s="10" t="s">
        <v>15261</v>
      </c>
      <c r="D2565" s="56" t="s">
        <v>14380</v>
      </c>
      <c r="E2565" s="59">
        <v>45301.0</v>
      </c>
      <c r="F2565" s="10" t="s">
        <v>14381</v>
      </c>
      <c r="G2565" s="10" t="s">
        <v>12654</v>
      </c>
      <c r="H2565" s="10" t="s">
        <v>799</v>
      </c>
      <c r="I2565" s="10" t="s">
        <v>55</v>
      </c>
      <c r="K2565" s="10" t="s">
        <v>15262</v>
      </c>
      <c r="L2565" s="10" t="s">
        <v>42</v>
      </c>
    </row>
    <row r="2566" ht="15.75" customHeight="1">
      <c r="A2566" s="64">
        <v>45462.0</v>
      </c>
      <c r="B2566" s="55" t="str">
        <f>HYPERLINK("https://jobright.ai/jobs/info/66736e9f21f478e9a4d0ffc8?utm_campaign=1065&amp;utm_source=sheet", "Apply")</f>
        <v>Apply</v>
      </c>
      <c r="C2566" s="10" t="s">
        <v>15261</v>
      </c>
      <c r="D2566" s="56" t="s">
        <v>14380</v>
      </c>
      <c r="E2566" s="59">
        <v>45301.0</v>
      </c>
      <c r="F2566" s="10" t="s">
        <v>14381</v>
      </c>
      <c r="G2566" s="10" t="s">
        <v>12654</v>
      </c>
      <c r="H2566" s="10" t="s">
        <v>956</v>
      </c>
      <c r="I2566" s="10" t="s">
        <v>55</v>
      </c>
      <c r="K2566" s="10" t="s">
        <v>15262</v>
      </c>
      <c r="L2566" s="10" t="s">
        <v>42</v>
      </c>
    </row>
    <row r="2567" ht="15.75" customHeight="1">
      <c r="A2567" s="64">
        <v>45462.0</v>
      </c>
      <c r="B2567" s="55" t="str">
        <f>HYPERLINK("https://jobright.ai/jobs/info/66736e9f21f478e9a4d0ffc7?utm_campaign=1065&amp;utm_source=sheet", "Apply")</f>
        <v>Apply</v>
      </c>
      <c r="C2567" s="10" t="s">
        <v>14379</v>
      </c>
      <c r="D2567" s="56" t="s">
        <v>14380</v>
      </c>
      <c r="E2567" s="59">
        <v>45301.0</v>
      </c>
      <c r="F2567" s="10" t="s">
        <v>14381</v>
      </c>
      <c r="G2567" s="10" t="s">
        <v>12654</v>
      </c>
      <c r="H2567" s="10" t="s">
        <v>1007</v>
      </c>
      <c r="I2567" s="10" t="s">
        <v>55</v>
      </c>
      <c r="J2567" s="10" t="s">
        <v>14382</v>
      </c>
      <c r="K2567" s="10" t="s">
        <v>14383</v>
      </c>
      <c r="L2567" s="10" t="s">
        <v>42</v>
      </c>
    </row>
    <row r="2568" ht="15.75" customHeight="1">
      <c r="A2568" s="64">
        <v>45462.0</v>
      </c>
      <c r="B2568" s="55" t="str">
        <f>HYPERLINK("https://jobright.ai/jobs/info/66736e9f21f478e9a4d0ffca?utm_campaign=1065&amp;utm_source=sheet", "Apply")</f>
        <v>Apply</v>
      </c>
      <c r="C2568" s="10" t="s">
        <v>15261</v>
      </c>
      <c r="D2568" s="56" t="s">
        <v>14380</v>
      </c>
      <c r="E2568" s="59">
        <v>45301.0</v>
      </c>
      <c r="F2568" s="10" t="s">
        <v>14381</v>
      </c>
      <c r="G2568" s="10" t="s">
        <v>12654</v>
      </c>
      <c r="H2568" s="10" t="s">
        <v>1035</v>
      </c>
      <c r="I2568" s="10" t="s">
        <v>55</v>
      </c>
      <c r="K2568" s="10" t="s">
        <v>15262</v>
      </c>
      <c r="L2568" s="10" t="s">
        <v>42</v>
      </c>
    </row>
    <row r="2569" ht="15.75" customHeight="1">
      <c r="A2569" s="64">
        <v>45462.0</v>
      </c>
      <c r="B2569" s="55" t="str">
        <f>HYPERLINK("https://jobright.ai/jobs/info/66736e9f21f478e9a4d0ffc9?utm_campaign=1065&amp;utm_source=sheet", "Apply")</f>
        <v>Apply</v>
      </c>
      <c r="C2569" s="10" t="s">
        <v>14379</v>
      </c>
      <c r="D2569" s="56" t="s">
        <v>14380</v>
      </c>
      <c r="E2569" s="59">
        <v>45301.0</v>
      </c>
      <c r="F2569" s="10" t="s">
        <v>14381</v>
      </c>
      <c r="G2569" s="10" t="s">
        <v>12654</v>
      </c>
      <c r="H2569" s="10" t="s">
        <v>835</v>
      </c>
      <c r="I2569" s="10" t="s">
        <v>55</v>
      </c>
      <c r="J2569" s="10" t="s">
        <v>14382</v>
      </c>
      <c r="K2569" s="10" t="s">
        <v>14383</v>
      </c>
      <c r="L2569" s="10" t="s">
        <v>42</v>
      </c>
    </row>
    <row r="2570" ht="15.75" customHeight="1">
      <c r="A2570" s="64">
        <v>45462.0</v>
      </c>
      <c r="B2570" s="55" t="str">
        <f>HYPERLINK("https://jobright.ai/jobs/info/66736e9f21f478e9a4d0ffd2?utm_campaign=1065&amp;utm_source=sheet", "Apply")</f>
        <v>Apply</v>
      </c>
      <c r="C2570" s="10" t="s">
        <v>14379</v>
      </c>
      <c r="D2570" s="56" t="s">
        <v>14380</v>
      </c>
      <c r="E2570" s="59">
        <v>45301.0</v>
      </c>
      <c r="F2570" s="10" t="s">
        <v>14381</v>
      </c>
      <c r="G2570" s="10" t="s">
        <v>12654</v>
      </c>
      <c r="H2570" s="10" t="s">
        <v>994</v>
      </c>
      <c r="I2570" s="10" t="s">
        <v>55</v>
      </c>
      <c r="J2570" s="10" t="s">
        <v>14382</v>
      </c>
      <c r="K2570" s="10" t="s">
        <v>14383</v>
      </c>
      <c r="L2570" s="10" t="s">
        <v>42</v>
      </c>
    </row>
    <row r="2571" ht="15.75" customHeight="1">
      <c r="A2571" s="64">
        <v>45462.0</v>
      </c>
      <c r="B2571" s="55" t="str">
        <f>HYPERLINK("https://jobright.ai/jobs/info/66736e9f21f478e9a4d0ffd0?utm_campaign=1065&amp;utm_source=sheet", "Apply")</f>
        <v>Apply</v>
      </c>
      <c r="C2571" s="10" t="s">
        <v>14379</v>
      </c>
      <c r="D2571" s="56" t="s">
        <v>14380</v>
      </c>
      <c r="E2571" s="59">
        <v>45301.0</v>
      </c>
      <c r="F2571" s="10" t="s">
        <v>14381</v>
      </c>
      <c r="G2571" s="10" t="s">
        <v>12654</v>
      </c>
      <c r="H2571" s="10" t="s">
        <v>819</v>
      </c>
      <c r="I2571" s="10" t="s">
        <v>55</v>
      </c>
      <c r="J2571" s="10" t="s">
        <v>14382</v>
      </c>
      <c r="K2571" s="10" t="s">
        <v>14383</v>
      </c>
      <c r="L2571" s="10" t="s">
        <v>42</v>
      </c>
    </row>
    <row r="2572" ht="15.75" customHeight="1">
      <c r="A2572" s="64">
        <v>45462.0</v>
      </c>
      <c r="B2572" s="55" t="str">
        <f>HYPERLINK("https://jobright.ai/jobs/info/66736e9f21f478e9a4d0ffcd?utm_campaign=1065&amp;utm_source=sheet", "Apply")</f>
        <v>Apply</v>
      </c>
      <c r="C2572" s="10" t="s">
        <v>15261</v>
      </c>
      <c r="D2572" s="56" t="s">
        <v>14380</v>
      </c>
      <c r="E2572" s="59">
        <v>45301.0</v>
      </c>
      <c r="F2572" s="10" t="s">
        <v>14381</v>
      </c>
      <c r="G2572" s="10" t="s">
        <v>12654</v>
      </c>
      <c r="H2572" s="10" t="s">
        <v>812</v>
      </c>
      <c r="I2572" s="10" t="s">
        <v>55</v>
      </c>
      <c r="K2572" s="10" t="s">
        <v>15262</v>
      </c>
      <c r="L2572" s="10" t="s">
        <v>42</v>
      </c>
    </row>
    <row r="2573" ht="15.75" customHeight="1">
      <c r="A2573" s="64">
        <v>45462.0</v>
      </c>
      <c r="B2573" s="55" t="str">
        <f>HYPERLINK("https://jobright.ai/jobs/info/66736e9f21f478e9a4d0ffcf?utm_campaign=1065&amp;utm_source=sheet", "Apply")</f>
        <v>Apply</v>
      </c>
      <c r="C2573" s="10" t="s">
        <v>14379</v>
      </c>
      <c r="D2573" s="56" t="s">
        <v>14380</v>
      </c>
      <c r="E2573" s="59">
        <v>45301.0</v>
      </c>
      <c r="F2573" s="10" t="s">
        <v>14381</v>
      </c>
      <c r="G2573" s="10" t="s">
        <v>12654</v>
      </c>
      <c r="H2573" s="10" t="s">
        <v>805</v>
      </c>
      <c r="I2573" s="10" t="s">
        <v>55</v>
      </c>
      <c r="J2573" s="10" t="s">
        <v>14382</v>
      </c>
      <c r="K2573" s="10" t="s">
        <v>14383</v>
      </c>
      <c r="L2573" s="10" t="s">
        <v>42</v>
      </c>
    </row>
    <row r="2574" ht="15.75" customHeight="1">
      <c r="A2574" s="64">
        <v>45462.0</v>
      </c>
      <c r="B2574" s="55" t="str">
        <f>HYPERLINK("https://jobright.ai/jobs/info/66736e9f21f478e9a4d0ffd3?utm_campaign=1065&amp;utm_source=sheet", "Apply")</f>
        <v>Apply</v>
      </c>
      <c r="C2574" s="10" t="s">
        <v>14379</v>
      </c>
      <c r="D2574" s="56" t="s">
        <v>14380</v>
      </c>
      <c r="E2574" s="59">
        <v>45301.0</v>
      </c>
      <c r="F2574" s="10" t="s">
        <v>14381</v>
      </c>
      <c r="G2574" s="10" t="s">
        <v>12654</v>
      </c>
      <c r="H2574" s="10" t="s">
        <v>806</v>
      </c>
      <c r="I2574" s="10" t="s">
        <v>55</v>
      </c>
      <c r="J2574" s="10" t="s">
        <v>14382</v>
      </c>
      <c r="K2574" s="10" t="s">
        <v>14383</v>
      </c>
      <c r="L2574" s="10" t="s">
        <v>42</v>
      </c>
    </row>
    <row r="2575" ht="15.75" customHeight="1">
      <c r="A2575" s="64">
        <v>45462.0</v>
      </c>
      <c r="B2575" s="55" t="str">
        <f>HYPERLINK("https://jobright.ai/jobs/info/66736e9f21f478e9a4d0ffd1?utm_campaign=1065&amp;utm_source=sheet", "Apply")</f>
        <v>Apply</v>
      </c>
      <c r="C2575" s="10" t="s">
        <v>14379</v>
      </c>
      <c r="D2575" s="56" t="s">
        <v>14380</v>
      </c>
      <c r="E2575" s="59">
        <v>45301.0</v>
      </c>
      <c r="F2575" s="10" t="s">
        <v>14381</v>
      </c>
      <c r="G2575" s="10" t="s">
        <v>12654</v>
      </c>
      <c r="H2575" s="10" t="s">
        <v>1042</v>
      </c>
      <c r="I2575" s="10" t="s">
        <v>55</v>
      </c>
      <c r="J2575" s="10" t="s">
        <v>14382</v>
      </c>
      <c r="K2575" s="10" t="s">
        <v>14383</v>
      </c>
      <c r="L2575" s="10" t="s">
        <v>42</v>
      </c>
    </row>
    <row r="2576" ht="15.75" customHeight="1">
      <c r="A2576" s="64">
        <v>45462.0</v>
      </c>
      <c r="B2576" s="55" t="str">
        <f>HYPERLINK("https://jobright.ai/jobs/info/66736e9f21f478e9a4d0ffcb?utm_campaign=1065&amp;utm_source=sheet", "Apply")</f>
        <v>Apply</v>
      </c>
      <c r="C2576" s="10" t="s">
        <v>14379</v>
      </c>
      <c r="D2576" s="56" t="s">
        <v>14380</v>
      </c>
      <c r="E2576" s="59">
        <v>45301.0</v>
      </c>
      <c r="F2576" s="10" t="s">
        <v>14381</v>
      </c>
      <c r="G2576" s="10" t="s">
        <v>12654</v>
      </c>
      <c r="H2576" s="10" t="s">
        <v>844</v>
      </c>
      <c r="I2576" s="10" t="s">
        <v>55</v>
      </c>
      <c r="J2576" s="10" t="s">
        <v>14382</v>
      </c>
      <c r="K2576" s="10" t="s">
        <v>14383</v>
      </c>
      <c r="L2576" s="10" t="s">
        <v>42</v>
      </c>
    </row>
    <row r="2577" ht="15.75" customHeight="1">
      <c r="A2577" s="64">
        <v>45462.0</v>
      </c>
      <c r="B2577" s="55" t="str">
        <f>HYPERLINK("https://jobright.ai/jobs/info/66736e9f21f478e9a4d0ffce?utm_campaign=1065&amp;utm_source=sheet", "Apply")</f>
        <v>Apply</v>
      </c>
      <c r="C2577" s="10" t="s">
        <v>14379</v>
      </c>
      <c r="D2577" s="56" t="s">
        <v>14380</v>
      </c>
      <c r="E2577" s="59">
        <v>45301.0</v>
      </c>
      <c r="F2577" s="10" t="s">
        <v>14381</v>
      </c>
      <c r="G2577" s="10" t="s">
        <v>12654</v>
      </c>
      <c r="H2577" s="10" t="s">
        <v>768</v>
      </c>
      <c r="I2577" s="10" t="s">
        <v>55</v>
      </c>
      <c r="J2577" s="10" t="s">
        <v>14382</v>
      </c>
      <c r="K2577" s="10" t="s">
        <v>14383</v>
      </c>
      <c r="L2577" s="10" t="s">
        <v>42</v>
      </c>
    </row>
    <row r="2578" ht="15.75" customHeight="1">
      <c r="A2578" s="64">
        <v>45462.0</v>
      </c>
      <c r="B2578" s="55" t="str">
        <f>HYPERLINK("https://jobright.ai/jobs/info/66736e9f21f478e9a4d0ffd4?utm_campaign=1065&amp;utm_source=sheet", "Apply")</f>
        <v>Apply</v>
      </c>
      <c r="C2578" s="10" t="s">
        <v>14379</v>
      </c>
      <c r="D2578" s="56" t="s">
        <v>14380</v>
      </c>
      <c r="E2578" s="59">
        <v>45301.0</v>
      </c>
      <c r="F2578" s="10" t="s">
        <v>14381</v>
      </c>
      <c r="G2578" s="10" t="s">
        <v>12654</v>
      </c>
      <c r="H2578" s="10" t="s">
        <v>890</v>
      </c>
      <c r="I2578" s="10" t="s">
        <v>55</v>
      </c>
      <c r="J2578" s="10" t="s">
        <v>14382</v>
      </c>
      <c r="K2578" s="10" t="s">
        <v>14383</v>
      </c>
      <c r="L2578" s="10" t="s">
        <v>42</v>
      </c>
    </row>
    <row r="2579" ht="15.75" customHeight="1">
      <c r="A2579" s="64">
        <v>45462.0</v>
      </c>
      <c r="B2579" s="55" t="str">
        <f>HYPERLINK("https://jobright.ai/jobs/info/66736e9f21f478e9a4d0ffcc?utm_campaign=1065&amp;utm_source=sheet", "Apply")</f>
        <v>Apply</v>
      </c>
      <c r="C2579" s="10" t="s">
        <v>15261</v>
      </c>
      <c r="D2579" s="56" t="s">
        <v>14380</v>
      </c>
      <c r="E2579" s="59">
        <v>45301.0</v>
      </c>
      <c r="F2579" s="10" t="s">
        <v>14381</v>
      </c>
      <c r="G2579" s="10" t="s">
        <v>12654</v>
      </c>
      <c r="H2579" s="10" t="s">
        <v>924</v>
      </c>
      <c r="I2579" s="10" t="s">
        <v>55</v>
      </c>
      <c r="K2579" s="10" t="s">
        <v>15262</v>
      </c>
      <c r="L2579" s="10" t="s">
        <v>42</v>
      </c>
    </row>
    <row r="2580" ht="15.75" customHeight="1">
      <c r="A2580" s="64">
        <v>45462.0</v>
      </c>
      <c r="B2580" s="55" t="str">
        <f>HYPERLINK("https://jobright.ai/jobs/info/66736e9f21f478e9a4d0ffd5?utm_campaign=1065&amp;utm_source=sheet", "Apply")</f>
        <v>Apply</v>
      </c>
      <c r="C2580" s="10" t="s">
        <v>14379</v>
      </c>
      <c r="D2580" s="56" t="s">
        <v>14380</v>
      </c>
      <c r="E2580" s="59">
        <v>45301.0</v>
      </c>
      <c r="F2580" s="10" t="s">
        <v>14381</v>
      </c>
      <c r="G2580" s="10" t="s">
        <v>12654</v>
      </c>
      <c r="H2580" s="10" t="s">
        <v>668</v>
      </c>
      <c r="I2580" s="10" t="s">
        <v>55</v>
      </c>
      <c r="J2580" s="10" t="s">
        <v>14382</v>
      </c>
      <c r="K2580" s="10" t="s">
        <v>14383</v>
      </c>
      <c r="L2580" s="10" t="s">
        <v>42</v>
      </c>
    </row>
    <row r="2581" ht="15.75" customHeight="1">
      <c r="A2581" s="64">
        <v>45462.0</v>
      </c>
      <c r="B2581" s="55" t="str">
        <f>HYPERLINK("https://jobright.ai/jobs/info/66736e9f21f478e9a4d0ffd7?utm_campaign=1065&amp;utm_source=sheet", "Apply")</f>
        <v>Apply</v>
      </c>
      <c r="C2581" s="10" t="s">
        <v>15261</v>
      </c>
      <c r="D2581" s="56" t="s">
        <v>14380</v>
      </c>
      <c r="E2581" s="59">
        <v>45301.0</v>
      </c>
      <c r="F2581" s="10" t="s">
        <v>14381</v>
      </c>
      <c r="G2581" s="10" t="s">
        <v>12654</v>
      </c>
      <c r="H2581" s="10" t="s">
        <v>870</v>
      </c>
      <c r="I2581" s="10" t="s">
        <v>55</v>
      </c>
      <c r="K2581" s="10" t="s">
        <v>15262</v>
      </c>
      <c r="L2581" s="10" t="s">
        <v>42</v>
      </c>
    </row>
    <row r="2582" ht="15.75" customHeight="1">
      <c r="A2582" s="64">
        <v>45462.0</v>
      </c>
      <c r="B2582" s="55" t="str">
        <f>HYPERLINK("https://jobright.ai/jobs/info/66736e9f21f478e9a4d0ffd6?utm_campaign=1065&amp;utm_source=sheet", "Apply")</f>
        <v>Apply</v>
      </c>
      <c r="C2582" s="10" t="s">
        <v>15261</v>
      </c>
      <c r="D2582" s="56" t="s">
        <v>14380</v>
      </c>
      <c r="E2582" s="59">
        <v>45301.0</v>
      </c>
      <c r="F2582" s="10" t="s">
        <v>14381</v>
      </c>
      <c r="G2582" s="10" t="s">
        <v>12654</v>
      </c>
      <c r="H2582" s="10" t="s">
        <v>980</v>
      </c>
      <c r="I2582" s="10" t="s">
        <v>55</v>
      </c>
      <c r="K2582" s="10" t="s">
        <v>15262</v>
      </c>
      <c r="L2582" s="10" t="s">
        <v>42</v>
      </c>
    </row>
    <row r="2583" ht="15.75" customHeight="1">
      <c r="A2583" s="64">
        <v>45462.0</v>
      </c>
      <c r="B2583" s="55" t="str">
        <f>HYPERLINK("https://jobright.ai/jobs/info/667354771e55822648545427?utm_campaign=1065&amp;utm_source=sheet", "Apply")</f>
        <v>Apply</v>
      </c>
      <c r="C2583" s="10" t="s">
        <v>15261</v>
      </c>
      <c r="D2583" s="56" t="s">
        <v>14380</v>
      </c>
      <c r="E2583" s="59">
        <v>45301.0</v>
      </c>
      <c r="F2583" s="10" t="s">
        <v>14381</v>
      </c>
      <c r="G2583" s="10" t="s">
        <v>12654</v>
      </c>
      <c r="H2583" s="10" t="s">
        <v>1015</v>
      </c>
      <c r="I2583" s="10" t="s">
        <v>55</v>
      </c>
      <c r="K2583" s="10" t="s">
        <v>15262</v>
      </c>
      <c r="L2583" s="10" t="s">
        <v>42</v>
      </c>
    </row>
    <row r="2584" ht="15.75" customHeight="1">
      <c r="A2584" s="64">
        <v>45462.0</v>
      </c>
      <c r="B2584" s="55" t="str">
        <f>HYPERLINK("https://jobright.ai/jobs/info/667354771e55822648545428?utm_campaign=1065&amp;utm_source=sheet", "Apply")</f>
        <v>Apply</v>
      </c>
      <c r="C2584" s="10" t="s">
        <v>15261</v>
      </c>
      <c r="D2584" s="56" t="s">
        <v>14380</v>
      </c>
      <c r="E2584" s="59">
        <v>45301.0</v>
      </c>
      <c r="F2584" s="10" t="s">
        <v>14381</v>
      </c>
      <c r="G2584" s="10" t="s">
        <v>12654</v>
      </c>
      <c r="H2584" s="10" t="s">
        <v>893</v>
      </c>
      <c r="I2584" s="10" t="s">
        <v>55</v>
      </c>
      <c r="K2584" s="10" t="s">
        <v>15262</v>
      </c>
      <c r="L2584" s="10" t="s">
        <v>42</v>
      </c>
    </row>
    <row r="2585" ht="15.75" customHeight="1">
      <c r="A2585" s="64">
        <v>45462.0</v>
      </c>
      <c r="B2585" s="55" t="str">
        <f>HYPERLINK("https://jobright.ai/jobs/info/667354771e55822648545426?utm_campaign=1065&amp;utm_source=sheet", "Apply")</f>
        <v>Apply</v>
      </c>
      <c r="C2585" s="10" t="s">
        <v>15261</v>
      </c>
      <c r="D2585" s="56" t="s">
        <v>14380</v>
      </c>
      <c r="E2585" s="59">
        <v>45301.0</v>
      </c>
      <c r="F2585" s="10" t="s">
        <v>14381</v>
      </c>
      <c r="G2585" s="10" t="s">
        <v>12654</v>
      </c>
      <c r="H2585" s="10" t="s">
        <v>975</v>
      </c>
      <c r="I2585" s="10" t="s">
        <v>55</v>
      </c>
      <c r="K2585" s="10" t="s">
        <v>15262</v>
      </c>
      <c r="L2585" s="10" t="s">
        <v>42</v>
      </c>
    </row>
    <row r="2586" ht="15.75" customHeight="1">
      <c r="A2586" s="64">
        <v>45462.0</v>
      </c>
      <c r="B2586" s="55" t="str">
        <f>HYPERLINK("https://jobright.ai/jobs/info/667354771e55822648545429?utm_campaign=1065&amp;utm_source=sheet", "Apply")</f>
        <v>Apply</v>
      </c>
      <c r="C2586" s="10" t="s">
        <v>15261</v>
      </c>
      <c r="D2586" s="56" t="s">
        <v>14380</v>
      </c>
      <c r="E2586" s="59">
        <v>45301.0</v>
      </c>
      <c r="F2586" s="10" t="s">
        <v>14381</v>
      </c>
      <c r="G2586" s="10" t="s">
        <v>12654</v>
      </c>
      <c r="H2586" s="10" t="s">
        <v>951</v>
      </c>
      <c r="I2586" s="10" t="s">
        <v>55</v>
      </c>
      <c r="K2586" s="10" t="s">
        <v>15262</v>
      </c>
      <c r="L2586" s="10" t="s">
        <v>42</v>
      </c>
    </row>
    <row r="2587" ht="15.75" customHeight="1">
      <c r="A2587" s="64">
        <v>45462.0</v>
      </c>
      <c r="B2587" s="55" t="str">
        <f>HYPERLINK("https://jobright.ai/jobs/info/667354771e5582264854542a?utm_campaign=1065&amp;utm_source=sheet", "Apply")</f>
        <v>Apply</v>
      </c>
      <c r="C2587" s="10" t="s">
        <v>15261</v>
      </c>
      <c r="D2587" s="56" t="s">
        <v>14380</v>
      </c>
      <c r="E2587" s="59">
        <v>45301.0</v>
      </c>
      <c r="F2587" s="10" t="s">
        <v>14381</v>
      </c>
      <c r="G2587" s="10" t="s">
        <v>12654</v>
      </c>
      <c r="H2587" s="10" t="s">
        <v>852</v>
      </c>
      <c r="I2587" s="10" t="s">
        <v>55</v>
      </c>
      <c r="K2587" s="10" t="s">
        <v>15262</v>
      </c>
      <c r="L2587" s="10" t="s">
        <v>42</v>
      </c>
    </row>
    <row r="2588" ht="15.75" customHeight="1">
      <c r="A2588" s="64">
        <v>45462.0</v>
      </c>
      <c r="B2588" s="55" t="str">
        <f>HYPERLINK("https://jobright.ai/jobs/info/667354771e5582264854542b?utm_campaign=1065&amp;utm_source=sheet", "Apply")</f>
        <v>Apply</v>
      </c>
      <c r="C2588" s="10" t="s">
        <v>15261</v>
      </c>
      <c r="D2588" s="56" t="s">
        <v>14380</v>
      </c>
      <c r="E2588" s="59">
        <v>45301.0</v>
      </c>
      <c r="F2588" s="10" t="s">
        <v>14381</v>
      </c>
      <c r="G2588" s="10" t="s">
        <v>12654</v>
      </c>
      <c r="H2588" s="10" t="s">
        <v>989</v>
      </c>
      <c r="I2588" s="10" t="s">
        <v>55</v>
      </c>
      <c r="K2588" s="10" t="s">
        <v>15262</v>
      </c>
      <c r="L2588" s="10" t="s">
        <v>42</v>
      </c>
    </row>
    <row r="2589" ht="15.75" customHeight="1">
      <c r="A2589" s="64">
        <v>45462.0</v>
      </c>
      <c r="B2589" s="55" t="str">
        <f>HYPERLINK("https://jobright.ai/jobs/info/667354771e5582264854542c?utm_campaign=1065&amp;utm_source=sheet", "Apply")</f>
        <v>Apply</v>
      </c>
      <c r="C2589" s="10" t="s">
        <v>14379</v>
      </c>
      <c r="D2589" s="56" t="s">
        <v>14380</v>
      </c>
      <c r="E2589" s="59">
        <v>45301.0</v>
      </c>
      <c r="F2589" s="10" t="s">
        <v>14381</v>
      </c>
      <c r="G2589" s="10" t="s">
        <v>12654</v>
      </c>
      <c r="H2589" s="10" t="s">
        <v>785</v>
      </c>
      <c r="I2589" s="10" t="s">
        <v>55</v>
      </c>
      <c r="J2589" s="10" t="s">
        <v>14382</v>
      </c>
      <c r="K2589" s="10" t="s">
        <v>14383</v>
      </c>
      <c r="L2589" s="10" t="s">
        <v>42</v>
      </c>
    </row>
    <row r="2590" ht="15.75" customHeight="1">
      <c r="A2590" s="64">
        <v>45462.0</v>
      </c>
      <c r="B2590" s="55" t="str">
        <f>HYPERLINK("https://jobright.ai/jobs/info/667354771e55822648545430?utm_campaign=1065&amp;utm_source=sheet", "Apply")</f>
        <v>Apply</v>
      </c>
      <c r="C2590" s="10" t="s">
        <v>14379</v>
      </c>
      <c r="D2590" s="56" t="s">
        <v>14380</v>
      </c>
      <c r="E2590" s="59">
        <v>45301.0</v>
      </c>
      <c r="F2590" s="10" t="s">
        <v>14381</v>
      </c>
      <c r="G2590" s="10" t="s">
        <v>12654</v>
      </c>
      <c r="H2590" s="10" t="s">
        <v>790</v>
      </c>
      <c r="I2590" s="10" t="s">
        <v>55</v>
      </c>
      <c r="J2590" s="10" t="s">
        <v>14382</v>
      </c>
      <c r="K2590" s="10" t="s">
        <v>14383</v>
      </c>
      <c r="L2590" s="10" t="s">
        <v>42</v>
      </c>
    </row>
    <row r="2591" ht="15.75" customHeight="1">
      <c r="A2591" s="64">
        <v>45462.0</v>
      </c>
      <c r="B2591" s="55" t="str">
        <f>HYPERLINK("https://jobright.ai/jobs/info/667354771e55822648545431?utm_campaign=1065&amp;utm_source=sheet", "Apply")</f>
        <v>Apply</v>
      </c>
      <c r="C2591" s="10" t="s">
        <v>14379</v>
      </c>
      <c r="D2591" s="56" t="s">
        <v>14380</v>
      </c>
      <c r="E2591" s="59">
        <v>45301.0</v>
      </c>
      <c r="F2591" s="10" t="s">
        <v>14381</v>
      </c>
      <c r="G2591" s="10" t="s">
        <v>12654</v>
      </c>
      <c r="H2591" s="10" t="s">
        <v>1004</v>
      </c>
      <c r="I2591" s="10" t="s">
        <v>55</v>
      </c>
      <c r="J2591" s="10" t="s">
        <v>14382</v>
      </c>
      <c r="K2591" s="10" t="s">
        <v>14383</v>
      </c>
      <c r="L2591" s="10" t="s">
        <v>42</v>
      </c>
    </row>
    <row r="2592" ht="15.75" customHeight="1">
      <c r="A2592" s="64">
        <v>45462.0</v>
      </c>
      <c r="B2592" s="55" t="str">
        <f>HYPERLINK("https://jobright.ai/jobs/info/667354771e55822648545432?utm_campaign=1065&amp;utm_source=sheet", "Apply")</f>
        <v>Apply</v>
      </c>
      <c r="C2592" s="10" t="s">
        <v>15261</v>
      </c>
      <c r="D2592" s="56" t="s">
        <v>14380</v>
      </c>
      <c r="E2592" s="59">
        <v>45301.0</v>
      </c>
      <c r="F2592" s="10" t="s">
        <v>14381</v>
      </c>
      <c r="G2592" s="10" t="s">
        <v>12654</v>
      </c>
      <c r="H2592" s="10" t="s">
        <v>994</v>
      </c>
      <c r="I2592" s="10" t="s">
        <v>55</v>
      </c>
      <c r="K2592" s="10" t="s">
        <v>15262</v>
      </c>
      <c r="L2592" s="10" t="s">
        <v>42</v>
      </c>
    </row>
    <row r="2593" ht="15.75" customHeight="1">
      <c r="A2593" s="64">
        <v>45462.0</v>
      </c>
      <c r="B2593" s="55" t="str">
        <f>HYPERLINK("https://jobright.ai/jobs/info/667354771e5582264854542f?utm_campaign=1065&amp;utm_source=sheet", "Apply")</f>
        <v>Apply</v>
      </c>
      <c r="C2593" s="10" t="s">
        <v>14379</v>
      </c>
      <c r="D2593" s="56" t="s">
        <v>14380</v>
      </c>
      <c r="E2593" s="59">
        <v>45301.0</v>
      </c>
      <c r="F2593" s="10" t="s">
        <v>14381</v>
      </c>
      <c r="G2593" s="10" t="s">
        <v>12654</v>
      </c>
      <c r="H2593" s="10" t="s">
        <v>917</v>
      </c>
      <c r="I2593" s="10" t="s">
        <v>55</v>
      </c>
      <c r="J2593" s="10" t="s">
        <v>14382</v>
      </c>
      <c r="K2593" s="10" t="s">
        <v>14383</v>
      </c>
      <c r="L2593" s="10" t="s">
        <v>42</v>
      </c>
    </row>
    <row r="2594" ht="15.75" customHeight="1">
      <c r="A2594" s="64">
        <v>45462.0</v>
      </c>
      <c r="B2594" s="55" t="str">
        <f>HYPERLINK("https://jobright.ai/jobs/info/667354771e5582264854542d?utm_campaign=1065&amp;utm_source=sheet", "Apply")</f>
        <v>Apply</v>
      </c>
      <c r="C2594" s="10" t="s">
        <v>15261</v>
      </c>
      <c r="D2594" s="56" t="s">
        <v>14380</v>
      </c>
      <c r="E2594" s="59">
        <v>45301.0</v>
      </c>
      <c r="F2594" s="10" t="s">
        <v>14381</v>
      </c>
      <c r="G2594" s="10" t="s">
        <v>12654</v>
      </c>
      <c r="H2594" s="10" t="s">
        <v>1050</v>
      </c>
      <c r="I2594" s="10" t="s">
        <v>55</v>
      </c>
      <c r="K2594" s="10" t="s">
        <v>15262</v>
      </c>
      <c r="L2594" s="10" t="s">
        <v>42</v>
      </c>
    </row>
    <row r="2595" ht="15.75" customHeight="1">
      <c r="A2595" s="64">
        <v>45462.0</v>
      </c>
      <c r="B2595" s="55" t="str">
        <f>HYPERLINK("https://jobright.ai/jobs/info/667354771e5582264854542e?utm_campaign=1065&amp;utm_source=sheet", "Apply")</f>
        <v>Apply</v>
      </c>
      <c r="C2595" s="10" t="s">
        <v>14379</v>
      </c>
      <c r="D2595" s="56" t="s">
        <v>14380</v>
      </c>
      <c r="E2595" s="59">
        <v>45301.0</v>
      </c>
      <c r="F2595" s="10" t="s">
        <v>14381</v>
      </c>
      <c r="G2595" s="10" t="s">
        <v>12654</v>
      </c>
      <c r="H2595" s="10" t="s">
        <v>1018</v>
      </c>
      <c r="I2595" s="10" t="s">
        <v>55</v>
      </c>
      <c r="J2595" s="10" t="s">
        <v>14382</v>
      </c>
      <c r="K2595" s="10" t="s">
        <v>14383</v>
      </c>
      <c r="L2595" s="10" t="s">
        <v>42</v>
      </c>
    </row>
    <row r="2596" ht="15.75" customHeight="1">
      <c r="A2596" s="64">
        <v>45462.0</v>
      </c>
      <c r="B2596" s="55" t="str">
        <f>HYPERLINK("https://jobright.ai/jobs/info/667354771e5582264854543a?utm_campaign=1065&amp;utm_source=sheet", "Apply")</f>
        <v>Apply</v>
      </c>
      <c r="C2596" s="10" t="s">
        <v>14379</v>
      </c>
      <c r="D2596" s="56" t="s">
        <v>14380</v>
      </c>
      <c r="E2596" s="59">
        <v>45301.0</v>
      </c>
      <c r="F2596" s="10" t="s">
        <v>14381</v>
      </c>
      <c r="G2596" s="10" t="s">
        <v>12654</v>
      </c>
      <c r="H2596" s="10" t="s">
        <v>928</v>
      </c>
      <c r="I2596" s="10" t="s">
        <v>55</v>
      </c>
      <c r="J2596" s="10" t="s">
        <v>14382</v>
      </c>
      <c r="K2596" s="10" t="s">
        <v>14383</v>
      </c>
      <c r="L2596" s="10" t="s">
        <v>42</v>
      </c>
    </row>
    <row r="2597" ht="15.75" customHeight="1">
      <c r="A2597" s="64">
        <v>45462.0</v>
      </c>
      <c r="B2597" s="55" t="str">
        <f>HYPERLINK("https://jobright.ai/jobs/info/667354771e55822648545435?utm_campaign=1065&amp;utm_source=sheet", "Apply")</f>
        <v>Apply</v>
      </c>
      <c r="C2597" s="10" t="s">
        <v>15261</v>
      </c>
      <c r="D2597" s="56" t="s">
        <v>14380</v>
      </c>
      <c r="E2597" s="59">
        <v>45301.0</v>
      </c>
      <c r="F2597" s="10" t="s">
        <v>14381</v>
      </c>
      <c r="G2597" s="10" t="s">
        <v>12654</v>
      </c>
      <c r="H2597" s="10" t="s">
        <v>912</v>
      </c>
      <c r="I2597" s="10" t="s">
        <v>55</v>
      </c>
      <c r="K2597" s="10" t="s">
        <v>15262</v>
      </c>
      <c r="L2597" s="10" t="s">
        <v>42</v>
      </c>
    </row>
    <row r="2598" ht="15.75" customHeight="1">
      <c r="A2598" s="64">
        <v>45462.0</v>
      </c>
      <c r="B2598" s="55" t="str">
        <f>HYPERLINK("https://jobright.ai/jobs/info/667354771e55822648545444?utm_campaign=1065&amp;utm_source=sheet", "Apply")</f>
        <v>Apply</v>
      </c>
      <c r="C2598" s="10" t="s">
        <v>14379</v>
      </c>
      <c r="D2598" s="56" t="s">
        <v>14380</v>
      </c>
      <c r="E2598" s="59">
        <v>45301.0</v>
      </c>
      <c r="F2598" s="10" t="s">
        <v>14381</v>
      </c>
      <c r="G2598" s="10" t="s">
        <v>12654</v>
      </c>
      <c r="H2598" s="10" t="s">
        <v>153</v>
      </c>
      <c r="I2598" s="10" t="s">
        <v>55</v>
      </c>
      <c r="J2598" s="10" t="s">
        <v>14382</v>
      </c>
      <c r="K2598" s="10" t="s">
        <v>14383</v>
      </c>
      <c r="L2598" s="10" t="s">
        <v>42</v>
      </c>
    </row>
    <row r="2599" ht="15.75" customHeight="1">
      <c r="A2599" s="64">
        <v>45462.0</v>
      </c>
      <c r="B2599" s="55" t="str">
        <f>HYPERLINK("https://jobright.ai/jobs/info/667354771e5582264854543f?utm_campaign=1065&amp;utm_source=sheet", "Apply")</f>
        <v>Apply</v>
      </c>
      <c r="C2599" s="10" t="s">
        <v>15261</v>
      </c>
      <c r="D2599" s="56" t="s">
        <v>14380</v>
      </c>
      <c r="E2599" s="59">
        <v>45301.0</v>
      </c>
      <c r="F2599" s="10" t="s">
        <v>14381</v>
      </c>
      <c r="G2599" s="10" t="s">
        <v>12654</v>
      </c>
      <c r="H2599" s="10" t="s">
        <v>768</v>
      </c>
      <c r="I2599" s="10" t="s">
        <v>55</v>
      </c>
      <c r="K2599" s="10" t="s">
        <v>15262</v>
      </c>
      <c r="L2599" s="10" t="s">
        <v>42</v>
      </c>
    </row>
    <row r="2600" ht="15.75" customHeight="1">
      <c r="A2600" s="64">
        <v>45462.0</v>
      </c>
      <c r="B2600" s="55" t="str">
        <f>HYPERLINK("https://jobright.ai/jobs/info/667354771e55822648545434?utm_campaign=1065&amp;utm_source=sheet", "Apply")</f>
        <v>Apply</v>
      </c>
      <c r="C2600" s="10" t="s">
        <v>14379</v>
      </c>
      <c r="D2600" s="56" t="s">
        <v>14380</v>
      </c>
      <c r="E2600" s="59">
        <v>45301.0</v>
      </c>
      <c r="F2600" s="10" t="s">
        <v>14381</v>
      </c>
      <c r="G2600" s="10" t="s">
        <v>12654</v>
      </c>
      <c r="H2600" s="10" t="s">
        <v>757</v>
      </c>
      <c r="I2600" s="10" t="s">
        <v>55</v>
      </c>
      <c r="J2600" s="10" t="s">
        <v>14382</v>
      </c>
      <c r="K2600" s="10" t="s">
        <v>14383</v>
      </c>
      <c r="L2600" s="10" t="s">
        <v>42</v>
      </c>
    </row>
    <row r="2601" ht="15.75" customHeight="1">
      <c r="A2601" s="64">
        <v>45462.0</v>
      </c>
      <c r="B2601" s="55" t="str">
        <f>HYPERLINK("https://jobright.ai/jobs/info/667354771e55822648545438?utm_campaign=1065&amp;utm_source=sheet", "Apply")</f>
        <v>Apply</v>
      </c>
      <c r="C2601" s="10" t="s">
        <v>14379</v>
      </c>
      <c r="D2601" s="56" t="s">
        <v>14380</v>
      </c>
      <c r="E2601" s="59">
        <v>45301.0</v>
      </c>
      <c r="F2601" s="10" t="s">
        <v>14381</v>
      </c>
      <c r="G2601" s="10" t="s">
        <v>12654</v>
      </c>
      <c r="H2601" s="10" t="s">
        <v>772</v>
      </c>
      <c r="I2601" s="10" t="s">
        <v>55</v>
      </c>
      <c r="J2601" s="10" t="s">
        <v>14382</v>
      </c>
      <c r="K2601" s="10" t="s">
        <v>14383</v>
      </c>
      <c r="L2601" s="10" t="s">
        <v>42</v>
      </c>
    </row>
    <row r="2602" ht="15.75" customHeight="1">
      <c r="A2602" s="64">
        <v>45462.0</v>
      </c>
      <c r="B2602" s="55" t="str">
        <f>HYPERLINK("https://jobright.ai/jobs/info/667354771e55822648545436?utm_campaign=1065&amp;utm_source=sheet", "Apply")</f>
        <v>Apply</v>
      </c>
      <c r="C2602" s="10" t="s">
        <v>14379</v>
      </c>
      <c r="D2602" s="56" t="s">
        <v>14380</v>
      </c>
      <c r="E2602" s="59">
        <v>45301.0</v>
      </c>
      <c r="F2602" s="10" t="s">
        <v>14381</v>
      </c>
      <c r="G2602" s="10" t="s">
        <v>12654</v>
      </c>
      <c r="H2602" s="10" t="s">
        <v>971</v>
      </c>
      <c r="I2602" s="10" t="s">
        <v>55</v>
      </c>
      <c r="J2602" s="10" t="s">
        <v>14382</v>
      </c>
      <c r="K2602" s="10" t="s">
        <v>14383</v>
      </c>
      <c r="L2602" s="10" t="s">
        <v>42</v>
      </c>
    </row>
    <row r="2603" ht="15.75" customHeight="1">
      <c r="A2603" s="64">
        <v>45462.0</v>
      </c>
      <c r="B2603" s="55" t="str">
        <f>HYPERLINK("https://jobright.ai/jobs/info/667354771e5582264854543d?utm_campaign=1065&amp;utm_source=sheet", "Apply")</f>
        <v>Apply</v>
      </c>
      <c r="C2603" s="10" t="s">
        <v>15261</v>
      </c>
      <c r="D2603" s="56" t="s">
        <v>14380</v>
      </c>
      <c r="E2603" s="59">
        <v>45301.0</v>
      </c>
      <c r="F2603" s="10" t="s">
        <v>14381</v>
      </c>
      <c r="G2603" s="10" t="s">
        <v>12654</v>
      </c>
      <c r="H2603" s="10" t="s">
        <v>969</v>
      </c>
      <c r="I2603" s="10" t="s">
        <v>55</v>
      </c>
      <c r="K2603" s="10" t="s">
        <v>15262</v>
      </c>
      <c r="L2603" s="10" t="s">
        <v>42</v>
      </c>
    </row>
    <row r="2604" ht="15.75" customHeight="1">
      <c r="A2604" s="64">
        <v>45462.0</v>
      </c>
      <c r="B2604" s="55" t="str">
        <f>HYPERLINK("https://jobright.ai/jobs/info/667354771e5582264854543c?utm_campaign=1065&amp;utm_source=sheet", "Apply")</f>
        <v>Apply</v>
      </c>
      <c r="C2604" s="10" t="s">
        <v>15261</v>
      </c>
      <c r="D2604" s="56" t="s">
        <v>14380</v>
      </c>
      <c r="E2604" s="59">
        <v>45301.0</v>
      </c>
      <c r="F2604" s="10" t="s">
        <v>14381</v>
      </c>
      <c r="G2604" s="10" t="s">
        <v>12654</v>
      </c>
      <c r="H2604" s="10" t="s">
        <v>875</v>
      </c>
      <c r="I2604" s="10" t="s">
        <v>55</v>
      </c>
      <c r="K2604" s="10" t="s">
        <v>15262</v>
      </c>
      <c r="L2604" s="10" t="s">
        <v>42</v>
      </c>
    </row>
    <row r="2605" ht="15.75" customHeight="1">
      <c r="A2605" s="64">
        <v>45462.0</v>
      </c>
      <c r="B2605" s="55" t="str">
        <f>HYPERLINK("https://jobright.ai/jobs/info/667354771e55822648545433?utm_campaign=1065&amp;utm_source=sheet", "Apply")</f>
        <v>Apply</v>
      </c>
      <c r="C2605" s="10" t="s">
        <v>15261</v>
      </c>
      <c r="D2605" s="56" t="s">
        <v>14380</v>
      </c>
      <c r="E2605" s="59">
        <v>45301.0</v>
      </c>
      <c r="F2605" s="10" t="s">
        <v>14381</v>
      </c>
      <c r="G2605" s="10" t="s">
        <v>12654</v>
      </c>
      <c r="H2605" s="10" t="s">
        <v>984</v>
      </c>
      <c r="I2605" s="10" t="s">
        <v>55</v>
      </c>
      <c r="K2605" s="10" t="s">
        <v>15262</v>
      </c>
      <c r="L2605" s="10" t="s">
        <v>42</v>
      </c>
    </row>
    <row r="2606" ht="15.75" customHeight="1">
      <c r="A2606" s="64">
        <v>45462.0</v>
      </c>
      <c r="B2606" s="55" t="str">
        <f>HYPERLINK("https://jobright.ai/jobs/info/667354771e55822648545441?utm_campaign=1065&amp;utm_source=sheet", "Apply")</f>
        <v>Apply</v>
      </c>
      <c r="C2606" s="10" t="s">
        <v>14379</v>
      </c>
      <c r="D2606" s="56" t="s">
        <v>14380</v>
      </c>
      <c r="E2606" s="59">
        <v>45301.0</v>
      </c>
      <c r="F2606" s="10" t="s">
        <v>14381</v>
      </c>
      <c r="G2606" s="10" t="s">
        <v>12654</v>
      </c>
      <c r="H2606" s="10" t="s">
        <v>907</v>
      </c>
      <c r="I2606" s="10" t="s">
        <v>55</v>
      </c>
      <c r="J2606" s="10" t="s">
        <v>14382</v>
      </c>
      <c r="K2606" s="10" t="s">
        <v>14383</v>
      </c>
      <c r="L2606" s="10" t="s">
        <v>42</v>
      </c>
    </row>
    <row r="2607" ht="15.75" customHeight="1">
      <c r="A2607" s="64">
        <v>45462.0</v>
      </c>
      <c r="B2607" s="55" t="str">
        <f>HYPERLINK("https://jobright.ai/jobs/info/667354771e55822648545443?utm_campaign=1065&amp;utm_source=sheet", "Apply")</f>
        <v>Apply</v>
      </c>
      <c r="C2607" s="10" t="s">
        <v>14379</v>
      </c>
      <c r="D2607" s="56" t="s">
        <v>14380</v>
      </c>
      <c r="E2607" s="59">
        <v>45301.0</v>
      </c>
      <c r="F2607" s="10" t="s">
        <v>14381</v>
      </c>
      <c r="G2607" s="10" t="s">
        <v>12654</v>
      </c>
      <c r="H2607" s="10" t="s">
        <v>605</v>
      </c>
      <c r="I2607" s="10" t="s">
        <v>55</v>
      </c>
      <c r="J2607" s="10" t="s">
        <v>14382</v>
      </c>
      <c r="K2607" s="10" t="s">
        <v>14383</v>
      </c>
      <c r="L2607" s="10" t="s">
        <v>42</v>
      </c>
    </row>
    <row r="2608" ht="15.75" customHeight="1">
      <c r="A2608" s="64">
        <v>45462.0</v>
      </c>
      <c r="B2608" s="55" t="str">
        <f>HYPERLINK("https://jobright.ai/jobs/info/667354771e55822648545445?utm_campaign=1065&amp;utm_source=sheet", "Apply")</f>
        <v>Apply</v>
      </c>
      <c r="C2608" s="10" t="s">
        <v>15261</v>
      </c>
      <c r="D2608" s="56" t="s">
        <v>14380</v>
      </c>
      <c r="E2608" s="59">
        <v>45301.0</v>
      </c>
      <c r="F2608" s="10" t="s">
        <v>14381</v>
      </c>
      <c r="G2608" s="10" t="s">
        <v>12654</v>
      </c>
      <c r="H2608" s="10" t="s">
        <v>831</v>
      </c>
      <c r="I2608" s="10" t="s">
        <v>55</v>
      </c>
      <c r="K2608" s="10" t="s">
        <v>15262</v>
      </c>
      <c r="L2608" s="10" t="s">
        <v>42</v>
      </c>
    </row>
    <row r="2609" ht="15.75" customHeight="1">
      <c r="A2609" s="64">
        <v>45462.0</v>
      </c>
      <c r="B2609" s="55" t="str">
        <f>HYPERLINK("https://jobright.ai/jobs/info/667354771e55822648545437?utm_campaign=1065&amp;utm_source=sheet", "Apply")</f>
        <v>Apply</v>
      </c>
      <c r="C2609" s="10" t="s">
        <v>15261</v>
      </c>
      <c r="D2609" s="56" t="s">
        <v>14380</v>
      </c>
      <c r="E2609" s="59">
        <v>45301.0</v>
      </c>
      <c r="F2609" s="10" t="s">
        <v>14381</v>
      </c>
      <c r="G2609" s="10" t="s">
        <v>12654</v>
      </c>
      <c r="H2609" s="10" t="s">
        <v>769</v>
      </c>
      <c r="I2609" s="10" t="s">
        <v>55</v>
      </c>
      <c r="K2609" s="10" t="s">
        <v>15262</v>
      </c>
      <c r="L2609" s="10" t="s">
        <v>42</v>
      </c>
    </row>
    <row r="2610" ht="15.75" customHeight="1">
      <c r="A2610" s="64">
        <v>45462.0</v>
      </c>
      <c r="B2610" s="55" t="str">
        <f>HYPERLINK("https://jobright.ai/jobs/info/667354771e55822648545440?utm_campaign=1065&amp;utm_source=sheet", "Apply")</f>
        <v>Apply</v>
      </c>
      <c r="C2610" s="10" t="s">
        <v>14379</v>
      </c>
      <c r="D2610" s="56" t="s">
        <v>14380</v>
      </c>
      <c r="E2610" s="59">
        <v>45301.0</v>
      </c>
      <c r="F2610" s="10" t="s">
        <v>14381</v>
      </c>
      <c r="G2610" s="10" t="s">
        <v>12654</v>
      </c>
      <c r="H2610" s="10" t="s">
        <v>847</v>
      </c>
      <c r="I2610" s="10" t="s">
        <v>55</v>
      </c>
      <c r="J2610" s="10" t="s">
        <v>14382</v>
      </c>
      <c r="K2610" s="10" t="s">
        <v>14383</v>
      </c>
      <c r="L2610" s="10" t="s">
        <v>42</v>
      </c>
    </row>
    <row r="2611" ht="15.75" customHeight="1">
      <c r="A2611" s="64">
        <v>45462.0</v>
      </c>
      <c r="B2611" s="55" t="str">
        <f>HYPERLINK("https://jobright.ai/jobs/info/667354771e5582264854543b?utm_campaign=1065&amp;utm_source=sheet", "Apply")</f>
        <v>Apply</v>
      </c>
      <c r="C2611" s="10" t="s">
        <v>15261</v>
      </c>
      <c r="D2611" s="56" t="s">
        <v>14380</v>
      </c>
      <c r="E2611" s="59">
        <v>45301.0</v>
      </c>
      <c r="F2611" s="10" t="s">
        <v>14381</v>
      </c>
      <c r="G2611" s="10" t="s">
        <v>12654</v>
      </c>
      <c r="H2611" s="10" t="s">
        <v>872</v>
      </c>
      <c r="I2611" s="10" t="s">
        <v>55</v>
      </c>
      <c r="K2611" s="10" t="s">
        <v>15262</v>
      </c>
      <c r="L2611" s="10" t="s">
        <v>42</v>
      </c>
    </row>
    <row r="2612" ht="15.75" customHeight="1">
      <c r="A2612" s="64">
        <v>45462.0</v>
      </c>
      <c r="B2612" s="55" t="str">
        <f>HYPERLINK("https://jobright.ai/jobs/info/667354771e5582264854543e?utm_campaign=1065&amp;utm_source=sheet", "Apply")</f>
        <v>Apply</v>
      </c>
      <c r="C2612" s="10" t="s">
        <v>14379</v>
      </c>
      <c r="D2612" s="56" t="s">
        <v>14380</v>
      </c>
      <c r="E2612" s="59">
        <v>45301.0</v>
      </c>
      <c r="F2612" s="10" t="s">
        <v>14381</v>
      </c>
      <c r="G2612" s="10" t="s">
        <v>12654</v>
      </c>
      <c r="H2612" s="10" t="s">
        <v>868</v>
      </c>
      <c r="I2612" s="10" t="s">
        <v>55</v>
      </c>
      <c r="J2612" s="10" t="s">
        <v>14382</v>
      </c>
      <c r="K2612" s="10" t="s">
        <v>14383</v>
      </c>
      <c r="L2612" s="10" t="s">
        <v>42</v>
      </c>
    </row>
    <row r="2613" ht="15.75" customHeight="1">
      <c r="A2613" s="64">
        <v>45462.0</v>
      </c>
      <c r="B2613" s="55" t="str">
        <f>HYPERLINK("https://jobright.ai/jobs/info/667354771e55822648545439?utm_campaign=1065&amp;utm_source=sheet", "Apply")</f>
        <v>Apply</v>
      </c>
      <c r="C2613" s="10" t="s">
        <v>15261</v>
      </c>
      <c r="D2613" s="56" t="s">
        <v>14380</v>
      </c>
      <c r="E2613" s="59">
        <v>45301.0</v>
      </c>
      <c r="F2613" s="10" t="s">
        <v>14381</v>
      </c>
      <c r="G2613" s="10" t="s">
        <v>12654</v>
      </c>
      <c r="H2613" s="10" t="s">
        <v>941</v>
      </c>
      <c r="I2613" s="10" t="s">
        <v>55</v>
      </c>
      <c r="K2613" s="10" t="s">
        <v>15262</v>
      </c>
      <c r="L2613" s="10" t="s">
        <v>42</v>
      </c>
    </row>
    <row r="2614" ht="15.75" customHeight="1">
      <c r="A2614" s="64">
        <v>45462.0</v>
      </c>
      <c r="B2614" s="55" t="str">
        <f>HYPERLINK("https://jobright.ai/jobs/info/667354771e55822648545442?utm_campaign=1065&amp;utm_source=sheet", "Apply")</f>
        <v>Apply</v>
      </c>
      <c r="C2614" s="10" t="s">
        <v>15261</v>
      </c>
      <c r="D2614" s="56" t="s">
        <v>14380</v>
      </c>
      <c r="E2614" s="59">
        <v>45301.0</v>
      </c>
      <c r="F2614" s="10" t="s">
        <v>14381</v>
      </c>
      <c r="G2614" s="10" t="s">
        <v>12654</v>
      </c>
      <c r="H2614" s="10" t="s">
        <v>954</v>
      </c>
      <c r="I2614" s="10" t="s">
        <v>55</v>
      </c>
      <c r="K2614" s="10" t="s">
        <v>15262</v>
      </c>
      <c r="L2614" s="10" t="s">
        <v>42</v>
      </c>
    </row>
    <row r="2615" ht="15.75" customHeight="1">
      <c r="A2615" s="64">
        <v>45462.0</v>
      </c>
      <c r="B2615" s="55" t="str">
        <f>HYPERLINK("https://jobright.ai/jobs/info/667354771e55822648545448?utm_campaign=1065&amp;utm_source=sheet", "Apply")</f>
        <v>Apply</v>
      </c>
      <c r="C2615" s="10" t="s">
        <v>15261</v>
      </c>
      <c r="D2615" s="56" t="s">
        <v>14380</v>
      </c>
      <c r="E2615" s="59">
        <v>45301.0</v>
      </c>
      <c r="F2615" s="10" t="s">
        <v>14381</v>
      </c>
      <c r="G2615" s="10" t="s">
        <v>12654</v>
      </c>
      <c r="H2615" s="10" t="s">
        <v>505</v>
      </c>
      <c r="I2615" s="10" t="s">
        <v>55</v>
      </c>
      <c r="K2615" s="10" t="s">
        <v>15262</v>
      </c>
      <c r="L2615" s="10" t="s">
        <v>42</v>
      </c>
    </row>
    <row r="2616" ht="15.75" customHeight="1">
      <c r="A2616" s="64">
        <v>45462.0</v>
      </c>
      <c r="B2616" s="55" t="str">
        <f>HYPERLINK("https://jobright.ai/jobs/info/667354771e55822648545447?utm_campaign=1065&amp;utm_source=sheet", "Apply")</f>
        <v>Apply</v>
      </c>
      <c r="C2616" s="10" t="s">
        <v>14379</v>
      </c>
      <c r="D2616" s="56" t="s">
        <v>14380</v>
      </c>
      <c r="E2616" s="59">
        <v>45301.0</v>
      </c>
      <c r="F2616" s="10" t="s">
        <v>14381</v>
      </c>
      <c r="G2616" s="10" t="s">
        <v>12654</v>
      </c>
      <c r="H2616" s="10" t="s">
        <v>1000</v>
      </c>
      <c r="I2616" s="10" t="s">
        <v>55</v>
      </c>
      <c r="J2616" s="10" t="s">
        <v>14382</v>
      </c>
      <c r="K2616" s="10" t="s">
        <v>14383</v>
      </c>
      <c r="L2616" s="10" t="s">
        <v>42</v>
      </c>
    </row>
    <row r="2617" ht="15.75" customHeight="1">
      <c r="A2617" s="64">
        <v>45462.0</v>
      </c>
      <c r="B2617" s="55" t="str">
        <f>HYPERLINK("https://jobright.ai/jobs/info/667354771e55822648545446?utm_campaign=1065&amp;utm_source=sheet", "Apply")</f>
        <v>Apply</v>
      </c>
      <c r="C2617" s="10" t="s">
        <v>15261</v>
      </c>
      <c r="D2617" s="56" t="s">
        <v>14380</v>
      </c>
      <c r="E2617" s="59">
        <v>45301.0</v>
      </c>
      <c r="F2617" s="10" t="s">
        <v>14381</v>
      </c>
      <c r="G2617" s="10" t="s">
        <v>12654</v>
      </c>
      <c r="H2617" s="10" t="s">
        <v>891</v>
      </c>
      <c r="I2617" s="10" t="s">
        <v>55</v>
      </c>
      <c r="K2617" s="10" t="s">
        <v>15262</v>
      </c>
      <c r="L2617" s="10" t="s">
        <v>42</v>
      </c>
    </row>
    <row r="2618" ht="15.75" customHeight="1">
      <c r="A2618" s="64">
        <v>45462.0</v>
      </c>
      <c r="B2618" s="55" t="str">
        <f>HYPERLINK("https://jobright.ai/jobs/info/6673afc73d102d4a84edbf40?utm_campaign=1065&amp;utm_source=sheet", "Apply")</f>
        <v>Apply</v>
      </c>
      <c r="C2618" s="10" t="s">
        <v>15261</v>
      </c>
      <c r="D2618" s="56" t="s">
        <v>14380</v>
      </c>
      <c r="E2618" s="59">
        <v>45301.0</v>
      </c>
      <c r="F2618" s="10" t="s">
        <v>14381</v>
      </c>
      <c r="G2618" s="10" t="s">
        <v>12654</v>
      </c>
      <c r="H2618" s="10" t="s">
        <v>776</v>
      </c>
      <c r="I2618" s="10" t="s">
        <v>55</v>
      </c>
      <c r="K2618" s="10" t="s">
        <v>15262</v>
      </c>
      <c r="L2618" s="10" t="s">
        <v>42</v>
      </c>
    </row>
    <row r="2619" ht="15.75" customHeight="1">
      <c r="A2619" s="64">
        <v>45462.0</v>
      </c>
      <c r="B2619" s="55" t="str">
        <f>HYPERLINK("https://jobright.ai/jobs/info/6673afc73d102d4a84edbf41?utm_campaign=1065&amp;utm_source=sheet", "Apply")</f>
        <v>Apply</v>
      </c>
      <c r="C2619" s="10" t="s">
        <v>15261</v>
      </c>
      <c r="D2619" s="56" t="s">
        <v>14380</v>
      </c>
      <c r="E2619" s="59">
        <v>45301.0</v>
      </c>
      <c r="F2619" s="10" t="s">
        <v>14381</v>
      </c>
      <c r="G2619" s="10" t="s">
        <v>12654</v>
      </c>
      <c r="H2619" s="10" t="s">
        <v>818</v>
      </c>
      <c r="I2619" s="10" t="s">
        <v>55</v>
      </c>
      <c r="K2619" s="10" t="s">
        <v>15262</v>
      </c>
      <c r="L2619" s="10" t="s">
        <v>42</v>
      </c>
    </row>
    <row r="2620" ht="15.75" customHeight="1">
      <c r="A2620" s="64">
        <v>45462.0</v>
      </c>
      <c r="B2620" s="55" t="str">
        <f>HYPERLINK("https://jobright.ai/jobs/info/6673afc73d102d4a84edbf42?utm_campaign=1065&amp;utm_source=sheet", "Apply")</f>
        <v>Apply</v>
      </c>
      <c r="C2620" s="10" t="s">
        <v>15261</v>
      </c>
      <c r="D2620" s="56" t="s">
        <v>14380</v>
      </c>
      <c r="E2620" s="59">
        <v>45301.0</v>
      </c>
      <c r="F2620" s="10" t="s">
        <v>14381</v>
      </c>
      <c r="G2620" s="10" t="s">
        <v>12654</v>
      </c>
      <c r="H2620" s="10" t="s">
        <v>955</v>
      </c>
      <c r="I2620" s="10" t="s">
        <v>55</v>
      </c>
      <c r="K2620" s="10" t="s">
        <v>15262</v>
      </c>
      <c r="L2620" s="10" t="s">
        <v>42</v>
      </c>
    </row>
    <row r="2621" ht="15.75" customHeight="1">
      <c r="A2621" s="64">
        <v>45462.0</v>
      </c>
      <c r="B2621" s="55" t="str">
        <f>HYPERLINK("https://jobright.ai/jobs/info/6673afc73d102d4a84edbf43?utm_campaign=1065&amp;utm_source=sheet", "Apply")</f>
        <v>Apply</v>
      </c>
      <c r="C2621" s="10" t="s">
        <v>15261</v>
      </c>
      <c r="D2621" s="56" t="s">
        <v>14380</v>
      </c>
      <c r="E2621" s="59">
        <v>45301.0</v>
      </c>
      <c r="F2621" s="10" t="s">
        <v>14381</v>
      </c>
      <c r="G2621" s="10" t="s">
        <v>12654</v>
      </c>
      <c r="H2621" s="10" t="s">
        <v>795</v>
      </c>
      <c r="I2621" s="10" t="s">
        <v>55</v>
      </c>
      <c r="K2621" s="10" t="s">
        <v>15262</v>
      </c>
      <c r="L2621" s="10" t="s">
        <v>42</v>
      </c>
    </row>
    <row r="2622" ht="15.75" customHeight="1">
      <c r="A2622" s="64">
        <v>45462.0</v>
      </c>
      <c r="B2622" s="55" t="str">
        <f>HYPERLINK("https://jobright.ai/jobs/info/6673afc73d102d4a84edbf44?utm_campaign=1065&amp;utm_source=sheet", "Apply")</f>
        <v>Apply</v>
      </c>
      <c r="C2622" s="10" t="s">
        <v>14379</v>
      </c>
      <c r="D2622" s="56" t="s">
        <v>14380</v>
      </c>
      <c r="E2622" s="59">
        <v>45301.0</v>
      </c>
      <c r="F2622" s="10" t="s">
        <v>14381</v>
      </c>
      <c r="G2622" s="10" t="s">
        <v>12654</v>
      </c>
      <c r="H2622" s="10" t="s">
        <v>1014</v>
      </c>
      <c r="I2622" s="10" t="s">
        <v>55</v>
      </c>
      <c r="J2622" s="10" t="s">
        <v>14382</v>
      </c>
      <c r="K2622" s="10" t="s">
        <v>14383</v>
      </c>
      <c r="L2622" s="10" t="s">
        <v>42</v>
      </c>
    </row>
    <row r="2623" ht="15.75" customHeight="1">
      <c r="A2623" s="64">
        <v>45462.0</v>
      </c>
      <c r="B2623" s="55" t="str">
        <f>HYPERLINK("https://jobright.ai/jobs/info/667343428b6a006c823cf88a?utm_campaign=1065&amp;utm_source=sheet", "Apply")</f>
        <v>Apply</v>
      </c>
      <c r="C2623" s="10" t="s">
        <v>15261</v>
      </c>
      <c r="D2623" s="56" t="s">
        <v>14380</v>
      </c>
      <c r="E2623" s="59">
        <v>45301.0</v>
      </c>
      <c r="F2623" s="10" t="s">
        <v>14381</v>
      </c>
      <c r="G2623" s="10" t="s">
        <v>12654</v>
      </c>
      <c r="H2623" s="10" t="s">
        <v>943</v>
      </c>
      <c r="I2623" s="10" t="s">
        <v>55</v>
      </c>
      <c r="K2623" s="10" t="s">
        <v>15262</v>
      </c>
      <c r="L2623" s="10" t="s">
        <v>42</v>
      </c>
    </row>
    <row r="2624" ht="15.75" customHeight="1">
      <c r="A2624" s="64">
        <v>45462.0</v>
      </c>
      <c r="B2624" s="55" t="str">
        <f>HYPERLINK("https://jobright.ai/jobs/info/667343428b6a006c823cf88b?utm_campaign=1065&amp;utm_source=sheet", "Apply")</f>
        <v>Apply</v>
      </c>
      <c r="C2624" s="10" t="s">
        <v>15261</v>
      </c>
      <c r="D2624" s="56" t="s">
        <v>14380</v>
      </c>
      <c r="E2624" s="59">
        <v>45301.0</v>
      </c>
      <c r="F2624" s="10" t="s">
        <v>14381</v>
      </c>
      <c r="G2624" s="10" t="s">
        <v>12654</v>
      </c>
      <c r="H2624" s="10" t="s">
        <v>826</v>
      </c>
      <c r="I2624" s="10" t="s">
        <v>55</v>
      </c>
      <c r="K2624" s="10" t="s">
        <v>15262</v>
      </c>
      <c r="L2624" s="10" t="s">
        <v>42</v>
      </c>
    </row>
    <row r="2625" ht="15.75" customHeight="1">
      <c r="A2625" s="64">
        <v>45462.0</v>
      </c>
      <c r="B2625" s="55" t="str">
        <f>HYPERLINK("https://jobright.ai/jobs/info/667343428b6a006c823cf88c?utm_campaign=1065&amp;utm_source=sheet", "Apply")</f>
        <v>Apply</v>
      </c>
      <c r="C2625" s="10" t="s">
        <v>15261</v>
      </c>
      <c r="D2625" s="56" t="s">
        <v>14380</v>
      </c>
      <c r="E2625" s="59">
        <v>45301.0</v>
      </c>
      <c r="F2625" s="10" t="s">
        <v>14381</v>
      </c>
      <c r="G2625" s="10" t="s">
        <v>12654</v>
      </c>
      <c r="H2625" s="10" t="s">
        <v>877</v>
      </c>
      <c r="I2625" s="10" t="s">
        <v>55</v>
      </c>
      <c r="K2625" s="10" t="s">
        <v>15262</v>
      </c>
      <c r="L2625" s="10" t="s">
        <v>42</v>
      </c>
    </row>
    <row r="2626" ht="15.75" customHeight="1">
      <c r="A2626" s="64">
        <v>45462.0</v>
      </c>
      <c r="B2626" s="55" t="str">
        <f>HYPERLINK("https://jobright.ai/jobs/info/667343428b6a006c823cf88f?utm_campaign=1065&amp;utm_source=sheet", "Apply")</f>
        <v>Apply</v>
      </c>
      <c r="C2626" s="10" t="s">
        <v>15261</v>
      </c>
      <c r="D2626" s="56" t="s">
        <v>14380</v>
      </c>
      <c r="E2626" s="59">
        <v>45301.0</v>
      </c>
      <c r="F2626" s="10" t="s">
        <v>14381</v>
      </c>
      <c r="G2626" s="10" t="s">
        <v>12654</v>
      </c>
      <c r="H2626" s="10" t="s">
        <v>836</v>
      </c>
      <c r="I2626" s="10" t="s">
        <v>55</v>
      </c>
      <c r="K2626" s="10" t="s">
        <v>15262</v>
      </c>
      <c r="L2626" s="10" t="s">
        <v>42</v>
      </c>
    </row>
    <row r="2627" ht="15.75" customHeight="1">
      <c r="A2627" s="64">
        <v>45462.0</v>
      </c>
      <c r="B2627" s="55" t="str">
        <f>HYPERLINK("https://jobright.ai/jobs/info/667343428b6a006c823cf88d?utm_campaign=1065&amp;utm_source=sheet", "Apply")</f>
        <v>Apply</v>
      </c>
      <c r="C2627" s="10" t="s">
        <v>15261</v>
      </c>
      <c r="D2627" s="56" t="s">
        <v>14380</v>
      </c>
      <c r="E2627" s="59">
        <v>45301.0</v>
      </c>
      <c r="F2627" s="10" t="s">
        <v>14381</v>
      </c>
      <c r="G2627" s="10" t="s">
        <v>12654</v>
      </c>
      <c r="H2627" s="10" t="s">
        <v>854</v>
      </c>
      <c r="I2627" s="10" t="s">
        <v>55</v>
      </c>
      <c r="K2627" s="10" t="s">
        <v>15262</v>
      </c>
      <c r="L2627" s="10" t="s">
        <v>42</v>
      </c>
    </row>
    <row r="2628" ht="15.75" customHeight="1">
      <c r="A2628" s="64">
        <v>45462.0</v>
      </c>
      <c r="B2628" s="55" t="str">
        <f>HYPERLINK("https://jobright.ai/jobs/info/667343428b6a006c823cf890?utm_campaign=1065&amp;utm_source=sheet", "Apply")</f>
        <v>Apply</v>
      </c>
      <c r="C2628" s="10" t="s">
        <v>14379</v>
      </c>
      <c r="D2628" s="56" t="s">
        <v>14380</v>
      </c>
      <c r="E2628" s="59">
        <v>45301.0</v>
      </c>
      <c r="F2628" s="10" t="s">
        <v>14381</v>
      </c>
      <c r="G2628" s="10" t="s">
        <v>12654</v>
      </c>
      <c r="H2628" s="10" t="s">
        <v>975</v>
      </c>
      <c r="I2628" s="10" t="s">
        <v>55</v>
      </c>
      <c r="J2628" s="10" t="s">
        <v>14382</v>
      </c>
      <c r="K2628" s="10" t="s">
        <v>14383</v>
      </c>
      <c r="L2628" s="10" t="s">
        <v>42</v>
      </c>
    </row>
    <row r="2629" ht="15.75" customHeight="1">
      <c r="A2629" s="64">
        <v>45462.0</v>
      </c>
      <c r="B2629" s="55" t="str">
        <f>HYPERLINK("https://jobright.ai/jobs/info/667343428b6a006c823cf88e?utm_campaign=1065&amp;utm_source=sheet", "Apply")</f>
        <v>Apply</v>
      </c>
      <c r="C2629" s="10" t="s">
        <v>14379</v>
      </c>
      <c r="D2629" s="56" t="s">
        <v>14380</v>
      </c>
      <c r="E2629" s="59">
        <v>45301.0</v>
      </c>
      <c r="F2629" s="10" t="s">
        <v>14381</v>
      </c>
      <c r="G2629" s="10" t="s">
        <v>12654</v>
      </c>
      <c r="H2629" s="10" t="s">
        <v>1043</v>
      </c>
      <c r="I2629" s="10" t="s">
        <v>55</v>
      </c>
      <c r="J2629" s="10" t="s">
        <v>14382</v>
      </c>
      <c r="K2629" s="10" t="s">
        <v>14383</v>
      </c>
      <c r="L2629" s="10" t="s">
        <v>42</v>
      </c>
    </row>
    <row r="2630" ht="15.75" customHeight="1">
      <c r="A2630" s="64">
        <v>45462.0</v>
      </c>
      <c r="B2630" s="55" t="str">
        <f>HYPERLINK("https://jobright.ai/jobs/info/667343428b6a006c823cf894?utm_campaign=1065&amp;utm_source=sheet", "Apply")</f>
        <v>Apply</v>
      </c>
      <c r="C2630" s="10" t="s">
        <v>14379</v>
      </c>
      <c r="D2630" s="56" t="s">
        <v>14380</v>
      </c>
      <c r="E2630" s="59">
        <v>45301.0</v>
      </c>
      <c r="F2630" s="10" t="s">
        <v>14381</v>
      </c>
      <c r="G2630" s="10" t="s">
        <v>12654</v>
      </c>
      <c r="H2630" s="10" t="s">
        <v>782</v>
      </c>
      <c r="I2630" s="10" t="s">
        <v>55</v>
      </c>
      <c r="J2630" s="10" t="s">
        <v>14382</v>
      </c>
      <c r="K2630" s="10" t="s">
        <v>14383</v>
      </c>
      <c r="L2630" s="10" t="s">
        <v>42</v>
      </c>
    </row>
    <row r="2631" ht="15.75" customHeight="1">
      <c r="A2631" s="64">
        <v>45462.0</v>
      </c>
      <c r="B2631" s="55" t="str">
        <f>HYPERLINK("https://jobright.ai/jobs/info/667343428b6a006c823cf892?utm_campaign=1065&amp;utm_source=sheet", "Apply")</f>
        <v>Apply</v>
      </c>
      <c r="C2631" s="10" t="s">
        <v>14379</v>
      </c>
      <c r="D2631" s="56" t="s">
        <v>14380</v>
      </c>
      <c r="E2631" s="59">
        <v>45301.0</v>
      </c>
      <c r="F2631" s="10" t="s">
        <v>14381</v>
      </c>
      <c r="G2631" s="10" t="s">
        <v>12654</v>
      </c>
      <c r="H2631" s="10" t="s">
        <v>923</v>
      </c>
      <c r="I2631" s="10" t="s">
        <v>55</v>
      </c>
      <c r="J2631" s="10" t="s">
        <v>14382</v>
      </c>
      <c r="K2631" s="10" t="s">
        <v>14383</v>
      </c>
      <c r="L2631" s="10" t="s">
        <v>42</v>
      </c>
    </row>
    <row r="2632" ht="15.75" customHeight="1">
      <c r="A2632" s="64">
        <v>45462.0</v>
      </c>
      <c r="B2632" s="55" t="str">
        <f>HYPERLINK("https://jobright.ai/jobs/info/667343428b6a006c823cf893?utm_campaign=1065&amp;utm_source=sheet", "Apply")</f>
        <v>Apply</v>
      </c>
      <c r="C2632" s="10" t="s">
        <v>15261</v>
      </c>
      <c r="D2632" s="56" t="s">
        <v>14380</v>
      </c>
      <c r="E2632" s="59">
        <v>45301.0</v>
      </c>
      <c r="F2632" s="10" t="s">
        <v>14381</v>
      </c>
      <c r="G2632" s="10" t="s">
        <v>12654</v>
      </c>
      <c r="H2632" s="10" t="s">
        <v>918</v>
      </c>
      <c r="I2632" s="10" t="s">
        <v>55</v>
      </c>
      <c r="K2632" s="10" t="s">
        <v>15262</v>
      </c>
      <c r="L2632" s="10" t="s">
        <v>42</v>
      </c>
    </row>
    <row r="2633" ht="15.75" customHeight="1">
      <c r="A2633" s="64">
        <v>45462.0</v>
      </c>
      <c r="B2633" s="55" t="str">
        <f>HYPERLINK("https://jobright.ai/jobs/info/667343428b6a006c823cf891?utm_campaign=1065&amp;utm_source=sheet", "Apply")</f>
        <v>Apply</v>
      </c>
      <c r="C2633" s="10" t="s">
        <v>14379</v>
      </c>
      <c r="D2633" s="56" t="s">
        <v>14380</v>
      </c>
      <c r="E2633" s="59">
        <v>45301.0</v>
      </c>
      <c r="F2633" s="10" t="s">
        <v>14381</v>
      </c>
      <c r="G2633" s="10" t="s">
        <v>12654</v>
      </c>
      <c r="H2633" s="10" t="s">
        <v>814</v>
      </c>
      <c r="I2633" s="10" t="s">
        <v>55</v>
      </c>
      <c r="J2633" s="10" t="s">
        <v>14382</v>
      </c>
      <c r="K2633" s="10" t="s">
        <v>14383</v>
      </c>
      <c r="L2633" s="10" t="s">
        <v>42</v>
      </c>
    </row>
    <row r="2634" ht="15.75" customHeight="1">
      <c r="A2634" s="64">
        <v>45462.0</v>
      </c>
      <c r="B2634" s="55" t="str">
        <f>HYPERLINK("https://jobright.ai/jobs/info/667343428b6a006c823cf895?utm_campaign=1065&amp;utm_source=sheet", "Apply")</f>
        <v>Apply</v>
      </c>
      <c r="C2634" s="10" t="s">
        <v>14379</v>
      </c>
      <c r="D2634" s="56" t="s">
        <v>14380</v>
      </c>
      <c r="E2634" s="59">
        <v>45301.0</v>
      </c>
      <c r="F2634" s="10" t="s">
        <v>14381</v>
      </c>
      <c r="G2634" s="10" t="s">
        <v>12654</v>
      </c>
      <c r="H2634" s="10" t="s">
        <v>955</v>
      </c>
      <c r="I2634" s="10" t="s">
        <v>55</v>
      </c>
      <c r="J2634" s="10" t="s">
        <v>14382</v>
      </c>
      <c r="K2634" s="10" t="s">
        <v>14383</v>
      </c>
      <c r="L2634" s="10" t="s">
        <v>42</v>
      </c>
    </row>
    <row r="2635" ht="15.75" customHeight="1">
      <c r="A2635" s="64">
        <v>45462.0</v>
      </c>
      <c r="B2635" s="55" t="str">
        <f>HYPERLINK("https://jobright.ai/jobs/info/667343428b6a006c823cf897?utm_campaign=1065&amp;utm_source=sheet", "Apply")</f>
        <v>Apply</v>
      </c>
      <c r="C2635" s="10" t="s">
        <v>15261</v>
      </c>
      <c r="D2635" s="56" t="s">
        <v>14380</v>
      </c>
      <c r="E2635" s="59">
        <v>45301.0</v>
      </c>
      <c r="F2635" s="10" t="s">
        <v>14381</v>
      </c>
      <c r="G2635" s="10" t="s">
        <v>12654</v>
      </c>
      <c r="H2635" s="10" t="s">
        <v>796</v>
      </c>
      <c r="I2635" s="10" t="s">
        <v>55</v>
      </c>
      <c r="K2635" s="10" t="s">
        <v>15262</v>
      </c>
      <c r="L2635" s="10" t="s">
        <v>42</v>
      </c>
    </row>
    <row r="2636" ht="15.75" customHeight="1">
      <c r="A2636" s="64">
        <v>45462.0</v>
      </c>
      <c r="B2636" s="55" t="str">
        <f>HYPERLINK("https://jobright.ai/jobs/info/667343428b6a006c823cf896?utm_campaign=1065&amp;utm_source=sheet", "Apply")</f>
        <v>Apply</v>
      </c>
      <c r="C2636" s="10" t="s">
        <v>15261</v>
      </c>
      <c r="D2636" s="56" t="s">
        <v>14380</v>
      </c>
      <c r="E2636" s="59">
        <v>45301.0</v>
      </c>
      <c r="F2636" s="10" t="s">
        <v>14381</v>
      </c>
      <c r="G2636" s="10" t="s">
        <v>12654</v>
      </c>
      <c r="H2636" s="10" t="s">
        <v>874</v>
      </c>
      <c r="I2636" s="10" t="s">
        <v>55</v>
      </c>
      <c r="K2636" s="10" t="s">
        <v>15262</v>
      </c>
      <c r="L2636" s="10" t="s">
        <v>42</v>
      </c>
    </row>
    <row r="2637" ht="15.75" customHeight="1">
      <c r="A2637" s="64">
        <v>45462.0</v>
      </c>
      <c r="B2637" s="55" t="str">
        <f>HYPERLINK("https://jobright.ai/jobs/info/667343428b6a006c823cf898?utm_campaign=1065&amp;utm_source=sheet", "Apply")</f>
        <v>Apply</v>
      </c>
      <c r="C2637" s="10" t="s">
        <v>15261</v>
      </c>
      <c r="D2637" s="56" t="s">
        <v>14380</v>
      </c>
      <c r="E2637" s="59">
        <v>45301.0</v>
      </c>
      <c r="F2637" s="10" t="s">
        <v>14381</v>
      </c>
      <c r="G2637" s="10" t="s">
        <v>12654</v>
      </c>
      <c r="H2637" s="10" t="s">
        <v>815</v>
      </c>
      <c r="I2637" s="10" t="s">
        <v>55</v>
      </c>
      <c r="K2637" s="10" t="s">
        <v>15262</v>
      </c>
      <c r="L2637" s="10" t="s">
        <v>42</v>
      </c>
    </row>
    <row r="2638" ht="15.75" customHeight="1">
      <c r="A2638" s="64">
        <v>45462.0</v>
      </c>
      <c r="B2638" s="55" t="str">
        <f>HYPERLINK("https://jobright.ai/jobs/info/667343428b6a006c823cf89a?utm_campaign=1065&amp;utm_source=sheet", "Apply")</f>
        <v>Apply</v>
      </c>
      <c r="C2638" s="10" t="s">
        <v>15261</v>
      </c>
      <c r="D2638" s="56" t="s">
        <v>14380</v>
      </c>
      <c r="E2638" s="59">
        <v>45301.0</v>
      </c>
      <c r="F2638" s="10" t="s">
        <v>14381</v>
      </c>
      <c r="G2638" s="10" t="s">
        <v>12654</v>
      </c>
      <c r="H2638" s="10" t="s">
        <v>934</v>
      </c>
      <c r="I2638" s="10" t="s">
        <v>55</v>
      </c>
      <c r="K2638" s="10" t="s">
        <v>15262</v>
      </c>
      <c r="L2638" s="10" t="s">
        <v>42</v>
      </c>
    </row>
    <row r="2639" ht="15.75" customHeight="1">
      <c r="A2639" s="64">
        <v>45462.0</v>
      </c>
      <c r="B2639" s="55" t="str">
        <f>HYPERLINK("https://jobright.ai/jobs/info/667343428b6a006c823cf899?utm_campaign=1065&amp;utm_source=sheet", "Apply")</f>
        <v>Apply</v>
      </c>
      <c r="C2639" s="10" t="s">
        <v>14379</v>
      </c>
      <c r="D2639" s="56" t="s">
        <v>14380</v>
      </c>
      <c r="E2639" s="59">
        <v>45301.0</v>
      </c>
      <c r="F2639" s="10" t="s">
        <v>14381</v>
      </c>
      <c r="G2639" s="10" t="s">
        <v>12654</v>
      </c>
      <c r="H2639" s="10" t="s">
        <v>1032</v>
      </c>
      <c r="I2639" s="10" t="s">
        <v>55</v>
      </c>
      <c r="J2639" s="10" t="s">
        <v>14382</v>
      </c>
      <c r="K2639" s="10" t="s">
        <v>14383</v>
      </c>
      <c r="L2639" s="10" t="s">
        <v>42</v>
      </c>
    </row>
    <row r="2640" ht="15.75" customHeight="1">
      <c r="A2640" s="64">
        <v>45462.0</v>
      </c>
      <c r="B2640" s="55" t="str">
        <f>HYPERLINK("https://jobright.ai/jobs/info/667343428b6a006c823cf89c?utm_campaign=1065&amp;utm_source=sheet", "Apply")</f>
        <v>Apply</v>
      </c>
      <c r="C2640" s="10" t="s">
        <v>14379</v>
      </c>
      <c r="D2640" s="56" t="s">
        <v>14380</v>
      </c>
      <c r="E2640" s="59">
        <v>45301.0</v>
      </c>
      <c r="F2640" s="10" t="s">
        <v>14381</v>
      </c>
      <c r="G2640" s="10" t="s">
        <v>12654</v>
      </c>
      <c r="H2640" s="10" t="s">
        <v>838</v>
      </c>
      <c r="I2640" s="10" t="s">
        <v>55</v>
      </c>
      <c r="J2640" s="10" t="s">
        <v>14382</v>
      </c>
      <c r="K2640" s="10" t="s">
        <v>14383</v>
      </c>
      <c r="L2640" s="10" t="s">
        <v>42</v>
      </c>
    </row>
    <row r="2641" ht="15.75" customHeight="1">
      <c r="A2641" s="64">
        <v>45462.0</v>
      </c>
      <c r="B2641" s="55" t="str">
        <f>HYPERLINK("https://jobright.ai/jobs/info/667343428b6a006c823cf89d?utm_campaign=1065&amp;utm_source=sheet", "Apply")</f>
        <v>Apply</v>
      </c>
      <c r="C2641" s="10" t="s">
        <v>15261</v>
      </c>
      <c r="D2641" s="56" t="s">
        <v>14380</v>
      </c>
      <c r="E2641" s="59">
        <v>45301.0</v>
      </c>
      <c r="F2641" s="10" t="s">
        <v>14381</v>
      </c>
      <c r="G2641" s="10" t="s">
        <v>12654</v>
      </c>
      <c r="H2641" s="10" t="s">
        <v>1026</v>
      </c>
      <c r="I2641" s="10" t="s">
        <v>55</v>
      </c>
      <c r="K2641" s="10" t="s">
        <v>15262</v>
      </c>
      <c r="L2641" s="10" t="s">
        <v>42</v>
      </c>
    </row>
    <row r="2642" ht="15.75" customHeight="1">
      <c r="A2642" s="64">
        <v>45462.0</v>
      </c>
      <c r="B2642" s="55" t="str">
        <f>HYPERLINK("https://jobright.ai/jobs/info/667343428b6a006c823cf89f?utm_campaign=1065&amp;utm_source=sheet", "Apply")</f>
        <v>Apply</v>
      </c>
      <c r="C2642" s="10" t="s">
        <v>14379</v>
      </c>
      <c r="D2642" s="56" t="s">
        <v>14380</v>
      </c>
      <c r="E2642" s="59">
        <v>45301.0</v>
      </c>
      <c r="F2642" s="10" t="s">
        <v>14381</v>
      </c>
      <c r="G2642" s="10" t="s">
        <v>12654</v>
      </c>
      <c r="H2642" s="10" t="s">
        <v>900</v>
      </c>
      <c r="I2642" s="10" t="s">
        <v>55</v>
      </c>
      <c r="J2642" s="10" t="s">
        <v>14382</v>
      </c>
      <c r="K2642" s="10" t="s">
        <v>14383</v>
      </c>
      <c r="L2642" s="10" t="s">
        <v>42</v>
      </c>
    </row>
    <row r="2643" ht="15.75" customHeight="1">
      <c r="A2643" s="64">
        <v>45462.0</v>
      </c>
      <c r="B2643" s="55" t="str">
        <f>HYPERLINK("https://jobright.ai/jobs/info/667343428b6a006c823cf8a0?utm_campaign=1065&amp;utm_source=sheet", "Apply")</f>
        <v>Apply</v>
      </c>
      <c r="C2643" s="10" t="s">
        <v>15261</v>
      </c>
      <c r="D2643" s="56" t="s">
        <v>14380</v>
      </c>
      <c r="E2643" s="59">
        <v>45301.0</v>
      </c>
      <c r="F2643" s="10" t="s">
        <v>14381</v>
      </c>
      <c r="G2643" s="10" t="s">
        <v>12654</v>
      </c>
      <c r="H2643" s="10" t="s">
        <v>738</v>
      </c>
      <c r="I2643" s="10" t="s">
        <v>55</v>
      </c>
      <c r="K2643" s="10" t="s">
        <v>15262</v>
      </c>
      <c r="L2643" s="10" t="s">
        <v>42</v>
      </c>
    </row>
    <row r="2644" ht="15.75" customHeight="1">
      <c r="A2644" s="64">
        <v>45462.0</v>
      </c>
      <c r="B2644" s="55" t="str">
        <f>HYPERLINK("https://jobright.ai/jobs/info/667343428b6a006c823cf8a1?utm_campaign=1065&amp;utm_source=sheet", "Apply")</f>
        <v>Apply</v>
      </c>
      <c r="C2644" s="10" t="s">
        <v>14379</v>
      </c>
      <c r="D2644" s="56" t="s">
        <v>14380</v>
      </c>
      <c r="E2644" s="59">
        <v>45301.0</v>
      </c>
      <c r="F2644" s="10" t="s">
        <v>14381</v>
      </c>
      <c r="G2644" s="10" t="s">
        <v>12654</v>
      </c>
      <c r="H2644" s="10" t="s">
        <v>969</v>
      </c>
      <c r="I2644" s="10" t="s">
        <v>55</v>
      </c>
      <c r="J2644" s="10" t="s">
        <v>14382</v>
      </c>
      <c r="K2644" s="10" t="s">
        <v>14383</v>
      </c>
      <c r="L2644" s="10" t="s">
        <v>42</v>
      </c>
    </row>
    <row r="2645" ht="15.75" customHeight="1">
      <c r="A2645" s="64">
        <v>45462.0</v>
      </c>
      <c r="B2645" s="55" t="str">
        <f>HYPERLINK("https://jobright.ai/jobs/info/667343428b6a006c823cf89e?utm_campaign=1065&amp;utm_source=sheet", "Apply")</f>
        <v>Apply</v>
      </c>
      <c r="C2645" s="10" t="s">
        <v>15261</v>
      </c>
      <c r="D2645" s="56" t="s">
        <v>14380</v>
      </c>
      <c r="E2645" s="59">
        <v>45301.0</v>
      </c>
      <c r="F2645" s="10" t="s">
        <v>14381</v>
      </c>
      <c r="G2645" s="10" t="s">
        <v>12654</v>
      </c>
      <c r="H2645" s="10" t="s">
        <v>770</v>
      </c>
      <c r="I2645" s="10" t="s">
        <v>55</v>
      </c>
      <c r="K2645" s="10" t="s">
        <v>15262</v>
      </c>
      <c r="L2645" s="10" t="s">
        <v>42</v>
      </c>
    </row>
    <row r="2646" ht="15.75" customHeight="1">
      <c r="A2646" s="64">
        <v>45462.0</v>
      </c>
      <c r="B2646" s="55" t="str">
        <f>HYPERLINK("https://jobright.ai/jobs/info/667343428b6a006c823cf89b?utm_campaign=1065&amp;utm_source=sheet", "Apply")</f>
        <v>Apply</v>
      </c>
      <c r="C2646" s="10" t="s">
        <v>14379</v>
      </c>
      <c r="D2646" s="56" t="s">
        <v>14380</v>
      </c>
      <c r="E2646" s="59">
        <v>45301.0</v>
      </c>
      <c r="F2646" s="10" t="s">
        <v>14381</v>
      </c>
      <c r="G2646" s="10" t="s">
        <v>12654</v>
      </c>
      <c r="H2646" s="10" t="s">
        <v>779</v>
      </c>
      <c r="I2646" s="10" t="s">
        <v>55</v>
      </c>
      <c r="J2646" s="10" t="s">
        <v>14382</v>
      </c>
      <c r="K2646" s="10" t="s">
        <v>14383</v>
      </c>
      <c r="L2646" s="10" t="s">
        <v>42</v>
      </c>
    </row>
    <row r="2647" ht="15.75" customHeight="1">
      <c r="A2647" s="64">
        <v>45462.0</v>
      </c>
      <c r="B2647" s="55" t="str">
        <f>HYPERLINK("https://jobright.ai/jobs/info/667343428b6a006c823cf8a3?utm_campaign=1065&amp;utm_source=sheet", "Apply")</f>
        <v>Apply</v>
      </c>
      <c r="C2647" s="10" t="s">
        <v>15261</v>
      </c>
      <c r="D2647" s="56" t="s">
        <v>14380</v>
      </c>
      <c r="E2647" s="59">
        <v>45301.0</v>
      </c>
      <c r="F2647" s="10" t="s">
        <v>14381</v>
      </c>
      <c r="G2647" s="10" t="s">
        <v>12654</v>
      </c>
      <c r="H2647" s="10" t="s">
        <v>771</v>
      </c>
      <c r="I2647" s="10" t="s">
        <v>55</v>
      </c>
      <c r="K2647" s="10" t="s">
        <v>15262</v>
      </c>
      <c r="L2647" s="10" t="s">
        <v>42</v>
      </c>
    </row>
    <row r="2648" ht="15.75" customHeight="1">
      <c r="A2648" s="64">
        <v>45462.0</v>
      </c>
      <c r="B2648" s="55" t="str">
        <f>HYPERLINK("https://jobright.ai/jobs/info/667343428b6a006c823cf8a7?utm_campaign=1065&amp;utm_source=sheet", "Apply")</f>
        <v>Apply</v>
      </c>
      <c r="C2648" s="10" t="s">
        <v>14379</v>
      </c>
      <c r="D2648" s="56" t="s">
        <v>14380</v>
      </c>
      <c r="E2648" s="59">
        <v>45301.0</v>
      </c>
      <c r="F2648" s="10" t="s">
        <v>14381</v>
      </c>
      <c r="G2648" s="10" t="s">
        <v>12654</v>
      </c>
      <c r="H2648" s="10" t="s">
        <v>797</v>
      </c>
      <c r="I2648" s="10" t="s">
        <v>55</v>
      </c>
      <c r="J2648" s="10" t="s">
        <v>14382</v>
      </c>
      <c r="K2648" s="10" t="s">
        <v>14383</v>
      </c>
      <c r="L2648" s="10" t="s">
        <v>42</v>
      </c>
    </row>
    <row r="2649" ht="15.75" customHeight="1">
      <c r="A2649" s="64">
        <v>45462.0</v>
      </c>
      <c r="B2649" s="55" t="str">
        <f>HYPERLINK("https://jobright.ai/jobs/info/667343428b6a006c823cf8a2?utm_campaign=1065&amp;utm_source=sheet", "Apply")</f>
        <v>Apply</v>
      </c>
      <c r="C2649" s="10" t="s">
        <v>14379</v>
      </c>
      <c r="D2649" s="56" t="s">
        <v>14380</v>
      </c>
      <c r="E2649" s="59">
        <v>45301.0</v>
      </c>
      <c r="F2649" s="10" t="s">
        <v>14381</v>
      </c>
      <c r="G2649" s="10" t="s">
        <v>12654</v>
      </c>
      <c r="H2649" s="10" t="s">
        <v>881</v>
      </c>
      <c r="I2649" s="10" t="s">
        <v>55</v>
      </c>
      <c r="J2649" s="10" t="s">
        <v>14382</v>
      </c>
      <c r="K2649" s="10" t="s">
        <v>14383</v>
      </c>
      <c r="L2649" s="10" t="s">
        <v>42</v>
      </c>
    </row>
    <row r="2650" ht="15.75" customHeight="1">
      <c r="A2650" s="64">
        <v>45462.0</v>
      </c>
      <c r="B2650" s="55" t="str">
        <f>HYPERLINK("https://jobright.ai/jobs/info/667343428b6a006c823cf8a4?utm_campaign=1065&amp;utm_source=sheet", "Apply")</f>
        <v>Apply</v>
      </c>
      <c r="C2650" s="10" t="s">
        <v>15261</v>
      </c>
      <c r="D2650" s="56" t="s">
        <v>14380</v>
      </c>
      <c r="E2650" s="59">
        <v>45301.0</v>
      </c>
      <c r="F2650" s="10" t="s">
        <v>14381</v>
      </c>
      <c r="G2650" s="10" t="s">
        <v>12654</v>
      </c>
      <c r="H2650" s="10" t="s">
        <v>154</v>
      </c>
      <c r="I2650" s="10" t="s">
        <v>55</v>
      </c>
      <c r="K2650" s="10" t="s">
        <v>15262</v>
      </c>
      <c r="L2650" s="10" t="s">
        <v>42</v>
      </c>
    </row>
    <row r="2651" ht="15.75" customHeight="1">
      <c r="A2651" s="64">
        <v>45462.0</v>
      </c>
      <c r="B2651" s="55" t="str">
        <f>HYPERLINK("https://jobright.ai/jobs/info/667343428b6a006c823cf8a5?utm_campaign=1065&amp;utm_source=sheet", "Apply")</f>
        <v>Apply</v>
      </c>
      <c r="C2651" s="10" t="s">
        <v>14379</v>
      </c>
      <c r="D2651" s="56" t="s">
        <v>14380</v>
      </c>
      <c r="E2651" s="59">
        <v>45301.0</v>
      </c>
      <c r="F2651" s="10" t="s">
        <v>14381</v>
      </c>
      <c r="G2651" s="10" t="s">
        <v>12654</v>
      </c>
      <c r="H2651" s="10" t="s">
        <v>987</v>
      </c>
      <c r="I2651" s="10" t="s">
        <v>55</v>
      </c>
      <c r="J2651" s="10" t="s">
        <v>14382</v>
      </c>
      <c r="K2651" s="10" t="s">
        <v>14383</v>
      </c>
      <c r="L2651" s="10" t="s">
        <v>42</v>
      </c>
    </row>
    <row r="2652" ht="15.75" customHeight="1">
      <c r="A2652" s="64">
        <v>45462.0</v>
      </c>
      <c r="B2652" s="55" t="str">
        <f>HYPERLINK("https://jobright.ai/jobs/info/667343428b6a006c823cf8a9?utm_campaign=1065&amp;utm_source=sheet", "Apply")</f>
        <v>Apply</v>
      </c>
      <c r="C2652" s="10" t="s">
        <v>14379</v>
      </c>
      <c r="D2652" s="56" t="s">
        <v>14380</v>
      </c>
      <c r="E2652" s="59">
        <v>45301.0</v>
      </c>
      <c r="F2652" s="10" t="s">
        <v>14381</v>
      </c>
      <c r="G2652" s="10" t="s">
        <v>12654</v>
      </c>
      <c r="H2652" s="10" t="s">
        <v>229</v>
      </c>
      <c r="I2652" s="10" t="s">
        <v>55</v>
      </c>
      <c r="J2652" s="10" t="s">
        <v>14382</v>
      </c>
      <c r="K2652" s="10" t="s">
        <v>14383</v>
      </c>
      <c r="L2652" s="10" t="s">
        <v>42</v>
      </c>
    </row>
    <row r="2653" ht="15.75" customHeight="1">
      <c r="A2653" s="64">
        <v>45462.0</v>
      </c>
      <c r="B2653" s="55" t="str">
        <f>HYPERLINK("https://jobright.ai/jobs/info/667343428b6a006c823cf8a8?utm_campaign=1065&amp;utm_source=sheet", "Apply")</f>
        <v>Apply</v>
      </c>
      <c r="C2653" s="10" t="s">
        <v>15261</v>
      </c>
      <c r="D2653" s="56" t="s">
        <v>14380</v>
      </c>
      <c r="E2653" s="59">
        <v>45301.0</v>
      </c>
      <c r="F2653" s="10" t="s">
        <v>14381</v>
      </c>
      <c r="G2653" s="10" t="s">
        <v>12654</v>
      </c>
      <c r="H2653" s="10" t="s">
        <v>958</v>
      </c>
      <c r="I2653" s="10" t="s">
        <v>55</v>
      </c>
      <c r="K2653" s="10" t="s">
        <v>15262</v>
      </c>
      <c r="L2653" s="10" t="s">
        <v>42</v>
      </c>
    </row>
    <row r="2654" ht="15.75" customHeight="1">
      <c r="A2654" s="64">
        <v>45462.0</v>
      </c>
      <c r="B2654" s="55" t="str">
        <f>HYPERLINK("https://jobright.ai/jobs/info/667343428b6a006c823cf8a6?utm_campaign=1065&amp;utm_source=sheet", "Apply")</f>
        <v>Apply</v>
      </c>
      <c r="C2654" s="10" t="s">
        <v>14379</v>
      </c>
      <c r="D2654" s="56" t="s">
        <v>14380</v>
      </c>
      <c r="E2654" s="59">
        <v>45301.0</v>
      </c>
      <c r="F2654" s="10" t="s">
        <v>14381</v>
      </c>
      <c r="G2654" s="10" t="s">
        <v>12654</v>
      </c>
      <c r="H2654" s="10" t="s">
        <v>812</v>
      </c>
      <c r="I2654" s="10" t="s">
        <v>55</v>
      </c>
      <c r="J2654" s="10" t="s">
        <v>14382</v>
      </c>
      <c r="K2654" s="10" t="s">
        <v>14383</v>
      </c>
      <c r="L2654" s="10" t="s">
        <v>42</v>
      </c>
    </row>
    <row r="2655" ht="15.75" customHeight="1">
      <c r="A2655" s="64">
        <v>45462.0</v>
      </c>
      <c r="B2655" s="55" t="str">
        <f>HYPERLINK("https://jobright.ai/jobs/info/667343428b6a006c823cf8aa?utm_campaign=1065&amp;utm_source=sheet", "Apply")</f>
        <v>Apply</v>
      </c>
      <c r="C2655" s="10" t="s">
        <v>14379</v>
      </c>
      <c r="D2655" s="56" t="s">
        <v>14380</v>
      </c>
      <c r="E2655" s="59">
        <v>45301.0</v>
      </c>
      <c r="F2655" s="10" t="s">
        <v>14381</v>
      </c>
      <c r="G2655" s="10" t="s">
        <v>12654</v>
      </c>
      <c r="H2655" s="10" t="s">
        <v>815</v>
      </c>
      <c r="I2655" s="10" t="s">
        <v>55</v>
      </c>
      <c r="J2655" s="10" t="s">
        <v>14382</v>
      </c>
      <c r="K2655" s="10" t="s">
        <v>14383</v>
      </c>
      <c r="L2655" s="10" t="s">
        <v>42</v>
      </c>
    </row>
    <row r="2656" ht="15.75" customHeight="1">
      <c r="A2656" s="64">
        <v>45462.0</v>
      </c>
      <c r="B2656" s="55" t="str">
        <f>HYPERLINK("https://jobright.ai/jobs/info/667343428b6a006c823cf8b0?utm_campaign=1065&amp;utm_source=sheet", "Apply")</f>
        <v>Apply</v>
      </c>
      <c r="C2656" s="10" t="s">
        <v>15261</v>
      </c>
      <c r="D2656" s="56" t="s">
        <v>14380</v>
      </c>
      <c r="E2656" s="59">
        <v>45301.0</v>
      </c>
      <c r="F2656" s="10" t="s">
        <v>14381</v>
      </c>
      <c r="G2656" s="10" t="s">
        <v>12654</v>
      </c>
      <c r="H2656" s="10" t="s">
        <v>866</v>
      </c>
      <c r="I2656" s="10" t="s">
        <v>55</v>
      </c>
      <c r="K2656" s="10" t="s">
        <v>15262</v>
      </c>
      <c r="L2656" s="10" t="s">
        <v>42</v>
      </c>
    </row>
    <row r="2657" ht="15.75" customHeight="1">
      <c r="A2657" s="64">
        <v>45462.0</v>
      </c>
      <c r="B2657" s="55" t="str">
        <f>HYPERLINK("https://jobright.ai/jobs/info/667343428b6a006c823cf8ab?utm_campaign=1065&amp;utm_source=sheet", "Apply")</f>
        <v>Apply</v>
      </c>
      <c r="C2657" s="10" t="s">
        <v>15261</v>
      </c>
      <c r="D2657" s="56" t="s">
        <v>14380</v>
      </c>
      <c r="E2657" s="59">
        <v>45301.0</v>
      </c>
      <c r="F2657" s="10" t="s">
        <v>14381</v>
      </c>
      <c r="G2657" s="10" t="s">
        <v>12654</v>
      </c>
      <c r="H2657" s="10" t="s">
        <v>982</v>
      </c>
      <c r="I2657" s="10" t="s">
        <v>55</v>
      </c>
      <c r="K2657" s="10" t="s">
        <v>15262</v>
      </c>
      <c r="L2657" s="10" t="s">
        <v>42</v>
      </c>
    </row>
    <row r="2658" ht="15.75" customHeight="1">
      <c r="A2658" s="64">
        <v>45462.0</v>
      </c>
      <c r="B2658" s="55" t="str">
        <f>HYPERLINK("https://jobright.ai/jobs/info/667343428b6a006c823cf8ae?utm_campaign=1065&amp;utm_source=sheet", "Apply")</f>
        <v>Apply</v>
      </c>
      <c r="C2658" s="10" t="s">
        <v>14379</v>
      </c>
      <c r="D2658" s="56" t="s">
        <v>14380</v>
      </c>
      <c r="E2658" s="59">
        <v>45301.0</v>
      </c>
      <c r="F2658" s="10" t="s">
        <v>14381</v>
      </c>
      <c r="G2658" s="10" t="s">
        <v>12654</v>
      </c>
      <c r="H2658" s="10" t="s">
        <v>947</v>
      </c>
      <c r="I2658" s="10" t="s">
        <v>55</v>
      </c>
      <c r="J2658" s="10" t="s">
        <v>14382</v>
      </c>
      <c r="K2658" s="10" t="s">
        <v>14383</v>
      </c>
      <c r="L2658" s="10" t="s">
        <v>42</v>
      </c>
    </row>
    <row r="2659" ht="15.75" customHeight="1">
      <c r="A2659" s="64">
        <v>45462.0</v>
      </c>
      <c r="B2659" s="55" t="str">
        <f>HYPERLINK("https://jobright.ai/jobs/info/667343428b6a006c823cf8ac?utm_campaign=1065&amp;utm_source=sheet", "Apply")</f>
        <v>Apply</v>
      </c>
      <c r="C2659" s="10" t="s">
        <v>15261</v>
      </c>
      <c r="D2659" s="56" t="s">
        <v>14380</v>
      </c>
      <c r="E2659" s="59">
        <v>45301.0</v>
      </c>
      <c r="F2659" s="10" t="s">
        <v>14381</v>
      </c>
      <c r="G2659" s="10" t="s">
        <v>12654</v>
      </c>
      <c r="H2659" s="10" t="s">
        <v>766</v>
      </c>
      <c r="I2659" s="10" t="s">
        <v>55</v>
      </c>
      <c r="K2659" s="10" t="s">
        <v>15262</v>
      </c>
      <c r="L2659" s="10" t="s">
        <v>42</v>
      </c>
    </row>
    <row r="2660" ht="15.75" customHeight="1">
      <c r="A2660" s="64">
        <v>45462.0</v>
      </c>
      <c r="B2660" s="55" t="str">
        <f>HYPERLINK("https://jobright.ai/jobs/info/667343428b6a006c823cf8af?utm_campaign=1065&amp;utm_source=sheet", "Apply")</f>
        <v>Apply</v>
      </c>
      <c r="C2660" s="10" t="s">
        <v>15261</v>
      </c>
      <c r="D2660" s="56" t="s">
        <v>14380</v>
      </c>
      <c r="E2660" s="59">
        <v>45301.0</v>
      </c>
      <c r="F2660" s="10" t="s">
        <v>14381</v>
      </c>
      <c r="G2660" s="10" t="s">
        <v>12654</v>
      </c>
      <c r="H2660" s="10" t="s">
        <v>939</v>
      </c>
      <c r="I2660" s="10" t="s">
        <v>55</v>
      </c>
      <c r="K2660" s="10" t="s">
        <v>15262</v>
      </c>
      <c r="L2660" s="10" t="s">
        <v>42</v>
      </c>
    </row>
    <row r="2661" ht="15.75" customHeight="1">
      <c r="A2661" s="64">
        <v>45462.0</v>
      </c>
      <c r="B2661" s="55" t="str">
        <f>HYPERLINK("https://jobright.ai/jobs/info/667343428b6a006c823cf8ad?utm_campaign=1065&amp;utm_source=sheet", "Apply")</f>
        <v>Apply</v>
      </c>
      <c r="C2661" s="10" t="s">
        <v>15261</v>
      </c>
      <c r="D2661" s="56" t="s">
        <v>14380</v>
      </c>
      <c r="E2661" s="59">
        <v>45301.0</v>
      </c>
      <c r="F2661" s="10" t="s">
        <v>14381</v>
      </c>
      <c r="G2661" s="10" t="s">
        <v>12654</v>
      </c>
      <c r="H2661" s="10" t="s">
        <v>895</v>
      </c>
      <c r="I2661" s="10" t="s">
        <v>55</v>
      </c>
      <c r="K2661" s="10" t="s">
        <v>15262</v>
      </c>
      <c r="L2661" s="10" t="s">
        <v>42</v>
      </c>
    </row>
    <row r="2662" ht="15.75" customHeight="1">
      <c r="A2662" s="64">
        <v>45462.0</v>
      </c>
      <c r="B2662" s="55" t="str">
        <f>HYPERLINK("https://jobright.ai/jobs/info/667343428b6a006c823cf8b1?utm_campaign=1065&amp;utm_source=sheet", "Apply")</f>
        <v>Apply</v>
      </c>
      <c r="C2662" s="10" t="s">
        <v>14379</v>
      </c>
      <c r="D2662" s="56" t="s">
        <v>14380</v>
      </c>
      <c r="E2662" s="59">
        <v>45301.0</v>
      </c>
      <c r="F2662" s="10" t="s">
        <v>14381</v>
      </c>
      <c r="G2662" s="10" t="s">
        <v>12654</v>
      </c>
      <c r="H2662" s="10" t="s">
        <v>822</v>
      </c>
      <c r="I2662" s="10" t="s">
        <v>55</v>
      </c>
      <c r="J2662" s="10" t="s">
        <v>14382</v>
      </c>
      <c r="K2662" s="10" t="s">
        <v>14383</v>
      </c>
      <c r="L2662" s="10" t="s">
        <v>42</v>
      </c>
    </row>
    <row r="2663" ht="15.75" customHeight="1">
      <c r="A2663" s="64">
        <v>45462.0</v>
      </c>
      <c r="B2663" s="55" t="str">
        <f>HYPERLINK("https://jobright.ai/jobs/info/667343428b6a006c823cf8b7?utm_campaign=1065&amp;utm_source=sheet", "Apply")</f>
        <v>Apply</v>
      </c>
      <c r="C2663" s="10" t="s">
        <v>15261</v>
      </c>
      <c r="D2663" s="56" t="s">
        <v>14380</v>
      </c>
      <c r="E2663" s="59">
        <v>45301.0</v>
      </c>
      <c r="F2663" s="10" t="s">
        <v>14381</v>
      </c>
      <c r="G2663" s="10" t="s">
        <v>12654</v>
      </c>
      <c r="H2663" s="10" t="s">
        <v>609</v>
      </c>
      <c r="I2663" s="10" t="s">
        <v>55</v>
      </c>
      <c r="K2663" s="10" t="s">
        <v>15262</v>
      </c>
      <c r="L2663" s="10" t="s">
        <v>42</v>
      </c>
    </row>
    <row r="2664" ht="15.75" customHeight="1">
      <c r="A2664" s="64">
        <v>45462.0</v>
      </c>
      <c r="B2664" s="55" t="str">
        <f>HYPERLINK("https://jobright.ai/jobs/info/667343428b6a006c823cf8b2?utm_campaign=1065&amp;utm_source=sheet", "Apply")</f>
        <v>Apply</v>
      </c>
      <c r="C2664" s="10" t="s">
        <v>14379</v>
      </c>
      <c r="D2664" s="56" t="s">
        <v>14380</v>
      </c>
      <c r="E2664" s="59">
        <v>45301.0</v>
      </c>
      <c r="F2664" s="10" t="s">
        <v>14381</v>
      </c>
      <c r="G2664" s="10" t="s">
        <v>12654</v>
      </c>
      <c r="H2664" s="10" t="s">
        <v>816</v>
      </c>
      <c r="I2664" s="10" t="s">
        <v>55</v>
      </c>
      <c r="J2664" s="10" t="s">
        <v>14382</v>
      </c>
      <c r="K2664" s="10" t="s">
        <v>14383</v>
      </c>
      <c r="L2664" s="10" t="s">
        <v>42</v>
      </c>
    </row>
    <row r="2665" ht="15.75" customHeight="1">
      <c r="A2665" s="64">
        <v>45462.0</v>
      </c>
      <c r="B2665" s="55" t="str">
        <f>HYPERLINK("https://jobright.ai/jobs/info/667343428b6a006c823cf8b6?utm_campaign=1065&amp;utm_source=sheet", "Apply")</f>
        <v>Apply</v>
      </c>
      <c r="C2665" s="10" t="s">
        <v>15261</v>
      </c>
      <c r="D2665" s="56" t="s">
        <v>14380</v>
      </c>
      <c r="E2665" s="59">
        <v>45301.0</v>
      </c>
      <c r="F2665" s="10" t="s">
        <v>14381</v>
      </c>
      <c r="G2665" s="10" t="s">
        <v>12654</v>
      </c>
      <c r="H2665" s="10" t="s">
        <v>794</v>
      </c>
      <c r="I2665" s="10" t="s">
        <v>55</v>
      </c>
      <c r="K2665" s="10" t="s">
        <v>15262</v>
      </c>
      <c r="L2665" s="10" t="s">
        <v>42</v>
      </c>
    </row>
    <row r="2666" ht="15.75" customHeight="1">
      <c r="A2666" s="64">
        <v>45462.0</v>
      </c>
      <c r="B2666" s="55" t="str">
        <f>HYPERLINK("https://jobright.ai/jobs/info/667343428b6a006c823cf8b3?utm_campaign=1065&amp;utm_source=sheet", "Apply")</f>
        <v>Apply</v>
      </c>
      <c r="C2666" s="10" t="s">
        <v>14379</v>
      </c>
      <c r="D2666" s="56" t="s">
        <v>14380</v>
      </c>
      <c r="E2666" s="59">
        <v>45301.0</v>
      </c>
      <c r="F2666" s="10" t="s">
        <v>14381</v>
      </c>
      <c r="G2666" s="10" t="s">
        <v>12654</v>
      </c>
      <c r="H2666" s="10" t="s">
        <v>825</v>
      </c>
      <c r="I2666" s="10" t="s">
        <v>55</v>
      </c>
      <c r="J2666" s="10" t="s">
        <v>14382</v>
      </c>
      <c r="K2666" s="10" t="s">
        <v>14383</v>
      </c>
      <c r="L2666" s="10" t="s">
        <v>42</v>
      </c>
    </row>
    <row r="2667" ht="15.75" customHeight="1">
      <c r="A2667" s="64">
        <v>45462.0</v>
      </c>
      <c r="B2667" s="55" t="str">
        <f>HYPERLINK("https://jobright.ai/jobs/info/667343428b6a006c823cf8b4?utm_campaign=1065&amp;utm_source=sheet", "Apply")</f>
        <v>Apply</v>
      </c>
      <c r="C2667" s="10" t="s">
        <v>14379</v>
      </c>
      <c r="D2667" s="56" t="s">
        <v>14380</v>
      </c>
      <c r="E2667" s="59">
        <v>45301.0</v>
      </c>
      <c r="F2667" s="10" t="s">
        <v>14381</v>
      </c>
      <c r="G2667" s="10" t="s">
        <v>12654</v>
      </c>
      <c r="H2667" s="10" t="s">
        <v>313</v>
      </c>
      <c r="I2667" s="10" t="s">
        <v>55</v>
      </c>
      <c r="J2667" s="10" t="s">
        <v>14382</v>
      </c>
      <c r="K2667" s="10" t="s">
        <v>14383</v>
      </c>
      <c r="L2667" s="10" t="s">
        <v>42</v>
      </c>
    </row>
    <row r="2668" ht="15.75" customHeight="1">
      <c r="A2668" s="64">
        <v>45462.0</v>
      </c>
      <c r="B2668" s="55" t="str">
        <f>HYPERLINK("https://jobright.ai/jobs/info/667343428b6a006c823cf8b5?utm_campaign=1065&amp;utm_source=sheet", "Apply")</f>
        <v>Apply</v>
      </c>
      <c r="C2668" s="10" t="s">
        <v>14379</v>
      </c>
      <c r="D2668" s="56" t="s">
        <v>14380</v>
      </c>
      <c r="E2668" s="59">
        <v>45301.0</v>
      </c>
      <c r="F2668" s="10" t="s">
        <v>14381</v>
      </c>
      <c r="G2668" s="10" t="s">
        <v>12654</v>
      </c>
      <c r="H2668" s="10" t="s">
        <v>863</v>
      </c>
      <c r="I2668" s="10" t="s">
        <v>55</v>
      </c>
      <c r="J2668" s="10" t="s">
        <v>14382</v>
      </c>
      <c r="K2668" s="10" t="s">
        <v>14383</v>
      </c>
      <c r="L2668" s="10" t="s">
        <v>42</v>
      </c>
    </row>
    <row r="2669" ht="15.75" customHeight="1">
      <c r="A2669" s="64">
        <v>45462.0</v>
      </c>
      <c r="B2669" s="55" t="str">
        <f>HYPERLINK("https://jobright.ai/jobs/info/667343428b6a006c823cf8bb?utm_campaign=1065&amp;utm_source=sheet", "Apply")</f>
        <v>Apply</v>
      </c>
      <c r="C2669" s="10" t="s">
        <v>14379</v>
      </c>
      <c r="D2669" s="56" t="s">
        <v>14380</v>
      </c>
      <c r="E2669" s="59">
        <v>45301.0</v>
      </c>
      <c r="F2669" s="10" t="s">
        <v>14381</v>
      </c>
      <c r="G2669" s="10" t="s">
        <v>12654</v>
      </c>
      <c r="H2669" s="10" t="s">
        <v>919</v>
      </c>
      <c r="I2669" s="10" t="s">
        <v>55</v>
      </c>
      <c r="J2669" s="10" t="s">
        <v>14382</v>
      </c>
      <c r="K2669" s="10" t="s">
        <v>14383</v>
      </c>
      <c r="L2669" s="10" t="s">
        <v>42</v>
      </c>
    </row>
    <row r="2670" ht="15.75" customHeight="1">
      <c r="A2670" s="64">
        <v>45462.0</v>
      </c>
      <c r="B2670" s="55" t="str">
        <f>HYPERLINK("https://jobright.ai/jobs/info/667343428b6a006c823cf8ba?utm_campaign=1065&amp;utm_source=sheet", "Apply")</f>
        <v>Apply</v>
      </c>
      <c r="C2670" s="10" t="s">
        <v>14379</v>
      </c>
      <c r="D2670" s="56" t="s">
        <v>14380</v>
      </c>
      <c r="E2670" s="59">
        <v>45301.0</v>
      </c>
      <c r="F2670" s="10" t="s">
        <v>14381</v>
      </c>
      <c r="G2670" s="10" t="s">
        <v>12654</v>
      </c>
      <c r="H2670" s="10" t="s">
        <v>1015</v>
      </c>
      <c r="I2670" s="10" t="s">
        <v>55</v>
      </c>
      <c r="J2670" s="10" t="s">
        <v>14382</v>
      </c>
      <c r="K2670" s="10" t="s">
        <v>14383</v>
      </c>
      <c r="L2670" s="10" t="s">
        <v>42</v>
      </c>
    </row>
    <row r="2671" ht="15.75" customHeight="1">
      <c r="A2671" s="64">
        <v>45462.0</v>
      </c>
      <c r="B2671" s="55" t="str">
        <f>HYPERLINK("https://jobright.ai/jobs/info/667343428b6a006c823cf8be?utm_campaign=1065&amp;utm_source=sheet", "Apply")</f>
        <v>Apply</v>
      </c>
      <c r="C2671" s="10" t="s">
        <v>15261</v>
      </c>
      <c r="D2671" s="56" t="s">
        <v>14380</v>
      </c>
      <c r="E2671" s="59">
        <v>45301.0</v>
      </c>
      <c r="F2671" s="10" t="s">
        <v>14381</v>
      </c>
      <c r="G2671" s="10" t="s">
        <v>12654</v>
      </c>
      <c r="H2671" s="10" t="s">
        <v>853</v>
      </c>
      <c r="I2671" s="10" t="s">
        <v>55</v>
      </c>
      <c r="K2671" s="10" t="s">
        <v>15262</v>
      </c>
      <c r="L2671" s="10" t="s">
        <v>42</v>
      </c>
    </row>
    <row r="2672" ht="15.75" customHeight="1">
      <c r="A2672" s="64">
        <v>45462.0</v>
      </c>
      <c r="B2672" s="55" t="str">
        <f>HYPERLINK("https://jobright.ai/jobs/info/667343428b6a006c823cf8b9?utm_campaign=1065&amp;utm_source=sheet", "Apply")</f>
        <v>Apply</v>
      </c>
      <c r="C2672" s="10" t="s">
        <v>14379</v>
      </c>
      <c r="D2672" s="56" t="s">
        <v>14380</v>
      </c>
      <c r="E2672" s="59">
        <v>45301.0</v>
      </c>
      <c r="F2672" s="10" t="s">
        <v>14381</v>
      </c>
      <c r="G2672" s="10" t="s">
        <v>12654</v>
      </c>
      <c r="H2672" s="10" t="s">
        <v>1013</v>
      </c>
      <c r="I2672" s="10" t="s">
        <v>55</v>
      </c>
      <c r="J2672" s="10" t="s">
        <v>14382</v>
      </c>
      <c r="K2672" s="10" t="s">
        <v>14383</v>
      </c>
      <c r="L2672" s="10" t="s">
        <v>42</v>
      </c>
    </row>
    <row r="2673" ht="15.75" customHeight="1">
      <c r="A2673" s="64">
        <v>45462.0</v>
      </c>
      <c r="B2673" s="55" t="str">
        <f>HYPERLINK("https://jobright.ai/jobs/info/667343428b6a006c823cf8bc?utm_campaign=1065&amp;utm_source=sheet", "Apply")</f>
        <v>Apply</v>
      </c>
      <c r="C2673" s="10" t="s">
        <v>15261</v>
      </c>
      <c r="D2673" s="56" t="s">
        <v>14380</v>
      </c>
      <c r="E2673" s="59">
        <v>45301.0</v>
      </c>
      <c r="F2673" s="10" t="s">
        <v>14381</v>
      </c>
      <c r="G2673" s="10" t="s">
        <v>12654</v>
      </c>
      <c r="H2673" s="10" t="s">
        <v>1038</v>
      </c>
      <c r="I2673" s="10" t="s">
        <v>55</v>
      </c>
      <c r="K2673" s="10" t="s">
        <v>15262</v>
      </c>
      <c r="L2673" s="10" t="s">
        <v>42</v>
      </c>
    </row>
    <row r="2674" ht="15.75" customHeight="1">
      <c r="A2674" s="64">
        <v>45462.0</v>
      </c>
      <c r="B2674" s="55" t="str">
        <f>HYPERLINK("https://jobright.ai/jobs/info/667343428b6a006c823cf8b8?utm_campaign=1065&amp;utm_source=sheet", "Apply")</f>
        <v>Apply</v>
      </c>
      <c r="C2674" s="10" t="s">
        <v>14379</v>
      </c>
      <c r="D2674" s="56" t="s">
        <v>14380</v>
      </c>
      <c r="E2674" s="59">
        <v>45301.0</v>
      </c>
      <c r="F2674" s="10" t="s">
        <v>14381</v>
      </c>
      <c r="G2674" s="10" t="s">
        <v>12654</v>
      </c>
      <c r="H2674" s="10" t="s">
        <v>1039</v>
      </c>
      <c r="I2674" s="10" t="s">
        <v>55</v>
      </c>
      <c r="J2674" s="10" t="s">
        <v>14382</v>
      </c>
      <c r="K2674" s="10" t="s">
        <v>14383</v>
      </c>
      <c r="L2674" s="10" t="s">
        <v>42</v>
      </c>
    </row>
    <row r="2675" ht="15.75" customHeight="1">
      <c r="A2675" s="64">
        <v>45462.0</v>
      </c>
      <c r="B2675" s="55" t="str">
        <f>HYPERLINK("https://jobright.ai/jobs/info/667343428b6a006c823cf8bd?utm_campaign=1065&amp;utm_source=sheet", "Apply")</f>
        <v>Apply</v>
      </c>
      <c r="C2675" s="10" t="s">
        <v>14379</v>
      </c>
      <c r="D2675" s="56" t="s">
        <v>14380</v>
      </c>
      <c r="E2675" s="59">
        <v>45301.0</v>
      </c>
      <c r="F2675" s="10" t="s">
        <v>14381</v>
      </c>
      <c r="G2675" s="10" t="s">
        <v>12654</v>
      </c>
      <c r="H2675" s="10" t="s">
        <v>1048</v>
      </c>
      <c r="I2675" s="10" t="s">
        <v>55</v>
      </c>
      <c r="J2675" s="10" t="s">
        <v>14382</v>
      </c>
      <c r="K2675" s="10" t="s">
        <v>14383</v>
      </c>
      <c r="L2675" s="10" t="s">
        <v>42</v>
      </c>
    </row>
    <row r="2676" ht="15.75" customHeight="1">
      <c r="A2676" s="64">
        <v>45462.0</v>
      </c>
      <c r="B2676" s="55" t="str">
        <f>HYPERLINK("https://jobright.ai/jobs/info/667343428b6a006c823cf8c1?utm_campaign=1065&amp;utm_source=sheet", "Apply")</f>
        <v>Apply</v>
      </c>
      <c r="C2676" s="10" t="s">
        <v>15261</v>
      </c>
      <c r="D2676" s="56" t="s">
        <v>14380</v>
      </c>
      <c r="E2676" s="59">
        <v>45301.0</v>
      </c>
      <c r="F2676" s="10" t="s">
        <v>14381</v>
      </c>
      <c r="G2676" s="10" t="s">
        <v>12654</v>
      </c>
      <c r="H2676" s="10" t="s">
        <v>884</v>
      </c>
      <c r="I2676" s="10" t="s">
        <v>55</v>
      </c>
      <c r="K2676" s="10" t="s">
        <v>15262</v>
      </c>
      <c r="L2676" s="10" t="s">
        <v>42</v>
      </c>
    </row>
    <row r="2677" ht="15.75" customHeight="1">
      <c r="A2677" s="64">
        <v>45462.0</v>
      </c>
      <c r="B2677" s="55" t="str">
        <f>HYPERLINK("https://jobright.ai/jobs/info/667343428b6a006c823cf8c0?utm_campaign=1065&amp;utm_source=sheet", "Apply")</f>
        <v>Apply</v>
      </c>
      <c r="C2677" s="10" t="s">
        <v>14379</v>
      </c>
      <c r="D2677" s="56" t="s">
        <v>14380</v>
      </c>
      <c r="E2677" s="59">
        <v>45301.0</v>
      </c>
      <c r="F2677" s="10" t="s">
        <v>14381</v>
      </c>
      <c r="G2677" s="10" t="s">
        <v>12654</v>
      </c>
      <c r="H2677" s="10" t="s">
        <v>993</v>
      </c>
      <c r="I2677" s="10" t="s">
        <v>55</v>
      </c>
      <c r="J2677" s="10" t="s">
        <v>14382</v>
      </c>
      <c r="K2677" s="10" t="s">
        <v>14383</v>
      </c>
      <c r="L2677" s="10" t="s">
        <v>42</v>
      </c>
    </row>
    <row r="2678" ht="15.75" customHeight="1">
      <c r="A2678" s="64">
        <v>45462.0</v>
      </c>
      <c r="B2678" s="55" t="str">
        <f>HYPERLINK("https://jobright.ai/jobs/info/667343428b6a006c823cf8bf?utm_campaign=1065&amp;utm_source=sheet", "Apply")</f>
        <v>Apply</v>
      </c>
      <c r="C2678" s="10" t="s">
        <v>14379</v>
      </c>
      <c r="D2678" s="56" t="s">
        <v>14380</v>
      </c>
      <c r="E2678" s="59">
        <v>45301.0</v>
      </c>
      <c r="F2678" s="10" t="s">
        <v>14381</v>
      </c>
      <c r="G2678" s="10" t="s">
        <v>12654</v>
      </c>
      <c r="H2678" s="10" t="s">
        <v>1023</v>
      </c>
      <c r="I2678" s="10" t="s">
        <v>55</v>
      </c>
      <c r="J2678" s="10" t="s">
        <v>14382</v>
      </c>
      <c r="K2678" s="10" t="s">
        <v>14383</v>
      </c>
      <c r="L2678" s="10" t="s">
        <v>42</v>
      </c>
    </row>
    <row r="2679" ht="15.75" customHeight="1">
      <c r="A2679" s="64">
        <v>45462.0</v>
      </c>
      <c r="B2679" s="55" t="str">
        <f>HYPERLINK("https://jobright.ai/jobs/info/667343428b6a006c823cf8c5?utm_campaign=1065&amp;utm_source=sheet", "Apply")</f>
        <v>Apply</v>
      </c>
      <c r="C2679" s="10" t="s">
        <v>15261</v>
      </c>
      <c r="D2679" s="56" t="s">
        <v>14380</v>
      </c>
      <c r="E2679" s="59">
        <v>45301.0</v>
      </c>
      <c r="F2679" s="10" t="s">
        <v>14381</v>
      </c>
      <c r="G2679" s="10" t="s">
        <v>12654</v>
      </c>
      <c r="H2679" s="10" t="s">
        <v>914</v>
      </c>
      <c r="I2679" s="10" t="s">
        <v>55</v>
      </c>
      <c r="K2679" s="10" t="s">
        <v>15262</v>
      </c>
      <c r="L2679" s="10" t="s">
        <v>42</v>
      </c>
    </row>
    <row r="2680" ht="15.75" customHeight="1">
      <c r="A2680" s="64">
        <v>45462.0</v>
      </c>
      <c r="B2680" s="55" t="str">
        <f>HYPERLINK("https://jobright.ai/jobs/info/667343428b6a006c823cf8c9?utm_campaign=1065&amp;utm_source=sheet", "Apply")</f>
        <v>Apply</v>
      </c>
      <c r="C2680" s="10" t="s">
        <v>14379</v>
      </c>
      <c r="D2680" s="56" t="s">
        <v>14380</v>
      </c>
      <c r="E2680" s="59">
        <v>45301.0</v>
      </c>
      <c r="F2680" s="10" t="s">
        <v>14381</v>
      </c>
      <c r="G2680" s="10" t="s">
        <v>12654</v>
      </c>
      <c r="H2680" s="10" t="s">
        <v>950</v>
      </c>
      <c r="I2680" s="10" t="s">
        <v>55</v>
      </c>
      <c r="J2680" s="10" t="s">
        <v>14382</v>
      </c>
      <c r="K2680" s="10" t="s">
        <v>14383</v>
      </c>
      <c r="L2680" s="10" t="s">
        <v>42</v>
      </c>
    </row>
    <row r="2681" ht="15.75" customHeight="1">
      <c r="A2681" s="64">
        <v>45462.0</v>
      </c>
      <c r="B2681" s="55" t="str">
        <f>HYPERLINK("https://jobright.ai/jobs/info/667343428b6a006c823cf8c2?utm_campaign=1065&amp;utm_source=sheet", "Apply")</f>
        <v>Apply</v>
      </c>
      <c r="C2681" s="10" t="s">
        <v>15261</v>
      </c>
      <c r="D2681" s="56" t="s">
        <v>14380</v>
      </c>
      <c r="E2681" s="59">
        <v>45301.0</v>
      </c>
      <c r="F2681" s="10" t="s">
        <v>14381</v>
      </c>
      <c r="G2681" s="10" t="s">
        <v>12654</v>
      </c>
      <c r="H2681" s="10" t="s">
        <v>621</v>
      </c>
      <c r="I2681" s="10" t="s">
        <v>55</v>
      </c>
      <c r="K2681" s="10" t="s">
        <v>15262</v>
      </c>
      <c r="L2681" s="10" t="s">
        <v>42</v>
      </c>
    </row>
    <row r="2682" ht="15.75" customHeight="1">
      <c r="A2682" s="64">
        <v>45462.0</v>
      </c>
      <c r="B2682" s="55" t="str">
        <f>HYPERLINK("https://jobright.ai/jobs/info/667343428b6a006c823cf8c3?utm_campaign=1065&amp;utm_source=sheet", "Apply")</f>
        <v>Apply</v>
      </c>
      <c r="C2682" s="10" t="s">
        <v>14379</v>
      </c>
      <c r="D2682" s="56" t="s">
        <v>14380</v>
      </c>
      <c r="E2682" s="59">
        <v>45301.0</v>
      </c>
      <c r="F2682" s="10" t="s">
        <v>14381</v>
      </c>
      <c r="G2682" s="10" t="s">
        <v>12654</v>
      </c>
      <c r="H2682" s="10" t="s">
        <v>990</v>
      </c>
      <c r="I2682" s="10" t="s">
        <v>55</v>
      </c>
      <c r="J2682" s="10" t="s">
        <v>14382</v>
      </c>
      <c r="K2682" s="10" t="s">
        <v>14383</v>
      </c>
      <c r="L2682" s="10" t="s">
        <v>42</v>
      </c>
    </row>
    <row r="2683" ht="15.75" customHeight="1">
      <c r="A2683" s="64">
        <v>45462.0</v>
      </c>
      <c r="B2683" s="55" t="str">
        <f>HYPERLINK("https://jobright.ai/jobs/info/667343428b6a006c823cf8c7?utm_campaign=1065&amp;utm_source=sheet", "Apply")</f>
        <v>Apply</v>
      </c>
      <c r="C2683" s="10" t="s">
        <v>15261</v>
      </c>
      <c r="D2683" s="56" t="s">
        <v>14380</v>
      </c>
      <c r="E2683" s="59">
        <v>45301.0</v>
      </c>
      <c r="F2683" s="10" t="s">
        <v>14381</v>
      </c>
      <c r="G2683" s="10" t="s">
        <v>12654</v>
      </c>
      <c r="H2683" s="10" t="s">
        <v>1045</v>
      </c>
      <c r="I2683" s="10" t="s">
        <v>55</v>
      </c>
      <c r="K2683" s="10" t="s">
        <v>15262</v>
      </c>
      <c r="L2683" s="10" t="s">
        <v>42</v>
      </c>
    </row>
    <row r="2684" ht="15.75" customHeight="1">
      <c r="A2684" s="64">
        <v>45462.0</v>
      </c>
      <c r="B2684" s="55" t="str">
        <f>HYPERLINK("https://jobright.ai/jobs/info/667343428b6a006c823cf8c4?utm_campaign=1065&amp;utm_source=sheet", "Apply")</f>
        <v>Apply</v>
      </c>
      <c r="C2684" s="10" t="s">
        <v>14379</v>
      </c>
      <c r="D2684" s="56" t="s">
        <v>14380</v>
      </c>
      <c r="E2684" s="59">
        <v>45301.0</v>
      </c>
      <c r="F2684" s="10" t="s">
        <v>14381</v>
      </c>
      <c r="G2684" s="10" t="s">
        <v>12654</v>
      </c>
      <c r="H2684" s="10" t="s">
        <v>962</v>
      </c>
      <c r="I2684" s="10" t="s">
        <v>55</v>
      </c>
      <c r="J2684" s="10" t="s">
        <v>14382</v>
      </c>
      <c r="K2684" s="10" t="s">
        <v>14383</v>
      </c>
      <c r="L2684" s="10" t="s">
        <v>42</v>
      </c>
    </row>
    <row r="2685" ht="15.75" customHeight="1">
      <c r="A2685" s="64">
        <v>45462.0</v>
      </c>
      <c r="B2685" s="55" t="str">
        <f>HYPERLINK("https://jobright.ai/jobs/info/667343428b6a006c823cf8c6?utm_campaign=1065&amp;utm_source=sheet", "Apply")</f>
        <v>Apply</v>
      </c>
      <c r="C2685" s="10" t="s">
        <v>14379</v>
      </c>
      <c r="D2685" s="56" t="s">
        <v>14380</v>
      </c>
      <c r="E2685" s="59">
        <v>45301.0</v>
      </c>
      <c r="F2685" s="10" t="s">
        <v>14381</v>
      </c>
      <c r="G2685" s="10" t="s">
        <v>12654</v>
      </c>
      <c r="H2685" s="10" t="s">
        <v>792</v>
      </c>
      <c r="I2685" s="10" t="s">
        <v>55</v>
      </c>
      <c r="J2685" s="10" t="s">
        <v>14382</v>
      </c>
      <c r="K2685" s="10" t="s">
        <v>14383</v>
      </c>
      <c r="L2685" s="10" t="s">
        <v>42</v>
      </c>
    </row>
    <row r="2686" ht="15.75" customHeight="1">
      <c r="A2686" s="64">
        <v>45462.0</v>
      </c>
      <c r="B2686" s="55" t="str">
        <f>HYPERLINK("https://jobright.ai/jobs/info/667343428b6a006c823cf8c8?utm_campaign=1065&amp;utm_source=sheet", "Apply")</f>
        <v>Apply</v>
      </c>
      <c r="C2686" s="10" t="s">
        <v>15261</v>
      </c>
      <c r="D2686" s="56" t="s">
        <v>14380</v>
      </c>
      <c r="E2686" s="59">
        <v>45301.0</v>
      </c>
      <c r="F2686" s="10" t="s">
        <v>14381</v>
      </c>
      <c r="G2686" s="10" t="s">
        <v>12654</v>
      </c>
      <c r="H2686" s="10" t="s">
        <v>174</v>
      </c>
      <c r="I2686" s="10" t="s">
        <v>55</v>
      </c>
      <c r="K2686" s="10" t="s">
        <v>15262</v>
      </c>
      <c r="L2686" s="10" t="s">
        <v>42</v>
      </c>
    </row>
    <row r="2687" ht="15.75" customHeight="1">
      <c r="A2687" s="64">
        <v>45462.0</v>
      </c>
      <c r="B2687" s="55" t="str">
        <f>HYPERLINK("https://jobright.ai/jobs/info/667343428b6a006c823cf8ca?utm_campaign=1065&amp;utm_source=sheet", "Apply")</f>
        <v>Apply</v>
      </c>
      <c r="C2687" s="10" t="s">
        <v>14379</v>
      </c>
      <c r="D2687" s="56" t="s">
        <v>14380</v>
      </c>
      <c r="E2687" s="59">
        <v>45301.0</v>
      </c>
      <c r="F2687" s="10" t="s">
        <v>14381</v>
      </c>
      <c r="G2687" s="10" t="s">
        <v>12654</v>
      </c>
      <c r="H2687" s="10" t="s">
        <v>897</v>
      </c>
      <c r="I2687" s="10" t="s">
        <v>55</v>
      </c>
      <c r="J2687" s="10" t="s">
        <v>14382</v>
      </c>
      <c r="K2687" s="10" t="s">
        <v>14383</v>
      </c>
      <c r="L2687" s="10" t="s">
        <v>42</v>
      </c>
    </row>
    <row r="2688" ht="15.75" customHeight="1">
      <c r="A2688" s="64">
        <v>45462.0</v>
      </c>
      <c r="B2688" s="55" t="str">
        <f>HYPERLINK("https://jobright.ai/jobs/info/667343428b6a006c823cf8d0?utm_campaign=1065&amp;utm_source=sheet", "Apply")</f>
        <v>Apply</v>
      </c>
      <c r="C2688" s="10" t="s">
        <v>14379</v>
      </c>
      <c r="D2688" s="56" t="s">
        <v>14380</v>
      </c>
      <c r="E2688" s="59">
        <v>45301.0</v>
      </c>
      <c r="F2688" s="10" t="s">
        <v>14381</v>
      </c>
      <c r="G2688" s="10" t="s">
        <v>12654</v>
      </c>
      <c r="H2688" s="10" t="s">
        <v>1006</v>
      </c>
      <c r="I2688" s="10" t="s">
        <v>55</v>
      </c>
      <c r="J2688" s="10" t="s">
        <v>14382</v>
      </c>
      <c r="K2688" s="10" t="s">
        <v>14383</v>
      </c>
      <c r="L2688" s="10" t="s">
        <v>42</v>
      </c>
    </row>
    <row r="2689" ht="15.75" customHeight="1">
      <c r="A2689" s="64">
        <v>45462.0</v>
      </c>
      <c r="B2689" s="55" t="str">
        <f>HYPERLINK("https://jobright.ai/jobs/info/667343428b6a006c823cf8d3?utm_campaign=1065&amp;utm_source=sheet", "Apply")</f>
        <v>Apply</v>
      </c>
      <c r="C2689" s="10" t="s">
        <v>15261</v>
      </c>
      <c r="D2689" s="56" t="s">
        <v>14380</v>
      </c>
      <c r="E2689" s="59">
        <v>45301.0</v>
      </c>
      <c r="F2689" s="10" t="s">
        <v>14381</v>
      </c>
      <c r="G2689" s="10" t="s">
        <v>12654</v>
      </c>
      <c r="H2689" s="10" t="s">
        <v>763</v>
      </c>
      <c r="I2689" s="10" t="s">
        <v>55</v>
      </c>
      <c r="K2689" s="10" t="s">
        <v>15262</v>
      </c>
      <c r="L2689" s="10" t="s">
        <v>42</v>
      </c>
    </row>
    <row r="2690" ht="15.75" customHeight="1">
      <c r="A2690" s="64">
        <v>45462.0</v>
      </c>
      <c r="B2690" s="55" t="str">
        <f>HYPERLINK("https://jobright.ai/jobs/info/667343428b6a006c823cf8ce?utm_campaign=1065&amp;utm_source=sheet", "Apply")</f>
        <v>Apply</v>
      </c>
      <c r="C2690" s="10" t="s">
        <v>14379</v>
      </c>
      <c r="D2690" s="56" t="s">
        <v>14380</v>
      </c>
      <c r="E2690" s="59">
        <v>45301.0</v>
      </c>
      <c r="F2690" s="10" t="s">
        <v>14381</v>
      </c>
      <c r="G2690" s="10" t="s">
        <v>12654</v>
      </c>
      <c r="H2690" s="10" t="s">
        <v>964</v>
      </c>
      <c r="I2690" s="10" t="s">
        <v>55</v>
      </c>
      <c r="J2690" s="10" t="s">
        <v>14382</v>
      </c>
      <c r="K2690" s="10" t="s">
        <v>14383</v>
      </c>
      <c r="L2690" s="10" t="s">
        <v>42</v>
      </c>
    </row>
    <row r="2691" ht="15.75" customHeight="1">
      <c r="A2691" s="64">
        <v>45462.0</v>
      </c>
      <c r="B2691" s="55" t="str">
        <f>HYPERLINK("https://jobright.ai/jobs/info/667343428b6a006c823cf8d1?utm_campaign=1065&amp;utm_source=sheet", "Apply")</f>
        <v>Apply</v>
      </c>
      <c r="C2691" s="10" t="s">
        <v>15261</v>
      </c>
      <c r="D2691" s="56" t="s">
        <v>14380</v>
      </c>
      <c r="E2691" s="59">
        <v>45301.0</v>
      </c>
      <c r="F2691" s="10" t="s">
        <v>14381</v>
      </c>
      <c r="G2691" s="10" t="s">
        <v>12654</v>
      </c>
      <c r="H2691" s="10" t="s">
        <v>996</v>
      </c>
      <c r="I2691" s="10" t="s">
        <v>55</v>
      </c>
      <c r="K2691" s="10" t="s">
        <v>15262</v>
      </c>
      <c r="L2691" s="10" t="s">
        <v>42</v>
      </c>
    </row>
    <row r="2692" ht="15.75" customHeight="1">
      <c r="A2692" s="64">
        <v>45462.0</v>
      </c>
      <c r="B2692" s="55" t="str">
        <f>HYPERLINK("https://jobright.ai/jobs/info/667343428b6a006c823cf8cf?utm_campaign=1065&amp;utm_source=sheet", "Apply")</f>
        <v>Apply</v>
      </c>
      <c r="C2692" s="10" t="s">
        <v>15261</v>
      </c>
      <c r="D2692" s="56" t="s">
        <v>14380</v>
      </c>
      <c r="E2692" s="59">
        <v>45301.0</v>
      </c>
      <c r="F2692" s="10" t="s">
        <v>14381</v>
      </c>
      <c r="G2692" s="10" t="s">
        <v>12654</v>
      </c>
      <c r="H2692" s="10" t="s">
        <v>1025</v>
      </c>
      <c r="I2692" s="10" t="s">
        <v>55</v>
      </c>
      <c r="K2692" s="10" t="s">
        <v>15262</v>
      </c>
      <c r="L2692" s="10" t="s">
        <v>42</v>
      </c>
    </row>
    <row r="2693" ht="15.75" customHeight="1">
      <c r="A2693" s="64">
        <v>45462.0</v>
      </c>
      <c r="B2693" s="55" t="str">
        <f>HYPERLINK("https://jobright.ai/jobs/info/667343428b6a006c823cf8d8?utm_campaign=1065&amp;utm_source=sheet", "Apply")</f>
        <v>Apply</v>
      </c>
      <c r="C2693" s="10" t="s">
        <v>15261</v>
      </c>
      <c r="D2693" s="56" t="s">
        <v>14380</v>
      </c>
      <c r="E2693" s="59">
        <v>45301.0</v>
      </c>
      <c r="F2693" s="10" t="s">
        <v>14381</v>
      </c>
      <c r="G2693" s="10" t="s">
        <v>12654</v>
      </c>
      <c r="H2693" s="10" t="s">
        <v>862</v>
      </c>
      <c r="I2693" s="10" t="s">
        <v>55</v>
      </c>
      <c r="K2693" s="10" t="s">
        <v>15262</v>
      </c>
      <c r="L2693" s="10" t="s">
        <v>42</v>
      </c>
    </row>
    <row r="2694" ht="15.75" customHeight="1">
      <c r="A2694" s="64">
        <v>45462.0</v>
      </c>
      <c r="B2694" s="55" t="str">
        <f>HYPERLINK("https://jobright.ai/jobs/info/667343428b6a006c823cf8d4?utm_campaign=1065&amp;utm_source=sheet", "Apply")</f>
        <v>Apply</v>
      </c>
      <c r="C2694" s="10" t="s">
        <v>14379</v>
      </c>
      <c r="D2694" s="56" t="s">
        <v>14380</v>
      </c>
      <c r="E2694" s="59">
        <v>45301.0</v>
      </c>
      <c r="F2694" s="10" t="s">
        <v>14381</v>
      </c>
      <c r="G2694" s="10" t="s">
        <v>12654</v>
      </c>
      <c r="H2694" s="10" t="s">
        <v>945</v>
      </c>
      <c r="I2694" s="10" t="s">
        <v>55</v>
      </c>
      <c r="J2694" s="10" t="s">
        <v>14382</v>
      </c>
      <c r="K2694" s="10" t="s">
        <v>14383</v>
      </c>
      <c r="L2694" s="10" t="s">
        <v>42</v>
      </c>
    </row>
    <row r="2695" ht="15.75" customHeight="1">
      <c r="A2695" s="64">
        <v>45462.0</v>
      </c>
      <c r="B2695" s="55" t="str">
        <f>HYPERLINK("https://jobright.ai/jobs/info/667343428b6a006c823cf8d7?utm_campaign=1065&amp;utm_source=sheet", "Apply")</f>
        <v>Apply</v>
      </c>
      <c r="C2695" s="10" t="s">
        <v>14379</v>
      </c>
      <c r="D2695" s="56" t="s">
        <v>14380</v>
      </c>
      <c r="E2695" s="59">
        <v>45301.0</v>
      </c>
      <c r="F2695" s="10" t="s">
        <v>14381</v>
      </c>
      <c r="G2695" s="10" t="s">
        <v>12654</v>
      </c>
      <c r="H2695" s="10" t="s">
        <v>823</v>
      </c>
      <c r="I2695" s="10" t="s">
        <v>55</v>
      </c>
      <c r="J2695" s="10" t="s">
        <v>14382</v>
      </c>
      <c r="K2695" s="10" t="s">
        <v>14383</v>
      </c>
      <c r="L2695" s="10" t="s">
        <v>42</v>
      </c>
    </row>
    <row r="2696" ht="15.75" customHeight="1">
      <c r="A2696" s="64">
        <v>45462.0</v>
      </c>
      <c r="B2696" s="55" t="str">
        <f>HYPERLINK("https://jobright.ai/jobs/info/667343428b6a006c823cf8d2?utm_campaign=1065&amp;utm_source=sheet", "Apply")</f>
        <v>Apply</v>
      </c>
      <c r="C2696" s="10" t="s">
        <v>15261</v>
      </c>
      <c r="D2696" s="56" t="s">
        <v>14380</v>
      </c>
      <c r="E2696" s="59">
        <v>45301.0</v>
      </c>
      <c r="F2696" s="10" t="s">
        <v>14381</v>
      </c>
      <c r="G2696" s="10" t="s">
        <v>12654</v>
      </c>
      <c r="H2696" s="10" t="s">
        <v>803</v>
      </c>
      <c r="I2696" s="10" t="s">
        <v>55</v>
      </c>
      <c r="K2696" s="10" t="s">
        <v>15262</v>
      </c>
      <c r="L2696" s="10" t="s">
        <v>42</v>
      </c>
    </row>
    <row r="2697" ht="15.75" customHeight="1">
      <c r="A2697" s="64">
        <v>45462.0</v>
      </c>
      <c r="B2697" s="55" t="str">
        <f>HYPERLINK("https://jobright.ai/jobs/info/667343428b6a006c823cf8d5?utm_campaign=1065&amp;utm_source=sheet", "Apply")</f>
        <v>Apply</v>
      </c>
      <c r="C2697" s="10" t="s">
        <v>15261</v>
      </c>
      <c r="D2697" s="56" t="s">
        <v>14380</v>
      </c>
      <c r="E2697" s="59">
        <v>45301.0</v>
      </c>
      <c r="F2697" s="10" t="s">
        <v>14381</v>
      </c>
      <c r="G2697" s="10" t="s">
        <v>12654</v>
      </c>
      <c r="H2697" s="10" t="s">
        <v>899</v>
      </c>
      <c r="I2697" s="10" t="s">
        <v>55</v>
      </c>
      <c r="K2697" s="10" t="s">
        <v>15262</v>
      </c>
      <c r="L2697" s="10" t="s">
        <v>42</v>
      </c>
    </row>
    <row r="2698" ht="15.75" customHeight="1">
      <c r="A2698" s="64">
        <v>45462.0</v>
      </c>
      <c r="B2698" s="55" t="str">
        <f>HYPERLINK("https://jobright.ai/jobs/info/667343428b6a006c823cf8d6?utm_campaign=1065&amp;utm_source=sheet", "Apply")</f>
        <v>Apply</v>
      </c>
      <c r="C2698" s="10" t="s">
        <v>15261</v>
      </c>
      <c r="D2698" s="56" t="s">
        <v>14380</v>
      </c>
      <c r="E2698" s="59">
        <v>45301.0</v>
      </c>
      <c r="F2698" s="10" t="s">
        <v>14381</v>
      </c>
      <c r="G2698" s="10" t="s">
        <v>12654</v>
      </c>
      <c r="H2698" s="10" t="s">
        <v>1011</v>
      </c>
      <c r="I2698" s="10" t="s">
        <v>55</v>
      </c>
      <c r="K2698" s="10" t="s">
        <v>15262</v>
      </c>
      <c r="L2698" s="10" t="s">
        <v>42</v>
      </c>
    </row>
    <row r="2699" ht="15.75" customHeight="1">
      <c r="A2699" s="64">
        <v>45462.0</v>
      </c>
      <c r="B2699" s="55" t="str">
        <f>HYPERLINK("https://jobright.ai/jobs/info/667343428b6a006c823cf8cd?utm_campaign=1065&amp;utm_source=sheet", "Apply")</f>
        <v>Apply</v>
      </c>
      <c r="C2699" s="10" t="s">
        <v>14379</v>
      </c>
      <c r="D2699" s="56" t="s">
        <v>14380</v>
      </c>
      <c r="E2699" s="59">
        <v>45301.0</v>
      </c>
      <c r="F2699" s="10" t="s">
        <v>14381</v>
      </c>
      <c r="G2699" s="10" t="s">
        <v>12654</v>
      </c>
      <c r="H2699" s="10" t="s">
        <v>423</v>
      </c>
      <c r="I2699" s="10" t="s">
        <v>55</v>
      </c>
      <c r="J2699" s="10" t="s">
        <v>14382</v>
      </c>
      <c r="K2699" s="10" t="s">
        <v>14383</v>
      </c>
      <c r="L2699" s="10" t="s">
        <v>42</v>
      </c>
    </row>
    <row r="2700" ht="15.75" customHeight="1">
      <c r="A2700" s="64">
        <v>45462.0</v>
      </c>
      <c r="B2700" s="55" t="str">
        <f>HYPERLINK("https://jobright.ai/jobs/info/667343428b6a006c823cf8da?utm_campaign=1065&amp;utm_source=sheet", "Apply")</f>
        <v>Apply</v>
      </c>
      <c r="C2700" s="10" t="s">
        <v>14379</v>
      </c>
      <c r="D2700" s="56" t="s">
        <v>14380</v>
      </c>
      <c r="E2700" s="59">
        <v>45301.0</v>
      </c>
      <c r="F2700" s="10" t="s">
        <v>14381</v>
      </c>
      <c r="G2700" s="10" t="s">
        <v>12654</v>
      </c>
      <c r="H2700" s="10" t="s">
        <v>916</v>
      </c>
      <c r="I2700" s="10" t="s">
        <v>55</v>
      </c>
      <c r="J2700" s="10" t="s">
        <v>14382</v>
      </c>
      <c r="K2700" s="10" t="s">
        <v>14383</v>
      </c>
      <c r="L2700" s="10" t="s">
        <v>42</v>
      </c>
    </row>
    <row r="2701" ht="15.75" customHeight="1">
      <c r="A2701" s="64">
        <v>45462.0</v>
      </c>
      <c r="B2701" s="55" t="str">
        <f>HYPERLINK("https://jobright.ai/jobs/info/667343428b6a006c823cf8cb?utm_campaign=1065&amp;utm_source=sheet", "Apply")</f>
        <v>Apply</v>
      </c>
      <c r="C2701" s="10" t="s">
        <v>14379</v>
      </c>
      <c r="D2701" s="56" t="s">
        <v>14380</v>
      </c>
      <c r="E2701" s="59">
        <v>45301.0</v>
      </c>
      <c r="F2701" s="10" t="s">
        <v>14381</v>
      </c>
      <c r="G2701" s="10" t="s">
        <v>12654</v>
      </c>
      <c r="H2701" s="10" t="s">
        <v>908</v>
      </c>
      <c r="I2701" s="10" t="s">
        <v>55</v>
      </c>
      <c r="J2701" s="10" t="s">
        <v>14382</v>
      </c>
      <c r="K2701" s="10" t="s">
        <v>14383</v>
      </c>
      <c r="L2701" s="10" t="s">
        <v>42</v>
      </c>
    </row>
    <row r="2702" ht="15.75" customHeight="1">
      <c r="A2702" s="64">
        <v>45462.0</v>
      </c>
      <c r="B2702" s="55" t="str">
        <f>HYPERLINK("https://jobright.ai/jobs/info/667343428b6a006c823cf8d9?utm_campaign=1065&amp;utm_source=sheet", "Apply")</f>
        <v>Apply</v>
      </c>
      <c r="C2702" s="10" t="s">
        <v>15261</v>
      </c>
      <c r="D2702" s="56" t="s">
        <v>14380</v>
      </c>
      <c r="E2702" s="59">
        <v>45301.0</v>
      </c>
      <c r="F2702" s="10" t="s">
        <v>14381</v>
      </c>
      <c r="G2702" s="10" t="s">
        <v>12654</v>
      </c>
      <c r="H2702" s="10" t="s">
        <v>920</v>
      </c>
      <c r="I2702" s="10" t="s">
        <v>55</v>
      </c>
      <c r="K2702" s="10" t="s">
        <v>15262</v>
      </c>
      <c r="L2702" s="10" t="s">
        <v>42</v>
      </c>
    </row>
    <row r="2703" ht="15.75" customHeight="1">
      <c r="A2703" s="64">
        <v>45462.0</v>
      </c>
      <c r="B2703" s="55" t="str">
        <f>HYPERLINK("https://jobright.ai/jobs/info/667343428b6a006c823cf8cc?utm_campaign=1065&amp;utm_source=sheet", "Apply")</f>
        <v>Apply</v>
      </c>
      <c r="C2703" s="10" t="s">
        <v>14379</v>
      </c>
      <c r="D2703" s="56" t="s">
        <v>14380</v>
      </c>
      <c r="E2703" s="59">
        <v>45301.0</v>
      </c>
      <c r="F2703" s="10" t="s">
        <v>14381</v>
      </c>
      <c r="G2703" s="10" t="s">
        <v>12654</v>
      </c>
      <c r="H2703" s="10" t="s">
        <v>793</v>
      </c>
      <c r="I2703" s="10" t="s">
        <v>55</v>
      </c>
      <c r="J2703" s="10" t="s">
        <v>14382</v>
      </c>
      <c r="K2703" s="10" t="s">
        <v>14383</v>
      </c>
      <c r="L2703" s="10" t="s">
        <v>42</v>
      </c>
    </row>
    <row r="2704" ht="15.75" customHeight="1">
      <c r="A2704" s="64">
        <v>45462.0</v>
      </c>
      <c r="B2704" s="55" t="str">
        <f>HYPERLINK("https://jobright.ai/jobs/info/667343428b6a006c823cf8e2?utm_campaign=1065&amp;utm_source=sheet", "Apply")</f>
        <v>Apply</v>
      </c>
      <c r="C2704" s="10" t="s">
        <v>14379</v>
      </c>
      <c r="D2704" s="56" t="s">
        <v>14380</v>
      </c>
      <c r="E2704" s="59">
        <v>45301.0</v>
      </c>
      <c r="F2704" s="10" t="s">
        <v>14381</v>
      </c>
      <c r="G2704" s="10" t="s">
        <v>12654</v>
      </c>
      <c r="H2704" s="10" t="s">
        <v>434</v>
      </c>
      <c r="I2704" s="10" t="s">
        <v>55</v>
      </c>
      <c r="J2704" s="10" t="s">
        <v>14382</v>
      </c>
      <c r="K2704" s="10" t="s">
        <v>14383</v>
      </c>
      <c r="L2704" s="10" t="s">
        <v>42</v>
      </c>
    </row>
    <row r="2705" ht="15.75" customHeight="1">
      <c r="A2705" s="64">
        <v>45462.0</v>
      </c>
      <c r="B2705" s="55" t="str">
        <f>HYPERLINK("https://jobright.ai/jobs/info/667343428b6a006c823cf8db?utm_campaign=1065&amp;utm_source=sheet", "Apply")</f>
        <v>Apply</v>
      </c>
      <c r="C2705" s="10" t="s">
        <v>15261</v>
      </c>
      <c r="D2705" s="56" t="s">
        <v>14380</v>
      </c>
      <c r="E2705" s="59">
        <v>45301.0</v>
      </c>
      <c r="F2705" s="10" t="s">
        <v>14381</v>
      </c>
      <c r="G2705" s="10" t="s">
        <v>12654</v>
      </c>
      <c r="H2705" s="10" t="s">
        <v>838</v>
      </c>
      <c r="I2705" s="10" t="s">
        <v>55</v>
      </c>
      <c r="K2705" s="10" t="s">
        <v>15262</v>
      </c>
      <c r="L2705" s="10" t="s">
        <v>42</v>
      </c>
    </row>
    <row r="2706" ht="15.75" customHeight="1">
      <c r="A2706" s="64">
        <v>45462.0</v>
      </c>
      <c r="B2706" s="55" t="str">
        <f>HYPERLINK("https://jobright.ai/jobs/info/667343428b6a006c823cf8dc?utm_campaign=1065&amp;utm_source=sheet", "Apply")</f>
        <v>Apply</v>
      </c>
      <c r="C2706" s="10" t="s">
        <v>15261</v>
      </c>
      <c r="D2706" s="56" t="s">
        <v>14380</v>
      </c>
      <c r="E2706" s="59">
        <v>45301.0</v>
      </c>
      <c r="F2706" s="10" t="s">
        <v>14381</v>
      </c>
      <c r="G2706" s="10" t="s">
        <v>12654</v>
      </c>
      <c r="H2706" s="10" t="s">
        <v>229</v>
      </c>
      <c r="I2706" s="10" t="s">
        <v>55</v>
      </c>
      <c r="K2706" s="10" t="s">
        <v>15262</v>
      </c>
      <c r="L2706" s="10" t="s">
        <v>42</v>
      </c>
    </row>
    <row r="2707" ht="15.75" customHeight="1">
      <c r="A2707" s="64">
        <v>45462.0</v>
      </c>
      <c r="B2707" s="55" t="str">
        <f>HYPERLINK("https://jobright.ai/jobs/info/667343428b6a006c823cf8de?utm_campaign=1065&amp;utm_source=sheet", "Apply")</f>
        <v>Apply</v>
      </c>
      <c r="C2707" s="10" t="s">
        <v>15261</v>
      </c>
      <c r="D2707" s="56" t="s">
        <v>14380</v>
      </c>
      <c r="E2707" s="59">
        <v>45301.0</v>
      </c>
      <c r="F2707" s="10" t="s">
        <v>14381</v>
      </c>
      <c r="G2707" s="10" t="s">
        <v>12654</v>
      </c>
      <c r="H2707" s="10" t="s">
        <v>876</v>
      </c>
      <c r="I2707" s="10" t="s">
        <v>55</v>
      </c>
      <c r="K2707" s="10" t="s">
        <v>15262</v>
      </c>
      <c r="L2707" s="10" t="s">
        <v>42</v>
      </c>
    </row>
    <row r="2708" ht="15.75" customHeight="1">
      <c r="A2708" s="64">
        <v>45462.0</v>
      </c>
      <c r="B2708" s="55" t="str">
        <f>HYPERLINK("https://jobright.ai/jobs/info/667343428b6a006c823cf8e1?utm_campaign=1065&amp;utm_source=sheet", "Apply")</f>
        <v>Apply</v>
      </c>
      <c r="C2708" s="10" t="s">
        <v>15261</v>
      </c>
      <c r="D2708" s="56" t="s">
        <v>14380</v>
      </c>
      <c r="E2708" s="59">
        <v>45301.0</v>
      </c>
      <c r="F2708" s="10" t="s">
        <v>14381</v>
      </c>
      <c r="G2708" s="10" t="s">
        <v>12654</v>
      </c>
      <c r="H2708" s="10" t="s">
        <v>786</v>
      </c>
      <c r="I2708" s="10" t="s">
        <v>55</v>
      </c>
      <c r="K2708" s="10" t="s">
        <v>15262</v>
      </c>
      <c r="L2708" s="10" t="s">
        <v>42</v>
      </c>
    </row>
    <row r="2709" ht="15.75" customHeight="1">
      <c r="A2709" s="64">
        <v>45462.0</v>
      </c>
      <c r="B2709" s="55" t="str">
        <f>HYPERLINK("https://jobright.ai/jobs/info/667343428b6a006c823cf8e0?utm_campaign=1065&amp;utm_source=sheet", "Apply")</f>
        <v>Apply</v>
      </c>
      <c r="C2709" s="10" t="s">
        <v>15261</v>
      </c>
      <c r="D2709" s="56" t="s">
        <v>14380</v>
      </c>
      <c r="E2709" s="59">
        <v>45301.0</v>
      </c>
      <c r="F2709" s="10" t="s">
        <v>14381</v>
      </c>
      <c r="G2709" s="10" t="s">
        <v>12654</v>
      </c>
      <c r="H2709" s="10" t="s">
        <v>1036</v>
      </c>
      <c r="I2709" s="10" t="s">
        <v>55</v>
      </c>
      <c r="K2709" s="10" t="s">
        <v>15262</v>
      </c>
      <c r="L2709" s="10" t="s">
        <v>42</v>
      </c>
    </row>
    <row r="2710" ht="15.75" customHeight="1">
      <c r="A2710" s="64">
        <v>45462.0</v>
      </c>
      <c r="B2710" s="55" t="str">
        <f>HYPERLINK("https://jobright.ai/jobs/info/667343428b6a006c823cf8df?utm_campaign=1065&amp;utm_source=sheet", "Apply")</f>
        <v>Apply</v>
      </c>
      <c r="C2710" s="10" t="s">
        <v>15261</v>
      </c>
      <c r="D2710" s="56" t="s">
        <v>14380</v>
      </c>
      <c r="E2710" s="59">
        <v>45301.0</v>
      </c>
      <c r="F2710" s="10" t="s">
        <v>14381</v>
      </c>
      <c r="G2710" s="10" t="s">
        <v>12654</v>
      </c>
      <c r="H2710" s="10" t="s">
        <v>216</v>
      </c>
      <c r="I2710" s="10" t="s">
        <v>55</v>
      </c>
      <c r="K2710" s="10" t="s">
        <v>15262</v>
      </c>
      <c r="L2710" s="10" t="s">
        <v>42</v>
      </c>
    </row>
    <row r="2711" ht="15.75" customHeight="1">
      <c r="A2711" s="64">
        <v>45462.0</v>
      </c>
      <c r="B2711" s="55" t="str">
        <f>HYPERLINK("https://jobright.ai/jobs/info/667343428b6a006c823cf8e5?utm_campaign=1065&amp;utm_source=sheet", "Apply")</f>
        <v>Apply</v>
      </c>
      <c r="C2711" s="10" t="s">
        <v>14379</v>
      </c>
      <c r="D2711" s="56" t="s">
        <v>14380</v>
      </c>
      <c r="E2711" s="59">
        <v>45301.0</v>
      </c>
      <c r="F2711" s="10" t="s">
        <v>14381</v>
      </c>
      <c r="G2711" s="10" t="s">
        <v>12654</v>
      </c>
      <c r="H2711" s="10" t="s">
        <v>878</v>
      </c>
      <c r="I2711" s="10" t="s">
        <v>55</v>
      </c>
      <c r="J2711" s="10" t="s">
        <v>14382</v>
      </c>
      <c r="K2711" s="10" t="s">
        <v>14383</v>
      </c>
      <c r="L2711" s="10" t="s">
        <v>42</v>
      </c>
    </row>
    <row r="2712" ht="15.75" customHeight="1">
      <c r="A2712" s="64">
        <v>45462.0</v>
      </c>
      <c r="B2712" s="55" t="str">
        <f>HYPERLINK("https://jobright.ai/jobs/info/667343428b6a006c823cf8dd?utm_campaign=1065&amp;utm_source=sheet", "Apply")</f>
        <v>Apply</v>
      </c>
      <c r="C2712" s="10" t="s">
        <v>15261</v>
      </c>
      <c r="D2712" s="56" t="s">
        <v>14380</v>
      </c>
      <c r="E2712" s="59">
        <v>45301.0</v>
      </c>
      <c r="F2712" s="10" t="s">
        <v>14381</v>
      </c>
      <c r="G2712" s="10" t="s">
        <v>12654</v>
      </c>
      <c r="H2712" s="10" t="s">
        <v>950</v>
      </c>
      <c r="I2712" s="10" t="s">
        <v>55</v>
      </c>
      <c r="K2712" s="10" t="s">
        <v>15262</v>
      </c>
      <c r="L2712" s="10" t="s">
        <v>42</v>
      </c>
    </row>
    <row r="2713" ht="15.75" customHeight="1">
      <c r="A2713" s="64">
        <v>45462.0</v>
      </c>
      <c r="B2713" s="55" t="str">
        <f>HYPERLINK("https://jobright.ai/jobs/info/667343428b6a006c823cf8e3?utm_campaign=1065&amp;utm_source=sheet", "Apply")</f>
        <v>Apply</v>
      </c>
      <c r="C2713" s="10" t="s">
        <v>15261</v>
      </c>
      <c r="D2713" s="56" t="s">
        <v>14380</v>
      </c>
      <c r="E2713" s="59">
        <v>45301.0</v>
      </c>
      <c r="F2713" s="10" t="s">
        <v>14381</v>
      </c>
      <c r="G2713" s="10" t="s">
        <v>12654</v>
      </c>
      <c r="H2713" s="10" t="s">
        <v>886</v>
      </c>
      <c r="I2713" s="10" t="s">
        <v>55</v>
      </c>
      <c r="K2713" s="10" t="s">
        <v>15262</v>
      </c>
      <c r="L2713" s="10" t="s">
        <v>42</v>
      </c>
    </row>
    <row r="2714" ht="15.75" customHeight="1">
      <c r="A2714" s="64">
        <v>45462.0</v>
      </c>
      <c r="B2714" s="55" t="str">
        <f>HYPERLINK("https://jobright.ai/jobs/info/667343428b6a006c823cf8e4?utm_campaign=1065&amp;utm_source=sheet", "Apply")</f>
        <v>Apply</v>
      </c>
      <c r="C2714" s="10" t="s">
        <v>15261</v>
      </c>
      <c r="D2714" s="56" t="s">
        <v>14380</v>
      </c>
      <c r="E2714" s="59">
        <v>45301.0</v>
      </c>
      <c r="F2714" s="10" t="s">
        <v>14381</v>
      </c>
      <c r="G2714" s="10" t="s">
        <v>12654</v>
      </c>
      <c r="H2714" s="10" t="s">
        <v>932</v>
      </c>
      <c r="I2714" s="10" t="s">
        <v>55</v>
      </c>
      <c r="K2714" s="10" t="s">
        <v>15262</v>
      </c>
      <c r="L2714" s="10" t="s">
        <v>42</v>
      </c>
    </row>
    <row r="2715" ht="15.75" customHeight="1">
      <c r="A2715" s="64">
        <v>45462.0</v>
      </c>
      <c r="B2715" s="55" t="str">
        <f>HYPERLINK("https://jobright.ai/jobs/info/667343428b6a006c823cf8ea?utm_campaign=1065&amp;utm_source=sheet", "Apply")</f>
        <v>Apply</v>
      </c>
      <c r="C2715" s="10" t="s">
        <v>15261</v>
      </c>
      <c r="D2715" s="56" t="s">
        <v>14380</v>
      </c>
      <c r="E2715" s="59">
        <v>45301.0</v>
      </c>
      <c r="F2715" s="10" t="s">
        <v>14381</v>
      </c>
      <c r="G2715" s="10" t="s">
        <v>12654</v>
      </c>
      <c r="H2715" s="10" t="s">
        <v>988</v>
      </c>
      <c r="I2715" s="10" t="s">
        <v>55</v>
      </c>
      <c r="K2715" s="10" t="s">
        <v>15262</v>
      </c>
      <c r="L2715" s="10" t="s">
        <v>42</v>
      </c>
    </row>
    <row r="2716" ht="15.75" customHeight="1">
      <c r="A2716" s="64">
        <v>45462.0</v>
      </c>
      <c r="B2716" s="55" t="str">
        <f>HYPERLINK("https://jobright.ai/jobs/info/667343428b6a006c823cf8ed?utm_campaign=1065&amp;utm_source=sheet", "Apply")</f>
        <v>Apply</v>
      </c>
      <c r="C2716" s="10" t="s">
        <v>14379</v>
      </c>
      <c r="D2716" s="56" t="s">
        <v>14380</v>
      </c>
      <c r="E2716" s="59">
        <v>45301.0</v>
      </c>
      <c r="F2716" s="10" t="s">
        <v>14381</v>
      </c>
      <c r="G2716" s="10" t="s">
        <v>12654</v>
      </c>
      <c r="H2716" s="10" t="s">
        <v>967</v>
      </c>
      <c r="I2716" s="10" t="s">
        <v>55</v>
      </c>
      <c r="J2716" s="10" t="s">
        <v>14382</v>
      </c>
      <c r="K2716" s="10" t="s">
        <v>14383</v>
      </c>
      <c r="L2716" s="10" t="s">
        <v>42</v>
      </c>
    </row>
    <row r="2717" ht="15.75" customHeight="1">
      <c r="A2717" s="64">
        <v>45462.0</v>
      </c>
      <c r="B2717" s="55" t="str">
        <f>HYPERLINK("https://jobright.ai/jobs/info/667343428b6a006c823cf8ec?utm_campaign=1065&amp;utm_source=sheet", "Apply")</f>
        <v>Apply</v>
      </c>
      <c r="C2717" s="10" t="s">
        <v>14379</v>
      </c>
      <c r="D2717" s="56" t="s">
        <v>14380</v>
      </c>
      <c r="E2717" s="59">
        <v>45301.0</v>
      </c>
      <c r="F2717" s="10" t="s">
        <v>14381</v>
      </c>
      <c r="G2717" s="10" t="s">
        <v>12654</v>
      </c>
      <c r="H2717" s="10" t="s">
        <v>168</v>
      </c>
      <c r="I2717" s="10" t="s">
        <v>55</v>
      </c>
      <c r="J2717" s="10" t="s">
        <v>14382</v>
      </c>
      <c r="K2717" s="10" t="s">
        <v>14383</v>
      </c>
      <c r="L2717" s="10" t="s">
        <v>42</v>
      </c>
    </row>
    <row r="2718" ht="15.75" customHeight="1">
      <c r="A2718" s="64">
        <v>45462.0</v>
      </c>
      <c r="B2718" s="55" t="str">
        <f>HYPERLINK("https://jobright.ai/jobs/info/667343428b6a006c823cf8e6?utm_campaign=1065&amp;utm_source=sheet", "Apply")</f>
        <v>Apply</v>
      </c>
      <c r="C2718" s="10" t="s">
        <v>15261</v>
      </c>
      <c r="D2718" s="56" t="s">
        <v>14380</v>
      </c>
      <c r="E2718" s="59">
        <v>45301.0</v>
      </c>
      <c r="F2718" s="10" t="s">
        <v>14381</v>
      </c>
      <c r="G2718" s="10" t="s">
        <v>12654</v>
      </c>
      <c r="H2718" s="10" t="s">
        <v>971</v>
      </c>
      <c r="I2718" s="10" t="s">
        <v>55</v>
      </c>
      <c r="K2718" s="10" t="s">
        <v>15262</v>
      </c>
      <c r="L2718" s="10" t="s">
        <v>42</v>
      </c>
    </row>
    <row r="2719" ht="15.75" customHeight="1">
      <c r="A2719" s="64">
        <v>45462.0</v>
      </c>
      <c r="B2719" s="55" t="str">
        <f>HYPERLINK("https://jobright.ai/jobs/info/667343428b6a006c823cf8eb?utm_campaign=1065&amp;utm_source=sheet", "Apply")</f>
        <v>Apply</v>
      </c>
      <c r="C2719" s="10" t="s">
        <v>15261</v>
      </c>
      <c r="D2719" s="56" t="s">
        <v>14380</v>
      </c>
      <c r="E2719" s="59">
        <v>45301.0</v>
      </c>
      <c r="F2719" s="10" t="s">
        <v>14381</v>
      </c>
      <c r="G2719" s="10" t="s">
        <v>12654</v>
      </c>
      <c r="H2719" s="10" t="s">
        <v>892</v>
      </c>
      <c r="I2719" s="10" t="s">
        <v>55</v>
      </c>
      <c r="K2719" s="10" t="s">
        <v>15262</v>
      </c>
      <c r="L2719" s="10" t="s">
        <v>42</v>
      </c>
    </row>
    <row r="2720" ht="15.75" customHeight="1">
      <c r="A2720" s="64">
        <v>45462.0</v>
      </c>
      <c r="B2720" s="55" t="str">
        <f>HYPERLINK("https://jobright.ai/jobs/info/667343428b6a006c823cf8ef?utm_campaign=1065&amp;utm_source=sheet", "Apply")</f>
        <v>Apply</v>
      </c>
      <c r="C2720" s="10" t="s">
        <v>14379</v>
      </c>
      <c r="D2720" s="56" t="s">
        <v>14380</v>
      </c>
      <c r="E2720" s="59">
        <v>45301.0</v>
      </c>
      <c r="F2720" s="10" t="s">
        <v>14381</v>
      </c>
      <c r="G2720" s="10" t="s">
        <v>12654</v>
      </c>
      <c r="H2720" s="10" t="s">
        <v>968</v>
      </c>
      <c r="I2720" s="10" t="s">
        <v>55</v>
      </c>
      <c r="J2720" s="10" t="s">
        <v>14382</v>
      </c>
      <c r="K2720" s="10" t="s">
        <v>14383</v>
      </c>
      <c r="L2720" s="10" t="s">
        <v>42</v>
      </c>
    </row>
    <row r="2721" ht="15.75" customHeight="1">
      <c r="A2721" s="64">
        <v>45462.0</v>
      </c>
      <c r="B2721" s="55" t="str">
        <f>HYPERLINK("https://jobright.ai/jobs/info/667343428b6a006c823cf8e9?utm_campaign=1065&amp;utm_source=sheet", "Apply")</f>
        <v>Apply</v>
      </c>
      <c r="C2721" s="10" t="s">
        <v>14379</v>
      </c>
      <c r="D2721" s="56" t="s">
        <v>14380</v>
      </c>
      <c r="E2721" s="59">
        <v>45301.0</v>
      </c>
      <c r="F2721" s="10" t="s">
        <v>14381</v>
      </c>
      <c r="G2721" s="10" t="s">
        <v>12654</v>
      </c>
      <c r="H2721" s="10" t="s">
        <v>821</v>
      </c>
      <c r="I2721" s="10" t="s">
        <v>55</v>
      </c>
      <c r="J2721" s="10" t="s">
        <v>14382</v>
      </c>
      <c r="K2721" s="10" t="s">
        <v>14383</v>
      </c>
      <c r="L2721" s="10" t="s">
        <v>42</v>
      </c>
    </row>
    <row r="2722" ht="15.75" customHeight="1">
      <c r="A2722" s="64">
        <v>45462.0</v>
      </c>
      <c r="B2722" s="55" t="str">
        <f>HYPERLINK("https://jobright.ai/jobs/info/667343428b6a006c823cf8f0?utm_campaign=1065&amp;utm_source=sheet", "Apply")</f>
        <v>Apply</v>
      </c>
      <c r="C2722" s="10" t="s">
        <v>15261</v>
      </c>
      <c r="D2722" s="56" t="s">
        <v>14380</v>
      </c>
      <c r="E2722" s="59">
        <v>45301.0</v>
      </c>
      <c r="F2722" s="10" t="s">
        <v>14381</v>
      </c>
      <c r="G2722" s="10" t="s">
        <v>12654</v>
      </c>
      <c r="H2722" s="10" t="s">
        <v>997</v>
      </c>
      <c r="I2722" s="10" t="s">
        <v>55</v>
      </c>
      <c r="K2722" s="10" t="s">
        <v>15262</v>
      </c>
      <c r="L2722" s="10" t="s">
        <v>42</v>
      </c>
    </row>
    <row r="2723" ht="15.75" customHeight="1">
      <c r="A2723" s="64">
        <v>45462.0</v>
      </c>
      <c r="B2723" s="55" t="str">
        <f>HYPERLINK("https://jobright.ai/jobs/info/667343428b6a006c823cf8ee?utm_campaign=1065&amp;utm_source=sheet", "Apply")</f>
        <v>Apply</v>
      </c>
      <c r="C2723" s="10" t="s">
        <v>14379</v>
      </c>
      <c r="D2723" s="56" t="s">
        <v>14380</v>
      </c>
      <c r="E2723" s="59">
        <v>45301.0</v>
      </c>
      <c r="F2723" s="10" t="s">
        <v>14381</v>
      </c>
      <c r="G2723" s="10" t="s">
        <v>12654</v>
      </c>
      <c r="H2723" s="10" t="s">
        <v>879</v>
      </c>
      <c r="I2723" s="10" t="s">
        <v>55</v>
      </c>
      <c r="J2723" s="10" t="s">
        <v>14382</v>
      </c>
      <c r="K2723" s="10" t="s">
        <v>14383</v>
      </c>
      <c r="L2723" s="10" t="s">
        <v>42</v>
      </c>
    </row>
    <row r="2724" ht="15.75" customHeight="1">
      <c r="A2724" s="64">
        <v>45462.0</v>
      </c>
      <c r="B2724" s="55" t="str">
        <f>HYPERLINK("https://jobright.ai/jobs/info/667343428b6a006c823cf8e7?utm_campaign=1065&amp;utm_source=sheet", "Apply")</f>
        <v>Apply</v>
      </c>
      <c r="C2724" s="10" t="s">
        <v>15261</v>
      </c>
      <c r="D2724" s="56" t="s">
        <v>14380</v>
      </c>
      <c r="E2724" s="59">
        <v>45301.0</v>
      </c>
      <c r="F2724" s="10" t="s">
        <v>14381</v>
      </c>
      <c r="G2724" s="10" t="s">
        <v>12654</v>
      </c>
      <c r="H2724" s="10" t="s">
        <v>423</v>
      </c>
      <c r="I2724" s="10" t="s">
        <v>55</v>
      </c>
      <c r="K2724" s="10" t="s">
        <v>15262</v>
      </c>
      <c r="L2724" s="10" t="s">
        <v>42</v>
      </c>
    </row>
    <row r="2725" ht="15.75" customHeight="1">
      <c r="A2725" s="64">
        <v>45462.0</v>
      </c>
      <c r="B2725" s="55" t="str">
        <f>HYPERLINK("https://jobright.ai/jobs/info/667343428b6a006c823cf8f1?utm_campaign=1065&amp;utm_source=sheet", "Apply")</f>
        <v>Apply</v>
      </c>
      <c r="C2725" s="10" t="s">
        <v>14379</v>
      </c>
      <c r="D2725" s="56" t="s">
        <v>14380</v>
      </c>
      <c r="E2725" s="59">
        <v>45301.0</v>
      </c>
      <c r="F2725" s="10" t="s">
        <v>14381</v>
      </c>
      <c r="G2725" s="10" t="s">
        <v>12654</v>
      </c>
      <c r="H2725" s="10" t="s">
        <v>794</v>
      </c>
      <c r="I2725" s="10" t="s">
        <v>55</v>
      </c>
      <c r="J2725" s="10" t="s">
        <v>14382</v>
      </c>
      <c r="K2725" s="10" t="s">
        <v>14383</v>
      </c>
      <c r="L2725" s="10" t="s">
        <v>42</v>
      </c>
    </row>
    <row r="2726" ht="15.75" customHeight="1">
      <c r="A2726" s="64">
        <v>45462.0</v>
      </c>
      <c r="B2726" s="55" t="str">
        <f>HYPERLINK("https://jobright.ai/jobs/info/66737c0726c46320b5ce9d6d?utm_campaign=1065&amp;utm_source=sheet", "Apply")</f>
        <v>Apply</v>
      </c>
      <c r="C2726" s="10" t="s">
        <v>14379</v>
      </c>
      <c r="D2726" s="56" t="s">
        <v>14380</v>
      </c>
      <c r="E2726" s="59">
        <v>45301.0</v>
      </c>
      <c r="F2726" s="10" t="s">
        <v>14381</v>
      </c>
      <c r="G2726" s="10" t="s">
        <v>12654</v>
      </c>
      <c r="H2726" s="10" t="s">
        <v>980</v>
      </c>
      <c r="I2726" s="10" t="s">
        <v>55</v>
      </c>
      <c r="J2726" s="10" t="s">
        <v>14382</v>
      </c>
      <c r="K2726" s="10" t="s">
        <v>14383</v>
      </c>
      <c r="L2726" s="10" t="s">
        <v>42</v>
      </c>
    </row>
    <row r="2727" ht="15.75" customHeight="1">
      <c r="A2727" s="64">
        <v>45462.0</v>
      </c>
      <c r="B2727" s="55" t="str">
        <f>HYPERLINK("https://jobright.ai/jobs/info/66737c0726c46320b5ce9d6f?utm_campaign=1065&amp;utm_source=sheet", "Apply")</f>
        <v>Apply</v>
      </c>
      <c r="C2727" s="10" t="s">
        <v>15261</v>
      </c>
      <c r="D2727" s="56" t="s">
        <v>14380</v>
      </c>
      <c r="E2727" s="59">
        <v>45301.0</v>
      </c>
      <c r="F2727" s="10" t="s">
        <v>14381</v>
      </c>
      <c r="G2727" s="10" t="s">
        <v>12654</v>
      </c>
      <c r="H2727" s="10" t="s">
        <v>834</v>
      </c>
      <c r="I2727" s="10" t="s">
        <v>55</v>
      </c>
      <c r="K2727" s="10" t="s">
        <v>15262</v>
      </c>
      <c r="L2727" s="10" t="s">
        <v>42</v>
      </c>
    </row>
    <row r="2728" ht="15.75" customHeight="1">
      <c r="A2728" s="64">
        <v>45462.0</v>
      </c>
      <c r="B2728" s="55" t="str">
        <f>HYPERLINK("https://jobright.ai/jobs/info/66737c0726c46320b5ce9d6e?utm_campaign=1065&amp;utm_source=sheet", "Apply")</f>
        <v>Apply</v>
      </c>
      <c r="C2728" s="10" t="s">
        <v>15261</v>
      </c>
      <c r="D2728" s="56" t="s">
        <v>14380</v>
      </c>
      <c r="E2728" s="59">
        <v>45301.0</v>
      </c>
      <c r="F2728" s="10" t="s">
        <v>14381</v>
      </c>
      <c r="G2728" s="10" t="s">
        <v>12654</v>
      </c>
      <c r="H2728" s="10" t="s">
        <v>990</v>
      </c>
      <c r="I2728" s="10" t="s">
        <v>55</v>
      </c>
      <c r="K2728" s="10" t="s">
        <v>15262</v>
      </c>
      <c r="L2728" s="10" t="s">
        <v>42</v>
      </c>
    </row>
    <row r="2729" ht="15.75" customHeight="1">
      <c r="A2729" s="64">
        <v>45462.0</v>
      </c>
      <c r="B2729" s="55" t="str">
        <f>HYPERLINK("https://jobright.ai/jobs/info/66737c0726c46320b5ce9d70?utm_campaign=1065&amp;utm_source=sheet", "Apply")</f>
        <v>Apply</v>
      </c>
      <c r="C2729" s="10" t="s">
        <v>14379</v>
      </c>
      <c r="D2729" s="56" t="s">
        <v>14380</v>
      </c>
      <c r="E2729" s="59">
        <v>45301.0</v>
      </c>
      <c r="F2729" s="10" t="s">
        <v>14381</v>
      </c>
      <c r="G2729" s="10" t="s">
        <v>12654</v>
      </c>
      <c r="H2729" s="10" t="s">
        <v>961</v>
      </c>
      <c r="I2729" s="10" t="s">
        <v>55</v>
      </c>
      <c r="J2729" s="10" t="s">
        <v>14382</v>
      </c>
      <c r="K2729" s="10" t="s">
        <v>14383</v>
      </c>
      <c r="L2729" s="10" t="s">
        <v>42</v>
      </c>
    </row>
    <row r="2730" ht="15.75" customHeight="1">
      <c r="A2730" s="64">
        <v>45462.0</v>
      </c>
      <c r="B2730" s="55" t="str">
        <f>HYPERLINK("https://jobright.ai/jobs/info/66737c0726c46320b5ce9d74?utm_campaign=1065&amp;utm_source=sheet", "Apply")</f>
        <v>Apply</v>
      </c>
      <c r="C2730" s="10" t="s">
        <v>15261</v>
      </c>
      <c r="D2730" s="56" t="s">
        <v>14380</v>
      </c>
      <c r="E2730" s="59">
        <v>45301.0</v>
      </c>
      <c r="F2730" s="10" t="s">
        <v>14381</v>
      </c>
      <c r="G2730" s="10" t="s">
        <v>12654</v>
      </c>
      <c r="H2730" s="10" t="s">
        <v>1042</v>
      </c>
      <c r="I2730" s="10" t="s">
        <v>55</v>
      </c>
      <c r="K2730" s="10" t="s">
        <v>15262</v>
      </c>
      <c r="L2730" s="10" t="s">
        <v>42</v>
      </c>
    </row>
    <row r="2731" ht="15.75" customHeight="1">
      <c r="A2731" s="64">
        <v>45462.0</v>
      </c>
      <c r="B2731" s="55" t="str">
        <f>HYPERLINK("https://jobright.ai/jobs/info/66737c0726c46320b5ce9d72?utm_campaign=1065&amp;utm_source=sheet", "Apply")</f>
        <v>Apply</v>
      </c>
      <c r="C2731" s="10" t="s">
        <v>14379</v>
      </c>
      <c r="D2731" s="56" t="s">
        <v>14380</v>
      </c>
      <c r="E2731" s="59">
        <v>45301.0</v>
      </c>
      <c r="F2731" s="10" t="s">
        <v>14381</v>
      </c>
      <c r="G2731" s="10" t="s">
        <v>12654</v>
      </c>
      <c r="H2731" s="10" t="s">
        <v>921</v>
      </c>
      <c r="I2731" s="10" t="s">
        <v>55</v>
      </c>
      <c r="J2731" s="10" t="s">
        <v>14382</v>
      </c>
      <c r="K2731" s="10" t="s">
        <v>14383</v>
      </c>
      <c r="L2731" s="10" t="s">
        <v>42</v>
      </c>
    </row>
    <row r="2732" ht="15.75" customHeight="1">
      <c r="A2732" s="64">
        <v>45462.0</v>
      </c>
      <c r="B2732" s="55" t="str">
        <f>HYPERLINK("https://jobright.ai/jobs/info/66737c0726c46320b5ce9d71?utm_campaign=1065&amp;utm_source=sheet", "Apply")</f>
        <v>Apply</v>
      </c>
      <c r="C2732" s="10" t="s">
        <v>14379</v>
      </c>
      <c r="D2732" s="56" t="s">
        <v>14380</v>
      </c>
      <c r="E2732" s="59">
        <v>45301.0</v>
      </c>
      <c r="F2732" s="10" t="s">
        <v>14381</v>
      </c>
      <c r="G2732" s="10" t="s">
        <v>12654</v>
      </c>
      <c r="H2732" s="10" t="s">
        <v>771</v>
      </c>
      <c r="I2732" s="10" t="s">
        <v>55</v>
      </c>
      <c r="J2732" s="10" t="s">
        <v>14382</v>
      </c>
      <c r="K2732" s="10" t="s">
        <v>14383</v>
      </c>
      <c r="L2732" s="10" t="s">
        <v>42</v>
      </c>
    </row>
    <row r="2733" ht="15.75" customHeight="1">
      <c r="A2733" s="64">
        <v>45462.0</v>
      </c>
      <c r="B2733" s="55" t="str">
        <f>HYPERLINK("https://jobright.ai/jobs/info/66737c0726c46320b5ce9d73?utm_campaign=1065&amp;utm_source=sheet", "Apply")</f>
        <v>Apply</v>
      </c>
      <c r="C2733" s="10" t="s">
        <v>15261</v>
      </c>
      <c r="D2733" s="56" t="s">
        <v>14380</v>
      </c>
      <c r="E2733" s="59">
        <v>45301.0</v>
      </c>
      <c r="F2733" s="10" t="s">
        <v>14381</v>
      </c>
      <c r="G2733" s="10" t="s">
        <v>12654</v>
      </c>
      <c r="H2733" s="10" t="s">
        <v>628</v>
      </c>
      <c r="I2733" s="10" t="s">
        <v>55</v>
      </c>
      <c r="K2733" s="10" t="s">
        <v>15262</v>
      </c>
      <c r="L2733" s="10" t="s">
        <v>42</v>
      </c>
    </row>
    <row r="2734" ht="15.75" customHeight="1">
      <c r="A2734" s="64">
        <v>45462.0</v>
      </c>
      <c r="B2734" s="55" t="str">
        <f>HYPERLINK("https://jobright.ai/jobs/info/66737c0726c46320b5ce9d78?utm_campaign=1065&amp;utm_source=sheet", "Apply")</f>
        <v>Apply</v>
      </c>
      <c r="C2734" s="10" t="s">
        <v>14379</v>
      </c>
      <c r="D2734" s="56" t="s">
        <v>14380</v>
      </c>
      <c r="E2734" s="59">
        <v>45301.0</v>
      </c>
      <c r="F2734" s="10" t="s">
        <v>14381</v>
      </c>
      <c r="G2734" s="10" t="s">
        <v>12654</v>
      </c>
      <c r="H2734" s="10" t="s">
        <v>174</v>
      </c>
      <c r="I2734" s="10" t="s">
        <v>55</v>
      </c>
      <c r="J2734" s="10" t="s">
        <v>14382</v>
      </c>
      <c r="K2734" s="10" t="s">
        <v>14383</v>
      </c>
      <c r="L2734" s="10" t="s">
        <v>42</v>
      </c>
    </row>
    <row r="2735" ht="15.75" customHeight="1">
      <c r="A2735" s="64">
        <v>45462.0</v>
      </c>
      <c r="B2735" s="55" t="str">
        <f>HYPERLINK("https://jobright.ai/jobs/info/66737c0726c46320b5ce9d75?utm_campaign=1065&amp;utm_source=sheet", "Apply")</f>
        <v>Apply</v>
      </c>
      <c r="C2735" s="10" t="s">
        <v>15261</v>
      </c>
      <c r="D2735" s="56" t="s">
        <v>14380</v>
      </c>
      <c r="E2735" s="59">
        <v>45301.0</v>
      </c>
      <c r="F2735" s="10" t="s">
        <v>14381</v>
      </c>
      <c r="G2735" s="10" t="s">
        <v>12654</v>
      </c>
      <c r="H2735" s="10" t="s">
        <v>839</v>
      </c>
      <c r="I2735" s="10" t="s">
        <v>55</v>
      </c>
      <c r="K2735" s="10" t="s">
        <v>15262</v>
      </c>
      <c r="L2735" s="10" t="s">
        <v>42</v>
      </c>
    </row>
    <row r="2736" ht="15.75" customHeight="1">
      <c r="A2736" s="64">
        <v>45462.0</v>
      </c>
      <c r="B2736" s="55" t="str">
        <f>HYPERLINK("https://jobright.ai/jobs/info/66737c0726c46320b5ce9d79?utm_campaign=1065&amp;utm_source=sheet", "Apply")</f>
        <v>Apply</v>
      </c>
      <c r="C2736" s="10" t="s">
        <v>14379</v>
      </c>
      <c r="D2736" s="56" t="s">
        <v>14380</v>
      </c>
      <c r="E2736" s="59">
        <v>45301.0</v>
      </c>
      <c r="F2736" s="10" t="s">
        <v>14381</v>
      </c>
      <c r="G2736" s="10" t="s">
        <v>12654</v>
      </c>
      <c r="H2736" s="10" t="s">
        <v>1031</v>
      </c>
      <c r="I2736" s="10" t="s">
        <v>55</v>
      </c>
      <c r="J2736" s="10" t="s">
        <v>14382</v>
      </c>
      <c r="K2736" s="10" t="s">
        <v>14383</v>
      </c>
      <c r="L2736" s="10" t="s">
        <v>42</v>
      </c>
    </row>
    <row r="2737" ht="15.75" customHeight="1">
      <c r="A2737" s="64">
        <v>45462.0</v>
      </c>
      <c r="B2737" s="55" t="str">
        <f>HYPERLINK("https://jobright.ai/jobs/info/66737c0726c46320b5ce9d76?utm_campaign=1065&amp;utm_source=sheet", "Apply")</f>
        <v>Apply</v>
      </c>
      <c r="C2737" s="10" t="s">
        <v>15261</v>
      </c>
      <c r="D2737" s="56" t="s">
        <v>14380</v>
      </c>
      <c r="E2737" s="59">
        <v>45301.0</v>
      </c>
      <c r="F2737" s="10" t="s">
        <v>14381</v>
      </c>
      <c r="G2737" s="10" t="s">
        <v>12654</v>
      </c>
      <c r="H2737" s="10" t="s">
        <v>923</v>
      </c>
      <c r="I2737" s="10" t="s">
        <v>55</v>
      </c>
      <c r="K2737" s="10" t="s">
        <v>15262</v>
      </c>
      <c r="L2737" s="10" t="s">
        <v>42</v>
      </c>
    </row>
    <row r="2738" ht="15.75" customHeight="1">
      <c r="A2738" s="64">
        <v>45462.0</v>
      </c>
      <c r="B2738" s="55" t="str">
        <f>HYPERLINK("https://jobright.ai/jobs/info/66737c0726c46320b5ce9d77?utm_campaign=1065&amp;utm_source=sheet", "Apply")</f>
        <v>Apply</v>
      </c>
      <c r="C2738" s="10" t="s">
        <v>14379</v>
      </c>
      <c r="D2738" s="56" t="s">
        <v>14380</v>
      </c>
      <c r="E2738" s="59">
        <v>45301.0</v>
      </c>
      <c r="F2738" s="10" t="s">
        <v>14381</v>
      </c>
      <c r="G2738" s="10" t="s">
        <v>12654</v>
      </c>
      <c r="H2738" s="10" t="s">
        <v>991</v>
      </c>
      <c r="I2738" s="10" t="s">
        <v>55</v>
      </c>
      <c r="J2738" s="10" t="s">
        <v>14382</v>
      </c>
      <c r="K2738" s="10" t="s">
        <v>14383</v>
      </c>
      <c r="L2738" s="10" t="s">
        <v>42</v>
      </c>
    </row>
    <row r="2739" ht="15.75" customHeight="1">
      <c r="A2739" s="64">
        <v>45462.0</v>
      </c>
      <c r="B2739" s="55" t="str">
        <f>HYPERLINK("https://jobright.ai/jobs/info/66737c0726c46320b5ce9d7b?utm_campaign=1065&amp;utm_source=sheet", "Apply")</f>
        <v>Apply</v>
      </c>
      <c r="C2739" s="10" t="s">
        <v>15261</v>
      </c>
      <c r="D2739" s="56" t="s">
        <v>14380</v>
      </c>
      <c r="E2739" s="59">
        <v>45301.0</v>
      </c>
      <c r="F2739" s="10" t="s">
        <v>14381</v>
      </c>
      <c r="G2739" s="10" t="s">
        <v>12654</v>
      </c>
      <c r="H2739" s="10" t="s">
        <v>1052</v>
      </c>
      <c r="I2739" s="10" t="s">
        <v>55</v>
      </c>
      <c r="K2739" s="10" t="s">
        <v>15262</v>
      </c>
      <c r="L2739" s="10" t="s">
        <v>42</v>
      </c>
    </row>
    <row r="2740" ht="15.75" customHeight="1">
      <c r="A2740" s="64">
        <v>45462.0</v>
      </c>
      <c r="B2740" s="55" t="str">
        <f>HYPERLINK("https://jobright.ai/jobs/info/66737c0726c46320b5ce9d7a?utm_campaign=1065&amp;utm_source=sheet", "Apply")</f>
        <v>Apply</v>
      </c>
      <c r="C2740" s="10" t="s">
        <v>14379</v>
      </c>
      <c r="D2740" s="56" t="s">
        <v>14380</v>
      </c>
      <c r="E2740" s="59">
        <v>45301.0</v>
      </c>
      <c r="F2740" s="10" t="s">
        <v>14381</v>
      </c>
      <c r="G2740" s="10" t="s">
        <v>12654</v>
      </c>
      <c r="H2740" s="10" t="s">
        <v>578</v>
      </c>
      <c r="I2740" s="10" t="s">
        <v>55</v>
      </c>
      <c r="J2740" s="10" t="s">
        <v>14382</v>
      </c>
      <c r="K2740" s="10" t="s">
        <v>14383</v>
      </c>
      <c r="L2740" s="10" t="s">
        <v>42</v>
      </c>
    </row>
    <row r="2741" ht="15.75" customHeight="1">
      <c r="A2741" s="64">
        <v>45462.0</v>
      </c>
      <c r="B2741" s="55" t="str">
        <f>HYPERLINK("https://jobright.ai/jobs/info/66737c0726c46320b5ce9d7d?utm_campaign=1065&amp;utm_source=sheet", "Apply")</f>
        <v>Apply</v>
      </c>
      <c r="C2741" s="10" t="s">
        <v>15261</v>
      </c>
      <c r="D2741" s="56" t="s">
        <v>14380</v>
      </c>
      <c r="E2741" s="59">
        <v>45301.0</v>
      </c>
      <c r="F2741" s="10" t="s">
        <v>14381</v>
      </c>
      <c r="G2741" s="10" t="s">
        <v>12654</v>
      </c>
      <c r="H2741" s="10" t="s">
        <v>1021</v>
      </c>
      <c r="I2741" s="10" t="s">
        <v>55</v>
      </c>
      <c r="K2741" s="10" t="s">
        <v>15262</v>
      </c>
      <c r="L2741" s="10" t="s">
        <v>42</v>
      </c>
    </row>
    <row r="2742" ht="15.75" customHeight="1">
      <c r="A2742" s="64">
        <v>45462.0</v>
      </c>
      <c r="B2742" s="55" t="str">
        <f>HYPERLINK("https://jobright.ai/jobs/info/6673c1050a60b4e0d6da3fdd?utm_campaign=1065&amp;utm_source=sheet", "Apply")</f>
        <v>Apply</v>
      </c>
      <c r="C2742" s="10" t="s">
        <v>14379</v>
      </c>
      <c r="D2742" s="56" t="s">
        <v>14380</v>
      </c>
      <c r="E2742" s="59">
        <v>45301.0</v>
      </c>
      <c r="F2742" s="10" t="s">
        <v>14381</v>
      </c>
      <c r="G2742" s="10" t="s">
        <v>12654</v>
      </c>
      <c r="H2742" s="10" t="s">
        <v>791</v>
      </c>
      <c r="I2742" s="10" t="s">
        <v>55</v>
      </c>
      <c r="J2742" s="10" t="s">
        <v>14382</v>
      </c>
      <c r="K2742" s="10" t="s">
        <v>14383</v>
      </c>
      <c r="L2742" s="10" t="s">
        <v>42</v>
      </c>
    </row>
    <row r="2743" ht="15.75" customHeight="1">
      <c r="A2743" s="64">
        <v>45462.0</v>
      </c>
      <c r="B2743" s="55" t="str">
        <f>HYPERLINK("https://jobright.ai/jobs/info/66737c0726c46320b5ce9d7c?utm_campaign=1065&amp;utm_source=sheet", "Apply")</f>
        <v>Apply</v>
      </c>
      <c r="C2743" s="10" t="s">
        <v>15261</v>
      </c>
      <c r="D2743" s="56" t="s">
        <v>14380</v>
      </c>
      <c r="E2743" s="59">
        <v>45301.0</v>
      </c>
      <c r="F2743" s="10" t="s">
        <v>14381</v>
      </c>
      <c r="G2743" s="10" t="s">
        <v>12654</v>
      </c>
      <c r="H2743" s="10" t="s">
        <v>798</v>
      </c>
      <c r="I2743" s="10" t="s">
        <v>55</v>
      </c>
      <c r="K2743" s="10" t="s">
        <v>15262</v>
      </c>
      <c r="L2743" s="10" t="s">
        <v>42</v>
      </c>
    </row>
    <row r="2744" ht="15.75" customHeight="1">
      <c r="A2744" s="64">
        <v>45462.0</v>
      </c>
      <c r="B2744" s="55" t="str">
        <f>HYPERLINK("https://jobright.ai/jobs/info/6673c1050a60b4e0d6da3fde?utm_campaign=1065&amp;utm_source=sheet", "Apply")</f>
        <v>Apply</v>
      </c>
      <c r="C2744" s="10" t="s">
        <v>14379</v>
      </c>
      <c r="D2744" s="56" t="s">
        <v>14380</v>
      </c>
      <c r="E2744" s="59">
        <v>45301.0</v>
      </c>
      <c r="F2744" s="10" t="s">
        <v>14381</v>
      </c>
      <c r="G2744" s="10" t="s">
        <v>12654</v>
      </c>
      <c r="H2744" s="10" t="s">
        <v>361</v>
      </c>
      <c r="I2744" s="10" t="s">
        <v>55</v>
      </c>
      <c r="J2744" s="10" t="s">
        <v>14382</v>
      </c>
      <c r="K2744" s="10" t="s">
        <v>14383</v>
      </c>
      <c r="L2744" s="10" t="s">
        <v>42</v>
      </c>
    </row>
    <row r="2745" ht="15.75" customHeight="1">
      <c r="A2745" s="64">
        <v>45462.0</v>
      </c>
      <c r="B2745" s="55" t="str">
        <f>HYPERLINK("https://jobright.ai/jobs/info/66737c0726c46320b5ce9d7e?utm_campaign=1065&amp;utm_source=sheet", "Apply")</f>
        <v>Apply</v>
      </c>
      <c r="C2745" s="10" t="s">
        <v>15261</v>
      </c>
      <c r="D2745" s="56" t="s">
        <v>14380</v>
      </c>
      <c r="E2745" s="59">
        <v>45301.0</v>
      </c>
      <c r="F2745" s="10" t="s">
        <v>14381</v>
      </c>
      <c r="G2745" s="10" t="s">
        <v>12654</v>
      </c>
      <c r="H2745" s="10" t="s">
        <v>981</v>
      </c>
      <c r="I2745" s="10" t="s">
        <v>55</v>
      </c>
      <c r="K2745" s="10" t="s">
        <v>15262</v>
      </c>
      <c r="L2745" s="10" t="s">
        <v>42</v>
      </c>
    </row>
    <row r="2746" ht="15.75" customHeight="1">
      <c r="A2746" s="64">
        <v>45462.0</v>
      </c>
      <c r="B2746" s="55" t="str">
        <f>HYPERLINK("https://jobright.ai/jobs/info/66737c0726c46320b5ce9d7f?utm_campaign=1065&amp;utm_source=sheet", "Apply")</f>
        <v>Apply</v>
      </c>
      <c r="C2746" s="10" t="s">
        <v>14379</v>
      </c>
      <c r="D2746" s="56" t="s">
        <v>14380</v>
      </c>
      <c r="E2746" s="59">
        <v>45301.0</v>
      </c>
      <c r="F2746" s="10" t="s">
        <v>14381</v>
      </c>
      <c r="G2746" s="10" t="s">
        <v>12654</v>
      </c>
      <c r="H2746" s="10" t="s">
        <v>391</v>
      </c>
      <c r="I2746" s="10" t="s">
        <v>55</v>
      </c>
      <c r="J2746" s="10" t="s">
        <v>14382</v>
      </c>
      <c r="K2746" s="10" t="s">
        <v>14383</v>
      </c>
      <c r="L2746" s="10" t="s">
        <v>42</v>
      </c>
    </row>
    <row r="2747" ht="15.75" customHeight="1">
      <c r="A2747" s="64">
        <v>45462.0</v>
      </c>
      <c r="B2747" s="55" t="str">
        <f>HYPERLINK("https://jobright.ai/jobs/info/6673c1050a60b4e0d6da3fdf?utm_campaign=1065&amp;utm_source=sheet", "Apply")</f>
        <v>Apply</v>
      </c>
      <c r="C2747" s="10" t="s">
        <v>14379</v>
      </c>
      <c r="D2747" s="56" t="s">
        <v>14380</v>
      </c>
      <c r="E2747" s="59">
        <v>45301.0</v>
      </c>
      <c r="F2747" s="10" t="s">
        <v>14381</v>
      </c>
      <c r="G2747" s="10" t="s">
        <v>12654</v>
      </c>
      <c r="H2747" s="10" t="s">
        <v>951</v>
      </c>
      <c r="I2747" s="10" t="s">
        <v>55</v>
      </c>
      <c r="J2747" s="10" t="s">
        <v>14382</v>
      </c>
      <c r="K2747" s="10" t="s">
        <v>14383</v>
      </c>
      <c r="L2747" s="10" t="s">
        <v>42</v>
      </c>
    </row>
    <row r="2748" ht="15.75" customHeight="1">
      <c r="A2748" s="64">
        <v>45462.0</v>
      </c>
      <c r="B2748" s="55" t="str">
        <f>HYPERLINK("https://jobright.ai/jobs/info/667398691e7bed294f794b9e?utm_campaign=1065&amp;utm_source=sheet", "Apply")</f>
        <v>Apply</v>
      </c>
      <c r="C2748" s="10" t="s">
        <v>15261</v>
      </c>
      <c r="D2748" s="56" t="s">
        <v>14380</v>
      </c>
      <c r="E2748" s="59">
        <v>45301.0</v>
      </c>
      <c r="F2748" s="10" t="s">
        <v>14381</v>
      </c>
      <c r="G2748" s="10" t="s">
        <v>12654</v>
      </c>
      <c r="H2748" s="10" t="s">
        <v>661</v>
      </c>
      <c r="I2748" s="10" t="s">
        <v>55</v>
      </c>
      <c r="K2748" s="10" t="s">
        <v>15262</v>
      </c>
      <c r="L2748" s="10" t="s">
        <v>42</v>
      </c>
    </row>
    <row r="2749" ht="15.75" customHeight="1">
      <c r="A2749" s="64">
        <v>45462.0</v>
      </c>
      <c r="B2749" s="55" t="str">
        <f>HYPERLINK("https://jobright.ai/jobs/info/667398691e7bed294f794b9d?utm_campaign=1065&amp;utm_source=sheet", "Apply")</f>
        <v>Apply</v>
      </c>
      <c r="C2749" s="10" t="s">
        <v>15261</v>
      </c>
      <c r="D2749" s="56" t="s">
        <v>14380</v>
      </c>
      <c r="E2749" s="59">
        <v>45301.0</v>
      </c>
      <c r="F2749" s="10" t="s">
        <v>14381</v>
      </c>
      <c r="G2749" s="10" t="s">
        <v>12654</v>
      </c>
      <c r="H2749" s="10" t="s">
        <v>278</v>
      </c>
      <c r="I2749" s="10" t="s">
        <v>55</v>
      </c>
      <c r="K2749" s="10" t="s">
        <v>15262</v>
      </c>
      <c r="L2749" s="10" t="s">
        <v>42</v>
      </c>
    </row>
    <row r="2750" ht="15.75" customHeight="1">
      <c r="A2750" s="64">
        <v>45462.0</v>
      </c>
      <c r="B2750" s="55" t="str">
        <f>HYPERLINK("https://jobright.ai/jobs/info/667398691e7bed294f794ba0?utm_campaign=1065&amp;utm_source=sheet", "Apply")</f>
        <v>Apply</v>
      </c>
      <c r="C2750" s="10" t="s">
        <v>14379</v>
      </c>
      <c r="D2750" s="56" t="s">
        <v>14380</v>
      </c>
      <c r="E2750" s="59">
        <v>45301.0</v>
      </c>
      <c r="F2750" s="10" t="s">
        <v>14381</v>
      </c>
      <c r="G2750" s="10" t="s">
        <v>12654</v>
      </c>
      <c r="H2750" s="10" t="s">
        <v>862</v>
      </c>
      <c r="I2750" s="10" t="s">
        <v>55</v>
      </c>
      <c r="J2750" s="10" t="s">
        <v>14382</v>
      </c>
      <c r="K2750" s="10" t="s">
        <v>14383</v>
      </c>
      <c r="L2750" s="10" t="s">
        <v>42</v>
      </c>
    </row>
    <row r="2751" ht="15.75" customHeight="1">
      <c r="A2751" s="64">
        <v>45462.0</v>
      </c>
      <c r="B2751" s="55" t="str">
        <f>HYPERLINK("https://jobright.ai/jobs/info/667398691e7bed294f794b9f?utm_campaign=1065&amp;utm_source=sheet", "Apply")</f>
        <v>Apply</v>
      </c>
      <c r="C2751" s="10" t="s">
        <v>15261</v>
      </c>
      <c r="D2751" s="56" t="s">
        <v>14380</v>
      </c>
      <c r="E2751" s="59">
        <v>45301.0</v>
      </c>
      <c r="F2751" s="10" t="s">
        <v>14381</v>
      </c>
      <c r="G2751" s="10" t="s">
        <v>12654</v>
      </c>
      <c r="H2751" s="10" t="s">
        <v>1027</v>
      </c>
      <c r="I2751" s="10" t="s">
        <v>55</v>
      </c>
      <c r="K2751" s="10" t="s">
        <v>15262</v>
      </c>
      <c r="L2751" s="10" t="s">
        <v>42</v>
      </c>
    </row>
    <row r="2752" ht="15.75" customHeight="1">
      <c r="A2752" s="64">
        <v>45462.0</v>
      </c>
      <c r="B2752" s="55" t="str">
        <f>HYPERLINK("https://jobright.ai/jobs/info/667398691e7bed294f794ba1?utm_campaign=1065&amp;utm_source=sheet", "Apply")</f>
        <v>Apply</v>
      </c>
      <c r="C2752" s="10" t="s">
        <v>14379</v>
      </c>
      <c r="D2752" s="56" t="s">
        <v>14380</v>
      </c>
      <c r="E2752" s="59">
        <v>45301.0</v>
      </c>
      <c r="F2752" s="10" t="s">
        <v>14381</v>
      </c>
      <c r="G2752" s="10" t="s">
        <v>12654</v>
      </c>
      <c r="H2752" s="10" t="s">
        <v>941</v>
      </c>
      <c r="I2752" s="10" t="s">
        <v>55</v>
      </c>
      <c r="J2752" s="10" t="s">
        <v>14382</v>
      </c>
      <c r="K2752" s="10" t="s">
        <v>14383</v>
      </c>
      <c r="L2752" s="10" t="s">
        <v>42</v>
      </c>
    </row>
    <row r="2753" ht="15.75" customHeight="1">
      <c r="A2753" s="64">
        <v>45462.0</v>
      </c>
      <c r="B2753" s="55" t="str">
        <f>HYPERLINK("https://jobright.ai/jobs/info/667398691e7bed294f794ba2?utm_campaign=1065&amp;utm_source=sheet", "Apply")</f>
        <v>Apply</v>
      </c>
      <c r="C2753" s="10" t="s">
        <v>14379</v>
      </c>
      <c r="D2753" s="56" t="s">
        <v>14380</v>
      </c>
      <c r="E2753" s="59">
        <v>45301.0</v>
      </c>
      <c r="F2753" s="10" t="s">
        <v>14381</v>
      </c>
      <c r="G2753" s="10" t="s">
        <v>12654</v>
      </c>
      <c r="H2753" s="10" t="s">
        <v>216</v>
      </c>
      <c r="I2753" s="10" t="s">
        <v>55</v>
      </c>
      <c r="J2753" s="10" t="s">
        <v>14382</v>
      </c>
      <c r="K2753" s="10" t="s">
        <v>14383</v>
      </c>
      <c r="L2753" s="10" t="s">
        <v>42</v>
      </c>
    </row>
    <row r="2754" ht="15.75" customHeight="1">
      <c r="A2754" s="64">
        <v>45462.0</v>
      </c>
      <c r="B2754" s="55" t="str">
        <f>HYPERLINK("https://jobright.ai/jobs/info/667398691e7bed294f794ba6?utm_campaign=1065&amp;utm_source=sheet", "Apply")</f>
        <v>Apply</v>
      </c>
      <c r="C2754" s="10" t="s">
        <v>15261</v>
      </c>
      <c r="D2754" s="56" t="s">
        <v>14380</v>
      </c>
      <c r="E2754" s="59">
        <v>45301.0</v>
      </c>
      <c r="F2754" s="10" t="s">
        <v>14381</v>
      </c>
      <c r="G2754" s="10" t="s">
        <v>12654</v>
      </c>
      <c r="H2754" s="10" t="s">
        <v>999</v>
      </c>
      <c r="I2754" s="10" t="s">
        <v>55</v>
      </c>
      <c r="K2754" s="10" t="s">
        <v>15262</v>
      </c>
      <c r="L2754" s="10" t="s">
        <v>42</v>
      </c>
    </row>
    <row r="2755" ht="15.75" customHeight="1">
      <c r="A2755" s="64">
        <v>45462.0</v>
      </c>
      <c r="B2755" s="55" t="str">
        <f>HYPERLINK("https://jobright.ai/jobs/info/667398691e7bed294f794ba5?utm_campaign=1065&amp;utm_source=sheet", "Apply")</f>
        <v>Apply</v>
      </c>
      <c r="C2755" s="10" t="s">
        <v>15261</v>
      </c>
      <c r="D2755" s="56" t="s">
        <v>14380</v>
      </c>
      <c r="E2755" s="59">
        <v>45301.0</v>
      </c>
      <c r="F2755" s="10" t="s">
        <v>14381</v>
      </c>
      <c r="G2755" s="10" t="s">
        <v>12654</v>
      </c>
      <c r="H2755" s="10" t="s">
        <v>840</v>
      </c>
      <c r="I2755" s="10" t="s">
        <v>55</v>
      </c>
      <c r="K2755" s="10" t="s">
        <v>15262</v>
      </c>
      <c r="L2755" s="10" t="s">
        <v>42</v>
      </c>
    </row>
    <row r="2756" ht="15.75" customHeight="1">
      <c r="A2756" s="64">
        <v>45462.0</v>
      </c>
      <c r="B2756" s="55" t="str">
        <f>HYPERLINK("https://jobright.ai/jobs/info/667398691e7bed294f794ba3?utm_campaign=1065&amp;utm_source=sheet", "Apply")</f>
        <v>Apply</v>
      </c>
      <c r="C2756" s="10" t="s">
        <v>14379</v>
      </c>
      <c r="D2756" s="56" t="s">
        <v>14380</v>
      </c>
      <c r="E2756" s="59">
        <v>45301.0</v>
      </c>
      <c r="F2756" s="10" t="s">
        <v>14381</v>
      </c>
      <c r="G2756" s="10" t="s">
        <v>12654</v>
      </c>
      <c r="H2756" s="10" t="s">
        <v>899</v>
      </c>
      <c r="I2756" s="10" t="s">
        <v>55</v>
      </c>
      <c r="J2756" s="10" t="s">
        <v>14382</v>
      </c>
      <c r="K2756" s="10" t="s">
        <v>14383</v>
      </c>
      <c r="L2756" s="10" t="s">
        <v>42</v>
      </c>
    </row>
    <row r="2757" ht="15.75" customHeight="1">
      <c r="A2757" s="64">
        <v>45462.0</v>
      </c>
      <c r="B2757" s="55" t="str">
        <f>HYPERLINK("https://jobright.ai/jobs/info/667398691e7bed294f794ba4?utm_campaign=1065&amp;utm_source=sheet", "Apply")</f>
        <v>Apply</v>
      </c>
      <c r="C2757" s="10" t="s">
        <v>14379</v>
      </c>
      <c r="D2757" s="56" t="s">
        <v>14380</v>
      </c>
      <c r="E2757" s="59">
        <v>45301.0</v>
      </c>
      <c r="F2757" s="10" t="s">
        <v>14381</v>
      </c>
      <c r="G2757" s="10" t="s">
        <v>12654</v>
      </c>
      <c r="H2757" s="10" t="s">
        <v>938</v>
      </c>
      <c r="I2757" s="10" t="s">
        <v>55</v>
      </c>
      <c r="J2757" s="10" t="s">
        <v>14382</v>
      </c>
      <c r="K2757" s="10" t="s">
        <v>14383</v>
      </c>
      <c r="L2757" s="10" t="s">
        <v>42</v>
      </c>
    </row>
    <row r="2758" ht="15.75" customHeight="1">
      <c r="A2758" s="64">
        <v>45462.0</v>
      </c>
      <c r="B2758" s="55" t="str">
        <f>HYPERLINK("https://jobright.ai/jobs/info/667398691e7bed294f794ba8?utm_campaign=1065&amp;utm_source=sheet", "Apply")</f>
        <v>Apply</v>
      </c>
      <c r="C2758" s="10" t="s">
        <v>14379</v>
      </c>
      <c r="D2758" s="56" t="s">
        <v>14380</v>
      </c>
      <c r="E2758" s="59">
        <v>45301.0</v>
      </c>
      <c r="F2758" s="10" t="s">
        <v>14381</v>
      </c>
      <c r="G2758" s="10" t="s">
        <v>12654</v>
      </c>
      <c r="H2758" s="10" t="s">
        <v>898</v>
      </c>
      <c r="I2758" s="10" t="s">
        <v>55</v>
      </c>
      <c r="J2758" s="10" t="s">
        <v>14382</v>
      </c>
      <c r="K2758" s="10" t="s">
        <v>14383</v>
      </c>
      <c r="L2758" s="10" t="s">
        <v>42</v>
      </c>
    </row>
    <row r="2759" ht="15.75" customHeight="1">
      <c r="A2759" s="64">
        <v>45462.0</v>
      </c>
      <c r="B2759" s="55" t="str">
        <f>HYPERLINK("https://jobright.ai/jobs/info/667398691e7bed294f794ba7?utm_campaign=1065&amp;utm_source=sheet", "Apply")</f>
        <v>Apply</v>
      </c>
      <c r="C2759" s="10" t="s">
        <v>14379</v>
      </c>
      <c r="D2759" s="56" t="s">
        <v>14380</v>
      </c>
      <c r="E2759" s="59">
        <v>45301.0</v>
      </c>
      <c r="F2759" s="10" t="s">
        <v>14381</v>
      </c>
      <c r="G2759" s="10" t="s">
        <v>12654</v>
      </c>
      <c r="H2759" s="10" t="s">
        <v>873</v>
      </c>
      <c r="I2759" s="10" t="s">
        <v>55</v>
      </c>
      <c r="J2759" s="10" t="s">
        <v>14382</v>
      </c>
      <c r="K2759" s="10" t="s">
        <v>14383</v>
      </c>
      <c r="L2759" s="10" t="s">
        <v>42</v>
      </c>
    </row>
    <row r="2760" ht="15.75" customHeight="1">
      <c r="A2760" s="64">
        <v>45462.0</v>
      </c>
      <c r="B2760" s="55" t="str">
        <f>HYPERLINK("https://jobright.ai/jobs/info/6673502e8569d9c91d6ccd4f?utm_campaign=1065&amp;utm_source=sheet", "Apply")</f>
        <v>Apply</v>
      </c>
      <c r="C2760" s="10" t="s">
        <v>15261</v>
      </c>
      <c r="D2760" s="56" t="s">
        <v>14380</v>
      </c>
      <c r="E2760" s="59">
        <v>45301.0</v>
      </c>
      <c r="F2760" s="10" t="s">
        <v>14381</v>
      </c>
      <c r="G2760" s="10" t="s">
        <v>12654</v>
      </c>
      <c r="H2760" s="10" t="s">
        <v>822</v>
      </c>
      <c r="I2760" s="10" t="s">
        <v>55</v>
      </c>
      <c r="K2760" s="10" t="s">
        <v>15262</v>
      </c>
      <c r="L2760" s="10" t="s">
        <v>42</v>
      </c>
    </row>
    <row r="2761" ht="15.75" customHeight="1">
      <c r="A2761" s="64">
        <v>45462.0</v>
      </c>
      <c r="B2761" s="55" t="str">
        <f>HYPERLINK("https://jobright.ai/jobs/info/6673502e8569d9c91d6ccd4e?utm_campaign=1065&amp;utm_source=sheet", "Apply")</f>
        <v>Apply</v>
      </c>
      <c r="C2761" s="10" t="s">
        <v>15261</v>
      </c>
      <c r="D2761" s="56" t="s">
        <v>14380</v>
      </c>
      <c r="E2761" s="59">
        <v>45301.0</v>
      </c>
      <c r="F2761" s="10" t="s">
        <v>14381</v>
      </c>
      <c r="G2761" s="10" t="s">
        <v>12654</v>
      </c>
      <c r="H2761" s="10" t="s">
        <v>964</v>
      </c>
      <c r="I2761" s="10" t="s">
        <v>55</v>
      </c>
      <c r="K2761" s="10" t="s">
        <v>15262</v>
      </c>
      <c r="L2761" s="10" t="s">
        <v>42</v>
      </c>
    </row>
    <row r="2762" ht="15.75" customHeight="1">
      <c r="A2762" s="64">
        <v>45462.0</v>
      </c>
      <c r="B2762" s="55" t="str">
        <f>HYPERLINK("https://jobright.ai/jobs/info/6673502e8569d9c91d6ccd53?utm_campaign=1065&amp;utm_source=sheet", "Apply")</f>
        <v>Apply</v>
      </c>
      <c r="C2762" s="10" t="s">
        <v>15261</v>
      </c>
      <c r="D2762" s="56" t="s">
        <v>14380</v>
      </c>
      <c r="E2762" s="59">
        <v>45301.0</v>
      </c>
      <c r="F2762" s="10" t="s">
        <v>14381</v>
      </c>
      <c r="G2762" s="10" t="s">
        <v>12654</v>
      </c>
      <c r="H2762" s="10" t="s">
        <v>1003</v>
      </c>
      <c r="I2762" s="10" t="s">
        <v>55</v>
      </c>
      <c r="K2762" s="10" t="s">
        <v>15262</v>
      </c>
      <c r="L2762" s="10" t="s">
        <v>42</v>
      </c>
    </row>
    <row r="2763" ht="15.75" customHeight="1">
      <c r="A2763" s="64">
        <v>45462.0</v>
      </c>
      <c r="B2763" s="55" t="str">
        <f>HYPERLINK("https://jobright.ai/jobs/info/6673502e8569d9c91d6ccd51?utm_campaign=1065&amp;utm_source=sheet", "Apply")</f>
        <v>Apply</v>
      </c>
      <c r="C2763" s="10" t="s">
        <v>15261</v>
      </c>
      <c r="D2763" s="56" t="s">
        <v>14380</v>
      </c>
      <c r="E2763" s="59">
        <v>45301.0</v>
      </c>
      <c r="F2763" s="10" t="s">
        <v>14381</v>
      </c>
      <c r="G2763" s="10" t="s">
        <v>12654</v>
      </c>
      <c r="H2763" s="10" t="s">
        <v>880</v>
      </c>
      <c r="I2763" s="10" t="s">
        <v>55</v>
      </c>
      <c r="K2763" s="10" t="s">
        <v>15262</v>
      </c>
      <c r="L2763" s="10" t="s">
        <v>42</v>
      </c>
    </row>
    <row r="2764" ht="15.75" customHeight="1">
      <c r="A2764" s="64">
        <v>45462.0</v>
      </c>
      <c r="B2764" s="55" t="str">
        <f>HYPERLINK("https://jobright.ai/jobs/info/6673502e8569d9c91d6ccd52?utm_campaign=1065&amp;utm_source=sheet", "Apply")</f>
        <v>Apply</v>
      </c>
      <c r="C2764" s="10" t="s">
        <v>15261</v>
      </c>
      <c r="D2764" s="56" t="s">
        <v>14380</v>
      </c>
      <c r="E2764" s="59">
        <v>45301.0</v>
      </c>
      <c r="F2764" s="10" t="s">
        <v>14381</v>
      </c>
      <c r="G2764" s="10" t="s">
        <v>12654</v>
      </c>
      <c r="H2764" s="10" t="s">
        <v>845</v>
      </c>
      <c r="I2764" s="10" t="s">
        <v>55</v>
      </c>
      <c r="K2764" s="10" t="s">
        <v>15262</v>
      </c>
      <c r="L2764" s="10" t="s">
        <v>42</v>
      </c>
    </row>
    <row r="2765" ht="15.75" customHeight="1">
      <c r="A2765" s="64">
        <v>45462.0</v>
      </c>
      <c r="B2765" s="55" t="str">
        <f>HYPERLINK("https://jobright.ai/jobs/info/6673502e8569d9c91d6ccd50?utm_campaign=1065&amp;utm_source=sheet", "Apply")</f>
        <v>Apply</v>
      </c>
      <c r="C2765" s="10" t="s">
        <v>15261</v>
      </c>
      <c r="D2765" s="56" t="s">
        <v>14380</v>
      </c>
      <c r="E2765" s="59">
        <v>45301.0</v>
      </c>
      <c r="F2765" s="10" t="s">
        <v>14381</v>
      </c>
      <c r="G2765" s="10" t="s">
        <v>12654</v>
      </c>
      <c r="H2765" s="10" t="s">
        <v>783</v>
      </c>
      <c r="I2765" s="10" t="s">
        <v>55</v>
      </c>
      <c r="K2765" s="10" t="s">
        <v>15262</v>
      </c>
      <c r="L2765" s="10" t="s">
        <v>42</v>
      </c>
    </row>
    <row r="2766" ht="15.75" customHeight="1">
      <c r="A2766" s="64">
        <v>45462.0</v>
      </c>
      <c r="B2766" s="55" t="str">
        <f>HYPERLINK("https://jobright.ai/jobs/info/6673502e8569d9c91d6ccd5a?utm_campaign=1065&amp;utm_source=sheet", "Apply")</f>
        <v>Apply</v>
      </c>
      <c r="C2766" s="10" t="s">
        <v>14379</v>
      </c>
      <c r="D2766" s="56" t="s">
        <v>14380</v>
      </c>
      <c r="E2766" s="59">
        <v>45301.0</v>
      </c>
      <c r="F2766" s="10" t="s">
        <v>14381</v>
      </c>
      <c r="G2766" s="10" t="s">
        <v>12654</v>
      </c>
      <c r="H2766" s="10" t="s">
        <v>884</v>
      </c>
      <c r="I2766" s="10" t="s">
        <v>55</v>
      </c>
      <c r="J2766" s="10" t="s">
        <v>14382</v>
      </c>
      <c r="K2766" s="10" t="s">
        <v>14383</v>
      </c>
      <c r="L2766" s="10" t="s">
        <v>42</v>
      </c>
    </row>
    <row r="2767" ht="15.75" customHeight="1">
      <c r="A2767" s="64">
        <v>45462.0</v>
      </c>
      <c r="B2767" s="55" t="str">
        <f>HYPERLINK("https://jobright.ai/jobs/info/6673502e8569d9c91d6ccd58?utm_campaign=1065&amp;utm_source=sheet", "Apply")</f>
        <v>Apply</v>
      </c>
      <c r="C2767" s="10" t="s">
        <v>15261</v>
      </c>
      <c r="D2767" s="56" t="s">
        <v>14380</v>
      </c>
      <c r="E2767" s="59">
        <v>45301.0</v>
      </c>
      <c r="F2767" s="10" t="s">
        <v>14381</v>
      </c>
      <c r="G2767" s="10" t="s">
        <v>12654</v>
      </c>
      <c r="H2767" s="10" t="s">
        <v>762</v>
      </c>
      <c r="I2767" s="10" t="s">
        <v>55</v>
      </c>
      <c r="K2767" s="10" t="s">
        <v>15262</v>
      </c>
      <c r="L2767" s="10" t="s">
        <v>42</v>
      </c>
    </row>
    <row r="2768" ht="15.75" customHeight="1">
      <c r="A2768" s="64">
        <v>45462.0</v>
      </c>
      <c r="B2768" s="55" t="str">
        <f>HYPERLINK("https://jobright.ai/jobs/info/6673502e8569d9c91d6ccd56?utm_campaign=1065&amp;utm_source=sheet", "Apply")</f>
        <v>Apply</v>
      </c>
      <c r="C2768" s="10" t="s">
        <v>15261</v>
      </c>
      <c r="D2768" s="56" t="s">
        <v>14380</v>
      </c>
      <c r="E2768" s="59">
        <v>45301.0</v>
      </c>
      <c r="F2768" s="10" t="s">
        <v>14381</v>
      </c>
      <c r="G2768" s="10" t="s">
        <v>12654</v>
      </c>
      <c r="H2768" s="10" t="s">
        <v>873</v>
      </c>
      <c r="I2768" s="10" t="s">
        <v>55</v>
      </c>
      <c r="K2768" s="10" t="s">
        <v>15262</v>
      </c>
      <c r="L2768" s="10" t="s">
        <v>42</v>
      </c>
    </row>
    <row r="2769" ht="15.75" customHeight="1">
      <c r="A2769" s="64">
        <v>45462.0</v>
      </c>
      <c r="B2769" s="55" t="str">
        <f>HYPERLINK("https://jobright.ai/jobs/info/6673502e8569d9c91d6ccd55?utm_campaign=1065&amp;utm_source=sheet", "Apply")</f>
        <v>Apply</v>
      </c>
      <c r="C2769" s="10" t="s">
        <v>15261</v>
      </c>
      <c r="D2769" s="56" t="s">
        <v>14380</v>
      </c>
      <c r="E2769" s="59">
        <v>45301.0</v>
      </c>
      <c r="F2769" s="10" t="s">
        <v>14381</v>
      </c>
      <c r="G2769" s="10" t="s">
        <v>12654</v>
      </c>
      <c r="H2769" s="10" t="s">
        <v>888</v>
      </c>
      <c r="I2769" s="10" t="s">
        <v>55</v>
      </c>
      <c r="K2769" s="10" t="s">
        <v>15262</v>
      </c>
      <c r="L2769" s="10" t="s">
        <v>42</v>
      </c>
    </row>
    <row r="2770" ht="15.75" customHeight="1">
      <c r="A2770" s="64">
        <v>45462.0</v>
      </c>
      <c r="B2770" s="55" t="str">
        <f>HYPERLINK("https://jobright.ai/jobs/info/6673502e8569d9c91d6ccd57?utm_campaign=1065&amp;utm_source=sheet", "Apply")</f>
        <v>Apply</v>
      </c>
      <c r="C2770" s="10" t="s">
        <v>14379</v>
      </c>
      <c r="D2770" s="56" t="s">
        <v>14380</v>
      </c>
      <c r="E2770" s="59">
        <v>45301.0</v>
      </c>
      <c r="F2770" s="10" t="s">
        <v>14381</v>
      </c>
      <c r="G2770" s="10" t="s">
        <v>12654</v>
      </c>
      <c r="H2770" s="10" t="s">
        <v>661</v>
      </c>
      <c r="I2770" s="10" t="s">
        <v>55</v>
      </c>
      <c r="J2770" s="10" t="s">
        <v>14382</v>
      </c>
      <c r="K2770" s="10" t="s">
        <v>14383</v>
      </c>
      <c r="L2770" s="10" t="s">
        <v>42</v>
      </c>
    </row>
    <row r="2771" ht="15.75" customHeight="1">
      <c r="A2771" s="64">
        <v>45462.0</v>
      </c>
      <c r="B2771" s="55" t="str">
        <f>HYPERLINK("https://jobright.ai/jobs/info/6673502e8569d9c91d6ccd54?utm_campaign=1065&amp;utm_source=sheet", "Apply")</f>
        <v>Apply</v>
      </c>
      <c r="C2771" s="10" t="s">
        <v>15261</v>
      </c>
      <c r="D2771" s="56" t="s">
        <v>14380</v>
      </c>
      <c r="E2771" s="59">
        <v>45301.0</v>
      </c>
      <c r="F2771" s="10" t="s">
        <v>14381</v>
      </c>
      <c r="G2771" s="10" t="s">
        <v>12654</v>
      </c>
      <c r="H2771" s="10" t="s">
        <v>1041</v>
      </c>
      <c r="I2771" s="10" t="s">
        <v>55</v>
      </c>
      <c r="K2771" s="10" t="s">
        <v>15262</v>
      </c>
      <c r="L2771" s="10" t="s">
        <v>42</v>
      </c>
    </row>
    <row r="2772" ht="15.75" customHeight="1">
      <c r="A2772" s="64">
        <v>45462.0</v>
      </c>
      <c r="B2772" s="55" t="str">
        <f>HYPERLINK("https://jobright.ai/jobs/info/6673502e8569d9c91d6ccd5c?utm_campaign=1065&amp;utm_source=sheet", "Apply")</f>
        <v>Apply</v>
      </c>
      <c r="C2772" s="10" t="s">
        <v>15261</v>
      </c>
      <c r="D2772" s="56" t="s">
        <v>14380</v>
      </c>
      <c r="E2772" s="59">
        <v>45301.0</v>
      </c>
      <c r="F2772" s="10" t="s">
        <v>14381</v>
      </c>
      <c r="G2772" s="10" t="s">
        <v>12654</v>
      </c>
      <c r="H2772" s="10" t="s">
        <v>960</v>
      </c>
      <c r="I2772" s="10" t="s">
        <v>55</v>
      </c>
      <c r="K2772" s="10" t="s">
        <v>15262</v>
      </c>
      <c r="L2772" s="10" t="s">
        <v>42</v>
      </c>
    </row>
    <row r="2773" ht="15.75" customHeight="1">
      <c r="A2773" s="64">
        <v>45462.0</v>
      </c>
      <c r="B2773" s="55" t="str">
        <f>HYPERLINK("https://jobright.ai/jobs/info/6673502e8569d9c91d6ccd59?utm_campaign=1065&amp;utm_source=sheet", "Apply")</f>
        <v>Apply</v>
      </c>
      <c r="C2773" s="10" t="s">
        <v>15261</v>
      </c>
      <c r="D2773" s="56" t="s">
        <v>14380</v>
      </c>
      <c r="E2773" s="59">
        <v>45301.0</v>
      </c>
      <c r="F2773" s="10" t="s">
        <v>14381</v>
      </c>
      <c r="G2773" s="10" t="s">
        <v>12654</v>
      </c>
      <c r="H2773" s="10" t="s">
        <v>905</v>
      </c>
      <c r="I2773" s="10" t="s">
        <v>55</v>
      </c>
      <c r="K2773" s="10" t="s">
        <v>15262</v>
      </c>
      <c r="L2773" s="10" t="s">
        <v>42</v>
      </c>
    </row>
    <row r="2774" ht="15.75" customHeight="1">
      <c r="A2774" s="64">
        <v>45462.0</v>
      </c>
      <c r="B2774" s="55" t="str">
        <f>HYPERLINK("https://jobright.ai/jobs/info/6673502e8569d9c91d6ccd5d?utm_campaign=1065&amp;utm_source=sheet", "Apply")</f>
        <v>Apply</v>
      </c>
      <c r="C2774" s="10" t="s">
        <v>14379</v>
      </c>
      <c r="D2774" s="56" t="s">
        <v>14380</v>
      </c>
      <c r="E2774" s="59">
        <v>45301.0</v>
      </c>
      <c r="F2774" s="10" t="s">
        <v>14381</v>
      </c>
      <c r="G2774" s="10" t="s">
        <v>12654</v>
      </c>
      <c r="H2774" s="10" t="s">
        <v>708</v>
      </c>
      <c r="I2774" s="10" t="s">
        <v>55</v>
      </c>
      <c r="J2774" s="10" t="s">
        <v>14382</v>
      </c>
      <c r="K2774" s="10" t="s">
        <v>14383</v>
      </c>
      <c r="L2774" s="10" t="s">
        <v>42</v>
      </c>
    </row>
    <row r="2775" ht="15.75" customHeight="1">
      <c r="A2775" s="64">
        <v>45462.0</v>
      </c>
      <c r="B2775" s="55" t="str">
        <f>HYPERLINK("https://jobright.ai/jobs/info/6673502e8569d9c91d6ccd5f?utm_campaign=1065&amp;utm_source=sheet", "Apply")</f>
        <v>Apply</v>
      </c>
      <c r="C2775" s="10" t="s">
        <v>14379</v>
      </c>
      <c r="D2775" s="56" t="s">
        <v>14380</v>
      </c>
      <c r="E2775" s="59">
        <v>45301.0</v>
      </c>
      <c r="F2775" s="10" t="s">
        <v>14381</v>
      </c>
      <c r="G2775" s="10" t="s">
        <v>12654</v>
      </c>
      <c r="H2775" s="10" t="s">
        <v>979</v>
      </c>
      <c r="I2775" s="10" t="s">
        <v>55</v>
      </c>
      <c r="J2775" s="10" t="s">
        <v>14382</v>
      </c>
      <c r="K2775" s="10" t="s">
        <v>14383</v>
      </c>
      <c r="L2775" s="10" t="s">
        <v>42</v>
      </c>
    </row>
    <row r="2776" ht="15.75" customHeight="1">
      <c r="A2776" s="64">
        <v>45462.0</v>
      </c>
      <c r="B2776" s="55" t="str">
        <f>HYPERLINK("https://jobright.ai/jobs/info/6673502e8569d9c91d6ccd5e?utm_campaign=1065&amp;utm_source=sheet", "Apply")</f>
        <v>Apply</v>
      </c>
      <c r="C2776" s="10" t="s">
        <v>15261</v>
      </c>
      <c r="D2776" s="56" t="s">
        <v>14380</v>
      </c>
      <c r="E2776" s="59">
        <v>45301.0</v>
      </c>
      <c r="F2776" s="10" t="s">
        <v>14381</v>
      </c>
      <c r="G2776" s="10" t="s">
        <v>12654</v>
      </c>
      <c r="H2776" s="10" t="s">
        <v>782</v>
      </c>
      <c r="I2776" s="10" t="s">
        <v>55</v>
      </c>
      <c r="K2776" s="10" t="s">
        <v>15262</v>
      </c>
      <c r="L2776" s="10" t="s">
        <v>42</v>
      </c>
    </row>
    <row r="2777" ht="15.75" customHeight="1">
      <c r="A2777" s="64">
        <v>45462.0</v>
      </c>
      <c r="B2777" s="55" t="str">
        <f>HYPERLINK("https://jobright.ai/jobs/info/6673502e8569d9c91d6ccd60?utm_campaign=1065&amp;utm_source=sheet", "Apply")</f>
        <v>Apply</v>
      </c>
      <c r="C2777" s="10" t="s">
        <v>15261</v>
      </c>
      <c r="D2777" s="56" t="s">
        <v>14380</v>
      </c>
      <c r="E2777" s="59">
        <v>45301.0</v>
      </c>
      <c r="F2777" s="10" t="s">
        <v>14381</v>
      </c>
      <c r="G2777" s="10" t="s">
        <v>12654</v>
      </c>
      <c r="H2777" s="10" t="s">
        <v>434</v>
      </c>
      <c r="I2777" s="10" t="s">
        <v>55</v>
      </c>
      <c r="K2777" s="10" t="s">
        <v>15262</v>
      </c>
      <c r="L2777" s="10" t="s">
        <v>42</v>
      </c>
    </row>
    <row r="2778" ht="15.75" customHeight="1">
      <c r="A2778" s="64">
        <v>45462.0</v>
      </c>
      <c r="B2778" s="55" t="str">
        <f>HYPERLINK("https://jobright.ai/jobs/info/6673502e8569d9c91d6ccd61?utm_campaign=1065&amp;utm_source=sheet", "Apply")</f>
        <v>Apply</v>
      </c>
      <c r="C2778" s="10" t="s">
        <v>15261</v>
      </c>
      <c r="D2778" s="56" t="s">
        <v>14380</v>
      </c>
      <c r="E2778" s="59">
        <v>45301.0</v>
      </c>
      <c r="F2778" s="10" t="s">
        <v>14381</v>
      </c>
      <c r="G2778" s="10" t="s">
        <v>12654</v>
      </c>
      <c r="H2778" s="10" t="s">
        <v>767</v>
      </c>
      <c r="I2778" s="10" t="s">
        <v>55</v>
      </c>
      <c r="K2778" s="10" t="s">
        <v>15262</v>
      </c>
      <c r="L2778" s="10" t="s">
        <v>42</v>
      </c>
    </row>
    <row r="2779" ht="15.75" customHeight="1">
      <c r="A2779" s="64">
        <v>45462.0</v>
      </c>
      <c r="B2779" s="55" t="str">
        <f>HYPERLINK("https://jobright.ai/jobs/info/6673502e8569d9c91d6ccd62?utm_campaign=1065&amp;utm_source=sheet", "Apply")</f>
        <v>Apply</v>
      </c>
      <c r="C2779" s="10" t="s">
        <v>14379</v>
      </c>
      <c r="D2779" s="56" t="s">
        <v>14380</v>
      </c>
      <c r="E2779" s="59">
        <v>45301.0</v>
      </c>
      <c r="F2779" s="10" t="s">
        <v>14381</v>
      </c>
      <c r="G2779" s="10" t="s">
        <v>12654</v>
      </c>
      <c r="H2779" s="10" t="s">
        <v>1017</v>
      </c>
      <c r="I2779" s="10" t="s">
        <v>55</v>
      </c>
      <c r="J2779" s="10" t="s">
        <v>14382</v>
      </c>
      <c r="K2779" s="10" t="s">
        <v>14383</v>
      </c>
      <c r="L2779" s="10" t="s">
        <v>42</v>
      </c>
    </row>
    <row r="2780" ht="15.75" customHeight="1">
      <c r="A2780" s="64">
        <v>45462.0</v>
      </c>
      <c r="B2780" s="55" t="str">
        <f>HYPERLINK("https://jobright.ai/jobs/info/6673502e8569d9c91d6ccd63?utm_campaign=1065&amp;utm_source=sheet", "Apply")</f>
        <v>Apply</v>
      </c>
      <c r="C2780" s="10" t="s">
        <v>15261</v>
      </c>
      <c r="D2780" s="56" t="s">
        <v>14380</v>
      </c>
      <c r="E2780" s="59">
        <v>45301.0</v>
      </c>
      <c r="F2780" s="10" t="s">
        <v>14381</v>
      </c>
      <c r="G2780" s="10" t="s">
        <v>12654</v>
      </c>
      <c r="H2780" s="10" t="s">
        <v>775</v>
      </c>
      <c r="I2780" s="10" t="s">
        <v>55</v>
      </c>
      <c r="K2780" s="10" t="s">
        <v>15262</v>
      </c>
      <c r="L2780" s="10" t="s">
        <v>42</v>
      </c>
    </row>
    <row r="2781" ht="15.75" customHeight="1">
      <c r="A2781" s="64">
        <v>45462.0</v>
      </c>
      <c r="B2781" s="55" t="str">
        <f>HYPERLINK("https://jobright.ai/jobs/info/6673502e8569d9c91d6ccd64?utm_campaign=1065&amp;utm_source=sheet", "Apply")</f>
        <v>Apply</v>
      </c>
      <c r="C2781" s="10" t="s">
        <v>14379</v>
      </c>
      <c r="D2781" s="56" t="s">
        <v>14380</v>
      </c>
      <c r="E2781" s="59">
        <v>45301.0</v>
      </c>
      <c r="F2781" s="10" t="s">
        <v>14381</v>
      </c>
      <c r="G2781" s="10" t="s">
        <v>12654</v>
      </c>
      <c r="H2781" s="10" t="s">
        <v>852</v>
      </c>
      <c r="I2781" s="10" t="s">
        <v>55</v>
      </c>
      <c r="J2781" s="10" t="s">
        <v>14382</v>
      </c>
      <c r="K2781" s="10" t="s">
        <v>14383</v>
      </c>
      <c r="L2781" s="10" t="s">
        <v>42</v>
      </c>
    </row>
    <row r="2782" ht="15.75" customHeight="1">
      <c r="A2782" s="64">
        <v>45462.0</v>
      </c>
      <c r="B2782" s="55" t="str">
        <f>HYPERLINK("https://jobright.ai/jobs/info/6673502e8569d9c91d6ccd6a?utm_campaign=1065&amp;utm_source=sheet", "Apply")</f>
        <v>Apply</v>
      </c>
      <c r="C2782" s="10" t="s">
        <v>15261</v>
      </c>
      <c r="D2782" s="56" t="s">
        <v>14380</v>
      </c>
      <c r="E2782" s="59">
        <v>45301.0</v>
      </c>
      <c r="F2782" s="10" t="s">
        <v>14381</v>
      </c>
      <c r="G2782" s="10" t="s">
        <v>12654</v>
      </c>
      <c r="H2782" s="10" t="s">
        <v>848</v>
      </c>
      <c r="I2782" s="10" t="s">
        <v>55</v>
      </c>
      <c r="K2782" s="10" t="s">
        <v>15262</v>
      </c>
      <c r="L2782" s="10" t="s">
        <v>42</v>
      </c>
    </row>
    <row r="2783" ht="15.75" customHeight="1">
      <c r="A2783" s="64">
        <v>45462.0</v>
      </c>
      <c r="B2783" s="55" t="str">
        <f>HYPERLINK("https://jobright.ai/jobs/info/6673502e8569d9c91d6ccd66?utm_campaign=1065&amp;utm_source=sheet", "Apply")</f>
        <v>Apply</v>
      </c>
      <c r="C2783" s="10" t="s">
        <v>15261</v>
      </c>
      <c r="D2783" s="56" t="s">
        <v>14380</v>
      </c>
      <c r="E2783" s="59">
        <v>45301.0</v>
      </c>
      <c r="F2783" s="10" t="s">
        <v>14381</v>
      </c>
      <c r="G2783" s="10" t="s">
        <v>12654</v>
      </c>
      <c r="H2783" s="10" t="s">
        <v>1009</v>
      </c>
      <c r="I2783" s="10" t="s">
        <v>55</v>
      </c>
      <c r="K2783" s="10" t="s">
        <v>15262</v>
      </c>
      <c r="L2783" s="10" t="s">
        <v>42</v>
      </c>
    </row>
    <row r="2784" ht="15.75" customHeight="1">
      <c r="A2784" s="64">
        <v>45462.0</v>
      </c>
      <c r="B2784" s="55" t="str">
        <f>HYPERLINK("https://jobright.ai/jobs/info/6673502e8569d9c91d6ccd6b?utm_campaign=1065&amp;utm_source=sheet", "Apply")</f>
        <v>Apply</v>
      </c>
      <c r="C2784" s="10" t="s">
        <v>15261</v>
      </c>
      <c r="D2784" s="56" t="s">
        <v>14380</v>
      </c>
      <c r="E2784" s="59">
        <v>45301.0</v>
      </c>
      <c r="F2784" s="10" t="s">
        <v>14381</v>
      </c>
      <c r="G2784" s="10" t="s">
        <v>12654</v>
      </c>
      <c r="H2784" s="10" t="s">
        <v>823</v>
      </c>
      <c r="I2784" s="10" t="s">
        <v>55</v>
      </c>
      <c r="K2784" s="10" t="s">
        <v>15262</v>
      </c>
      <c r="L2784" s="10" t="s">
        <v>42</v>
      </c>
    </row>
    <row r="2785" ht="15.75" customHeight="1">
      <c r="A2785" s="64">
        <v>45462.0</v>
      </c>
      <c r="B2785" s="55" t="str">
        <f>HYPERLINK("https://jobright.ai/jobs/info/6673502e8569d9c91d6ccd6c?utm_campaign=1065&amp;utm_source=sheet", "Apply")</f>
        <v>Apply</v>
      </c>
      <c r="C2785" s="10" t="s">
        <v>14379</v>
      </c>
      <c r="D2785" s="56" t="s">
        <v>14380</v>
      </c>
      <c r="E2785" s="59">
        <v>45301.0</v>
      </c>
      <c r="F2785" s="10" t="s">
        <v>14381</v>
      </c>
      <c r="G2785" s="10" t="s">
        <v>12654</v>
      </c>
      <c r="H2785" s="10" t="s">
        <v>1038</v>
      </c>
      <c r="I2785" s="10" t="s">
        <v>55</v>
      </c>
      <c r="J2785" s="10" t="s">
        <v>14382</v>
      </c>
      <c r="K2785" s="10" t="s">
        <v>14383</v>
      </c>
      <c r="L2785" s="10" t="s">
        <v>42</v>
      </c>
    </row>
    <row r="2786" ht="15.75" customHeight="1">
      <c r="A2786" s="64">
        <v>45462.0</v>
      </c>
      <c r="B2786" s="55" t="str">
        <f>HYPERLINK("https://jobright.ai/jobs/info/6673502e8569d9c91d6ccd69?utm_campaign=1065&amp;utm_source=sheet", "Apply")</f>
        <v>Apply</v>
      </c>
      <c r="C2786" s="10" t="s">
        <v>14379</v>
      </c>
      <c r="D2786" s="56" t="s">
        <v>14380</v>
      </c>
      <c r="E2786" s="59">
        <v>45301.0</v>
      </c>
      <c r="F2786" s="10" t="s">
        <v>14381</v>
      </c>
      <c r="G2786" s="10" t="s">
        <v>12654</v>
      </c>
      <c r="H2786" s="10" t="s">
        <v>841</v>
      </c>
      <c r="I2786" s="10" t="s">
        <v>55</v>
      </c>
      <c r="J2786" s="10" t="s">
        <v>14382</v>
      </c>
      <c r="K2786" s="10" t="s">
        <v>14383</v>
      </c>
      <c r="L2786" s="10" t="s">
        <v>42</v>
      </c>
    </row>
    <row r="2787" ht="15.75" customHeight="1">
      <c r="A2787" s="64">
        <v>45462.0</v>
      </c>
      <c r="B2787" s="55" t="str">
        <f>HYPERLINK("https://jobright.ai/jobs/info/6673502e8569d9c91d6ccd65?utm_campaign=1065&amp;utm_source=sheet", "Apply")</f>
        <v>Apply</v>
      </c>
      <c r="C2787" s="10" t="s">
        <v>14379</v>
      </c>
      <c r="D2787" s="56" t="s">
        <v>14380</v>
      </c>
      <c r="E2787" s="59">
        <v>45301.0</v>
      </c>
      <c r="F2787" s="10" t="s">
        <v>14381</v>
      </c>
      <c r="G2787" s="10" t="s">
        <v>12654</v>
      </c>
      <c r="H2787" s="10" t="s">
        <v>131</v>
      </c>
      <c r="I2787" s="10" t="s">
        <v>55</v>
      </c>
      <c r="J2787" s="10" t="s">
        <v>14382</v>
      </c>
      <c r="K2787" s="10" t="s">
        <v>14383</v>
      </c>
      <c r="L2787" s="10" t="s">
        <v>42</v>
      </c>
    </row>
    <row r="2788" ht="15.75" customHeight="1">
      <c r="A2788" s="64">
        <v>45462.0</v>
      </c>
      <c r="B2788" s="55" t="str">
        <f>HYPERLINK("https://jobright.ai/jobs/info/6673502e8569d9c91d6ccd67?utm_campaign=1065&amp;utm_source=sheet", "Apply")</f>
        <v>Apply</v>
      </c>
      <c r="C2788" s="10" t="s">
        <v>14379</v>
      </c>
      <c r="D2788" s="56" t="s">
        <v>14380</v>
      </c>
      <c r="E2788" s="59">
        <v>45301.0</v>
      </c>
      <c r="F2788" s="10" t="s">
        <v>14381</v>
      </c>
      <c r="G2788" s="10" t="s">
        <v>12654</v>
      </c>
      <c r="H2788" s="10" t="s">
        <v>799</v>
      </c>
      <c r="I2788" s="10" t="s">
        <v>55</v>
      </c>
      <c r="J2788" s="10" t="s">
        <v>14382</v>
      </c>
      <c r="K2788" s="10" t="s">
        <v>14383</v>
      </c>
      <c r="L2788" s="10" t="s">
        <v>42</v>
      </c>
    </row>
    <row r="2789" ht="15.75" customHeight="1">
      <c r="A2789" s="64">
        <v>45462.0</v>
      </c>
      <c r="B2789" s="55" t="str">
        <f>HYPERLINK("https://jobright.ai/jobs/info/6673502e8569d9c91d6ccd68?utm_campaign=1065&amp;utm_source=sheet", "Apply")</f>
        <v>Apply</v>
      </c>
      <c r="C2789" s="10" t="s">
        <v>14379</v>
      </c>
      <c r="D2789" s="56" t="s">
        <v>14380</v>
      </c>
      <c r="E2789" s="59">
        <v>45301.0</v>
      </c>
      <c r="F2789" s="10" t="s">
        <v>14381</v>
      </c>
      <c r="G2789" s="10" t="s">
        <v>12654</v>
      </c>
      <c r="H2789" s="10" t="s">
        <v>1003</v>
      </c>
      <c r="I2789" s="10" t="s">
        <v>55</v>
      </c>
      <c r="J2789" s="10" t="s">
        <v>14382</v>
      </c>
      <c r="K2789" s="10" t="s">
        <v>14383</v>
      </c>
      <c r="L2789" s="10" t="s">
        <v>42</v>
      </c>
    </row>
    <row r="2790" ht="15.75" customHeight="1">
      <c r="A2790" s="64">
        <v>45462.0</v>
      </c>
      <c r="B2790" s="55" t="str">
        <f>HYPERLINK("https://jobright.ai/jobs/info/6673502e8569d9c91d6ccd6e?utm_campaign=1065&amp;utm_source=sheet", "Apply")</f>
        <v>Apply</v>
      </c>
      <c r="C2790" s="10" t="s">
        <v>15261</v>
      </c>
      <c r="D2790" s="56" t="s">
        <v>14380</v>
      </c>
      <c r="E2790" s="59">
        <v>45301.0</v>
      </c>
      <c r="F2790" s="10" t="s">
        <v>14381</v>
      </c>
      <c r="G2790" s="10" t="s">
        <v>12654</v>
      </c>
      <c r="H2790" s="10" t="s">
        <v>153</v>
      </c>
      <c r="I2790" s="10" t="s">
        <v>55</v>
      </c>
      <c r="K2790" s="10" t="s">
        <v>15262</v>
      </c>
      <c r="L2790" s="10" t="s">
        <v>42</v>
      </c>
    </row>
    <row r="2791" ht="15.75" customHeight="1">
      <c r="A2791" s="64">
        <v>45462.0</v>
      </c>
      <c r="B2791" s="55" t="str">
        <f>HYPERLINK("https://jobright.ai/jobs/info/6673502e8569d9c91d6ccd70?utm_campaign=1065&amp;utm_source=sheet", "Apply")</f>
        <v>Apply</v>
      </c>
      <c r="C2791" s="10" t="s">
        <v>14379</v>
      </c>
      <c r="D2791" s="56" t="s">
        <v>14380</v>
      </c>
      <c r="E2791" s="59">
        <v>45301.0</v>
      </c>
      <c r="F2791" s="10" t="s">
        <v>14381</v>
      </c>
      <c r="G2791" s="10" t="s">
        <v>12654</v>
      </c>
      <c r="H2791" s="10" t="s">
        <v>973</v>
      </c>
      <c r="I2791" s="10" t="s">
        <v>55</v>
      </c>
      <c r="J2791" s="10" t="s">
        <v>14382</v>
      </c>
      <c r="K2791" s="10" t="s">
        <v>14383</v>
      </c>
      <c r="L2791" s="10" t="s">
        <v>42</v>
      </c>
    </row>
    <row r="2792" ht="15.75" customHeight="1">
      <c r="A2792" s="64">
        <v>45462.0</v>
      </c>
      <c r="B2792" s="55" t="str">
        <f>HYPERLINK("https://jobright.ai/jobs/info/6673502e8569d9c91d6ccd6f?utm_campaign=1065&amp;utm_source=sheet", "Apply")</f>
        <v>Apply</v>
      </c>
      <c r="C2792" s="10" t="s">
        <v>15261</v>
      </c>
      <c r="D2792" s="56" t="s">
        <v>14380</v>
      </c>
      <c r="E2792" s="59">
        <v>45301.0</v>
      </c>
      <c r="F2792" s="10" t="s">
        <v>14381</v>
      </c>
      <c r="G2792" s="10" t="s">
        <v>12654</v>
      </c>
      <c r="H2792" s="10" t="s">
        <v>827</v>
      </c>
      <c r="I2792" s="10" t="s">
        <v>55</v>
      </c>
      <c r="K2792" s="10" t="s">
        <v>15262</v>
      </c>
      <c r="L2792" s="10" t="s">
        <v>42</v>
      </c>
    </row>
    <row r="2793" ht="15.75" customHeight="1">
      <c r="A2793" s="64">
        <v>45462.0</v>
      </c>
      <c r="B2793" s="55" t="str">
        <f>HYPERLINK("https://jobright.ai/jobs/info/6673502e8569d9c91d6ccd6d?utm_campaign=1065&amp;utm_source=sheet", "Apply")</f>
        <v>Apply</v>
      </c>
      <c r="C2793" s="10" t="s">
        <v>15261</v>
      </c>
      <c r="D2793" s="56" t="s">
        <v>14380</v>
      </c>
      <c r="E2793" s="59">
        <v>45301.0</v>
      </c>
      <c r="F2793" s="10" t="s">
        <v>14381</v>
      </c>
      <c r="G2793" s="10" t="s">
        <v>12654</v>
      </c>
      <c r="H2793" s="10" t="s">
        <v>1019</v>
      </c>
      <c r="I2793" s="10" t="s">
        <v>55</v>
      </c>
      <c r="K2793" s="10" t="s">
        <v>15262</v>
      </c>
      <c r="L2793" s="10" t="s">
        <v>42</v>
      </c>
    </row>
    <row r="2794" ht="15.75" customHeight="1">
      <c r="A2794" s="64">
        <v>45462.0</v>
      </c>
      <c r="B2794" s="55" t="str">
        <f>HYPERLINK("https://jobright.ai/jobs/info/6673502e8569d9c91d6ccd71?utm_campaign=1065&amp;utm_source=sheet", "Apply")</f>
        <v>Apply</v>
      </c>
      <c r="C2794" s="10" t="s">
        <v>15261</v>
      </c>
      <c r="D2794" s="56" t="s">
        <v>14380</v>
      </c>
      <c r="E2794" s="59">
        <v>45301.0</v>
      </c>
      <c r="F2794" s="10" t="s">
        <v>14381</v>
      </c>
      <c r="G2794" s="10" t="s">
        <v>12654</v>
      </c>
      <c r="H2794" s="10" t="s">
        <v>942</v>
      </c>
      <c r="I2794" s="10" t="s">
        <v>55</v>
      </c>
      <c r="K2794" s="10" t="s">
        <v>15262</v>
      </c>
      <c r="L2794" s="10" t="s">
        <v>42</v>
      </c>
    </row>
    <row r="2795" ht="15.75" customHeight="1">
      <c r="A2795" s="64">
        <v>45462.0</v>
      </c>
      <c r="B2795" s="55" t="str">
        <f>HYPERLINK("https://jobright.ai/jobs/info/6673502e8569d9c91d6ccd72?utm_campaign=1065&amp;utm_source=sheet", "Apply")</f>
        <v>Apply</v>
      </c>
      <c r="C2795" s="10" t="s">
        <v>14379</v>
      </c>
      <c r="D2795" s="56" t="s">
        <v>14380</v>
      </c>
      <c r="E2795" s="59">
        <v>45301.0</v>
      </c>
      <c r="F2795" s="10" t="s">
        <v>14381</v>
      </c>
      <c r="G2795" s="10" t="s">
        <v>12654</v>
      </c>
      <c r="H2795" s="10" t="s">
        <v>803</v>
      </c>
      <c r="I2795" s="10" t="s">
        <v>55</v>
      </c>
      <c r="J2795" s="10" t="s">
        <v>14382</v>
      </c>
      <c r="K2795" s="10" t="s">
        <v>14383</v>
      </c>
      <c r="L2795" s="10" t="s">
        <v>42</v>
      </c>
    </row>
    <row r="2796" ht="15.75" customHeight="1">
      <c r="A2796" s="64">
        <v>45462.0</v>
      </c>
      <c r="B2796" s="55" t="str">
        <f>HYPERLINK("https://jobright.ai/jobs/info/667359bbc4ef395f5c37bc0b?utm_campaign=1065&amp;utm_source=sheet", "Apply")</f>
        <v>Apply</v>
      </c>
      <c r="C2796" s="10" t="s">
        <v>15261</v>
      </c>
      <c r="D2796" s="56" t="s">
        <v>14380</v>
      </c>
      <c r="E2796" s="59">
        <v>45301.0</v>
      </c>
      <c r="F2796" s="10" t="s">
        <v>14381</v>
      </c>
      <c r="G2796" s="10" t="s">
        <v>12654</v>
      </c>
      <c r="H2796" s="10" t="s">
        <v>802</v>
      </c>
      <c r="I2796" s="10" t="s">
        <v>55</v>
      </c>
      <c r="K2796" s="10" t="s">
        <v>15262</v>
      </c>
      <c r="L2796" s="10" t="s">
        <v>42</v>
      </c>
    </row>
    <row r="2797" ht="15.75" customHeight="1">
      <c r="A2797" s="64">
        <v>45462.0</v>
      </c>
      <c r="B2797" s="55" t="str">
        <f>HYPERLINK("https://jobright.ai/jobs/info/667359bbc4ef395f5c37bc0e?utm_campaign=1065&amp;utm_source=sheet", "Apply")</f>
        <v>Apply</v>
      </c>
      <c r="C2797" s="10" t="s">
        <v>15261</v>
      </c>
      <c r="D2797" s="56" t="s">
        <v>14380</v>
      </c>
      <c r="E2797" s="59">
        <v>45301.0</v>
      </c>
      <c r="F2797" s="10" t="s">
        <v>14381</v>
      </c>
      <c r="G2797" s="10" t="s">
        <v>12654</v>
      </c>
      <c r="H2797" s="10" t="s">
        <v>830</v>
      </c>
      <c r="I2797" s="10" t="s">
        <v>55</v>
      </c>
      <c r="K2797" s="10" t="s">
        <v>15262</v>
      </c>
      <c r="L2797" s="10" t="s">
        <v>42</v>
      </c>
    </row>
    <row r="2798" ht="15.75" customHeight="1">
      <c r="A2798" s="64">
        <v>45462.0</v>
      </c>
      <c r="B2798" s="55" t="str">
        <f>HYPERLINK("https://jobright.ai/jobs/info/667359bbc4ef395f5c37bc10?utm_campaign=1065&amp;utm_source=sheet", "Apply")</f>
        <v>Apply</v>
      </c>
      <c r="C2798" s="10" t="s">
        <v>15261</v>
      </c>
      <c r="D2798" s="56" t="s">
        <v>14380</v>
      </c>
      <c r="E2798" s="59">
        <v>45301.0</v>
      </c>
      <c r="F2798" s="10" t="s">
        <v>14381</v>
      </c>
      <c r="G2798" s="10" t="s">
        <v>12654</v>
      </c>
      <c r="H2798" s="10" t="s">
        <v>819</v>
      </c>
      <c r="I2798" s="10" t="s">
        <v>55</v>
      </c>
      <c r="K2798" s="10" t="s">
        <v>15262</v>
      </c>
      <c r="L2798" s="10" t="s">
        <v>42</v>
      </c>
    </row>
    <row r="2799" ht="15.75" customHeight="1">
      <c r="A2799" s="64">
        <v>45462.0</v>
      </c>
      <c r="B2799" s="55" t="str">
        <f>HYPERLINK("https://jobright.ai/jobs/info/667359bbc4ef395f5c37bc0a?utm_campaign=1065&amp;utm_source=sheet", "Apply")</f>
        <v>Apply</v>
      </c>
      <c r="C2799" s="10" t="s">
        <v>15261</v>
      </c>
      <c r="D2799" s="56" t="s">
        <v>14380</v>
      </c>
      <c r="E2799" s="59">
        <v>45301.0</v>
      </c>
      <c r="F2799" s="10" t="s">
        <v>14381</v>
      </c>
      <c r="G2799" s="10" t="s">
        <v>12654</v>
      </c>
      <c r="H2799" s="10" t="s">
        <v>793</v>
      </c>
      <c r="I2799" s="10" t="s">
        <v>55</v>
      </c>
      <c r="K2799" s="10" t="s">
        <v>15262</v>
      </c>
      <c r="L2799" s="10" t="s">
        <v>42</v>
      </c>
    </row>
    <row r="2800" ht="15.75" customHeight="1">
      <c r="A2800" s="64">
        <v>45462.0</v>
      </c>
      <c r="B2800" s="55" t="str">
        <f>HYPERLINK("https://jobright.ai/jobs/info/667359bbc4ef395f5c37bc0f?utm_campaign=1065&amp;utm_source=sheet", "Apply")</f>
        <v>Apply</v>
      </c>
      <c r="C2800" s="10" t="s">
        <v>15261</v>
      </c>
      <c r="D2800" s="56" t="s">
        <v>14380</v>
      </c>
      <c r="E2800" s="59">
        <v>45301.0</v>
      </c>
      <c r="F2800" s="10" t="s">
        <v>14381</v>
      </c>
      <c r="G2800" s="10" t="s">
        <v>12654</v>
      </c>
      <c r="H2800" s="10" t="s">
        <v>930</v>
      </c>
      <c r="I2800" s="10" t="s">
        <v>55</v>
      </c>
      <c r="K2800" s="10" t="s">
        <v>15262</v>
      </c>
      <c r="L2800" s="10" t="s">
        <v>42</v>
      </c>
    </row>
    <row r="2801" ht="15.75" customHeight="1">
      <c r="A2801" s="64">
        <v>45462.0</v>
      </c>
      <c r="B2801" s="55" t="str">
        <f>HYPERLINK("https://jobright.ai/jobs/info/667359bbc4ef395f5c37bc0c?utm_campaign=1065&amp;utm_source=sheet", "Apply")</f>
        <v>Apply</v>
      </c>
      <c r="C2801" s="10" t="s">
        <v>15261</v>
      </c>
      <c r="D2801" s="56" t="s">
        <v>14380</v>
      </c>
      <c r="E2801" s="59">
        <v>45301.0</v>
      </c>
      <c r="F2801" s="10" t="s">
        <v>14381</v>
      </c>
      <c r="G2801" s="10" t="s">
        <v>12654</v>
      </c>
      <c r="H2801" s="10" t="s">
        <v>907</v>
      </c>
      <c r="I2801" s="10" t="s">
        <v>55</v>
      </c>
      <c r="K2801" s="10" t="s">
        <v>15262</v>
      </c>
      <c r="L2801" s="10" t="s">
        <v>42</v>
      </c>
    </row>
    <row r="2802" ht="15.75" customHeight="1">
      <c r="A2802" s="64">
        <v>45462.0</v>
      </c>
      <c r="B2802" s="55" t="str">
        <f>HYPERLINK("https://jobright.ai/jobs/info/667359bbc4ef395f5c37bc0d?utm_campaign=1065&amp;utm_source=sheet", "Apply")</f>
        <v>Apply</v>
      </c>
      <c r="C2802" s="10" t="s">
        <v>15261</v>
      </c>
      <c r="D2802" s="56" t="s">
        <v>14380</v>
      </c>
      <c r="E2802" s="59">
        <v>45301.0</v>
      </c>
      <c r="F2802" s="10" t="s">
        <v>14381</v>
      </c>
      <c r="G2802" s="10" t="s">
        <v>12654</v>
      </c>
      <c r="H2802" s="10" t="s">
        <v>966</v>
      </c>
      <c r="I2802" s="10" t="s">
        <v>55</v>
      </c>
      <c r="K2802" s="10" t="s">
        <v>15262</v>
      </c>
      <c r="L2802" s="10" t="s">
        <v>42</v>
      </c>
    </row>
    <row r="2803" ht="15.75" customHeight="1">
      <c r="A2803" s="64">
        <v>45462.0</v>
      </c>
      <c r="B2803" s="55" t="str">
        <f>HYPERLINK("https://jobright.ai/jobs/info/667359bbc4ef395f5c37bc15?utm_campaign=1065&amp;utm_source=sheet", "Apply")</f>
        <v>Apply</v>
      </c>
      <c r="C2803" s="10" t="s">
        <v>15261</v>
      </c>
      <c r="D2803" s="56" t="s">
        <v>14380</v>
      </c>
      <c r="E2803" s="59">
        <v>45301.0</v>
      </c>
      <c r="F2803" s="10" t="s">
        <v>14381</v>
      </c>
      <c r="G2803" s="10" t="s">
        <v>12654</v>
      </c>
      <c r="H2803" s="10" t="s">
        <v>867</v>
      </c>
      <c r="I2803" s="10" t="s">
        <v>55</v>
      </c>
      <c r="K2803" s="10" t="s">
        <v>15262</v>
      </c>
      <c r="L2803" s="10" t="s">
        <v>42</v>
      </c>
    </row>
    <row r="2804" ht="15.75" customHeight="1">
      <c r="A2804" s="64">
        <v>45462.0</v>
      </c>
      <c r="B2804" s="55" t="str">
        <f>HYPERLINK("https://jobright.ai/jobs/info/667359bbc4ef395f5c37bc14?utm_campaign=1065&amp;utm_source=sheet", "Apply")</f>
        <v>Apply</v>
      </c>
      <c r="C2804" s="10" t="s">
        <v>15261</v>
      </c>
      <c r="D2804" s="56" t="s">
        <v>14380</v>
      </c>
      <c r="E2804" s="59">
        <v>45301.0</v>
      </c>
      <c r="F2804" s="10" t="s">
        <v>14381</v>
      </c>
      <c r="G2804" s="10" t="s">
        <v>12654</v>
      </c>
      <c r="H2804" s="10" t="s">
        <v>881</v>
      </c>
      <c r="I2804" s="10" t="s">
        <v>55</v>
      </c>
      <c r="K2804" s="10" t="s">
        <v>15262</v>
      </c>
      <c r="L2804" s="10" t="s">
        <v>42</v>
      </c>
    </row>
    <row r="2805" ht="15.75" customHeight="1">
      <c r="A2805" s="64">
        <v>45462.0</v>
      </c>
      <c r="B2805" s="55" t="str">
        <f>HYPERLINK("https://jobright.ai/jobs/info/667359bbc4ef395f5c37bc13?utm_campaign=1065&amp;utm_source=sheet", "Apply")</f>
        <v>Apply</v>
      </c>
      <c r="C2805" s="10" t="s">
        <v>14379</v>
      </c>
      <c r="D2805" s="56" t="s">
        <v>14380</v>
      </c>
      <c r="E2805" s="59">
        <v>45301.0</v>
      </c>
      <c r="F2805" s="10" t="s">
        <v>14381</v>
      </c>
      <c r="G2805" s="10" t="s">
        <v>12654</v>
      </c>
      <c r="H2805" s="10" t="s">
        <v>871</v>
      </c>
      <c r="I2805" s="10" t="s">
        <v>55</v>
      </c>
      <c r="J2805" s="10" t="s">
        <v>14382</v>
      </c>
      <c r="K2805" s="10" t="s">
        <v>14383</v>
      </c>
      <c r="L2805" s="10" t="s">
        <v>42</v>
      </c>
    </row>
    <row r="2806" ht="15.75" customHeight="1">
      <c r="A2806" s="64">
        <v>45462.0</v>
      </c>
      <c r="B2806" s="55" t="str">
        <f>HYPERLINK("https://jobright.ai/jobs/info/667359bbc4ef395f5c37bc16?utm_campaign=1065&amp;utm_source=sheet", "Apply")</f>
        <v>Apply</v>
      </c>
      <c r="C2806" s="10" t="s">
        <v>14379</v>
      </c>
      <c r="D2806" s="56" t="s">
        <v>14380</v>
      </c>
      <c r="E2806" s="59">
        <v>45301.0</v>
      </c>
      <c r="F2806" s="10" t="s">
        <v>14381</v>
      </c>
      <c r="G2806" s="10" t="s">
        <v>12654</v>
      </c>
      <c r="H2806" s="10" t="s">
        <v>152</v>
      </c>
      <c r="I2806" s="10" t="s">
        <v>55</v>
      </c>
      <c r="J2806" s="10" t="s">
        <v>14382</v>
      </c>
      <c r="K2806" s="10" t="s">
        <v>14383</v>
      </c>
      <c r="L2806" s="10" t="s">
        <v>42</v>
      </c>
    </row>
    <row r="2807" ht="15.75" customHeight="1">
      <c r="A2807" s="64">
        <v>45462.0</v>
      </c>
      <c r="B2807" s="55" t="str">
        <f>HYPERLINK("https://jobright.ai/jobs/info/667359bbc4ef395f5c37bc12?utm_campaign=1065&amp;utm_source=sheet", "Apply")</f>
        <v>Apply</v>
      </c>
      <c r="C2807" s="10" t="s">
        <v>15261</v>
      </c>
      <c r="D2807" s="56" t="s">
        <v>14380</v>
      </c>
      <c r="E2807" s="59">
        <v>45301.0</v>
      </c>
      <c r="F2807" s="10" t="s">
        <v>14381</v>
      </c>
      <c r="G2807" s="10" t="s">
        <v>12654</v>
      </c>
      <c r="H2807" s="10" t="s">
        <v>963</v>
      </c>
      <c r="I2807" s="10" t="s">
        <v>55</v>
      </c>
      <c r="K2807" s="10" t="s">
        <v>15262</v>
      </c>
      <c r="L2807" s="10" t="s">
        <v>42</v>
      </c>
    </row>
    <row r="2808" ht="15.75" customHeight="1">
      <c r="A2808" s="64">
        <v>45462.0</v>
      </c>
      <c r="B2808" s="55" t="str">
        <f>HYPERLINK("https://jobright.ai/jobs/info/667359bbc4ef395f5c37bc11?utm_campaign=1065&amp;utm_source=sheet", "Apply")</f>
        <v>Apply</v>
      </c>
      <c r="C2808" s="10" t="s">
        <v>14379</v>
      </c>
      <c r="D2808" s="56" t="s">
        <v>14380</v>
      </c>
      <c r="E2808" s="59">
        <v>45301.0</v>
      </c>
      <c r="F2808" s="10" t="s">
        <v>14381</v>
      </c>
      <c r="G2808" s="10" t="s">
        <v>12654</v>
      </c>
      <c r="H2808" s="10" t="s">
        <v>853</v>
      </c>
      <c r="I2808" s="10" t="s">
        <v>55</v>
      </c>
      <c r="J2808" s="10" t="s">
        <v>14382</v>
      </c>
      <c r="K2808" s="10" t="s">
        <v>14383</v>
      </c>
      <c r="L2808" s="10" t="s">
        <v>42</v>
      </c>
    </row>
    <row r="2809" ht="15.75" customHeight="1">
      <c r="A2809" s="64">
        <v>45462.0</v>
      </c>
      <c r="B2809" s="55" t="str">
        <f>HYPERLINK("https://jobright.ai/jobs/info/667359bbc4ef395f5c37bc17?utm_campaign=1065&amp;utm_source=sheet", "Apply")</f>
        <v>Apply</v>
      </c>
      <c r="C2809" s="10" t="s">
        <v>15261</v>
      </c>
      <c r="D2809" s="56" t="s">
        <v>14380</v>
      </c>
      <c r="E2809" s="59">
        <v>45301.0</v>
      </c>
      <c r="F2809" s="10" t="s">
        <v>14381</v>
      </c>
      <c r="G2809" s="10" t="s">
        <v>12654</v>
      </c>
      <c r="H2809" s="10" t="s">
        <v>933</v>
      </c>
      <c r="I2809" s="10" t="s">
        <v>55</v>
      </c>
      <c r="K2809" s="10" t="s">
        <v>15262</v>
      </c>
      <c r="L2809" s="10" t="s">
        <v>42</v>
      </c>
    </row>
    <row r="2810" ht="15.75" customHeight="1">
      <c r="A2810" s="64">
        <v>45462.0</v>
      </c>
      <c r="B2810" s="55" t="str">
        <f>HYPERLINK("https://jobright.ai/jobs/info/667359bbc4ef395f5c37bc22?utm_campaign=1065&amp;utm_source=sheet", "Apply")</f>
        <v>Apply</v>
      </c>
      <c r="C2810" s="10" t="s">
        <v>14379</v>
      </c>
      <c r="D2810" s="56" t="s">
        <v>14380</v>
      </c>
      <c r="E2810" s="59">
        <v>45301.0</v>
      </c>
      <c r="F2810" s="10" t="s">
        <v>14381</v>
      </c>
      <c r="G2810" s="10" t="s">
        <v>12654</v>
      </c>
      <c r="H2810" s="10" t="s">
        <v>997</v>
      </c>
      <c r="I2810" s="10" t="s">
        <v>55</v>
      </c>
      <c r="J2810" s="10" t="s">
        <v>14382</v>
      </c>
      <c r="K2810" s="10" t="s">
        <v>14383</v>
      </c>
      <c r="L2810" s="10" t="s">
        <v>42</v>
      </c>
    </row>
    <row r="2811" ht="15.75" customHeight="1">
      <c r="A2811" s="64">
        <v>45462.0</v>
      </c>
      <c r="B2811" s="55" t="str">
        <f>HYPERLINK("https://jobright.ai/jobs/info/667359bbc4ef395f5c37bc1b?utm_campaign=1065&amp;utm_source=sheet", "Apply")</f>
        <v>Apply</v>
      </c>
      <c r="C2811" s="10" t="s">
        <v>14379</v>
      </c>
      <c r="D2811" s="56" t="s">
        <v>14380</v>
      </c>
      <c r="E2811" s="59">
        <v>45301.0</v>
      </c>
      <c r="F2811" s="10" t="s">
        <v>14381</v>
      </c>
      <c r="G2811" s="10" t="s">
        <v>12654</v>
      </c>
      <c r="H2811" s="10" t="s">
        <v>826</v>
      </c>
      <c r="I2811" s="10" t="s">
        <v>55</v>
      </c>
      <c r="J2811" s="10" t="s">
        <v>14382</v>
      </c>
      <c r="K2811" s="10" t="s">
        <v>14383</v>
      </c>
      <c r="L2811" s="10" t="s">
        <v>42</v>
      </c>
    </row>
    <row r="2812" ht="15.75" customHeight="1">
      <c r="A2812" s="64">
        <v>45462.0</v>
      </c>
      <c r="B2812" s="55" t="str">
        <f>HYPERLINK("https://jobright.ai/jobs/info/667359bbc4ef395f5c37bc24?utm_campaign=1065&amp;utm_source=sheet", "Apply")</f>
        <v>Apply</v>
      </c>
      <c r="C2812" s="10" t="s">
        <v>15261</v>
      </c>
      <c r="D2812" s="56" t="s">
        <v>14380</v>
      </c>
      <c r="E2812" s="59">
        <v>45301.0</v>
      </c>
      <c r="F2812" s="10" t="s">
        <v>14381</v>
      </c>
      <c r="G2812" s="10" t="s">
        <v>12654</v>
      </c>
      <c r="H2812" s="10" t="s">
        <v>1012</v>
      </c>
      <c r="I2812" s="10" t="s">
        <v>55</v>
      </c>
      <c r="K2812" s="10" t="s">
        <v>15262</v>
      </c>
      <c r="L2812" s="10" t="s">
        <v>42</v>
      </c>
    </row>
    <row r="2813" ht="15.75" customHeight="1">
      <c r="A2813" s="64">
        <v>45462.0</v>
      </c>
      <c r="B2813" s="55" t="str">
        <f>HYPERLINK("https://jobright.ai/jobs/info/667359bbc4ef395f5c37bc18?utm_campaign=1065&amp;utm_source=sheet", "Apply")</f>
        <v>Apply</v>
      </c>
      <c r="C2813" s="10" t="s">
        <v>14379</v>
      </c>
      <c r="D2813" s="56" t="s">
        <v>14380</v>
      </c>
      <c r="E2813" s="59">
        <v>45301.0</v>
      </c>
      <c r="F2813" s="10" t="s">
        <v>14381</v>
      </c>
      <c r="G2813" s="10" t="s">
        <v>12654</v>
      </c>
      <c r="H2813" s="10" t="s">
        <v>963</v>
      </c>
      <c r="I2813" s="10" t="s">
        <v>55</v>
      </c>
      <c r="J2813" s="10" t="s">
        <v>14382</v>
      </c>
      <c r="K2813" s="10" t="s">
        <v>14383</v>
      </c>
      <c r="L2813" s="10" t="s">
        <v>42</v>
      </c>
    </row>
    <row r="2814" ht="15.75" customHeight="1">
      <c r="A2814" s="64">
        <v>45462.0</v>
      </c>
      <c r="B2814" s="55" t="str">
        <f>HYPERLINK("https://jobright.ai/jobs/info/667359bbc4ef395f5c37bc21?utm_campaign=1065&amp;utm_source=sheet", "Apply")</f>
        <v>Apply</v>
      </c>
      <c r="C2814" s="10" t="s">
        <v>15261</v>
      </c>
      <c r="D2814" s="56" t="s">
        <v>14380</v>
      </c>
      <c r="E2814" s="59">
        <v>45301.0</v>
      </c>
      <c r="F2814" s="10" t="s">
        <v>14381</v>
      </c>
      <c r="G2814" s="10" t="s">
        <v>12654</v>
      </c>
      <c r="H2814" s="10" t="s">
        <v>1018</v>
      </c>
      <c r="I2814" s="10" t="s">
        <v>55</v>
      </c>
      <c r="K2814" s="10" t="s">
        <v>15262</v>
      </c>
      <c r="L2814" s="10" t="s">
        <v>42</v>
      </c>
    </row>
    <row r="2815" ht="15.75" customHeight="1">
      <c r="A2815" s="64">
        <v>45462.0</v>
      </c>
      <c r="B2815" s="55" t="str">
        <f>HYPERLINK("https://jobright.ai/jobs/info/667359bbc4ef395f5c37bc20?utm_campaign=1065&amp;utm_source=sheet", "Apply")</f>
        <v>Apply</v>
      </c>
      <c r="C2815" s="10" t="s">
        <v>15261</v>
      </c>
      <c r="D2815" s="56" t="s">
        <v>14380</v>
      </c>
      <c r="E2815" s="59">
        <v>45301.0</v>
      </c>
      <c r="F2815" s="10" t="s">
        <v>14381</v>
      </c>
      <c r="G2815" s="10" t="s">
        <v>12654</v>
      </c>
      <c r="H2815" s="10" t="s">
        <v>977</v>
      </c>
      <c r="I2815" s="10" t="s">
        <v>55</v>
      </c>
      <c r="K2815" s="10" t="s">
        <v>15262</v>
      </c>
      <c r="L2815" s="10" t="s">
        <v>42</v>
      </c>
    </row>
    <row r="2816" ht="15.75" customHeight="1">
      <c r="A2816" s="64">
        <v>45462.0</v>
      </c>
      <c r="B2816" s="55" t="str">
        <f>HYPERLINK("https://jobright.ai/jobs/info/667359bbc4ef395f5c37bc1e?utm_campaign=1065&amp;utm_source=sheet", "Apply")</f>
        <v>Apply</v>
      </c>
      <c r="C2816" s="10" t="s">
        <v>15261</v>
      </c>
      <c r="D2816" s="56" t="s">
        <v>14380</v>
      </c>
      <c r="E2816" s="59">
        <v>45301.0</v>
      </c>
      <c r="F2816" s="10" t="s">
        <v>14381</v>
      </c>
      <c r="G2816" s="10" t="s">
        <v>12654</v>
      </c>
      <c r="H2816" s="10" t="s">
        <v>878</v>
      </c>
      <c r="I2816" s="10" t="s">
        <v>55</v>
      </c>
      <c r="K2816" s="10" t="s">
        <v>15262</v>
      </c>
      <c r="L2816" s="10" t="s">
        <v>42</v>
      </c>
    </row>
    <row r="2817" ht="15.75" customHeight="1">
      <c r="A2817" s="64">
        <v>45462.0</v>
      </c>
      <c r="B2817" s="55" t="str">
        <f>HYPERLINK("https://jobright.ai/jobs/info/667359bbc4ef395f5c37bc23?utm_campaign=1065&amp;utm_source=sheet", "Apply")</f>
        <v>Apply</v>
      </c>
      <c r="C2817" s="10" t="s">
        <v>14379</v>
      </c>
      <c r="D2817" s="56" t="s">
        <v>14380</v>
      </c>
      <c r="E2817" s="59">
        <v>45301.0</v>
      </c>
      <c r="F2817" s="10" t="s">
        <v>14381</v>
      </c>
      <c r="G2817" s="10" t="s">
        <v>12654</v>
      </c>
      <c r="H2817" s="10" t="s">
        <v>953</v>
      </c>
      <c r="I2817" s="10" t="s">
        <v>55</v>
      </c>
      <c r="J2817" s="10" t="s">
        <v>14382</v>
      </c>
      <c r="K2817" s="10" t="s">
        <v>14383</v>
      </c>
      <c r="L2817" s="10" t="s">
        <v>42</v>
      </c>
    </row>
    <row r="2818" ht="15.75" customHeight="1">
      <c r="A2818" s="64">
        <v>45462.0</v>
      </c>
      <c r="B2818" s="55" t="str">
        <f>HYPERLINK("https://jobright.ai/jobs/info/667359bbc4ef395f5c37bc1d?utm_campaign=1065&amp;utm_source=sheet", "Apply")</f>
        <v>Apply</v>
      </c>
      <c r="C2818" s="10" t="s">
        <v>14379</v>
      </c>
      <c r="D2818" s="56" t="s">
        <v>14380</v>
      </c>
      <c r="E2818" s="59">
        <v>45301.0</v>
      </c>
      <c r="F2818" s="10" t="s">
        <v>14381</v>
      </c>
      <c r="G2818" s="10" t="s">
        <v>12654</v>
      </c>
      <c r="H2818" s="10" t="s">
        <v>982</v>
      </c>
      <c r="I2818" s="10" t="s">
        <v>55</v>
      </c>
      <c r="J2818" s="10" t="s">
        <v>14382</v>
      </c>
      <c r="K2818" s="10" t="s">
        <v>14383</v>
      </c>
      <c r="L2818" s="10" t="s">
        <v>42</v>
      </c>
    </row>
    <row r="2819" ht="15.75" customHeight="1">
      <c r="A2819" s="64">
        <v>45462.0</v>
      </c>
      <c r="B2819" s="55" t="str">
        <f>HYPERLINK("https://jobright.ai/jobs/info/667359bbc4ef395f5c37bc19?utm_campaign=1065&amp;utm_source=sheet", "Apply")</f>
        <v>Apply</v>
      </c>
      <c r="C2819" s="10" t="s">
        <v>14379</v>
      </c>
      <c r="D2819" s="56" t="s">
        <v>14380</v>
      </c>
      <c r="E2819" s="59">
        <v>45301.0</v>
      </c>
      <c r="F2819" s="10" t="s">
        <v>14381</v>
      </c>
      <c r="G2819" s="10" t="s">
        <v>12654</v>
      </c>
      <c r="H2819" s="10" t="s">
        <v>918</v>
      </c>
      <c r="I2819" s="10" t="s">
        <v>55</v>
      </c>
      <c r="J2819" s="10" t="s">
        <v>14382</v>
      </c>
      <c r="K2819" s="10" t="s">
        <v>14383</v>
      </c>
      <c r="L2819" s="10" t="s">
        <v>42</v>
      </c>
    </row>
    <row r="2820" ht="15.75" customHeight="1">
      <c r="A2820" s="64">
        <v>45462.0</v>
      </c>
      <c r="B2820" s="55" t="str">
        <f>HYPERLINK("https://jobright.ai/jobs/info/667359bbc4ef395f5c37bc1a?utm_campaign=1065&amp;utm_source=sheet", "Apply")</f>
        <v>Apply</v>
      </c>
      <c r="C2820" s="10" t="s">
        <v>14379</v>
      </c>
      <c r="D2820" s="56" t="s">
        <v>14380</v>
      </c>
      <c r="E2820" s="59">
        <v>45301.0</v>
      </c>
      <c r="F2820" s="10" t="s">
        <v>14381</v>
      </c>
      <c r="G2820" s="10" t="s">
        <v>12654</v>
      </c>
      <c r="H2820" s="10" t="s">
        <v>896</v>
      </c>
      <c r="I2820" s="10" t="s">
        <v>55</v>
      </c>
      <c r="J2820" s="10" t="s">
        <v>14382</v>
      </c>
      <c r="K2820" s="10" t="s">
        <v>14383</v>
      </c>
      <c r="L2820" s="10" t="s">
        <v>42</v>
      </c>
    </row>
    <row r="2821" ht="15.75" customHeight="1">
      <c r="A2821" s="64">
        <v>45462.0</v>
      </c>
      <c r="B2821" s="55" t="str">
        <f>HYPERLINK("https://jobright.ai/jobs/info/667359bbc4ef395f5c37bc1c?utm_campaign=1065&amp;utm_source=sheet", "Apply")</f>
        <v>Apply</v>
      </c>
      <c r="C2821" s="10" t="s">
        <v>15261</v>
      </c>
      <c r="D2821" s="56" t="s">
        <v>14380</v>
      </c>
      <c r="E2821" s="59">
        <v>45301.0</v>
      </c>
      <c r="F2821" s="10" t="s">
        <v>14381</v>
      </c>
      <c r="G2821" s="10" t="s">
        <v>12654</v>
      </c>
      <c r="H2821" s="10" t="s">
        <v>959</v>
      </c>
      <c r="I2821" s="10" t="s">
        <v>55</v>
      </c>
      <c r="K2821" s="10" t="s">
        <v>15262</v>
      </c>
      <c r="L2821" s="10" t="s">
        <v>42</v>
      </c>
    </row>
    <row r="2822" ht="15.75" customHeight="1">
      <c r="A2822" s="64">
        <v>45462.0</v>
      </c>
      <c r="B2822" s="55" t="str">
        <f>HYPERLINK("https://jobright.ai/jobs/info/667359bbc4ef395f5c37bc1f?utm_campaign=1065&amp;utm_source=sheet", "Apply")</f>
        <v>Apply</v>
      </c>
      <c r="C2822" s="10" t="s">
        <v>14379</v>
      </c>
      <c r="D2822" s="56" t="s">
        <v>14380</v>
      </c>
      <c r="E2822" s="59">
        <v>45301.0</v>
      </c>
      <c r="F2822" s="10" t="s">
        <v>14381</v>
      </c>
      <c r="G2822" s="10" t="s">
        <v>12654</v>
      </c>
      <c r="H2822" s="10" t="s">
        <v>858</v>
      </c>
      <c r="I2822" s="10" t="s">
        <v>55</v>
      </c>
      <c r="J2822" s="10" t="s">
        <v>14382</v>
      </c>
      <c r="K2822" s="10" t="s">
        <v>14383</v>
      </c>
      <c r="L2822" s="10" t="s">
        <v>42</v>
      </c>
    </row>
    <row r="2823" ht="15.75" customHeight="1">
      <c r="A2823" s="64">
        <v>45462.0</v>
      </c>
      <c r="B2823" s="55" t="str">
        <f>HYPERLINK("https://jobright.ai/jobs/info/667359bbc4ef395f5c37bc2d?utm_campaign=1065&amp;utm_source=sheet", "Apply")</f>
        <v>Apply</v>
      </c>
      <c r="C2823" s="10" t="s">
        <v>15261</v>
      </c>
      <c r="D2823" s="56" t="s">
        <v>14380</v>
      </c>
      <c r="E2823" s="59">
        <v>45301.0</v>
      </c>
      <c r="F2823" s="10" t="s">
        <v>14381</v>
      </c>
      <c r="G2823" s="10" t="s">
        <v>12654</v>
      </c>
      <c r="H2823" s="10" t="s">
        <v>953</v>
      </c>
      <c r="I2823" s="10" t="s">
        <v>55</v>
      </c>
      <c r="K2823" s="10" t="s">
        <v>15262</v>
      </c>
      <c r="L2823" s="10" t="s">
        <v>42</v>
      </c>
    </row>
    <row r="2824" ht="15.75" customHeight="1">
      <c r="A2824" s="64">
        <v>45462.0</v>
      </c>
      <c r="B2824" s="55" t="str">
        <f>HYPERLINK("https://jobright.ai/jobs/info/667359bbc4ef395f5c37bc30?utm_campaign=1065&amp;utm_source=sheet", "Apply")</f>
        <v>Apply</v>
      </c>
      <c r="C2824" s="10" t="s">
        <v>15261</v>
      </c>
      <c r="D2824" s="56" t="s">
        <v>14380</v>
      </c>
      <c r="E2824" s="59">
        <v>45301.0</v>
      </c>
      <c r="F2824" s="10" t="s">
        <v>14381</v>
      </c>
      <c r="G2824" s="10" t="s">
        <v>12654</v>
      </c>
      <c r="H2824" s="10" t="s">
        <v>973</v>
      </c>
      <c r="I2824" s="10" t="s">
        <v>55</v>
      </c>
      <c r="K2824" s="10" t="s">
        <v>15262</v>
      </c>
      <c r="L2824" s="10" t="s">
        <v>42</v>
      </c>
    </row>
    <row r="2825" ht="15.75" customHeight="1">
      <c r="A2825" s="64">
        <v>45462.0</v>
      </c>
      <c r="B2825" s="55" t="str">
        <f>HYPERLINK("https://jobright.ai/jobs/info/667359bbc4ef395f5c37bc27?utm_campaign=1065&amp;utm_source=sheet", "Apply")</f>
        <v>Apply</v>
      </c>
      <c r="C2825" s="10" t="s">
        <v>15261</v>
      </c>
      <c r="D2825" s="56" t="s">
        <v>14380</v>
      </c>
      <c r="E2825" s="59">
        <v>45301.0</v>
      </c>
      <c r="F2825" s="10" t="s">
        <v>14381</v>
      </c>
      <c r="G2825" s="10" t="s">
        <v>12654</v>
      </c>
      <c r="H2825" s="10" t="s">
        <v>245</v>
      </c>
      <c r="I2825" s="10" t="s">
        <v>55</v>
      </c>
      <c r="K2825" s="10" t="s">
        <v>15262</v>
      </c>
      <c r="L2825" s="10" t="s">
        <v>42</v>
      </c>
    </row>
    <row r="2826" ht="15.75" customHeight="1">
      <c r="A2826" s="64">
        <v>45462.0</v>
      </c>
      <c r="B2826" s="55" t="str">
        <f>HYPERLINK("https://jobright.ai/jobs/info/667359bbc4ef395f5c37bc25?utm_campaign=1065&amp;utm_source=sheet", "Apply")</f>
        <v>Apply</v>
      </c>
      <c r="C2826" s="10" t="s">
        <v>15261</v>
      </c>
      <c r="D2826" s="56" t="s">
        <v>14380</v>
      </c>
      <c r="E2826" s="59">
        <v>45301.0</v>
      </c>
      <c r="F2826" s="10" t="s">
        <v>14381</v>
      </c>
      <c r="G2826" s="10" t="s">
        <v>12654</v>
      </c>
      <c r="H2826" s="10" t="s">
        <v>788</v>
      </c>
      <c r="I2826" s="10" t="s">
        <v>55</v>
      </c>
      <c r="K2826" s="10" t="s">
        <v>15262</v>
      </c>
      <c r="L2826" s="10" t="s">
        <v>42</v>
      </c>
    </row>
    <row r="2827" ht="15.75" customHeight="1">
      <c r="A2827" s="64">
        <v>45462.0</v>
      </c>
      <c r="B2827" s="55" t="str">
        <f>HYPERLINK("https://jobright.ai/jobs/info/667359bbc4ef395f5c37bc2a?utm_campaign=1065&amp;utm_source=sheet", "Apply")</f>
        <v>Apply</v>
      </c>
      <c r="C2827" s="10" t="s">
        <v>15261</v>
      </c>
      <c r="D2827" s="56" t="s">
        <v>14380</v>
      </c>
      <c r="E2827" s="59">
        <v>45301.0</v>
      </c>
      <c r="F2827" s="10" t="s">
        <v>14381</v>
      </c>
      <c r="G2827" s="10" t="s">
        <v>12654</v>
      </c>
      <c r="H2827" s="10" t="s">
        <v>842</v>
      </c>
      <c r="I2827" s="10" t="s">
        <v>55</v>
      </c>
      <c r="K2827" s="10" t="s">
        <v>15262</v>
      </c>
      <c r="L2827" s="10" t="s">
        <v>42</v>
      </c>
    </row>
    <row r="2828" ht="15.75" customHeight="1">
      <c r="A2828" s="64">
        <v>45462.0</v>
      </c>
      <c r="B2828" s="55" t="str">
        <f>HYPERLINK("https://jobright.ai/jobs/info/667359bbc4ef395f5c37bc2b?utm_campaign=1065&amp;utm_source=sheet", "Apply")</f>
        <v>Apply</v>
      </c>
      <c r="C2828" s="10" t="s">
        <v>15261</v>
      </c>
      <c r="D2828" s="56" t="s">
        <v>14380</v>
      </c>
      <c r="E2828" s="59">
        <v>45301.0</v>
      </c>
      <c r="F2828" s="10" t="s">
        <v>14381</v>
      </c>
      <c r="G2828" s="10" t="s">
        <v>12654</v>
      </c>
      <c r="H2828" s="10" t="s">
        <v>354</v>
      </c>
      <c r="I2828" s="10" t="s">
        <v>55</v>
      </c>
      <c r="K2828" s="10" t="s">
        <v>15262</v>
      </c>
      <c r="L2828" s="10" t="s">
        <v>42</v>
      </c>
    </row>
    <row r="2829" ht="15.75" customHeight="1">
      <c r="A2829" s="64">
        <v>45462.0</v>
      </c>
      <c r="B2829" s="55" t="str">
        <f>HYPERLINK("https://jobright.ai/jobs/info/667359bbc4ef395f5c37bc2c?utm_campaign=1065&amp;utm_source=sheet", "Apply")</f>
        <v>Apply</v>
      </c>
      <c r="C2829" s="10" t="s">
        <v>14379</v>
      </c>
      <c r="D2829" s="56" t="s">
        <v>14380</v>
      </c>
      <c r="E2829" s="59">
        <v>45301.0</v>
      </c>
      <c r="F2829" s="10" t="s">
        <v>14381</v>
      </c>
      <c r="G2829" s="10" t="s">
        <v>12654</v>
      </c>
      <c r="H2829" s="10" t="s">
        <v>784</v>
      </c>
      <c r="I2829" s="10" t="s">
        <v>55</v>
      </c>
      <c r="J2829" s="10" t="s">
        <v>14382</v>
      </c>
      <c r="K2829" s="10" t="s">
        <v>14383</v>
      </c>
      <c r="L2829" s="10" t="s">
        <v>42</v>
      </c>
    </row>
    <row r="2830" ht="15.75" customHeight="1">
      <c r="A2830" s="64">
        <v>45462.0</v>
      </c>
      <c r="B2830" s="55" t="str">
        <f>HYPERLINK("https://jobright.ai/jobs/info/667359bbc4ef395f5c37bc28?utm_campaign=1065&amp;utm_source=sheet", "Apply")</f>
        <v>Apply</v>
      </c>
      <c r="C2830" s="10" t="s">
        <v>15261</v>
      </c>
      <c r="D2830" s="56" t="s">
        <v>14380</v>
      </c>
      <c r="E2830" s="59">
        <v>45301.0</v>
      </c>
      <c r="F2830" s="10" t="s">
        <v>14381</v>
      </c>
      <c r="G2830" s="10" t="s">
        <v>12654</v>
      </c>
      <c r="H2830" s="10" t="s">
        <v>916</v>
      </c>
      <c r="I2830" s="10" t="s">
        <v>55</v>
      </c>
      <c r="K2830" s="10" t="s">
        <v>15262</v>
      </c>
      <c r="L2830" s="10" t="s">
        <v>42</v>
      </c>
    </row>
    <row r="2831" ht="15.75" customHeight="1">
      <c r="A2831" s="64">
        <v>45462.0</v>
      </c>
      <c r="B2831" s="55" t="str">
        <f>HYPERLINK("https://jobright.ai/jobs/info/667359bbc4ef395f5c37bc26?utm_campaign=1065&amp;utm_source=sheet", "Apply")</f>
        <v>Apply</v>
      </c>
      <c r="C2831" s="10" t="s">
        <v>14379</v>
      </c>
      <c r="D2831" s="56" t="s">
        <v>14380</v>
      </c>
      <c r="E2831" s="59">
        <v>45301.0</v>
      </c>
      <c r="F2831" s="10" t="s">
        <v>14381</v>
      </c>
      <c r="G2831" s="10" t="s">
        <v>12654</v>
      </c>
      <c r="H2831" s="10" t="s">
        <v>833</v>
      </c>
      <c r="I2831" s="10" t="s">
        <v>55</v>
      </c>
      <c r="J2831" s="10" t="s">
        <v>14382</v>
      </c>
      <c r="K2831" s="10" t="s">
        <v>14383</v>
      </c>
      <c r="L2831" s="10" t="s">
        <v>42</v>
      </c>
    </row>
    <row r="2832" ht="15.75" customHeight="1">
      <c r="A2832" s="64">
        <v>45462.0</v>
      </c>
      <c r="B2832" s="55" t="str">
        <f>HYPERLINK("https://jobright.ai/jobs/info/667359bbc4ef395f5c37bc29?utm_campaign=1065&amp;utm_source=sheet", "Apply")</f>
        <v>Apply</v>
      </c>
      <c r="C2832" s="10" t="s">
        <v>15261</v>
      </c>
      <c r="D2832" s="56" t="s">
        <v>14380</v>
      </c>
      <c r="E2832" s="59">
        <v>45301.0</v>
      </c>
      <c r="F2832" s="10" t="s">
        <v>14381</v>
      </c>
      <c r="G2832" s="10" t="s">
        <v>12654</v>
      </c>
      <c r="H2832" s="10" t="s">
        <v>928</v>
      </c>
      <c r="I2832" s="10" t="s">
        <v>55</v>
      </c>
      <c r="K2832" s="10" t="s">
        <v>15262</v>
      </c>
      <c r="L2832" s="10" t="s">
        <v>42</v>
      </c>
    </row>
    <row r="2833" ht="15.75" customHeight="1">
      <c r="A2833" s="64">
        <v>45462.0</v>
      </c>
      <c r="B2833" s="55" t="str">
        <f>HYPERLINK("https://jobright.ai/jobs/info/667359bbc4ef395f5c37bc2f?utm_campaign=1065&amp;utm_source=sheet", "Apply")</f>
        <v>Apply</v>
      </c>
      <c r="C2833" s="10" t="s">
        <v>14379</v>
      </c>
      <c r="D2833" s="56" t="s">
        <v>14380</v>
      </c>
      <c r="E2833" s="59">
        <v>45301.0</v>
      </c>
      <c r="F2833" s="10" t="s">
        <v>14381</v>
      </c>
      <c r="G2833" s="10" t="s">
        <v>12654</v>
      </c>
      <c r="H2833" s="10" t="s">
        <v>86</v>
      </c>
      <c r="I2833" s="10" t="s">
        <v>55</v>
      </c>
      <c r="J2833" s="10" t="s">
        <v>14382</v>
      </c>
      <c r="K2833" s="10" t="s">
        <v>14383</v>
      </c>
      <c r="L2833" s="10" t="s">
        <v>42</v>
      </c>
    </row>
    <row r="2834" ht="15.75" customHeight="1">
      <c r="A2834" s="64">
        <v>45462.0</v>
      </c>
      <c r="B2834" s="55" t="str">
        <f>HYPERLINK("https://jobright.ai/jobs/info/667359bbc4ef395f5c37bc2e?utm_campaign=1065&amp;utm_source=sheet", "Apply")</f>
        <v>Apply</v>
      </c>
      <c r="C2834" s="10" t="s">
        <v>15261</v>
      </c>
      <c r="D2834" s="56" t="s">
        <v>14380</v>
      </c>
      <c r="E2834" s="59">
        <v>45301.0</v>
      </c>
      <c r="F2834" s="10" t="s">
        <v>14381</v>
      </c>
      <c r="G2834" s="10" t="s">
        <v>12654</v>
      </c>
      <c r="H2834" s="10" t="s">
        <v>785</v>
      </c>
      <c r="I2834" s="10" t="s">
        <v>55</v>
      </c>
      <c r="K2834" s="10" t="s">
        <v>15262</v>
      </c>
      <c r="L2834" s="10" t="s">
        <v>42</v>
      </c>
    </row>
    <row r="2835" ht="15.75" customHeight="1">
      <c r="A2835" s="64">
        <v>45462.0</v>
      </c>
      <c r="B2835" s="55" t="str">
        <f>HYPERLINK("https://jobright.ai/jobs/info/667359bbc4ef395f5c37bc31?utm_campaign=1065&amp;utm_source=sheet", "Apply")</f>
        <v>Apply</v>
      </c>
      <c r="C2835" s="10" t="s">
        <v>14379</v>
      </c>
      <c r="D2835" s="56" t="s">
        <v>14380</v>
      </c>
      <c r="E2835" s="59">
        <v>45301.0</v>
      </c>
      <c r="F2835" s="10" t="s">
        <v>14381</v>
      </c>
      <c r="G2835" s="10" t="s">
        <v>12654</v>
      </c>
      <c r="H2835" s="10" t="s">
        <v>906</v>
      </c>
      <c r="I2835" s="10" t="s">
        <v>55</v>
      </c>
      <c r="J2835" s="10" t="s">
        <v>14382</v>
      </c>
      <c r="K2835" s="10" t="s">
        <v>14383</v>
      </c>
      <c r="L2835" s="10" t="s">
        <v>42</v>
      </c>
    </row>
    <row r="2836" ht="15.75" customHeight="1">
      <c r="A2836" s="64">
        <v>45462.0</v>
      </c>
      <c r="B2836" s="55" t="str">
        <f>HYPERLINK("https://jobright.ai/jobs/info/667359bbc4ef395f5c37bc32?utm_campaign=1065&amp;utm_source=sheet", "Apply")</f>
        <v>Apply</v>
      </c>
      <c r="C2836" s="10" t="s">
        <v>14379</v>
      </c>
      <c r="D2836" s="56" t="s">
        <v>14380</v>
      </c>
      <c r="E2836" s="59">
        <v>45301.0</v>
      </c>
      <c r="F2836" s="10" t="s">
        <v>14381</v>
      </c>
      <c r="G2836" s="10" t="s">
        <v>12654</v>
      </c>
      <c r="H2836" s="10" t="s">
        <v>889</v>
      </c>
      <c r="I2836" s="10" t="s">
        <v>55</v>
      </c>
      <c r="J2836" s="10" t="s">
        <v>14382</v>
      </c>
      <c r="K2836" s="10" t="s">
        <v>14383</v>
      </c>
      <c r="L2836" s="10" t="s">
        <v>42</v>
      </c>
    </row>
    <row r="2837" ht="15.75" customHeight="1">
      <c r="A2837" s="64">
        <v>45462.0</v>
      </c>
      <c r="B2837" s="55" t="str">
        <f>HYPERLINK("https://jobright.ai/jobs/info/667359bbc4ef395f5c37bc34?utm_campaign=1065&amp;utm_source=sheet", "Apply")</f>
        <v>Apply</v>
      </c>
      <c r="C2837" s="10" t="s">
        <v>14379</v>
      </c>
      <c r="D2837" s="56" t="s">
        <v>14380</v>
      </c>
      <c r="E2837" s="59">
        <v>45301.0</v>
      </c>
      <c r="F2837" s="10" t="s">
        <v>14381</v>
      </c>
      <c r="G2837" s="10" t="s">
        <v>12654</v>
      </c>
      <c r="H2837" s="10" t="s">
        <v>167</v>
      </c>
      <c r="I2837" s="10" t="s">
        <v>55</v>
      </c>
      <c r="J2837" s="10" t="s">
        <v>14382</v>
      </c>
      <c r="K2837" s="10" t="s">
        <v>14383</v>
      </c>
      <c r="L2837" s="10" t="s">
        <v>42</v>
      </c>
    </row>
    <row r="2838" ht="15.75" customHeight="1">
      <c r="A2838" s="64">
        <v>45462.0</v>
      </c>
      <c r="B2838" s="55" t="str">
        <f>HYPERLINK("https://jobright.ai/jobs/info/667359bbc4ef395f5c37bc33?utm_campaign=1065&amp;utm_source=sheet", "Apply")</f>
        <v>Apply</v>
      </c>
      <c r="C2838" s="10" t="s">
        <v>15261</v>
      </c>
      <c r="D2838" s="56" t="s">
        <v>14380</v>
      </c>
      <c r="E2838" s="59">
        <v>45301.0</v>
      </c>
      <c r="F2838" s="10" t="s">
        <v>14381</v>
      </c>
      <c r="G2838" s="10" t="s">
        <v>12654</v>
      </c>
      <c r="H2838" s="10" t="s">
        <v>970</v>
      </c>
      <c r="I2838" s="10" t="s">
        <v>55</v>
      </c>
      <c r="K2838" s="10" t="s">
        <v>15262</v>
      </c>
      <c r="L2838" s="10" t="s">
        <v>42</v>
      </c>
    </row>
    <row r="2839" ht="15.75" customHeight="1">
      <c r="A2839" s="64">
        <v>45462.0</v>
      </c>
      <c r="B2839" s="55" t="str">
        <f>HYPERLINK("https://jobright.ai/jobs/info/667359bbc4ef395f5c37bc36?utm_campaign=1065&amp;utm_source=sheet", "Apply")</f>
        <v>Apply</v>
      </c>
      <c r="C2839" s="10" t="s">
        <v>14379</v>
      </c>
      <c r="D2839" s="56" t="s">
        <v>14380</v>
      </c>
      <c r="E2839" s="59">
        <v>45301.0</v>
      </c>
      <c r="F2839" s="10" t="s">
        <v>14381</v>
      </c>
      <c r="G2839" s="10" t="s">
        <v>12654</v>
      </c>
      <c r="H2839" s="10" t="s">
        <v>232</v>
      </c>
      <c r="I2839" s="10" t="s">
        <v>55</v>
      </c>
      <c r="J2839" s="10" t="s">
        <v>14382</v>
      </c>
      <c r="K2839" s="10" t="s">
        <v>14383</v>
      </c>
      <c r="L2839" s="10" t="s">
        <v>42</v>
      </c>
    </row>
    <row r="2840" ht="15.75" customHeight="1">
      <c r="A2840" s="64">
        <v>45462.0</v>
      </c>
      <c r="B2840" s="55" t="str">
        <f>HYPERLINK("https://jobright.ai/jobs/info/667359bbc4ef395f5c37bc35?utm_campaign=1065&amp;utm_source=sheet", "Apply")</f>
        <v>Apply</v>
      </c>
      <c r="C2840" s="10" t="s">
        <v>14379</v>
      </c>
      <c r="D2840" s="56" t="s">
        <v>14380</v>
      </c>
      <c r="E2840" s="59">
        <v>45301.0</v>
      </c>
      <c r="F2840" s="10" t="s">
        <v>14381</v>
      </c>
      <c r="G2840" s="10" t="s">
        <v>12654</v>
      </c>
      <c r="H2840" s="10" t="s">
        <v>796</v>
      </c>
      <c r="I2840" s="10" t="s">
        <v>55</v>
      </c>
      <c r="J2840" s="10" t="s">
        <v>14382</v>
      </c>
      <c r="K2840" s="10" t="s">
        <v>14383</v>
      </c>
      <c r="L2840" s="10" t="s">
        <v>42</v>
      </c>
    </row>
    <row r="2841" ht="15.75" customHeight="1">
      <c r="A2841" s="64">
        <v>45462.0</v>
      </c>
      <c r="B2841" s="55" t="str">
        <f>HYPERLINK("https://jobright.ai/jobs/info/667386e6ad714b0047336a18?utm_campaign=1065&amp;utm_source=sheet", "Apply")</f>
        <v>Apply</v>
      </c>
      <c r="C2841" s="10" t="s">
        <v>14379</v>
      </c>
      <c r="D2841" s="56" t="s">
        <v>14380</v>
      </c>
      <c r="E2841" s="59">
        <v>45301.0</v>
      </c>
      <c r="F2841" s="10" t="s">
        <v>14381</v>
      </c>
      <c r="G2841" s="10" t="s">
        <v>12654</v>
      </c>
      <c r="H2841" s="10" t="s">
        <v>920</v>
      </c>
      <c r="I2841" s="10" t="s">
        <v>55</v>
      </c>
      <c r="J2841" s="10" t="s">
        <v>14382</v>
      </c>
      <c r="K2841" s="10" t="s">
        <v>14383</v>
      </c>
      <c r="L2841" s="10" t="s">
        <v>42</v>
      </c>
    </row>
    <row r="2842" ht="15.75" customHeight="1">
      <c r="A2842" s="64">
        <v>45462.0</v>
      </c>
      <c r="B2842" s="55" t="str">
        <f>HYPERLINK("https://jobright.ai/jobs/info/667386e6ad714b0047336a19?utm_campaign=1065&amp;utm_source=sheet", "Apply")</f>
        <v>Apply</v>
      </c>
      <c r="C2842" s="10" t="s">
        <v>15261</v>
      </c>
      <c r="D2842" s="56" t="s">
        <v>14380</v>
      </c>
      <c r="E2842" s="59">
        <v>45301.0</v>
      </c>
      <c r="F2842" s="10" t="s">
        <v>14381</v>
      </c>
      <c r="G2842" s="10" t="s">
        <v>12654</v>
      </c>
      <c r="H2842" s="10" t="s">
        <v>780</v>
      </c>
      <c r="I2842" s="10" t="s">
        <v>55</v>
      </c>
      <c r="K2842" s="10" t="s">
        <v>15262</v>
      </c>
      <c r="L2842" s="10" t="s">
        <v>42</v>
      </c>
    </row>
    <row r="2843" ht="15.75" customHeight="1">
      <c r="A2843" s="64">
        <v>45462.0</v>
      </c>
      <c r="B2843" s="55" t="str">
        <f>HYPERLINK("https://jobright.ai/jobs/info/667386e6ad714b0047336a1a?utm_campaign=1065&amp;utm_source=sheet", "Apply")</f>
        <v>Apply</v>
      </c>
      <c r="C2843" s="10" t="s">
        <v>14379</v>
      </c>
      <c r="D2843" s="56" t="s">
        <v>14380</v>
      </c>
      <c r="E2843" s="59">
        <v>45301.0</v>
      </c>
      <c r="F2843" s="10" t="s">
        <v>14381</v>
      </c>
      <c r="G2843" s="10" t="s">
        <v>12654</v>
      </c>
      <c r="H2843" s="10" t="s">
        <v>976</v>
      </c>
      <c r="I2843" s="10" t="s">
        <v>55</v>
      </c>
      <c r="J2843" s="10" t="s">
        <v>14382</v>
      </c>
      <c r="K2843" s="10" t="s">
        <v>14383</v>
      </c>
      <c r="L2843" s="10" t="s">
        <v>42</v>
      </c>
    </row>
    <row r="2844" ht="15.75" customHeight="1">
      <c r="A2844" s="64">
        <v>45462.0</v>
      </c>
      <c r="B2844" s="55" t="str">
        <f>HYPERLINK("https://jobright.ai/jobs/info/667386e6ad714b0047336a1c?utm_campaign=1065&amp;utm_source=sheet", "Apply")</f>
        <v>Apply</v>
      </c>
      <c r="C2844" s="10" t="s">
        <v>15261</v>
      </c>
      <c r="D2844" s="56" t="s">
        <v>14380</v>
      </c>
      <c r="E2844" s="59">
        <v>45301.0</v>
      </c>
      <c r="F2844" s="10" t="s">
        <v>14381</v>
      </c>
      <c r="G2844" s="10" t="s">
        <v>12654</v>
      </c>
      <c r="H2844" s="10" t="s">
        <v>809</v>
      </c>
      <c r="I2844" s="10" t="s">
        <v>55</v>
      </c>
      <c r="K2844" s="10" t="s">
        <v>15262</v>
      </c>
      <c r="L2844" s="10" t="s">
        <v>42</v>
      </c>
    </row>
    <row r="2845" ht="15.75" customHeight="1">
      <c r="A2845" s="64">
        <v>45462.0</v>
      </c>
      <c r="B2845" s="55" t="str">
        <f>HYPERLINK("https://jobright.ai/jobs/info/667386e6ad714b0047336a1b?utm_campaign=1065&amp;utm_source=sheet", "Apply")</f>
        <v>Apply</v>
      </c>
      <c r="C2845" s="10" t="s">
        <v>15261</v>
      </c>
      <c r="D2845" s="56" t="s">
        <v>14380</v>
      </c>
      <c r="E2845" s="59">
        <v>45301.0</v>
      </c>
      <c r="F2845" s="10" t="s">
        <v>14381</v>
      </c>
      <c r="G2845" s="10" t="s">
        <v>12654</v>
      </c>
      <c r="H2845" s="10" t="s">
        <v>833</v>
      </c>
      <c r="I2845" s="10" t="s">
        <v>55</v>
      </c>
      <c r="K2845" s="10" t="s">
        <v>15262</v>
      </c>
      <c r="L2845" s="10" t="s">
        <v>42</v>
      </c>
    </row>
    <row r="2846" ht="15.75" customHeight="1">
      <c r="A2846" s="64">
        <v>45462.0</v>
      </c>
      <c r="B2846" s="55" t="str">
        <f>HYPERLINK("https://jobright.ai/jobs/info/667386e6ad714b0047336a1d?utm_campaign=1065&amp;utm_source=sheet", "Apply")</f>
        <v>Apply</v>
      </c>
      <c r="C2846" s="10" t="s">
        <v>14379</v>
      </c>
      <c r="D2846" s="56" t="s">
        <v>14380</v>
      </c>
      <c r="E2846" s="59">
        <v>45301.0</v>
      </c>
      <c r="F2846" s="10" t="s">
        <v>14381</v>
      </c>
      <c r="G2846" s="10" t="s">
        <v>12654</v>
      </c>
      <c r="H2846" s="10" t="s">
        <v>780</v>
      </c>
      <c r="I2846" s="10" t="s">
        <v>55</v>
      </c>
      <c r="J2846" s="10" t="s">
        <v>14382</v>
      </c>
      <c r="K2846" s="10" t="s">
        <v>14383</v>
      </c>
      <c r="L2846" s="10" t="s">
        <v>42</v>
      </c>
    </row>
    <row r="2847" ht="15.75" customHeight="1">
      <c r="A2847" s="64">
        <v>45462.0</v>
      </c>
      <c r="B2847" s="55" t="str">
        <f>HYPERLINK("https://jobright.ai/jobs/info/667386e6ad714b0047336a1e?utm_campaign=1065&amp;utm_source=sheet", "Apply")</f>
        <v>Apply</v>
      </c>
      <c r="C2847" s="10" t="s">
        <v>14379</v>
      </c>
      <c r="D2847" s="56" t="s">
        <v>14380</v>
      </c>
      <c r="E2847" s="59">
        <v>45301.0</v>
      </c>
      <c r="F2847" s="10" t="s">
        <v>14381</v>
      </c>
      <c r="G2847" s="10" t="s">
        <v>12654</v>
      </c>
      <c r="H2847" s="10" t="s">
        <v>787</v>
      </c>
      <c r="I2847" s="10" t="s">
        <v>55</v>
      </c>
      <c r="J2847" s="10" t="s">
        <v>14382</v>
      </c>
      <c r="K2847" s="10" t="s">
        <v>14383</v>
      </c>
      <c r="L2847" s="10" t="s">
        <v>42</v>
      </c>
    </row>
    <row r="2848" ht="15.75" customHeight="1">
      <c r="A2848" s="64">
        <v>45462.0</v>
      </c>
      <c r="B2848" s="55" t="str">
        <f>HYPERLINK("https://jobright.ai/jobs/info/667386e6ad714b0047336a22?utm_campaign=1065&amp;utm_source=sheet", "Apply")</f>
        <v>Apply</v>
      </c>
      <c r="C2848" s="10" t="s">
        <v>14379</v>
      </c>
      <c r="D2848" s="56" t="s">
        <v>14380</v>
      </c>
      <c r="E2848" s="59">
        <v>45301.0</v>
      </c>
      <c r="F2848" s="10" t="s">
        <v>14381</v>
      </c>
      <c r="G2848" s="10" t="s">
        <v>12654</v>
      </c>
      <c r="H2848" s="10" t="s">
        <v>946</v>
      </c>
      <c r="I2848" s="10" t="s">
        <v>55</v>
      </c>
      <c r="J2848" s="10" t="s">
        <v>14382</v>
      </c>
      <c r="K2848" s="10" t="s">
        <v>14383</v>
      </c>
      <c r="L2848" s="10" t="s">
        <v>42</v>
      </c>
    </row>
    <row r="2849" ht="15.75" customHeight="1">
      <c r="A2849" s="64">
        <v>45462.0</v>
      </c>
      <c r="B2849" s="55" t="str">
        <f>HYPERLINK("https://jobright.ai/jobs/info/667386e6ad714b0047336a20?utm_campaign=1065&amp;utm_source=sheet", "Apply")</f>
        <v>Apply</v>
      </c>
      <c r="C2849" s="10" t="s">
        <v>15261</v>
      </c>
      <c r="D2849" s="56" t="s">
        <v>14380</v>
      </c>
      <c r="E2849" s="59">
        <v>45301.0</v>
      </c>
      <c r="F2849" s="10" t="s">
        <v>14381</v>
      </c>
      <c r="G2849" s="10" t="s">
        <v>12654</v>
      </c>
      <c r="H2849" s="10" t="s">
        <v>909</v>
      </c>
      <c r="I2849" s="10" t="s">
        <v>55</v>
      </c>
      <c r="K2849" s="10" t="s">
        <v>15262</v>
      </c>
      <c r="L2849" s="10" t="s">
        <v>42</v>
      </c>
    </row>
    <row r="2850" ht="15.75" customHeight="1">
      <c r="A2850" s="64">
        <v>45462.0</v>
      </c>
      <c r="B2850" s="55" t="str">
        <f>HYPERLINK("https://jobright.ai/jobs/info/667386e6ad714b0047336a21?utm_campaign=1065&amp;utm_source=sheet", "Apply")</f>
        <v>Apply</v>
      </c>
      <c r="C2850" s="10" t="s">
        <v>15261</v>
      </c>
      <c r="D2850" s="56" t="s">
        <v>14380</v>
      </c>
      <c r="E2850" s="59">
        <v>45301.0</v>
      </c>
      <c r="F2850" s="10" t="s">
        <v>14381</v>
      </c>
      <c r="G2850" s="10" t="s">
        <v>12654</v>
      </c>
      <c r="H2850" s="10" t="s">
        <v>113</v>
      </c>
      <c r="I2850" s="10" t="s">
        <v>55</v>
      </c>
      <c r="K2850" s="10" t="s">
        <v>15262</v>
      </c>
      <c r="L2850" s="10" t="s">
        <v>42</v>
      </c>
    </row>
    <row r="2851" ht="15.75" customHeight="1">
      <c r="A2851" s="64">
        <v>45462.0</v>
      </c>
      <c r="B2851" s="55" t="str">
        <f>HYPERLINK("https://jobright.ai/jobs/info/667386e6ad714b0047336a1f?utm_campaign=1065&amp;utm_source=sheet", "Apply")</f>
        <v>Apply</v>
      </c>
      <c r="C2851" s="10" t="s">
        <v>14379</v>
      </c>
      <c r="D2851" s="56" t="s">
        <v>14380</v>
      </c>
      <c r="E2851" s="59">
        <v>45301.0</v>
      </c>
      <c r="F2851" s="10" t="s">
        <v>14381</v>
      </c>
      <c r="G2851" s="10" t="s">
        <v>12654</v>
      </c>
      <c r="H2851" s="10" t="s">
        <v>770</v>
      </c>
      <c r="I2851" s="10" t="s">
        <v>55</v>
      </c>
      <c r="J2851" s="10" t="s">
        <v>14382</v>
      </c>
      <c r="K2851" s="10" t="s">
        <v>14383</v>
      </c>
      <c r="L2851" s="10" t="s">
        <v>42</v>
      </c>
    </row>
    <row r="2852" ht="15.75" customHeight="1">
      <c r="A2852" s="64">
        <v>45462.0</v>
      </c>
      <c r="B2852" s="55" t="str">
        <f>HYPERLINK("https://jobright.ai/jobs/info/667386e6ad714b0047336a23?utm_campaign=1065&amp;utm_source=sheet", "Apply")</f>
        <v>Apply</v>
      </c>
      <c r="C2852" s="10" t="s">
        <v>14379</v>
      </c>
      <c r="D2852" s="56" t="s">
        <v>14380</v>
      </c>
      <c r="E2852" s="59">
        <v>45301.0</v>
      </c>
      <c r="F2852" s="10" t="s">
        <v>14381</v>
      </c>
      <c r="G2852" s="10" t="s">
        <v>12654</v>
      </c>
      <c r="H2852" s="10" t="s">
        <v>913</v>
      </c>
      <c r="I2852" s="10" t="s">
        <v>55</v>
      </c>
      <c r="J2852" s="10" t="s">
        <v>14382</v>
      </c>
      <c r="K2852" s="10" t="s">
        <v>14383</v>
      </c>
      <c r="L2852" s="10" t="s">
        <v>42</v>
      </c>
    </row>
    <row r="2853" ht="15.75" customHeight="1">
      <c r="A2853" s="64">
        <v>45462.0</v>
      </c>
      <c r="B2853" s="55" t="str">
        <f>HYPERLINK("https://jobright.ai/jobs/info/667386e6ad714b0047336a24?utm_campaign=1065&amp;utm_source=sheet", "Apply")</f>
        <v>Apply</v>
      </c>
      <c r="C2853" s="10" t="s">
        <v>14379</v>
      </c>
      <c r="D2853" s="56" t="s">
        <v>14380</v>
      </c>
      <c r="E2853" s="59">
        <v>45301.0</v>
      </c>
      <c r="F2853" s="10" t="s">
        <v>14381</v>
      </c>
      <c r="G2853" s="10" t="s">
        <v>12654</v>
      </c>
      <c r="H2853" s="10" t="s">
        <v>106</v>
      </c>
      <c r="I2853" s="10" t="s">
        <v>55</v>
      </c>
      <c r="J2853" s="10" t="s">
        <v>14382</v>
      </c>
      <c r="K2853" s="10" t="s">
        <v>14383</v>
      </c>
      <c r="L2853" s="10" t="s">
        <v>42</v>
      </c>
    </row>
    <row r="2854" ht="15.75" customHeight="1">
      <c r="A2854" s="64">
        <v>45462.0</v>
      </c>
      <c r="B2854" s="55" t="str">
        <f>HYPERLINK("https://jobright.ai/jobs/info/667386e6ad714b0047336a25?utm_campaign=1065&amp;utm_source=sheet", "Apply")</f>
        <v>Apply</v>
      </c>
      <c r="C2854" s="10" t="s">
        <v>14379</v>
      </c>
      <c r="D2854" s="56" t="s">
        <v>14380</v>
      </c>
      <c r="E2854" s="59">
        <v>45301.0</v>
      </c>
      <c r="F2854" s="10" t="s">
        <v>14381</v>
      </c>
      <c r="G2854" s="10" t="s">
        <v>12654</v>
      </c>
      <c r="H2854" s="10" t="s">
        <v>875</v>
      </c>
      <c r="I2854" s="10" t="s">
        <v>55</v>
      </c>
      <c r="J2854" s="10" t="s">
        <v>14382</v>
      </c>
      <c r="K2854" s="10" t="s">
        <v>14383</v>
      </c>
      <c r="L2854" s="10" t="s">
        <v>42</v>
      </c>
    </row>
    <row r="2855" ht="15.75" customHeight="1">
      <c r="A2855" s="64">
        <v>45462.0</v>
      </c>
      <c r="B2855" s="55" t="str">
        <f>HYPERLINK("https://jobright.ai/jobs/info/667386e6ad714b0047336a2a?utm_campaign=1065&amp;utm_source=sheet", "Apply")</f>
        <v>Apply</v>
      </c>
      <c r="C2855" s="10" t="s">
        <v>15261</v>
      </c>
      <c r="D2855" s="56" t="s">
        <v>14380</v>
      </c>
      <c r="E2855" s="59">
        <v>45301.0</v>
      </c>
      <c r="F2855" s="10" t="s">
        <v>14381</v>
      </c>
      <c r="G2855" s="10" t="s">
        <v>12654</v>
      </c>
      <c r="H2855" s="10" t="s">
        <v>897</v>
      </c>
      <c r="I2855" s="10" t="s">
        <v>55</v>
      </c>
      <c r="K2855" s="10" t="s">
        <v>15262</v>
      </c>
      <c r="L2855" s="10" t="s">
        <v>42</v>
      </c>
    </row>
    <row r="2856" ht="15.75" customHeight="1">
      <c r="A2856" s="64">
        <v>45462.0</v>
      </c>
      <c r="B2856" s="55" t="str">
        <f>HYPERLINK("https://jobright.ai/jobs/info/667386e6ad714b0047336a26?utm_campaign=1065&amp;utm_source=sheet", "Apply")</f>
        <v>Apply</v>
      </c>
      <c r="C2856" s="10" t="s">
        <v>14379</v>
      </c>
      <c r="D2856" s="56" t="s">
        <v>14380</v>
      </c>
      <c r="E2856" s="59">
        <v>45301.0</v>
      </c>
      <c r="F2856" s="10" t="s">
        <v>14381</v>
      </c>
      <c r="G2856" s="10" t="s">
        <v>12654</v>
      </c>
      <c r="H2856" s="10" t="s">
        <v>411</v>
      </c>
      <c r="I2856" s="10" t="s">
        <v>55</v>
      </c>
      <c r="J2856" s="10" t="s">
        <v>14382</v>
      </c>
      <c r="K2856" s="10" t="s">
        <v>14383</v>
      </c>
      <c r="L2856" s="10" t="s">
        <v>42</v>
      </c>
    </row>
    <row r="2857" ht="15.75" customHeight="1">
      <c r="A2857" s="64">
        <v>45462.0</v>
      </c>
      <c r="B2857" s="55" t="str">
        <f>HYPERLINK("https://jobright.ai/jobs/info/667386e6ad714b0047336a27?utm_campaign=1065&amp;utm_source=sheet", "Apply")</f>
        <v>Apply</v>
      </c>
      <c r="C2857" s="10" t="s">
        <v>15261</v>
      </c>
      <c r="D2857" s="56" t="s">
        <v>14380</v>
      </c>
      <c r="E2857" s="59">
        <v>45301.0</v>
      </c>
      <c r="F2857" s="10" t="s">
        <v>14381</v>
      </c>
      <c r="G2857" s="10" t="s">
        <v>12654</v>
      </c>
      <c r="H2857" s="10" t="s">
        <v>773</v>
      </c>
      <c r="I2857" s="10" t="s">
        <v>55</v>
      </c>
      <c r="K2857" s="10" t="s">
        <v>15262</v>
      </c>
      <c r="L2857" s="10" t="s">
        <v>42</v>
      </c>
    </row>
    <row r="2858" ht="15.75" customHeight="1">
      <c r="A2858" s="64">
        <v>45462.0</v>
      </c>
      <c r="B2858" s="55" t="str">
        <f>HYPERLINK("https://jobright.ai/jobs/info/667386e6ad714b0047336a28?utm_campaign=1065&amp;utm_source=sheet", "Apply")</f>
        <v>Apply</v>
      </c>
      <c r="C2858" s="10" t="s">
        <v>14379</v>
      </c>
      <c r="D2858" s="56" t="s">
        <v>14380</v>
      </c>
      <c r="E2858" s="59">
        <v>45301.0</v>
      </c>
      <c r="F2858" s="10" t="s">
        <v>14381</v>
      </c>
      <c r="G2858" s="10" t="s">
        <v>12654</v>
      </c>
      <c r="H2858" s="10" t="s">
        <v>924</v>
      </c>
      <c r="I2858" s="10" t="s">
        <v>55</v>
      </c>
      <c r="J2858" s="10" t="s">
        <v>14382</v>
      </c>
      <c r="K2858" s="10" t="s">
        <v>14383</v>
      </c>
      <c r="L2858" s="10" t="s">
        <v>42</v>
      </c>
    </row>
    <row r="2859" ht="15.75" customHeight="1">
      <c r="A2859" s="64">
        <v>45462.0</v>
      </c>
      <c r="B2859" s="55" t="str">
        <f>HYPERLINK("https://jobright.ai/jobs/info/667386e6ad714b0047336a29?utm_campaign=1065&amp;utm_source=sheet", "Apply")</f>
        <v>Apply</v>
      </c>
      <c r="C2859" s="10" t="s">
        <v>14379</v>
      </c>
      <c r="D2859" s="56" t="s">
        <v>14380</v>
      </c>
      <c r="E2859" s="59">
        <v>45301.0</v>
      </c>
      <c r="F2859" s="10" t="s">
        <v>14381</v>
      </c>
      <c r="G2859" s="10" t="s">
        <v>12654</v>
      </c>
      <c r="H2859" s="10" t="s">
        <v>1027</v>
      </c>
      <c r="I2859" s="10" t="s">
        <v>55</v>
      </c>
      <c r="J2859" s="10" t="s">
        <v>14382</v>
      </c>
      <c r="K2859" s="10" t="s">
        <v>14383</v>
      </c>
      <c r="L2859" s="10" t="s">
        <v>42</v>
      </c>
    </row>
    <row r="2860" ht="15.75" customHeight="1">
      <c r="A2860" s="64">
        <v>45462.0</v>
      </c>
      <c r="B2860" s="55" t="str">
        <f>HYPERLINK("https://jobright.ai/jobs/info/667386e6ad714b0047336a2c?utm_campaign=1065&amp;utm_source=sheet", "Apply")</f>
        <v>Apply</v>
      </c>
      <c r="C2860" s="10" t="s">
        <v>14379</v>
      </c>
      <c r="D2860" s="56" t="s">
        <v>14380</v>
      </c>
      <c r="E2860" s="59">
        <v>45301.0</v>
      </c>
      <c r="F2860" s="10" t="s">
        <v>14381</v>
      </c>
      <c r="G2860" s="10" t="s">
        <v>12654</v>
      </c>
      <c r="H2860" s="10" t="s">
        <v>999</v>
      </c>
      <c r="I2860" s="10" t="s">
        <v>55</v>
      </c>
      <c r="J2860" s="10" t="s">
        <v>14382</v>
      </c>
      <c r="K2860" s="10" t="s">
        <v>14383</v>
      </c>
      <c r="L2860" s="10" t="s">
        <v>42</v>
      </c>
    </row>
    <row r="2861" ht="15.75" customHeight="1">
      <c r="A2861" s="64">
        <v>45462.0</v>
      </c>
      <c r="B2861" s="55" t="str">
        <f>HYPERLINK("https://jobright.ai/jobs/info/667386e6ad714b0047336a2d?utm_campaign=1065&amp;utm_source=sheet", "Apply")</f>
        <v>Apply</v>
      </c>
      <c r="C2861" s="10" t="s">
        <v>15261</v>
      </c>
      <c r="D2861" s="56" t="s">
        <v>14380</v>
      </c>
      <c r="E2861" s="59">
        <v>45301.0</v>
      </c>
      <c r="F2861" s="10" t="s">
        <v>14381</v>
      </c>
      <c r="G2861" s="10" t="s">
        <v>12654</v>
      </c>
      <c r="H2861" s="10" t="s">
        <v>117</v>
      </c>
      <c r="I2861" s="10" t="s">
        <v>55</v>
      </c>
      <c r="K2861" s="10" t="s">
        <v>15262</v>
      </c>
      <c r="L2861" s="10" t="s">
        <v>42</v>
      </c>
    </row>
    <row r="2862" ht="15.75" customHeight="1">
      <c r="A2862" s="64">
        <v>45462.0</v>
      </c>
      <c r="B2862" s="55" t="str">
        <f>HYPERLINK("https://jobright.ai/jobs/info/667386e6ad714b0047336a2e?utm_campaign=1065&amp;utm_source=sheet", "Apply")</f>
        <v>Apply</v>
      </c>
      <c r="C2862" s="10" t="s">
        <v>14379</v>
      </c>
      <c r="D2862" s="56" t="s">
        <v>14380</v>
      </c>
      <c r="E2862" s="59">
        <v>45301.0</v>
      </c>
      <c r="F2862" s="10" t="s">
        <v>14381</v>
      </c>
      <c r="G2862" s="10" t="s">
        <v>12654</v>
      </c>
      <c r="H2862" s="10" t="s">
        <v>1009</v>
      </c>
      <c r="I2862" s="10" t="s">
        <v>55</v>
      </c>
      <c r="J2862" s="10" t="s">
        <v>14382</v>
      </c>
      <c r="K2862" s="10" t="s">
        <v>14383</v>
      </c>
      <c r="L2862" s="10" t="s">
        <v>42</v>
      </c>
    </row>
    <row r="2863" ht="15.75" customHeight="1">
      <c r="A2863" s="64">
        <v>45462.0</v>
      </c>
      <c r="B2863" s="55" t="str">
        <f>HYPERLINK("https://jobright.ai/jobs/info/667386e6ad714b0047336a2f?utm_campaign=1065&amp;utm_source=sheet", "Apply")</f>
        <v>Apply</v>
      </c>
      <c r="C2863" s="10" t="s">
        <v>14379</v>
      </c>
      <c r="D2863" s="56" t="s">
        <v>14380</v>
      </c>
      <c r="E2863" s="59">
        <v>45301.0</v>
      </c>
      <c r="F2863" s="10" t="s">
        <v>14381</v>
      </c>
      <c r="G2863" s="10" t="s">
        <v>12654</v>
      </c>
      <c r="H2863" s="10" t="s">
        <v>767</v>
      </c>
      <c r="I2863" s="10" t="s">
        <v>55</v>
      </c>
      <c r="J2863" s="10" t="s">
        <v>14382</v>
      </c>
      <c r="K2863" s="10" t="s">
        <v>14383</v>
      </c>
      <c r="L2863" s="10" t="s">
        <v>42</v>
      </c>
    </row>
    <row r="2864" ht="15.75" customHeight="1">
      <c r="A2864" s="64">
        <v>45462.0</v>
      </c>
      <c r="B2864" s="55" t="str">
        <f>HYPERLINK("https://jobright.ai/jobs/info/667386e6ad714b0047336a2b?utm_campaign=1065&amp;utm_source=sheet", "Apply")</f>
        <v>Apply</v>
      </c>
      <c r="C2864" s="10" t="s">
        <v>14379</v>
      </c>
      <c r="D2864" s="56" t="s">
        <v>14380</v>
      </c>
      <c r="E2864" s="59">
        <v>45301.0</v>
      </c>
      <c r="F2864" s="10" t="s">
        <v>14381</v>
      </c>
      <c r="G2864" s="10" t="s">
        <v>12654</v>
      </c>
      <c r="H2864" s="10" t="s">
        <v>830</v>
      </c>
      <c r="I2864" s="10" t="s">
        <v>55</v>
      </c>
      <c r="J2864" s="10" t="s">
        <v>14382</v>
      </c>
      <c r="K2864" s="10" t="s">
        <v>14383</v>
      </c>
      <c r="L2864" s="10" t="s">
        <v>42</v>
      </c>
    </row>
    <row r="2865" ht="15.75" customHeight="1">
      <c r="A2865" s="64">
        <v>45462.0</v>
      </c>
      <c r="B2865" s="55" t="str">
        <f>HYPERLINK("https://jobright.ai/jobs/info/667386e6ad714b0047336a30?utm_campaign=1065&amp;utm_source=sheet", "Apply")</f>
        <v>Apply</v>
      </c>
      <c r="C2865" s="10" t="s">
        <v>14379</v>
      </c>
      <c r="D2865" s="56" t="s">
        <v>14380</v>
      </c>
      <c r="E2865" s="59">
        <v>45301.0</v>
      </c>
      <c r="F2865" s="10" t="s">
        <v>14381</v>
      </c>
      <c r="G2865" s="10" t="s">
        <v>12654</v>
      </c>
      <c r="H2865" s="10" t="s">
        <v>911</v>
      </c>
      <c r="I2865" s="10" t="s">
        <v>55</v>
      </c>
      <c r="J2865" s="10" t="s">
        <v>14382</v>
      </c>
      <c r="K2865" s="10" t="s">
        <v>14383</v>
      </c>
      <c r="L2865" s="10" t="s">
        <v>42</v>
      </c>
    </row>
    <row r="2866" ht="15.75" customHeight="1">
      <c r="A2866" s="64">
        <v>45462.0</v>
      </c>
      <c r="B2866" s="55" t="str">
        <f>HYPERLINK("https://jobright.ai/jobs/info/667339f0d892db31454e6269?utm_campaign=1065&amp;utm_source=sheet", "Apply")</f>
        <v>Apply</v>
      </c>
      <c r="C2866" s="10" t="s">
        <v>14379</v>
      </c>
      <c r="D2866" s="56" t="s">
        <v>14380</v>
      </c>
      <c r="E2866" s="59">
        <v>45301.0</v>
      </c>
      <c r="F2866" s="10" t="s">
        <v>14381</v>
      </c>
      <c r="G2866" s="10" t="s">
        <v>12654</v>
      </c>
      <c r="H2866" s="10" t="s">
        <v>1016</v>
      </c>
      <c r="I2866" s="10" t="s">
        <v>55</v>
      </c>
      <c r="J2866" s="10" t="s">
        <v>14382</v>
      </c>
      <c r="K2866" s="10" t="s">
        <v>14383</v>
      </c>
      <c r="L2866" s="10" t="s">
        <v>42</v>
      </c>
    </row>
    <row r="2867" ht="15.75" customHeight="1">
      <c r="A2867" s="64">
        <v>45462.0</v>
      </c>
      <c r="B2867" s="55" t="str">
        <f>HYPERLINK("https://jobright.ai/jobs/info/667339f0d892db31454e626a?utm_campaign=1065&amp;utm_source=sheet", "Apply")</f>
        <v>Apply</v>
      </c>
      <c r="C2867" s="10" t="s">
        <v>14379</v>
      </c>
      <c r="D2867" s="56" t="s">
        <v>14380</v>
      </c>
      <c r="E2867" s="59">
        <v>45301.0</v>
      </c>
      <c r="F2867" s="10" t="s">
        <v>14381</v>
      </c>
      <c r="G2867" s="10" t="s">
        <v>12654</v>
      </c>
      <c r="H2867" s="10" t="s">
        <v>777</v>
      </c>
      <c r="I2867" s="10" t="s">
        <v>55</v>
      </c>
      <c r="J2867" s="10" t="s">
        <v>14382</v>
      </c>
      <c r="K2867" s="10" t="s">
        <v>14383</v>
      </c>
      <c r="L2867" s="10" t="s">
        <v>42</v>
      </c>
    </row>
    <row r="2868" ht="15.75" customHeight="1">
      <c r="A2868" s="64">
        <v>45462.0</v>
      </c>
      <c r="B2868" s="55" t="str">
        <f>HYPERLINK("https://jobright.ai/jobs/info/6673adb3641ee1952f468c5f?utm_campaign=1065&amp;utm_source=sheet", "Apply")</f>
        <v>Apply</v>
      </c>
      <c r="C2868" s="10" t="s">
        <v>15261</v>
      </c>
      <c r="D2868" s="56" t="s">
        <v>14380</v>
      </c>
      <c r="E2868" s="59">
        <v>45301.0</v>
      </c>
      <c r="F2868" s="10" t="s">
        <v>14381</v>
      </c>
      <c r="G2868" s="10" t="s">
        <v>12654</v>
      </c>
      <c r="H2868" s="10" t="s">
        <v>784</v>
      </c>
      <c r="I2868" s="10" t="s">
        <v>55</v>
      </c>
      <c r="K2868" s="10" t="s">
        <v>15262</v>
      </c>
      <c r="L2868" s="10" t="s">
        <v>42</v>
      </c>
    </row>
    <row r="2869" ht="15.75" customHeight="1">
      <c r="A2869" s="64">
        <v>45462.0</v>
      </c>
      <c r="B2869" s="55" t="str">
        <f>HYPERLINK("https://jobright.ai/jobs/info/6673adb3641ee1952f468c61?utm_campaign=1065&amp;utm_source=sheet", "Apply")</f>
        <v>Apply</v>
      </c>
      <c r="C2869" s="10" t="s">
        <v>14379</v>
      </c>
      <c r="D2869" s="56" t="s">
        <v>14380</v>
      </c>
      <c r="E2869" s="59">
        <v>45301.0</v>
      </c>
      <c r="F2869" s="10" t="s">
        <v>14381</v>
      </c>
      <c r="G2869" s="10" t="s">
        <v>12654</v>
      </c>
      <c r="H2869" s="10" t="s">
        <v>108</v>
      </c>
      <c r="I2869" s="10" t="s">
        <v>55</v>
      </c>
      <c r="J2869" s="10" t="s">
        <v>14382</v>
      </c>
      <c r="K2869" s="10" t="s">
        <v>14383</v>
      </c>
      <c r="L2869" s="10" t="s">
        <v>42</v>
      </c>
    </row>
    <row r="2870" ht="15.75" customHeight="1">
      <c r="A2870" s="64">
        <v>45462.0</v>
      </c>
      <c r="B2870" s="55" t="str">
        <f>HYPERLINK("https://jobright.ai/jobs/info/6673adb3641ee1952f468c60?utm_campaign=1065&amp;utm_source=sheet", "Apply")</f>
        <v>Apply</v>
      </c>
      <c r="C2870" s="10" t="s">
        <v>15261</v>
      </c>
      <c r="D2870" s="56" t="s">
        <v>14380</v>
      </c>
      <c r="E2870" s="59">
        <v>45301.0</v>
      </c>
      <c r="F2870" s="10" t="s">
        <v>14381</v>
      </c>
      <c r="G2870" s="10" t="s">
        <v>12654</v>
      </c>
      <c r="H2870" s="10" t="s">
        <v>913</v>
      </c>
      <c r="I2870" s="10" t="s">
        <v>55</v>
      </c>
      <c r="K2870" s="10" t="s">
        <v>15262</v>
      </c>
      <c r="L2870" s="10" t="s">
        <v>42</v>
      </c>
    </row>
    <row r="2871" ht="15.75" customHeight="1">
      <c r="A2871" s="64">
        <v>45462.0</v>
      </c>
      <c r="B2871" s="55" t="str">
        <f>HYPERLINK("https://jobright.ai/jobs/info/6673adb3641ee1952f468c62?utm_campaign=1065&amp;utm_source=sheet", "Apply")</f>
        <v>Apply</v>
      </c>
      <c r="C2871" s="10" t="s">
        <v>15261</v>
      </c>
      <c r="D2871" s="56" t="s">
        <v>14380</v>
      </c>
      <c r="E2871" s="59">
        <v>45301.0</v>
      </c>
      <c r="F2871" s="10" t="s">
        <v>14381</v>
      </c>
      <c r="G2871" s="10" t="s">
        <v>12654</v>
      </c>
      <c r="H2871" s="10" t="s">
        <v>945</v>
      </c>
      <c r="I2871" s="10" t="s">
        <v>55</v>
      </c>
      <c r="K2871" s="10" t="s">
        <v>15262</v>
      </c>
      <c r="L2871" s="10" t="s">
        <v>42</v>
      </c>
    </row>
    <row r="2872" ht="15.75" customHeight="1">
      <c r="A2872" s="64">
        <v>45462.0</v>
      </c>
      <c r="B2872" s="55" t="str">
        <f>HYPERLINK("https://jobright.ai/jobs/info/667339f0d892db31454e626b?utm_campaign=1065&amp;utm_source=sheet", "Apply")</f>
        <v>Apply</v>
      </c>
      <c r="C2872" s="10" t="s">
        <v>15261</v>
      </c>
      <c r="D2872" s="56" t="s">
        <v>14380</v>
      </c>
      <c r="E2872" s="59">
        <v>45301.0</v>
      </c>
      <c r="F2872" s="10" t="s">
        <v>14381</v>
      </c>
      <c r="G2872" s="10" t="s">
        <v>12654</v>
      </c>
      <c r="H2872" s="10" t="s">
        <v>919</v>
      </c>
      <c r="I2872" s="10" t="s">
        <v>55</v>
      </c>
      <c r="K2872" s="10" t="s">
        <v>15262</v>
      </c>
      <c r="L2872" s="10" t="s">
        <v>42</v>
      </c>
    </row>
    <row r="2873" ht="15.75" customHeight="1">
      <c r="A2873" s="64">
        <v>45462.0</v>
      </c>
      <c r="B2873" s="55" t="str">
        <f>HYPERLINK("https://jobright.ai/jobs/info/667339f0d892db31454e626e?utm_campaign=1065&amp;utm_source=sheet", "Apply")</f>
        <v>Apply</v>
      </c>
      <c r="C2873" s="10" t="s">
        <v>15261</v>
      </c>
      <c r="D2873" s="56" t="s">
        <v>14380</v>
      </c>
      <c r="E2873" s="59">
        <v>45301.0</v>
      </c>
      <c r="F2873" s="10" t="s">
        <v>14381</v>
      </c>
      <c r="G2873" s="10" t="s">
        <v>12654</v>
      </c>
      <c r="H2873" s="10" t="s">
        <v>759</v>
      </c>
      <c r="I2873" s="10" t="s">
        <v>55</v>
      </c>
      <c r="K2873" s="10" t="s">
        <v>15262</v>
      </c>
      <c r="L2873" s="10" t="s">
        <v>42</v>
      </c>
    </row>
    <row r="2874" ht="15.75" customHeight="1">
      <c r="A2874" s="64">
        <v>45462.0</v>
      </c>
      <c r="B2874" s="55" t="str">
        <f>HYPERLINK("https://jobright.ai/jobs/info/667339f0d892db31454e626d?utm_campaign=1065&amp;utm_source=sheet", "Apply")</f>
        <v>Apply</v>
      </c>
      <c r="C2874" s="10" t="s">
        <v>15261</v>
      </c>
      <c r="D2874" s="56" t="s">
        <v>14380</v>
      </c>
      <c r="E2874" s="59">
        <v>45301.0</v>
      </c>
      <c r="F2874" s="10" t="s">
        <v>14381</v>
      </c>
      <c r="G2874" s="10" t="s">
        <v>12654</v>
      </c>
      <c r="H2874" s="10" t="s">
        <v>976</v>
      </c>
      <c r="I2874" s="10" t="s">
        <v>55</v>
      </c>
      <c r="K2874" s="10" t="s">
        <v>15262</v>
      </c>
      <c r="L2874" s="10" t="s">
        <v>42</v>
      </c>
    </row>
    <row r="2875" ht="15.75" customHeight="1">
      <c r="A2875" s="64">
        <v>45462.0</v>
      </c>
      <c r="B2875" s="55" t="str">
        <f>HYPERLINK("https://jobright.ai/jobs/info/667339f0d892db31454e626f?utm_campaign=1065&amp;utm_source=sheet", "Apply")</f>
        <v>Apply</v>
      </c>
      <c r="C2875" s="10" t="s">
        <v>14379</v>
      </c>
      <c r="D2875" s="56" t="s">
        <v>14380</v>
      </c>
      <c r="E2875" s="59">
        <v>45301.0</v>
      </c>
      <c r="F2875" s="10" t="s">
        <v>14381</v>
      </c>
      <c r="G2875" s="10" t="s">
        <v>12654</v>
      </c>
      <c r="H2875" s="10" t="s">
        <v>848</v>
      </c>
      <c r="I2875" s="10" t="s">
        <v>55</v>
      </c>
      <c r="J2875" s="10" t="s">
        <v>14382</v>
      </c>
      <c r="K2875" s="10" t="s">
        <v>14383</v>
      </c>
      <c r="L2875" s="10" t="s">
        <v>42</v>
      </c>
    </row>
    <row r="2876" ht="15.75" customHeight="1">
      <c r="A2876" s="64">
        <v>45462.0</v>
      </c>
      <c r="B2876" s="55" t="str">
        <f>HYPERLINK("https://jobright.ai/jobs/info/66736e9f21f478e9a4d10014?utm_campaign=1065&amp;utm_source=sheet", "Apply")</f>
        <v>Apply</v>
      </c>
      <c r="C2876" s="10" t="s">
        <v>14379</v>
      </c>
      <c r="D2876" s="56" t="s">
        <v>14380</v>
      </c>
      <c r="E2876" s="59">
        <v>45301.0</v>
      </c>
      <c r="F2876" s="10" t="s">
        <v>14381</v>
      </c>
      <c r="G2876" s="10" t="s">
        <v>12654</v>
      </c>
      <c r="H2876" s="10" t="s">
        <v>872</v>
      </c>
      <c r="I2876" s="10" t="s">
        <v>55</v>
      </c>
      <c r="J2876" s="10" t="s">
        <v>14382</v>
      </c>
      <c r="K2876" s="10" t="s">
        <v>14383</v>
      </c>
      <c r="L2876" s="10" t="s">
        <v>42</v>
      </c>
    </row>
    <row r="2877" ht="15.75" customHeight="1">
      <c r="A2877" s="64">
        <v>45462.0</v>
      </c>
      <c r="B2877" s="55" t="str">
        <f>HYPERLINK("https://jobright.ai/jobs/info/667339f0d892db31454e626c?utm_campaign=1065&amp;utm_source=sheet", "Apply")</f>
        <v>Apply</v>
      </c>
      <c r="C2877" s="10" t="s">
        <v>14379</v>
      </c>
      <c r="D2877" s="56" t="s">
        <v>14380</v>
      </c>
      <c r="E2877" s="59">
        <v>45301.0</v>
      </c>
      <c r="F2877" s="10" t="s">
        <v>14381</v>
      </c>
      <c r="G2877" s="10" t="s">
        <v>12654</v>
      </c>
      <c r="H2877" s="10" t="s">
        <v>271</v>
      </c>
      <c r="I2877" s="10" t="s">
        <v>55</v>
      </c>
      <c r="J2877" s="10" t="s">
        <v>14382</v>
      </c>
      <c r="K2877" s="10" t="s">
        <v>14383</v>
      </c>
      <c r="L2877" s="10" t="s">
        <v>42</v>
      </c>
    </row>
    <row r="2878" ht="15.75" customHeight="1">
      <c r="A2878" s="64">
        <v>45462.0</v>
      </c>
      <c r="B2878" s="55" t="str">
        <f>HYPERLINK("https://jobright.ai/jobs/info/667339f0d892db31454e6270?utm_campaign=1065&amp;utm_source=sheet", "Apply")</f>
        <v>Apply</v>
      </c>
      <c r="C2878" s="10" t="s">
        <v>14379</v>
      </c>
      <c r="D2878" s="56" t="s">
        <v>14380</v>
      </c>
      <c r="E2878" s="59">
        <v>45301.0</v>
      </c>
      <c r="F2878" s="10" t="s">
        <v>14381</v>
      </c>
      <c r="G2878" s="10" t="s">
        <v>12654</v>
      </c>
      <c r="H2878" s="10" t="s">
        <v>887</v>
      </c>
      <c r="I2878" s="10" t="s">
        <v>55</v>
      </c>
      <c r="J2878" s="10" t="s">
        <v>14382</v>
      </c>
      <c r="K2878" s="10" t="s">
        <v>14383</v>
      </c>
      <c r="L2878" s="10" t="s">
        <v>42</v>
      </c>
    </row>
    <row r="2879" ht="15.75" customHeight="1">
      <c r="A2879" s="64">
        <v>45462.0</v>
      </c>
      <c r="B2879" s="55" t="str">
        <f>HYPERLINK("https://jobright.ai/jobs/info/667339f0d892db31454e6272?utm_campaign=1065&amp;utm_source=sheet", "Apply")</f>
        <v>Apply</v>
      </c>
      <c r="C2879" s="10" t="s">
        <v>15261</v>
      </c>
      <c r="D2879" s="56" t="s">
        <v>14380</v>
      </c>
      <c r="E2879" s="59">
        <v>45301.0</v>
      </c>
      <c r="F2879" s="10" t="s">
        <v>14381</v>
      </c>
      <c r="G2879" s="10" t="s">
        <v>12654</v>
      </c>
      <c r="H2879" s="10" t="s">
        <v>837</v>
      </c>
      <c r="I2879" s="10" t="s">
        <v>55</v>
      </c>
      <c r="K2879" s="10" t="s">
        <v>15262</v>
      </c>
      <c r="L2879" s="10" t="s">
        <v>42</v>
      </c>
    </row>
    <row r="2880" ht="15.75" customHeight="1">
      <c r="A2880" s="64">
        <v>45462.0</v>
      </c>
      <c r="B2880" s="55" t="str">
        <f>HYPERLINK("https://jobright.ai/jobs/info/667339f0d892db31454e6271?utm_campaign=1065&amp;utm_source=sheet", "Apply")</f>
        <v>Apply</v>
      </c>
      <c r="C2880" s="10" t="s">
        <v>15261</v>
      </c>
      <c r="D2880" s="56" t="s">
        <v>14380</v>
      </c>
      <c r="E2880" s="59">
        <v>45301.0</v>
      </c>
      <c r="F2880" s="10" t="s">
        <v>14381</v>
      </c>
      <c r="G2880" s="10" t="s">
        <v>12654</v>
      </c>
      <c r="H2880" s="10" t="s">
        <v>106</v>
      </c>
      <c r="I2880" s="10" t="s">
        <v>55</v>
      </c>
      <c r="K2880" s="10" t="s">
        <v>15262</v>
      </c>
      <c r="L2880" s="10" t="s">
        <v>42</v>
      </c>
    </row>
    <row r="2881" ht="15.75" customHeight="1">
      <c r="A2881" s="64">
        <v>45462.0</v>
      </c>
      <c r="B2881" s="55" t="str">
        <f>HYPERLINK("https://jobright.ai/jobs/info/667339f0d892db31454e6273?utm_campaign=1065&amp;utm_source=sheet", "Apply")</f>
        <v>Apply</v>
      </c>
      <c r="C2881" s="10" t="s">
        <v>15261</v>
      </c>
      <c r="D2881" s="56" t="s">
        <v>14380</v>
      </c>
      <c r="E2881" s="59">
        <v>45301.0</v>
      </c>
      <c r="F2881" s="10" t="s">
        <v>14381</v>
      </c>
      <c r="G2881" s="10" t="s">
        <v>12654</v>
      </c>
      <c r="H2881" s="10" t="s">
        <v>7690</v>
      </c>
      <c r="I2881" s="10" t="s">
        <v>55</v>
      </c>
      <c r="K2881" s="10" t="s">
        <v>15262</v>
      </c>
      <c r="L2881" s="10" t="s">
        <v>42</v>
      </c>
    </row>
    <row r="2882" ht="15.75" customHeight="1">
      <c r="A2882" s="64">
        <v>45462.0</v>
      </c>
      <c r="B2882" s="55" t="str">
        <f>HYPERLINK("https://jobright.ai/jobs/info/667339f0d892db31454e6274?utm_campaign=1065&amp;utm_source=sheet", "Apply")</f>
        <v>Apply</v>
      </c>
      <c r="C2882" s="10" t="s">
        <v>15261</v>
      </c>
      <c r="D2882" s="56" t="s">
        <v>14380</v>
      </c>
      <c r="E2882" s="59">
        <v>45301.0</v>
      </c>
      <c r="F2882" s="10" t="s">
        <v>14381</v>
      </c>
      <c r="G2882" s="10" t="s">
        <v>12654</v>
      </c>
      <c r="H2882" s="10" t="s">
        <v>1024</v>
      </c>
      <c r="I2882" s="10" t="s">
        <v>55</v>
      </c>
      <c r="K2882" s="10" t="s">
        <v>15262</v>
      </c>
      <c r="L2882" s="10" t="s">
        <v>42</v>
      </c>
    </row>
    <row r="2883" ht="15.75" customHeight="1">
      <c r="A2883" s="64">
        <v>45462.0</v>
      </c>
      <c r="B2883" s="55" t="str">
        <f>HYPERLINK("https://jobright.ai/jobs/info/667339f0d892db31454e6275?utm_campaign=1065&amp;utm_source=sheet", "Apply")</f>
        <v>Apply</v>
      </c>
      <c r="C2883" s="10" t="s">
        <v>14379</v>
      </c>
      <c r="D2883" s="56" t="s">
        <v>14380</v>
      </c>
      <c r="E2883" s="59">
        <v>45301.0</v>
      </c>
      <c r="F2883" s="10" t="s">
        <v>14381</v>
      </c>
      <c r="G2883" s="10" t="s">
        <v>12654</v>
      </c>
      <c r="H2883" s="10" t="s">
        <v>843</v>
      </c>
      <c r="I2883" s="10" t="s">
        <v>55</v>
      </c>
      <c r="J2883" s="10" t="s">
        <v>14382</v>
      </c>
      <c r="K2883" s="10" t="s">
        <v>14383</v>
      </c>
      <c r="L2883" s="10" t="s">
        <v>42</v>
      </c>
    </row>
    <row r="2884" ht="15.75" customHeight="1">
      <c r="A2884" s="64">
        <v>45462.0</v>
      </c>
      <c r="B2884" s="55" t="str">
        <f>HYPERLINK("https://jobright.ai/jobs/info/667339f0d892db31454e6276?utm_campaign=1065&amp;utm_source=sheet", "Apply")</f>
        <v>Apply</v>
      </c>
      <c r="C2884" s="10" t="s">
        <v>15261</v>
      </c>
      <c r="D2884" s="56" t="s">
        <v>14380</v>
      </c>
      <c r="E2884" s="59">
        <v>45301.0</v>
      </c>
      <c r="F2884" s="10" t="s">
        <v>14381</v>
      </c>
      <c r="G2884" s="10" t="s">
        <v>12654</v>
      </c>
      <c r="H2884" s="10" t="s">
        <v>936</v>
      </c>
      <c r="I2884" s="10" t="s">
        <v>55</v>
      </c>
      <c r="K2884" s="10" t="s">
        <v>15262</v>
      </c>
      <c r="L2884" s="10" t="s">
        <v>42</v>
      </c>
    </row>
    <row r="2885" ht="15.75" customHeight="1">
      <c r="A2885" s="64">
        <v>45462.0</v>
      </c>
      <c r="B2885" s="55" t="str">
        <f>HYPERLINK("https://jobright.ai/jobs/info/667339f0d892db31454e6279?utm_campaign=1065&amp;utm_source=sheet", "Apply")</f>
        <v>Apply</v>
      </c>
      <c r="C2885" s="10" t="s">
        <v>14379</v>
      </c>
      <c r="D2885" s="56" t="s">
        <v>14380</v>
      </c>
      <c r="E2885" s="59">
        <v>45301.0</v>
      </c>
      <c r="F2885" s="10" t="s">
        <v>14381</v>
      </c>
      <c r="G2885" s="10" t="s">
        <v>12654</v>
      </c>
      <c r="H2885" s="10" t="s">
        <v>972</v>
      </c>
      <c r="I2885" s="10" t="s">
        <v>55</v>
      </c>
      <c r="J2885" s="10" t="s">
        <v>14382</v>
      </c>
      <c r="K2885" s="10" t="s">
        <v>14383</v>
      </c>
      <c r="L2885" s="10" t="s">
        <v>42</v>
      </c>
    </row>
    <row r="2886" ht="15.75" customHeight="1">
      <c r="A2886" s="64">
        <v>45462.0</v>
      </c>
      <c r="B2886" s="55" t="str">
        <f>HYPERLINK("https://jobright.ai/jobs/info/667339f0d892db31454e6278?utm_campaign=1065&amp;utm_source=sheet", "Apply")</f>
        <v>Apply</v>
      </c>
      <c r="C2886" s="10" t="s">
        <v>15261</v>
      </c>
      <c r="D2886" s="56" t="s">
        <v>14380</v>
      </c>
      <c r="E2886" s="59">
        <v>45301.0</v>
      </c>
      <c r="F2886" s="10" t="s">
        <v>14381</v>
      </c>
      <c r="G2886" s="10" t="s">
        <v>12654</v>
      </c>
      <c r="H2886" s="10" t="s">
        <v>816</v>
      </c>
      <c r="I2886" s="10" t="s">
        <v>55</v>
      </c>
      <c r="K2886" s="10" t="s">
        <v>15262</v>
      </c>
      <c r="L2886" s="10" t="s">
        <v>42</v>
      </c>
    </row>
    <row r="2887" ht="15.75" customHeight="1">
      <c r="A2887" s="64">
        <v>45462.0</v>
      </c>
      <c r="B2887" s="55" t="str">
        <f>HYPERLINK("https://jobright.ai/jobs/info/667339f0d892db31454e6277?utm_campaign=1065&amp;utm_source=sheet", "Apply")</f>
        <v>Apply</v>
      </c>
      <c r="C2887" s="10" t="s">
        <v>14379</v>
      </c>
      <c r="D2887" s="56" t="s">
        <v>14380</v>
      </c>
      <c r="E2887" s="59">
        <v>45301.0</v>
      </c>
      <c r="F2887" s="10" t="s">
        <v>14381</v>
      </c>
      <c r="G2887" s="10" t="s">
        <v>12654</v>
      </c>
      <c r="H2887" s="10" t="s">
        <v>981</v>
      </c>
      <c r="I2887" s="10" t="s">
        <v>55</v>
      </c>
      <c r="J2887" s="10" t="s">
        <v>14382</v>
      </c>
      <c r="K2887" s="10" t="s">
        <v>14383</v>
      </c>
      <c r="L2887" s="10" t="s">
        <v>42</v>
      </c>
    </row>
    <row r="2888" ht="15.75" customHeight="1">
      <c r="A2888" s="64">
        <v>45462.0</v>
      </c>
      <c r="B2888" s="55" t="str">
        <f>HYPERLINK("https://jobright.ai/jobs/info/667339f0d892db31454e627b?utm_campaign=1065&amp;utm_source=sheet", "Apply")</f>
        <v>Apply</v>
      </c>
      <c r="C2888" s="10" t="s">
        <v>14379</v>
      </c>
      <c r="D2888" s="56" t="s">
        <v>14380</v>
      </c>
      <c r="E2888" s="59">
        <v>45301.0</v>
      </c>
      <c r="F2888" s="10" t="s">
        <v>14381</v>
      </c>
      <c r="G2888" s="10" t="s">
        <v>12654</v>
      </c>
      <c r="H2888" s="10" t="s">
        <v>802</v>
      </c>
      <c r="I2888" s="10" t="s">
        <v>55</v>
      </c>
      <c r="J2888" s="10" t="s">
        <v>14382</v>
      </c>
      <c r="K2888" s="10" t="s">
        <v>14383</v>
      </c>
      <c r="L2888" s="10" t="s">
        <v>42</v>
      </c>
    </row>
    <row r="2889" ht="15.75" customHeight="1">
      <c r="A2889" s="64">
        <v>45462.0</v>
      </c>
      <c r="B2889" s="55" t="str">
        <f>HYPERLINK("https://jobright.ai/jobs/info/667339f0d892db31454e627a?utm_campaign=1065&amp;utm_source=sheet", "Apply")</f>
        <v>Apply</v>
      </c>
      <c r="C2889" s="10" t="s">
        <v>14379</v>
      </c>
      <c r="D2889" s="56" t="s">
        <v>14380</v>
      </c>
      <c r="E2889" s="59">
        <v>45301.0</v>
      </c>
      <c r="F2889" s="10" t="s">
        <v>14381</v>
      </c>
      <c r="G2889" s="10" t="s">
        <v>12654</v>
      </c>
      <c r="H2889" s="10" t="s">
        <v>854</v>
      </c>
      <c r="I2889" s="10" t="s">
        <v>55</v>
      </c>
      <c r="J2889" s="10" t="s">
        <v>14382</v>
      </c>
      <c r="K2889" s="10" t="s">
        <v>14383</v>
      </c>
      <c r="L2889" s="10" t="s">
        <v>42</v>
      </c>
    </row>
    <row r="2890" ht="15.75" customHeight="1">
      <c r="A2890" s="64">
        <v>45462.0</v>
      </c>
      <c r="B2890" s="55" t="str">
        <f>HYPERLINK("https://jobright.ai/jobs/info/667339f0d892db31454e6282?utm_campaign=1065&amp;utm_source=sheet", "Apply")</f>
        <v>Apply</v>
      </c>
      <c r="C2890" s="10" t="s">
        <v>15261</v>
      </c>
      <c r="D2890" s="56" t="s">
        <v>14380</v>
      </c>
      <c r="E2890" s="59">
        <v>45301.0</v>
      </c>
      <c r="F2890" s="10" t="s">
        <v>14381</v>
      </c>
      <c r="G2890" s="10" t="s">
        <v>12654</v>
      </c>
      <c r="H2890" s="10" t="s">
        <v>869</v>
      </c>
      <c r="I2890" s="10" t="s">
        <v>55</v>
      </c>
      <c r="K2890" s="10" t="s">
        <v>15262</v>
      </c>
      <c r="L2890" s="10" t="s">
        <v>42</v>
      </c>
    </row>
    <row r="2891" ht="15.75" customHeight="1">
      <c r="A2891" s="64">
        <v>45462.0</v>
      </c>
      <c r="B2891" s="55" t="str">
        <f>HYPERLINK("https://jobright.ai/jobs/info/667339f0d892db31454e6285?utm_campaign=1065&amp;utm_source=sheet", "Apply")</f>
        <v>Apply</v>
      </c>
      <c r="C2891" s="10" t="s">
        <v>15261</v>
      </c>
      <c r="D2891" s="56" t="s">
        <v>14380</v>
      </c>
      <c r="E2891" s="59">
        <v>45301.0</v>
      </c>
      <c r="F2891" s="10" t="s">
        <v>14381</v>
      </c>
      <c r="G2891" s="10" t="s">
        <v>12654</v>
      </c>
      <c r="H2891" s="10" t="s">
        <v>858</v>
      </c>
      <c r="I2891" s="10" t="s">
        <v>55</v>
      </c>
      <c r="K2891" s="10" t="s">
        <v>15262</v>
      </c>
      <c r="L2891" s="10" t="s">
        <v>42</v>
      </c>
    </row>
    <row r="2892" ht="15.75" customHeight="1">
      <c r="A2892" s="64">
        <v>45462.0</v>
      </c>
      <c r="B2892" s="55" t="str">
        <f>HYPERLINK("https://jobright.ai/jobs/info/667339f0d892db31454e6284?utm_campaign=1065&amp;utm_source=sheet", "Apply")</f>
        <v>Apply</v>
      </c>
      <c r="C2892" s="10" t="s">
        <v>15261</v>
      </c>
      <c r="D2892" s="56" t="s">
        <v>14380</v>
      </c>
      <c r="E2892" s="59">
        <v>45301.0</v>
      </c>
      <c r="F2892" s="10" t="s">
        <v>14381</v>
      </c>
      <c r="G2892" s="10" t="s">
        <v>12654</v>
      </c>
      <c r="H2892" s="10" t="s">
        <v>901</v>
      </c>
      <c r="I2892" s="10" t="s">
        <v>55</v>
      </c>
      <c r="K2892" s="10" t="s">
        <v>15262</v>
      </c>
      <c r="L2892" s="10" t="s">
        <v>42</v>
      </c>
    </row>
    <row r="2893" ht="15.75" customHeight="1">
      <c r="A2893" s="64">
        <v>45462.0</v>
      </c>
      <c r="B2893" s="55" t="str">
        <f>HYPERLINK("https://jobright.ai/jobs/info/66736e9f21f478e9a4d1001f?utm_campaign=1065&amp;utm_source=sheet", "Apply")</f>
        <v>Apply</v>
      </c>
      <c r="C2893" s="10" t="s">
        <v>14379</v>
      </c>
      <c r="D2893" s="56" t="s">
        <v>14380</v>
      </c>
      <c r="E2893" s="59">
        <v>45301.0</v>
      </c>
      <c r="F2893" s="10" t="s">
        <v>14381</v>
      </c>
      <c r="G2893" s="10" t="s">
        <v>12654</v>
      </c>
      <c r="H2893" s="10" t="s">
        <v>798</v>
      </c>
      <c r="I2893" s="10" t="s">
        <v>55</v>
      </c>
      <c r="J2893" s="10" t="s">
        <v>14382</v>
      </c>
      <c r="K2893" s="10" t="s">
        <v>14383</v>
      </c>
      <c r="L2893" s="10" t="s">
        <v>42</v>
      </c>
    </row>
    <row r="2894" ht="15.75" customHeight="1">
      <c r="A2894" s="64">
        <v>45462.0</v>
      </c>
      <c r="B2894" s="55" t="str">
        <f>HYPERLINK("https://jobright.ai/jobs/info/667339f0d892db31454e628a?utm_campaign=1065&amp;utm_source=sheet", "Apply")</f>
        <v>Apply</v>
      </c>
      <c r="C2894" s="10" t="s">
        <v>14379</v>
      </c>
      <c r="D2894" s="56" t="s">
        <v>14380</v>
      </c>
      <c r="E2894" s="59">
        <v>45301.0</v>
      </c>
      <c r="F2894" s="10" t="s">
        <v>14381</v>
      </c>
      <c r="G2894" s="10" t="s">
        <v>12654</v>
      </c>
      <c r="H2894" s="10" t="s">
        <v>1044</v>
      </c>
      <c r="I2894" s="10" t="s">
        <v>55</v>
      </c>
      <c r="J2894" s="10" t="s">
        <v>14382</v>
      </c>
      <c r="K2894" s="10" t="s">
        <v>14383</v>
      </c>
      <c r="L2894" s="10" t="s">
        <v>42</v>
      </c>
    </row>
    <row r="2895" ht="15.75" customHeight="1">
      <c r="A2895" s="64">
        <v>45462.0</v>
      </c>
      <c r="B2895" s="55" t="str">
        <f>HYPERLINK("https://jobright.ai/jobs/info/667339f0d892db31454e6286?utm_campaign=1065&amp;utm_source=sheet", "Apply")</f>
        <v>Apply</v>
      </c>
      <c r="C2895" s="10" t="s">
        <v>14379</v>
      </c>
      <c r="D2895" s="56" t="s">
        <v>14380</v>
      </c>
      <c r="E2895" s="59">
        <v>45301.0</v>
      </c>
      <c r="F2895" s="10" t="s">
        <v>14381</v>
      </c>
      <c r="G2895" s="10" t="s">
        <v>12654</v>
      </c>
      <c r="H2895" s="10" t="s">
        <v>882</v>
      </c>
      <c r="I2895" s="10" t="s">
        <v>55</v>
      </c>
      <c r="J2895" s="10" t="s">
        <v>14382</v>
      </c>
      <c r="K2895" s="10" t="s">
        <v>14383</v>
      </c>
      <c r="L2895" s="10" t="s">
        <v>42</v>
      </c>
    </row>
    <row r="2896" ht="15.75" customHeight="1">
      <c r="A2896" s="64">
        <v>45462.0</v>
      </c>
      <c r="B2896" s="55" t="str">
        <f>HYPERLINK("https://jobright.ai/jobs/info/66736e9f21f478e9a4d1001c?utm_campaign=1065&amp;utm_source=sheet", "Apply")</f>
        <v>Apply</v>
      </c>
      <c r="C2896" s="10" t="s">
        <v>14379</v>
      </c>
      <c r="D2896" s="56" t="s">
        <v>14380</v>
      </c>
      <c r="E2896" s="59">
        <v>45301.0</v>
      </c>
      <c r="F2896" s="10" t="s">
        <v>14381</v>
      </c>
      <c r="G2896" s="10" t="s">
        <v>12654</v>
      </c>
      <c r="H2896" s="10" t="s">
        <v>1021</v>
      </c>
      <c r="I2896" s="10" t="s">
        <v>55</v>
      </c>
      <c r="J2896" s="10" t="s">
        <v>14382</v>
      </c>
      <c r="K2896" s="10" t="s">
        <v>14383</v>
      </c>
      <c r="L2896" s="10" t="s">
        <v>42</v>
      </c>
    </row>
    <row r="2897" ht="15.75" customHeight="1">
      <c r="A2897" s="64">
        <v>45462.0</v>
      </c>
      <c r="B2897" s="55" t="str">
        <f>HYPERLINK("https://jobright.ai/jobs/info/66736e9f21f478e9a4d1001a?utm_campaign=1065&amp;utm_source=sheet", "Apply")</f>
        <v>Apply</v>
      </c>
      <c r="C2897" s="10" t="s">
        <v>14379</v>
      </c>
      <c r="D2897" s="56" t="s">
        <v>14380</v>
      </c>
      <c r="E2897" s="59">
        <v>45301.0</v>
      </c>
      <c r="F2897" s="10" t="s">
        <v>14381</v>
      </c>
      <c r="G2897" s="10" t="s">
        <v>12654</v>
      </c>
      <c r="H2897" s="10" t="s">
        <v>974</v>
      </c>
      <c r="I2897" s="10" t="s">
        <v>55</v>
      </c>
      <c r="J2897" s="10" t="s">
        <v>14382</v>
      </c>
      <c r="K2897" s="10" t="s">
        <v>14383</v>
      </c>
      <c r="L2897" s="10" t="s">
        <v>42</v>
      </c>
    </row>
    <row r="2898" ht="15.75" customHeight="1">
      <c r="A2898" s="64">
        <v>45462.0</v>
      </c>
      <c r="B2898" s="55" t="str">
        <f>HYPERLINK("https://jobright.ai/jobs/info/667339f0d892db31454e6287?utm_campaign=1065&amp;utm_source=sheet", "Apply")</f>
        <v>Apply</v>
      </c>
      <c r="C2898" s="10" t="s">
        <v>14379</v>
      </c>
      <c r="D2898" s="56" t="s">
        <v>14380</v>
      </c>
      <c r="E2898" s="59">
        <v>45301.0</v>
      </c>
      <c r="F2898" s="10" t="s">
        <v>14381</v>
      </c>
      <c r="G2898" s="10" t="s">
        <v>12654</v>
      </c>
      <c r="H2898" s="10" t="s">
        <v>880</v>
      </c>
      <c r="I2898" s="10" t="s">
        <v>55</v>
      </c>
      <c r="J2898" s="10" t="s">
        <v>14382</v>
      </c>
      <c r="K2898" s="10" t="s">
        <v>14383</v>
      </c>
      <c r="L2898" s="10" t="s">
        <v>42</v>
      </c>
    </row>
    <row r="2899" ht="15.75" customHeight="1">
      <c r="A2899" s="64">
        <v>45462.0</v>
      </c>
      <c r="B2899" s="55" t="str">
        <f>HYPERLINK("https://jobright.ai/jobs/info/66736e9f21f478e9a4d10016?utm_campaign=1065&amp;utm_source=sheet", "Apply")</f>
        <v>Apply</v>
      </c>
      <c r="C2899" s="10" t="s">
        <v>14379</v>
      </c>
      <c r="D2899" s="56" t="s">
        <v>14380</v>
      </c>
      <c r="E2899" s="59">
        <v>45301.0</v>
      </c>
      <c r="F2899" s="10" t="s">
        <v>14381</v>
      </c>
      <c r="G2899" s="10" t="s">
        <v>12654</v>
      </c>
      <c r="H2899" s="10" t="s">
        <v>933</v>
      </c>
      <c r="I2899" s="10" t="s">
        <v>55</v>
      </c>
      <c r="J2899" s="10" t="s">
        <v>14382</v>
      </c>
      <c r="K2899" s="10" t="s">
        <v>14383</v>
      </c>
      <c r="L2899" s="10" t="s">
        <v>42</v>
      </c>
    </row>
    <row r="2900" ht="15.75" customHeight="1">
      <c r="A2900" s="64">
        <v>45462.0</v>
      </c>
      <c r="B2900" s="55" t="str">
        <f>HYPERLINK("https://jobright.ai/jobs/info/667339f0d892db31454e6283?utm_campaign=1065&amp;utm_source=sheet", "Apply")</f>
        <v>Apply</v>
      </c>
      <c r="C2900" s="10" t="s">
        <v>14379</v>
      </c>
      <c r="D2900" s="56" t="s">
        <v>14380</v>
      </c>
      <c r="E2900" s="59">
        <v>45301.0</v>
      </c>
      <c r="F2900" s="10" t="s">
        <v>14381</v>
      </c>
      <c r="G2900" s="10" t="s">
        <v>12654</v>
      </c>
      <c r="H2900" s="10" t="s">
        <v>861</v>
      </c>
      <c r="I2900" s="10" t="s">
        <v>55</v>
      </c>
      <c r="J2900" s="10" t="s">
        <v>14382</v>
      </c>
      <c r="K2900" s="10" t="s">
        <v>14383</v>
      </c>
      <c r="L2900" s="10" t="s">
        <v>42</v>
      </c>
    </row>
    <row r="2901" ht="15.75" customHeight="1">
      <c r="A2901" s="64">
        <v>45462.0</v>
      </c>
      <c r="B2901" s="55" t="str">
        <f>HYPERLINK("https://jobright.ai/jobs/info/66736e9f21f478e9a4d10017?utm_campaign=1065&amp;utm_source=sheet", "Apply")</f>
        <v>Apply</v>
      </c>
      <c r="C2901" s="10" t="s">
        <v>14379</v>
      </c>
      <c r="D2901" s="56" t="s">
        <v>14380</v>
      </c>
      <c r="E2901" s="59">
        <v>45301.0</v>
      </c>
      <c r="F2901" s="10" t="s">
        <v>14381</v>
      </c>
      <c r="G2901" s="10" t="s">
        <v>12654</v>
      </c>
      <c r="H2901" s="10" t="s">
        <v>1046</v>
      </c>
      <c r="I2901" s="10" t="s">
        <v>55</v>
      </c>
      <c r="J2901" s="10" t="s">
        <v>14382</v>
      </c>
      <c r="K2901" s="10" t="s">
        <v>14383</v>
      </c>
      <c r="L2901" s="10" t="s">
        <v>42</v>
      </c>
    </row>
    <row r="2902" ht="15.75" customHeight="1">
      <c r="A2902" s="64">
        <v>45462.0</v>
      </c>
      <c r="B2902" s="55" t="str">
        <f>HYPERLINK("https://jobright.ai/jobs/info/66736e9f21f478e9a4d10019?utm_campaign=1065&amp;utm_source=sheet", "Apply")</f>
        <v>Apply</v>
      </c>
      <c r="C2902" s="10" t="s">
        <v>14379</v>
      </c>
      <c r="D2902" s="56" t="s">
        <v>14380</v>
      </c>
      <c r="E2902" s="59">
        <v>45301.0</v>
      </c>
      <c r="F2902" s="10" t="s">
        <v>14381</v>
      </c>
      <c r="G2902" s="10" t="s">
        <v>12654</v>
      </c>
      <c r="H2902" s="10" t="s">
        <v>867</v>
      </c>
      <c r="I2902" s="10" t="s">
        <v>55</v>
      </c>
      <c r="J2902" s="10" t="s">
        <v>14382</v>
      </c>
      <c r="K2902" s="10" t="s">
        <v>14383</v>
      </c>
      <c r="L2902" s="10" t="s">
        <v>42</v>
      </c>
    </row>
    <row r="2903" ht="15.75" customHeight="1">
      <c r="A2903" s="64">
        <v>45462.0</v>
      </c>
      <c r="B2903" s="55" t="str">
        <f>HYPERLINK("https://jobright.ai/jobs/info/667339f0d892db31454e6281?utm_campaign=1065&amp;utm_source=sheet", "Apply")</f>
        <v>Apply</v>
      </c>
      <c r="C2903" s="10" t="s">
        <v>14379</v>
      </c>
      <c r="D2903" s="56" t="s">
        <v>14380</v>
      </c>
      <c r="E2903" s="59">
        <v>45301.0</v>
      </c>
      <c r="F2903" s="10" t="s">
        <v>14381</v>
      </c>
      <c r="G2903" s="10" t="s">
        <v>12654</v>
      </c>
      <c r="H2903" s="10" t="s">
        <v>883</v>
      </c>
      <c r="I2903" s="10" t="s">
        <v>55</v>
      </c>
      <c r="J2903" s="10" t="s">
        <v>14382</v>
      </c>
      <c r="K2903" s="10" t="s">
        <v>14383</v>
      </c>
      <c r="L2903" s="10" t="s">
        <v>42</v>
      </c>
    </row>
    <row r="2904" ht="15.75" customHeight="1">
      <c r="A2904" s="64">
        <v>45462.0</v>
      </c>
      <c r="B2904" s="55" t="str">
        <f>HYPERLINK("https://jobright.ai/jobs/info/667339f0d892db31454e627e?utm_campaign=1065&amp;utm_source=sheet", "Apply")</f>
        <v>Apply</v>
      </c>
      <c r="C2904" s="10" t="s">
        <v>14379</v>
      </c>
      <c r="D2904" s="56" t="s">
        <v>14380</v>
      </c>
      <c r="E2904" s="59">
        <v>45301.0</v>
      </c>
      <c r="F2904" s="10" t="s">
        <v>14381</v>
      </c>
      <c r="G2904" s="10" t="s">
        <v>12654</v>
      </c>
      <c r="H2904" s="10" t="s">
        <v>1052</v>
      </c>
      <c r="I2904" s="10" t="s">
        <v>55</v>
      </c>
      <c r="J2904" s="10" t="s">
        <v>14382</v>
      </c>
      <c r="K2904" s="10" t="s">
        <v>14383</v>
      </c>
      <c r="L2904" s="10" t="s">
        <v>42</v>
      </c>
    </row>
    <row r="2905" ht="15.75" customHeight="1">
      <c r="A2905" s="64">
        <v>45462.0</v>
      </c>
      <c r="B2905" s="55" t="str">
        <f>HYPERLINK("https://jobright.ai/jobs/info/66736e9f21f478e9a4d1001e?utm_campaign=1065&amp;utm_source=sheet", "Apply")</f>
        <v>Apply</v>
      </c>
      <c r="C2905" s="10" t="s">
        <v>15261</v>
      </c>
      <c r="D2905" s="56" t="s">
        <v>14380</v>
      </c>
      <c r="E2905" s="59">
        <v>45301.0</v>
      </c>
      <c r="F2905" s="10" t="s">
        <v>14381</v>
      </c>
      <c r="G2905" s="10" t="s">
        <v>12654</v>
      </c>
      <c r="H2905" s="10" t="s">
        <v>972</v>
      </c>
      <c r="I2905" s="10" t="s">
        <v>55</v>
      </c>
      <c r="K2905" s="10" t="s">
        <v>15262</v>
      </c>
      <c r="L2905" s="10" t="s">
        <v>42</v>
      </c>
    </row>
    <row r="2906" ht="15.75" customHeight="1">
      <c r="A2906" s="64">
        <v>45462.0</v>
      </c>
      <c r="B2906" s="55" t="str">
        <f>HYPERLINK("https://jobright.ai/jobs/info/66736e9f21f478e9a4d1001b?utm_campaign=1065&amp;utm_source=sheet", "Apply")</f>
        <v>Apply</v>
      </c>
      <c r="C2906" s="10" t="s">
        <v>15261</v>
      </c>
      <c r="D2906" s="56" t="s">
        <v>14380</v>
      </c>
      <c r="E2906" s="59">
        <v>45301.0</v>
      </c>
      <c r="F2906" s="10" t="s">
        <v>14381</v>
      </c>
      <c r="G2906" s="10" t="s">
        <v>12654</v>
      </c>
      <c r="H2906" s="10" t="s">
        <v>146</v>
      </c>
      <c r="I2906" s="10" t="s">
        <v>55</v>
      </c>
      <c r="K2906" s="10" t="s">
        <v>15262</v>
      </c>
      <c r="L2906" s="10" t="s">
        <v>42</v>
      </c>
    </row>
    <row r="2907" ht="15.75" customHeight="1">
      <c r="A2907" s="64">
        <v>45462.0</v>
      </c>
      <c r="B2907" s="55" t="str">
        <f>HYPERLINK("https://jobright.ai/jobs/info/66736e9f21f478e9a4d10021?utm_campaign=1065&amp;utm_source=sheet", "Apply")</f>
        <v>Apply</v>
      </c>
      <c r="C2907" s="10" t="s">
        <v>15261</v>
      </c>
      <c r="D2907" s="56" t="s">
        <v>14380</v>
      </c>
      <c r="E2907" s="59">
        <v>45301.0</v>
      </c>
      <c r="F2907" s="10" t="s">
        <v>14381</v>
      </c>
      <c r="G2907" s="10" t="s">
        <v>12654</v>
      </c>
      <c r="H2907" s="10" t="s">
        <v>1023</v>
      </c>
      <c r="I2907" s="10" t="s">
        <v>55</v>
      </c>
      <c r="K2907" s="10" t="s">
        <v>15262</v>
      </c>
      <c r="L2907" s="10" t="s">
        <v>42</v>
      </c>
    </row>
    <row r="2908" ht="15.75" customHeight="1">
      <c r="A2908" s="64">
        <v>45462.0</v>
      </c>
      <c r="B2908" s="55" t="str">
        <f>HYPERLINK("https://jobright.ai/jobs/info/667339f0d892db31454e628b?utm_campaign=1065&amp;utm_source=sheet", "Apply")</f>
        <v>Apply</v>
      </c>
      <c r="C2908" s="10" t="s">
        <v>15261</v>
      </c>
      <c r="D2908" s="56" t="s">
        <v>14380</v>
      </c>
      <c r="E2908" s="59">
        <v>45301.0</v>
      </c>
      <c r="F2908" s="10" t="s">
        <v>14381</v>
      </c>
      <c r="G2908" s="10" t="s">
        <v>12654</v>
      </c>
      <c r="H2908" s="10" t="s">
        <v>983</v>
      </c>
      <c r="I2908" s="10" t="s">
        <v>55</v>
      </c>
      <c r="K2908" s="10" t="s">
        <v>15262</v>
      </c>
      <c r="L2908" s="10" t="s">
        <v>42</v>
      </c>
    </row>
    <row r="2909" ht="15.75" customHeight="1">
      <c r="A2909" s="64">
        <v>45462.0</v>
      </c>
      <c r="B2909" s="55" t="str">
        <f>HYPERLINK("https://jobright.ai/jobs/info/667339f0d892db31454e627f?utm_campaign=1065&amp;utm_source=sheet", "Apply")</f>
        <v>Apply</v>
      </c>
      <c r="C2909" s="10" t="s">
        <v>14379</v>
      </c>
      <c r="D2909" s="56" t="s">
        <v>14380</v>
      </c>
      <c r="E2909" s="59">
        <v>45301.0</v>
      </c>
      <c r="F2909" s="10" t="s">
        <v>14381</v>
      </c>
      <c r="G2909" s="10" t="s">
        <v>12654</v>
      </c>
      <c r="H2909" s="10" t="s">
        <v>912</v>
      </c>
      <c r="I2909" s="10" t="s">
        <v>55</v>
      </c>
      <c r="J2909" s="10" t="s">
        <v>14382</v>
      </c>
      <c r="K2909" s="10" t="s">
        <v>14383</v>
      </c>
      <c r="L2909" s="10" t="s">
        <v>42</v>
      </c>
    </row>
    <row r="2910" ht="15.75" customHeight="1">
      <c r="A2910" s="64">
        <v>45462.0</v>
      </c>
      <c r="B2910" s="55" t="str">
        <f>HYPERLINK("https://jobright.ai/jobs/info/667339f0d892db31454e6288?utm_campaign=1065&amp;utm_source=sheet", "Apply")</f>
        <v>Apply</v>
      </c>
      <c r="C2910" s="10" t="s">
        <v>14379</v>
      </c>
      <c r="D2910" s="56" t="s">
        <v>14380</v>
      </c>
      <c r="E2910" s="59">
        <v>45301.0</v>
      </c>
      <c r="F2910" s="10" t="s">
        <v>14381</v>
      </c>
      <c r="G2910" s="10" t="s">
        <v>12654</v>
      </c>
      <c r="H2910" s="10" t="s">
        <v>800</v>
      </c>
      <c r="I2910" s="10" t="s">
        <v>55</v>
      </c>
      <c r="J2910" s="10" t="s">
        <v>14382</v>
      </c>
      <c r="K2910" s="10" t="s">
        <v>14383</v>
      </c>
      <c r="L2910" s="10" t="s">
        <v>42</v>
      </c>
    </row>
    <row r="2911" ht="15.75" customHeight="1">
      <c r="A2911" s="64">
        <v>45462.0</v>
      </c>
      <c r="B2911" s="55" t="str">
        <f>HYPERLINK("https://jobright.ai/jobs/info/66736e9f21f478e9a4d10020?utm_campaign=1065&amp;utm_source=sheet", "Apply")</f>
        <v>Apply</v>
      </c>
      <c r="C2911" s="10" t="s">
        <v>15261</v>
      </c>
      <c r="D2911" s="56" t="s">
        <v>14380</v>
      </c>
      <c r="E2911" s="59">
        <v>45301.0</v>
      </c>
      <c r="F2911" s="10" t="s">
        <v>14381</v>
      </c>
      <c r="G2911" s="10" t="s">
        <v>12654</v>
      </c>
      <c r="H2911" s="10" t="s">
        <v>789</v>
      </c>
      <c r="I2911" s="10" t="s">
        <v>55</v>
      </c>
      <c r="K2911" s="10" t="s">
        <v>15262</v>
      </c>
      <c r="L2911" s="10" t="s">
        <v>42</v>
      </c>
    </row>
    <row r="2912" ht="15.75" customHeight="1">
      <c r="A2912" s="64">
        <v>45462.0</v>
      </c>
      <c r="B2912" s="55" t="str">
        <f>HYPERLINK("https://jobright.ai/jobs/info/66736e9f21f478e9a4d10018?utm_campaign=1065&amp;utm_source=sheet", "Apply")</f>
        <v>Apply</v>
      </c>
      <c r="C2912" s="10" t="s">
        <v>14379</v>
      </c>
      <c r="D2912" s="56" t="s">
        <v>14380</v>
      </c>
      <c r="E2912" s="59">
        <v>45301.0</v>
      </c>
      <c r="F2912" s="10" t="s">
        <v>14381</v>
      </c>
      <c r="G2912" s="10" t="s">
        <v>12654</v>
      </c>
      <c r="H2912" s="10" t="s">
        <v>827</v>
      </c>
      <c r="I2912" s="10" t="s">
        <v>55</v>
      </c>
      <c r="J2912" s="10" t="s">
        <v>14382</v>
      </c>
      <c r="K2912" s="10" t="s">
        <v>14383</v>
      </c>
      <c r="L2912" s="10" t="s">
        <v>42</v>
      </c>
    </row>
    <row r="2913" ht="15.75" customHeight="1">
      <c r="A2913" s="64">
        <v>45462.0</v>
      </c>
      <c r="B2913" s="55" t="str">
        <f>HYPERLINK("https://jobright.ai/jobs/info/667339f0d892db31454e6280?utm_campaign=1065&amp;utm_source=sheet", "Apply")</f>
        <v>Apply</v>
      </c>
      <c r="C2913" s="10" t="s">
        <v>15261</v>
      </c>
      <c r="D2913" s="56" t="s">
        <v>14380</v>
      </c>
      <c r="E2913" s="59">
        <v>45301.0</v>
      </c>
      <c r="F2913" s="10" t="s">
        <v>14381</v>
      </c>
      <c r="G2913" s="10" t="s">
        <v>12654</v>
      </c>
      <c r="H2913" s="10" t="s">
        <v>578</v>
      </c>
      <c r="I2913" s="10" t="s">
        <v>55</v>
      </c>
      <c r="K2913" s="10" t="s">
        <v>15262</v>
      </c>
      <c r="L2913" s="10" t="s">
        <v>42</v>
      </c>
    </row>
    <row r="2914" ht="15.75" customHeight="1">
      <c r="A2914" s="64">
        <v>45462.0</v>
      </c>
      <c r="B2914" s="55" t="str">
        <f>HYPERLINK("https://jobright.ai/jobs/info/667339f0d892db31454e627c?utm_campaign=1065&amp;utm_source=sheet", "Apply")</f>
        <v>Apply</v>
      </c>
      <c r="C2914" s="10" t="s">
        <v>14379</v>
      </c>
      <c r="D2914" s="56" t="s">
        <v>14380</v>
      </c>
      <c r="E2914" s="59">
        <v>45301.0</v>
      </c>
      <c r="F2914" s="10" t="s">
        <v>14381</v>
      </c>
      <c r="G2914" s="10" t="s">
        <v>12654</v>
      </c>
      <c r="H2914" s="10" t="s">
        <v>1012</v>
      </c>
      <c r="I2914" s="10" t="s">
        <v>55</v>
      </c>
      <c r="J2914" s="10" t="s">
        <v>14382</v>
      </c>
      <c r="K2914" s="10" t="s">
        <v>14383</v>
      </c>
      <c r="L2914" s="10" t="s">
        <v>42</v>
      </c>
    </row>
    <row r="2915" ht="15.75" customHeight="1">
      <c r="A2915" s="64">
        <v>45462.0</v>
      </c>
      <c r="B2915" s="55" t="str">
        <f>HYPERLINK("https://jobright.ai/jobs/info/66736e9f21f478e9a4d1001d?utm_campaign=1065&amp;utm_source=sheet", "Apply")</f>
        <v>Apply</v>
      </c>
      <c r="C2915" s="10" t="s">
        <v>14379</v>
      </c>
      <c r="D2915" s="56" t="s">
        <v>14380</v>
      </c>
      <c r="E2915" s="59">
        <v>45301.0</v>
      </c>
      <c r="F2915" s="10" t="s">
        <v>14381</v>
      </c>
      <c r="G2915" s="10" t="s">
        <v>12654</v>
      </c>
      <c r="H2915" s="10" t="s">
        <v>834</v>
      </c>
      <c r="I2915" s="10" t="s">
        <v>55</v>
      </c>
      <c r="J2915" s="10" t="s">
        <v>14382</v>
      </c>
      <c r="K2915" s="10" t="s">
        <v>14383</v>
      </c>
      <c r="L2915" s="10" t="s">
        <v>42</v>
      </c>
    </row>
    <row r="2916" ht="15.75" customHeight="1">
      <c r="A2916" s="64">
        <v>45462.0</v>
      </c>
      <c r="B2916" s="55" t="str">
        <f>HYPERLINK("https://jobright.ai/jobs/info/66736e9f21f478e9a4d10015?utm_campaign=1065&amp;utm_source=sheet", "Apply")</f>
        <v>Apply</v>
      </c>
      <c r="C2916" s="10" t="s">
        <v>14379</v>
      </c>
      <c r="D2916" s="56" t="s">
        <v>14380</v>
      </c>
      <c r="E2916" s="59">
        <v>45301.0</v>
      </c>
      <c r="F2916" s="10" t="s">
        <v>14381</v>
      </c>
      <c r="G2916" s="10" t="s">
        <v>12654</v>
      </c>
      <c r="H2916" s="10" t="s">
        <v>948</v>
      </c>
      <c r="I2916" s="10" t="s">
        <v>55</v>
      </c>
      <c r="J2916" s="10" t="s">
        <v>14382</v>
      </c>
      <c r="K2916" s="10" t="s">
        <v>14383</v>
      </c>
      <c r="L2916" s="10" t="s">
        <v>42</v>
      </c>
    </row>
    <row r="2917" ht="15.75" customHeight="1">
      <c r="A2917" s="64">
        <v>45462.0</v>
      </c>
      <c r="B2917" s="55" t="str">
        <f>HYPERLINK("https://jobright.ai/jobs/info/667339f0d892db31454e6289?utm_campaign=1065&amp;utm_source=sheet", "Apply")</f>
        <v>Apply</v>
      </c>
      <c r="C2917" s="10" t="s">
        <v>15261</v>
      </c>
      <c r="D2917" s="56" t="s">
        <v>14380</v>
      </c>
      <c r="E2917" s="59">
        <v>45301.0</v>
      </c>
      <c r="F2917" s="10" t="s">
        <v>14381</v>
      </c>
      <c r="G2917" s="10" t="s">
        <v>12654</v>
      </c>
      <c r="H2917" s="10" t="s">
        <v>1022</v>
      </c>
      <c r="I2917" s="10" t="s">
        <v>55</v>
      </c>
      <c r="K2917" s="10" t="s">
        <v>15262</v>
      </c>
      <c r="L2917" s="10" t="s">
        <v>42</v>
      </c>
    </row>
    <row r="2918" ht="15.75" customHeight="1">
      <c r="A2918" s="64">
        <v>45462.0</v>
      </c>
      <c r="B2918" s="55" t="str">
        <f>HYPERLINK("https://jobright.ai/jobs/info/667339f0d892db31454e627d?utm_campaign=1065&amp;utm_source=sheet", "Apply")</f>
        <v>Apply</v>
      </c>
      <c r="C2918" s="10" t="s">
        <v>14379</v>
      </c>
      <c r="D2918" s="56" t="s">
        <v>14380</v>
      </c>
      <c r="E2918" s="59">
        <v>45301.0</v>
      </c>
      <c r="F2918" s="10" t="s">
        <v>14381</v>
      </c>
      <c r="G2918" s="10" t="s">
        <v>12654</v>
      </c>
      <c r="H2918" s="10" t="s">
        <v>988</v>
      </c>
      <c r="I2918" s="10" t="s">
        <v>55</v>
      </c>
      <c r="J2918" s="10" t="s">
        <v>14382</v>
      </c>
      <c r="K2918" s="10" t="s">
        <v>14383</v>
      </c>
      <c r="L2918" s="10" t="s">
        <v>42</v>
      </c>
    </row>
    <row r="2919" ht="15.75" customHeight="1">
      <c r="A2919" s="64">
        <v>45462.0</v>
      </c>
      <c r="B2919" s="55" t="str">
        <f>HYPERLINK("https://jobright.ai/jobs/info/66736e9f21f478e9a4d1002e?utm_campaign=1065&amp;utm_source=sheet", "Apply")</f>
        <v>Apply</v>
      </c>
      <c r="C2919" s="10" t="s">
        <v>14379</v>
      </c>
      <c r="D2919" s="56" t="s">
        <v>14380</v>
      </c>
      <c r="E2919" s="59">
        <v>45301.0</v>
      </c>
      <c r="F2919" s="10" t="s">
        <v>14381</v>
      </c>
      <c r="G2919" s="10" t="s">
        <v>12654</v>
      </c>
      <c r="H2919" s="10" t="s">
        <v>930</v>
      </c>
      <c r="I2919" s="10" t="s">
        <v>55</v>
      </c>
      <c r="J2919" s="10" t="s">
        <v>14382</v>
      </c>
      <c r="K2919" s="10" t="s">
        <v>14383</v>
      </c>
      <c r="L2919" s="10" t="s">
        <v>42</v>
      </c>
    </row>
    <row r="2920" ht="15.75" customHeight="1">
      <c r="A2920" s="64">
        <v>45462.0</v>
      </c>
      <c r="B2920" s="55" t="str">
        <f>HYPERLINK("https://jobright.ai/jobs/info/66736e9f21f478e9a4d1002f?utm_campaign=1065&amp;utm_source=sheet", "Apply")</f>
        <v>Apply</v>
      </c>
      <c r="C2920" s="10" t="s">
        <v>15261</v>
      </c>
      <c r="D2920" s="56" t="s">
        <v>14380</v>
      </c>
      <c r="E2920" s="59">
        <v>45301.0</v>
      </c>
      <c r="F2920" s="10" t="s">
        <v>14381</v>
      </c>
      <c r="G2920" s="10" t="s">
        <v>12654</v>
      </c>
      <c r="H2920" s="10" t="s">
        <v>792</v>
      </c>
      <c r="I2920" s="10" t="s">
        <v>55</v>
      </c>
      <c r="K2920" s="10" t="s">
        <v>15262</v>
      </c>
      <c r="L2920" s="10" t="s">
        <v>42</v>
      </c>
    </row>
    <row r="2921" ht="15.75" customHeight="1">
      <c r="A2921" s="64">
        <v>45462.0</v>
      </c>
      <c r="B2921" s="55" t="str">
        <f>HYPERLINK("https://jobright.ai/jobs/info/66736e9f21f478e9a4d1002a?utm_campaign=1065&amp;utm_source=sheet", "Apply")</f>
        <v>Apply</v>
      </c>
      <c r="C2921" s="10" t="s">
        <v>14379</v>
      </c>
      <c r="D2921" s="56" t="s">
        <v>14380</v>
      </c>
      <c r="E2921" s="59">
        <v>45301.0</v>
      </c>
      <c r="F2921" s="10" t="s">
        <v>14381</v>
      </c>
      <c r="G2921" s="10" t="s">
        <v>12654</v>
      </c>
      <c r="H2921" s="10" t="s">
        <v>7690</v>
      </c>
      <c r="I2921" s="10" t="s">
        <v>55</v>
      </c>
      <c r="J2921" s="10" t="s">
        <v>14382</v>
      </c>
      <c r="K2921" s="10" t="s">
        <v>14383</v>
      </c>
      <c r="L2921" s="10" t="s">
        <v>42</v>
      </c>
    </row>
    <row r="2922" ht="15.75" customHeight="1">
      <c r="A2922" s="64">
        <v>45462.0</v>
      </c>
      <c r="B2922" s="55" t="str">
        <f>HYPERLINK("https://jobright.ai/jobs/info/66736e9f21f478e9a4d1002c?utm_campaign=1065&amp;utm_source=sheet", "Apply")</f>
        <v>Apply</v>
      </c>
      <c r="C2922" s="10" t="s">
        <v>14379</v>
      </c>
      <c r="D2922" s="56" t="s">
        <v>14380</v>
      </c>
      <c r="E2922" s="59">
        <v>45301.0</v>
      </c>
      <c r="F2922" s="10" t="s">
        <v>14381</v>
      </c>
      <c r="G2922" s="10" t="s">
        <v>12654</v>
      </c>
      <c r="H2922" s="10" t="s">
        <v>621</v>
      </c>
      <c r="I2922" s="10" t="s">
        <v>55</v>
      </c>
      <c r="J2922" s="10" t="s">
        <v>14382</v>
      </c>
      <c r="K2922" s="10" t="s">
        <v>14383</v>
      </c>
      <c r="L2922" s="10" t="s">
        <v>42</v>
      </c>
    </row>
    <row r="2923" ht="15.75" customHeight="1">
      <c r="A2923" s="64">
        <v>45462.0</v>
      </c>
      <c r="B2923" s="55" t="str">
        <f>HYPERLINK("https://jobright.ai/jobs/info/66736e9f21f478e9a4d10027?utm_campaign=1065&amp;utm_source=sheet", "Apply")</f>
        <v>Apply</v>
      </c>
      <c r="C2923" s="10" t="s">
        <v>14379</v>
      </c>
      <c r="D2923" s="56" t="s">
        <v>14380</v>
      </c>
      <c r="E2923" s="59">
        <v>45301.0</v>
      </c>
      <c r="F2923" s="10" t="s">
        <v>14381</v>
      </c>
      <c r="G2923" s="10" t="s">
        <v>12654</v>
      </c>
      <c r="H2923" s="10" t="s">
        <v>831</v>
      </c>
      <c r="I2923" s="10" t="s">
        <v>55</v>
      </c>
      <c r="J2923" s="10" t="s">
        <v>14382</v>
      </c>
      <c r="K2923" s="10" t="s">
        <v>14383</v>
      </c>
      <c r="L2923" s="10" t="s">
        <v>42</v>
      </c>
    </row>
    <row r="2924" ht="15.75" customHeight="1">
      <c r="A2924" s="64">
        <v>45462.0</v>
      </c>
      <c r="B2924" s="55" t="str">
        <f>HYPERLINK("https://jobright.ai/jobs/info/66736e9f21f478e9a4d10022?utm_campaign=1065&amp;utm_source=sheet", "Apply")</f>
        <v>Apply</v>
      </c>
      <c r="C2924" s="10" t="s">
        <v>14379</v>
      </c>
      <c r="D2924" s="56" t="s">
        <v>14380</v>
      </c>
      <c r="E2924" s="59">
        <v>45301.0</v>
      </c>
      <c r="F2924" s="10" t="s">
        <v>14381</v>
      </c>
      <c r="G2924" s="10" t="s">
        <v>12654</v>
      </c>
      <c r="H2924" s="10" t="s">
        <v>1002</v>
      </c>
      <c r="I2924" s="10" t="s">
        <v>55</v>
      </c>
      <c r="J2924" s="10" t="s">
        <v>14382</v>
      </c>
      <c r="K2924" s="10" t="s">
        <v>14383</v>
      </c>
      <c r="L2924" s="10" t="s">
        <v>42</v>
      </c>
    </row>
    <row r="2925" ht="15.75" customHeight="1">
      <c r="A2925" s="64">
        <v>45462.0</v>
      </c>
      <c r="B2925" s="55" t="str">
        <f>HYPERLINK("https://jobright.ai/jobs/info/66736e9f21f478e9a4d10029?utm_campaign=1065&amp;utm_source=sheet", "Apply")</f>
        <v>Apply</v>
      </c>
      <c r="C2925" s="10" t="s">
        <v>15261</v>
      </c>
      <c r="D2925" s="56" t="s">
        <v>14380</v>
      </c>
      <c r="E2925" s="59">
        <v>45301.0</v>
      </c>
      <c r="F2925" s="10" t="s">
        <v>14381</v>
      </c>
      <c r="G2925" s="10" t="s">
        <v>12654</v>
      </c>
      <c r="H2925" s="10" t="s">
        <v>868</v>
      </c>
      <c r="I2925" s="10" t="s">
        <v>55</v>
      </c>
      <c r="K2925" s="10" t="s">
        <v>15262</v>
      </c>
      <c r="L2925" s="10" t="s">
        <v>42</v>
      </c>
    </row>
    <row r="2926" ht="15.75" customHeight="1">
      <c r="A2926" s="64">
        <v>45462.0</v>
      </c>
      <c r="B2926" s="55" t="str">
        <f>HYPERLINK("https://jobright.ai/jobs/info/66736e9f21f478e9a4d10030?utm_campaign=1065&amp;utm_source=sheet", "Apply")</f>
        <v>Apply</v>
      </c>
      <c r="C2926" s="10" t="s">
        <v>14379</v>
      </c>
      <c r="D2926" s="56" t="s">
        <v>14380</v>
      </c>
      <c r="E2926" s="59">
        <v>45301.0</v>
      </c>
      <c r="F2926" s="10" t="s">
        <v>14381</v>
      </c>
      <c r="G2926" s="10" t="s">
        <v>12654</v>
      </c>
      <c r="H2926" s="10" t="s">
        <v>925</v>
      </c>
      <c r="I2926" s="10" t="s">
        <v>55</v>
      </c>
      <c r="J2926" s="10" t="s">
        <v>14382</v>
      </c>
      <c r="K2926" s="10" t="s">
        <v>14383</v>
      </c>
      <c r="L2926" s="10" t="s">
        <v>42</v>
      </c>
    </row>
    <row r="2927" ht="15.75" customHeight="1">
      <c r="A2927" s="64">
        <v>45462.0</v>
      </c>
      <c r="B2927" s="55" t="str">
        <f>HYPERLINK("https://jobright.ai/jobs/info/66736e9f21f478e9a4d10026?utm_campaign=1065&amp;utm_source=sheet", "Apply")</f>
        <v>Apply</v>
      </c>
      <c r="C2927" s="10" t="s">
        <v>15261</v>
      </c>
      <c r="D2927" s="56" t="s">
        <v>14380</v>
      </c>
      <c r="E2927" s="59">
        <v>45301.0</v>
      </c>
      <c r="F2927" s="10" t="s">
        <v>14381</v>
      </c>
      <c r="G2927" s="10" t="s">
        <v>12654</v>
      </c>
      <c r="H2927" s="10" t="s">
        <v>926</v>
      </c>
      <c r="I2927" s="10" t="s">
        <v>55</v>
      </c>
      <c r="K2927" s="10" t="s">
        <v>15262</v>
      </c>
      <c r="L2927" s="10" t="s">
        <v>42</v>
      </c>
    </row>
    <row r="2928" ht="15.75" customHeight="1">
      <c r="A2928" s="64">
        <v>45462.0</v>
      </c>
      <c r="B2928" s="55" t="str">
        <f>HYPERLINK("https://jobright.ai/jobs/info/66736e9f21f478e9a4d10025?utm_campaign=1065&amp;utm_source=sheet", "Apply")</f>
        <v>Apply</v>
      </c>
      <c r="C2928" s="10" t="s">
        <v>15261</v>
      </c>
      <c r="D2928" s="56" t="s">
        <v>14380</v>
      </c>
      <c r="E2928" s="59">
        <v>45301.0</v>
      </c>
      <c r="F2928" s="10" t="s">
        <v>14381</v>
      </c>
      <c r="G2928" s="10" t="s">
        <v>12654</v>
      </c>
      <c r="H2928" s="10" t="s">
        <v>1017</v>
      </c>
      <c r="I2928" s="10" t="s">
        <v>55</v>
      </c>
      <c r="K2928" s="10" t="s">
        <v>15262</v>
      </c>
      <c r="L2928" s="10" t="s">
        <v>42</v>
      </c>
    </row>
    <row r="2929" ht="15.75" customHeight="1">
      <c r="A2929" s="64">
        <v>45462.0</v>
      </c>
      <c r="B2929" s="55" t="str">
        <f>HYPERLINK("https://jobright.ai/jobs/info/66736e9f21f478e9a4d10024?utm_campaign=1065&amp;utm_source=sheet", "Apply")</f>
        <v>Apply</v>
      </c>
      <c r="C2929" s="10" t="s">
        <v>14379</v>
      </c>
      <c r="D2929" s="56" t="s">
        <v>14380</v>
      </c>
      <c r="E2929" s="59">
        <v>45301.0</v>
      </c>
      <c r="F2929" s="10" t="s">
        <v>14381</v>
      </c>
      <c r="G2929" s="10" t="s">
        <v>12654</v>
      </c>
      <c r="H2929" s="10" t="s">
        <v>932</v>
      </c>
      <c r="I2929" s="10" t="s">
        <v>55</v>
      </c>
      <c r="J2929" s="10" t="s">
        <v>14382</v>
      </c>
      <c r="K2929" s="10" t="s">
        <v>14383</v>
      </c>
      <c r="L2929" s="10" t="s">
        <v>42</v>
      </c>
    </row>
    <row r="2930" ht="15.75" customHeight="1">
      <c r="A2930" s="64">
        <v>45462.0</v>
      </c>
      <c r="B2930" s="55" t="str">
        <f>HYPERLINK("https://jobright.ai/jobs/info/66736e9f21f478e9a4d10023?utm_campaign=1065&amp;utm_source=sheet", "Apply")</f>
        <v>Apply</v>
      </c>
      <c r="C2930" s="10" t="s">
        <v>15261</v>
      </c>
      <c r="D2930" s="56" t="s">
        <v>14380</v>
      </c>
      <c r="E2930" s="59">
        <v>45301.0</v>
      </c>
      <c r="F2930" s="10" t="s">
        <v>14381</v>
      </c>
      <c r="G2930" s="10" t="s">
        <v>12654</v>
      </c>
      <c r="H2930" s="10" t="s">
        <v>851</v>
      </c>
      <c r="I2930" s="10" t="s">
        <v>55</v>
      </c>
      <c r="K2930" s="10" t="s">
        <v>15262</v>
      </c>
      <c r="L2930" s="10" t="s">
        <v>42</v>
      </c>
    </row>
    <row r="2931" ht="15.75" customHeight="1">
      <c r="A2931" s="64">
        <v>45462.0</v>
      </c>
      <c r="B2931" s="55" t="str">
        <f>HYPERLINK("https://jobright.ai/jobs/info/66736e9f21f478e9a4d10028?utm_campaign=1065&amp;utm_source=sheet", "Apply")</f>
        <v>Apply</v>
      </c>
      <c r="C2931" s="10" t="s">
        <v>14379</v>
      </c>
      <c r="D2931" s="56" t="s">
        <v>14380</v>
      </c>
      <c r="E2931" s="59">
        <v>45301.0</v>
      </c>
      <c r="F2931" s="10" t="s">
        <v>14381</v>
      </c>
      <c r="G2931" s="10" t="s">
        <v>12654</v>
      </c>
      <c r="H2931" s="10" t="s">
        <v>807</v>
      </c>
      <c r="I2931" s="10" t="s">
        <v>55</v>
      </c>
      <c r="J2931" s="10" t="s">
        <v>14382</v>
      </c>
      <c r="K2931" s="10" t="s">
        <v>14383</v>
      </c>
      <c r="L2931" s="10" t="s">
        <v>42</v>
      </c>
    </row>
    <row r="2932" ht="15.75" customHeight="1">
      <c r="A2932" s="64">
        <v>45462.0</v>
      </c>
      <c r="B2932" s="55" t="str">
        <f>HYPERLINK("https://jobright.ai/jobs/info/66736e9f21f478e9a4d1002b?utm_campaign=1065&amp;utm_source=sheet", "Apply")</f>
        <v>Apply</v>
      </c>
      <c r="C2932" s="10" t="s">
        <v>14379</v>
      </c>
      <c r="D2932" s="56" t="s">
        <v>14380</v>
      </c>
      <c r="E2932" s="59">
        <v>45301.0</v>
      </c>
      <c r="F2932" s="10" t="s">
        <v>14381</v>
      </c>
      <c r="G2932" s="10" t="s">
        <v>12654</v>
      </c>
      <c r="H2932" s="10" t="s">
        <v>817</v>
      </c>
      <c r="I2932" s="10" t="s">
        <v>55</v>
      </c>
      <c r="J2932" s="10" t="s">
        <v>14382</v>
      </c>
      <c r="K2932" s="10" t="s">
        <v>14383</v>
      </c>
      <c r="L2932" s="10" t="s">
        <v>42</v>
      </c>
    </row>
    <row r="2933" ht="15.75" customHeight="1">
      <c r="A2933" s="64">
        <v>45462.0</v>
      </c>
      <c r="B2933" s="55" t="str">
        <f>HYPERLINK("https://jobright.ai/jobs/info/66736e9f21f478e9a4d1002d?utm_campaign=1065&amp;utm_source=sheet", "Apply")</f>
        <v>Apply</v>
      </c>
      <c r="C2933" s="10" t="s">
        <v>15261</v>
      </c>
      <c r="D2933" s="56" t="s">
        <v>14380</v>
      </c>
      <c r="E2933" s="59">
        <v>45301.0</v>
      </c>
      <c r="F2933" s="10" t="s">
        <v>14381</v>
      </c>
      <c r="G2933" s="10" t="s">
        <v>12654</v>
      </c>
      <c r="H2933" s="10" t="s">
        <v>1008</v>
      </c>
      <c r="I2933" s="10" t="s">
        <v>55</v>
      </c>
      <c r="K2933" s="10" t="s">
        <v>15262</v>
      </c>
      <c r="L2933" s="10" t="s">
        <v>42</v>
      </c>
    </row>
    <row r="2934" ht="15.75" customHeight="1">
      <c r="A2934" s="64">
        <v>45462.0</v>
      </c>
      <c r="B2934" s="55" t="str">
        <f>HYPERLINK("https://jobright.ai/jobs/info/66736e9f21f478e9a4d10035?utm_campaign=1065&amp;utm_source=sheet", "Apply")</f>
        <v>Apply</v>
      </c>
      <c r="C2934" s="10" t="s">
        <v>15261</v>
      </c>
      <c r="D2934" s="56" t="s">
        <v>14380</v>
      </c>
      <c r="E2934" s="59">
        <v>45301.0</v>
      </c>
      <c r="F2934" s="10" t="s">
        <v>14381</v>
      </c>
      <c r="G2934" s="10" t="s">
        <v>12654</v>
      </c>
      <c r="H2934" s="10" t="s">
        <v>790</v>
      </c>
      <c r="I2934" s="10" t="s">
        <v>55</v>
      </c>
      <c r="K2934" s="10" t="s">
        <v>15262</v>
      </c>
      <c r="L2934" s="10" t="s">
        <v>42</v>
      </c>
    </row>
    <row r="2935" ht="15.75" customHeight="1">
      <c r="A2935" s="64">
        <v>45462.0</v>
      </c>
      <c r="B2935" s="55" t="str">
        <f>HYPERLINK("https://jobright.ai/jobs/info/66736e9f21f478e9a4d10033?utm_campaign=1065&amp;utm_source=sheet", "Apply")</f>
        <v>Apply</v>
      </c>
      <c r="C2935" s="10" t="s">
        <v>15261</v>
      </c>
      <c r="D2935" s="56" t="s">
        <v>14380</v>
      </c>
      <c r="E2935" s="59">
        <v>45301.0</v>
      </c>
      <c r="F2935" s="10" t="s">
        <v>14381</v>
      </c>
      <c r="G2935" s="10" t="s">
        <v>12654</v>
      </c>
      <c r="H2935" s="10" t="s">
        <v>778</v>
      </c>
      <c r="I2935" s="10" t="s">
        <v>55</v>
      </c>
      <c r="K2935" s="10" t="s">
        <v>15262</v>
      </c>
      <c r="L2935" s="10" t="s">
        <v>42</v>
      </c>
    </row>
    <row r="2936" ht="15.75" customHeight="1">
      <c r="A2936" s="64">
        <v>45462.0</v>
      </c>
      <c r="B2936" s="55" t="str">
        <f>HYPERLINK("https://jobright.ai/jobs/info/66736e9f21f478e9a4d10034?utm_campaign=1065&amp;utm_source=sheet", "Apply")</f>
        <v>Apply</v>
      </c>
      <c r="C2936" s="10" t="s">
        <v>15261</v>
      </c>
      <c r="D2936" s="56" t="s">
        <v>14380</v>
      </c>
      <c r="E2936" s="59">
        <v>45301.0</v>
      </c>
      <c r="F2936" s="10" t="s">
        <v>14381</v>
      </c>
      <c r="G2936" s="10" t="s">
        <v>12654</v>
      </c>
      <c r="H2936" s="10" t="s">
        <v>1040</v>
      </c>
      <c r="I2936" s="10" t="s">
        <v>55</v>
      </c>
      <c r="K2936" s="10" t="s">
        <v>15262</v>
      </c>
      <c r="L2936" s="10" t="s">
        <v>42</v>
      </c>
    </row>
    <row r="2937" ht="15.75" customHeight="1">
      <c r="A2937" s="64">
        <v>45462.0</v>
      </c>
      <c r="B2937" s="55" t="str">
        <f>HYPERLINK("https://jobright.ai/jobs/info/66736e9f21f478e9a4d10038?utm_campaign=1065&amp;utm_source=sheet", "Apply")</f>
        <v>Apply</v>
      </c>
      <c r="C2937" s="10" t="s">
        <v>15261</v>
      </c>
      <c r="D2937" s="56" t="s">
        <v>14380</v>
      </c>
      <c r="E2937" s="59">
        <v>45301.0</v>
      </c>
      <c r="F2937" s="10" t="s">
        <v>14381</v>
      </c>
      <c r="G2937" s="10" t="s">
        <v>12654</v>
      </c>
      <c r="H2937" s="10" t="s">
        <v>139</v>
      </c>
      <c r="I2937" s="10" t="s">
        <v>55</v>
      </c>
      <c r="K2937" s="10" t="s">
        <v>15262</v>
      </c>
      <c r="L2937" s="10" t="s">
        <v>42</v>
      </c>
    </row>
    <row r="2938" ht="15.75" customHeight="1">
      <c r="A2938" s="64">
        <v>45462.0</v>
      </c>
      <c r="B2938" s="55" t="str">
        <f>HYPERLINK("https://jobright.ai/jobs/info/66736e9f21f478e9a4d10037?utm_campaign=1065&amp;utm_source=sheet", "Apply")</f>
        <v>Apply</v>
      </c>
      <c r="C2938" s="10" t="s">
        <v>14379</v>
      </c>
      <c r="D2938" s="56" t="s">
        <v>14380</v>
      </c>
      <c r="E2938" s="59">
        <v>45301.0</v>
      </c>
      <c r="F2938" s="10" t="s">
        <v>14381</v>
      </c>
      <c r="G2938" s="10" t="s">
        <v>12654</v>
      </c>
      <c r="H2938" s="10" t="s">
        <v>842</v>
      </c>
      <c r="I2938" s="10" t="s">
        <v>55</v>
      </c>
      <c r="J2938" s="10" t="s">
        <v>14382</v>
      </c>
      <c r="K2938" s="10" t="s">
        <v>14383</v>
      </c>
      <c r="L2938" s="10" t="s">
        <v>42</v>
      </c>
    </row>
    <row r="2939" ht="15.75" customHeight="1">
      <c r="A2939" s="64">
        <v>45462.0</v>
      </c>
      <c r="B2939" s="55" t="str">
        <f>HYPERLINK("https://jobright.ai/jobs/info/66736e9f21f478e9a4d10036?utm_campaign=1065&amp;utm_source=sheet", "Apply")</f>
        <v>Apply</v>
      </c>
      <c r="C2939" s="10" t="s">
        <v>15261</v>
      </c>
      <c r="D2939" s="56" t="s">
        <v>14380</v>
      </c>
      <c r="E2939" s="59">
        <v>45301.0</v>
      </c>
      <c r="F2939" s="10" t="s">
        <v>14381</v>
      </c>
      <c r="G2939" s="10" t="s">
        <v>12654</v>
      </c>
      <c r="H2939" s="10" t="s">
        <v>860</v>
      </c>
      <c r="I2939" s="10" t="s">
        <v>55</v>
      </c>
      <c r="K2939" s="10" t="s">
        <v>15262</v>
      </c>
      <c r="L2939" s="10" t="s">
        <v>42</v>
      </c>
    </row>
    <row r="2940" ht="15.75" customHeight="1">
      <c r="A2940" s="64">
        <v>45462.0</v>
      </c>
      <c r="B2940" s="55" t="str">
        <f>HYPERLINK("https://jobright.ai/jobs/info/66736e9f21f478e9a4d10031?utm_campaign=1065&amp;utm_source=sheet", "Apply")</f>
        <v>Apply</v>
      </c>
      <c r="C2940" s="10" t="s">
        <v>14379</v>
      </c>
      <c r="D2940" s="56" t="s">
        <v>14380</v>
      </c>
      <c r="E2940" s="59">
        <v>45301.0</v>
      </c>
      <c r="F2940" s="10" t="s">
        <v>14381</v>
      </c>
      <c r="G2940" s="10" t="s">
        <v>12654</v>
      </c>
      <c r="H2940" s="10" t="s">
        <v>829</v>
      </c>
      <c r="I2940" s="10" t="s">
        <v>55</v>
      </c>
      <c r="J2940" s="10" t="s">
        <v>14382</v>
      </c>
      <c r="K2940" s="10" t="s">
        <v>14383</v>
      </c>
      <c r="L2940" s="10" t="s">
        <v>42</v>
      </c>
    </row>
    <row r="2941" ht="15.75" customHeight="1">
      <c r="A2941" s="64">
        <v>45462.0</v>
      </c>
      <c r="B2941" s="55" t="str">
        <f>HYPERLINK("https://jobright.ai/jobs/info/66736e9f21f478e9a4d10032?utm_campaign=1065&amp;utm_source=sheet", "Apply")</f>
        <v>Apply</v>
      </c>
      <c r="C2941" s="10" t="s">
        <v>14379</v>
      </c>
      <c r="D2941" s="56" t="s">
        <v>14380</v>
      </c>
      <c r="E2941" s="59">
        <v>45301.0</v>
      </c>
      <c r="F2941" s="10" t="s">
        <v>14381</v>
      </c>
      <c r="G2941" s="10" t="s">
        <v>12654</v>
      </c>
      <c r="H2941" s="10" t="s">
        <v>1035</v>
      </c>
      <c r="I2941" s="10" t="s">
        <v>55</v>
      </c>
      <c r="J2941" s="10" t="s">
        <v>14382</v>
      </c>
      <c r="K2941" s="10" t="s">
        <v>14383</v>
      </c>
      <c r="L2941" s="10" t="s">
        <v>42</v>
      </c>
    </row>
    <row r="2942" ht="15.75" customHeight="1">
      <c r="A2942" s="64">
        <v>45462.0</v>
      </c>
      <c r="B2942" s="55" t="str">
        <f>HYPERLINK("https://jobright.ai/jobs/info/66736e9f21f478e9a4d1003e?utm_campaign=1065&amp;utm_source=sheet", "Apply")</f>
        <v>Apply</v>
      </c>
      <c r="C2942" s="10" t="s">
        <v>14379</v>
      </c>
      <c r="D2942" s="56" t="s">
        <v>14380</v>
      </c>
      <c r="E2942" s="59">
        <v>45301.0</v>
      </c>
      <c r="F2942" s="10" t="s">
        <v>14381</v>
      </c>
      <c r="G2942" s="10" t="s">
        <v>12654</v>
      </c>
      <c r="H2942" s="10" t="s">
        <v>804</v>
      </c>
      <c r="I2942" s="10" t="s">
        <v>55</v>
      </c>
      <c r="J2942" s="10" t="s">
        <v>14382</v>
      </c>
      <c r="K2942" s="10" t="s">
        <v>14383</v>
      </c>
      <c r="L2942" s="10" t="s">
        <v>42</v>
      </c>
    </row>
    <row r="2943" ht="15.75" customHeight="1">
      <c r="A2943" s="64">
        <v>45462.0</v>
      </c>
      <c r="B2943" s="55" t="str">
        <f>HYPERLINK("https://jobright.ai/jobs/info/66736e9f21f478e9a4d1003d?utm_campaign=1065&amp;utm_source=sheet", "Apply")</f>
        <v>Apply</v>
      </c>
      <c r="C2943" s="10" t="s">
        <v>15261</v>
      </c>
      <c r="D2943" s="56" t="s">
        <v>14380</v>
      </c>
      <c r="E2943" s="59">
        <v>45301.0</v>
      </c>
      <c r="F2943" s="10" t="s">
        <v>14381</v>
      </c>
      <c r="G2943" s="10" t="s">
        <v>12654</v>
      </c>
      <c r="H2943" s="10" t="s">
        <v>405</v>
      </c>
      <c r="I2943" s="10" t="s">
        <v>55</v>
      </c>
      <c r="K2943" s="10" t="s">
        <v>15262</v>
      </c>
      <c r="L2943" s="10" t="s">
        <v>42</v>
      </c>
    </row>
    <row r="2944" ht="15.75" customHeight="1">
      <c r="A2944" s="64">
        <v>45462.0</v>
      </c>
      <c r="B2944" s="55" t="str">
        <f>HYPERLINK("https://jobright.ai/jobs/info/667339f0d892db31454e628f?utm_campaign=1065&amp;utm_source=sheet", "Apply")</f>
        <v>Apply</v>
      </c>
      <c r="C2944" s="10" t="s">
        <v>14379</v>
      </c>
      <c r="D2944" s="56" t="s">
        <v>14380</v>
      </c>
      <c r="E2944" s="59">
        <v>45301.0</v>
      </c>
      <c r="F2944" s="10" t="s">
        <v>14381</v>
      </c>
      <c r="G2944" s="10" t="s">
        <v>12654</v>
      </c>
      <c r="H2944" s="10" t="s">
        <v>937</v>
      </c>
      <c r="I2944" s="10" t="s">
        <v>55</v>
      </c>
      <c r="J2944" s="10" t="s">
        <v>14382</v>
      </c>
      <c r="K2944" s="10" t="s">
        <v>14383</v>
      </c>
      <c r="L2944" s="10" t="s">
        <v>42</v>
      </c>
    </row>
    <row r="2945" ht="15.75" customHeight="1">
      <c r="A2945" s="64">
        <v>45462.0</v>
      </c>
      <c r="B2945" s="55" t="str">
        <f>HYPERLINK("https://jobright.ai/jobs/info/66736e9f21f478e9a4d1003f?utm_campaign=1065&amp;utm_source=sheet", "Apply")</f>
        <v>Apply</v>
      </c>
      <c r="C2945" s="10" t="s">
        <v>15261</v>
      </c>
      <c r="D2945" s="56" t="s">
        <v>14380</v>
      </c>
      <c r="E2945" s="59">
        <v>45301.0</v>
      </c>
      <c r="F2945" s="10" t="s">
        <v>14381</v>
      </c>
      <c r="G2945" s="10" t="s">
        <v>12654</v>
      </c>
      <c r="H2945" s="10" t="s">
        <v>979</v>
      </c>
      <c r="I2945" s="10" t="s">
        <v>55</v>
      </c>
      <c r="K2945" s="10" t="s">
        <v>15262</v>
      </c>
      <c r="L2945" s="10" t="s">
        <v>42</v>
      </c>
    </row>
    <row r="2946" ht="15.75" customHeight="1">
      <c r="A2946" s="64">
        <v>45462.0</v>
      </c>
      <c r="B2946" s="55" t="str">
        <f>HYPERLINK("https://jobright.ai/jobs/info/667339f0d892db31454e6296?utm_campaign=1065&amp;utm_source=sheet", "Apply")</f>
        <v>Apply</v>
      </c>
      <c r="C2946" s="10" t="s">
        <v>15261</v>
      </c>
      <c r="D2946" s="56" t="s">
        <v>14380</v>
      </c>
      <c r="E2946" s="59">
        <v>45301.0</v>
      </c>
      <c r="F2946" s="10" t="s">
        <v>14381</v>
      </c>
      <c r="G2946" s="10" t="s">
        <v>12654</v>
      </c>
      <c r="H2946" s="10" t="s">
        <v>879</v>
      </c>
      <c r="I2946" s="10" t="s">
        <v>55</v>
      </c>
      <c r="K2946" s="10" t="s">
        <v>15262</v>
      </c>
      <c r="L2946" s="10" t="s">
        <v>42</v>
      </c>
    </row>
    <row r="2947" ht="15.75" customHeight="1">
      <c r="A2947" s="64">
        <v>45462.0</v>
      </c>
      <c r="B2947" s="55" t="str">
        <f>HYPERLINK("https://jobright.ai/jobs/info/667339f0d892db31454e628c?utm_campaign=1065&amp;utm_source=sheet", "Apply")</f>
        <v>Apply</v>
      </c>
      <c r="C2947" s="10" t="s">
        <v>15261</v>
      </c>
      <c r="D2947" s="56" t="s">
        <v>14380</v>
      </c>
      <c r="E2947" s="59">
        <v>45301.0</v>
      </c>
      <c r="F2947" s="10" t="s">
        <v>14381</v>
      </c>
      <c r="G2947" s="10" t="s">
        <v>12654</v>
      </c>
      <c r="H2947" s="10" t="s">
        <v>813</v>
      </c>
      <c r="I2947" s="10" t="s">
        <v>55</v>
      </c>
      <c r="K2947" s="10" t="s">
        <v>15262</v>
      </c>
      <c r="L2947" s="10" t="s">
        <v>42</v>
      </c>
    </row>
    <row r="2948" ht="15.75" customHeight="1">
      <c r="A2948" s="64">
        <v>45462.0</v>
      </c>
      <c r="B2948" s="55" t="str">
        <f>HYPERLINK("https://jobright.ai/jobs/info/667339f0d892db31454e6293?utm_campaign=1065&amp;utm_source=sheet", "Apply")</f>
        <v>Apply</v>
      </c>
      <c r="C2948" s="10" t="s">
        <v>15261</v>
      </c>
      <c r="D2948" s="56" t="s">
        <v>14380</v>
      </c>
      <c r="E2948" s="59">
        <v>45301.0</v>
      </c>
      <c r="F2948" s="10" t="s">
        <v>14381</v>
      </c>
      <c r="G2948" s="10" t="s">
        <v>12654</v>
      </c>
      <c r="H2948" s="10" t="s">
        <v>917</v>
      </c>
      <c r="I2948" s="10" t="s">
        <v>55</v>
      </c>
      <c r="K2948" s="10" t="s">
        <v>15262</v>
      </c>
      <c r="L2948" s="10" t="s">
        <v>42</v>
      </c>
    </row>
    <row r="2949" ht="15.75" customHeight="1">
      <c r="A2949" s="64">
        <v>45462.0</v>
      </c>
      <c r="B2949" s="55" t="str">
        <f>HYPERLINK("https://jobright.ai/jobs/info/667339f0d892db31454e628d?utm_campaign=1065&amp;utm_source=sheet", "Apply")</f>
        <v>Apply</v>
      </c>
      <c r="C2949" s="10" t="s">
        <v>15261</v>
      </c>
      <c r="D2949" s="56" t="s">
        <v>14380</v>
      </c>
      <c r="E2949" s="59">
        <v>45301.0</v>
      </c>
      <c r="F2949" s="10" t="s">
        <v>14381</v>
      </c>
      <c r="G2949" s="10" t="s">
        <v>12654</v>
      </c>
      <c r="H2949" s="10" t="s">
        <v>779</v>
      </c>
      <c r="I2949" s="10" t="s">
        <v>55</v>
      </c>
      <c r="K2949" s="10" t="s">
        <v>15262</v>
      </c>
      <c r="L2949" s="10" t="s">
        <v>42</v>
      </c>
    </row>
    <row r="2950" ht="15.75" customHeight="1">
      <c r="A2950" s="64">
        <v>45462.0</v>
      </c>
      <c r="B2950" s="55" t="str">
        <f>HYPERLINK("https://jobright.ai/jobs/info/66736e9f21f478e9a4d1003c?utm_campaign=1065&amp;utm_source=sheet", "Apply")</f>
        <v>Apply</v>
      </c>
      <c r="C2950" s="10" t="s">
        <v>15261</v>
      </c>
      <c r="D2950" s="56" t="s">
        <v>14380</v>
      </c>
      <c r="E2950" s="59">
        <v>45301.0</v>
      </c>
      <c r="F2950" s="10" t="s">
        <v>14381</v>
      </c>
      <c r="G2950" s="10" t="s">
        <v>12654</v>
      </c>
      <c r="H2950" s="10" t="s">
        <v>978</v>
      </c>
      <c r="I2950" s="10" t="s">
        <v>55</v>
      </c>
      <c r="K2950" s="10" t="s">
        <v>15262</v>
      </c>
      <c r="L2950" s="10" t="s">
        <v>42</v>
      </c>
    </row>
    <row r="2951" ht="15.75" customHeight="1">
      <c r="A2951" s="64">
        <v>45462.0</v>
      </c>
      <c r="B2951" s="55" t="str">
        <f>HYPERLINK("https://jobright.ai/jobs/info/667339f0d892db31454e6290?utm_campaign=1065&amp;utm_source=sheet", "Apply")</f>
        <v>Apply</v>
      </c>
      <c r="C2951" s="10" t="s">
        <v>15261</v>
      </c>
      <c r="D2951" s="56" t="s">
        <v>14380</v>
      </c>
      <c r="E2951" s="59">
        <v>45301.0</v>
      </c>
      <c r="F2951" s="10" t="s">
        <v>14381</v>
      </c>
      <c r="G2951" s="10" t="s">
        <v>12654</v>
      </c>
      <c r="H2951" s="10" t="s">
        <v>1047</v>
      </c>
      <c r="I2951" s="10" t="s">
        <v>55</v>
      </c>
      <c r="K2951" s="10" t="s">
        <v>15262</v>
      </c>
      <c r="L2951" s="10" t="s">
        <v>42</v>
      </c>
    </row>
    <row r="2952" ht="15.75" customHeight="1">
      <c r="A2952" s="64">
        <v>45462.0</v>
      </c>
      <c r="B2952" s="55" t="str">
        <f>HYPERLINK("https://jobright.ai/jobs/info/667339f0d892db31454e628e?utm_campaign=1065&amp;utm_source=sheet", "Apply")</f>
        <v>Apply</v>
      </c>
      <c r="C2952" s="10" t="s">
        <v>15261</v>
      </c>
      <c r="D2952" s="56" t="s">
        <v>14380</v>
      </c>
      <c r="E2952" s="59">
        <v>45301.0</v>
      </c>
      <c r="F2952" s="10" t="s">
        <v>14381</v>
      </c>
      <c r="G2952" s="10" t="s">
        <v>12654</v>
      </c>
      <c r="H2952" s="10" t="s">
        <v>777</v>
      </c>
      <c r="I2952" s="10" t="s">
        <v>55</v>
      </c>
      <c r="K2952" s="10" t="s">
        <v>15262</v>
      </c>
      <c r="L2952" s="10" t="s">
        <v>42</v>
      </c>
    </row>
    <row r="2953" ht="15.75" customHeight="1">
      <c r="A2953" s="64">
        <v>45462.0</v>
      </c>
      <c r="B2953" s="55" t="str">
        <f>HYPERLINK("https://jobright.ai/jobs/info/66736e9f21f478e9a4d1003b?utm_campaign=1065&amp;utm_source=sheet", "Apply")</f>
        <v>Apply</v>
      </c>
      <c r="C2953" s="10" t="s">
        <v>15261</v>
      </c>
      <c r="D2953" s="56" t="s">
        <v>14380</v>
      </c>
      <c r="E2953" s="59">
        <v>45301.0</v>
      </c>
      <c r="F2953" s="10" t="s">
        <v>14381</v>
      </c>
      <c r="G2953" s="10" t="s">
        <v>12654</v>
      </c>
      <c r="H2953" s="10" t="s">
        <v>772</v>
      </c>
      <c r="I2953" s="10" t="s">
        <v>55</v>
      </c>
      <c r="K2953" s="10" t="s">
        <v>15262</v>
      </c>
      <c r="L2953" s="10" t="s">
        <v>42</v>
      </c>
    </row>
    <row r="2954" ht="15.75" customHeight="1">
      <c r="A2954" s="64">
        <v>45462.0</v>
      </c>
      <c r="B2954" s="55" t="str">
        <f>HYPERLINK("https://jobright.ai/jobs/info/667339f0d892db31454e6291?utm_campaign=1065&amp;utm_source=sheet", "Apply")</f>
        <v>Apply</v>
      </c>
      <c r="C2954" s="10" t="s">
        <v>15261</v>
      </c>
      <c r="D2954" s="56" t="s">
        <v>14380</v>
      </c>
      <c r="E2954" s="59">
        <v>45301.0</v>
      </c>
      <c r="F2954" s="10" t="s">
        <v>14381</v>
      </c>
      <c r="G2954" s="10" t="s">
        <v>12654</v>
      </c>
      <c r="H2954" s="10" t="s">
        <v>946</v>
      </c>
      <c r="I2954" s="10" t="s">
        <v>55</v>
      </c>
      <c r="K2954" s="10" t="s">
        <v>15262</v>
      </c>
      <c r="L2954" s="10" t="s">
        <v>42</v>
      </c>
    </row>
    <row r="2955" ht="15.75" customHeight="1">
      <c r="A2955" s="64">
        <v>45462.0</v>
      </c>
      <c r="B2955" s="55" t="str">
        <f>HYPERLINK("https://jobright.ai/jobs/info/667339f0d892db31454e6295?utm_campaign=1065&amp;utm_source=sheet", "Apply")</f>
        <v>Apply</v>
      </c>
      <c r="C2955" s="10" t="s">
        <v>15261</v>
      </c>
      <c r="D2955" s="56" t="s">
        <v>14380</v>
      </c>
      <c r="E2955" s="59">
        <v>45301.0</v>
      </c>
      <c r="F2955" s="10" t="s">
        <v>14381</v>
      </c>
      <c r="G2955" s="10" t="s">
        <v>12654</v>
      </c>
      <c r="H2955" s="10" t="s">
        <v>910</v>
      </c>
      <c r="I2955" s="10" t="s">
        <v>55</v>
      </c>
      <c r="K2955" s="10" t="s">
        <v>15262</v>
      </c>
      <c r="L2955" s="10" t="s">
        <v>42</v>
      </c>
    </row>
    <row r="2956" ht="15.75" customHeight="1">
      <c r="A2956" s="64">
        <v>45462.0</v>
      </c>
      <c r="B2956" s="55" t="str">
        <f>HYPERLINK("https://jobright.ai/jobs/info/667339f0d892db31454e6294?utm_campaign=1065&amp;utm_source=sheet", "Apply")</f>
        <v>Apply</v>
      </c>
      <c r="C2956" s="10" t="s">
        <v>14379</v>
      </c>
      <c r="D2956" s="56" t="s">
        <v>14380</v>
      </c>
      <c r="E2956" s="59">
        <v>45301.0</v>
      </c>
      <c r="F2956" s="10" t="s">
        <v>14381</v>
      </c>
      <c r="G2956" s="10" t="s">
        <v>12654</v>
      </c>
      <c r="H2956" s="10" t="s">
        <v>1025</v>
      </c>
      <c r="I2956" s="10" t="s">
        <v>55</v>
      </c>
      <c r="J2956" s="10" t="s">
        <v>14382</v>
      </c>
      <c r="K2956" s="10" t="s">
        <v>14383</v>
      </c>
      <c r="L2956" s="10" t="s">
        <v>42</v>
      </c>
    </row>
    <row r="2957" ht="15.75" customHeight="1">
      <c r="A2957" s="64">
        <v>45462.0</v>
      </c>
      <c r="B2957" s="55" t="str">
        <f>HYPERLINK("https://jobright.ai/jobs/info/667339f0d892db31454e6292?utm_campaign=1065&amp;utm_source=sheet", "Apply")</f>
        <v>Apply</v>
      </c>
      <c r="C2957" s="10" t="s">
        <v>14379</v>
      </c>
      <c r="D2957" s="56" t="s">
        <v>14380</v>
      </c>
      <c r="E2957" s="59">
        <v>45301.0</v>
      </c>
      <c r="F2957" s="10" t="s">
        <v>14381</v>
      </c>
      <c r="G2957" s="10" t="s">
        <v>12654</v>
      </c>
      <c r="H2957" s="10" t="s">
        <v>607</v>
      </c>
      <c r="I2957" s="10" t="s">
        <v>55</v>
      </c>
      <c r="J2957" s="10" t="s">
        <v>14382</v>
      </c>
      <c r="K2957" s="10" t="s">
        <v>14383</v>
      </c>
      <c r="L2957" s="10" t="s">
        <v>42</v>
      </c>
    </row>
    <row r="2958" ht="15.75" customHeight="1">
      <c r="A2958" s="64">
        <v>45462.0</v>
      </c>
      <c r="B2958" s="55" t="str">
        <f>HYPERLINK("https://jobright.ai/jobs/info/66736e9f21f478e9a4d10039?utm_campaign=1065&amp;utm_source=sheet", "Apply")</f>
        <v>Apply</v>
      </c>
      <c r="C2958" s="10" t="s">
        <v>15261</v>
      </c>
      <c r="D2958" s="56" t="s">
        <v>14380</v>
      </c>
      <c r="E2958" s="59">
        <v>45301.0</v>
      </c>
      <c r="F2958" s="10" t="s">
        <v>14381</v>
      </c>
      <c r="G2958" s="10" t="s">
        <v>12654</v>
      </c>
      <c r="H2958" s="10" t="s">
        <v>804</v>
      </c>
      <c r="I2958" s="10" t="s">
        <v>55</v>
      </c>
      <c r="K2958" s="10" t="s">
        <v>15262</v>
      </c>
      <c r="L2958" s="10" t="s">
        <v>42</v>
      </c>
    </row>
    <row r="2959" ht="15.75" customHeight="1">
      <c r="A2959" s="64">
        <v>45462.0</v>
      </c>
      <c r="B2959" s="55" t="str">
        <f>HYPERLINK("https://jobright.ai/jobs/info/66733a03d892db31454e62a9?utm_campaign=1065&amp;utm_source=sheet", "Apply")</f>
        <v>Apply</v>
      </c>
      <c r="C2959" s="10" t="s">
        <v>14379</v>
      </c>
      <c r="D2959" s="56" t="s">
        <v>14380</v>
      </c>
      <c r="E2959" s="59">
        <v>45301.0</v>
      </c>
      <c r="F2959" s="10" t="s">
        <v>14381</v>
      </c>
      <c r="G2959" s="10" t="s">
        <v>12654</v>
      </c>
      <c r="H2959" s="10" t="s">
        <v>857</v>
      </c>
      <c r="I2959" s="10" t="s">
        <v>55</v>
      </c>
      <c r="J2959" s="10" t="s">
        <v>14382</v>
      </c>
      <c r="K2959" s="10" t="s">
        <v>14383</v>
      </c>
      <c r="L2959" s="10" t="s">
        <v>42</v>
      </c>
    </row>
    <row r="2960" ht="15.75" customHeight="1">
      <c r="A2960" s="64">
        <v>45462.0</v>
      </c>
      <c r="B2960" s="55" t="str">
        <f>HYPERLINK("https://jobright.ai/jobs/info/66733a03d892db31454e62a6?utm_campaign=1065&amp;utm_source=sheet", "Apply")</f>
        <v>Apply</v>
      </c>
      <c r="C2960" s="10" t="s">
        <v>15261</v>
      </c>
      <c r="D2960" s="56" t="s">
        <v>14380</v>
      </c>
      <c r="E2960" s="59">
        <v>45301.0</v>
      </c>
      <c r="F2960" s="10" t="s">
        <v>14381</v>
      </c>
      <c r="G2960" s="10" t="s">
        <v>12654</v>
      </c>
      <c r="H2960" s="10" t="s">
        <v>915</v>
      </c>
      <c r="I2960" s="10" t="s">
        <v>55</v>
      </c>
      <c r="K2960" s="10" t="s">
        <v>15262</v>
      </c>
      <c r="L2960" s="10" t="s">
        <v>42</v>
      </c>
    </row>
    <row r="2961" ht="15.75" customHeight="1">
      <c r="A2961" s="64">
        <v>45462.0</v>
      </c>
      <c r="B2961" s="55" t="str">
        <f>HYPERLINK("https://jobright.ai/jobs/info/66736e9f21f478e9a4d10044?utm_campaign=1065&amp;utm_source=sheet", "Apply")</f>
        <v>Apply</v>
      </c>
      <c r="C2961" s="10" t="s">
        <v>14379</v>
      </c>
      <c r="D2961" s="56" t="s">
        <v>14380</v>
      </c>
      <c r="E2961" s="59">
        <v>45301.0</v>
      </c>
      <c r="F2961" s="10" t="s">
        <v>14381</v>
      </c>
      <c r="G2961" s="10" t="s">
        <v>12654</v>
      </c>
      <c r="H2961" s="10" t="s">
        <v>759</v>
      </c>
      <c r="I2961" s="10" t="s">
        <v>55</v>
      </c>
      <c r="J2961" s="10" t="s">
        <v>14382</v>
      </c>
      <c r="K2961" s="10" t="s">
        <v>14383</v>
      </c>
      <c r="L2961" s="10" t="s">
        <v>42</v>
      </c>
    </row>
    <row r="2962" ht="15.75" customHeight="1">
      <c r="A2962" s="64">
        <v>45462.0</v>
      </c>
      <c r="B2962" s="55" t="str">
        <f>HYPERLINK("https://jobright.ai/jobs/info/66736e9f21f478e9a4d10041?utm_campaign=1065&amp;utm_source=sheet", "Apply")</f>
        <v>Apply</v>
      </c>
      <c r="C2962" s="10" t="s">
        <v>14379</v>
      </c>
      <c r="D2962" s="56" t="s">
        <v>14380</v>
      </c>
      <c r="E2962" s="59">
        <v>45301.0</v>
      </c>
      <c r="F2962" s="10" t="s">
        <v>14381</v>
      </c>
      <c r="G2962" s="10" t="s">
        <v>12654</v>
      </c>
      <c r="H2962" s="10" t="s">
        <v>931</v>
      </c>
      <c r="I2962" s="10" t="s">
        <v>55</v>
      </c>
      <c r="J2962" s="10" t="s">
        <v>14382</v>
      </c>
      <c r="K2962" s="10" t="s">
        <v>14383</v>
      </c>
      <c r="L2962" s="10" t="s">
        <v>42</v>
      </c>
    </row>
    <row r="2963" ht="15.75" customHeight="1">
      <c r="A2963" s="64">
        <v>45462.0</v>
      </c>
      <c r="B2963" s="55" t="str">
        <f>HYPERLINK("https://jobright.ai/jobs/info/66733a03d892db31454e62a4?utm_campaign=1065&amp;utm_source=sheet", "Apply")</f>
        <v>Apply</v>
      </c>
      <c r="C2963" s="10" t="s">
        <v>15261</v>
      </c>
      <c r="D2963" s="56" t="s">
        <v>14380</v>
      </c>
      <c r="E2963" s="59">
        <v>45301.0</v>
      </c>
      <c r="F2963" s="10" t="s">
        <v>14381</v>
      </c>
      <c r="G2963" s="10" t="s">
        <v>12654</v>
      </c>
      <c r="H2963" s="10" t="s">
        <v>764</v>
      </c>
      <c r="I2963" s="10" t="s">
        <v>55</v>
      </c>
      <c r="K2963" s="10" t="s">
        <v>15262</v>
      </c>
      <c r="L2963" s="10" t="s">
        <v>42</v>
      </c>
    </row>
    <row r="2964" ht="15.75" customHeight="1">
      <c r="A2964" s="64">
        <v>45462.0</v>
      </c>
      <c r="B2964" s="55" t="str">
        <f>HYPERLINK("https://jobright.ai/jobs/info/66736e9f21f478e9a4d10047?utm_campaign=1065&amp;utm_source=sheet", "Apply")</f>
        <v>Apply</v>
      </c>
      <c r="C2964" s="10" t="s">
        <v>15261</v>
      </c>
      <c r="D2964" s="56" t="s">
        <v>14380</v>
      </c>
      <c r="E2964" s="59">
        <v>45301.0</v>
      </c>
      <c r="F2964" s="10" t="s">
        <v>14381</v>
      </c>
      <c r="G2964" s="10" t="s">
        <v>12654</v>
      </c>
      <c r="H2964" s="10" t="s">
        <v>904</v>
      </c>
      <c r="I2964" s="10" t="s">
        <v>55</v>
      </c>
      <c r="K2964" s="10" t="s">
        <v>15262</v>
      </c>
      <c r="L2964" s="10" t="s">
        <v>42</v>
      </c>
    </row>
    <row r="2965" ht="15.75" customHeight="1">
      <c r="A2965" s="64">
        <v>45462.0</v>
      </c>
      <c r="B2965" s="55" t="str">
        <f>HYPERLINK("https://jobright.ai/jobs/info/66733a03d892db31454e629d?utm_campaign=1065&amp;utm_source=sheet", "Apply")</f>
        <v>Apply</v>
      </c>
      <c r="C2965" s="10" t="s">
        <v>14379</v>
      </c>
      <c r="D2965" s="56" t="s">
        <v>14380</v>
      </c>
      <c r="E2965" s="59">
        <v>45301.0</v>
      </c>
      <c r="F2965" s="10" t="s">
        <v>14381</v>
      </c>
      <c r="G2965" s="10" t="s">
        <v>12654</v>
      </c>
      <c r="H2965" s="10" t="s">
        <v>954</v>
      </c>
      <c r="I2965" s="10" t="s">
        <v>55</v>
      </c>
      <c r="J2965" s="10" t="s">
        <v>14382</v>
      </c>
      <c r="K2965" s="10" t="s">
        <v>14383</v>
      </c>
      <c r="L2965" s="10" t="s">
        <v>42</v>
      </c>
    </row>
    <row r="2966" ht="15.75" customHeight="1">
      <c r="A2966" s="64">
        <v>45462.0</v>
      </c>
      <c r="B2966" s="55" t="str">
        <f>HYPERLINK("https://jobright.ai/jobs/info/66733a03d892db31454e62a8?utm_campaign=1065&amp;utm_source=sheet", "Apply")</f>
        <v>Apply</v>
      </c>
      <c r="C2966" s="10" t="s">
        <v>15261</v>
      </c>
      <c r="D2966" s="56" t="s">
        <v>14380</v>
      </c>
      <c r="E2966" s="59">
        <v>45301.0</v>
      </c>
      <c r="F2966" s="10" t="s">
        <v>14381</v>
      </c>
      <c r="G2966" s="10" t="s">
        <v>12654</v>
      </c>
      <c r="H2966" s="10" t="s">
        <v>668</v>
      </c>
      <c r="I2966" s="10" t="s">
        <v>55</v>
      </c>
      <c r="K2966" s="10" t="s">
        <v>15262</v>
      </c>
      <c r="L2966" s="10" t="s">
        <v>42</v>
      </c>
    </row>
    <row r="2967" ht="15.75" customHeight="1">
      <c r="A2967" s="64">
        <v>45462.0</v>
      </c>
      <c r="B2967" s="55" t="str">
        <f>HYPERLINK("https://jobright.ai/jobs/info/66733a03d892db31454e629b?utm_campaign=1065&amp;utm_source=sheet", "Apply")</f>
        <v>Apply</v>
      </c>
      <c r="C2967" s="10" t="s">
        <v>14379</v>
      </c>
      <c r="D2967" s="56" t="s">
        <v>14380</v>
      </c>
      <c r="E2967" s="59">
        <v>45301.0</v>
      </c>
      <c r="F2967" s="10" t="s">
        <v>14381</v>
      </c>
      <c r="G2967" s="10" t="s">
        <v>12654</v>
      </c>
      <c r="H2967" s="10" t="s">
        <v>165</v>
      </c>
      <c r="I2967" s="10" t="s">
        <v>55</v>
      </c>
      <c r="J2967" s="10" t="s">
        <v>14382</v>
      </c>
      <c r="K2967" s="10" t="s">
        <v>14383</v>
      </c>
      <c r="L2967" s="10" t="s">
        <v>42</v>
      </c>
    </row>
    <row r="2968" ht="15.75" customHeight="1">
      <c r="A2968" s="64">
        <v>45462.0</v>
      </c>
      <c r="B2968" s="55" t="str">
        <f>HYPERLINK("https://jobright.ai/jobs/info/66733a03d892db31454e62a0?utm_campaign=1065&amp;utm_source=sheet", "Apply")</f>
        <v>Apply</v>
      </c>
      <c r="C2968" s="10" t="s">
        <v>14379</v>
      </c>
      <c r="D2968" s="56" t="s">
        <v>14380</v>
      </c>
      <c r="E2968" s="59">
        <v>45301.0</v>
      </c>
      <c r="F2968" s="10" t="s">
        <v>14381</v>
      </c>
      <c r="G2968" s="10" t="s">
        <v>12654</v>
      </c>
      <c r="H2968" s="10" t="s">
        <v>405</v>
      </c>
      <c r="I2968" s="10" t="s">
        <v>55</v>
      </c>
      <c r="J2968" s="10" t="s">
        <v>14382</v>
      </c>
      <c r="K2968" s="10" t="s">
        <v>14383</v>
      </c>
      <c r="L2968" s="10" t="s">
        <v>42</v>
      </c>
    </row>
    <row r="2969" ht="15.75" customHeight="1">
      <c r="A2969" s="66">
        <v>45462.0</v>
      </c>
      <c r="B2969" s="55" t="str">
        <f>HYPERLINK("https://jobright.ai/jobs/info/66733a03d892db31454e629c?utm_campaign=1065&amp;utm_source=sheet", "Apply")</f>
        <v>Apply</v>
      </c>
      <c r="C2969" s="10" t="s">
        <v>15261</v>
      </c>
      <c r="D2969" s="56" t="s">
        <v>14380</v>
      </c>
      <c r="E2969" s="59">
        <v>45301.0</v>
      </c>
      <c r="F2969" s="10" t="s">
        <v>14381</v>
      </c>
      <c r="G2969" s="10" t="s">
        <v>12654</v>
      </c>
      <c r="H2969" s="10" t="s">
        <v>859</v>
      </c>
      <c r="I2969" s="10" t="s">
        <v>55</v>
      </c>
      <c r="K2969" s="10" t="s">
        <v>15262</v>
      </c>
      <c r="L2969" s="10" t="s">
        <v>42</v>
      </c>
    </row>
    <row r="2970" ht="15.75" customHeight="1">
      <c r="A2970" s="66">
        <v>45462.0</v>
      </c>
      <c r="B2970" s="55" t="str">
        <f>HYPERLINK("https://jobright.ai/jobs/info/66733a03d892db31454e62a2?utm_campaign=1065&amp;utm_source=sheet", "Apply")</f>
        <v>Apply</v>
      </c>
      <c r="C2970" s="10" t="s">
        <v>15261</v>
      </c>
      <c r="D2970" s="56" t="s">
        <v>14380</v>
      </c>
      <c r="E2970" s="59">
        <v>45301.0</v>
      </c>
      <c r="F2970" s="10" t="s">
        <v>14381</v>
      </c>
      <c r="G2970" s="10" t="s">
        <v>12654</v>
      </c>
      <c r="H2970" s="10" t="s">
        <v>605</v>
      </c>
      <c r="I2970" s="10" t="s">
        <v>55</v>
      </c>
      <c r="K2970" s="10" t="s">
        <v>15262</v>
      </c>
      <c r="L2970" s="10" t="s">
        <v>42</v>
      </c>
    </row>
    <row r="2971" ht="15.75" customHeight="1">
      <c r="A2971" s="66">
        <v>45462.0</v>
      </c>
      <c r="B2971" s="55" t="str">
        <f>HYPERLINK("https://jobright.ai/jobs/info/66733a03d892db31454e62a1?utm_campaign=1065&amp;utm_source=sheet", "Apply")</f>
        <v>Apply</v>
      </c>
      <c r="C2971" s="10" t="s">
        <v>15261</v>
      </c>
      <c r="D2971" s="56" t="s">
        <v>14380</v>
      </c>
      <c r="E2971" s="59">
        <v>45301.0</v>
      </c>
      <c r="F2971" s="10" t="s">
        <v>14381</v>
      </c>
      <c r="G2971" s="10" t="s">
        <v>12654</v>
      </c>
      <c r="H2971" s="10" t="s">
        <v>1043</v>
      </c>
      <c r="I2971" s="10" t="s">
        <v>55</v>
      </c>
      <c r="K2971" s="10" t="s">
        <v>15262</v>
      </c>
      <c r="L2971" s="10" t="s">
        <v>42</v>
      </c>
    </row>
    <row r="2972" ht="15.75" customHeight="1">
      <c r="A2972" s="66">
        <v>45462.0</v>
      </c>
      <c r="B2972" s="55" t="str">
        <f>HYPERLINK("https://jobright.ai/jobs/info/66733a03d892db31454e62a7?utm_campaign=1065&amp;utm_source=sheet", "Apply")</f>
        <v>Apply</v>
      </c>
      <c r="C2972" s="10" t="s">
        <v>14379</v>
      </c>
      <c r="D2972" s="56" t="s">
        <v>14380</v>
      </c>
      <c r="E2972" s="59">
        <v>45301.0</v>
      </c>
      <c r="F2972" s="10" t="s">
        <v>14381</v>
      </c>
      <c r="G2972" s="10" t="s">
        <v>12654</v>
      </c>
      <c r="H2972" s="10" t="s">
        <v>977</v>
      </c>
      <c r="I2972" s="10" t="s">
        <v>55</v>
      </c>
      <c r="J2972" s="10" t="s">
        <v>14382</v>
      </c>
      <c r="K2972" s="10" t="s">
        <v>14383</v>
      </c>
      <c r="L2972" s="10" t="s">
        <v>42</v>
      </c>
    </row>
    <row r="2973" ht="15.75" customHeight="1">
      <c r="A2973" s="66">
        <v>45462.0</v>
      </c>
      <c r="B2973" s="55" t="str">
        <f>HYPERLINK("https://jobright.ai/jobs/info/66733a03d892db31454e62a3?utm_campaign=1065&amp;utm_source=sheet", "Apply")</f>
        <v>Apply</v>
      </c>
      <c r="C2973" s="10" t="s">
        <v>15261</v>
      </c>
      <c r="D2973" s="56" t="s">
        <v>14380</v>
      </c>
      <c r="E2973" s="59">
        <v>45301.0</v>
      </c>
      <c r="F2973" s="10" t="s">
        <v>14381</v>
      </c>
      <c r="G2973" s="10" t="s">
        <v>12654</v>
      </c>
      <c r="H2973" s="10" t="s">
        <v>820</v>
      </c>
      <c r="I2973" s="10" t="s">
        <v>55</v>
      </c>
      <c r="K2973" s="10" t="s">
        <v>15262</v>
      </c>
      <c r="L2973" s="10" t="s">
        <v>42</v>
      </c>
    </row>
    <row r="2974" ht="15.75" customHeight="1">
      <c r="A2974" s="66">
        <v>45462.0</v>
      </c>
      <c r="B2974" s="55" t="str">
        <f>HYPERLINK("https://jobright.ai/jobs/info/667339f0d892db31454e6299?utm_campaign=1065&amp;utm_source=sheet", "Apply")</f>
        <v>Apply</v>
      </c>
      <c r="C2974" s="10" t="s">
        <v>14379</v>
      </c>
      <c r="D2974" s="56" t="s">
        <v>14380</v>
      </c>
      <c r="E2974" s="59">
        <v>45301.0</v>
      </c>
      <c r="F2974" s="10" t="s">
        <v>14381</v>
      </c>
      <c r="G2974" s="10" t="s">
        <v>12654</v>
      </c>
      <c r="H2974" s="10" t="s">
        <v>1049</v>
      </c>
      <c r="I2974" s="10" t="s">
        <v>55</v>
      </c>
      <c r="J2974" s="10" t="s">
        <v>14382</v>
      </c>
      <c r="K2974" s="10" t="s">
        <v>14383</v>
      </c>
      <c r="L2974" s="10" t="s">
        <v>42</v>
      </c>
    </row>
    <row r="2975" ht="15.75" customHeight="1">
      <c r="A2975" s="66">
        <v>45462.0</v>
      </c>
      <c r="B2975" s="55" t="str">
        <f>HYPERLINK("https://jobright.ai/jobs/info/66736e9f21f478e9a4d10042?utm_campaign=1065&amp;utm_source=sheet", "Apply")</f>
        <v>Apply</v>
      </c>
      <c r="C2975" s="10" t="s">
        <v>14379</v>
      </c>
      <c r="D2975" s="56" t="s">
        <v>14380</v>
      </c>
      <c r="E2975" s="59">
        <v>45301.0</v>
      </c>
      <c r="F2975" s="10" t="s">
        <v>14381</v>
      </c>
      <c r="G2975" s="10" t="s">
        <v>12654</v>
      </c>
      <c r="H2975" s="10" t="s">
        <v>776</v>
      </c>
      <c r="I2975" s="10" t="s">
        <v>55</v>
      </c>
      <c r="J2975" s="10" t="s">
        <v>14382</v>
      </c>
      <c r="K2975" s="10" t="s">
        <v>14383</v>
      </c>
      <c r="L2975" s="10" t="s">
        <v>42</v>
      </c>
    </row>
    <row r="2976" ht="15.75" customHeight="1">
      <c r="A2976" s="66">
        <v>45462.0</v>
      </c>
      <c r="B2976" s="55" t="str">
        <f>HYPERLINK("https://jobright.ai/jobs/info/66736e9f21f478e9a4d10040?utm_campaign=1065&amp;utm_source=sheet", "Apply")</f>
        <v>Apply</v>
      </c>
      <c r="C2976" s="10" t="s">
        <v>14379</v>
      </c>
      <c r="D2976" s="56" t="s">
        <v>14380</v>
      </c>
      <c r="E2976" s="59">
        <v>45301.0</v>
      </c>
      <c r="F2976" s="10" t="s">
        <v>14381</v>
      </c>
      <c r="G2976" s="10" t="s">
        <v>12654</v>
      </c>
      <c r="H2976" s="10" t="s">
        <v>808</v>
      </c>
      <c r="I2976" s="10" t="s">
        <v>55</v>
      </c>
      <c r="J2976" s="10" t="s">
        <v>14382</v>
      </c>
      <c r="K2976" s="10" t="s">
        <v>14383</v>
      </c>
      <c r="L2976" s="10" t="s">
        <v>42</v>
      </c>
    </row>
    <row r="2977" ht="15.75" customHeight="1">
      <c r="A2977" s="66">
        <v>45462.0</v>
      </c>
      <c r="B2977" s="55" t="str">
        <f>HYPERLINK("https://jobright.ai/jobs/info/66736e9f21f478e9a4d10046?utm_campaign=1065&amp;utm_source=sheet", "Apply")</f>
        <v>Apply</v>
      </c>
      <c r="C2977" s="10" t="s">
        <v>15261</v>
      </c>
      <c r="D2977" s="56" t="s">
        <v>14380</v>
      </c>
      <c r="E2977" s="59">
        <v>45301.0</v>
      </c>
      <c r="F2977" s="10" t="s">
        <v>14381</v>
      </c>
      <c r="G2977" s="10" t="s">
        <v>12654</v>
      </c>
      <c r="H2977" s="10" t="s">
        <v>411</v>
      </c>
      <c r="I2977" s="10" t="s">
        <v>55</v>
      </c>
      <c r="K2977" s="10" t="s">
        <v>15262</v>
      </c>
      <c r="L2977" s="10" t="s">
        <v>42</v>
      </c>
    </row>
    <row r="2978" ht="15.75" customHeight="1">
      <c r="A2978" s="66">
        <v>45462.0</v>
      </c>
      <c r="B2978" s="55" t="str">
        <f>HYPERLINK("https://jobright.ai/jobs/info/66736e9f21f478e9a4d10043?utm_campaign=1065&amp;utm_source=sheet", "Apply")</f>
        <v>Apply</v>
      </c>
      <c r="C2978" s="10" t="s">
        <v>14379</v>
      </c>
      <c r="D2978" s="56" t="s">
        <v>14380</v>
      </c>
      <c r="E2978" s="59">
        <v>45301.0</v>
      </c>
      <c r="F2978" s="10" t="s">
        <v>14381</v>
      </c>
      <c r="G2978" s="10" t="s">
        <v>12654</v>
      </c>
      <c r="H2978" s="10" t="s">
        <v>996</v>
      </c>
      <c r="I2978" s="10" t="s">
        <v>55</v>
      </c>
      <c r="J2978" s="10" t="s">
        <v>14382</v>
      </c>
      <c r="K2978" s="10" t="s">
        <v>14383</v>
      </c>
      <c r="L2978" s="10" t="s">
        <v>42</v>
      </c>
    </row>
    <row r="2979" ht="15.75" customHeight="1">
      <c r="A2979" s="66">
        <v>45462.0</v>
      </c>
      <c r="B2979" s="55" t="str">
        <f>HYPERLINK("https://jobright.ai/jobs/info/66733a03d892db31454e629e?utm_campaign=1065&amp;utm_source=sheet", "Apply")</f>
        <v>Apply</v>
      </c>
      <c r="C2979" s="10" t="s">
        <v>15261</v>
      </c>
      <c r="D2979" s="56" t="s">
        <v>14380</v>
      </c>
      <c r="E2979" s="59">
        <v>45301.0</v>
      </c>
      <c r="F2979" s="10" t="s">
        <v>14381</v>
      </c>
      <c r="G2979" s="10" t="s">
        <v>12654</v>
      </c>
      <c r="H2979" s="10" t="s">
        <v>961</v>
      </c>
      <c r="I2979" s="10" t="s">
        <v>55</v>
      </c>
      <c r="K2979" s="10" t="s">
        <v>15262</v>
      </c>
      <c r="L2979" s="10" t="s">
        <v>42</v>
      </c>
    </row>
    <row r="2980" ht="15.75" customHeight="1">
      <c r="A2980" s="66">
        <v>45462.0</v>
      </c>
      <c r="B2980" s="55" t="str">
        <f>HYPERLINK("https://jobright.ai/jobs/info/66733a03d892db31454e62a5?utm_campaign=1065&amp;utm_source=sheet", "Apply")</f>
        <v>Apply</v>
      </c>
      <c r="C2980" s="10" t="s">
        <v>14379</v>
      </c>
      <c r="D2980" s="56" t="s">
        <v>14380</v>
      </c>
      <c r="E2980" s="59">
        <v>45301.0</v>
      </c>
      <c r="F2980" s="10" t="s">
        <v>14381</v>
      </c>
      <c r="G2980" s="10" t="s">
        <v>12654</v>
      </c>
      <c r="H2980" s="10" t="s">
        <v>888</v>
      </c>
      <c r="I2980" s="10" t="s">
        <v>55</v>
      </c>
      <c r="J2980" s="10" t="s">
        <v>14382</v>
      </c>
      <c r="K2980" s="10" t="s">
        <v>14383</v>
      </c>
      <c r="L2980" s="10" t="s">
        <v>42</v>
      </c>
    </row>
    <row r="2981" ht="15.75" customHeight="1">
      <c r="A2981" s="66">
        <v>45462.0</v>
      </c>
      <c r="B2981" s="55" t="str">
        <f>HYPERLINK("https://jobright.ai/jobs/info/66736e9f21f478e9a4d10048?utm_campaign=1065&amp;utm_source=sheet", "Apply")</f>
        <v>Apply</v>
      </c>
      <c r="C2981" s="10" t="s">
        <v>15261</v>
      </c>
      <c r="D2981" s="56" t="s">
        <v>14380</v>
      </c>
      <c r="E2981" s="59">
        <v>45301.0</v>
      </c>
      <c r="F2981" s="10" t="s">
        <v>14381</v>
      </c>
      <c r="G2981" s="10" t="s">
        <v>12654</v>
      </c>
      <c r="H2981" s="10" t="s">
        <v>824</v>
      </c>
      <c r="I2981" s="10" t="s">
        <v>55</v>
      </c>
      <c r="K2981" s="10" t="s">
        <v>15262</v>
      </c>
      <c r="L2981" s="10" t="s">
        <v>42</v>
      </c>
    </row>
    <row r="2982" ht="15.75" customHeight="1">
      <c r="A2982" s="66">
        <v>45462.0</v>
      </c>
      <c r="B2982" s="55" t="str">
        <f>HYPERLINK("https://jobright.ai/jobs/info/66733a03d892db31454e629f?utm_campaign=1065&amp;utm_source=sheet", "Apply")</f>
        <v>Apply</v>
      </c>
      <c r="C2982" s="10" t="s">
        <v>15261</v>
      </c>
      <c r="D2982" s="56" t="s">
        <v>14380</v>
      </c>
      <c r="E2982" s="59">
        <v>45301.0</v>
      </c>
      <c r="F2982" s="10" t="s">
        <v>14381</v>
      </c>
      <c r="G2982" s="10" t="s">
        <v>12654</v>
      </c>
      <c r="H2982" s="10" t="s">
        <v>825</v>
      </c>
      <c r="I2982" s="10" t="s">
        <v>55</v>
      </c>
      <c r="K2982" s="10" t="s">
        <v>15262</v>
      </c>
      <c r="L2982" s="10" t="s">
        <v>42</v>
      </c>
    </row>
    <row r="2983" ht="15.75" customHeight="1">
      <c r="A2983" s="66">
        <v>45462.0</v>
      </c>
      <c r="B2983" s="55" t="str">
        <f>HYPERLINK("https://jobright.ai/jobs/info/667339f0d892db31454e629a?utm_campaign=1065&amp;utm_source=sheet", "Apply")</f>
        <v>Apply</v>
      </c>
      <c r="C2983" s="10" t="s">
        <v>15261</v>
      </c>
      <c r="D2983" s="56" t="s">
        <v>14380</v>
      </c>
      <c r="E2983" s="59">
        <v>45301.0</v>
      </c>
      <c r="F2983" s="10" t="s">
        <v>14381</v>
      </c>
      <c r="G2983" s="10" t="s">
        <v>12654</v>
      </c>
      <c r="H2983" s="10" t="s">
        <v>894</v>
      </c>
      <c r="I2983" s="10" t="s">
        <v>55</v>
      </c>
      <c r="K2983" s="10" t="s">
        <v>15262</v>
      </c>
      <c r="L2983" s="10" t="s">
        <v>42</v>
      </c>
    </row>
    <row r="2984" ht="15.75" customHeight="1">
      <c r="A2984" s="66">
        <v>45462.0</v>
      </c>
      <c r="B2984" s="55" t="str">
        <f>HYPERLINK("https://jobright.ai/jobs/info/66736e9f21f478e9a4d10049?utm_campaign=1065&amp;utm_source=sheet", "Apply")</f>
        <v>Apply</v>
      </c>
      <c r="C2984" s="10" t="s">
        <v>14379</v>
      </c>
      <c r="D2984" s="56" t="s">
        <v>14380</v>
      </c>
      <c r="E2984" s="59">
        <v>45301.0</v>
      </c>
      <c r="F2984" s="10" t="s">
        <v>14381</v>
      </c>
      <c r="G2984" s="10" t="s">
        <v>12654</v>
      </c>
      <c r="H2984" s="10" t="s">
        <v>1010</v>
      </c>
      <c r="I2984" s="10" t="s">
        <v>55</v>
      </c>
      <c r="J2984" s="10" t="s">
        <v>14382</v>
      </c>
      <c r="K2984" s="10" t="s">
        <v>14383</v>
      </c>
      <c r="L2984" s="10" t="s">
        <v>42</v>
      </c>
    </row>
    <row r="2985" ht="15.75" customHeight="1">
      <c r="A2985" s="66">
        <v>45462.0</v>
      </c>
      <c r="B2985" s="55" t="str">
        <f>HYPERLINK("https://jobright.ai/jobs/info/667339f0d892db31454e6297?utm_campaign=1065&amp;utm_source=sheet", "Apply")</f>
        <v>Apply</v>
      </c>
      <c r="C2985" s="10" t="s">
        <v>14379</v>
      </c>
      <c r="D2985" s="56" t="s">
        <v>14380</v>
      </c>
      <c r="E2985" s="59">
        <v>45301.0</v>
      </c>
      <c r="F2985" s="10" t="s">
        <v>14381</v>
      </c>
      <c r="G2985" s="10" t="s">
        <v>12654</v>
      </c>
      <c r="H2985" s="10" t="s">
        <v>856</v>
      </c>
      <c r="I2985" s="10" t="s">
        <v>55</v>
      </c>
      <c r="J2985" s="10" t="s">
        <v>14382</v>
      </c>
      <c r="K2985" s="10" t="s">
        <v>14383</v>
      </c>
      <c r="L2985" s="10" t="s">
        <v>42</v>
      </c>
    </row>
    <row r="2986" ht="15.75" customHeight="1">
      <c r="A2986" s="66">
        <v>45462.0</v>
      </c>
      <c r="B2986" s="55" t="str">
        <f>HYPERLINK("https://jobright.ai/jobs/info/66733a03d892db31454e62ac?utm_campaign=1065&amp;utm_source=sheet", "Apply")</f>
        <v>Apply</v>
      </c>
      <c r="C2986" s="10" t="s">
        <v>15261</v>
      </c>
      <c r="D2986" s="56" t="s">
        <v>14380</v>
      </c>
      <c r="E2986" s="59">
        <v>45301.0</v>
      </c>
      <c r="F2986" s="10" t="s">
        <v>14381</v>
      </c>
      <c r="G2986" s="10" t="s">
        <v>12654</v>
      </c>
      <c r="H2986" s="10" t="s">
        <v>1007</v>
      </c>
      <c r="I2986" s="10" t="s">
        <v>55</v>
      </c>
      <c r="K2986" s="10" t="s">
        <v>15262</v>
      </c>
      <c r="L2986" s="10" t="s">
        <v>42</v>
      </c>
    </row>
    <row r="2987" ht="15.75" customHeight="1">
      <c r="A2987" s="66">
        <v>45462.0</v>
      </c>
      <c r="B2987" s="55" t="str">
        <f>HYPERLINK("https://jobright.ai/jobs/info/66733a03d892db31454e62b8?utm_campaign=1065&amp;utm_source=sheet", "Apply")</f>
        <v>Apply</v>
      </c>
      <c r="C2987" s="10" t="s">
        <v>15261</v>
      </c>
      <c r="D2987" s="56" t="s">
        <v>14380</v>
      </c>
      <c r="E2987" s="59">
        <v>45301.0</v>
      </c>
      <c r="F2987" s="10" t="s">
        <v>14381</v>
      </c>
      <c r="G2987" s="10" t="s">
        <v>12654</v>
      </c>
      <c r="H2987" s="10" t="s">
        <v>807</v>
      </c>
      <c r="I2987" s="10" t="s">
        <v>55</v>
      </c>
      <c r="K2987" s="10" t="s">
        <v>15262</v>
      </c>
      <c r="L2987" s="10" t="s">
        <v>42</v>
      </c>
    </row>
    <row r="2988" ht="15.75" customHeight="1">
      <c r="A2988" s="66">
        <v>45462.0</v>
      </c>
      <c r="B2988" s="55" t="str">
        <f>HYPERLINK("https://jobright.ai/jobs/info/66733a03d892db31454e62ba?utm_campaign=1065&amp;utm_source=sheet", "Apply")</f>
        <v>Apply</v>
      </c>
      <c r="C2988" s="10" t="s">
        <v>15261</v>
      </c>
      <c r="D2988" s="56" t="s">
        <v>14380</v>
      </c>
      <c r="E2988" s="59">
        <v>45301.0</v>
      </c>
      <c r="F2988" s="10" t="s">
        <v>14381</v>
      </c>
      <c r="G2988" s="10" t="s">
        <v>12654</v>
      </c>
      <c r="H2988" s="10" t="s">
        <v>708</v>
      </c>
      <c r="I2988" s="10" t="s">
        <v>55</v>
      </c>
      <c r="K2988" s="10" t="s">
        <v>15262</v>
      </c>
      <c r="L2988" s="10" t="s">
        <v>42</v>
      </c>
    </row>
    <row r="2989" ht="15.75" customHeight="1">
      <c r="A2989" s="66">
        <v>45462.0</v>
      </c>
      <c r="B2989" s="55" t="str">
        <f>HYPERLINK("https://jobright.ai/jobs/info/66733a03d892db31454e62b0?utm_campaign=1065&amp;utm_source=sheet", "Apply")</f>
        <v>Apply</v>
      </c>
      <c r="C2989" s="10" t="s">
        <v>14379</v>
      </c>
      <c r="D2989" s="56" t="s">
        <v>14380</v>
      </c>
      <c r="E2989" s="59">
        <v>45301.0</v>
      </c>
      <c r="F2989" s="10" t="s">
        <v>14381</v>
      </c>
      <c r="G2989" s="10" t="s">
        <v>12654</v>
      </c>
      <c r="H2989" s="10" t="s">
        <v>885</v>
      </c>
      <c r="I2989" s="10" t="s">
        <v>55</v>
      </c>
      <c r="J2989" s="10" t="s">
        <v>14382</v>
      </c>
      <c r="K2989" s="10" t="s">
        <v>14383</v>
      </c>
      <c r="L2989" s="10" t="s">
        <v>42</v>
      </c>
    </row>
    <row r="2990" ht="15.75" customHeight="1">
      <c r="A2990" s="66">
        <v>45462.0</v>
      </c>
      <c r="B2990" s="55" t="str">
        <f>HYPERLINK("https://jobright.ai/jobs/info/66733a03d892db31454e62ab?utm_campaign=1065&amp;utm_source=sheet", "Apply")</f>
        <v>Apply</v>
      </c>
      <c r="C2990" s="10" t="s">
        <v>15261</v>
      </c>
      <c r="D2990" s="56" t="s">
        <v>14380</v>
      </c>
      <c r="E2990" s="59">
        <v>45301.0</v>
      </c>
      <c r="F2990" s="10" t="s">
        <v>14381</v>
      </c>
      <c r="G2990" s="10" t="s">
        <v>12654</v>
      </c>
      <c r="H2990" s="10" t="s">
        <v>1006</v>
      </c>
      <c r="I2990" s="10" t="s">
        <v>55</v>
      </c>
      <c r="K2990" s="10" t="s">
        <v>15262</v>
      </c>
      <c r="L2990" s="10" t="s">
        <v>42</v>
      </c>
    </row>
    <row r="2991" ht="15.75" customHeight="1">
      <c r="A2991" s="66">
        <v>45462.0</v>
      </c>
      <c r="B2991" s="55" t="str">
        <f>HYPERLINK("https://jobright.ai/jobs/info/66733a03d892db31454e62bb?utm_campaign=1065&amp;utm_source=sheet", "Apply")</f>
        <v>Apply</v>
      </c>
      <c r="C2991" s="10" t="s">
        <v>15261</v>
      </c>
      <c r="D2991" s="56" t="s">
        <v>14380</v>
      </c>
      <c r="E2991" s="59">
        <v>45301.0</v>
      </c>
      <c r="F2991" s="10" t="s">
        <v>14381</v>
      </c>
      <c r="G2991" s="10" t="s">
        <v>12654</v>
      </c>
      <c r="H2991" s="10" t="s">
        <v>391</v>
      </c>
      <c r="I2991" s="10" t="s">
        <v>55</v>
      </c>
      <c r="K2991" s="10" t="s">
        <v>15262</v>
      </c>
      <c r="L2991" s="10" t="s">
        <v>42</v>
      </c>
    </row>
    <row r="2992" ht="15.75" customHeight="1">
      <c r="A2992" s="66">
        <v>45462.0</v>
      </c>
      <c r="B2992" s="55" t="str">
        <f>HYPERLINK("https://jobright.ai/jobs/info/66733a03d892db31454e62b6?utm_campaign=1065&amp;utm_source=sheet", "Apply")</f>
        <v>Apply</v>
      </c>
      <c r="C2992" s="10" t="s">
        <v>15261</v>
      </c>
      <c r="D2992" s="56" t="s">
        <v>14380</v>
      </c>
      <c r="E2992" s="59">
        <v>45301.0</v>
      </c>
      <c r="F2992" s="10" t="s">
        <v>14381</v>
      </c>
      <c r="G2992" s="10" t="s">
        <v>12654</v>
      </c>
      <c r="H2992" s="10" t="s">
        <v>1039</v>
      </c>
      <c r="I2992" s="10" t="s">
        <v>55</v>
      </c>
      <c r="K2992" s="10" t="s">
        <v>15262</v>
      </c>
      <c r="L2992" s="10" t="s">
        <v>42</v>
      </c>
    </row>
    <row r="2993" ht="15.75" customHeight="1">
      <c r="A2993" s="66">
        <v>45462.0</v>
      </c>
      <c r="B2993" s="55" t="str">
        <f>HYPERLINK("https://jobright.ai/jobs/info/66736e9f21f478e9a4d1004c?utm_campaign=1065&amp;utm_source=sheet", "Apply")</f>
        <v>Apply</v>
      </c>
      <c r="C2993" s="10" t="s">
        <v>15261</v>
      </c>
      <c r="D2993" s="56" t="s">
        <v>14380</v>
      </c>
      <c r="E2993" s="59">
        <v>45301.0</v>
      </c>
      <c r="F2993" s="10" t="s">
        <v>14381</v>
      </c>
      <c r="G2993" s="10" t="s">
        <v>12654</v>
      </c>
      <c r="H2993" s="10" t="s">
        <v>985</v>
      </c>
      <c r="I2993" s="10" t="s">
        <v>55</v>
      </c>
      <c r="K2993" s="10" t="s">
        <v>15262</v>
      </c>
      <c r="L2993" s="10" t="s">
        <v>42</v>
      </c>
    </row>
    <row r="2994" ht="15.75" customHeight="1">
      <c r="A2994" s="66">
        <v>45462.0</v>
      </c>
      <c r="B2994" s="55" t="str">
        <f>HYPERLINK("https://jobright.ai/jobs/info/66733a03d892db31454e62b2?utm_campaign=1065&amp;utm_source=sheet", "Apply")</f>
        <v>Apply</v>
      </c>
      <c r="C2994" s="10" t="s">
        <v>14379</v>
      </c>
      <c r="D2994" s="56" t="s">
        <v>14380</v>
      </c>
      <c r="E2994" s="59">
        <v>45301.0</v>
      </c>
      <c r="F2994" s="10" t="s">
        <v>14381</v>
      </c>
      <c r="G2994" s="10" t="s">
        <v>12654</v>
      </c>
      <c r="H2994" s="10" t="s">
        <v>1030</v>
      </c>
      <c r="I2994" s="10" t="s">
        <v>55</v>
      </c>
      <c r="J2994" s="10" t="s">
        <v>14382</v>
      </c>
      <c r="K2994" s="10" t="s">
        <v>14383</v>
      </c>
      <c r="L2994" s="10" t="s">
        <v>42</v>
      </c>
    </row>
    <row r="2995" ht="15.75" customHeight="1">
      <c r="A2995" s="66">
        <v>45462.0</v>
      </c>
      <c r="B2995" s="55" t="str">
        <f>HYPERLINK("https://jobright.ai/jobs/info/66733a03d892db31454e62b1?utm_campaign=1065&amp;utm_source=sheet", "Apply")</f>
        <v>Apply</v>
      </c>
      <c r="C2995" s="10" t="s">
        <v>15261</v>
      </c>
      <c r="D2995" s="56" t="s">
        <v>14380</v>
      </c>
      <c r="E2995" s="59">
        <v>45301.0</v>
      </c>
      <c r="F2995" s="10" t="s">
        <v>14381</v>
      </c>
      <c r="G2995" s="10" t="s">
        <v>12654</v>
      </c>
      <c r="H2995" s="10" t="s">
        <v>607</v>
      </c>
      <c r="I2995" s="10" t="s">
        <v>55</v>
      </c>
      <c r="K2995" s="10" t="s">
        <v>15262</v>
      </c>
      <c r="L2995" s="10" t="s">
        <v>42</v>
      </c>
    </row>
    <row r="2996" ht="15.75" customHeight="1">
      <c r="A2996" s="66">
        <v>45462.0</v>
      </c>
      <c r="B2996" s="55" t="str">
        <f>HYPERLINK("https://jobright.ai/jobs/info/66736e9f21f478e9a4d1004d?utm_campaign=1065&amp;utm_source=sheet", "Apply")</f>
        <v>Apply</v>
      </c>
      <c r="C2996" s="10" t="s">
        <v>15261</v>
      </c>
      <c r="D2996" s="56" t="s">
        <v>14380</v>
      </c>
      <c r="E2996" s="59">
        <v>45301.0</v>
      </c>
      <c r="F2996" s="10" t="s">
        <v>14381</v>
      </c>
      <c r="G2996" s="10" t="s">
        <v>12654</v>
      </c>
      <c r="H2996" s="10" t="s">
        <v>1001</v>
      </c>
      <c r="I2996" s="10" t="s">
        <v>55</v>
      </c>
      <c r="K2996" s="10" t="s">
        <v>15262</v>
      </c>
      <c r="L2996" s="10" t="s">
        <v>42</v>
      </c>
    </row>
    <row r="2997" ht="15.75" customHeight="1">
      <c r="A2997" s="66">
        <v>45462.0</v>
      </c>
      <c r="B2997" s="55" t="str">
        <f>HYPERLINK("https://jobright.ai/jobs/info/66733a03d892db31454e62ad?utm_campaign=1065&amp;utm_source=sheet", "Apply")</f>
        <v>Apply</v>
      </c>
      <c r="C2997" s="10" t="s">
        <v>15261</v>
      </c>
      <c r="D2997" s="56" t="s">
        <v>14380</v>
      </c>
      <c r="E2997" s="59">
        <v>45301.0</v>
      </c>
      <c r="F2997" s="10" t="s">
        <v>14381</v>
      </c>
      <c r="G2997" s="10" t="s">
        <v>12654</v>
      </c>
      <c r="H2997" s="10" t="s">
        <v>968</v>
      </c>
      <c r="I2997" s="10" t="s">
        <v>55</v>
      </c>
      <c r="K2997" s="10" t="s">
        <v>15262</v>
      </c>
      <c r="L2997" s="10" t="s">
        <v>42</v>
      </c>
    </row>
    <row r="2998" ht="15.75" customHeight="1">
      <c r="A2998" s="66">
        <v>45462.0</v>
      </c>
      <c r="B2998" s="55" t="str">
        <f>HYPERLINK("https://jobright.ai/jobs/info/66736e9f21f478e9a4d1004a?utm_campaign=1065&amp;utm_source=sheet", "Apply")</f>
        <v>Apply</v>
      </c>
      <c r="C2998" s="10" t="s">
        <v>14379</v>
      </c>
      <c r="D2998" s="56" t="s">
        <v>14380</v>
      </c>
      <c r="E2998" s="59">
        <v>45301.0</v>
      </c>
      <c r="F2998" s="10" t="s">
        <v>14381</v>
      </c>
      <c r="G2998" s="10" t="s">
        <v>12654</v>
      </c>
      <c r="H2998" s="10" t="s">
        <v>894</v>
      </c>
      <c r="I2998" s="10" t="s">
        <v>55</v>
      </c>
      <c r="J2998" s="10" t="s">
        <v>14382</v>
      </c>
      <c r="K2998" s="10" t="s">
        <v>14383</v>
      </c>
      <c r="L2998" s="10" t="s">
        <v>42</v>
      </c>
    </row>
    <row r="2999" ht="15.75" customHeight="1">
      <c r="A2999" s="66">
        <v>45462.0</v>
      </c>
      <c r="B2999" s="55" t="str">
        <f>HYPERLINK("https://jobright.ai/jobs/info/66733a03d892db31454e62b4?utm_campaign=1065&amp;utm_source=sheet", "Apply")</f>
        <v>Apply</v>
      </c>
      <c r="C2999" s="10" t="s">
        <v>14379</v>
      </c>
      <c r="D2999" s="56" t="s">
        <v>14380</v>
      </c>
      <c r="E2999" s="59">
        <v>45301.0</v>
      </c>
      <c r="F2999" s="10" t="s">
        <v>14381</v>
      </c>
      <c r="G2999" s="10" t="s">
        <v>12654</v>
      </c>
      <c r="H2999" s="10" t="s">
        <v>773</v>
      </c>
      <c r="I2999" s="10" t="s">
        <v>55</v>
      </c>
      <c r="J2999" s="10" t="s">
        <v>14382</v>
      </c>
      <c r="K2999" s="10" t="s">
        <v>14383</v>
      </c>
      <c r="L2999" s="10" t="s">
        <v>42</v>
      </c>
    </row>
    <row r="3000" ht="15.75" customHeight="1">
      <c r="A3000" s="66">
        <v>45462.0</v>
      </c>
      <c r="B3000" s="55" t="str">
        <f>HYPERLINK("https://jobright.ai/jobs/info/66733a03d892db31454e62b9?utm_campaign=1065&amp;utm_source=sheet", "Apply")</f>
        <v>Apply</v>
      </c>
      <c r="C3000" s="10" t="s">
        <v>15261</v>
      </c>
      <c r="D3000" s="56" t="s">
        <v>14380</v>
      </c>
      <c r="E3000" s="59">
        <v>45301.0</v>
      </c>
      <c r="F3000" s="10" t="s">
        <v>14381</v>
      </c>
      <c r="G3000" s="10" t="s">
        <v>12654</v>
      </c>
      <c r="H3000" s="10" t="s">
        <v>846</v>
      </c>
      <c r="I3000" s="10" t="s">
        <v>55</v>
      </c>
      <c r="K3000" s="10" t="s">
        <v>15262</v>
      </c>
      <c r="L3000" s="10" t="s">
        <v>42</v>
      </c>
    </row>
    <row r="3001" ht="15.75" customHeight="1">
      <c r="A3001" s="66">
        <v>45462.0</v>
      </c>
      <c r="B3001" s="55" t="str">
        <f>HYPERLINK("https://jobright.ai/jobs/info/66736e9f21f478e9a4d1004b?utm_campaign=1065&amp;utm_source=sheet", "Apply")</f>
        <v>Apply</v>
      </c>
      <c r="C3001" s="10" t="s">
        <v>14379</v>
      </c>
      <c r="D3001" s="56" t="s">
        <v>14380</v>
      </c>
      <c r="E3001" s="59">
        <v>45301.0</v>
      </c>
      <c r="F3001" s="10" t="s">
        <v>14381</v>
      </c>
      <c r="G3001" s="10" t="s">
        <v>12654</v>
      </c>
      <c r="H3001" s="10" t="s">
        <v>764</v>
      </c>
      <c r="I3001" s="10" t="s">
        <v>55</v>
      </c>
      <c r="J3001" s="10" t="s">
        <v>14382</v>
      </c>
      <c r="K3001" s="10" t="s">
        <v>14383</v>
      </c>
      <c r="L3001" s="10" t="s">
        <v>42</v>
      </c>
    </row>
    <row r="3002" ht="15.75" customHeight="1">
      <c r="A3002" s="66">
        <v>45462.0</v>
      </c>
      <c r="B3002" s="55" t="str">
        <f>HYPERLINK("https://jobright.ai/jobs/info/66733a03d892db31454e62b5?utm_campaign=1065&amp;utm_source=sheet", "Apply")</f>
        <v>Apply</v>
      </c>
      <c r="C3002" s="10" t="s">
        <v>14379</v>
      </c>
      <c r="D3002" s="56" t="s">
        <v>14380</v>
      </c>
      <c r="E3002" s="59">
        <v>45301.0</v>
      </c>
      <c r="F3002" s="10" t="s">
        <v>14381</v>
      </c>
      <c r="G3002" s="10" t="s">
        <v>12654</v>
      </c>
      <c r="H3002" s="10" t="s">
        <v>818</v>
      </c>
      <c r="I3002" s="10" t="s">
        <v>55</v>
      </c>
      <c r="J3002" s="10" t="s">
        <v>14382</v>
      </c>
      <c r="K3002" s="10" t="s">
        <v>14383</v>
      </c>
      <c r="L3002" s="10" t="s">
        <v>42</v>
      </c>
    </row>
    <row r="3003" ht="15.75" customHeight="1">
      <c r="A3003" s="66">
        <v>45462.0</v>
      </c>
      <c r="B3003" s="55" t="str">
        <f>HYPERLINK("https://jobright.ai/jobs/info/66733a03d892db31454e62bc?utm_campaign=1065&amp;utm_source=sheet", "Apply")</f>
        <v>Apply</v>
      </c>
      <c r="C3003" s="10" t="s">
        <v>15261</v>
      </c>
      <c r="D3003" s="56" t="s">
        <v>14380</v>
      </c>
      <c r="E3003" s="59">
        <v>45301.0</v>
      </c>
      <c r="F3003" s="10" t="s">
        <v>14381</v>
      </c>
      <c r="G3003" s="10" t="s">
        <v>12654</v>
      </c>
      <c r="H3003" s="10" t="s">
        <v>1010</v>
      </c>
      <c r="I3003" s="10" t="s">
        <v>55</v>
      </c>
      <c r="K3003" s="10" t="s">
        <v>15262</v>
      </c>
      <c r="L3003" s="10" t="s">
        <v>42</v>
      </c>
    </row>
    <row r="3004" ht="15.75" customHeight="1">
      <c r="A3004" s="66">
        <v>45462.0</v>
      </c>
      <c r="B3004" s="55" t="str">
        <f>HYPERLINK("https://jobright.ai/jobs/info/66733a03d892db31454e62b3?utm_campaign=1065&amp;utm_source=sheet", "Apply")</f>
        <v>Apply</v>
      </c>
      <c r="C3004" s="10" t="s">
        <v>14379</v>
      </c>
      <c r="D3004" s="56" t="s">
        <v>14380</v>
      </c>
      <c r="E3004" s="59">
        <v>45301.0</v>
      </c>
      <c r="F3004" s="10" t="s">
        <v>14381</v>
      </c>
      <c r="G3004" s="10" t="s">
        <v>12654</v>
      </c>
      <c r="H3004" s="10" t="s">
        <v>354</v>
      </c>
      <c r="I3004" s="10" t="s">
        <v>55</v>
      </c>
      <c r="J3004" s="10" t="s">
        <v>14382</v>
      </c>
      <c r="K3004" s="10" t="s">
        <v>14383</v>
      </c>
      <c r="L3004" s="10" t="s">
        <v>42</v>
      </c>
    </row>
    <row r="3005" ht="15.75" customHeight="1">
      <c r="A3005" s="66">
        <v>45462.0</v>
      </c>
      <c r="B3005" s="55" t="str">
        <f>HYPERLINK("https://jobright.ai/jobs/info/66733a03d892db31454e62af?utm_campaign=1065&amp;utm_source=sheet", "Apply")</f>
        <v>Apply</v>
      </c>
      <c r="C3005" s="10" t="s">
        <v>14379</v>
      </c>
      <c r="D3005" s="56" t="s">
        <v>14380</v>
      </c>
      <c r="E3005" s="59">
        <v>45301.0</v>
      </c>
      <c r="F3005" s="10" t="s">
        <v>14381</v>
      </c>
      <c r="G3005" s="10" t="s">
        <v>12654</v>
      </c>
      <c r="H3005" s="10" t="s">
        <v>765</v>
      </c>
      <c r="I3005" s="10" t="s">
        <v>55</v>
      </c>
      <c r="J3005" s="10" t="s">
        <v>14382</v>
      </c>
      <c r="K3005" s="10" t="s">
        <v>14383</v>
      </c>
      <c r="L3005" s="10" t="s">
        <v>42</v>
      </c>
    </row>
    <row r="3006" ht="15.75" customHeight="1">
      <c r="A3006" s="66">
        <v>45462.0</v>
      </c>
      <c r="B3006" s="55" t="str">
        <f>HYPERLINK("https://jobright.ai/jobs/info/66733a03d892db31454e62b7?utm_campaign=1065&amp;utm_source=sheet", "Apply")</f>
        <v>Apply</v>
      </c>
      <c r="C3006" s="10" t="s">
        <v>15261</v>
      </c>
      <c r="D3006" s="56" t="s">
        <v>14380</v>
      </c>
      <c r="E3006" s="59">
        <v>45301.0</v>
      </c>
      <c r="F3006" s="10" t="s">
        <v>14381</v>
      </c>
      <c r="G3006" s="10" t="s">
        <v>12654</v>
      </c>
      <c r="H3006" s="10" t="s">
        <v>957</v>
      </c>
      <c r="I3006" s="10" t="s">
        <v>55</v>
      </c>
      <c r="K3006" s="10" t="s">
        <v>15262</v>
      </c>
      <c r="L3006" s="10" t="s">
        <v>42</v>
      </c>
    </row>
    <row r="3007" ht="15.75" customHeight="1">
      <c r="A3007" s="66">
        <v>45462.0</v>
      </c>
      <c r="B3007" s="55" t="str">
        <f>HYPERLINK("https://jobright.ai/jobs/info/66733a03d892db31454e62ae?utm_campaign=1065&amp;utm_source=sheet", "Apply")</f>
        <v>Apply</v>
      </c>
      <c r="C3007" s="10" t="s">
        <v>15261</v>
      </c>
      <c r="D3007" s="56" t="s">
        <v>14380</v>
      </c>
      <c r="E3007" s="59">
        <v>45301.0</v>
      </c>
      <c r="F3007" s="10" t="s">
        <v>14381</v>
      </c>
      <c r="G3007" s="10" t="s">
        <v>12654</v>
      </c>
      <c r="H3007" s="10" t="s">
        <v>927</v>
      </c>
      <c r="I3007" s="10" t="s">
        <v>55</v>
      </c>
      <c r="K3007" s="10" t="s">
        <v>15262</v>
      </c>
      <c r="L3007" s="10" t="s">
        <v>42</v>
      </c>
    </row>
    <row r="3008" ht="15.75" customHeight="1">
      <c r="A3008" s="66">
        <v>45462.0</v>
      </c>
      <c r="B3008" s="55" t="str">
        <f>HYPERLINK("https://jobright.ai/jobs/info/66733a03d892db31454e62aa?utm_campaign=1065&amp;utm_source=sheet", "Apply")</f>
        <v>Apply</v>
      </c>
      <c r="C3008" s="10" t="s">
        <v>14379</v>
      </c>
      <c r="D3008" s="56" t="s">
        <v>14380</v>
      </c>
      <c r="E3008" s="59">
        <v>45301.0</v>
      </c>
      <c r="F3008" s="10" t="s">
        <v>14381</v>
      </c>
      <c r="G3008" s="10" t="s">
        <v>12654</v>
      </c>
      <c r="H3008" s="10" t="s">
        <v>828</v>
      </c>
      <c r="I3008" s="10" t="s">
        <v>55</v>
      </c>
      <c r="J3008" s="10" t="s">
        <v>14382</v>
      </c>
      <c r="K3008" s="10" t="s">
        <v>14383</v>
      </c>
      <c r="L3008" s="10" t="s">
        <v>42</v>
      </c>
    </row>
    <row r="3009" ht="15.75" customHeight="1">
      <c r="A3009" s="66">
        <v>45462.0</v>
      </c>
      <c r="B3009" s="55" t="str">
        <f>HYPERLINK("https://jobright.ai/jobs/info/66733a03d892db31454e62be?utm_campaign=1065&amp;utm_source=sheet", "Apply")</f>
        <v>Apply</v>
      </c>
      <c r="C3009" s="10" t="s">
        <v>14379</v>
      </c>
      <c r="D3009" s="56" t="s">
        <v>14380</v>
      </c>
      <c r="E3009" s="59">
        <v>45301.0</v>
      </c>
      <c r="F3009" s="10" t="s">
        <v>14381</v>
      </c>
      <c r="G3009" s="10" t="s">
        <v>12654</v>
      </c>
      <c r="H3009" s="10" t="s">
        <v>766</v>
      </c>
      <c r="I3009" s="10" t="s">
        <v>55</v>
      </c>
      <c r="J3009" s="10" t="s">
        <v>14382</v>
      </c>
      <c r="K3009" s="10" t="s">
        <v>14383</v>
      </c>
      <c r="L3009" s="10" t="s">
        <v>42</v>
      </c>
    </row>
    <row r="3010" ht="15.75" customHeight="1">
      <c r="A3010" s="66">
        <v>45462.0</v>
      </c>
      <c r="B3010" s="55" t="str">
        <f>HYPERLINK("https://jobright.ai/jobs/info/66733a03d892db31454e62bd?utm_campaign=1065&amp;utm_source=sheet", "Apply")</f>
        <v>Apply</v>
      </c>
      <c r="C3010" s="10" t="s">
        <v>15261</v>
      </c>
      <c r="D3010" s="56" t="s">
        <v>14380</v>
      </c>
      <c r="E3010" s="59">
        <v>45301.0</v>
      </c>
      <c r="F3010" s="10" t="s">
        <v>14381</v>
      </c>
      <c r="G3010" s="10" t="s">
        <v>12654</v>
      </c>
      <c r="H3010" s="10" t="s">
        <v>965</v>
      </c>
      <c r="I3010" s="10" t="s">
        <v>55</v>
      </c>
      <c r="K3010" s="10" t="s">
        <v>15262</v>
      </c>
      <c r="L3010" s="10" t="s">
        <v>42</v>
      </c>
    </row>
    <row r="3011" ht="15.75" customHeight="1">
      <c r="A3011" s="66">
        <v>45462.0</v>
      </c>
      <c r="B3011" s="55" t="str">
        <f>HYPERLINK("https://jobright.ai/jobs/info/66733a03d892db31454e62bf?utm_campaign=1065&amp;utm_source=sheet", "Apply")</f>
        <v>Apply</v>
      </c>
      <c r="C3011" s="10" t="s">
        <v>14379</v>
      </c>
      <c r="D3011" s="56" t="s">
        <v>14380</v>
      </c>
      <c r="E3011" s="59">
        <v>45301.0</v>
      </c>
      <c r="F3011" s="10" t="s">
        <v>14381</v>
      </c>
      <c r="G3011" s="10" t="s">
        <v>12654</v>
      </c>
      <c r="H3011" s="10" t="s">
        <v>944</v>
      </c>
      <c r="I3011" s="10" t="s">
        <v>55</v>
      </c>
      <c r="J3011" s="10" t="s">
        <v>14382</v>
      </c>
      <c r="K3011" s="10" t="s">
        <v>14383</v>
      </c>
      <c r="L3011" s="10" t="s">
        <v>42</v>
      </c>
    </row>
    <row r="3012" ht="15.75" customHeight="1">
      <c r="A3012" s="66">
        <v>45462.0</v>
      </c>
      <c r="B3012" s="55" t="str">
        <f>HYPERLINK("https://jobright.ai/jobs/info/6673b7e75c2298713339f5a5?utm_campaign=1065&amp;utm_source=sheet", "Apply")</f>
        <v>Apply</v>
      </c>
      <c r="C3012" s="10" t="s">
        <v>14379</v>
      </c>
      <c r="D3012" s="56" t="s">
        <v>14380</v>
      </c>
      <c r="E3012" s="59">
        <v>45301.0</v>
      </c>
      <c r="F3012" s="10" t="s">
        <v>14381</v>
      </c>
      <c r="G3012" s="10" t="s">
        <v>12654</v>
      </c>
      <c r="H3012" s="10" t="s">
        <v>811</v>
      </c>
      <c r="I3012" s="10" t="s">
        <v>55</v>
      </c>
      <c r="J3012" s="10" t="s">
        <v>14382</v>
      </c>
      <c r="K3012" s="10" t="s">
        <v>14383</v>
      </c>
      <c r="L3012" s="10" t="s">
        <v>42</v>
      </c>
    </row>
    <row r="3013" ht="15.75" customHeight="1">
      <c r="A3013" s="66">
        <v>45462.0</v>
      </c>
      <c r="B3013" s="55" t="str">
        <f>HYPERLINK("https://jobright.ai/jobs/info/6673b7ee5c2298713339f5a7?utm_campaign=1065&amp;utm_source=sheet", "Apply")</f>
        <v>Apply</v>
      </c>
      <c r="C3013" s="10" t="s">
        <v>15261</v>
      </c>
      <c r="D3013" s="56" t="s">
        <v>14380</v>
      </c>
      <c r="E3013" s="59">
        <v>45301.0</v>
      </c>
      <c r="F3013" s="10" t="s">
        <v>14381</v>
      </c>
      <c r="G3013" s="10" t="s">
        <v>12654</v>
      </c>
      <c r="H3013" s="10" t="s">
        <v>811</v>
      </c>
      <c r="I3013" s="10" t="s">
        <v>55</v>
      </c>
      <c r="K3013" s="10" t="s">
        <v>15262</v>
      </c>
      <c r="L3013" s="10" t="s">
        <v>42</v>
      </c>
    </row>
    <row r="3014" ht="15.75" customHeight="1">
      <c r="A3014" s="66">
        <v>45462.0</v>
      </c>
      <c r="B3014" s="55" t="str">
        <f>HYPERLINK("https://jobright.ai/jobs/info/6673adb3641ee1952f468c64?utm_campaign=1065&amp;utm_source=sheet", "Apply")</f>
        <v>Apply</v>
      </c>
      <c r="C3014" s="10" t="s">
        <v>14379</v>
      </c>
      <c r="D3014" s="56" t="s">
        <v>14380</v>
      </c>
      <c r="E3014" s="59">
        <v>45301.0</v>
      </c>
      <c r="F3014" s="10" t="s">
        <v>14381</v>
      </c>
      <c r="G3014" s="10" t="s">
        <v>12654</v>
      </c>
      <c r="H3014" s="10" t="s">
        <v>877</v>
      </c>
      <c r="I3014" s="10" t="s">
        <v>55</v>
      </c>
      <c r="J3014" s="10" t="s">
        <v>14382</v>
      </c>
      <c r="K3014" s="10" t="s">
        <v>14383</v>
      </c>
      <c r="L3014" s="10" t="s">
        <v>42</v>
      </c>
    </row>
    <row r="3015" ht="15.75" customHeight="1">
      <c r="A3015" s="66">
        <v>45462.0</v>
      </c>
      <c r="B3015" s="55" t="str">
        <f>HYPERLINK("https://jobright.ai/jobs/info/6673adb3641ee1952f468c66?utm_campaign=1065&amp;utm_source=sheet", "Apply")</f>
        <v>Apply</v>
      </c>
      <c r="C3015" s="10" t="s">
        <v>14379</v>
      </c>
      <c r="D3015" s="56" t="s">
        <v>14380</v>
      </c>
      <c r="E3015" s="59">
        <v>45301.0</v>
      </c>
      <c r="F3015" s="10" t="s">
        <v>14381</v>
      </c>
      <c r="G3015" s="10" t="s">
        <v>12654</v>
      </c>
      <c r="H3015" s="10" t="s">
        <v>929</v>
      </c>
      <c r="I3015" s="10" t="s">
        <v>55</v>
      </c>
      <c r="J3015" s="10" t="s">
        <v>14382</v>
      </c>
      <c r="K3015" s="10" t="s">
        <v>14383</v>
      </c>
      <c r="L3015" s="10" t="s">
        <v>42</v>
      </c>
    </row>
    <row r="3016" ht="15.75" customHeight="1">
      <c r="A3016" s="66">
        <v>45462.0</v>
      </c>
      <c r="B3016" s="55" t="str">
        <f>HYPERLINK("https://jobright.ai/jobs/info/6673adb3641ee1952f468c65?utm_campaign=1065&amp;utm_source=sheet", "Apply")</f>
        <v>Apply</v>
      </c>
      <c r="C3016" s="10" t="s">
        <v>14379</v>
      </c>
      <c r="D3016" s="56" t="s">
        <v>14380</v>
      </c>
      <c r="E3016" s="59">
        <v>45301.0</v>
      </c>
      <c r="F3016" s="10" t="s">
        <v>14381</v>
      </c>
      <c r="G3016" s="10" t="s">
        <v>12654</v>
      </c>
      <c r="H3016" s="10" t="s">
        <v>761</v>
      </c>
      <c r="I3016" s="10" t="s">
        <v>55</v>
      </c>
      <c r="J3016" s="10" t="s">
        <v>14382</v>
      </c>
      <c r="K3016" s="10" t="s">
        <v>14383</v>
      </c>
      <c r="L3016" s="10" t="s">
        <v>42</v>
      </c>
    </row>
    <row r="3017" ht="15.75" customHeight="1">
      <c r="A3017" s="66">
        <v>45462.0</v>
      </c>
      <c r="B3017" s="55" t="str">
        <f>HYPERLINK("https://jobright.ai/jobs/info/6673adb3641ee1952f468c68?utm_campaign=1065&amp;utm_source=sheet", "Apply")</f>
        <v>Apply</v>
      </c>
      <c r="C3017" s="10" t="s">
        <v>15261</v>
      </c>
      <c r="D3017" s="56" t="s">
        <v>14380</v>
      </c>
      <c r="E3017" s="59">
        <v>45301.0</v>
      </c>
      <c r="F3017" s="10" t="s">
        <v>14381</v>
      </c>
      <c r="G3017" s="10" t="s">
        <v>12654</v>
      </c>
      <c r="H3017" s="10" t="s">
        <v>847</v>
      </c>
      <c r="I3017" s="10" t="s">
        <v>55</v>
      </c>
      <c r="K3017" s="10" t="s">
        <v>15262</v>
      </c>
      <c r="L3017" s="10" t="s">
        <v>42</v>
      </c>
    </row>
    <row r="3018" ht="15.75" customHeight="1">
      <c r="A3018" s="66">
        <v>45462.0</v>
      </c>
      <c r="B3018" s="55" t="str">
        <f>HYPERLINK("https://jobright.ai/jobs/info/6673adb3641ee1952f468c67?utm_campaign=1065&amp;utm_source=sheet", "Apply")</f>
        <v>Apply</v>
      </c>
      <c r="C3018" s="10" t="s">
        <v>14379</v>
      </c>
      <c r="D3018" s="56" t="s">
        <v>14380</v>
      </c>
      <c r="E3018" s="59">
        <v>45301.0</v>
      </c>
      <c r="F3018" s="10" t="s">
        <v>14381</v>
      </c>
      <c r="G3018" s="10" t="s">
        <v>12654</v>
      </c>
      <c r="H3018" s="10" t="s">
        <v>986</v>
      </c>
      <c r="I3018" s="10" t="s">
        <v>55</v>
      </c>
      <c r="J3018" s="10" t="s">
        <v>14382</v>
      </c>
      <c r="K3018" s="10" t="s">
        <v>14383</v>
      </c>
      <c r="L3018" s="10" t="s">
        <v>42</v>
      </c>
    </row>
    <row r="3019" ht="15.75" customHeight="1">
      <c r="A3019" s="66">
        <v>45462.0</v>
      </c>
      <c r="B3019" s="55" t="str">
        <f>HYPERLINK("https://jobright.ai/jobs/info/6673adb3641ee1952f468c69?utm_campaign=1065&amp;utm_source=sheet", "Apply")</f>
        <v>Apply</v>
      </c>
      <c r="C3019" s="10" t="s">
        <v>14379</v>
      </c>
      <c r="D3019" s="56" t="s">
        <v>14380</v>
      </c>
      <c r="E3019" s="59">
        <v>45301.0</v>
      </c>
      <c r="F3019" s="10" t="s">
        <v>14381</v>
      </c>
      <c r="G3019" s="10" t="s">
        <v>12654</v>
      </c>
      <c r="H3019" s="10" t="s">
        <v>1040</v>
      </c>
      <c r="I3019" s="10" t="s">
        <v>55</v>
      </c>
      <c r="J3019" s="10" t="s">
        <v>14382</v>
      </c>
      <c r="K3019" s="10" t="s">
        <v>14383</v>
      </c>
      <c r="L3019" s="10" t="s">
        <v>42</v>
      </c>
    </row>
    <row r="3020" ht="15.75" customHeight="1">
      <c r="A3020" s="66">
        <v>45462.0</v>
      </c>
      <c r="B3020" s="55" t="str">
        <f>HYPERLINK("https://jobright.ai/jobs/info/6673adb3641ee1952f468c6b?utm_campaign=1065&amp;utm_source=sheet", "Apply")</f>
        <v>Apply</v>
      </c>
      <c r="C3020" s="10" t="s">
        <v>14379</v>
      </c>
      <c r="D3020" s="56" t="s">
        <v>14380</v>
      </c>
      <c r="E3020" s="59">
        <v>45301.0</v>
      </c>
      <c r="F3020" s="10" t="s">
        <v>14381</v>
      </c>
      <c r="G3020" s="10" t="s">
        <v>12654</v>
      </c>
      <c r="H3020" s="10" t="s">
        <v>778</v>
      </c>
      <c r="I3020" s="10" t="s">
        <v>55</v>
      </c>
      <c r="J3020" s="10" t="s">
        <v>14382</v>
      </c>
      <c r="K3020" s="10" t="s">
        <v>14383</v>
      </c>
      <c r="L3020" s="10" t="s">
        <v>42</v>
      </c>
    </row>
    <row r="3021" ht="15.75" customHeight="1">
      <c r="A3021" s="66">
        <v>45462.0</v>
      </c>
      <c r="B3021" s="55" t="str">
        <f>HYPERLINK("https://jobright.ai/jobs/info/6673adb3641ee1952f468c6a?utm_campaign=1065&amp;utm_source=sheet", "Apply")</f>
        <v>Apply</v>
      </c>
      <c r="C3021" s="10" t="s">
        <v>15261</v>
      </c>
      <c r="D3021" s="56" t="s">
        <v>14380</v>
      </c>
      <c r="E3021" s="59">
        <v>45301.0</v>
      </c>
      <c r="F3021" s="10" t="s">
        <v>14381</v>
      </c>
      <c r="G3021" s="10" t="s">
        <v>12654</v>
      </c>
      <c r="H3021" s="10" t="s">
        <v>906</v>
      </c>
      <c r="I3021" s="10" t="s">
        <v>55</v>
      </c>
      <c r="K3021" s="10" t="s">
        <v>15262</v>
      </c>
      <c r="L3021" s="10" t="s">
        <v>42</v>
      </c>
    </row>
    <row r="3022" ht="15.75" customHeight="1">
      <c r="A3022" s="67">
        <v>45462.0</v>
      </c>
      <c r="B3022" s="55" t="str">
        <f>HYPERLINK("https://jobright.ai/jobs/info/6673adb3641ee1952f468c6c?utm_campaign=1065&amp;utm_source=sheet", "Apply")</f>
        <v>Apply</v>
      </c>
      <c r="C3022" s="10" t="s">
        <v>14379</v>
      </c>
      <c r="D3022" s="56" t="s">
        <v>14380</v>
      </c>
      <c r="E3022" s="59">
        <v>45301.0</v>
      </c>
      <c r="F3022" s="10" t="s">
        <v>14381</v>
      </c>
      <c r="G3022" s="10" t="s">
        <v>12654</v>
      </c>
      <c r="H3022" s="10" t="s">
        <v>1045</v>
      </c>
      <c r="I3022" s="10" t="s">
        <v>55</v>
      </c>
      <c r="J3022" s="10" t="s">
        <v>14382</v>
      </c>
      <c r="K3022" s="10" t="s">
        <v>14383</v>
      </c>
      <c r="L3022" s="10" t="s">
        <v>42</v>
      </c>
    </row>
    <row r="3023" ht="15.75" customHeight="1">
      <c r="A3023" s="67">
        <v>45462.0</v>
      </c>
      <c r="B3023" s="55" t="str">
        <f>HYPERLINK("https://jobright.ai/jobs/info/66739b43b44778ee869ba530?utm_campaign=1065&amp;utm_source=sheet", "Apply")</f>
        <v>Apply</v>
      </c>
      <c r="C3023" s="10" t="s">
        <v>14379</v>
      </c>
      <c r="D3023" s="56" t="s">
        <v>14380</v>
      </c>
      <c r="E3023" s="59">
        <v>45301.0</v>
      </c>
      <c r="F3023" s="10" t="s">
        <v>14381</v>
      </c>
      <c r="G3023" s="10" t="s">
        <v>12654</v>
      </c>
      <c r="H3023" s="10" t="s">
        <v>113</v>
      </c>
      <c r="I3023" s="10" t="s">
        <v>55</v>
      </c>
      <c r="J3023" s="10" t="s">
        <v>14382</v>
      </c>
      <c r="K3023" s="10" t="s">
        <v>14383</v>
      </c>
      <c r="L3023" s="10" t="s">
        <v>42</v>
      </c>
    </row>
    <row r="3024" ht="15.75" customHeight="1">
      <c r="A3024" s="67">
        <v>45462.0</v>
      </c>
      <c r="B3024" s="55" t="str">
        <f>HYPERLINK("https://jobright.ai/jobs/info/66739b43b44778ee869ba532?utm_campaign=1065&amp;utm_source=sheet", "Apply")</f>
        <v>Apply</v>
      </c>
      <c r="C3024" s="10" t="s">
        <v>15261</v>
      </c>
      <c r="D3024" s="56" t="s">
        <v>14380</v>
      </c>
      <c r="E3024" s="59">
        <v>45301.0</v>
      </c>
      <c r="F3024" s="10" t="s">
        <v>14381</v>
      </c>
      <c r="G3024" s="10" t="s">
        <v>12654</v>
      </c>
      <c r="H3024" s="10" t="s">
        <v>993</v>
      </c>
      <c r="I3024" s="10" t="s">
        <v>55</v>
      </c>
      <c r="K3024" s="10" t="s">
        <v>15262</v>
      </c>
      <c r="L3024" s="10" t="s">
        <v>42</v>
      </c>
    </row>
    <row r="3025" ht="15.75" customHeight="1">
      <c r="A3025" s="67">
        <v>45462.0</v>
      </c>
      <c r="B3025" s="55" t="str">
        <f>HYPERLINK("https://jobright.ai/jobs/info/66739b43b44778ee869ba531?utm_campaign=1065&amp;utm_source=sheet", "Apply")</f>
        <v>Apply</v>
      </c>
      <c r="C3025" s="10" t="s">
        <v>15261</v>
      </c>
      <c r="D3025" s="56" t="s">
        <v>14380</v>
      </c>
      <c r="E3025" s="59">
        <v>45301.0</v>
      </c>
      <c r="F3025" s="10" t="s">
        <v>14381</v>
      </c>
      <c r="G3025" s="10" t="s">
        <v>12654</v>
      </c>
      <c r="H3025" s="10" t="s">
        <v>949</v>
      </c>
      <c r="I3025" s="10" t="s">
        <v>55</v>
      </c>
      <c r="K3025" s="10" t="s">
        <v>15262</v>
      </c>
      <c r="L3025" s="10" t="s">
        <v>42</v>
      </c>
    </row>
    <row r="3026" ht="15.75" customHeight="1">
      <c r="A3026" s="67">
        <v>45462.0</v>
      </c>
      <c r="B3026" s="55" t="str">
        <f>HYPERLINK("https://jobright.ai/jobs/info/66739b43b44778ee869ba533?utm_campaign=1065&amp;utm_source=sheet", "Apply")</f>
        <v>Apply</v>
      </c>
      <c r="C3026" s="10" t="s">
        <v>14379</v>
      </c>
      <c r="D3026" s="56" t="s">
        <v>14380</v>
      </c>
      <c r="E3026" s="59">
        <v>45301.0</v>
      </c>
      <c r="F3026" s="10" t="s">
        <v>14381</v>
      </c>
      <c r="G3026" s="10" t="s">
        <v>12654</v>
      </c>
      <c r="H3026" s="10" t="s">
        <v>936</v>
      </c>
      <c r="I3026" s="10" t="s">
        <v>55</v>
      </c>
      <c r="J3026" s="10" t="s">
        <v>14382</v>
      </c>
      <c r="K3026" s="10" t="s">
        <v>14383</v>
      </c>
      <c r="L3026" s="10" t="s">
        <v>42</v>
      </c>
    </row>
    <row r="3027" ht="15.75" customHeight="1">
      <c r="A3027" s="67">
        <v>45462.0</v>
      </c>
      <c r="B3027" s="55" t="str">
        <f>HYPERLINK("https://jobright.ai/jobs/info/66739b43b44778ee869ba535?utm_campaign=1065&amp;utm_source=sheet", "Apply")</f>
        <v>Apply</v>
      </c>
      <c r="C3027" s="10" t="s">
        <v>14379</v>
      </c>
      <c r="D3027" s="56" t="s">
        <v>14380</v>
      </c>
      <c r="E3027" s="59">
        <v>45301.0</v>
      </c>
      <c r="F3027" s="10" t="s">
        <v>14381</v>
      </c>
      <c r="G3027" s="10" t="s">
        <v>12654</v>
      </c>
      <c r="H3027" s="10" t="s">
        <v>891</v>
      </c>
      <c r="I3027" s="10" t="s">
        <v>55</v>
      </c>
      <c r="J3027" s="10" t="s">
        <v>14382</v>
      </c>
      <c r="K3027" s="10" t="s">
        <v>14383</v>
      </c>
      <c r="L3027" s="10" t="s">
        <v>42</v>
      </c>
    </row>
    <row r="3028" ht="15.75" customHeight="1">
      <c r="A3028" s="67">
        <v>45462.0</v>
      </c>
      <c r="B3028" s="55" t="str">
        <f>HYPERLINK("https://jobright.ai/jobs/info/66739b43b44778ee869ba534?utm_campaign=1065&amp;utm_source=sheet", "Apply")</f>
        <v>Apply</v>
      </c>
      <c r="C3028" s="10" t="s">
        <v>15261</v>
      </c>
      <c r="D3028" s="56" t="s">
        <v>14380</v>
      </c>
      <c r="E3028" s="59">
        <v>45301.0</v>
      </c>
      <c r="F3028" s="10" t="s">
        <v>14381</v>
      </c>
      <c r="G3028" s="10" t="s">
        <v>12654</v>
      </c>
      <c r="H3028" s="10" t="s">
        <v>787</v>
      </c>
      <c r="I3028" s="10" t="s">
        <v>55</v>
      </c>
      <c r="K3028" s="10" t="s">
        <v>15262</v>
      </c>
      <c r="L3028" s="10" t="s">
        <v>42</v>
      </c>
    </row>
    <row r="3029" ht="15.75" customHeight="1">
      <c r="A3029" s="67">
        <v>45462.0</v>
      </c>
      <c r="B3029" s="55" t="str">
        <f>HYPERLINK("https://jobright.ai/jobs/info/66739b43b44778ee869ba536?utm_campaign=1065&amp;utm_source=sheet", "Apply")</f>
        <v>Apply</v>
      </c>
      <c r="C3029" s="10" t="s">
        <v>14379</v>
      </c>
      <c r="D3029" s="56" t="s">
        <v>14380</v>
      </c>
      <c r="E3029" s="59">
        <v>45301.0</v>
      </c>
      <c r="F3029" s="10" t="s">
        <v>14381</v>
      </c>
      <c r="G3029" s="10" t="s">
        <v>12654</v>
      </c>
      <c r="H3029" s="10" t="s">
        <v>820</v>
      </c>
      <c r="I3029" s="10" t="s">
        <v>55</v>
      </c>
      <c r="J3029" s="10" t="s">
        <v>14382</v>
      </c>
      <c r="K3029" s="10" t="s">
        <v>14383</v>
      </c>
      <c r="L3029" s="10" t="s">
        <v>42</v>
      </c>
    </row>
    <row r="3030" ht="15.75" customHeight="1">
      <c r="A3030" s="67">
        <v>45462.0</v>
      </c>
      <c r="B3030" s="55" t="str">
        <f>HYPERLINK("https://jobright.ai/jobs/info/66739b43b44778ee869ba538?utm_campaign=1065&amp;utm_source=sheet", "Apply")</f>
        <v>Apply</v>
      </c>
      <c r="C3030" s="10" t="s">
        <v>14379</v>
      </c>
      <c r="D3030" s="56" t="s">
        <v>14380</v>
      </c>
      <c r="E3030" s="59">
        <v>45301.0</v>
      </c>
      <c r="F3030" s="10" t="s">
        <v>14381</v>
      </c>
      <c r="G3030" s="10" t="s">
        <v>12654</v>
      </c>
      <c r="H3030" s="10" t="s">
        <v>146</v>
      </c>
      <c r="I3030" s="10" t="s">
        <v>55</v>
      </c>
      <c r="J3030" s="10" t="s">
        <v>14382</v>
      </c>
      <c r="K3030" s="10" t="s">
        <v>14383</v>
      </c>
      <c r="L3030" s="10" t="s">
        <v>42</v>
      </c>
    </row>
    <row r="3031" ht="15.75" customHeight="1">
      <c r="A3031" s="67">
        <v>45462.0</v>
      </c>
      <c r="B3031" s="55" t="str">
        <f>HYPERLINK("https://jobright.ai/jobs/info/66739b43b44778ee869ba537?utm_campaign=1065&amp;utm_source=sheet", "Apply")</f>
        <v>Apply</v>
      </c>
      <c r="C3031" s="10" t="s">
        <v>14379</v>
      </c>
      <c r="D3031" s="56" t="s">
        <v>14380</v>
      </c>
      <c r="E3031" s="59">
        <v>45301.0</v>
      </c>
      <c r="F3031" s="10" t="s">
        <v>14381</v>
      </c>
      <c r="G3031" s="10" t="s">
        <v>12654</v>
      </c>
      <c r="H3031" s="10" t="s">
        <v>788</v>
      </c>
      <c r="I3031" s="10" t="s">
        <v>55</v>
      </c>
      <c r="J3031" s="10" t="s">
        <v>14382</v>
      </c>
      <c r="K3031" s="10" t="s">
        <v>14383</v>
      </c>
      <c r="L3031" s="10" t="s">
        <v>42</v>
      </c>
    </row>
    <row r="3032" ht="15.75" customHeight="1">
      <c r="A3032" s="67">
        <v>45462.0</v>
      </c>
      <c r="B3032" s="55" t="str">
        <f>HYPERLINK("https://jobright.ai/jobs/info/66739b43b44778ee869ba539?utm_campaign=1065&amp;utm_source=sheet", "Apply")</f>
        <v>Apply</v>
      </c>
      <c r="C3032" s="10" t="s">
        <v>15261</v>
      </c>
      <c r="D3032" s="56" t="s">
        <v>14380</v>
      </c>
      <c r="E3032" s="59">
        <v>45301.0</v>
      </c>
      <c r="F3032" s="10" t="s">
        <v>14381</v>
      </c>
      <c r="G3032" s="10" t="s">
        <v>12654</v>
      </c>
      <c r="H3032" s="10" t="s">
        <v>890</v>
      </c>
      <c r="I3032" s="10" t="s">
        <v>55</v>
      </c>
      <c r="K3032" s="10" t="s">
        <v>15262</v>
      </c>
      <c r="L3032" s="10" t="s">
        <v>42</v>
      </c>
    </row>
    <row r="3033" ht="15.75" customHeight="1">
      <c r="A3033" s="67">
        <v>45462.0</v>
      </c>
      <c r="B3033" s="55" t="str">
        <f>HYPERLINK("https://jobright.ai/jobs/info/66739b43b44778ee869ba53c?utm_campaign=1065&amp;utm_source=sheet", "Apply")</f>
        <v>Apply</v>
      </c>
      <c r="C3033" s="10" t="s">
        <v>14379</v>
      </c>
      <c r="D3033" s="56" t="s">
        <v>14380</v>
      </c>
      <c r="E3033" s="59">
        <v>45301.0</v>
      </c>
      <c r="F3033" s="10" t="s">
        <v>14381</v>
      </c>
      <c r="G3033" s="10" t="s">
        <v>12654</v>
      </c>
      <c r="H3033" s="10" t="s">
        <v>865</v>
      </c>
      <c r="I3033" s="10" t="s">
        <v>55</v>
      </c>
      <c r="J3033" s="10" t="s">
        <v>14382</v>
      </c>
      <c r="K3033" s="10" t="s">
        <v>14383</v>
      </c>
      <c r="L3033" s="10" t="s">
        <v>42</v>
      </c>
    </row>
    <row r="3034" ht="15.75" customHeight="1">
      <c r="A3034" s="67">
        <v>45462.0</v>
      </c>
      <c r="B3034" s="55" t="str">
        <f>HYPERLINK("https://jobright.ai/jobs/info/66739b43b44778ee869ba53a?utm_campaign=1065&amp;utm_source=sheet", "Apply")</f>
        <v>Apply</v>
      </c>
      <c r="C3034" s="10" t="s">
        <v>14379</v>
      </c>
      <c r="D3034" s="56" t="s">
        <v>14380</v>
      </c>
      <c r="E3034" s="59">
        <v>45301.0</v>
      </c>
      <c r="F3034" s="10" t="s">
        <v>14381</v>
      </c>
      <c r="G3034" s="10" t="s">
        <v>12654</v>
      </c>
      <c r="H3034" s="10" t="s">
        <v>813</v>
      </c>
      <c r="I3034" s="10" t="s">
        <v>55</v>
      </c>
      <c r="J3034" s="10" t="s">
        <v>14382</v>
      </c>
      <c r="K3034" s="10" t="s">
        <v>14383</v>
      </c>
      <c r="L3034" s="10" t="s">
        <v>42</v>
      </c>
    </row>
    <row r="3035" ht="15.75" customHeight="1">
      <c r="A3035" s="67">
        <v>45462.0</v>
      </c>
      <c r="B3035" s="55" t="str">
        <f>HYPERLINK("https://jobright.ai/jobs/info/66739b43b44778ee869ba53b?utm_campaign=1065&amp;utm_source=sheet", "Apply")</f>
        <v>Apply</v>
      </c>
      <c r="C3035" s="10" t="s">
        <v>14379</v>
      </c>
      <c r="D3035" s="56" t="s">
        <v>14380</v>
      </c>
      <c r="E3035" s="59">
        <v>45301.0</v>
      </c>
      <c r="F3035" s="10" t="s">
        <v>14381</v>
      </c>
      <c r="G3035" s="10" t="s">
        <v>12654</v>
      </c>
      <c r="H3035" s="10" t="s">
        <v>245</v>
      </c>
      <c r="I3035" s="10" t="s">
        <v>55</v>
      </c>
      <c r="J3035" s="10" t="s">
        <v>14382</v>
      </c>
      <c r="K3035" s="10" t="s">
        <v>14383</v>
      </c>
      <c r="L3035" s="10" t="s">
        <v>42</v>
      </c>
    </row>
    <row r="3036" ht="15.75" customHeight="1">
      <c r="A3036" s="67">
        <v>45462.0</v>
      </c>
      <c r="B3036" s="55" t="str">
        <f>HYPERLINK("https://jobright.ai/jobs/info/66738f5503cbcd16c4f16168?utm_campaign=1065&amp;utm_source=sheet", "Apply")</f>
        <v>Apply</v>
      </c>
      <c r="C3036" s="10" t="s">
        <v>15261</v>
      </c>
      <c r="D3036" s="56" t="s">
        <v>14380</v>
      </c>
      <c r="E3036" s="59">
        <v>45301.0</v>
      </c>
      <c r="F3036" s="10" t="s">
        <v>14381</v>
      </c>
      <c r="G3036" s="10" t="s">
        <v>12654</v>
      </c>
      <c r="H3036" s="10" t="s">
        <v>817</v>
      </c>
      <c r="I3036" s="10" t="s">
        <v>55</v>
      </c>
      <c r="K3036" s="10" t="s">
        <v>15262</v>
      </c>
      <c r="L3036" s="10" t="s">
        <v>42</v>
      </c>
    </row>
    <row r="3037" ht="15.75" customHeight="1">
      <c r="A3037" s="67">
        <v>45462.0</v>
      </c>
      <c r="B3037" s="55" t="str">
        <f>HYPERLINK("https://jobright.ai/jobs/info/66738f5503cbcd16c4f1616a?utm_campaign=1065&amp;utm_source=sheet", "Apply")</f>
        <v>Apply</v>
      </c>
      <c r="C3037" s="10" t="s">
        <v>14379</v>
      </c>
      <c r="D3037" s="56" t="s">
        <v>14380</v>
      </c>
      <c r="E3037" s="59">
        <v>45301.0</v>
      </c>
      <c r="F3037" s="10" t="s">
        <v>14381</v>
      </c>
      <c r="G3037" s="10" t="s">
        <v>12654</v>
      </c>
      <c r="H3037" s="10" t="s">
        <v>840</v>
      </c>
      <c r="I3037" s="10" t="s">
        <v>55</v>
      </c>
      <c r="J3037" s="10" t="s">
        <v>14382</v>
      </c>
      <c r="K3037" s="10" t="s">
        <v>14383</v>
      </c>
      <c r="L3037" s="10" t="s">
        <v>42</v>
      </c>
    </row>
    <row r="3038" ht="15.75" customHeight="1">
      <c r="A3038" s="67">
        <v>45462.0</v>
      </c>
      <c r="B3038" s="55" t="str">
        <f>HYPERLINK("https://jobright.ai/jobs/info/66738f5503cbcd16c4f1616b?utm_campaign=1065&amp;utm_source=sheet", "Apply")</f>
        <v>Apply</v>
      </c>
      <c r="C3038" s="10" t="s">
        <v>15261</v>
      </c>
      <c r="D3038" s="56" t="s">
        <v>14380</v>
      </c>
      <c r="E3038" s="59">
        <v>45301.0</v>
      </c>
      <c r="F3038" s="10" t="s">
        <v>14381</v>
      </c>
      <c r="G3038" s="10" t="s">
        <v>12654</v>
      </c>
      <c r="H3038" s="10" t="s">
        <v>1030</v>
      </c>
      <c r="I3038" s="10" t="s">
        <v>55</v>
      </c>
      <c r="K3038" s="10" t="s">
        <v>15262</v>
      </c>
      <c r="L3038" s="10" t="s">
        <v>42</v>
      </c>
    </row>
    <row r="3039" ht="15.75" customHeight="1">
      <c r="A3039" s="67">
        <v>45462.0</v>
      </c>
      <c r="B3039" s="55" t="str">
        <f>HYPERLINK("https://jobright.ai/jobs/info/66738f5503cbcd16c4f16169?utm_campaign=1065&amp;utm_source=sheet", "Apply")</f>
        <v>Apply</v>
      </c>
      <c r="C3039" s="10" t="s">
        <v>15261</v>
      </c>
      <c r="D3039" s="56" t="s">
        <v>14380</v>
      </c>
      <c r="E3039" s="59">
        <v>45301.0</v>
      </c>
      <c r="F3039" s="10" t="s">
        <v>14381</v>
      </c>
      <c r="G3039" s="10" t="s">
        <v>12654</v>
      </c>
      <c r="H3039" s="10" t="s">
        <v>1049</v>
      </c>
      <c r="I3039" s="10" t="s">
        <v>55</v>
      </c>
      <c r="K3039" s="10" t="s">
        <v>15262</v>
      </c>
      <c r="L3039" s="10" t="s">
        <v>42</v>
      </c>
    </row>
    <row r="3040" ht="15.75" customHeight="1">
      <c r="A3040" s="67">
        <v>45462.0</v>
      </c>
      <c r="B3040" s="55" t="str">
        <f>HYPERLINK("https://jobright.ai/jobs/info/66738f5503cbcd16c4f1616c?utm_campaign=1065&amp;utm_source=sheet", "Apply")</f>
        <v>Apply</v>
      </c>
      <c r="C3040" s="10" t="s">
        <v>15261</v>
      </c>
      <c r="D3040" s="56" t="s">
        <v>14380</v>
      </c>
      <c r="E3040" s="59">
        <v>45301.0</v>
      </c>
      <c r="F3040" s="10" t="s">
        <v>14381</v>
      </c>
      <c r="G3040" s="10" t="s">
        <v>12654</v>
      </c>
      <c r="H3040" s="10" t="s">
        <v>791</v>
      </c>
      <c r="I3040" s="10" t="s">
        <v>55</v>
      </c>
      <c r="K3040" s="10" t="s">
        <v>15262</v>
      </c>
      <c r="L3040" s="10" t="s">
        <v>42</v>
      </c>
    </row>
    <row r="3041" ht="15.75" customHeight="1">
      <c r="A3041" s="67">
        <v>45462.0</v>
      </c>
      <c r="B3041" s="55" t="str">
        <f>HYPERLINK("https://jobright.ai/jobs/info/66738f5503cbcd16c4f1616d?utm_campaign=1065&amp;utm_source=sheet", "Apply")</f>
        <v>Apply</v>
      </c>
      <c r="C3041" s="10" t="s">
        <v>15261</v>
      </c>
      <c r="D3041" s="56" t="s">
        <v>14380</v>
      </c>
      <c r="E3041" s="59">
        <v>45301.0</v>
      </c>
      <c r="F3041" s="10" t="s">
        <v>14381</v>
      </c>
      <c r="G3041" s="10" t="s">
        <v>12654</v>
      </c>
      <c r="H3041" s="10" t="s">
        <v>1046</v>
      </c>
      <c r="I3041" s="10" t="s">
        <v>55</v>
      </c>
      <c r="K3041" s="10" t="s">
        <v>15262</v>
      </c>
      <c r="L3041" s="10" t="s">
        <v>42</v>
      </c>
    </row>
    <row r="3042" ht="15.75" customHeight="1">
      <c r="A3042" s="67">
        <v>45462.0</v>
      </c>
      <c r="B3042" s="55" t="str">
        <f>HYPERLINK("https://jobright.ai/jobs/info/66738f5503cbcd16c4f16172?utm_campaign=1065&amp;utm_source=sheet", "Apply")</f>
        <v>Apply</v>
      </c>
      <c r="C3042" s="10" t="s">
        <v>14379</v>
      </c>
      <c r="D3042" s="56" t="s">
        <v>14380</v>
      </c>
      <c r="E3042" s="59">
        <v>45301.0</v>
      </c>
      <c r="F3042" s="10" t="s">
        <v>14381</v>
      </c>
      <c r="G3042" s="10" t="s">
        <v>12654</v>
      </c>
      <c r="H3042" s="10" t="s">
        <v>824</v>
      </c>
      <c r="I3042" s="10" t="s">
        <v>55</v>
      </c>
      <c r="J3042" s="10" t="s">
        <v>14382</v>
      </c>
      <c r="K3042" s="10" t="s">
        <v>14383</v>
      </c>
      <c r="L3042" s="10" t="s">
        <v>42</v>
      </c>
    </row>
    <row r="3043" ht="15.75" customHeight="1">
      <c r="A3043" s="67">
        <v>45462.0</v>
      </c>
      <c r="B3043" s="55" t="str">
        <f>HYPERLINK("https://jobright.ai/jobs/info/66738f5503cbcd16c4f16171?utm_campaign=1065&amp;utm_source=sheet", "Apply")</f>
        <v>Apply</v>
      </c>
      <c r="C3043" s="10" t="s">
        <v>14379</v>
      </c>
      <c r="D3043" s="56" t="s">
        <v>14380</v>
      </c>
      <c r="E3043" s="59">
        <v>45301.0</v>
      </c>
      <c r="F3043" s="10" t="s">
        <v>14381</v>
      </c>
      <c r="G3043" s="10" t="s">
        <v>12654</v>
      </c>
      <c r="H3043" s="10" t="s">
        <v>958</v>
      </c>
      <c r="I3043" s="10" t="s">
        <v>55</v>
      </c>
      <c r="J3043" s="10" t="s">
        <v>14382</v>
      </c>
      <c r="K3043" s="10" t="s">
        <v>14383</v>
      </c>
      <c r="L3043" s="10" t="s">
        <v>42</v>
      </c>
    </row>
    <row r="3044" ht="15.75" customHeight="1">
      <c r="A3044" s="67">
        <v>45462.0</v>
      </c>
      <c r="B3044" s="55" t="str">
        <f>HYPERLINK("https://jobright.ai/jobs/info/66738f5503cbcd16c4f16174?utm_campaign=1065&amp;utm_source=sheet", "Apply")</f>
        <v>Apply</v>
      </c>
      <c r="C3044" s="10" t="s">
        <v>14379</v>
      </c>
      <c r="D3044" s="56" t="s">
        <v>14380</v>
      </c>
      <c r="E3044" s="59">
        <v>45301.0</v>
      </c>
      <c r="F3044" s="10" t="s">
        <v>14381</v>
      </c>
      <c r="G3044" s="10" t="s">
        <v>12654</v>
      </c>
      <c r="H3044" s="10" t="s">
        <v>926</v>
      </c>
      <c r="I3044" s="10" t="s">
        <v>55</v>
      </c>
      <c r="J3044" s="10" t="s">
        <v>14382</v>
      </c>
      <c r="K3044" s="10" t="s">
        <v>14383</v>
      </c>
      <c r="L3044" s="10" t="s">
        <v>42</v>
      </c>
    </row>
    <row r="3045" ht="15.75" customHeight="1">
      <c r="A3045" s="67">
        <v>45462.0</v>
      </c>
      <c r="B3045" s="55" t="str">
        <f>HYPERLINK("https://jobright.ai/jobs/info/66738f5503cbcd16c4f16176?utm_campaign=1065&amp;utm_source=sheet", "Apply")</f>
        <v>Apply</v>
      </c>
      <c r="C3045" s="10" t="s">
        <v>14379</v>
      </c>
      <c r="D3045" s="56" t="s">
        <v>14380</v>
      </c>
      <c r="E3045" s="59">
        <v>45301.0</v>
      </c>
      <c r="F3045" s="10" t="s">
        <v>14381</v>
      </c>
      <c r="G3045" s="10" t="s">
        <v>12654</v>
      </c>
      <c r="H3045" s="10" t="s">
        <v>738</v>
      </c>
      <c r="I3045" s="10" t="s">
        <v>55</v>
      </c>
      <c r="J3045" s="10" t="s">
        <v>14382</v>
      </c>
      <c r="K3045" s="10" t="s">
        <v>14383</v>
      </c>
      <c r="L3045" s="10" t="s">
        <v>42</v>
      </c>
    </row>
    <row r="3046" ht="15.75" customHeight="1">
      <c r="A3046" s="67">
        <v>45462.0</v>
      </c>
      <c r="B3046" s="55" t="str">
        <f>HYPERLINK("https://jobright.ai/jobs/info/66738f5503cbcd16c4f16175?utm_campaign=1065&amp;utm_source=sheet", "Apply")</f>
        <v>Apply</v>
      </c>
      <c r="C3046" s="10" t="s">
        <v>15261</v>
      </c>
      <c r="D3046" s="56" t="s">
        <v>14380</v>
      </c>
      <c r="E3046" s="59">
        <v>45301.0</v>
      </c>
      <c r="F3046" s="10" t="s">
        <v>14381</v>
      </c>
      <c r="G3046" s="10" t="s">
        <v>12654</v>
      </c>
      <c r="H3046" s="10" t="s">
        <v>896</v>
      </c>
      <c r="I3046" s="10" t="s">
        <v>55</v>
      </c>
      <c r="K3046" s="10" t="s">
        <v>15262</v>
      </c>
      <c r="L3046" s="10" t="s">
        <v>42</v>
      </c>
    </row>
    <row r="3047" ht="15.75" customHeight="1">
      <c r="A3047" s="67">
        <v>45462.0</v>
      </c>
      <c r="B3047" s="55" t="str">
        <f>HYPERLINK("https://jobright.ai/jobs/info/66738f5503cbcd16c4f16173?utm_campaign=1065&amp;utm_source=sheet", "Apply")</f>
        <v>Apply</v>
      </c>
      <c r="C3047" s="10" t="s">
        <v>14379</v>
      </c>
      <c r="D3047" s="56" t="s">
        <v>14380</v>
      </c>
      <c r="E3047" s="59">
        <v>45301.0</v>
      </c>
      <c r="F3047" s="10" t="s">
        <v>14381</v>
      </c>
      <c r="G3047" s="10" t="s">
        <v>12654</v>
      </c>
      <c r="H3047" s="10" t="s">
        <v>922</v>
      </c>
      <c r="I3047" s="10" t="s">
        <v>55</v>
      </c>
      <c r="J3047" s="10" t="s">
        <v>14382</v>
      </c>
      <c r="K3047" s="10" t="s">
        <v>14383</v>
      </c>
      <c r="L3047" s="10" t="s">
        <v>42</v>
      </c>
    </row>
    <row r="3048" ht="15.75" customHeight="1">
      <c r="A3048" s="67">
        <v>45462.0</v>
      </c>
      <c r="B3048" s="55" t="str">
        <f>HYPERLINK("https://jobright.ai/jobs/info/66738f5503cbcd16c4f1616f?utm_campaign=1065&amp;utm_source=sheet", "Apply")</f>
        <v>Apply</v>
      </c>
      <c r="C3048" s="10" t="s">
        <v>15261</v>
      </c>
      <c r="D3048" s="56" t="s">
        <v>14380</v>
      </c>
      <c r="E3048" s="59">
        <v>45301.0</v>
      </c>
      <c r="F3048" s="10" t="s">
        <v>14381</v>
      </c>
      <c r="G3048" s="10" t="s">
        <v>12654</v>
      </c>
      <c r="H3048" s="10" t="s">
        <v>962</v>
      </c>
      <c r="I3048" s="10" t="s">
        <v>55</v>
      </c>
      <c r="K3048" s="10" t="s">
        <v>15262</v>
      </c>
      <c r="L3048" s="10" t="s">
        <v>42</v>
      </c>
    </row>
    <row r="3049" ht="15.75" customHeight="1">
      <c r="A3049" s="67">
        <v>45462.0</v>
      </c>
      <c r="B3049" s="55" t="str">
        <f>HYPERLINK("https://jobright.ai/jobs/info/66738f5503cbcd16c4f16170?utm_campaign=1065&amp;utm_source=sheet", "Apply")</f>
        <v>Apply</v>
      </c>
      <c r="C3049" s="10" t="s">
        <v>14379</v>
      </c>
      <c r="D3049" s="56" t="s">
        <v>14380</v>
      </c>
      <c r="E3049" s="59">
        <v>45301.0</v>
      </c>
      <c r="F3049" s="10" t="s">
        <v>14381</v>
      </c>
      <c r="G3049" s="10" t="s">
        <v>12654</v>
      </c>
      <c r="H3049" s="10" t="s">
        <v>995</v>
      </c>
      <c r="I3049" s="10" t="s">
        <v>55</v>
      </c>
      <c r="J3049" s="10" t="s">
        <v>14382</v>
      </c>
      <c r="K3049" s="10" t="s">
        <v>14383</v>
      </c>
      <c r="L3049" s="10" t="s">
        <v>42</v>
      </c>
    </row>
    <row r="3050" ht="15.75" customHeight="1">
      <c r="A3050" s="67">
        <v>45462.0</v>
      </c>
      <c r="B3050" s="55" t="str">
        <f>HYPERLINK("https://jobright.ai/jobs/info/66738f5503cbcd16c4f16177?utm_campaign=1065&amp;utm_source=sheet", "Apply")</f>
        <v>Apply</v>
      </c>
      <c r="C3050" s="10" t="s">
        <v>14379</v>
      </c>
      <c r="D3050" s="56" t="s">
        <v>14380</v>
      </c>
      <c r="E3050" s="59">
        <v>45301.0</v>
      </c>
      <c r="F3050" s="10" t="s">
        <v>14381</v>
      </c>
      <c r="G3050" s="10" t="s">
        <v>12654</v>
      </c>
      <c r="H3050" s="10" t="s">
        <v>960</v>
      </c>
      <c r="I3050" s="10" t="s">
        <v>55</v>
      </c>
      <c r="J3050" s="10" t="s">
        <v>14382</v>
      </c>
      <c r="K3050" s="10" t="s">
        <v>14383</v>
      </c>
      <c r="L3050" s="10" t="s">
        <v>42</v>
      </c>
    </row>
    <row r="3051" ht="15.75" customHeight="1">
      <c r="A3051" s="67">
        <v>45462.0</v>
      </c>
      <c r="B3051" s="55" t="str">
        <f>HYPERLINK("https://jobright.ai/jobs/info/667362c4f44696bdd5e7a7f0?utm_campaign=1065&amp;utm_source=sheet", "Apply")</f>
        <v>Apply</v>
      </c>
      <c r="C3051" s="10" t="s">
        <v>15261</v>
      </c>
      <c r="D3051" s="56" t="s">
        <v>14380</v>
      </c>
      <c r="E3051" s="59">
        <v>45301.0</v>
      </c>
      <c r="F3051" s="10" t="s">
        <v>14381</v>
      </c>
      <c r="G3051" s="10" t="s">
        <v>12654</v>
      </c>
      <c r="H3051" s="10" t="s">
        <v>974</v>
      </c>
      <c r="I3051" s="10" t="s">
        <v>55</v>
      </c>
      <c r="K3051" s="10" t="s">
        <v>15262</v>
      </c>
      <c r="L3051" s="10" t="s">
        <v>42</v>
      </c>
    </row>
    <row r="3052" ht="15.75" customHeight="1">
      <c r="A3052" s="67">
        <v>45462.0</v>
      </c>
      <c r="B3052" s="55" t="str">
        <f>HYPERLINK("https://jobright.ai/jobs/info/667362c4f44696bdd5e7a7f2?utm_campaign=1065&amp;utm_source=sheet", "Apply")</f>
        <v>Apply</v>
      </c>
      <c r="C3052" s="10" t="s">
        <v>14379</v>
      </c>
      <c r="D3052" s="56" t="s">
        <v>14380</v>
      </c>
      <c r="E3052" s="59">
        <v>45301.0</v>
      </c>
      <c r="F3052" s="10" t="s">
        <v>14381</v>
      </c>
      <c r="G3052" s="10" t="s">
        <v>12654</v>
      </c>
      <c r="H3052" s="10" t="s">
        <v>836</v>
      </c>
      <c r="I3052" s="10" t="s">
        <v>55</v>
      </c>
      <c r="J3052" s="10" t="s">
        <v>14382</v>
      </c>
      <c r="K3052" s="10" t="s">
        <v>14383</v>
      </c>
      <c r="L3052" s="10" t="s">
        <v>42</v>
      </c>
    </row>
    <row r="3053" ht="15.75" customHeight="1">
      <c r="A3053" s="67">
        <v>45462.0</v>
      </c>
      <c r="B3053" s="55" t="str">
        <f>HYPERLINK("https://jobright.ai/jobs/info/667362c4f44696bdd5e7a7f1?utm_campaign=1065&amp;utm_source=sheet", "Apply")</f>
        <v>Apply</v>
      </c>
      <c r="C3053" s="10" t="s">
        <v>14379</v>
      </c>
      <c r="D3053" s="56" t="s">
        <v>14380</v>
      </c>
      <c r="E3053" s="59">
        <v>45301.0</v>
      </c>
      <c r="F3053" s="10" t="s">
        <v>14381</v>
      </c>
      <c r="G3053" s="10" t="s">
        <v>12654</v>
      </c>
      <c r="H3053" s="10" t="s">
        <v>892</v>
      </c>
      <c r="I3053" s="10" t="s">
        <v>55</v>
      </c>
      <c r="J3053" s="10" t="s">
        <v>14382</v>
      </c>
      <c r="K3053" s="10" t="s">
        <v>14383</v>
      </c>
      <c r="L3053" s="10" t="s">
        <v>42</v>
      </c>
    </row>
    <row r="3054" ht="15.75" customHeight="1">
      <c r="A3054" s="67">
        <v>45462.0</v>
      </c>
      <c r="B3054" s="55" t="str">
        <f>HYPERLINK("https://jobright.ai/jobs/info/667362c4f44696bdd5e7a7f3?utm_campaign=1065&amp;utm_source=sheet", "Apply")</f>
        <v>Apply</v>
      </c>
      <c r="C3054" s="10" t="s">
        <v>15261</v>
      </c>
      <c r="D3054" s="56" t="s">
        <v>14380</v>
      </c>
      <c r="E3054" s="59">
        <v>45301.0</v>
      </c>
      <c r="F3054" s="10" t="s">
        <v>14381</v>
      </c>
      <c r="G3054" s="10" t="s">
        <v>12654</v>
      </c>
      <c r="H3054" s="10" t="s">
        <v>903</v>
      </c>
      <c r="I3054" s="10" t="s">
        <v>55</v>
      </c>
      <c r="K3054" s="10" t="s">
        <v>15262</v>
      </c>
      <c r="L3054" s="10" t="s">
        <v>42</v>
      </c>
    </row>
    <row r="3055" ht="15.75" customHeight="1">
      <c r="A3055" s="67">
        <v>45462.0</v>
      </c>
      <c r="B3055" s="55" t="str">
        <f>HYPERLINK("https://jobright.ai/jobs/info/667362c4f44696bdd5e7a7f4?utm_campaign=1065&amp;utm_source=sheet", "Apply")</f>
        <v>Apply</v>
      </c>
      <c r="C3055" s="10" t="s">
        <v>14379</v>
      </c>
      <c r="D3055" s="56" t="s">
        <v>14380</v>
      </c>
      <c r="E3055" s="59">
        <v>45301.0</v>
      </c>
      <c r="F3055" s="10" t="s">
        <v>14381</v>
      </c>
      <c r="G3055" s="10" t="s">
        <v>12654</v>
      </c>
      <c r="H3055" s="10" t="s">
        <v>864</v>
      </c>
      <c r="I3055" s="10" t="s">
        <v>55</v>
      </c>
      <c r="J3055" s="10" t="s">
        <v>14382</v>
      </c>
      <c r="K3055" s="10" t="s">
        <v>14383</v>
      </c>
      <c r="L3055" s="10" t="s">
        <v>42</v>
      </c>
    </row>
    <row r="3056" ht="15.75" customHeight="1">
      <c r="A3056" s="67">
        <v>45462.0</v>
      </c>
      <c r="B3056" s="55" t="str">
        <f>HYPERLINK("https://jobright.ai/jobs/info/667362c4f44696bdd5e7a7f7?utm_campaign=1065&amp;utm_source=sheet", "Apply")</f>
        <v>Apply</v>
      </c>
      <c r="C3056" s="10" t="s">
        <v>14379</v>
      </c>
      <c r="D3056" s="56" t="s">
        <v>14380</v>
      </c>
      <c r="E3056" s="59">
        <v>45301.0</v>
      </c>
      <c r="F3056" s="10" t="s">
        <v>14381</v>
      </c>
      <c r="G3056" s="10" t="s">
        <v>12654</v>
      </c>
      <c r="H3056" s="10" t="s">
        <v>1034</v>
      </c>
      <c r="I3056" s="10" t="s">
        <v>55</v>
      </c>
      <c r="J3056" s="10" t="s">
        <v>14382</v>
      </c>
      <c r="K3056" s="10" t="s">
        <v>14383</v>
      </c>
      <c r="L3056" s="10" t="s">
        <v>42</v>
      </c>
    </row>
    <row r="3057" ht="15.75" customHeight="1">
      <c r="A3057" s="67">
        <v>45462.0</v>
      </c>
      <c r="B3057" s="55" t="str">
        <f>HYPERLINK("https://jobright.ai/jobs/info/667362c4f44696bdd5e7a7f8?utm_campaign=1065&amp;utm_source=sheet", "Apply")</f>
        <v>Apply</v>
      </c>
      <c r="C3057" s="10" t="s">
        <v>15261</v>
      </c>
      <c r="D3057" s="56" t="s">
        <v>14380</v>
      </c>
      <c r="E3057" s="59">
        <v>45301.0</v>
      </c>
      <c r="F3057" s="10" t="s">
        <v>14381</v>
      </c>
      <c r="G3057" s="10" t="s">
        <v>12654</v>
      </c>
      <c r="H3057" s="10" t="s">
        <v>843</v>
      </c>
      <c r="I3057" s="10" t="s">
        <v>55</v>
      </c>
      <c r="K3057" s="10" t="s">
        <v>15262</v>
      </c>
      <c r="L3057" s="10" t="s">
        <v>42</v>
      </c>
    </row>
    <row r="3058" ht="15.75" customHeight="1">
      <c r="A3058" s="67">
        <v>45462.0</v>
      </c>
      <c r="B3058" s="55" t="str">
        <f>HYPERLINK("https://jobright.ai/jobs/info/667362c4f44696bdd5e7a7f9?utm_campaign=1065&amp;utm_source=sheet", "Apply")</f>
        <v>Apply</v>
      </c>
      <c r="C3058" s="10" t="s">
        <v>15261</v>
      </c>
      <c r="D3058" s="56" t="s">
        <v>14380</v>
      </c>
      <c r="E3058" s="59">
        <v>45301.0</v>
      </c>
      <c r="F3058" s="10" t="s">
        <v>14381</v>
      </c>
      <c r="G3058" s="10" t="s">
        <v>12654</v>
      </c>
      <c r="H3058" s="10" t="s">
        <v>944</v>
      </c>
      <c r="I3058" s="10" t="s">
        <v>55</v>
      </c>
      <c r="K3058" s="10" t="s">
        <v>15262</v>
      </c>
      <c r="L3058" s="10" t="s">
        <v>42</v>
      </c>
    </row>
    <row r="3059" ht="15.75" customHeight="1">
      <c r="A3059" s="67">
        <v>45462.0</v>
      </c>
      <c r="B3059" s="55" t="str">
        <f>HYPERLINK("https://jobright.ai/jobs/info/667362c4f44696bdd5e7a7f6?utm_campaign=1065&amp;utm_source=sheet", "Apply")</f>
        <v>Apply</v>
      </c>
      <c r="C3059" s="10" t="s">
        <v>14379</v>
      </c>
      <c r="D3059" s="56" t="s">
        <v>14380</v>
      </c>
      <c r="E3059" s="59">
        <v>45301.0</v>
      </c>
      <c r="F3059" s="10" t="s">
        <v>14381</v>
      </c>
      <c r="G3059" s="10" t="s">
        <v>12654</v>
      </c>
      <c r="H3059" s="10" t="s">
        <v>1008</v>
      </c>
      <c r="I3059" s="10" t="s">
        <v>55</v>
      </c>
      <c r="J3059" s="10" t="s">
        <v>14382</v>
      </c>
      <c r="K3059" s="10" t="s">
        <v>14383</v>
      </c>
      <c r="L3059" s="10" t="s">
        <v>42</v>
      </c>
    </row>
    <row r="3060" ht="15.75" customHeight="1">
      <c r="A3060" s="67">
        <v>45462.0</v>
      </c>
      <c r="B3060" s="55" t="str">
        <f>HYPERLINK("https://jobright.ai/jobs/info/667362c4f44696bdd5e7a7f5?utm_campaign=1065&amp;utm_source=sheet", "Apply")</f>
        <v>Apply</v>
      </c>
      <c r="C3060" s="10" t="s">
        <v>15261</v>
      </c>
      <c r="D3060" s="56" t="s">
        <v>14380</v>
      </c>
      <c r="E3060" s="59">
        <v>45301.0</v>
      </c>
      <c r="F3060" s="10" t="s">
        <v>14381</v>
      </c>
      <c r="G3060" s="10" t="s">
        <v>12654</v>
      </c>
      <c r="H3060" s="10" t="s">
        <v>991</v>
      </c>
      <c r="I3060" s="10" t="s">
        <v>55</v>
      </c>
      <c r="K3060" s="10" t="s">
        <v>15262</v>
      </c>
      <c r="L3060" s="10" t="s">
        <v>42</v>
      </c>
    </row>
    <row r="3061" ht="15.75" customHeight="1">
      <c r="A3061" s="67">
        <v>45462.0</v>
      </c>
      <c r="B3061" s="55" t="str">
        <f>HYPERLINK("https://jobright.ai/jobs/info/667362c4f44696bdd5e7a7fb?utm_campaign=1065&amp;utm_source=sheet", "Apply")</f>
        <v>Apply</v>
      </c>
      <c r="C3061" s="10" t="s">
        <v>15261</v>
      </c>
      <c r="D3061" s="56" t="s">
        <v>14380</v>
      </c>
      <c r="E3061" s="59">
        <v>45301.0</v>
      </c>
      <c r="F3061" s="10" t="s">
        <v>14381</v>
      </c>
      <c r="G3061" s="10" t="s">
        <v>12654</v>
      </c>
      <c r="H3061" s="10" t="s">
        <v>929</v>
      </c>
      <c r="I3061" s="10" t="s">
        <v>55</v>
      </c>
      <c r="K3061" s="10" t="s">
        <v>15262</v>
      </c>
      <c r="L3061" s="10" t="s">
        <v>42</v>
      </c>
    </row>
    <row r="3062" ht="15.75" customHeight="1">
      <c r="A3062" s="67">
        <v>45462.0</v>
      </c>
      <c r="B3062" s="55" t="str">
        <f>HYPERLINK("https://jobright.ai/jobs/info/667362c4f44696bdd5e7a7fc?utm_campaign=1065&amp;utm_source=sheet", "Apply")</f>
        <v>Apply</v>
      </c>
      <c r="C3062" s="10" t="s">
        <v>15261</v>
      </c>
      <c r="D3062" s="56" t="s">
        <v>14380</v>
      </c>
      <c r="E3062" s="59">
        <v>45301.0</v>
      </c>
      <c r="F3062" s="10" t="s">
        <v>14381</v>
      </c>
      <c r="G3062" s="10" t="s">
        <v>12654</v>
      </c>
      <c r="H3062" s="10" t="s">
        <v>806</v>
      </c>
      <c r="I3062" s="10" t="s">
        <v>55</v>
      </c>
      <c r="K3062" s="10" t="s">
        <v>15262</v>
      </c>
      <c r="L3062" s="10" t="s">
        <v>42</v>
      </c>
    </row>
    <row r="3063" ht="15.75" customHeight="1">
      <c r="A3063" s="67">
        <v>45462.0</v>
      </c>
      <c r="B3063" s="55" t="str">
        <f>HYPERLINK("https://jobright.ai/jobs/info/667362c4f44696bdd5e7a7fa?utm_campaign=1065&amp;utm_source=sheet", "Apply")</f>
        <v>Apply</v>
      </c>
      <c r="C3063" s="10" t="s">
        <v>14379</v>
      </c>
      <c r="D3063" s="56" t="s">
        <v>14380</v>
      </c>
      <c r="E3063" s="59">
        <v>45301.0</v>
      </c>
      <c r="F3063" s="10" t="s">
        <v>14381</v>
      </c>
      <c r="G3063" s="10" t="s">
        <v>12654</v>
      </c>
      <c r="H3063" s="10" t="s">
        <v>1011</v>
      </c>
      <c r="I3063" s="10" t="s">
        <v>55</v>
      </c>
      <c r="J3063" s="10" t="s">
        <v>14382</v>
      </c>
      <c r="K3063" s="10" t="s">
        <v>14383</v>
      </c>
      <c r="L3063" s="10" t="s">
        <v>42</v>
      </c>
    </row>
    <row r="3064" ht="15.75" customHeight="1">
      <c r="A3064" s="67">
        <v>45462.0</v>
      </c>
      <c r="B3064" s="55" t="str">
        <f>HYPERLINK("https://jobright.ai/jobs/info/667362c4f44696bdd5e7a806?utm_campaign=1065&amp;utm_source=sheet", "Apply")</f>
        <v>Apply</v>
      </c>
      <c r="C3064" s="10" t="s">
        <v>14379</v>
      </c>
      <c r="D3064" s="56" t="s">
        <v>14380</v>
      </c>
      <c r="E3064" s="59">
        <v>45301.0</v>
      </c>
      <c r="F3064" s="10" t="s">
        <v>14381</v>
      </c>
      <c r="G3064" s="10" t="s">
        <v>12654</v>
      </c>
      <c r="H3064" s="10" t="s">
        <v>903</v>
      </c>
      <c r="I3064" s="10" t="s">
        <v>55</v>
      </c>
      <c r="J3064" s="10" t="s">
        <v>14382</v>
      </c>
      <c r="K3064" s="10" t="s">
        <v>14383</v>
      </c>
      <c r="L3064" s="10" t="s">
        <v>42</v>
      </c>
    </row>
    <row r="3065" ht="15.75" customHeight="1">
      <c r="A3065" s="67">
        <v>45462.0</v>
      </c>
      <c r="B3065" s="55" t="str">
        <f>HYPERLINK("https://jobright.ai/jobs/info/667362c4f44696bdd5e7a7fe?utm_campaign=1065&amp;utm_source=sheet", "Apply")</f>
        <v>Apply</v>
      </c>
      <c r="C3065" s="10" t="s">
        <v>14379</v>
      </c>
      <c r="D3065" s="56" t="s">
        <v>14380</v>
      </c>
      <c r="E3065" s="59">
        <v>45301.0</v>
      </c>
      <c r="F3065" s="10" t="s">
        <v>14381</v>
      </c>
      <c r="G3065" s="10" t="s">
        <v>12654</v>
      </c>
      <c r="H3065" s="10" t="s">
        <v>783</v>
      </c>
      <c r="I3065" s="10" t="s">
        <v>55</v>
      </c>
      <c r="J3065" s="10" t="s">
        <v>14382</v>
      </c>
      <c r="K3065" s="10" t="s">
        <v>14383</v>
      </c>
      <c r="L3065" s="10" t="s">
        <v>42</v>
      </c>
    </row>
    <row r="3066" ht="15.75" customHeight="1">
      <c r="A3066" s="67">
        <v>45462.0</v>
      </c>
      <c r="B3066" s="55" t="str">
        <f>HYPERLINK("https://jobright.ai/jobs/info/667362c4f44696bdd5e7a805?utm_campaign=1065&amp;utm_source=sheet", "Apply")</f>
        <v>Apply</v>
      </c>
      <c r="C3066" s="10" t="s">
        <v>14379</v>
      </c>
      <c r="D3066" s="56" t="s">
        <v>14380</v>
      </c>
      <c r="E3066" s="59">
        <v>45301.0</v>
      </c>
      <c r="F3066" s="10" t="s">
        <v>14381</v>
      </c>
      <c r="G3066" s="10" t="s">
        <v>12654</v>
      </c>
      <c r="H3066" s="10" t="s">
        <v>998</v>
      </c>
      <c r="I3066" s="10" t="s">
        <v>55</v>
      </c>
      <c r="J3066" s="10" t="s">
        <v>14382</v>
      </c>
      <c r="K3066" s="10" t="s">
        <v>14383</v>
      </c>
      <c r="L3066" s="10" t="s">
        <v>42</v>
      </c>
    </row>
    <row r="3067" ht="15.75" customHeight="1">
      <c r="A3067" s="67">
        <v>45462.0</v>
      </c>
      <c r="B3067" s="55" t="str">
        <f>HYPERLINK("https://jobright.ai/jobs/info/667362c4f44696bdd5e7a801?utm_campaign=1065&amp;utm_source=sheet", "Apply")</f>
        <v>Apply</v>
      </c>
      <c r="C3067" s="10" t="s">
        <v>14379</v>
      </c>
      <c r="D3067" s="56" t="s">
        <v>14380</v>
      </c>
      <c r="E3067" s="59">
        <v>45301.0</v>
      </c>
      <c r="F3067" s="10" t="s">
        <v>14381</v>
      </c>
      <c r="G3067" s="10" t="s">
        <v>12654</v>
      </c>
      <c r="H3067" s="10" t="s">
        <v>893</v>
      </c>
      <c r="I3067" s="10" t="s">
        <v>55</v>
      </c>
      <c r="J3067" s="10" t="s">
        <v>14382</v>
      </c>
      <c r="K3067" s="10" t="s">
        <v>14383</v>
      </c>
      <c r="L3067" s="10" t="s">
        <v>42</v>
      </c>
    </row>
    <row r="3068" ht="15.75" customHeight="1">
      <c r="A3068" s="67">
        <v>45462.0</v>
      </c>
      <c r="B3068" s="55" t="str">
        <f>HYPERLINK("https://jobright.ai/jobs/info/667362c4f44696bdd5e7a804?utm_campaign=1065&amp;utm_source=sheet", "Apply")</f>
        <v>Apply</v>
      </c>
      <c r="C3068" s="10" t="s">
        <v>14379</v>
      </c>
      <c r="D3068" s="56" t="s">
        <v>14380</v>
      </c>
      <c r="E3068" s="59">
        <v>45301.0</v>
      </c>
      <c r="F3068" s="10" t="s">
        <v>14381</v>
      </c>
      <c r="G3068" s="10" t="s">
        <v>12654</v>
      </c>
      <c r="H3068" s="10" t="s">
        <v>609</v>
      </c>
      <c r="I3068" s="10" t="s">
        <v>55</v>
      </c>
      <c r="J3068" s="10" t="s">
        <v>14382</v>
      </c>
      <c r="K3068" s="10" t="s">
        <v>14383</v>
      </c>
      <c r="L3068" s="10" t="s">
        <v>42</v>
      </c>
    </row>
    <row r="3069" ht="15.75" customHeight="1">
      <c r="A3069" s="67">
        <v>45462.0</v>
      </c>
      <c r="B3069" s="55" t="str">
        <f>HYPERLINK("https://jobright.ai/jobs/info/667362c4f44696bdd5e7a800?utm_campaign=1065&amp;utm_source=sheet", "Apply")</f>
        <v>Apply</v>
      </c>
      <c r="C3069" s="10" t="s">
        <v>14379</v>
      </c>
      <c r="D3069" s="56" t="s">
        <v>14380</v>
      </c>
      <c r="E3069" s="59">
        <v>45301.0</v>
      </c>
      <c r="F3069" s="10" t="s">
        <v>14381</v>
      </c>
      <c r="G3069" s="10" t="s">
        <v>12654</v>
      </c>
      <c r="H3069" s="10" t="s">
        <v>1019</v>
      </c>
      <c r="I3069" s="10" t="s">
        <v>55</v>
      </c>
      <c r="J3069" s="10" t="s">
        <v>14382</v>
      </c>
      <c r="K3069" s="10" t="s">
        <v>14383</v>
      </c>
      <c r="L3069" s="10" t="s">
        <v>42</v>
      </c>
    </row>
    <row r="3070" ht="15.75" customHeight="1">
      <c r="A3070" s="67">
        <v>45462.0</v>
      </c>
      <c r="B3070" s="55" t="str">
        <f>HYPERLINK("https://jobright.ai/jobs/info/667362c4f44696bdd5e7a7ff?utm_campaign=1065&amp;utm_source=sheet", "Apply")</f>
        <v>Apply</v>
      </c>
      <c r="C3070" s="10" t="s">
        <v>15261</v>
      </c>
      <c r="D3070" s="56" t="s">
        <v>14380</v>
      </c>
      <c r="E3070" s="59">
        <v>45301.0</v>
      </c>
      <c r="F3070" s="10" t="s">
        <v>14381</v>
      </c>
      <c r="G3070" s="10" t="s">
        <v>12654</v>
      </c>
      <c r="H3070" s="10" t="s">
        <v>73</v>
      </c>
      <c r="I3070" s="10" t="s">
        <v>55</v>
      </c>
      <c r="K3070" s="10" t="s">
        <v>15262</v>
      </c>
      <c r="L3070" s="10" t="s">
        <v>42</v>
      </c>
    </row>
    <row r="3071" ht="15.75" customHeight="1">
      <c r="A3071" s="67">
        <v>45462.0</v>
      </c>
      <c r="B3071" s="55" t="str">
        <f>HYPERLINK("https://jobright.ai/jobs/info/667362c4f44696bdd5e7a803?utm_campaign=1065&amp;utm_source=sheet", "Apply")</f>
        <v>Apply</v>
      </c>
      <c r="C3071" s="10" t="s">
        <v>15261</v>
      </c>
      <c r="D3071" s="56" t="s">
        <v>14380</v>
      </c>
      <c r="E3071" s="59">
        <v>45301.0</v>
      </c>
      <c r="F3071" s="10" t="s">
        <v>14381</v>
      </c>
      <c r="G3071" s="10" t="s">
        <v>12654</v>
      </c>
      <c r="H3071" s="10" t="s">
        <v>902</v>
      </c>
      <c r="I3071" s="10" t="s">
        <v>55</v>
      </c>
      <c r="K3071" s="10" t="s">
        <v>15262</v>
      </c>
      <c r="L3071" s="10" t="s">
        <v>42</v>
      </c>
    </row>
    <row r="3072" ht="15.75" customHeight="1">
      <c r="A3072" s="67">
        <v>45462.0</v>
      </c>
      <c r="B3072" s="55" t="str">
        <f>HYPERLINK("https://jobright.ai/jobs/info/667362c4f44696bdd5e7a80a?utm_campaign=1065&amp;utm_source=sheet", "Apply")</f>
        <v>Apply</v>
      </c>
      <c r="C3072" s="10" t="s">
        <v>15261</v>
      </c>
      <c r="D3072" s="56" t="s">
        <v>14380</v>
      </c>
      <c r="E3072" s="59">
        <v>45301.0</v>
      </c>
      <c r="F3072" s="10" t="s">
        <v>14381</v>
      </c>
      <c r="G3072" s="10" t="s">
        <v>12654</v>
      </c>
      <c r="H3072" s="10" t="s">
        <v>952</v>
      </c>
      <c r="I3072" s="10" t="s">
        <v>55</v>
      </c>
      <c r="K3072" s="10" t="s">
        <v>15262</v>
      </c>
      <c r="L3072" s="10" t="s">
        <v>42</v>
      </c>
    </row>
    <row r="3073" ht="15.75" customHeight="1">
      <c r="A3073" s="67">
        <v>45462.0</v>
      </c>
      <c r="B3073" s="55" t="str">
        <f>HYPERLINK("https://jobright.ai/jobs/info/667362c4f44696bdd5e7a80d?utm_campaign=1065&amp;utm_source=sheet", "Apply")</f>
        <v>Apply</v>
      </c>
      <c r="C3073" s="10" t="s">
        <v>15261</v>
      </c>
      <c r="D3073" s="56" t="s">
        <v>14380</v>
      </c>
      <c r="E3073" s="59">
        <v>45301.0</v>
      </c>
      <c r="F3073" s="10" t="s">
        <v>14381</v>
      </c>
      <c r="G3073" s="10" t="s">
        <v>12654</v>
      </c>
      <c r="H3073" s="10" t="s">
        <v>810</v>
      </c>
      <c r="I3073" s="10" t="s">
        <v>55</v>
      </c>
      <c r="K3073" s="10" t="s">
        <v>15262</v>
      </c>
      <c r="L3073" s="10" t="s">
        <v>42</v>
      </c>
    </row>
    <row r="3074" ht="15.75" customHeight="1">
      <c r="A3074" s="67">
        <v>45462.0</v>
      </c>
      <c r="B3074" s="55" t="str">
        <f>HYPERLINK("https://jobright.ai/jobs/info/667362c4f44696bdd5e7a80b?utm_campaign=1065&amp;utm_source=sheet", "Apply")</f>
        <v>Apply</v>
      </c>
      <c r="C3074" s="10" t="s">
        <v>15261</v>
      </c>
      <c r="D3074" s="56" t="s">
        <v>14380</v>
      </c>
      <c r="E3074" s="59">
        <v>45301.0</v>
      </c>
      <c r="F3074" s="10" t="s">
        <v>14381</v>
      </c>
      <c r="G3074" s="10" t="s">
        <v>12654</v>
      </c>
      <c r="H3074" s="10" t="s">
        <v>887</v>
      </c>
      <c r="I3074" s="10" t="s">
        <v>55</v>
      </c>
      <c r="K3074" s="10" t="s">
        <v>15262</v>
      </c>
      <c r="L3074" s="10" t="s">
        <v>42</v>
      </c>
    </row>
    <row r="3075" ht="15.75" customHeight="1">
      <c r="A3075" s="67">
        <v>45462.0</v>
      </c>
      <c r="B3075" s="55" t="str">
        <f>HYPERLINK("https://jobright.ai/jobs/info/667362c4f44696bdd5e7a808?utm_campaign=1065&amp;utm_source=sheet", "Apply")</f>
        <v>Apply</v>
      </c>
      <c r="C3075" s="10" t="s">
        <v>14379</v>
      </c>
      <c r="D3075" s="56" t="s">
        <v>14380</v>
      </c>
      <c r="E3075" s="59">
        <v>45301.0</v>
      </c>
      <c r="F3075" s="10" t="s">
        <v>14381</v>
      </c>
      <c r="G3075" s="10" t="s">
        <v>12654</v>
      </c>
      <c r="H3075" s="10" t="s">
        <v>927</v>
      </c>
      <c r="I3075" s="10" t="s">
        <v>55</v>
      </c>
      <c r="J3075" s="10" t="s">
        <v>14382</v>
      </c>
      <c r="K3075" s="10" t="s">
        <v>14383</v>
      </c>
      <c r="L3075" s="10" t="s">
        <v>42</v>
      </c>
    </row>
    <row r="3076" ht="15.75" customHeight="1">
      <c r="A3076" s="67">
        <v>45462.0</v>
      </c>
      <c r="B3076" s="55" t="str">
        <f>HYPERLINK("https://jobright.ai/jobs/info/667362c4f44696bdd5e7a807?utm_campaign=1065&amp;utm_source=sheet", "Apply")</f>
        <v>Apply</v>
      </c>
      <c r="C3076" s="10" t="s">
        <v>14379</v>
      </c>
      <c r="D3076" s="56" t="s">
        <v>14380</v>
      </c>
      <c r="E3076" s="59">
        <v>45301.0</v>
      </c>
      <c r="F3076" s="10" t="s">
        <v>14381</v>
      </c>
      <c r="G3076" s="10" t="s">
        <v>12654</v>
      </c>
      <c r="H3076" s="10" t="s">
        <v>876</v>
      </c>
      <c r="I3076" s="10" t="s">
        <v>55</v>
      </c>
      <c r="J3076" s="10" t="s">
        <v>14382</v>
      </c>
      <c r="K3076" s="10" t="s">
        <v>14383</v>
      </c>
      <c r="L3076" s="10" t="s">
        <v>42</v>
      </c>
    </row>
    <row r="3077" ht="15.75" customHeight="1">
      <c r="A3077" s="67">
        <v>45462.0</v>
      </c>
      <c r="B3077" s="55" t="str">
        <f>HYPERLINK("https://jobright.ai/jobs/info/667362c4f44696bdd5e7a809?utm_campaign=1065&amp;utm_source=sheet", "Apply")</f>
        <v>Apply</v>
      </c>
      <c r="C3077" s="10" t="s">
        <v>14379</v>
      </c>
      <c r="D3077" s="56" t="s">
        <v>14380</v>
      </c>
      <c r="E3077" s="59">
        <v>45301.0</v>
      </c>
      <c r="F3077" s="10" t="s">
        <v>14381</v>
      </c>
      <c r="G3077" s="10" t="s">
        <v>12654</v>
      </c>
      <c r="H3077" s="10" t="s">
        <v>859</v>
      </c>
      <c r="I3077" s="10" t="s">
        <v>55</v>
      </c>
      <c r="J3077" s="10" t="s">
        <v>14382</v>
      </c>
      <c r="K3077" s="10" t="s">
        <v>14383</v>
      </c>
      <c r="L3077" s="10" t="s">
        <v>42</v>
      </c>
    </row>
    <row r="3078" ht="15.75" customHeight="1">
      <c r="A3078" s="67">
        <v>45462.0</v>
      </c>
      <c r="B3078" s="55" t="str">
        <f>HYPERLINK("https://jobright.ai/jobs/info/667362c4f44696bdd5e7a80c?utm_campaign=1065&amp;utm_source=sheet", "Apply")</f>
        <v>Apply</v>
      </c>
      <c r="C3078" s="10" t="s">
        <v>14379</v>
      </c>
      <c r="D3078" s="56" t="s">
        <v>14380</v>
      </c>
      <c r="E3078" s="59">
        <v>45301.0</v>
      </c>
      <c r="F3078" s="10" t="s">
        <v>14381</v>
      </c>
      <c r="G3078" s="10" t="s">
        <v>12654</v>
      </c>
      <c r="H3078" s="10" t="s">
        <v>846</v>
      </c>
      <c r="I3078" s="10" t="s">
        <v>55</v>
      </c>
      <c r="J3078" s="10" t="s">
        <v>14382</v>
      </c>
      <c r="K3078" s="10" t="s">
        <v>14383</v>
      </c>
      <c r="L3078" s="10" t="s">
        <v>42</v>
      </c>
    </row>
    <row r="3079" ht="15.75" customHeight="1">
      <c r="A3079" s="67">
        <v>45462.0</v>
      </c>
      <c r="B3079" s="55" t="str">
        <f>HYPERLINK("https://jobright.ai/jobs/info/667362c4f44696bdd5e7a812?utm_campaign=1065&amp;utm_source=sheet", "Apply")</f>
        <v>Apply</v>
      </c>
      <c r="C3079" s="10" t="s">
        <v>15261</v>
      </c>
      <c r="D3079" s="56" t="s">
        <v>14380</v>
      </c>
      <c r="E3079" s="59">
        <v>45301.0</v>
      </c>
      <c r="F3079" s="10" t="s">
        <v>14381</v>
      </c>
      <c r="G3079" s="10" t="s">
        <v>12654</v>
      </c>
      <c r="H3079" s="10" t="s">
        <v>131</v>
      </c>
      <c r="I3079" s="10" t="s">
        <v>55</v>
      </c>
      <c r="K3079" s="10" t="s">
        <v>15262</v>
      </c>
      <c r="L3079" s="10" t="s">
        <v>42</v>
      </c>
    </row>
    <row r="3080" ht="15.75" customHeight="1">
      <c r="A3080" s="67">
        <v>45462.0</v>
      </c>
      <c r="B3080" s="55" t="str">
        <f>HYPERLINK("https://jobright.ai/jobs/info/667362c4f44696bdd5e7a80f?utm_campaign=1065&amp;utm_source=sheet", "Apply")</f>
        <v>Apply</v>
      </c>
      <c r="C3080" s="10" t="s">
        <v>15261</v>
      </c>
      <c r="D3080" s="56" t="s">
        <v>14380</v>
      </c>
      <c r="E3080" s="59">
        <v>45301.0</v>
      </c>
      <c r="F3080" s="10" t="s">
        <v>14381</v>
      </c>
      <c r="G3080" s="10" t="s">
        <v>12654</v>
      </c>
      <c r="H3080" s="10" t="s">
        <v>797</v>
      </c>
      <c r="I3080" s="10" t="s">
        <v>55</v>
      </c>
      <c r="K3080" s="10" t="s">
        <v>15262</v>
      </c>
      <c r="L3080" s="10" t="s">
        <v>42</v>
      </c>
    </row>
    <row r="3081" ht="15.75" customHeight="1">
      <c r="A3081" s="67">
        <v>45462.0</v>
      </c>
      <c r="B3081" s="55" t="str">
        <f>HYPERLINK("https://jobright.ai/jobs/info/667362c4f44696bdd5e7a80e?utm_campaign=1065&amp;utm_source=sheet", "Apply")</f>
        <v>Apply</v>
      </c>
      <c r="C3081" s="10" t="s">
        <v>14379</v>
      </c>
      <c r="D3081" s="56" t="s">
        <v>14380</v>
      </c>
      <c r="E3081" s="59">
        <v>45301.0</v>
      </c>
      <c r="F3081" s="10" t="s">
        <v>14381</v>
      </c>
      <c r="G3081" s="10" t="s">
        <v>12654</v>
      </c>
      <c r="H3081" s="10" t="s">
        <v>869</v>
      </c>
      <c r="I3081" s="10" t="s">
        <v>55</v>
      </c>
      <c r="J3081" s="10" t="s">
        <v>14382</v>
      </c>
      <c r="K3081" s="10" t="s">
        <v>14383</v>
      </c>
      <c r="L3081" s="10" t="s">
        <v>42</v>
      </c>
    </row>
    <row r="3082" ht="15.75" customHeight="1">
      <c r="A3082" s="67">
        <v>45462.0</v>
      </c>
      <c r="B3082" s="55" t="str">
        <f>HYPERLINK("https://jobright.ai/jobs/info/667362c4f44696bdd5e7a810?utm_campaign=1065&amp;utm_source=sheet", "Apply")</f>
        <v>Apply</v>
      </c>
      <c r="C3082" s="10" t="s">
        <v>15261</v>
      </c>
      <c r="D3082" s="56" t="s">
        <v>14380</v>
      </c>
      <c r="E3082" s="59">
        <v>45301.0</v>
      </c>
      <c r="F3082" s="10" t="s">
        <v>14381</v>
      </c>
      <c r="G3082" s="10" t="s">
        <v>12654</v>
      </c>
      <c r="H3082" s="10" t="s">
        <v>947</v>
      </c>
      <c r="I3082" s="10" t="s">
        <v>55</v>
      </c>
      <c r="K3082" s="10" t="s">
        <v>15262</v>
      </c>
      <c r="L3082" s="10" t="s">
        <v>42</v>
      </c>
    </row>
    <row r="3083" ht="15.75" customHeight="1">
      <c r="A3083" s="67">
        <v>45462.0</v>
      </c>
      <c r="B3083" s="55" t="str">
        <f>HYPERLINK("https://jobright.ai/jobs/info/667362c4f44696bdd5e7a811?utm_campaign=1065&amp;utm_source=sheet", "Apply")</f>
        <v>Apply</v>
      </c>
      <c r="C3083" s="10" t="s">
        <v>15261</v>
      </c>
      <c r="D3083" s="56" t="s">
        <v>14380</v>
      </c>
      <c r="E3083" s="59">
        <v>45301.0</v>
      </c>
      <c r="F3083" s="10" t="s">
        <v>14381</v>
      </c>
      <c r="G3083" s="10" t="s">
        <v>12654</v>
      </c>
      <c r="H3083" s="10" t="s">
        <v>889</v>
      </c>
      <c r="I3083" s="10" t="s">
        <v>55</v>
      </c>
      <c r="K3083" s="10" t="s">
        <v>15262</v>
      </c>
      <c r="L3083" s="10" t="s">
        <v>42</v>
      </c>
    </row>
    <row r="3084" ht="15.75" customHeight="1">
      <c r="A3084" s="67">
        <v>45462.0</v>
      </c>
      <c r="B3084" s="55" t="str">
        <f>HYPERLINK("https://jobright.ai/jobs/info/667359bbc4ef395f5c37bc93?utm_campaign=1065&amp;utm_source=sheet", "Apply")</f>
        <v>Apply</v>
      </c>
      <c r="C3084" s="10" t="s">
        <v>15261</v>
      </c>
      <c r="D3084" s="56" t="s">
        <v>14380</v>
      </c>
      <c r="E3084" s="59">
        <v>45301.0</v>
      </c>
      <c r="F3084" s="10" t="s">
        <v>14381</v>
      </c>
      <c r="G3084" s="10" t="s">
        <v>12654</v>
      </c>
      <c r="H3084" s="10" t="s">
        <v>882</v>
      </c>
      <c r="I3084" s="10" t="s">
        <v>55</v>
      </c>
      <c r="K3084" s="10" t="s">
        <v>15262</v>
      </c>
      <c r="L3084" s="10" t="s">
        <v>42</v>
      </c>
    </row>
    <row r="3085" ht="15.75" customHeight="1">
      <c r="A3085" s="67">
        <v>45462.0</v>
      </c>
      <c r="B3085" s="55" t="str">
        <f>HYPERLINK("https://jobright.ai/jobs/info/667359bbc4ef395f5c37bc92?utm_campaign=1065&amp;utm_source=sheet", "Apply")</f>
        <v>Apply</v>
      </c>
      <c r="C3085" s="10" t="s">
        <v>15261</v>
      </c>
      <c r="D3085" s="56" t="s">
        <v>14380</v>
      </c>
      <c r="E3085" s="59">
        <v>45301.0</v>
      </c>
      <c r="F3085" s="10" t="s">
        <v>14381</v>
      </c>
      <c r="G3085" s="10" t="s">
        <v>12654</v>
      </c>
      <c r="H3085" s="10" t="s">
        <v>165</v>
      </c>
      <c r="I3085" s="10" t="s">
        <v>55</v>
      </c>
      <c r="K3085" s="10" t="s">
        <v>15262</v>
      </c>
      <c r="L3085" s="10" t="s">
        <v>42</v>
      </c>
    </row>
    <row r="3086" ht="15.75" customHeight="1">
      <c r="A3086" s="67">
        <v>45462.0</v>
      </c>
      <c r="B3086" s="55" t="str">
        <f>HYPERLINK("https://jobright.ai/jobs/info/667359bbc4ef395f5c37bc94?utm_campaign=1065&amp;utm_source=sheet", "Apply")</f>
        <v>Apply</v>
      </c>
      <c r="C3086" s="10" t="s">
        <v>15261</v>
      </c>
      <c r="D3086" s="56" t="s">
        <v>14380</v>
      </c>
      <c r="E3086" s="59">
        <v>45301.0</v>
      </c>
      <c r="F3086" s="10" t="s">
        <v>14381</v>
      </c>
      <c r="G3086" s="10" t="s">
        <v>12654</v>
      </c>
      <c r="H3086" s="10" t="s">
        <v>931</v>
      </c>
      <c r="I3086" s="10" t="s">
        <v>55</v>
      </c>
      <c r="K3086" s="10" t="s">
        <v>15262</v>
      </c>
      <c r="L3086" s="10" t="s">
        <v>42</v>
      </c>
    </row>
    <row r="3087" ht="15.75" customHeight="1">
      <c r="A3087" s="67">
        <v>45462.0</v>
      </c>
      <c r="B3087" s="55" t="str">
        <f>HYPERLINK("https://jobright.ai/jobs/info/667359bbc4ef395f5c37bc95?utm_campaign=1065&amp;utm_source=sheet", "Apply")</f>
        <v>Apply</v>
      </c>
      <c r="C3087" s="10" t="s">
        <v>15261</v>
      </c>
      <c r="D3087" s="56" t="s">
        <v>14380</v>
      </c>
      <c r="E3087" s="59">
        <v>45301.0</v>
      </c>
      <c r="F3087" s="10" t="s">
        <v>14381</v>
      </c>
      <c r="G3087" s="10" t="s">
        <v>12654</v>
      </c>
      <c r="H3087" s="10" t="s">
        <v>1032</v>
      </c>
      <c r="I3087" s="10" t="s">
        <v>55</v>
      </c>
      <c r="K3087" s="10" t="s">
        <v>15262</v>
      </c>
      <c r="L3087" s="10" t="s">
        <v>42</v>
      </c>
    </row>
    <row r="3088" ht="15.75" customHeight="1">
      <c r="A3088" s="67">
        <v>45462.0</v>
      </c>
      <c r="B3088" s="55" t="str">
        <f>HYPERLINK("https://jobright.ai/jobs/info/667359bbc4ef395f5c37bc97?utm_campaign=1065&amp;utm_source=sheet", "Apply")</f>
        <v>Apply</v>
      </c>
      <c r="C3088" s="10" t="s">
        <v>14379</v>
      </c>
      <c r="D3088" s="56" t="s">
        <v>14380</v>
      </c>
      <c r="E3088" s="59">
        <v>45301.0</v>
      </c>
      <c r="F3088" s="10" t="s">
        <v>14381</v>
      </c>
      <c r="G3088" s="10" t="s">
        <v>12654</v>
      </c>
      <c r="H3088" s="10" t="s">
        <v>952</v>
      </c>
      <c r="I3088" s="10" t="s">
        <v>55</v>
      </c>
      <c r="J3088" s="10" t="s">
        <v>14382</v>
      </c>
      <c r="K3088" s="10" t="s">
        <v>14383</v>
      </c>
      <c r="L3088" s="10" t="s">
        <v>42</v>
      </c>
    </row>
    <row r="3089" ht="15.75" customHeight="1">
      <c r="A3089" s="67">
        <v>45462.0</v>
      </c>
      <c r="B3089" s="55" t="str">
        <f>HYPERLINK("https://jobright.ai/jobs/info/667359bbc4ef395f5c37bc9b?utm_campaign=1065&amp;utm_source=sheet", "Apply")</f>
        <v>Apply</v>
      </c>
      <c r="C3089" s="10" t="s">
        <v>14379</v>
      </c>
      <c r="D3089" s="56" t="s">
        <v>14380</v>
      </c>
      <c r="E3089" s="59">
        <v>45301.0</v>
      </c>
      <c r="F3089" s="10" t="s">
        <v>14381</v>
      </c>
      <c r="G3089" s="10" t="s">
        <v>12654</v>
      </c>
      <c r="H3089" s="10" t="s">
        <v>795</v>
      </c>
      <c r="I3089" s="10" t="s">
        <v>55</v>
      </c>
      <c r="J3089" s="10" t="s">
        <v>14382</v>
      </c>
      <c r="K3089" s="10" t="s">
        <v>14383</v>
      </c>
      <c r="L3089" s="10" t="s">
        <v>42</v>
      </c>
    </row>
    <row r="3090" ht="15.75" customHeight="1">
      <c r="A3090" s="67">
        <v>45462.0</v>
      </c>
      <c r="B3090" s="55" t="str">
        <f>HYPERLINK("https://jobright.ai/jobs/info/667359cfc4ef395f5c37bca8?utm_campaign=1065&amp;utm_source=sheet", "Apply")</f>
        <v>Apply</v>
      </c>
      <c r="C3090" s="10" t="s">
        <v>15261</v>
      </c>
      <c r="D3090" s="56" t="s">
        <v>14380</v>
      </c>
      <c r="E3090" s="59">
        <v>45301.0</v>
      </c>
      <c r="F3090" s="10" t="s">
        <v>14381</v>
      </c>
      <c r="G3090" s="10" t="s">
        <v>12654</v>
      </c>
      <c r="H3090" s="10" t="s">
        <v>829</v>
      </c>
      <c r="I3090" s="10" t="s">
        <v>55</v>
      </c>
      <c r="K3090" s="10" t="s">
        <v>15262</v>
      </c>
      <c r="L3090" s="10" t="s">
        <v>42</v>
      </c>
    </row>
    <row r="3091" ht="15.75" customHeight="1">
      <c r="A3091" s="67">
        <v>45462.0</v>
      </c>
      <c r="B3091" s="55" t="str">
        <f>HYPERLINK("https://jobright.ai/jobs/info/667359bbc4ef395f5c37bc9f?utm_campaign=1065&amp;utm_source=sheet", "Apply")</f>
        <v>Apply</v>
      </c>
      <c r="C3091" s="10" t="s">
        <v>14379</v>
      </c>
      <c r="D3091" s="56" t="s">
        <v>14380</v>
      </c>
      <c r="E3091" s="59">
        <v>45301.0</v>
      </c>
      <c r="F3091" s="10" t="s">
        <v>14381</v>
      </c>
      <c r="G3091" s="10" t="s">
        <v>12654</v>
      </c>
      <c r="H3091" s="10" t="s">
        <v>1028</v>
      </c>
      <c r="I3091" s="10" t="s">
        <v>55</v>
      </c>
      <c r="J3091" s="10" t="s">
        <v>14382</v>
      </c>
      <c r="K3091" s="10" t="s">
        <v>14383</v>
      </c>
      <c r="L3091" s="10" t="s">
        <v>42</v>
      </c>
    </row>
    <row r="3092" ht="15.75" customHeight="1">
      <c r="A3092" s="67">
        <v>45462.0</v>
      </c>
      <c r="B3092" s="55" t="str">
        <f>HYPERLINK("https://jobright.ai/jobs/info/667359bbc4ef395f5c37bc9a?utm_campaign=1065&amp;utm_source=sheet", "Apply")</f>
        <v>Apply</v>
      </c>
      <c r="C3092" s="10" t="s">
        <v>15261</v>
      </c>
      <c r="D3092" s="56" t="s">
        <v>14380</v>
      </c>
      <c r="E3092" s="59">
        <v>45301.0</v>
      </c>
      <c r="F3092" s="10" t="s">
        <v>14381</v>
      </c>
      <c r="G3092" s="10" t="s">
        <v>12654</v>
      </c>
      <c r="H3092" s="10" t="s">
        <v>188</v>
      </c>
      <c r="I3092" s="10" t="s">
        <v>55</v>
      </c>
      <c r="K3092" s="10" t="s">
        <v>15262</v>
      </c>
      <c r="L3092" s="10" t="s">
        <v>42</v>
      </c>
    </row>
    <row r="3093" ht="15.75" customHeight="1">
      <c r="A3093" s="67">
        <v>45462.0</v>
      </c>
      <c r="B3093" s="55" t="str">
        <f>HYPERLINK("https://jobright.ai/jobs/info/667359bbc4ef395f5c37bc99?utm_campaign=1065&amp;utm_source=sheet", "Apply")</f>
        <v>Apply</v>
      </c>
      <c r="C3093" s="10" t="s">
        <v>14379</v>
      </c>
      <c r="D3093" s="56" t="s">
        <v>14380</v>
      </c>
      <c r="E3093" s="59">
        <v>45301.0</v>
      </c>
      <c r="F3093" s="10" t="s">
        <v>14381</v>
      </c>
      <c r="G3093" s="10" t="s">
        <v>12654</v>
      </c>
      <c r="H3093" s="10" t="s">
        <v>849</v>
      </c>
      <c r="I3093" s="10" t="s">
        <v>55</v>
      </c>
      <c r="J3093" s="10" t="s">
        <v>14382</v>
      </c>
      <c r="K3093" s="10" t="s">
        <v>14383</v>
      </c>
      <c r="L3093" s="10" t="s">
        <v>42</v>
      </c>
    </row>
    <row r="3094" ht="15.75" customHeight="1">
      <c r="A3094" s="67">
        <v>45462.0</v>
      </c>
      <c r="B3094" s="55" t="str">
        <f>HYPERLINK("https://jobright.ai/jobs/info/667359bbc4ef395f5c37bc9d?utm_campaign=1065&amp;utm_source=sheet", "Apply")</f>
        <v>Apply</v>
      </c>
      <c r="C3094" s="10" t="s">
        <v>14379</v>
      </c>
      <c r="D3094" s="56" t="s">
        <v>14380</v>
      </c>
      <c r="E3094" s="59">
        <v>45301.0</v>
      </c>
      <c r="F3094" s="10" t="s">
        <v>14381</v>
      </c>
      <c r="G3094" s="10" t="s">
        <v>12654</v>
      </c>
      <c r="H3094" s="10" t="s">
        <v>966</v>
      </c>
      <c r="I3094" s="10" t="s">
        <v>55</v>
      </c>
      <c r="J3094" s="10" t="s">
        <v>14382</v>
      </c>
      <c r="K3094" s="10" t="s">
        <v>14383</v>
      </c>
      <c r="L3094" s="10" t="s">
        <v>42</v>
      </c>
    </row>
    <row r="3095" ht="15.75" customHeight="1">
      <c r="A3095" s="67">
        <v>45462.0</v>
      </c>
      <c r="B3095" s="55" t="str">
        <f>HYPERLINK("https://jobright.ai/jobs/info/667359bbc4ef395f5c37bc9c?utm_campaign=1065&amp;utm_source=sheet", "Apply")</f>
        <v>Apply</v>
      </c>
      <c r="C3095" s="10" t="s">
        <v>14379</v>
      </c>
      <c r="D3095" s="56" t="s">
        <v>14380</v>
      </c>
      <c r="E3095" s="59">
        <v>45301.0</v>
      </c>
      <c r="F3095" s="10" t="s">
        <v>14381</v>
      </c>
      <c r="G3095" s="10" t="s">
        <v>12654</v>
      </c>
      <c r="H3095" s="10" t="s">
        <v>789</v>
      </c>
      <c r="I3095" s="10" t="s">
        <v>55</v>
      </c>
      <c r="J3095" s="10" t="s">
        <v>14382</v>
      </c>
      <c r="K3095" s="10" t="s">
        <v>14383</v>
      </c>
      <c r="L3095" s="10" t="s">
        <v>42</v>
      </c>
    </row>
    <row r="3096" ht="15.75" customHeight="1">
      <c r="A3096" s="67">
        <v>45462.0</v>
      </c>
      <c r="B3096" s="55" t="str">
        <f>HYPERLINK("https://jobright.ai/jobs/info/667359bbc4ef395f5c37bc96?utm_campaign=1065&amp;utm_source=sheet", "Apply")</f>
        <v>Apply</v>
      </c>
      <c r="C3096" s="10" t="s">
        <v>14379</v>
      </c>
      <c r="D3096" s="56" t="s">
        <v>14380</v>
      </c>
      <c r="E3096" s="59">
        <v>45301.0</v>
      </c>
      <c r="F3096" s="10" t="s">
        <v>14381</v>
      </c>
      <c r="G3096" s="10" t="s">
        <v>12654</v>
      </c>
      <c r="H3096" s="10" t="s">
        <v>1020</v>
      </c>
      <c r="I3096" s="10" t="s">
        <v>55</v>
      </c>
      <c r="J3096" s="10" t="s">
        <v>14382</v>
      </c>
      <c r="K3096" s="10" t="s">
        <v>14383</v>
      </c>
      <c r="L3096" s="10" t="s">
        <v>42</v>
      </c>
    </row>
    <row r="3097" ht="15.75" customHeight="1">
      <c r="A3097" s="67">
        <v>45462.0</v>
      </c>
      <c r="B3097" s="55" t="str">
        <f>HYPERLINK("https://jobright.ai/jobs/info/667359bbc4ef395f5c37bca3?utm_campaign=1065&amp;utm_source=sheet", "Apply")</f>
        <v>Apply</v>
      </c>
      <c r="C3097" s="10" t="s">
        <v>15261</v>
      </c>
      <c r="D3097" s="56" t="s">
        <v>14380</v>
      </c>
      <c r="E3097" s="59">
        <v>45301.0</v>
      </c>
      <c r="F3097" s="10" t="s">
        <v>14381</v>
      </c>
      <c r="G3097" s="10" t="s">
        <v>12654</v>
      </c>
      <c r="H3097" s="10" t="s">
        <v>1020</v>
      </c>
      <c r="I3097" s="10" t="s">
        <v>55</v>
      </c>
      <c r="K3097" s="10" t="s">
        <v>15262</v>
      </c>
      <c r="L3097" s="10" t="s">
        <v>42</v>
      </c>
    </row>
    <row r="3098" ht="15.75" customHeight="1">
      <c r="A3098" s="67">
        <v>45462.0</v>
      </c>
      <c r="B3098" s="55" t="str">
        <f>HYPERLINK("https://jobright.ai/jobs/info/667359bbc4ef395f5c37bca2?utm_campaign=1065&amp;utm_source=sheet", "Apply")</f>
        <v>Apply</v>
      </c>
      <c r="C3098" s="10" t="s">
        <v>15261</v>
      </c>
      <c r="D3098" s="56" t="s">
        <v>14380</v>
      </c>
      <c r="E3098" s="59">
        <v>45301.0</v>
      </c>
      <c r="F3098" s="10" t="s">
        <v>14381</v>
      </c>
      <c r="G3098" s="10" t="s">
        <v>12654</v>
      </c>
      <c r="H3098" s="10" t="s">
        <v>885</v>
      </c>
      <c r="I3098" s="10" t="s">
        <v>55</v>
      </c>
      <c r="K3098" s="10" t="s">
        <v>15262</v>
      </c>
      <c r="L3098" s="10" t="s">
        <v>42</v>
      </c>
    </row>
    <row r="3099" ht="15.75" customHeight="1">
      <c r="A3099" s="67">
        <v>45462.0</v>
      </c>
      <c r="B3099" s="55" t="str">
        <f>HYPERLINK("https://jobright.ai/jobs/info/667359bbc4ef395f5c37bca4?utm_campaign=1065&amp;utm_source=sheet", "Apply")</f>
        <v>Apply</v>
      </c>
      <c r="C3099" s="10" t="s">
        <v>15261</v>
      </c>
      <c r="D3099" s="56" t="s">
        <v>14380</v>
      </c>
      <c r="E3099" s="59">
        <v>45301.0</v>
      </c>
      <c r="F3099" s="10" t="s">
        <v>14381</v>
      </c>
      <c r="G3099" s="10" t="s">
        <v>12654</v>
      </c>
      <c r="H3099" s="10" t="s">
        <v>271</v>
      </c>
      <c r="I3099" s="10" t="s">
        <v>55</v>
      </c>
      <c r="K3099" s="10" t="s">
        <v>15262</v>
      </c>
      <c r="L3099" s="10" t="s">
        <v>42</v>
      </c>
    </row>
    <row r="3100" ht="15.75" customHeight="1">
      <c r="A3100" s="67">
        <v>45462.0</v>
      </c>
      <c r="B3100" s="55" t="str">
        <f>HYPERLINK("https://jobright.ai/jobs/info/667359bbc4ef395f5c37bca0?utm_campaign=1065&amp;utm_source=sheet", "Apply")</f>
        <v>Apply</v>
      </c>
      <c r="C3100" s="10" t="s">
        <v>15261</v>
      </c>
      <c r="D3100" s="56" t="s">
        <v>14380</v>
      </c>
      <c r="E3100" s="59">
        <v>45301.0</v>
      </c>
      <c r="F3100" s="10" t="s">
        <v>14381</v>
      </c>
      <c r="G3100" s="10" t="s">
        <v>12654</v>
      </c>
      <c r="H3100" s="10" t="s">
        <v>313</v>
      </c>
      <c r="I3100" s="10" t="s">
        <v>55</v>
      </c>
      <c r="K3100" s="10" t="s">
        <v>15262</v>
      </c>
      <c r="L3100" s="10" t="s">
        <v>42</v>
      </c>
    </row>
    <row r="3101" ht="15.75" customHeight="1">
      <c r="A3101" s="67">
        <v>45462.0</v>
      </c>
      <c r="B3101" s="55" t="str">
        <f>HYPERLINK("https://jobright.ai/jobs/info/667359bbc4ef395f5c37bca1?utm_campaign=1065&amp;utm_source=sheet", "Apply")</f>
        <v>Apply</v>
      </c>
      <c r="C3101" s="10" t="s">
        <v>15261</v>
      </c>
      <c r="D3101" s="56" t="s">
        <v>14380</v>
      </c>
      <c r="E3101" s="59">
        <v>45301.0</v>
      </c>
      <c r="F3101" s="10" t="s">
        <v>14381</v>
      </c>
      <c r="G3101" s="10" t="s">
        <v>12654</v>
      </c>
      <c r="H3101" s="10" t="s">
        <v>908</v>
      </c>
      <c r="I3101" s="10" t="s">
        <v>55</v>
      </c>
      <c r="K3101" s="10" t="s">
        <v>15262</v>
      </c>
      <c r="L3101" s="10" t="s">
        <v>42</v>
      </c>
    </row>
    <row r="3102" ht="15.75" customHeight="1">
      <c r="A3102" s="67">
        <v>45462.0</v>
      </c>
      <c r="B3102" s="55" t="str">
        <f>HYPERLINK("https://jobright.ai/jobs/info/667359bbc4ef395f5c37bca5?utm_campaign=1065&amp;utm_source=sheet", "Apply")</f>
        <v>Apply</v>
      </c>
      <c r="C3102" s="10" t="s">
        <v>15261</v>
      </c>
      <c r="D3102" s="56" t="s">
        <v>14380</v>
      </c>
      <c r="E3102" s="59">
        <v>45301.0</v>
      </c>
      <c r="F3102" s="10" t="s">
        <v>14381</v>
      </c>
      <c r="G3102" s="10" t="s">
        <v>12654</v>
      </c>
      <c r="H3102" s="10" t="s">
        <v>1033</v>
      </c>
      <c r="I3102" s="10" t="s">
        <v>55</v>
      </c>
      <c r="K3102" s="10" t="s">
        <v>15262</v>
      </c>
      <c r="L3102" s="10" t="s">
        <v>42</v>
      </c>
    </row>
    <row r="3103" ht="15.75" customHeight="1">
      <c r="A3103" s="67">
        <v>45462.0</v>
      </c>
      <c r="B3103" s="55" t="str">
        <f>HYPERLINK("https://jobright.ai/jobs/info/667359cfc4ef395f5c37bca6?utm_campaign=1065&amp;utm_source=sheet", "Apply")</f>
        <v>Apply</v>
      </c>
      <c r="C3103" s="10" t="s">
        <v>14379</v>
      </c>
      <c r="D3103" s="56" t="s">
        <v>14380</v>
      </c>
      <c r="E3103" s="59">
        <v>45301.0</v>
      </c>
      <c r="F3103" s="10" t="s">
        <v>14381</v>
      </c>
      <c r="G3103" s="10" t="s">
        <v>12654</v>
      </c>
      <c r="H3103" s="10" t="s">
        <v>989</v>
      </c>
      <c r="I3103" s="10" t="s">
        <v>55</v>
      </c>
      <c r="J3103" s="10" t="s">
        <v>14382</v>
      </c>
      <c r="K3103" s="10" t="s">
        <v>14383</v>
      </c>
      <c r="L3103" s="10" t="s">
        <v>42</v>
      </c>
    </row>
    <row r="3104" ht="15.75" customHeight="1">
      <c r="A3104" s="67">
        <v>45462.0</v>
      </c>
      <c r="B3104" s="55" t="str">
        <f>HYPERLINK("https://jobright.ai/jobs/info/667359bbc4ef395f5c37bc9e?utm_campaign=1065&amp;utm_source=sheet", "Apply")</f>
        <v>Apply</v>
      </c>
      <c r="C3104" s="10" t="s">
        <v>15261</v>
      </c>
      <c r="D3104" s="56" t="s">
        <v>14380</v>
      </c>
      <c r="E3104" s="59">
        <v>45301.0</v>
      </c>
      <c r="F3104" s="10" t="s">
        <v>14381</v>
      </c>
      <c r="G3104" s="10" t="s">
        <v>12654</v>
      </c>
      <c r="H3104" s="10" t="s">
        <v>86</v>
      </c>
      <c r="I3104" s="10" t="s">
        <v>55</v>
      </c>
      <c r="K3104" s="10" t="s">
        <v>15262</v>
      </c>
      <c r="L3104" s="10" t="s">
        <v>42</v>
      </c>
    </row>
    <row r="3105" ht="15.75" customHeight="1">
      <c r="A3105" s="67">
        <v>45462.0</v>
      </c>
      <c r="B3105" s="55" t="str">
        <f>HYPERLINK("https://jobright.ai/jobs/info/667359cfc4ef395f5c37bca7?utm_campaign=1065&amp;utm_source=sheet", "Apply")</f>
        <v>Apply</v>
      </c>
      <c r="C3105" s="10" t="s">
        <v>15261</v>
      </c>
      <c r="D3105" s="56" t="s">
        <v>14380</v>
      </c>
      <c r="E3105" s="59">
        <v>45301.0</v>
      </c>
      <c r="F3105" s="10" t="s">
        <v>14381</v>
      </c>
      <c r="G3105" s="10" t="s">
        <v>12654</v>
      </c>
      <c r="H3105" s="10" t="s">
        <v>1014</v>
      </c>
      <c r="I3105" s="10" t="s">
        <v>55</v>
      </c>
      <c r="K3105" s="10" t="s">
        <v>15262</v>
      </c>
      <c r="L3105" s="10" t="s">
        <v>42</v>
      </c>
    </row>
    <row r="3106" ht="15.75" customHeight="1">
      <c r="A3106" s="67">
        <v>45462.0</v>
      </c>
      <c r="B3106" s="55" t="str">
        <f>HYPERLINK("https://jobright.ai/jobs/info/667359bbc4ef395f5c37bc98?utm_campaign=1065&amp;utm_source=sheet", "Apply")</f>
        <v>Apply</v>
      </c>
      <c r="C3106" s="10" t="s">
        <v>15261</v>
      </c>
      <c r="D3106" s="56" t="s">
        <v>14380</v>
      </c>
      <c r="E3106" s="59">
        <v>45301.0</v>
      </c>
      <c r="F3106" s="10" t="s">
        <v>14381</v>
      </c>
      <c r="G3106" s="10" t="s">
        <v>12654</v>
      </c>
      <c r="H3106" s="10" t="s">
        <v>835</v>
      </c>
      <c r="I3106" s="10" t="s">
        <v>55</v>
      </c>
      <c r="K3106" s="10" t="s">
        <v>15262</v>
      </c>
      <c r="L3106" s="10" t="s">
        <v>42</v>
      </c>
    </row>
    <row r="3107" ht="15.75" customHeight="1">
      <c r="A3107" s="67">
        <v>45462.0</v>
      </c>
      <c r="B3107" s="55" t="str">
        <f>HYPERLINK("https://jobright.ai/jobs/info/667359cfc4ef395f5c37bcb2?utm_campaign=1065&amp;utm_source=sheet", "Apply")</f>
        <v>Apply</v>
      </c>
      <c r="C3107" s="10" t="s">
        <v>15261</v>
      </c>
      <c r="D3107" s="56" t="s">
        <v>14380</v>
      </c>
      <c r="E3107" s="59">
        <v>45301.0</v>
      </c>
      <c r="F3107" s="10" t="s">
        <v>14381</v>
      </c>
      <c r="G3107" s="10" t="s">
        <v>12654</v>
      </c>
      <c r="H3107" s="10" t="s">
        <v>1000</v>
      </c>
      <c r="I3107" s="10" t="s">
        <v>55</v>
      </c>
      <c r="K3107" s="10" t="s">
        <v>15262</v>
      </c>
      <c r="L3107" s="10" t="s">
        <v>42</v>
      </c>
    </row>
    <row r="3108" ht="15.75" customHeight="1">
      <c r="A3108" s="67">
        <v>45462.0</v>
      </c>
      <c r="B3108" s="55" t="str">
        <f>HYPERLINK("https://jobright.ai/jobs/info/667359cfc4ef395f5c37bcb0?utm_campaign=1065&amp;utm_source=sheet", "Apply")</f>
        <v>Apply</v>
      </c>
      <c r="C3108" s="10" t="s">
        <v>15261</v>
      </c>
      <c r="D3108" s="56" t="s">
        <v>14380</v>
      </c>
      <c r="E3108" s="59">
        <v>45301.0</v>
      </c>
      <c r="F3108" s="10" t="s">
        <v>14381</v>
      </c>
      <c r="G3108" s="10" t="s">
        <v>12654</v>
      </c>
      <c r="H3108" s="10" t="s">
        <v>898</v>
      </c>
      <c r="I3108" s="10" t="s">
        <v>55</v>
      </c>
      <c r="K3108" s="10" t="s">
        <v>15262</v>
      </c>
      <c r="L3108" s="10" t="s">
        <v>42</v>
      </c>
    </row>
    <row r="3109" ht="15.75" customHeight="1">
      <c r="A3109" s="67">
        <v>45462.0</v>
      </c>
      <c r="B3109" s="55" t="str">
        <f>HYPERLINK("https://jobright.ai/jobs/info/667359cfc4ef395f5c37bcb1?utm_campaign=1065&amp;utm_source=sheet", "Apply")</f>
        <v>Apply</v>
      </c>
      <c r="C3109" s="10" t="s">
        <v>15261</v>
      </c>
      <c r="D3109" s="56" t="s">
        <v>14380</v>
      </c>
      <c r="E3109" s="59">
        <v>45301.0</v>
      </c>
      <c r="F3109" s="10" t="s">
        <v>14381</v>
      </c>
      <c r="G3109" s="10" t="s">
        <v>12654</v>
      </c>
      <c r="H3109" s="10" t="s">
        <v>761</v>
      </c>
      <c r="I3109" s="10" t="s">
        <v>55</v>
      </c>
      <c r="K3109" s="10" t="s">
        <v>15262</v>
      </c>
      <c r="L3109" s="10" t="s">
        <v>42</v>
      </c>
    </row>
    <row r="3110" ht="15.75" customHeight="1">
      <c r="A3110" s="67">
        <v>45462.0</v>
      </c>
      <c r="B3110" s="55" t="str">
        <f>HYPERLINK("https://jobright.ai/jobs/info/667359cfc4ef395f5c37bcac?utm_campaign=1065&amp;utm_source=sheet", "Apply")</f>
        <v>Apply</v>
      </c>
      <c r="C3110" s="10" t="s">
        <v>14379</v>
      </c>
      <c r="D3110" s="56" t="s">
        <v>14380</v>
      </c>
      <c r="E3110" s="59">
        <v>45301.0</v>
      </c>
      <c r="F3110" s="10" t="s">
        <v>14381</v>
      </c>
      <c r="G3110" s="10" t="s">
        <v>12654</v>
      </c>
      <c r="H3110" s="10" t="s">
        <v>983</v>
      </c>
      <c r="I3110" s="10" t="s">
        <v>55</v>
      </c>
      <c r="J3110" s="10" t="s">
        <v>14382</v>
      </c>
      <c r="K3110" s="10" t="s">
        <v>14383</v>
      </c>
      <c r="L3110" s="10" t="s">
        <v>42</v>
      </c>
    </row>
    <row r="3111" ht="15.75" customHeight="1">
      <c r="A3111" s="67">
        <v>45462.0</v>
      </c>
      <c r="B3111" s="55" t="str">
        <f>HYPERLINK("https://jobright.ai/jobs/info/667359cfc4ef395f5c37bcb6?utm_campaign=1065&amp;utm_source=sheet", "Apply")</f>
        <v>Apply</v>
      </c>
      <c r="C3111" s="10" t="s">
        <v>15261</v>
      </c>
      <c r="D3111" s="56" t="s">
        <v>14380</v>
      </c>
      <c r="E3111" s="59">
        <v>45301.0</v>
      </c>
      <c r="F3111" s="10" t="s">
        <v>14381</v>
      </c>
      <c r="G3111" s="10" t="s">
        <v>12654</v>
      </c>
      <c r="H3111" s="10" t="s">
        <v>883</v>
      </c>
      <c r="I3111" s="10" t="s">
        <v>55</v>
      </c>
      <c r="K3111" s="10" t="s">
        <v>15262</v>
      </c>
      <c r="L3111" s="10" t="s">
        <v>42</v>
      </c>
    </row>
    <row r="3112" ht="15.75" customHeight="1">
      <c r="A3112" s="67">
        <v>45462.0</v>
      </c>
      <c r="B3112" s="55" t="str">
        <f>HYPERLINK("https://jobright.ai/jobs/info/667359cfc4ef395f5c37bcae?utm_campaign=1065&amp;utm_source=sheet", "Apply")</f>
        <v>Apply</v>
      </c>
      <c r="C3112" s="10" t="s">
        <v>15261</v>
      </c>
      <c r="D3112" s="56" t="s">
        <v>14380</v>
      </c>
      <c r="E3112" s="59">
        <v>45301.0</v>
      </c>
      <c r="F3112" s="10" t="s">
        <v>14381</v>
      </c>
      <c r="G3112" s="10" t="s">
        <v>12654</v>
      </c>
      <c r="H3112" s="10" t="s">
        <v>995</v>
      </c>
      <c r="I3112" s="10" t="s">
        <v>55</v>
      </c>
      <c r="K3112" s="10" t="s">
        <v>15262</v>
      </c>
      <c r="L3112" s="10" t="s">
        <v>42</v>
      </c>
    </row>
    <row r="3113" ht="15.75" customHeight="1">
      <c r="A3113" s="67">
        <v>45462.0</v>
      </c>
      <c r="B3113" s="55" t="str">
        <f>HYPERLINK("https://jobright.ai/jobs/info/667359cfc4ef395f5c37bcb4?utm_campaign=1065&amp;utm_source=sheet", "Apply")</f>
        <v>Apply</v>
      </c>
      <c r="C3113" s="10" t="s">
        <v>15261</v>
      </c>
      <c r="D3113" s="56" t="s">
        <v>14380</v>
      </c>
      <c r="E3113" s="59">
        <v>45301.0</v>
      </c>
      <c r="F3113" s="10" t="s">
        <v>14381</v>
      </c>
      <c r="G3113" s="10" t="s">
        <v>12654</v>
      </c>
      <c r="H3113" s="10" t="s">
        <v>572</v>
      </c>
      <c r="I3113" s="10" t="s">
        <v>55</v>
      </c>
      <c r="K3113" s="10" t="s">
        <v>15262</v>
      </c>
      <c r="L3113" s="10" t="s">
        <v>42</v>
      </c>
    </row>
    <row r="3114" ht="15.75" customHeight="1">
      <c r="A3114" s="67">
        <v>45462.0</v>
      </c>
      <c r="B3114" s="55" t="str">
        <f>HYPERLINK("https://jobright.ai/jobs/info/667359cfc4ef395f5c37bcaa?utm_campaign=1065&amp;utm_source=sheet", "Apply")</f>
        <v>Apply</v>
      </c>
      <c r="C3114" s="10" t="s">
        <v>15261</v>
      </c>
      <c r="D3114" s="56" t="s">
        <v>14380</v>
      </c>
      <c r="E3114" s="59">
        <v>45301.0</v>
      </c>
      <c r="F3114" s="10" t="s">
        <v>14381</v>
      </c>
      <c r="G3114" s="10" t="s">
        <v>12654</v>
      </c>
      <c r="H3114" s="10" t="s">
        <v>805</v>
      </c>
      <c r="I3114" s="10" t="s">
        <v>55</v>
      </c>
      <c r="K3114" s="10" t="s">
        <v>15262</v>
      </c>
      <c r="L3114" s="10" t="s">
        <v>42</v>
      </c>
    </row>
    <row r="3115" ht="15.75" customHeight="1">
      <c r="A3115" s="67">
        <v>45462.0</v>
      </c>
      <c r="B3115" s="55" t="str">
        <f>HYPERLINK("https://jobright.ai/jobs/info/667359cfc4ef395f5c37bcaf?utm_campaign=1065&amp;utm_source=sheet", "Apply")</f>
        <v>Apply</v>
      </c>
      <c r="C3115" s="10" t="s">
        <v>15261</v>
      </c>
      <c r="D3115" s="56" t="s">
        <v>14380</v>
      </c>
      <c r="E3115" s="59">
        <v>45301.0</v>
      </c>
      <c r="F3115" s="10" t="s">
        <v>14381</v>
      </c>
      <c r="G3115" s="10" t="s">
        <v>12654</v>
      </c>
      <c r="H3115" s="10" t="s">
        <v>152</v>
      </c>
      <c r="I3115" s="10" t="s">
        <v>55</v>
      </c>
      <c r="K3115" s="10" t="s">
        <v>15262</v>
      </c>
      <c r="L3115" s="10" t="s">
        <v>42</v>
      </c>
    </row>
    <row r="3116" ht="15.75" customHeight="1">
      <c r="A3116" s="67">
        <v>45462.0</v>
      </c>
      <c r="B3116" s="55" t="str">
        <f>HYPERLINK("https://jobright.ai/jobs/info/667359cfc4ef395f5c37bca9?utm_campaign=1065&amp;utm_source=sheet", "Apply")</f>
        <v>Apply</v>
      </c>
      <c r="C3116" s="10" t="s">
        <v>15261</v>
      </c>
      <c r="D3116" s="56" t="s">
        <v>14380</v>
      </c>
      <c r="E3116" s="59">
        <v>45301.0</v>
      </c>
      <c r="F3116" s="10" t="s">
        <v>14381</v>
      </c>
      <c r="G3116" s="10" t="s">
        <v>12654</v>
      </c>
      <c r="H3116" s="10" t="s">
        <v>1016</v>
      </c>
      <c r="I3116" s="10" t="s">
        <v>55</v>
      </c>
      <c r="K3116" s="10" t="s">
        <v>15262</v>
      </c>
      <c r="L3116" s="10" t="s">
        <v>42</v>
      </c>
    </row>
    <row r="3117" ht="15.75" customHeight="1">
      <c r="A3117" s="67">
        <v>45462.0</v>
      </c>
      <c r="B3117" s="55" t="str">
        <f>HYPERLINK("https://jobright.ai/jobs/info/667359cfc4ef395f5c37bcad?utm_campaign=1065&amp;utm_source=sheet", "Apply")</f>
        <v>Apply</v>
      </c>
      <c r="C3117" s="10" t="s">
        <v>15261</v>
      </c>
      <c r="D3117" s="56" t="s">
        <v>14380</v>
      </c>
      <c r="E3117" s="59">
        <v>45301.0</v>
      </c>
      <c r="F3117" s="10" t="s">
        <v>14381</v>
      </c>
      <c r="G3117" s="10" t="s">
        <v>12654</v>
      </c>
      <c r="H3117" s="10" t="s">
        <v>1034</v>
      </c>
      <c r="I3117" s="10" t="s">
        <v>55</v>
      </c>
      <c r="K3117" s="10" t="s">
        <v>15262</v>
      </c>
      <c r="L3117" s="10" t="s">
        <v>42</v>
      </c>
    </row>
    <row r="3118" ht="15.75" customHeight="1">
      <c r="A3118" s="67">
        <v>45462.0</v>
      </c>
      <c r="B3118" s="55" t="str">
        <f>HYPERLINK("https://jobright.ai/jobs/info/667359cfc4ef395f5c37bcb5?utm_campaign=1065&amp;utm_source=sheet", "Apply")</f>
        <v>Apply</v>
      </c>
      <c r="C3118" s="10" t="s">
        <v>15261</v>
      </c>
      <c r="D3118" s="56" t="s">
        <v>14380</v>
      </c>
      <c r="E3118" s="59">
        <v>45301.0</v>
      </c>
      <c r="F3118" s="10" t="s">
        <v>14381</v>
      </c>
      <c r="G3118" s="10" t="s">
        <v>12654</v>
      </c>
      <c r="H3118" s="10" t="s">
        <v>167</v>
      </c>
      <c r="I3118" s="10" t="s">
        <v>55</v>
      </c>
      <c r="K3118" s="10" t="s">
        <v>15262</v>
      </c>
      <c r="L3118" s="10" t="s">
        <v>42</v>
      </c>
    </row>
    <row r="3119" ht="15.75" customHeight="1">
      <c r="A3119" s="67">
        <v>45462.0</v>
      </c>
      <c r="B3119" s="55" t="str">
        <f>HYPERLINK("https://jobright.ai/jobs/info/667359cfc4ef395f5c37bcab?utm_campaign=1065&amp;utm_source=sheet", "Apply")</f>
        <v>Apply</v>
      </c>
      <c r="C3119" s="10" t="s">
        <v>15261</v>
      </c>
      <c r="D3119" s="56" t="s">
        <v>14380</v>
      </c>
      <c r="E3119" s="59">
        <v>45301.0</v>
      </c>
      <c r="F3119" s="10" t="s">
        <v>14381</v>
      </c>
      <c r="G3119" s="10" t="s">
        <v>12654</v>
      </c>
      <c r="H3119" s="10" t="s">
        <v>937</v>
      </c>
      <c r="I3119" s="10" t="s">
        <v>55</v>
      </c>
      <c r="K3119" s="10" t="s">
        <v>15262</v>
      </c>
      <c r="L3119" s="10" t="s">
        <v>42</v>
      </c>
    </row>
    <row r="3120" ht="15.75" customHeight="1">
      <c r="A3120" s="67">
        <v>45462.0</v>
      </c>
      <c r="B3120" s="55" t="str">
        <f>HYPERLINK("https://jobright.ai/jobs/info/667359cfc4ef395f5c37bcb3?utm_campaign=1065&amp;utm_source=sheet", "Apply")</f>
        <v>Apply</v>
      </c>
      <c r="C3120" s="10" t="s">
        <v>15261</v>
      </c>
      <c r="D3120" s="56" t="s">
        <v>14380</v>
      </c>
      <c r="E3120" s="59">
        <v>45301.0</v>
      </c>
      <c r="F3120" s="10" t="s">
        <v>14381</v>
      </c>
      <c r="G3120" s="10" t="s">
        <v>12654</v>
      </c>
      <c r="H3120" s="10" t="s">
        <v>986</v>
      </c>
      <c r="I3120" s="10" t="s">
        <v>55</v>
      </c>
      <c r="K3120" s="10" t="s">
        <v>15262</v>
      </c>
      <c r="L3120" s="10" t="s">
        <v>42</v>
      </c>
    </row>
    <row r="3121" ht="15.75" customHeight="1">
      <c r="A3121" s="67">
        <v>45462.0</v>
      </c>
      <c r="B3121" s="55" t="str">
        <f>HYPERLINK("https://jobright.ai/jobs/info/667359cfc4ef395f5c37bcb7?utm_campaign=1065&amp;utm_source=sheet", "Apply")</f>
        <v>Apply</v>
      </c>
      <c r="C3121" s="10" t="s">
        <v>15261</v>
      </c>
      <c r="D3121" s="56" t="s">
        <v>14380</v>
      </c>
      <c r="E3121" s="59">
        <v>45301.0</v>
      </c>
      <c r="F3121" s="10" t="s">
        <v>14381</v>
      </c>
      <c r="G3121" s="10" t="s">
        <v>12654</v>
      </c>
      <c r="H3121" s="10" t="s">
        <v>1002</v>
      </c>
      <c r="I3121" s="10" t="s">
        <v>55</v>
      </c>
      <c r="K3121" s="10" t="s">
        <v>15262</v>
      </c>
      <c r="L3121" s="10" t="s">
        <v>42</v>
      </c>
    </row>
    <row r="3122" ht="15.75" customHeight="1">
      <c r="A3122" s="67">
        <v>45462.0</v>
      </c>
      <c r="B3122" s="55" t="str">
        <f>HYPERLINK("https://jobright.ai/jobs/info/667359cfc4ef395f5c37bcb8?utm_campaign=1065&amp;utm_source=sheet", "Apply")</f>
        <v>Apply</v>
      </c>
      <c r="C3122" s="10" t="s">
        <v>14379</v>
      </c>
      <c r="D3122" s="56" t="s">
        <v>14380</v>
      </c>
      <c r="E3122" s="59">
        <v>45301.0</v>
      </c>
      <c r="F3122" s="10" t="s">
        <v>14381</v>
      </c>
      <c r="G3122" s="10" t="s">
        <v>12654</v>
      </c>
      <c r="H3122" s="10" t="s">
        <v>837</v>
      </c>
      <c r="I3122" s="10" t="s">
        <v>55</v>
      </c>
      <c r="J3122" s="10" t="s">
        <v>14382</v>
      </c>
      <c r="K3122" s="10" t="s">
        <v>14383</v>
      </c>
      <c r="L3122" s="10" t="s">
        <v>42</v>
      </c>
    </row>
    <row r="3123" ht="15.75" customHeight="1">
      <c r="A3123" s="67">
        <v>45462.0</v>
      </c>
      <c r="B3123" s="55" t="str">
        <f>HYPERLINK("https://jobright.ai/jobs/info/667359cfc4ef395f5c37bcb9?utm_campaign=1065&amp;utm_source=sheet", "Apply")</f>
        <v>Apply</v>
      </c>
      <c r="C3123" s="10" t="s">
        <v>14379</v>
      </c>
      <c r="D3123" s="56" t="s">
        <v>14380</v>
      </c>
      <c r="E3123" s="59">
        <v>45301.0</v>
      </c>
      <c r="F3123" s="10" t="s">
        <v>14381</v>
      </c>
      <c r="G3123" s="10" t="s">
        <v>12654</v>
      </c>
      <c r="H3123" s="10" t="s">
        <v>866</v>
      </c>
      <c r="I3123" s="10" t="s">
        <v>55</v>
      </c>
      <c r="J3123" s="10" t="s">
        <v>14382</v>
      </c>
      <c r="K3123" s="10" t="s">
        <v>14383</v>
      </c>
      <c r="L3123" s="10" t="s">
        <v>42</v>
      </c>
    </row>
    <row r="3124" ht="15.75" customHeight="1">
      <c r="A3124" s="67">
        <v>45462.0</v>
      </c>
      <c r="B3124" s="55" t="str">
        <f>HYPERLINK("https://jobright.ai/jobs/info/667371788c2e2fe50201eb66?utm_campaign=1065&amp;utm_source=sheet", "Apply")</f>
        <v>Apply</v>
      </c>
      <c r="C3124" s="10" t="s">
        <v>14379</v>
      </c>
      <c r="D3124" s="56" t="s">
        <v>14380</v>
      </c>
      <c r="E3124" s="59">
        <v>45301.0</v>
      </c>
      <c r="F3124" s="10" t="s">
        <v>14381</v>
      </c>
      <c r="G3124" s="10" t="s">
        <v>12654</v>
      </c>
      <c r="H3124" s="10" t="s">
        <v>1024</v>
      </c>
      <c r="I3124" s="10" t="s">
        <v>55</v>
      </c>
      <c r="J3124" s="10" t="s">
        <v>14382</v>
      </c>
      <c r="K3124" s="10" t="s">
        <v>14383</v>
      </c>
      <c r="L3124" s="10" t="s">
        <v>42</v>
      </c>
    </row>
    <row r="3125" ht="15.75" customHeight="1">
      <c r="A3125" s="67">
        <v>45462.0</v>
      </c>
      <c r="B3125" s="55" t="str">
        <f>HYPERLINK("https://jobright.ai/jobs/info/667371788c2e2fe50201eb67?utm_campaign=1065&amp;utm_source=sheet", "Apply")</f>
        <v>Apply</v>
      </c>
      <c r="C3125" s="10" t="s">
        <v>15261</v>
      </c>
      <c r="D3125" s="56" t="s">
        <v>14380</v>
      </c>
      <c r="E3125" s="59">
        <v>45301.0</v>
      </c>
      <c r="F3125" s="10" t="s">
        <v>14381</v>
      </c>
      <c r="G3125" s="10" t="s">
        <v>12654</v>
      </c>
      <c r="H3125" s="10" t="s">
        <v>832</v>
      </c>
      <c r="I3125" s="10" t="s">
        <v>55</v>
      </c>
      <c r="K3125" s="10" t="s">
        <v>15262</v>
      </c>
      <c r="L3125" s="10" t="s">
        <v>42</v>
      </c>
    </row>
    <row r="3126" ht="15.75" customHeight="1">
      <c r="A3126" s="67">
        <v>45462.0</v>
      </c>
      <c r="B3126" s="55" t="str">
        <f>HYPERLINK("https://jobright.ai/jobs/info/667371788c2e2fe50201eb69?utm_campaign=1065&amp;utm_source=sheet", "Apply")</f>
        <v>Apply</v>
      </c>
      <c r="C3126" s="10" t="s">
        <v>14379</v>
      </c>
      <c r="D3126" s="56" t="s">
        <v>14380</v>
      </c>
      <c r="E3126" s="59">
        <v>45301.0</v>
      </c>
      <c r="F3126" s="10" t="s">
        <v>14381</v>
      </c>
      <c r="G3126" s="10" t="s">
        <v>12654</v>
      </c>
      <c r="H3126" s="10" t="s">
        <v>934</v>
      </c>
      <c r="I3126" s="10" t="s">
        <v>55</v>
      </c>
      <c r="J3126" s="10" t="s">
        <v>14382</v>
      </c>
      <c r="K3126" s="10" t="s">
        <v>14383</v>
      </c>
      <c r="L3126" s="10" t="s">
        <v>42</v>
      </c>
    </row>
    <row r="3127" ht="15.75" customHeight="1">
      <c r="A3127" s="67">
        <v>45462.0</v>
      </c>
      <c r="B3127" s="55" t="str">
        <f>HYPERLINK("https://jobright.ai/jobs/info/667371788c2e2fe50201eb6a?utm_campaign=1065&amp;utm_source=sheet", "Apply")</f>
        <v>Apply</v>
      </c>
      <c r="C3127" s="10" t="s">
        <v>14379</v>
      </c>
      <c r="D3127" s="56" t="s">
        <v>14380</v>
      </c>
      <c r="E3127" s="59">
        <v>45301.0</v>
      </c>
      <c r="F3127" s="10" t="s">
        <v>14381</v>
      </c>
      <c r="G3127" s="10" t="s">
        <v>12654</v>
      </c>
      <c r="H3127" s="10" t="s">
        <v>915</v>
      </c>
      <c r="I3127" s="10" t="s">
        <v>55</v>
      </c>
      <c r="J3127" s="10" t="s">
        <v>14382</v>
      </c>
      <c r="K3127" s="10" t="s">
        <v>14383</v>
      </c>
      <c r="L3127" s="10" t="s">
        <v>42</v>
      </c>
    </row>
    <row r="3128" ht="15.75" customHeight="1">
      <c r="A3128" s="67">
        <v>45462.0</v>
      </c>
      <c r="B3128" s="55" t="str">
        <f>HYPERLINK("https://jobright.ai/jobs/info/667371788c2e2fe50201eb6b?utm_campaign=1065&amp;utm_source=sheet", "Apply")</f>
        <v>Apply</v>
      </c>
      <c r="C3128" s="10" t="s">
        <v>14379</v>
      </c>
      <c r="D3128" s="56" t="s">
        <v>14380</v>
      </c>
      <c r="E3128" s="59">
        <v>45301.0</v>
      </c>
      <c r="F3128" s="10" t="s">
        <v>14381</v>
      </c>
      <c r="G3128" s="10" t="s">
        <v>12654</v>
      </c>
      <c r="H3128" s="10" t="s">
        <v>965</v>
      </c>
      <c r="I3128" s="10" t="s">
        <v>55</v>
      </c>
      <c r="J3128" s="10" t="s">
        <v>14382</v>
      </c>
      <c r="K3128" s="10" t="s">
        <v>14383</v>
      </c>
      <c r="L3128" s="10" t="s">
        <v>42</v>
      </c>
    </row>
    <row r="3129" ht="15.75" customHeight="1">
      <c r="A3129" s="67">
        <v>45462.0</v>
      </c>
      <c r="B3129" s="55" t="str">
        <f>HYPERLINK("https://jobright.ai/jobs/info/667371788c2e2fe50201eb68?utm_campaign=1065&amp;utm_source=sheet", "Apply")</f>
        <v>Apply</v>
      </c>
      <c r="C3129" s="10" t="s">
        <v>14379</v>
      </c>
      <c r="D3129" s="56" t="s">
        <v>14380</v>
      </c>
      <c r="E3129" s="59">
        <v>45301.0</v>
      </c>
      <c r="F3129" s="10" t="s">
        <v>14381</v>
      </c>
      <c r="G3129" s="10" t="s">
        <v>12654</v>
      </c>
      <c r="H3129" s="10" t="s">
        <v>904</v>
      </c>
      <c r="I3129" s="10" t="s">
        <v>55</v>
      </c>
      <c r="J3129" s="10" t="s">
        <v>14382</v>
      </c>
      <c r="K3129" s="10" t="s">
        <v>14383</v>
      </c>
      <c r="L3129" s="10" t="s">
        <v>42</v>
      </c>
    </row>
    <row r="3130" ht="15.75" customHeight="1">
      <c r="A3130" s="67">
        <v>45462.0</v>
      </c>
      <c r="B3130" s="55" t="str">
        <f>HYPERLINK("https://jobright.ai/jobs/info/667371788c2e2fe50201eb71?utm_campaign=1065&amp;utm_source=sheet", "Apply")</f>
        <v>Apply</v>
      </c>
      <c r="C3130" s="10" t="s">
        <v>15261</v>
      </c>
      <c r="D3130" s="56" t="s">
        <v>14380</v>
      </c>
      <c r="E3130" s="59">
        <v>45301.0</v>
      </c>
      <c r="F3130" s="10" t="s">
        <v>14381</v>
      </c>
      <c r="G3130" s="10" t="s">
        <v>12654</v>
      </c>
      <c r="H3130" s="10" t="s">
        <v>1013</v>
      </c>
      <c r="I3130" s="10" t="s">
        <v>55</v>
      </c>
      <c r="K3130" s="10" t="s">
        <v>15262</v>
      </c>
      <c r="L3130" s="10" t="s">
        <v>42</v>
      </c>
    </row>
    <row r="3131" ht="15.75" customHeight="1">
      <c r="A3131" s="67">
        <v>45462.0</v>
      </c>
      <c r="B3131" s="55" t="str">
        <f>HYPERLINK("https://jobright.ai/jobs/info/667371788c2e2fe50201eb74?utm_campaign=1065&amp;utm_source=sheet", "Apply")</f>
        <v>Apply</v>
      </c>
      <c r="C3131" s="10" t="s">
        <v>14379</v>
      </c>
      <c r="D3131" s="56" t="s">
        <v>14380</v>
      </c>
      <c r="E3131" s="59">
        <v>45301.0</v>
      </c>
      <c r="F3131" s="10" t="s">
        <v>14381</v>
      </c>
      <c r="G3131" s="10" t="s">
        <v>12654</v>
      </c>
      <c r="H3131" s="10" t="s">
        <v>992</v>
      </c>
      <c r="I3131" s="10" t="s">
        <v>55</v>
      </c>
      <c r="J3131" s="10" t="s">
        <v>14382</v>
      </c>
      <c r="K3131" s="10" t="s">
        <v>14383</v>
      </c>
      <c r="L3131" s="10" t="s">
        <v>42</v>
      </c>
    </row>
    <row r="3132" ht="15.75" customHeight="1">
      <c r="A3132" s="67">
        <v>45462.0</v>
      </c>
      <c r="B3132" s="55" t="str">
        <f>HYPERLINK("https://jobright.ai/jobs/info/667371788c2e2fe50201eb72?utm_campaign=1065&amp;utm_source=sheet", "Apply")</f>
        <v>Apply</v>
      </c>
      <c r="C3132" s="10" t="s">
        <v>14379</v>
      </c>
      <c r="D3132" s="56" t="s">
        <v>14380</v>
      </c>
      <c r="E3132" s="59">
        <v>45301.0</v>
      </c>
      <c r="F3132" s="10" t="s">
        <v>14381</v>
      </c>
      <c r="G3132" s="10" t="s">
        <v>12654</v>
      </c>
      <c r="H3132" s="10" t="s">
        <v>984</v>
      </c>
      <c r="I3132" s="10" t="s">
        <v>55</v>
      </c>
      <c r="J3132" s="10" t="s">
        <v>14382</v>
      </c>
      <c r="K3132" s="10" t="s">
        <v>14383</v>
      </c>
      <c r="L3132" s="10" t="s">
        <v>42</v>
      </c>
    </row>
    <row r="3133" ht="15.75" customHeight="1">
      <c r="A3133" s="67">
        <v>45462.0</v>
      </c>
      <c r="B3133" s="55" t="str">
        <f>HYPERLINK("https://jobright.ai/jobs/info/667371788c2e2fe50201eb6e?utm_campaign=1065&amp;utm_source=sheet", "Apply")</f>
        <v>Apply</v>
      </c>
      <c r="C3133" s="10" t="s">
        <v>14379</v>
      </c>
      <c r="D3133" s="56" t="s">
        <v>14380</v>
      </c>
      <c r="E3133" s="59">
        <v>45301.0</v>
      </c>
      <c r="F3133" s="10" t="s">
        <v>14381</v>
      </c>
      <c r="G3133" s="10" t="s">
        <v>12654</v>
      </c>
      <c r="H3133" s="10" t="s">
        <v>628</v>
      </c>
      <c r="I3133" s="10" t="s">
        <v>55</v>
      </c>
      <c r="J3133" s="10" t="s">
        <v>14382</v>
      </c>
      <c r="K3133" s="10" t="s">
        <v>14383</v>
      </c>
      <c r="L3133" s="10" t="s">
        <v>42</v>
      </c>
    </row>
    <row r="3134" ht="15.75" customHeight="1">
      <c r="A3134" s="67">
        <v>45462.0</v>
      </c>
      <c r="B3134" s="55" t="str">
        <f>HYPERLINK("https://jobright.ai/jobs/info/667371788c2e2fe50201eb73?utm_campaign=1065&amp;utm_source=sheet", "Apply")</f>
        <v>Apply</v>
      </c>
      <c r="C3134" s="10" t="s">
        <v>15261</v>
      </c>
      <c r="D3134" s="56" t="s">
        <v>14380</v>
      </c>
      <c r="E3134" s="59">
        <v>45301.0</v>
      </c>
      <c r="F3134" s="10" t="s">
        <v>14381</v>
      </c>
      <c r="G3134" s="10" t="s">
        <v>12654</v>
      </c>
      <c r="H3134" s="10" t="s">
        <v>821</v>
      </c>
      <c r="I3134" s="10" t="s">
        <v>55</v>
      </c>
      <c r="K3134" s="10" t="s">
        <v>15262</v>
      </c>
      <c r="L3134" s="10" t="s">
        <v>42</v>
      </c>
    </row>
    <row r="3135" ht="15.75" customHeight="1">
      <c r="A3135" s="67">
        <v>45462.0</v>
      </c>
      <c r="B3135" s="55" t="str">
        <f>HYPERLINK("https://jobright.ai/jobs/info/667371788c2e2fe50201eb6d?utm_campaign=1065&amp;utm_source=sheet", "Apply")</f>
        <v>Apply</v>
      </c>
      <c r="C3135" s="10" t="s">
        <v>14379</v>
      </c>
      <c r="D3135" s="56" t="s">
        <v>14380</v>
      </c>
      <c r="E3135" s="59">
        <v>45301.0</v>
      </c>
      <c r="F3135" s="10" t="s">
        <v>14381</v>
      </c>
      <c r="G3135" s="10" t="s">
        <v>12654</v>
      </c>
      <c r="H3135" s="10" t="s">
        <v>886</v>
      </c>
      <c r="I3135" s="10" t="s">
        <v>55</v>
      </c>
      <c r="J3135" s="10" t="s">
        <v>14382</v>
      </c>
      <c r="K3135" s="10" t="s">
        <v>14383</v>
      </c>
      <c r="L3135" s="10" t="s">
        <v>42</v>
      </c>
    </row>
    <row r="3136" ht="15.75" customHeight="1">
      <c r="A3136" s="67">
        <v>45462.0</v>
      </c>
      <c r="B3136" s="55" t="str">
        <f>HYPERLINK("https://jobright.ai/jobs/info/667371788c2e2fe50201eb75?utm_campaign=1065&amp;utm_source=sheet", "Apply")</f>
        <v>Apply</v>
      </c>
      <c r="C3136" s="10" t="s">
        <v>14379</v>
      </c>
      <c r="D3136" s="56" t="s">
        <v>14380</v>
      </c>
      <c r="E3136" s="59">
        <v>45301.0</v>
      </c>
      <c r="F3136" s="10" t="s">
        <v>14381</v>
      </c>
      <c r="G3136" s="10" t="s">
        <v>12654</v>
      </c>
      <c r="H3136" s="10" t="s">
        <v>909</v>
      </c>
      <c r="I3136" s="10" t="s">
        <v>55</v>
      </c>
      <c r="J3136" s="10" t="s">
        <v>14382</v>
      </c>
      <c r="K3136" s="10" t="s">
        <v>14383</v>
      </c>
      <c r="L3136" s="10" t="s">
        <v>42</v>
      </c>
    </row>
    <row r="3137" ht="15.75" customHeight="1">
      <c r="A3137" s="68">
        <v>45462.0</v>
      </c>
      <c r="B3137" s="55" t="str">
        <f>HYPERLINK("https://jobright.ai/jobs/info/667371788c2e2fe50201eb6f?utm_campaign=1065&amp;utm_source=sheet", "Apply")</f>
        <v>Apply</v>
      </c>
      <c r="C3137" s="10" t="s">
        <v>14379</v>
      </c>
      <c r="D3137" s="56" t="s">
        <v>14380</v>
      </c>
      <c r="E3137" s="59">
        <v>45301.0</v>
      </c>
      <c r="F3137" s="10" t="s">
        <v>14381</v>
      </c>
      <c r="G3137" s="10" t="s">
        <v>12654</v>
      </c>
      <c r="H3137" s="10" t="s">
        <v>874</v>
      </c>
      <c r="I3137" s="10" t="s">
        <v>55</v>
      </c>
      <c r="J3137" s="10" t="s">
        <v>14382</v>
      </c>
      <c r="K3137" s="10" t="s">
        <v>14383</v>
      </c>
      <c r="L3137" s="10" t="s">
        <v>42</v>
      </c>
    </row>
    <row r="3138" ht="15.75" customHeight="1">
      <c r="A3138" s="68">
        <v>45462.0</v>
      </c>
      <c r="B3138" s="55" t="str">
        <f>HYPERLINK("https://jobright.ai/jobs/info/667371788c2e2fe50201eb70?utm_campaign=1065&amp;utm_source=sheet", "Apply")</f>
        <v>Apply</v>
      </c>
      <c r="C3138" s="10" t="s">
        <v>14379</v>
      </c>
      <c r="D3138" s="56" t="s">
        <v>14380</v>
      </c>
      <c r="E3138" s="59">
        <v>45301.0</v>
      </c>
      <c r="F3138" s="10" t="s">
        <v>14381</v>
      </c>
      <c r="G3138" s="10" t="s">
        <v>12654</v>
      </c>
      <c r="H3138" s="10" t="s">
        <v>957</v>
      </c>
      <c r="I3138" s="10" t="s">
        <v>55</v>
      </c>
      <c r="J3138" s="10" t="s">
        <v>14382</v>
      </c>
      <c r="K3138" s="10" t="s">
        <v>14383</v>
      </c>
      <c r="L3138" s="10" t="s">
        <v>42</v>
      </c>
    </row>
    <row r="3139" ht="15.75" customHeight="1">
      <c r="A3139" s="68">
        <v>45462.0</v>
      </c>
      <c r="B3139" s="55" t="str">
        <f>HYPERLINK("https://jobright.ai/jobs/info/667371788c2e2fe50201eb6c?utm_campaign=1065&amp;utm_source=sheet", "Apply")</f>
        <v>Apply</v>
      </c>
      <c r="C3139" s="10" t="s">
        <v>15261</v>
      </c>
      <c r="D3139" s="56" t="s">
        <v>14380</v>
      </c>
      <c r="E3139" s="59">
        <v>45301.0</v>
      </c>
      <c r="F3139" s="10" t="s">
        <v>14381</v>
      </c>
      <c r="G3139" s="10" t="s">
        <v>12654</v>
      </c>
      <c r="H3139" s="10" t="s">
        <v>1031</v>
      </c>
      <c r="I3139" s="10" t="s">
        <v>55</v>
      </c>
      <c r="K3139" s="10" t="s">
        <v>15262</v>
      </c>
      <c r="L3139" s="10" t="s">
        <v>42</v>
      </c>
    </row>
    <row r="3140" ht="15.75" customHeight="1">
      <c r="A3140" s="68">
        <v>45462.0</v>
      </c>
      <c r="B3140" s="55" t="str">
        <f>HYPERLINK("https://jobright.ai/jobs/info/667371788c2e2fe50201eb77?utm_campaign=1065&amp;utm_source=sheet", "Apply")</f>
        <v>Apply</v>
      </c>
      <c r="C3140" s="10" t="s">
        <v>15261</v>
      </c>
      <c r="D3140" s="56" t="s">
        <v>14380</v>
      </c>
      <c r="E3140" s="59">
        <v>45301.0</v>
      </c>
      <c r="F3140" s="10" t="s">
        <v>14381</v>
      </c>
      <c r="G3140" s="10" t="s">
        <v>12654</v>
      </c>
      <c r="H3140" s="10" t="s">
        <v>1051</v>
      </c>
      <c r="I3140" s="10" t="s">
        <v>55</v>
      </c>
      <c r="K3140" s="10" t="s">
        <v>15262</v>
      </c>
      <c r="L3140" s="10" t="s">
        <v>42</v>
      </c>
    </row>
    <row r="3141" ht="15.75" customHeight="1">
      <c r="A3141" s="68">
        <v>45462.0</v>
      </c>
      <c r="B3141" s="55" t="str">
        <f>HYPERLINK("https://jobright.ai/jobs/info/667371788c2e2fe50201eb79?utm_campaign=1065&amp;utm_source=sheet", "Apply")</f>
        <v>Apply</v>
      </c>
      <c r="C3141" s="10" t="s">
        <v>15261</v>
      </c>
      <c r="D3141" s="56" t="s">
        <v>14380</v>
      </c>
      <c r="E3141" s="59">
        <v>45301.0</v>
      </c>
      <c r="F3141" s="10" t="s">
        <v>14381</v>
      </c>
      <c r="G3141" s="10" t="s">
        <v>12654</v>
      </c>
      <c r="H3141" s="10" t="s">
        <v>865</v>
      </c>
      <c r="I3141" s="10" t="s">
        <v>55</v>
      </c>
      <c r="K3141" s="10" t="s">
        <v>15262</v>
      </c>
      <c r="L3141" s="10" t="s">
        <v>42</v>
      </c>
    </row>
    <row r="3142" ht="15.75" customHeight="1">
      <c r="A3142" s="68">
        <v>45462.0</v>
      </c>
      <c r="B3142" s="55" t="str">
        <f>HYPERLINK("https://jobright.ai/jobs/info/667371788c2e2fe50201eb78?utm_campaign=1065&amp;utm_source=sheet", "Apply")</f>
        <v>Apply</v>
      </c>
      <c r="C3142" s="10" t="s">
        <v>14379</v>
      </c>
      <c r="D3142" s="56" t="s">
        <v>14380</v>
      </c>
      <c r="E3142" s="59">
        <v>45301.0</v>
      </c>
      <c r="F3142" s="10" t="s">
        <v>14381</v>
      </c>
      <c r="G3142" s="10" t="s">
        <v>12654</v>
      </c>
      <c r="H3142" s="10" t="s">
        <v>775</v>
      </c>
      <c r="I3142" s="10" t="s">
        <v>55</v>
      </c>
      <c r="J3142" s="10" t="s">
        <v>14382</v>
      </c>
      <c r="K3142" s="10" t="s">
        <v>14383</v>
      </c>
      <c r="L3142" s="10" t="s">
        <v>42</v>
      </c>
    </row>
    <row r="3143" ht="15.75" customHeight="1">
      <c r="A3143" s="68">
        <v>45462.0</v>
      </c>
      <c r="B3143" s="55" t="str">
        <f>HYPERLINK("https://jobright.ai/jobs/info/667371788c2e2fe50201eb7a?utm_campaign=1065&amp;utm_source=sheet", "Apply")</f>
        <v>Apply</v>
      </c>
      <c r="C3143" s="10" t="s">
        <v>14379</v>
      </c>
      <c r="D3143" s="56" t="s">
        <v>14380</v>
      </c>
      <c r="E3143" s="59">
        <v>45301.0</v>
      </c>
      <c r="F3143" s="10" t="s">
        <v>14381</v>
      </c>
      <c r="G3143" s="10" t="s">
        <v>12654</v>
      </c>
      <c r="H3143" s="10" t="s">
        <v>978</v>
      </c>
      <c r="I3143" s="10" t="s">
        <v>55</v>
      </c>
      <c r="J3143" s="10" t="s">
        <v>14382</v>
      </c>
      <c r="K3143" s="10" t="s">
        <v>14383</v>
      </c>
      <c r="L3143" s="10" t="s">
        <v>42</v>
      </c>
    </row>
    <row r="3144" ht="15.75" customHeight="1">
      <c r="A3144" s="68">
        <v>45462.0</v>
      </c>
      <c r="B3144" s="55" t="str">
        <f>HYPERLINK("https://jobright.ai/jobs/info/667371788c2e2fe50201eb76?utm_campaign=1065&amp;utm_source=sheet", "Apply")</f>
        <v>Apply</v>
      </c>
      <c r="C3144" s="10" t="s">
        <v>15261</v>
      </c>
      <c r="D3144" s="56" t="s">
        <v>14380</v>
      </c>
      <c r="E3144" s="59">
        <v>45301.0</v>
      </c>
      <c r="F3144" s="10" t="s">
        <v>14381</v>
      </c>
      <c r="G3144" s="10" t="s">
        <v>12654</v>
      </c>
      <c r="H3144" s="10" t="s">
        <v>1044</v>
      </c>
      <c r="I3144" s="10" t="s">
        <v>55</v>
      </c>
      <c r="K3144" s="10" t="s">
        <v>15262</v>
      </c>
      <c r="L3144" s="10" t="s">
        <v>42</v>
      </c>
    </row>
    <row r="3145" ht="15.75" customHeight="1">
      <c r="A3145" s="68">
        <v>45462.0</v>
      </c>
      <c r="B3145" s="55" t="str">
        <f>HYPERLINK("https://jobright.ai/jobs/info/66733733d2f0021127af3245?utm_campaign=1065&amp;utm_source=sheet", "Apply")</f>
        <v>Apply</v>
      </c>
      <c r="C3145" s="10" t="s">
        <v>14379</v>
      </c>
      <c r="D3145" s="56" t="s">
        <v>14380</v>
      </c>
      <c r="E3145" s="59">
        <v>45301.0</v>
      </c>
      <c r="F3145" s="10" t="s">
        <v>14381</v>
      </c>
      <c r="G3145" s="10" t="s">
        <v>12654</v>
      </c>
      <c r="H3145" s="10" t="s">
        <v>188</v>
      </c>
      <c r="I3145" s="10" t="s">
        <v>55</v>
      </c>
      <c r="J3145" s="10" t="s">
        <v>14382</v>
      </c>
      <c r="K3145" s="10" t="s">
        <v>14383</v>
      </c>
      <c r="L3145" s="10" t="s">
        <v>42</v>
      </c>
    </row>
    <row r="3146" ht="15.75" customHeight="1">
      <c r="A3146" s="68">
        <v>45462.0</v>
      </c>
      <c r="B3146" s="55" t="str">
        <f>HYPERLINK("https://jobright.ai/jobs/info/6673380ad2f0021127af3ba4?utm_campaign=1065&amp;utm_source=sheet", "Apply")</f>
        <v>Apply</v>
      </c>
      <c r="C3146" s="10" t="s">
        <v>14379</v>
      </c>
      <c r="D3146" s="56" t="s">
        <v>14380</v>
      </c>
      <c r="E3146" s="59">
        <v>45301.0</v>
      </c>
      <c r="F3146" s="10" t="s">
        <v>14381</v>
      </c>
      <c r="G3146" s="10" t="s">
        <v>12654</v>
      </c>
      <c r="H3146" s="10" t="s">
        <v>939</v>
      </c>
      <c r="I3146" s="10" t="s">
        <v>55</v>
      </c>
      <c r="J3146" s="10" t="s">
        <v>14382</v>
      </c>
      <c r="K3146" s="10" t="s">
        <v>14383</v>
      </c>
      <c r="L3146" s="10" t="s">
        <v>42</v>
      </c>
    </row>
    <row r="3147" ht="15.75" customHeight="1">
      <c r="A3147" s="68">
        <v>45462.0</v>
      </c>
      <c r="B3147" s="55" t="str">
        <f>HYPERLINK("https://jobright.ai/jobs/info/6673380ad2f0021127af3ba5?utm_campaign=1065&amp;utm_source=sheet", "Apply")</f>
        <v>Apply</v>
      </c>
      <c r="C3147" s="10" t="s">
        <v>14379</v>
      </c>
      <c r="D3147" s="56" t="s">
        <v>14380</v>
      </c>
      <c r="E3147" s="59">
        <v>45301.0</v>
      </c>
      <c r="F3147" s="10" t="s">
        <v>14381</v>
      </c>
      <c r="G3147" s="10" t="s">
        <v>12654</v>
      </c>
      <c r="H3147" s="10" t="s">
        <v>914</v>
      </c>
      <c r="I3147" s="10" t="s">
        <v>55</v>
      </c>
      <c r="J3147" s="10" t="s">
        <v>14382</v>
      </c>
      <c r="K3147" s="10" t="s">
        <v>14383</v>
      </c>
      <c r="L3147" s="10" t="s">
        <v>42</v>
      </c>
    </row>
    <row r="3148" ht="15.75" customHeight="1">
      <c r="A3148" s="68">
        <v>45462.0</v>
      </c>
      <c r="B3148" s="55" t="str">
        <f>HYPERLINK("https://jobright.ai/jobs/info/6673380ad2f0021127af3ba6?utm_campaign=1065&amp;utm_source=sheet", "Apply")</f>
        <v>Apply</v>
      </c>
      <c r="C3148" s="10" t="s">
        <v>14379</v>
      </c>
      <c r="D3148" s="56" t="s">
        <v>14380</v>
      </c>
      <c r="E3148" s="59">
        <v>45301.0</v>
      </c>
      <c r="F3148" s="10" t="s">
        <v>14381</v>
      </c>
      <c r="G3148" s="10" t="s">
        <v>12654</v>
      </c>
      <c r="H3148" s="10" t="s">
        <v>1037</v>
      </c>
      <c r="I3148" s="10" t="s">
        <v>55</v>
      </c>
      <c r="J3148" s="10" t="s">
        <v>14382</v>
      </c>
      <c r="K3148" s="10" t="s">
        <v>14383</v>
      </c>
      <c r="L3148" s="10" t="s">
        <v>42</v>
      </c>
    </row>
    <row r="3149" ht="15.75" customHeight="1">
      <c r="A3149" s="68">
        <v>45462.0</v>
      </c>
      <c r="B3149" s="55" t="str">
        <f>HYPERLINK("https://jobright.ai/jobs/info/6673c2b71adf452983f80e90?utm_campaign=1065&amp;utm_source=sheet", "Apply")</f>
        <v>Apply</v>
      </c>
      <c r="C3149" s="10" t="s">
        <v>15261</v>
      </c>
      <c r="D3149" s="56" t="s">
        <v>14380</v>
      </c>
      <c r="E3149" s="59">
        <v>45301.0</v>
      </c>
      <c r="F3149" s="10" t="s">
        <v>14381</v>
      </c>
      <c r="G3149" s="10" t="s">
        <v>12654</v>
      </c>
      <c r="H3149" s="10" t="s">
        <v>1029</v>
      </c>
      <c r="I3149" s="10" t="s">
        <v>55</v>
      </c>
      <c r="K3149" s="10" t="s">
        <v>15262</v>
      </c>
      <c r="L3149" s="10" t="s">
        <v>42</v>
      </c>
    </row>
    <row r="3150" ht="15.75" customHeight="1">
      <c r="A3150" s="68">
        <v>45462.0</v>
      </c>
      <c r="B3150" s="55" t="str">
        <f>HYPERLINK("https://jobright.ai/jobs/info/6673380ad2f0021127af3ba8?utm_campaign=1065&amp;utm_source=sheet", "Apply")</f>
        <v>Apply</v>
      </c>
      <c r="C3150" s="10" t="s">
        <v>14379</v>
      </c>
      <c r="D3150" s="56" t="s">
        <v>14380</v>
      </c>
      <c r="E3150" s="59">
        <v>45301.0</v>
      </c>
      <c r="F3150" s="10" t="s">
        <v>14381</v>
      </c>
      <c r="G3150" s="10" t="s">
        <v>12654</v>
      </c>
      <c r="H3150" s="10" t="s">
        <v>839</v>
      </c>
      <c r="I3150" s="10" t="s">
        <v>55</v>
      </c>
      <c r="J3150" s="10" t="s">
        <v>14382</v>
      </c>
      <c r="K3150" s="10" t="s">
        <v>14383</v>
      </c>
      <c r="L3150" s="10" t="s">
        <v>42</v>
      </c>
    </row>
    <row r="3151" ht="15.75" customHeight="1">
      <c r="A3151" s="68">
        <v>45462.0</v>
      </c>
      <c r="B3151" s="55" t="str">
        <f>HYPERLINK("https://jobright.ai/jobs/info/6673380ad2f0021127af3ba9?utm_campaign=1065&amp;utm_source=sheet", "Apply")</f>
        <v>Apply</v>
      </c>
      <c r="C3151" s="10" t="s">
        <v>14379</v>
      </c>
      <c r="D3151" s="56" t="s">
        <v>14380</v>
      </c>
      <c r="E3151" s="59">
        <v>45301.0</v>
      </c>
      <c r="F3151" s="10" t="s">
        <v>14381</v>
      </c>
      <c r="G3151" s="10" t="s">
        <v>12654</v>
      </c>
      <c r="H3151" s="10" t="s">
        <v>117</v>
      </c>
      <c r="I3151" s="10" t="s">
        <v>55</v>
      </c>
      <c r="J3151" s="10" t="s">
        <v>14382</v>
      </c>
      <c r="K3151" s="10" t="s">
        <v>14383</v>
      </c>
      <c r="L3151" s="10" t="s">
        <v>42</v>
      </c>
    </row>
    <row r="3152" ht="15.75" customHeight="1">
      <c r="A3152" s="68">
        <v>45462.0</v>
      </c>
      <c r="B3152" s="55" t="str">
        <f>HYPERLINK("https://jobright.ai/jobs/info/6673380ad2f0021127af3ba7?utm_campaign=1065&amp;utm_source=sheet", "Apply")</f>
        <v>Apply</v>
      </c>
      <c r="C3152" s="10" t="s">
        <v>14379</v>
      </c>
      <c r="D3152" s="56" t="s">
        <v>14380</v>
      </c>
      <c r="E3152" s="59">
        <v>45301.0</v>
      </c>
      <c r="F3152" s="10" t="s">
        <v>14381</v>
      </c>
      <c r="G3152" s="10" t="s">
        <v>12654</v>
      </c>
      <c r="H3152" s="10" t="s">
        <v>910</v>
      </c>
      <c r="I3152" s="10" t="s">
        <v>55</v>
      </c>
      <c r="J3152" s="10" t="s">
        <v>14382</v>
      </c>
      <c r="K3152" s="10" t="s">
        <v>14383</v>
      </c>
      <c r="L3152" s="10" t="s">
        <v>42</v>
      </c>
    </row>
    <row r="3153" ht="15.75" customHeight="1">
      <c r="A3153" s="68">
        <v>45462.0</v>
      </c>
      <c r="B3153" s="55" t="str">
        <f>HYPERLINK("https://jobright.ai/jobs/info/6673380ad2f0021127af3baa?utm_campaign=1065&amp;utm_source=sheet", "Apply")</f>
        <v>Apply</v>
      </c>
      <c r="C3153" s="10" t="s">
        <v>14379</v>
      </c>
      <c r="D3153" s="56" t="s">
        <v>14380</v>
      </c>
      <c r="E3153" s="59">
        <v>45301.0</v>
      </c>
      <c r="F3153" s="10" t="s">
        <v>14381</v>
      </c>
      <c r="G3153" s="10" t="s">
        <v>12654</v>
      </c>
      <c r="H3153" s="10" t="s">
        <v>154</v>
      </c>
      <c r="I3153" s="10" t="s">
        <v>55</v>
      </c>
      <c r="J3153" s="10" t="s">
        <v>14382</v>
      </c>
      <c r="K3153" s="10" t="s">
        <v>14383</v>
      </c>
      <c r="L3153" s="10" t="s">
        <v>42</v>
      </c>
    </row>
    <row r="3154" ht="15.75" customHeight="1">
      <c r="A3154" s="68">
        <v>45462.0</v>
      </c>
      <c r="B3154" s="55" t="str">
        <f>HYPERLINK("https://jobright.ai/jobs/info/6673380ad2f0021127af3bac?utm_campaign=1065&amp;utm_source=sheet", "Apply")</f>
        <v>Apply</v>
      </c>
      <c r="C3154" s="10" t="s">
        <v>14379</v>
      </c>
      <c r="D3154" s="56" t="s">
        <v>14380</v>
      </c>
      <c r="E3154" s="59">
        <v>45301.0</v>
      </c>
      <c r="F3154" s="10" t="s">
        <v>14381</v>
      </c>
      <c r="G3154" s="10" t="s">
        <v>12654</v>
      </c>
      <c r="H3154" s="10" t="s">
        <v>1036</v>
      </c>
      <c r="I3154" s="10" t="s">
        <v>55</v>
      </c>
      <c r="J3154" s="10" t="s">
        <v>14382</v>
      </c>
      <c r="K3154" s="10" t="s">
        <v>14383</v>
      </c>
      <c r="L3154" s="10" t="s">
        <v>42</v>
      </c>
    </row>
    <row r="3155" ht="15.75" customHeight="1">
      <c r="A3155" s="68">
        <v>45462.0</v>
      </c>
      <c r="B3155" s="55" t="str">
        <f>HYPERLINK("https://jobright.ai/jobs/info/6673380ad2f0021127af3bab?utm_campaign=1065&amp;utm_source=sheet", "Apply")</f>
        <v>Apply</v>
      </c>
      <c r="C3155" s="10" t="s">
        <v>14379</v>
      </c>
      <c r="D3155" s="56" t="s">
        <v>14380</v>
      </c>
      <c r="E3155" s="59">
        <v>45301.0</v>
      </c>
      <c r="F3155" s="10" t="s">
        <v>14381</v>
      </c>
      <c r="G3155" s="10" t="s">
        <v>12654</v>
      </c>
      <c r="H3155" s="10" t="s">
        <v>781</v>
      </c>
      <c r="I3155" s="10" t="s">
        <v>55</v>
      </c>
      <c r="J3155" s="10" t="s">
        <v>14382</v>
      </c>
      <c r="K3155" s="10" t="s">
        <v>14383</v>
      </c>
      <c r="L3155" s="10" t="s">
        <v>42</v>
      </c>
    </row>
    <row r="3156" ht="15.75" customHeight="1">
      <c r="A3156" s="68">
        <v>45462.0</v>
      </c>
      <c r="B3156" s="55" t="str">
        <f>HYPERLINK("https://jobright.ai/jobs/info/6673c2b71adf452983f80e97?utm_campaign=1065&amp;utm_source=sheet", "Apply")</f>
        <v>Apply</v>
      </c>
      <c r="C3156" s="10" t="s">
        <v>15261</v>
      </c>
      <c r="D3156" s="56" t="s">
        <v>14380</v>
      </c>
      <c r="E3156" s="59">
        <v>45301.0</v>
      </c>
      <c r="F3156" s="10" t="s">
        <v>14381</v>
      </c>
      <c r="G3156" s="10" t="s">
        <v>12654</v>
      </c>
      <c r="H3156" s="10" t="s">
        <v>863</v>
      </c>
      <c r="I3156" s="10" t="s">
        <v>55</v>
      </c>
      <c r="K3156" s="10" t="s">
        <v>15262</v>
      </c>
      <c r="L3156" s="10" t="s">
        <v>42</v>
      </c>
    </row>
    <row r="3157" ht="15.75" customHeight="1">
      <c r="A3157" s="68">
        <v>45462.0</v>
      </c>
      <c r="B3157" s="55" t="str">
        <f>HYPERLINK("https://jobright.ai/jobs/info/6673c2b71adf452983f80e9c?utm_campaign=1065&amp;utm_source=sheet", "Apply")</f>
        <v>Apply</v>
      </c>
      <c r="C3157" s="10" t="s">
        <v>15261</v>
      </c>
      <c r="D3157" s="56" t="s">
        <v>14380</v>
      </c>
      <c r="E3157" s="59">
        <v>45301.0</v>
      </c>
      <c r="F3157" s="10" t="s">
        <v>14381</v>
      </c>
      <c r="G3157" s="10" t="s">
        <v>12654</v>
      </c>
      <c r="H3157" s="10" t="s">
        <v>925</v>
      </c>
      <c r="I3157" s="10" t="s">
        <v>55</v>
      </c>
      <c r="K3157" s="10" t="s">
        <v>15262</v>
      </c>
      <c r="L3157" s="10" t="s">
        <v>42</v>
      </c>
    </row>
    <row r="3158" ht="15.75" customHeight="1">
      <c r="A3158" s="68">
        <v>45462.0</v>
      </c>
      <c r="B3158" s="55" t="str">
        <f>HYPERLINK("https://jobright.ai/jobs/info/6673c2b71adf452983f80ea4?utm_campaign=1065&amp;utm_source=sheet", "Apply")</f>
        <v>Apply</v>
      </c>
      <c r="C3158" s="10" t="s">
        <v>15261</v>
      </c>
      <c r="D3158" s="56" t="s">
        <v>14380</v>
      </c>
      <c r="E3158" s="59">
        <v>45301.0</v>
      </c>
      <c r="F3158" s="10" t="s">
        <v>14381</v>
      </c>
      <c r="G3158" s="10" t="s">
        <v>12654</v>
      </c>
      <c r="H3158" s="10" t="s">
        <v>938</v>
      </c>
      <c r="I3158" s="10" t="s">
        <v>55</v>
      </c>
      <c r="K3158" s="10" t="s">
        <v>15262</v>
      </c>
      <c r="L3158" s="10" t="s">
        <v>42</v>
      </c>
    </row>
    <row r="3159" ht="15.75" customHeight="1">
      <c r="A3159" s="68">
        <v>45462.0</v>
      </c>
      <c r="B3159" s="55" t="str">
        <f>HYPERLINK("https://jobright.ai/jobs/info/6673c56e7efa6ff3fe3a19f0?utm_campaign=1065&amp;utm_source=sheet", "Apply")</f>
        <v>Apply</v>
      </c>
      <c r="C3159" s="10" t="s">
        <v>15261</v>
      </c>
      <c r="D3159" s="56" t="s">
        <v>14380</v>
      </c>
      <c r="E3159" s="59">
        <v>45301.0</v>
      </c>
      <c r="F3159" s="10" t="s">
        <v>14381</v>
      </c>
      <c r="G3159" s="10" t="s">
        <v>12654</v>
      </c>
      <c r="H3159" s="10" t="s">
        <v>801</v>
      </c>
      <c r="I3159" s="10" t="s">
        <v>55</v>
      </c>
      <c r="K3159" s="10" t="s">
        <v>15262</v>
      </c>
      <c r="L3159" s="10" t="s">
        <v>42</v>
      </c>
    </row>
    <row r="3160" ht="15.75" customHeight="1">
      <c r="A3160" s="68">
        <v>45462.0</v>
      </c>
      <c r="B3160" s="55" t="str">
        <f>HYPERLINK("https://jobright.ai/jobs/info/6673c57a7efa6ff3fe3a1b2e?utm_campaign=1065&amp;utm_source=sheet", "Apply")</f>
        <v>Apply</v>
      </c>
      <c r="C3160" s="10" t="s">
        <v>15261</v>
      </c>
      <c r="D3160" s="56" t="s">
        <v>14380</v>
      </c>
      <c r="E3160" s="59">
        <v>45301.0</v>
      </c>
      <c r="F3160" s="10" t="s">
        <v>14381</v>
      </c>
      <c r="G3160" s="10" t="s">
        <v>12654</v>
      </c>
      <c r="H3160" s="10" t="s">
        <v>987</v>
      </c>
      <c r="I3160" s="10" t="s">
        <v>55</v>
      </c>
      <c r="K3160" s="10" t="s">
        <v>15262</v>
      </c>
      <c r="L3160" s="10" t="s">
        <v>42</v>
      </c>
    </row>
    <row r="3161" ht="15.75" customHeight="1">
      <c r="A3161" s="68">
        <v>45462.0</v>
      </c>
      <c r="B3161" s="55" t="str">
        <f>HYPERLINK("https://jobright.ai/jobs/info/66733733d2f0021127af325c?utm_campaign=1065&amp;utm_source=sheet", "Apply")</f>
        <v>Apply</v>
      </c>
      <c r="C3161" s="10" t="s">
        <v>15261</v>
      </c>
      <c r="D3161" s="56" t="s">
        <v>14380</v>
      </c>
      <c r="E3161" s="59">
        <v>45301.0</v>
      </c>
      <c r="F3161" s="10" t="s">
        <v>14381</v>
      </c>
      <c r="G3161" s="10" t="s">
        <v>12654</v>
      </c>
      <c r="H3161" s="10" t="s">
        <v>864</v>
      </c>
      <c r="I3161" s="10" t="s">
        <v>55</v>
      </c>
      <c r="K3161" s="10" t="s">
        <v>15262</v>
      </c>
      <c r="L3161" s="10" t="s">
        <v>42</v>
      </c>
    </row>
    <row r="3162" ht="15.75" customHeight="1">
      <c r="A3162" s="68">
        <v>45462.0</v>
      </c>
      <c r="B3162" s="55" t="str">
        <f>HYPERLINK("https://jobright.ai/jobs/info/6673380ad2f0021127af3bad?utm_campaign=1065&amp;utm_source=sheet", "Apply")</f>
        <v>Apply</v>
      </c>
      <c r="C3162" s="10" t="s">
        <v>15261</v>
      </c>
      <c r="D3162" s="56" t="s">
        <v>14380</v>
      </c>
      <c r="E3162" s="59">
        <v>45301.0</v>
      </c>
      <c r="F3162" s="10" t="s">
        <v>14381</v>
      </c>
      <c r="G3162" s="10" t="s">
        <v>12654</v>
      </c>
      <c r="H3162" s="10" t="s">
        <v>814</v>
      </c>
      <c r="I3162" s="10" t="s">
        <v>55</v>
      </c>
      <c r="K3162" s="10" t="s">
        <v>15262</v>
      </c>
      <c r="L3162" s="10" t="s">
        <v>42</v>
      </c>
    </row>
    <row r="3163" ht="15.75" customHeight="1">
      <c r="A3163" s="68">
        <v>45462.0</v>
      </c>
      <c r="B3163" s="55" t="str">
        <f>HYPERLINK("https://jobright.ai/jobs/info/6673380ad2f0021127af3bae?utm_campaign=1065&amp;utm_source=sheet", "Apply")</f>
        <v>Apply</v>
      </c>
      <c r="C3163" s="10" t="s">
        <v>15261</v>
      </c>
      <c r="D3163" s="56" t="s">
        <v>14380</v>
      </c>
      <c r="E3163" s="59">
        <v>45301.0</v>
      </c>
      <c r="F3163" s="10" t="s">
        <v>14381</v>
      </c>
      <c r="G3163" s="10" t="s">
        <v>12654</v>
      </c>
      <c r="H3163" s="10" t="s">
        <v>108</v>
      </c>
      <c r="I3163" s="10" t="s">
        <v>55</v>
      </c>
      <c r="K3163" s="10" t="s">
        <v>15262</v>
      </c>
      <c r="L3163" s="10" t="s">
        <v>42</v>
      </c>
    </row>
    <row r="3164" ht="15.75" customHeight="1">
      <c r="A3164" s="68">
        <v>45462.0</v>
      </c>
      <c r="B3164" s="55" t="str">
        <f>HYPERLINK("https://jobright.ai/jobs/info/6673380ad2f0021127af3baf?utm_campaign=1065&amp;utm_source=sheet", "Apply")</f>
        <v>Apply</v>
      </c>
      <c r="C3164" s="10" t="s">
        <v>15261</v>
      </c>
      <c r="D3164" s="56" t="s">
        <v>14380</v>
      </c>
      <c r="E3164" s="59">
        <v>45301.0</v>
      </c>
      <c r="F3164" s="10" t="s">
        <v>14381</v>
      </c>
      <c r="G3164" s="10" t="s">
        <v>12654</v>
      </c>
      <c r="H3164" s="10" t="s">
        <v>232</v>
      </c>
      <c r="I3164" s="10" t="s">
        <v>55</v>
      </c>
      <c r="K3164" s="10" t="s">
        <v>15262</v>
      </c>
      <c r="L3164" s="10" t="s">
        <v>42</v>
      </c>
    </row>
    <row r="3165" ht="15.75" customHeight="1">
      <c r="A3165" s="68">
        <v>45462.0</v>
      </c>
      <c r="B3165" s="55" t="str">
        <f>HYPERLINK("https://jobright.ai/jobs/info/6673380ad2f0021127af3bb0?utm_campaign=1065&amp;utm_source=sheet", "Apply")</f>
        <v>Apply</v>
      </c>
      <c r="C3165" s="10" t="s">
        <v>15261</v>
      </c>
      <c r="D3165" s="56" t="s">
        <v>14380</v>
      </c>
      <c r="E3165" s="59">
        <v>45301.0</v>
      </c>
      <c r="F3165" s="10" t="s">
        <v>14381</v>
      </c>
      <c r="G3165" s="10" t="s">
        <v>12654</v>
      </c>
      <c r="H3165" s="10" t="s">
        <v>1005</v>
      </c>
      <c r="I3165" s="10" t="s">
        <v>55</v>
      </c>
      <c r="K3165" s="10" t="s">
        <v>15262</v>
      </c>
      <c r="L3165" s="10" t="s">
        <v>42</v>
      </c>
    </row>
    <row r="3166" ht="15.75" customHeight="1">
      <c r="A3166" s="68">
        <v>45462.0</v>
      </c>
      <c r="B3166" s="55" t="str">
        <f>HYPERLINK("https://jobright.ai/jobs/info/6673380ad2f0021127af3bb4?utm_campaign=1065&amp;utm_source=sheet", "Apply")</f>
        <v>Apply</v>
      </c>
      <c r="C3166" s="10" t="s">
        <v>15261</v>
      </c>
      <c r="D3166" s="56" t="s">
        <v>14380</v>
      </c>
      <c r="E3166" s="59">
        <v>45301.0</v>
      </c>
      <c r="F3166" s="10" t="s">
        <v>14381</v>
      </c>
      <c r="G3166" s="10" t="s">
        <v>12654</v>
      </c>
      <c r="H3166" s="10" t="s">
        <v>1048</v>
      </c>
      <c r="I3166" s="10" t="s">
        <v>55</v>
      </c>
      <c r="K3166" s="10" t="s">
        <v>15262</v>
      </c>
      <c r="L3166" s="10" t="s">
        <v>42</v>
      </c>
    </row>
    <row r="3167" ht="15.75" customHeight="1">
      <c r="A3167" s="64">
        <v>45462.0</v>
      </c>
      <c r="B3167" s="55" t="str">
        <f>HYPERLINK("https://jobright.ai/jobs/info/6673380ad2f0021127af3bb3?utm_campaign=1065&amp;utm_source=sheet", "Apply")</f>
        <v>Apply</v>
      </c>
      <c r="C3167" s="10" t="s">
        <v>15261</v>
      </c>
      <c r="D3167" s="56" t="s">
        <v>14380</v>
      </c>
      <c r="E3167" s="59">
        <v>45301.0</v>
      </c>
      <c r="F3167" s="10" t="s">
        <v>14381</v>
      </c>
      <c r="G3167" s="10" t="s">
        <v>12654</v>
      </c>
      <c r="H3167" s="10" t="s">
        <v>841</v>
      </c>
      <c r="I3167" s="10" t="s">
        <v>55</v>
      </c>
      <c r="K3167" s="10" t="s">
        <v>15262</v>
      </c>
      <c r="L3167" s="10" t="s">
        <v>42</v>
      </c>
    </row>
    <row r="3168" ht="15.75" customHeight="1">
      <c r="A3168" s="64">
        <v>45462.0</v>
      </c>
      <c r="B3168" s="55" t="str">
        <f>HYPERLINK("https://jobright.ai/jobs/info/6673380ad2f0021127af3bb1?utm_campaign=1065&amp;utm_source=sheet", "Apply")</f>
        <v>Apply</v>
      </c>
      <c r="C3168" s="10" t="s">
        <v>15261</v>
      </c>
      <c r="D3168" s="56" t="s">
        <v>14380</v>
      </c>
      <c r="E3168" s="59">
        <v>45301.0</v>
      </c>
      <c r="F3168" s="10" t="s">
        <v>14381</v>
      </c>
      <c r="G3168" s="10" t="s">
        <v>12654</v>
      </c>
      <c r="H3168" s="10" t="s">
        <v>1037</v>
      </c>
      <c r="I3168" s="10" t="s">
        <v>55</v>
      </c>
      <c r="K3168" s="10" t="s">
        <v>15262</v>
      </c>
      <c r="L3168" s="10" t="s">
        <v>42</v>
      </c>
    </row>
    <row r="3169" ht="15.75" customHeight="1">
      <c r="A3169" s="64">
        <v>45462.0</v>
      </c>
      <c r="B3169" s="55" t="str">
        <f>HYPERLINK("https://jobright.ai/jobs/info/6673380ad2f0021127af3bb2?utm_campaign=1065&amp;utm_source=sheet", "Apply")</f>
        <v>Apply</v>
      </c>
      <c r="C3169" s="10" t="s">
        <v>15261</v>
      </c>
      <c r="D3169" s="56" t="s">
        <v>14380</v>
      </c>
      <c r="E3169" s="59">
        <v>45301.0</v>
      </c>
      <c r="F3169" s="10" t="s">
        <v>14381</v>
      </c>
      <c r="G3169" s="10" t="s">
        <v>12654</v>
      </c>
      <c r="H3169" s="10" t="s">
        <v>800</v>
      </c>
      <c r="I3169" s="10" t="s">
        <v>55</v>
      </c>
      <c r="K3169" s="10" t="s">
        <v>15262</v>
      </c>
      <c r="L3169" s="10" t="s">
        <v>42</v>
      </c>
    </row>
    <row r="3170" ht="15.75" customHeight="1">
      <c r="A3170" s="64">
        <v>45462.0</v>
      </c>
      <c r="B3170" s="55" t="str">
        <f>HYPERLINK("https://jobright.ai/jobs/info/6673380ad2f0021127af3bb6?utm_campaign=1065&amp;utm_source=sheet", "Apply")</f>
        <v>Apply</v>
      </c>
      <c r="C3170" s="10" t="s">
        <v>15261</v>
      </c>
      <c r="D3170" s="56" t="s">
        <v>14380</v>
      </c>
      <c r="E3170" s="59">
        <v>45301.0</v>
      </c>
      <c r="F3170" s="10" t="s">
        <v>14381</v>
      </c>
      <c r="G3170" s="10" t="s">
        <v>12654</v>
      </c>
      <c r="H3170" s="10" t="s">
        <v>1004</v>
      </c>
      <c r="I3170" s="10" t="s">
        <v>55</v>
      </c>
      <c r="K3170" s="10" t="s">
        <v>15262</v>
      </c>
      <c r="L3170" s="10" t="s">
        <v>42</v>
      </c>
    </row>
    <row r="3171" ht="15.75" customHeight="1">
      <c r="A3171" s="64">
        <v>45462.0</v>
      </c>
      <c r="B3171" s="55" t="str">
        <f>HYPERLINK("https://jobright.ai/jobs/info/6673380ad2f0021127af3bb5?utm_campaign=1065&amp;utm_source=sheet", "Apply")</f>
        <v>Apply</v>
      </c>
      <c r="C3171" s="10" t="s">
        <v>15261</v>
      </c>
      <c r="D3171" s="56" t="s">
        <v>14380</v>
      </c>
      <c r="E3171" s="59">
        <v>45301.0</v>
      </c>
      <c r="F3171" s="10" t="s">
        <v>14381</v>
      </c>
      <c r="G3171" s="10" t="s">
        <v>12654</v>
      </c>
      <c r="H3171" s="10" t="s">
        <v>774</v>
      </c>
      <c r="I3171" s="10" t="s">
        <v>55</v>
      </c>
      <c r="K3171" s="10" t="s">
        <v>15262</v>
      </c>
      <c r="L3171" s="10" t="s">
        <v>42</v>
      </c>
    </row>
    <row r="3172" ht="15.75" customHeight="1">
      <c r="A3172" s="64">
        <v>45462.0</v>
      </c>
      <c r="B3172" s="55" t="str">
        <f>HYPERLINK("https://jobright.ai/jobs/info/6673380ad2f0021127af3bb9?utm_campaign=1065&amp;utm_source=sheet", "Apply")</f>
        <v>Apply</v>
      </c>
      <c r="C3172" s="10" t="s">
        <v>15261</v>
      </c>
      <c r="D3172" s="56" t="s">
        <v>14380</v>
      </c>
      <c r="E3172" s="59">
        <v>45301.0</v>
      </c>
      <c r="F3172" s="10" t="s">
        <v>14381</v>
      </c>
      <c r="G3172" s="10" t="s">
        <v>12654</v>
      </c>
      <c r="H3172" s="10" t="s">
        <v>781</v>
      </c>
      <c r="I3172" s="10" t="s">
        <v>55</v>
      </c>
      <c r="K3172" s="10" t="s">
        <v>15262</v>
      </c>
      <c r="L3172" s="10" t="s">
        <v>42</v>
      </c>
    </row>
    <row r="3173" ht="15.75" customHeight="1">
      <c r="A3173" s="64">
        <v>45462.0</v>
      </c>
      <c r="B3173" s="55" t="str">
        <f>HYPERLINK("https://jobright.ai/jobs/info/6673380ad2f0021127af3bb8?utm_campaign=1065&amp;utm_source=sheet", "Apply")</f>
        <v>Apply</v>
      </c>
      <c r="C3173" s="10" t="s">
        <v>15261</v>
      </c>
      <c r="D3173" s="56" t="s">
        <v>14380</v>
      </c>
      <c r="E3173" s="59">
        <v>45301.0</v>
      </c>
      <c r="F3173" s="10" t="s">
        <v>14381</v>
      </c>
      <c r="G3173" s="10" t="s">
        <v>12654</v>
      </c>
      <c r="H3173" s="10" t="s">
        <v>935</v>
      </c>
      <c r="I3173" s="10" t="s">
        <v>55</v>
      </c>
      <c r="K3173" s="10" t="s">
        <v>15262</v>
      </c>
      <c r="L3173" s="10" t="s">
        <v>42</v>
      </c>
    </row>
    <row r="3174" ht="15.75" customHeight="1">
      <c r="A3174" s="64">
        <v>45462.0</v>
      </c>
      <c r="B3174" s="55" t="str">
        <f>HYPERLINK("https://jobright.ai/jobs/info/6673380ad2f0021127af3bbc?utm_campaign=1065&amp;utm_source=sheet", "Apply")</f>
        <v>Apply</v>
      </c>
      <c r="C3174" s="10" t="s">
        <v>15261</v>
      </c>
      <c r="D3174" s="56" t="s">
        <v>14380</v>
      </c>
      <c r="E3174" s="59">
        <v>45301.0</v>
      </c>
      <c r="F3174" s="10" t="s">
        <v>14381</v>
      </c>
      <c r="G3174" s="10" t="s">
        <v>12654</v>
      </c>
      <c r="H3174" s="10" t="s">
        <v>871</v>
      </c>
      <c r="I3174" s="10" t="s">
        <v>55</v>
      </c>
      <c r="K3174" s="10" t="s">
        <v>15262</v>
      </c>
      <c r="L3174" s="10" t="s">
        <v>42</v>
      </c>
    </row>
    <row r="3175" ht="15.75" customHeight="1">
      <c r="A3175" s="64">
        <v>45462.0</v>
      </c>
      <c r="B3175" s="55" t="str">
        <f>HYPERLINK("https://jobright.ai/jobs/info/6673380ad2f0021127af3bb7?utm_campaign=1065&amp;utm_source=sheet", "Apply")</f>
        <v>Apply</v>
      </c>
      <c r="C3175" s="10" t="s">
        <v>15261</v>
      </c>
      <c r="D3175" s="56" t="s">
        <v>14380</v>
      </c>
      <c r="E3175" s="59">
        <v>45301.0</v>
      </c>
      <c r="F3175" s="10" t="s">
        <v>14381</v>
      </c>
      <c r="G3175" s="10" t="s">
        <v>12654</v>
      </c>
      <c r="H3175" s="10" t="s">
        <v>808</v>
      </c>
      <c r="I3175" s="10" t="s">
        <v>55</v>
      </c>
      <c r="K3175" s="10" t="s">
        <v>15262</v>
      </c>
      <c r="L3175" s="10" t="s">
        <v>42</v>
      </c>
    </row>
    <row r="3176" ht="15.75" customHeight="1">
      <c r="A3176" s="64">
        <v>45462.0</v>
      </c>
      <c r="B3176" s="55" t="str">
        <f>HYPERLINK("https://jobright.ai/jobs/info/6673380ad2f0021127af3bba?utm_campaign=1065&amp;utm_source=sheet", "Apply")</f>
        <v>Apply</v>
      </c>
      <c r="C3176" s="10" t="s">
        <v>15261</v>
      </c>
      <c r="D3176" s="56" t="s">
        <v>14380</v>
      </c>
      <c r="E3176" s="59">
        <v>45301.0</v>
      </c>
      <c r="F3176" s="10" t="s">
        <v>14381</v>
      </c>
      <c r="G3176" s="10" t="s">
        <v>12654</v>
      </c>
      <c r="H3176" s="10" t="s">
        <v>760</v>
      </c>
      <c r="I3176" s="10" t="s">
        <v>55</v>
      </c>
      <c r="K3176" s="10" t="s">
        <v>15262</v>
      </c>
      <c r="L3176" s="10" t="s">
        <v>42</v>
      </c>
    </row>
    <row r="3177" ht="15.75" customHeight="1">
      <c r="A3177" s="64">
        <v>45462.0</v>
      </c>
      <c r="B3177" s="55" t="str">
        <f>HYPERLINK("https://jobright.ai/jobs/info/6673380ad2f0021127af3bbb?utm_campaign=1065&amp;utm_source=sheet", "Apply")</f>
        <v>Apply</v>
      </c>
      <c r="C3177" s="10" t="s">
        <v>15261</v>
      </c>
      <c r="D3177" s="56" t="s">
        <v>14380</v>
      </c>
      <c r="E3177" s="59">
        <v>45301.0</v>
      </c>
      <c r="F3177" s="10" t="s">
        <v>14381</v>
      </c>
      <c r="G3177" s="10" t="s">
        <v>12654</v>
      </c>
      <c r="H3177" s="10" t="s">
        <v>757</v>
      </c>
      <c r="I3177" s="10" t="s">
        <v>55</v>
      </c>
      <c r="K3177" s="10" t="s">
        <v>15262</v>
      </c>
      <c r="L3177" s="10" t="s">
        <v>42</v>
      </c>
    </row>
    <row r="3178" ht="15.75" customHeight="1">
      <c r="A3178" s="64">
        <v>45462.0</v>
      </c>
      <c r="B3178" s="55" t="str">
        <f>HYPERLINK("https://jobright.ai/jobs/info/6673380ad2f0021127af3bc1?utm_campaign=1065&amp;utm_source=sheet", "Apply")</f>
        <v>Apply</v>
      </c>
      <c r="C3178" s="10" t="s">
        <v>15261</v>
      </c>
      <c r="D3178" s="56" t="s">
        <v>14380</v>
      </c>
      <c r="E3178" s="59">
        <v>45301.0</v>
      </c>
      <c r="F3178" s="10" t="s">
        <v>14381</v>
      </c>
      <c r="G3178" s="10" t="s">
        <v>12654</v>
      </c>
      <c r="H3178" s="10" t="s">
        <v>1028</v>
      </c>
      <c r="I3178" s="10" t="s">
        <v>55</v>
      </c>
      <c r="K3178" s="10" t="s">
        <v>15262</v>
      </c>
      <c r="L3178" s="10" t="s">
        <v>42</v>
      </c>
    </row>
    <row r="3179" ht="15.75" customHeight="1">
      <c r="A3179" s="64">
        <v>45462.0</v>
      </c>
      <c r="B3179" s="55" t="str">
        <f>HYPERLINK("https://jobright.ai/jobs/info/6673380ad2f0021127af3bc2?utm_campaign=1065&amp;utm_source=sheet", "Apply")</f>
        <v>Apply</v>
      </c>
      <c r="C3179" s="10" t="s">
        <v>15261</v>
      </c>
      <c r="D3179" s="56" t="s">
        <v>14380</v>
      </c>
      <c r="E3179" s="59">
        <v>45301.0</v>
      </c>
      <c r="F3179" s="10" t="s">
        <v>14381</v>
      </c>
      <c r="G3179" s="10" t="s">
        <v>12654</v>
      </c>
      <c r="H3179" s="10" t="s">
        <v>96</v>
      </c>
      <c r="I3179" s="10" t="s">
        <v>55</v>
      </c>
      <c r="K3179" s="10" t="s">
        <v>15262</v>
      </c>
      <c r="L3179" s="10" t="s">
        <v>42</v>
      </c>
    </row>
    <row r="3180" ht="15.75" customHeight="1">
      <c r="A3180" s="64">
        <v>45462.0</v>
      </c>
      <c r="B3180" s="55" t="str">
        <f>HYPERLINK("https://jobright.ai/jobs/info/6673380ad2f0021127af3bbe?utm_campaign=1065&amp;utm_source=sheet", "Apply")</f>
        <v>Apply</v>
      </c>
      <c r="C3180" s="10" t="s">
        <v>15261</v>
      </c>
      <c r="D3180" s="56" t="s">
        <v>14380</v>
      </c>
      <c r="E3180" s="59">
        <v>45301.0</v>
      </c>
      <c r="F3180" s="10" t="s">
        <v>14381</v>
      </c>
      <c r="G3180" s="10" t="s">
        <v>12654</v>
      </c>
      <c r="H3180" s="10" t="s">
        <v>765</v>
      </c>
      <c r="I3180" s="10" t="s">
        <v>55</v>
      </c>
      <c r="K3180" s="10" t="s">
        <v>15262</v>
      </c>
      <c r="L3180" s="10" t="s">
        <v>42</v>
      </c>
    </row>
    <row r="3181" ht="15.75" customHeight="1">
      <c r="A3181" s="64">
        <v>45462.0</v>
      </c>
      <c r="B3181" s="55" t="str">
        <f>HYPERLINK("https://jobright.ai/jobs/info/6673380ad2f0021127af3bc3?utm_campaign=1065&amp;utm_source=sheet", "Apply")</f>
        <v>Apply</v>
      </c>
      <c r="C3181" s="10" t="s">
        <v>15261</v>
      </c>
      <c r="D3181" s="56" t="s">
        <v>14380</v>
      </c>
      <c r="E3181" s="59">
        <v>45301.0</v>
      </c>
      <c r="F3181" s="10" t="s">
        <v>14381</v>
      </c>
      <c r="G3181" s="10" t="s">
        <v>12654</v>
      </c>
      <c r="H3181" s="10" t="s">
        <v>900</v>
      </c>
      <c r="I3181" s="10" t="s">
        <v>55</v>
      </c>
      <c r="K3181" s="10" t="s">
        <v>15262</v>
      </c>
      <c r="L3181" s="10" t="s">
        <v>42</v>
      </c>
    </row>
    <row r="3182" ht="15.75" customHeight="1">
      <c r="A3182" s="64">
        <v>45462.0</v>
      </c>
      <c r="B3182" s="55" t="str">
        <f>HYPERLINK("https://jobright.ai/jobs/info/6673380ad2f0021127af3bbd?utm_campaign=1065&amp;utm_source=sheet", "Apply")</f>
        <v>Apply</v>
      </c>
      <c r="C3182" s="10" t="s">
        <v>15261</v>
      </c>
      <c r="D3182" s="56" t="s">
        <v>14380</v>
      </c>
      <c r="E3182" s="59">
        <v>45301.0</v>
      </c>
      <c r="F3182" s="10" t="s">
        <v>14381</v>
      </c>
      <c r="G3182" s="10" t="s">
        <v>12654</v>
      </c>
      <c r="H3182" s="10" t="s">
        <v>998</v>
      </c>
      <c r="I3182" s="10" t="s">
        <v>55</v>
      </c>
      <c r="K3182" s="10" t="s">
        <v>15262</v>
      </c>
      <c r="L3182" s="10" t="s">
        <v>42</v>
      </c>
    </row>
    <row r="3183" ht="15.75" customHeight="1">
      <c r="A3183" s="64">
        <v>45462.0</v>
      </c>
      <c r="B3183" s="55" t="str">
        <f>HYPERLINK("https://jobright.ai/jobs/info/6673380ad2f0021127af3bc0?utm_campaign=1065&amp;utm_source=sheet", "Apply")</f>
        <v>Apply</v>
      </c>
      <c r="C3183" s="10" t="s">
        <v>15261</v>
      </c>
      <c r="D3183" s="56" t="s">
        <v>14380</v>
      </c>
      <c r="E3183" s="59">
        <v>45301.0</v>
      </c>
      <c r="F3183" s="10" t="s">
        <v>14381</v>
      </c>
      <c r="G3183" s="10" t="s">
        <v>12654</v>
      </c>
      <c r="H3183" s="10" t="s">
        <v>828</v>
      </c>
      <c r="I3183" s="10" t="s">
        <v>55</v>
      </c>
      <c r="K3183" s="10" t="s">
        <v>15262</v>
      </c>
      <c r="L3183" s="10" t="s">
        <v>42</v>
      </c>
    </row>
    <row r="3184" ht="15.75" customHeight="1">
      <c r="A3184" s="64">
        <v>45462.0</v>
      </c>
      <c r="B3184" s="55" t="str">
        <f>HYPERLINK("https://jobright.ai/jobs/info/6673380ad2f0021127af3bbf?utm_campaign=1065&amp;utm_source=sheet", "Apply")</f>
        <v>Apply</v>
      </c>
      <c r="C3184" s="10" t="s">
        <v>15261</v>
      </c>
      <c r="D3184" s="56" t="s">
        <v>14380</v>
      </c>
      <c r="E3184" s="59">
        <v>45301.0</v>
      </c>
      <c r="F3184" s="10" t="s">
        <v>14381</v>
      </c>
      <c r="G3184" s="10" t="s">
        <v>12654</v>
      </c>
      <c r="H3184" s="10" t="s">
        <v>948</v>
      </c>
      <c r="I3184" s="10" t="s">
        <v>55</v>
      </c>
      <c r="K3184" s="10" t="s">
        <v>15262</v>
      </c>
      <c r="L3184" s="10" t="s">
        <v>42</v>
      </c>
    </row>
    <row r="3185" ht="15.75" customHeight="1">
      <c r="A3185" s="64">
        <v>45462.0</v>
      </c>
      <c r="B3185" s="55" t="str">
        <f>HYPERLINK("https://jobright.ai/jobs/info/6673380ad2f0021127af3bc4?utm_campaign=1065&amp;utm_source=sheet", "Apply")</f>
        <v>Apply</v>
      </c>
      <c r="C3185" s="10" t="s">
        <v>15261</v>
      </c>
      <c r="D3185" s="56" t="s">
        <v>14380</v>
      </c>
      <c r="E3185" s="59">
        <v>45301.0</v>
      </c>
      <c r="F3185" s="10" t="s">
        <v>14381</v>
      </c>
      <c r="G3185" s="10" t="s">
        <v>12654</v>
      </c>
      <c r="H3185" s="10" t="s">
        <v>844</v>
      </c>
      <c r="I3185" s="10" t="s">
        <v>55</v>
      </c>
      <c r="K3185" s="10" t="s">
        <v>15262</v>
      </c>
      <c r="L3185" s="10" t="s">
        <v>42</v>
      </c>
    </row>
    <row r="3186" ht="15.75" customHeight="1">
      <c r="A3186" s="64">
        <v>45462.0</v>
      </c>
      <c r="B3186" s="55" t="str">
        <f>HYPERLINK("https://jobright.ai/jobs/info/66737e9c1bd2435aab8ca55e?utm_campaign=1065&amp;utm_source=sheet", "Apply")</f>
        <v>Apply</v>
      </c>
      <c r="C3186" s="10" t="s">
        <v>15261</v>
      </c>
      <c r="D3186" s="56" t="s">
        <v>14380</v>
      </c>
      <c r="E3186" s="59">
        <v>45301.0</v>
      </c>
      <c r="F3186" s="10" t="s">
        <v>14381</v>
      </c>
      <c r="G3186" s="10" t="s">
        <v>12654</v>
      </c>
      <c r="H3186" s="10" t="s">
        <v>856</v>
      </c>
      <c r="I3186" s="10" t="s">
        <v>55</v>
      </c>
      <c r="K3186" s="10" t="s">
        <v>15262</v>
      </c>
      <c r="L3186" s="10" t="s">
        <v>42</v>
      </c>
    </row>
    <row r="3187" ht="15.75" customHeight="1">
      <c r="A3187" s="64">
        <v>45462.0</v>
      </c>
      <c r="B3187" s="55" t="str">
        <f>HYPERLINK("https://jobright.ai/jobs/info/66737e9c1bd2435aab8ca55f?utm_campaign=1065&amp;utm_source=sheet", "Apply")</f>
        <v>Apply</v>
      </c>
      <c r="C3187" s="10" t="s">
        <v>15261</v>
      </c>
      <c r="D3187" s="56" t="s">
        <v>14380</v>
      </c>
      <c r="E3187" s="59">
        <v>45301.0</v>
      </c>
      <c r="F3187" s="10" t="s">
        <v>14381</v>
      </c>
      <c r="G3187" s="10" t="s">
        <v>12654</v>
      </c>
      <c r="H3187" s="10" t="s">
        <v>940</v>
      </c>
      <c r="I3187" s="10" t="s">
        <v>55</v>
      </c>
      <c r="K3187" s="10" t="s">
        <v>15262</v>
      </c>
      <c r="L3187" s="10" t="s">
        <v>42</v>
      </c>
    </row>
    <row r="3188" ht="15.75" customHeight="1">
      <c r="A3188" s="64">
        <v>45462.0</v>
      </c>
      <c r="B3188" s="55" t="str">
        <f>HYPERLINK("https://jobright.ai/jobs/info/667342f78b6a006c823cf58b?utm_campaign=1065&amp;utm_source=sheet", "Apply")</f>
        <v>Apply</v>
      </c>
      <c r="C3188" s="10" t="s">
        <v>15263</v>
      </c>
      <c r="D3188" s="56" t="s">
        <v>8194</v>
      </c>
      <c r="E3188" s="10" t="s">
        <v>79</v>
      </c>
      <c r="F3188" s="10" t="s">
        <v>404</v>
      </c>
      <c r="G3188" s="10" t="s">
        <v>12635</v>
      </c>
      <c r="H3188" s="10" t="s">
        <v>96</v>
      </c>
      <c r="I3188" s="10" t="s">
        <v>55</v>
      </c>
      <c r="K3188" s="10" t="s">
        <v>15264</v>
      </c>
      <c r="L3188" s="10" t="s">
        <v>42</v>
      </c>
    </row>
    <row r="3189" ht="15.75" customHeight="1">
      <c r="A3189" s="64">
        <v>45462.0</v>
      </c>
      <c r="B3189" s="55" t="str">
        <f>HYPERLINK("https://jobright.ai/jobs/info/66745e146d0c13fd67e48f23?utm_campaign=1065&amp;utm_source=sheet", "Apply")</f>
        <v>Apply</v>
      </c>
      <c r="C3189" s="10" t="s">
        <v>15265</v>
      </c>
      <c r="D3189" s="56" t="s">
        <v>15217</v>
      </c>
      <c r="E3189" s="10" t="s">
        <v>137</v>
      </c>
      <c r="F3189" s="10" t="s">
        <v>277</v>
      </c>
      <c r="G3189" s="10" t="s">
        <v>12630</v>
      </c>
      <c r="H3189" s="10" t="s">
        <v>802</v>
      </c>
      <c r="I3189" s="10" t="s">
        <v>55</v>
      </c>
      <c r="K3189" s="10" t="s">
        <v>15218</v>
      </c>
      <c r="L3189" s="10" t="s">
        <v>42</v>
      </c>
    </row>
    <row r="3190" ht="15.75" customHeight="1">
      <c r="A3190" s="64">
        <v>45462.0</v>
      </c>
      <c r="B3190" s="55" t="str">
        <f>HYPERLINK("https://jobright.ai/jobs/info/66732eb4a5eb8f08e4074307?utm_campaign=1065&amp;utm_source=sheet", "Apply")</f>
        <v>Apply</v>
      </c>
      <c r="C3190" s="10" t="s">
        <v>15266</v>
      </c>
      <c r="D3190" s="56" t="s">
        <v>15267</v>
      </c>
      <c r="E3190" s="10" t="s">
        <v>45</v>
      </c>
      <c r="F3190" s="10" t="s">
        <v>15268</v>
      </c>
      <c r="G3190" s="10" t="s">
        <v>12635</v>
      </c>
      <c r="H3190" s="10" t="s">
        <v>13196</v>
      </c>
      <c r="I3190" s="10" t="s">
        <v>55</v>
      </c>
      <c r="K3190" s="10" t="s">
        <v>15269</v>
      </c>
      <c r="L3190" s="10" t="s">
        <v>42</v>
      </c>
    </row>
    <row r="3191" ht="15.75" customHeight="1">
      <c r="A3191" s="64">
        <v>45462.0</v>
      </c>
      <c r="B3191" s="55" t="str">
        <f>HYPERLINK("https://jobright.ai/jobs/info/667440f7bd65a761bf0197ad?utm_campaign=1065&amp;utm_source=sheet", "Apply")</f>
        <v>Apply</v>
      </c>
      <c r="C3191" s="10" t="s">
        <v>15270</v>
      </c>
      <c r="D3191" s="56" t="s">
        <v>15217</v>
      </c>
      <c r="E3191" s="10" t="s">
        <v>137</v>
      </c>
      <c r="F3191" s="10" t="s">
        <v>277</v>
      </c>
      <c r="G3191" s="10" t="s">
        <v>12645</v>
      </c>
      <c r="H3191" s="10" t="s">
        <v>802</v>
      </c>
      <c r="I3191" s="10" t="s">
        <v>55</v>
      </c>
      <c r="K3191" s="10" t="s">
        <v>15271</v>
      </c>
      <c r="L3191" s="10" t="s">
        <v>42</v>
      </c>
    </row>
    <row r="3192" ht="15.75" customHeight="1">
      <c r="A3192" s="64">
        <v>45462.0</v>
      </c>
      <c r="B3192" s="55" t="str">
        <f>HYPERLINK("https://jobright.ai/jobs/info/6677ae07dc7be138508a36dc?utm_campaign=1065&amp;utm_source=sheet", "Apply")</f>
        <v>Apply</v>
      </c>
      <c r="C3192" s="10" t="s">
        <v>15272</v>
      </c>
      <c r="D3192" s="56" t="s">
        <v>12359</v>
      </c>
      <c r="E3192" s="10" t="s">
        <v>209</v>
      </c>
      <c r="F3192" s="10" t="s">
        <v>1084</v>
      </c>
      <c r="G3192" s="10" t="s">
        <v>12645</v>
      </c>
      <c r="H3192" s="10" t="s">
        <v>139</v>
      </c>
      <c r="I3192" s="10" t="s">
        <v>55</v>
      </c>
      <c r="J3192" s="10" t="s">
        <v>15273</v>
      </c>
      <c r="K3192" s="10" t="s">
        <v>15274</v>
      </c>
      <c r="L3192" s="10" t="s">
        <v>42</v>
      </c>
    </row>
    <row r="3193" ht="15.75" customHeight="1">
      <c r="A3193" s="64">
        <v>45462.0</v>
      </c>
      <c r="B3193" s="55" t="str">
        <f>HYPERLINK("https://jobright.ai/jobs/info/6677b1f2d57a2b58a480c20d?utm_campaign=1065&amp;utm_source=sheet", "Apply")</f>
        <v>Apply</v>
      </c>
      <c r="C3193" s="10" t="s">
        <v>15275</v>
      </c>
      <c r="D3193" s="56" t="s">
        <v>10244</v>
      </c>
      <c r="E3193" s="10" t="s">
        <v>45</v>
      </c>
      <c r="G3193" s="10" t="s">
        <v>12654</v>
      </c>
      <c r="H3193" s="10" t="s">
        <v>73</v>
      </c>
      <c r="I3193" s="10" t="s">
        <v>55</v>
      </c>
      <c r="J3193" s="10" t="s">
        <v>1409</v>
      </c>
      <c r="K3193" s="10" t="s">
        <v>12746</v>
      </c>
      <c r="L3193" s="10" t="s">
        <v>42</v>
      </c>
    </row>
    <row r="3194" ht="15.75" customHeight="1">
      <c r="A3194" s="64">
        <v>45462.0</v>
      </c>
      <c r="B3194" s="55" t="str">
        <f>HYPERLINK("https://jobright.ai/jobs/info/667ab8bc1217fcb1c5a1b1d1?utm_campaign=1065&amp;utm_source=sheet", "Apply")</f>
        <v>Apply</v>
      </c>
      <c r="C3194" s="10" t="s">
        <v>15276</v>
      </c>
      <c r="D3194" s="56" t="s">
        <v>15217</v>
      </c>
      <c r="E3194" s="10" t="s">
        <v>137</v>
      </c>
      <c r="F3194" s="10" t="s">
        <v>277</v>
      </c>
      <c r="G3194" s="10" t="s">
        <v>12645</v>
      </c>
      <c r="H3194" s="10" t="s">
        <v>802</v>
      </c>
      <c r="I3194" s="10" t="s">
        <v>55</v>
      </c>
      <c r="K3194" s="10" t="s">
        <v>15218</v>
      </c>
      <c r="L3194" s="10" t="s">
        <v>42</v>
      </c>
    </row>
    <row r="3195" ht="15.75" customHeight="1">
      <c r="A3195" s="64">
        <v>45462.0</v>
      </c>
      <c r="B3195" s="55" t="str">
        <f>HYPERLINK("https://jobright.ai/jobs/info/6676c20dc9dc0237d722b249?utm_campaign=1065&amp;utm_source=sheet", "Apply")</f>
        <v>Apply</v>
      </c>
      <c r="C3195" s="10" t="s">
        <v>15277</v>
      </c>
      <c r="D3195" s="56" t="s">
        <v>15278</v>
      </c>
      <c r="E3195" s="10" t="s">
        <v>79</v>
      </c>
      <c r="F3195" s="10" t="s">
        <v>722</v>
      </c>
      <c r="G3195" s="10" t="s">
        <v>12635</v>
      </c>
      <c r="H3195" s="10" t="s">
        <v>775</v>
      </c>
      <c r="I3195" s="10" t="s">
        <v>55</v>
      </c>
      <c r="K3195" s="10" t="s">
        <v>15279</v>
      </c>
      <c r="L3195" s="10" t="s">
        <v>42</v>
      </c>
    </row>
    <row r="3196" ht="15.75" customHeight="1">
      <c r="A3196" s="64">
        <v>45462.0</v>
      </c>
      <c r="B3196" s="55" t="str">
        <f>HYPERLINK("https://jobright.ai/jobs/info/6675622f42bae55a95828a3c?utm_campaign=1065&amp;utm_source=sheet", "Apply")</f>
        <v>Apply</v>
      </c>
      <c r="C3196" s="10" t="s">
        <v>15272</v>
      </c>
      <c r="D3196" s="56" t="s">
        <v>15280</v>
      </c>
      <c r="E3196" s="10" t="s">
        <v>45</v>
      </c>
      <c r="F3196" s="10" t="s">
        <v>15281</v>
      </c>
      <c r="G3196" s="10" t="s">
        <v>12630</v>
      </c>
      <c r="H3196" s="10" t="s">
        <v>139</v>
      </c>
      <c r="I3196" s="10" t="s">
        <v>55</v>
      </c>
      <c r="J3196" s="10" t="s">
        <v>15273</v>
      </c>
      <c r="K3196" s="10" t="s">
        <v>15274</v>
      </c>
      <c r="L3196" s="10" t="s">
        <v>42</v>
      </c>
    </row>
    <row r="3197" ht="15.75" customHeight="1">
      <c r="A3197" s="64">
        <v>45462.0</v>
      </c>
      <c r="B3197" s="55" t="str">
        <f>HYPERLINK("https://jobright.ai/jobs/info/66733786d2f0021127af35fd?utm_campaign=1065&amp;utm_source=sheet", "Apply")</f>
        <v>Apply</v>
      </c>
      <c r="C3197" s="10" t="s">
        <v>15282</v>
      </c>
      <c r="D3197" s="56" t="s">
        <v>15217</v>
      </c>
      <c r="E3197" s="10" t="s">
        <v>137</v>
      </c>
      <c r="F3197" s="10" t="s">
        <v>277</v>
      </c>
      <c r="G3197" s="10" t="s">
        <v>12630</v>
      </c>
      <c r="H3197" s="10" t="s">
        <v>802</v>
      </c>
      <c r="I3197" s="10" t="s">
        <v>55</v>
      </c>
      <c r="K3197" s="10" t="s">
        <v>15218</v>
      </c>
      <c r="L3197" s="10" t="s">
        <v>42</v>
      </c>
    </row>
    <row r="3198" ht="15.75" customHeight="1">
      <c r="A3198" s="64">
        <v>45462.0</v>
      </c>
      <c r="B3198" s="55" t="str">
        <f>HYPERLINK("https://jobright.ai/jobs/info/66733798d2f0021127af3627?utm_campaign=1065&amp;utm_source=sheet", "Apply")</f>
        <v>Apply</v>
      </c>
      <c r="C3198" s="10" t="s">
        <v>15283</v>
      </c>
      <c r="D3198" s="56" t="s">
        <v>15217</v>
      </c>
      <c r="E3198" s="10" t="s">
        <v>137</v>
      </c>
      <c r="F3198" s="10" t="s">
        <v>277</v>
      </c>
      <c r="G3198" s="10" t="s">
        <v>12630</v>
      </c>
      <c r="H3198" s="10" t="s">
        <v>802</v>
      </c>
      <c r="I3198" s="10" t="s">
        <v>55</v>
      </c>
      <c r="K3198" s="10" t="s">
        <v>15218</v>
      </c>
      <c r="L3198" s="10" t="s">
        <v>42</v>
      </c>
    </row>
    <row r="3199" ht="15.75" customHeight="1">
      <c r="A3199" s="64">
        <v>45462.0</v>
      </c>
      <c r="B3199" s="55" t="str">
        <f>HYPERLINK("https://jobright.ai/jobs/info/66733786d2f0021127af35ef?utm_campaign=1065&amp;utm_source=sheet", "Apply")</f>
        <v>Apply</v>
      </c>
      <c r="C3199" s="10" t="s">
        <v>15284</v>
      </c>
      <c r="D3199" s="56" t="s">
        <v>15217</v>
      </c>
      <c r="E3199" s="10" t="s">
        <v>137</v>
      </c>
      <c r="F3199" s="10" t="s">
        <v>277</v>
      </c>
      <c r="G3199" s="10" t="s">
        <v>12645</v>
      </c>
      <c r="H3199" s="10" t="s">
        <v>802</v>
      </c>
      <c r="I3199" s="10" t="s">
        <v>55</v>
      </c>
      <c r="K3199" s="10" t="s">
        <v>15218</v>
      </c>
      <c r="L3199" s="10" t="s">
        <v>42</v>
      </c>
    </row>
    <row r="3200" ht="15.75" customHeight="1">
      <c r="A3200" s="64">
        <v>45462.0</v>
      </c>
      <c r="B3200" s="55" t="str">
        <f>HYPERLINK("https://jobright.ai/jobs/info/667badb8de84c4fbd4a28f4c?utm_campaign=1065&amp;utm_source=sheet", "Apply")</f>
        <v>Apply</v>
      </c>
      <c r="C3200" s="10" t="s">
        <v>15285</v>
      </c>
      <c r="D3200" s="56" t="s">
        <v>2986</v>
      </c>
      <c r="E3200" s="10" t="s">
        <v>45</v>
      </c>
      <c r="F3200" s="10" t="s">
        <v>2987</v>
      </c>
      <c r="G3200" s="10" t="s">
        <v>12654</v>
      </c>
      <c r="H3200" s="10" t="s">
        <v>442</v>
      </c>
      <c r="I3200" s="10" t="s">
        <v>55</v>
      </c>
      <c r="J3200" s="10" t="s">
        <v>3979</v>
      </c>
      <c r="K3200" s="10" t="s">
        <v>15286</v>
      </c>
      <c r="L3200" s="10" t="s">
        <v>42</v>
      </c>
    </row>
    <row r="3201" ht="15.75" customHeight="1">
      <c r="A3201" s="64">
        <v>45461.0</v>
      </c>
      <c r="B3201" s="55" t="str">
        <f>HYPERLINK("https://jobright.ai/jobs/info/667208698b25e1143284a591?utm_campaign=1065&amp;utm_source=sheet", "Apply")</f>
        <v>Apply</v>
      </c>
      <c r="C3201" s="10" t="s">
        <v>15287</v>
      </c>
      <c r="D3201" s="56" t="s">
        <v>14667</v>
      </c>
      <c r="E3201" s="10" t="s">
        <v>65</v>
      </c>
      <c r="F3201" s="10" t="s">
        <v>14668</v>
      </c>
      <c r="G3201" s="10" t="s">
        <v>12630</v>
      </c>
      <c r="H3201" s="10" t="s">
        <v>96</v>
      </c>
      <c r="I3201" s="10" t="s">
        <v>48</v>
      </c>
      <c r="J3201" s="10" t="s">
        <v>1960</v>
      </c>
      <c r="K3201" s="10" t="s">
        <v>15288</v>
      </c>
      <c r="L3201" s="10" t="s">
        <v>42</v>
      </c>
    </row>
    <row r="3202" ht="15.75" customHeight="1">
      <c r="A3202" s="64">
        <v>45461.0</v>
      </c>
      <c r="B3202" s="55" t="str">
        <f>HYPERLINK("https://jobright.ai/jobs/info/6677b25ed57a2b58a480c8cd?utm_campaign=1065&amp;utm_source=sheet", "Apply")</f>
        <v>Apply</v>
      </c>
      <c r="C3202" s="10" t="s">
        <v>15289</v>
      </c>
      <c r="D3202" s="56" t="s">
        <v>10244</v>
      </c>
      <c r="E3202" s="10" t="s">
        <v>45</v>
      </c>
      <c r="G3202" s="10" t="s">
        <v>12654</v>
      </c>
      <c r="H3202" s="10" t="s">
        <v>15290</v>
      </c>
      <c r="I3202" s="10" t="s">
        <v>55</v>
      </c>
      <c r="J3202" s="10" t="s">
        <v>1409</v>
      </c>
      <c r="K3202" s="10" t="s">
        <v>12746</v>
      </c>
      <c r="L3202" s="10" t="s">
        <v>42</v>
      </c>
    </row>
    <row r="3203" ht="15.75" customHeight="1">
      <c r="A3203" s="64">
        <v>45461.0</v>
      </c>
      <c r="B3203" s="55" t="str">
        <f>HYPERLINK("https://jobright.ai/jobs/info/666b7a9366a6b9b65997bc38?utm_campaign=1065&amp;utm_source=sheet", "Apply")</f>
        <v>Apply</v>
      </c>
      <c r="C3203" s="10" t="s">
        <v>15291</v>
      </c>
      <c r="D3203" s="56" t="s">
        <v>15292</v>
      </c>
      <c r="E3203" s="10" t="s">
        <v>65</v>
      </c>
      <c r="F3203" s="10" t="s">
        <v>1234</v>
      </c>
      <c r="G3203" s="10" t="s">
        <v>12654</v>
      </c>
      <c r="H3203" s="10" t="s">
        <v>13279</v>
      </c>
      <c r="I3203" s="10" t="s">
        <v>55</v>
      </c>
      <c r="K3203" s="10" t="s">
        <v>15293</v>
      </c>
      <c r="L3203" s="10" t="s">
        <v>42</v>
      </c>
    </row>
    <row r="3204" ht="15.75" customHeight="1">
      <c r="A3204" s="64">
        <v>45461.0</v>
      </c>
      <c r="B3204" s="55" t="str">
        <f>HYPERLINK("https://jobright.ai/jobs/info/6674245b9634b665d7e50695?utm_campaign=1065&amp;utm_source=sheet", "Apply")</f>
        <v>Apply</v>
      </c>
      <c r="C3204" s="10" t="s">
        <v>15294</v>
      </c>
      <c r="D3204" s="56" t="s">
        <v>15295</v>
      </c>
      <c r="E3204" s="10" t="s">
        <v>45</v>
      </c>
      <c r="F3204" s="10" t="s">
        <v>15296</v>
      </c>
      <c r="G3204" s="10" t="s">
        <v>12635</v>
      </c>
      <c r="H3204" s="10" t="s">
        <v>2078</v>
      </c>
      <c r="I3204" s="10" t="s">
        <v>55</v>
      </c>
      <c r="J3204" s="10" t="s">
        <v>15297</v>
      </c>
      <c r="K3204" s="10" t="s">
        <v>15298</v>
      </c>
      <c r="L3204" s="10" t="s">
        <v>42</v>
      </c>
    </row>
    <row r="3205" ht="15.75" customHeight="1">
      <c r="A3205" s="64">
        <v>45461.0</v>
      </c>
      <c r="B3205" s="55" t="str">
        <f>HYPERLINK("https://jobright.ai/jobs/info/6679695fd86d626ab8b787c1?utm_campaign=1065&amp;utm_source=sheet", "Apply")</f>
        <v>Apply</v>
      </c>
      <c r="C3205" s="10" t="s">
        <v>15299</v>
      </c>
      <c r="D3205" s="56" t="s">
        <v>13913</v>
      </c>
      <c r="E3205" s="10" t="s">
        <v>45</v>
      </c>
      <c r="F3205" s="10" t="s">
        <v>13842</v>
      </c>
      <c r="G3205" s="10" t="s">
        <v>12635</v>
      </c>
      <c r="H3205" s="10" t="s">
        <v>15300</v>
      </c>
      <c r="I3205" s="10" t="s">
        <v>55</v>
      </c>
      <c r="J3205" s="10" t="s">
        <v>1960</v>
      </c>
      <c r="K3205" s="10" t="s">
        <v>15301</v>
      </c>
      <c r="L3205" s="10" t="s">
        <v>42</v>
      </c>
    </row>
    <row r="3206" ht="15.75" customHeight="1">
      <c r="A3206" s="64">
        <v>45461.0</v>
      </c>
      <c r="B3206" s="55" t="str">
        <f>HYPERLINK("https://jobright.ai/jobs/info/6670ec1e49a298a17f482ec9?utm_campaign=1065&amp;utm_source=sheet", "Apply")</f>
        <v>Apply</v>
      </c>
      <c r="C3206" s="10" t="s">
        <v>12650</v>
      </c>
      <c r="D3206" s="56" t="s">
        <v>15302</v>
      </c>
      <c r="E3206" s="10" t="s">
        <v>71</v>
      </c>
      <c r="F3206" s="10" t="s">
        <v>15281</v>
      </c>
      <c r="G3206" s="10" t="s">
        <v>12635</v>
      </c>
      <c r="H3206" s="10" t="s">
        <v>15303</v>
      </c>
      <c r="I3206" s="10" t="s">
        <v>55</v>
      </c>
      <c r="K3206" s="10" t="s">
        <v>15304</v>
      </c>
      <c r="L3206" s="10" t="s">
        <v>42</v>
      </c>
    </row>
    <row r="3207" ht="15.75" customHeight="1">
      <c r="A3207" s="64">
        <v>45461.0</v>
      </c>
      <c r="B3207" s="55" t="str">
        <f>HYPERLINK("https://jobright.ai/jobs/info/667208e88b25e1143284aa8a?utm_campaign=1065&amp;utm_source=sheet", "Apply")</f>
        <v>Apply</v>
      </c>
      <c r="C3207" s="10" t="s">
        <v>15305</v>
      </c>
      <c r="D3207" s="56" t="s">
        <v>15306</v>
      </c>
      <c r="E3207" s="10" t="s">
        <v>276</v>
      </c>
      <c r="F3207" s="10" t="s">
        <v>14155</v>
      </c>
      <c r="G3207" s="10" t="s">
        <v>12654</v>
      </c>
      <c r="H3207" s="10" t="s">
        <v>15307</v>
      </c>
      <c r="I3207" s="10" t="s">
        <v>55</v>
      </c>
      <c r="K3207" s="10" t="s">
        <v>15308</v>
      </c>
      <c r="L3207" s="10" t="s">
        <v>42</v>
      </c>
    </row>
    <row r="3208" ht="15.75" customHeight="1">
      <c r="A3208" s="64">
        <v>45460.0</v>
      </c>
      <c r="B3208" s="55" t="str">
        <f>HYPERLINK("https://jobright.ai/jobs/info/6670aee6c54720eff270588b?utm_campaign=1065&amp;utm_source=sheet", "Apply")</f>
        <v>Apply</v>
      </c>
      <c r="C3208" s="10" t="s">
        <v>15309</v>
      </c>
      <c r="D3208" s="56" t="s">
        <v>13512</v>
      </c>
      <c r="E3208" s="10" t="s">
        <v>137</v>
      </c>
      <c r="F3208" s="10" t="s">
        <v>13513</v>
      </c>
      <c r="G3208" s="10" t="s">
        <v>12654</v>
      </c>
      <c r="H3208" s="10" t="s">
        <v>434</v>
      </c>
      <c r="I3208" s="10" t="s">
        <v>55</v>
      </c>
      <c r="K3208" s="10" t="s">
        <v>15310</v>
      </c>
      <c r="L3208" s="10" t="s">
        <v>42</v>
      </c>
    </row>
    <row r="3209" ht="15.75" customHeight="1">
      <c r="A3209" s="64">
        <v>45460.0</v>
      </c>
      <c r="B3209" s="55" t="str">
        <f>HYPERLINK("https://jobright.ai/jobs/info/667191c941fc2f1363fdf900?utm_campaign=1065&amp;utm_source=sheet", "Apply")</f>
        <v>Apply</v>
      </c>
      <c r="C3209" s="10" t="s">
        <v>15311</v>
      </c>
      <c r="D3209" s="56" t="s">
        <v>3123</v>
      </c>
      <c r="E3209" s="10" t="s">
        <v>249</v>
      </c>
      <c r="F3209" s="10" t="s">
        <v>3124</v>
      </c>
      <c r="G3209" s="10" t="s">
        <v>12654</v>
      </c>
      <c r="H3209" s="10" t="s">
        <v>917</v>
      </c>
      <c r="I3209" s="10" t="s">
        <v>55</v>
      </c>
      <c r="J3209" s="10" t="s">
        <v>15312</v>
      </c>
      <c r="K3209" s="10" t="s">
        <v>15313</v>
      </c>
      <c r="L3209" s="10" t="s">
        <v>42</v>
      </c>
    </row>
    <row r="3210" ht="15.75" customHeight="1">
      <c r="A3210" s="64">
        <v>45460.0</v>
      </c>
      <c r="B3210" s="55" t="str">
        <f>HYPERLINK("https://jobright.ai/jobs/info/66707f00eddf1894110fd5ea?utm_campaign=1065&amp;utm_source=sheet", "Apply")</f>
        <v>Apply</v>
      </c>
      <c r="C3210" s="10" t="s">
        <v>15314</v>
      </c>
      <c r="D3210" s="56" t="s">
        <v>15315</v>
      </c>
      <c r="E3210" s="10" t="s">
        <v>45</v>
      </c>
      <c r="F3210" s="10" t="s">
        <v>15316</v>
      </c>
      <c r="G3210" s="10" t="s">
        <v>12654</v>
      </c>
      <c r="H3210" s="10" t="s">
        <v>15317</v>
      </c>
      <c r="I3210" s="10" t="s">
        <v>48</v>
      </c>
      <c r="K3210" s="10" t="s">
        <v>15318</v>
      </c>
      <c r="L3210" s="10" t="s">
        <v>42</v>
      </c>
    </row>
    <row r="3211" ht="15.75" customHeight="1">
      <c r="A3211" s="64">
        <v>45460.0</v>
      </c>
      <c r="B3211" s="55" t="str">
        <f>HYPERLINK("https://jobright.ai/jobs/info/667063d6728bc382a3bbed05?utm_campaign=1065&amp;utm_source=sheet", "Apply")</f>
        <v>Apply</v>
      </c>
      <c r="C3211" s="10" t="s">
        <v>15319</v>
      </c>
      <c r="D3211" s="56" t="s">
        <v>15320</v>
      </c>
      <c r="E3211" s="10" t="s">
        <v>137</v>
      </c>
      <c r="F3211" s="10" t="s">
        <v>15321</v>
      </c>
      <c r="G3211" s="10" t="s">
        <v>12630</v>
      </c>
      <c r="H3211" s="10" t="s">
        <v>251</v>
      </c>
      <c r="I3211" s="10" t="s">
        <v>252</v>
      </c>
      <c r="K3211" s="10" t="s">
        <v>15322</v>
      </c>
      <c r="L3211" s="10" t="s">
        <v>42</v>
      </c>
    </row>
    <row r="3212" ht="15.75" customHeight="1">
      <c r="A3212" s="64">
        <v>45460.0</v>
      </c>
      <c r="B3212" s="55" t="str">
        <f>HYPERLINK("https://jobright.ai/jobs/info/66707f52eddf1894110fd8f4?utm_campaign=1065&amp;utm_source=sheet", "Apply")</f>
        <v>Apply</v>
      </c>
      <c r="C3212" s="10" t="s">
        <v>15323</v>
      </c>
      <c r="D3212" s="56" t="s">
        <v>15324</v>
      </c>
      <c r="E3212" s="10" t="s">
        <v>137</v>
      </c>
      <c r="F3212" s="10" t="s">
        <v>15325</v>
      </c>
      <c r="G3212" s="10" t="s">
        <v>12630</v>
      </c>
      <c r="H3212" s="10" t="s">
        <v>170</v>
      </c>
      <c r="I3212" s="10" t="s">
        <v>48</v>
      </c>
      <c r="K3212" s="10" t="s">
        <v>15326</v>
      </c>
      <c r="L3212" s="10" t="s">
        <v>42</v>
      </c>
    </row>
    <row r="3213" ht="15.75" customHeight="1">
      <c r="A3213" s="64">
        <v>45460.0</v>
      </c>
      <c r="B3213" s="55" t="str">
        <f>HYPERLINK("https://jobright.ai/jobs/info/6670caf630f6216c998d82bf?utm_campaign=1065&amp;utm_source=sheet", "Apply")</f>
        <v>Apply</v>
      </c>
      <c r="C3213" s="10" t="s">
        <v>15327</v>
      </c>
      <c r="D3213" s="56" t="s">
        <v>13913</v>
      </c>
      <c r="E3213" s="10" t="s">
        <v>45</v>
      </c>
      <c r="F3213" s="10" t="s">
        <v>13842</v>
      </c>
      <c r="G3213" s="10" t="s">
        <v>12635</v>
      </c>
      <c r="H3213" s="10" t="s">
        <v>15328</v>
      </c>
      <c r="I3213" s="10" t="s">
        <v>55</v>
      </c>
      <c r="J3213" s="10" t="s">
        <v>1984</v>
      </c>
      <c r="K3213" s="10" t="s">
        <v>15329</v>
      </c>
      <c r="L3213" s="10" t="s">
        <v>42</v>
      </c>
    </row>
    <row r="3214" ht="15.75" customHeight="1">
      <c r="A3214" s="64">
        <v>45460.0</v>
      </c>
      <c r="B3214" s="55" t="str">
        <f>HYPERLINK("https://jobright.ai/jobs/info/66708262caafd7fe2edf2231?utm_campaign=1065&amp;utm_source=sheet", "Apply")</f>
        <v>Apply</v>
      </c>
      <c r="C3214" s="10" t="s">
        <v>14811</v>
      </c>
      <c r="D3214" s="56" t="s">
        <v>11668</v>
      </c>
      <c r="G3214" s="10" t="s">
        <v>12693</v>
      </c>
      <c r="H3214" s="10" t="s">
        <v>11669</v>
      </c>
      <c r="I3214" s="10" t="s">
        <v>55</v>
      </c>
      <c r="K3214" s="10" t="s">
        <v>14814</v>
      </c>
      <c r="L3214" s="10" t="s">
        <v>42</v>
      </c>
    </row>
    <row r="3215" ht="15.75" customHeight="1">
      <c r="A3215" s="64">
        <v>45460.0</v>
      </c>
      <c r="B3215" s="55" t="str">
        <f>HYPERLINK("https://jobright.ai/jobs/info/6670865ed1680272e6907916?utm_campaign=1065&amp;utm_source=sheet", "Apply")</f>
        <v>Apply</v>
      </c>
      <c r="C3215" s="10" t="s">
        <v>15330</v>
      </c>
      <c r="D3215" s="56" t="s">
        <v>15331</v>
      </c>
      <c r="E3215" s="10" t="s">
        <v>65</v>
      </c>
      <c r="F3215" s="10" t="s">
        <v>1084</v>
      </c>
      <c r="G3215" s="10" t="s">
        <v>12654</v>
      </c>
      <c r="H3215" s="10" t="s">
        <v>854</v>
      </c>
      <c r="I3215" s="10" t="s">
        <v>55</v>
      </c>
      <c r="K3215" s="10" t="s">
        <v>15332</v>
      </c>
      <c r="L3215" s="10" t="s">
        <v>42</v>
      </c>
    </row>
    <row r="3216" ht="15.75" customHeight="1">
      <c r="A3216" s="64">
        <v>45460.0</v>
      </c>
      <c r="B3216" s="55" t="str">
        <f>HYPERLINK("https://jobright.ai/jobs/info/667b0fe78ea8c84af55b88da?utm_campaign=1065&amp;utm_source=sheet", "Apply")</f>
        <v>Apply</v>
      </c>
      <c r="C3216" s="10" t="s">
        <v>15186</v>
      </c>
      <c r="D3216" s="56" t="s">
        <v>14667</v>
      </c>
      <c r="E3216" s="10" t="s">
        <v>65</v>
      </c>
      <c r="F3216" s="10" t="s">
        <v>14668</v>
      </c>
      <c r="G3216" s="10" t="s">
        <v>12630</v>
      </c>
      <c r="H3216" s="10" t="s">
        <v>1155</v>
      </c>
      <c r="I3216" s="10" t="s">
        <v>48</v>
      </c>
      <c r="J3216" s="10" t="s">
        <v>1960</v>
      </c>
      <c r="K3216" s="10" t="s">
        <v>15333</v>
      </c>
      <c r="L3216" s="10" t="s">
        <v>42</v>
      </c>
    </row>
    <row r="3217" ht="15.75" customHeight="1">
      <c r="A3217" s="64">
        <v>45460.0</v>
      </c>
      <c r="B3217" s="55" t="str">
        <f>HYPERLINK("https://jobright.ai/jobs/info/6670865ed1680272e690790e?utm_campaign=1065&amp;utm_source=sheet", "Apply")</f>
        <v>Apply</v>
      </c>
      <c r="C3217" s="10" t="s">
        <v>14809</v>
      </c>
      <c r="D3217" s="56" t="s">
        <v>1883</v>
      </c>
      <c r="E3217" s="10" t="s">
        <v>209</v>
      </c>
      <c r="F3217" s="10" t="s">
        <v>1884</v>
      </c>
      <c r="G3217" s="10" t="s">
        <v>12654</v>
      </c>
      <c r="H3217" s="10" t="s">
        <v>1902</v>
      </c>
      <c r="I3217" s="10" t="s">
        <v>48</v>
      </c>
      <c r="J3217" s="10" t="s">
        <v>1984</v>
      </c>
      <c r="K3217" s="10" t="s">
        <v>14810</v>
      </c>
      <c r="L3217" s="10" t="s">
        <v>42</v>
      </c>
    </row>
    <row r="3218" ht="15.75" customHeight="1">
      <c r="A3218" s="64">
        <v>45460.0</v>
      </c>
      <c r="B3218" s="55" t="str">
        <f>HYPERLINK("https://jobright.ai/jobs/info/66727e178ce3decedf253e89?utm_campaign=1065&amp;utm_source=sheet", "Apply")</f>
        <v>Apply</v>
      </c>
      <c r="C3218" s="10" t="s">
        <v>15334</v>
      </c>
      <c r="D3218" s="56" t="s">
        <v>15335</v>
      </c>
      <c r="E3218" s="10" t="s">
        <v>249</v>
      </c>
      <c r="F3218" s="10" t="s">
        <v>15336</v>
      </c>
      <c r="G3218" s="10" t="s">
        <v>12630</v>
      </c>
      <c r="H3218" s="10" t="s">
        <v>15337</v>
      </c>
      <c r="I3218" s="10" t="s">
        <v>55</v>
      </c>
      <c r="K3218" s="10" t="s">
        <v>15338</v>
      </c>
      <c r="L3218" s="10" t="s">
        <v>42</v>
      </c>
    </row>
    <row r="3219" ht="15.75" customHeight="1">
      <c r="A3219" s="64">
        <v>45458.0</v>
      </c>
      <c r="B3219" s="55" t="str">
        <f>HYPERLINK("https://jobright.ai/jobs/info/6677bce527c0e726e8f4e13d?utm_campaign=1065&amp;utm_source=sheet", "Apply")</f>
        <v>Apply</v>
      </c>
      <c r="C3219" s="10" t="s">
        <v>15339</v>
      </c>
      <c r="D3219" s="56" t="s">
        <v>10244</v>
      </c>
      <c r="E3219" s="10" t="s">
        <v>45</v>
      </c>
      <c r="G3219" s="10" t="s">
        <v>12654</v>
      </c>
      <c r="H3219" s="10" t="s">
        <v>10949</v>
      </c>
      <c r="I3219" s="10" t="s">
        <v>55</v>
      </c>
      <c r="J3219" s="10" t="s">
        <v>1409</v>
      </c>
      <c r="K3219" s="10" t="s">
        <v>12746</v>
      </c>
      <c r="L3219" s="10" t="s">
        <v>42</v>
      </c>
    </row>
    <row r="3220" ht="15.75" customHeight="1">
      <c r="A3220" s="66">
        <v>45458.0</v>
      </c>
      <c r="B3220" s="55" t="str">
        <f>HYPERLINK("https://jobright.ai/jobs/info/6677bd0427c0e726e8f4e2e4?utm_campaign=1065&amp;utm_source=sheet", "Apply")</f>
        <v>Apply</v>
      </c>
      <c r="C3220" s="10" t="s">
        <v>15340</v>
      </c>
      <c r="D3220" s="56" t="s">
        <v>13845</v>
      </c>
      <c r="E3220" s="10" t="s">
        <v>276</v>
      </c>
      <c r="F3220" s="10" t="s">
        <v>339</v>
      </c>
      <c r="G3220" s="10" t="s">
        <v>12635</v>
      </c>
      <c r="H3220" s="10" t="s">
        <v>5337</v>
      </c>
      <c r="I3220" s="10" t="s">
        <v>55</v>
      </c>
      <c r="K3220" s="10" t="s">
        <v>15341</v>
      </c>
      <c r="L3220" s="10" t="s">
        <v>42</v>
      </c>
    </row>
    <row r="3221" ht="15.75" customHeight="1">
      <c r="A3221" s="66">
        <v>45458.0</v>
      </c>
      <c r="B3221" s="55" t="str">
        <f>HYPERLINK("https://jobright.ai/jobs/info/6677c2222b6ed5133f443a34?utm_campaign=1065&amp;utm_source=sheet", "Apply")</f>
        <v>Apply</v>
      </c>
      <c r="C3221" s="10" t="s">
        <v>15342</v>
      </c>
      <c r="D3221" s="56" t="s">
        <v>2202</v>
      </c>
      <c r="E3221" s="10" t="s">
        <v>249</v>
      </c>
      <c r="F3221" s="10" t="s">
        <v>1234</v>
      </c>
      <c r="G3221" s="10" t="s">
        <v>12654</v>
      </c>
      <c r="H3221" s="10" t="s">
        <v>2203</v>
      </c>
      <c r="I3221" s="10" t="s">
        <v>55</v>
      </c>
      <c r="K3221" s="10" t="s">
        <v>2204</v>
      </c>
      <c r="L3221" s="10" t="s">
        <v>42</v>
      </c>
    </row>
    <row r="3222" ht="15.75" customHeight="1">
      <c r="A3222" s="66">
        <v>45458.0</v>
      </c>
      <c r="B3222" s="55" t="str">
        <f>HYPERLINK("https://jobright.ai/jobs/info/6676b858022d43fb7b689039?utm_campaign=1065&amp;utm_source=sheet", "Apply")</f>
        <v>Apply</v>
      </c>
      <c r="C3222" s="10" t="s">
        <v>15343</v>
      </c>
      <c r="D3222" s="56" t="s">
        <v>15344</v>
      </c>
      <c r="E3222" s="10" t="s">
        <v>209</v>
      </c>
      <c r="F3222" s="10" t="s">
        <v>15345</v>
      </c>
      <c r="G3222" s="10" t="s">
        <v>12630</v>
      </c>
      <c r="H3222" s="10" t="s">
        <v>4208</v>
      </c>
      <c r="I3222" s="10" t="s">
        <v>48</v>
      </c>
      <c r="K3222" s="10" t="s">
        <v>15346</v>
      </c>
      <c r="L3222" s="10" t="s">
        <v>42</v>
      </c>
    </row>
    <row r="3223" ht="15.75" customHeight="1">
      <c r="A3223" s="66">
        <v>45458.0</v>
      </c>
      <c r="B3223" s="55" t="str">
        <f>HYPERLINK("https://jobright.ai/jobs/info/66727e618ce3decedf25420e?utm_campaign=1065&amp;utm_source=sheet", "Apply")</f>
        <v>Apply</v>
      </c>
      <c r="C3223" s="10" t="s">
        <v>15347</v>
      </c>
      <c r="D3223" s="56" t="s">
        <v>15348</v>
      </c>
      <c r="E3223" s="10">
        <v>333.0</v>
      </c>
      <c r="G3223" s="10" t="s">
        <v>12654</v>
      </c>
      <c r="H3223" s="10" t="s">
        <v>15349</v>
      </c>
      <c r="I3223" s="10" t="s">
        <v>55</v>
      </c>
      <c r="K3223" s="10" t="s">
        <v>15350</v>
      </c>
      <c r="L3223" s="10" t="s">
        <v>42</v>
      </c>
    </row>
    <row r="3224" ht="15.75" customHeight="1">
      <c r="A3224" s="66">
        <v>45458.0</v>
      </c>
      <c r="B3224" s="55" t="str">
        <f>HYPERLINK("https://jobright.ai/jobs/info/66727e618ce3decedf2541ff?utm_campaign=1065&amp;utm_source=sheet", "Apply")</f>
        <v>Apply</v>
      </c>
      <c r="C3224" s="10" t="s">
        <v>15351</v>
      </c>
      <c r="D3224" s="56" t="s">
        <v>15348</v>
      </c>
      <c r="E3224" s="10">
        <v>333.0</v>
      </c>
      <c r="G3224" s="10" t="s">
        <v>12654</v>
      </c>
      <c r="H3224" s="10" t="s">
        <v>15349</v>
      </c>
      <c r="I3224" s="10" t="s">
        <v>55</v>
      </c>
      <c r="K3224" s="10" t="s">
        <v>15352</v>
      </c>
      <c r="L3224" s="10" t="s">
        <v>42</v>
      </c>
    </row>
    <row r="3225" ht="15.75" customHeight="1">
      <c r="A3225" s="66">
        <v>45457.0</v>
      </c>
      <c r="B3225" s="55" t="str">
        <f>HYPERLINK("https://jobright.ai/jobs/info/6675d84b28c07253dad6a0e9?utm_campaign=1065&amp;utm_source=sheet", "Apply")</f>
        <v>Apply</v>
      </c>
      <c r="C3225" s="10" t="s">
        <v>15294</v>
      </c>
      <c r="D3225" s="56" t="s">
        <v>15295</v>
      </c>
      <c r="E3225" s="10">
        <v>101843.0</v>
      </c>
      <c r="G3225" s="10" t="s">
        <v>12635</v>
      </c>
      <c r="H3225" s="10" t="s">
        <v>1328</v>
      </c>
      <c r="I3225" s="10" t="s">
        <v>55</v>
      </c>
      <c r="K3225" s="10" t="s">
        <v>15353</v>
      </c>
      <c r="L3225" s="10" t="s">
        <v>42</v>
      </c>
    </row>
    <row r="3226" ht="15.75" customHeight="1">
      <c r="A3226" s="66">
        <v>45457.0</v>
      </c>
      <c r="B3226" s="55" t="str">
        <f>HYPERLINK("https://jobright.ai/jobs/info/666ca015ecec4419ceb3d770?utm_campaign=1065&amp;utm_source=sheet", "Apply")</f>
        <v>Apply</v>
      </c>
      <c r="C3226" s="10" t="s">
        <v>15354</v>
      </c>
      <c r="D3226" s="56" t="s">
        <v>15355</v>
      </c>
      <c r="E3226" s="10" t="s">
        <v>71</v>
      </c>
      <c r="F3226" s="10" t="s">
        <v>19</v>
      </c>
      <c r="G3226" s="10" t="s">
        <v>12630</v>
      </c>
      <c r="H3226" s="10" t="s">
        <v>167</v>
      </c>
      <c r="I3226" s="10" t="s">
        <v>55</v>
      </c>
      <c r="K3226" s="10" t="s">
        <v>15356</v>
      </c>
      <c r="L3226" s="10" t="s">
        <v>42</v>
      </c>
    </row>
    <row r="3227" ht="15.75" customHeight="1">
      <c r="A3227" s="66">
        <v>45457.0</v>
      </c>
      <c r="B3227" s="55" t="str">
        <f>HYPERLINK("https://jobright.ai/jobs/info/666c90cd109783a5617fd6bc?utm_campaign=1065&amp;utm_source=sheet", "Apply")</f>
        <v>Apply</v>
      </c>
      <c r="C3227" s="10" t="s">
        <v>15357</v>
      </c>
      <c r="D3227" s="56" t="s">
        <v>15358</v>
      </c>
      <c r="E3227" s="10">
        <v>2054.0</v>
      </c>
      <c r="G3227" s="10" t="s">
        <v>12645</v>
      </c>
      <c r="H3227" s="10" t="s">
        <v>15359</v>
      </c>
      <c r="I3227" s="10" t="s">
        <v>55</v>
      </c>
      <c r="K3227" s="10" t="s">
        <v>15360</v>
      </c>
      <c r="L3227" s="10" t="s">
        <v>42</v>
      </c>
    </row>
    <row r="3228" ht="15.75" customHeight="1">
      <c r="A3228" s="66">
        <v>45457.0</v>
      </c>
      <c r="B3228" s="55" t="str">
        <f>HYPERLINK("https://jobright.ai/jobs/info/666c0cf31a9593d9b0b3a80d?utm_campaign=1065&amp;utm_source=sheet", "Apply")</f>
        <v>Apply</v>
      </c>
      <c r="C3228" s="10" t="s">
        <v>9688</v>
      </c>
      <c r="D3228" s="56" t="s">
        <v>15361</v>
      </c>
      <c r="E3228" s="10" t="s">
        <v>71</v>
      </c>
      <c r="F3228" s="10" t="s">
        <v>15362</v>
      </c>
      <c r="G3228" s="10" t="s">
        <v>12630</v>
      </c>
      <c r="H3228" s="10" t="s">
        <v>636</v>
      </c>
      <c r="I3228" s="10" t="s">
        <v>55</v>
      </c>
      <c r="K3228" s="10" t="s">
        <v>15363</v>
      </c>
      <c r="L3228" s="10" t="s">
        <v>42</v>
      </c>
    </row>
    <row r="3229" ht="15.75" customHeight="1">
      <c r="A3229" s="66">
        <v>45457.0</v>
      </c>
      <c r="B3229" s="55" t="str">
        <f>HYPERLINK("https://jobright.ai/jobs/info/666bdf20b190bd85ed157512?utm_campaign=1065&amp;utm_source=sheet", "Apply")</f>
        <v>Apply</v>
      </c>
      <c r="C3229" s="10" t="s">
        <v>15364</v>
      </c>
      <c r="D3229" s="56" t="s">
        <v>15365</v>
      </c>
      <c r="E3229" s="10" t="s">
        <v>71</v>
      </c>
      <c r="F3229" s="10" t="s">
        <v>1577</v>
      </c>
      <c r="G3229" s="10" t="s">
        <v>12654</v>
      </c>
      <c r="H3229" s="10" t="s">
        <v>2909</v>
      </c>
      <c r="I3229" s="10" t="s">
        <v>55</v>
      </c>
      <c r="K3229" s="10" t="s">
        <v>15366</v>
      </c>
      <c r="L3229" s="10" t="s">
        <v>42</v>
      </c>
    </row>
    <row r="3230" ht="15.75" customHeight="1">
      <c r="A3230" s="66">
        <v>45456.0</v>
      </c>
      <c r="B3230" s="55" t="str">
        <f>HYPERLINK("https://jobright.ai/jobs/info/65dca8f0b22c6b007994ddab?utm_campaign=1065&amp;utm_source=sheet", "Apply")</f>
        <v>Apply</v>
      </c>
      <c r="C3230" s="10" t="s">
        <v>15367</v>
      </c>
      <c r="D3230" s="56" t="s">
        <v>15368</v>
      </c>
      <c r="E3230" s="10" t="s">
        <v>137</v>
      </c>
      <c r="F3230" s="10" t="s">
        <v>259</v>
      </c>
      <c r="G3230" s="10" t="s">
        <v>12645</v>
      </c>
      <c r="H3230" s="10" t="s">
        <v>251</v>
      </c>
      <c r="I3230" s="10" t="s">
        <v>252</v>
      </c>
      <c r="K3230" s="10" t="s">
        <v>15369</v>
      </c>
      <c r="L3230" s="10" t="s">
        <v>42</v>
      </c>
    </row>
    <row r="3231" ht="15.75" customHeight="1">
      <c r="A3231" s="66">
        <v>45456.0</v>
      </c>
      <c r="B3231" s="55" t="str">
        <f>HYPERLINK("https://jobright.ai/jobs/info/666c24e541bd8bbbc79fd2d3?utm_campaign=1065&amp;utm_source=sheet", "Apply")</f>
        <v>Apply</v>
      </c>
      <c r="C3231" s="10" t="s">
        <v>15370</v>
      </c>
      <c r="D3231" s="56" t="s">
        <v>15371</v>
      </c>
      <c r="E3231" s="10" t="s">
        <v>137</v>
      </c>
      <c r="F3231" s="10" t="s">
        <v>15372</v>
      </c>
      <c r="G3231" s="10" t="s">
        <v>12630</v>
      </c>
      <c r="H3231" s="10" t="s">
        <v>843</v>
      </c>
      <c r="I3231" s="10" t="s">
        <v>55</v>
      </c>
      <c r="K3231" s="10" t="s">
        <v>15373</v>
      </c>
      <c r="L3231" s="10" t="s">
        <v>42</v>
      </c>
    </row>
    <row r="3232" ht="15.75" customHeight="1">
      <c r="A3232" s="66">
        <v>45456.0</v>
      </c>
      <c r="B3232" s="55" t="str">
        <f>HYPERLINK("https://jobright.ai/jobs/info/667d485f175f90388ced273f?utm_campaign=1065&amp;utm_source=sheet", "Apply")</f>
        <v>Apply</v>
      </c>
      <c r="C3232" s="10" t="s">
        <v>15374</v>
      </c>
      <c r="D3232" s="56" t="s">
        <v>15375</v>
      </c>
      <c r="E3232" s="10" t="s">
        <v>249</v>
      </c>
      <c r="F3232" s="10" t="s">
        <v>15376</v>
      </c>
      <c r="G3232" s="10" t="s">
        <v>12645</v>
      </c>
      <c r="H3232" s="10" t="s">
        <v>5245</v>
      </c>
      <c r="I3232" s="10" t="s">
        <v>55</v>
      </c>
      <c r="K3232" s="10" t="s">
        <v>15377</v>
      </c>
      <c r="L3232" s="10" t="s">
        <v>42</v>
      </c>
    </row>
    <row r="3233" ht="15.75" customHeight="1">
      <c r="A3233" s="66">
        <v>45455.0</v>
      </c>
      <c r="B3233" s="55" t="str">
        <f>HYPERLINK("https://jobright.ai/jobs/info/6669ed8c7102a8756b239d6c?utm_campaign=1065&amp;utm_source=sheet", "Apply")</f>
        <v>Apply</v>
      </c>
      <c r="C3233" s="10" t="s">
        <v>13269</v>
      </c>
      <c r="D3233" s="56" t="s">
        <v>15378</v>
      </c>
      <c r="E3233" s="10" t="s">
        <v>276</v>
      </c>
      <c r="F3233" s="10" t="s">
        <v>15321</v>
      </c>
      <c r="G3233" s="10" t="s">
        <v>12654</v>
      </c>
      <c r="H3233" s="10" t="s">
        <v>15379</v>
      </c>
      <c r="I3233" s="10" t="s">
        <v>55</v>
      </c>
      <c r="K3233" s="10" t="s">
        <v>15380</v>
      </c>
      <c r="L3233" s="10" t="s">
        <v>42</v>
      </c>
    </row>
    <row r="3234" ht="15.75" customHeight="1">
      <c r="A3234" s="66">
        <v>45455.0</v>
      </c>
      <c r="B3234" s="55" t="str">
        <f>HYPERLINK("https://jobright.ai/jobs/info/6669bf3c604ddd89fca1f289?utm_campaign=1065&amp;utm_source=sheet", "Apply")</f>
        <v>Apply</v>
      </c>
      <c r="C3234" s="10" t="s">
        <v>15381</v>
      </c>
      <c r="D3234" s="56" t="s">
        <v>15382</v>
      </c>
      <c r="E3234" s="59">
        <v>45301.0</v>
      </c>
      <c r="F3234" s="10" t="s">
        <v>15383</v>
      </c>
      <c r="G3234" s="10" t="s">
        <v>12635</v>
      </c>
      <c r="H3234" s="10" t="s">
        <v>251</v>
      </c>
      <c r="I3234" s="10" t="s">
        <v>252</v>
      </c>
      <c r="K3234" s="10" t="s">
        <v>15384</v>
      </c>
      <c r="L3234" s="10" t="s">
        <v>42</v>
      </c>
    </row>
    <row r="3235" ht="15.75" customHeight="1">
      <c r="A3235" s="64">
        <v>45455.0</v>
      </c>
      <c r="B3235" s="55" t="str">
        <f>HYPERLINK("https://jobright.ai/jobs/info/667c08463bb63afb4af97cdf?utm_campaign=1065&amp;utm_source=sheet", "Apply")</f>
        <v>Apply</v>
      </c>
      <c r="C3235" s="10" t="s">
        <v>15385</v>
      </c>
      <c r="D3235" s="56" t="s">
        <v>13273</v>
      </c>
      <c r="E3235" s="10" t="s">
        <v>45</v>
      </c>
      <c r="F3235" s="10" t="s">
        <v>13274</v>
      </c>
      <c r="G3235" s="10" t="s">
        <v>12654</v>
      </c>
      <c r="H3235" s="10" t="s">
        <v>922</v>
      </c>
      <c r="I3235" s="10" t="s">
        <v>55</v>
      </c>
      <c r="K3235" s="10" t="s">
        <v>14357</v>
      </c>
      <c r="L3235" s="10" t="s">
        <v>42</v>
      </c>
    </row>
    <row r="3236" ht="15.75" customHeight="1">
      <c r="A3236" s="64">
        <v>45455.0</v>
      </c>
      <c r="B3236" s="55" t="str">
        <f>HYPERLINK("https://jobright.ai/jobs/info/666a2be50b96ba2c78742791?utm_campaign=1065&amp;utm_source=sheet", "Apply")</f>
        <v>Apply</v>
      </c>
      <c r="C3236" s="10" t="s">
        <v>15386</v>
      </c>
      <c r="D3236" s="56" t="s">
        <v>15387</v>
      </c>
      <c r="E3236" s="10" t="s">
        <v>209</v>
      </c>
      <c r="F3236" s="10" t="s">
        <v>15388</v>
      </c>
      <c r="G3236" s="10" t="s">
        <v>12645</v>
      </c>
      <c r="H3236" s="10" t="s">
        <v>977</v>
      </c>
      <c r="I3236" s="10" t="s">
        <v>55</v>
      </c>
      <c r="J3236" s="10" t="s">
        <v>15389</v>
      </c>
      <c r="K3236" s="10" t="s">
        <v>15390</v>
      </c>
      <c r="L3236" s="10" t="s">
        <v>42</v>
      </c>
    </row>
    <row r="3237" ht="15.75" customHeight="1">
      <c r="A3237" s="64">
        <v>45454.0</v>
      </c>
      <c r="B3237" s="55" t="str">
        <f>HYPERLINK("https://jobright.ai/jobs/info/6668ba3885b2e37272755907?utm_campaign=1065&amp;utm_source=sheet", "Apply")</f>
        <v>Apply</v>
      </c>
      <c r="C3237" s="10" t="s">
        <v>15391</v>
      </c>
      <c r="D3237" s="56" t="s">
        <v>15392</v>
      </c>
      <c r="E3237" s="10" t="s">
        <v>276</v>
      </c>
      <c r="F3237" s="10" t="s">
        <v>15393</v>
      </c>
      <c r="G3237" s="10" t="s">
        <v>12635</v>
      </c>
      <c r="H3237" s="10" t="s">
        <v>1853</v>
      </c>
      <c r="I3237" s="10" t="s">
        <v>55</v>
      </c>
      <c r="J3237" s="10" t="s">
        <v>1409</v>
      </c>
      <c r="K3237" s="10" t="s">
        <v>15394</v>
      </c>
      <c r="L3237" s="10" t="s">
        <v>42</v>
      </c>
    </row>
    <row r="3238" ht="15.75" customHeight="1">
      <c r="A3238" s="64">
        <v>45454.0</v>
      </c>
      <c r="B3238" s="55" t="str">
        <f>HYPERLINK("https://jobright.ai/jobs/info/66682b729d7e47024a77fa62?utm_campaign=1065&amp;utm_source=sheet", "Apply")</f>
        <v>Apply</v>
      </c>
      <c r="C3238" s="10" t="s">
        <v>15395</v>
      </c>
      <c r="D3238" s="56" t="s">
        <v>15396</v>
      </c>
      <c r="E3238" s="10" t="s">
        <v>65</v>
      </c>
      <c r="F3238" s="10" t="s">
        <v>1234</v>
      </c>
      <c r="G3238" s="10" t="s">
        <v>12654</v>
      </c>
      <c r="H3238" s="10" t="s">
        <v>927</v>
      </c>
      <c r="I3238" s="10" t="s">
        <v>55</v>
      </c>
      <c r="K3238" s="10" t="s">
        <v>15397</v>
      </c>
      <c r="L3238" s="10" t="s">
        <v>42</v>
      </c>
    </row>
    <row r="3239" ht="15.75" customHeight="1">
      <c r="A3239" s="64">
        <v>45454.0</v>
      </c>
      <c r="B3239" s="55" t="str">
        <f>HYPERLINK("https://jobright.ai/jobs/info/66681d7c1c2d3f9f50323ba8?utm_campaign=1065&amp;utm_source=sheet", "Apply")</f>
        <v>Apply</v>
      </c>
      <c r="C3239" s="10" t="s">
        <v>15398</v>
      </c>
      <c r="D3239" s="56" t="s">
        <v>15399</v>
      </c>
      <c r="E3239" s="10" t="s">
        <v>137</v>
      </c>
      <c r="F3239" s="10" t="s">
        <v>15400</v>
      </c>
      <c r="G3239" s="10" t="s">
        <v>12630</v>
      </c>
      <c r="H3239" s="10" t="s">
        <v>354</v>
      </c>
      <c r="I3239" s="10" t="s">
        <v>55</v>
      </c>
      <c r="J3239" s="10" t="s">
        <v>1409</v>
      </c>
      <c r="K3239" s="10" t="s">
        <v>15401</v>
      </c>
      <c r="L3239" s="10" t="s">
        <v>42</v>
      </c>
    </row>
    <row r="3240" ht="15.75" customHeight="1">
      <c r="A3240" s="64">
        <v>45454.0</v>
      </c>
      <c r="B3240" s="55" t="str">
        <f>HYPERLINK("https://jobright.ai/jobs/info/66688fbd7f6ba556721b6b34?utm_campaign=1065&amp;utm_source=sheet", "Apply")</f>
        <v>Apply</v>
      </c>
      <c r="C3240" s="10" t="s">
        <v>15402</v>
      </c>
      <c r="D3240" s="56" t="s">
        <v>15403</v>
      </c>
      <c r="E3240" s="10" t="s">
        <v>276</v>
      </c>
      <c r="F3240" s="10" t="s">
        <v>15404</v>
      </c>
      <c r="G3240" s="10" t="s">
        <v>12630</v>
      </c>
      <c r="H3240" s="10" t="s">
        <v>832</v>
      </c>
      <c r="I3240" s="10" t="s">
        <v>55</v>
      </c>
      <c r="K3240" s="10" t="s">
        <v>15405</v>
      </c>
      <c r="L3240" s="10" t="s">
        <v>42</v>
      </c>
    </row>
    <row r="3241" ht="15.75" customHeight="1">
      <c r="A3241" s="64">
        <v>45454.0</v>
      </c>
      <c r="B3241" s="55" t="str">
        <f>HYPERLINK("https://jobright.ai/jobs/info/66681dbc1c2d3f9f50323c82?utm_campaign=1065&amp;utm_source=sheet", "Apply")</f>
        <v>Apply</v>
      </c>
      <c r="C3241" s="10" t="s">
        <v>15395</v>
      </c>
      <c r="D3241" s="56" t="s">
        <v>15396</v>
      </c>
      <c r="E3241" s="10" t="s">
        <v>65</v>
      </c>
      <c r="F3241" s="10" t="s">
        <v>1234</v>
      </c>
      <c r="G3241" s="10" t="s">
        <v>12654</v>
      </c>
      <c r="H3241" s="10" t="s">
        <v>15406</v>
      </c>
      <c r="I3241" s="10" t="s">
        <v>55</v>
      </c>
      <c r="K3241" s="10" t="s">
        <v>15397</v>
      </c>
      <c r="L3241" s="10" t="s">
        <v>42</v>
      </c>
    </row>
    <row r="3242" ht="15.75" customHeight="1">
      <c r="A3242" s="64">
        <v>45454.0</v>
      </c>
      <c r="B3242" s="55" t="str">
        <f>HYPERLINK("https://jobright.ai/jobs/info/667283038781854cc12ee995?utm_campaign=1065&amp;utm_source=sheet", "Apply")</f>
        <v>Apply</v>
      </c>
      <c r="C3242" s="10" t="s">
        <v>15334</v>
      </c>
      <c r="D3242" s="56" t="s">
        <v>15335</v>
      </c>
      <c r="E3242" s="10" t="s">
        <v>249</v>
      </c>
      <c r="F3242" s="10" t="s">
        <v>15336</v>
      </c>
      <c r="G3242" s="10" t="s">
        <v>12630</v>
      </c>
      <c r="H3242" s="10" t="s">
        <v>15337</v>
      </c>
      <c r="I3242" s="10" t="s">
        <v>55</v>
      </c>
      <c r="K3242" s="10" t="s">
        <v>15338</v>
      </c>
      <c r="L3242" s="10" t="s">
        <v>42</v>
      </c>
    </row>
    <row r="3243" ht="15.75" customHeight="1">
      <c r="A3243" s="64">
        <v>45453.0</v>
      </c>
      <c r="B3243" s="55" t="str">
        <f>HYPERLINK("https://jobright.ai/jobs/info/66673ec09b398fa7d76a4c07?utm_campaign=1065&amp;utm_source=sheet", "Apply")</f>
        <v>Apply</v>
      </c>
      <c r="C3243" s="10" t="s">
        <v>15407</v>
      </c>
      <c r="D3243" s="56" t="s">
        <v>15408</v>
      </c>
      <c r="E3243" s="10" t="s">
        <v>45</v>
      </c>
      <c r="F3243" s="10" t="s">
        <v>1893</v>
      </c>
      <c r="G3243" s="10" t="s">
        <v>12635</v>
      </c>
      <c r="H3243" s="10" t="s">
        <v>604</v>
      </c>
      <c r="I3243" s="10" t="s">
        <v>55</v>
      </c>
      <c r="K3243" s="10" t="s">
        <v>15409</v>
      </c>
      <c r="L3243" s="10" t="s">
        <v>42</v>
      </c>
    </row>
    <row r="3244" ht="15.75" customHeight="1">
      <c r="A3244" s="64">
        <v>45453.0</v>
      </c>
      <c r="B3244" s="55" t="str">
        <f>HYPERLINK("https://jobright.ai/jobs/info/66672476304d2271eed1008c?utm_campaign=1065&amp;utm_source=sheet", "Apply")</f>
        <v>Apply</v>
      </c>
      <c r="C3244" s="10" t="s">
        <v>15410</v>
      </c>
      <c r="D3244" s="56" t="s">
        <v>15411</v>
      </c>
      <c r="E3244" s="10" t="s">
        <v>79</v>
      </c>
      <c r="F3244" s="10" t="s">
        <v>15412</v>
      </c>
      <c r="G3244" s="10" t="s">
        <v>12635</v>
      </c>
      <c r="H3244" s="10" t="s">
        <v>1062</v>
      </c>
      <c r="I3244" s="10" t="s">
        <v>55</v>
      </c>
      <c r="J3244" s="10" t="s">
        <v>1409</v>
      </c>
      <c r="K3244" s="10" t="s">
        <v>15413</v>
      </c>
      <c r="L3244" s="10" t="s">
        <v>42</v>
      </c>
    </row>
    <row r="3245" ht="15.75" customHeight="1">
      <c r="A3245" s="64">
        <v>45453.0</v>
      </c>
      <c r="B3245" s="55" t="str">
        <f>HYPERLINK("https://jobright.ai/jobs/info/666be09128ec1edef0ed7007?utm_campaign=1065&amp;utm_source=sheet", "Apply")</f>
        <v>Apply</v>
      </c>
      <c r="C3245" s="10" t="s">
        <v>15414</v>
      </c>
      <c r="D3245" s="56" t="s">
        <v>15415</v>
      </c>
      <c r="F3245" s="10" t="s">
        <v>15416</v>
      </c>
      <c r="G3245" s="10" t="s">
        <v>12635</v>
      </c>
      <c r="H3245" s="10" t="s">
        <v>15417</v>
      </c>
      <c r="I3245" s="10" t="s">
        <v>55</v>
      </c>
      <c r="K3245" s="10" t="s">
        <v>15418</v>
      </c>
      <c r="L3245" s="10" t="s">
        <v>42</v>
      </c>
    </row>
    <row r="3246" ht="15.75" customHeight="1">
      <c r="A3246" s="64">
        <v>45453.0</v>
      </c>
      <c r="B3246" s="55" t="str">
        <f>HYPERLINK("https://jobright.ai/jobs/info/6669100d6e2b486898a4746e?utm_campaign=1065&amp;utm_source=sheet", "Apply")</f>
        <v>Apply</v>
      </c>
      <c r="C3246" s="10" t="s">
        <v>15419</v>
      </c>
      <c r="D3246" s="56" t="s">
        <v>14728</v>
      </c>
      <c r="E3246" s="10" t="s">
        <v>65</v>
      </c>
      <c r="F3246" s="10" t="s">
        <v>3906</v>
      </c>
      <c r="G3246" s="10" t="s">
        <v>12654</v>
      </c>
      <c r="H3246" s="10" t="s">
        <v>927</v>
      </c>
      <c r="I3246" s="10" t="s">
        <v>55</v>
      </c>
      <c r="K3246" s="10" t="s">
        <v>15420</v>
      </c>
      <c r="L3246" s="10" t="s">
        <v>42</v>
      </c>
    </row>
    <row r="3247" ht="15.75" customHeight="1">
      <c r="A3247" s="66">
        <v>45453.0</v>
      </c>
      <c r="B3247" s="55" t="str">
        <f>HYPERLINK("https://jobright.ai/jobs/info/6667cb910e75e6484ca3e952?utm_campaign=1065&amp;utm_source=sheet", "Apply")</f>
        <v>Apply</v>
      </c>
      <c r="C3247" s="10" t="s">
        <v>15421</v>
      </c>
      <c r="D3247" s="56" t="s">
        <v>8666</v>
      </c>
      <c r="E3247" s="10" t="s">
        <v>45</v>
      </c>
      <c r="F3247" s="10" t="s">
        <v>8667</v>
      </c>
      <c r="G3247" s="10" t="s">
        <v>12635</v>
      </c>
      <c r="H3247" s="10" t="s">
        <v>15422</v>
      </c>
      <c r="I3247" s="10" t="s">
        <v>55</v>
      </c>
      <c r="J3247" s="10" t="s">
        <v>2138</v>
      </c>
      <c r="K3247" s="10" t="s">
        <v>15423</v>
      </c>
      <c r="L3247" s="10" t="s">
        <v>42</v>
      </c>
    </row>
    <row r="3248" ht="15.75" customHeight="1">
      <c r="A3248" s="66">
        <v>45453.0</v>
      </c>
      <c r="B3248" s="55" t="str">
        <f>HYPERLINK("https://jobright.ai/jobs/info/6667cc210e75e6484ca3eab0?utm_campaign=1065&amp;utm_source=sheet", "Apply")</f>
        <v>Apply</v>
      </c>
      <c r="C3248" s="10" t="s">
        <v>15424</v>
      </c>
      <c r="D3248" s="56" t="s">
        <v>15425</v>
      </c>
      <c r="E3248" s="10" t="s">
        <v>45</v>
      </c>
      <c r="F3248" s="10" t="s">
        <v>1274</v>
      </c>
      <c r="G3248" s="10" t="s">
        <v>12635</v>
      </c>
      <c r="H3248" s="10" t="s">
        <v>15426</v>
      </c>
      <c r="I3248" s="10" t="s">
        <v>55</v>
      </c>
      <c r="J3248" s="10" t="s">
        <v>15427</v>
      </c>
      <c r="K3248" s="10" t="s">
        <v>15428</v>
      </c>
      <c r="L3248" s="10" t="s">
        <v>42</v>
      </c>
    </row>
    <row r="3249" ht="15.75" customHeight="1">
      <c r="A3249" s="64">
        <v>45451.0</v>
      </c>
      <c r="B3249" s="55" t="str">
        <f>HYPERLINK("https://jobright.ai/jobs/info/6677cc7074ec1a95a89ae1ae?utm_campaign=1065&amp;utm_source=sheet", "Apply")</f>
        <v>Apply</v>
      </c>
      <c r="C3249" s="10" t="s">
        <v>15429</v>
      </c>
      <c r="D3249" s="56" t="s">
        <v>10244</v>
      </c>
      <c r="E3249" s="10" t="s">
        <v>45</v>
      </c>
      <c r="G3249" s="10" t="s">
        <v>12654</v>
      </c>
      <c r="H3249" s="10" t="s">
        <v>131</v>
      </c>
      <c r="I3249" s="10" t="s">
        <v>55</v>
      </c>
      <c r="J3249" s="10" t="s">
        <v>1804</v>
      </c>
      <c r="K3249" s="10" t="s">
        <v>12746</v>
      </c>
      <c r="L3249" s="10" t="s">
        <v>42</v>
      </c>
    </row>
    <row r="3250" ht="15.75" customHeight="1">
      <c r="A3250" s="64">
        <v>45451.0</v>
      </c>
      <c r="B3250" s="55" t="str">
        <f>HYPERLINK("https://jobright.ai/jobs/info/6677d35e97271e26801e3e88?utm_campaign=1065&amp;utm_source=sheet", "Apply")</f>
        <v>Apply</v>
      </c>
      <c r="C3250" s="10" t="s">
        <v>12650</v>
      </c>
      <c r="D3250" s="56" t="s">
        <v>15430</v>
      </c>
      <c r="E3250" s="10" t="s">
        <v>65</v>
      </c>
      <c r="F3250" s="10" t="s">
        <v>13842</v>
      </c>
      <c r="G3250" s="10" t="s">
        <v>12635</v>
      </c>
      <c r="H3250" s="10" t="s">
        <v>15431</v>
      </c>
      <c r="I3250" s="10" t="s">
        <v>55</v>
      </c>
      <c r="J3250" s="10" t="s">
        <v>1797</v>
      </c>
      <c r="K3250" s="10" t="s">
        <v>15432</v>
      </c>
      <c r="L3250" s="10" t="s">
        <v>42</v>
      </c>
    </row>
    <row r="3251" ht="15.75" customHeight="1">
      <c r="A3251" s="64">
        <v>45451.0</v>
      </c>
      <c r="B3251" s="55" t="str">
        <f>HYPERLINK("https://jobright.ai/jobs/info/666d35363cf33e4e7b0a77d3?utm_campaign=1065&amp;utm_source=sheet", "Apply")</f>
        <v>Apply</v>
      </c>
      <c r="C3251" s="10" t="s">
        <v>15433</v>
      </c>
      <c r="D3251" s="56" t="s">
        <v>15434</v>
      </c>
      <c r="E3251" s="10" t="s">
        <v>276</v>
      </c>
      <c r="F3251" s="10" t="s">
        <v>15435</v>
      </c>
      <c r="G3251" s="10" t="s">
        <v>12654</v>
      </c>
      <c r="H3251" s="10" t="s">
        <v>5529</v>
      </c>
      <c r="I3251" s="10" t="s">
        <v>55</v>
      </c>
      <c r="K3251" s="10" t="s">
        <v>15436</v>
      </c>
      <c r="L3251" s="10" t="s">
        <v>42</v>
      </c>
    </row>
    <row r="3252" ht="15.75" customHeight="1">
      <c r="A3252" s="64">
        <v>45450.0</v>
      </c>
      <c r="B3252" s="55" t="str">
        <f>HYPERLINK("https://jobright.ai/jobs/info/666c4518b3b6eb3a161cb2ab?utm_campaign=1065&amp;utm_source=sheet", "Apply")</f>
        <v>Apply</v>
      </c>
      <c r="C3252" s="10" t="s">
        <v>15433</v>
      </c>
      <c r="D3252" s="56" t="s">
        <v>15434</v>
      </c>
      <c r="E3252" s="10" t="s">
        <v>276</v>
      </c>
      <c r="F3252" s="10" t="s">
        <v>15435</v>
      </c>
      <c r="G3252" s="10" t="s">
        <v>12654</v>
      </c>
      <c r="H3252" s="10" t="s">
        <v>5529</v>
      </c>
      <c r="I3252" s="10" t="s">
        <v>55</v>
      </c>
      <c r="K3252" s="10" t="s">
        <v>15436</v>
      </c>
      <c r="L3252" s="10" t="s">
        <v>42</v>
      </c>
    </row>
    <row r="3253" ht="15.75" customHeight="1">
      <c r="A3253" s="64">
        <v>45450.0</v>
      </c>
      <c r="B3253" s="55" t="str">
        <f>HYPERLINK("https://jobright.ai/jobs/info/66645d07b2f24e076f1d178d?utm_campaign=1065&amp;utm_source=sheet", "Apply")</f>
        <v>Apply</v>
      </c>
      <c r="C3253" s="10" t="s">
        <v>15437</v>
      </c>
      <c r="D3253" s="56" t="s">
        <v>15438</v>
      </c>
      <c r="E3253" s="10" t="s">
        <v>137</v>
      </c>
      <c r="F3253" s="10" t="s">
        <v>2315</v>
      </c>
      <c r="G3253" s="10" t="s">
        <v>12630</v>
      </c>
      <c r="H3253" s="10" t="s">
        <v>251</v>
      </c>
      <c r="I3253" s="10" t="s">
        <v>252</v>
      </c>
      <c r="K3253" s="10" t="s">
        <v>15439</v>
      </c>
      <c r="L3253" s="10" t="s">
        <v>42</v>
      </c>
    </row>
    <row r="3254" ht="15.75" customHeight="1">
      <c r="A3254" s="64">
        <v>45450.0</v>
      </c>
      <c r="B3254" s="55" t="str">
        <f>HYPERLINK("https://jobright.ai/jobs/info/66634f10c127d17bdd9695b2?utm_campaign=1065&amp;utm_source=sheet", "Apply")</f>
        <v>Apply</v>
      </c>
      <c r="C3254" s="10" t="s">
        <v>15440</v>
      </c>
      <c r="D3254" s="56" t="s">
        <v>15441</v>
      </c>
      <c r="E3254" s="10" t="s">
        <v>276</v>
      </c>
      <c r="F3254" s="10" t="s">
        <v>15442</v>
      </c>
      <c r="G3254" s="10" t="s">
        <v>12654</v>
      </c>
      <c r="H3254" s="10" t="s">
        <v>957</v>
      </c>
      <c r="I3254" s="10" t="s">
        <v>55</v>
      </c>
      <c r="J3254" s="10" t="s">
        <v>1409</v>
      </c>
      <c r="K3254" s="10" t="s">
        <v>15443</v>
      </c>
      <c r="L3254" s="10" t="s">
        <v>42</v>
      </c>
    </row>
    <row r="3255" ht="15.75" customHeight="1">
      <c r="A3255" s="66">
        <v>45450.0</v>
      </c>
      <c r="B3255" s="55" t="str">
        <f>HYPERLINK("https://jobright.ai/jobs/info/6667d3220e75e6484ca3fedd?utm_campaign=1065&amp;utm_source=sheet", "Apply")</f>
        <v>Apply</v>
      </c>
      <c r="C3255" s="10" t="s">
        <v>15444</v>
      </c>
      <c r="D3255" s="56" t="s">
        <v>4945</v>
      </c>
      <c r="E3255" s="10" t="s">
        <v>45</v>
      </c>
      <c r="F3255" s="10" t="s">
        <v>4946</v>
      </c>
      <c r="G3255" s="10" t="s">
        <v>12654</v>
      </c>
      <c r="H3255" s="10" t="s">
        <v>15445</v>
      </c>
      <c r="I3255" s="10" t="s">
        <v>55</v>
      </c>
      <c r="K3255" s="10" t="s">
        <v>15446</v>
      </c>
      <c r="L3255" s="10" t="s">
        <v>42</v>
      </c>
    </row>
    <row r="3256" ht="15.75" customHeight="1">
      <c r="A3256" s="66">
        <v>45450.0</v>
      </c>
      <c r="B3256" s="55" t="str">
        <f>HYPERLINK("https://jobright.ai/jobs/info/6667d28b0e75e6484ca3fcce?utm_campaign=1065&amp;utm_source=sheet", "Apply")</f>
        <v>Apply</v>
      </c>
      <c r="C3256" s="10" t="s">
        <v>15447</v>
      </c>
      <c r="D3256" s="56" t="s">
        <v>15448</v>
      </c>
      <c r="E3256" s="10" t="s">
        <v>45</v>
      </c>
      <c r="F3256" s="10" t="s">
        <v>15051</v>
      </c>
      <c r="G3256" s="10" t="s">
        <v>12654</v>
      </c>
      <c r="H3256" s="10" t="s">
        <v>12336</v>
      </c>
      <c r="I3256" s="10" t="s">
        <v>55</v>
      </c>
      <c r="K3256" s="10" t="s">
        <v>15449</v>
      </c>
      <c r="L3256" s="10" t="s">
        <v>42</v>
      </c>
    </row>
    <row r="3257" ht="15.75" customHeight="1">
      <c r="A3257" s="66">
        <v>45450.0</v>
      </c>
      <c r="B3257" s="55" t="str">
        <f>HYPERLINK("https://jobright.ai/jobs/info/6667d0ce0e75e6484ca3f886?utm_campaign=1065&amp;utm_source=sheet", "Apply")</f>
        <v>Apply</v>
      </c>
      <c r="C3257" s="10" t="s">
        <v>15450</v>
      </c>
      <c r="D3257" s="56" t="s">
        <v>15451</v>
      </c>
      <c r="E3257" s="10" t="s">
        <v>45</v>
      </c>
      <c r="F3257" s="10" t="s">
        <v>15452</v>
      </c>
      <c r="G3257" s="10" t="s">
        <v>12654</v>
      </c>
      <c r="H3257" s="10" t="s">
        <v>12374</v>
      </c>
      <c r="I3257" s="10" t="s">
        <v>55</v>
      </c>
      <c r="K3257" s="10" t="s">
        <v>15453</v>
      </c>
      <c r="L3257" s="10" t="s">
        <v>42</v>
      </c>
    </row>
    <row r="3258" ht="15.75" customHeight="1">
      <c r="A3258" s="66">
        <v>45449.0</v>
      </c>
      <c r="B3258" s="55" t="str">
        <f>HYPERLINK("https://jobright.ai/jobs/info/665eaf68e0ec2d75d8e535cd?utm_campaign=1065&amp;utm_source=sheet", "Apply")</f>
        <v>Apply</v>
      </c>
      <c r="C3258" s="10" t="s">
        <v>13624</v>
      </c>
      <c r="D3258" s="56" t="s">
        <v>15454</v>
      </c>
      <c r="E3258" s="10" t="s">
        <v>276</v>
      </c>
      <c r="F3258" s="10" t="s">
        <v>13089</v>
      </c>
      <c r="G3258" s="10" t="s">
        <v>12654</v>
      </c>
      <c r="H3258" s="10" t="s">
        <v>12519</v>
      </c>
      <c r="I3258" s="10" t="s">
        <v>55</v>
      </c>
      <c r="J3258" s="10" t="s">
        <v>15455</v>
      </c>
      <c r="K3258" s="10" t="s">
        <v>15456</v>
      </c>
      <c r="L3258" s="10" t="s">
        <v>42</v>
      </c>
    </row>
    <row r="3259" ht="15.75" customHeight="1">
      <c r="A3259" s="66">
        <v>45449.0</v>
      </c>
      <c r="B3259" s="55" t="str">
        <f>HYPERLINK("https://jobright.ai/jobs/info/66619b85835afa6168e19f30?utm_campaign=1065&amp;utm_source=sheet", "Apply")</f>
        <v>Apply</v>
      </c>
      <c r="C3259" s="10" t="s">
        <v>15457</v>
      </c>
      <c r="D3259" s="56" t="s">
        <v>13273</v>
      </c>
      <c r="E3259" s="10" t="s">
        <v>45</v>
      </c>
      <c r="F3259" s="10" t="s">
        <v>13274</v>
      </c>
      <c r="G3259" s="10" t="s">
        <v>12654</v>
      </c>
      <c r="H3259" s="10" t="s">
        <v>923</v>
      </c>
      <c r="I3259" s="10" t="s">
        <v>55</v>
      </c>
      <c r="K3259" s="10" t="s">
        <v>15458</v>
      </c>
      <c r="L3259" s="10" t="s">
        <v>42</v>
      </c>
    </row>
    <row r="3260" ht="15.75" customHeight="1">
      <c r="A3260" s="66">
        <v>45449.0</v>
      </c>
      <c r="B3260" s="55" t="str">
        <f>HYPERLINK("https://jobright.ai/jobs/info/666238a641f9366fe5bbc731?utm_campaign=1065&amp;utm_source=sheet", "Apply")</f>
        <v>Apply</v>
      </c>
      <c r="C3260" s="10" t="s">
        <v>15459</v>
      </c>
      <c r="D3260" s="56" t="s">
        <v>15387</v>
      </c>
      <c r="E3260" s="10" t="s">
        <v>209</v>
      </c>
      <c r="F3260" s="10" t="s">
        <v>15388</v>
      </c>
      <c r="G3260" s="10" t="s">
        <v>12630</v>
      </c>
      <c r="H3260" s="10" t="s">
        <v>153</v>
      </c>
      <c r="I3260" s="10" t="s">
        <v>55</v>
      </c>
      <c r="J3260" s="10" t="s">
        <v>1409</v>
      </c>
      <c r="K3260" s="10" t="s">
        <v>15460</v>
      </c>
      <c r="L3260" s="10" t="s">
        <v>42</v>
      </c>
    </row>
    <row r="3261" ht="15.75" customHeight="1">
      <c r="A3261" s="64">
        <v>45449.0</v>
      </c>
      <c r="B3261" s="55" t="str">
        <f>HYPERLINK("https://jobright.ai/jobs/info/6667d6d70e75e6484ca4084b?utm_campaign=1065&amp;utm_source=sheet", "Apply")</f>
        <v>Apply</v>
      </c>
      <c r="C3261" s="10" t="s">
        <v>15461</v>
      </c>
      <c r="D3261" s="56" t="s">
        <v>4945</v>
      </c>
      <c r="E3261" s="10" t="s">
        <v>45</v>
      </c>
      <c r="F3261" s="10" t="s">
        <v>4946</v>
      </c>
      <c r="G3261" s="10" t="s">
        <v>12654</v>
      </c>
      <c r="H3261" s="10" t="s">
        <v>15445</v>
      </c>
      <c r="I3261" s="10" t="s">
        <v>55</v>
      </c>
      <c r="K3261" s="10" t="s">
        <v>15446</v>
      </c>
      <c r="L3261" s="10" t="s">
        <v>42</v>
      </c>
    </row>
    <row r="3262" ht="15.75" customHeight="1">
      <c r="A3262" s="64">
        <v>45449.0</v>
      </c>
      <c r="B3262" s="55" t="str">
        <f>HYPERLINK("https://jobright.ai/jobs/info/6667d4420e75e6484ca4014f?utm_campaign=1065&amp;utm_source=sheet", "Apply")</f>
        <v>Apply</v>
      </c>
      <c r="C3262" s="10" t="s">
        <v>15462</v>
      </c>
      <c r="D3262" s="56" t="s">
        <v>15463</v>
      </c>
      <c r="E3262" s="10" t="s">
        <v>45</v>
      </c>
      <c r="F3262" s="10" t="s">
        <v>15464</v>
      </c>
      <c r="G3262" s="10" t="s">
        <v>12635</v>
      </c>
      <c r="H3262" s="10" t="s">
        <v>9053</v>
      </c>
      <c r="I3262" s="10" t="s">
        <v>48</v>
      </c>
      <c r="K3262" s="10" t="s">
        <v>15465</v>
      </c>
      <c r="L3262" s="10" t="s">
        <v>42</v>
      </c>
    </row>
    <row r="3263" ht="15.75" customHeight="1">
      <c r="A3263" s="64">
        <v>45448.0</v>
      </c>
      <c r="B3263" s="55" t="str">
        <f>HYPERLINK("https://jobright.ai/jobs/info/666034056cc7da0403334f26?utm_campaign=1065&amp;utm_source=sheet", "Apply")</f>
        <v>Apply</v>
      </c>
      <c r="C3263" s="10" t="s">
        <v>9688</v>
      </c>
      <c r="D3263" s="56" t="s">
        <v>15466</v>
      </c>
      <c r="E3263" s="10" t="s">
        <v>79</v>
      </c>
      <c r="F3263" s="10" t="s">
        <v>1587</v>
      </c>
      <c r="G3263" s="10" t="s">
        <v>12630</v>
      </c>
      <c r="H3263" s="10" t="s">
        <v>15467</v>
      </c>
      <c r="I3263" s="10" t="s">
        <v>55</v>
      </c>
      <c r="K3263" s="10" t="s">
        <v>15468</v>
      </c>
      <c r="L3263" s="10" t="s">
        <v>42</v>
      </c>
    </row>
    <row r="3264" ht="15.75" customHeight="1">
      <c r="A3264" s="64">
        <v>45448.0</v>
      </c>
      <c r="B3264" s="55" t="str">
        <f>HYPERLINK("https://jobright.ai/jobs/info/6661505a8e02d8a1d53b95d4?utm_campaign=1065&amp;utm_source=sheet", "Apply")</f>
        <v>Apply</v>
      </c>
      <c r="C3264" s="10" t="s">
        <v>12650</v>
      </c>
      <c r="D3264" s="56" t="s">
        <v>15469</v>
      </c>
      <c r="E3264" s="10" t="s">
        <v>249</v>
      </c>
      <c r="F3264" s="10" t="s">
        <v>2746</v>
      </c>
      <c r="G3264" s="10" t="s">
        <v>12635</v>
      </c>
      <c r="H3264" s="10" t="s">
        <v>131</v>
      </c>
      <c r="I3264" s="10" t="s">
        <v>55</v>
      </c>
      <c r="K3264" s="10" t="s">
        <v>15470</v>
      </c>
      <c r="L3264" s="10" t="s">
        <v>42</v>
      </c>
    </row>
    <row r="3265" ht="15.75" customHeight="1">
      <c r="A3265" s="64">
        <v>45448.0</v>
      </c>
      <c r="B3265" s="55" t="str">
        <f>HYPERLINK("https://jobright.ai/jobs/info/66680950d19f25c2c7cd0fb4?utm_campaign=1065&amp;utm_source=sheet", "Apply")</f>
        <v>Apply</v>
      </c>
      <c r="C3265" s="10" t="s">
        <v>15471</v>
      </c>
      <c r="D3265" s="56" t="s">
        <v>15472</v>
      </c>
      <c r="E3265" s="10" t="s">
        <v>65</v>
      </c>
      <c r="F3265" s="10" t="s">
        <v>2968</v>
      </c>
      <c r="G3265" s="10" t="s">
        <v>12654</v>
      </c>
      <c r="H3265" s="10" t="s">
        <v>1460</v>
      </c>
      <c r="I3265" s="10" t="s">
        <v>55</v>
      </c>
      <c r="K3265" s="10" t="s">
        <v>15473</v>
      </c>
      <c r="L3265" s="10" t="s">
        <v>42</v>
      </c>
    </row>
    <row r="3266" ht="15.75" customHeight="1">
      <c r="A3266" s="64">
        <v>45448.0</v>
      </c>
      <c r="B3266" s="55" t="str">
        <f>HYPERLINK("https://jobright.ai/jobs/info/6662922ad207c74779ac72f4?utm_campaign=1065&amp;utm_source=sheet", "Apply")</f>
        <v>Apply</v>
      </c>
      <c r="C3266" s="10" t="s">
        <v>15474</v>
      </c>
      <c r="D3266" s="56" t="s">
        <v>15475</v>
      </c>
      <c r="E3266" s="10" t="s">
        <v>79</v>
      </c>
      <c r="F3266" s="10" t="s">
        <v>3770</v>
      </c>
      <c r="G3266" s="10" t="s">
        <v>12654</v>
      </c>
      <c r="H3266" s="10" t="s">
        <v>15476</v>
      </c>
      <c r="I3266" s="10" t="s">
        <v>55</v>
      </c>
      <c r="K3266" s="10" t="s">
        <v>15477</v>
      </c>
      <c r="L3266" s="10" t="s">
        <v>42</v>
      </c>
    </row>
    <row r="3267" ht="15.75" customHeight="1">
      <c r="A3267" s="66">
        <v>45447.0</v>
      </c>
      <c r="B3267" s="55" t="str">
        <f>HYPERLINK("https://jobright.ai/jobs/info/667ac62f6fec2de82002af63?utm_campaign=1065&amp;utm_source=sheet", "Apply")</f>
        <v>Apply</v>
      </c>
      <c r="C3267" s="10" t="s">
        <v>15478</v>
      </c>
      <c r="D3267" s="56" t="s">
        <v>15479</v>
      </c>
      <c r="G3267" s="10" t="s">
        <v>12630</v>
      </c>
      <c r="H3267" s="10" t="s">
        <v>636</v>
      </c>
      <c r="I3267" s="10" t="s">
        <v>55</v>
      </c>
      <c r="K3267" s="10" t="s">
        <v>15480</v>
      </c>
      <c r="L3267" s="10" t="s">
        <v>42</v>
      </c>
    </row>
    <row r="3268" ht="15.75" customHeight="1">
      <c r="A3268" s="66">
        <v>45447.0</v>
      </c>
      <c r="B3268" s="55" t="str">
        <f>HYPERLINK("https://jobright.ai/jobs/info/666170e21ff97edf18165901?utm_campaign=1065&amp;utm_source=sheet", "Apply")</f>
        <v>Apply</v>
      </c>
      <c r="C3268" s="10" t="s">
        <v>15481</v>
      </c>
      <c r="D3268" s="56" t="s">
        <v>15482</v>
      </c>
      <c r="E3268" s="10" t="s">
        <v>71</v>
      </c>
      <c r="F3268" s="10" t="s">
        <v>15483</v>
      </c>
      <c r="G3268" s="10" t="s">
        <v>12630</v>
      </c>
      <c r="H3268" s="10" t="s">
        <v>146</v>
      </c>
      <c r="I3268" s="10" t="s">
        <v>55</v>
      </c>
      <c r="K3268" s="10" t="s">
        <v>15484</v>
      </c>
      <c r="L3268" s="10" t="s">
        <v>42</v>
      </c>
    </row>
    <row r="3269" ht="15.75" customHeight="1">
      <c r="A3269" s="66">
        <v>45447.0</v>
      </c>
      <c r="B3269" s="55" t="str">
        <f>HYPERLINK("https://jobright.ai/jobs/info/6668106ed19f25c2c7cd1ad4?utm_campaign=1065&amp;utm_source=sheet", "Apply")</f>
        <v>Apply</v>
      </c>
      <c r="C3269" s="10" t="s">
        <v>14454</v>
      </c>
      <c r="D3269" s="56" t="s">
        <v>9483</v>
      </c>
      <c r="E3269" s="10" t="s">
        <v>45</v>
      </c>
      <c r="F3269" s="10" t="s">
        <v>9484</v>
      </c>
      <c r="G3269" s="10" t="s">
        <v>12635</v>
      </c>
      <c r="H3269" s="10" t="s">
        <v>15485</v>
      </c>
      <c r="I3269" s="10" t="s">
        <v>48</v>
      </c>
      <c r="K3269" s="10" t="s">
        <v>14403</v>
      </c>
      <c r="L3269" s="10" t="s">
        <v>42</v>
      </c>
    </row>
    <row r="3270" ht="15.75" customHeight="1">
      <c r="A3270" s="66">
        <v>45447.0</v>
      </c>
      <c r="B3270" s="55" t="str">
        <f>HYPERLINK("https://jobright.ai/jobs/info/66681100d19f25c2c7cd1c0c?utm_campaign=1065&amp;utm_source=sheet", "Apply")</f>
        <v>Apply</v>
      </c>
      <c r="C3270" s="10" t="s">
        <v>15486</v>
      </c>
      <c r="D3270" s="56" t="s">
        <v>1559</v>
      </c>
      <c r="E3270" s="10" t="s">
        <v>45</v>
      </c>
      <c r="F3270" s="10" t="s">
        <v>1485</v>
      </c>
      <c r="G3270" s="10" t="s">
        <v>12635</v>
      </c>
      <c r="H3270" s="10" t="s">
        <v>1560</v>
      </c>
      <c r="I3270" s="10" t="s">
        <v>55</v>
      </c>
      <c r="K3270" s="10" t="s">
        <v>15487</v>
      </c>
      <c r="L3270" s="10" t="s">
        <v>42</v>
      </c>
    </row>
    <row r="3271" ht="15.75" customHeight="1">
      <c r="A3271" s="64">
        <v>45446.0</v>
      </c>
      <c r="B3271" s="55" t="str">
        <f>HYPERLINK("https://jobright.ai/jobs/info/66342abafa8eab2c5541c568?utm_campaign=1065&amp;utm_source=sheet", "Apply")</f>
        <v>Apply</v>
      </c>
      <c r="C3271" s="10" t="s">
        <v>15488</v>
      </c>
      <c r="D3271" s="56" t="s">
        <v>12935</v>
      </c>
      <c r="E3271" s="10" t="s">
        <v>65</v>
      </c>
      <c r="F3271" s="10" t="s">
        <v>12936</v>
      </c>
      <c r="G3271" s="10" t="s">
        <v>12654</v>
      </c>
      <c r="H3271" s="10" t="s">
        <v>988</v>
      </c>
      <c r="I3271" s="10" t="s">
        <v>55</v>
      </c>
      <c r="J3271" s="10" t="s">
        <v>1165</v>
      </c>
      <c r="K3271" s="10" t="s">
        <v>15489</v>
      </c>
      <c r="L3271" s="10" t="s">
        <v>42</v>
      </c>
    </row>
    <row r="3272" ht="15.75" customHeight="1">
      <c r="A3272" s="64">
        <v>45446.0</v>
      </c>
      <c r="B3272" s="55" t="str">
        <f>HYPERLINK("https://jobright.ai/jobs/info/665e520a470222ee68930f14?utm_campaign=1065&amp;utm_source=sheet", "Apply")</f>
        <v>Apply</v>
      </c>
      <c r="C3272" s="10" t="s">
        <v>15490</v>
      </c>
      <c r="D3272" s="56" t="s">
        <v>13512</v>
      </c>
      <c r="E3272" s="10" t="s">
        <v>137</v>
      </c>
      <c r="F3272" s="10" t="s">
        <v>13513</v>
      </c>
      <c r="G3272" s="10" t="s">
        <v>12654</v>
      </c>
      <c r="H3272" s="10" t="s">
        <v>843</v>
      </c>
      <c r="I3272" s="10" t="s">
        <v>55</v>
      </c>
      <c r="K3272" s="10" t="s">
        <v>13516</v>
      </c>
      <c r="L3272" s="10" t="s">
        <v>42</v>
      </c>
    </row>
    <row r="3273" ht="15.75" customHeight="1">
      <c r="A3273" s="64">
        <v>45446.0</v>
      </c>
      <c r="B3273" s="55" t="str">
        <f>HYPERLINK("https://jobright.ai/jobs/info/665dffc734588a2f60805d96?utm_campaign=1065&amp;utm_source=sheet", "Apply")</f>
        <v>Apply</v>
      </c>
      <c r="C3273" s="10" t="s">
        <v>15491</v>
      </c>
      <c r="D3273" s="56" t="s">
        <v>8737</v>
      </c>
      <c r="E3273" s="10" t="s">
        <v>65</v>
      </c>
      <c r="F3273" s="10" t="s">
        <v>1234</v>
      </c>
      <c r="G3273" s="10" t="s">
        <v>12654</v>
      </c>
      <c r="H3273" s="10" t="s">
        <v>610</v>
      </c>
      <c r="I3273" s="10" t="s">
        <v>55</v>
      </c>
      <c r="K3273" s="10" t="s">
        <v>15492</v>
      </c>
      <c r="L3273" s="10" t="s">
        <v>42</v>
      </c>
    </row>
    <row r="3274" ht="15.75" customHeight="1">
      <c r="A3274" s="66">
        <v>45446.0</v>
      </c>
      <c r="B3274" s="55" t="str">
        <f>HYPERLINK("https://jobright.ai/jobs/info/665d4ef887e3992b45073d23?utm_campaign=1065&amp;utm_source=sheet", "Apply")</f>
        <v>Apply</v>
      </c>
      <c r="C3274" s="10" t="s">
        <v>14230</v>
      </c>
      <c r="D3274" s="56" t="s">
        <v>15493</v>
      </c>
      <c r="E3274" s="10" t="s">
        <v>79</v>
      </c>
      <c r="F3274" s="10" t="s">
        <v>12539</v>
      </c>
      <c r="G3274" s="10" t="s">
        <v>12630</v>
      </c>
      <c r="H3274" s="10" t="s">
        <v>165</v>
      </c>
      <c r="I3274" s="10" t="s">
        <v>48</v>
      </c>
      <c r="K3274" s="10" t="s">
        <v>15494</v>
      </c>
      <c r="L3274" s="10" t="s">
        <v>42</v>
      </c>
    </row>
    <row r="3275" ht="15.75" customHeight="1">
      <c r="A3275" s="64">
        <v>45446.0</v>
      </c>
      <c r="B3275" s="55" t="str">
        <f>HYPERLINK("https://jobright.ai/jobs/info/66682da99d7e47024a78008d?utm_campaign=1065&amp;utm_source=sheet", "Apply")</f>
        <v>Apply</v>
      </c>
      <c r="C3275" s="10" t="s">
        <v>15495</v>
      </c>
      <c r="D3275" s="56" t="s">
        <v>15496</v>
      </c>
      <c r="E3275" s="10" t="s">
        <v>249</v>
      </c>
      <c r="F3275" s="10" t="s">
        <v>15497</v>
      </c>
      <c r="G3275" s="10" t="s">
        <v>12635</v>
      </c>
      <c r="H3275" s="10" t="s">
        <v>15498</v>
      </c>
      <c r="I3275" s="10" t="s">
        <v>48</v>
      </c>
      <c r="K3275" s="10" t="s">
        <v>15499</v>
      </c>
      <c r="L3275" s="10" t="s">
        <v>42</v>
      </c>
    </row>
    <row r="3276" ht="15.75" customHeight="1">
      <c r="A3276" s="64">
        <v>45445.0</v>
      </c>
      <c r="B3276" s="55" t="str">
        <f>HYPERLINK("https://jobright.ai/jobs/info/6683e772bff8e7c8fbc4b825?utm_campaign=1065&amp;utm_source=sheet", "Apply")</f>
        <v>Apply</v>
      </c>
      <c r="C3276" s="10" t="s">
        <v>15500</v>
      </c>
      <c r="D3276" s="56" t="s">
        <v>15501</v>
      </c>
      <c r="E3276" s="10" t="s">
        <v>45</v>
      </c>
      <c r="F3276" s="10" t="s">
        <v>15502</v>
      </c>
      <c r="G3276" s="10" t="s">
        <v>12654</v>
      </c>
      <c r="H3276" s="10" t="s">
        <v>15503</v>
      </c>
      <c r="I3276" s="10" t="s">
        <v>55</v>
      </c>
      <c r="J3276" s="10" t="s">
        <v>1984</v>
      </c>
      <c r="K3276" s="10" t="s">
        <v>15504</v>
      </c>
      <c r="L3276" s="10" t="s">
        <v>42</v>
      </c>
    </row>
    <row r="3277" ht="15.75" customHeight="1">
      <c r="A3277" s="64">
        <v>45445.0</v>
      </c>
      <c r="B3277" s="55" t="str">
        <f>HYPERLINK("https://jobright.ai/jobs/info/665d81372492096ac068fd77?utm_campaign=1065&amp;utm_source=sheet", "Apply")</f>
        <v>Apply</v>
      </c>
      <c r="C3277" s="10" t="s">
        <v>14230</v>
      </c>
      <c r="D3277" s="56" t="s">
        <v>15493</v>
      </c>
      <c r="E3277" s="10" t="s">
        <v>79</v>
      </c>
      <c r="F3277" s="10" t="s">
        <v>12539</v>
      </c>
      <c r="G3277" s="10" t="s">
        <v>12630</v>
      </c>
      <c r="H3277" s="10" t="s">
        <v>165</v>
      </c>
      <c r="I3277" s="10" t="s">
        <v>48</v>
      </c>
      <c r="K3277" s="10" t="s">
        <v>15494</v>
      </c>
      <c r="L3277" s="10" t="s">
        <v>42</v>
      </c>
    </row>
    <row r="3278" ht="15.75" customHeight="1">
      <c r="A3278" s="64">
        <v>45444.0</v>
      </c>
      <c r="B3278" s="55" t="str">
        <f>HYPERLINK("https://jobright.ai/jobs/info/6677d80e5793f82273cb4869?utm_campaign=1065&amp;utm_source=sheet", "Apply")</f>
        <v>Apply</v>
      </c>
      <c r="C3278" s="10" t="s">
        <v>15505</v>
      </c>
      <c r="D3278" s="56" t="s">
        <v>15506</v>
      </c>
      <c r="E3278" s="10">
        <v>8.0</v>
      </c>
      <c r="G3278" s="10" t="s">
        <v>12635</v>
      </c>
      <c r="H3278" s="10" t="s">
        <v>605</v>
      </c>
      <c r="I3278" s="10" t="s">
        <v>55</v>
      </c>
      <c r="K3278" s="10" t="s">
        <v>15507</v>
      </c>
      <c r="L3278" s="10" t="s">
        <v>42</v>
      </c>
    </row>
    <row r="3279" ht="15.75" customHeight="1">
      <c r="A3279" s="64">
        <v>45444.0</v>
      </c>
      <c r="B3279" s="55" t="str">
        <f>HYPERLINK("https://jobright.ai/jobs/info/6677d8495793f82273cb4cf4?utm_campaign=1065&amp;utm_source=sheet", "Apply")</f>
        <v>Apply</v>
      </c>
      <c r="C3279" s="10" t="s">
        <v>15508</v>
      </c>
      <c r="D3279" s="56" t="s">
        <v>9557</v>
      </c>
      <c r="E3279" s="10" t="s">
        <v>209</v>
      </c>
      <c r="F3279" s="10" t="s">
        <v>1159</v>
      </c>
      <c r="G3279" s="10" t="s">
        <v>12635</v>
      </c>
      <c r="H3279" s="10" t="s">
        <v>1023</v>
      </c>
      <c r="I3279" s="10" t="s">
        <v>55</v>
      </c>
      <c r="K3279" s="10" t="s">
        <v>15509</v>
      </c>
      <c r="L3279" s="10" t="s">
        <v>42</v>
      </c>
    </row>
    <row r="3280" ht="15.75" customHeight="1">
      <c r="A3280" s="64">
        <v>45444.0</v>
      </c>
      <c r="B3280" s="55" t="str">
        <f>HYPERLINK("https://jobright.ai/jobs/info/6677d6ce5793f82273cb32a9?utm_campaign=1065&amp;utm_source=sheet", "Apply")</f>
        <v>Apply</v>
      </c>
      <c r="C3280" s="10" t="s">
        <v>15510</v>
      </c>
      <c r="D3280" s="56" t="s">
        <v>9557</v>
      </c>
      <c r="E3280" s="10" t="s">
        <v>209</v>
      </c>
      <c r="F3280" s="10" t="s">
        <v>1159</v>
      </c>
      <c r="G3280" s="10" t="s">
        <v>12693</v>
      </c>
      <c r="H3280" s="10" t="s">
        <v>1023</v>
      </c>
      <c r="I3280" s="10" t="s">
        <v>55</v>
      </c>
      <c r="K3280" s="10" t="s">
        <v>15511</v>
      </c>
      <c r="L3280" s="10" t="s">
        <v>42</v>
      </c>
    </row>
    <row r="3281" ht="15.75" customHeight="1">
      <c r="A3281" s="64">
        <v>45444.0</v>
      </c>
      <c r="B3281" s="55" t="str">
        <f>HYPERLINK("https://jobright.ai/jobs/info/6677dcbafbac42152a145dbc?utm_campaign=1065&amp;utm_source=sheet", "Apply")</f>
        <v>Apply</v>
      </c>
      <c r="C3281" s="10" t="s">
        <v>15068</v>
      </c>
      <c r="D3281" s="56" t="s">
        <v>15512</v>
      </c>
      <c r="E3281" s="10">
        <v>93.0</v>
      </c>
      <c r="G3281" s="10" t="s">
        <v>12630</v>
      </c>
      <c r="H3281" s="10" t="s">
        <v>144</v>
      </c>
      <c r="I3281" s="10" t="s">
        <v>55</v>
      </c>
      <c r="K3281" s="10" t="s">
        <v>15513</v>
      </c>
      <c r="L3281" s="10" t="s">
        <v>42</v>
      </c>
    </row>
    <row r="3282" ht="15.75" customHeight="1">
      <c r="A3282" s="64">
        <v>45444.0</v>
      </c>
      <c r="B3282" s="55" t="str">
        <f>HYPERLINK("https://jobright.ai/jobs/info/6677dd85fbac42152a146ce3?utm_campaign=1065&amp;utm_source=sheet", "Apply")</f>
        <v>Apply</v>
      </c>
      <c r="C3282" s="10" t="s">
        <v>15514</v>
      </c>
      <c r="D3282" s="56" t="s">
        <v>15515</v>
      </c>
      <c r="E3282" s="10" t="s">
        <v>79</v>
      </c>
      <c r="F3282" s="10" t="s">
        <v>1243</v>
      </c>
      <c r="G3282" s="10" t="s">
        <v>12654</v>
      </c>
      <c r="H3282" s="10" t="s">
        <v>170</v>
      </c>
      <c r="I3282" s="10" t="s">
        <v>48</v>
      </c>
      <c r="J3282" s="10" t="s">
        <v>3979</v>
      </c>
      <c r="K3282" s="10" t="s">
        <v>15516</v>
      </c>
      <c r="L3282" s="10" t="s">
        <v>42</v>
      </c>
    </row>
    <row r="3283" ht="15.75" customHeight="1">
      <c r="A3283" s="64">
        <v>45444.0</v>
      </c>
      <c r="B3283" s="55" t="str">
        <f>HYPERLINK("https://jobright.ai/jobs/info/66684f9390e17dfadf8318f6?utm_campaign=1065&amp;utm_source=sheet", "Apply")</f>
        <v>Apply</v>
      </c>
      <c r="C3283" s="10" t="s">
        <v>15517</v>
      </c>
      <c r="D3283" s="56" t="s">
        <v>15463</v>
      </c>
      <c r="E3283" s="10" t="s">
        <v>45</v>
      </c>
      <c r="F3283" s="10" t="s">
        <v>15464</v>
      </c>
      <c r="G3283" s="10" t="s">
        <v>12635</v>
      </c>
      <c r="H3283" s="10" t="s">
        <v>9053</v>
      </c>
      <c r="I3283" s="10" t="s">
        <v>55</v>
      </c>
      <c r="J3283" s="10" t="s">
        <v>15518</v>
      </c>
      <c r="K3283" s="10" t="s">
        <v>15519</v>
      </c>
      <c r="L3283" s="10" t="s">
        <v>42</v>
      </c>
    </row>
    <row r="3284" ht="15.75" customHeight="1">
      <c r="A3284" s="64">
        <v>45443.0</v>
      </c>
      <c r="B3284" s="55" t="str">
        <f>HYPERLINK("https://jobright.ai/jobs/info/6675ef8e3f0763b7548cfb53?utm_campaign=1065&amp;utm_source=sheet", "Apply")</f>
        <v>Apply</v>
      </c>
      <c r="C3284" s="10" t="s">
        <v>12965</v>
      </c>
      <c r="D3284" s="56" t="s">
        <v>15520</v>
      </c>
      <c r="E3284" s="10">
        <v>33.0</v>
      </c>
      <c r="G3284" s="10" t="s">
        <v>12630</v>
      </c>
      <c r="H3284" s="10" t="s">
        <v>15521</v>
      </c>
      <c r="I3284" s="10" t="s">
        <v>55</v>
      </c>
      <c r="K3284" s="10" t="s">
        <v>15522</v>
      </c>
      <c r="L3284" s="10" t="s">
        <v>42</v>
      </c>
    </row>
    <row r="3285" ht="15.75" customHeight="1">
      <c r="A3285" s="64">
        <v>45443.0</v>
      </c>
      <c r="B3285" s="55" t="str">
        <f>HYPERLINK("https://jobright.ai/jobs/info/6675f38c2617111d53a447da?utm_campaign=1065&amp;utm_source=sheet", "Apply")</f>
        <v>Apply</v>
      </c>
      <c r="C3285" s="10" t="s">
        <v>15523</v>
      </c>
      <c r="D3285" s="56" t="s">
        <v>15524</v>
      </c>
      <c r="E3285" s="59">
        <v>45301.0</v>
      </c>
      <c r="F3285" s="10" t="s">
        <v>13089</v>
      </c>
      <c r="G3285" s="10" t="s">
        <v>12630</v>
      </c>
      <c r="H3285" s="10" t="s">
        <v>854</v>
      </c>
      <c r="I3285" s="10" t="s">
        <v>55</v>
      </c>
      <c r="K3285" s="10" t="s">
        <v>15525</v>
      </c>
      <c r="L3285" s="10" t="s">
        <v>42</v>
      </c>
    </row>
    <row r="3286" ht="15.75" customHeight="1">
      <c r="A3286" s="64">
        <v>45443.0</v>
      </c>
      <c r="B3286" s="55" t="str">
        <f>HYPERLINK("https://jobright.ai/jobs/info/665bedef85597cfc032a6a92?utm_campaign=1065&amp;utm_source=sheet", "Apply")</f>
        <v>Apply</v>
      </c>
      <c r="C3286" s="10" t="s">
        <v>15526</v>
      </c>
      <c r="D3286" s="56" t="s">
        <v>15527</v>
      </c>
      <c r="E3286" s="10" t="s">
        <v>137</v>
      </c>
      <c r="F3286" s="10" t="s">
        <v>15528</v>
      </c>
      <c r="G3286" s="10" t="s">
        <v>12654</v>
      </c>
      <c r="H3286" s="10" t="s">
        <v>922</v>
      </c>
      <c r="I3286" s="10" t="s">
        <v>55</v>
      </c>
      <c r="K3286" s="10" t="s">
        <v>15529</v>
      </c>
      <c r="L3286" s="10" t="s">
        <v>42</v>
      </c>
    </row>
    <row r="3287" ht="15.75" customHeight="1">
      <c r="A3287" s="66">
        <v>45443.0</v>
      </c>
      <c r="B3287" s="55" t="str">
        <f>HYPERLINK("https://jobright.ai/jobs/info/6642210ffdde3a339c393c7d?utm_campaign=1065&amp;utm_source=sheet", "Apply")</f>
        <v>Apply</v>
      </c>
      <c r="C3287" s="10" t="s">
        <v>15530</v>
      </c>
      <c r="D3287" s="56" t="s">
        <v>15531</v>
      </c>
      <c r="E3287" s="59">
        <v>45301.0</v>
      </c>
      <c r="F3287" s="10" t="s">
        <v>15532</v>
      </c>
      <c r="G3287" s="10" t="s">
        <v>12645</v>
      </c>
      <c r="H3287" s="10" t="s">
        <v>251</v>
      </c>
      <c r="I3287" s="10" t="s">
        <v>252</v>
      </c>
      <c r="J3287" s="10" t="s">
        <v>15533</v>
      </c>
      <c r="K3287" s="10" t="s">
        <v>15534</v>
      </c>
      <c r="L3287" s="10" t="s">
        <v>42</v>
      </c>
    </row>
    <row r="3288" ht="15.75" customHeight="1">
      <c r="A3288" s="64">
        <v>45443.0</v>
      </c>
      <c r="B3288" s="55" t="str">
        <f>HYPERLINK("https://jobright.ai/jobs/info/66685e59b3577e6d5da7aa43?utm_campaign=1065&amp;utm_source=sheet", "Apply")</f>
        <v>Apply</v>
      </c>
      <c r="C3288" s="10" t="s">
        <v>14402</v>
      </c>
      <c r="D3288" s="56" t="s">
        <v>9483</v>
      </c>
      <c r="E3288" s="10" t="s">
        <v>45</v>
      </c>
      <c r="F3288" s="10" t="s">
        <v>9484</v>
      </c>
      <c r="G3288" s="10" t="s">
        <v>12635</v>
      </c>
      <c r="H3288" s="10" t="s">
        <v>9717</v>
      </c>
      <c r="I3288" s="10" t="s">
        <v>48</v>
      </c>
      <c r="K3288" s="10" t="s">
        <v>14403</v>
      </c>
      <c r="L3288" s="10" t="s">
        <v>42</v>
      </c>
    </row>
    <row r="3289" ht="15.75" customHeight="1">
      <c r="A3289" s="64">
        <v>45442.0</v>
      </c>
      <c r="B3289" s="55" t="str">
        <f>HYPERLINK("https://jobright.ai/jobs/info/6659022cd9f10b0b654fdcf7?utm_campaign=1065&amp;utm_source=sheet", "Apply")</f>
        <v>Apply</v>
      </c>
      <c r="C3289" s="10" t="s">
        <v>14359</v>
      </c>
      <c r="D3289" s="56" t="s">
        <v>15535</v>
      </c>
      <c r="E3289" s="10" t="s">
        <v>65</v>
      </c>
      <c r="F3289" s="10" t="s">
        <v>1833</v>
      </c>
      <c r="G3289" s="10" t="s">
        <v>12654</v>
      </c>
      <c r="H3289" s="10" t="s">
        <v>15536</v>
      </c>
      <c r="I3289" s="10" t="s">
        <v>55</v>
      </c>
      <c r="K3289" s="10" t="s">
        <v>15537</v>
      </c>
      <c r="L3289" s="10" t="s">
        <v>42</v>
      </c>
    </row>
    <row r="3290" ht="15.75" customHeight="1">
      <c r="A3290" s="64">
        <v>45442.0</v>
      </c>
      <c r="B3290" s="55" t="str">
        <f>HYPERLINK("https://jobright.ai/jobs/info/667424f49634b665d7e5108d?utm_campaign=1065&amp;utm_source=sheet", "Apply")</f>
        <v>Apply</v>
      </c>
      <c r="C3290" s="10" t="s">
        <v>12650</v>
      </c>
      <c r="D3290" s="56" t="s">
        <v>15538</v>
      </c>
      <c r="E3290" s="10" t="s">
        <v>137</v>
      </c>
      <c r="F3290" s="10" t="s">
        <v>529</v>
      </c>
      <c r="G3290" s="10" t="s">
        <v>12630</v>
      </c>
      <c r="H3290" s="10" t="s">
        <v>794</v>
      </c>
      <c r="I3290" s="10" t="s">
        <v>55</v>
      </c>
      <c r="K3290" s="10" t="s">
        <v>15539</v>
      </c>
      <c r="L3290" s="10" t="s">
        <v>42</v>
      </c>
    </row>
    <row r="3291" ht="15.75" customHeight="1">
      <c r="A3291" s="64">
        <v>45442.0</v>
      </c>
      <c r="B3291" s="55" t="str">
        <f>HYPERLINK("https://jobright.ai/jobs/info/6657f0245436f166bb56f81e?utm_campaign=1065&amp;utm_source=sheet", "Apply")</f>
        <v>Apply</v>
      </c>
      <c r="C3291" s="10" t="s">
        <v>13338</v>
      </c>
      <c r="D3291" s="56" t="s">
        <v>15540</v>
      </c>
      <c r="E3291" s="10" t="s">
        <v>276</v>
      </c>
      <c r="F3291" s="10" t="s">
        <v>15541</v>
      </c>
      <c r="G3291" s="10" t="s">
        <v>12654</v>
      </c>
      <c r="H3291" s="10" t="s">
        <v>835</v>
      </c>
      <c r="I3291" s="10" t="s">
        <v>55</v>
      </c>
      <c r="J3291" s="10" t="s">
        <v>1409</v>
      </c>
      <c r="K3291" s="10" t="s">
        <v>15542</v>
      </c>
      <c r="L3291" s="10" t="s">
        <v>42</v>
      </c>
    </row>
    <row r="3292" ht="15.75" customHeight="1">
      <c r="A3292" s="64">
        <v>45441.0</v>
      </c>
      <c r="B3292" s="55" t="str">
        <f>HYPERLINK("https://jobright.ai/jobs/info/6657a657e245623fba598806?utm_campaign=1065&amp;utm_source=sheet", "Apply")</f>
        <v>Apply</v>
      </c>
      <c r="C3292" s="10" t="s">
        <v>15543</v>
      </c>
      <c r="D3292" s="56" t="s">
        <v>13400</v>
      </c>
      <c r="E3292" s="10" t="s">
        <v>276</v>
      </c>
      <c r="F3292" s="10" t="s">
        <v>3770</v>
      </c>
      <c r="G3292" s="10" t="s">
        <v>12654</v>
      </c>
      <c r="H3292" s="10" t="s">
        <v>813</v>
      </c>
      <c r="I3292" s="10" t="s">
        <v>55</v>
      </c>
      <c r="J3292" s="10" t="s">
        <v>15544</v>
      </c>
      <c r="K3292" s="10" t="s">
        <v>15545</v>
      </c>
      <c r="L3292" s="10" t="s">
        <v>42</v>
      </c>
    </row>
    <row r="3293" ht="15.75" customHeight="1">
      <c r="A3293" s="64">
        <v>45441.0</v>
      </c>
      <c r="B3293" s="55" t="str">
        <f>HYPERLINK("https://jobright.ai/jobs/info/664bf1a0db4e93128f9f2385?utm_campaign=1065&amp;utm_source=sheet", "Apply")</f>
        <v>Apply</v>
      </c>
      <c r="C3293" s="10" t="s">
        <v>15546</v>
      </c>
      <c r="D3293" s="56" t="s">
        <v>15547</v>
      </c>
      <c r="E3293" s="10" t="s">
        <v>65</v>
      </c>
      <c r="F3293" s="10" t="s">
        <v>665</v>
      </c>
      <c r="G3293" s="10" t="s">
        <v>12654</v>
      </c>
      <c r="H3293" s="10" t="s">
        <v>152</v>
      </c>
      <c r="I3293" s="10" t="s">
        <v>55</v>
      </c>
      <c r="K3293" s="10" t="s">
        <v>15548</v>
      </c>
      <c r="L3293" s="10" t="s">
        <v>42</v>
      </c>
    </row>
    <row r="3294" ht="15.75" customHeight="1">
      <c r="A3294" s="66">
        <v>45441.0</v>
      </c>
      <c r="B3294" s="55" t="str">
        <f>HYPERLINK("https://jobright.ai/jobs/info/665685b1261cdacfc028f48e?utm_campaign=1065&amp;utm_source=sheet", "Apply")</f>
        <v>Apply</v>
      </c>
      <c r="C3294" s="10" t="s">
        <v>15139</v>
      </c>
      <c r="D3294" s="56" t="s">
        <v>1794</v>
      </c>
      <c r="E3294" s="10" t="s">
        <v>65</v>
      </c>
      <c r="F3294" s="10" t="s">
        <v>1795</v>
      </c>
      <c r="G3294" s="10" t="s">
        <v>12630</v>
      </c>
      <c r="H3294" s="10" t="s">
        <v>1796</v>
      </c>
      <c r="I3294" s="10" t="s">
        <v>55</v>
      </c>
      <c r="J3294" s="10" t="s">
        <v>1761</v>
      </c>
      <c r="K3294" s="10" t="s">
        <v>15549</v>
      </c>
      <c r="L3294" s="10" t="s">
        <v>42</v>
      </c>
    </row>
    <row r="3295" ht="15.75" customHeight="1">
      <c r="A3295" s="66">
        <v>45440.0</v>
      </c>
      <c r="B3295" s="55" t="str">
        <f>HYPERLINK("https://jobright.ai/jobs/info/66559cc6316e7eff9587c595?utm_campaign=1065&amp;utm_source=sheet", "Apply")</f>
        <v>Apply</v>
      </c>
      <c r="C3295" s="10" t="s">
        <v>15550</v>
      </c>
      <c r="D3295" s="56" t="s">
        <v>15396</v>
      </c>
      <c r="E3295" s="10" t="s">
        <v>65</v>
      </c>
      <c r="F3295" s="10" t="s">
        <v>1234</v>
      </c>
      <c r="G3295" s="10" t="s">
        <v>12654</v>
      </c>
      <c r="H3295" s="10" t="s">
        <v>927</v>
      </c>
      <c r="I3295" s="10" t="s">
        <v>55</v>
      </c>
      <c r="K3295" s="10" t="s">
        <v>15551</v>
      </c>
      <c r="L3295" s="10" t="s">
        <v>42</v>
      </c>
    </row>
    <row r="3296" ht="15.75" customHeight="1">
      <c r="A3296" s="66">
        <v>45440.0</v>
      </c>
      <c r="B3296" s="55" t="str">
        <f>HYPERLINK("https://jobright.ai/jobs/info/6655589d704eefb7447a4e33?utm_campaign=1065&amp;utm_source=sheet", "Apply")</f>
        <v>Apply</v>
      </c>
      <c r="C3296" s="10" t="s">
        <v>15552</v>
      </c>
      <c r="D3296" s="56" t="s">
        <v>15531</v>
      </c>
      <c r="E3296" s="59">
        <v>45301.0</v>
      </c>
      <c r="F3296" s="10" t="s">
        <v>15532</v>
      </c>
      <c r="G3296" s="10" t="s">
        <v>12654</v>
      </c>
      <c r="H3296" s="10" t="s">
        <v>251</v>
      </c>
      <c r="I3296" s="10" t="s">
        <v>252</v>
      </c>
      <c r="J3296" s="10" t="s">
        <v>15533</v>
      </c>
      <c r="K3296" s="10" t="s">
        <v>15553</v>
      </c>
      <c r="L3296" s="10" t="s">
        <v>42</v>
      </c>
    </row>
    <row r="3297" ht="15.75" customHeight="1">
      <c r="A3297" s="66">
        <v>45440.0</v>
      </c>
      <c r="B3297" s="55" t="str">
        <f>HYPERLINK("https://jobright.ai/jobs/info/6668830cf8309f8de12c5464?utm_campaign=1065&amp;utm_source=sheet", "Apply")</f>
        <v>Apply</v>
      </c>
      <c r="C3297" s="10" t="s">
        <v>4331</v>
      </c>
      <c r="D3297" s="56" t="s">
        <v>15554</v>
      </c>
      <c r="E3297" s="10" t="s">
        <v>137</v>
      </c>
      <c r="F3297" s="10" t="s">
        <v>11328</v>
      </c>
      <c r="G3297" s="10" t="s">
        <v>12635</v>
      </c>
      <c r="H3297" s="10" t="s">
        <v>15555</v>
      </c>
      <c r="I3297" s="10" t="s">
        <v>55</v>
      </c>
      <c r="K3297" s="10" t="s">
        <v>15556</v>
      </c>
      <c r="L3297" s="10" t="s">
        <v>42</v>
      </c>
    </row>
    <row r="3298" ht="15.75" customHeight="1">
      <c r="A3298" s="66">
        <v>45439.0</v>
      </c>
      <c r="B3298" s="55" t="str">
        <f>HYPERLINK("https://jobright.ai/jobs/info/665940a91ad887817ee3d668?utm_campaign=1065&amp;utm_source=sheet", "Apply")</f>
        <v>Apply</v>
      </c>
      <c r="C3298" s="10" t="s">
        <v>15557</v>
      </c>
      <c r="D3298" s="56" t="s">
        <v>15558</v>
      </c>
      <c r="E3298" s="10" t="s">
        <v>137</v>
      </c>
      <c r="F3298" s="10" t="s">
        <v>13089</v>
      </c>
      <c r="G3298" s="10" t="s">
        <v>12630</v>
      </c>
      <c r="H3298" s="10" t="s">
        <v>898</v>
      </c>
      <c r="I3298" s="10" t="s">
        <v>55</v>
      </c>
      <c r="J3298" s="10" t="s">
        <v>15559</v>
      </c>
      <c r="K3298" s="10" t="s">
        <v>15560</v>
      </c>
      <c r="L3298" s="10" t="s">
        <v>42</v>
      </c>
    </row>
    <row r="3299" ht="15.75" customHeight="1">
      <c r="A3299" s="66">
        <v>45439.0</v>
      </c>
      <c r="B3299" s="55" t="str">
        <f>HYPERLINK("https://jobright.ai/jobs/info/666883e3f8309f8de12c56b2?utm_campaign=1065&amp;utm_source=sheet", "Apply")</f>
        <v>Apply</v>
      </c>
      <c r="C3299" s="10" t="s">
        <v>15561</v>
      </c>
      <c r="D3299" s="56" t="s">
        <v>15496</v>
      </c>
      <c r="E3299" s="10" t="s">
        <v>249</v>
      </c>
      <c r="F3299" s="10" t="s">
        <v>15497</v>
      </c>
      <c r="G3299" s="10" t="s">
        <v>12654</v>
      </c>
      <c r="H3299" s="10" t="s">
        <v>15498</v>
      </c>
      <c r="I3299" s="10" t="s">
        <v>55</v>
      </c>
      <c r="K3299" s="10" t="s">
        <v>15562</v>
      </c>
      <c r="L3299" s="10" t="s">
        <v>42</v>
      </c>
    </row>
    <row r="3300" ht="15.75" customHeight="1">
      <c r="A3300" s="64">
        <v>45439.0</v>
      </c>
      <c r="B3300" s="55" t="str">
        <f>HYPERLINK("https://jobright.ai/jobs/info/66688424f8309f8de12c5781?utm_campaign=1065&amp;utm_source=sheet", "Apply")</f>
        <v>Apply</v>
      </c>
      <c r="C3300" s="10" t="s">
        <v>15563</v>
      </c>
      <c r="D3300" s="56" t="s">
        <v>15496</v>
      </c>
      <c r="E3300" s="10" t="s">
        <v>249</v>
      </c>
      <c r="F3300" s="10" t="s">
        <v>15497</v>
      </c>
      <c r="G3300" s="10" t="s">
        <v>12654</v>
      </c>
      <c r="H3300" s="10" t="s">
        <v>15498</v>
      </c>
      <c r="I3300" s="10" t="s">
        <v>55</v>
      </c>
      <c r="K3300" s="10" t="s">
        <v>15564</v>
      </c>
      <c r="L3300" s="10" t="s">
        <v>42</v>
      </c>
    </row>
    <row r="3301" ht="15.75" customHeight="1">
      <c r="A3301" s="64">
        <v>45439.0</v>
      </c>
      <c r="B3301" s="55" t="str">
        <f>HYPERLINK("https://jobright.ai/jobs/info/66688424f8309f8de12c574e?utm_campaign=1065&amp;utm_source=sheet", "Apply")</f>
        <v>Apply</v>
      </c>
      <c r="C3301" s="10" t="s">
        <v>15565</v>
      </c>
      <c r="D3301" s="56" t="s">
        <v>2269</v>
      </c>
      <c r="E3301" s="10" t="s">
        <v>45</v>
      </c>
      <c r="F3301" s="10" t="s">
        <v>665</v>
      </c>
      <c r="G3301" s="10" t="s">
        <v>12635</v>
      </c>
      <c r="H3301" s="10" t="s">
        <v>9053</v>
      </c>
      <c r="I3301" s="10" t="s">
        <v>55</v>
      </c>
      <c r="J3301" s="10" t="s">
        <v>9054</v>
      </c>
      <c r="K3301" s="10" t="s">
        <v>15566</v>
      </c>
      <c r="L3301" s="10" t="s">
        <v>42</v>
      </c>
    </row>
    <row r="3302" ht="15.75" customHeight="1">
      <c r="A3302" s="64">
        <v>45438.0</v>
      </c>
      <c r="B3302" s="55" t="str">
        <f>HYPERLINK("https://jobright.ai/jobs/info/667acccced1008d97a68667e?utm_campaign=1065&amp;utm_source=sheet", "Apply")</f>
        <v>Apply</v>
      </c>
      <c r="C3302" s="10" t="s">
        <v>12938</v>
      </c>
      <c r="D3302" s="56" t="s">
        <v>15501</v>
      </c>
      <c r="E3302" s="10" t="s">
        <v>45</v>
      </c>
      <c r="F3302" s="10" t="s">
        <v>15502</v>
      </c>
      <c r="G3302" s="10" t="s">
        <v>12630</v>
      </c>
      <c r="H3302" s="10" t="s">
        <v>15503</v>
      </c>
      <c r="I3302" s="10" t="s">
        <v>55</v>
      </c>
      <c r="J3302" s="10" t="s">
        <v>1984</v>
      </c>
      <c r="K3302" s="10" t="s">
        <v>15567</v>
      </c>
      <c r="L3302" s="10" t="s">
        <v>42</v>
      </c>
    </row>
    <row r="3303" ht="15.75" customHeight="1">
      <c r="A3303" s="64">
        <v>45438.0</v>
      </c>
      <c r="B3303" s="55" t="str">
        <f>HYPERLINK("https://jobright.ai/jobs/info/667acbeeed1008d97a6855ca?utm_campaign=1065&amp;utm_source=sheet", "Apply")</f>
        <v>Apply</v>
      </c>
      <c r="C3303" s="10" t="s">
        <v>15568</v>
      </c>
      <c r="D3303" s="56" t="s">
        <v>15569</v>
      </c>
      <c r="E3303" s="10" t="s">
        <v>249</v>
      </c>
      <c r="F3303" s="10" t="s">
        <v>15570</v>
      </c>
      <c r="G3303" s="10" t="s">
        <v>12654</v>
      </c>
      <c r="H3303" s="10" t="s">
        <v>950</v>
      </c>
      <c r="I3303" s="10" t="s">
        <v>55</v>
      </c>
      <c r="K3303" s="10" t="s">
        <v>15571</v>
      </c>
      <c r="L3303" s="10" t="s">
        <v>42</v>
      </c>
    </row>
    <row r="3304" ht="15.75" customHeight="1">
      <c r="A3304" s="64">
        <v>45438.0</v>
      </c>
      <c r="B3304" s="55" t="str">
        <f>HYPERLINK("https://jobright.ai/jobs/info/667ac5816fec2de82002a1ce?utm_campaign=1065&amp;utm_source=sheet", "Apply")</f>
        <v>Apply</v>
      </c>
      <c r="C3304" s="10" t="s">
        <v>15572</v>
      </c>
      <c r="D3304" s="56" t="s">
        <v>15573</v>
      </c>
      <c r="E3304" s="10">
        <v>82.0</v>
      </c>
      <c r="G3304" s="10" t="s">
        <v>12654</v>
      </c>
      <c r="H3304" s="10" t="s">
        <v>154</v>
      </c>
      <c r="I3304" s="10" t="s">
        <v>55</v>
      </c>
      <c r="J3304" s="10" t="s">
        <v>1409</v>
      </c>
      <c r="K3304" s="10" t="s">
        <v>15574</v>
      </c>
      <c r="L3304" s="10" t="s">
        <v>42</v>
      </c>
    </row>
    <row r="3305" ht="15.75" customHeight="1">
      <c r="A3305" s="64">
        <v>45438.0</v>
      </c>
      <c r="B3305" s="55" t="str">
        <f>HYPERLINK("https://jobright.ai/jobs/info/667ac5816fec2de82002a1e5?utm_campaign=1065&amp;utm_source=sheet", "Apply")</f>
        <v>Apply</v>
      </c>
      <c r="C3305" s="10" t="s">
        <v>15575</v>
      </c>
      <c r="D3305" s="56" t="s">
        <v>15569</v>
      </c>
      <c r="E3305" s="10" t="s">
        <v>249</v>
      </c>
      <c r="F3305" s="10" t="s">
        <v>15570</v>
      </c>
      <c r="G3305" s="10" t="s">
        <v>12654</v>
      </c>
      <c r="H3305" s="10" t="s">
        <v>950</v>
      </c>
      <c r="I3305" s="10" t="s">
        <v>55</v>
      </c>
      <c r="K3305" s="10" t="s">
        <v>15571</v>
      </c>
      <c r="L3305" s="10" t="s">
        <v>42</v>
      </c>
    </row>
    <row r="3306" ht="15.75" customHeight="1">
      <c r="A3306" s="66">
        <v>45437.0</v>
      </c>
      <c r="B3306" s="55" t="str">
        <f>HYPERLINK("https://jobright.ai/jobs/info/66796df83f452d31d55f9cb0?utm_campaign=1065&amp;utm_source=sheet", "Apply")</f>
        <v>Apply</v>
      </c>
      <c r="C3306" s="10" t="s">
        <v>15576</v>
      </c>
      <c r="D3306" s="56" t="s">
        <v>15577</v>
      </c>
      <c r="E3306" s="59">
        <v>45301.0</v>
      </c>
      <c r="F3306" s="10" t="s">
        <v>1485</v>
      </c>
      <c r="G3306" s="10" t="s">
        <v>12635</v>
      </c>
      <c r="H3306" s="10" t="s">
        <v>96</v>
      </c>
      <c r="I3306" s="10" t="s">
        <v>55</v>
      </c>
      <c r="K3306" s="10" t="s">
        <v>15578</v>
      </c>
      <c r="L3306" s="10" t="s">
        <v>42</v>
      </c>
    </row>
    <row r="3307" ht="15.75" customHeight="1">
      <c r="A3307" s="66">
        <v>45437.0</v>
      </c>
      <c r="B3307" s="55" t="str">
        <f>HYPERLINK("https://jobright.ai/jobs/info/6677e24d783a239da8418168?utm_campaign=1065&amp;utm_source=sheet", "Apply")</f>
        <v>Apply</v>
      </c>
      <c r="C3307" s="10" t="s">
        <v>15579</v>
      </c>
      <c r="D3307" s="56" t="s">
        <v>4322</v>
      </c>
      <c r="E3307" s="10" t="s">
        <v>45</v>
      </c>
      <c r="F3307" s="10" t="s">
        <v>4323</v>
      </c>
      <c r="G3307" s="10" t="s">
        <v>12654</v>
      </c>
      <c r="H3307" s="10" t="s">
        <v>636</v>
      </c>
      <c r="I3307" s="10" t="s">
        <v>55</v>
      </c>
      <c r="J3307" s="10" t="s">
        <v>3651</v>
      </c>
      <c r="K3307" s="10" t="s">
        <v>15580</v>
      </c>
      <c r="L3307" s="10" t="s">
        <v>42</v>
      </c>
    </row>
    <row r="3308" ht="15.75" customHeight="1">
      <c r="A3308" s="66">
        <v>45437.0</v>
      </c>
      <c r="B3308" s="55" t="str">
        <f>HYPERLINK("https://jobright.ai/jobs/info/665484eadc70ef329d81f9ce?utm_campaign=1065&amp;utm_source=sheet", "Apply")</f>
        <v>Apply</v>
      </c>
      <c r="C3308" s="10" t="s">
        <v>15581</v>
      </c>
      <c r="D3308" s="56" t="s">
        <v>15582</v>
      </c>
      <c r="E3308" s="59">
        <v>45301.0</v>
      </c>
      <c r="F3308" s="10" t="s">
        <v>15583</v>
      </c>
      <c r="G3308" s="10" t="s">
        <v>12654</v>
      </c>
      <c r="H3308" s="10" t="s">
        <v>165</v>
      </c>
      <c r="I3308" s="10" t="s">
        <v>48</v>
      </c>
      <c r="K3308" s="10" t="s">
        <v>15584</v>
      </c>
      <c r="L3308" s="10" t="s">
        <v>42</v>
      </c>
    </row>
    <row r="3309" ht="15.75" customHeight="1">
      <c r="A3309" s="66">
        <v>45436.0</v>
      </c>
      <c r="B3309" s="55" t="str">
        <f>HYPERLINK("https://jobright.ai/jobs/info/6672fd95e88d6ae63634be48?utm_campaign=1065&amp;utm_source=sheet", "Apply")</f>
        <v>Apply</v>
      </c>
      <c r="C3309" s="10" t="s">
        <v>15585</v>
      </c>
      <c r="D3309" s="56" t="s">
        <v>12277</v>
      </c>
      <c r="E3309" s="10">
        <v>51.0</v>
      </c>
      <c r="G3309" s="10" t="s">
        <v>12654</v>
      </c>
      <c r="H3309" s="10" t="s">
        <v>170</v>
      </c>
      <c r="I3309" s="10" t="s">
        <v>55</v>
      </c>
      <c r="K3309" s="10" t="s">
        <v>15586</v>
      </c>
      <c r="L3309" s="10" t="s">
        <v>42</v>
      </c>
    </row>
    <row r="3310" ht="15.75" customHeight="1">
      <c r="A3310" s="64">
        <v>45435.0</v>
      </c>
      <c r="B3310" s="55" t="str">
        <f>HYPERLINK("https://jobright.ai/jobs/info/664fbaf28cec17bd99e42225?utm_campaign=1065&amp;utm_source=sheet", "Apply")</f>
        <v>Apply</v>
      </c>
      <c r="C3310" s="10" t="s">
        <v>12728</v>
      </c>
      <c r="D3310" s="56" t="s">
        <v>2282</v>
      </c>
      <c r="E3310" s="10" t="s">
        <v>137</v>
      </c>
      <c r="F3310" s="10" t="s">
        <v>2283</v>
      </c>
      <c r="G3310" s="10" t="s">
        <v>12630</v>
      </c>
      <c r="H3310" s="10" t="s">
        <v>411</v>
      </c>
      <c r="I3310" s="10" t="s">
        <v>48</v>
      </c>
      <c r="K3310" s="10" t="s">
        <v>15587</v>
      </c>
      <c r="L3310" s="10" t="s">
        <v>42</v>
      </c>
    </row>
    <row r="3311" ht="15.75" customHeight="1">
      <c r="A3311" s="64">
        <v>45435.0</v>
      </c>
      <c r="B3311" s="55" t="str">
        <f>HYPERLINK("https://jobright.ai/jobs/info/664fbafc8cec17bd99e42342?utm_campaign=1065&amp;utm_source=sheet", "Apply")</f>
        <v>Apply</v>
      </c>
      <c r="C3311" s="10" t="s">
        <v>12650</v>
      </c>
      <c r="D3311" s="56" t="s">
        <v>2282</v>
      </c>
      <c r="E3311" s="10" t="s">
        <v>137</v>
      </c>
      <c r="F3311" s="10" t="s">
        <v>2283</v>
      </c>
      <c r="G3311" s="10" t="s">
        <v>12635</v>
      </c>
      <c r="H3311" s="10" t="s">
        <v>411</v>
      </c>
      <c r="I3311" s="10" t="s">
        <v>48</v>
      </c>
      <c r="K3311" s="10" t="s">
        <v>15587</v>
      </c>
      <c r="L3311" s="10" t="s">
        <v>42</v>
      </c>
    </row>
    <row r="3312" ht="15.75" customHeight="1">
      <c r="A3312" s="64">
        <v>45435.0</v>
      </c>
      <c r="B3312" s="55" t="str">
        <f>HYPERLINK("https://jobright.ai/jobs/info/6677e257783a239da841827a?utm_campaign=1065&amp;utm_source=sheet", "Apply")</f>
        <v>Apply</v>
      </c>
      <c r="C3312" s="10" t="s">
        <v>15588</v>
      </c>
      <c r="D3312" s="56" t="s">
        <v>15589</v>
      </c>
      <c r="E3312" s="59">
        <v>45301.0</v>
      </c>
      <c r="F3312" s="10" t="s">
        <v>370</v>
      </c>
      <c r="G3312" s="10" t="s">
        <v>12630</v>
      </c>
      <c r="H3312" s="10" t="s">
        <v>15590</v>
      </c>
      <c r="I3312" s="10" t="s">
        <v>55</v>
      </c>
      <c r="K3312" s="10" t="s">
        <v>15591</v>
      </c>
      <c r="L3312" s="10" t="s">
        <v>42</v>
      </c>
    </row>
    <row r="3313" ht="15.75" customHeight="1">
      <c r="A3313" s="66">
        <v>45435.0</v>
      </c>
      <c r="B3313" s="55" t="str">
        <f>HYPERLINK("https://jobright.ai/jobs/info/6677e260783a239da84182cc?utm_campaign=1065&amp;utm_source=sheet", "Apply")</f>
        <v>Apply</v>
      </c>
      <c r="C3313" s="10" t="s">
        <v>15592</v>
      </c>
      <c r="D3313" s="56" t="s">
        <v>13845</v>
      </c>
      <c r="E3313" s="10" t="s">
        <v>276</v>
      </c>
      <c r="F3313" s="10" t="s">
        <v>339</v>
      </c>
      <c r="G3313" s="10" t="s">
        <v>12635</v>
      </c>
      <c r="H3313" s="10" t="s">
        <v>5337</v>
      </c>
      <c r="I3313" s="10" t="s">
        <v>55</v>
      </c>
      <c r="K3313" s="10" t="s">
        <v>15593</v>
      </c>
      <c r="L3313" s="10" t="s">
        <v>42</v>
      </c>
    </row>
    <row r="3314" ht="15.75" customHeight="1">
      <c r="A3314" s="64">
        <v>45435.0</v>
      </c>
      <c r="B3314" s="55" t="str">
        <f>HYPERLINK("https://jobright.ai/jobs/info/6677e2c5783a239da8418af0?utm_campaign=1065&amp;utm_source=sheet", "Apply")</f>
        <v>Apply</v>
      </c>
      <c r="C3314" s="10" t="s">
        <v>15594</v>
      </c>
      <c r="D3314" s="56" t="s">
        <v>15595</v>
      </c>
      <c r="E3314" s="59">
        <v>45301.0</v>
      </c>
      <c r="F3314" s="10" t="s">
        <v>13089</v>
      </c>
      <c r="G3314" s="10" t="s">
        <v>12630</v>
      </c>
      <c r="H3314" s="10" t="s">
        <v>131</v>
      </c>
      <c r="I3314" s="10" t="s">
        <v>55</v>
      </c>
      <c r="J3314" s="10" t="s">
        <v>15596</v>
      </c>
      <c r="K3314" s="10" t="s">
        <v>15597</v>
      </c>
      <c r="L3314" s="10" t="s">
        <v>42</v>
      </c>
    </row>
    <row r="3315" ht="15.75" customHeight="1">
      <c r="A3315" s="64">
        <v>45435.0</v>
      </c>
      <c r="B3315" s="55" t="str">
        <f>HYPERLINK("https://jobright.ai/jobs/info/6677e2ec783a239da8418da0?utm_campaign=1065&amp;utm_source=sheet", "Apply")</f>
        <v>Apply</v>
      </c>
      <c r="C3315" s="10" t="s">
        <v>13908</v>
      </c>
      <c r="D3315" s="56" t="s">
        <v>2314</v>
      </c>
      <c r="E3315" s="10" t="s">
        <v>209</v>
      </c>
      <c r="F3315" s="10" t="s">
        <v>2315</v>
      </c>
      <c r="G3315" s="10" t="s">
        <v>12630</v>
      </c>
      <c r="H3315" s="10" t="s">
        <v>152</v>
      </c>
      <c r="I3315" s="10" t="s">
        <v>55</v>
      </c>
      <c r="K3315" s="10" t="s">
        <v>15598</v>
      </c>
      <c r="L3315" s="10" t="s">
        <v>42</v>
      </c>
    </row>
    <row r="3316" ht="15.75" customHeight="1">
      <c r="A3316" s="64">
        <v>45435.0</v>
      </c>
      <c r="B3316" s="55" t="str">
        <f>HYPERLINK("https://jobright.ai/jobs/info/6677e200783a239da8417b6b?utm_campaign=1065&amp;utm_source=sheet", "Apply")</f>
        <v>Apply</v>
      </c>
      <c r="C3316" s="10" t="s">
        <v>15599</v>
      </c>
      <c r="D3316" s="56" t="s">
        <v>12306</v>
      </c>
      <c r="E3316" s="10">
        <v>40.0</v>
      </c>
      <c r="G3316" s="10" t="s">
        <v>12630</v>
      </c>
      <c r="H3316" s="10" t="s">
        <v>843</v>
      </c>
      <c r="I3316" s="10" t="s">
        <v>55</v>
      </c>
      <c r="J3316" s="10" t="s">
        <v>1409</v>
      </c>
      <c r="K3316" s="10" t="s">
        <v>15600</v>
      </c>
      <c r="L3316" s="10" t="s">
        <v>42</v>
      </c>
    </row>
    <row r="3317" ht="15.75" customHeight="1">
      <c r="A3317" s="64">
        <v>45435.0</v>
      </c>
      <c r="B3317" s="55" t="str">
        <f>HYPERLINK("https://jobright.ai/jobs/info/6677e346783a239da841950b?utm_campaign=1065&amp;utm_source=sheet", "Apply")</f>
        <v>Apply</v>
      </c>
      <c r="C3317" s="10" t="s">
        <v>15601</v>
      </c>
      <c r="D3317" s="56" t="s">
        <v>15602</v>
      </c>
      <c r="E3317" s="10" t="s">
        <v>137</v>
      </c>
      <c r="F3317" s="10" t="s">
        <v>15603</v>
      </c>
      <c r="G3317" s="10" t="s">
        <v>12654</v>
      </c>
      <c r="H3317" s="10" t="s">
        <v>96</v>
      </c>
      <c r="I3317" s="10" t="s">
        <v>55</v>
      </c>
      <c r="J3317" s="10" t="s">
        <v>9875</v>
      </c>
      <c r="K3317" s="10" t="s">
        <v>15604</v>
      </c>
      <c r="L3317" s="10" t="s">
        <v>42</v>
      </c>
    </row>
    <row r="3318" ht="15.75" customHeight="1">
      <c r="A3318" s="64">
        <v>45435.0</v>
      </c>
      <c r="B3318" s="55" t="str">
        <f>HYPERLINK("https://jobright.ai/jobs/info/6677e39b783a239da8419c3c?utm_campaign=1065&amp;utm_source=sheet", "Apply")</f>
        <v>Apply</v>
      </c>
      <c r="C3318" s="10" t="s">
        <v>15605</v>
      </c>
      <c r="D3318" s="56" t="s">
        <v>15606</v>
      </c>
      <c r="E3318" s="10" t="s">
        <v>137</v>
      </c>
      <c r="F3318" s="10" t="s">
        <v>6432</v>
      </c>
      <c r="G3318" s="10" t="s">
        <v>12635</v>
      </c>
      <c r="H3318" s="10" t="s">
        <v>7260</v>
      </c>
      <c r="I3318" s="10" t="s">
        <v>55</v>
      </c>
      <c r="K3318" s="10" t="s">
        <v>15607</v>
      </c>
      <c r="L3318" s="10" t="s">
        <v>42</v>
      </c>
    </row>
    <row r="3319" ht="15.75" customHeight="1">
      <c r="A3319" s="64">
        <v>45435.0</v>
      </c>
      <c r="B3319" s="55" t="str">
        <f>HYPERLINK("https://jobright.ai/jobs/info/6677e37e783a239da84199a5?utm_campaign=1065&amp;utm_source=sheet", "Apply")</f>
        <v>Apply</v>
      </c>
      <c r="C3319" s="10" t="s">
        <v>14190</v>
      </c>
      <c r="D3319" s="56" t="s">
        <v>15454</v>
      </c>
      <c r="E3319" s="10" t="s">
        <v>276</v>
      </c>
      <c r="F3319" s="10" t="s">
        <v>13089</v>
      </c>
      <c r="G3319" s="10" t="s">
        <v>12654</v>
      </c>
      <c r="H3319" s="10" t="s">
        <v>12519</v>
      </c>
      <c r="I3319" s="10" t="s">
        <v>48</v>
      </c>
      <c r="K3319" s="10" t="s">
        <v>15608</v>
      </c>
      <c r="L3319" s="10" t="s">
        <v>42</v>
      </c>
    </row>
    <row r="3320" ht="15.75" customHeight="1">
      <c r="A3320" s="64">
        <v>45435.0</v>
      </c>
      <c r="B3320" s="55" t="str">
        <f>HYPERLINK("https://jobright.ai/jobs/info/667494963990c28f4c6c551e?utm_campaign=1065&amp;utm_source=sheet", "Apply")</f>
        <v>Apply</v>
      </c>
      <c r="C3320" s="10" t="s">
        <v>15609</v>
      </c>
      <c r="D3320" s="56" t="s">
        <v>15610</v>
      </c>
      <c r="E3320" s="10" t="s">
        <v>71</v>
      </c>
      <c r="F3320" s="10" t="s">
        <v>1506</v>
      </c>
      <c r="G3320" s="10" t="s">
        <v>12654</v>
      </c>
      <c r="H3320" s="10" t="s">
        <v>957</v>
      </c>
      <c r="I3320" s="10" t="s">
        <v>55</v>
      </c>
      <c r="K3320" s="10" t="s">
        <v>15611</v>
      </c>
      <c r="L3320" s="10" t="s">
        <v>42</v>
      </c>
    </row>
    <row r="3321" ht="15.75" customHeight="1">
      <c r="A3321" s="64">
        <v>45435.0</v>
      </c>
      <c r="B3321" s="55" t="str">
        <f>HYPERLINK("https://jobright.ai/jobs/info/6677e7a28edbb3fe78f32202?utm_campaign=1065&amp;utm_source=sheet", "Apply")</f>
        <v>Apply</v>
      </c>
      <c r="C3321" s="10" t="s">
        <v>12650</v>
      </c>
      <c r="D3321" s="56" t="s">
        <v>15612</v>
      </c>
      <c r="F3321" s="10" t="s">
        <v>2964</v>
      </c>
      <c r="G3321" s="10" t="s">
        <v>12654</v>
      </c>
      <c r="H3321" s="10" t="s">
        <v>4230</v>
      </c>
      <c r="I3321" s="10" t="s">
        <v>48</v>
      </c>
      <c r="K3321" s="10" t="s">
        <v>15613</v>
      </c>
      <c r="L3321" s="10" t="s">
        <v>42</v>
      </c>
    </row>
    <row r="3322" ht="15.75" customHeight="1">
      <c r="A3322" s="68">
        <v>45435.0</v>
      </c>
      <c r="B3322" s="55" t="str">
        <f>HYPERLINK("https://jobright.ai/jobs/info/6677e6f38edbb3fe78f31368?utm_campaign=1065&amp;utm_source=sheet", "Apply")</f>
        <v>Apply</v>
      </c>
      <c r="C3322" s="10" t="s">
        <v>15614</v>
      </c>
      <c r="D3322" s="56" t="s">
        <v>15602</v>
      </c>
      <c r="E3322" s="10" t="s">
        <v>137</v>
      </c>
      <c r="F3322" s="10" t="s">
        <v>15603</v>
      </c>
      <c r="G3322" s="10" t="s">
        <v>12654</v>
      </c>
      <c r="H3322" s="10" t="s">
        <v>167</v>
      </c>
      <c r="I3322" s="10" t="s">
        <v>55</v>
      </c>
      <c r="J3322" s="10" t="s">
        <v>9875</v>
      </c>
      <c r="K3322" s="10" t="s">
        <v>15615</v>
      </c>
      <c r="L3322" s="10" t="s">
        <v>42</v>
      </c>
    </row>
    <row r="3323" ht="15.75" customHeight="1">
      <c r="A3323" s="68">
        <v>45435.0</v>
      </c>
      <c r="B3323" s="55" t="str">
        <f>HYPERLINK("https://jobright.ai/jobs/info/6677e7d88edbb3fe78f3265a?utm_campaign=1065&amp;utm_source=sheet", "Apply")</f>
        <v>Apply</v>
      </c>
      <c r="C3323" s="10" t="s">
        <v>15616</v>
      </c>
      <c r="D3323" s="56" t="s">
        <v>15589</v>
      </c>
      <c r="E3323" s="59">
        <v>45301.0</v>
      </c>
      <c r="F3323" s="10" t="s">
        <v>370</v>
      </c>
      <c r="G3323" s="10" t="s">
        <v>12630</v>
      </c>
      <c r="H3323" s="10" t="s">
        <v>15590</v>
      </c>
      <c r="I3323" s="10" t="s">
        <v>55</v>
      </c>
      <c r="K3323" s="10" t="s">
        <v>15617</v>
      </c>
      <c r="L3323" s="10" t="s">
        <v>42</v>
      </c>
    </row>
    <row r="3324" ht="15.75" customHeight="1">
      <c r="A3324" s="68">
        <v>45435.0</v>
      </c>
      <c r="B3324" s="55" t="str">
        <f>HYPERLINK("https://jobright.ai/jobs/info/6677e8128edbb3fe78f32aed?utm_campaign=1065&amp;utm_source=sheet", "Apply")</f>
        <v>Apply</v>
      </c>
      <c r="C3324" s="10" t="s">
        <v>15618</v>
      </c>
      <c r="D3324" s="56" t="s">
        <v>15619</v>
      </c>
      <c r="E3324" s="10" t="s">
        <v>71</v>
      </c>
      <c r="F3324" s="10" t="s">
        <v>4315</v>
      </c>
      <c r="G3324" s="10" t="s">
        <v>12630</v>
      </c>
      <c r="H3324" s="10" t="s">
        <v>886</v>
      </c>
      <c r="I3324" s="10" t="s">
        <v>55</v>
      </c>
      <c r="K3324" s="10" t="s">
        <v>15620</v>
      </c>
      <c r="L3324" s="10" t="s">
        <v>42</v>
      </c>
    </row>
    <row r="3325" ht="15.75" customHeight="1">
      <c r="A3325" s="68">
        <v>45435.0</v>
      </c>
      <c r="B3325" s="55" t="str">
        <f>HYPERLINK("https://jobright.ai/jobs/info/6677e7238edbb3fe78f3179f?utm_campaign=1065&amp;utm_source=sheet", "Apply")</f>
        <v>Apply</v>
      </c>
      <c r="C3325" s="10" t="s">
        <v>15621</v>
      </c>
      <c r="D3325" s="56" t="s">
        <v>15622</v>
      </c>
      <c r="E3325" s="10" t="s">
        <v>137</v>
      </c>
      <c r="F3325" s="10" t="s">
        <v>2601</v>
      </c>
      <c r="G3325" s="10" t="s">
        <v>12645</v>
      </c>
      <c r="H3325" s="10" t="s">
        <v>6990</v>
      </c>
      <c r="I3325" s="10" t="s">
        <v>55</v>
      </c>
      <c r="K3325" s="10" t="s">
        <v>15623</v>
      </c>
      <c r="L3325" s="10" t="s">
        <v>42</v>
      </c>
    </row>
    <row r="3326" ht="15.75" customHeight="1">
      <c r="A3326" s="68">
        <v>45435.0</v>
      </c>
      <c r="B3326" s="55" t="str">
        <f>HYPERLINK("https://jobright.ai/jobs/info/6677ed5e2ffca2bcf66921ac?utm_campaign=1065&amp;utm_source=sheet", "Apply")</f>
        <v>Apply</v>
      </c>
      <c r="C3326" s="10" t="s">
        <v>15624</v>
      </c>
      <c r="D3326" s="56" t="s">
        <v>15625</v>
      </c>
      <c r="E3326" s="10" t="s">
        <v>276</v>
      </c>
      <c r="F3326" s="10" t="s">
        <v>244</v>
      </c>
      <c r="G3326" s="10" t="s">
        <v>12630</v>
      </c>
      <c r="H3326" s="10" t="s">
        <v>15626</v>
      </c>
      <c r="I3326" s="10" t="s">
        <v>55</v>
      </c>
      <c r="K3326" s="10" t="s">
        <v>15627</v>
      </c>
      <c r="L3326" s="10" t="s">
        <v>42</v>
      </c>
    </row>
    <row r="3327" ht="15.75" customHeight="1">
      <c r="A3327" s="68">
        <v>45435.0</v>
      </c>
      <c r="B3327" s="55" t="str">
        <f>HYPERLINK("https://jobright.ai/jobs/info/6677ecd12ffca2bcf6691730?utm_campaign=1065&amp;utm_source=sheet", "Apply")</f>
        <v>Apply</v>
      </c>
      <c r="C3327" s="10" t="s">
        <v>15628</v>
      </c>
      <c r="D3327" s="56" t="s">
        <v>1505</v>
      </c>
      <c r="E3327" s="10" t="s">
        <v>137</v>
      </c>
      <c r="F3327" s="10" t="s">
        <v>1506</v>
      </c>
      <c r="G3327" s="10" t="s">
        <v>12635</v>
      </c>
      <c r="H3327" s="10" t="s">
        <v>382</v>
      </c>
      <c r="I3327" s="10" t="s">
        <v>55</v>
      </c>
      <c r="J3327" s="10" t="s">
        <v>15629</v>
      </c>
      <c r="K3327" s="10" t="s">
        <v>15630</v>
      </c>
      <c r="L3327" s="10" t="s">
        <v>42</v>
      </c>
    </row>
    <row r="3328" ht="15.75" customHeight="1">
      <c r="A3328" s="68">
        <v>45435.0</v>
      </c>
      <c r="B3328" s="55" t="str">
        <f>HYPERLINK("https://jobright.ai/jobs/info/6677ece52ffca2bcf6691905?utm_campaign=1065&amp;utm_source=sheet", "Apply")</f>
        <v>Apply</v>
      </c>
      <c r="C3328" s="10" t="s">
        <v>12965</v>
      </c>
      <c r="D3328" s="56" t="s">
        <v>15631</v>
      </c>
      <c r="E3328" s="10" t="s">
        <v>209</v>
      </c>
      <c r="F3328" s="10" t="s">
        <v>15632</v>
      </c>
      <c r="G3328" s="10" t="s">
        <v>12630</v>
      </c>
      <c r="H3328" s="10" t="s">
        <v>909</v>
      </c>
      <c r="I3328" s="10" t="s">
        <v>55</v>
      </c>
      <c r="K3328" s="10" t="s">
        <v>15633</v>
      </c>
      <c r="L3328" s="10" t="s">
        <v>42</v>
      </c>
    </row>
    <row r="3329" ht="15.75" customHeight="1">
      <c r="A3329" s="68">
        <v>45435.0</v>
      </c>
      <c r="B3329" s="55" t="str">
        <f>HYPERLINK("https://jobright.ai/jobs/info/6677f1b09c81148ccaaed035?utm_campaign=1065&amp;utm_source=sheet", "Apply")</f>
        <v>Apply</v>
      </c>
      <c r="C3329" s="10" t="s">
        <v>15634</v>
      </c>
      <c r="D3329" s="56" t="s">
        <v>12711</v>
      </c>
      <c r="F3329" s="10" t="s">
        <v>12712</v>
      </c>
      <c r="G3329" s="10" t="s">
        <v>12654</v>
      </c>
      <c r="H3329" s="10" t="s">
        <v>12713</v>
      </c>
      <c r="I3329" s="10" t="s">
        <v>55</v>
      </c>
      <c r="K3329" s="10" t="s">
        <v>15635</v>
      </c>
      <c r="L3329" s="10" t="s">
        <v>42</v>
      </c>
    </row>
    <row r="3330" ht="15.75" customHeight="1">
      <c r="A3330" s="68">
        <v>45435.0</v>
      </c>
      <c r="B3330" s="55" t="str">
        <f>HYPERLINK("https://jobright.ai/jobs/info/6677f2489c81148ccaaedc50?utm_campaign=1065&amp;utm_source=sheet", "Apply")</f>
        <v>Apply</v>
      </c>
      <c r="C3330" s="10" t="s">
        <v>12650</v>
      </c>
      <c r="D3330" s="56" t="s">
        <v>15636</v>
      </c>
      <c r="E3330" s="10" t="s">
        <v>71</v>
      </c>
      <c r="F3330" s="10" t="s">
        <v>1815</v>
      </c>
      <c r="G3330" s="10" t="s">
        <v>12635</v>
      </c>
      <c r="H3330" s="10" t="s">
        <v>15637</v>
      </c>
      <c r="I3330" s="10" t="s">
        <v>48</v>
      </c>
      <c r="J3330" s="10" t="s">
        <v>15638</v>
      </c>
      <c r="K3330" s="10" t="s">
        <v>15639</v>
      </c>
      <c r="L3330" s="10" t="s">
        <v>42</v>
      </c>
    </row>
    <row r="3331" ht="15.75" customHeight="1">
      <c r="A3331" s="68">
        <v>45435.0</v>
      </c>
      <c r="B3331" s="55" t="str">
        <f>HYPERLINK("https://jobright.ai/jobs/info/6677f2529c81148ccaaedcdc?utm_campaign=1065&amp;utm_source=sheet", "Apply")</f>
        <v>Apply</v>
      </c>
      <c r="C3331" s="10" t="s">
        <v>15640</v>
      </c>
      <c r="D3331" s="56" t="s">
        <v>15641</v>
      </c>
      <c r="E3331" s="59">
        <v>45301.0</v>
      </c>
      <c r="F3331" s="10" t="s">
        <v>15642</v>
      </c>
      <c r="G3331" s="10" t="s">
        <v>12630</v>
      </c>
      <c r="H3331" s="10" t="s">
        <v>251</v>
      </c>
      <c r="I3331" s="10" t="s">
        <v>252</v>
      </c>
      <c r="K3331" s="10" t="s">
        <v>15643</v>
      </c>
      <c r="L3331" s="10" t="s">
        <v>42</v>
      </c>
    </row>
    <row r="3332" ht="15.75" customHeight="1">
      <c r="A3332" s="68">
        <v>45435.0</v>
      </c>
      <c r="B3332" s="55" t="str">
        <f>HYPERLINK("https://jobright.ai/jobs/info/66741e638f8ed70066b4be53?utm_campaign=1065&amp;utm_source=sheet", "Apply")</f>
        <v>Apply</v>
      </c>
      <c r="C3332" s="10" t="s">
        <v>15644</v>
      </c>
      <c r="D3332" s="56" t="s">
        <v>15577</v>
      </c>
      <c r="E3332" s="59">
        <v>45301.0</v>
      </c>
      <c r="F3332" s="10" t="s">
        <v>1485</v>
      </c>
      <c r="G3332" s="10" t="s">
        <v>12630</v>
      </c>
      <c r="H3332" s="10" t="s">
        <v>96</v>
      </c>
      <c r="I3332" s="10" t="s">
        <v>55</v>
      </c>
      <c r="K3332" s="10" t="s">
        <v>15645</v>
      </c>
      <c r="L3332" s="10" t="s">
        <v>42</v>
      </c>
    </row>
    <row r="3333" ht="15.75" customHeight="1">
      <c r="A3333" s="68">
        <v>45435.0</v>
      </c>
      <c r="B3333" s="55" t="str">
        <f>HYPERLINK("https://jobright.ai/jobs/info/6677f1fc9c81148ccaaed643?utm_campaign=1065&amp;utm_source=sheet", "Apply")</f>
        <v>Apply</v>
      </c>
      <c r="C3333" s="10" t="s">
        <v>15646</v>
      </c>
      <c r="D3333" s="56" t="s">
        <v>12306</v>
      </c>
      <c r="E3333" s="10">
        <v>40.0</v>
      </c>
      <c r="G3333" s="10" t="s">
        <v>12654</v>
      </c>
      <c r="H3333" s="10" t="s">
        <v>843</v>
      </c>
      <c r="I3333" s="10" t="s">
        <v>55</v>
      </c>
      <c r="J3333" s="10" t="s">
        <v>1409</v>
      </c>
      <c r="K3333" s="10" t="s">
        <v>15647</v>
      </c>
      <c r="L3333" s="10" t="s">
        <v>42</v>
      </c>
    </row>
    <row r="3334" ht="15.75" customHeight="1">
      <c r="A3334" s="68">
        <v>45435.0</v>
      </c>
      <c r="B3334" s="55" t="str">
        <f>HYPERLINK("https://jobright.ai/jobs/info/66689bbd7cff9ea738f807c0?utm_campaign=1065&amp;utm_source=sheet", "Apply")</f>
        <v>Apply</v>
      </c>
      <c r="C3334" s="10" t="s">
        <v>15648</v>
      </c>
      <c r="D3334" s="56" t="s">
        <v>1675</v>
      </c>
      <c r="E3334" s="10" t="s">
        <v>45</v>
      </c>
      <c r="F3334" s="10" t="s">
        <v>1676</v>
      </c>
      <c r="G3334" s="10" t="s">
        <v>12635</v>
      </c>
      <c r="H3334" s="10" t="s">
        <v>1677</v>
      </c>
      <c r="I3334" s="10" t="s">
        <v>48</v>
      </c>
      <c r="K3334" s="10" t="s">
        <v>15649</v>
      </c>
      <c r="L3334" s="10" t="s">
        <v>42</v>
      </c>
    </row>
    <row r="3335" ht="15.75" customHeight="1">
      <c r="A3335" s="68">
        <v>45435.0</v>
      </c>
      <c r="B3335" s="55" t="str">
        <f>HYPERLINK("https://jobright.ai/jobs/info/6668bcda85b2e37272756084?utm_campaign=1065&amp;utm_source=sheet", "Apply")</f>
        <v>Apply</v>
      </c>
      <c r="C3335" s="10" t="s">
        <v>15650</v>
      </c>
      <c r="D3335" s="56" t="s">
        <v>15651</v>
      </c>
      <c r="E3335" s="10" t="s">
        <v>276</v>
      </c>
      <c r="F3335" s="10" t="s">
        <v>13982</v>
      </c>
      <c r="G3335" s="10" t="s">
        <v>12635</v>
      </c>
      <c r="H3335" s="10" t="s">
        <v>15652</v>
      </c>
      <c r="I3335" s="10" t="s">
        <v>55</v>
      </c>
      <c r="K3335" s="10" t="s">
        <v>15653</v>
      </c>
      <c r="L3335" s="10" t="s">
        <v>42</v>
      </c>
    </row>
    <row r="3336" ht="15.75" customHeight="1">
      <c r="A3336" s="68">
        <v>45434.0</v>
      </c>
      <c r="B3336" s="55" t="str">
        <f>HYPERLINK("https://jobright.ai/jobs/info/6676335ee272243dcd4f5d83?utm_campaign=1065&amp;utm_source=sheet", "Apply")</f>
        <v>Apply</v>
      </c>
      <c r="C3336" s="10" t="s">
        <v>15654</v>
      </c>
      <c r="D3336" s="56" t="s">
        <v>15602</v>
      </c>
      <c r="E3336" s="10" t="s">
        <v>137</v>
      </c>
      <c r="F3336" s="10" t="s">
        <v>15603</v>
      </c>
      <c r="G3336" s="10" t="s">
        <v>12654</v>
      </c>
      <c r="H3336" s="10" t="s">
        <v>723</v>
      </c>
      <c r="I3336" s="10" t="s">
        <v>55</v>
      </c>
      <c r="J3336" s="10" t="s">
        <v>9875</v>
      </c>
      <c r="K3336" s="10" t="s">
        <v>15655</v>
      </c>
      <c r="L3336" s="10" t="s">
        <v>42</v>
      </c>
    </row>
    <row r="3337" ht="15.75" customHeight="1">
      <c r="A3337" s="68">
        <v>45434.0</v>
      </c>
      <c r="B3337" s="55" t="str">
        <f>HYPERLINK("https://jobright.ai/jobs/info/66763373e272243dcd4f5f9e?utm_campaign=1065&amp;utm_source=sheet", "Apply")</f>
        <v>Apply</v>
      </c>
      <c r="C3337" s="10" t="s">
        <v>15656</v>
      </c>
      <c r="D3337" s="56" t="s">
        <v>12711</v>
      </c>
      <c r="F3337" s="10" t="s">
        <v>12712</v>
      </c>
      <c r="G3337" s="10" t="s">
        <v>12654</v>
      </c>
      <c r="H3337" s="10" t="s">
        <v>12713</v>
      </c>
      <c r="I3337" s="10" t="s">
        <v>55</v>
      </c>
      <c r="K3337" s="10" t="s">
        <v>15657</v>
      </c>
      <c r="L3337" s="10" t="s">
        <v>42</v>
      </c>
    </row>
    <row r="3338" ht="15.75" customHeight="1">
      <c r="A3338" s="68">
        <v>45434.0</v>
      </c>
      <c r="B3338" s="55" t="str">
        <f>HYPERLINK("https://jobright.ai/jobs/info/664e36765ea75b6f96bede9b?utm_campaign=1065&amp;utm_source=sheet", "Apply")</f>
        <v>Apply</v>
      </c>
      <c r="C3338" s="10" t="s">
        <v>12650</v>
      </c>
      <c r="D3338" s="56" t="s">
        <v>7772</v>
      </c>
      <c r="E3338" s="10" t="s">
        <v>65</v>
      </c>
      <c r="F3338" s="10" t="s">
        <v>1274</v>
      </c>
      <c r="G3338" s="10" t="s">
        <v>12635</v>
      </c>
      <c r="H3338" s="10" t="s">
        <v>354</v>
      </c>
      <c r="I3338" s="10" t="s">
        <v>55</v>
      </c>
      <c r="K3338" s="10" t="s">
        <v>15658</v>
      </c>
      <c r="L3338" s="10" t="s">
        <v>42</v>
      </c>
    </row>
    <row r="3339" ht="15.75" customHeight="1">
      <c r="A3339" s="68">
        <v>45434.0</v>
      </c>
      <c r="B3339" s="55" t="str">
        <f>HYPERLINK("https://jobright.ai/jobs/info/6677f2de9c81148ccaaee835?utm_campaign=1065&amp;utm_source=sheet", "Apply")</f>
        <v>Apply</v>
      </c>
      <c r="C3339" s="10" t="s">
        <v>14548</v>
      </c>
      <c r="D3339" s="56" t="s">
        <v>13273</v>
      </c>
      <c r="E3339" s="10" t="s">
        <v>45</v>
      </c>
      <c r="F3339" s="10" t="s">
        <v>13274</v>
      </c>
      <c r="G3339" s="10" t="s">
        <v>12654</v>
      </c>
      <c r="H3339" s="10" t="s">
        <v>278</v>
      </c>
      <c r="I3339" s="10" t="s">
        <v>55</v>
      </c>
      <c r="K3339" s="10" t="s">
        <v>15659</v>
      </c>
      <c r="L3339" s="10" t="s">
        <v>42</v>
      </c>
    </row>
    <row r="3340" ht="15.75" customHeight="1">
      <c r="A3340" s="68">
        <v>45434.0</v>
      </c>
      <c r="B3340" s="55" t="str">
        <f>HYPERLINK("https://jobright.ai/jobs/info/66766c2593b9404f41dd5ba5?utm_campaign=1065&amp;utm_source=sheet", "Apply")</f>
        <v>Apply</v>
      </c>
      <c r="C3340" s="10" t="s">
        <v>15660</v>
      </c>
      <c r="D3340" s="56" t="s">
        <v>13160</v>
      </c>
      <c r="E3340" s="10" t="s">
        <v>45</v>
      </c>
      <c r="F3340" s="10" t="s">
        <v>13161</v>
      </c>
      <c r="G3340" s="10" t="s">
        <v>12654</v>
      </c>
      <c r="H3340" s="10" t="s">
        <v>6071</v>
      </c>
      <c r="I3340" s="10" t="s">
        <v>55</v>
      </c>
      <c r="K3340" s="10" t="s">
        <v>15661</v>
      </c>
      <c r="L3340" s="10" t="s">
        <v>42</v>
      </c>
    </row>
    <row r="3341" ht="15.75" customHeight="1">
      <c r="A3341" s="68">
        <v>45434.0</v>
      </c>
      <c r="B3341" s="55" t="str">
        <f>HYPERLINK("https://jobright.ai/jobs/info/664eb9c9441ecf4d17eb39eb?utm_campaign=1065&amp;utm_source=sheet", "Apply")</f>
        <v>Apply</v>
      </c>
      <c r="C3341" s="10" t="s">
        <v>15662</v>
      </c>
      <c r="D3341" s="56" t="s">
        <v>15387</v>
      </c>
      <c r="E3341" s="10" t="s">
        <v>209</v>
      </c>
      <c r="F3341" s="10" t="s">
        <v>15388</v>
      </c>
      <c r="G3341" s="10" t="s">
        <v>12645</v>
      </c>
      <c r="H3341" s="10" t="s">
        <v>278</v>
      </c>
      <c r="I3341" s="10" t="s">
        <v>55</v>
      </c>
      <c r="J3341" s="10" t="s">
        <v>1409</v>
      </c>
      <c r="K3341" s="10" t="s">
        <v>15390</v>
      </c>
      <c r="L3341" s="10" t="s">
        <v>42</v>
      </c>
    </row>
    <row r="3342" ht="15.75" customHeight="1">
      <c r="A3342" s="68">
        <v>45434.0</v>
      </c>
      <c r="B3342" s="55" t="str">
        <f>HYPERLINK("https://jobright.ai/jobs/info/666905352dac6f47f46718c7?utm_campaign=1065&amp;utm_source=sheet", "Apply")</f>
        <v>Apply</v>
      </c>
      <c r="C3342" s="10" t="s">
        <v>4331</v>
      </c>
      <c r="D3342" s="56" t="s">
        <v>2314</v>
      </c>
      <c r="E3342" s="10" t="s">
        <v>209</v>
      </c>
      <c r="F3342" s="10" t="s">
        <v>2315</v>
      </c>
      <c r="G3342" s="10" t="s">
        <v>12645</v>
      </c>
      <c r="H3342" s="10" t="s">
        <v>1015</v>
      </c>
      <c r="I3342" s="10" t="s">
        <v>55</v>
      </c>
      <c r="J3342" s="10" t="s">
        <v>15663</v>
      </c>
      <c r="K3342" s="10" t="s">
        <v>15664</v>
      </c>
      <c r="L3342" s="10" t="s">
        <v>42</v>
      </c>
    </row>
    <row r="3343" ht="15.75" customHeight="1">
      <c r="A3343" s="68">
        <v>45433.0</v>
      </c>
      <c r="B3343" s="55" t="str">
        <f>HYPERLINK("https://jobright.ai/jobs/info/664d3b22ecdb88912c95be7c?utm_campaign=1065&amp;utm_source=sheet", "Apply")</f>
        <v>Apply</v>
      </c>
      <c r="C3343" s="10" t="s">
        <v>12938</v>
      </c>
      <c r="D3343" s="56" t="s">
        <v>15577</v>
      </c>
      <c r="E3343" s="59">
        <v>45301.0</v>
      </c>
      <c r="F3343" s="10" t="s">
        <v>1485</v>
      </c>
      <c r="G3343" s="10" t="s">
        <v>12635</v>
      </c>
      <c r="H3343" s="10" t="s">
        <v>96</v>
      </c>
      <c r="I3343" s="10" t="s">
        <v>252</v>
      </c>
      <c r="K3343" s="10" t="s">
        <v>15665</v>
      </c>
      <c r="L3343" s="10" t="s">
        <v>42</v>
      </c>
    </row>
    <row r="3344" ht="15.75" customHeight="1">
      <c r="A3344" s="68">
        <v>45433.0</v>
      </c>
      <c r="B3344" s="55" t="str">
        <f>HYPERLINK("https://jobright.ai/jobs/info/66749dff3bb0335d41b2d58e?utm_campaign=1065&amp;utm_source=sheet", "Apply")</f>
        <v>Apply</v>
      </c>
      <c r="C3344" s="10" t="s">
        <v>14436</v>
      </c>
      <c r="D3344" s="56" t="s">
        <v>2220</v>
      </c>
      <c r="E3344" s="10" t="s">
        <v>45</v>
      </c>
      <c r="F3344" s="10" t="s">
        <v>2221</v>
      </c>
      <c r="G3344" s="10" t="s">
        <v>12630</v>
      </c>
      <c r="H3344" s="10" t="s">
        <v>6620</v>
      </c>
      <c r="I3344" s="10" t="s">
        <v>48</v>
      </c>
      <c r="K3344" s="10" t="s">
        <v>7614</v>
      </c>
      <c r="L3344" s="10" t="s">
        <v>42</v>
      </c>
    </row>
    <row r="3345" ht="15.75" customHeight="1">
      <c r="A3345" s="68">
        <v>45433.0</v>
      </c>
      <c r="B3345" s="55" t="str">
        <f>HYPERLINK("https://jobright.ai/jobs/info/66740eef5ff28865e7a71123?utm_campaign=1065&amp;utm_source=sheet", "Apply")</f>
        <v>Apply</v>
      </c>
      <c r="C3345" s="10" t="s">
        <v>15666</v>
      </c>
      <c r="D3345" s="56" t="s">
        <v>4136</v>
      </c>
      <c r="E3345" s="10" t="s">
        <v>71</v>
      </c>
      <c r="F3345" s="10" t="s">
        <v>4137</v>
      </c>
      <c r="G3345" s="10" t="s">
        <v>12630</v>
      </c>
      <c r="H3345" s="10" t="s">
        <v>96</v>
      </c>
      <c r="I3345" s="10" t="s">
        <v>55</v>
      </c>
      <c r="K3345" s="10" t="s">
        <v>15667</v>
      </c>
      <c r="L3345" s="10" t="s">
        <v>42</v>
      </c>
    </row>
    <row r="3346" ht="15.75" customHeight="1">
      <c r="A3346" s="68">
        <v>45433.0</v>
      </c>
      <c r="B3346" s="55" t="str">
        <f>HYPERLINK("https://jobright.ai/jobs/info/664d3f36b6919a729b3cf07d?utm_campaign=1065&amp;utm_source=sheet", "Apply")</f>
        <v>Apply</v>
      </c>
      <c r="C3346" s="10" t="s">
        <v>15668</v>
      </c>
      <c r="D3346" s="56" t="s">
        <v>15387</v>
      </c>
      <c r="E3346" s="10" t="s">
        <v>209</v>
      </c>
      <c r="F3346" s="10" t="s">
        <v>15388</v>
      </c>
      <c r="G3346" s="10" t="s">
        <v>12635</v>
      </c>
      <c r="H3346" s="10" t="s">
        <v>983</v>
      </c>
      <c r="I3346" s="10" t="s">
        <v>55</v>
      </c>
      <c r="K3346" s="10" t="s">
        <v>15390</v>
      </c>
      <c r="L3346" s="10" t="s">
        <v>42</v>
      </c>
    </row>
    <row r="3347" ht="15.75" customHeight="1">
      <c r="A3347" s="68">
        <v>45433.0</v>
      </c>
      <c r="B3347" s="55" t="str">
        <f>HYPERLINK("https://jobright.ai/jobs/info/666917deef71c96a7fcbc78a?utm_campaign=1065&amp;utm_source=sheet", "Apply")</f>
        <v>Apply</v>
      </c>
      <c r="C3347" s="10" t="s">
        <v>15669</v>
      </c>
      <c r="D3347" s="56" t="s">
        <v>15670</v>
      </c>
      <c r="E3347" s="10" t="s">
        <v>65</v>
      </c>
      <c r="F3347" s="10" t="s">
        <v>259</v>
      </c>
      <c r="G3347" s="10" t="s">
        <v>12654</v>
      </c>
      <c r="H3347" s="10" t="s">
        <v>15671</v>
      </c>
      <c r="I3347" s="10" t="s">
        <v>55</v>
      </c>
      <c r="J3347" s="10" t="s">
        <v>4568</v>
      </c>
      <c r="K3347" s="10" t="s">
        <v>15672</v>
      </c>
      <c r="L3347" s="10" t="s">
        <v>42</v>
      </c>
    </row>
    <row r="3348" ht="15.75" customHeight="1">
      <c r="A3348" s="68">
        <v>45433.0</v>
      </c>
      <c r="B3348" s="55" t="str">
        <f>HYPERLINK("https://jobright.ai/jobs/info/665d81b42492096ac06906a8?utm_campaign=1065&amp;utm_source=sheet", "Apply")</f>
        <v>Apply</v>
      </c>
      <c r="C3348" s="10" t="s">
        <v>13452</v>
      </c>
      <c r="D3348" s="56" t="s">
        <v>13128</v>
      </c>
      <c r="E3348" s="10" t="s">
        <v>79</v>
      </c>
      <c r="F3348" s="10" t="s">
        <v>7346</v>
      </c>
      <c r="G3348" s="10" t="s">
        <v>12693</v>
      </c>
      <c r="H3348" s="10" t="s">
        <v>15673</v>
      </c>
      <c r="I3348" s="10" t="s">
        <v>48</v>
      </c>
      <c r="K3348" s="10" t="s">
        <v>15674</v>
      </c>
      <c r="L3348" s="10" t="s">
        <v>42</v>
      </c>
    </row>
    <row r="3349" ht="15.75" customHeight="1">
      <c r="A3349" s="68">
        <v>45433.0</v>
      </c>
      <c r="B3349" s="55" t="str">
        <f>HYPERLINK("https://jobright.ai/jobs/info/665d81b42492096ac0690711?utm_campaign=1065&amp;utm_source=sheet", "Apply")</f>
        <v>Apply</v>
      </c>
      <c r="C3349" s="10" t="s">
        <v>15675</v>
      </c>
      <c r="D3349" s="56" t="s">
        <v>13128</v>
      </c>
      <c r="E3349" s="10" t="s">
        <v>79</v>
      </c>
      <c r="F3349" s="10" t="s">
        <v>7346</v>
      </c>
      <c r="G3349" s="10" t="s">
        <v>12630</v>
      </c>
      <c r="H3349" s="10" t="s">
        <v>11140</v>
      </c>
      <c r="I3349" s="10" t="s">
        <v>48</v>
      </c>
      <c r="J3349" s="10" t="s">
        <v>1984</v>
      </c>
      <c r="K3349" s="10" t="s">
        <v>15676</v>
      </c>
      <c r="L3349" s="10" t="s">
        <v>42</v>
      </c>
    </row>
    <row r="3350" ht="15.75" customHeight="1">
      <c r="A3350" s="68">
        <v>45432.0</v>
      </c>
      <c r="B3350" s="55" t="str">
        <f>HYPERLINK("https://jobright.ai/jobs/info/66483ce9ac866ee485c13bcc?utm_campaign=1065&amp;utm_source=sheet", "Apply")</f>
        <v>Apply</v>
      </c>
      <c r="C3350" s="10" t="s">
        <v>15677</v>
      </c>
      <c r="D3350" s="56" t="s">
        <v>1650</v>
      </c>
      <c r="E3350" s="10" t="s">
        <v>209</v>
      </c>
      <c r="F3350" s="10" t="s">
        <v>1243</v>
      </c>
      <c r="G3350" s="10" t="s">
        <v>12654</v>
      </c>
      <c r="H3350" s="10" t="s">
        <v>245</v>
      </c>
      <c r="I3350" s="10" t="s">
        <v>252</v>
      </c>
      <c r="K3350" s="10" t="s">
        <v>13095</v>
      </c>
      <c r="L3350" s="10" t="s">
        <v>42</v>
      </c>
    </row>
    <row r="3351" ht="15.75" customHeight="1">
      <c r="A3351" s="68">
        <v>45432.0</v>
      </c>
      <c r="B3351" s="55" t="str">
        <f>HYPERLINK("https://jobright.ai/jobs/info/6672c5554712379b49f513ee?utm_campaign=1065&amp;utm_source=sheet", "Apply")</f>
        <v>Apply</v>
      </c>
      <c r="C3351" s="10" t="s">
        <v>15678</v>
      </c>
      <c r="D3351" s="56" t="s">
        <v>1505</v>
      </c>
      <c r="E3351" s="10" t="s">
        <v>137</v>
      </c>
      <c r="F3351" s="10" t="s">
        <v>1506</v>
      </c>
      <c r="G3351" s="10" t="s">
        <v>12635</v>
      </c>
      <c r="H3351" s="10" t="s">
        <v>382</v>
      </c>
      <c r="I3351" s="10" t="s">
        <v>55</v>
      </c>
      <c r="K3351" s="10" t="s">
        <v>15679</v>
      </c>
      <c r="L3351" s="10" t="s">
        <v>42</v>
      </c>
    </row>
    <row r="3352" ht="15.75" customHeight="1">
      <c r="A3352" s="68">
        <v>45432.0</v>
      </c>
      <c r="B3352" s="55" t="str">
        <f>HYPERLINK("https://jobright.ai/jobs/info/664c3dea1ab6a5164a339193?utm_campaign=1065&amp;utm_source=sheet", "Apply")</f>
        <v>Apply</v>
      </c>
      <c r="C3352" s="10" t="s">
        <v>12650</v>
      </c>
      <c r="D3352" s="56" t="s">
        <v>15680</v>
      </c>
      <c r="E3352" s="10" t="s">
        <v>79</v>
      </c>
      <c r="F3352" s="10" t="s">
        <v>15681</v>
      </c>
      <c r="G3352" s="10" t="s">
        <v>12635</v>
      </c>
      <c r="H3352" s="10" t="s">
        <v>621</v>
      </c>
      <c r="I3352" s="10" t="s">
        <v>55</v>
      </c>
      <c r="K3352" s="10" t="s">
        <v>15682</v>
      </c>
      <c r="L3352" s="10" t="s">
        <v>42</v>
      </c>
    </row>
    <row r="3353" ht="15.75" customHeight="1">
      <c r="A3353" s="68">
        <v>45432.0</v>
      </c>
      <c r="B3353" s="55" t="str">
        <f>HYPERLINK("https://jobright.ai/jobs/info/66691805ef71c96a7fcbc9c7?utm_campaign=1065&amp;utm_source=sheet", "Apply")</f>
        <v>Apply</v>
      </c>
      <c r="C3353" s="10" t="s">
        <v>14852</v>
      </c>
      <c r="D3353" s="56" t="s">
        <v>2314</v>
      </c>
      <c r="E3353" s="10" t="s">
        <v>209</v>
      </c>
      <c r="F3353" s="10" t="s">
        <v>2315</v>
      </c>
      <c r="G3353" s="10" t="s">
        <v>12635</v>
      </c>
      <c r="H3353" s="10" t="s">
        <v>4420</v>
      </c>
      <c r="I3353" s="10" t="s">
        <v>55</v>
      </c>
      <c r="K3353" s="10" t="s">
        <v>15683</v>
      </c>
      <c r="L3353" s="10" t="s">
        <v>42</v>
      </c>
    </row>
    <row r="3354" ht="15.75" customHeight="1">
      <c r="A3354" s="68">
        <v>45431.0</v>
      </c>
      <c r="B3354" s="55" t="str">
        <f>HYPERLINK("https://jobright.ai/jobs/info/666292ced207c74779ac7d7d?utm_campaign=1065&amp;utm_source=sheet", "Apply")</f>
        <v>Apply</v>
      </c>
      <c r="C3354" s="10" t="s">
        <v>15684</v>
      </c>
      <c r="D3354" s="56" t="s">
        <v>15685</v>
      </c>
      <c r="E3354" s="10">
        <v>28.0</v>
      </c>
      <c r="G3354" s="10" t="s">
        <v>12630</v>
      </c>
      <c r="H3354" s="10" t="s">
        <v>8601</v>
      </c>
      <c r="I3354" s="10" t="s">
        <v>48</v>
      </c>
      <c r="K3354" s="10" t="s">
        <v>15686</v>
      </c>
      <c r="L3354" s="10" t="s">
        <v>42</v>
      </c>
    </row>
    <row r="3355" ht="15.75" customHeight="1">
      <c r="A3355" s="68">
        <v>45428.0</v>
      </c>
      <c r="B3355" s="55" t="str">
        <f>HYPERLINK("https://jobright.ai/jobs/info/664640d8b768bffc8f08bef3?utm_campaign=1065&amp;utm_source=sheet", "Apply")</f>
        <v>Apply</v>
      </c>
      <c r="C3355" s="10" t="s">
        <v>15687</v>
      </c>
      <c r="D3355" s="56" t="s">
        <v>15688</v>
      </c>
      <c r="G3355" s="10" t="s">
        <v>12630</v>
      </c>
      <c r="H3355" s="10" t="s">
        <v>139</v>
      </c>
      <c r="I3355" s="10" t="s">
        <v>55</v>
      </c>
      <c r="K3355" s="10" t="s">
        <v>15689</v>
      </c>
      <c r="L3355" s="10" t="s">
        <v>42</v>
      </c>
    </row>
    <row r="3356" ht="15.75" customHeight="1">
      <c r="A3356" s="68">
        <v>45428.0</v>
      </c>
      <c r="B3356" s="55" t="str">
        <f>HYPERLINK("https://jobright.ai/jobs/info/66463130be78d632424230e8?utm_campaign=1065&amp;utm_source=sheet", "Apply")</f>
        <v>Apply</v>
      </c>
      <c r="C3356" s="10" t="s">
        <v>15687</v>
      </c>
      <c r="D3356" s="56" t="s">
        <v>15688</v>
      </c>
      <c r="G3356" s="10" t="s">
        <v>12630</v>
      </c>
      <c r="H3356" s="10" t="s">
        <v>139</v>
      </c>
      <c r="I3356" s="10" t="s">
        <v>252</v>
      </c>
      <c r="K3356" s="10" t="s">
        <v>15689</v>
      </c>
      <c r="L3356" s="10" t="s">
        <v>42</v>
      </c>
    </row>
    <row r="3357" ht="15.75" customHeight="1">
      <c r="A3357" s="68">
        <v>45428.0</v>
      </c>
      <c r="B3357" s="55" t="str">
        <f>HYPERLINK("https://jobright.ai/jobs/info/666bcee805dfa05e1a6927d6?utm_campaign=1065&amp;utm_source=sheet", "Apply")</f>
        <v>Apply</v>
      </c>
      <c r="C3357" s="10" t="s">
        <v>13908</v>
      </c>
      <c r="D3357" s="56" t="s">
        <v>2314</v>
      </c>
      <c r="E3357" s="10" t="s">
        <v>209</v>
      </c>
      <c r="F3357" s="10" t="s">
        <v>2315</v>
      </c>
      <c r="G3357" s="10" t="s">
        <v>12630</v>
      </c>
      <c r="H3357" s="10" t="s">
        <v>152</v>
      </c>
      <c r="I3357" s="10" t="s">
        <v>55</v>
      </c>
      <c r="K3357" s="10" t="s">
        <v>15598</v>
      </c>
      <c r="L3357" s="10" t="s">
        <v>42</v>
      </c>
    </row>
    <row r="3358" ht="15.75" customHeight="1">
      <c r="A3358" s="68">
        <v>45426.0</v>
      </c>
      <c r="B3358" s="55" t="str">
        <f>HYPERLINK("https://jobright.ai/jobs/info/66430fa3a0206f6055f7ee8b?utm_campaign=1065&amp;utm_source=sheet", "Apply")</f>
        <v>Apply</v>
      </c>
      <c r="C3358" s="10" t="s">
        <v>12650</v>
      </c>
      <c r="D3358" s="56" t="s">
        <v>15612</v>
      </c>
      <c r="F3358" s="10" t="s">
        <v>2964</v>
      </c>
      <c r="G3358" s="10" t="s">
        <v>12654</v>
      </c>
      <c r="H3358" s="10" t="s">
        <v>153</v>
      </c>
      <c r="I3358" s="10" t="s">
        <v>55</v>
      </c>
      <c r="K3358" s="10" t="s">
        <v>15613</v>
      </c>
      <c r="L3358" s="10" t="s">
        <v>42</v>
      </c>
    </row>
    <row r="3359" ht="15.75" customHeight="1">
      <c r="A3359" s="68">
        <v>45426.0</v>
      </c>
      <c r="B3359" s="55" t="str">
        <f>HYPERLINK("https://jobright.ai/jobs/info/6643a49e387b204357960d7b?utm_campaign=1065&amp;utm_source=sheet", "Apply")</f>
        <v>Apply</v>
      </c>
      <c r="C3359" s="10" t="s">
        <v>15690</v>
      </c>
      <c r="D3359" s="56" t="s">
        <v>15691</v>
      </c>
      <c r="E3359" s="10" t="s">
        <v>137</v>
      </c>
      <c r="F3359" s="10" t="s">
        <v>15692</v>
      </c>
      <c r="G3359" s="10" t="s">
        <v>12630</v>
      </c>
      <c r="H3359" s="10" t="s">
        <v>411</v>
      </c>
      <c r="I3359" s="10" t="s">
        <v>48</v>
      </c>
      <c r="K3359" s="10" t="s">
        <v>15693</v>
      </c>
      <c r="L3359" s="10" t="s">
        <v>42</v>
      </c>
    </row>
    <row r="3360" ht="15.75" customHeight="1">
      <c r="A3360" s="68">
        <v>45426.0</v>
      </c>
      <c r="B3360" s="55" t="str">
        <f>HYPERLINK("https://jobright.ai/jobs/info/666920bcc327d9911b6d529f?utm_campaign=1065&amp;utm_source=sheet", "Apply")</f>
        <v>Apply</v>
      </c>
      <c r="C3360" s="10" t="s">
        <v>15694</v>
      </c>
      <c r="D3360" s="56" t="s">
        <v>4651</v>
      </c>
      <c r="E3360" s="10" t="s">
        <v>45</v>
      </c>
      <c r="F3360" s="10" t="s">
        <v>2527</v>
      </c>
      <c r="G3360" s="10" t="s">
        <v>12693</v>
      </c>
      <c r="H3360" s="10" t="s">
        <v>15695</v>
      </c>
      <c r="I3360" s="10" t="s">
        <v>55</v>
      </c>
      <c r="K3360" s="10" t="s">
        <v>15696</v>
      </c>
      <c r="L3360" s="10" t="s">
        <v>42</v>
      </c>
    </row>
    <row r="3361" ht="15.75" customHeight="1">
      <c r="A3361" s="68">
        <v>45426.0</v>
      </c>
      <c r="B3361" s="55" t="str">
        <f>HYPERLINK("https://jobright.ai/jobs/info/666292e5d207c74779ac7f9e?utm_campaign=1065&amp;utm_source=sheet", "Apply")</f>
        <v>Apply</v>
      </c>
      <c r="C3361" s="10" t="s">
        <v>9688</v>
      </c>
      <c r="D3361" s="56" t="s">
        <v>15697</v>
      </c>
      <c r="E3361" s="10" t="s">
        <v>249</v>
      </c>
      <c r="F3361" s="10" t="s">
        <v>15698</v>
      </c>
      <c r="G3361" s="10" t="s">
        <v>12630</v>
      </c>
      <c r="H3361" s="10" t="s">
        <v>15699</v>
      </c>
      <c r="I3361" s="10" t="s">
        <v>48</v>
      </c>
      <c r="K3361" s="10" t="s">
        <v>15700</v>
      </c>
      <c r="L3361" s="10" t="s">
        <v>42</v>
      </c>
    </row>
    <row r="3362" ht="15.75" customHeight="1">
      <c r="A3362" s="68">
        <v>45425.0</v>
      </c>
      <c r="B3362" s="55" t="str">
        <f>HYPERLINK("https://jobright.ai/jobs/info/664292f755f5b9705233ca00?utm_campaign=1065&amp;utm_source=sheet", "Apply")</f>
        <v>Apply</v>
      </c>
      <c r="C3362" s="10" t="s">
        <v>15701</v>
      </c>
      <c r="D3362" s="56" t="s">
        <v>15702</v>
      </c>
      <c r="E3362" s="10" t="s">
        <v>65</v>
      </c>
      <c r="F3362" s="10" t="s">
        <v>15703</v>
      </c>
      <c r="G3362" s="10" t="s">
        <v>12630</v>
      </c>
      <c r="H3362" s="10" t="s">
        <v>15704</v>
      </c>
      <c r="I3362" s="10" t="s">
        <v>55</v>
      </c>
      <c r="K3362" s="10" t="s">
        <v>15705</v>
      </c>
      <c r="L3362" s="10" t="s">
        <v>42</v>
      </c>
    </row>
    <row r="3363" ht="15.75" customHeight="1">
      <c r="A3363" s="68">
        <v>45425.0</v>
      </c>
      <c r="B3363" s="55" t="str">
        <f>HYPERLINK("https://jobright.ai/jobs/info/664271f8ed06f5b4e3ffa00c?utm_campaign=1065&amp;utm_source=sheet", "Apply")</f>
        <v>Apply</v>
      </c>
      <c r="C3363" s="10" t="s">
        <v>15706</v>
      </c>
      <c r="D3363" s="56" t="s">
        <v>14105</v>
      </c>
      <c r="E3363" s="10" t="s">
        <v>79</v>
      </c>
      <c r="F3363" s="10" t="s">
        <v>3770</v>
      </c>
      <c r="G3363" s="10" t="s">
        <v>12654</v>
      </c>
      <c r="H3363" s="10" t="s">
        <v>8635</v>
      </c>
      <c r="I3363" s="10" t="s">
        <v>55</v>
      </c>
      <c r="K3363" s="10" t="s">
        <v>15707</v>
      </c>
      <c r="L3363" s="10" t="s">
        <v>42</v>
      </c>
    </row>
    <row r="3364" ht="15.75" customHeight="1">
      <c r="A3364" s="68">
        <v>45425.0</v>
      </c>
      <c r="B3364" s="55" t="str">
        <f>HYPERLINK("https://jobright.ai/jobs/info/666b6b3f5e888287404d9736?utm_campaign=1065&amp;utm_source=sheet", "Apply")</f>
        <v>Apply</v>
      </c>
      <c r="C3364" s="10" t="s">
        <v>15708</v>
      </c>
      <c r="D3364" s="56" t="s">
        <v>196</v>
      </c>
      <c r="E3364" s="10" t="s">
        <v>71</v>
      </c>
      <c r="F3364" s="10" t="s">
        <v>197</v>
      </c>
      <c r="G3364" s="10" t="s">
        <v>12654</v>
      </c>
      <c r="H3364" s="10" t="s">
        <v>2352</v>
      </c>
      <c r="I3364" s="10" t="s">
        <v>55</v>
      </c>
      <c r="J3364" s="10" t="s">
        <v>1761</v>
      </c>
      <c r="K3364" s="10" t="s">
        <v>15709</v>
      </c>
      <c r="L3364" s="10" t="s">
        <v>42</v>
      </c>
    </row>
    <row r="3365" ht="15.75" customHeight="1">
      <c r="A3365" s="68">
        <v>45424.0</v>
      </c>
      <c r="B3365" s="55" t="str">
        <f>HYPERLINK("https://jobright.ai/jobs/info/6669267ee4014402c8871345?utm_campaign=1065&amp;utm_source=sheet", "Apply")</f>
        <v>Apply</v>
      </c>
      <c r="C3365" s="10" t="s">
        <v>15710</v>
      </c>
      <c r="D3365" s="56" t="s">
        <v>14608</v>
      </c>
      <c r="E3365" s="10" t="s">
        <v>45</v>
      </c>
      <c r="F3365" s="10" t="s">
        <v>14609</v>
      </c>
      <c r="G3365" s="10" t="s">
        <v>12654</v>
      </c>
      <c r="H3365" s="10" t="s">
        <v>10627</v>
      </c>
      <c r="I3365" s="10" t="s">
        <v>55</v>
      </c>
      <c r="J3365" s="10" t="s">
        <v>14288</v>
      </c>
      <c r="K3365" s="10" t="s">
        <v>14610</v>
      </c>
      <c r="L3365" s="10" t="s">
        <v>42</v>
      </c>
    </row>
    <row r="3366" ht="15.75" customHeight="1">
      <c r="A3366" s="68">
        <v>45424.0</v>
      </c>
      <c r="B3366" s="55" t="str">
        <f>HYPERLINK("https://jobright.ai/jobs/info/66692689e4014402c88713bb?utm_campaign=1065&amp;utm_source=sheet", "Apply")</f>
        <v>Apply</v>
      </c>
      <c r="C3366" s="10" t="s">
        <v>15711</v>
      </c>
      <c r="D3366" s="56" t="s">
        <v>14608</v>
      </c>
      <c r="E3366" s="10" t="s">
        <v>45</v>
      </c>
      <c r="F3366" s="10" t="s">
        <v>14609</v>
      </c>
      <c r="G3366" s="10" t="s">
        <v>12654</v>
      </c>
      <c r="H3366" s="10" t="s">
        <v>159</v>
      </c>
      <c r="I3366" s="10" t="s">
        <v>55</v>
      </c>
      <c r="J3366" s="10" t="s">
        <v>1409</v>
      </c>
      <c r="K3366" s="10" t="s">
        <v>15207</v>
      </c>
      <c r="L3366" s="10" t="s">
        <v>42</v>
      </c>
    </row>
    <row r="3367" ht="15.75" customHeight="1">
      <c r="A3367" s="68">
        <v>45424.0</v>
      </c>
      <c r="B3367" s="55" t="str">
        <f>HYPERLINK("https://jobright.ai/jobs/info/66692689e4014402c887140e?utm_campaign=1065&amp;utm_source=sheet", "Apply")</f>
        <v>Apply</v>
      </c>
      <c r="C3367" s="10" t="s">
        <v>15712</v>
      </c>
      <c r="D3367" s="56" t="s">
        <v>14608</v>
      </c>
      <c r="E3367" s="10" t="s">
        <v>45</v>
      </c>
      <c r="F3367" s="10" t="s">
        <v>14609</v>
      </c>
      <c r="G3367" s="10" t="s">
        <v>12654</v>
      </c>
      <c r="H3367" s="10" t="s">
        <v>965</v>
      </c>
      <c r="I3367" s="10" t="s">
        <v>55</v>
      </c>
      <c r="J3367" s="10" t="s">
        <v>14288</v>
      </c>
      <c r="K3367" s="10" t="s">
        <v>14610</v>
      </c>
      <c r="L3367" s="10" t="s">
        <v>42</v>
      </c>
    </row>
    <row r="3368" ht="15.75" customHeight="1">
      <c r="A3368" s="68">
        <v>45422.0</v>
      </c>
      <c r="B3368" s="55" t="str">
        <f>HYPERLINK("https://jobright.ai/jobs/info/663ebea88f13652285bc437c?utm_campaign=1065&amp;utm_source=sheet", "Apply")</f>
        <v>Apply</v>
      </c>
      <c r="C3368" s="10" t="s">
        <v>13299</v>
      </c>
      <c r="D3368" s="56" t="s">
        <v>15713</v>
      </c>
      <c r="E3368" s="10" t="s">
        <v>209</v>
      </c>
      <c r="F3368" s="10" t="s">
        <v>5470</v>
      </c>
      <c r="G3368" s="10" t="s">
        <v>12635</v>
      </c>
      <c r="H3368" s="10" t="s">
        <v>628</v>
      </c>
      <c r="I3368" s="10" t="s">
        <v>48</v>
      </c>
      <c r="K3368" s="10" t="s">
        <v>15714</v>
      </c>
      <c r="L3368" s="10" t="s">
        <v>42</v>
      </c>
    </row>
    <row r="3369" ht="15.75" customHeight="1">
      <c r="A3369" s="68">
        <v>45422.0</v>
      </c>
      <c r="B3369" s="55" t="str">
        <f>HYPERLINK("https://jobright.ai/jobs/info/663ea25404b8c53850a9f13d?utm_campaign=1065&amp;utm_source=sheet", "Apply")</f>
        <v>Apply</v>
      </c>
      <c r="C3369" s="10" t="s">
        <v>15715</v>
      </c>
      <c r="D3369" s="56" t="s">
        <v>15716</v>
      </c>
      <c r="E3369" s="10" t="s">
        <v>79</v>
      </c>
      <c r="F3369" s="10" t="s">
        <v>13237</v>
      </c>
      <c r="G3369" s="10" t="s">
        <v>12654</v>
      </c>
      <c r="H3369" s="10" t="s">
        <v>113</v>
      </c>
      <c r="I3369" s="10" t="s">
        <v>55</v>
      </c>
      <c r="J3369" s="10" t="s">
        <v>1984</v>
      </c>
      <c r="K3369" s="10" t="s">
        <v>15717</v>
      </c>
      <c r="L3369" s="10" t="s">
        <v>42</v>
      </c>
    </row>
    <row r="3370" ht="15.75" customHeight="1">
      <c r="A3370" s="68">
        <v>45421.0</v>
      </c>
      <c r="B3370" s="55" t="str">
        <f>HYPERLINK("https://jobright.ai/jobs/info/663c400e829d1c42e68d687f?utm_campaign=1065&amp;utm_source=sheet", "Apply")</f>
        <v>Apply</v>
      </c>
      <c r="C3370" s="10" t="s">
        <v>15718</v>
      </c>
      <c r="D3370" s="56" t="s">
        <v>15719</v>
      </c>
      <c r="E3370" s="10" t="s">
        <v>65</v>
      </c>
      <c r="F3370" s="10" t="s">
        <v>2409</v>
      </c>
      <c r="G3370" s="10" t="s">
        <v>12654</v>
      </c>
      <c r="H3370" s="10" t="s">
        <v>86</v>
      </c>
      <c r="I3370" s="10" t="s">
        <v>55</v>
      </c>
      <c r="K3370" s="10" t="s">
        <v>15720</v>
      </c>
      <c r="L3370" s="10" t="s">
        <v>42</v>
      </c>
    </row>
    <row r="3371" ht="15.75" customHeight="1">
      <c r="A3371" s="68">
        <v>45421.0</v>
      </c>
      <c r="B3371" s="55" t="str">
        <f>HYPERLINK("https://jobright.ai/jobs/info/663d0540cda811899321154b?utm_campaign=1065&amp;utm_source=sheet", "Apply")</f>
        <v>Apply</v>
      </c>
      <c r="C3371" s="10" t="s">
        <v>15721</v>
      </c>
      <c r="D3371" s="56" t="s">
        <v>14238</v>
      </c>
      <c r="E3371" s="10" t="s">
        <v>79</v>
      </c>
      <c r="F3371" s="10" t="s">
        <v>14239</v>
      </c>
      <c r="G3371" s="10" t="s">
        <v>12654</v>
      </c>
      <c r="H3371" s="10" t="s">
        <v>1035</v>
      </c>
      <c r="I3371" s="10" t="s">
        <v>55</v>
      </c>
      <c r="K3371" s="10" t="s">
        <v>15722</v>
      </c>
      <c r="L3371" s="10" t="s">
        <v>42</v>
      </c>
    </row>
    <row r="3372" ht="15.75" customHeight="1">
      <c r="A3372" s="68">
        <v>45421.0</v>
      </c>
      <c r="B3372" s="55" t="str">
        <f>HYPERLINK("https://jobright.ai/jobs/info/665d82112492096ac0690e3d?utm_campaign=1065&amp;utm_source=sheet", "Apply")</f>
        <v>Apply</v>
      </c>
      <c r="C3372" s="10" t="s">
        <v>15723</v>
      </c>
      <c r="D3372" s="56" t="s">
        <v>15724</v>
      </c>
      <c r="E3372" s="10" t="s">
        <v>249</v>
      </c>
      <c r="F3372" s="10" t="s">
        <v>250</v>
      </c>
      <c r="G3372" s="10" t="s">
        <v>12630</v>
      </c>
      <c r="H3372" s="10" t="s">
        <v>15725</v>
      </c>
      <c r="I3372" s="10" t="s">
        <v>48</v>
      </c>
      <c r="K3372" s="10" t="s">
        <v>15726</v>
      </c>
      <c r="L3372" s="10" t="s">
        <v>42</v>
      </c>
    </row>
    <row r="3373" ht="15.75" customHeight="1">
      <c r="A3373" s="68">
        <v>45420.0</v>
      </c>
      <c r="B3373" s="55" t="str">
        <f>HYPERLINK("https://jobright.ai/jobs/info/663bbf5ad664bd08fbe31729?utm_campaign=1065&amp;utm_source=sheet", "Apply")</f>
        <v>Apply</v>
      </c>
      <c r="C3373" s="10" t="s">
        <v>15727</v>
      </c>
      <c r="D3373" s="56" t="s">
        <v>15728</v>
      </c>
      <c r="E3373" s="10" t="s">
        <v>137</v>
      </c>
      <c r="F3373" s="10" t="s">
        <v>15729</v>
      </c>
      <c r="G3373" s="10" t="s">
        <v>12630</v>
      </c>
      <c r="H3373" s="10" t="s">
        <v>188</v>
      </c>
      <c r="I3373" s="10" t="s">
        <v>55</v>
      </c>
      <c r="K3373" s="10" t="s">
        <v>15730</v>
      </c>
      <c r="L3373" s="10" t="s">
        <v>42</v>
      </c>
    </row>
    <row r="3374" ht="15.75" customHeight="1">
      <c r="A3374" s="68">
        <v>45420.0</v>
      </c>
      <c r="B3374" s="55" t="str">
        <f>HYPERLINK("https://jobright.ai/jobs/info/663c1d808b52a5d167a30094?utm_campaign=1065&amp;utm_source=sheet", "Apply")</f>
        <v>Apply</v>
      </c>
      <c r="C3374" s="10" t="s">
        <v>15731</v>
      </c>
      <c r="D3374" s="56" t="s">
        <v>15441</v>
      </c>
      <c r="E3374" s="10" t="s">
        <v>276</v>
      </c>
      <c r="F3374" s="10" t="s">
        <v>15442</v>
      </c>
      <c r="G3374" s="10" t="s">
        <v>12630</v>
      </c>
      <c r="H3374" s="10" t="s">
        <v>957</v>
      </c>
      <c r="I3374" s="10" t="s">
        <v>48</v>
      </c>
      <c r="J3374" s="10" t="s">
        <v>1409</v>
      </c>
      <c r="K3374" s="10" t="s">
        <v>15732</v>
      </c>
      <c r="L3374" s="10" t="s">
        <v>42</v>
      </c>
    </row>
    <row r="3375" ht="15.75" customHeight="1">
      <c r="A3375" s="68">
        <v>45420.0</v>
      </c>
      <c r="B3375" s="55" t="str">
        <f>HYPERLINK("https://jobright.ai/jobs/info/6669315432b5c01ae0397f68?utm_campaign=1065&amp;utm_source=sheet", "Apply")</f>
        <v>Apply</v>
      </c>
      <c r="C3375" s="10" t="s">
        <v>13743</v>
      </c>
      <c r="D3375" s="56" t="s">
        <v>4945</v>
      </c>
      <c r="E3375" s="10" t="s">
        <v>45</v>
      </c>
      <c r="F3375" s="10" t="s">
        <v>4946</v>
      </c>
      <c r="G3375" s="10" t="s">
        <v>12635</v>
      </c>
      <c r="H3375" s="10" t="s">
        <v>15733</v>
      </c>
      <c r="I3375" s="10" t="s">
        <v>55</v>
      </c>
      <c r="K3375" s="10" t="s">
        <v>15734</v>
      </c>
      <c r="L3375" s="10" t="s">
        <v>42</v>
      </c>
    </row>
    <row r="3376" ht="15.75" customHeight="1">
      <c r="A3376" s="68">
        <v>45419.0</v>
      </c>
      <c r="B3376" s="55" t="str">
        <f>HYPERLINK("https://jobright.ai/jobs/info/6669319132b5c01ae03982f9?utm_campaign=1065&amp;utm_source=sheet", "Apply")</f>
        <v>Apply</v>
      </c>
      <c r="C3376" s="10" t="s">
        <v>15735</v>
      </c>
      <c r="D3376" s="56" t="s">
        <v>4945</v>
      </c>
      <c r="E3376" s="10" t="s">
        <v>45</v>
      </c>
      <c r="F3376" s="10" t="s">
        <v>4946</v>
      </c>
      <c r="G3376" s="10" t="s">
        <v>12635</v>
      </c>
      <c r="H3376" s="10" t="s">
        <v>15733</v>
      </c>
      <c r="I3376" s="10" t="s">
        <v>55</v>
      </c>
      <c r="K3376" s="10" t="s">
        <v>15736</v>
      </c>
      <c r="L3376" s="10" t="s">
        <v>42</v>
      </c>
    </row>
    <row r="3377" ht="15.75" customHeight="1">
      <c r="A3377" s="68">
        <v>45419.0</v>
      </c>
      <c r="B3377" s="55" t="str">
        <f>HYPERLINK("https://jobright.ai/jobs/info/6669319132b5c01ae039835e?utm_campaign=1065&amp;utm_source=sheet", "Apply")</f>
        <v>Apply</v>
      </c>
      <c r="C3377" s="10" t="s">
        <v>12650</v>
      </c>
      <c r="D3377" s="56" t="s">
        <v>7583</v>
      </c>
      <c r="E3377" s="10" t="s">
        <v>209</v>
      </c>
      <c r="F3377" s="10" t="s">
        <v>486</v>
      </c>
      <c r="G3377" s="10" t="s">
        <v>12635</v>
      </c>
      <c r="H3377" s="10" t="s">
        <v>8650</v>
      </c>
      <c r="I3377" s="10" t="s">
        <v>55</v>
      </c>
      <c r="K3377" s="10" t="s">
        <v>15737</v>
      </c>
      <c r="L3377" s="10" t="s">
        <v>42</v>
      </c>
    </row>
    <row r="3378" ht="15.75" customHeight="1">
      <c r="A3378" s="68">
        <v>45418.0</v>
      </c>
      <c r="B3378" s="55" t="str">
        <f>HYPERLINK("https://jobright.ai/jobs/info/66421cb070937fa3afb48717?utm_campaign=1065&amp;utm_source=sheet", "Apply")</f>
        <v>Apply</v>
      </c>
      <c r="C3378" s="10" t="s">
        <v>15738</v>
      </c>
      <c r="D3378" s="56" t="s">
        <v>2069</v>
      </c>
      <c r="E3378" s="10" t="s">
        <v>65</v>
      </c>
      <c r="F3378" s="10" t="s">
        <v>1663</v>
      </c>
      <c r="G3378" s="10" t="s">
        <v>12630</v>
      </c>
      <c r="H3378" s="10" t="s">
        <v>2070</v>
      </c>
      <c r="I3378" s="10" t="s">
        <v>55</v>
      </c>
      <c r="K3378" s="10" t="s">
        <v>15739</v>
      </c>
      <c r="L3378" s="10" t="s">
        <v>42</v>
      </c>
    </row>
    <row r="3379" ht="15.75" customHeight="1">
      <c r="A3379" s="68">
        <v>45418.0</v>
      </c>
      <c r="B3379" s="55" t="str">
        <f>HYPERLINK("https://jobright.ai/jobs/info/663921851d1c0ec226e01f8e?utm_campaign=1065&amp;utm_source=sheet", "Apply")</f>
        <v>Apply</v>
      </c>
      <c r="C3379" s="10" t="s">
        <v>15740</v>
      </c>
      <c r="D3379" s="56" t="s">
        <v>15741</v>
      </c>
      <c r="E3379" s="10" t="s">
        <v>276</v>
      </c>
      <c r="F3379" s="10" t="s">
        <v>15742</v>
      </c>
      <c r="G3379" s="10" t="s">
        <v>12654</v>
      </c>
      <c r="H3379" s="10" t="s">
        <v>15637</v>
      </c>
      <c r="I3379" s="10" t="s">
        <v>55</v>
      </c>
      <c r="K3379" s="10" t="s">
        <v>15743</v>
      </c>
      <c r="L3379" s="10" t="s">
        <v>42</v>
      </c>
    </row>
    <row r="3380" ht="15.75" customHeight="1">
      <c r="A3380" s="68">
        <v>45418.0</v>
      </c>
      <c r="B3380" s="55" t="str">
        <f>HYPERLINK("https://jobright.ai/jobs/info/663921851d1c0ec226e01fa2?utm_campaign=1065&amp;utm_source=sheet", "Apply")</f>
        <v>Apply</v>
      </c>
      <c r="C3380" s="10" t="s">
        <v>15744</v>
      </c>
      <c r="D3380" s="56" t="s">
        <v>15745</v>
      </c>
      <c r="E3380" s="59">
        <v>45301.0</v>
      </c>
      <c r="F3380" s="10" t="s">
        <v>15746</v>
      </c>
      <c r="G3380" s="10" t="s">
        <v>12645</v>
      </c>
      <c r="H3380" s="10" t="s">
        <v>411</v>
      </c>
      <c r="I3380" s="10" t="s">
        <v>48</v>
      </c>
      <c r="K3380" s="10" t="s">
        <v>15747</v>
      </c>
      <c r="L3380" s="10" t="s">
        <v>42</v>
      </c>
    </row>
    <row r="3381" ht="15.75" customHeight="1">
      <c r="A3381" s="68">
        <v>45418.0</v>
      </c>
      <c r="B3381" s="55" t="str">
        <f>HYPERLINK("https://jobright.ai/jobs/info/663910eb7fc3266d1328ec33?utm_campaign=1065&amp;utm_source=sheet", "Apply")</f>
        <v>Apply</v>
      </c>
      <c r="C3381" s="10" t="s">
        <v>15748</v>
      </c>
      <c r="D3381" s="56" t="s">
        <v>15741</v>
      </c>
      <c r="E3381" s="10" t="s">
        <v>276</v>
      </c>
      <c r="F3381" s="10" t="s">
        <v>15742</v>
      </c>
      <c r="G3381" s="10" t="s">
        <v>12654</v>
      </c>
      <c r="H3381" s="10" t="s">
        <v>15637</v>
      </c>
      <c r="I3381" s="10" t="s">
        <v>55</v>
      </c>
      <c r="K3381" s="10" t="s">
        <v>15743</v>
      </c>
      <c r="L3381" s="10" t="s">
        <v>42</v>
      </c>
    </row>
    <row r="3382" ht="15.75" customHeight="1">
      <c r="A3382" s="68">
        <v>45418.0</v>
      </c>
      <c r="B3382" s="55" t="str">
        <f>HYPERLINK("https://jobright.ai/jobs/info/6638f52ed29291cf7536de3b?utm_campaign=1065&amp;utm_source=sheet", "Apply")</f>
        <v>Apply</v>
      </c>
      <c r="C3382" s="10" t="s">
        <v>15749</v>
      </c>
      <c r="D3382" s="56" t="s">
        <v>15750</v>
      </c>
      <c r="E3382" s="10" t="s">
        <v>71</v>
      </c>
      <c r="F3382" s="10" t="s">
        <v>15751</v>
      </c>
      <c r="G3382" s="10" t="s">
        <v>12654</v>
      </c>
      <c r="H3382" s="10" t="s">
        <v>628</v>
      </c>
      <c r="I3382" s="10" t="s">
        <v>55</v>
      </c>
      <c r="K3382" s="10" t="s">
        <v>15752</v>
      </c>
      <c r="L3382" s="10" t="s">
        <v>42</v>
      </c>
    </row>
    <row r="3383" ht="15.75" customHeight="1">
      <c r="A3383" s="68">
        <v>45418.0</v>
      </c>
      <c r="B3383" s="55" t="str">
        <f>HYPERLINK("https://jobright.ai/jobs/info/66693fd88f0265d34931b029?utm_campaign=1065&amp;utm_source=sheet", "Apply")</f>
        <v>Apply</v>
      </c>
      <c r="C3383" s="10" t="s">
        <v>15753</v>
      </c>
      <c r="D3383" s="56" t="s">
        <v>4945</v>
      </c>
      <c r="E3383" s="10" t="s">
        <v>45</v>
      </c>
      <c r="F3383" s="10" t="s">
        <v>4946</v>
      </c>
      <c r="G3383" s="10" t="s">
        <v>12654</v>
      </c>
      <c r="H3383" s="10" t="s">
        <v>15445</v>
      </c>
      <c r="I3383" s="10" t="s">
        <v>55</v>
      </c>
      <c r="K3383" s="10" t="s">
        <v>15446</v>
      </c>
      <c r="L3383" s="10" t="s">
        <v>42</v>
      </c>
    </row>
    <row r="3384" ht="15.75" customHeight="1">
      <c r="A3384" s="68">
        <v>45418.0</v>
      </c>
      <c r="B3384" s="55" t="str">
        <f>HYPERLINK("https://jobright.ai/jobs/info/666937e382917d36f1d90444?utm_campaign=1065&amp;utm_source=sheet", "Apply")</f>
        <v>Apply</v>
      </c>
      <c r="C3384" s="10" t="s">
        <v>15660</v>
      </c>
      <c r="D3384" s="56" t="s">
        <v>13160</v>
      </c>
      <c r="E3384" s="10" t="s">
        <v>45</v>
      </c>
      <c r="F3384" s="10" t="s">
        <v>13161</v>
      </c>
      <c r="G3384" s="10" t="s">
        <v>12654</v>
      </c>
      <c r="H3384" s="10" t="s">
        <v>15754</v>
      </c>
      <c r="I3384" s="10" t="s">
        <v>55</v>
      </c>
      <c r="K3384" s="10" t="s">
        <v>15661</v>
      </c>
      <c r="L3384" s="10" t="s">
        <v>42</v>
      </c>
    </row>
    <row r="3385" ht="15.75" customHeight="1">
      <c r="A3385" s="68">
        <v>45417.0</v>
      </c>
      <c r="B3385" s="55" t="str">
        <f>HYPERLINK("https://jobright.ai/jobs/info/665d8f53afa29d3660ab01c3?utm_campaign=1065&amp;utm_source=sheet", "Apply")</f>
        <v>Apply</v>
      </c>
      <c r="C3385" s="10" t="s">
        <v>15755</v>
      </c>
      <c r="D3385" s="56" t="s">
        <v>15756</v>
      </c>
      <c r="E3385" s="10">
        <v>783.0</v>
      </c>
      <c r="G3385" s="10" t="s">
        <v>12645</v>
      </c>
      <c r="H3385" s="10" t="s">
        <v>15757</v>
      </c>
      <c r="I3385" s="10" t="s">
        <v>55</v>
      </c>
      <c r="J3385" s="10" t="s">
        <v>15758</v>
      </c>
      <c r="K3385" s="10" t="s">
        <v>15759</v>
      </c>
      <c r="L3385" s="10" t="s">
        <v>42</v>
      </c>
    </row>
    <row r="3386" ht="15.75" customHeight="1">
      <c r="A3386" s="68">
        <v>45415.0</v>
      </c>
      <c r="B3386" s="55" t="str">
        <f>HYPERLINK("https://jobright.ai/jobs/info/66353fdacf30bc2b9d229cb6?utm_campaign=1065&amp;utm_source=sheet", "Apply")</f>
        <v>Apply</v>
      </c>
      <c r="C3386" s="10" t="s">
        <v>15760</v>
      </c>
      <c r="D3386" s="56" t="s">
        <v>15761</v>
      </c>
      <c r="E3386" s="10" t="s">
        <v>45</v>
      </c>
      <c r="F3386" s="10" t="s">
        <v>15762</v>
      </c>
      <c r="G3386" s="10" t="s">
        <v>12635</v>
      </c>
      <c r="H3386" s="10" t="s">
        <v>15763</v>
      </c>
      <c r="I3386" s="10" t="s">
        <v>55</v>
      </c>
      <c r="K3386" s="10" t="s">
        <v>15764</v>
      </c>
      <c r="L3386" s="10" t="s">
        <v>42</v>
      </c>
    </row>
    <row r="3387" ht="15.75" customHeight="1">
      <c r="A3387" s="68">
        <v>45415.0</v>
      </c>
      <c r="B3387" s="55" t="str">
        <f>HYPERLINK("https://jobright.ai/jobs/info/66353e235ea3ce33528edac8?utm_campaign=1065&amp;utm_source=sheet", "Apply")</f>
        <v>Apply</v>
      </c>
      <c r="C3387" s="10" t="s">
        <v>13552</v>
      </c>
      <c r="D3387" s="56" t="s">
        <v>15761</v>
      </c>
      <c r="E3387" s="10" t="s">
        <v>45</v>
      </c>
      <c r="F3387" s="10" t="s">
        <v>15762</v>
      </c>
      <c r="G3387" s="10" t="s">
        <v>12635</v>
      </c>
      <c r="H3387" s="10" t="s">
        <v>15763</v>
      </c>
      <c r="I3387" s="10" t="s">
        <v>55</v>
      </c>
      <c r="K3387" s="10" t="s">
        <v>15764</v>
      </c>
      <c r="L3387" s="10" t="s">
        <v>42</v>
      </c>
    </row>
    <row r="3388" ht="15.75" customHeight="1">
      <c r="A3388" s="68">
        <v>45415.0</v>
      </c>
      <c r="B3388" s="55" t="str">
        <f>HYPERLINK("https://jobright.ai/jobs/info/66353e235ea3ce33528edacd?utm_campaign=1065&amp;utm_source=sheet", "Apply")</f>
        <v>Apply</v>
      </c>
      <c r="C3388" s="10" t="s">
        <v>15760</v>
      </c>
      <c r="D3388" s="56" t="s">
        <v>15761</v>
      </c>
      <c r="E3388" s="10" t="s">
        <v>45</v>
      </c>
      <c r="F3388" s="10" t="s">
        <v>15762</v>
      </c>
      <c r="G3388" s="10" t="s">
        <v>12635</v>
      </c>
      <c r="H3388" s="10" t="s">
        <v>3150</v>
      </c>
      <c r="I3388" s="10" t="s">
        <v>55</v>
      </c>
      <c r="K3388" s="10" t="s">
        <v>15764</v>
      </c>
      <c r="L3388" s="10" t="s">
        <v>42</v>
      </c>
    </row>
    <row r="3389" ht="15.75" customHeight="1">
      <c r="A3389" s="68">
        <v>45415.0</v>
      </c>
      <c r="B3389" s="55" t="str">
        <f>HYPERLINK("https://jobright.ai/jobs/info/6635359428d68ed85e91ae75?utm_campaign=1065&amp;utm_source=sheet", "Apply")</f>
        <v>Apply</v>
      </c>
      <c r="C3389" s="10" t="s">
        <v>13552</v>
      </c>
      <c r="D3389" s="56" t="s">
        <v>15761</v>
      </c>
      <c r="E3389" s="10" t="s">
        <v>45</v>
      </c>
      <c r="F3389" s="10" t="s">
        <v>15762</v>
      </c>
      <c r="G3389" s="10" t="s">
        <v>12635</v>
      </c>
      <c r="H3389" s="10" t="s">
        <v>12606</v>
      </c>
      <c r="I3389" s="10" t="s">
        <v>55</v>
      </c>
      <c r="K3389" s="10" t="s">
        <v>15764</v>
      </c>
      <c r="L3389" s="10" t="s">
        <v>42</v>
      </c>
    </row>
    <row r="3390" ht="15.75" customHeight="1">
      <c r="A3390" s="68">
        <v>45415.0</v>
      </c>
      <c r="B3390" s="55" t="str">
        <f>HYPERLINK("https://jobright.ai/jobs/info/6635358c28d68ed85e91ae3e?utm_campaign=1065&amp;utm_source=sheet", "Apply")</f>
        <v>Apply</v>
      </c>
      <c r="C3390" s="10" t="s">
        <v>15760</v>
      </c>
      <c r="D3390" s="56" t="s">
        <v>15761</v>
      </c>
      <c r="E3390" s="10" t="s">
        <v>45</v>
      </c>
      <c r="F3390" s="10" t="s">
        <v>15762</v>
      </c>
      <c r="G3390" s="10" t="s">
        <v>12635</v>
      </c>
      <c r="H3390" s="10" t="s">
        <v>12606</v>
      </c>
      <c r="I3390" s="10" t="s">
        <v>55</v>
      </c>
      <c r="K3390" s="10" t="s">
        <v>15764</v>
      </c>
      <c r="L3390" s="10" t="s">
        <v>42</v>
      </c>
    </row>
    <row r="3391" ht="15.75" customHeight="1">
      <c r="A3391" s="68">
        <v>45415.0</v>
      </c>
      <c r="B3391" s="55" t="str">
        <f>HYPERLINK("https://jobright.ai/jobs/info/663535ca28d68ed85e91b50e?utm_campaign=1065&amp;utm_source=sheet", "Apply")</f>
        <v>Apply</v>
      </c>
      <c r="C3391" s="10" t="s">
        <v>13552</v>
      </c>
      <c r="D3391" s="56" t="s">
        <v>15761</v>
      </c>
      <c r="E3391" s="10" t="s">
        <v>45</v>
      </c>
      <c r="F3391" s="10" t="s">
        <v>15762</v>
      </c>
      <c r="G3391" s="10" t="s">
        <v>12635</v>
      </c>
      <c r="H3391" s="10" t="s">
        <v>3150</v>
      </c>
      <c r="I3391" s="10" t="s">
        <v>55</v>
      </c>
      <c r="K3391" s="10" t="s">
        <v>15764</v>
      </c>
      <c r="L3391" s="10" t="s">
        <v>42</v>
      </c>
    </row>
    <row r="3392" ht="15.75" customHeight="1">
      <c r="A3392" s="68">
        <v>45415.0</v>
      </c>
      <c r="B3392" s="55" t="str">
        <f>HYPERLINK("https://jobright.ai/jobs/info/6634520f3c164a866961f2b1?utm_campaign=1065&amp;utm_source=sheet", "Apply")</f>
        <v>Apply</v>
      </c>
      <c r="C3392" s="10" t="s">
        <v>15765</v>
      </c>
      <c r="D3392" s="56" t="s">
        <v>13400</v>
      </c>
      <c r="E3392" s="10" t="s">
        <v>276</v>
      </c>
      <c r="F3392" s="10" t="s">
        <v>3770</v>
      </c>
      <c r="G3392" s="10" t="s">
        <v>12630</v>
      </c>
      <c r="H3392" s="10" t="s">
        <v>3327</v>
      </c>
      <c r="I3392" s="10" t="s">
        <v>55</v>
      </c>
      <c r="J3392" s="10" t="s">
        <v>3651</v>
      </c>
      <c r="K3392" s="10" t="s">
        <v>15766</v>
      </c>
      <c r="L3392" s="10" t="s">
        <v>42</v>
      </c>
    </row>
    <row r="3393" ht="15.75" customHeight="1">
      <c r="A3393" s="68">
        <v>45415.0</v>
      </c>
      <c r="B3393" s="55" t="str">
        <f>HYPERLINK("https://jobright.ai/jobs/info/666940058f0265d34931b294?utm_campaign=1065&amp;utm_source=sheet", "Apply")</f>
        <v>Apply</v>
      </c>
      <c r="C3393" s="10" t="s">
        <v>15767</v>
      </c>
      <c r="D3393" s="56" t="s">
        <v>14608</v>
      </c>
      <c r="E3393" s="10" t="s">
        <v>45</v>
      </c>
      <c r="F3393" s="10" t="s">
        <v>14609</v>
      </c>
      <c r="G3393" s="10" t="s">
        <v>12654</v>
      </c>
      <c r="H3393" s="10" t="s">
        <v>15768</v>
      </c>
      <c r="I3393" s="10" t="s">
        <v>55</v>
      </c>
      <c r="J3393" s="10" t="s">
        <v>1608</v>
      </c>
      <c r="K3393" s="10" t="s">
        <v>15199</v>
      </c>
      <c r="L3393" s="10" t="s">
        <v>42</v>
      </c>
    </row>
    <row r="3394" ht="15.75" customHeight="1">
      <c r="A3394" s="68">
        <v>45415.0</v>
      </c>
      <c r="B3394" s="55" t="str">
        <f>HYPERLINK("https://jobright.ai/jobs/info/66693fe68f0265d34931b0f8?utm_campaign=1065&amp;utm_source=sheet", "Apply")</f>
        <v>Apply</v>
      </c>
      <c r="C3394" s="10" t="s">
        <v>15769</v>
      </c>
      <c r="D3394" s="56" t="s">
        <v>14608</v>
      </c>
      <c r="E3394" s="10" t="s">
        <v>45</v>
      </c>
      <c r="F3394" s="10" t="s">
        <v>14609</v>
      </c>
      <c r="G3394" s="10" t="s">
        <v>12654</v>
      </c>
      <c r="H3394" s="10" t="s">
        <v>15770</v>
      </c>
      <c r="I3394" s="10" t="s">
        <v>55</v>
      </c>
      <c r="J3394" s="10" t="s">
        <v>1608</v>
      </c>
      <c r="K3394" s="10" t="s">
        <v>15199</v>
      </c>
      <c r="L3394" s="10" t="s">
        <v>42</v>
      </c>
    </row>
    <row r="3395" ht="15.75" customHeight="1">
      <c r="A3395" s="68">
        <v>45415.0</v>
      </c>
      <c r="B3395" s="55" t="str">
        <f>HYPERLINK("https://jobright.ai/jobs/info/66693fe68f0265d34931b1ab?utm_campaign=1065&amp;utm_source=sheet", "Apply")</f>
        <v>Apply</v>
      </c>
      <c r="C3395" s="10" t="s">
        <v>15771</v>
      </c>
      <c r="D3395" s="56" t="s">
        <v>15772</v>
      </c>
      <c r="E3395" s="10" t="s">
        <v>209</v>
      </c>
      <c r="F3395" s="10" t="s">
        <v>568</v>
      </c>
      <c r="G3395" s="10" t="s">
        <v>12654</v>
      </c>
      <c r="H3395" s="10" t="s">
        <v>15773</v>
      </c>
      <c r="I3395" s="10" t="s">
        <v>55</v>
      </c>
      <c r="K3395" s="10" t="s">
        <v>15774</v>
      </c>
      <c r="L3395" s="10" t="s">
        <v>42</v>
      </c>
    </row>
    <row r="3396" ht="15.75" customHeight="1">
      <c r="A3396" s="68">
        <v>45414.0</v>
      </c>
      <c r="B3396" s="55" t="str">
        <f>HYPERLINK("https://jobright.ai/jobs/info/665d8f5dafa29d3660ab02a0?utm_campaign=1065&amp;utm_source=sheet", "Apply")</f>
        <v>Apply</v>
      </c>
      <c r="C3396" s="10" t="s">
        <v>15775</v>
      </c>
      <c r="D3396" s="56" t="s">
        <v>15776</v>
      </c>
      <c r="E3396" s="10" t="s">
        <v>276</v>
      </c>
      <c r="F3396" s="10" t="s">
        <v>15777</v>
      </c>
      <c r="G3396" s="10" t="s">
        <v>12645</v>
      </c>
      <c r="H3396" s="10" t="s">
        <v>15422</v>
      </c>
      <c r="I3396" s="10" t="s">
        <v>48</v>
      </c>
      <c r="K3396" s="10" t="s">
        <v>15778</v>
      </c>
      <c r="L3396" s="10" t="s">
        <v>42</v>
      </c>
    </row>
    <row r="3397" ht="15.75" customHeight="1">
      <c r="A3397" s="68"/>
      <c r="D3397" s="56"/>
    </row>
    <row r="3398" ht="15.75" customHeight="1">
      <c r="A3398" s="68"/>
      <c r="D3398" s="56"/>
    </row>
    <row r="3399" ht="15.75" customHeight="1">
      <c r="A3399" s="68"/>
      <c r="D3399" s="56"/>
    </row>
  </sheetData>
  <autoFilter ref="$A$1:$J$3372"/>
  <hyperlinks>
    <hyperlink r:id="rId1" ref="D6"/>
    <hyperlink r:id="rId2" ref="D9"/>
    <hyperlink r:id="rId3" ref="D10"/>
    <hyperlink r:id="rId4" ref="D32"/>
    <hyperlink r:id="rId5" ref="D47"/>
    <hyperlink r:id="rId6" ref="D639"/>
    <hyperlink r:id="rId7" ref="D1978"/>
    <hyperlink r:id="rId8" ref="D1998"/>
    <hyperlink r:id="rId9" ref="D2459"/>
  </hyperlinks>
  <drawing r:id="rId1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6">
        <v>45500.0</v>
      </c>
      <c r="B2" s="55" t="str">
        <f>HYPERLINK("https://jobright.ai/jobs/info/66a46a443d73b8ffff0c4193?utm_campaign=1051&amp;utm_source=sheet", "Apply")</f>
        <v>Apply</v>
      </c>
      <c r="C2" s="10" t="s">
        <v>15779</v>
      </c>
      <c r="D2" s="56" t="s">
        <v>1650</v>
      </c>
      <c r="E2" s="10" t="s">
        <v>209</v>
      </c>
      <c r="F2" s="10" t="s">
        <v>1243</v>
      </c>
      <c r="G2" s="10" t="s">
        <v>100</v>
      </c>
      <c r="H2" s="10" t="s">
        <v>12519</v>
      </c>
      <c r="I2" s="10" t="s">
        <v>48</v>
      </c>
      <c r="K2" s="10" t="s">
        <v>15780</v>
      </c>
      <c r="L2" s="10" t="s">
        <v>42</v>
      </c>
    </row>
    <row r="3" ht="15.75" customHeight="1">
      <c r="A3" s="66">
        <v>45500.0</v>
      </c>
      <c r="B3" s="55" t="str">
        <f>HYPERLINK("https://jobright.ai/jobs/info/66a460625493e4914e93f33a?utm_campaign=1051&amp;utm_source=sheet", "Apply")</f>
        <v>Apply</v>
      </c>
      <c r="C3" s="10" t="s">
        <v>15781</v>
      </c>
      <c r="D3" s="56" t="s">
        <v>15782</v>
      </c>
      <c r="E3" s="10" t="s">
        <v>137</v>
      </c>
      <c r="F3" s="10" t="s">
        <v>15783</v>
      </c>
      <c r="G3" s="10" t="s">
        <v>15784</v>
      </c>
      <c r="H3" s="10" t="s">
        <v>898</v>
      </c>
      <c r="I3" s="10" t="s">
        <v>55</v>
      </c>
      <c r="K3" s="10" t="s">
        <v>15785</v>
      </c>
      <c r="L3" s="10" t="s">
        <v>42</v>
      </c>
    </row>
    <row r="4" ht="15.75" customHeight="1">
      <c r="A4" s="66">
        <v>45500.0</v>
      </c>
      <c r="B4" s="55" t="str">
        <f>HYPERLINK("https://jobright.ai/jobs/info/66a45d592cbd0428278b1192?utm_campaign=1051&amp;utm_source=sheet", "Apply")</f>
        <v>Apply</v>
      </c>
      <c r="C4" s="10" t="s">
        <v>15786</v>
      </c>
      <c r="D4" s="56" t="s">
        <v>12641</v>
      </c>
      <c r="E4" s="10" t="s">
        <v>79</v>
      </c>
      <c r="F4" s="10" t="s">
        <v>12642</v>
      </c>
      <c r="G4" s="10" t="s">
        <v>15787</v>
      </c>
      <c r="H4" s="10" t="s">
        <v>96</v>
      </c>
      <c r="I4" s="10" t="s">
        <v>48</v>
      </c>
      <c r="J4" s="10" t="s">
        <v>1960</v>
      </c>
      <c r="K4" s="10" t="s">
        <v>15788</v>
      </c>
      <c r="L4" s="10" t="s">
        <v>42</v>
      </c>
    </row>
    <row r="5" ht="15.75" customHeight="1">
      <c r="A5" s="66">
        <v>45499.0</v>
      </c>
      <c r="B5" s="55" t="str">
        <f>HYPERLINK("https://jobright.ai/jobs/info/66a42507130103111111df40?utm_campaign=1051&amp;utm_source=sheet", "Apply")</f>
        <v>Apply</v>
      </c>
      <c r="C5" s="10" t="s">
        <v>15789</v>
      </c>
      <c r="D5" s="56" t="s">
        <v>9430</v>
      </c>
      <c r="E5" s="10" t="s">
        <v>45</v>
      </c>
      <c r="F5" s="10" t="s">
        <v>1084</v>
      </c>
      <c r="G5" s="10" t="s">
        <v>100</v>
      </c>
      <c r="H5" s="10" t="s">
        <v>131</v>
      </c>
      <c r="I5" s="10" t="s">
        <v>55</v>
      </c>
      <c r="J5" s="10" t="s">
        <v>1868</v>
      </c>
      <c r="K5" s="10" t="s">
        <v>15790</v>
      </c>
      <c r="L5" s="10" t="s">
        <v>42</v>
      </c>
    </row>
    <row r="6" ht="15.75" customHeight="1">
      <c r="A6" s="66">
        <v>45499.0</v>
      </c>
      <c r="B6" s="55" t="str">
        <f>HYPERLINK("https://jobright.ai/jobs/info/66a41ea5e3f7d74095f487eb?utm_campaign=1051&amp;utm_source=sheet", "Apply")</f>
        <v>Apply</v>
      </c>
      <c r="C6" s="10" t="s">
        <v>15791</v>
      </c>
      <c r="D6" s="56" t="s">
        <v>15792</v>
      </c>
      <c r="E6" s="10" t="s">
        <v>45</v>
      </c>
      <c r="F6" s="10" t="s">
        <v>3382</v>
      </c>
      <c r="G6" s="10" t="s">
        <v>15793</v>
      </c>
      <c r="H6" s="10" t="s">
        <v>994</v>
      </c>
      <c r="I6" s="10" t="s">
        <v>55</v>
      </c>
      <c r="K6" s="10" t="s">
        <v>15794</v>
      </c>
      <c r="L6" s="10" t="s">
        <v>42</v>
      </c>
    </row>
    <row r="7" ht="15.75" customHeight="1">
      <c r="A7" s="66">
        <v>45499.0</v>
      </c>
      <c r="B7" s="55" t="str">
        <f>HYPERLINK("https://jobright.ai/jobs/info/66a4190ad228a914b82eab48?utm_campaign=1051&amp;utm_source=sheet", "Apply")</f>
        <v>Apply</v>
      </c>
      <c r="C7" s="10" t="s">
        <v>15795</v>
      </c>
      <c r="D7" s="56" t="s">
        <v>1233</v>
      </c>
      <c r="E7" s="10" t="s">
        <v>45</v>
      </c>
      <c r="F7" s="10" t="s">
        <v>1234</v>
      </c>
      <c r="G7" s="10" t="s">
        <v>15787</v>
      </c>
      <c r="H7" s="10" t="s">
        <v>15796</v>
      </c>
      <c r="I7" s="10" t="s">
        <v>55</v>
      </c>
      <c r="J7" s="10" t="s">
        <v>15797</v>
      </c>
      <c r="K7" s="10" t="s">
        <v>15798</v>
      </c>
      <c r="L7" s="10" t="s">
        <v>42</v>
      </c>
    </row>
    <row r="8" ht="15.75" customHeight="1">
      <c r="A8" s="66">
        <v>45499.0</v>
      </c>
      <c r="B8" s="55" t="str">
        <f>HYPERLINK("https://jobright.ai/jobs/info/66a4170de30efe1dc24e6758?utm_campaign=1051&amp;utm_source=sheet", "Apply")</f>
        <v>Apply</v>
      </c>
      <c r="C8" s="10" t="s">
        <v>15799</v>
      </c>
      <c r="D8" s="56" t="s">
        <v>15800</v>
      </c>
      <c r="E8" s="10" t="s">
        <v>71</v>
      </c>
      <c r="F8" s="10" t="s">
        <v>15801</v>
      </c>
      <c r="G8" s="10" t="s">
        <v>100</v>
      </c>
      <c r="H8" s="10" t="s">
        <v>15802</v>
      </c>
      <c r="I8" s="10" t="s">
        <v>55</v>
      </c>
      <c r="K8" s="10" t="s">
        <v>15803</v>
      </c>
      <c r="L8" s="10" t="s">
        <v>42</v>
      </c>
    </row>
    <row r="9" ht="15.75" customHeight="1">
      <c r="A9" s="66">
        <v>45499.0</v>
      </c>
      <c r="B9" s="55" t="str">
        <f>HYPERLINK("https://jobright.ai/jobs/info/66a420605660965e6b31238e?utm_campaign=1051&amp;utm_source=sheet", "Apply")</f>
        <v>Apply</v>
      </c>
      <c r="C9" s="10" t="s">
        <v>15804</v>
      </c>
      <c r="D9" s="56" t="s">
        <v>12280</v>
      </c>
      <c r="E9" s="10" t="s">
        <v>276</v>
      </c>
      <c r="F9" s="10" t="s">
        <v>12281</v>
      </c>
      <c r="G9" s="10" t="s">
        <v>100</v>
      </c>
      <c r="H9" s="10" t="s">
        <v>15805</v>
      </c>
      <c r="I9" s="10" t="s">
        <v>55</v>
      </c>
      <c r="J9" s="10" t="s">
        <v>15806</v>
      </c>
      <c r="K9" s="10" t="s">
        <v>15807</v>
      </c>
      <c r="L9" s="10" t="s">
        <v>42</v>
      </c>
    </row>
    <row r="10" ht="15.75" customHeight="1">
      <c r="A10" s="66">
        <v>45499.0</v>
      </c>
      <c r="B10" s="55" t="str">
        <f>HYPERLINK("https://jobright.ai/jobs/info/66a420605660965e6b3123b4?utm_campaign=1051&amp;utm_source=sheet", "Apply")</f>
        <v>Apply</v>
      </c>
      <c r="C10" s="10" t="s">
        <v>15808</v>
      </c>
      <c r="D10" s="56" t="s">
        <v>15809</v>
      </c>
      <c r="E10" s="10" t="s">
        <v>79</v>
      </c>
      <c r="F10" s="10" t="s">
        <v>15810</v>
      </c>
      <c r="G10" s="10" t="s">
        <v>100</v>
      </c>
      <c r="H10" s="10" t="s">
        <v>170</v>
      </c>
      <c r="I10" s="10" t="s">
        <v>55</v>
      </c>
      <c r="K10" s="10" t="s">
        <v>15811</v>
      </c>
      <c r="L10" s="10" t="s">
        <v>42</v>
      </c>
    </row>
    <row r="11" ht="15.75" customHeight="1">
      <c r="A11" s="66">
        <v>45499.0</v>
      </c>
      <c r="B11" s="55" t="str">
        <f>HYPERLINK("https://jobright.ai/jobs/info/66a40daedfc0dce261461f27?utm_campaign=1051&amp;utm_source=sheet", "Apply")</f>
        <v>Apply</v>
      </c>
      <c r="C11" s="10" t="s">
        <v>15812</v>
      </c>
      <c r="D11" s="56" t="s">
        <v>15813</v>
      </c>
      <c r="E11" s="10">
        <v>1.0</v>
      </c>
      <c r="G11" s="10" t="s">
        <v>15814</v>
      </c>
      <c r="H11" s="10" t="s">
        <v>5413</v>
      </c>
      <c r="I11" s="10" t="s">
        <v>48</v>
      </c>
      <c r="K11" s="10" t="s">
        <v>15815</v>
      </c>
      <c r="L11" s="10" t="s">
        <v>42</v>
      </c>
    </row>
    <row r="12" ht="15.75" customHeight="1">
      <c r="A12" s="66">
        <v>45499.0</v>
      </c>
      <c r="B12" s="55" t="str">
        <f>HYPERLINK("https://jobright.ai/jobs/info/66a403030d09d8a9054b379c?utm_campaign=1051&amp;utm_source=sheet", "Apply")</f>
        <v>Apply</v>
      </c>
      <c r="C12" s="10" t="s">
        <v>15816</v>
      </c>
      <c r="D12" s="56" t="s">
        <v>15817</v>
      </c>
      <c r="E12" s="59">
        <v>45301.0</v>
      </c>
      <c r="F12" s="10" t="s">
        <v>15818</v>
      </c>
      <c r="G12" s="10" t="s">
        <v>15814</v>
      </c>
      <c r="H12" s="10" t="s">
        <v>723</v>
      </c>
      <c r="I12" s="10" t="s">
        <v>55</v>
      </c>
      <c r="K12" s="10" t="s">
        <v>15819</v>
      </c>
      <c r="L12" s="10" t="s">
        <v>42</v>
      </c>
    </row>
    <row r="13" ht="15.75" customHeight="1">
      <c r="A13" s="66">
        <v>45499.0</v>
      </c>
      <c r="B13" s="55" t="str">
        <f>HYPERLINK("https://jobright.ai/jobs/info/66a3e89db020465e7d35d163?utm_campaign=1051&amp;utm_source=sheet", "Apply")</f>
        <v>Apply</v>
      </c>
      <c r="C13" s="10" t="s">
        <v>15820</v>
      </c>
      <c r="D13" s="56" t="s">
        <v>9508</v>
      </c>
      <c r="E13" s="10" t="s">
        <v>79</v>
      </c>
      <c r="F13" s="10" t="s">
        <v>9509</v>
      </c>
      <c r="G13" s="10" t="s">
        <v>100</v>
      </c>
      <c r="H13" s="10" t="s">
        <v>170</v>
      </c>
      <c r="I13" s="10" t="s">
        <v>48</v>
      </c>
      <c r="K13" s="10" t="s">
        <v>15821</v>
      </c>
      <c r="L13" s="10" t="s">
        <v>42</v>
      </c>
    </row>
    <row r="14" ht="15.75" customHeight="1">
      <c r="A14" s="66">
        <v>45499.0</v>
      </c>
      <c r="B14" s="55" t="str">
        <f>HYPERLINK("https://jobright.ai/jobs/info/66a3d0cff78d4ddf58eb1d60?utm_campaign=1051&amp;utm_source=sheet", "Apply")</f>
        <v>Apply</v>
      </c>
      <c r="C14" s="10" t="s">
        <v>15822</v>
      </c>
      <c r="D14" s="56" t="s">
        <v>385</v>
      </c>
      <c r="E14" s="10" t="s">
        <v>45</v>
      </c>
      <c r="F14" s="10" t="s">
        <v>386</v>
      </c>
      <c r="G14" s="10" t="s">
        <v>15814</v>
      </c>
      <c r="H14" s="10" t="s">
        <v>423</v>
      </c>
      <c r="I14" s="10" t="s">
        <v>55</v>
      </c>
      <c r="J14" s="10" t="s">
        <v>15823</v>
      </c>
      <c r="K14" s="10" t="s">
        <v>2356</v>
      </c>
      <c r="L14" s="10" t="s">
        <v>42</v>
      </c>
    </row>
    <row r="15" ht="15.75" customHeight="1">
      <c r="A15" s="66">
        <v>45499.0</v>
      </c>
      <c r="B15" s="55" t="str">
        <f>HYPERLINK("https://jobright.ai/jobs/info/66a3d2e2d7fee676c84045b7?utm_campaign=1051&amp;utm_source=sheet", "Apply")</f>
        <v>Apply</v>
      </c>
      <c r="C15" s="10" t="s">
        <v>15824</v>
      </c>
      <c r="D15" s="56" t="s">
        <v>12798</v>
      </c>
      <c r="E15" s="59">
        <v>45301.0</v>
      </c>
      <c r="F15" s="10" t="s">
        <v>85</v>
      </c>
      <c r="G15" s="10" t="s">
        <v>15784</v>
      </c>
      <c r="H15" s="10" t="s">
        <v>159</v>
      </c>
      <c r="I15" s="10" t="s">
        <v>55</v>
      </c>
      <c r="K15" s="10" t="s">
        <v>15825</v>
      </c>
      <c r="L15" s="10" t="s">
        <v>42</v>
      </c>
    </row>
    <row r="16" ht="15.75" customHeight="1">
      <c r="A16" s="66">
        <v>45499.0</v>
      </c>
      <c r="B16" s="55" t="str">
        <f>HYPERLINK("https://jobright.ai/jobs/info/66a3c9c755a005da42ef507d?utm_campaign=1051&amp;utm_source=sheet", "Apply")</f>
        <v>Apply</v>
      </c>
      <c r="C16" s="10" t="s">
        <v>15826</v>
      </c>
      <c r="D16" s="56" t="s">
        <v>15827</v>
      </c>
      <c r="E16" s="10" t="s">
        <v>79</v>
      </c>
      <c r="F16" s="10" t="s">
        <v>15828</v>
      </c>
      <c r="G16" s="10" t="s">
        <v>15829</v>
      </c>
      <c r="H16" s="10" t="s">
        <v>346</v>
      </c>
      <c r="I16" s="10" t="s">
        <v>55</v>
      </c>
      <c r="K16" s="10" t="s">
        <v>15830</v>
      </c>
      <c r="L16" s="10" t="s">
        <v>42</v>
      </c>
    </row>
    <row r="17" ht="15.75" customHeight="1">
      <c r="A17" s="66">
        <v>45499.0</v>
      </c>
      <c r="B17" s="55" t="str">
        <f>HYPERLINK("https://jobright.ai/jobs/info/66a3a5acc3f6a01b72d3b935?utm_campaign=1051&amp;utm_source=sheet", "Apply")</f>
        <v>Apply</v>
      </c>
      <c r="C17" s="10" t="s">
        <v>15831</v>
      </c>
      <c r="D17" s="56" t="s">
        <v>15832</v>
      </c>
      <c r="E17" s="10" t="s">
        <v>79</v>
      </c>
      <c r="F17" s="10" t="s">
        <v>345</v>
      </c>
      <c r="G17" s="10" t="s">
        <v>15784</v>
      </c>
      <c r="H17" s="10" t="s">
        <v>15833</v>
      </c>
      <c r="I17" s="10" t="s">
        <v>55</v>
      </c>
      <c r="J17" s="10" t="s">
        <v>15834</v>
      </c>
      <c r="K17" s="10" t="s">
        <v>15835</v>
      </c>
      <c r="L17" s="10" t="s">
        <v>42</v>
      </c>
    </row>
    <row r="18" ht="15.75" customHeight="1">
      <c r="A18" s="66">
        <v>45499.0</v>
      </c>
      <c r="B18" s="55" t="str">
        <f>HYPERLINK("https://jobright.ai/jobs/info/666a2844e606c79653b24b03?utm_campaign=1051&amp;utm_source=sheet", "Apply")</f>
        <v>Apply</v>
      </c>
      <c r="C18" s="10" t="s">
        <v>15836</v>
      </c>
      <c r="D18" s="56" t="s">
        <v>10975</v>
      </c>
      <c r="E18" s="10" t="s">
        <v>249</v>
      </c>
      <c r="F18" s="10" t="s">
        <v>1934</v>
      </c>
      <c r="G18" s="10" t="s">
        <v>15793</v>
      </c>
      <c r="H18" s="10" t="s">
        <v>9989</v>
      </c>
      <c r="I18" s="10" t="s">
        <v>55</v>
      </c>
      <c r="K18" s="10" t="s">
        <v>15837</v>
      </c>
      <c r="L18" s="10" t="s">
        <v>42</v>
      </c>
    </row>
    <row r="19" ht="15.75" customHeight="1">
      <c r="A19" s="66">
        <v>45499.0</v>
      </c>
      <c r="B19" s="55" t="str">
        <f>HYPERLINK("https://jobright.ai/jobs/info/6686e437b57553b5e4c862ed?utm_campaign=1051&amp;utm_source=sheet", "Apply")</f>
        <v>Apply</v>
      </c>
      <c r="C19" s="10" t="s">
        <v>15838</v>
      </c>
      <c r="D19" s="56" t="s">
        <v>15839</v>
      </c>
      <c r="E19" s="10">
        <v>4852.0</v>
      </c>
      <c r="G19" s="10" t="s">
        <v>15829</v>
      </c>
      <c r="H19" s="10" t="s">
        <v>3482</v>
      </c>
      <c r="I19" s="10" t="s">
        <v>55</v>
      </c>
      <c r="K19" s="10" t="s">
        <v>15840</v>
      </c>
      <c r="L19" s="10" t="s">
        <v>42</v>
      </c>
    </row>
    <row r="20" ht="15.75" customHeight="1">
      <c r="A20" s="66">
        <v>45499.0</v>
      </c>
      <c r="B20" s="55" t="str">
        <f>HYPERLINK("https://jobright.ai/jobs/info/6686fbd090a41e359d7fa038?utm_campaign=1051&amp;utm_source=sheet", "Apply")</f>
        <v>Apply</v>
      </c>
      <c r="C20" s="10" t="s">
        <v>15838</v>
      </c>
      <c r="D20" s="56" t="s">
        <v>15839</v>
      </c>
      <c r="E20" s="10">
        <v>4852.0</v>
      </c>
      <c r="G20" s="10" t="s">
        <v>15829</v>
      </c>
      <c r="H20" s="10" t="s">
        <v>15841</v>
      </c>
      <c r="I20" s="10" t="s">
        <v>55</v>
      </c>
      <c r="J20" s="10" t="s">
        <v>8269</v>
      </c>
      <c r="K20" s="10" t="s">
        <v>15842</v>
      </c>
      <c r="L20" s="10" t="s">
        <v>42</v>
      </c>
    </row>
    <row r="21" ht="15.75" customHeight="1">
      <c r="A21" s="66">
        <v>45499.0</v>
      </c>
      <c r="B21" s="55" t="str">
        <f>HYPERLINK("https://jobright.ai/jobs/info/6686e437b57553b5e4c862d8?utm_campaign=1051&amp;utm_source=sheet", "Apply")</f>
        <v>Apply</v>
      </c>
      <c r="C21" s="10" t="s">
        <v>15838</v>
      </c>
      <c r="D21" s="56" t="s">
        <v>15839</v>
      </c>
      <c r="E21" s="10">
        <v>4852.0</v>
      </c>
      <c r="G21" s="10" t="s">
        <v>15829</v>
      </c>
      <c r="H21" s="10" t="s">
        <v>994</v>
      </c>
      <c r="I21" s="10" t="s">
        <v>55</v>
      </c>
      <c r="K21" s="10" t="s">
        <v>15843</v>
      </c>
      <c r="L21" s="10" t="s">
        <v>42</v>
      </c>
    </row>
    <row r="22" ht="15.75" customHeight="1">
      <c r="A22" s="66">
        <v>45499.0</v>
      </c>
      <c r="B22" s="55" t="str">
        <f>HYPERLINK("https://jobright.ai/jobs/info/66795ba6dcb1db3fc098ec37?utm_campaign=1051&amp;utm_source=sheet", "Apply")</f>
        <v>Apply</v>
      </c>
      <c r="C22" s="10" t="s">
        <v>15844</v>
      </c>
      <c r="D22" s="56" t="s">
        <v>10975</v>
      </c>
      <c r="E22" s="10" t="s">
        <v>249</v>
      </c>
      <c r="F22" s="10" t="s">
        <v>1934</v>
      </c>
      <c r="G22" s="10" t="s">
        <v>15793</v>
      </c>
      <c r="H22" s="10" t="s">
        <v>167</v>
      </c>
      <c r="I22" s="10" t="s">
        <v>55</v>
      </c>
      <c r="K22" s="10" t="s">
        <v>15837</v>
      </c>
      <c r="L22" s="10" t="s">
        <v>42</v>
      </c>
    </row>
    <row r="23" ht="15.75" customHeight="1">
      <c r="A23" s="66">
        <v>45499.0</v>
      </c>
      <c r="B23" s="55" t="str">
        <f>HYPERLINK("https://jobright.ai/jobs/info/66a3a5cfc3f6a01b72d3bc33?utm_campaign=1051&amp;utm_source=sheet", "Apply")</f>
        <v>Apply</v>
      </c>
      <c r="C23" s="10" t="s">
        <v>15845</v>
      </c>
      <c r="D23" s="56" t="s">
        <v>15846</v>
      </c>
      <c r="E23" s="10">
        <v>58.0</v>
      </c>
      <c r="G23" s="10" t="s">
        <v>15814</v>
      </c>
      <c r="H23" s="10" t="s">
        <v>4850</v>
      </c>
      <c r="I23" s="10" t="s">
        <v>55</v>
      </c>
      <c r="J23" s="10" t="s">
        <v>15847</v>
      </c>
      <c r="K23" s="10" t="s">
        <v>15848</v>
      </c>
      <c r="L23" s="10" t="s">
        <v>42</v>
      </c>
    </row>
    <row r="24" ht="15.75" customHeight="1">
      <c r="A24" s="66">
        <v>45499.0</v>
      </c>
      <c r="B24" s="55" t="str">
        <f>HYPERLINK("https://jobright.ai/jobs/info/6686eaedeb5c1e2a2d337891?utm_campaign=1051&amp;utm_source=sheet", "Apply")</f>
        <v>Apply</v>
      </c>
      <c r="C24" s="10" t="s">
        <v>15838</v>
      </c>
      <c r="D24" s="56" t="s">
        <v>15839</v>
      </c>
      <c r="E24" s="10">
        <v>4852.0</v>
      </c>
      <c r="G24" s="10" t="s">
        <v>15829</v>
      </c>
      <c r="H24" s="10" t="s">
        <v>668</v>
      </c>
      <c r="I24" s="10" t="s">
        <v>55</v>
      </c>
      <c r="K24" s="10" t="s">
        <v>15840</v>
      </c>
      <c r="L24" s="10" t="s">
        <v>42</v>
      </c>
    </row>
    <row r="25" ht="15.75" customHeight="1">
      <c r="A25" s="66">
        <v>45499.0</v>
      </c>
      <c r="B25" s="55" t="str">
        <f>HYPERLINK("https://jobright.ai/jobs/info/667955e939ca2f81c4370fc1?utm_campaign=1051&amp;utm_source=sheet", "Apply")</f>
        <v>Apply</v>
      </c>
      <c r="C25" s="10" t="s">
        <v>15849</v>
      </c>
      <c r="D25" s="56" t="s">
        <v>10975</v>
      </c>
      <c r="E25" s="10" t="s">
        <v>249</v>
      </c>
      <c r="F25" s="10" t="s">
        <v>1934</v>
      </c>
      <c r="G25" s="10" t="s">
        <v>15793</v>
      </c>
      <c r="H25" s="10" t="s">
        <v>882</v>
      </c>
      <c r="I25" s="10" t="s">
        <v>55</v>
      </c>
      <c r="K25" s="10" t="s">
        <v>15837</v>
      </c>
      <c r="L25" s="10" t="s">
        <v>42</v>
      </c>
    </row>
    <row r="26" ht="15.75" customHeight="1">
      <c r="A26" s="66">
        <v>45499.0</v>
      </c>
      <c r="B26" s="55" t="str">
        <f>HYPERLINK("https://jobright.ai/jobs/info/668688b09db87c158112a798?utm_campaign=1051&amp;utm_source=sheet", "Apply")</f>
        <v>Apply</v>
      </c>
      <c r="C26" s="10" t="s">
        <v>15838</v>
      </c>
      <c r="D26" s="56" t="s">
        <v>15839</v>
      </c>
      <c r="E26" s="10">
        <v>4852.0</v>
      </c>
      <c r="G26" s="10" t="s">
        <v>15829</v>
      </c>
      <c r="H26" s="10" t="s">
        <v>15850</v>
      </c>
      <c r="I26" s="10" t="s">
        <v>55</v>
      </c>
      <c r="K26" s="10" t="s">
        <v>15851</v>
      </c>
      <c r="L26" s="10" t="s">
        <v>42</v>
      </c>
    </row>
    <row r="27" ht="15.75" customHeight="1">
      <c r="A27" s="66">
        <v>45499.0</v>
      </c>
      <c r="B27" s="55" t="str">
        <f>HYPERLINK("https://jobright.ai/jobs/info/666a316790feb1bdec571d80?utm_campaign=1051&amp;utm_source=sheet", "Apply")</f>
        <v>Apply</v>
      </c>
      <c r="C27" s="10" t="s">
        <v>15852</v>
      </c>
      <c r="D27" s="56" t="s">
        <v>10975</v>
      </c>
      <c r="E27" s="10" t="s">
        <v>249</v>
      </c>
      <c r="F27" s="10" t="s">
        <v>1934</v>
      </c>
      <c r="G27" s="10" t="s">
        <v>15793</v>
      </c>
      <c r="H27" s="10" t="s">
        <v>170</v>
      </c>
      <c r="I27" s="10" t="s">
        <v>55</v>
      </c>
      <c r="K27" s="10" t="s">
        <v>15837</v>
      </c>
      <c r="L27" s="10" t="s">
        <v>42</v>
      </c>
    </row>
    <row r="28" ht="15.75" customHeight="1">
      <c r="A28" s="66">
        <v>45499.0</v>
      </c>
      <c r="B28" s="55" t="str">
        <f>HYPERLINK("https://jobright.ai/jobs/info/664d114185131f6ba8ec2ae6?utm_campaign=1051&amp;utm_source=sheet", "Apply")</f>
        <v>Apply</v>
      </c>
      <c r="C28" s="10" t="s">
        <v>15853</v>
      </c>
      <c r="D28" s="56" t="s">
        <v>2690</v>
      </c>
      <c r="E28" s="10" t="s">
        <v>45</v>
      </c>
      <c r="F28" s="10" t="s">
        <v>2691</v>
      </c>
      <c r="G28" s="10" t="s">
        <v>15854</v>
      </c>
      <c r="H28" s="10" t="s">
        <v>201</v>
      </c>
      <c r="I28" s="10" t="s">
        <v>55</v>
      </c>
      <c r="J28" s="10" t="s">
        <v>15855</v>
      </c>
      <c r="K28" s="10" t="s">
        <v>15856</v>
      </c>
      <c r="L28" s="10" t="s">
        <v>42</v>
      </c>
    </row>
    <row r="29" ht="15.75" customHeight="1">
      <c r="A29" s="66">
        <v>45499.0</v>
      </c>
      <c r="B29" s="55" t="str">
        <f>HYPERLINK("https://jobright.ai/jobs/info/65ccc64ad7cf45d6d2916764?utm_campaign=1051&amp;utm_source=sheet", "Apply")</f>
        <v>Apply</v>
      </c>
      <c r="C29" s="10" t="s">
        <v>15857</v>
      </c>
      <c r="D29" s="56" t="s">
        <v>9612</v>
      </c>
      <c r="E29" s="10" t="s">
        <v>45</v>
      </c>
      <c r="F29" s="10" t="s">
        <v>2534</v>
      </c>
      <c r="G29" s="10" t="s">
        <v>100</v>
      </c>
      <c r="H29" s="10" t="s">
        <v>15858</v>
      </c>
      <c r="I29" s="10" t="s">
        <v>55</v>
      </c>
      <c r="K29" s="10" t="s">
        <v>15859</v>
      </c>
      <c r="L29" s="10" t="s">
        <v>42</v>
      </c>
    </row>
    <row r="30" ht="15.75" customHeight="1">
      <c r="A30" s="66">
        <v>45499.0</v>
      </c>
      <c r="B30" s="55" t="str">
        <f>HYPERLINK("https://jobright.ai/jobs/info/650765926198163b7ccb7989?utm_campaign=1051&amp;utm_source=sheet", "Apply")</f>
        <v>Apply</v>
      </c>
      <c r="C30" s="10" t="s">
        <v>15860</v>
      </c>
      <c r="D30" s="56" t="s">
        <v>10975</v>
      </c>
      <c r="E30" s="10" t="s">
        <v>249</v>
      </c>
      <c r="F30" s="10" t="s">
        <v>1934</v>
      </c>
      <c r="G30" s="10" t="s">
        <v>15793</v>
      </c>
      <c r="H30" s="10" t="s">
        <v>434</v>
      </c>
      <c r="I30" s="10" t="s">
        <v>55</v>
      </c>
      <c r="K30" s="10" t="s">
        <v>15837</v>
      </c>
      <c r="L30" s="10" t="s">
        <v>42</v>
      </c>
    </row>
    <row r="31" ht="15.75" customHeight="1">
      <c r="A31" s="66">
        <v>45499.0</v>
      </c>
      <c r="B31" s="55" t="str">
        <f>HYPERLINK("https://jobright.ai/jobs/info/666a2844e606c79653b24b09?utm_campaign=1051&amp;utm_source=sheet", "Apply")</f>
        <v>Apply</v>
      </c>
      <c r="C31" s="10" t="s">
        <v>15861</v>
      </c>
      <c r="D31" s="56" t="s">
        <v>10975</v>
      </c>
      <c r="E31" s="10" t="s">
        <v>249</v>
      </c>
      <c r="F31" s="10" t="s">
        <v>1934</v>
      </c>
      <c r="G31" s="10" t="s">
        <v>15793</v>
      </c>
      <c r="H31" s="10" t="s">
        <v>245</v>
      </c>
      <c r="I31" s="10" t="s">
        <v>55</v>
      </c>
      <c r="K31" s="10" t="s">
        <v>15837</v>
      </c>
      <c r="L31" s="10" t="s">
        <v>42</v>
      </c>
    </row>
    <row r="32" ht="15.75" customHeight="1">
      <c r="A32" s="66">
        <v>45499.0</v>
      </c>
      <c r="B32" s="55" t="str">
        <f>HYPERLINK("https://jobright.ai/jobs/info/66a3b1ebcc8f335cd486c6a2?utm_campaign=1051&amp;utm_source=sheet", "Apply")</f>
        <v>Apply</v>
      </c>
      <c r="C32" s="10" t="s">
        <v>15862</v>
      </c>
      <c r="D32" s="56" t="s">
        <v>15863</v>
      </c>
      <c r="E32" s="10" t="s">
        <v>249</v>
      </c>
      <c r="F32" s="10" t="s">
        <v>568</v>
      </c>
      <c r="G32" s="10" t="s">
        <v>15854</v>
      </c>
      <c r="H32" s="10" t="s">
        <v>985</v>
      </c>
      <c r="I32" s="10" t="s">
        <v>55</v>
      </c>
      <c r="K32" s="10" t="s">
        <v>15864</v>
      </c>
      <c r="L32" s="10" t="s">
        <v>42</v>
      </c>
    </row>
    <row r="33" ht="15.75" customHeight="1">
      <c r="A33" s="66">
        <v>45499.0</v>
      </c>
      <c r="B33" s="55" t="str">
        <f>HYPERLINK("https://jobright.ai/jobs/info/6675ba12044b6b83ef0d3a32?utm_campaign=1051&amp;utm_source=sheet", "Apply")</f>
        <v>Apply</v>
      </c>
      <c r="C33" s="10" t="s">
        <v>15865</v>
      </c>
      <c r="D33" s="56" t="s">
        <v>13092</v>
      </c>
      <c r="E33" s="10" t="s">
        <v>249</v>
      </c>
      <c r="F33" s="10" t="s">
        <v>259</v>
      </c>
      <c r="G33" s="10" t="s">
        <v>100</v>
      </c>
      <c r="H33" s="10" t="s">
        <v>96</v>
      </c>
      <c r="I33" s="10" t="s">
        <v>55</v>
      </c>
      <c r="K33" s="10" t="s">
        <v>15866</v>
      </c>
      <c r="L33" s="10" t="s">
        <v>42</v>
      </c>
    </row>
    <row r="34" ht="15.75" customHeight="1">
      <c r="A34" s="66">
        <v>45499.0</v>
      </c>
      <c r="B34" s="55" t="str">
        <f>HYPERLINK("https://jobright.ai/jobs/info/66a3b1ebcc8f335cd486c6e0?utm_campaign=1051&amp;utm_source=sheet", "Apply")</f>
        <v>Apply</v>
      </c>
      <c r="C34" s="10" t="s">
        <v>15867</v>
      </c>
      <c r="D34" s="56" t="s">
        <v>15868</v>
      </c>
      <c r="E34" s="10" t="s">
        <v>65</v>
      </c>
      <c r="F34" s="10" t="s">
        <v>15869</v>
      </c>
      <c r="G34" s="10" t="s">
        <v>15784</v>
      </c>
      <c r="H34" s="10" t="s">
        <v>15870</v>
      </c>
      <c r="I34" s="10" t="s">
        <v>55</v>
      </c>
      <c r="K34" s="10" t="s">
        <v>15871</v>
      </c>
      <c r="L34" s="10" t="s">
        <v>42</v>
      </c>
    </row>
    <row r="35" ht="15.75" customHeight="1">
      <c r="A35" s="66">
        <v>45499.0</v>
      </c>
      <c r="B35" s="55" t="str">
        <f>HYPERLINK("https://jobright.ai/jobs/info/6686a219cc76e214d619785f?utm_campaign=1051&amp;utm_source=sheet", "Apply")</f>
        <v>Apply</v>
      </c>
      <c r="C35" s="10" t="s">
        <v>15872</v>
      </c>
      <c r="D35" s="56" t="s">
        <v>15839</v>
      </c>
      <c r="E35" s="10">
        <v>4852.0</v>
      </c>
      <c r="G35" s="10" t="s">
        <v>15829</v>
      </c>
      <c r="H35" s="10" t="s">
        <v>405</v>
      </c>
      <c r="I35" s="10" t="s">
        <v>55</v>
      </c>
      <c r="J35" s="10" t="s">
        <v>15873</v>
      </c>
      <c r="K35" s="10" t="s">
        <v>15840</v>
      </c>
      <c r="L35" s="10" t="s">
        <v>42</v>
      </c>
    </row>
    <row r="36" ht="15.75" customHeight="1">
      <c r="A36" s="66">
        <v>45499.0</v>
      </c>
      <c r="B36" s="55" t="str">
        <f>HYPERLINK("https://jobright.ai/jobs/info/6640ba7854794bafac9ab768?utm_campaign=1051&amp;utm_source=sheet", "Apply")</f>
        <v>Apply</v>
      </c>
      <c r="C36" s="10" t="s">
        <v>15874</v>
      </c>
      <c r="D36" s="56" t="s">
        <v>9671</v>
      </c>
      <c r="E36" s="10" t="s">
        <v>45</v>
      </c>
      <c r="F36" s="10" t="s">
        <v>1084</v>
      </c>
      <c r="G36" s="10" t="s">
        <v>15793</v>
      </c>
      <c r="H36" s="10" t="s">
        <v>113</v>
      </c>
      <c r="I36" s="10" t="s">
        <v>55</v>
      </c>
      <c r="J36" s="10" t="s">
        <v>10332</v>
      </c>
      <c r="K36" s="10" t="s">
        <v>15875</v>
      </c>
      <c r="L36" s="10" t="s">
        <v>42</v>
      </c>
    </row>
    <row r="37" ht="15.75" customHeight="1">
      <c r="A37" s="66">
        <v>45499.0</v>
      </c>
      <c r="B37" s="55" t="str">
        <f>HYPERLINK("https://jobright.ai/jobs/info/66a385042936fa0c4bc88e37?utm_campaign=1051&amp;utm_source=sheet", "Apply")</f>
        <v>Apply</v>
      </c>
      <c r="C37" s="10" t="s">
        <v>15876</v>
      </c>
      <c r="D37" s="56" t="s">
        <v>15877</v>
      </c>
      <c r="E37" s="10" t="s">
        <v>71</v>
      </c>
      <c r="F37" s="10" t="s">
        <v>15878</v>
      </c>
      <c r="G37" s="10" t="s">
        <v>15814</v>
      </c>
      <c r="H37" s="10" t="s">
        <v>7559</v>
      </c>
      <c r="I37" s="10" t="s">
        <v>55</v>
      </c>
      <c r="K37" s="10" t="s">
        <v>15879</v>
      </c>
      <c r="L37" s="10" t="s">
        <v>42</v>
      </c>
    </row>
    <row r="38" ht="15.75" customHeight="1">
      <c r="A38" s="66">
        <v>45499.0</v>
      </c>
      <c r="B38" s="55" t="str">
        <f>HYPERLINK("https://jobright.ai/jobs/info/66a35c1ec3e56d76c75e3dd1?utm_campaign=1051&amp;utm_source=sheet", "Apply")</f>
        <v>Apply</v>
      </c>
      <c r="C38" s="10" t="s">
        <v>15880</v>
      </c>
      <c r="D38" s="56" t="s">
        <v>15881</v>
      </c>
      <c r="E38" s="10">
        <v>2.0</v>
      </c>
      <c r="G38" s="10" t="s">
        <v>15793</v>
      </c>
      <c r="H38" s="10" t="s">
        <v>5413</v>
      </c>
      <c r="I38" s="10" t="s">
        <v>55</v>
      </c>
      <c r="K38" s="10" t="s">
        <v>15882</v>
      </c>
      <c r="L38" s="10" t="s">
        <v>42</v>
      </c>
    </row>
    <row r="39" ht="15.75" customHeight="1">
      <c r="A39" s="66">
        <v>45499.0</v>
      </c>
      <c r="B39" s="55" t="str">
        <f>HYPERLINK("https://jobright.ai/jobs/info/66a34a7d4b8e157857ff967f?utm_campaign=1051&amp;utm_source=sheet", "Apply")</f>
        <v>Apply</v>
      </c>
      <c r="C39" s="10" t="s">
        <v>15883</v>
      </c>
      <c r="D39" s="56" t="s">
        <v>15881</v>
      </c>
      <c r="E39" s="10">
        <v>2.0</v>
      </c>
      <c r="G39" s="10" t="s">
        <v>15784</v>
      </c>
      <c r="H39" s="10" t="s">
        <v>5413</v>
      </c>
      <c r="I39" s="10" t="s">
        <v>55</v>
      </c>
      <c r="K39" s="10" t="s">
        <v>15884</v>
      </c>
      <c r="L39" s="10" t="s">
        <v>42</v>
      </c>
    </row>
    <row r="40" ht="15.75" customHeight="1">
      <c r="A40" s="66">
        <v>45499.0</v>
      </c>
      <c r="B40" s="55" t="str">
        <f>HYPERLINK("https://jobright.ai/jobs/info/6677bcaa27c0e726e8f4dc89?utm_campaign=1051&amp;utm_source=sheet", "Apply")</f>
        <v>Apply</v>
      </c>
      <c r="C40" s="10" t="s">
        <v>15791</v>
      </c>
      <c r="D40" s="56" t="s">
        <v>15792</v>
      </c>
      <c r="E40" s="10" t="s">
        <v>45</v>
      </c>
      <c r="F40" s="10" t="s">
        <v>3382</v>
      </c>
      <c r="G40" s="10" t="s">
        <v>15793</v>
      </c>
      <c r="H40" s="10" t="s">
        <v>854</v>
      </c>
      <c r="I40" s="10" t="s">
        <v>55</v>
      </c>
      <c r="K40" s="10" t="s">
        <v>15885</v>
      </c>
      <c r="L40" s="10" t="s">
        <v>42</v>
      </c>
    </row>
    <row r="41" ht="15.75" customHeight="1">
      <c r="A41" s="66">
        <v>45499.0</v>
      </c>
      <c r="B41" s="55" t="str">
        <f>HYPERLINK("https://jobright.ai/jobs/info/66a341563a79edbec23c0aad?utm_campaign=1051&amp;utm_source=sheet", "Apply")</f>
        <v>Apply</v>
      </c>
      <c r="C41" s="10" t="s">
        <v>15791</v>
      </c>
      <c r="D41" s="56" t="s">
        <v>15792</v>
      </c>
      <c r="E41" s="10" t="s">
        <v>45</v>
      </c>
      <c r="F41" s="10" t="s">
        <v>3382</v>
      </c>
      <c r="G41" s="10" t="s">
        <v>15793</v>
      </c>
      <c r="H41" s="10" t="s">
        <v>96</v>
      </c>
      <c r="I41" s="10" t="s">
        <v>55</v>
      </c>
      <c r="K41" s="10" t="s">
        <v>15794</v>
      </c>
      <c r="L41" s="10" t="s">
        <v>42</v>
      </c>
    </row>
    <row r="42" ht="15.75" customHeight="1">
      <c r="A42" s="66">
        <v>45499.0</v>
      </c>
      <c r="B42" s="55" t="str">
        <f>HYPERLINK("https://jobright.ai/jobs/info/6676dfdec909276a3772d1cf?utm_campaign=1051&amp;utm_source=sheet", "Apply")</f>
        <v>Apply</v>
      </c>
      <c r="C42" s="10" t="s">
        <v>15791</v>
      </c>
      <c r="D42" s="56" t="s">
        <v>15792</v>
      </c>
      <c r="E42" s="10" t="s">
        <v>45</v>
      </c>
      <c r="F42" s="10" t="s">
        <v>3382</v>
      </c>
      <c r="G42" s="10" t="s">
        <v>15793</v>
      </c>
      <c r="H42" s="10" t="s">
        <v>810</v>
      </c>
      <c r="I42" s="10" t="s">
        <v>55</v>
      </c>
      <c r="K42" s="10" t="s">
        <v>15885</v>
      </c>
      <c r="L42" s="10" t="s">
        <v>42</v>
      </c>
    </row>
    <row r="43" ht="15.75" customHeight="1">
      <c r="A43" s="66">
        <v>45499.0</v>
      </c>
      <c r="B43" s="55" t="str">
        <f>HYPERLINK("https://jobright.ai/jobs/info/66a3230d3f4bc81fa98d3834?utm_campaign=1051&amp;utm_source=sheet", "Apply")</f>
        <v>Apply</v>
      </c>
      <c r="C43" s="10" t="s">
        <v>15791</v>
      </c>
      <c r="D43" s="56" t="s">
        <v>15792</v>
      </c>
      <c r="E43" s="10" t="s">
        <v>45</v>
      </c>
      <c r="F43" s="10" t="s">
        <v>3382</v>
      </c>
      <c r="G43" s="10" t="s">
        <v>15793</v>
      </c>
      <c r="H43" s="10" t="s">
        <v>628</v>
      </c>
      <c r="I43" s="10" t="s">
        <v>55</v>
      </c>
      <c r="K43" s="10" t="s">
        <v>15794</v>
      </c>
      <c r="L43" s="10" t="s">
        <v>42</v>
      </c>
    </row>
    <row r="44" ht="15.75" customHeight="1">
      <c r="A44" s="66">
        <v>45499.0</v>
      </c>
      <c r="B44" s="55" t="str">
        <f>HYPERLINK("https://jobright.ai/jobs/info/66a3230d3f4bc81fa98d3846?utm_campaign=1051&amp;utm_source=sheet", "Apply")</f>
        <v>Apply</v>
      </c>
      <c r="C44" s="10" t="s">
        <v>15791</v>
      </c>
      <c r="D44" s="56" t="s">
        <v>15792</v>
      </c>
      <c r="E44" s="10" t="s">
        <v>45</v>
      </c>
      <c r="F44" s="10" t="s">
        <v>3382</v>
      </c>
      <c r="G44" s="10" t="s">
        <v>15793</v>
      </c>
      <c r="H44" s="10" t="s">
        <v>15886</v>
      </c>
      <c r="I44" s="10" t="s">
        <v>55</v>
      </c>
      <c r="K44" s="10" t="s">
        <v>15794</v>
      </c>
      <c r="L44" s="10" t="s">
        <v>42</v>
      </c>
    </row>
    <row r="45" ht="15.75" customHeight="1">
      <c r="A45" s="66">
        <v>45499.0</v>
      </c>
      <c r="B45" s="55" t="str">
        <f>HYPERLINK("https://jobright.ai/jobs/info/66a3b11fd977e8254dc30646?utm_campaign=1051&amp;utm_source=sheet", "Apply")</f>
        <v>Apply</v>
      </c>
      <c r="C45" s="10" t="s">
        <v>15791</v>
      </c>
      <c r="D45" s="56" t="s">
        <v>15792</v>
      </c>
      <c r="E45" s="10" t="s">
        <v>45</v>
      </c>
      <c r="F45" s="10" t="s">
        <v>3382</v>
      </c>
      <c r="G45" s="10" t="s">
        <v>15793</v>
      </c>
      <c r="H45" s="10" t="s">
        <v>15887</v>
      </c>
      <c r="I45" s="10" t="s">
        <v>55</v>
      </c>
      <c r="K45" s="10" t="s">
        <v>15794</v>
      </c>
      <c r="L45" s="10" t="s">
        <v>42</v>
      </c>
    </row>
    <row r="46" ht="15.75" customHeight="1">
      <c r="A46" s="66">
        <v>45499.0</v>
      </c>
      <c r="B46" s="55" t="str">
        <f>HYPERLINK("https://jobright.ai/jobs/info/66a33b795a3247a3b15e0924?utm_campaign=1051&amp;utm_source=sheet", "Apply")</f>
        <v>Apply</v>
      </c>
      <c r="C46" s="10" t="s">
        <v>15791</v>
      </c>
      <c r="D46" s="56" t="s">
        <v>15792</v>
      </c>
      <c r="E46" s="10" t="s">
        <v>45</v>
      </c>
      <c r="F46" s="10" t="s">
        <v>3382</v>
      </c>
      <c r="G46" s="10" t="s">
        <v>15793</v>
      </c>
      <c r="H46" s="10" t="s">
        <v>73</v>
      </c>
      <c r="I46" s="10" t="s">
        <v>55</v>
      </c>
      <c r="K46" s="10" t="s">
        <v>15794</v>
      </c>
      <c r="L46" s="10" t="s">
        <v>42</v>
      </c>
    </row>
    <row r="47" ht="15.75" customHeight="1">
      <c r="A47" s="66">
        <v>45499.0</v>
      </c>
      <c r="B47" s="55" t="str">
        <f>HYPERLINK("https://jobright.ai/jobs/info/66a31e93a0f5ae6eef46f989?utm_campaign=1051&amp;utm_source=sheet", "Apply")</f>
        <v>Apply</v>
      </c>
      <c r="C47" s="10" t="s">
        <v>15888</v>
      </c>
      <c r="D47" s="56" t="s">
        <v>1846</v>
      </c>
      <c r="E47" s="10" t="s">
        <v>45</v>
      </c>
      <c r="F47" s="10" t="s">
        <v>1485</v>
      </c>
      <c r="G47" s="10" t="s">
        <v>100</v>
      </c>
      <c r="H47" s="10" t="s">
        <v>154</v>
      </c>
      <c r="I47" s="10" t="s">
        <v>55</v>
      </c>
      <c r="K47" s="10" t="s">
        <v>5365</v>
      </c>
      <c r="L47" s="10" t="s">
        <v>42</v>
      </c>
    </row>
    <row r="48" ht="15.75" customHeight="1">
      <c r="A48" s="66">
        <v>45499.0</v>
      </c>
      <c r="B48" s="55" t="str">
        <f>HYPERLINK("https://jobright.ai/jobs/info/66a3399775416a9b35d493b3?utm_campaign=1051&amp;utm_source=sheet", "Apply")</f>
        <v>Apply</v>
      </c>
      <c r="C48" s="10" t="s">
        <v>15889</v>
      </c>
      <c r="D48" s="56" t="s">
        <v>2458</v>
      </c>
      <c r="E48" s="10">
        <v>24.0</v>
      </c>
      <c r="G48" s="10" t="s">
        <v>15793</v>
      </c>
      <c r="H48" s="10" t="s">
        <v>636</v>
      </c>
      <c r="I48" s="10" t="s">
        <v>55</v>
      </c>
      <c r="K48" s="10" t="s">
        <v>15890</v>
      </c>
      <c r="L48" s="10" t="s">
        <v>42</v>
      </c>
    </row>
    <row r="49" ht="15.75" customHeight="1">
      <c r="A49" s="66">
        <v>45499.0</v>
      </c>
      <c r="B49" s="55" t="str">
        <f>HYPERLINK("https://jobright.ai/jobs/info/66a455b3c30fa95f24d7ec97?utm_campaign=1051&amp;utm_source=sheet", "Apply")</f>
        <v>Apply</v>
      </c>
      <c r="C49" s="10" t="s">
        <v>15891</v>
      </c>
      <c r="D49" s="56" t="s">
        <v>15892</v>
      </c>
      <c r="E49" s="10" t="s">
        <v>79</v>
      </c>
      <c r="F49" s="10" t="s">
        <v>3906</v>
      </c>
      <c r="G49" s="10" t="s">
        <v>15829</v>
      </c>
      <c r="H49" s="10" t="s">
        <v>15893</v>
      </c>
      <c r="I49" s="10" t="s">
        <v>55</v>
      </c>
      <c r="J49" s="10" t="s">
        <v>1761</v>
      </c>
      <c r="K49" s="10" t="s">
        <v>15894</v>
      </c>
      <c r="L49" s="10" t="s">
        <v>42</v>
      </c>
    </row>
    <row r="50" ht="15.75" customHeight="1">
      <c r="A50" s="66">
        <v>45499.0</v>
      </c>
      <c r="B50" s="55" t="str">
        <f>HYPERLINK("https://jobright.ai/jobs/info/66a439a2e9bda74e61af13e1?utm_campaign=1051&amp;utm_source=sheet", "Apply")</f>
        <v>Apply</v>
      </c>
      <c r="C50" s="10" t="s">
        <v>15789</v>
      </c>
      <c r="D50" s="56" t="s">
        <v>9430</v>
      </c>
      <c r="E50" s="10" t="s">
        <v>45</v>
      </c>
      <c r="F50" s="10" t="s">
        <v>1084</v>
      </c>
      <c r="G50" s="10" t="s">
        <v>100</v>
      </c>
      <c r="H50" s="10" t="s">
        <v>144</v>
      </c>
      <c r="I50" s="10" t="s">
        <v>55</v>
      </c>
      <c r="J50" s="10" t="s">
        <v>1868</v>
      </c>
      <c r="K50" s="10" t="s">
        <v>15790</v>
      </c>
      <c r="L50" s="10" t="s">
        <v>42</v>
      </c>
    </row>
    <row r="51" ht="15.75" customHeight="1">
      <c r="A51" s="66">
        <v>45499.0</v>
      </c>
      <c r="B51" s="55" t="str">
        <f>HYPERLINK("https://jobright.ai/jobs/info/66a439a2e9bda74e61af13e3?utm_campaign=1051&amp;utm_source=sheet", "Apply")</f>
        <v>Apply</v>
      </c>
      <c r="C51" s="10" t="s">
        <v>15789</v>
      </c>
      <c r="D51" s="56" t="s">
        <v>9430</v>
      </c>
      <c r="E51" s="10" t="s">
        <v>45</v>
      </c>
      <c r="F51" s="10" t="s">
        <v>1084</v>
      </c>
      <c r="G51" s="10" t="s">
        <v>100</v>
      </c>
      <c r="H51" s="10" t="s">
        <v>113</v>
      </c>
      <c r="I51" s="10" t="s">
        <v>55</v>
      </c>
      <c r="J51" s="10" t="s">
        <v>1868</v>
      </c>
      <c r="K51" s="10" t="s">
        <v>15790</v>
      </c>
      <c r="L51" s="10" t="s">
        <v>42</v>
      </c>
    </row>
    <row r="52" ht="15.75" customHeight="1">
      <c r="A52" s="66">
        <v>45499.0</v>
      </c>
      <c r="B52" s="55" t="str">
        <f>HYPERLINK("https://jobright.ai/jobs/info/66a428e8fa09ee0c5722ab60?utm_campaign=1051&amp;utm_source=sheet", "Apply")</f>
        <v>Apply</v>
      </c>
      <c r="C52" s="10" t="s">
        <v>15895</v>
      </c>
      <c r="D52" s="56" t="s">
        <v>10126</v>
      </c>
      <c r="E52" s="10">
        <v>276.0</v>
      </c>
      <c r="G52" s="10" t="s">
        <v>15793</v>
      </c>
      <c r="H52" s="10" t="s">
        <v>901</v>
      </c>
      <c r="I52" s="10" t="s">
        <v>55</v>
      </c>
      <c r="J52" s="10" t="s">
        <v>1797</v>
      </c>
      <c r="K52" s="10" t="s">
        <v>15896</v>
      </c>
      <c r="L52" s="10" t="s">
        <v>42</v>
      </c>
    </row>
    <row r="53" ht="15.75" customHeight="1">
      <c r="A53" s="66">
        <v>45499.0</v>
      </c>
      <c r="B53" s="55" t="str">
        <f>HYPERLINK("https://jobright.ai/jobs/info/66a442fadae625412f3b7858?utm_campaign=1051&amp;utm_source=sheet", "Apply")</f>
        <v>Apply</v>
      </c>
      <c r="C53" s="10" t="s">
        <v>15789</v>
      </c>
      <c r="D53" s="56" t="s">
        <v>9430</v>
      </c>
      <c r="E53" s="10" t="s">
        <v>45</v>
      </c>
      <c r="F53" s="10" t="s">
        <v>1084</v>
      </c>
      <c r="G53" s="10" t="s">
        <v>100</v>
      </c>
      <c r="H53" s="10" t="s">
        <v>96</v>
      </c>
      <c r="I53" s="10" t="s">
        <v>55</v>
      </c>
      <c r="J53" s="10" t="s">
        <v>1868</v>
      </c>
      <c r="K53" s="10" t="s">
        <v>15790</v>
      </c>
      <c r="L53" s="10" t="s">
        <v>42</v>
      </c>
    </row>
    <row r="54" ht="15.75" customHeight="1">
      <c r="A54" s="66">
        <v>45499.0</v>
      </c>
      <c r="B54" s="55" t="str">
        <f>HYPERLINK("https://jobright.ai/jobs/info/66a40b63a8e7d109e1e41f04?utm_campaign=1051&amp;utm_source=sheet", "Apply")</f>
        <v>Apply</v>
      </c>
      <c r="C54" s="10" t="s">
        <v>15897</v>
      </c>
      <c r="D54" s="56" t="s">
        <v>10126</v>
      </c>
      <c r="E54" s="10">
        <v>276.0</v>
      </c>
      <c r="G54" s="10" t="s">
        <v>15829</v>
      </c>
      <c r="H54" s="10" t="s">
        <v>15898</v>
      </c>
      <c r="I54" s="10" t="s">
        <v>55</v>
      </c>
      <c r="J54" s="10" t="s">
        <v>15899</v>
      </c>
      <c r="K54" s="10" t="s">
        <v>15900</v>
      </c>
      <c r="L54" s="10" t="s">
        <v>42</v>
      </c>
    </row>
    <row r="55" ht="15.75" customHeight="1">
      <c r="A55" s="66">
        <v>45499.0</v>
      </c>
      <c r="B55" s="55" t="str">
        <f>HYPERLINK("https://jobright.ai/jobs/info/66a300a97dca4d6b69dbb7df?utm_campaign=1051&amp;utm_source=sheet", "Apply")</f>
        <v>Apply</v>
      </c>
      <c r="C55" s="10" t="s">
        <v>15901</v>
      </c>
      <c r="D55" s="56" t="s">
        <v>15902</v>
      </c>
      <c r="E55" s="10">
        <v>63.0</v>
      </c>
      <c r="G55" s="10" t="s">
        <v>15814</v>
      </c>
      <c r="H55" s="10" t="s">
        <v>898</v>
      </c>
      <c r="I55" s="10" t="s">
        <v>55</v>
      </c>
      <c r="K55" s="10" t="s">
        <v>15903</v>
      </c>
      <c r="L55" s="10" t="s">
        <v>42</v>
      </c>
    </row>
    <row r="56" ht="15.75" customHeight="1">
      <c r="A56" s="66">
        <v>45499.0</v>
      </c>
      <c r="B56" s="55" t="str">
        <f>HYPERLINK("https://jobright.ai/jobs/info/66a4315d8d3eebff0ac37c08?utm_campaign=1051&amp;utm_source=sheet", "Apply")</f>
        <v>Apply</v>
      </c>
      <c r="C56" s="10" t="s">
        <v>15904</v>
      </c>
      <c r="D56" s="56" t="s">
        <v>13666</v>
      </c>
      <c r="E56" s="10" t="s">
        <v>45</v>
      </c>
      <c r="F56" s="10" t="s">
        <v>13667</v>
      </c>
      <c r="G56" s="10" t="s">
        <v>15814</v>
      </c>
      <c r="H56" s="10" t="s">
        <v>15905</v>
      </c>
      <c r="I56" s="10" t="s">
        <v>48</v>
      </c>
      <c r="K56" s="10" t="s">
        <v>15906</v>
      </c>
      <c r="L56" s="10" t="s">
        <v>42</v>
      </c>
    </row>
    <row r="57" ht="15.75" customHeight="1">
      <c r="A57" s="66">
        <v>45499.0</v>
      </c>
      <c r="B57" s="55" t="str">
        <f>HYPERLINK("https://jobright.ai/jobs/info/66a4316f8d3eebff0ac37e1e?utm_campaign=1051&amp;utm_source=sheet", "Apply")</f>
        <v>Apply</v>
      </c>
      <c r="C57" s="10" t="s">
        <v>15904</v>
      </c>
      <c r="D57" s="56" t="s">
        <v>13666</v>
      </c>
      <c r="E57" s="10" t="s">
        <v>45</v>
      </c>
      <c r="F57" s="10" t="s">
        <v>13667</v>
      </c>
      <c r="G57" s="10" t="s">
        <v>15814</v>
      </c>
      <c r="H57" s="10" t="s">
        <v>3374</v>
      </c>
      <c r="I57" s="10" t="s">
        <v>48</v>
      </c>
      <c r="K57" s="10" t="s">
        <v>15906</v>
      </c>
      <c r="L57" s="10" t="s">
        <v>42</v>
      </c>
    </row>
    <row r="58" ht="15.75" customHeight="1">
      <c r="A58" s="66">
        <v>45499.0</v>
      </c>
      <c r="B58" s="55" t="str">
        <f>HYPERLINK("https://jobright.ai/jobs/info/66a4316f8d3eebff0ac37e1f?utm_campaign=1051&amp;utm_source=sheet", "Apply")</f>
        <v>Apply</v>
      </c>
      <c r="C58" s="10" t="s">
        <v>15904</v>
      </c>
      <c r="D58" s="56" t="s">
        <v>13666</v>
      </c>
      <c r="E58" s="10" t="s">
        <v>45</v>
      </c>
      <c r="F58" s="10" t="s">
        <v>13667</v>
      </c>
      <c r="G58" s="10" t="s">
        <v>15814</v>
      </c>
      <c r="H58" s="10" t="s">
        <v>361</v>
      </c>
      <c r="I58" s="10" t="s">
        <v>48</v>
      </c>
      <c r="K58" s="10" t="s">
        <v>15906</v>
      </c>
      <c r="L58" s="10" t="s">
        <v>42</v>
      </c>
    </row>
    <row r="59" ht="15.75" customHeight="1">
      <c r="A59" s="66">
        <v>45498.0</v>
      </c>
      <c r="B59" s="55" t="str">
        <f>HYPERLINK("https://jobright.ai/jobs/info/66a2f50166a78c16dec90e9f?utm_campaign=1051&amp;utm_source=sheet", "Apply")</f>
        <v>Apply</v>
      </c>
      <c r="C59" s="10" t="s">
        <v>15907</v>
      </c>
      <c r="D59" s="56" t="s">
        <v>15908</v>
      </c>
      <c r="E59" s="10">
        <v>1170.0</v>
      </c>
      <c r="G59" s="10" t="s">
        <v>15854</v>
      </c>
      <c r="H59" s="10" t="s">
        <v>131</v>
      </c>
      <c r="I59" s="10" t="s">
        <v>48</v>
      </c>
      <c r="J59" s="10" t="s">
        <v>3615</v>
      </c>
      <c r="K59" s="10" t="s">
        <v>15909</v>
      </c>
      <c r="L59" s="10" t="s">
        <v>42</v>
      </c>
    </row>
    <row r="60" ht="15.75" customHeight="1">
      <c r="A60" s="66">
        <v>45498.0</v>
      </c>
      <c r="B60" s="55" t="str">
        <f>HYPERLINK("https://jobright.ai/jobs/info/66a2e2ef621b00551f36276e?utm_campaign=1051&amp;utm_source=sheet", "Apply")</f>
        <v>Apply</v>
      </c>
      <c r="C60" s="10" t="s">
        <v>15910</v>
      </c>
      <c r="D60" s="56" t="s">
        <v>3832</v>
      </c>
      <c r="E60" s="10" t="s">
        <v>65</v>
      </c>
      <c r="F60" s="10" t="s">
        <v>660</v>
      </c>
      <c r="G60" s="10" t="s">
        <v>100</v>
      </c>
      <c r="H60" s="10" t="s">
        <v>113</v>
      </c>
      <c r="I60" s="10" t="s">
        <v>48</v>
      </c>
      <c r="J60" s="10" t="s">
        <v>15911</v>
      </c>
      <c r="K60" s="10" t="s">
        <v>15912</v>
      </c>
      <c r="L60" s="10" t="s">
        <v>42</v>
      </c>
    </row>
    <row r="61" ht="15.75" customHeight="1">
      <c r="A61" s="66">
        <v>45498.0</v>
      </c>
      <c r="B61" s="55" t="str">
        <f>HYPERLINK("https://jobright.ai/jobs/info/66a3ca1555a005da42ef5818?utm_campaign=1051&amp;utm_source=sheet", "Apply")</f>
        <v>Apply</v>
      </c>
      <c r="C61" s="10" t="s">
        <v>15820</v>
      </c>
      <c r="D61" s="56" t="s">
        <v>9508</v>
      </c>
      <c r="E61" s="10" t="s">
        <v>79</v>
      </c>
      <c r="F61" s="10" t="s">
        <v>9509</v>
      </c>
      <c r="G61" s="10" t="s">
        <v>100</v>
      </c>
      <c r="H61" s="10" t="s">
        <v>170</v>
      </c>
      <c r="I61" s="10" t="s">
        <v>55</v>
      </c>
      <c r="K61" s="10" t="s">
        <v>15821</v>
      </c>
      <c r="L61" s="10" t="s">
        <v>42</v>
      </c>
    </row>
    <row r="62" ht="15.75" customHeight="1">
      <c r="A62" s="66">
        <v>45498.0</v>
      </c>
      <c r="B62" s="55" t="str">
        <f>HYPERLINK("https://jobright.ai/jobs/info/66a300c47dca4d6b69dbba16?utm_campaign=1051&amp;utm_source=sheet", "Apply")</f>
        <v>Apply</v>
      </c>
      <c r="C62" s="10" t="s">
        <v>15820</v>
      </c>
      <c r="D62" s="56" t="s">
        <v>9508</v>
      </c>
      <c r="E62" s="10" t="s">
        <v>79</v>
      </c>
      <c r="F62" s="10" t="s">
        <v>9509</v>
      </c>
      <c r="G62" s="10" t="s">
        <v>100</v>
      </c>
      <c r="H62" s="10" t="s">
        <v>170</v>
      </c>
      <c r="I62" s="10" t="s">
        <v>48</v>
      </c>
      <c r="K62" s="10" t="s">
        <v>15821</v>
      </c>
      <c r="L62" s="10" t="s">
        <v>42</v>
      </c>
    </row>
    <row r="63" ht="15.75" customHeight="1">
      <c r="A63" s="66">
        <v>45498.0</v>
      </c>
      <c r="B63" s="55" t="str">
        <f>HYPERLINK("https://jobright.ai/jobs/info/6698429275958df8e7de620d?utm_campaign=1051&amp;utm_source=sheet", "Apply")</f>
        <v>Apply</v>
      </c>
      <c r="C63" s="10" t="s">
        <v>15913</v>
      </c>
      <c r="D63" s="56" t="s">
        <v>15914</v>
      </c>
      <c r="E63" s="10">
        <v>7.0</v>
      </c>
      <c r="G63" s="10" t="s">
        <v>15829</v>
      </c>
      <c r="H63" s="10" t="s">
        <v>740</v>
      </c>
      <c r="I63" s="10" t="s">
        <v>55</v>
      </c>
      <c r="K63" s="10" t="s">
        <v>15915</v>
      </c>
      <c r="L63" s="10" t="s">
        <v>42</v>
      </c>
    </row>
    <row r="64" ht="15.75" customHeight="1">
      <c r="A64" s="66">
        <v>45498.0</v>
      </c>
      <c r="B64" s="55" t="str">
        <f>HYPERLINK("https://jobright.ai/jobs/info/66a2b3634f4afedd11103282?utm_campaign=1051&amp;utm_source=sheet", "Apply")</f>
        <v>Apply</v>
      </c>
      <c r="C64" s="10" t="s">
        <v>15916</v>
      </c>
      <c r="D64" s="56" t="s">
        <v>12980</v>
      </c>
      <c r="E64" s="10" t="s">
        <v>79</v>
      </c>
      <c r="F64" s="10" t="s">
        <v>12981</v>
      </c>
      <c r="G64" s="10" t="s">
        <v>100</v>
      </c>
      <c r="H64" s="10" t="s">
        <v>605</v>
      </c>
      <c r="I64" s="10" t="s">
        <v>55</v>
      </c>
      <c r="K64" s="10" t="s">
        <v>15917</v>
      </c>
      <c r="L64" s="10" t="s">
        <v>42</v>
      </c>
    </row>
    <row r="65" ht="15.75" customHeight="1">
      <c r="A65" s="66">
        <v>45498.0</v>
      </c>
      <c r="B65" s="55" t="str">
        <f>HYPERLINK("https://jobright.ai/jobs/info/66a2aa2a022211b3c86215ec?utm_campaign=1051&amp;utm_source=sheet", "Apply")</f>
        <v>Apply</v>
      </c>
      <c r="C65" s="10" t="s">
        <v>15918</v>
      </c>
      <c r="D65" s="56" t="s">
        <v>15919</v>
      </c>
      <c r="E65" s="10" t="s">
        <v>71</v>
      </c>
      <c r="F65" s="10" t="s">
        <v>85</v>
      </c>
      <c r="G65" s="10" t="s">
        <v>15814</v>
      </c>
      <c r="H65" s="10" t="s">
        <v>354</v>
      </c>
      <c r="I65" s="10" t="s">
        <v>48</v>
      </c>
      <c r="K65" s="10" t="s">
        <v>15920</v>
      </c>
      <c r="L65" s="10" t="s">
        <v>42</v>
      </c>
    </row>
    <row r="66" ht="15.75" customHeight="1">
      <c r="A66" s="66">
        <v>45498.0</v>
      </c>
      <c r="B66" s="55" t="str">
        <f>HYPERLINK("https://jobright.ai/jobs/info/66637841d004dd77a49dc9e9?utm_campaign=1051&amp;utm_source=sheet", "Apply")</f>
        <v>Apply</v>
      </c>
      <c r="C66" s="10" t="s">
        <v>15918</v>
      </c>
      <c r="D66" s="56" t="s">
        <v>15921</v>
      </c>
      <c r="E66" s="10" t="s">
        <v>65</v>
      </c>
      <c r="F66" s="10" t="s">
        <v>15922</v>
      </c>
      <c r="G66" s="10" t="s">
        <v>15814</v>
      </c>
      <c r="H66" s="10" t="s">
        <v>2909</v>
      </c>
      <c r="I66" s="10" t="s">
        <v>48</v>
      </c>
      <c r="K66" s="10" t="s">
        <v>15923</v>
      </c>
      <c r="L66" s="10" t="s">
        <v>42</v>
      </c>
    </row>
    <row r="67" ht="15.75" customHeight="1">
      <c r="A67" s="66">
        <v>45498.0</v>
      </c>
      <c r="B67" s="55" t="str">
        <f>HYPERLINK("https://jobright.ai/jobs/info/66a292e0dce5676bbecdfeaa?utm_campaign=1051&amp;utm_source=sheet", "Apply")</f>
        <v>Apply</v>
      </c>
      <c r="C67" s="10" t="s">
        <v>15924</v>
      </c>
      <c r="D67" s="56" t="s">
        <v>15925</v>
      </c>
      <c r="E67" s="10">
        <v>20.0</v>
      </c>
      <c r="G67" s="10" t="s">
        <v>100</v>
      </c>
      <c r="H67" s="10" t="s">
        <v>251</v>
      </c>
      <c r="I67" s="10" t="s">
        <v>252</v>
      </c>
      <c r="K67" s="10" t="s">
        <v>15926</v>
      </c>
      <c r="L67" s="10" t="s">
        <v>42</v>
      </c>
    </row>
    <row r="68" ht="15.75" customHeight="1">
      <c r="A68" s="66">
        <v>45498.0</v>
      </c>
      <c r="B68" s="55" t="str">
        <f>HYPERLINK("https://jobright.ai/jobs/info/66a2a5a39bbfb77b02eb41ec?utm_campaign=1051&amp;utm_source=sheet", "Apply")</f>
        <v>Apply</v>
      </c>
      <c r="C68" s="10" t="s">
        <v>15927</v>
      </c>
      <c r="D68" s="56" t="s">
        <v>9821</v>
      </c>
      <c r="E68" s="10" t="s">
        <v>45</v>
      </c>
      <c r="F68" s="10" t="s">
        <v>3594</v>
      </c>
      <c r="G68" s="10" t="s">
        <v>15814</v>
      </c>
      <c r="H68" s="10" t="s">
        <v>3050</v>
      </c>
      <c r="I68" s="10" t="s">
        <v>55</v>
      </c>
      <c r="J68" s="10" t="s">
        <v>13766</v>
      </c>
      <c r="K68" s="10" t="s">
        <v>15928</v>
      </c>
      <c r="L68" s="10" t="s">
        <v>42</v>
      </c>
    </row>
    <row r="69" ht="15.75" customHeight="1">
      <c r="A69" s="66">
        <v>45498.0</v>
      </c>
      <c r="B69" s="55" t="str">
        <f>HYPERLINK("https://jobright.ai/jobs/info/66a2be7f7c144d1be252693d?utm_campaign=1051&amp;utm_source=sheet", "Apply")</f>
        <v>Apply</v>
      </c>
      <c r="C69" s="10" t="s">
        <v>15929</v>
      </c>
      <c r="D69" s="56" t="s">
        <v>44</v>
      </c>
      <c r="E69" s="10" t="s">
        <v>45</v>
      </c>
      <c r="F69" s="10" t="s">
        <v>46</v>
      </c>
      <c r="G69" s="10" t="s">
        <v>100</v>
      </c>
      <c r="H69" s="10" t="s">
        <v>153</v>
      </c>
      <c r="I69" s="10" t="s">
        <v>48</v>
      </c>
      <c r="J69" s="10" t="s">
        <v>49</v>
      </c>
      <c r="K69" s="10" t="s">
        <v>15930</v>
      </c>
      <c r="L69" s="10" t="s">
        <v>42</v>
      </c>
    </row>
    <row r="70" ht="15.75" customHeight="1">
      <c r="A70" s="66">
        <v>45498.0</v>
      </c>
      <c r="B70" s="55" t="str">
        <f>HYPERLINK("https://jobright.ai/jobs/info/66a290318797a76c4776fc9f?utm_campaign=1051&amp;utm_source=sheet", "Apply")</f>
        <v>Apply</v>
      </c>
      <c r="C70" s="10" t="s">
        <v>15931</v>
      </c>
      <c r="D70" s="56" t="s">
        <v>9821</v>
      </c>
      <c r="E70" s="10" t="s">
        <v>45</v>
      </c>
      <c r="F70" s="10" t="s">
        <v>3594</v>
      </c>
      <c r="G70" s="10" t="s">
        <v>15814</v>
      </c>
      <c r="H70" s="10" t="s">
        <v>167</v>
      </c>
      <c r="I70" s="10" t="s">
        <v>48</v>
      </c>
      <c r="J70" s="10" t="s">
        <v>15932</v>
      </c>
      <c r="K70" s="10" t="s">
        <v>15933</v>
      </c>
      <c r="L70" s="10" t="s">
        <v>42</v>
      </c>
    </row>
    <row r="71" ht="15.75" customHeight="1">
      <c r="A71" s="66">
        <v>45498.0</v>
      </c>
      <c r="B71" s="55" t="str">
        <f>HYPERLINK("https://jobright.ai/jobs/info/66a2903a8797a76c4776fd45?utm_campaign=1051&amp;utm_source=sheet", "Apply")</f>
        <v>Apply</v>
      </c>
      <c r="C71" s="10" t="s">
        <v>15799</v>
      </c>
      <c r="D71" s="56" t="s">
        <v>15934</v>
      </c>
      <c r="E71" s="10" t="s">
        <v>249</v>
      </c>
      <c r="F71" s="10" t="s">
        <v>9531</v>
      </c>
      <c r="G71" s="10" t="s">
        <v>100</v>
      </c>
      <c r="H71" s="10" t="s">
        <v>1013</v>
      </c>
      <c r="I71" s="10" t="s">
        <v>55</v>
      </c>
      <c r="K71" s="10" t="s">
        <v>15935</v>
      </c>
      <c r="L71" s="10" t="s">
        <v>42</v>
      </c>
    </row>
    <row r="72" ht="15.75" customHeight="1">
      <c r="A72" s="66">
        <v>45498.0</v>
      </c>
      <c r="B72" s="55" t="str">
        <f>HYPERLINK("https://jobright.ai/jobs/info/66a292e0dce5676bbecdff0b?utm_campaign=1051&amp;utm_source=sheet", "Apply")</f>
        <v>Apply</v>
      </c>
      <c r="C72" s="10" t="s">
        <v>15936</v>
      </c>
      <c r="D72" s="56" t="s">
        <v>15937</v>
      </c>
      <c r="E72" s="10" t="s">
        <v>137</v>
      </c>
      <c r="F72" s="10" t="s">
        <v>259</v>
      </c>
      <c r="G72" s="10" t="s">
        <v>100</v>
      </c>
      <c r="H72" s="10" t="s">
        <v>159</v>
      </c>
      <c r="I72" s="10" t="s">
        <v>55</v>
      </c>
      <c r="J72" s="10" t="s">
        <v>15938</v>
      </c>
      <c r="K72" s="10" t="s">
        <v>15939</v>
      </c>
      <c r="L72" s="10" t="s">
        <v>42</v>
      </c>
    </row>
    <row r="73" ht="15.75" customHeight="1">
      <c r="A73" s="66">
        <v>45498.0</v>
      </c>
      <c r="B73" s="55" t="str">
        <f>HYPERLINK("https://jobright.ai/jobs/info/66a287b631bab1b5572d4e4e?utm_campaign=1051&amp;utm_source=sheet", "Apply")</f>
        <v>Apply</v>
      </c>
      <c r="C73" s="10" t="s">
        <v>15940</v>
      </c>
      <c r="D73" s="56" t="s">
        <v>9821</v>
      </c>
      <c r="E73" s="10" t="s">
        <v>45</v>
      </c>
      <c r="F73" s="10" t="s">
        <v>3594</v>
      </c>
      <c r="G73" s="10" t="s">
        <v>15814</v>
      </c>
      <c r="H73" s="10" t="s">
        <v>168</v>
      </c>
      <c r="I73" s="10" t="s">
        <v>55</v>
      </c>
      <c r="K73" s="10" t="s">
        <v>11290</v>
      </c>
      <c r="L73" s="10" t="s">
        <v>42</v>
      </c>
    </row>
    <row r="74" ht="15.75" customHeight="1">
      <c r="A74" s="66">
        <v>45498.0</v>
      </c>
      <c r="B74" s="55" t="str">
        <f>HYPERLINK("https://jobright.ai/jobs/info/66a278c51cd865f397348642?utm_campaign=1051&amp;utm_source=sheet", "Apply")</f>
        <v>Apply</v>
      </c>
      <c r="C74" s="10" t="s">
        <v>15941</v>
      </c>
      <c r="D74" s="56" t="s">
        <v>15942</v>
      </c>
      <c r="E74" s="10" t="s">
        <v>65</v>
      </c>
      <c r="F74" s="10" t="s">
        <v>395</v>
      </c>
      <c r="G74" s="10" t="s">
        <v>15793</v>
      </c>
      <c r="H74" s="10" t="s">
        <v>154</v>
      </c>
      <c r="I74" s="10" t="s">
        <v>48</v>
      </c>
      <c r="J74" s="10" t="s">
        <v>15943</v>
      </c>
      <c r="K74" s="10" t="s">
        <v>15944</v>
      </c>
      <c r="L74" s="10" t="s">
        <v>42</v>
      </c>
    </row>
    <row r="75" ht="15.75" customHeight="1">
      <c r="A75" s="66">
        <v>45498.0</v>
      </c>
      <c r="B75" s="55" t="str">
        <f>HYPERLINK("https://jobright.ai/jobs/info/66a2814b324379dc6068c0d1?utm_campaign=1051&amp;utm_source=sheet", "Apply")</f>
        <v>Apply</v>
      </c>
      <c r="C75" s="10" t="s">
        <v>15945</v>
      </c>
      <c r="D75" s="56" t="s">
        <v>9821</v>
      </c>
      <c r="E75" s="10" t="s">
        <v>45</v>
      </c>
      <c r="F75" s="10" t="s">
        <v>3594</v>
      </c>
      <c r="G75" s="10" t="s">
        <v>15814</v>
      </c>
      <c r="H75" s="10" t="s">
        <v>6979</v>
      </c>
      <c r="I75" s="10" t="s">
        <v>55</v>
      </c>
      <c r="K75" s="10" t="s">
        <v>15946</v>
      </c>
      <c r="L75" s="10" t="s">
        <v>42</v>
      </c>
    </row>
    <row r="76" ht="15.75" customHeight="1">
      <c r="A76" s="66">
        <v>45498.0</v>
      </c>
      <c r="B76" s="55" t="str">
        <f>HYPERLINK("https://jobright.ai/jobs/info/66860469da5ea22bb3d0f323?utm_campaign=1051&amp;utm_source=sheet", "Apply")</f>
        <v>Apply</v>
      </c>
      <c r="C76" s="10" t="s">
        <v>15947</v>
      </c>
      <c r="D76" s="56" t="s">
        <v>311</v>
      </c>
      <c r="E76" s="10" t="s">
        <v>45</v>
      </c>
      <c r="F76" s="10" t="s">
        <v>312</v>
      </c>
      <c r="G76" s="10" t="s">
        <v>15829</v>
      </c>
      <c r="H76" s="10" t="s">
        <v>165</v>
      </c>
      <c r="I76" s="10" t="s">
        <v>55</v>
      </c>
      <c r="J76" s="10" t="s">
        <v>15948</v>
      </c>
      <c r="K76" s="10" t="s">
        <v>15949</v>
      </c>
      <c r="L76" s="10" t="s">
        <v>42</v>
      </c>
    </row>
    <row r="77" ht="15.75" customHeight="1">
      <c r="A77" s="66">
        <v>45498.0</v>
      </c>
      <c r="B77" s="55" t="str">
        <f>HYPERLINK("https://jobright.ai/jobs/info/66a24c748f8ac2b9c9730949?utm_campaign=1051&amp;utm_source=sheet", "Apply")</f>
        <v>Apply</v>
      </c>
      <c r="C77" s="10" t="s">
        <v>15950</v>
      </c>
      <c r="D77" s="56" t="s">
        <v>9783</v>
      </c>
      <c r="E77" s="10" t="s">
        <v>45</v>
      </c>
      <c r="F77" s="10" t="s">
        <v>9784</v>
      </c>
      <c r="G77" s="10" t="s">
        <v>100</v>
      </c>
      <c r="H77" s="10" t="s">
        <v>5691</v>
      </c>
      <c r="I77" s="10" t="s">
        <v>55</v>
      </c>
      <c r="K77" s="10" t="s">
        <v>15951</v>
      </c>
      <c r="L77" s="10" t="s">
        <v>42</v>
      </c>
    </row>
    <row r="78" ht="15.75" customHeight="1">
      <c r="A78" s="66">
        <v>45498.0</v>
      </c>
      <c r="B78" s="55" t="str">
        <f>HYPERLINK("https://jobright.ai/jobs/info/668636eac3a227946a5ec3c4?utm_campaign=1051&amp;utm_source=sheet", "Apply")</f>
        <v>Apply</v>
      </c>
      <c r="C78" s="10" t="s">
        <v>15838</v>
      </c>
      <c r="D78" s="56" t="s">
        <v>15839</v>
      </c>
      <c r="E78" s="10">
        <v>4852.0</v>
      </c>
      <c r="G78" s="10" t="s">
        <v>15829</v>
      </c>
      <c r="H78" s="10" t="s">
        <v>15952</v>
      </c>
      <c r="I78" s="10" t="s">
        <v>55</v>
      </c>
      <c r="K78" s="10" t="s">
        <v>15840</v>
      </c>
      <c r="L78" s="10" t="s">
        <v>42</v>
      </c>
    </row>
    <row r="79" ht="15.75" customHeight="1">
      <c r="A79" s="66">
        <v>45498.0</v>
      </c>
      <c r="B79" s="55" t="str">
        <f>HYPERLINK("https://jobright.ai/jobs/info/6677bd9727c0e726e8f4ede8?utm_campaign=1051&amp;utm_source=sheet", "Apply")</f>
        <v>Apply</v>
      </c>
      <c r="C79" s="10" t="s">
        <v>15953</v>
      </c>
      <c r="D79" s="56" t="s">
        <v>15954</v>
      </c>
      <c r="E79" s="10" t="s">
        <v>209</v>
      </c>
      <c r="F79" s="10" t="s">
        <v>15955</v>
      </c>
      <c r="G79" s="10" t="s">
        <v>15787</v>
      </c>
      <c r="H79" s="10" t="s">
        <v>251</v>
      </c>
      <c r="I79" s="10" t="s">
        <v>48</v>
      </c>
      <c r="K79" s="10" t="s">
        <v>15956</v>
      </c>
      <c r="L79" s="10" t="s">
        <v>42</v>
      </c>
    </row>
    <row r="80" ht="15.75" customHeight="1">
      <c r="A80" s="66">
        <v>45498.0</v>
      </c>
      <c r="B80" s="55" t="str">
        <f>HYPERLINK("https://jobright.ai/jobs/info/65e614c3385b1893433b037c?utm_campaign=1051&amp;utm_source=sheet", "Apply")</f>
        <v>Apply</v>
      </c>
      <c r="C80" s="10" t="s">
        <v>15957</v>
      </c>
      <c r="D80" s="56" t="s">
        <v>15958</v>
      </c>
      <c r="E80" s="10" t="s">
        <v>65</v>
      </c>
      <c r="F80" s="10" t="s">
        <v>15959</v>
      </c>
      <c r="G80" s="10" t="s">
        <v>15793</v>
      </c>
      <c r="H80" s="10" t="s">
        <v>965</v>
      </c>
      <c r="I80" s="10" t="s">
        <v>55</v>
      </c>
      <c r="K80" s="10" t="s">
        <v>15960</v>
      </c>
      <c r="L80" s="10" t="s">
        <v>42</v>
      </c>
    </row>
    <row r="81" ht="15.75" customHeight="1">
      <c r="A81" s="66">
        <v>45498.0</v>
      </c>
      <c r="B81" s="55" t="str">
        <f>HYPERLINK("https://jobright.ai/jobs/info/668636eac3a227946a5ec3c8?utm_campaign=1051&amp;utm_source=sheet", "Apply")</f>
        <v>Apply</v>
      </c>
      <c r="C81" s="10" t="s">
        <v>15838</v>
      </c>
      <c r="D81" s="56" t="s">
        <v>15839</v>
      </c>
      <c r="E81" s="10">
        <v>4852.0</v>
      </c>
      <c r="G81" s="10" t="s">
        <v>15829</v>
      </c>
      <c r="H81" s="10" t="s">
        <v>13196</v>
      </c>
      <c r="I81" s="10" t="s">
        <v>55</v>
      </c>
      <c r="K81" s="10" t="s">
        <v>15843</v>
      </c>
      <c r="L81" s="10" t="s">
        <v>42</v>
      </c>
    </row>
    <row r="82" ht="15.75" customHeight="1">
      <c r="A82" s="66">
        <v>45498.0</v>
      </c>
      <c r="B82" s="55" t="str">
        <f>HYPERLINK("https://jobright.ai/jobs/info/668636eac3a227946a5ec3c9?utm_campaign=1051&amp;utm_source=sheet", "Apply")</f>
        <v>Apply</v>
      </c>
      <c r="C82" s="10" t="s">
        <v>15838</v>
      </c>
      <c r="D82" s="56" t="s">
        <v>15839</v>
      </c>
      <c r="E82" s="10">
        <v>4852.0</v>
      </c>
      <c r="G82" s="10" t="s">
        <v>15829</v>
      </c>
      <c r="H82" s="10" t="s">
        <v>958</v>
      </c>
      <c r="I82" s="10" t="s">
        <v>55</v>
      </c>
      <c r="K82" s="10" t="s">
        <v>15840</v>
      </c>
      <c r="L82" s="10" t="s">
        <v>42</v>
      </c>
    </row>
    <row r="83" ht="15.75" customHeight="1">
      <c r="A83" s="66">
        <v>45498.0</v>
      </c>
      <c r="B83" s="55" t="str">
        <f>HYPERLINK("https://jobright.ai/jobs/info/668633c0cde4220425047c26?utm_campaign=1051&amp;utm_source=sheet", "Apply")</f>
        <v>Apply</v>
      </c>
      <c r="C83" s="10" t="s">
        <v>15838</v>
      </c>
      <c r="D83" s="56" t="s">
        <v>15839</v>
      </c>
      <c r="E83" s="10">
        <v>4852.0</v>
      </c>
      <c r="G83" s="10" t="s">
        <v>15829</v>
      </c>
      <c r="H83" s="10" t="s">
        <v>826</v>
      </c>
      <c r="I83" s="10" t="s">
        <v>55</v>
      </c>
      <c r="J83" s="10" t="s">
        <v>15638</v>
      </c>
      <c r="K83" s="10" t="s">
        <v>15961</v>
      </c>
      <c r="L83" s="10" t="s">
        <v>42</v>
      </c>
    </row>
    <row r="84" ht="15.75" customHeight="1">
      <c r="A84" s="66">
        <v>45498.0</v>
      </c>
      <c r="B84" s="55" t="str">
        <f>HYPERLINK("https://jobright.ai/jobs/info/66a1db7b4a1c47d6614d89f6?utm_campaign=1051&amp;utm_source=sheet", "Apply")</f>
        <v>Apply</v>
      </c>
      <c r="C84" s="10" t="s">
        <v>15962</v>
      </c>
      <c r="D84" s="56" t="s">
        <v>258</v>
      </c>
      <c r="E84" s="10" t="s">
        <v>45</v>
      </c>
      <c r="F84" s="10" t="s">
        <v>259</v>
      </c>
      <c r="G84" s="10" t="s">
        <v>15793</v>
      </c>
      <c r="H84" s="10" t="s">
        <v>251</v>
      </c>
      <c r="I84" s="10" t="s">
        <v>252</v>
      </c>
      <c r="J84" s="10" t="s">
        <v>2742</v>
      </c>
      <c r="K84" s="10" t="s">
        <v>15963</v>
      </c>
      <c r="L84" s="10" t="s">
        <v>42</v>
      </c>
    </row>
    <row r="85" ht="15.75" customHeight="1">
      <c r="A85" s="66">
        <v>45498.0</v>
      </c>
      <c r="B85" s="55" t="str">
        <f>HYPERLINK("https://jobright.ai/jobs/info/66a2cfe611da4cbed19749c9?utm_campaign=1051&amp;utm_source=sheet", "Apply")</f>
        <v>Apply</v>
      </c>
      <c r="C85" s="10" t="s">
        <v>15964</v>
      </c>
      <c r="D85" s="56" t="s">
        <v>15965</v>
      </c>
      <c r="E85" s="10" t="s">
        <v>79</v>
      </c>
      <c r="F85" s="10" t="s">
        <v>12946</v>
      </c>
      <c r="G85" s="10" t="s">
        <v>15829</v>
      </c>
      <c r="H85" s="10" t="s">
        <v>15966</v>
      </c>
      <c r="I85" s="10" t="s">
        <v>55</v>
      </c>
      <c r="K85" s="10" t="s">
        <v>15967</v>
      </c>
      <c r="L85" s="10" t="s">
        <v>42</v>
      </c>
    </row>
    <row r="86" ht="15.75" customHeight="1">
      <c r="A86" s="66">
        <v>45498.0</v>
      </c>
      <c r="B86" s="55" t="str">
        <f>HYPERLINK("https://jobright.ai/jobs/info/66a1afcf099e1efc50530488?utm_campaign=1051&amp;utm_source=sheet", "Apply")</f>
        <v>Apply</v>
      </c>
      <c r="C86" s="10" t="s">
        <v>15968</v>
      </c>
      <c r="D86" s="56" t="s">
        <v>15969</v>
      </c>
      <c r="E86" s="10" t="s">
        <v>71</v>
      </c>
      <c r="F86" s="10" t="s">
        <v>10</v>
      </c>
      <c r="G86" s="10" t="s">
        <v>100</v>
      </c>
      <c r="H86" s="10" t="s">
        <v>113</v>
      </c>
      <c r="I86" s="10" t="s">
        <v>55</v>
      </c>
      <c r="J86" s="10" t="s">
        <v>15970</v>
      </c>
      <c r="K86" s="10" t="s">
        <v>15971</v>
      </c>
      <c r="L86" s="10" t="s">
        <v>42</v>
      </c>
    </row>
    <row r="87" ht="15.75" customHeight="1">
      <c r="A87" s="66">
        <v>45497.0</v>
      </c>
      <c r="B87" s="55" t="str">
        <f>HYPERLINK("https://jobright.ai/jobs/info/66a1879e8153b6c68fde5904?utm_campaign=1051&amp;utm_source=sheet", "Apply")</f>
        <v>Apply</v>
      </c>
      <c r="C87" s="10" t="s">
        <v>15972</v>
      </c>
      <c r="D87" s="56" t="s">
        <v>9974</v>
      </c>
      <c r="E87" s="10" t="s">
        <v>45</v>
      </c>
      <c r="F87" s="10" t="s">
        <v>6432</v>
      </c>
      <c r="G87" s="10" t="s">
        <v>15829</v>
      </c>
      <c r="H87" s="10" t="s">
        <v>159</v>
      </c>
      <c r="I87" s="10" t="s">
        <v>48</v>
      </c>
      <c r="J87" s="10" t="s">
        <v>1409</v>
      </c>
      <c r="K87" s="10" t="s">
        <v>15973</v>
      </c>
      <c r="L87" s="10" t="s">
        <v>42</v>
      </c>
    </row>
    <row r="88" ht="15.75" customHeight="1">
      <c r="A88" s="66">
        <v>45497.0</v>
      </c>
      <c r="B88" s="55" t="str">
        <f>HYPERLINK("https://jobright.ai/jobs/info/66a180b5137a029884e5aabb?utm_campaign=1051&amp;utm_source=sheet", "Apply")</f>
        <v>Apply</v>
      </c>
      <c r="C88" s="10" t="s">
        <v>15974</v>
      </c>
      <c r="D88" s="56" t="s">
        <v>15975</v>
      </c>
      <c r="E88" s="10">
        <v>39.0</v>
      </c>
      <c r="G88" s="10" t="s">
        <v>15829</v>
      </c>
      <c r="H88" s="10" t="s">
        <v>15976</v>
      </c>
      <c r="I88" s="10" t="s">
        <v>48</v>
      </c>
      <c r="K88" s="10" t="s">
        <v>15977</v>
      </c>
      <c r="L88" s="10" t="s">
        <v>42</v>
      </c>
    </row>
    <row r="89" ht="15.75" customHeight="1">
      <c r="A89" s="66">
        <v>45497.0</v>
      </c>
      <c r="B89" s="55" t="str">
        <f>HYPERLINK("https://jobright.ai/jobs/info/6672f09309fa87accf6a4efc?utm_campaign=1051&amp;utm_source=sheet", "Apply")</f>
        <v>Apply</v>
      </c>
      <c r="C89" s="10" t="s">
        <v>15978</v>
      </c>
      <c r="D89" s="56" t="s">
        <v>15979</v>
      </c>
      <c r="E89" s="10" t="s">
        <v>65</v>
      </c>
      <c r="F89" s="10" t="s">
        <v>259</v>
      </c>
      <c r="G89" s="10" t="s">
        <v>15829</v>
      </c>
      <c r="H89" s="10" t="s">
        <v>14096</v>
      </c>
      <c r="I89" s="10" t="s">
        <v>55</v>
      </c>
      <c r="K89" s="10" t="s">
        <v>15980</v>
      </c>
      <c r="L89" s="10" t="s">
        <v>42</v>
      </c>
    </row>
    <row r="90" ht="15.75" customHeight="1">
      <c r="A90" s="66">
        <v>45497.0</v>
      </c>
      <c r="B90" s="55" t="str">
        <f>HYPERLINK("https://jobright.ai/jobs/info/66a15423af78a372d21f02a9?utm_campaign=1051&amp;utm_source=sheet", "Apply")</f>
        <v>Apply</v>
      </c>
      <c r="C90" s="10" t="s">
        <v>15981</v>
      </c>
      <c r="D90" s="56" t="s">
        <v>10169</v>
      </c>
      <c r="E90" s="10" t="s">
        <v>45</v>
      </c>
      <c r="F90" s="10" t="s">
        <v>10170</v>
      </c>
      <c r="G90" s="10" t="s">
        <v>15784</v>
      </c>
      <c r="H90" s="10" t="s">
        <v>153</v>
      </c>
      <c r="I90" s="10" t="s">
        <v>55</v>
      </c>
      <c r="J90" s="10" t="s">
        <v>3979</v>
      </c>
      <c r="K90" s="10" t="s">
        <v>15982</v>
      </c>
      <c r="L90" s="10" t="s">
        <v>42</v>
      </c>
    </row>
    <row r="91" ht="15.75" customHeight="1">
      <c r="A91" s="66">
        <v>45497.0</v>
      </c>
      <c r="B91" s="55" t="str">
        <f>HYPERLINK("https://jobright.ai/jobs/info/66a13e9fbfb37f3f681f04f0?utm_campaign=1051&amp;utm_source=sheet", "Apply")</f>
        <v>Apply</v>
      </c>
      <c r="C91" s="10" t="s">
        <v>15927</v>
      </c>
      <c r="D91" s="56" t="s">
        <v>9821</v>
      </c>
      <c r="E91" s="10" t="s">
        <v>45</v>
      </c>
      <c r="F91" s="10" t="s">
        <v>3594</v>
      </c>
      <c r="G91" s="10" t="s">
        <v>15814</v>
      </c>
      <c r="H91" s="10" t="s">
        <v>15983</v>
      </c>
      <c r="I91" s="10" t="s">
        <v>48</v>
      </c>
      <c r="K91" s="10" t="s">
        <v>15984</v>
      </c>
      <c r="L91" s="10" t="s">
        <v>42</v>
      </c>
    </row>
    <row r="92" ht="15.75" customHeight="1">
      <c r="A92" s="66">
        <v>45497.0</v>
      </c>
      <c r="B92" s="55" t="str">
        <f>HYPERLINK("https://jobright.ai/jobs/info/66a13b0b64d0e1054c2d3356?utm_campaign=1051&amp;utm_source=sheet", "Apply")</f>
        <v>Apply</v>
      </c>
      <c r="C92" s="10" t="s">
        <v>15985</v>
      </c>
      <c r="D92" s="56" t="s">
        <v>15986</v>
      </c>
      <c r="E92" s="10" t="s">
        <v>65</v>
      </c>
      <c r="F92" s="10" t="s">
        <v>9860</v>
      </c>
      <c r="G92" s="10" t="s">
        <v>15793</v>
      </c>
      <c r="H92" s="10" t="s">
        <v>13196</v>
      </c>
      <c r="I92" s="10" t="s">
        <v>55</v>
      </c>
      <c r="K92" s="10" t="s">
        <v>15987</v>
      </c>
      <c r="L92" s="10" t="s">
        <v>42</v>
      </c>
    </row>
    <row r="93" ht="15.75" customHeight="1">
      <c r="A93" s="66">
        <v>45497.0</v>
      </c>
      <c r="B93" s="55" t="str">
        <f>HYPERLINK("https://jobright.ai/jobs/info/66a24b119a00a2533986df3d?utm_campaign=1051&amp;utm_source=sheet", "Apply")</f>
        <v>Apply</v>
      </c>
      <c r="C93" s="10" t="s">
        <v>15820</v>
      </c>
      <c r="D93" s="56" t="s">
        <v>15988</v>
      </c>
      <c r="E93" s="10" t="s">
        <v>65</v>
      </c>
      <c r="F93" s="10" t="s">
        <v>15989</v>
      </c>
      <c r="G93" s="10" t="s">
        <v>100</v>
      </c>
      <c r="H93" s="10" t="s">
        <v>174</v>
      </c>
      <c r="I93" s="10" t="s">
        <v>55</v>
      </c>
      <c r="K93" s="10" t="s">
        <v>15990</v>
      </c>
      <c r="L93" s="10" t="s">
        <v>42</v>
      </c>
    </row>
    <row r="94" ht="15.75" customHeight="1">
      <c r="A94" s="66">
        <v>45497.0</v>
      </c>
      <c r="B94" s="55" t="str">
        <f>HYPERLINK("https://jobright.ai/jobs/info/66a101c6297b81d4e6a952ea?utm_campaign=1051&amp;utm_source=sheet", "Apply")</f>
        <v>Apply</v>
      </c>
      <c r="C94" s="10" t="s">
        <v>15991</v>
      </c>
      <c r="D94" s="56" t="s">
        <v>15992</v>
      </c>
      <c r="E94" s="10">
        <v>26.0</v>
      </c>
      <c r="G94" s="10" t="s">
        <v>15793</v>
      </c>
      <c r="H94" s="10" t="s">
        <v>15993</v>
      </c>
      <c r="I94" s="10" t="s">
        <v>252</v>
      </c>
      <c r="K94" s="10" t="s">
        <v>15994</v>
      </c>
      <c r="L94" s="10" t="s">
        <v>42</v>
      </c>
    </row>
    <row r="95" ht="15.75" customHeight="1">
      <c r="A95" s="66">
        <v>45497.0</v>
      </c>
      <c r="B95" s="55" t="str">
        <f>HYPERLINK("https://jobright.ai/jobs/info/66a3ef9487fb29a0df3196d7?utm_campaign=1051&amp;utm_source=sheet", "Apply")</f>
        <v>Apply</v>
      </c>
      <c r="C95" s="10" t="s">
        <v>15995</v>
      </c>
      <c r="D95" s="56" t="s">
        <v>15996</v>
      </c>
      <c r="E95" s="10">
        <v>16.0</v>
      </c>
      <c r="G95" s="10" t="s">
        <v>15814</v>
      </c>
      <c r="H95" s="10" t="s">
        <v>15997</v>
      </c>
      <c r="I95" s="10" t="s">
        <v>55</v>
      </c>
      <c r="K95" s="10" t="s">
        <v>15998</v>
      </c>
      <c r="L95" s="10" t="s">
        <v>42</v>
      </c>
    </row>
    <row r="96" ht="15.75" customHeight="1">
      <c r="A96" s="66">
        <v>45497.0</v>
      </c>
      <c r="B96" s="55" t="str">
        <f>HYPERLINK("https://jobright.ai/jobs/info/65a0b94b89d93ce34c737256?utm_campaign=1051&amp;utm_source=sheet", "Apply")</f>
        <v>Apply</v>
      </c>
      <c r="C96" s="10" t="s">
        <v>15999</v>
      </c>
      <c r="D96" s="56" t="s">
        <v>16000</v>
      </c>
      <c r="E96" s="10" t="s">
        <v>71</v>
      </c>
      <c r="F96" s="10" t="s">
        <v>16001</v>
      </c>
      <c r="G96" s="10" t="s">
        <v>100</v>
      </c>
      <c r="H96" s="10" t="s">
        <v>113</v>
      </c>
      <c r="I96" s="10" t="s">
        <v>55</v>
      </c>
      <c r="K96" s="10" t="s">
        <v>16002</v>
      </c>
      <c r="L96" s="10" t="s">
        <v>42</v>
      </c>
    </row>
    <row r="97" ht="15.75" customHeight="1">
      <c r="A97" s="66">
        <v>45497.0</v>
      </c>
      <c r="B97" s="55" t="str">
        <f>HYPERLINK("https://jobright.ai/jobs/info/6684801854017d3eb190d68e?utm_campaign=1051&amp;utm_source=sheet", "Apply")</f>
        <v>Apply</v>
      </c>
      <c r="C97" s="10" t="s">
        <v>16003</v>
      </c>
      <c r="D97" s="56" t="s">
        <v>16004</v>
      </c>
      <c r="E97" s="10" t="s">
        <v>45</v>
      </c>
      <c r="F97" s="10" t="s">
        <v>12539</v>
      </c>
      <c r="G97" s="10" t="s">
        <v>15829</v>
      </c>
      <c r="H97" s="10" t="s">
        <v>16005</v>
      </c>
      <c r="I97" s="10" t="s">
        <v>55</v>
      </c>
      <c r="K97" s="10" t="s">
        <v>16006</v>
      </c>
      <c r="L97" s="10" t="s">
        <v>42</v>
      </c>
    </row>
    <row r="98" ht="15.75" customHeight="1">
      <c r="A98" s="66">
        <v>45497.0</v>
      </c>
      <c r="B98" s="55" t="str">
        <f>HYPERLINK("https://jobright.ai/jobs/info/6684eca9b38e65b35097bbac?utm_campaign=1051&amp;utm_source=sheet", "Apply")</f>
        <v>Apply</v>
      </c>
      <c r="C98" s="10" t="s">
        <v>16007</v>
      </c>
      <c r="D98" s="56" t="s">
        <v>3376</v>
      </c>
      <c r="E98" s="10" t="s">
        <v>45</v>
      </c>
      <c r="F98" s="10" t="s">
        <v>3377</v>
      </c>
      <c r="G98" s="10" t="s">
        <v>15793</v>
      </c>
      <c r="H98" s="10" t="s">
        <v>16008</v>
      </c>
      <c r="I98" s="10" t="s">
        <v>48</v>
      </c>
      <c r="J98" s="10" t="s">
        <v>15911</v>
      </c>
      <c r="K98" s="10" t="s">
        <v>16009</v>
      </c>
      <c r="L98" s="10" t="s">
        <v>42</v>
      </c>
    </row>
    <row r="99" ht="15.75" customHeight="1">
      <c r="A99" s="66">
        <v>45497.0</v>
      </c>
      <c r="B99" s="55" t="str">
        <f>HYPERLINK("https://jobright.ai/jobs/info/66a0e0b124925149e553d06b?utm_campaign=1051&amp;utm_source=sheet", "Apply")</f>
        <v>Apply</v>
      </c>
      <c r="C99" s="10" t="s">
        <v>16010</v>
      </c>
      <c r="D99" s="56" t="s">
        <v>16011</v>
      </c>
      <c r="E99" s="10" t="s">
        <v>276</v>
      </c>
      <c r="F99" s="10" t="s">
        <v>12539</v>
      </c>
      <c r="G99" s="10" t="s">
        <v>15829</v>
      </c>
      <c r="H99" s="10" t="s">
        <v>12857</v>
      </c>
      <c r="I99" s="10" t="s">
        <v>55</v>
      </c>
      <c r="K99" s="10" t="s">
        <v>16012</v>
      </c>
      <c r="L99" s="10" t="s">
        <v>42</v>
      </c>
    </row>
    <row r="100" ht="15.75" customHeight="1">
      <c r="A100" s="66">
        <v>45497.0</v>
      </c>
      <c r="B100" s="55" t="str">
        <f>HYPERLINK("https://jobright.ai/jobs/info/6684d23d2013c1661e0c4833?utm_campaign=1051&amp;utm_source=sheet", "Apply")</f>
        <v>Apply</v>
      </c>
      <c r="C100" s="10" t="s">
        <v>16013</v>
      </c>
      <c r="D100" s="56" t="s">
        <v>16014</v>
      </c>
      <c r="E100" s="10">
        <v>7895.0</v>
      </c>
      <c r="G100" s="10" t="s">
        <v>15793</v>
      </c>
      <c r="H100" s="10" t="s">
        <v>3275</v>
      </c>
      <c r="I100" s="10" t="s">
        <v>48</v>
      </c>
      <c r="J100" s="10" t="s">
        <v>16015</v>
      </c>
      <c r="K100" s="10" t="s">
        <v>16016</v>
      </c>
      <c r="L100" s="10" t="s">
        <v>42</v>
      </c>
    </row>
    <row r="101" ht="15.75" customHeight="1">
      <c r="A101" s="66">
        <v>45497.0</v>
      </c>
      <c r="B101" s="55" t="str">
        <f>HYPERLINK("https://jobright.ai/jobs/info/66848daff77b2c8f7053f39c?utm_campaign=1051&amp;utm_source=sheet", "Apply")</f>
        <v>Apply</v>
      </c>
      <c r="C101" s="10" t="s">
        <v>16007</v>
      </c>
      <c r="D101" s="56" t="s">
        <v>3376</v>
      </c>
      <c r="E101" s="10" t="s">
        <v>45</v>
      </c>
      <c r="F101" s="10" t="s">
        <v>3377</v>
      </c>
      <c r="G101" s="10" t="s">
        <v>15793</v>
      </c>
      <c r="H101" s="10" t="s">
        <v>3719</v>
      </c>
      <c r="I101" s="10" t="s">
        <v>48</v>
      </c>
      <c r="J101" s="10" t="s">
        <v>16017</v>
      </c>
      <c r="K101" s="10" t="s">
        <v>16009</v>
      </c>
      <c r="L101" s="10" t="s">
        <v>42</v>
      </c>
    </row>
    <row r="102" ht="15.75" customHeight="1">
      <c r="A102" s="66">
        <v>45497.0</v>
      </c>
      <c r="B102" s="55" t="str">
        <f>HYPERLINK("https://jobright.ai/jobs/info/66843ea433d30411df5a01b9?utm_campaign=1051&amp;utm_source=sheet", "Apply")</f>
        <v>Apply</v>
      </c>
      <c r="C102" s="10" t="s">
        <v>16018</v>
      </c>
      <c r="D102" s="56" t="s">
        <v>9917</v>
      </c>
      <c r="E102" s="10" t="s">
        <v>65</v>
      </c>
      <c r="F102" s="10" t="s">
        <v>9918</v>
      </c>
      <c r="G102" s="10" t="s">
        <v>100</v>
      </c>
      <c r="H102" s="10" t="s">
        <v>994</v>
      </c>
      <c r="I102" s="10" t="s">
        <v>55</v>
      </c>
      <c r="K102" s="10" t="s">
        <v>9919</v>
      </c>
      <c r="L102" s="10" t="s">
        <v>42</v>
      </c>
    </row>
    <row r="103" ht="15.75" customHeight="1">
      <c r="A103" s="66">
        <v>45497.0</v>
      </c>
      <c r="B103" s="55" t="str">
        <f>HYPERLINK("https://jobright.ai/jobs/info/6684fefb9d198e4e6ade11b0?utm_campaign=1051&amp;utm_source=sheet", "Apply")</f>
        <v>Apply</v>
      </c>
      <c r="C103" s="10" t="s">
        <v>16007</v>
      </c>
      <c r="D103" s="56" t="s">
        <v>3376</v>
      </c>
      <c r="E103" s="10" t="s">
        <v>45</v>
      </c>
      <c r="F103" s="10" t="s">
        <v>3377</v>
      </c>
      <c r="G103" s="10" t="s">
        <v>15793</v>
      </c>
      <c r="H103" s="10" t="s">
        <v>965</v>
      </c>
      <c r="I103" s="10" t="s">
        <v>55</v>
      </c>
      <c r="J103" s="10" t="s">
        <v>15911</v>
      </c>
      <c r="K103" s="10" t="s">
        <v>16009</v>
      </c>
      <c r="L103" s="10" t="s">
        <v>42</v>
      </c>
    </row>
    <row r="104" ht="15.75" customHeight="1">
      <c r="A104" s="66">
        <v>45497.0</v>
      </c>
      <c r="B104" s="55" t="str">
        <f>HYPERLINK("https://jobright.ai/jobs/info/6684e74810843bb0fec4ec82?utm_campaign=1051&amp;utm_source=sheet", "Apply")</f>
        <v>Apply</v>
      </c>
      <c r="C104" s="10" t="s">
        <v>16007</v>
      </c>
      <c r="D104" s="56" t="s">
        <v>3376</v>
      </c>
      <c r="E104" s="10" t="s">
        <v>45</v>
      </c>
      <c r="F104" s="10" t="s">
        <v>3377</v>
      </c>
      <c r="G104" s="10" t="s">
        <v>15793</v>
      </c>
      <c r="H104" s="10" t="s">
        <v>326</v>
      </c>
      <c r="I104" s="10" t="s">
        <v>55</v>
      </c>
      <c r="J104" s="10" t="s">
        <v>16017</v>
      </c>
      <c r="K104" s="10" t="s">
        <v>16019</v>
      </c>
      <c r="L104" s="10" t="s">
        <v>42</v>
      </c>
    </row>
    <row r="105" ht="15.75" customHeight="1">
      <c r="A105" s="66">
        <v>45497.0</v>
      </c>
      <c r="B105" s="55" t="str">
        <f>HYPERLINK("https://jobright.ai/jobs/info/6684e73d10843bb0fec4ec0f?utm_campaign=1051&amp;utm_source=sheet", "Apply")</f>
        <v>Apply</v>
      </c>
      <c r="C105" s="10" t="s">
        <v>16007</v>
      </c>
      <c r="D105" s="56" t="s">
        <v>3376</v>
      </c>
      <c r="E105" s="10" t="s">
        <v>45</v>
      </c>
      <c r="F105" s="10" t="s">
        <v>3377</v>
      </c>
      <c r="G105" s="10" t="s">
        <v>15793</v>
      </c>
      <c r="H105" s="10" t="s">
        <v>854</v>
      </c>
      <c r="I105" s="10" t="s">
        <v>48</v>
      </c>
      <c r="J105" s="10" t="s">
        <v>15911</v>
      </c>
      <c r="K105" s="10" t="s">
        <v>16009</v>
      </c>
      <c r="L105" s="10" t="s">
        <v>42</v>
      </c>
    </row>
    <row r="106" ht="15.75" customHeight="1">
      <c r="A106" s="66">
        <v>45497.0</v>
      </c>
      <c r="B106" s="55" t="str">
        <f>HYPERLINK("https://jobright.ai/jobs/info/66a0a891ab5c4d668884449b?utm_campaign=1051&amp;utm_source=sheet", "Apply")</f>
        <v>Apply</v>
      </c>
      <c r="C106" s="10" t="s">
        <v>11557</v>
      </c>
      <c r="D106" s="56" t="s">
        <v>9942</v>
      </c>
      <c r="E106" s="10" t="s">
        <v>45</v>
      </c>
      <c r="F106" s="10" t="s">
        <v>9943</v>
      </c>
      <c r="G106" s="10" t="s">
        <v>100</v>
      </c>
      <c r="H106" s="10" t="s">
        <v>96</v>
      </c>
      <c r="I106" s="10" t="s">
        <v>55</v>
      </c>
      <c r="J106" s="10" t="s">
        <v>9944</v>
      </c>
      <c r="K106" s="10" t="s">
        <v>9945</v>
      </c>
      <c r="L106" s="10" t="s">
        <v>42</v>
      </c>
    </row>
    <row r="107" ht="15.75" customHeight="1">
      <c r="A107" s="66">
        <v>45497.0</v>
      </c>
      <c r="B107" s="55" t="str">
        <f>HYPERLINK("https://jobright.ai/jobs/info/66a0c26a8cba52fd78ff16aa?utm_campaign=1051&amp;utm_source=sheet", "Apply")</f>
        <v>Apply</v>
      </c>
      <c r="C107" s="10" t="s">
        <v>16020</v>
      </c>
      <c r="D107" s="56" t="s">
        <v>16021</v>
      </c>
      <c r="E107" s="10" t="s">
        <v>249</v>
      </c>
      <c r="F107" s="10" t="s">
        <v>16022</v>
      </c>
      <c r="G107" s="10" t="s">
        <v>15793</v>
      </c>
      <c r="H107" s="10" t="s">
        <v>3532</v>
      </c>
      <c r="I107" s="10" t="s">
        <v>55</v>
      </c>
      <c r="K107" s="10" t="s">
        <v>16023</v>
      </c>
      <c r="L107" s="10" t="s">
        <v>42</v>
      </c>
    </row>
    <row r="108" ht="15.75" customHeight="1">
      <c r="A108" s="66">
        <v>45497.0</v>
      </c>
      <c r="B108" s="55" t="str">
        <f>HYPERLINK("https://jobright.ai/jobs/info/66a08aadfa7c584a950599c3?utm_campaign=1051&amp;utm_source=sheet", "Apply")</f>
        <v>Apply</v>
      </c>
      <c r="C108" s="10" t="s">
        <v>16024</v>
      </c>
      <c r="D108" s="56" t="s">
        <v>16025</v>
      </c>
      <c r="E108" s="10" t="s">
        <v>249</v>
      </c>
      <c r="F108" s="10" t="s">
        <v>16026</v>
      </c>
      <c r="G108" s="10" t="s">
        <v>15793</v>
      </c>
      <c r="H108" s="10" t="s">
        <v>12378</v>
      </c>
      <c r="I108" s="10" t="s">
        <v>55</v>
      </c>
      <c r="J108" s="10" t="s">
        <v>16027</v>
      </c>
      <c r="K108" s="10" t="s">
        <v>16028</v>
      </c>
      <c r="L108" s="10" t="s">
        <v>42</v>
      </c>
    </row>
    <row r="109" ht="15.75" customHeight="1">
      <c r="A109" s="66">
        <v>45497.0</v>
      </c>
      <c r="B109" s="55" t="str">
        <f>HYPERLINK("https://jobright.ai/jobs/info/66a07f87c20f22c367e05a62?utm_campaign=1051&amp;utm_source=sheet", "Apply")</f>
        <v>Apply</v>
      </c>
      <c r="C109" s="10" t="s">
        <v>15918</v>
      </c>
      <c r="D109" s="56" t="s">
        <v>16029</v>
      </c>
      <c r="E109" s="10" t="s">
        <v>137</v>
      </c>
      <c r="F109" s="10" t="s">
        <v>370</v>
      </c>
      <c r="G109" s="10" t="s">
        <v>15814</v>
      </c>
      <c r="H109" s="10" t="s">
        <v>251</v>
      </c>
      <c r="I109" s="10" t="s">
        <v>252</v>
      </c>
      <c r="J109" s="10" t="s">
        <v>16030</v>
      </c>
      <c r="K109" s="10" t="s">
        <v>16031</v>
      </c>
      <c r="L109" s="10" t="s">
        <v>42</v>
      </c>
    </row>
    <row r="110" ht="15.75" customHeight="1">
      <c r="A110" s="66">
        <v>45497.0</v>
      </c>
      <c r="B110" s="55" t="str">
        <f>HYPERLINK("https://jobright.ai/jobs/info/66a085147f86226a3d6cfe79?utm_campaign=1051&amp;utm_source=sheet", "Apply")</f>
        <v>Apply</v>
      </c>
      <c r="C110" s="10" t="s">
        <v>16032</v>
      </c>
      <c r="D110" s="56" t="s">
        <v>15454</v>
      </c>
      <c r="E110" s="10" t="s">
        <v>276</v>
      </c>
      <c r="F110" s="10" t="s">
        <v>13089</v>
      </c>
      <c r="G110" s="10" t="s">
        <v>15787</v>
      </c>
      <c r="H110" s="10" t="s">
        <v>7659</v>
      </c>
      <c r="I110" s="10" t="s">
        <v>55</v>
      </c>
      <c r="K110" s="10" t="s">
        <v>16033</v>
      </c>
      <c r="L110" s="10" t="s">
        <v>42</v>
      </c>
    </row>
    <row r="111" ht="15.75" customHeight="1">
      <c r="A111" s="66">
        <v>45497.0</v>
      </c>
      <c r="B111" s="55" t="str">
        <f>HYPERLINK("https://jobright.ai/jobs/info/66a0792ef493ff248a60344a?utm_campaign=1051&amp;utm_source=sheet", "Apply")</f>
        <v>Apply</v>
      </c>
      <c r="C111" s="10" t="s">
        <v>16034</v>
      </c>
      <c r="D111" s="56" t="s">
        <v>16035</v>
      </c>
      <c r="G111" s="10" t="s">
        <v>100</v>
      </c>
      <c r="H111" s="10" t="s">
        <v>1007</v>
      </c>
      <c r="I111" s="10" t="s">
        <v>55</v>
      </c>
      <c r="K111" s="10" t="s">
        <v>16036</v>
      </c>
      <c r="L111" s="10" t="s">
        <v>42</v>
      </c>
    </row>
    <row r="112" ht="15.75" customHeight="1">
      <c r="A112" s="66">
        <v>45497.0</v>
      </c>
      <c r="B112" s="55" t="str">
        <f>HYPERLINK("https://jobright.ai/jobs/info/66a0516082dde0352ff41242?utm_campaign=1051&amp;utm_source=sheet", "Apply")</f>
        <v>Apply</v>
      </c>
      <c r="C112" s="10" t="s">
        <v>15799</v>
      </c>
      <c r="D112" s="56" t="s">
        <v>16037</v>
      </c>
      <c r="E112" s="10" t="s">
        <v>137</v>
      </c>
      <c r="F112" s="10" t="s">
        <v>12249</v>
      </c>
      <c r="G112" s="10" t="s">
        <v>100</v>
      </c>
      <c r="H112" s="10" t="s">
        <v>16038</v>
      </c>
      <c r="I112" s="10" t="s">
        <v>55</v>
      </c>
      <c r="K112" s="10" t="s">
        <v>16039</v>
      </c>
      <c r="L112" s="10" t="s">
        <v>42</v>
      </c>
    </row>
    <row r="113" ht="15.75" customHeight="1">
      <c r="A113" s="66">
        <v>45497.0</v>
      </c>
      <c r="B113" s="55" t="str">
        <f>HYPERLINK("https://jobright.ai/jobs/info/66a07f91c20f22c367e05bb5?utm_campaign=1051&amp;utm_source=sheet", "Apply")</f>
        <v>Apply</v>
      </c>
      <c r="C113" s="10" t="s">
        <v>15781</v>
      </c>
      <c r="D113" s="56" t="s">
        <v>15782</v>
      </c>
      <c r="E113" s="10" t="s">
        <v>137</v>
      </c>
      <c r="F113" s="10" t="s">
        <v>15783</v>
      </c>
      <c r="G113" s="10" t="s">
        <v>15784</v>
      </c>
      <c r="H113" s="10" t="s">
        <v>1688</v>
      </c>
      <c r="I113" s="10" t="s">
        <v>55</v>
      </c>
      <c r="K113" s="10" t="s">
        <v>15785</v>
      </c>
      <c r="L113" s="10" t="s">
        <v>42</v>
      </c>
    </row>
    <row r="114" ht="15.75" customHeight="1">
      <c r="A114" s="66">
        <v>45497.0</v>
      </c>
      <c r="B114" s="55" t="str">
        <f>HYPERLINK("https://jobright.ai/jobs/info/66a065c40e159f780df65117?utm_campaign=1051&amp;utm_source=sheet", "Apply")</f>
        <v>Apply</v>
      </c>
      <c r="C114" s="10" t="s">
        <v>16040</v>
      </c>
      <c r="D114" s="56" t="s">
        <v>15992</v>
      </c>
      <c r="E114" s="10">
        <v>26.0</v>
      </c>
      <c r="G114" s="10" t="s">
        <v>15793</v>
      </c>
      <c r="H114" s="10" t="s">
        <v>578</v>
      </c>
      <c r="I114" s="10" t="s">
        <v>55</v>
      </c>
      <c r="K114" s="10" t="s">
        <v>15994</v>
      </c>
      <c r="L114" s="10" t="s">
        <v>42</v>
      </c>
    </row>
    <row r="115" ht="15.75" customHeight="1">
      <c r="A115" s="66">
        <v>45497.0</v>
      </c>
      <c r="B115" s="55" t="str">
        <f>HYPERLINK("https://jobright.ai/jobs/info/66a065c40e159f780df6511d?utm_campaign=1051&amp;utm_source=sheet", "Apply")</f>
        <v>Apply</v>
      </c>
      <c r="C115" s="10" t="s">
        <v>16041</v>
      </c>
      <c r="D115" s="56" t="s">
        <v>15992</v>
      </c>
      <c r="E115" s="10">
        <v>26.0</v>
      </c>
      <c r="G115" s="10" t="s">
        <v>15793</v>
      </c>
      <c r="H115" s="10" t="s">
        <v>354</v>
      </c>
      <c r="I115" s="10" t="s">
        <v>252</v>
      </c>
      <c r="K115" s="10" t="s">
        <v>15994</v>
      </c>
      <c r="L115" s="10" t="s">
        <v>42</v>
      </c>
    </row>
    <row r="116" ht="15.75" customHeight="1">
      <c r="A116" s="66">
        <v>45497.0</v>
      </c>
      <c r="B116" s="55" t="str">
        <f>HYPERLINK("https://jobright.ai/jobs/info/66a065c40e159f780df65135?utm_campaign=1051&amp;utm_source=sheet", "Apply")</f>
        <v>Apply</v>
      </c>
      <c r="C116" s="10" t="s">
        <v>16042</v>
      </c>
      <c r="D116" s="56" t="s">
        <v>15992</v>
      </c>
      <c r="E116" s="10">
        <v>26.0</v>
      </c>
      <c r="G116" s="10" t="s">
        <v>15793</v>
      </c>
      <c r="H116" s="10" t="s">
        <v>16043</v>
      </c>
      <c r="I116" s="10" t="s">
        <v>252</v>
      </c>
      <c r="K116" s="10" t="s">
        <v>15994</v>
      </c>
      <c r="L116" s="10" t="s">
        <v>42</v>
      </c>
    </row>
    <row r="117" ht="15.75" customHeight="1">
      <c r="A117" s="66">
        <v>45497.0</v>
      </c>
      <c r="B117" s="55" t="str">
        <f>HYPERLINK("https://jobright.ai/jobs/info/66a1604fe2be5c244a656177?utm_campaign=1051&amp;utm_source=sheet", "Apply")</f>
        <v>Apply</v>
      </c>
      <c r="C117" s="10" t="s">
        <v>16044</v>
      </c>
      <c r="D117" s="56" t="s">
        <v>684</v>
      </c>
      <c r="E117" s="10" t="s">
        <v>45</v>
      </c>
      <c r="F117" s="10" t="s">
        <v>685</v>
      </c>
      <c r="G117" s="10" t="s">
        <v>100</v>
      </c>
      <c r="H117" s="10" t="s">
        <v>16045</v>
      </c>
      <c r="I117" s="10" t="s">
        <v>55</v>
      </c>
      <c r="K117" s="10" t="s">
        <v>3825</v>
      </c>
      <c r="L117" s="10" t="s">
        <v>42</v>
      </c>
    </row>
    <row r="118" ht="15.75" customHeight="1">
      <c r="A118" s="66">
        <v>45497.0</v>
      </c>
      <c r="B118" s="55" t="str">
        <f>HYPERLINK("https://jobright.ai/jobs/info/66a1526ec3c672801617874d?utm_campaign=1051&amp;utm_source=sheet", "Apply")</f>
        <v>Apply</v>
      </c>
      <c r="C118" s="10" t="s">
        <v>13022</v>
      </c>
      <c r="D118" s="56" t="s">
        <v>5280</v>
      </c>
      <c r="E118" s="10" t="s">
        <v>209</v>
      </c>
      <c r="F118" s="10" t="s">
        <v>1512</v>
      </c>
      <c r="G118" s="10" t="s">
        <v>15829</v>
      </c>
      <c r="H118" s="10" t="s">
        <v>6990</v>
      </c>
      <c r="I118" s="10" t="s">
        <v>55</v>
      </c>
      <c r="K118" s="10" t="s">
        <v>16046</v>
      </c>
      <c r="L118" s="10" t="s">
        <v>42</v>
      </c>
    </row>
    <row r="119" ht="15.75" customHeight="1">
      <c r="A119" s="66">
        <v>45497.0</v>
      </c>
      <c r="B119" s="55" t="str">
        <f>HYPERLINK("https://jobright.ai/jobs/info/66a1a47b352a331cfc6f1597?utm_campaign=1051&amp;utm_source=sheet", "Apply")</f>
        <v>Apply</v>
      </c>
      <c r="C119" s="10" t="s">
        <v>16047</v>
      </c>
      <c r="D119" s="56" t="s">
        <v>9874</v>
      </c>
      <c r="E119" s="10" t="s">
        <v>209</v>
      </c>
      <c r="F119" s="10" t="s">
        <v>1427</v>
      </c>
      <c r="G119" s="10" t="s">
        <v>15793</v>
      </c>
      <c r="H119" s="10" t="s">
        <v>952</v>
      </c>
      <c r="I119" s="10" t="s">
        <v>55</v>
      </c>
      <c r="J119" s="10" t="s">
        <v>9875</v>
      </c>
      <c r="K119" s="10" t="s">
        <v>16048</v>
      </c>
      <c r="L119" s="10" t="s">
        <v>42</v>
      </c>
    </row>
    <row r="120" ht="15.75" customHeight="1">
      <c r="A120" s="66">
        <v>45497.0</v>
      </c>
      <c r="B120" s="55" t="str">
        <f>HYPERLINK("https://jobright.ai/jobs/info/66a1529d5d7045056dc41571?utm_campaign=1051&amp;utm_source=sheet", "Apply")</f>
        <v>Apply</v>
      </c>
      <c r="C120" s="10" t="s">
        <v>16049</v>
      </c>
      <c r="D120" s="56" t="s">
        <v>14369</v>
      </c>
      <c r="E120" s="10" t="s">
        <v>65</v>
      </c>
      <c r="F120" s="10" t="s">
        <v>1415</v>
      </c>
      <c r="G120" s="10" t="s">
        <v>15814</v>
      </c>
      <c r="H120" s="10" t="s">
        <v>1316</v>
      </c>
      <c r="I120" s="10" t="s">
        <v>55</v>
      </c>
      <c r="K120" s="10" t="s">
        <v>16050</v>
      </c>
      <c r="L120" s="10" t="s">
        <v>42</v>
      </c>
    </row>
    <row r="121" ht="15.75" customHeight="1">
      <c r="A121" s="66">
        <v>45496.0</v>
      </c>
      <c r="B121" s="55" t="str">
        <f>HYPERLINK("https://jobright.ai/jobs/info/66a044ed46bc1c4d05a3380d?utm_campaign=1051&amp;utm_source=sheet", "Apply")</f>
        <v>Apply</v>
      </c>
      <c r="C121" s="10" t="s">
        <v>16051</v>
      </c>
      <c r="D121" s="56" t="s">
        <v>44</v>
      </c>
      <c r="E121" s="10" t="s">
        <v>45</v>
      </c>
      <c r="F121" s="10" t="s">
        <v>46</v>
      </c>
      <c r="G121" s="10" t="s">
        <v>15814</v>
      </c>
      <c r="H121" s="10" t="s">
        <v>1328</v>
      </c>
      <c r="I121" s="10" t="s">
        <v>48</v>
      </c>
      <c r="J121" s="10" t="s">
        <v>375</v>
      </c>
      <c r="K121" s="10" t="s">
        <v>16052</v>
      </c>
      <c r="L121" s="10" t="s">
        <v>42</v>
      </c>
    </row>
    <row r="122" ht="15.75" customHeight="1">
      <c r="A122" s="66">
        <v>45496.0</v>
      </c>
      <c r="B122" s="55" t="str">
        <f>HYPERLINK("https://jobright.ai/jobs/info/66a0417d0b66118039604065?utm_campaign=1051&amp;utm_source=sheet", "Apply")</f>
        <v>Apply</v>
      </c>
      <c r="C122" s="10" t="s">
        <v>16053</v>
      </c>
      <c r="D122" s="56" t="s">
        <v>1650</v>
      </c>
      <c r="E122" s="10" t="s">
        <v>209</v>
      </c>
      <c r="F122" s="10" t="s">
        <v>1243</v>
      </c>
      <c r="G122" s="10" t="s">
        <v>100</v>
      </c>
      <c r="H122" s="10" t="s">
        <v>8687</v>
      </c>
      <c r="I122" s="10" t="s">
        <v>55</v>
      </c>
      <c r="K122" s="10" t="s">
        <v>16054</v>
      </c>
      <c r="L122" s="10" t="s">
        <v>42</v>
      </c>
    </row>
    <row r="123" ht="15.75" customHeight="1">
      <c r="A123" s="66">
        <v>45496.0</v>
      </c>
      <c r="B123" s="55" t="str">
        <f>HYPERLINK("https://jobright.ai/jobs/info/66a022e546b8641105c98bbd?utm_campaign=1051&amp;utm_source=sheet", "Apply")</f>
        <v>Apply</v>
      </c>
      <c r="C123" s="10" t="s">
        <v>16055</v>
      </c>
      <c r="D123" s="56" t="s">
        <v>16056</v>
      </c>
      <c r="E123" s="10" t="s">
        <v>71</v>
      </c>
      <c r="F123" s="10" t="s">
        <v>12539</v>
      </c>
      <c r="G123" s="10" t="s">
        <v>15829</v>
      </c>
      <c r="H123" s="10" t="s">
        <v>96</v>
      </c>
      <c r="I123" s="10" t="s">
        <v>55</v>
      </c>
      <c r="J123" s="10" t="s">
        <v>1960</v>
      </c>
      <c r="K123" s="10" t="s">
        <v>16057</v>
      </c>
      <c r="L123" s="10" t="s">
        <v>42</v>
      </c>
    </row>
    <row r="124" ht="15.75" customHeight="1">
      <c r="A124" s="66">
        <v>45496.0</v>
      </c>
      <c r="B124" s="55" t="str">
        <f>HYPERLINK("https://jobright.ai/jobs/info/66a03843f54d4e37ee753a91?utm_campaign=1051&amp;utm_source=sheet", "Apply")</f>
        <v>Apply</v>
      </c>
      <c r="C124" s="10" t="s">
        <v>16058</v>
      </c>
      <c r="D124" s="56" t="s">
        <v>3905</v>
      </c>
      <c r="E124" s="10" t="s">
        <v>79</v>
      </c>
      <c r="F124" s="10" t="s">
        <v>3906</v>
      </c>
      <c r="G124" s="10" t="s">
        <v>100</v>
      </c>
      <c r="H124" s="10" t="s">
        <v>96</v>
      </c>
      <c r="I124" s="10" t="s">
        <v>55</v>
      </c>
      <c r="J124" s="10" t="s">
        <v>3907</v>
      </c>
      <c r="K124" s="10" t="s">
        <v>16059</v>
      </c>
      <c r="L124" s="10" t="s">
        <v>42</v>
      </c>
    </row>
    <row r="125" ht="15.75" customHeight="1">
      <c r="A125" s="66">
        <v>45496.0</v>
      </c>
      <c r="B125" s="55" t="str">
        <f>HYPERLINK("https://jobright.ai/jobs/info/66a00145a4a9d243b7e568aa?utm_campaign=1051&amp;utm_source=sheet", "Apply")</f>
        <v>Apply</v>
      </c>
      <c r="C125" s="10" t="s">
        <v>16060</v>
      </c>
      <c r="D125" s="56" t="s">
        <v>1152</v>
      </c>
      <c r="E125" s="10" t="s">
        <v>249</v>
      </c>
      <c r="F125" s="10" t="s">
        <v>85</v>
      </c>
      <c r="G125" s="10" t="s">
        <v>100</v>
      </c>
      <c r="H125" s="10" t="s">
        <v>1021</v>
      </c>
      <c r="I125" s="10" t="s">
        <v>55</v>
      </c>
      <c r="K125" s="10" t="s">
        <v>16061</v>
      </c>
      <c r="L125" s="10" t="s">
        <v>42</v>
      </c>
    </row>
    <row r="126" ht="15.75" customHeight="1">
      <c r="A126" s="66">
        <v>45496.0</v>
      </c>
      <c r="B126" s="55" t="str">
        <f>HYPERLINK("https://jobright.ai/jobs/info/669ffc06412b679d59f3ebc8?utm_campaign=1051&amp;utm_source=sheet", "Apply")</f>
        <v>Apply</v>
      </c>
      <c r="C126" s="10" t="s">
        <v>16062</v>
      </c>
      <c r="D126" s="56" t="s">
        <v>1152</v>
      </c>
      <c r="E126" s="10" t="s">
        <v>249</v>
      </c>
      <c r="F126" s="10" t="s">
        <v>85</v>
      </c>
      <c r="G126" s="10" t="s">
        <v>15814</v>
      </c>
      <c r="H126" s="10" t="s">
        <v>1021</v>
      </c>
      <c r="I126" s="10" t="s">
        <v>55</v>
      </c>
      <c r="K126" s="10" t="s">
        <v>16061</v>
      </c>
      <c r="L126" s="10" t="s">
        <v>42</v>
      </c>
    </row>
    <row r="127" ht="15.75" customHeight="1">
      <c r="A127" s="66">
        <v>45496.0</v>
      </c>
      <c r="B127" s="55" t="str">
        <f>HYPERLINK("https://jobright.ai/jobs/info/66a02144238b946e0a9fb839?utm_campaign=1051&amp;utm_source=sheet", "Apply")</f>
        <v>Apply</v>
      </c>
      <c r="C127" s="10" t="s">
        <v>16063</v>
      </c>
      <c r="D127" s="56" t="s">
        <v>16064</v>
      </c>
      <c r="G127" s="10" t="s">
        <v>15814</v>
      </c>
      <c r="H127" s="10" t="s">
        <v>4724</v>
      </c>
      <c r="I127" s="10" t="s">
        <v>55</v>
      </c>
      <c r="K127" s="10" t="s">
        <v>16065</v>
      </c>
      <c r="L127" s="10" t="s">
        <v>42</v>
      </c>
    </row>
    <row r="128" ht="15.75" customHeight="1">
      <c r="A128" s="66">
        <v>45496.0</v>
      </c>
      <c r="B128" s="55" t="str">
        <f>HYPERLINK("https://jobright.ai/jobs/info/66a0042a7f05eedcfa578566?utm_campaign=1051&amp;utm_source=sheet", "Apply")</f>
        <v>Apply</v>
      </c>
      <c r="C128" s="10" t="s">
        <v>16066</v>
      </c>
      <c r="D128" s="56" t="s">
        <v>16067</v>
      </c>
      <c r="E128" s="10">
        <v>34.0</v>
      </c>
      <c r="G128" s="10" t="s">
        <v>100</v>
      </c>
      <c r="H128" s="10" t="s">
        <v>96</v>
      </c>
      <c r="I128" s="10" t="s">
        <v>55</v>
      </c>
      <c r="K128" s="10" t="s">
        <v>16068</v>
      </c>
      <c r="L128" s="10" t="s">
        <v>42</v>
      </c>
    </row>
    <row r="129" ht="15.75" customHeight="1">
      <c r="A129" s="66">
        <v>45496.0</v>
      </c>
      <c r="B129" s="55" t="str">
        <f>HYPERLINK("https://jobright.ai/jobs/info/66a0042a7f05eedcfa57858e?utm_campaign=1051&amp;utm_source=sheet", "Apply")</f>
        <v>Apply</v>
      </c>
      <c r="C129" s="10" t="s">
        <v>16034</v>
      </c>
      <c r="D129" s="56" t="s">
        <v>16035</v>
      </c>
      <c r="G129" s="10" t="s">
        <v>100</v>
      </c>
      <c r="H129" s="10" t="s">
        <v>1007</v>
      </c>
      <c r="I129" s="10" t="s">
        <v>55</v>
      </c>
      <c r="K129" s="10" t="s">
        <v>16036</v>
      </c>
      <c r="L129" s="10" t="s">
        <v>42</v>
      </c>
    </row>
    <row r="130" ht="15.75" customHeight="1">
      <c r="A130" s="66">
        <v>45496.0</v>
      </c>
      <c r="B130" s="55" t="str">
        <f>HYPERLINK("https://jobright.ai/jobs/info/66a07e3e31b073f017cffb71?utm_campaign=1051&amp;utm_source=sheet", "Apply")</f>
        <v>Apply</v>
      </c>
      <c r="C130" s="10" t="s">
        <v>4738</v>
      </c>
      <c r="D130" s="56" t="s">
        <v>16069</v>
      </c>
      <c r="E130" s="10" t="s">
        <v>137</v>
      </c>
      <c r="F130" s="10" t="s">
        <v>16070</v>
      </c>
      <c r="G130" s="10" t="s">
        <v>100</v>
      </c>
      <c r="H130" s="10" t="s">
        <v>170</v>
      </c>
      <c r="I130" s="10" t="s">
        <v>48</v>
      </c>
      <c r="J130" s="10" t="s">
        <v>16071</v>
      </c>
      <c r="K130" s="10" t="s">
        <v>16072</v>
      </c>
      <c r="L130" s="10" t="s">
        <v>42</v>
      </c>
    </row>
    <row r="131" ht="15.75" customHeight="1">
      <c r="A131" s="66">
        <v>45496.0</v>
      </c>
      <c r="B131" s="55" t="str">
        <f>HYPERLINK("https://jobright.ai/jobs/info/669ff383084bc2fa31e1a434?utm_campaign=1051&amp;utm_source=sheet", "Apply")</f>
        <v>Apply</v>
      </c>
      <c r="C131" s="10" t="s">
        <v>16073</v>
      </c>
      <c r="D131" s="56" t="s">
        <v>16074</v>
      </c>
      <c r="E131" s="10" t="s">
        <v>137</v>
      </c>
      <c r="G131" s="10" t="s">
        <v>100</v>
      </c>
      <c r="H131" s="10" t="s">
        <v>251</v>
      </c>
      <c r="I131" s="10" t="s">
        <v>252</v>
      </c>
      <c r="J131" s="10" t="s">
        <v>16075</v>
      </c>
      <c r="K131" s="10" t="s">
        <v>16076</v>
      </c>
      <c r="L131" s="10" t="s">
        <v>42</v>
      </c>
    </row>
    <row r="132" ht="15.75" customHeight="1">
      <c r="A132" s="66">
        <v>45496.0</v>
      </c>
      <c r="B132" s="55" t="str">
        <f>HYPERLINK("https://jobright.ai/jobs/info/669fe8c2e7a91c490018ad61?utm_campaign=1051&amp;utm_source=sheet", "Apply")</f>
        <v>Apply</v>
      </c>
      <c r="C132" s="10" t="s">
        <v>16077</v>
      </c>
      <c r="D132" s="56" t="s">
        <v>16078</v>
      </c>
      <c r="E132" s="10">
        <v>3.0</v>
      </c>
      <c r="G132" s="10" t="s">
        <v>100</v>
      </c>
      <c r="H132" s="10" t="s">
        <v>4501</v>
      </c>
      <c r="I132" s="10" t="s">
        <v>55</v>
      </c>
      <c r="K132" s="10" t="s">
        <v>16079</v>
      </c>
      <c r="L132" s="10" t="s">
        <v>42</v>
      </c>
    </row>
    <row r="133" ht="15.75" customHeight="1">
      <c r="A133" s="66">
        <v>45496.0</v>
      </c>
      <c r="B133" s="55" t="str">
        <f>HYPERLINK("https://jobright.ai/jobs/info/66a3efaa87fb29a0df31985c?utm_campaign=1051&amp;utm_source=sheet", "Apply")</f>
        <v>Apply</v>
      </c>
      <c r="C133" s="10" t="s">
        <v>15904</v>
      </c>
      <c r="D133" s="56" t="s">
        <v>16080</v>
      </c>
      <c r="E133" s="10" t="s">
        <v>137</v>
      </c>
      <c r="F133" s="10" t="s">
        <v>16081</v>
      </c>
      <c r="G133" s="10" t="s">
        <v>15814</v>
      </c>
      <c r="H133" s="10" t="s">
        <v>152</v>
      </c>
      <c r="I133" s="10" t="s">
        <v>55</v>
      </c>
      <c r="K133" s="10" t="s">
        <v>16082</v>
      </c>
      <c r="L133" s="10" t="s">
        <v>42</v>
      </c>
    </row>
    <row r="134" ht="15.75" customHeight="1">
      <c r="A134" s="66">
        <v>45496.0</v>
      </c>
      <c r="B134" s="55" t="str">
        <f>HYPERLINK("https://jobright.ai/jobs/info/669fe2e419e0afd8e7b1755e?utm_campaign=1051&amp;utm_source=sheet", "Apply")</f>
        <v>Apply</v>
      </c>
      <c r="C134" s="10" t="s">
        <v>16083</v>
      </c>
      <c r="D134" s="56" t="s">
        <v>16084</v>
      </c>
      <c r="E134" s="10" t="s">
        <v>71</v>
      </c>
      <c r="F134" s="10" t="s">
        <v>16085</v>
      </c>
      <c r="G134" s="10" t="s">
        <v>15814</v>
      </c>
      <c r="H134" s="10" t="s">
        <v>10470</v>
      </c>
      <c r="I134" s="10" t="s">
        <v>55</v>
      </c>
      <c r="K134" s="10" t="s">
        <v>16086</v>
      </c>
      <c r="L134" s="10" t="s">
        <v>42</v>
      </c>
    </row>
    <row r="135" ht="15.75" customHeight="1">
      <c r="A135" s="66">
        <v>45496.0</v>
      </c>
      <c r="B135" s="55" t="str">
        <f>HYPERLINK("https://jobright.ai/jobs/info/669fa2820978d429047d3724?utm_campaign=1051&amp;utm_source=sheet", "Apply")</f>
        <v>Apply</v>
      </c>
      <c r="C135" s="10" t="s">
        <v>13889</v>
      </c>
      <c r="D135" s="56" t="s">
        <v>16087</v>
      </c>
      <c r="E135" s="10" t="s">
        <v>137</v>
      </c>
      <c r="F135" s="10" t="s">
        <v>16088</v>
      </c>
      <c r="G135" s="10" t="s">
        <v>15814</v>
      </c>
      <c r="H135" s="10" t="s">
        <v>7173</v>
      </c>
      <c r="I135" s="10" t="s">
        <v>55</v>
      </c>
      <c r="K135" s="10" t="s">
        <v>16089</v>
      </c>
      <c r="L135" s="10" t="s">
        <v>42</v>
      </c>
    </row>
    <row r="136" ht="15.75" customHeight="1">
      <c r="A136" s="66">
        <v>45496.0</v>
      </c>
      <c r="B136" s="55" t="str">
        <f>HYPERLINK("https://jobright.ai/jobs/info/669fcb85d18a1aa0a307faee?utm_campaign=1051&amp;utm_source=sheet", "Apply")</f>
        <v>Apply</v>
      </c>
      <c r="C136" s="10" t="s">
        <v>16090</v>
      </c>
      <c r="D136" s="56" t="s">
        <v>16091</v>
      </c>
      <c r="E136" s="10">
        <v>8.0</v>
      </c>
      <c r="G136" s="10" t="s">
        <v>100</v>
      </c>
      <c r="H136" s="10" t="s">
        <v>165</v>
      </c>
      <c r="I136" s="10" t="s">
        <v>55</v>
      </c>
      <c r="K136" s="10" t="s">
        <v>16092</v>
      </c>
      <c r="L136" s="10" t="s">
        <v>42</v>
      </c>
    </row>
    <row r="137" ht="15.75" customHeight="1">
      <c r="A137" s="66">
        <v>45496.0</v>
      </c>
      <c r="B137" s="55" t="str">
        <f>HYPERLINK("https://jobright.ai/jobs/info/669fb0c441059339a39c0e07?utm_campaign=1051&amp;utm_source=sheet", "Apply")</f>
        <v>Apply</v>
      </c>
      <c r="C137" s="10" t="s">
        <v>16034</v>
      </c>
      <c r="D137" s="56" t="s">
        <v>16035</v>
      </c>
      <c r="G137" s="10" t="s">
        <v>100</v>
      </c>
      <c r="H137" s="10" t="s">
        <v>16093</v>
      </c>
      <c r="I137" s="10" t="s">
        <v>55</v>
      </c>
      <c r="K137" s="10" t="s">
        <v>16094</v>
      </c>
      <c r="L137" s="10" t="s">
        <v>42</v>
      </c>
    </row>
    <row r="138" ht="15.75" customHeight="1">
      <c r="A138" s="66">
        <v>45496.0</v>
      </c>
      <c r="B138" s="55" t="str">
        <f>HYPERLINK("https://jobright.ai/jobs/info/668394603852d4df8b5e8315?utm_campaign=1051&amp;utm_source=sheet", "Apply")</f>
        <v>Apply</v>
      </c>
      <c r="C138" s="10" t="s">
        <v>16007</v>
      </c>
      <c r="D138" s="56" t="s">
        <v>3376</v>
      </c>
      <c r="E138" s="10" t="s">
        <v>45</v>
      </c>
      <c r="F138" s="10" t="s">
        <v>3377</v>
      </c>
      <c r="G138" s="10" t="s">
        <v>15793</v>
      </c>
      <c r="H138" s="10" t="s">
        <v>16095</v>
      </c>
      <c r="I138" s="10" t="s">
        <v>48</v>
      </c>
      <c r="J138" s="10" t="s">
        <v>15911</v>
      </c>
      <c r="K138" s="10" t="s">
        <v>16009</v>
      </c>
      <c r="L138" s="10" t="s">
        <v>42</v>
      </c>
    </row>
    <row r="139" ht="15.75" customHeight="1">
      <c r="A139" s="66">
        <v>45496.0</v>
      </c>
      <c r="B139" s="55" t="str">
        <f>HYPERLINK("https://jobright.ai/jobs/info/669f8a5817c96bdb2d76ea55?utm_campaign=1051&amp;utm_source=sheet", "Apply")</f>
        <v>Apply</v>
      </c>
      <c r="C139" s="10" t="s">
        <v>16096</v>
      </c>
      <c r="D139" s="56" t="s">
        <v>16097</v>
      </c>
      <c r="E139" s="10" t="s">
        <v>79</v>
      </c>
      <c r="F139" s="10" t="s">
        <v>16098</v>
      </c>
      <c r="G139" s="10" t="s">
        <v>15829</v>
      </c>
      <c r="H139" s="10" t="s">
        <v>16099</v>
      </c>
      <c r="I139" s="10" t="s">
        <v>55</v>
      </c>
      <c r="J139" s="10" t="s">
        <v>16100</v>
      </c>
      <c r="K139" s="10" t="s">
        <v>16101</v>
      </c>
      <c r="L139" s="10" t="s">
        <v>42</v>
      </c>
    </row>
    <row r="140" ht="15.75" customHeight="1">
      <c r="A140" s="66">
        <v>45496.0</v>
      </c>
      <c r="B140" s="55" t="str">
        <f>HYPERLINK("https://jobright.ai/jobs/info/669fa00c23c3d3b512dfe6a6?utm_campaign=1051&amp;utm_source=sheet", "Apply")</f>
        <v>Apply</v>
      </c>
      <c r="C140" s="10" t="s">
        <v>16102</v>
      </c>
      <c r="D140" s="56" t="s">
        <v>16004</v>
      </c>
      <c r="E140" s="10" t="s">
        <v>45</v>
      </c>
      <c r="F140" s="10" t="s">
        <v>12539</v>
      </c>
      <c r="G140" s="10" t="s">
        <v>15829</v>
      </c>
      <c r="H140" s="10" t="s">
        <v>16005</v>
      </c>
      <c r="I140" s="10" t="s">
        <v>55</v>
      </c>
      <c r="K140" s="10" t="s">
        <v>16103</v>
      </c>
      <c r="L140" s="10" t="s">
        <v>42</v>
      </c>
    </row>
    <row r="141" ht="15.75" customHeight="1">
      <c r="A141" s="66">
        <v>45496.0</v>
      </c>
      <c r="B141" s="55" t="str">
        <f>HYPERLINK("https://jobright.ai/jobs/info/669f933410790ea5c0056dc0?utm_campaign=1051&amp;utm_source=sheet", "Apply")</f>
        <v>Apply</v>
      </c>
      <c r="C141" s="10" t="s">
        <v>16102</v>
      </c>
      <c r="D141" s="56" t="s">
        <v>16104</v>
      </c>
      <c r="E141" s="10" t="s">
        <v>209</v>
      </c>
      <c r="F141" s="10" t="s">
        <v>9573</v>
      </c>
      <c r="G141" s="10" t="s">
        <v>15829</v>
      </c>
      <c r="H141" s="10" t="s">
        <v>411</v>
      </c>
      <c r="I141" s="10" t="s">
        <v>55</v>
      </c>
      <c r="K141" s="10" t="s">
        <v>16103</v>
      </c>
      <c r="L141" s="10" t="s">
        <v>42</v>
      </c>
    </row>
    <row r="142" ht="15.75" customHeight="1">
      <c r="A142" s="66">
        <v>45496.0</v>
      </c>
      <c r="B142" s="55" t="str">
        <f>HYPERLINK("https://jobright.ai/jobs/info/66833aff60002e71662cd9fd?utm_campaign=1051&amp;utm_source=sheet", "Apply")</f>
        <v>Apply</v>
      </c>
      <c r="C142" s="10" t="s">
        <v>16007</v>
      </c>
      <c r="D142" s="56" t="s">
        <v>3376</v>
      </c>
      <c r="E142" s="10" t="s">
        <v>45</v>
      </c>
      <c r="F142" s="10" t="s">
        <v>3377</v>
      </c>
      <c r="G142" s="10" t="s">
        <v>15793</v>
      </c>
      <c r="H142" s="10" t="s">
        <v>4037</v>
      </c>
      <c r="I142" s="10" t="s">
        <v>48</v>
      </c>
      <c r="J142" s="10" t="s">
        <v>16017</v>
      </c>
      <c r="K142" s="10" t="s">
        <v>16009</v>
      </c>
      <c r="L142" s="10" t="s">
        <v>42</v>
      </c>
    </row>
    <row r="143" ht="15.75" customHeight="1">
      <c r="A143" s="66">
        <v>45496.0</v>
      </c>
      <c r="B143" s="55" t="str">
        <f>HYPERLINK("https://jobright.ai/jobs/info/668386d14c38f18b71e212ac?utm_campaign=1051&amp;utm_source=sheet", "Apply")</f>
        <v>Apply</v>
      </c>
      <c r="C143" s="10" t="s">
        <v>16007</v>
      </c>
      <c r="D143" s="56" t="s">
        <v>3376</v>
      </c>
      <c r="E143" s="10" t="s">
        <v>45</v>
      </c>
      <c r="F143" s="10" t="s">
        <v>3377</v>
      </c>
      <c r="G143" s="10" t="s">
        <v>15793</v>
      </c>
      <c r="H143" s="10" t="s">
        <v>251</v>
      </c>
      <c r="I143" s="10" t="s">
        <v>48</v>
      </c>
      <c r="J143" s="10" t="s">
        <v>15911</v>
      </c>
      <c r="K143" s="10" t="s">
        <v>16009</v>
      </c>
      <c r="L143" s="10" t="s">
        <v>42</v>
      </c>
    </row>
    <row r="144" ht="15.75" customHeight="1">
      <c r="A144" s="66">
        <v>45496.0</v>
      </c>
      <c r="B144" s="55" t="str">
        <f>HYPERLINK("https://jobright.ai/jobs/info/669f5049edeea1a199ffc1aa?utm_campaign=1051&amp;utm_source=sheet", "Apply")</f>
        <v>Apply</v>
      </c>
      <c r="C144" s="10" t="s">
        <v>16105</v>
      </c>
      <c r="D144" s="56" t="s">
        <v>16106</v>
      </c>
      <c r="E144" s="10" t="s">
        <v>209</v>
      </c>
      <c r="F144" s="10" t="s">
        <v>1415</v>
      </c>
      <c r="G144" s="10" t="s">
        <v>15793</v>
      </c>
      <c r="H144" s="10" t="s">
        <v>3266</v>
      </c>
      <c r="I144" s="10" t="s">
        <v>48</v>
      </c>
      <c r="J144" s="10" t="s">
        <v>16107</v>
      </c>
      <c r="K144" s="10" t="s">
        <v>16108</v>
      </c>
      <c r="L144" s="10" t="s">
        <v>42</v>
      </c>
    </row>
    <row r="145" ht="15.75" customHeight="1">
      <c r="A145" s="66">
        <v>45496.0</v>
      </c>
      <c r="B145" s="55" t="str">
        <f>HYPERLINK("https://jobright.ai/jobs/info/669f3ae7db4c1b7846e948ff?utm_campaign=1051&amp;utm_source=sheet", "Apply")</f>
        <v>Apply</v>
      </c>
      <c r="C145" s="10" t="s">
        <v>16105</v>
      </c>
      <c r="D145" s="56" t="s">
        <v>16106</v>
      </c>
      <c r="E145" s="10" t="s">
        <v>209</v>
      </c>
      <c r="F145" s="10" t="s">
        <v>1415</v>
      </c>
      <c r="G145" s="10" t="s">
        <v>15793</v>
      </c>
      <c r="H145" s="10" t="s">
        <v>3373</v>
      </c>
      <c r="I145" s="10" t="s">
        <v>48</v>
      </c>
      <c r="J145" s="10" t="s">
        <v>16107</v>
      </c>
      <c r="K145" s="10" t="s">
        <v>16108</v>
      </c>
      <c r="L145" s="10" t="s">
        <v>42</v>
      </c>
    </row>
    <row r="146" ht="15.75" customHeight="1">
      <c r="A146" s="66">
        <v>45496.0</v>
      </c>
      <c r="B146" s="55" t="str">
        <f>HYPERLINK("https://jobright.ai/jobs/info/66a022f846b8641105c98d3d?utm_campaign=1051&amp;utm_source=sheet", "Apply")</f>
        <v>Apply</v>
      </c>
      <c r="C146" s="10" t="s">
        <v>16109</v>
      </c>
      <c r="D146" s="56" t="s">
        <v>10126</v>
      </c>
      <c r="E146" s="10">
        <v>276.0</v>
      </c>
      <c r="G146" s="10" t="s">
        <v>15829</v>
      </c>
      <c r="H146" s="10" t="s">
        <v>1548</v>
      </c>
      <c r="I146" s="10" t="s">
        <v>55</v>
      </c>
      <c r="J146" s="10" t="s">
        <v>1409</v>
      </c>
      <c r="K146" s="10" t="s">
        <v>16110</v>
      </c>
      <c r="L146" s="10" t="s">
        <v>42</v>
      </c>
    </row>
    <row r="147" ht="15.75" customHeight="1">
      <c r="A147" s="66">
        <v>45496.0</v>
      </c>
      <c r="B147" s="55" t="str">
        <f>HYPERLINK("https://jobright.ai/jobs/info/669fe8cae7a91c490018ae7e?utm_campaign=1051&amp;utm_source=sheet", "Apply")</f>
        <v>Apply</v>
      </c>
      <c r="C147" s="10" t="s">
        <v>16111</v>
      </c>
      <c r="D147" s="56" t="s">
        <v>16112</v>
      </c>
      <c r="E147" s="10" t="s">
        <v>276</v>
      </c>
      <c r="F147" s="10" t="s">
        <v>331</v>
      </c>
      <c r="G147" s="10" t="s">
        <v>100</v>
      </c>
      <c r="H147" s="10" t="s">
        <v>229</v>
      </c>
      <c r="I147" s="10" t="s">
        <v>48</v>
      </c>
      <c r="J147" s="10" t="s">
        <v>7882</v>
      </c>
      <c r="K147" s="10" t="s">
        <v>16113</v>
      </c>
      <c r="L147" s="10" t="s">
        <v>42</v>
      </c>
    </row>
    <row r="148" ht="15.75" customHeight="1">
      <c r="A148" s="66">
        <v>45496.0</v>
      </c>
      <c r="B148" s="55" t="str">
        <f>HYPERLINK("https://jobright.ai/jobs/info/669f722426d5d7e7de309a52?utm_campaign=1051&amp;utm_source=sheet", "Apply")</f>
        <v>Apply</v>
      </c>
      <c r="C148" s="10" t="s">
        <v>16105</v>
      </c>
      <c r="D148" s="56" t="s">
        <v>16106</v>
      </c>
      <c r="E148" s="10" t="s">
        <v>209</v>
      </c>
      <c r="F148" s="10" t="s">
        <v>1415</v>
      </c>
      <c r="G148" s="10" t="s">
        <v>15793</v>
      </c>
      <c r="H148" s="10" t="s">
        <v>16114</v>
      </c>
      <c r="I148" s="10" t="s">
        <v>48</v>
      </c>
      <c r="J148" s="10" t="s">
        <v>16107</v>
      </c>
      <c r="K148" s="10" t="s">
        <v>16108</v>
      </c>
      <c r="L148" s="10" t="s">
        <v>42</v>
      </c>
    </row>
    <row r="149" ht="15.75" customHeight="1">
      <c r="A149" s="66">
        <v>45496.0</v>
      </c>
      <c r="B149" s="55" t="str">
        <f>HYPERLINK("https://jobright.ai/jobs/info/669f4e92c15f574281df2697?utm_campaign=1051&amp;utm_source=sheet", "Apply")</f>
        <v>Apply</v>
      </c>
      <c r="C149" s="10" t="s">
        <v>16115</v>
      </c>
      <c r="D149" s="56" t="s">
        <v>13812</v>
      </c>
      <c r="E149" s="10" t="s">
        <v>276</v>
      </c>
      <c r="F149" s="10" t="s">
        <v>13813</v>
      </c>
      <c r="G149" s="10" t="s">
        <v>100</v>
      </c>
      <c r="H149" s="10" t="s">
        <v>15137</v>
      </c>
      <c r="I149" s="10" t="s">
        <v>55</v>
      </c>
      <c r="K149" s="10" t="s">
        <v>16116</v>
      </c>
      <c r="L149" s="10" t="s">
        <v>42</v>
      </c>
    </row>
    <row r="150" ht="15.75" customHeight="1">
      <c r="A150" s="66">
        <v>45495.0</v>
      </c>
      <c r="B150" s="55" t="str">
        <f>HYPERLINK("https://jobright.ai/jobs/info/669f04c51199fe6bc30f773d?utm_campaign=1051&amp;utm_source=sheet", "Apply")</f>
        <v>Apply</v>
      </c>
      <c r="C150" s="10" t="s">
        <v>15838</v>
      </c>
      <c r="D150" s="56" t="s">
        <v>15839</v>
      </c>
      <c r="E150" s="10">
        <v>4852.0</v>
      </c>
      <c r="G150" s="10" t="s">
        <v>15829</v>
      </c>
      <c r="H150" s="10" t="s">
        <v>1978</v>
      </c>
      <c r="I150" s="10" t="s">
        <v>55</v>
      </c>
      <c r="K150" s="10" t="s">
        <v>16117</v>
      </c>
      <c r="L150" s="10" t="s">
        <v>42</v>
      </c>
    </row>
    <row r="151" ht="15.75" customHeight="1">
      <c r="A151" s="66">
        <v>45495.0</v>
      </c>
      <c r="B151" s="55" t="str">
        <f>HYPERLINK("https://jobright.ai/jobs/info/669eee2fc0eecbb96d079773?utm_campaign=1051&amp;utm_source=sheet", "Apply")</f>
        <v>Apply</v>
      </c>
      <c r="C151" s="10" t="s">
        <v>13889</v>
      </c>
      <c r="D151" s="56" t="s">
        <v>1152</v>
      </c>
      <c r="E151" s="10" t="s">
        <v>249</v>
      </c>
      <c r="F151" s="10" t="s">
        <v>85</v>
      </c>
      <c r="G151" s="10" t="s">
        <v>15784</v>
      </c>
      <c r="H151" s="10" t="s">
        <v>419</v>
      </c>
      <c r="I151" s="10" t="s">
        <v>55</v>
      </c>
      <c r="J151" s="10" t="s">
        <v>16118</v>
      </c>
      <c r="K151" s="10" t="s">
        <v>16119</v>
      </c>
      <c r="L151" s="10" t="s">
        <v>42</v>
      </c>
    </row>
    <row r="152" ht="15.75" customHeight="1">
      <c r="A152" s="66">
        <v>45495.0</v>
      </c>
      <c r="B152" s="55" t="str">
        <f>HYPERLINK("https://jobright.ai/jobs/info/669eee40c0eecbb96d0798e5?utm_campaign=1051&amp;utm_source=sheet", "Apply")</f>
        <v>Apply</v>
      </c>
      <c r="C152" s="10" t="s">
        <v>16120</v>
      </c>
      <c r="D152" s="56" t="s">
        <v>12538</v>
      </c>
      <c r="E152" s="10" t="s">
        <v>137</v>
      </c>
      <c r="F152" s="10" t="s">
        <v>12539</v>
      </c>
      <c r="G152" s="10" t="s">
        <v>15854</v>
      </c>
      <c r="H152" s="10" t="s">
        <v>96</v>
      </c>
      <c r="I152" s="10" t="s">
        <v>55</v>
      </c>
      <c r="K152" s="10" t="s">
        <v>16121</v>
      </c>
      <c r="L152" s="10" t="s">
        <v>42</v>
      </c>
    </row>
    <row r="153" ht="15.75" customHeight="1">
      <c r="A153" s="66">
        <v>45495.0</v>
      </c>
      <c r="B153" s="55" t="str">
        <f>HYPERLINK("https://jobright.ai/jobs/info/669eee40c0eecbb96d0798d7?utm_campaign=1051&amp;utm_source=sheet", "Apply")</f>
        <v>Apply</v>
      </c>
      <c r="C153" s="10" t="s">
        <v>16122</v>
      </c>
      <c r="D153" s="56" t="s">
        <v>12538</v>
      </c>
      <c r="E153" s="10" t="s">
        <v>137</v>
      </c>
      <c r="F153" s="10" t="s">
        <v>12539</v>
      </c>
      <c r="G153" s="10" t="s">
        <v>15829</v>
      </c>
      <c r="H153" s="10" t="s">
        <v>96</v>
      </c>
      <c r="I153" s="10" t="s">
        <v>55</v>
      </c>
      <c r="K153" s="10" t="s">
        <v>16123</v>
      </c>
      <c r="L153" s="10" t="s">
        <v>42</v>
      </c>
    </row>
    <row r="154" ht="15.75" customHeight="1">
      <c r="A154" s="66">
        <v>45495.0</v>
      </c>
      <c r="B154" s="55" t="str">
        <f>HYPERLINK("https://jobright.ai/jobs/info/669edf23af54c6a7e8410abb?utm_campaign=1051&amp;utm_source=sheet", "Apply")</f>
        <v>Apply</v>
      </c>
      <c r="C154" s="10" t="s">
        <v>16124</v>
      </c>
      <c r="D154" s="56" t="s">
        <v>3376</v>
      </c>
      <c r="E154" s="10" t="s">
        <v>45</v>
      </c>
      <c r="F154" s="10" t="s">
        <v>3377</v>
      </c>
      <c r="G154" s="10" t="s">
        <v>15793</v>
      </c>
      <c r="H154" s="10" t="s">
        <v>966</v>
      </c>
      <c r="I154" s="10" t="s">
        <v>55</v>
      </c>
      <c r="J154" s="10" t="s">
        <v>16017</v>
      </c>
      <c r="K154" s="10" t="s">
        <v>16125</v>
      </c>
      <c r="L154" s="10" t="s">
        <v>42</v>
      </c>
    </row>
    <row r="155" ht="15.75" customHeight="1">
      <c r="A155" s="66">
        <v>45495.0</v>
      </c>
      <c r="B155" s="55" t="str">
        <f>HYPERLINK("https://jobright.ai/jobs/info/669edf23af54c6a7e8410ac3?utm_campaign=1051&amp;utm_source=sheet", "Apply")</f>
        <v>Apply</v>
      </c>
      <c r="C155" s="10" t="s">
        <v>16126</v>
      </c>
      <c r="D155" s="56" t="s">
        <v>3376</v>
      </c>
      <c r="E155" s="10" t="s">
        <v>45</v>
      </c>
      <c r="F155" s="10" t="s">
        <v>3377</v>
      </c>
      <c r="G155" s="10" t="s">
        <v>15793</v>
      </c>
      <c r="H155" s="10" t="s">
        <v>434</v>
      </c>
      <c r="I155" s="10" t="s">
        <v>55</v>
      </c>
      <c r="J155" s="10" t="s">
        <v>16017</v>
      </c>
      <c r="K155" s="10" t="s">
        <v>16127</v>
      </c>
      <c r="L155" s="10" t="s">
        <v>42</v>
      </c>
    </row>
    <row r="156" ht="15.75" customHeight="1">
      <c r="A156" s="66">
        <v>45495.0</v>
      </c>
      <c r="B156" s="55" t="str">
        <f>HYPERLINK("https://jobright.ai/jobs/info/669eeaf4ca00356aa1b91f6b?utm_campaign=1051&amp;utm_source=sheet", "Apply")</f>
        <v>Apply</v>
      </c>
      <c r="C156" s="10" t="s">
        <v>16128</v>
      </c>
      <c r="D156" s="56" t="s">
        <v>16129</v>
      </c>
      <c r="E156" s="10" t="s">
        <v>276</v>
      </c>
      <c r="F156" s="10" t="s">
        <v>16130</v>
      </c>
      <c r="G156" s="10" t="s">
        <v>15793</v>
      </c>
      <c r="H156" s="10" t="s">
        <v>96</v>
      </c>
      <c r="I156" s="10" t="s">
        <v>55</v>
      </c>
      <c r="J156" s="10" t="s">
        <v>1608</v>
      </c>
      <c r="K156" s="10" t="s">
        <v>16131</v>
      </c>
      <c r="L156" s="10" t="s">
        <v>42</v>
      </c>
    </row>
    <row r="157" ht="15.75" customHeight="1">
      <c r="A157" s="66">
        <v>45495.0</v>
      </c>
      <c r="B157" s="55" t="str">
        <f>HYPERLINK("https://jobright.ai/jobs/info/66908b3e57e7a5bf5c5ff145?utm_campaign=1051&amp;utm_source=sheet", "Apply")</f>
        <v>Apply</v>
      </c>
      <c r="C157" s="10" t="s">
        <v>16132</v>
      </c>
      <c r="D157" s="56" t="s">
        <v>10948</v>
      </c>
      <c r="E157" s="10" t="s">
        <v>249</v>
      </c>
      <c r="F157" s="10" t="s">
        <v>5585</v>
      </c>
      <c r="G157" s="10" t="s">
        <v>15829</v>
      </c>
      <c r="H157" s="10" t="s">
        <v>10949</v>
      </c>
      <c r="I157" s="10" t="s">
        <v>55</v>
      </c>
      <c r="K157" s="10" t="s">
        <v>16133</v>
      </c>
      <c r="L157" s="10" t="s">
        <v>42</v>
      </c>
    </row>
    <row r="158" ht="15.75" customHeight="1">
      <c r="A158" s="66">
        <v>45495.0</v>
      </c>
      <c r="B158" s="55" t="str">
        <f>HYPERLINK("https://jobright.ai/jobs/info/669ed26142b6caf656ce3e12?utm_campaign=1051&amp;utm_source=sheet", "Apply")</f>
        <v>Apply</v>
      </c>
      <c r="C158" s="10" t="s">
        <v>16096</v>
      </c>
      <c r="D158" s="56" t="s">
        <v>16097</v>
      </c>
      <c r="E158" s="10" t="s">
        <v>79</v>
      </c>
      <c r="F158" s="10" t="s">
        <v>16098</v>
      </c>
      <c r="G158" s="10" t="s">
        <v>15829</v>
      </c>
      <c r="H158" s="10" t="s">
        <v>16099</v>
      </c>
      <c r="I158" s="10" t="s">
        <v>55</v>
      </c>
      <c r="J158" s="10" t="s">
        <v>16100</v>
      </c>
      <c r="K158" s="10" t="s">
        <v>16101</v>
      </c>
      <c r="L158" s="10" t="s">
        <v>42</v>
      </c>
    </row>
    <row r="159" ht="15.75" customHeight="1">
      <c r="A159" s="66">
        <v>45495.0</v>
      </c>
      <c r="B159" s="55" t="str">
        <f>HYPERLINK("https://jobright.ai/jobs/info/669ed7dcd1d9c7ae91affaf4?utm_campaign=1051&amp;utm_source=sheet", "Apply")</f>
        <v>Apply</v>
      </c>
      <c r="C159" s="10" t="s">
        <v>16134</v>
      </c>
      <c r="D159" s="56" t="s">
        <v>9983</v>
      </c>
      <c r="E159" s="10" t="s">
        <v>45</v>
      </c>
      <c r="F159" s="10" t="s">
        <v>2527</v>
      </c>
      <c r="G159" s="10" t="s">
        <v>15784</v>
      </c>
      <c r="H159" s="10" t="s">
        <v>9984</v>
      </c>
      <c r="I159" s="10" t="s">
        <v>48</v>
      </c>
      <c r="J159" s="10" t="s">
        <v>9985</v>
      </c>
      <c r="K159" s="10" t="s">
        <v>9986</v>
      </c>
      <c r="L159" s="10" t="s">
        <v>42</v>
      </c>
    </row>
    <row r="160" ht="15.75" customHeight="1">
      <c r="A160" s="66">
        <v>45495.0</v>
      </c>
      <c r="B160" s="55" t="str">
        <f>HYPERLINK("https://jobright.ai/jobs/info/669eda75445b4140a485db95?utm_campaign=1051&amp;utm_source=sheet", "Apply")</f>
        <v>Apply</v>
      </c>
      <c r="C160" s="10" t="s">
        <v>16135</v>
      </c>
      <c r="D160" s="56" t="s">
        <v>1183</v>
      </c>
      <c r="E160" s="10" t="s">
        <v>45</v>
      </c>
      <c r="F160" s="10" t="s">
        <v>1184</v>
      </c>
      <c r="G160" s="10" t="s">
        <v>15793</v>
      </c>
      <c r="H160" s="10" t="s">
        <v>9220</v>
      </c>
      <c r="I160" s="10" t="s">
        <v>55</v>
      </c>
      <c r="J160" s="10" t="s">
        <v>5777</v>
      </c>
      <c r="K160" s="10" t="s">
        <v>16136</v>
      </c>
      <c r="L160" s="10" t="s">
        <v>42</v>
      </c>
    </row>
    <row r="161" ht="15.75" customHeight="1">
      <c r="A161" s="66">
        <v>45495.0</v>
      </c>
      <c r="B161" s="55" t="str">
        <f>HYPERLINK("https://jobright.ai/jobs/info/669ea342ac04dc4b2d05aba6?utm_campaign=1051&amp;utm_source=sheet", "Apply")</f>
        <v>Apply</v>
      </c>
      <c r="C161" s="10" t="s">
        <v>15918</v>
      </c>
      <c r="D161" s="56" t="s">
        <v>16137</v>
      </c>
      <c r="E161" s="10" t="s">
        <v>137</v>
      </c>
      <c r="F161" s="10" t="s">
        <v>259</v>
      </c>
      <c r="G161" s="10" t="s">
        <v>15814</v>
      </c>
      <c r="H161" s="10" t="s">
        <v>251</v>
      </c>
      <c r="I161" s="10" t="s">
        <v>252</v>
      </c>
      <c r="K161" s="10" t="s">
        <v>16138</v>
      </c>
      <c r="L161" s="10" t="s">
        <v>42</v>
      </c>
    </row>
    <row r="162" ht="15.75" customHeight="1">
      <c r="A162" s="66">
        <v>45495.0</v>
      </c>
      <c r="B162" s="55" t="str">
        <f>HYPERLINK("https://jobright.ai/jobs/info/669e9451221c431e2526b2c7?utm_campaign=1051&amp;utm_source=sheet", "Apply")</f>
        <v>Apply</v>
      </c>
      <c r="C162" s="10" t="s">
        <v>16139</v>
      </c>
      <c r="D162" s="56" t="s">
        <v>16140</v>
      </c>
      <c r="E162" s="10">
        <v>12.0</v>
      </c>
      <c r="G162" s="10" t="s">
        <v>15814</v>
      </c>
      <c r="H162" s="10" t="s">
        <v>167</v>
      </c>
      <c r="I162" s="10" t="s">
        <v>48</v>
      </c>
      <c r="J162" s="10" t="s">
        <v>15932</v>
      </c>
      <c r="K162" s="10" t="s">
        <v>16141</v>
      </c>
      <c r="L162" s="10" t="s">
        <v>42</v>
      </c>
    </row>
    <row r="163" ht="15.75" customHeight="1">
      <c r="A163" s="66">
        <v>45495.0</v>
      </c>
      <c r="B163" s="55" t="str">
        <f>HYPERLINK("https://jobright.ai/jobs/info/669e9aaa3d28756ea8e0f0db?utm_campaign=1051&amp;utm_source=sheet", "Apply")</f>
        <v>Apply</v>
      </c>
      <c r="C163" s="10" t="s">
        <v>16142</v>
      </c>
      <c r="D163" s="56" t="s">
        <v>44</v>
      </c>
      <c r="E163" s="10" t="s">
        <v>45</v>
      </c>
      <c r="F163" s="10" t="s">
        <v>46</v>
      </c>
      <c r="G163" s="10" t="s">
        <v>15814</v>
      </c>
      <c r="H163" s="10" t="s">
        <v>1328</v>
      </c>
      <c r="I163" s="10" t="s">
        <v>48</v>
      </c>
      <c r="J163" s="10" t="s">
        <v>375</v>
      </c>
      <c r="K163" s="10" t="s">
        <v>16143</v>
      </c>
      <c r="L163" s="10" t="s">
        <v>42</v>
      </c>
    </row>
    <row r="164" ht="15.75" customHeight="1">
      <c r="A164" s="66">
        <v>45495.0</v>
      </c>
      <c r="B164" s="55" t="str">
        <f>HYPERLINK("https://jobright.ai/jobs/info/66a3f53f5fcbfa8457ce1b54?utm_campaign=1051&amp;utm_source=sheet", "Apply")</f>
        <v>Apply</v>
      </c>
      <c r="C164" s="10" t="s">
        <v>16144</v>
      </c>
      <c r="D164" s="56" t="s">
        <v>16145</v>
      </c>
      <c r="E164" s="10">
        <v>27.0</v>
      </c>
      <c r="G164" s="10" t="s">
        <v>15829</v>
      </c>
      <c r="H164" s="10" t="s">
        <v>16146</v>
      </c>
      <c r="I164" s="10" t="s">
        <v>55</v>
      </c>
      <c r="J164" s="10" t="s">
        <v>16147</v>
      </c>
      <c r="K164" s="10" t="s">
        <v>16148</v>
      </c>
      <c r="L164" s="10" t="s">
        <v>42</v>
      </c>
    </row>
    <row r="165" ht="15.75" customHeight="1">
      <c r="A165" s="66">
        <v>45495.0</v>
      </c>
      <c r="B165" s="55" t="str">
        <f>HYPERLINK("https://jobright.ai/jobs/info/669e706d4fb9022c717e54d5?utm_campaign=1051&amp;utm_source=sheet", "Apply")</f>
        <v>Apply</v>
      </c>
      <c r="C165" s="10" t="s">
        <v>15799</v>
      </c>
      <c r="D165" s="56" t="s">
        <v>15331</v>
      </c>
      <c r="E165" s="10" t="s">
        <v>65</v>
      </c>
      <c r="F165" s="10" t="s">
        <v>1084</v>
      </c>
      <c r="G165" s="10" t="s">
        <v>100</v>
      </c>
      <c r="H165" s="10" t="s">
        <v>854</v>
      </c>
      <c r="I165" s="10" t="s">
        <v>55</v>
      </c>
      <c r="K165" s="10" t="s">
        <v>16149</v>
      </c>
      <c r="L165" s="10" t="s">
        <v>42</v>
      </c>
    </row>
    <row r="166" ht="15.75" customHeight="1">
      <c r="A166" s="66">
        <v>45495.0</v>
      </c>
      <c r="B166" s="55" t="str">
        <f>HYPERLINK("https://jobright.ai/jobs/info/669e706d4fb9022c717e54e8?utm_campaign=1051&amp;utm_source=sheet", "Apply")</f>
        <v>Apply</v>
      </c>
      <c r="C166" s="10" t="s">
        <v>16150</v>
      </c>
      <c r="D166" s="56" t="s">
        <v>16151</v>
      </c>
      <c r="E166" s="10" t="s">
        <v>249</v>
      </c>
      <c r="F166" s="10" t="s">
        <v>16152</v>
      </c>
      <c r="G166" s="10" t="s">
        <v>15829</v>
      </c>
      <c r="H166" s="10" t="s">
        <v>96</v>
      </c>
      <c r="I166" s="10" t="s">
        <v>55</v>
      </c>
      <c r="K166" s="10" t="s">
        <v>16153</v>
      </c>
      <c r="L166" s="10" t="s">
        <v>42</v>
      </c>
    </row>
    <row r="167" ht="15.75" customHeight="1">
      <c r="A167" s="66">
        <v>45495.0</v>
      </c>
      <c r="B167" s="55" t="str">
        <f>HYPERLINK("https://jobright.ai/jobs/info/6680161b000beb33b40a5326?utm_campaign=1051&amp;utm_source=sheet", "Apply")</f>
        <v>Apply</v>
      </c>
      <c r="C167" s="10" t="s">
        <v>16154</v>
      </c>
      <c r="D167" s="56" t="s">
        <v>9791</v>
      </c>
      <c r="E167" s="10" t="s">
        <v>65</v>
      </c>
      <c r="F167" s="10" t="s">
        <v>3811</v>
      </c>
      <c r="G167" s="10" t="s">
        <v>15829</v>
      </c>
      <c r="H167" s="10" t="s">
        <v>16155</v>
      </c>
      <c r="I167" s="10" t="s">
        <v>55</v>
      </c>
      <c r="K167" s="10" t="s">
        <v>16156</v>
      </c>
      <c r="L167" s="10" t="s">
        <v>42</v>
      </c>
    </row>
    <row r="168" ht="15.75" customHeight="1">
      <c r="A168" s="66">
        <v>45495.0</v>
      </c>
      <c r="B168" s="55" t="str">
        <f>HYPERLINK("https://jobright.ai/jobs/info/669e37436735e60c9aa3afa1?utm_campaign=1051&amp;utm_source=sheet", "Apply")</f>
        <v>Apply</v>
      </c>
      <c r="C168" s="10" t="s">
        <v>15918</v>
      </c>
      <c r="D168" s="56" t="s">
        <v>16157</v>
      </c>
      <c r="E168" s="10" t="s">
        <v>137</v>
      </c>
      <c r="F168" s="10" t="s">
        <v>16158</v>
      </c>
      <c r="G168" s="10" t="s">
        <v>15784</v>
      </c>
      <c r="H168" s="10" t="s">
        <v>251</v>
      </c>
      <c r="I168" s="10" t="s">
        <v>252</v>
      </c>
      <c r="K168" s="10" t="s">
        <v>16159</v>
      </c>
      <c r="L168" s="10" t="s">
        <v>42</v>
      </c>
    </row>
    <row r="169" ht="15.75" customHeight="1">
      <c r="A169" s="66">
        <v>45495.0</v>
      </c>
      <c r="B169" s="55" t="str">
        <f>HYPERLINK("https://jobright.ai/jobs/info/669e2841ea6853fd435a3cbf?utm_campaign=1051&amp;utm_source=sheet", "Apply")</f>
        <v>Apply</v>
      </c>
      <c r="C169" s="10" t="s">
        <v>16160</v>
      </c>
      <c r="D169" s="56" t="s">
        <v>16161</v>
      </c>
      <c r="E169" s="10" t="s">
        <v>249</v>
      </c>
      <c r="F169" s="10" t="s">
        <v>16162</v>
      </c>
      <c r="G169" s="10" t="s">
        <v>100</v>
      </c>
      <c r="H169" s="10" t="s">
        <v>807</v>
      </c>
      <c r="I169" s="10" t="s">
        <v>55</v>
      </c>
      <c r="K169" s="10" t="s">
        <v>16163</v>
      </c>
      <c r="L169" s="10" t="s">
        <v>42</v>
      </c>
    </row>
    <row r="170" ht="15.75" customHeight="1">
      <c r="A170" s="66">
        <v>45495.0</v>
      </c>
      <c r="B170" s="55" t="str">
        <f>HYPERLINK("https://jobright.ai/jobs/info/669ebf5f3e056b7d68d3d28f?utm_campaign=1051&amp;utm_source=sheet", "Apply")</f>
        <v>Apply</v>
      </c>
      <c r="C170" s="10" t="s">
        <v>16164</v>
      </c>
      <c r="D170" s="56" t="s">
        <v>10126</v>
      </c>
      <c r="E170" s="10">
        <v>276.0</v>
      </c>
      <c r="G170" s="10" t="s">
        <v>15829</v>
      </c>
      <c r="H170" s="10" t="s">
        <v>759</v>
      </c>
      <c r="I170" s="10" t="s">
        <v>55</v>
      </c>
      <c r="J170" s="10" t="s">
        <v>1409</v>
      </c>
      <c r="K170" s="10" t="s">
        <v>16110</v>
      </c>
      <c r="L170" s="10" t="s">
        <v>42</v>
      </c>
    </row>
    <row r="171" ht="15.75" customHeight="1">
      <c r="A171" s="66">
        <v>45494.0</v>
      </c>
      <c r="B171" s="55" t="str">
        <f>HYPERLINK("https://jobright.ai/jobs/info/66447b15ac6e479839f18c97?utm_campaign=1051&amp;utm_source=sheet", "Apply")</f>
        <v>Apply</v>
      </c>
      <c r="C171" s="10" t="s">
        <v>15791</v>
      </c>
      <c r="D171" s="56" t="s">
        <v>15792</v>
      </c>
      <c r="E171" s="10" t="s">
        <v>45</v>
      </c>
      <c r="F171" s="10" t="s">
        <v>3382</v>
      </c>
      <c r="G171" s="10" t="s">
        <v>15793</v>
      </c>
      <c r="H171" s="10" t="s">
        <v>16165</v>
      </c>
      <c r="I171" s="10" t="s">
        <v>55</v>
      </c>
      <c r="K171" s="10" t="s">
        <v>16166</v>
      </c>
      <c r="L171" s="10" t="s">
        <v>42</v>
      </c>
    </row>
    <row r="172" ht="15.75" customHeight="1">
      <c r="A172" s="66">
        <v>45494.0</v>
      </c>
      <c r="B172" s="55" t="str">
        <f>HYPERLINK("https://jobright.ai/jobs/info/664572c46a32f21a22307769?utm_campaign=1051&amp;utm_source=sheet", "Apply")</f>
        <v>Apply</v>
      </c>
      <c r="C172" s="10" t="s">
        <v>16167</v>
      </c>
      <c r="D172" s="56" t="s">
        <v>16168</v>
      </c>
      <c r="E172" s="10" t="s">
        <v>79</v>
      </c>
      <c r="F172" s="10" t="s">
        <v>737</v>
      </c>
      <c r="G172" s="10" t="s">
        <v>15787</v>
      </c>
      <c r="H172" s="10" t="s">
        <v>1254</v>
      </c>
      <c r="I172" s="10" t="s">
        <v>55</v>
      </c>
      <c r="J172" s="10" t="s">
        <v>16169</v>
      </c>
      <c r="K172" s="10" t="s">
        <v>16170</v>
      </c>
      <c r="L172" s="10" t="s">
        <v>42</v>
      </c>
    </row>
    <row r="173" ht="15.75" customHeight="1">
      <c r="A173" s="66">
        <v>45494.0</v>
      </c>
      <c r="B173" s="55" t="str">
        <f>HYPERLINK("https://jobright.ai/jobs/info/6663dcb65826e9ae47aa2320?utm_campaign=1051&amp;utm_source=sheet", "Apply")</f>
        <v>Apply</v>
      </c>
      <c r="C173" s="10" t="s">
        <v>16171</v>
      </c>
      <c r="D173" s="56" t="s">
        <v>10169</v>
      </c>
      <c r="E173" s="10" t="s">
        <v>45</v>
      </c>
      <c r="F173" s="10" t="s">
        <v>10170</v>
      </c>
      <c r="G173" s="10" t="s">
        <v>15784</v>
      </c>
      <c r="H173" s="10" t="s">
        <v>153</v>
      </c>
      <c r="I173" s="10" t="s">
        <v>55</v>
      </c>
      <c r="J173" s="10" t="s">
        <v>3979</v>
      </c>
      <c r="K173" s="10" t="s">
        <v>16172</v>
      </c>
      <c r="L173" s="10" t="s">
        <v>42</v>
      </c>
    </row>
    <row r="174" ht="15.75" customHeight="1">
      <c r="A174" s="66">
        <v>45494.0</v>
      </c>
      <c r="B174" s="55" t="str">
        <f>HYPERLINK("https://jobright.ai/jobs/info/669d3cc042fabc8818ee2d52?utm_campaign=1051&amp;utm_source=sheet", "Apply")</f>
        <v>Apply</v>
      </c>
      <c r="C174" s="10" t="s">
        <v>16173</v>
      </c>
      <c r="D174" s="56" t="s">
        <v>16174</v>
      </c>
      <c r="E174" s="10">
        <v>1.0</v>
      </c>
      <c r="G174" s="10" t="s">
        <v>15814</v>
      </c>
      <c r="H174" s="10" t="s">
        <v>965</v>
      </c>
      <c r="I174" s="10" t="s">
        <v>55</v>
      </c>
      <c r="K174" s="10" t="s">
        <v>16175</v>
      </c>
      <c r="L174" s="10" t="s">
        <v>42</v>
      </c>
    </row>
    <row r="175" ht="15.75" customHeight="1">
      <c r="A175" s="66">
        <v>45494.0</v>
      </c>
      <c r="B175" s="55" t="str">
        <f>HYPERLINK("https://jobright.ai/jobs/info/669cbd43a4a3aaef8646ebcc?utm_campaign=1051&amp;utm_source=sheet", "Apply")</f>
        <v>Apply</v>
      </c>
      <c r="C175" s="10" t="s">
        <v>16173</v>
      </c>
      <c r="D175" s="56" t="s">
        <v>16174</v>
      </c>
      <c r="E175" s="10">
        <v>1.0</v>
      </c>
      <c r="G175" s="10" t="s">
        <v>15814</v>
      </c>
      <c r="H175" s="10" t="s">
        <v>144</v>
      </c>
      <c r="I175" s="10" t="s">
        <v>55</v>
      </c>
      <c r="K175" s="10" t="s">
        <v>16175</v>
      </c>
      <c r="L175" s="10" t="s">
        <v>42</v>
      </c>
    </row>
    <row r="176" ht="15.75" customHeight="1">
      <c r="A176" s="66">
        <v>45494.0</v>
      </c>
      <c r="B176" s="55" t="str">
        <f>HYPERLINK("https://jobright.ai/jobs/info/669cc4c5a524d1c9b33dd0c7?utm_campaign=1051&amp;utm_source=sheet", "Apply")</f>
        <v>Apply</v>
      </c>
      <c r="C176" s="10" t="s">
        <v>16173</v>
      </c>
      <c r="D176" s="56" t="s">
        <v>16174</v>
      </c>
      <c r="E176" s="10">
        <v>1.0</v>
      </c>
      <c r="G176" s="10" t="s">
        <v>15814</v>
      </c>
      <c r="H176" s="10" t="s">
        <v>313</v>
      </c>
      <c r="I176" s="10" t="s">
        <v>55</v>
      </c>
      <c r="K176" s="10" t="s">
        <v>16175</v>
      </c>
      <c r="L176" s="10" t="s">
        <v>42</v>
      </c>
    </row>
    <row r="177" ht="15.75" customHeight="1">
      <c r="A177" s="66">
        <v>45494.0</v>
      </c>
      <c r="B177" s="55" t="str">
        <f>HYPERLINK("https://jobright.ai/jobs/info/669d3e3d543a7deff06e8341?utm_campaign=1051&amp;utm_source=sheet", "Apply")</f>
        <v>Apply</v>
      </c>
      <c r="C177" s="10" t="s">
        <v>16173</v>
      </c>
      <c r="D177" s="56" t="s">
        <v>16174</v>
      </c>
      <c r="E177" s="10">
        <v>1.0</v>
      </c>
      <c r="G177" s="10" t="s">
        <v>15814</v>
      </c>
      <c r="H177" s="10" t="s">
        <v>167</v>
      </c>
      <c r="I177" s="10" t="s">
        <v>55</v>
      </c>
      <c r="K177" s="10" t="s">
        <v>16175</v>
      </c>
      <c r="L177" s="10" t="s">
        <v>42</v>
      </c>
    </row>
    <row r="178" ht="15.75" customHeight="1">
      <c r="A178" s="66">
        <v>45494.0</v>
      </c>
      <c r="B178" s="55" t="str">
        <f>HYPERLINK("https://jobright.ai/jobs/info/669c983894f40ddab35db803?utm_campaign=1051&amp;utm_source=sheet", "Apply")</f>
        <v>Apply</v>
      </c>
      <c r="C178" s="10" t="s">
        <v>16176</v>
      </c>
      <c r="D178" s="56" t="s">
        <v>9567</v>
      </c>
      <c r="E178" s="10" t="s">
        <v>45</v>
      </c>
      <c r="F178" s="10" t="s">
        <v>9568</v>
      </c>
      <c r="G178" s="10" t="s">
        <v>100</v>
      </c>
      <c r="H178" s="10" t="s">
        <v>1254</v>
      </c>
      <c r="I178" s="10" t="s">
        <v>48</v>
      </c>
      <c r="K178" s="10" t="s">
        <v>16177</v>
      </c>
      <c r="L178" s="10" t="s">
        <v>42</v>
      </c>
    </row>
    <row r="179" ht="15.75" customHeight="1">
      <c r="A179" s="66">
        <v>45494.0</v>
      </c>
      <c r="B179" s="55" t="str">
        <f>HYPERLINK("https://jobright.ai/jobs/info/669c9dae4ed7a0c5613e23a1?utm_campaign=1051&amp;utm_source=sheet", "Apply")</f>
        <v>Apply</v>
      </c>
      <c r="C179" s="10" t="s">
        <v>16176</v>
      </c>
      <c r="D179" s="56" t="s">
        <v>9567</v>
      </c>
      <c r="E179" s="10" t="s">
        <v>45</v>
      </c>
      <c r="F179" s="10" t="s">
        <v>9568</v>
      </c>
      <c r="G179" s="10" t="s">
        <v>100</v>
      </c>
      <c r="H179" s="10" t="s">
        <v>9570</v>
      </c>
      <c r="I179" s="10" t="s">
        <v>48</v>
      </c>
      <c r="K179" s="10" t="s">
        <v>16177</v>
      </c>
      <c r="L179" s="10" t="s">
        <v>42</v>
      </c>
    </row>
    <row r="180" ht="15.75" customHeight="1">
      <c r="A180" s="66">
        <v>45494.0</v>
      </c>
      <c r="B180" s="55" t="str">
        <f>HYPERLINK("https://jobright.ai/jobs/info/669c9dae4ed7a0c5613e23a0?utm_campaign=1051&amp;utm_source=sheet", "Apply")</f>
        <v>Apply</v>
      </c>
      <c r="C180" s="10" t="s">
        <v>16176</v>
      </c>
      <c r="D180" s="56" t="s">
        <v>9567</v>
      </c>
      <c r="E180" s="10" t="s">
        <v>45</v>
      </c>
      <c r="F180" s="10" t="s">
        <v>9568</v>
      </c>
      <c r="G180" s="10" t="s">
        <v>100</v>
      </c>
      <c r="H180" s="10" t="s">
        <v>80</v>
      </c>
      <c r="I180" s="10" t="s">
        <v>48</v>
      </c>
      <c r="K180" s="10" t="s">
        <v>16177</v>
      </c>
      <c r="L180" s="10" t="s">
        <v>42</v>
      </c>
    </row>
    <row r="181" ht="15.75" customHeight="1">
      <c r="A181" s="66">
        <v>45494.0</v>
      </c>
      <c r="B181" s="55" t="str">
        <f>HYPERLINK("https://jobright.ai/jobs/info/667fae3484c3fec442ac7aa4?utm_campaign=1051&amp;utm_source=sheet", "Apply")</f>
        <v>Apply</v>
      </c>
      <c r="C181" s="10" t="s">
        <v>16178</v>
      </c>
      <c r="D181" s="56" t="s">
        <v>16179</v>
      </c>
      <c r="E181" s="10" t="s">
        <v>45</v>
      </c>
      <c r="F181" s="10" t="s">
        <v>16180</v>
      </c>
      <c r="G181" s="10" t="s">
        <v>100</v>
      </c>
      <c r="H181" s="10" t="s">
        <v>96</v>
      </c>
      <c r="I181" s="10" t="s">
        <v>55</v>
      </c>
      <c r="J181" s="10" t="s">
        <v>1984</v>
      </c>
      <c r="K181" s="10" t="s">
        <v>16181</v>
      </c>
      <c r="L181" s="10" t="s">
        <v>42</v>
      </c>
    </row>
    <row r="182" ht="15.75" customHeight="1">
      <c r="A182" s="66">
        <v>45493.0</v>
      </c>
      <c r="B182" s="55" t="str">
        <f>HYPERLINK("https://jobright.ai/jobs/info/669662589695742e8c181966?utm_campaign=1051&amp;utm_source=sheet", "Apply")</f>
        <v>Apply</v>
      </c>
      <c r="C182" s="10" t="s">
        <v>16182</v>
      </c>
      <c r="D182" s="56" t="s">
        <v>1196</v>
      </c>
      <c r="E182" s="10" t="s">
        <v>65</v>
      </c>
      <c r="F182" s="10" t="s">
        <v>1197</v>
      </c>
      <c r="G182" s="10" t="s">
        <v>100</v>
      </c>
      <c r="H182" s="10" t="s">
        <v>3208</v>
      </c>
      <c r="I182" s="10" t="s">
        <v>55</v>
      </c>
      <c r="K182" s="10" t="s">
        <v>16183</v>
      </c>
      <c r="L182" s="10" t="s">
        <v>42</v>
      </c>
    </row>
    <row r="183" ht="15.75" customHeight="1">
      <c r="A183" s="66">
        <v>45493.0</v>
      </c>
      <c r="B183" s="55" t="str">
        <f>HYPERLINK("https://jobright.ai/jobs/info/6677d16e97271e26801e1c36?utm_campaign=1051&amp;utm_source=sheet", "Apply")</f>
        <v>Apply</v>
      </c>
      <c r="C183" s="10" t="s">
        <v>15791</v>
      </c>
      <c r="D183" s="56" t="s">
        <v>15792</v>
      </c>
      <c r="E183" s="10" t="s">
        <v>45</v>
      </c>
      <c r="F183" s="10" t="s">
        <v>3382</v>
      </c>
      <c r="G183" s="10" t="s">
        <v>15784</v>
      </c>
      <c r="H183" s="10" t="s">
        <v>16184</v>
      </c>
      <c r="I183" s="10" t="s">
        <v>55</v>
      </c>
      <c r="K183" s="10" t="s">
        <v>16185</v>
      </c>
      <c r="L183" s="10" t="s">
        <v>42</v>
      </c>
    </row>
    <row r="184" ht="15.75" customHeight="1">
      <c r="A184" s="66">
        <v>45493.0</v>
      </c>
      <c r="B184" s="55" t="str">
        <f>HYPERLINK("https://jobright.ai/jobs/info/669d145e6f6497fd2712eecf?utm_campaign=1051&amp;utm_source=sheet", "Apply")</f>
        <v>Apply</v>
      </c>
      <c r="C184" s="10" t="s">
        <v>16186</v>
      </c>
      <c r="D184" s="56" t="s">
        <v>13786</v>
      </c>
      <c r="E184" s="10">
        <v>111.0</v>
      </c>
      <c r="G184" s="10" t="s">
        <v>100</v>
      </c>
      <c r="H184" s="10" t="s">
        <v>73</v>
      </c>
      <c r="I184" s="10" t="s">
        <v>55</v>
      </c>
      <c r="K184" s="10" t="s">
        <v>16187</v>
      </c>
      <c r="L184" s="10" t="s">
        <v>42</v>
      </c>
    </row>
    <row r="185" ht="15.75" customHeight="1">
      <c r="A185" s="66">
        <v>45493.0</v>
      </c>
      <c r="B185" s="55" t="str">
        <f>HYPERLINK("https://jobright.ai/jobs/info/667f170d67cd08a9a3f3ecf9?utm_campaign=1051&amp;utm_source=sheet", "Apply")</f>
        <v>Apply</v>
      </c>
      <c r="C185" s="10" t="s">
        <v>16188</v>
      </c>
      <c r="D185" s="56" t="s">
        <v>13803</v>
      </c>
      <c r="E185" s="10" t="s">
        <v>45</v>
      </c>
      <c r="F185" s="10" t="s">
        <v>13804</v>
      </c>
      <c r="G185" s="10" t="s">
        <v>15814</v>
      </c>
      <c r="H185" s="10" t="s">
        <v>4927</v>
      </c>
      <c r="I185" s="10" t="s">
        <v>55</v>
      </c>
      <c r="K185" s="10" t="s">
        <v>16189</v>
      </c>
      <c r="L185" s="10" t="s">
        <v>42</v>
      </c>
    </row>
    <row r="186" ht="15.75" customHeight="1">
      <c r="A186" s="66">
        <v>45493.0</v>
      </c>
      <c r="B186" s="55" t="str">
        <f>HYPERLINK("https://jobright.ai/jobs/info/669d09a1fc1b9f558ef00fdb?utm_campaign=1051&amp;utm_source=sheet", "Apply")</f>
        <v>Apply</v>
      </c>
      <c r="C186" s="10" t="s">
        <v>16190</v>
      </c>
      <c r="D186" s="56" t="s">
        <v>16191</v>
      </c>
      <c r="E186" s="10" t="s">
        <v>45</v>
      </c>
      <c r="F186" s="10" t="s">
        <v>731</v>
      </c>
      <c r="G186" s="10" t="s">
        <v>100</v>
      </c>
      <c r="H186" s="10" t="s">
        <v>113</v>
      </c>
      <c r="I186" s="10" t="s">
        <v>55</v>
      </c>
      <c r="K186" s="10" t="s">
        <v>16192</v>
      </c>
      <c r="L186" s="10" t="s">
        <v>42</v>
      </c>
    </row>
    <row r="187" ht="15.75" customHeight="1">
      <c r="A187" s="66">
        <v>45493.0</v>
      </c>
      <c r="B187" s="55" t="str">
        <f>HYPERLINK("https://jobright.ai/jobs/info/667eed7c902640ea6bdff412?utm_campaign=1051&amp;utm_source=sheet", "Apply")</f>
        <v>Apply</v>
      </c>
      <c r="C187" s="10" t="s">
        <v>16193</v>
      </c>
      <c r="D187" s="56" t="s">
        <v>16194</v>
      </c>
      <c r="E187" s="10" t="s">
        <v>249</v>
      </c>
      <c r="F187" s="10" t="s">
        <v>2431</v>
      </c>
      <c r="G187" s="10" t="s">
        <v>15814</v>
      </c>
      <c r="H187" s="10" t="s">
        <v>1041</v>
      </c>
      <c r="I187" s="10" t="s">
        <v>55</v>
      </c>
      <c r="K187" s="10" t="s">
        <v>16195</v>
      </c>
      <c r="L187" s="10" t="s">
        <v>42</v>
      </c>
    </row>
    <row r="188" ht="15.75" customHeight="1">
      <c r="A188" s="66">
        <v>45493.0</v>
      </c>
      <c r="B188" s="55" t="str">
        <f>HYPERLINK("https://jobright.ai/jobs/info/669baf10b5f4555ed3b41f0d?utm_campaign=1051&amp;utm_source=sheet", "Apply")</f>
        <v>Apply</v>
      </c>
      <c r="C188" s="10" t="s">
        <v>16196</v>
      </c>
      <c r="D188" s="56" t="s">
        <v>13663</v>
      </c>
      <c r="E188" s="10">
        <v>5.0</v>
      </c>
      <c r="G188" s="10" t="s">
        <v>100</v>
      </c>
      <c r="H188" s="10" t="s">
        <v>153</v>
      </c>
      <c r="I188" s="10" t="s">
        <v>55</v>
      </c>
      <c r="L188" s="10" t="s">
        <v>42</v>
      </c>
    </row>
    <row r="189" ht="15.75" customHeight="1">
      <c r="A189" s="66">
        <v>45492.0</v>
      </c>
      <c r="B189" s="55" t="str">
        <f>HYPERLINK("https://jobright.ai/jobs/info/664eb0d4cd9154b3e6011b77?utm_campaign=1051&amp;utm_source=sheet", "Apply")</f>
        <v>Apply</v>
      </c>
      <c r="C189" s="10" t="s">
        <v>16197</v>
      </c>
      <c r="D189" s="56" t="s">
        <v>9821</v>
      </c>
      <c r="E189" s="10" t="s">
        <v>45</v>
      </c>
      <c r="F189" s="10" t="s">
        <v>3594</v>
      </c>
      <c r="G189" s="10" t="s">
        <v>15814</v>
      </c>
      <c r="H189" s="10" t="s">
        <v>759</v>
      </c>
      <c r="I189" s="10" t="s">
        <v>55</v>
      </c>
      <c r="K189" s="10" t="s">
        <v>16198</v>
      </c>
      <c r="L189" s="10" t="s">
        <v>42</v>
      </c>
    </row>
    <row r="190" ht="15.75" customHeight="1">
      <c r="A190" s="66">
        <v>45492.0</v>
      </c>
      <c r="B190" s="55" t="str">
        <f>HYPERLINK("https://jobright.ai/jobs/info/669acbfd356e3dd03c9b4a0b?utm_campaign=1051&amp;utm_source=sheet", "Apply")</f>
        <v>Apply</v>
      </c>
      <c r="C190" s="10" t="s">
        <v>15918</v>
      </c>
      <c r="D190" s="56" t="s">
        <v>16199</v>
      </c>
      <c r="E190" s="10" t="s">
        <v>249</v>
      </c>
      <c r="F190" s="10" t="s">
        <v>1512</v>
      </c>
      <c r="G190" s="10" t="s">
        <v>15784</v>
      </c>
      <c r="H190" s="10" t="s">
        <v>723</v>
      </c>
      <c r="I190" s="10" t="s">
        <v>55</v>
      </c>
      <c r="J190" s="10" t="s">
        <v>1984</v>
      </c>
      <c r="K190" s="10" t="s">
        <v>16200</v>
      </c>
      <c r="L190" s="10" t="s">
        <v>42</v>
      </c>
    </row>
    <row r="191" ht="15.75" customHeight="1">
      <c r="A191" s="66">
        <v>45492.0</v>
      </c>
      <c r="B191" s="55" t="str">
        <f>HYPERLINK("https://jobright.ai/jobs/info/669abbda708adb3cc7d0ccf9?utm_campaign=1051&amp;utm_source=sheet", "Apply")</f>
        <v>Apply</v>
      </c>
      <c r="C191" s="10" t="s">
        <v>15918</v>
      </c>
      <c r="D191" s="56" t="s">
        <v>16201</v>
      </c>
      <c r="E191" s="10" t="s">
        <v>137</v>
      </c>
      <c r="F191" s="10" t="s">
        <v>16202</v>
      </c>
      <c r="G191" s="10" t="s">
        <v>15814</v>
      </c>
      <c r="H191" s="10" t="s">
        <v>131</v>
      </c>
      <c r="I191" s="10" t="s">
        <v>48</v>
      </c>
      <c r="K191" s="10" t="s">
        <v>16203</v>
      </c>
      <c r="L191" s="10" t="s">
        <v>42</v>
      </c>
    </row>
    <row r="192" ht="15.75" customHeight="1">
      <c r="A192" s="66">
        <v>45492.0</v>
      </c>
      <c r="B192" s="55" t="str">
        <f>HYPERLINK("https://jobright.ai/jobs/info/669aad6483e5cfbd473f7531?utm_campaign=1051&amp;utm_source=sheet", "Apply")</f>
        <v>Apply</v>
      </c>
      <c r="C192" s="10" t="s">
        <v>16204</v>
      </c>
      <c r="D192" s="56" t="s">
        <v>9821</v>
      </c>
      <c r="E192" s="10" t="s">
        <v>45</v>
      </c>
      <c r="F192" s="10" t="s">
        <v>3594</v>
      </c>
      <c r="G192" s="10" t="s">
        <v>100</v>
      </c>
      <c r="H192" s="10" t="s">
        <v>188</v>
      </c>
      <c r="I192" s="10" t="s">
        <v>55</v>
      </c>
      <c r="K192" s="10" t="s">
        <v>16205</v>
      </c>
      <c r="L192" s="10" t="s">
        <v>42</v>
      </c>
    </row>
    <row r="193" ht="15.75" customHeight="1">
      <c r="A193" s="66">
        <v>45492.0</v>
      </c>
      <c r="B193" s="55" t="str">
        <f>HYPERLINK("https://jobright.ai/jobs/info/669aaffce7eb3129d406b9a1?utm_campaign=1051&amp;utm_source=sheet", "Apply")</f>
        <v>Apply</v>
      </c>
      <c r="C193" s="10" t="s">
        <v>16206</v>
      </c>
      <c r="D193" s="56" t="s">
        <v>9821</v>
      </c>
      <c r="E193" s="10" t="s">
        <v>45</v>
      </c>
      <c r="F193" s="10" t="s">
        <v>3594</v>
      </c>
      <c r="G193" s="10" t="s">
        <v>15814</v>
      </c>
      <c r="H193" s="10" t="s">
        <v>1070</v>
      </c>
      <c r="I193" s="10" t="s">
        <v>55</v>
      </c>
      <c r="K193" s="10" t="s">
        <v>16207</v>
      </c>
      <c r="L193" s="10" t="s">
        <v>42</v>
      </c>
    </row>
    <row r="194" ht="15.75" customHeight="1">
      <c r="A194" s="66">
        <v>45492.0</v>
      </c>
      <c r="B194" s="55" t="str">
        <f>HYPERLINK("https://jobright.ai/jobs/info/669aa4f3cff5836d3109b6e3?utm_campaign=1051&amp;utm_source=sheet", "Apply")</f>
        <v>Apply</v>
      </c>
      <c r="C194" s="10" t="s">
        <v>16208</v>
      </c>
      <c r="D194" s="56" t="s">
        <v>16209</v>
      </c>
      <c r="E194" s="10" t="s">
        <v>71</v>
      </c>
      <c r="F194" s="10" t="s">
        <v>680</v>
      </c>
      <c r="G194" s="10" t="s">
        <v>15787</v>
      </c>
      <c r="H194" s="10" t="s">
        <v>96</v>
      </c>
      <c r="I194" s="10" t="s">
        <v>55</v>
      </c>
      <c r="K194" s="10" t="s">
        <v>16210</v>
      </c>
      <c r="L194" s="10" t="s">
        <v>42</v>
      </c>
    </row>
    <row r="195" ht="15.75" customHeight="1">
      <c r="A195" s="66">
        <v>45492.0</v>
      </c>
      <c r="B195" s="55" t="str">
        <f>HYPERLINK("https://jobright.ai/jobs/info/669aa0e21550284ce029342f?utm_campaign=1051&amp;utm_source=sheet", "Apply")</f>
        <v>Apply</v>
      </c>
      <c r="C195" s="10" t="s">
        <v>16211</v>
      </c>
      <c r="D195" s="56" t="s">
        <v>7098</v>
      </c>
      <c r="E195" s="10" t="s">
        <v>45</v>
      </c>
      <c r="F195" s="10" t="s">
        <v>5372</v>
      </c>
      <c r="G195" s="10" t="s">
        <v>100</v>
      </c>
      <c r="H195" s="10" t="s">
        <v>636</v>
      </c>
      <c r="I195" s="10" t="s">
        <v>55</v>
      </c>
      <c r="K195" s="10" t="s">
        <v>16212</v>
      </c>
      <c r="L195" s="10" t="s">
        <v>42</v>
      </c>
    </row>
    <row r="196" ht="15.75" customHeight="1">
      <c r="A196" s="66">
        <v>45492.0</v>
      </c>
      <c r="B196" s="55" t="str">
        <f>HYPERLINK("https://jobright.ai/jobs/info/669a95ff78e3aacf70f962e8?utm_campaign=1051&amp;utm_source=sheet", "Apply")</f>
        <v>Apply</v>
      </c>
      <c r="C196" s="10" t="s">
        <v>16213</v>
      </c>
      <c r="D196" s="56" t="s">
        <v>16214</v>
      </c>
      <c r="E196" s="10" t="s">
        <v>79</v>
      </c>
      <c r="F196" s="10" t="s">
        <v>13134</v>
      </c>
      <c r="G196" s="10" t="s">
        <v>15787</v>
      </c>
      <c r="H196" s="10" t="s">
        <v>843</v>
      </c>
      <c r="I196" s="10" t="s">
        <v>48</v>
      </c>
      <c r="J196" s="10" t="s">
        <v>1409</v>
      </c>
      <c r="K196" s="10" t="s">
        <v>16215</v>
      </c>
      <c r="L196" s="10" t="s">
        <v>42</v>
      </c>
    </row>
    <row r="197" ht="15.75" customHeight="1">
      <c r="A197" s="66">
        <v>45492.0</v>
      </c>
      <c r="B197" s="55" t="str">
        <f>HYPERLINK("https://jobright.ai/jobs/info/66a1160654618507e6174f0c?utm_campaign=1051&amp;utm_source=sheet", "Apply")</f>
        <v>Apply</v>
      </c>
      <c r="C197" s="10" t="s">
        <v>16216</v>
      </c>
      <c r="D197" s="56" t="s">
        <v>16217</v>
      </c>
      <c r="E197" s="10" t="s">
        <v>65</v>
      </c>
      <c r="F197" s="10" t="s">
        <v>1084</v>
      </c>
      <c r="G197" s="10" t="s">
        <v>100</v>
      </c>
      <c r="H197" s="10" t="s">
        <v>165</v>
      </c>
      <c r="I197" s="10" t="s">
        <v>55</v>
      </c>
      <c r="J197" s="10" t="s">
        <v>2165</v>
      </c>
      <c r="K197" s="10" t="s">
        <v>16218</v>
      </c>
      <c r="L197" s="10" t="s">
        <v>42</v>
      </c>
    </row>
    <row r="198" ht="15.75" customHeight="1">
      <c r="A198" s="66">
        <v>45492.0</v>
      </c>
      <c r="B198" s="55" t="str">
        <f>HYPERLINK("https://jobright.ai/jobs/info/66a3fddcd61cea1521a476af?utm_campaign=1051&amp;utm_source=sheet", "Apply")</f>
        <v>Apply</v>
      </c>
      <c r="C198" s="10" t="s">
        <v>16219</v>
      </c>
      <c r="D198" s="56" t="s">
        <v>16220</v>
      </c>
      <c r="E198" s="10" t="s">
        <v>249</v>
      </c>
      <c r="F198" s="10" t="s">
        <v>259</v>
      </c>
      <c r="G198" s="10" t="s">
        <v>100</v>
      </c>
      <c r="H198" s="10" t="s">
        <v>113</v>
      </c>
      <c r="I198" s="10" t="s">
        <v>48</v>
      </c>
      <c r="K198" s="10" t="s">
        <v>16221</v>
      </c>
      <c r="L198" s="10" t="s">
        <v>42</v>
      </c>
    </row>
    <row r="199" ht="15.75" customHeight="1">
      <c r="A199" s="66">
        <v>45492.0</v>
      </c>
      <c r="B199" s="55" t="str">
        <f>HYPERLINK("https://jobright.ai/jobs/info/667c28dbbed7830412ef44d6?utm_campaign=1051&amp;utm_source=sheet", "Apply")</f>
        <v>Apply</v>
      </c>
      <c r="C199" s="10" t="s">
        <v>16188</v>
      </c>
      <c r="D199" s="56" t="s">
        <v>13803</v>
      </c>
      <c r="E199" s="10" t="s">
        <v>45</v>
      </c>
      <c r="F199" s="10" t="s">
        <v>13804</v>
      </c>
      <c r="G199" s="10" t="s">
        <v>15814</v>
      </c>
      <c r="H199" s="10" t="s">
        <v>912</v>
      </c>
      <c r="I199" s="10" t="s">
        <v>55</v>
      </c>
      <c r="K199" s="10" t="s">
        <v>16222</v>
      </c>
      <c r="L199" s="10" t="s">
        <v>42</v>
      </c>
    </row>
    <row r="200" ht="15.75" customHeight="1">
      <c r="A200" s="66">
        <v>45492.0</v>
      </c>
      <c r="B200" s="55" t="str">
        <f>HYPERLINK("https://jobright.ai/jobs/info/669e4f234761975356c351ad?utm_campaign=1051&amp;utm_source=sheet", "Apply")</f>
        <v>Apply</v>
      </c>
      <c r="C200" s="10" t="s">
        <v>4738</v>
      </c>
      <c r="D200" s="56" t="s">
        <v>16223</v>
      </c>
      <c r="E200" s="10" t="s">
        <v>79</v>
      </c>
      <c r="F200" s="10" t="s">
        <v>1234</v>
      </c>
      <c r="G200" s="10" t="s">
        <v>100</v>
      </c>
      <c r="H200" s="10" t="s">
        <v>16224</v>
      </c>
      <c r="I200" s="10" t="s">
        <v>55</v>
      </c>
      <c r="K200" s="10" t="s">
        <v>16225</v>
      </c>
      <c r="L200" s="10" t="s">
        <v>42</v>
      </c>
    </row>
    <row r="201" ht="15.75" customHeight="1">
      <c r="A201" s="66">
        <v>45492.0</v>
      </c>
      <c r="B201" s="55" t="str">
        <f>HYPERLINK("https://jobright.ai/jobs/info/66a23c435c14cdf3ee23e327?utm_campaign=1051&amp;utm_source=sheet", "Apply")</f>
        <v>Apply</v>
      </c>
      <c r="C201" s="10" t="s">
        <v>16226</v>
      </c>
      <c r="D201" s="56" t="s">
        <v>10341</v>
      </c>
      <c r="E201" s="10" t="s">
        <v>65</v>
      </c>
      <c r="F201" s="10" t="s">
        <v>1601</v>
      </c>
      <c r="G201" s="10" t="s">
        <v>100</v>
      </c>
      <c r="H201" s="10" t="s">
        <v>442</v>
      </c>
      <c r="I201" s="10" t="s">
        <v>55</v>
      </c>
      <c r="K201" s="10" t="s">
        <v>16227</v>
      </c>
      <c r="L201" s="10" t="s">
        <v>42</v>
      </c>
    </row>
    <row r="202" ht="15.75" customHeight="1">
      <c r="A202" s="66">
        <v>45492.0</v>
      </c>
      <c r="B202" s="55" t="str">
        <f>HYPERLINK("https://jobright.ai/jobs/info/66a393bdb64c538c2cb584ad?utm_campaign=1051&amp;utm_source=sheet", "Apply")</f>
        <v>Apply</v>
      </c>
      <c r="C202" s="10" t="s">
        <v>15791</v>
      </c>
      <c r="D202" s="56" t="s">
        <v>15792</v>
      </c>
      <c r="E202" s="10" t="s">
        <v>45</v>
      </c>
      <c r="F202" s="10" t="s">
        <v>3382</v>
      </c>
      <c r="G202" s="10" t="s">
        <v>15814</v>
      </c>
      <c r="H202" s="10" t="s">
        <v>16184</v>
      </c>
      <c r="I202" s="10" t="s">
        <v>55</v>
      </c>
      <c r="K202" s="10" t="s">
        <v>16228</v>
      </c>
      <c r="L202" s="10" t="s">
        <v>42</v>
      </c>
    </row>
    <row r="203" ht="15.75" customHeight="1">
      <c r="A203" s="66">
        <v>45492.0</v>
      </c>
      <c r="B203" s="55" t="str">
        <f>HYPERLINK("https://jobright.ai/jobs/info/669a53b48397db306a1a28b1?utm_campaign=1051&amp;utm_source=sheet", "Apply")</f>
        <v>Apply</v>
      </c>
      <c r="C203" s="10" t="s">
        <v>16229</v>
      </c>
      <c r="D203" s="56" t="s">
        <v>311</v>
      </c>
      <c r="E203" s="10" t="s">
        <v>45</v>
      </c>
      <c r="F203" s="10" t="s">
        <v>312</v>
      </c>
      <c r="G203" s="10" t="s">
        <v>15829</v>
      </c>
      <c r="H203" s="10" t="s">
        <v>165</v>
      </c>
      <c r="I203" s="10" t="s">
        <v>55</v>
      </c>
      <c r="J203" s="10" t="s">
        <v>15948</v>
      </c>
      <c r="K203" s="10" t="s">
        <v>16230</v>
      </c>
      <c r="L203" s="10" t="s">
        <v>42</v>
      </c>
    </row>
    <row r="204" ht="15.75" customHeight="1">
      <c r="A204" s="66">
        <v>45492.0</v>
      </c>
      <c r="B204" s="55" t="str">
        <f>HYPERLINK("https://jobright.ai/jobs/info/667e9b6f8bb72220804fcd07?utm_campaign=1051&amp;utm_source=sheet", "Apply")</f>
        <v>Apply</v>
      </c>
      <c r="C204" s="10" t="s">
        <v>16188</v>
      </c>
      <c r="D204" s="56" t="s">
        <v>13803</v>
      </c>
      <c r="E204" s="10" t="s">
        <v>45</v>
      </c>
      <c r="F204" s="10" t="s">
        <v>13804</v>
      </c>
      <c r="G204" s="10" t="s">
        <v>15814</v>
      </c>
      <c r="H204" s="10" t="s">
        <v>1033</v>
      </c>
      <c r="I204" s="10" t="s">
        <v>55</v>
      </c>
      <c r="K204" s="10" t="s">
        <v>16231</v>
      </c>
      <c r="L204" s="10" t="s">
        <v>42</v>
      </c>
    </row>
    <row r="205" ht="15.75" customHeight="1">
      <c r="A205" s="66">
        <v>45492.0</v>
      </c>
      <c r="B205" s="55" t="str">
        <f>HYPERLINK("https://jobright.ai/jobs/info/6682af9b7041182c66b519dd?utm_campaign=1051&amp;utm_source=sheet", "Apply")</f>
        <v>Apply</v>
      </c>
      <c r="C205" s="10" t="s">
        <v>16188</v>
      </c>
      <c r="D205" s="56" t="s">
        <v>13803</v>
      </c>
      <c r="E205" s="10" t="s">
        <v>45</v>
      </c>
      <c r="F205" s="10" t="s">
        <v>13804</v>
      </c>
      <c r="G205" s="10" t="s">
        <v>15814</v>
      </c>
      <c r="H205" s="10" t="s">
        <v>688</v>
      </c>
      <c r="I205" s="10" t="s">
        <v>55</v>
      </c>
      <c r="K205" s="10" t="s">
        <v>16232</v>
      </c>
      <c r="L205" s="10" t="s">
        <v>42</v>
      </c>
    </row>
    <row r="206" ht="15.75" customHeight="1">
      <c r="A206" s="66">
        <v>45492.0</v>
      </c>
      <c r="B206" s="55" t="str">
        <f>HYPERLINK("https://jobright.ai/jobs/info/668140d5c47a8b157e1b681a?utm_campaign=1051&amp;utm_source=sheet", "Apply")</f>
        <v>Apply</v>
      </c>
      <c r="C206" s="10" t="s">
        <v>16188</v>
      </c>
      <c r="D206" s="56" t="s">
        <v>13803</v>
      </c>
      <c r="E206" s="10" t="s">
        <v>45</v>
      </c>
      <c r="F206" s="10" t="s">
        <v>13804</v>
      </c>
      <c r="G206" s="10" t="s">
        <v>15814</v>
      </c>
      <c r="H206" s="10" t="s">
        <v>9486</v>
      </c>
      <c r="I206" s="10" t="s">
        <v>55</v>
      </c>
      <c r="K206" s="10" t="s">
        <v>16233</v>
      </c>
      <c r="L206" s="10" t="s">
        <v>42</v>
      </c>
    </row>
    <row r="207" ht="15.75" customHeight="1">
      <c r="A207" s="66">
        <v>45492.0</v>
      </c>
      <c r="B207" s="55" t="str">
        <f>HYPERLINK("https://jobright.ai/jobs/info/667d8cee5715bb11aadc0798?utm_campaign=1051&amp;utm_source=sheet", "Apply")</f>
        <v>Apply</v>
      </c>
      <c r="C207" s="10" t="s">
        <v>16234</v>
      </c>
      <c r="D207" s="56" t="s">
        <v>16235</v>
      </c>
      <c r="E207" s="10" t="s">
        <v>45</v>
      </c>
      <c r="F207" s="10" t="s">
        <v>14235</v>
      </c>
      <c r="G207" s="10" t="s">
        <v>15793</v>
      </c>
      <c r="H207" s="10" t="s">
        <v>1005</v>
      </c>
      <c r="I207" s="10" t="s">
        <v>48</v>
      </c>
      <c r="K207" s="10" t="s">
        <v>16236</v>
      </c>
      <c r="L207" s="10" t="s">
        <v>42</v>
      </c>
    </row>
    <row r="208" ht="15.75" customHeight="1">
      <c r="A208" s="66">
        <v>45492.0</v>
      </c>
      <c r="B208" s="55" t="str">
        <f>HYPERLINK("https://jobright.ai/jobs/info/667e2a530091cd4a2c00595e?utm_campaign=1051&amp;utm_source=sheet", "Apply")</f>
        <v>Apply</v>
      </c>
      <c r="C208" s="10" t="s">
        <v>16188</v>
      </c>
      <c r="D208" s="56" t="s">
        <v>13803</v>
      </c>
      <c r="E208" s="10" t="s">
        <v>45</v>
      </c>
      <c r="F208" s="10" t="s">
        <v>13804</v>
      </c>
      <c r="G208" s="10" t="s">
        <v>15814</v>
      </c>
      <c r="H208" s="10" t="s">
        <v>914</v>
      </c>
      <c r="I208" s="10" t="s">
        <v>55</v>
      </c>
      <c r="K208" s="10" t="s">
        <v>16232</v>
      </c>
      <c r="L208" s="10" t="s">
        <v>42</v>
      </c>
    </row>
    <row r="209" ht="15.75" customHeight="1">
      <c r="A209" s="66">
        <v>45492.0</v>
      </c>
      <c r="B209" s="55" t="str">
        <f>HYPERLINK("https://jobright.ai/jobs/info/667dc4a3b2865560e4aeab06?utm_campaign=1051&amp;utm_source=sheet", "Apply")</f>
        <v>Apply</v>
      </c>
      <c r="C209" s="10" t="s">
        <v>15985</v>
      </c>
      <c r="D209" s="56" t="s">
        <v>15986</v>
      </c>
      <c r="E209" s="10" t="s">
        <v>65</v>
      </c>
      <c r="F209" s="10" t="s">
        <v>9860</v>
      </c>
      <c r="G209" s="10" t="s">
        <v>15793</v>
      </c>
      <c r="H209" s="10" t="s">
        <v>9042</v>
      </c>
      <c r="I209" s="10" t="s">
        <v>55</v>
      </c>
      <c r="K209" s="10" t="s">
        <v>15987</v>
      </c>
      <c r="L209" s="10" t="s">
        <v>42</v>
      </c>
    </row>
    <row r="210" ht="15.75" customHeight="1">
      <c r="A210" s="66">
        <v>45492.0</v>
      </c>
      <c r="B210" s="55" t="str">
        <f>HYPERLINK("https://jobright.ai/jobs/info/667dac79a59aa08a6b4d3e46?utm_campaign=1051&amp;utm_source=sheet", "Apply")</f>
        <v>Apply</v>
      </c>
      <c r="C210" s="10" t="s">
        <v>15985</v>
      </c>
      <c r="D210" s="56" t="s">
        <v>15986</v>
      </c>
      <c r="E210" s="10" t="s">
        <v>65</v>
      </c>
      <c r="F210" s="10" t="s">
        <v>9860</v>
      </c>
      <c r="G210" s="10" t="s">
        <v>15793</v>
      </c>
      <c r="H210" s="10" t="s">
        <v>1007</v>
      </c>
      <c r="I210" s="10" t="s">
        <v>55</v>
      </c>
      <c r="J210" s="10" t="s">
        <v>581</v>
      </c>
      <c r="K210" s="10" t="s">
        <v>15987</v>
      </c>
      <c r="L210" s="10" t="s">
        <v>42</v>
      </c>
    </row>
    <row r="211" ht="15.75" customHeight="1">
      <c r="A211" s="66">
        <v>45492.0</v>
      </c>
      <c r="B211" s="55" t="str">
        <f>HYPERLINK("https://jobright.ai/jobs/info/669925d1cd4eace260f0d845?utm_campaign=1051&amp;utm_source=sheet", "Apply")</f>
        <v>Apply</v>
      </c>
      <c r="C211" s="10" t="s">
        <v>16237</v>
      </c>
      <c r="D211" s="56" t="s">
        <v>16238</v>
      </c>
      <c r="G211" s="10" t="s">
        <v>15814</v>
      </c>
      <c r="H211" s="10" t="s">
        <v>10470</v>
      </c>
      <c r="I211" s="10" t="s">
        <v>55</v>
      </c>
      <c r="K211" s="10" t="s">
        <v>16239</v>
      </c>
      <c r="L211" s="10" t="s">
        <v>42</v>
      </c>
    </row>
    <row r="212" ht="15.75" customHeight="1">
      <c r="A212" s="66">
        <v>45492.0</v>
      </c>
      <c r="B212" s="55" t="str">
        <f>HYPERLINK("https://jobright.ai/jobs/info/669b17dd01f00d8699a2d305?utm_campaign=1051&amp;utm_source=sheet", "Apply")</f>
        <v>Apply</v>
      </c>
      <c r="C212" s="10" t="s">
        <v>16240</v>
      </c>
      <c r="D212" s="56" t="s">
        <v>16241</v>
      </c>
      <c r="E212" s="10" t="s">
        <v>276</v>
      </c>
      <c r="F212" s="10" t="s">
        <v>8542</v>
      </c>
      <c r="G212" s="10" t="s">
        <v>15814</v>
      </c>
      <c r="H212" s="10" t="s">
        <v>16242</v>
      </c>
      <c r="I212" s="10" t="s">
        <v>55</v>
      </c>
      <c r="K212" s="10" t="s">
        <v>16243</v>
      </c>
      <c r="L212" s="10" t="s">
        <v>42</v>
      </c>
    </row>
    <row r="213" ht="15.75" customHeight="1">
      <c r="A213" s="66">
        <v>45492.0</v>
      </c>
      <c r="B213" s="55" t="str">
        <f>HYPERLINK("https://jobright.ai/jobs/info/668bb8c0e0325a0c51512382?utm_campaign=1051&amp;utm_source=sheet", "Apply")</f>
        <v>Apply</v>
      </c>
      <c r="C213" s="10" t="s">
        <v>16244</v>
      </c>
      <c r="D213" s="56" t="s">
        <v>10267</v>
      </c>
      <c r="E213" s="10" t="s">
        <v>65</v>
      </c>
      <c r="F213" s="10" t="s">
        <v>259</v>
      </c>
      <c r="G213" s="10" t="s">
        <v>100</v>
      </c>
      <c r="H213" s="10" t="s">
        <v>159</v>
      </c>
      <c r="I213" s="10" t="s">
        <v>55</v>
      </c>
      <c r="J213" s="10" t="s">
        <v>1868</v>
      </c>
      <c r="K213" s="10" t="s">
        <v>10320</v>
      </c>
      <c r="L213" s="10" t="s">
        <v>42</v>
      </c>
    </row>
    <row r="214" ht="15.75" customHeight="1">
      <c r="A214" s="66">
        <v>45492.0</v>
      </c>
      <c r="B214" s="55" t="str">
        <f>HYPERLINK("https://jobright.ai/jobs/info/663283a481eae8d373613f48?utm_campaign=1051&amp;utm_source=sheet", "Apply")</f>
        <v>Apply</v>
      </c>
      <c r="C214" s="10" t="s">
        <v>16245</v>
      </c>
      <c r="D214" s="56" t="s">
        <v>10267</v>
      </c>
      <c r="E214" s="10" t="s">
        <v>65</v>
      </c>
      <c r="F214" s="10" t="s">
        <v>259</v>
      </c>
      <c r="G214" s="10" t="s">
        <v>100</v>
      </c>
      <c r="H214" s="10" t="s">
        <v>113</v>
      </c>
      <c r="I214" s="10" t="s">
        <v>55</v>
      </c>
      <c r="J214" s="10" t="s">
        <v>1868</v>
      </c>
      <c r="K214" s="10" t="s">
        <v>10320</v>
      </c>
      <c r="L214" s="10" t="s">
        <v>42</v>
      </c>
    </row>
    <row r="215" ht="15.75" customHeight="1">
      <c r="A215" s="66">
        <v>45491.0</v>
      </c>
      <c r="B215" s="55" t="str">
        <f>HYPERLINK("https://jobright.ai/jobs/info/666ed94176fa6cc857164fc3?utm_campaign=1051&amp;utm_source=sheet", "Apply")</f>
        <v>Apply</v>
      </c>
      <c r="C215" s="10" t="s">
        <v>16246</v>
      </c>
      <c r="D215" s="56" t="s">
        <v>10267</v>
      </c>
      <c r="E215" s="10" t="s">
        <v>65</v>
      </c>
      <c r="F215" s="10" t="s">
        <v>259</v>
      </c>
      <c r="G215" s="10" t="s">
        <v>100</v>
      </c>
      <c r="H215" s="10" t="s">
        <v>153</v>
      </c>
      <c r="I215" s="10" t="s">
        <v>55</v>
      </c>
      <c r="J215" s="10" t="s">
        <v>1868</v>
      </c>
      <c r="K215" s="10" t="s">
        <v>10316</v>
      </c>
      <c r="L215" s="10" t="s">
        <v>42</v>
      </c>
    </row>
    <row r="216" ht="15.75" customHeight="1">
      <c r="A216" s="66">
        <v>45491.0</v>
      </c>
      <c r="B216" s="55" t="str">
        <f>HYPERLINK("https://jobright.ai/jobs/info/668bd4c8356510bc9cd0ed8b?utm_campaign=1051&amp;utm_source=sheet", "Apply")</f>
        <v>Apply</v>
      </c>
      <c r="C216" s="10" t="s">
        <v>16244</v>
      </c>
      <c r="D216" s="56" t="s">
        <v>10267</v>
      </c>
      <c r="E216" s="10" t="s">
        <v>65</v>
      </c>
      <c r="F216" s="10" t="s">
        <v>259</v>
      </c>
      <c r="G216" s="10" t="s">
        <v>100</v>
      </c>
      <c r="H216" s="10" t="s">
        <v>159</v>
      </c>
      <c r="I216" s="10" t="s">
        <v>55</v>
      </c>
      <c r="J216" s="10" t="s">
        <v>1868</v>
      </c>
      <c r="K216" s="10" t="s">
        <v>10320</v>
      </c>
      <c r="L216" s="10" t="s">
        <v>42</v>
      </c>
    </row>
    <row r="217" ht="15.75" customHeight="1">
      <c r="A217" s="66">
        <v>45491.0</v>
      </c>
      <c r="B217" s="55" t="str">
        <f>HYPERLINK("https://jobright.ai/jobs/info/66999c449a3c6e51c147db26?utm_campaign=1051&amp;utm_source=sheet", "Apply")</f>
        <v>Apply</v>
      </c>
      <c r="C217" s="10" t="s">
        <v>16247</v>
      </c>
      <c r="D217" s="56" t="s">
        <v>44</v>
      </c>
      <c r="E217" s="10" t="s">
        <v>45</v>
      </c>
      <c r="F217" s="10" t="s">
        <v>46</v>
      </c>
      <c r="G217" s="10" t="s">
        <v>15854</v>
      </c>
      <c r="H217" s="10" t="s">
        <v>153</v>
      </c>
      <c r="I217" s="10" t="s">
        <v>48</v>
      </c>
      <c r="J217" s="10" t="s">
        <v>375</v>
      </c>
      <c r="K217" s="10" t="s">
        <v>16248</v>
      </c>
      <c r="L217" s="10" t="s">
        <v>42</v>
      </c>
    </row>
    <row r="218" ht="15.75" customHeight="1">
      <c r="A218" s="66">
        <v>45491.0</v>
      </c>
      <c r="B218" s="55" t="str">
        <f>HYPERLINK("https://jobright.ai/jobs/info/66999cb8830db724f81aac56?utm_campaign=1051&amp;utm_source=sheet", "Apply")</f>
        <v>Apply</v>
      </c>
      <c r="C218" s="10" t="s">
        <v>16249</v>
      </c>
      <c r="D218" s="56" t="s">
        <v>16250</v>
      </c>
      <c r="E218" s="10" t="s">
        <v>276</v>
      </c>
      <c r="F218" s="10" t="s">
        <v>16251</v>
      </c>
      <c r="G218" s="10" t="s">
        <v>100</v>
      </c>
      <c r="H218" s="10" t="s">
        <v>15802</v>
      </c>
      <c r="I218" s="10" t="s">
        <v>55</v>
      </c>
      <c r="K218" s="10" t="s">
        <v>16252</v>
      </c>
      <c r="L218" s="10" t="s">
        <v>42</v>
      </c>
    </row>
    <row r="219" ht="15.75" customHeight="1">
      <c r="A219" s="66">
        <v>45491.0</v>
      </c>
      <c r="B219" s="55" t="str">
        <f>HYPERLINK("https://jobright.ai/jobs/info/66999c449a3c6e51c147dac6?utm_campaign=1051&amp;utm_source=sheet", "Apply")</f>
        <v>Apply</v>
      </c>
      <c r="C219" s="10" t="s">
        <v>16253</v>
      </c>
      <c r="D219" s="56" t="s">
        <v>14264</v>
      </c>
      <c r="E219" s="10" t="s">
        <v>209</v>
      </c>
      <c r="F219" s="10" t="s">
        <v>14265</v>
      </c>
      <c r="G219" s="10" t="s">
        <v>15814</v>
      </c>
      <c r="H219" s="10" t="s">
        <v>16254</v>
      </c>
      <c r="I219" s="10" t="s">
        <v>55</v>
      </c>
      <c r="K219" s="10" t="s">
        <v>16255</v>
      </c>
      <c r="L219" s="10" t="s">
        <v>42</v>
      </c>
    </row>
    <row r="220" ht="15.75" customHeight="1">
      <c r="A220" s="66">
        <v>45491.0</v>
      </c>
      <c r="B220" s="55" t="str">
        <f>HYPERLINK("https://jobright.ai/jobs/info/66996e66a41ce254938c59fb?utm_campaign=1051&amp;utm_source=sheet", "Apply")</f>
        <v>Apply</v>
      </c>
      <c r="C220" s="10" t="s">
        <v>16256</v>
      </c>
      <c r="D220" s="58" t="s">
        <v>16257</v>
      </c>
      <c r="E220" s="10" t="s">
        <v>71</v>
      </c>
      <c r="F220" s="10" t="s">
        <v>16258</v>
      </c>
      <c r="G220" s="10" t="s">
        <v>100</v>
      </c>
      <c r="H220" s="10" t="s">
        <v>80</v>
      </c>
      <c r="I220" s="10" t="s">
        <v>55</v>
      </c>
      <c r="K220" s="10" t="s">
        <v>16259</v>
      </c>
      <c r="L220" s="10" t="s">
        <v>42</v>
      </c>
    </row>
    <row r="221" ht="15.75" customHeight="1">
      <c r="A221" s="66">
        <v>45491.0</v>
      </c>
      <c r="B221" s="55" t="str">
        <f>HYPERLINK("https://jobright.ai/jobs/info/669974179a9eb2394b7b409f?utm_campaign=1051&amp;utm_source=sheet", "Apply")</f>
        <v>Apply</v>
      </c>
      <c r="C221" s="10" t="s">
        <v>16260</v>
      </c>
      <c r="D221" s="56" t="s">
        <v>14105</v>
      </c>
      <c r="E221" s="10" t="s">
        <v>79</v>
      </c>
      <c r="F221" s="10" t="s">
        <v>3770</v>
      </c>
      <c r="G221" s="10" t="s">
        <v>15793</v>
      </c>
      <c r="H221" s="10" t="s">
        <v>170</v>
      </c>
      <c r="I221" s="10" t="s">
        <v>55</v>
      </c>
      <c r="K221" s="10" t="s">
        <v>16261</v>
      </c>
      <c r="L221" s="10" t="s">
        <v>42</v>
      </c>
    </row>
    <row r="222" ht="15.75" customHeight="1">
      <c r="A222" s="66">
        <v>45491.0</v>
      </c>
      <c r="B222" s="55" t="str">
        <f>HYPERLINK("https://jobright.ai/jobs/info/669953362ca0263ce3e2b3f9?utm_campaign=1051&amp;utm_source=sheet", "Apply")</f>
        <v>Apply</v>
      </c>
      <c r="C222" s="10" t="s">
        <v>16262</v>
      </c>
      <c r="D222" s="56" t="s">
        <v>16263</v>
      </c>
      <c r="E222" s="10" t="s">
        <v>45</v>
      </c>
      <c r="F222" s="10" t="s">
        <v>564</v>
      </c>
      <c r="G222" s="10" t="s">
        <v>15784</v>
      </c>
      <c r="H222" s="10" t="s">
        <v>6546</v>
      </c>
      <c r="I222" s="10" t="s">
        <v>55</v>
      </c>
      <c r="K222" s="10" t="s">
        <v>16264</v>
      </c>
      <c r="L222" s="10" t="s">
        <v>42</v>
      </c>
    </row>
    <row r="223" ht="15.75" customHeight="1">
      <c r="A223" s="66">
        <v>45491.0</v>
      </c>
      <c r="B223" s="55" t="str">
        <f>HYPERLINK("https://jobright.ai/jobs/info/66993a6f0dea039d8433ba37?utm_campaign=1051&amp;utm_source=sheet", "Apply")</f>
        <v>Apply</v>
      </c>
      <c r="C223" s="10" t="s">
        <v>16265</v>
      </c>
      <c r="D223" s="56" t="s">
        <v>16266</v>
      </c>
      <c r="E223" s="10" t="s">
        <v>137</v>
      </c>
      <c r="F223" s="10" t="s">
        <v>14886</v>
      </c>
      <c r="G223" s="10" t="s">
        <v>15814</v>
      </c>
      <c r="H223" s="10" t="s">
        <v>251</v>
      </c>
      <c r="I223" s="10" t="s">
        <v>252</v>
      </c>
      <c r="K223" s="10" t="s">
        <v>16267</v>
      </c>
      <c r="L223" s="10" t="s">
        <v>42</v>
      </c>
    </row>
    <row r="224" ht="15.75" customHeight="1">
      <c r="A224" s="66">
        <v>45491.0</v>
      </c>
      <c r="B224" s="55" t="str">
        <f>HYPERLINK("https://jobright.ai/jobs/info/6699130016b6f5b434a48486?utm_campaign=1051&amp;utm_source=sheet", "Apply")</f>
        <v>Apply</v>
      </c>
      <c r="C224" s="10" t="s">
        <v>16268</v>
      </c>
      <c r="D224" s="56" t="s">
        <v>9821</v>
      </c>
      <c r="E224" s="10" t="s">
        <v>45</v>
      </c>
      <c r="F224" s="10" t="s">
        <v>3594</v>
      </c>
      <c r="G224" s="10" t="s">
        <v>15814</v>
      </c>
      <c r="H224" s="10" t="s">
        <v>14859</v>
      </c>
      <c r="I224" s="10" t="s">
        <v>55</v>
      </c>
      <c r="K224" s="10" t="s">
        <v>16269</v>
      </c>
      <c r="L224" s="10" t="s">
        <v>42</v>
      </c>
    </row>
    <row r="225" ht="15.75" customHeight="1">
      <c r="A225" s="66">
        <v>45491.0</v>
      </c>
      <c r="B225" s="55" t="str">
        <f>HYPERLINK("https://jobright.ai/jobs/info/669baff7c69d18bbd8bf180b?utm_campaign=1051&amp;utm_source=sheet", "Apply")</f>
        <v>Apply</v>
      </c>
      <c r="C225" s="10" t="s">
        <v>16270</v>
      </c>
      <c r="D225" s="56" t="s">
        <v>16271</v>
      </c>
      <c r="E225" s="10" t="s">
        <v>65</v>
      </c>
      <c r="F225" s="10" t="s">
        <v>5632</v>
      </c>
      <c r="G225" s="10" t="s">
        <v>15854</v>
      </c>
      <c r="H225" s="10" t="s">
        <v>16272</v>
      </c>
      <c r="I225" s="10" t="s">
        <v>55</v>
      </c>
      <c r="K225" s="10" t="s">
        <v>16273</v>
      </c>
      <c r="L225" s="10" t="s">
        <v>42</v>
      </c>
    </row>
    <row r="226" ht="15.75" customHeight="1">
      <c r="A226" s="66">
        <v>45491.0</v>
      </c>
      <c r="B226" s="55" t="str">
        <f>HYPERLINK("https://jobright.ai/jobs/info/669a5706e5e22a61c3ec941f?utm_campaign=1051&amp;utm_source=sheet", "Apply")</f>
        <v>Apply</v>
      </c>
      <c r="C226" s="10" t="s">
        <v>15294</v>
      </c>
      <c r="D226" s="56" t="s">
        <v>15295</v>
      </c>
      <c r="E226" s="10" t="s">
        <v>45</v>
      </c>
      <c r="F226" s="10" t="s">
        <v>15296</v>
      </c>
      <c r="G226" s="10" t="s">
        <v>15793</v>
      </c>
      <c r="H226" s="10" t="s">
        <v>16274</v>
      </c>
      <c r="I226" s="10" t="s">
        <v>55</v>
      </c>
      <c r="J226" s="10" t="s">
        <v>16275</v>
      </c>
      <c r="K226" s="10" t="s">
        <v>15353</v>
      </c>
      <c r="L226" s="10" t="s">
        <v>42</v>
      </c>
    </row>
    <row r="227" ht="15.75" customHeight="1">
      <c r="A227" s="66">
        <v>45491.0</v>
      </c>
      <c r="B227" s="55" t="str">
        <f>HYPERLINK("https://jobright.ai/jobs/info/667c6f398d1fb16bd6ad655b?utm_campaign=1051&amp;utm_source=sheet", "Apply")</f>
        <v>Apply</v>
      </c>
      <c r="C227" s="10" t="s">
        <v>16276</v>
      </c>
      <c r="D227" s="56" t="s">
        <v>10169</v>
      </c>
      <c r="E227" s="10" t="s">
        <v>45</v>
      </c>
      <c r="F227" s="10" t="s">
        <v>10170</v>
      </c>
      <c r="G227" s="10" t="s">
        <v>15784</v>
      </c>
      <c r="H227" s="10" t="s">
        <v>952</v>
      </c>
      <c r="I227" s="10" t="s">
        <v>55</v>
      </c>
      <c r="J227" s="10" t="s">
        <v>1960</v>
      </c>
      <c r="K227" s="10" t="s">
        <v>16277</v>
      </c>
      <c r="L227" s="10" t="s">
        <v>42</v>
      </c>
    </row>
    <row r="228" ht="15.75" customHeight="1">
      <c r="A228" s="66">
        <v>45491.0</v>
      </c>
      <c r="B228" s="55" t="str">
        <f>HYPERLINK("https://jobright.ai/jobs/info/665de5ecd85067ba847b532f?utm_campaign=1051&amp;utm_source=sheet", "Apply")</f>
        <v>Apply</v>
      </c>
      <c r="C228" s="10" t="s">
        <v>16278</v>
      </c>
      <c r="D228" s="56" t="s">
        <v>4225</v>
      </c>
      <c r="E228" s="10" t="s">
        <v>209</v>
      </c>
      <c r="F228" s="10" t="s">
        <v>4226</v>
      </c>
      <c r="G228" s="10" t="s">
        <v>15793</v>
      </c>
      <c r="H228" s="10" t="s">
        <v>4230</v>
      </c>
      <c r="I228" s="10" t="s">
        <v>55</v>
      </c>
      <c r="K228" s="10" t="s">
        <v>16279</v>
      </c>
      <c r="L228" s="10" t="s">
        <v>42</v>
      </c>
    </row>
    <row r="229" ht="15.75" customHeight="1">
      <c r="A229" s="66">
        <v>45491.0</v>
      </c>
      <c r="B229" s="55" t="str">
        <f>HYPERLINK("https://jobright.ai/jobs/info/665ded6103a11bc5a4c8ddac?utm_campaign=1051&amp;utm_source=sheet", "Apply")</f>
        <v>Apply</v>
      </c>
      <c r="C229" s="10" t="s">
        <v>16278</v>
      </c>
      <c r="D229" s="56" t="s">
        <v>4225</v>
      </c>
      <c r="E229" s="10" t="s">
        <v>209</v>
      </c>
      <c r="F229" s="10" t="s">
        <v>4226</v>
      </c>
      <c r="G229" s="10" t="s">
        <v>15793</v>
      </c>
      <c r="H229" s="10" t="s">
        <v>4208</v>
      </c>
      <c r="I229" s="10" t="s">
        <v>55</v>
      </c>
      <c r="K229" s="10" t="s">
        <v>16279</v>
      </c>
      <c r="L229" s="10" t="s">
        <v>42</v>
      </c>
    </row>
    <row r="230" ht="15.75" customHeight="1">
      <c r="A230" s="66">
        <v>45491.0</v>
      </c>
      <c r="B230" s="55" t="str">
        <f>HYPERLINK("https://jobright.ai/jobs/info/6677cd3374ec1a95a89aeed4?utm_campaign=1051&amp;utm_source=sheet", "Apply")</f>
        <v>Apply</v>
      </c>
      <c r="C230" s="10" t="s">
        <v>16280</v>
      </c>
      <c r="D230" s="56" t="s">
        <v>14148</v>
      </c>
      <c r="E230" s="10" t="s">
        <v>65</v>
      </c>
      <c r="F230" s="10" t="s">
        <v>14149</v>
      </c>
      <c r="G230" s="10" t="s">
        <v>15829</v>
      </c>
      <c r="H230" s="10" t="s">
        <v>47</v>
      </c>
      <c r="I230" s="10" t="s">
        <v>55</v>
      </c>
      <c r="J230" s="10" t="s">
        <v>1761</v>
      </c>
      <c r="K230" s="10" t="s">
        <v>16281</v>
      </c>
      <c r="L230" s="10" t="s">
        <v>42</v>
      </c>
    </row>
    <row r="231" ht="15.75" customHeight="1">
      <c r="A231" s="66">
        <v>45491.0</v>
      </c>
      <c r="B231" s="55" t="str">
        <f>HYPERLINK("https://jobright.ai/jobs/info/667cd5af69583c2fc08b210d?utm_campaign=1051&amp;utm_source=sheet", "Apply")</f>
        <v>Apply</v>
      </c>
      <c r="C231" s="10" t="s">
        <v>16282</v>
      </c>
      <c r="D231" s="56" t="s">
        <v>16283</v>
      </c>
      <c r="E231" s="10" t="s">
        <v>45</v>
      </c>
      <c r="F231" s="10" t="s">
        <v>7346</v>
      </c>
      <c r="G231" s="10" t="s">
        <v>15829</v>
      </c>
      <c r="H231" s="10" t="s">
        <v>572</v>
      </c>
      <c r="I231" s="10" t="s">
        <v>55</v>
      </c>
      <c r="K231" s="10" t="s">
        <v>16284</v>
      </c>
      <c r="L231" s="10" t="s">
        <v>42</v>
      </c>
    </row>
    <row r="232" ht="15.75" customHeight="1">
      <c r="A232" s="66">
        <v>45491.0</v>
      </c>
      <c r="B232" s="55" t="str">
        <f>HYPERLINK("https://jobright.ai/jobs/info/667c57c6e22ba27459966e53?utm_campaign=1051&amp;utm_source=sheet", "Apply")</f>
        <v>Apply</v>
      </c>
      <c r="C232" s="10" t="s">
        <v>16285</v>
      </c>
      <c r="D232" s="56" t="s">
        <v>10169</v>
      </c>
      <c r="E232" s="10" t="s">
        <v>45</v>
      </c>
      <c r="F232" s="10" t="s">
        <v>10170</v>
      </c>
      <c r="G232" s="10" t="s">
        <v>15784</v>
      </c>
      <c r="H232" s="10" t="s">
        <v>1018</v>
      </c>
      <c r="I232" s="10" t="s">
        <v>55</v>
      </c>
      <c r="J232" s="10" t="s">
        <v>1960</v>
      </c>
      <c r="K232" s="10" t="s">
        <v>16277</v>
      </c>
      <c r="L232" s="10" t="s">
        <v>42</v>
      </c>
    </row>
    <row r="233" ht="15.75" customHeight="1">
      <c r="A233" s="66">
        <v>45491.0</v>
      </c>
      <c r="B233" s="55" t="str">
        <f>HYPERLINK("https://jobright.ai/jobs/info/6698ff26fc5a31af94846967?utm_campaign=1051&amp;utm_source=sheet", "Apply")</f>
        <v>Apply</v>
      </c>
      <c r="C233" s="10" t="s">
        <v>16286</v>
      </c>
      <c r="D233" s="56" t="s">
        <v>16287</v>
      </c>
      <c r="E233" s="10" t="s">
        <v>45</v>
      </c>
      <c r="F233" s="10" t="s">
        <v>13636</v>
      </c>
      <c r="G233" s="10" t="s">
        <v>15793</v>
      </c>
      <c r="H233" s="10" t="s">
        <v>966</v>
      </c>
      <c r="I233" s="10" t="s">
        <v>55</v>
      </c>
      <c r="J233" s="10" t="s">
        <v>724</v>
      </c>
      <c r="K233" s="10" t="s">
        <v>16288</v>
      </c>
      <c r="L233" s="10" t="s">
        <v>42</v>
      </c>
    </row>
    <row r="234" ht="15.75" customHeight="1">
      <c r="A234" s="66">
        <v>45491.0</v>
      </c>
      <c r="B234" s="55" t="str">
        <f>HYPERLINK("https://jobright.ai/jobs/info/667c57c6e22ba27459966e71?utm_campaign=1051&amp;utm_source=sheet", "Apply")</f>
        <v>Apply</v>
      </c>
      <c r="C234" s="10" t="s">
        <v>16289</v>
      </c>
      <c r="D234" s="56" t="s">
        <v>10169</v>
      </c>
      <c r="E234" s="10" t="s">
        <v>45</v>
      </c>
      <c r="F234" s="10" t="s">
        <v>10170</v>
      </c>
      <c r="G234" s="10" t="s">
        <v>15784</v>
      </c>
      <c r="H234" s="10" t="s">
        <v>953</v>
      </c>
      <c r="I234" s="10" t="s">
        <v>55</v>
      </c>
      <c r="J234" s="10" t="s">
        <v>1960</v>
      </c>
      <c r="K234" s="10" t="s">
        <v>16277</v>
      </c>
      <c r="L234" s="10" t="s">
        <v>42</v>
      </c>
    </row>
    <row r="235" ht="15.75" customHeight="1">
      <c r="A235" s="66">
        <v>45491.0</v>
      </c>
      <c r="B235" s="55" t="str">
        <f>HYPERLINK("https://jobright.ai/jobs/info/6698b015bfa046e79acb6a13?utm_campaign=1051&amp;utm_source=sheet", "Apply")</f>
        <v>Apply</v>
      </c>
      <c r="C235" s="10" t="s">
        <v>16290</v>
      </c>
      <c r="D235" s="56" t="s">
        <v>14731</v>
      </c>
      <c r="E235" s="10" t="s">
        <v>71</v>
      </c>
      <c r="F235" s="10" t="s">
        <v>2409</v>
      </c>
      <c r="G235" s="10" t="s">
        <v>100</v>
      </c>
      <c r="H235" s="10" t="s">
        <v>3019</v>
      </c>
      <c r="I235" s="10" t="s">
        <v>55</v>
      </c>
      <c r="K235" s="10" t="s">
        <v>16291</v>
      </c>
      <c r="L235" s="10" t="s">
        <v>42</v>
      </c>
    </row>
    <row r="236" ht="15.75" customHeight="1">
      <c r="A236" s="66">
        <v>45491.0</v>
      </c>
      <c r="B236" s="55" t="str">
        <f>HYPERLINK("https://jobright.ai/jobs/info/6699cc7b263bfc9a9e8080bc?utm_campaign=1051&amp;utm_source=sheet", "Apply")</f>
        <v>Apply</v>
      </c>
      <c r="C236" s="10" t="s">
        <v>16292</v>
      </c>
      <c r="D236" s="56" t="s">
        <v>15387</v>
      </c>
      <c r="E236" s="10" t="s">
        <v>209</v>
      </c>
      <c r="F236" s="10" t="s">
        <v>15388</v>
      </c>
      <c r="G236" s="10" t="s">
        <v>15793</v>
      </c>
      <c r="H236" s="10" t="s">
        <v>952</v>
      </c>
      <c r="I236" s="10" t="s">
        <v>55</v>
      </c>
      <c r="J236" s="10" t="s">
        <v>15389</v>
      </c>
      <c r="K236" s="10" t="s">
        <v>16293</v>
      </c>
      <c r="L236" s="10" t="s">
        <v>42</v>
      </c>
    </row>
    <row r="237" ht="15.75" customHeight="1">
      <c r="A237" s="66">
        <v>45491.0</v>
      </c>
      <c r="B237" s="55" t="str">
        <f>HYPERLINK("https://jobright.ai/jobs/info/66987c8f6cd190bdaec9edfe?utm_campaign=1051&amp;utm_source=sheet", "Apply")</f>
        <v>Apply</v>
      </c>
      <c r="C237" s="10" t="s">
        <v>16294</v>
      </c>
      <c r="D237" s="56" t="s">
        <v>16295</v>
      </c>
      <c r="E237" s="10" t="s">
        <v>45</v>
      </c>
      <c r="F237" s="10" t="s">
        <v>16296</v>
      </c>
      <c r="G237" s="10" t="s">
        <v>15793</v>
      </c>
      <c r="H237" s="10" t="s">
        <v>16297</v>
      </c>
      <c r="I237" s="10" t="s">
        <v>55</v>
      </c>
      <c r="J237" s="10" t="s">
        <v>2555</v>
      </c>
      <c r="K237" s="10" t="s">
        <v>16298</v>
      </c>
      <c r="L237" s="10" t="s">
        <v>42</v>
      </c>
    </row>
    <row r="238" ht="15.75" customHeight="1">
      <c r="A238" s="66">
        <v>45491.0</v>
      </c>
      <c r="B238" s="55" t="str">
        <f>HYPERLINK("https://jobright.ai/jobs/info/66997c9e0e64b4fcfb0a8db6?utm_campaign=1051&amp;utm_source=sheet", "Apply")</f>
        <v>Apply</v>
      </c>
      <c r="C238" s="10" t="s">
        <v>16253</v>
      </c>
      <c r="D238" s="56" t="s">
        <v>14264</v>
      </c>
      <c r="E238" s="10" t="s">
        <v>209</v>
      </c>
      <c r="F238" s="10" t="s">
        <v>14265</v>
      </c>
      <c r="G238" s="10" t="s">
        <v>15814</v>
      </c>
      <c r="H238" s="10" t="s">
        <v>16299</v>
      </c>
      <c r="I238" s="10" t="s">
        <v>55</v>
      </c>
      <c r="K238" s="10" t="s">
        <v>16255</v>
      </c>
      <c r="L238" s="10" t="s">
        <v>42</v>
      </c>
    </row>
    <row r="239" ht="15.75" customHeight="1">
      <c r="A239" s="66">
        <v>45490.0</v>
      </c>
      <c r="B239" s="55" t="str">
        <f>HYPERLINK("https://jobright.ai/jobs/info/6677b36cd57a2b58a480dd89?utm_campaign=1051&amp;utm_source=sheet", "Apply")</f>
        <v>Apply</v>
      </c>
      <c r="C239" s="10" t="s">
        <v>15838</v>
      </c>
      <c r="D239" s="56" t="s">
        <v>15839</v>
      </c>
      <c r="E239" s="10">
        <v>4852.0</v>
      </c>
      <c r="G239" s="10" t="s">
        <v>15829</v>
      </c>
      <c r="H239" s="10" t="s">
        <v>1015</v>
      </c>
      <c r="I239" s="10" t="s">
        <v>55</v>
      </c>
      <c r="K239" s="10" t="s">
        <v>15843</v>
      </c>
      <c r="L239" s="10" t="s">
        <v>42</v>
      </c>
    </row>
    <row r="240" ht="15.75" customHeight="1">
      <c r="A240" s="66">
        <v>45490.0</v>
      </c>
      <c r="B240" s="55" t="str">
        <f>HYPERLINK("https://jobright.ai/jobs/info/6677b36cd57a2b58a480dcfc?utm_campaign=1051&amp;utm_source=sheet", "Apply")</f>
        <v>Apply</v>
      </c>
      <c r="C240" s="10" t="s">
        <v>15838</v>
      </c>
      <c r="D240" s="56" t="s">
        <v>15839</v>
      </c>
      <c r="E240" s="10">
        <v>4852.0</v>
      </c>
      <c r="G240" s="10" t="s">
        <v>15829</v>
      </c>
      <c r="H240" s="10" t="s">
        <v>824</v>
      </c>
      <c r="I240" s="10" t="s">
        <v>55</v>
      </c>
      <c r="K240" s="10" t="s">
        <v>15843</v>
      </c>
      <c r="L240" s="10" t="s">
        <v>42</v>
      </c>
    </row>
    <row r="241" ht="15.75" customHeight="1">
      <c r="A241" s="66">
        <v>45490.0</v>
      </c>
      <c r="B241" s="55" t="str">
        <f>HYPERLINK("https://jobright.ai/jobs/info/668688b09db87c158112a77f?utm_campaign=1051&amp;utm_source=sheet", "Apply")</f>
        <v>Apply</v>
      </c>
      <c r="C241" s="10" t="s">
        <v>15838</v>
      </c>
      <c r="D241" s="56" t="s">
        <v>15839</v>
      </c>
      <c r="E241" s="10">
        <v>4852.0</v>
      </c>
      <c r="G241" s="10" t="s">
        <v>15829</v>
      </c>
      <c r="H241" s="10" t="s">
        <v>779</v>
      </c>
      <c r="I241" s="10" t="s">
        <v>55</v>
      </c>
      <c r="K241" s="10" t="s">
        <v>15843</v>
      </c>
      <c r="L241" s="10" t="s">
        <v>42</v>
      </c>
    </row>
    <row r="242" ht="15.75" customHeight="1">
      <c r="A242" s="66">
        <v>45490.0</v>
      </c>
      <c r="B242" s="55" t="str">
        <f>HYPERLINK("https://jobright.ai/jobs/info/6680c7fe4a4952ee34ca0799?utm_campaign=1051&amp;utm_source=sheet", "Apply")</f>
        <v>Apply</v>
      </c>
      <c r="C242" s="10" t="s">
        <v>15838</v>
      </c>
      <c r="D242" s="56" t="s">
        <v>15839</v>
      </c>
      <c r="E242" s="10">
        <v>4852.0</v>
      </c>
      <c r="G242" s="10" t="s">
        <v>15829</v>
      </c>
      <c r="H242" s="10" t="s">
        <v>9894</v>
      </c>
      <c r="I242" s="10" t="s">
        <v>55</v>
      </c>
      <c r="K242" s="10" t="s">
        <v>15851</v>
      </c>
      <c r="L242" s="10" t="s">
        <v>42</v>
      </c>
    </row>
    <row r="243" ht="15.75" customHeight="1">
      <c r="A243" s="66">
        <v>45490.0</v>
      </c>
      <c r="B243" s="55" t="str">
        <f>HYPERLINK("https://jobright.ai/jobs/info/669860e6cc1bbc4f07715632?utm_campaign=1051&amp;utm_source=sheet", "Apply")</f>
        <v>Apply</v>
      </c>
      <c r="C243" s="10" t="s">
        <v>15838</v>
      </c>
      <c r="D243" s="56" t="s">
        <v>15839</v>
      </c>
      <c r="E243" s="10">
        <v>4852.0</v>
      </c>
      <c r="G243" s="10" t="s">
        <v>15829</v>
      </c>
      <c r="H243" s="10" t="s">
        <v>16300</v>
      </c>
      <c r="I243" s="10" t="s">
        <v>55</v>
      </c>
      <c r="K243" s="10" t="s">
        <v>15851</v>
      </c>
      <c r="L243" s="10" t="s">
        <v>42</v>
      </c>
    </row>
    <row r="244" ht="15.75" customHeight="1">
      <c r="A244" s="66">
        <v>45490.0</v>
      </c>
      <c r="B244" s="55" t="str">
        <f>HYPERLINK("https://jobright.ai/jobs/info/6680c7fe4a4952ee34ca0783?utm_campaign=1051&amp;utm_source=sheet", "Apply")</f>
        <v>Apply</v>
      </c>
      <c r="C244" s="10" t="s">
        <v>15838</v>
      </c>
      <c r="D244" s="56" t="s">
        <v>15839</v>
      </c>
      <c r="E244" s="10">
        <v>4852.0</v>
      </c>
      <c r="G244" s="10" t="s">
        <v>15829</v>
      </c>
      <c r="H244" s="10" t="s">
        <v>4292</v>
      </c>
      <c r="I244" s="10" t="s">
        <v>55</v>
      </c>
      <c r="J244" s="10" t="s">
        <v>15873</v>
      </c>
      <c r="K244" s="10" t="s">
        <v>15840</v>
      </c>
      <c r="L244" s="10" t="s">
        <v>42</v>
      </c>
    </row>
    <row r="245" ht="15.75" customHeight="1">
      <c r="A245" s="66">
        <v>45490.0</v>
      </c>
      <c r="B245" s="55" t="str">
        <f>HYPERLINK("https://jobright.ai/jobs/info/668636eac3a227946a5ec3c3?utm_campaign=1051&amp;utm_source=sheet", "Apply")</f>
        <v>Apply</v>
      </c>
      <c r="C245" s="10" t="s">
        <v>15838</v>
      </c>
      <c r="D245" s="56" t="s">
        <v>15839</v>
      </c>
      <c r="E245" s="10">
        <v>4852.0</v>
      </c>
      <c r="G245" s="10" t="s">
        <v>15829</v>
      </c>
      <c r="H245" s="10" t="s">
        <v>1041</v>
      </c>
      <c r="I245" s="10" t="s">
        <v>55</v>
      </c>
      <c r="K245" s="10" t="s">
        <v>15843</v>
      </c>
      <c r="L245" s="10" t="s">
        <v>42</v>
      </c>
    </row>
    <row r="246" ht="15.75" customHeight="1">
      <c r="A246" s="66">
        <v>45490.0</v>
      </c>
      <c r="B246" s="55" t="str">
        <f>HYPERLINK("https://jobright.ai/jobs/info/6677b36cd57a2b58a480dcfd?utm_campaign=1051&amp;utm_source=sheet", "Apply")</f>
        <v>Apply</v>
      </c>
      <c r="C246" s="10" t="s">
        <v>15838</v>
      </c>
      <c r="D246" s="56" t="s">
        <v>15839</v>
      </c>
      <c r="E246" s="10">
        <v>4852.0</v>
      </c>
      <c r="G246" s="10" t="s">
        <v>15829</v>
      </c>
      <c r="H246" s="10" t="s">
        <v>875</v>
      </c>
      <c r="I246" s="10" t="s">
        <v>55</v>
      </c>
      <c r="K246" s="10" t="s">
        <v>15843</v>
      </c>
      <c r="L246" s="10" t="s">
        <v>42</v>
      </c>
    </row>
    <row r="247" ht="15.75" customHeight="1">
      <c r="A247" s="66">
        <v>45490.0</v>
      </c>
      <c r="B247" s="55" t="str">
        <f>HYPERLINK("https://jobright.ai/jobs/info/6684911323fbc70f728ba25b?utm_campaign=1051&amp;utm_source=sheet", "Apply")</f>
        <v>Apply</v>
      </c>
      <c r="C247" s="10" t="s">
        <v>15838</v>
      </c>
      <c r="D247" s="56" t="s">
        <v>15839</v>
      </c>
      <c r="E247" s="10">
        <v>4852.0</v>
      </c>
      <c r="G247" s="10" t="s">
        <v>15829</v>
      </c>
      <c r="H247" s="10" t="s">
        <v>1005</v>
      </c>
      <c r="I247" s="10" t="s">
        <v>55</v>
      </c>
      <c r="K247" s="10" t="s">
        <v>15851</v>
      </c>
      <c r="L247" s="10" t="s">
        <v>42</v>
      </c>
    </row>
    <row r="248" ht="15.75" customHeight="1">
      <c r="A248" s="66">
        <v>45490.0</v>
      </c>
      <c r="B248" s="55" t="str">
        <f>HYPERLINK("https://jobright.ai/jobs/info/666e7a669acf8274b454c35f?utm_campaign=1051&amp;utm_source=sheet", "Apply")</f>
        <v>Apply</v>
      </c>
      <c r="C248" s="10" t="s">
        <v>15838</v>
      </c>
      <c r="D248" s="56" t="s">
        <v>15839</v>
      </c>
      <c r="E248" s="10">
        <v>4852.0</v>
      </c>
      <c r="G248" s="10" t="s">
        <v>15829</v>
      </c>
      <c r="H248" s="10" t="s">
        <v>371</v>
      </c>
      <c r="I248" s="10" t="s">
        <v>55</v>
      </c>
      <c r="K248" s="10" t="s">
        <v>15843</v>
      </c>
      <c r="L248" s="10" t="s">
        <v>42</v>
      </c>
    </row>
    <row r="249" ht="15.75" customHeight="1">
      <c r="A249" s="66">
        <v>45490.0</v>
      </c>
      <c r="B249" s="55" t="str">
        <f>HYPERLINK("https://jobright.ai/jobs/info/66985e5a48d5b075115a1460?utm_campaign=1051&amp;utm_source=sheet", "Apply")</f>
        <v>Apply</v>
      </c>
      <c r="C249" s="10" t="s">
        <v>15838</v>
      </c>
      <c r="D249" s="56" t="s">
        <v>15839</v>
      </c>
      <c r="E249" s="10">
        <v>4852.0</v>
      </c>
      <c r="G249" s="10" t="s">
        <v>15829</v>
      </c>
      <c r="H249" s="10" t="s">
        <v>13678</v>
      </c>
      <c r="I249" s="10" t="s">
        <v>55</v>
      </c>
      <c r="K249" s="10" t="s">
        <v>15851</v>
      </c>
      <c r="L249" s="10" t="s">
        <v>42</v>
      </c>
    </row>
    <row r="250" ht="15.75" customHeight="1">
      <c r="A250" s="66">
        <v>45490.0</v>
      </c>
      <c r="B250" s="55" t="str">
        <f>HYPERLINK("https://jobright.ai/jobs/info/66984c68a353cfcf9467f191?utm_campaign=1051&amp;utm_source=sheet", "Apply")</f>
        <v>Apply</v>
      </c>
      <c r="C250" s="10" t="s">
        <v>15838</v>
      </c>
      <c r="D250" s="56" t="s">
        <v>15839</v>
      </c>
      <c r="E250" s="10">
        <v>4852.0</v>
      </c>
      <c r="G250" s="10" t="s">
        <v>15829</v>
      </c>
      <c r="H250" s="10" t="s">
        <v>229</v>
      </c>
      <c r="I250" s="10" t="s">
        <v>55</v>
      </c>
      <c r="K250" s="10" t="s">
        <v>15851</v>
      </c>
      <c r="L250" s="10" t="s">
        <v>42</v>
      </c>
    </row>
    <row r="251" ht="15.75" customHeight="1">
      <c r="A251" s="66">
        <v>45490.0</v>
      </c>
      <c r="B251" s="55" t="str">
        <f>HYPERLINK("https://jobright.ai/jobs/info/66801002837d16e3277f5aed?utm_campaign=1051&amp;utm_source=sheet", "Apply")</f>
        <v>Apply</v>
      </c>
      <c r="C251" s="10" t="s">
        <v>15838</v>
      </c>
      <c r="D251" s="56" t="s">
        <v>15839</v>
      </c>
      <c r="E251" s="10">
        <v>4852.0</v>
      </c>
      <c r="G251" s="10" t="s">
        <v>15829</v>
      </c>
      <c r="H251" s="10" t="s">
        <v>5320</v>
      </c>
      <c r="I251" s="10" t="s">
        <v>55</v>
      </c>
      <c r="K251" s="10" t="s">
        <v>15843</v>
      </c>
      <c r="L251" s="10" t="s">
        <v>42</v>
      </c>
    </row>
    <row r="252" ht="15.75" customHeight="1">
      <c r="A252" s="66">
        <v>45490.0</v>
      </c>
      <c r="B252" s="55" t="str">
        <f>HYPERLINK("https://jobright.ai/jobs/info/66920fa75f4e680a67db1441?utm_campaign=1051&amp;utm_source=sheet", "Apply")</f>
        <v>Apply</v>
      </c>
      <c r="C252" s="10" t="s">
        <v>16301</v>
      </c>
      <c r="D252" s="56" t="s">
        <v>1650</v>
      </c>
      <c r="E252" s="10" t="s">
        <v>209</v>
      </c>
      <c r="F252" s="10" t="s">
        <v>1243</v>
      </c>
      <c r="G252" s="10" t="s">
        <v>100</v>
      </c>
      <c r="H252" s="10" t="s">
        <v>923</v>
      </c>
      <c r="I252" s="10" t="s">
        <v>55</v>
      </c>
      <c r="K252" s="10" t="s">
        <v>16302</v>
      </c>
      <c r="L252" s="10" t="s">
        <v>42</v>
      </c>
    </row>
    <row r="253" ht="15.75" customHeight="1">
      <c r="A253" s="66">
        <v>45490.0</v>
      </c>
      <c r="B253" s="55" t="str">
        <f>HYPERLINK("https://jobright.ai/jobs/info/66980d140928a59504a86893?utm_campaign=1051&amp;utm_source=sheet", "Apply")</f>
        <v>Apply</v>
      </c>
      <c r="C253" s="10" t="s">
        <v>16303</v>
      </c>
      <c r="D253" s="56" t="s">
        <v>2192</v>
      </c>
      <c r="E253" s="10" t="s">
        <v>137</v>
      </c>
      <c r="F253" s="10" t="s">
        <v>2193</v>
      </c>
      <c r="G253" s="10" t="s">
        <v>100</v>
      </c>
      <c r="H253" s="10" t="s">
        <v>9748</v>
      </c>
      <c r="I253" s="10" t="s">
        <v>55</v>
      </c>
      <c r="J253" s="10" t="s">
        <v>1984</v>
      </c>
      <c r="K253" s="10" t="s">
        <v>16304</v>
      </c>
      <c r="L253" s="10" t="s">
        <v>42</v>
      </c>
    </row>
    <row r="254" ht="15.75" customHeight="1">
      <c r="A254" s="66">
        <v>45490.0</v>
      </c>
      <c r="B254" s="55" t="str">
        <f>HYPERLINK("https://jobright.ai/jobs/info/66983a6dd3c641c08c621cc1?utm_campaign=1051&amp;utm_source=sheet", "Apply")</f>
        <v>Apply</v>
      </c>
      <c r="C254" s="10" t="s">
        <v>16206</v>
      </c>
      <c r="D254" s="56" t="s">
        <v>9821</v>
      </c>
      <c r="E254" s="10" t="s">
        <v>45</v>
      </c>
      <c r="F254" s="10" t="s">
        <v>3594</v>
      </c>
      <c r="G254" s="10" t="s">
        <v>15814</v>
      </c>
      <c r="H254" s="10" t="s">
        <v>1025</v>
      </c>
      <c r="I254" s="10" t="s">
        <v>55</v>
      </c>
      <c r="K254" s="10" t="s">
        <v>16305</v>
      </c>
      <c r="L254" s="10" t="s">
        <v>42</v>
      </c>
    </row>
    <row r="255" ht="15.75" customHeight="1">
      <c r="A255" s="66">
        <v>45490.0</v>
      </c>
      <c r="B255" s="55" t="str">
        <f>HYPERLINK("https://jobright.ai/jobs/info/6697baa06cde579742e594cf?utm_campaign=1051&amp;utm_source=sheet", "Apply")</f>
        <v>Apply</v>
      </c>
      <c r="C255" s="10" t="s">
        <v>16306</v>
      </c>
      <c r="D255" s="56" t="s">
        <v>9821</v>
      </c>
      <c r="E255" s="10" t="s">
        <v>45</v>
      </c>
      <c r="F255" s="10" t="s">
        <v>3594</v>
      </c>
      <c r="G255" s="10" t="s">
        <v>15793</v>
      </c>
      <c r="H255" s="10" t="s">
        <v>1160</v>
      </c>
      <c r="I255" s="10" t="s">
        <v>48</v>
      </c>
      <c r="K255" s="10" t="s">
        <v>16307</v>
      </c>
      <c r="L255" s="10" t="s">
        <v>42</v>
      </c>
    </row>
    <row r="256" ht="15.75" customHeight="1">
      <c r="A256" s="66">
        <v>45490.0</v>
      </c>
      <c r="B256" s="55" t="str">
        <f>HYPERLINK("https://jobright.ai/jobs/info/669e4a8ff83876d69a9041a9?utm_campaign=1051&amp;utm_source=sheet", "Apply")</f>
        <v>Apply</v>
      </c>
      <c r="C256" s="10" t="s">
        <v>16308</v>
      </c>
      <c r="D256" s="56" t="s">
        <v>5146</v>
      </c>
      <c r="E256" s="10" t="s">
        <v>65</v>
      </c>
      <c r="F256" s="10" t="s">
        <v>5147</v>
      </c>
      <c r="G256" s="10" t="s">
        <v>15793</v>
      </c>
      <c r="H256" s="10" t="s">
        <v>5148</v>
      </c>
      <c r="I256" s="10" t="s">
        <v>55</v>
      </c>
      <c r="L256" s="10" t="s">
        <v>42</v>
      </c>
    </row>
    <row r="257" ht="15.75" customHeight="1">
      <c r="A257" s="66">
        <v>45490.0</v>
      </c>
      <c r="B257" s="55" t="str">
        <f>HYPERLINK("https://jobright.ai/jobs/info/667b26109203035440fbeab4?utm_campaign=1051&amp;utm_source=sheet", "Apply")</f>
        <v>Apply</v>
      </c>
      <c r="C257" s="10" t="s">
        <v>16309</v>
      </c>
      <c r="D257" s="56" t="s">
        <v>2682</v>
      </c>
      <c r="E257" s="10" t="s">
        <v>45</v>
      </c>
      <c r="F257" s="10" t="s">
        <v>1357</v>
      </c>
      <c r="G257" s="10" t="s">
        <v>15829</v>
      </c>
      <c r="H257" s="10" t="s">
        <v>1007</v>
      </c>
      <c r="I257" s="10" t="s">
        <v>55</v>
      </c>
      <c r="K257" s="10" t="s">
        <v>16310</v>
      </c>
      <c r="L257" s="10" t="s">
        <v>42</v>
      </c>
    </row>
    <row r="258" ht="15.75" customHeight="1">
      <c r="A258" s="66">
        <v>45490.0</v>
      </c>
      <c r="B258" s="55" t="str">
        <f>HYPERLINK("https://jobright.ai/jobs/info/663125486f8c201d71a1b609?utm_campaign=1051&amp;utm_source=sheet", "Apply")</f>
        <v>Apply</v>
      </c>
      <c r="C258" s="10" t="s">
        <v>15918</v>
      </c>
      <c r="D258" s="56" t="s">
        <v>16311</v>
      </c>
      <c r="E258" s="10" t="s">
        <v>45</v>
      </c>
      <c r="F258" s="10" t="s">
        <v>16312</v>
      </c>
      <c r="G258" s="10" t="s">
        <v>15784</v>
      </c>
      <c r="H258" s="10" t="s">
        <v>3302</v>
      </c>
      <c r="I258" s="10" t="s">
        <v>252</v>
      </c>
      <c r="K258" s="10" t="s">
        <v>16313</v>
      </c>
      <c r="L258" s="10" t="s">
        <v>42</v>
      </c>
    </row>
    <row r="259" ht="15.75" customHeight="1">
      <c r="A259" s="66">
        <v>45490.0</v>
      </c>
      <c r="B259" s="55" t="str">
        <f>HYPERLINK("https://jobright.ai/jobs/info/662975b8681d31a56d6b4cd5?utm_campaign=1051&amp;utm_source=sheet", "Apply")</f>
        <v>Apply</v>
      </c>
      <c r="C259" s="10" t="s">
        <v>15985</v>
      </c>
      <c r="D259" s="56" t="s">
        <v>15986</v>
      </c>
      <c r="E259" s="10" t="s">
        <v>65</v>
      </c>
      <c r="F259" s="10" t="s">
        <v>9860</v>
      </c>
      <c r="G259" s="10" t="s">
        <v>15793</v>
      </c>
      <c r="H259" s="10" t="s">
        <v>1008</v>
      </c>
      <c r="I259" s="10" t="s">
        <v>55</v>
      </c>
      <c r="K259" s="10" t="s">
        <v>15987</v>
      </c>
      <c r="L259" s="10" t="s">
        <v>42</v>
      </c>
    </row>
    <row r="260" ht="15.75" customHeight="1">
      <c r="A260" s="66">
        <v>45490.0</v>
      </c>
      <c r="B260" s="55" t="str">
        <f>HYPERLINK("https://jobright.ai/jobs/info/66742cad668628c49c216178?utm_campaign=1051&amp;utm_source=sheet", "Apply")</f>
        <v>Apply</v>
      </c>
      <c r="C260" s="10" t="s">
        <v>16309</v>
      </c>
      <c r="D260" s="56" t="s">
        <v>2682</v>
      </c>
      <c r="E260" s="10" t="s">
        <v>45</v>
      </c>
      <c r="F260" s="10" t="s">
        <v>1357</v>
      </c>
      <c r="G260" s="10" t="s">
        <v>15829</v>
      </c>
      <c r="H260" s="10" t="s">
        <v>2241</v>
      </c>
      <c r="I260" s="10" t="s">
        <v>55</v>
      </c>
      <c r="K260" s="10" t="s">
        <v>16310</v>
      </c>
      <c r="L260" s="10" t="s">
        <v>42</v>
      </c>
    </row>
    <row r="261" ht="15.75" customHeight="1">
      <c r="A261" s="66">
        <v>45490.0</v>
      </c>
      <c r="B261" s="55" t="str">
        <f>HYPERLINK("https://jobright.ai/jobs/info/667aff7503d2be2d7bf834b9?utm_campaign=1051&amp;utm_source=sheet", "Apply")</f>
        <v>Apply</v>
      </c>
      <c r="C261" s="10" t="s">
        <v>16314</v>
      </c>
      <c r="D261" s="56" t="s">
        <v>10169</v>
      </c>
      <c r="E261" s="10" t="s">
        <v>45</v>
      </c>
      <c r="F261" s="10" t="s">
        <v>10170</v>
      </c>
      <c r="G261" s="10" t="s">
        <v>15784</v>
      </c>
      <c r="H261" s="10" t="s">
        <v>938</v>
      </c>
      <c r="I261" s="10" t="s">
        <v>55</v>
      </c>
      <c r="J261" s="10" t="s">
        <v>1960</v>
      </c>
      <c r="K261" s="10" t="s">
        <v>16277</v>
      </c>
      <c r="L261" s="10" t="s">
        <v>42</v>
      </c>
    </row>
    <row r="262" ht="15.75" customHeight="1">
      <c r="A262" s="66">
        <v>45490.0</v>
      </c>
      <c r="B262" s="55" t="str">
        <f>HYPERLINK("https://jobright.ai/jobs/info/667b0a89b4d737a87d6e805a?utm_campaign=1051&amp;utm_source=sheet", "Apply")</f>
        <v>Apply</v>
      </c>
      <c r="C262" s="10" t="s">
        <v>16315</v>
      </c>
      <c r="D262" s="56" t="s">
        <v>10169</v>
      </c>
      <c r="E262" s="10" t="s">
        <v>45</v>
      </c>
      <c r="F262" s="10" t="s">
        <v>10170</v>
      </c>
      <c r="G262" s="10" t="s">
        <v>15784</v>
      </c>
      <c r="H262" s="10" t="s">
        <v>472</v>
      </c>
      <c r="I262" s="10" t="s">
        <v>55</v>
      </c>
      <c r="J262" s="10" t="s">
        <v>1960</v>
      </c>
      <c r="K262" s="10" t="s">
        <v>16316</v>
      </c>
      <c r="L262" s="10" t="s">
        <v>42</v>
      </c>
    </row>
    <row r="263" ht="15.75" customHeight="1">
      <c r="A263" s="66">
        <v>45490.0</v>
      </c>
      <c r="B263" s="55" t="str">
        <f>HYPERLINK("https://jobright.ai/jobs/info/6675868424f553052c296faf?utm_campaign=1051&amp;utm_source=sheet", "Apply")</f>
        <v>Apply</v>
      </c>
      <c r="C263" s="10" t="s">
        <v>16317</v>
      </c>
      <c r="D263" s="56" t="s">
        <v>14148</v>
      </c>
      <c r="E263" s="10" t="s">
        <v>65</v>
      </c>
      <c r="F263" s="10" t="s">
        <v>14149</v>
      </c>
      <c r="G263" s="10" t="s">
        <v>15829</v>
      </c>
      <c r="H263" s="10" t="s">
        <v>255</v>
      </c>
      <c r="I263" s="10" t="s">
        <v>55</v>
      </c>
      <c r="J263" s="10" t="s">
        <v>1761</v>
      </c>
      <c r="K263" s="10" t="s">
        <v>16281</v>
      </c>
      <c r="L263" s="10" t="s">
        <v>42</v>
      </c>
    </row>
    <row r="264" ht="15.75" customHeight="1">
      <c r="A264" s="66">
        <v>45490.0</v>
      </c>
      <c r="B264" s="55" t="str">
        <f>HYPERLINK("https://jobright.ai/jobs/info/665df85e7b43c6f5f9d472f6?utm_campaign=1051&amp;utm_source=sheet", "Apply")</f>
        <v>Apply</v>
      </c>
      <c r="C264" s="10" t="s">
        <v>16278</v>
      </c>
      <c r="D264" s="56" t="s">
        <v>4225</v>
      </c>
      <c r="E264" s="10" t="s">
        <v>209</v>
      </c>
      <c r="F264" s="10" t="s">
        <v>4226</v>
      </c>
      <c r="G264" s="10" t="s">
        <v>15793</v>
      </c>
      <c r="H264" s="10" t="s">
        <v>16318</v>
      </c>
      <c r="I264" s="10" t="s">
        <v>55</v>
      </c>
      <c r="K264" s="10" t="s">
        <v>16279</v>
      </c>
      <c r="L264" s="10" t="s">
        <v>42</v>
      </c>
    </row>
    <row r="265" ht="15.75" customHeight="1">
      <c r="A265" s="66">
        <v>45490.0</v>
      </c>
      <c r="B265" s="55" t="str">
        <f>HYPERLINK("https://jobright.ai/jobs/info/667aff7503d2be2d7bf83477?utm_campaign=1051&amp;utm_source=sheet", "Apply")</f>
        <v>Apply</v>
      </c>
      <c r="C265" s="10" t="s">
        <v>16319</v>
      </c>
      <c r="D265" s="56" t="s">
        <v>10169</v>
      </c>
      <c r="E265" s="10" t="s">
        <v>45</v>
      </c>
      <c r="F265" s="10" t="s">
        <v>10170</v>
      </c>
      <c r="G265" s="10" t="s">
        <v>15784</v>
      </c>
      <c r="H265" s="10" t="s">
        <v>925</v>
      </c>
      <c r="I265" s="10" t="s">
        <v>55</v>
      </c>
      <c r="J265" s="10" t="s">
        <v>1960</v>
      </c>
      <c r="K265" s="10" t="s">
        <v>16277</v>
      </c>
      <c r="L265" s="10" t="s">
        <v>42</v>
      </c>
    </row>
    <row r="266" ht="15.75" customHeight="1">
      <c r="A266" s="66">
        <v>45490.0</v>
      </c>
      <c r="B266" s="55" t="str">
        <f>HYPERLINK("https://jobright.ai/jobs/info/667b52a7777bd4167efd197f?utm_campaign=1051&amp;utm_source=sheet", "Apply")</f>
        <v>Apply</v>
      </c>
      <c r="C266" s="10" t="s">
        <v>16320</v>
      </c>
      <c r="D266" s="56" t="s">
        <v>9671</v>
      </c>
      <c r="E266" s="10" t="s">
        <v>45</v>
      </c>
      <c r="F266" s="10" t="s">
        <v>1084</v>
      </c>
      <c r="G266" s="10" t="s">
        <v>15854</v>
      </c>
      <c r="H266" s="10" t="s">
        <v>131</v>
      </c>
      <c r="I266" s="10" t="s">
        <v>55</v>
      </c>
      <c r="J266" s="10" t="s">
        <v>10332</v>
      </c>
      <c r="K266" s="10" t="s">
        <v>16321</v>
      </c>
      <c r="L266" s="10" t="s">
        <v>42</v>
      </c>
    </row>
    <row r="267" ht="15.75" customHeight="1">
      <c r="A267" s="66">
        <v>45490.0</v>
      </c>
      <c r="B267" s="55" t="str">
        <f>HYPERLINK("https://jobright.ai/jobs/info/667b0a89b4d737a87d6e806d?utm_campaign=1051&amp;utm_source=sheet", "Apply")</f>
        <v>Apply</v>
      </c>
      <c r="C267" s="10" t="s">
        <v>16322</v>
      </c>
      <c r="D267" s="56" t="s">
        <v>10169</v>
      </c>
      <c r="E267" s="10" t="s">
        <v>45</v>
      </c>
      <c r="F267" s="10" t="s">
        <v>10170</v>
      </c>
      <c r="G267" s="10" t="s">
        <v>15784</v>
      </c>
      <c r="H267" s="10" t="s">
        <v>818</v>
      </c>
      <c r="I267" s="10" t="s">
        <v>55</v>
      </c>
      <c r="J267" s="10" t="s">
        <v>1960</v>
      </c>
      <c r="K267" s="10" t="s">
        <v>16316</v>
      </c>
      <c r="L267" s="10" t="s">
        <v>42</v>
      </c>
    </row>
    <row r="268" ht="15.75" customHeight="1">
      <c r="A268" s="66">
        <v>45490.0</v>
      </c>
      <c r="B268" s="55" t="str">
        <f>HYPERLINK("https://jobright.ai/jobs/info/667aff7503d2be2d7bf83481?utm_campaign=1051&amp;utm_source=sheet", "Apply")</f>
        <v>Apply</v>
      </c>
      <c r="C268" s="10" t="s">
        <v>16323</v>
      </c>
      <c r="D268" s="56" t="s">
        <v>10169</v>
      </c>
      <c r="E268" s="10" t="s">
        <v>45</v>
      </c>
      <c r="F268" s="10" t="s">
        <v>10170</v>
      </c>
      <c r="G268" s="10" t="s">
        <v>15784</v>
      </c>
      <c r="H268" s="10" t="s">
        <v>16324</v>
      </c>
      <c r="I268" s="10" t="s">
        <v>55</v>
      </c>
      <c r="J268" s="10" t="s">
        <v>1960</v>
      </c>
      <c r="K268" s="10" t="s">
        <v>16316</v>
      </c>
      <c r="L268" s="10" t="s">
        <v>42</v>
      </c>
    </row>
    <row r="269" ht="15.75" customHeight="1">
      <c r="A269" s="66">
        <v>45490.0</v>
      </c>
      <c r="B269" s="55" t="str">
        <f>HYPERLINK("https://jobright.ai/jobs/info/667aff7503d2be2d7bf8347a?utm_campaign=1051&amp;utm_source=sheet", "Apply")</f>
        <v>Apply</v>
      </c>
      <c r="C269" s="10" t="s">
        <v>16325</v>
      </c>
      <c r="D269" s="56" t="s">
        <v>10169</v>
      </c>
      <c r="E269" s="10" t="s">
        <v>45</v>
      </c>
      <c r="F269" s="10" t="s">
        <v>10170</v>
      </c>
      <c r="G269" s="10" t="s">
        <v>15784</v>
      </c>
      <c r="H269" s="10" t="s">
        <v>1022</v>
      </c>
      <c r="I269" s="10" t="s">
        <v>55</v>
      </c>
      <c r="J269" s="10" t="s">
        <v>1960</v>
      </c>
      <c r="K269" s="10" t="s">
        <v>16316</v>
      </c>
      <c r="L269" s="10" t="s">
        <v>42</v>
      </c>
    </row>
    <row r="270" ht="15.75" customHeight="1">
      <c r="A270" s="66">
        <v>45490.0</v>
      </c>
      <c r="B270" s="55" t="str">
        <f>HYPERLINK("https://jobright.ai/jobs/info/666c254241bd8bbbc79fda26?utm_campaign=1051&amp;utm_source=sheet", "Apply")</f>
        <v>Apply</v>
      </c>
      <c r="C270" s="10" t="s">
        <v>16326</v>
      </c>
      <c r="D270" s="56" t="s">
        <v>16327</v>
      </c>
      <c r="E270" s="10" t="s">
        <v>65</v>
      </c>
      <c r="F270" s="10" t="s">
        <v>2274</v>
      </c>
      <c r="G270" s="10" t="s">
        <v>15829</v>
      </c>
      <c r="H270" s="10" t="s">
        <v>411</v>
      </c>
      <c r="I270" s="10" t="s">
        <v>55</v>
      </c>
      <c r="K270" s="10" t="s">
        <v>16328</v>
      </c>
      <c r="L270" s="10" t="s">
        <v>42</v>
      </c>
    </row>
    <row r="271" ht="15.75" customHeight="1">
      <c r="A271" s="66">
        <v>45490.0</v>
      </c>
      <c r="B271" s="55" t="str">
        <f>HYPERLINK("https://jobright.ai/jobs/info/6677e2c5783a239da8418aa3?utm_campaign=1051&amp;utm_source=sheet", "Apply")</f>
        <v>Apply</v>
      </c>
      <c r="C271" s="10" t="s">
        <v>16329</v>
      </c>
      <c r="D271" s="56" t="s">
        <v>16327</v>
      </c>
      <c r="E271" s="10" t="s">
        <v>65</v>
      </c>
      <c r="F271" s="10" t="s">
        <v>2274</v>
      </c>
      <c r="G271" s="10" t="s">
        <v>15829</v>
      </c>
      <c r="H271" s="10" t="s">
        <v>411</v>
      </c>
      <c r="I271" s="10" t="s">
        <v>55</v>
      </c>
      <c r="K271" s="10" t="s">
        <v>16330</v>
      </c>
      <c r="L271" s="10" t="s">
        <v>42</v>
      </c>
    </row>
    <row r="272" ht="15.75" customHeight="1">
      <c r="A272" s="66">
        <v>45490.0</v>
      </c>
      <c r="B272" s="55" t="str">
        <f>HYPERLINK("https://jobright.ai/jobs/info/665de5f7d85067ba847b5397?utm_campaign=1051&amp;utm_source=sheet", "Apply")</f>
        <v>Apply</v>
      </c>
      <c r="C272" s="10" t="s">
        <v>16278</v>
      </c>
      <c r="D272" s="56" t="s">
        <v>4225</v>
      </c>
      <c r="E272" s="10" t="s">
        <v>209</v>
      </c>
      <c r="F272" s="10" t="s">
        <v>4226</v>
      </c>
      <c r="G272" s="10" t="s">
        <v>15793</v>
      </c>
      <c r="H272" s="10" t="s">
        <v>3371</v>
      </c>
      <c r="I272" s="10" t="s">
        <v>55</v>
      </c>
      <c r="K272" s="10" t="s">
        <v>16279</v>
      </c>
      <c r="L272" s="10" t="s">
        <v>42</v>
      </c>
    </row>
    <row r="273" ht="15.75" customHeight="1">
      <c r="A273" s="66">
        <v>45490.0</v>
      </c>
      <c r="B273" s="55" t="str">
        <f>HYPERLINK("https://jobright.ai/jobs/info/65a169c63e503d73bdf54458?utm_campaign=1051&amp;utm_source=sheet", "Apply")</f>
        <v>Apply</v>
      </c>
      <c r="C273" s="10" t="s">
        <v>16331</v>
      </c>
      <c r="D273" s="56" t="s">
        <v>16332</v>
      </c>
      <c r="E273" s="10" t="s">
        <v>65</v>
      </c>
      <c r="F273" s="10" t="s">
        <v>3382</v>
      </c>
      <c r="G273" s="10" t="s">
        <v>15793</v>
      </c>
      <c r="H273" s="10" t="s">
        <v>666</v>
      </c>
      <c r="I273" s="10" t="s">
        <v>48</v>
      </c>
      <c r="J273" s="10" t="s">
        <v>16333</v>
      </c>
      <c r="K273" s="10" t="s">
        <v>16334</v>
      </c>
      <c r="L273" s="10" t="s">
        <v>42</v>
      </c>
    </row>
    <row r="274" ht="15.75" customHeight="1">
      <c r="A274" s="66">
        <v>45490.0</v>
      </c>
      <c r="B274" s="55" t="str">
        <f>HYPERLINK("https://jobright.ai/jobs/info/667b05faafa22422d18a9301?utm_campaign=1051&amp;utm_source=sheet", "Apply")</f>
        <v>Apply</v>
      </c>
      <c r="C274" s="10" t="s">
        <v>16335</v>
      </c>
      <c r="D274" s="56" t="s">
        <v>10169</v>
      </c>
      <c r="E274" s="10" t="s">
        <v>45</v>
      </c>
      <c r="F274" s="10" t="s">
        <v>10170</v>
      </c>
      <c r="G274" s="10" t="s">
        <v>15784</v>
      </c>
      <c r="H274" s="10" t="s">
        <v>1026</v>
      </c>
      <c r="I274" s="10" t="s">
        <v>55</v>
      </c>
      <c r="J274" s="10" t="s">
        <v>1960</v>
      </c>
      <c r="K274" s="10" t="s">
        <v>16316</v>
      </c>
      <c r="L274" s="10" t="s">
        <v>42</v>
      </c>
    </row>
    <row r="275" ht="15.75" customHeight="1">
      <c r="A275" s="66">
        <v>45490.0</v>
      </c>
      <c r="B275" s="55" t="str">
        <f>HYPERLINK("https://jobright.ai/jobs/info/667b18f3ced231a4649d9540?utm_campaign=1051&amp;utm_source=sheet", "Apply")</f>
        <v>Apply</v>
      </c>
      <c r="C275" s="10" t="s">
        <v>16336</v>
      </c>
      <c r="D275" s="56" t="s">
        <v>10169</v>
      </c>
      <c r="E275" s="10" t="s">
        <v>45</v>
      </c>
      <c r="F275" s="10" t="s">
        <v>10170</v>
      </c>
      <c r="G275" s="10" t="s">
        <v>15784</v>
      </c>
      <c r="H275" s="10" t="s">
        <v>661</v>
      </c>
      <c r="I275" s="10" t="s">
        <v>55</v>
      </c>
      <c r="J275" s="10" t="s">
        <v>1960</v>
      </c>
      <c r="K275" s="10" t="s">
        <v>16277</v>
      </c>
      <c r="L275" s="10" t="s">
        <v>42</v>
      </c>
    </row>
    <row r="276" ht="15.75" customHeight="1">
      <c r="A276" s="66">
        <v>45490.0</v>
      </c>
      <c r="B276" s="55" t="str">
        <f>HYPERLINK("https://jobright.ai/jobs/info/665de5ecd85067ba847b5335?utm_campaign=1051&amp;utm_source=sheet", "Apply")</f>
        <v>Apply</v>
      </c>
      <c r="C276" s="10" t="s">
        <v>16278</v>
      </c>
      <c r="D276" s="56" t="s">
        <v>4225</v>
      </c>
      <c r="E276" s="10" t="s">
        <v>209</v>
      </c>
      <c r="F276" s="10" t="s">
        <v>4226</v>
      </c>
      <c r="G276" s="10" t="s">
        <v>15793</v>
      </c>
      <c r="H276" s="10" t="s">
        <v>4279</v>
      </c>
      <c r="I276" s="10" t="s">
        <v>55</v>
      </c>
      <c r="K276" s="10" t="s">
        <v>16279</v>
      </c>
      <c r="L276" s="10" t="s">
        <v>42</v>
      </c>
    </row>
    <row r="277" ht="15.75" customHeight="1">
      <c r="A277" s="66">
        <v>45490.0</v>
      </c>
      <c r="B277" s="55" t="str">
        <f>HYPERLINK("https://jobright.ai/jobs/info/667b0a7eb4d737a87d6e8007?utm_campaign=1051&amp;utm_source=sheet", "Apply")</f>
        <v>Apply</v>
      </c>
      <c r="C277" s="10" t="s">
        <v>16337</v>
      </c>
      <c r="D277" s="56" t="s">
        <v>10169</v>
      </c>
      <c r="E277" s="10" t="s">
        <v>45</v>
      </c>
      <c r="F277" s="10" t="s">
        <v>10170</v>
      </c>
      <c r="G277" s="10" t="s">
        <v>15784</v>
      </c>
      <c r="H277" s="10" t="s">
        <v>16338</v>
      </c>
      <c r="I277" s="10" t="s">
        <v>55</v>
      </c>
      <c r="J277" s="10" t="s">
        <v>1960</v>
      </c>
      <c r="K277" s="10" t="s">
        <v>16277</v>
      </c>
      <c r="L277" s="10" t="s">
        <v>42</v>
      </c>
    </row>
    <row r="278" ht="15.75" customHeight="1">
      <c r="A278" s="66">
        <v>45490.0</v>
      </c>
      <c r="B278" s="55" t="str">
        <f>HYPERLINK("https://jobright.ai/jobs/info/667aff7503d2be2d7bf83474?utm_campaign=1051&amp;utm_source=sheet", "Apply")</f>
        <v>Apply</v>
      </c>
      <c r="C278" s="10" t="s">
        <v>16339</v>
      </c>
      <c r="D278" s="56" t="s">
        <v>10169</v>
      </c>
      <c r="E278" s="10" t="s">
        <v>45</v>
      </c>
      <c r="F278" s="10" t="s">
        <v>10170</v>
      </c>
      <c r="G278" s="10" t="s">
        <v>15784</v>
      </c>
      <c r="H278" s="10" t="s">
        <v>974</v>
      </c>
      <c r="I278" s="10" t="s">
        <v>55</v>
      </c>
      <c r="J278" s="10" t="s">
        <v>1960</v>
      </c>
      <c r="K278" s="10" t="s">
        <v>16277</v>
      </c>
      <c r="L278" s="10" t="s">
        <v>42</v>
      </c>
    </row>
    <row r="279" ht="15.75" customHeight="1">
      <c r="A279" s="66">
        <v>45490.0</v>
      </c>
      <c r="B279" s="55" t="str">
        <f>HYPERLINK("https://jobright.ai/jobs/info/660c7807c85f662d12b29487?utm_campaign=1051&amp;utm_source=sheet", "Apply")</f>
        <v>Apply</v>
      </c>
      <c r="C279" s="10" t="s">
        <v>16340</v>
      </c>
      <c r="D279" s="56" t="s">
        <v>3003</v>
      </c>
      <c r="E279" s="10" t="s">
        <v>209</v>
      </c>
      <c r="F279" s="10" t="s">
        <v>3004</v>
      </c>
      <c r="G279" s="10" t="s">
        <v>100</v>
      </c>
      <c r="H279" s="10" t="s">
        <v>371</v>
      </c>
      <c r="I279" s="10" t="s">
        <v>55</v>
      </c>
      <c r="K279" s="10" t="s">
        <v>16341</v>
      </c>
      <c r="L279" s="10" t="s">
        <v>42</v>
      </c>
    </row>
    <row r="280" ht="15.75" customHeight="1">
      <c r="A280" s="66">
        <v>45490.0</v>
      </c>
      <c r="B280" s="55" t="str">
        <f>HYPERLINK("https://jobright.ai/jobs/info/667aff7503d2be2d7bf8346c?utm_campaign=1051&amp;utm_source=sheet", "Apply")</f>
        <v>Apply</v>
      </c>
      <c r="C280" s="10" t="s">
        <v>16342</v>
      </c>
      <c r="D280" s="56" t="s">
        <v>10169</v>
      </c>
      <c r="E280" s="10" t="s">
        <v>45</v>
      </c>
      <c r="F280" s="10" t="s">
        <v>10170</v>
      </c>
      <c r="G280" s="10" t="s">
        <v>15784</v>
      </c>
      <c r="H280" s="10" t="s">
        <v>16343</v>
      </c>
      <c r="I280" s="10" t="s">
        <v>55</v>
      </c>
      <c r="J280" s="10" t="s">
        <v>1960</v>
      </c>
      <c r="K280" s="10" t="s">
        <v>16316</v>
      </c>
      <c r="L280" s="10" t="s">
        <v>42</v>
      </c>
    </row>
    <row r="281" ht="15.75" customHeight="1">
      <c r="A281" s="66">
        <v>45490.0</v>
      </c>
      <c r="B281" s="55" t="str">
        <f>HYPERLINK("https://jobright.ai/jobs/info/667af9498cbec8d66b80351b?utm_campaign=1051&amp;utm_source=sheet", "Apply")</f>
        <v>Apply</v>
      </c>
      <c r="C281" s="10" t="s">
        <v>16344</v>
      </c>
      <c r="D281" s="56" t="s">
        <v>10169</v>
      </c>
      <c r="E281" s="10" t="s">
        <v>45</v>
      </c>
      <c r="F281" s="10" t="s">
        <v>10170</v>
      </c>
      <c r="G281" s="10" t="s">
        <v>15784</v>
      </c>
      <c r="H281" s="10" t="s">
        <v>5148</v>
      </c>
      <c r="I281" s="10" t="s">
        <v>55</v>
      </c>
      <c r="J281" s="10" t="s">
        <v>1960</v>
      </c>
      <c r="K281" s="10" t="s">
        <v>16316</v>
      </c>
      <c r="L281" s="10" t="s">
        <v>42</v>
      </c>
    </row>
    <row r="282" ht="15.75" customHeight="1">
      <c r="A282" s="66">
        <v>45490.0</v>
      </c>
      <c r="B282" s="55" t="str">
        <f>HYPERLINK("https://jobright.ai/jobs/info/667b05faafa22422d18a92f4?utm_campaign=1051&amp;utm_source=sheet", "Apply")</f>
        <v>Apply</v>
      </c>
      <c r="C282" s="10" t="s">
        <v>16345</v>
      </c>
      <c r="D282" s="56" t="s">
        <v>10169</v>
      </c>
      <c r="E282" s="10" t="s">
        <v>45</v>
      </c>
      <c r="F282" s="10" t="s">
        <v>10170</v>
      </c>
      <c r="G282" s="10" t="s">
        <v>15784</v>
      </c>
      <c r="H282" s="10" t="s">
        <v>981</v>
      </c>
      <c r="I282" s="10" t="s">
        <v>55</v>
      </c>
      <c r="J282" s="10" t="s">
        <v>1960</v>
      </c>
      <c r="K282" s="10" t="s">
        <v>16316</v>
      </c>
      <c r="L282" s="10" t="s">
        <v>42</v>
      </c>
    </row>
    <row r="283" ht="15.75" customHeight="1">
      <c r="A283" s="66">
        <v>45490.0</v>
      </c>
      <c r="B283" s="55" t="str">
        <f>HYPERLINK("https://jobright.ai/jobs/info/665de5f7d85067ba847b53b1?utm_campaign=1051&amp;utm_source=sheet", "Apply")</f>
        <v>Apply</v>
      </c>
      <c r="C283" s="10" t="s">
        <v>16278</v>
      </c>
      <c r="D283" s="56" t="s">
        <v>4225</v>
      </c>
      <c r="E283" s="10" t="s">
        <v>209</v>
      </c>
      <c r="F283" s="10" t="s">
        <v>4226</v>
      </c>
      <c r="G283" s="10" t="s">
        <v>15793</v>
      </c>
      <c r="H283" s="10" t="s">
        <v>442</v>
      </c>
      <c r="I283" s="10" t="s">
        <v>55</v>
      </c>
      <c r="K283" s="10" t="s">
        <v>16279</v>
      </c>
      <c r="L283" s="10" t="s">
        <v>42</v>
      </c>
    </row>
    <row r="284" ht="15.75" customHeight="1">
      <c r="A284" s="66">
        <v>45490.0</v>
      </c>
      <c r="B284" s="55" t="str">
        <f>HYPERLINK("https://jobright.ai/jobs/info/669748d9ea99e22770cc97e2?utm_campaign=1051&amp;utm_source=sheet", "Apply")</f>
        <v>Apply</v>
      </c>
      <c r="C284" s="10" t="s">
        <v>16346</v>
      </c>
      <c r="D284" s="56" t="s">
        <v>16347</v>
      </c>
      <c r="E284" s="10" t="s">
        <v>45</v>
      </c>
      <c r="F284" s="10" t="s">
        <v>9573</v>
      </c>
      <c r="G284" s="10" t="s">
        <v>15829</v>
      </c>
      <c r="H284" s="10" t="s">
        <v>16348</v>
      </c>
      <c r="I284" s="10" t="s">
        <v>48</v>
      </c>
      <c r="K284" s="10" t="s">
        <v>16349</v>
      </c>
      <c r="L284" s="10" t="s">
        <v>42</v>
      </c>
    </row>
    <row r="285" ht="15.75" customHeight="1">
      <c r="A285" s="66">
        <v>45490.0</v>
      </c>
      <c r="B285" s="55" t="str">
        <f>HYPERLINK("https://jobright.ai/jobs/info/669761ad414745d5ba13564e?utm_campaign=1051&amp;utm_source=sheet", "Apply")</f>
        <v>Apply</v>
      </c>
      <c r="C285" s="10" t="s">
        <v>16350</v>
      </c>
      <c r="D285" s="56" t="s">
        <v>13663</v>
      </c>
      <c r="E285" s="10">
        <v>5.0</v>
      </c>
      <c r="G285" s="10" t="s">
        <v>15793</v>
      </c>
      <c r="H285" s="10" t="s">
        <v>153</v>
      </c>
      <c r="I285" s="10" t="s">
        <v>55</v>
      </c>
      <c r="K285" s="10" t="s">
        <v>14110</v>
      </c>
      <c r="L285" s="10" t="s">
        <v>42</v>
      </c>
    </row>
    <row r="286" ht="15.75" customHeight="1">
      <c r="A286" s="66">
        <v>45490.0</v>
      </c>
      <c r="B286" s="55" t="str">
        <f>HYPERLINK("https://jobright.ai/jobs/info/66980bd21f9cc5982debd344?utm_campaign=1051&amp;utm_source=sheet", "Apply")</f>
        <v>Apply</v>
      </c>
      <c r="C286" s="10" t="s">
        <v>16351</v>
      </c>
      <c r="D286" s="56" t="s">
        <v>16352</v>
      </c>
      <c r="E286" s="10">
        <v>1.0</v>
      </c>
      <c r="G286" s="10" t="s">
        <v>15854</v>
      </c>
      <c r="H286" s="10" t="s">
        <v>16353</v>
      </c>
      <c r="I286" s="10" t="s">
        <v>55</v>
      </c>
      <c r="K286" s="10" t="s">
        <v>16354</v>
      </c>
      <c r="L286" s="10" t="s">
        <v>42</v>
      </c>
    </row>
    <row r="287" ht="15.75" customHeight="1">
      <c r="A287" s="66">
        <v>45490.0</v>
      </c>
      <c r="B287" s="55" t="str">
        <f>HYPERLINK("https://jobright.ai/jobs/info/6697d51589458a62055f23cb?utm_campaign=1051&amp;utm_source=sheet", "Apply")</f>
        <v>Apply</v>
      </c>
      <c r="C287" s="10" t="s">
        <v>16355</v>
      </c>
      <c r="D287" s="56" t="s">
        <v>4332</v>
      </c>
      <c r="E287" s="10" t="s">
        <v>276</v>
      </c>
      <c r="F287" s="10" t="s">
        <v>2122</v>
      </c>
      <c r="G287" s="10" t="s">
        <v>100</v>
      </c>
      <c r="H287" s="10" t="s">
        <v>4333</v>
      </c>
      <c r="I287" s="10" t="s">
        <v>55</v>
      </c>
      <c r="K287" s="10" t="s">
        <v>16356</v>
      </c>
      <c r="L287" s="10" t="s">
        <v>42</v>
      </c>
    </row>
    <row r="288" ht="15.75" customHeight="1">
      <c r="A288" s="66">
        <v>45490.0</v>
      </c>
      <c r="B288" s="55" t="str">
        <f>HYPERLINK("https://jobright.ai/jobs/info/66982b18b3e885f9679db051?utm_campaign=1051&amp;utm_source=sheet", "Apply")</f>
        <v>Apply</v>
      </c>
      <c r="C288" s="10" t="s">
        <v>16357</v>
      </c>
      <c r="D288" s="56" t="s">
        <v>16358</v>
      </c>
      <c r="E288" s="10" t="s">
        <v>65</v>
      </c>
      <c r="F288" s="10" t="s">
        <v>1376</v>
      </c>
      <c r="G288" s="10" t="s">
        <v>100</v>
      </c>
      <c r="H288" s="10" t="s">
        <v>3860</v>
      </c>
      <c r="I288" s="10" t="s">
        <v>55</v>
      </c>
      <c r="K288" s="10" t="s">
        <v>16359</v>
      </c>
      <c r="L288" s="10" t="s">
        <v>42</v>
      </c>
    </row>
    <row r="289" ht="15.75" customHeight="1">
      <c r="A289" s="66">
        <v>45489.0</v>
      </c>
      <c r="B289" s="55" t="str">
        <f>HYPERLINK("https://jobright.ai/jobs/info/669725e13ea146ae39eee291?utm_campaign=1051&amp;utm_source=sheet", "Apply")</f>
        <v>Apply</v>
      </c>
      <c r="C289" s="10" t="s">
        <v>16360</v>
      </c>
      <c r="D289" s="56" t="s">
        <v>9821</v>
      </c>
      <c r="E289" s="10" t="s">
        <v>45</v>
      </c>
      <c r="F289" s="10" t="s">
        <v>3594</v>
      </c>
      <c r="G289" s="10" t="s">
        <v>15814</v>
      </c>
      <c r="H289" s="10" t="s">
        <v>759</v>
      </c>
      <c r="I289" s="10" t="s">
        <v>55</v>
      </c>
      <c r="J289" s="10" t="s">
        <v>16361</v>
      </c>
      <c r="K289" s="10" t="s">
        <v>16198</v>
      </c>
      <c r="L289" s="10" t="s">
        <v>42</v>
      </c>
    </row>
    <row r="290" ht="15.75" customHeight="1">
      <c r="A290" s="66">
        <v>45489.0</v>
      </c>
      <c r="B290" s="55" t="str">
        <f>HYPERLINK("https://jobright.ai/jobs/info/6697012830e8930d0757d0ea?utm_campaign=1051&amp;utm_source=sheet", "Apply")</f>
        <v>Apply</v>
      </c>
      <c r="C290" s="10" t="s">
        <v>16362</v>
      </c>
      <c r="D290" s="56" t="s">
        <v>14141</v>
      </c>
      <c r="E290" s="10" t="s">
        <v>276</v>
      </c>
      <c r="F290" s="10" t="s">
        <v>14142</v>
      </c>
      <c r="G290" s="10" t="s">
        <v>100</v>
      </c>
      <c r="H290" s="10" t="s">
        <v>139</v>
      </c>
      <c r="I290" s="10" t="s">
        <v>55</v>
      </c>
      <c r="K290" s="10" t="s">
        <v>16363</v>
      </c>
      <c r="L290" s="10" t="s">
        <v>42</v>
      </c>
    </row>
    <row r="291" ht="15.75" customHeight="1">
      <c r="A291" s="66">
        <v>45489.0</v>
      </c>
      <c r="B291" s="55" t="str">
        <f>HYPERLINK("https://jobright.ai/jobs/info/668c6f53722799dac2280454?utm_campaign=1051&amp;utm_source=sheet", "Apply")</f>
        <v>Apply</v>
      </c>
      <c r="C291" s="10" t="s">
        <v>16364</v>
      </c>
      <c r="D291" s="56" t="s">
        <v>7225</v>
      </c>
      <c r="E291" s="10" t="s">
        <v>71</v>
      </c>
      <c r="F291" s="10" t="s">
        <v>1587</v>
      </c>
      <c r="G291" s="10" t="s">
        <v>100</v>
      </c>
      <c r="H291" s="10" t="s">
        <v>1004</v>
      </c>
      <c r="I291" s="10" t="s">
        <v>48</v>
      </c>
      <c r="K291" s="10" t="s">
        <v>16365</v>
      </c>
      <c r="L291" s="10" t="s">
        <v>42</v>
      </c>
    </row>
    <row r="292" ht="15.75" customHeight="1">
      <c r="A292" s="66">
        <v>45489.0</v>
      </c>
      <c r="B292" s="55" t="str">
        <f>HYPERLINK("https://jobright.ai/jobs/info/6696cd3184666fd22393830e?utm_campaign=1051&amp;utm_source=sheet", "Apply")</f>
        <v>Apply</v>
      </c>
      <c r="C292" s="10" t="s">
        <v>15918</v>
      </c>
      <c r="D292" s="56" t="s">
        <v>16366</v>
      </c>
      <c r="E292" s="10">
        <v>8.0</v>
      </c>
      <c r="G292" s="10" t="s">
        <v>15814</v>
      </c>
      <c r="H292" s="10" t="s">
        <v>423</v>
      </c>
      <c r="I292" s="10" t="s">
        <v>55</v>
      </c>
      <c r="K292" s="10" t="s">
        <v>16367</v>
      </c>
      <c r="L292" s="10" t="s">
        <v>42</v>
      </c>
    </row>
    <row r="293" ht="15.75" customHeight="1">
      <c r="A293" s="66">
        <v>45489.0</v>
      </c>
      <c r="B293" s="55" t="str">
        <f>HYPERLINK("https://jobright.ai/jobs/info/6696b0266ff37b6a8706e941?utm_campaign=1051&amp;utm_source=sheet", "Apply")</f>
        <v>Apply</v>
      </c>
      <c r="C293" s="10" t="s">
        <v>16368</v>
      </c>
      <c r="D293" s="56" t="s">
        <v>13553</v>
      </c>
      <c r="E293" s="10" t="s">
        <v>65</v>
      </c>
      <c r="F293" s="10" t="s">
        <v>12539</v>
      </c>
      <c r="G293" s="10" t="s">
        <v>15829</v>
      </c>
      <c r="H293" s="10" t="s">
        <v>1008</v>
      </c>
      <c r="I293" s="10" t="s">
        <v>55</v>
      </c>
      <c r="K293" s="10" t="s">
        <v>16369</v>
      </c>
      <c r="L293" s="10" t="s">
        <v>42</v>
      </c>
    </row>
    <row r="294" ht="15.75" customHeight="1">
      <c r="A294" s="66">
        <v>45489.0</v>
      </c>
      <c r="B294" s="55" t="str">
        <f>HYPERLINK("https://jobright.ai/jobs/info/669751b9a25c567e77ffc6e0?utm_campaign=1051&amp;utm_source=sheet", "Apply")</f>
        <v>Apply</v>
      </c>
      <c r="C294" s="10" t="s">
        <v>16370</v>
      </c>
      <c r="D294" s="56" t="s">
        <v>16371</v>
      </c>
      <c r="E294" s="10" t="s">
        <v>276</v>
      </c>
      <c r="F294" s="10" t="s">
        <v>1577</v>
      </c>
      <c r="G294" s="10" t="s">
        <v>15793</v>
      </c>
      <c r="H294" s="10" t="s">
        <v>574</v>
      </c>
      <c r="I294" s="10" t="s">
        <v>48</v>
      </c>
      <c r="K294" s="10" t="s">
        <v>16372</v>
      </c>
      <c r="L294" s="10" t="s">
        <v>42</v>
      </c>
    </row>
    <row r="295" ht="15.75" customHeight="1">
      <c r="A295" s="66">
        <v>45489.0</v>
      </c>
      <c r="B295" s="55" t="str">
        <f>HYPERLINK("https://jobright.ai/jobs/info/669751b9a25c567e77ffc6e3?utm_campaign=1051&amp;utm_source=sheet", "Apply")</f>
        <v>Apply</v>
      </c>
      <c r="C295" s="10" t="s">
        <v>16373</v>
      </c>
      <c r="D295" s="56" t="s">
        <v>16374</v>
      </c>
      <c r="E295" s="10">
        <v>26.0</v>
      </c>
      <c r="G295" s="10" t="s">
        <v>15793</v>
      </c>
      <c r="H295" s="10" t="s">
        <v>16375</v>
      </c>
      <c r="I295" s="10" t="s">
        <v>55</v>
      </c>
      <c r="J295" s="10" t="s">
        <v>16376</v>
      </c>
      <c r="K295" s="10" t="s">
        <v>16377</v>
      </c>
      <c r="L295" s="10" t="s">
        <v>42</v>
      </c>
    </row>
    <row r="296" ht="15.75" customHeight="1">
      <c r="A296" s="66">
        <v>45489.0</v>
      </c>
      <c r="B296" s="55" t="str">
        <f>HYPERLINK("https://jobright.ai/jobs/info/6690c090555345cb310857fc?utm_campaign=1051&amp;utm_source=sheet", "Apply")</f>
        <v>Apply</v>
      </c>
      <c r="C296" s="10" t="s">
        <v>16378</v>
      </c>
      <c r="D296" s="56" t="s">
        <v>16379</v>
      </c>
      <c r="E296" s="10" t="s">
        <v>71</v>
      </c>
      <c r="F296" s="10" t="s">
        <v>2968</v>
      </c>
      <c r="G296" s="10" t="s">
        <v>100</v>
      </c>
      <c r="H296" s="10" t="s">
        <v>168</v>
      </c>
      <c r="I296" s="10" t="s">
        <v>48</v>
      </c>
      <c r="K296" s="10" t="s">
        <v>15835</v>
      </c>
      <c r="L296" s="10" t="s">
        <v>42</v>
      </c>
    </row>
    <row r="297" ht="15.75" customHeight="1">
      <c r="A297" s="66">
        <v>45489.0</v>
      </c>
      <c r="B297" s="55" t="str">
        <f>HYPERLINK("https://jobright.ai/jobs/info/66532072c5737162cb718bb3?utm_campaign=1051&amp;utm_source=sheet", "Apply")</f>
        <v>Apply</v>
      </c>
      <c r="C297" s="10" t="s">
        <v>15845</v>
      </c>
      <c r="D297" s="56" t="s">
        <v>15846</v>
      </c>
      <c r="E297" s="10">
        <v>58.0</v>
      </c>
      <c r="G297" s="10" t="s">
        <v>15814</v>
      </c>
      <c r="H297" s="10" t="s">
        <v>4850</v>
      </c>
      <c r="I297" s="10" t="s">
        <v>55</v>
      </c>
      <c r="J297" s="10" t="s">
        <v>16380</v>
      </c>
      <c r="K297" s="10" t="s">
        <v>15848</v>
      </c>
      <c r="L297" s="10" t="s">
        <v>42</v>
      </c>
    </row>
    <row r="298" ht="15.75" customHeight="1">
      <c r="A298" s="66">
        <v>45489.0</v>
      </c>
      <c r="B298" s="55" t="str">
        <f>HYPERLINK("https://jobright.ai/jobs/info/669679a3219a7480e256873f?utm_campaign=1051&amp;utm_source=sheet", "Apply")</f>
        <v>Apply</v>
      </c>
      <c r="C298" s="10" t="s">
        <v>16309</v>
      </c>
      <c r="D298" s="56" t="s">
        <v>2682</v>
      </c>
      <c r="E298" s="10" t="s">
        <v>45</v>
      </c>
      <c r="F298" s="10" t="s">
        <v>1357</v>
      </c>
      <c r="G298" s="10" t="s">
        <v>15829</v>
      </c>
      <c r="H298" s="10" t="s">
        <v>5481</v>
      </c>
      <c r="I298" s="10" t="s">
        <v>55</v>
      </c>
      <c r="K298" s="10" t="s">
        <v>16310</v>
      </c>
      <c r="L298" s="10" t="s">
        <v>42</v>
      </c>
    </row>
    <row r="299" ht="15.75" customHeight="1">
      <c r="A299" s="66">
        <v>45489.0</v>
      </c>
      <c r="B299" s="55" t="str">
        <f>HYPERLINK("https://jobright.ai/jobs/info/66973d23096dd49f6401027b?utm_campaign=1051&amp;utm_source=sheet", "Apply")</f>
        <v>Apply</v>
      </c>
      <c r="C299" s="10" t="s">
        <v>16381</v>
      </c>
      <c r="D299" s="56" t="s">
        <v>16382</v>
      </c>
      <c r="E299" s="10" t="s">
        <v>71</v>
      </c>
      <c r="F299" s="10" t="s">
        <v>1577</v>
      </c>
      <c r="G299" s="10" t="s">
        <v>100</v>
      </c>
      <c r="H299" s="10" t="s">
        <v>5068</v>
      </c>
      <c r="I299" s="10" t="s">
        <v>55</v>
      </c>
      <c r="J299" s="10" t="s">
        <v>1984</v>
      </c>
      <c r="K299" s="10" t="s">
        <v>16383</v>
      </c>
      <c r="L299" s="10" t="s">
        <v>42</v>
      </c>
    </row>
    <row r="300" ht="15.75" customHeight="1">
      <c r="A300" s="66">
        <v>45489.0</v>
      </c>
      <c r="B300" s="55" t="str">
        <f>HYPERLINK("https://jobright.ai/jobs/info/669686648edf02ca2d6cce1b?utm_campaign=1051&amp;utm_source=sheet", "Apply")</f>
        <v>Apply</v>
      </c>
      <c r="C300" s="10" t="s">
        <v>16384</v>
      </c>
      <c r="D300" s="56" t="s">
        <v>16385</v>
      </c>
      <c r="G300" s="10" t="s">
        <v>15814</v>
      </c>
      <c r="H300" s="10" t="s">
        <v>146</v>
      </c>
      <c r="I300" s="10" t="s">
        <v>55</v>
      </c>
      <c r="K300" s="10" t="s">
        <v>16386</v>
      </c>
      <c r="L300" s="10" t="s">
        <v>42</v>
      </c>
    </row>
    <row r="301" ht="15.75" customHeight="1">
      <c r="A301" s="66">
        <v>45489.0</v>
      </c>
      <c r="B301" s="55" t="str">
        <f>HYPERLINK("https://jobright.ai/jobs/info/6697c236ae9bea869c6f931e?utm_campaign=1051&amp;utm_source=sheet", "Apply")</f>
        <v>Apply</v>
      </c>
      <c r="C301" s="10" t="s">
        <v>16387</v>
      </c>
      <c r="D301" s="56" t="s">
        <v>1094</v>
      </c>
      <c r="E301" s="10" t="s">
        <v>45</v>
      </c>
      <c r="F301" s="10" t="s">
        <v>731</v>
      </c>
      <c r="G301" s="10" t="s">
        <v>100</v>
      </c>
      <c r="H301" s="10" t="s">
        <v>113</v>
      </c>
      <c r="I301" s="10" t="s">
        <v>55</v>
      </c>
      <c r="K301" s="10" t="s">
        <v>16388</v>
      </c>
      <c r="L301" s="10" t="s">
        <v>42</v>
      </c>
    </row>
    <row r="302" ht="15.75" customHeight="1">
      <c r="A302" s="66">
        <v>45489.0</v>
      </c>
      <c r="B302" s="55" t="str">
        <f>HYPERLINK("https://jobright.ai/jobs/info/6697ad9b1c55d63f4b198e68?utm_campaign=1051&amp;utm_source=sheet", "Apply")</f>
        <v>Apply</v>
      </c>
      <c r="C302" s="10" t="s">
        <v>16389</v>
      </c>
      <c r="D302" s="56" t="s">
        <v>14041</v>
      </c>
      <c r="E302" s="10" t="s">
        <v>249</v>
      </c>
      <c r="F302" s="10" t="s">
        <v>14042</v>
      </c>
      <c r="G302" s="10" t="s">
        <v>15793</v>
      </c>
      <c r="H302" s="10" t="s">
        <v>1036</v>
      </c>
      <c r="I302" s="10" t="s">
        <v>55</v>
      </c>
      <c r="K302" s="10" t="s">
        <v>16390</v>
      </c>
      <c r="L302" s="10" t="s">
        <v>42</v>
      </c>
    </row>
    <row r="303" ht="15.75" customHeight="1">
      <c r="A303" s="66">
        <v>45489.0</v>
      </c>
      <c r="B303" s="55" t="str">
        <f>HYPERLINK("https://jobright.ai/jobs/info/6679fb767f8172ca98ae3dfc?utm_campaign=1051&amp;utm_source=sheet", "Apply")</f>
        <v>Apply</v>
      </c>
      <c r="C303" s="10" t="s">
        <v>16391</v>
      </c>
      <c r="D303" s="56" t="s">
        <v>10369</v>
      </c>
      <c r="E303" s="10" t="s">
        <v>249</v>
      </c>
      <c r="F303" s="10" t="s">
        <v>10370</v>
      </c>
      <c r="G303" s="10" t="s">
        <v>15793</v>
      </c>
      <c r="H303" s="10" t="s">
        <v>977</v>
      </c>
      <c r="I303" s="10" t="s">
        <v>48</v>
      </c>
      <c r="K303" s="10" t="s">
        <v>16392</v>
      </c>
      <c r="L303" s="10" t="s">
        <v>42</v>
      </c>
    </row>
    <row r="304" ht="15.75" customHeight="1">
      <c r="A304" s="66">
        <v>45489.0</v>
      </c>
      <c r="B304" s="55" t="str">
        <f>HYPERLINK("https://jobright.ai/jobs/info/667a0b48a13fa11c0d3984ec?utm_campaign=1051&amp;utm_source=sheet", "Apply")</f>
        <v>Apply</v>
      </c>
      <c r="C304" s="10" t="s">
        <v>16393</v>
      </c>
      <c r="D304" s="56" t="s">
        <v>1078</v>
      </c>
      <c r="E304" s="10" t="s">
        <v>65</v>
      </c>
      <c r="F304" s="10" t="s">
        <v>1079</v>
      </c>
      <c r="G304" s="10" t="s">
        <v>15814</v>
      </c>
      <c r="H304" s="10" t="s">
        <v>423</v>
      </c>
      <c r="I304" s="10" t="s">
        <v>48</v>
      </c>
      <c r="K304" s="10" t="s">
        <v>16394</v>
      </c>
      <c r="L304" s="10" t="s">
        <v>42</v>
      </c>
    </row>
    <row r="305" ht="15.75" customHeight="1">
      <c r="A305" s="66">
        <v>45489.0</v>
      </c>
      <c r="B305" s="55" t="str">
        <f>HYPERLINK("https://jobright.ai/jobs/info/6679a935a1bce31f2136179a?utm_campaign=1051&amp;utm_source=sheet", "Apply")</f>
        <v>Apply</v>
      </c>
      <c r="C305" s="10" t="s">
        <v>16395</v>
      </c>
      <c r="D305" s="56" t="s">
        <v>14442</v>
      </c>
      <c r="E305" s="10" t="s">
        <v>45</v>
      </c>
      <c r="F305" s="10" t="s">
        <v>14443</v>
      </c>
      <c r="G305" s="10" t="s">
        <v>15829</v>
      </c>
      <c r="H305" s="10" t="s">
        <v>7793</v>
      </c>
      <c r="I305" s="10" t="s">
        <v>55</v>
      </c>
      <c r="K305" s="10" t="s">
        <v>16396</v>
      </c>
      <c r="L305" s="10" t="s">
        <v>42</v>
      </c>
    </row>
    <row r="306" ht="15.75" customHeight="1">
      <c r="A306" s="66">
        <v>45489.0</v>
      </c>
      <c r="B306" s="55" t="str">
        <f>HYPERLINK("https://jobright.ai/jobs/info/6679fea146f5c442961e6341?utm_campaign=1051&amp;utm_source=sheet", "Apply")</f>
        <v>Apply</v>
      </c>
      <c r="C306" s="10" t="s">
        <v>16397</v>
      </c>
      <c r="D306" s="56" t="s">
        <v>10806</v>
      </c>
      <c r="E306" s="10" t="s">
        <v>276</v>
      </c>
      <c r="F306" s="10" t="s">
        <v>3382</v>
      </c>
      <c r="G306" s="10" t="s">
        <v>100</v>
      </c>
      <c r="H306" s="10" t="s">
        <v>159</v>
      </c>
      <c r="I306" s="10" t="s">
        <v>55</v>
      </c>
      <c r="J306" s="10" t="s">
        <v>11075</v>
      </c>
      <c r="K306" s="10" t="s">
        <v>16398</v>
      </c>
      <c r="L306" s="10" t="s">
        <v>42</v>
      </c>
    </row>
    <row r="307" ht="15.75" customHeight="1">
      <c r="A307" s="66">
        <v>45489.0</v>
      </c>
      <c r="B307" s="55" t="str">
        <f>HYPERLINK("https://jobright.ai/jobs/info/6695bdd857849631a44cef56?utm_campaign=1051&amp;utm_source=sheet", "Apply")</f>
        <v>Apply</v>
      </c>
      <c r="C307" s="10" t="s">
        <v>16399</v>
      </c>
      <c r="D307" s="56" t="s">
        <v>16400</v>
      </c>
      <c r="E307" s="10">
        <v>2.0</v>
      </c>
      <c r="G307" s="10" t="s">
        <v>15814</v>
      </c>
      <c r="H307" s="10" t="s">
        <v>8687</v>
      </c>
      <c r="I307" s="10" t="s">
        <v>55</v>
      </c>
      <c r="K307" s="10" t="s">
        <v>16401</v>
      </c>
      <c r="L307" s="10" t="s">
        <v>42</v>
      </c>
    </row>
    <row r="308" ht="15.75" customHeight="1">
      <c r="A308" s="66">
        <v>45488.0</v>
      </c>
      <c r="B308" s="55" t="str">
        <f>HYPERLINK("https://jobright.ai/jobs/info/66965a2db882a4752b9b9d76?utm_campaign=1051&amp;utm_source=sheet", "Apply")</f>
        <v>Apply</v>
      </c>
      <c r="C308" s="10" t="s">
        <v>16309</v>
      </c>
      <c r="D308" s="56" t="s">
        <v>2682</v>
      </c>
      <c r="E308" s="10" t="s">
        <v>45</v>
      </c>
      <c r="F308" s="10" t="s">
        <v>1357</v>
      </c>
      <c r="G308" s="10" t="s">
        <v>15829</v>
      </c>
      <c r="H308" s="10" t="s">
        <v>16402</v>
      </c>
      <c r="I308" s="10" t="s">
        <v>55</v>
      </c>
      <c r="J308" s="10" t="s">
        <v>16403</v>
      </c>
      <c r="K308" s="10" t="s">
        <v>16310</v>
      </c>
      <c r="L308" s="10" t="s">
        <v>42</v>
      </c>
    </row>
    <row r="309" ht="15.75" customHeight="1">
      <c r="A309" s="66">
        <v>45488.0</v>
      </c>
      <c r="B309" s="55" t="str">
        <f>HYPERLINK("https://jobright.ai/jobs/info/668f499c478c8663838f2841?utm_campaign=1051&amp;utm_source=sheet", "Apply")</f>
        <v>Apply</v>
      </c>
      <c r="C309" s="10" t="s">
        <v>4738</v>
      </c>
      <c r="D309" s="56" t="s">
        <v>1650</v>
      </c>
      <c r="E309" s="10" t="s">
        <v>209</v>
      </c>
      <c r="F309" s="10" t="s">
        <v>1243</v>
      </c>
      <c r="G309" s="10" t="s">
        <v>100</v>
      </c>
      <c r="H309" s="10" t="s">
        <v>106</v>
      </c>
      <c r="I309" s="10" t="s">
        <v>55</v>
      </c>
      <c r="K309" s="10" t="s">
        <v>16404</v>
      </c>
      <c r="L309" s="10" t="s">
        <v>42</v>
      </c>
    </row>
    <row r="310" ht="15.75" customHeight="1">
      <c r="A310" s="66">
        <v>45488.0</v>
      </c>
      <c r="B310" s="55" t="str">
        <f>HYPERLINK("https://jobright.ai/jobs/info/6695a0cdc508bc0fadf563f1?utm_campaign=1051&amp;utm_source=sheet", "Apply")</f>
        <v>Apply</v>
      </c>
      <c r="C310" s="10" t="s">
        <v>16405</v>
      </c>
      <c r="D310" s="56" t="s">
        <v>16406</v>
      </c>
      <c r="E310" s="10">
        <v>5.0</v>
      </c>
      <c r="G310" s="10" t="s">
        <v>15793</v>
      </c>
      <c r="H310" s="10" t="s">
        <v>628</v>
      </c>
      <c r="I310" s="10" t="s">
        <v>55</v>
      </c>
      <c r="J310" s="10" t="s">
        <v>1984</v>
      </c>
      <c r="K310" s="10" t="s">
        <v>16407</v>
      </c>
      <c r="L310" s="10" t="s">
        <v>42</v>
      </c>
    </row>
    <row r="311" ht="15.75" customHeight="1">
      <c r="A311" s="66">
        <v>45488.0</v>
      </c>
      <c r="B311" s="55" t="str">
        <f>HYPERLINK("https://jobright.ai/jobs/info/66958ae78c82d15a242a00df?utm_campaign=1051&amp;utm_source=sheet", "Apply")</f>
        <v>Apply</v>
      </c>
      <c r="C311" s="10" t="s">
        <v>16408</v>
      </c>
      <c r="D311" s="56" t="s">
        <v>9821</v>
      </c>
      <c r="E311" s="10" t="s">
        <v>45</v>
      </c>
      <c r="F311" s="10" t="s">
        <v>3594</v>
      </c>
      <c r="G311" s="10" t="s">
        <v>15814</v>
      </c>
      <c r="H311" s="10" t="s">
        <v>6550</v>
      </c>
      <c r="I311" s="10" t="s">
        <v>48</v>
      </c>
      <c r="K311" s="10" t="s">
        <v>16409</v>
      </c>
      <c r="L311" s="10" t="s">
        <v>42</v>
      </c>
    </row>
    <row r="312" ht="15.75" customHeight="1">
      <c r="A312" s="66">
        <v>45488.0</v>
      </c>
      <c r="B312" s="55" t="str">
        <f>HYPERLINK("https://jobright.ai/jobs/info/66957ae4b28fd0f5b93548e6?utm_campaign=1051&amp;utm_source=sheet", "Apply")</f>
        <v>Apply</v>
      </c>
      <c r="C312" s="10" t="s">
        <v>16410</v>
      </c>
      <c r="D312" s="56" t="s">
        <v>9821</v>
      </c>
      <c r="E312" s="10" t="s">
        <v>45</v>
      </c>
      <c r="F312" s="10" t="s">
        <v>3594</v>
      </c>
      <c r="G312" s="10" t="s">
        <v>15814</v>
      </c>
      <c r="H312" s="10" t="s">
        <v>9570</v>
      </c>
      <c r="I312" s="10" t="s">
        <v>48</v>
      </c>
      <c r="K312" s="10" t="s">
        <v>16411</v>
      </c>
      <c r="L312" s="10" t="s">
        <v>42</v>
      </c>
    </row>
    <row r="313" ht="15.75" customHeight="1">
      <c r="A313" s="66">
        <v>45488.0</v>
      </c>
      <c r="B313" s="55" t="str">
        <f>HYPERLINK("https://jobright.ai/jobs/info/66956c31fd8e5a557d951e1e?utm_campaign=1051&amp;utm_source=sheet", "Apply")</f>
        <v>Apply</v>
      </c>
      <c r="C313" s="10" t="s">
        <v>16412</v>
      </c>
      <c r="D313" s="56" t="s">
        <v>16413</v>
      </c>
      <c r="E313" s="10" t="s">
        <v>137</v>
      </c>
      <c r="F313" s="10" t="s">
        <v>9573</v>
      </c>
      <c r="G313" s="10" t="s">
        <v>15793</v>
      </c>
      <c r="H313" s="10" t="s">
        <v>3674</v>
      </c>
      <c r="I313" s="10" t="s">
        <v>55</v>
      </c>
      <c r="K313" s="10" t="s">
        <v>16414</v>
      </c>
      <c r="L313" s="10" t="s">
        <v>42</v>
      </c>
    </row>
    <row r="314" ht="15.75" customHeight="1">
      <c r="A314" s="66">
        <v>45488.0</v>
      </c>
      <c r="B314" s="55" t="str">
        <f>HYPERLINK("https://jobright.ai/jobs/info/66956067f60ae0856be2f9b7?utm_campaign=1051&amp;utm_source=sheet", "Apply")</f>
        <v>Apply</v>
      </c>
      <c r="C314" s="10" t="s">
        <v>16415</v>
      </c>
      <c r="D314" s="56" t="s">
        <v>16416</v>
      </c>
      <c r="E314" s="10">
        <v>3776.0</v>
      </c>
      <c r="G314" s="10" t="s">
        <v>15793</v>
      </c>
      <c r="H314" s="10" t="s">
        <v>96</v>
      </c>
      <c r="I314" s="10" t="s">
        <v>55</v>
      </c>
      <c r="K314" s="10" t="s">
        <v>16417</v>
      </c>
      <c r="L314" s="10" t="s">
        <v>42</v>
      </c>
    </row>
    <row r="315" ht="15.75" customHeight="1">
      <c r="A315" s="66">
        <v>45488.0</v>
      </c>
      <c r="B315" s="55" t="str">
        <f>HYPERLINK("https://jobright.ai/jobs/info/669545827967ed876069f3d6?utm_campaign=1051&amp;utm_source=sheet", "Apply")</f>
        <v>Apply</v>
      </c>
      <c r="C315" s="10" t="s">
        <v>16418</v>
      </c>
      <c r="D315" s="56" t="s">
        <v>16419</v>
      </c>
      <c r="E315" s="10" t="s">
        <v>45</v>
      </c>
      <c r="F315" s="10" t="s">
        <v>12539</v>
      </c>
      <c r="G315" s="10" t="s">
        <v>15829</v>
      </c>
      <c r="H315" s="10" t="s">
        <v>572</v>
      </c>
      <c r="I315" s="10" t="s">
        <v>55</v>
      </c>
      <c r="K315" s="10" t="s">
        <v>16420</v>
      </c>
      <c r="L315" s="10" t="s">
        <v>42</v>
      </c>
    </row>
    <row r="316" ht="15.75" customHeight="1">
      <c r="A316" s="66">
        <v>45488.0</v>
      </c>
      <c r="B316" s="55" t="str">
        <f>HYPERLINK("https://jobright.ai/jobs/info/6695352fbcca87593b6a0f35?utm_campaign=1051&amp;utm_source=sheet", "Apply")</f>
        <v>Apply</v>
      </c>
      <c r="C316" s="10" t="s">
        <v>16421</v>
      </c>
      <c r="D316" s="56" t="s">
        <v>4016</v>
      </c>
      <c r="E316" s="10" t="s">
        <v>45</v>
      </c>
      <c r="F316" s="10" t="s">
        <v>4017</v>
      </c>
      <c r="G316" s="10" t="s">
        <v>15829</v>
      </c>
      <c r="H316" s="10" t="s">
        <v>1212</v>
      </c>
      <c r="I316" s="10" t="s">
        <v>55</v>
      </c>
      <c r="J316" s="10" t="s">
        <v>1797</v>
      </c>
      <c r="K316" s="10" t="s">
        <v>16422</v>
      </c>
      <c r="L316" s="10" t="s">
        <v>42</v>
      </c>
    </row>
    <row r="317" ht="15.75" customHeight="1">
      <c r="A317" s="66">
        <v>45488.0</v>
      </c>
      <c r="B317" s="55" t="str">
        <f>HYPERLINK("https://jobright.ai/jobs/info/66951f035b1f0738d0317749?utm_campaign=1051&amp;utm_source=sheet", "Apply")</f>
        <v>Apply</v>
      </c>
      <c r="C317" s="10" t="s">
        <v>16423</v>
      </c>
      <c r="D317" s="56" t="s">
        <v>16424</v>
      </c>
      <c r="E317" s="10" t="s">
        <v>79</v>
      </c>
      <c r="F317" s="10" t="s">
        <v>1281</v>
      </c>
      <c r="G317" s="10" t="s">
        <v>100</v>
      </c>
      <c r="H317" s="10" t="s">
        <v>154</v>
      </c>
      <c r="I317" s="10" t="s">
        <v>48</v>
      </c>
      <c r="J317" s="10" t="s">
        <v>1189</v>
      </c>
      <c r="K317" s="10" t="s">
        <v>16425</v>
      </c>
      <c r="L317" s="10" t="s">
        <v>42</v>
      </c>
    </row>
    <row r="318" ht="15.75" customHeight="1">
      <c r="A318" s="66">
        <v>45488.0</v>
      </c>
      <c r="B318" s="55" t="str">
        <f>HYPERLINK("https://jobright.ai/jobs/info/669e52731829144f3c797e92?utm_campaign=1051&amp;utm_source=sheet", "Apply")</f>
        <v>Apply</v>
      </c>
      <c r="C318" s="10" t="s">
        <v>16426</v>
      </c>
      <c r="D318" s="56" t="s">
        <v>11100</v>
      </c>
      <c r="E318" s="10" t="s">
        <v>71</v>
      </c>
      <c r="F318" s="10" t="s">
        <v>11101</v>
      </c>
      <c r="G318" s="10" t="s">
        <v>100</v>
      </c>
      <c r="H318" s="10" t="s">
        <v>2708</v>
      </c>
      <c r="I318" s="10" t="s">
        <v>55</v>
      </c>
      <c r="K318" s="10" t="s">
        <v>11102</v>
      </c>
      <c r="L318" s="10" t="s">
        <v>42</v>
      </c>
    </row>
    <row r="319" ht="15.75" customHeight="1">
      <c r="A319" s="66">
        <v>45488.0</v>
      </c>
      <c r="B319" s="55" t="str">
        <f>HYPERLINK("https://jobright.ai/jobs/info/669e4c3d892b00836a41a554?utm_campaign=1051&amp;utm_source=sheet", "Apply")</f>
        <v>Apply</v>
      </c>
      <c r="C319" s="10" t="s">
        <v>16427</v>
      </c>
      <c r="D319" s="56" t="s">
        <v>16428</v>
      </c>
      <c r="E319" s="10" t="s">
        <v>79</v>
      </c>
      <c r="F319" s="10" t="s">
        <v>16429</v>
      </c>
      <c r="G319" s="10" t="s">
        <v>100</v>
      </c>
      <c r="H319" s="10" t="s">
        <v>251</v>
      </c>
      <c r="I319" s="10" t="s">
        <v>252</v>
      </c>
      <c r="K319" s="10" t="s">
        <v>16430</v>
      </c>
      <c r="L319" s="10" t="s">
        <v>42</v>
      </c>
    </row>
    <row r="320" ht="15.75" customHeight="1">
      <c r="A320" s="66">
        <v>45488.0</v>
      </c>
      <c r="B320" s="55" t="str">
        <f>HYPERLINK("https://jobright.ai/jobs/info/66965ed72893eb6900734290?utm_campaign=1051&amp;utm_source=sheet", "Apply")</f>
        <v>Apply</v>
      </c>
      <c r="C320" s="10" t="s">
        <v>16431</v>
      </c>
      <c r="D320" s="56" t="s">
        <v>10126</v>
      </c>
      <c r="E320" s="10">
        <v>276.0</v>
      </c>
      <c r="G320" s="10" t="s">
        <v>15829</v>
      </c>
      <c r="H320" s="10" t="s">
        <v>16432</v>
      </c>
      <c r="I320" s="10" t="s">
        <v>55</v>
      </c>
      <c r="J320" s="10" t="s">
        <v>1409</v>
      </c>
      <c r="K320" s="10" t="s">
        <v>15900</v>
      </c>
      <c r="L320" s="10" t="s">
        <v>42</v>
      </c>
    </row>
    <row r="321" ht="15.75" customHeight="1">
      <c r="A321" s="66">
        <v>45488.0</v>
      </c>
      <c r="B321" s="55" t="str">
        <f>HYPERLINK("https://jobright.ai/jobs/info/6694f699ac0d8feec02ae835?utm_campaign=1051&amp;utm_source=sheet", "Apply")</f>
        <v>Apply</v>
      </c>
      <c r="C321" s="10" t="s">
        <v>16433</v>
      </c>
      <c r="D321" s="56" t="s">
        <v>730</v>
      </c>
      <c r="E321" s="10" t="s">
        <v>45</v>
      </c>
      <c r="F321" s="10" t="s">
        <v>731</v>
      </c>
      <c r="G321" s="10" t="s">
        <v>100</v>
      </c>
      <c r="H321" s="10" t="s">
        <v>96</v>
      </c>
      <c r="I321" s="10" t="s">
        <v>55</v>
      </c>
      <c r="K321" s="10" t="s">
        <v>16434</v>
      </c>
      <c r="L321" s="10" t="s">
        <v>42</v>
      </c>
    </row>
    <row r="322" ht="15.75" customHeight="1">
      <c r="A322" s="66">
        <v>45488.0</v>
      </c>
      <c r="B322" s="55" t="str">
        <f>HYPERLINK("https://jobright.ai/jobs/info/66794809f67c3c57c98b00da?utm_campaign=1051&amp;utm_source=sheet", "Apply")</f>
        <v>Apply</v>
      </c>
      <c r="C322" s="10" t="s">
        <v>16435</v>
      </c>
      <c r="D322" s="56" t="s">
        <v>730</v>
      </c>
      <c r="E322" s="10" t="s">
        <v>45</v>
      </c>
      <c r="F322" s="10" t="s">
        <v>731</v>
      </c>
      <c r="G322" s="10" t="s">
        <v>15793</v>
      </c>
      <c r="H322" s="10" t="s">
        <v>170</v>
      </c>
      <c r="I322" s="10" t="s">
        <v>55</v>
      </c>
      <c r="K322" s="10" t="s">
        <v>16436</v>
      </c>
      <c r="L322" s="10" t="s">
        <v>42</v>
      </c>
    </row>
    <row r="323" ht="15.75" customHeight="1">
      <c r="A323" s="66">
        <v>45488.0</v>
      </c>
      <c r="B323" s="55" t="str">
        <f>HYPERLINK("https://jobright.ai/jobs/info/66976052a55f10251a5737dd?utm_campaign=1051&amp;utm_source=sheet", "Apply")</f>
        <v>Apply</v>
      </c>
      <c r="C323" s="10" t="s">
        <v>16437</v>
      </c>
      <c r="D323" s="56" t="s">
        <v>15387</v>
      </c>
      <c r="E323" s="10" t="s">
        <v>209</v>
      </c>
      <c r="F323" s="10" t="s">
        <v>15388</v>
      </c>
      <c r="G323" s="10" t="s">
        <v>15793</v>
      </c>
      <c r="H323" s="10" t="s">
        <v>1709</v>
      </c>
      <c r="I323" s="10" t="s">
        <v>55</v>
      </c>
      <c r="K323" s="10" t="s">
        <v>16293</v>
      </c>
      <c r="L323" s="10" t="s">
        <v>42</v>
      </c>
    </row>
    <row r="324" ht="15.75" customHeight="1">
      <c r="A324" s="66">
        <v>45488.0</v>
      </c>
      <c r="B324" s="55" t="str">
        <f>HYPERLINK("https://jobright.ai/jobs/info/6694a4138dba850d496b5450?utm_campaign=1051&amp;utm_source=sheet", "Apply")</f>
        <v>Apply</v>
      </c>
      <c r="C324" s="10" t="s">
        <v>16309</v>
      </c>
      <c r="D324" s="56" t="s">
        <v>2682</v>
      </c>
      <c r="E324" s="10" t="s">
        <v>45</v>
      </c>
      <c r="F324" s="10" t="s">
        <v>1357</v>
      </c>
      <c r="G324" s="10" t="s">
        <v>15829</v>
      </c>
      <c r="H324" s="10" t="s">
        <v>616</v>
      </c>
      <c r="I324" s="10" t="s">
        <v>55</v>
      </c>
      <c r="J324" s="10" t="s">
        <v>16438</v>
      </c>
      <c r="K324" s="10" t="s">
        <v>16310</v>
      </c>
      <c r="L324" s="10" t="s">
        <v>42</v>
      </c>
    </row>
    <row r="325" ht="15.75" customHeight="1">
      <c r="A325" s="66">
        <v>45488.0</v>
      </c>
      <c r="B325" s="55" t="str">
        <f>HYPERLINK("https://jobright.ai/jobs/info/6694a4138dba850d496b54b2?utm_campaign=1051&amp;utm_source=sheet", "Apply")</f>
        <v>Apply</v>
      </c>
      <c r="C325" s="10" t="s">
        <v>16309</v>
      </c>
      <c r="D325" s="56" t="s">
        <v>2682</v>
      </c>
      <c r="E325" s="10" t="s">
        <v>45</v>
      </c>
      <c r="F325" s="10" t="s">
        <v>1357</v>
      </c>
      <c r="G325" s="10" t="s">
        <v>15829</v>
      </c>
      <c r="H325" s="10" t="s">
        <v>5888</v>
      </c>
      <c r="I325" s="10" t="s">
        <v>55</v>
      </c>
      <c r="J325" s="10" t="s">
        <v>16439</v>
      </c>
      <c r="K325" s="10" t="s">
        <v>16310</v>
      </c>
      <c r="L325" s="10" t="s">
        <v>42</v>
      </c>
    </row>
    <row r="326" ht="15.75" customHeight="1">
      <c r="A326" s="66">
        <v>45488.0</v>
      </c>
      <c r="B326" s="55" t="str">
        <f>HYPERLINK("https://jobright.ai/jobs/info/6694a4138dba850d496b5419?utm_campaign=1051&amp;utm_source=sheet", "Apply")</f>
        <v>Apply</v>
      </c>
      <c r="C326" s="10" t="s">
        <v>16309</v>
      </c>
      <c r="D326" s="56" t="s">
        <v>2682</v>
      </c>
      <c r="E326" s="10" t="s">
        <v>45</v>
      </c>
      <c r="F326" s="10" t="s">
        <v>1357</v>
      </c>
      <c r="G326" s="10" t="s">
        <v>15829</v>
      </c>
      <c r="H326" s="10" t="s">
        <v>16440</v>
      </c>
      <c r="I326" s="10" t="s">
        <v>55</v>
      </c>
      <c r="J326" s="10" t="s">
        <v>16403</v>
      </c>
      <c r="K326" s="10" t="s">
        <v>16310</v>
      </c>
      <c r="L326" s="10" t="s">
        <v>42</v>
      </c>
    </row>
    <row r="327" ht="15.75" customHeight="1">
      <c r="A327" s="66">
        <v>45488.0</v>
      </c>
      <c r="B327" s="55" t="str">
        <f>HYPERLINK("https://jobright.ai/jobs/info/6696f074e69bf935411a3deb?utm_campaign=1051&amp;utm_source=sheet", "Apply")</f>
        <v>Apply</v>
      </c>
      <c r="C327" s="10" t="s">
        <v>16441</v>
      </c>
      <c r="D327" s="56" t="s">
        <v>16442</v>
      </c>
      <c r="E327" s="10" t="s">
        <v>249</v>
      </c>
      <c r="F327" s="10" t="s">
        <v>3382</v>
      </c>
      <c r="G327" s="10" t="s">
        <v>100</v>
      </c>
      <c r="H327" s="10" t="s">
        <v>113</v>
      </c>
      <c r="I327" s="10" t="s">
        <v>55</v>
      </c>
      <c r="K327" s="10" t="s">
        <v>16443</v>
      </c>
      <c r="L327" s="10" t="s">
        <v>42</v>
      </c>
    </row>
    <row r="328" ht="15.75" customHeight="1">
      <c r="A328" s="66">
        <v>45487.0</v>
      </c>
      <c r="B328" s="55" t="str">
        <f>HYPERLINK("https://jobright.ai/jobs/info/6693fcb2c0642d8309fda71c?utm_campaign=1051&amp;utm_source=sheet", "Apply")</f>
        <v>Apply</v>
      </c>
      <c r="C328" s="10" t="s">
        <v>16309</v>
      </c>
      <c r="D328" s="56" t="s">
        <v>2682</v>
      </c>
      <c r="E328" s="10" t="s">
        <v>45</v>
      </c>
      <c r="F328" s="10" t="s">
        <v>1357</v>
      </c>
      <c r="G328" s="10" t="s">
        <v>15829</v>
      </c>
      <c r="H328" s="10" t="s">
        <v>616</v>
      </c>
      <c r="I328" s="10" t="s">
        <v>55</v>
      </c>
      <c r="J328" s="10" t="s">
        <v>16438</v>
      </c>
      <c r="K328" s="10" t="s">
        <v>16310</v>
      </c>
      <c r="L328" s="10" t="s">
        <v>42</v>
      </c>
    </row>
    <row r="329" ht="15.75" customHeight="1">
      <c r="A329" s="66">
        <v>45487.0</v>
      </c>
      <c r="B329" s="55" t="str">
        <f>HYPERLINK("https://jobright.ai/jobs/info/6694fe56bc77767952547c45?utm_campaign=1051&amp;utm_source=sheet", "Apply")</f>
        <v>Apply</v>
      </c>
      <c r="C329" s="10" t="s">
        <v>16309</v>
      </c>
      <c r="D329" s="56" t="s">
        <v>2682</v>
      </c>
      <c r="E329" s="10" t="s">
        <v>45</v>
      </c>
      <c r="F329" s="10" t="s">
        <v>1357</v>
      </c>
      <c r="G329" s="10" t="s">
        <v>15829</v>
      </c>
      <c r="H329" s="10" t="s">
        <v>16444</v>
      </c>
      <c r="I329" s="10" t="s">
        <v>55</v>
      </c>
      <c r="J329" s="10" t="s">
        <v>16438</v>
      </c>
      <c r="K329" s="10" t="s">
        <v>16310</v>
      </c>
      <c r="L329" s="10" t="s">
        <v>42</v>
      </c>
    </row>
    <row r="330" ht="15.75" customHeight="1">
      <c r="A330" s="66">
        <v>45487.0</v>
      </c>
      <c r="B330" s="55" t="str">
        <f>HYPERLINK("https://jobright.ai/jobs/info/6694fe56bc77767952547c48?utm_campaign=1051&amp;utm_source=sheet", "Apply")</f>
        <v>Apply</v>
      </c>
      <c r="C330" s="10" t="s">
        <v>16309</v>
      </c>
      <c r="D330" s="56" t="s">
        <v>2682</v>
      </c>
      <c r="E330" s="10" t="s">
        <v>45</v>
      </c>
      <c r="F330" s="10" t="s">
        <v>1357</v>
      </c>
      <c r="G330" s="10" t="s">
        <v>15829</v>
      </c>
      <c r="H330" s="10" t="s">
        <v>165</v>
      </c>
      <c r="I330" s="10" t="s">
        <v>55</v>
      </c>
      <c r="J330" s="10" t="s">
        <v>16439</v>
      </c>
      <c r="K330" s="10" t="s">
        <v>16310</v>
      </c>
      <c r="L330" s="10" t="s">
        <v>42</v>
      </c>
    </row>
    <row r="331" ht="15.75" customHeight="1">
      <c r="A331" s="66">
        <v>45487.0</v>
      </c>
      <c r="B331" s="55" t="str">
        <f>HYPERLINK("https://jobright.ai/jobs/info/6677dd52fbac42152a1468aa?utm_campaign=1051&amp;utm_source=sheet", "Apply")</f>
        <v>Apply</v>
      </c>
      <c r="C331" s="10" t="s">
        <v>16309</v>
      </c>
      <c r="D331" s="56" t="s">
        <v>2682</v>
      </c>
      <c r="E331" s="10" t="s">
        <v>45</v>
      </c>
      <c r="F331" s="10" t="s">
        <v>1357</v>
      </c>
      <c r="G331" s="10" t="s">
        <v>15829</v>
      </c>
      <c r="H331" s="10" t="s">
        <v>16445</v>
      </c>
      <c r="I331" s="10" t="s">
        <v>55</v>
      </c>
      <c r="J331" s="10" t="s">
        <v>5839</v>
      </c>
      <c r="K331" s="10" t="s">
        <v>16310</v>
      </c>
      <c r="L331" s="10" t="s">
        <v>42</v>
      </c>
    </row>
    <row r="332" ht="15.75" customHeight="1">
      <c r="A332" s="66">
        <v>45487.0</v>
      </c>
      <c r="B332" s="55" t="str">
        <f>HYPERLINK("https://jobright.ai/jobs/info/667424f49634b665d7e51025?utm_campaign=1051&amp;utm_source=sheet", "Apply")</f>
        <v>Apply</v>
      </c>
      <c r="C332" s="10" t="s">
        <v>16309</v>
      </c>
      <c r="D332" s="56" t="s">
        <v>2682</v>
      </c>
      <c r="E332" s="10" t="s">
        <v>45</v>
      </c>
      <c r="F332" s="10" t="s">
        <v>1357</v>
      </c>
      <c r="G332" s="10" t="s">
        <v>15829</v>
      </c>
      <c r="H332" s="10" t="s">
        <v>16446</v>
      </c>
      <c r="I332" s="10" t="s">
        <v>55</v>
      </c>
      <c r="J332" s="10" t="s">
        <v>6078</v>
      </c>
      <c r="K332" s="10" t="s">
        <v>16310</v>
      </c>
      <c r="L332" s="10" t="s">
        <v>42</v>
      </c>
    </row>
    <row r="333" ht="15.75" customHeight="1">
      <c r="A333" s="66">
        <v>45487.0</v>
      </c>
      <c r="B333" s="55" t="str">
        <f>HYPERLINK("https://jobright.ai/jobs/info/667859dd7c4e25df7d3e72b3?utm_campaign=1051&amp;utm_source=sheet", "Apply")</f>
        <v>Apply</v>
      </c>
      <c r="C333" s="10" t="s">
        <v>16309</v>
      </c>
      <c r="D333" s="56" t="s">
        <v>2682</v>
      </c>
      <c r="E333" s="10" t="s">
        <v>45</v>
      </c>
      <c r="F333" s="10" t="s">
        <v>1357</v>
      </c>
      <c r="G333" s="10" t="s">
        <v>15829</v>
      </c>
      <c r="H333" s="10" t="s">
        <v>16447</v>
      </c>
      <c r="I333" s="10" t="s">
        <v>55</v>
      </c>
      <c r="J333" s="10" t="s">
        <v>16448</v>
      </c>
      <c r="K333" s="10" t="s">
        <v>16310</v>
      </c>
      <c r="L333" s="10" t="s">
        <v>42</v>
      </c>
    </row>
    <row r="334" ht="15.75" customHeight="1">
      <c r="A334" s="66">
        <v>45487.0</v>
      </c>
      <c r="B334" s="55" t="str">
        <f>HYPERLINK("https://jobright.ai/jobs/info/66573697e3d4e0f1e6a7263b?utm_campaign=1051&amp;utm_source=sheet", "Apply")</f>
        <v>Apply</v>
      </c>
      <c r="C334" s="10" t="s">
        <v>16309</v>
      </c>
      <c r="D334" s="56" t="s">
        <v>2682</v>
      </c>
      <c r="E334" s="10" t="s">
        <v>45</v>
      </c>
      <c r="F334" s="10" t="s">
        <v>1357</v>
      </c>
      <c r="G334" s="10" t="s">
        <v>15829</v>
      </c>
      <c r="H334" s="10" t="s">
        <v>16449</v>
      </c>
      <c r="I334" s="10" t="s">
        <v>55</v>
      </c>
      <c r="J334" s="10" t="s">
        <v>6078</v>
      </c>
      <c r="K334" s="10" t="s">
        <v>16310</v>
      </c>
      <c r="L334" s="10" t="s">
        <v>42</v>
      </c>
    </row>
    <row r="335" ht="15.75" customHeight="1">
      <c r="A335" s="66">
        <v>45487.0</v>
      </c>
      <c r="B335" s="55" t="str">
        <f>HYPERLINK("https://jobright.ai/jobs/info/66786b42742ddaa1ec1cc3dc?utm_campaign=1051&amp;utm_source=sheet", "Apply")</f>
        <v>Apply</v>
      </c>
      <c r="C335" s="10" t="s">
        <v>16309</v>
      </c>
      <c r="D335" s="56" t="s">
        <v>2682</v>
      </c>
      <c r="E335" s="10" t="s">
        <v>45</v>
      </c>
      <c r="F335" s="10" t="s">
        <v>1357</v>
      </c>
      <c r="G335" s="10" t="s">
        <v>15829</v>
      </c>
      <c r="H335" s="10" t="s">
        <v>930</v>
      </c>
      <c r="I335" s="10" t="s">
        <v>55</v>
      </c>
      <c r="J335" s="10" t="s">
        <v>5839</v>
      </c>
      <c r="K335" s="10" t="s">
        <v>16310</v>
      </c>
      <c r="L335" s="10" t="s">
        <v>42</v>
      </c>
    </row>
    <row r="336" ht="15.75" customHeight="1">
      <c r="A336" s="66">
        <v>45487.0</v>
      </c>
      <c r="B336" s="55" t="str">
        <f>HYPERLINK("https://jobright.ai/jobs/info/65077c9ac5d6d59a6ff9487c?utm_campaign=1051&amp;utm_source=sheet", "Apply")</f>
        <v>Apply</v>
      </c>
      <c r="C336" s="10" t="s">
        <v>16450</v>
      </c>
      <c r="D336" s="56" t="s">
        <v>10975</v>
      </c>
      <c r="E336" s="10" t="s">
        <v>249</v>
      </c>
      <c r="F336" s="10" t="s">
        <v>1934</v>
      </c>
      <c r="G336" s="10" t="s">
        <v>15793</v>
      </c>
      <c r="H336" s="10" t="s">
        <v>153</v>
      </c>
      <c r="I336" s="10" t="s">
        <v>55</v>
      </c>
      <c r="K336" s="10" t="s">
        <v>16451</v>
      </c>
      <c r="L336" s="10" t="s">
        <v>42</v>
      </c>
    </row>
    <row r="337" ht="15.75" customHeight="1">
      <c r="A337" s="66">
        <v>45487.0</v>
      </c>
      <c r="B337" s="55" t="str">
        <f>HYPERLINK("https://jobright.ai/jobs/info/6693b94c1c47153b9abc8daa?utm_campaign=1051&amp;utm_source=sheet", "Apply")</f>
        <v>Apply</v>
      </c>
      <c r="C337" s="10" t="s">
        <v>16452</v>
      </c>
      <c r="D337" s="56" t="s">
        <v>11133</v>
      </c>
      <c r="G337" s="10" t="s">
        <v>100</v>
      </c>
      <c r="H337" s="10" t="s">
        <v>848</v>
      </c>
      <c r="I337" s="10" t="s">
        <v>55</v>
      </c>
      <c r="K337" s="10" t="s">
        <v>16453</v>
      </c>
      <c r="L337" s="10" t="s">
        <v>42</v>
      </c>
    </row>
    <row r="338" ht="15.75" customHeight="1">
      <c r="A338" s="66">
        <v>45487.0</v>
      </c>
      <c r="B338" s="55" t="str">
        <f>HYPERLINK("https://jobright.ai/jobs/info/66795ae0dcb1db3fc098dea5?utm_campaign=1051&amp;utm_source=sheet", "Apply")</f>
        <v>Apply</v>
      </c>
      <c r="C338" s="10" t="s">
        <v>16454</v>
      </c>
      <c r="D338" s="56" t="s">
        <v>730</v>
      </c>
      <c r="E338" s="10" t="s">
        <v>45</v>
      </c>
      <c r="F338" s="10" t="s">
        <v>731</v>
      </c>
      <c r="G338" s="10" t="s">
        <v>100</v>
      </c>
      <c r="H338" s="10" t="s">
        <v>131</v>
      </c>
      <c r="I338" s="10" t="s">
        <v>55</v>
      </c>
      <c r="K338" s="10" t="s">
        <v>16455</v>
      </c>
      <c r="L338" s="10" t="s">
        <v>42</v>
      </c>
    </row>
    <row r="339" ht="15.75" customHeight="1">
      <c r="A339" s="66">
        <v>45487.0</v>
      </c>
      <c r="B339" s="55" t="str">
        <f>HYPERLINK("https://jobright.ai/jobs/info/665b02bdec9ffa87e37f8537?utm_campaign=1051&amp;utm_source=sheet", "Apply")</f>
        <v>Apply</v>
      </c>
      <c r="C339" s="10" t="s">
        <v>16456</v>
      </c>
      <c r="D339" s="56" t="s">
        <v>730</v>
      </c>
      <c r="E339" s="10" t="s">
        <v>45</v>
      </c>
      <c r="F339" s="10" t="s">
        <v>731</v>
      </c>
      <c r="G339" s="10" t="s">
        <v>15793</v>
      </c>
      <c r="H339" s="10" t="s">
        <v>159</v>
      </c>
      <c r="I339" s="10" t="s">
        <v>55</v>
      </c>
      <c r="K339" s="10" t="s">
        <v>16457</v>
      </c>
      <c r="L339" s="10" t="s">
        <v>42</v>
      </c>
    </row>
    <row r="340" ht="15.75" customHeight="1">
      <c r="A340" s="66">
        <v>45487.0</v>
      </c>
      <c r="B340" s="55" t="str">
        <f>HYPERLINK("https://jobright.ai/jobs/info/6677dd3bfbac42152a146790?utm_campaign=1051&amp;utm_source=sheet", "Apply")</f>
        <v>Apply</v>
      </c>
      <c r="C340" s="10" t="s">
        <v>16309</v>
      </c>
      <c r="D340" s="56" t="s">
        <v>2682</v>
      </c>
      <c r="E340" s="10" t="s">
        <v>45</v>
      </c>
      <c r="F340" s="10" t="s">
        <v>1357</v>
      </c>
      <c r="G340" s="10" t="s">
        <v>15829</v>
      </c>
      <c r="H340" s="10" t="s">
        <v>5838</v>
      </c>
      <c r="I340" s="10" t="s">
        <v>55</v>
      </c>
      <c r="J340" s="10" t="s">
        <v>5839</v>
      </c>
      <c r="K340" s="10" t="s">
        <v>16310</v>
      </c>
      <c r="L340" s="10" t="s">
        <v>42</v>
      </c>
    </row>
    <row r="341" ht="15.75" customHeight="1">
      <c r="A341" s="66">
        <v>45487.0</v>
      </c>
      <c r="B341" s="55" t="str">
        <f>HYPERLINK("https://jobright.ai/jobs/info/66760e78ad2dd17614c491be?utm_campaign=1051&amp;utm_source=sheet", "Apply")</f>
        <v>Apply</v>
      </c>
      <c r="C341" s="10" t="s">
        <v>16309</v>
      </c>
      <c r="D341" s="56" t="s">
        <v>2682</v>
      </c>
      <c r="E341" s="10" t="s">
        <v>45</v>
      </c>
      <c r="F341" s="10" t="s">
        <v>1357</v>
      </c>
      <c r="G341" s="10" t="s">
        <v>15829</v>
      </c>
      <c r="H341" s="10" t="s">
        <v>1006</v>
      </c>
      <c r="I341" s="10" t="s">
        <v>55</v>
      </c>
      <c r="K341" s="10" t="s">
        <v>16310</v>
      </c>
      <c r="L341" s="10" t="s">
        <v>42</v>
      </c>
    </row>
    <row r="342" ht="15.75" customHeight="1">
      <c r="A342" s="66">
        <v>45487.0</v>
      </c>
      <c r="B342" s="55" t="str">
        <f>HYPERLINK("https://jobright.ai/jobs/info/665b134360515a1092af7c36?utm_campaign=1051&amp;utm_source=sheet", "Apply")</f>
        <v>Apply</v>
      </c>
      <c r="C342" s="10" t="s">
        <v>16454</v>
      </c>
      <c r="D342" s="56" t="s">
        <v>730</v>
      </c>
      <c r="E342" s="10" t="s">
        <v>45</v>
      </c>
      <c r="F342" s="10" t="s">
        <v>731</v>
      </c>
      <c r="G342" s="10" t="s">
        <v>100</v>
      </c>
      <c r="H342" s="10" t="s">
        <v>146</v>
      </c>
      <c r="I342" s="10" t="s">
        <v>55</v>
      </c>
      <c r="K342" s="10" t="s">
        <v>16455</v>
      </c>
      <c r="L342" s="10" t="s">
        <v>42</v>
      </c>
    </row>
    <row r="343" ht="15.75" customHeight="1">
      <c r="A343" s="66">
        <v>45487.0</v>
      </c>
      <c r="B343" s="55" t="str">
        <f>HYPERLINK("https://jobright.ai/jobs/info/66795ea4dd14b36e4d97a0bb?utm_campaign=1051&amp;utm_source=sheet", "Apply")</f>
        <v>Apply</v>
      </c>
      <c r="C343" s="10" t="s">
        <v>16458</v>
      </c>
      <c r="D343" s="56" t="s">
        <v>10975</v>
      </c>
      <c r="E343" s="10" t="s">
        <v>249</v>
      </c>
      <c r="F343" s="10" t="s">
        <v>1934</v>
      </c>
      <c r="G343" s="10" t="s">
        <v>15793</v>
      </c>
      <c r="H343" s="10" t="s">
        <v>96</v>
      </c>
      <c r="I343" s="10" t="s">
        <v>55</v>
      </c>
      <c r="K343" s="10" t="s">
        <v>15837</v>
      </c>
      <c r="L343" s="10" t="s">
        <v>42</v>
      </c>
    </row>
    <row r="344" ht="15.75" customHeight="1">
      <c r="A344" s="66">
        <v>45487.0</v>
      </c>
      <c r="B344" s="55" t="str">
        <f>HYPERLINK("https://jobright.ai/jobs/info/66577b2d8225e529a67e3ec1?utm_campaign=1051&amp;utm_source=sheet", "Apply")</f>
        <v>Apply</v>
      </c>
      <c r="C344" s="10" t="s">
        <v>16459</v>
      </c>
      <c r="D344" s="56" t="s">
        <v>10169</v>
      </c>
      <c r="E344" s="10" t="s">
        <v>45</v>
      </c>
      <c r="F344" s="10" t="s">
        <v>10170</v>
      </c>
      <c r="G344" s="10" t="s">
        <v>15784</v>
      </c>
      <c r="H344" s="10" t="s">
        <v>16460</v>
      </c>
      <c r="I344" s="10" t="s">
        <v>55</v>
      </c>
      <c r="J344" s="10" t="s">
        <v>1409</v>
      </c>
      <c r="K344" s="10" t="s">
        <v>16461</v>
      </c>
      <c r="L344" s="10" t="s">
        <v>42</v>
      </c>
    </row>
    <row r="345" ht="15.75" customHeight="1">
      <c r="A345" s="66">
        <v>45487.0</v>
      </c>
      <c r="B345" s="55" t="str">
        <f>HYPERLINK("https://jobright.ai/jobs/info/6657f7e20d5708266481dfa0?utm_campaign=1051&amp;utm_source=sheet", "Apply")</f>
        <v>Apply</v>
      </c>
      <c r="C345" s="10" t="s">
        <v>15918</v>
      </c>
      <c r="D345" s="56" t="s">
        <v>13732</v>
      </c>
      <c r="E345" s="10" t="s">
        <v>209</v>
      </c>
      <c r="F345" s="10" t="s">
        <v>13733</v>
      </c>
      <c r="G345" s="10" t="s">
        <v>15814</v>
      </c>
      <c r="H345" s="10" t="s">
        <v>11404</v>
      </c>
      <c r="I345" s="10" t="s">
        <v>55</v>
      </c>
      <c r="J345" s="10" t="s">
        <v>1984</v>
      </c>
      <c r="K345" s="10" t="s">
        <v>16462</v>
      </c>
      <c r="L345" s="10" t="s">
        <v>42</v>
      </c>
    </row>
    <row r="346" ht="15.75" customHeight="1">
      <c r="A346" s="66">
        <v>45487.0</v>
      </c>
      <c r="B346" s="55" t="str">
        <f>HYPERLINK("https://jobright.ai/jobs/info/66893c364b43176f6b991316?utm_campaign=1051&amp;utm_source=sheet", "Apply")</f>
        <v>Apply</v>
      </c>
      <c r="C346" s="10" t="s">
        <v>16463</v>
      </c>
      <c r="D346" s="56" t="s">
        <v>1094</v>
      </c>
      <c r="E346" s="10" t="s">
        <v>45</v>
      </c>
      <c r="F346" s="10" t="s">
        <v>731</v>
      </c>
      <c r="G346" s="10" t="s">
        <v>100</v>
      </c>
      <c r="H346" s="10" t="s">
        <v>96</v>
      </c>
      <c r="I346" s="10" t="s">
        <v>55</v>
      </c>
      <c r="K346" s="10" t="s">
        <v>16464</v>
      </c>
      <c r="L346" s="10" t="s">
        <v>42</v>
      </c>
    </row>
    <row r="347" ht="15.75" customHeight="1">
      <c r="A347" s="66">
        <v>45487.0</v>
      </c>
      <c r="B347" s="55" t="str">
        <f>HYPERLINK("https://jobright.ai/jobs/info/667968cbd86d626ab8b77da8?utm_campaign=1051&amp;utm_source=sheet", "Apply")</f>
        <v>Apply</v>
      </c>
      <c r="C347" s="10" t="s">
        <v>16435</v>
      </c>
      <c r="D347" s="56" t="s">
        <v>730</v>
      </c>
      <c r="E347" s="10" t="s">
        <v>45</v>
      </c>
      <c r="F347" s="10" t="s">
        <v>731</v>
      </c>
      <c r="G347" s="10" t="s">
        <v>15793</v>
      </c>
      <c r="H347" s="10" t="s">
        <v>154</v>
      </c>
      <c r="I347" s="10" t="s">
        <v>55</v>
      </c>
      <c r="K347" s="10" t="s">
        <v>16436</v>
      </c>
      <c r="L347" s="10" t="s">
        <v>42</v>
      </c>
    </row>
    <row r="348" ht="15.75" customHeight="1">
      <c r="A348" s="66">
        <v>45487.0</v>
      </c>
      <c r="B348" s="55" t="str">
        <f>HYPERLINK("https://jobright.ai/jobs/info/65075e8278de930024e36c0b?utm_campaign=1051&amp;utm_source=sheet", "Apply")</f>
        <v>Apply</v>
      </c>
      <c r="C348" s="10" t="s">
        <v>16465</v>
      </c>
      <c r="D348" s="56" t="s">
        <v>10975</v>
      </c>
      <c r="E348" s="10" t="s">
        <v>249</v>
      </c>
      <c r="F348" s="10" t="s">
        <v>1934</v>
      </c>
      <c r="G348" s="10" t="s">
        <v>15793</v>
      </c>
      <c r="H348" s="10" t="s">
        <v>898</v>
      </c>
      <c r="I348" s="10" t="s">
        <v>55</v>
      </c>
      <c r="K348" s="10" t="s">
        <v>16451</v>
      </c>
      <c r="L348" s="10" t="s">
        <v>42</v>
      </c>
    </row>
    <row r="349" ht="15.75" customHeight="1">
      <c r="A349" s="66">
        <v>45487.0</v>
      </c>
      <c r="B349" s="55" t="str">
        <f>HYPERLINK("https://jobright.ai/jobs/info/667859dd7c4e25df7d3e72a7?utm_campaign=1051&amp;utm_source=sheet", "Apply")</f>
        <v>Apply</v>
      </c>
      <c r="C349" s="10" t="s">
        <v>16309</v>
      </c>
      <c r="D349" s="56" t="s">
        <v>2682</v>
      </c>
      <c r="E349" s="10" t="s">
        <v>45</v>
      </c>
      <c r="F349" s="10" t="s">
        <v>1357</v>
      </c>
      <c r="G349" s="10" t="s">
        <v>15829</v>
      </c>
      <c r="H349" s="10" t="s">
        <v>16466</v>
      </c>
      <c r="I349" s="10" t="s">
        <v>55</v>
      </c>
      <c r="J349" s="10" t="s">
        <v>6078</v>
      </c>
      <c r="K349" s="10" t="s">
        <v>16310</v>
      </c>
      <c r="L349" s="10" t="s">
        <v>42</v>
      </c>
    </row>
    <row r="350" ht="15.75" customHeight="1">
      <c r="A350" s="66">
        <v>45487.0</v>
      </c>
      <c r="B350" s="55" t="str">
        <f>HYPERLINK("https://jobright.ai/jobs/info/665b005252bf3657b8d2342e?utm_campaign=1051&amp;utm_source=sheet", "Apply")</f>
        <v>Apply</v>
      </c>
      <c r="C350" s="10" t="s">
        <v>16456</v>
      </c>
      <c r="D350" s="56" t="s">
        <v>730</v>
      </c>
      <c r="E350" s="10" t="s">
        <v>45</v>
      </c>
      <c r="F350" s="10" t="s">
        <v>731</v>
      </c>
      <c r="G350" s="10" t="s">
        <v>15793</v>
      </c>
      <c r="H350" s="10" t="s">
        <v>154</v>
      </c>
      <c r="I350" s="10" t="s">
        <v>55</v>
      </c>
      <c r="K350" s="10" t="s">
        <v>16457</v>
      </c>
      <c r="L350" s="10" t="s">
        <v>42</v>
      </c>
    </row>
    <row r="351" ht="15.75" customHeight="1">
      <c r="A351" s="66">
        <v>45487.0</v>
      </c>
      <c r="B351" s="55" t="str">
        <f>HYPERLINK("https://jobright.ai/jobs/info/665b0ae120de66561f9177cc?utm_campaign=1051&amp;utm_source=sheet", "Apply")</f>
        <v>Apply</v>
      </c>
      <c r="C351" s="10" t="s">
        <v>16456</v>
      </c>
      <c r="D351" s="56" t="s">
        <v>730</v>
      </c>
      <c r="E351" s="10" t="s">
        <v>45</v>
      </c>
      <c r="F351" s="10" t="s">
        <v>731</v>
      </c>
      <c r="G351" s="10" t="s">
        <v>15793</v>
      </c>
      <c r="H351" s="10" t="s">
        <v>96</v>
      </c>
      <c r="I351" s="10" t="s">
        <v>55</v>
      </c>
      <c r="K351" s="10" t="s">
        <v>16457</v>
      </c>
      <c r="L351" s="10" t="s">
        <v>42</v>
      </c>
    </row>
    <row r="352" ht="15.75" customHeight="1">
      <c r="A352" s="66">
        <v>45487.0</v>
      </c>
      <c r="B352" s="55" t="str">
        <f>HYPERLINK("https://jobright.ai/jobs/info/660df7a6723a3b9395a66d5d?utm_campaign=1051&amp;utm_source=sheet", "Apply")</f>
        <v>Apply</v>
      </c>
      <c r="C352" s="10" t="s">
        <v>16467</v>
      </c>
      <c r="D352" s="56" t="s">
        <v>16468</v>
      </c>
      <c r="E352" s="10">
        <v>3862.0</v>
      </c>
      <c r="G352" s="10" t="s">
        <v>15814</v>
      </c>
      <c r="H352" s="10" t="s">
        <v>607</v>
      </c>
      <c r="I352" s="10" t="s">
        <v>55</v>
      </c>
      <c r="K352" s="10" t="s">
        <v>16469</v>
      </c>
      <c r="L352" s="10" t="s">
        <v>42</v>
      </c>
    </row>
    <row r="353" ht="15.75" customHeight="1">
      <c r="A353" s="66">
        <v>45487.0</v>
      </c>
      <c r="B353" s="55" t="str">
        <f>HYPERLINK("https://jobright.ai/jobs/info/665b134860515a1092af7c39?utm_campaign=1051&amp;utm_source=sheet", "Apply")</f>
        <v>Apply</v>
      </c>
      <c r="C353" s="10" t="s">
        <v>16456</v>
      </c>
      <c r="D353" s="56" t="s">
        <v>730</v>
      </c>
      <c r="E353" s="10" t="s">
        <v>45</v>
      </c>
      <c r="F353" s="10" t="s">
        <v>731</v>
      </c>
      <c r="G353" s="10" t="s">
        <v>15793</v>
      </c>
      <c r="H353" s="10" t="s">
        <v>165</v>
      </c>
      <c r="I353" s="10" t="s">
        <v>55</v>
      </c>
      <c r="K353" s="10" t="s">
        <v>16457</v>
      </c>
      <c r="L353" s="10" t="s">
        <v>42</v>
      </c>
    </row>
    <row r="354" ht="15.75" customHeight="1">
      <c r="A354" s="66">
        <v>45487.0</v>
      </c>
      <c r="B354" s="55" t="str">
        <f>HYPERLINK("https://jobright.ai/jobs/info/66795f04dd14b36e4d97a934?utm_campaign=1051&amp;utm_source=sheet", "Apply")</f>
        <v>Apply</v>
      </c>
      <c r="C354" s="10" t="s">
        <v>16454</v>
      </c>
      <c r="D354" s="56" t="s">
        <v>730</v>
      </c>
      <c r="E354" s="10" t="s">
        <v>45</v>
      </c>
      <c r="F354" s="10" t="s">
        <v>731</v>
      </c>
      <c r="G354" s="10" t="s">
        <v>100</v>
      </c>
      <c r="H354" s="10" t="s">
        <v>994</v>
      </c>
      <c r="I354" s="10" t="s">
        <v>55</v>
      </c>
      <c r="K354" s="10" t="s">
        <v>16455</v>
      </c>
      <c r="L354" s="10" t="s">
        <v>42</v>
      </c>
    </row>
    <row r="355" ht="15.75" customHeight="1">
      <c r="A355" s="66">
        <v>45487.0</v>
      </c>
      <c r="B355" s="55" t="str">
        <f>HYPERLINK("https://jobright.ai/jobs/info/662868fa092a09c53f51a67a?utm_campaign=1051&amp;utm_source=sheet", "Apply")</f>
        <v>Apply</v>
      </c>
      <c r="C355" s="10" t="s">
        <v>16470</v>
      </c>
      <c r="D355" s="56" t="s">
        <v>9491</v>
      </c>
      <c r="E355" s="10" t="s">
        <v>209</v>
      </c>
      <c r="F355" s="10" t="s">
        <v>3382</v>
      </c>
      <c r="G355" s="10" t="s">
        <v>100</v>
      </c>
      <c r="H355" s="10" t="s">
        <v>154</v>
      </c>
      <c r="I355" s="10" t="s">
        <v>55</v>
      </c>
      <c r="J355" s="10" t="s">
        <v>16471</v>
      </c>
      <c r="K355" s="10" t="s">
        <v>16472</v>
      </c>
      <c r="L355" s="10" t="s">
        <v>42</v>
      </c>
    </row>
    <row r="356" ht="15.75" customHeight="1">
      <c r="A356" s="66">
        <v>45486.0</v>
      </c>
      <c r="B356" s="55" t="str">
        <f>HYPERLINK("https://jobright.ai/jobs/info/65075e7b78de930024e369c5?utm_campaign=1051&amp;utm_source=sheet", "Apply")</f>
        <v>Apply</v>
      </c>
      <c r="C356" s="10" t="s">
        <v>16473</v>
      </c>
      <c r="D356" s="56" t="s">
        <v>10975</v>
      </c>
      <c r="E356" s="10" t="s">
        <v>249</v>
      </c>
      <c r="F356" s="10" t="s">
        <v>1934</v>
      </c>
      <c r="G356" s="10" t="s">
        <v>15793</v>
      </c>
      <c r="H356" s="10" t="s">
        <v>607</v>
      </c>
      <c r="I356" s="10" t="s">
        <v>55</v>
      </c>
      <c r="K356" s="10" t="s">
        <v>16451</v>
      </c>
      <c r="L356" s="10" t="s">
        <v>42</v>
      </c>
    </row>
    <row r="357" ht="15.75" customHeight="1">
      <c r="A357" s="66">
        <v>45486.0</v>
      </c>
      <c r="B357" s="55" t="str">
        <f>HYPERLINK("https://jobright.ai/jobs/info/6676e08dc909276a3772dc65?utm_campaign=1051&amp;utm_source=sheet", "Apply")</f>
        <v>Apply</v>
      </c>
      <c r="C357" s="10" t="s">
        <v>15910</v>
      </c>
      <c r="D357" s="56" t="s">
        <v>16474</v>
      </c>
      <c r="E357" s="10" t="s">
        <v>249</v>
      </c>
      <c r="F357" s="10" t="s">
        <v>1893</v>
      </c>
      <c r="G357" s="10" t="s">
        <v>100</v>
      </c>
      <c r="H357" s="10" t="s">
        <v>723</v>
      </c>
      <c r="I357" s="10" t="s">
        <v>55</v>
      </c>
      <c r="L357" s="10" t="s">
        <v>42</v>
      </c>
    </row>
    <row r="358" ht="15.75" customHeight="1">
      <c r="A358" s="66">
        <v>45486.0</v>
      </c>
      <c r="B358" s="55" t="str">
        <f>HYPERLINK("https://jobright.ai/jobs/info/6676d48d1d12b08259382935?utm_campaign=1051&amp;utm_source=sheet", "Apply")</f>
        <v>Apply</v>
      </c>
      <c r="C358" s="10" t="s">
        <v>15918</v>
      </c>
      <c r="D358" s="56" t="s">
        <v>1064</v>
      </c>
      <c r="E358" s="10" t="s">
        <v>65</v>
      </c>
      <c r="F358" s="10" t="s">
        <v>1065</v>
      </c>
      <c r="G358" s="10" t="s">
        <v>15814</v>
      </c>
      <c r="H358" s="10" t="s">
        <v>952</v>
      </c>
      <c r="I358" s="10" t="s">
        <v>55</v>
      </c>
      <c r="J358" s="10" t="s">
        <v>1984</v>
      </c>
      <c r="K358" s="10" t="s">
        <v>16475</v>
      </c>
      <c r="L358" s="10" t="s">
        <v>42</v>
      </c>
    </row>
    <row r="359" ht="15.75" customHeight="1">
      <c r="A359" s="66">
        <v>45486.0</v>
      </c>
      <c r="B359" s="55" t="str">
        <f>HYPERLINK("https://jobright.ai/jobs/info/650765826198163b7ccb7564?utm_campaign=1051&amp;utm_source=sheet", "Apply")</f>
        <v>Apply</v>
      </c>
      <c r="C359" s="10" t="s">
        <v>16476</v>
      </c>
      <c r="D359" s="56" t="s">
        <v>10975</v>
      </c>
      <c r="E359" s="10" t="s">
        <v>249</v>
      </c>
      <c r="F359" s="10" t="s">
        <v>1934</v>
      </c>
      <c r="G359" s="10" t="s">
        <v>15793</v>
      </c>
      <c r="H359" s="10" t="s">
        <v>994</v>
      </c>
      <c r="I359" s="10" t="s">
        <v>55</v>
      </c>
      <c r="K359" s="10" t="s">
        <v>15837</v>
      </c>
      <c r="L359" s="10" t="s">
        <v>42</v>
      </c>
    </row>
    <row r="360" ht="15.75" customHeight="1">
      <c r="A360" s="66">
        <v>45486.0</v>
      </c>
      <c r="B360" s="55" t="str">
        <f>HYPERLINK("https://jobright.ai/jobs/info/65075e8278de930024e36b96?utm_campaign=1051&amp;utm_source=sheet", "Apply")</f>
        <v>Apply</v>
      </c>
      <c r="C360" s="10" t="s">
        <v>16477</v>
      </c>
      <c r="D360" s="56" t="s">
        <v>10975</v>
      </c>
      <c r="E360" s="10" t="s">
        <v>249</v>
      </c>
      <c r="F360" s="10" t="s">
        <v>1934</v>
      </c>
      <c r="G360" s="10" t="s">
        <v>15793</v>
      </c>
      <c r="H360" s="10" t="s">
        <v>165</v>
      </c>
      <c r="I360" s="10" t="s">
        <v>55</v>
      </c>
      <c r="K360" s="10" t="s">
        <v>16478</v>
      </c>
      <c r="L360" s="10" t="s">
        <v>42</v>
      </c>
    </row>
    <row r="361" ht="15.75" customHeight="1">
      <c r="A361" s="66">
        <v>45486.0</v>
      </c>
      <c r="B361" s="55" t="str">
        <f>HYPERLINK("https://jobright.ai/jobs/info/650c55cf7d0264e453313a19?utm_campaign=1051&amp;utm_source=sheet", "Apply")</f>
        <v>Apply</v>
      </c>
      <c r="C361" s="10" t="s">
        <v>16479</v>
      </c>
      <c r="D361" s="56" t="s">
        <v>10975</v>
      </c>
      <c r="E361" s="10" t="s">
        <v>249</v>
      </c>
      <c r="F361" s="10" t="s">
        <v>1934</v>
      </c>
      <c r="G361" s="10" t="s">
        <v>15793</v>
      </c>
      <c r="H361" s="10" t="s">
        <v>605</v>
      </c>
      <c r="I361" s="10" t="s">
        <v>55</v>
      </c>
      <c r="K361" s="10" t="s">
        <v>16451</v>
      </c>
      <c r="L361" s="10" t="s">
        <v>42</v>
      </c>
    </row>
    <row r="362" ht="15.75" customHeight="1">
      <c r="A362" s="66">
        <v>45486.0</v>
      </c>
      <c r="B362" s="55" t="str">
        <f>HYPERLINK("https://jobright.ai/jobs/info/6507371c3788636ab289011e?utm_campaign=1051&amp;utm_source=sheet", "Apply")</f>
        <v>Apply</v>
      </c>
      <c r="C362" s="10" t="s">
        <v>16480</v>
      </c>
      <c r="D362" s="56" t="s">
        <v>10975</v>
      </c>
      <c r="E362" s="10" t="s">
        <v>249</v>
      </c>
      <c r="F362" s="10" t="s">
        <v>1934</v>
      </c>
      <c r="G362" s="10" t="s">
        <v>15793</v>
      </c>
      <c r="H362" s="10" t="s">
        <v>5286</v>
      </c>
      <c r="I362" s="10" t="s">
        <v>55</v>
      </c>
      <c r="K362" s="10" t="s">
        <v>16451</v>
      </c>
      <c r="L362" s="10" t="s">
        <v>42</v>
      </c>
    </row>
    <row r="363" ht="15.75" customHeight="1">
      <c r="A363" s="66">
        <v>45486.0</v>
      </c>
      <c r="B363" s="55" t="str">
        <f>HYPERLINK("https://jobright.ai/jobs/info/65086fe6b1e91ec1ac9bcf1c?utm_campaign=1051&amp;utm_source=sheet", "Apply")</f>
        <v>Apply</v>
      </c>
      <c r="C363" s="10" t="s">
        <v>16481</v>
      </c>
      <c r="D363" s="56" t="s">
        <v>1064</v>
      </c>
      <c r="E363" s="10" t="s">
        <v>65</v>
      </c>
      <c r="F363" s="10" t="s">
        <v>1065</v>
      </c>
      <c r="G363" s="10" t="s">
        <v>15793</v>
      </c>
      <c r="H363" s="10" t="s">
        <v>952</v>
      </c>
      <c r="I363" s="10" t="s">
        <v>55</v>
      </c>
      <c r="K363" s="10" t="s">
        <v>14427</v>
      </c>
      <c r="L363" s="10" t="s">
        <v>42</v>
      </c>
    </row>
    <row r="364" ht="15.75" customHeight="1">
      <c r="A364" s="66">
        <v>45486.0</v>
      </c>
      <c r="B364" s="55" t="str">
        <f>HYPERLINK("https://jobright.ai/jobs/info/6676d48d1d12b08259382910?utm_campaign=1051&amp;utm_source=sheet", "Apply")</f>
        <v>Apply</v>
      </c>
      <c r="C364" s="10" t="s">
        <v>16482</v>
      </c>
      <c r="D364" s="56" t="s">
        <v>1064</v>
      </c>
      <c r="E364" s="10" t="s">
        <v>65</v>
      </c>
      <c r="F364" s="10" t="s">
        <v>1065</v>
      </c>
      <c r="G364" s="10" t="s">
        <v>15793</v>
      </c>
      <c r="H364" s="10" t="s">
        <v>952</v>
      </c>
      <c r="I364" s="10" t="s">
        <v>55</v>
      </c>
      <c r="J364" s="10" t="s">
        <v>1984</v>
      </c>
      <c r="K364" s="10" t="s">
        <v>16483</v>
      </c>
      <c r="L364" s="10" t="s">
        <v>42</v>
      </c>
    </row>
    <row r="365" ht="15.75" customHeight="1">
      <c r="A365" s="66">
        <v>45486.0</v>
      </c>
      <c r="B365" s="55" t="str">
        <f>HYPERLINK("https://jobright.ai/jobs/info/66761ad0127b183117fe839e?utm_campaign=1051&amp;utm_source=sheet", "Apply")</f>
        <v>Apply</v>
      </c>
      <c r="C365" s="10" t="s">
        <v>16484</v>
      </c>
      <c r="D365" s="56" t="s">
        <v>180</v>
      </c>
      <c r="E365" s="10">
        <v>3092.0</v>
      </c>
      <c r="G365" s="10" t="s">
        <v>15793</v>
      </c>
      <c r="H365" s="10" t="s">
        <v>181</v>
      </c>
      <c r="I365" s="10" t="s">
        <v>55</v>
      </c>
      <c r="K365" s="10" t="s">
        <v>16485</v>
      </c>
      <c r="L365" s="10" t="s">
        <v>42</v>
      </c>
    </row>
    <row r="366" ht="15.75" customHeight="1">
      <c r="A366" s="66">
        <v>45486.0</v>
      </c>
      <c r="B366" s="55" t="str">
        <f>HYPERLINK("https://jobright.ai/jobs/info/650e495adaf04b53142bda90?utm_campaign=1051&amp;utm_source=sheet", "Apply")</f>
        <v>Apply</v>
      </c>
      <c r="C366" s="10" t="s">
        <v>16486</v>
      </c>
      <c r="D366" s="56" t="s">
        <v>16487</v>
      </c>
      <c r="E366" s="10" t="s">
        <v>45</v>
      </c>
      <c r="F366" s="10" t="s">
        <v>16488</v>
      </c>
      <c r="G366" s="10" t="s">
        <v>15814</v>
      </c>
      <c r="H366" s="10" t="s">
        <v>16489</v>
      </c>
      <c r="I366" s="10" t="s">
        <v>55</v>
      </c>
      <c r="K366" s="10" t="s">
        <v>16490</v>
      </c>
      <c r="L366" s="10" t="s">
        <v>42</v>
      </c>
    </row>
    <row r="367" ht="15.75" customHeight="1">
      <c r="A367" s="66">
        <v>45486.0</v>
      </c>
      <c r="B367" s="55" t="str">
        <f>HYPERLINK("https://jobright.ai/jobs/info/66577b2d8225e529a67e3ee6?utm_campaign=1051&amp;utm_source=sheet", "Apply")</f>
        <v>Apply</v>
      </c>
      <c r="C367" s="10" t="s">
        <v>16459</v>
      </c>
      <c r="D367" s="56" t="s">
        <v>10169</v>
      </c>
      <c r="E367" s="10" t="s">
        <v>45</v>
      </c>
      <c r="F367" s="10" t="s">
        <v>10170</v>
      </c>
      <c r="G367" s="10" t="s">
        <v>15784</v>
      </c>
      <c r="H367" s="10" t="s">
        <v>5991</v>
      </c>
      <c r="I367" s="10" t="s">
        <v>55</v>
      </c>
      <c r="J367" s="10" t="s">
        <v>1409</v>
      </c>
      <c r="K367" s="10" t="s">
        <v>16461</v>
      </c>
      <c r="L367" s="10" t="s">
        <v>42</v>
      </c>
    </row>
    <row r="368" ht="15.75" customHeight="1">
      <c r="A368" s="66">
        <v>45486.0</v>
      </c>
      <c r="B368" s="55" t="str">
        <f>HYPERLINK("https://jobright.ai/jobs/info/664e9858f97ff61ecf83b39e?utm_campaign=1051&amp;utm_source=sheet", "Apply")</f>
        <v>Apply</v>
      </c>
      <c r="C368" s="10" t="s">
        <v>16491</v>
      </c>
      <c r="D368" s="56" t="s">
        <v>1064</v>
      </c>
      <c r="E368" s="10" t="s">
        <v>65</v>
      </c>
      <c r="F368" s="10" t="s">
        <v>1065</v>
      </c>
      <c r="G368" s="10" t="s">
        <v>15793</v>
      </c>
      <c r="H368" s="10" t="s">
        <v>952</v>
      </c>
      <c r="I368" s="10" t="s">
        <v>55</v>
      </c>
      <c r="J368" s="10" t="s">
        <v>1984</v>
      </c>
      <c r="K368" s="10" t="s">
        <v>16483</v>
      </c>
      <c r="L368" s="10" t="s">
        <v>42</v>
      </c>
    </row>
    <row r="369" ht="15.75" customHeight="1">
      <c r="A369" s="66">
        <v>45486.0</v>
      </c>
      <c r="B369" s="55" t="str">
        <f>HYPERLINK("https://jobright.ai/jobs/info/66546e15fa5965f1eebf9f48?utm_campaign=1051&amp;utm_source=sheet", "Apply")</f>
        <v>Apply</v>
      </c>
      <c r="C369" s="10" t="s">
        <v>16492</v>
      </c>
      <c r="D369" s="56" t="s">
        <v>16493</v>
      </c>
      <c r="E369" s="10" t="s">
        <v>249</v>
      </c>
      <c r="F369" s="10" t="s">
        <v>16494</v>
      </c>
      <c r="G369" s="10" t="s">
        <v>100</v>
      </c>
      <c r="H369" s="10" t="s">
        <v>4556</v>
      </c>
      <c r="I369" s="10" t="s">
        <v>55</v>
      </c>
      <c r="J369" s="10" t="s">
        <v>16495</v>
      </c>
      <c r="K369" s="10" t="s">
        <v>16496</v>
      </c>
      <c r="L369" s="10" t="s">
        <v>42</v>
      </c>
    </row>
    <row r="370" ht="15.75" customHeight="1">
      <c r="A370" s="66">
        <v>45486.0</v>
      </c>
      <c r="B370" s="55" t="str">
        <f>HYPERLINK("https://jobright.ai/jobs/info/6676dc1e52e59db0b1bd4ae3?utm_campaign=1051&amp;utm_source=sheet", "Apply")</f>
        <v>Apply</v>
      </c>
      <c r="C370" s="10" t="s">
        <v>16497</v>
      </c>
      <c r="D370" s="56" t="s">
        <v>16498</v>
      </c>
      <c r="E370" s="10">
        <v>2155.0</v>
      </c>
      <c r="G370" s="10" t="s">
        <v>15793</v>
      </c>
      <c r="H370" s="10" t="s">
        <v>16499</v>
      </c>
      <c r="I370" s="10" t="s">
        <v>48</v>
      </c>
      <c r="K370" s="10" t="s">
        <v>16500</v>
      </c>
      <c r="L370" s="10" t="s">
        <v>42</v>
      </c>
    </row>
    <row r="371" ht="15.75" customHeight="1">
      <c r="A371" s="66">
        <v>45486.0</v>
      </c>
      <c r="B371" s="55" t="str">
        <f>HYPERLINK("https://jobright.ai/jobs/info/66796379f6b36b4aa01a3989?utm_campaign=1051&amp;utm_source=sheet", "Apply")</f>
        <v>Apply</v>
      </c>
      <c r="C371" s="10" t="s">
        <v>16391</v>
      </c>
      <c r="D371" s="56" t="s">
        <v>16501</v>
      </c>
      <c r="E371" s="10" t="s">
        <v>249</v>
      </c>
      <c r="F371" s="10" t="s">
        <v>1723</v>
      </c>
      <c r="G371" s="10" t="s">
        <v>15793</v>
      </c>
      <c r="H371" s="10" t="s">
        <v>159</v>
      </c>
      <c r="I371" s="10" t="s">
        <v>55</v>
      </c>
      <c r="J371" s="10" t="s">
        <v>16502</v>
      </c>
      <c r="K371" s="10" t="s">
        <v>16503</v>
      </c>
      <c r="L371" s="10" t="s">
        <v>42</v>
      </c>
    </row>
    <row r="372" ht="15.75" customHeight="1">
      <c r="A372" s="66">
        <v>45486.0</v>
      </c>
      <c r="B372" s="55" t="str">
        <f>HYPERLINK("https://jobright.ai/jobs/info/65074778aaeb6ed3541a02e6?utm_campaign=1051&amp;utm_source=sheet", "Apply")</f>
        <v>Apply</v>
      </c>
      <c r="C372" s="10" t="s">
        <v>16504</v>
      </c>
      <c r="D372" s="56" t="s">
        <v>10975</v>
      </c>
      <c r="E372" s="10" t="s">
        <v>249</v>
      </c>
      <c r="F372" s="10" t="s">
        <v>1934</v>
      </c>
      <c r="G372" s="10" t="s">
        <v>15793</v>
      </c>
      <c r="H372" s="10" t="s">
        <v>1168</v>
      </c>
      <c r="I372" s="10" t="s">
        <v>55</v>
      </c>
      <c r="K372" s="10" t="s">
        <v>15837</v>
      </c>
      <c r="L372" s="10" t="s">
        <v>42</v>
      </c>
    </row>
    <row r="373" ht="15.75" customHeight="1">
      <c r="A373" s="66">
        <v>45486.0</v>
      </c>
      <c r="B373" s="55" t="str">
        <f>HYPERLINK("https://jobright.ai/jobs/info/66577180865ef7357af15851?utm_campaign=1051&amp;utm_source=sheet", "Apply")</f>
        <v>Apply</v>
      </c>
      <c r="C373" s="10" t="s">
        <v>16459</v>
      </c>
      <c r="D373" s="56" t="s">
        <v>10169</v>
      </c>
      <c r="E373" s="10" t="s">
        <v>45</v>
      </c>
      <c r="F373" s="10" t="s">
        <v>10170</v>
      </c>
      <c r="G373" s="10" t="s">
        <v>15784</v>
      </c>
      <c r="H373" s="10" t="s">
        <v>13914</v>
      </c>
      <c r="I373" s="10" t="s">
        <v>55</v>
      </c>
      <c r="J373" s="10" t="s">
        <v>1409</v>
      </c>
      <c r="K373" s="10" t="s">
        <v>16461</v>
      </c>
      <c r="L373" s="10" t="s">
        <v>42</v>
      </c>
    </row>
    <row r="374" ht="15.75" customHeight="1">
      <c r="A374" s="66">
        <v>45486.0</v>
      </c>
      <c r="B374" s="55" t="str">
        <f>HYPERLINK("https://jobright.ai/jobs/info/66796318f6b36b4aa01a326a?utm_campaign=1051&amp;utm_source=sheet", "Apply")</f>
        <v>Apply</v>
      </c>
      <c r="C374" s="10" t="s">
        <v>16505</v>
      </c>
      <c r="D374" s="56" t="s">
        <v>10975</v>
      </c>
      <c r="E374" s="10" t="s">
        <v>249</v>
      </c>
      <c r="F374" s="10" t="s">
        <v>1934</v>
      </c>
      <c r="G374" s="10" t="s">
        <v>15793</v>
      </c>
      <c r="H374" s="10" t="s">
        <v>131</v>
      </c>
      <c r="I374" s="10" t="s">
        <v>55</v>
      </c>
      <c r="K374" s="10" t="s">
        <v>15837</v>
      </c>
      <c r="L374" s="10" t="s">
        <v>42</v>
      </c>
    </row>
    <row r="375" ht="15.75" customHeight="1">
      <c r="A375" s="66">
        <v>45486.0</v>
      </c>
      <c r="B375" s="55" t="str">
        <f>HYPERLINK("https://jobright.ai/jobs/info/64dbc09d96534863c0ac5a96?utm_campaign=1051&amp;utm_source=sheet", "Apply")</f>
        <v>Apply</v>
      </c>
      <c r="C375" s="10" t="s">
        <v>16506</v>
      </c>
      <c r="D375" s="56" t="s">
        <v>10975</v>
      </c>
      <c r="E375" s="10" t="s">
        <v>249</v>
      </c>
      <c r="F375" s="10" t="s">
        <v>1934</v>
      </c>
      <c r="G375" s="10" t="s">
        <v>15793</v>
      </c>
      <c r="H375" s="10" t="s">
        <v>794</v>
      </c>
      <c r="I375" s="10" t="s">
        <v>55</v>
      </c>
      <c r="K375" s="10" t="s">
        <v>16451</v>
      </c>
      <c r="L375" s="10" t="s">
        <v>42</v>
      </c>
    </row>
    <row r="376" ht="15.75" customHeight="1">
      <c r="A376" s="66">
        <v>45486.0</v>
      </c>
      <c r="B376" s="55" t="str">
        <f>HYPERLINK("https://jobright.ai/jobs/info/664d113885131f6ba8ec2a60?utm_campaign=1051&amp;utm_source=sheet", "Apply")</f>
        <v>Apply</v>
      </c>
      <c r="C376" s="10" t="s">
        <v>16507</v>
      </c>
      <c r="D376" s="56" t="s">
        <v>16508</v>
      </c>
      <c r="E376" s="10" t="s">
        <v>45</v>
      </c>
      <c r="F376" s="10" t="s">
        <v>1723</v>
      </c>
      <c r="G376" s="10" t="s">
        <v>100</v>
      </c>
      <c r="H376" s="10" t="s">
        <v>7646</v>
      </c>
      <c r="I376" s="10" t="s">
        <v>55</v>
      </c>
      <c r="J376" s="10" t="s">
        <v>467</v>
      </c>
      <c r="K376" s="10" t="s">
        <v>16509</v>
      </c>
      <c r="L376" s="10" t="s">
        <v>42</v>
      </c>
    </row>
    <row r="377" ht="15.75" customHeight="1">
      <c r="A377" s="66">
        <v>45486.0</v>
      </c>
      <c r="B377" s="55" t="str">
        <f>HYPERLINK("https://jobright.ai/jobs/info/6677104cf278834492d876fb?utm_campaign=1051&amp;utm_source=sheet", "Apply")</f>
        <v>Apply</v>
      </c>
      <c r="C377" s="10" t="s">
        <v>16510</v>
      </c>
      <c r="D377" s="56" t="s">
        <v>1064</v>
      </c>
      <c r="E377" s="10" t="s">
        <v>65</v>
      </c>
      <c r="F377" s="10" t="s">
        <v>1065</v>
      </c>
      <c r="G377" s="10" t="s">
        <v>15793</v>
      </c>
      <c r="H377" s="10" t="s">
        <v>952</v>
      </c>
      <c r="I377" s="10" t="s">
        <v>55</v>
      </c>
      <c r="J377" s="10" t="s">
        <v>1984</v>
      </c>
      <c r="K377" s="10" t="s">
        <v>16511</v>
      </c>
      <c r="L377" s="10" t="s">
        <v>42</v>
      </c>
    </row>
    <row r="378" ht="15.75" customHeight="1">
      <c r="A378" s="66">
        <v>45486.0</v>
      </c>
      <c r="B378" s="55" t="str">
        <f>HYPERLINK("https://jobright.ai/jobs/info/664e403e403c20224e70eb11?utm_campaign=1051&amp;utm_source=sheet", "Apply")</f>
        <v>Apply</v>
      </c>
      <c r="C378" s="10" t="s">
        <v>16512</v>
      </c>
      <c r="D378" s="56" t="s">
        <v>10169</v>
      </c>
      <c r="E378" s="10" t="s">
        <v>45</v>
      </c>
      <c r="F378" s="10" t="s">
        <v>10170</v>
      </c>
      <c r="G378" s="10" t="s">
        <v>15784</v>
      </c>
      <c r="H378" s="10" t="s">
        <v>929</v>
      </c>
      <c r="I378" s="10" t="s">
        <v>55</v>
      </c>
      <c r="J378" s="10" t="s">
        <v>3651</v>
      </c>
      <c r="K378" s="10" t="s">
        <v>16513</v>
      </c>
      <c r="L378" s="10" t="s">
        <v>42</v>
      </c>
    </row>
    <row r="379" ht="15.75" customHeight="1">
      <c r="A379" s="66">
        <v>45486.0</v>
      </c>
      <c r="B379" s="55" t="str">
        <f>HYPERLINK("https://jobright.ai/jobs/info/65075712eaf48ebc56d7374c?utm_campaign=1051&amp;utm_source=sheet", "Apply")</f>
        <v>Apply</v>
      </c>
      <c r="C379" s="10" t="s">
        <v>16514</v>
      </c>
      <c r="D379" s="56" t="s">
        <v>10975</v>
      </c>
      <c r="E379" s="10" t="s">
        <v>249</v>
      </c>
      <c r="F379" s="10" t="s">
        <v>1934</v>
      </c>
      <c r="G379" s="10" t="s">
        <v>15793</v>
      </c>
      <c r="H379" s="10" t="s">
        <v>146</v>
      </c>
      <c r="I379" s="10" t="s">
        <v>55</v>
      </c>
      <c r="K379" s="10" t="s">
        <v>16451</v>
      </c>
      <c r="L379" s="10" t="s">
        <v>42</v>
      </c>
    </row>
    <row r="380" ht="15.75" customHeight="1">
      <c r="A380" s="66">
        <v>45486.0</v>
      </c>
      <c r="B380" s="55" t="str">
        <f>HYPERLINK("https://jobright.ai/jobs/info/65072f6a03f004792465917c?utm_campaign=1051&amp;utm_source=sheet", "Apply")</f>
        <v>Apply</v>
      </c>
      <c r="C380" s="10" t="s">
        <v>16515</v>
      </c>
      <c r="D380" s="56" t="s">
        <v>10975</v>
      </c>
      <c r="E380" s="10" t="s">
        <v>249</v>
      </c>
      <c r="F380" s="10" t="s">
        <v>1934</v>
      </c>
      <c r="G380" s="10" t="s">
        <v>15793</v>
      </c>
      <c r="H380" s="10" t="s">
        <v>152</v>
      </c>
      <c r="I380" s="10" t="s">
        <v>55</v>
      </c>
      <c r="K380" s="10" t="s">
        <v>15837</v>
      </c>
      <c r="L380" s="10" t="s">
        <v>42</v>
      </c>
    </row>
    <row r="381" ht="15.75" customHeight="1">
      <c r="A381" s="66">
        <v>45486.0</v>
      </c>
      <c r="B381" s="55" t="str">
        <f>HYPERLINK("https://jobright.ai/jobs/info/66796318f6b36b4aa01a326c?utm_campaign=1051&amp;utm_source=sheet", "Apply")</f>
        <v>Apply</v>
      </c>
      <c r="C381" s="10" t="s">
        <v>16516</v>
      </c>
      <c r="D381" s="56" t="s">
        <v>10975</v>
      </c>
      <c r="E381" s="10" t="s">
        <v>249</v>
      </c>
      <c r="F381" s="10" t="s">
        <v>1934</v>
      </c>
      <c r="G381" s="10" t="s">
        <v>15793</v>
      </c>
      <c r="H381" s="10" t="s">
        <v>572</v>
      </c>
      <c r="I381" s="10" t="s">
        <v>55</v>
      </c>
      <c r="K381" s="10" t="s">
        <v>15837</v>
      </c>
      <c r="L381" s="10" t="s">
        <v>42</v>
      </c>
    </row>
    <row r="382" ht="15.75" customHeight="1">
      <c r="A382" s="66">
        <v>45486.0</v>
      </c>
      <c r="B382" s="55" t="str">
        <f>HYPERLINK("https://jobright.ai/jobs/info/6679770c22283fc0c73370b4?utm_campaign=1051&amp;utm_source=sheet", "Apply")</f>
        <v>Apply</v>
      </c>
      <c r="C382" s="10" t="s">
        <v>16517</v>
      </c>
      <c r="D382" s="56" t="s">
        <v>10975</v>
      </c>
      <c r="E382" s="10" t="s">
        <v>249</v>
      </c>
      <c r="F382" s="10" t="s">
        <v>1934</v>
      </c>
      <c r="G382" s="10" t="s">
        <v>15793</v>
      </c>
      <c r="H382" s="10" t="s">
        <v>610</v>
      </c>
      <c r="I382" s="10" t="s">
        <v>55</v>
      </c>
      <c r="K382" s="10" t="s">
        <v>15837</v>
      </c>
      <c r="L382" s="10" t="s">
        <v>42</v>
      </c>
    </row>
    <row r="383" ht="15.75" customHeight="1">
      <c r="A383" s="66">
        <v>45486.0</v>
      </c>
      <c r="B383" s="55" t="str">
        <f>HYPERLINK("https://jobright.ai/jobs/info/65072f6a03f0047924659199?utm_campaign=1051&amp;utm_source=sheet", "Apply")</f>
        <v>Apply</v>
      </c>
      <c r="C383" s="10" t="s">
        <v>16518</v>
      </c>
      <c r="D383" s="56" t="s">
        <v>10975</v>
      </c>
      <c r="E383" s="10" t="s">
        <v>249</v>
      </c>
      <c r="F383" s="10" t="s">
        <v>1934</v>
      </c>
      <c r="G383" s="10" t="s">
        <v>15793</v>
      </c>
      <c r="H383" s="10" t="s">
        <v>11404</v>
      </c>
      <c r="I383" s="10" t="s">
        <v>55</v>
      </c>
      <c r="K383" s="10" t="s">
        <v>15837</v>
      </c>
      <c r="L383" s="10" t="s">
        <v>42</v>
      </c>
    </row>
    <row r="384" ht="15.75" customHeight="1">
      <c r="A384" s="66">
        <v>45486.0</v>
      </c>
      <c r="B384" s="55" t="str">
        <f>HYPERLINK("https://jobright.ai/jobs/info/66577b2d8225e529a67e3ef0?utm_campaign=1051&amp;utm_source=sheet", "Apply")</f>
        <v>Apply</v>
      </c>
      <c r="C384" s="10" t="s">
        <v>16459</v>
      </c>
      <c r="D384" s="56" t="s">
        <v>10169</v>
      </c>
      <c r="E384" s="10" t="s">
        <v>45</v>
      </c>
      <c r="F384" s="10" t="s">
        <v>10170</v>
      </c>
      <c r="G384" s="10" t="s">
        <v>15784</v>
      </c>
      <c r="H384" s="10" t="s">
        <v>4221</v>
      </c>
      <c r="I384" s="10" t="s">
        <v>55</v>
      </c>
      <c r="J384" s="10" t="s">
        <v>1409</v>
      </c>
      <c r="K384" s="10" t="s">
        <v>16461</v>
      </c>
      <c r="L384" s="10" t="s">
        <v>42</v>
      </c>
    </row>
    <row r="385" ht="15.75" customHeight="1">
      <c r="A385" s="66">
        <v>45486.0</v>
      </c>
      <c r="B385" s="55" t="str">
        <f>HYPERLINK("https://jobright.ai/jobs/info/6676e0e3c909276a3772e23d?utm_campaign=1051&amp;utm_source=sheet", "Apply")</f>
        <v>Apply</v>
      </c>
      <c r="C385" s="10" t="s">
        <v>16519</v>
      </c>
      <c r="D385" s="56" t="s">
        <v>16520</v>
      </c>
      <c r="E385" s="10" t="s">
        <v>45</v>
      </c>
      <c r="F385" s="10" t="s">
        <v>7288</v>
      </c>
      <c r="G385" s="10" t="s">
        <v>15793</v>
      </c>
      <c r="H385" s="10" t="s">
        <v>604</v>
      </c>
      <c r="I385" s="10" t="s">
        <v>55</v>
      </c>
      <c r="K385" s="10" t="s">
        <v>16521</v>
      </c>
      <c r="L385" s="10" t="s">
        <v>42</v>
      </c>
    </row>
    <row r="386" ht="15.75" customHeight="1">
      <c r="A386" s="66">
        <v>45486.0</v>
      </c>
      <c r="B386" s="55" t="str">
        <f>HYPERLINK("https://jobright.ai/jobs/info/650775081a2511901e370c47?utm_campaign=1051&amp;utm_source=sheet", "Apply")</f>
        <v>Apply</v>
      </c>
      <c r="C386" s="10" t="s">
        <v>16522</v>
      </c>
      <c r="D386" s="56" t="s">
        <v>10975</v>
      </c>
      <c r="E386" s="10" t="s">
        <v>249</v>
      </c>
      <c r="F386" s="10" t="s">
        <v>1934</v>
      </c>
      <c r="G386" s="10" t="s">
        <v>15793</v>
      </c>
      <c r="H386" s="10" t="s">
        <v>1013</v>
      </c>
      <c r="I386" s="10" t="s">
        <v>55</v>
      </c>
      <c r="K386" s="10" t="s">
        <v>16451</v>
      </c>
      <c r="L386" s="10" t="s">
        <v>42</v>
      </c>
    </row>
    <row r="387" ht="15.75" customHeight="1">
      <c r="A387" s="66">
        <v>45486.0</v>
      </c>
      <c r="B387" s="55" t="str">
        <f>HYPERLINK("https://jobright.ai/jobs/info/652e2d741dd12a6cd71d9269?utm_campaign=1051&amp;utm_source=sheet", "Apply")</f>
        <v>Apply</v>
      </c>
      <c r="C387" s="10" t="s">
        <v>16523</v>
      </c>
      <c r="D387" s="56" t="s">
        <v>6050</v>
      </c>
      <c r="E387" s="10" t="s">
        <v>65</v>
      </c>
      <c r="F387" s="10" t="s">
        <v>2850</v>
      </c>
      <c r="G387" s="10" t="s">
        <v>15854</v>
      </c>
      <c r="H387" s="10" t="s">
        <v>11042</v>
      </c>
      <c r="I387" s="10" t="s">
        <v>55</v>
      </c>
      <c r="K387" s="10" t="s">
        <v>16524</v>
      </c>
      <c r="L387" s="10" t="s">
        <v>42</v>
      </c>
    </row>
    <row r="388" ht="15.75" customHeight="1">
      <c r="A388" s="66">
        <v>45486.0</v>
      </c>
      <c r="B388" s="55" t="str">
        <f>HYPERLINK("https://jobright.ai/jobs/info/66577180865ef7357af15838?utm_campaign=1051&amp;utm_source=sheet", "Apply")</f>
        <v>Apply</v>
      </c>
      <c r="C388" s="10" t="s">
        <v>16459</v>
      </c>
      <c r="D388" s="56" t="s">
        <v>10169</v>
      </c>
      <c r="E388" s="10" t="s">
        <v>45</v>
      </c>
      <c r="F388" s="10" t="s">
        <v>10170</v>
      </c>
      <c r="G388" s="10" t="s">
        <v>15784</v>
      </c>
      <c r="H388" s="10" t="s">
        <v>1036</v>
      </c>
      <c r="I388" s="10" t="s">
        <v>55</v>
      </c>
      <c r="J388" s="10" t="s">
        <v>1409</v>
      </c>
      <c r="K388" s="10" t="s">
        <v>16461</v>
      </c>
      <c r="L388" s="10" t="s">
        <v>42</v>
      </c>
    </row>
    <row r="389" ht="15.75" customHeight="1">
      <c r="A389" s="66">
        <v>45486.0</v>
      </c>
      <c r="B389" s="55" t="str">
        <f>HYPERLINK("https://jobright.ai/jobs/info/66923203c8ad7f2b70953476?utm_campaign=1051&amp;utm_source=sheet", "Apply")</f>
        <v>Apply</v>
      </c>
      <c r="C389" s="10" t="s">
        <v>16525</v>
      </c>
      <c r="D389" s="56" t="s">
        <v>16526</v>
      </c>
      <c r="E389" s="10" t="s">
        <v>276</v>
      </c>
      <c r="F389" s="10" t="s">
        <v>1695</v>
      </c>
      <c r="G389" s="10" t="s">
        <v>100</v>
      </c>
      <c r="H389" s="10" t="s">
        <v>3347</v>
      </c>
      <c r="I389" s="10" t="s">
        <v>55</v>
      </c>
      <c r="K389" s="10" t="s">
        <v>16527</v>
      </c>
      <c r="L389" s="10" t="s">
        <v>42</v>
      </c>
    </row>
    <row r="390" ht="15.75" customHeight="1">
      <c r="A390" s="66">
        <v>45486.0</v>
      </c>
      <c r="B390" s="55" t="str">
        <f>HYPERLINK("https://jobright.ai/jobs/info/669212635ebe408cdf67e845?utm_campaign=1051&amp;utm_source=sheet", "Apply")</f>
        <v>Apply</v>
      </c>
      <c r="C390" s="10" t="s">
        <v>16528</v>
      </c>
      <c r="D390" s="56" t="s">
        <v>16508</v>
      </c>
      <c r="E390" s="10" t="s">
        <v>45</v>
      </c>
      <c r="F390" s="10" t="s">
        <v>1723</v>
      </c>
      <c r="G390" s="10" t="s">
        <v>100</v>
      </c>
      <c r="H390" s="10" t="s">
        <v>6071</v>
      </c>
      <c r="I390" s="10" t="s">
        <v>55</v>
      </c>
      <c r="J390" s="10" t="s">
        <v>16529</v>
      </c>
      <c r="K390" s="10" t="s">
        <v>16509</v>
      </c>
      <c r="L390" s="10" t="s">
        <v>42</v>
      </c>
    </row>
    <row r="391" ht="15.75" customHeight="1">
      <c r="A391" s="66">
        <v>45486.0</v>
      </c>
      <c r="B391" s="55" t="str">
        <f>HYPERLINK("https://jobright.ai/jobs/info/6692158101b54d8e03d12871?utm_campaign=1051&amp;utm_source=sheet", "Apply")</f>
        <v>Apply</v>
      </c>
      <c r="C391" s="10" t="s">
        <v>16530</v>
      </c>
      <c r="D391" s="56" t="s">
        <v>16531</v>
      </c>
      <c r="E391" s="10" t="s">
        <v>65</v>
      </c>
      <c r="F391" s="10" t="s">
        <v>16532</v>
      </c>
      <c r="G391" s="10" t="s">
        <v>15829</v>
      </c>
      <c r="H391" s="10" t="s">
        <v>374</v>
      </c>
      <c r="I391" s="10" t="s">
        <v>55</v>
      </c>
      <c r="K391" s="10" t="s">
        <v>16533</v>
      </c>
      <c r="L391" s="10" t="s">
        <v>42</v>
      </c>
    </row>
    <row r="392" ht="15.75" customHeight="1">
      <c r="A392" s="66">
        <v>45485.0</v>
      </c>
      <c r="B392" s="55" t="str">
        <f>HYPERLINK("https://jobright.ai/jobs/info/6691c77d55fdc8d51c7e44c8?utm_campaign=1051&amp;utm_source=sheet", "Apply")</f>
        <v>Apply</v>
      </c>
      <c r="C392" s="10" t="s">
        <v>16534</v>
      </c>
      <c r="D392" s="56" t="s">
        <v>1966</v>
      </c>
      <c r="E392" s="10">
        <v>1209.0</v>
      </c>
      <c r="G392" s="10" t="s">
        <v>100</v>
      </c>
      <c r="H392" s="10" t="s">
        <v>96</v>
      </c>
      <c r="I392" s="10" t="s">
        <v>55</v>
      </c>
      <c r="J392" s="10" t="s">
        <v>11068</v>
      </c>
      <c r="K392" s="10" t="s">
        <v>16535</v>
      </c>
      <c r="L392" s="10" t="s">
        <v>42</v>
      </c>
    </row>
    <row r="393" ht="15.75" customHeight="1">
      <c r="A393" s="66">
        <v>45485.0</v>
      </c>
      <c r="B393" s="55" t="str">
        <f>HYPERLINK("https://jobright.ai/jobs/info/669271c753c6d92fdaad5dac?utm_campaign=1051&amp;utm_source=sheet", "Apply")</f>
        <v>Apply</v>
      </c>
      <c r="C393" s="10" t="s">
        <v>16536</v>
      </c>
      <c r="D393" s="56" t="s">
        <v>1966</v>
      </c>
      <c r="E393" s="10">
        <v>1209.0</v>
      </c>
      <c r="G393" s="10" t="s">
        <v>100</v>
      </c>
      <c r="H393" s="10" t="s">
        <v>96</v>
      </c>
      <c r="I393" s="10" t="s">
        <v>55</v>
      </c>
      <c r="J393" s="10" t="s">
        <v>1967</v>
      </c>
      <c r="K393" s="10" t="s">
        <v>16537</v>
      </c>
      <c r="L393" s="10" t="s">
        <v>42</v>
      </c>
    </row>
    <row r="394" ht="15.75" customHeight="1">
      <c r="A394" s="66">
        <v>45485.0</v>
      </c>
      <c r="B394" s="55" t="str">
        <f>HYPERLINK("https://jobright.ai/jobs/info/66926f050e7cb3b2fb15e897?utm_campaign=1051&amp;utm_source=sheet", "Apply")</f>
        <v>Apply</v>
      </c>
      <c r="C394" s="10" t="s">
        <v>16452</v>
      </c>
      <c r="D394" s="56" t="s">
        <v>11133</v>
      </c>
      <c r="G394" s="10" t="s">
        <v>100</v>
      </c>
      <c r="H394" s="10" t="s">
        <v>810</v>
      </c>
      <c r="I394" s="10" t="s">
        <v>55</v>
      </c>
      <c r="K394" s="10" t="s">
        <v>16453</v>
      </c>
      <c r="L394" s="10" t="s">
        <v>42</v>
      </c>
    </row>
    <row r="395" ht="15.75" customHeight="1">
      <c r="A395" s="66">
        <v>45485.0</v>
      </c>
      <c r="B395" s="55" t="str">
        <f>HYPERLINK("https://jobright.ai/jobs/info/6691b902cc90539b64763a09?utm_campaign=1051&amp;utm_source=sheet", "Apply")</f>
        <v>Apply</v>
      </c>
      <c r="C395" s="10" t="s">
        <v>16538</v>
      </c>
      <c r="D395" s="56" t="s">
        <v>16539</v>
      </c>
      <c r="E395" s="10" t="s">
        <v>65</v>
      </c>
      <c r="F395" s="10" t="s">
        <v>1084</v>
      </c>
      <c r="G395" s="10" t="s">
        <v>15793</v>
      </c>
      <c r="H395" s="10" t="s">
        <v>1007</v>
      </c>
      <c r="I395" s="10" t="s">
        <v>55</v>
      </c>
      <c r="J395" s="10" t="s">
        <v>16540</v>
      </c>
      <c r="K395" s="10" t="s">
        <v>16541</v>
      </c>
      <c r="L395" s="10" t="s">
        <v>42</v>
      </c>
    </row>
    <row r="396" ht="15.75" customHeight="1">
      <c r="A396" s="66">
        <v>45485.0</v>
      </c>
      <c r="B396" s="55" t="str">
        <f>HYPERLINK("https://jobright.ai/jobs/info/6691ad0df75851e2436d56ce?utm_campaign=1051&amp;utm_source=sheet", "Apply")</f>
        <v>Apply</v>
      </c>
      <c r="C396" s="10" t="s">
        <v>16542</v>
      </c>
      <c r="D396" s="56" t="s">
        <v>14394</v>
      </c>
      <c r="E396" s="10" t="s">
        <v>79</v>
      </c>
      <c r="F396" s="10" t="s">
        <v>13546</v>
      </c>
      <c r="G396" s="10" t="s">
        <v>100</v>
      </c>
      <c r="H396" s="10" t="s">
        <v>96</v>
      </c>
      <c r="I396" s="10" t="s">
        <v>48</v>
      </c>
      <c r="J396" s="10" t="s">
        <v>1797</v>
      </c>
      <c r="K396" s="10" t="s">
        <v>16543</v>
      </c>
      <c r="L396" s="10" t="s">
        <v>42</v>
      </c>
    </row>
    <row r="397" ht="15.75" customHeight="1">
      <c r="A397" s="66">
        <v>45485.0</v>
      </c>
      <c r="B397" s="55" t="str">
        <f>HYPERLINK("https://jobright.ai/jobs/info/6691a5f1a43939170f9647c0?utm_campaign=1051&amp;utm_source=sheet", "Apply")</f>
        <v>Apply</v>
      </c>
      <c r="C397" s="10" t="s">
        <v>16544</v>
      </c>
      <c r="D397" s="56" t="s">
        <v>9821</v>
      </c>
      <c r="E397" s="10" t="s">
        <v>45</v>
      </c>
      <c r="F397" s="10" t="s">
        <v>3594</v>
      </c>
      <c r="G397" s="10" t="s">
        <v>15814</v>
      </c>
      <c r="H397" s="10" t="s">
        <v>106</v>
      </c>
      <c r="I397" s="10" t="s">
        <v>55</v>
      </c>
      <c r="K397" s="10" t="s">
        <v>16409</v>
      </c>
      <c r="L397" s="10" t="s">
        <v>42</v>
      </c>
    </row>
    <row r="398" ht="15.75" customHeight="1">
      <c r="A398" s="66">
        <v>45485.0</v>
      </c>
      <c r="B398" s="55" t="str">
        <f>HYPERLINK("https://jobright.ai/jobs/info/669194d096333ec524102cad?utm_campaign=1051&amp;utm_source=sheet", "Apply")</f>
        <v>Apply</v>
      </c>
      <c r="C398" s="10" t="s">
        <v>16545</v>
      </c>
      <c r="D398" s="56" t="s">
        <v>14047</v>
      </c>
      <c r="E398" s="10" t="s">
        <v>71</v>
      </c>
      <c r="F398" s="10" t="s">
        <v>14048</v>
      </c>
      <c r="G398" s="10" t="s">
        <v>15829</v>
      </c>
      <c r="H398" s="10" t="s">
        <v>139</v>
      </c>
      <c r="I398" s="10" t="s">
        <v>55</v>
      </c>
      <c r="J398" s="10" t="s">
        <v>1761</v>
      </c>
      <c r="K398" s="10" t="s">
        <v>16546</v>
      </c>
      <c r="L398" s="10" t="s">
        <v>42</v>
      </c>
    </row>
    <row r="399" ht="15.75" customHeight="1">
      <c r="A399" s="66">
        <v>45485.0</v>
      </c>
      <c r="B399" s="55" t="str">
        <f>HYPERLINK("https://jobright.ai/jobs/info/6691a3704c7d2eb620a7c06f?utm_campaign=1051&amp;utm_source=sheet", "Apply")</f>
        <v>Apply</v>
      </c>
      <c r="C399" s="10" t="s">
        <v>15838</v>
      </c>
      <c r="D399" s="56" t="s">
        <v>15839</v>
      </c>
      <c r="E399" s="10">
        <v>4852.0</v>
      </c>
      <c r="G399" s="10" t="s">
        <v>15829</v>
      </c>
      <c r="H399" s="10" t="s">
        <v>935</v>
      </c>
      <c r="I399" s="10" t="s">
        <v>55</v>
      </c>
      <c r="K399" s="10" t="s">
        <v>15851</v>
      </c>
      <c r="L399" s="10" t="s">
        <v>42</v>
      </c>
    </row>
    <row r="400" ht="15.75" customHeight="1">
      <c r="A400" s="66">
        <v>45485.0</v>
      </c>
      <c r="B400" s="55" t="str">
        <f>HYPERLINK("https://jobright.ai/jobs/info/66a4081e9d6a30be4effa33e?utm_campaign=1051&amp;utm_source=sheet", "Apply")</f>
        <v>Apply</v>
      </c>
      <c r="C400" s="10" t="s">
        <v>16547</v>
      </c>
      <c r="D400" s="56" t="s">
        <v>16548</v>
      </c>
      <c r="F400" s="10" t="s">
        <v>16549</v>
      </c>
      <c r="G400" s="10" t="s">
        <v>15829</v>
      </c>
      <c r="H400" s="10" t="s">
        <v>251</v>
      </c>
      <c r="I400" s="10" t="s">
        <v>252</v>
      </c>
      <c r="K400" s="10" t="s">
        <v>16550</v>
      </c>
      <c r="L400" s="10" t="s">
        <v>42</v>
      </c>
    </row>
    <row r="401" ht="15.75" customHeight="1">
      <c r="A401" s="66">
        <v>45485.0</v>
      </c>
      <c r="B401" s="55" t="str">
        <f>HYPERLINK("https://jobright.ai/jobs/info/66a408289d6a30be4effa44d?utm_campaign=1051&amp;utm_source=sheet", "Apply")</f>
        <v>Apply</v>
      </c>
      <c r="C401" s="10" t="s">
        <v>16426</v>
      </c>
      <c r="D401" s="56" t="s">
        <v>11100</v>
      </c>
      <c r="E401" s="10" t="s">
        <v>71</v>
      </c>
      <c r="F401" s="10" t="s">
        <v>11101</v>
      </c>
      <c r="G401" s="10" t="s">
        <v>100</v>
      </c>
      <c r="H401" s="10" t="s">
        <v>96</v>
      </c>
      <c r="I401" s="10" t="s">
        <v>55</v>
      </c>
      <c r="K401" s="10" t="s">
        <v>11102</v>
      </c>
      <c r="L401" s="10" t="s">
        <v>42</v>
      </c>
    </row>
    <row r="402" ht="15.75" customHeight="1">
      <c r="A402" s="66">
        <v>45485.0</v>
      </c>
      <c r="B402" s="55" t="str">
        <f>HYPERLINK("https://jobright.ai/jobs/info/669a4e02869ddc863a4a78f6?utm_campaign=1051&amp;utm_source=sheet", "Apply")</f>
        <v>Apply</v>
      </c>
      <c r="C402" s="10" t="s">
        <v>16551</v>
      </c>
      <c r="D402" s="56" t="s">
        <v>4318</v>
      </c>
      <c r="E402" s="10" t="s">
        <v>45</v>
      </c>
      <c r="F402" s="10" t="s">
        <v>4319</v>
      </c>
      <c r="G402" s="10" t="s">
        <v>100</v>
      </c>
      <c r="H402" s="10" t="s">
        <v>434</v>
      </c>
      <c r="I402" s="10" t="s">
        <v>55</v>
      </c>
      <c r="K402" s="10" t="s">
        <v>16552</v>
      </c>
      <c r="L402" s="10" t="s">
        <v>42</v>
      </c>
    </row>
    <row r="403" ht="15.75" customHeight="1">
      <c r="A403" s="66">
        <v>45485.0</v>
      </c>
      <c r="B403" s="55" t="str">
        <f>HYPERLINK("https://jobright.ai/jobs/info/6687efff8d77caa13731f97f?utm_campaign=1051&amp;utm_source=sheet", "Apply")</f>
        <v>Apply</v>
      </c>
      <c r="C403" s="10" t="s">
        <v>16553</v>
      </c>
      <c r="D403" s="56" t="s">
        <v>5523</v>
      </c>
      <c r="E403" s="10" t="s">
        <v>209</v>
      </c>
      <c r="F403" s="10" t="s">
        <v>5524</v>
      </c>
      <c r="G403" s="10" t="s">
        <v>100</v>
      </c>
      <c r="H403" s="10" t="s">
        <v>5245</v>
      </c>
      <c r="I403" s="10" t="s">
        <v>55</v>
      </c>
      <c r="J403" s="10" t="s">
        <v>9054</v>
      </c>
      <c r="K403" s="10" t="s">
        <v>16554</v>
      </c>
      <c r="L403" s="10" t="s">
        <v>42</v>
      </c>
    </row>
    <row r="404" ht="15.75" customHeight="1">
      <c r="A404" s="66">
        <v>45485.0</v>
      </c>
      <c r="B404" s="55" t="str">
        <f>HYPERLINK("https://jobright.ai/jobs/info/6690e96b912f9e3d337953be?utm_campaign=1051&amp;utm_source=sheet", "Apply")</f>
        <v>Apply</v>
      </c>
      <c r="C404" s="10" t="s">
        <v>16555</v>
      </c>
      <c r="D404" s="56" t="s">
        <v>16556</v>
      </c>
      <c r="E404" s="10" t="s">
        <v>137</v>
      </c>
      <c r="F404" s="10" t="s">
        <v>16557</v>
      </c>
      <c r="G404" s="10" t="s">
        <v>100</v>
      </c>
      <c r="H404" s="10" t="s">
        <v>251</v>
      </c>
      <c r="I404" s="10" t="s">
        <v>252</v>
      </c>
      <c r="J404" s="10" t="s">
        <v>16558</v>
      </c>
      <c r="K404" s="10" t="s">
        <v>16559</v>
      </c>
      <c r="L404" s="10" t="s">
        <v>42</v>
      </c>
    </row>
    <row r="405" ht="15.75" customHeight="1">
      <c r="A405" s="66">
        <v>45485.0</v>
      </c>
      <c r="B405" s="55" t="str">
        <f>HYPERLINK("https://jobright.ai/jobs/info/6690c88850a8322cf99b78a5?utm_campaign=1051&amp;utm_source=sheet", "Apply")</f>
        <v>Apply</v>
      </c>
      <c r="C405" s="10" t="s">
        <v>16560</v>
      </c>
      <c r="D405" s="56" t="s">
        <v>15295</v>
      </c>
      <c r="E405" s="10" t="s">
        <v>45</v>
      </c>
      <c r="F405" s="10" t="s">
        <v>15296</v>
      </c>
      <c r="G405" s="10" t="s">
        <v>15793</v>
      </c>
      <c r="H405" s="10" t="s">
        <v>16561</v>
      </c>
      <c r="I405" s="10" t="s">
        <v>55</v>
      </c>
      <c r="J405" s="10" t="s">
        <v>10673</v>
      </c>
      <c r="K405" s="10" t="s">
        <v>16562</v>
      </c>
      <c r="L405" s="10" t="s">
        <v>42</v>
      </c>
    </row>
    <row r="406" ht="15.75" customHeight="1">
      <c r="A406" s="66">
        <v>45485.0</v>
      </c>
      <c r="B406" s="55" t="str">
        <f>HYPERLINK("https://jobright.ai/jobs/info/6691a35d4c7d2eb620a7be6c?utm_campaign=1051&amp;utm_source=sheet", "Apply")</f>
        <v>Apply</v>
      </c>
      <c r="C406" s="10" t="s">
        <v>16563</v>
      </c>
      <c r="D406" s="56" t="s">
        <v>10126</v>
      </c>
      <c r="E406" s="10">
        <v>276.0</v>
      </c>
      <c r="G406" s="10" t="s">
        <v>15829</v>
      </c>
      <c r="H406" s="10" t="s">
        <v>6464</v>
      </c>
      <c r="I406" s="10" t="s">
        <v>55</v>
      </c>
      <c r="J406" s="10" t="s">
        <v>1960</v>
      </c>
      <c r="K406" s="10" t="s">
        <v>15900</v>
      </c>
      <c r="L406" s="10" t="s">
        <v>42</v>
      </c>
    </row>
    <row r="407" ht="15.75" customHeight="1">
      <c r="A407" s="66">
        <v>45485.0</v>
      </c>
      <c r="B407" s="55" t="str">
        <f>HYPERLINK("https://jobright.ai/jobs/info/669194e196333ec524102e7f?utm_campaign=1051&amp;utm_source=sheet", "Apply")</f>
        <v>Apply</v>
      </c>
      <c r="C407" s="10" t="s">
        <v>16564</v>
      </c>
      <c r="D407" s="56" t="s">
        <v>10126</v>
      </c>
      <c r="E407" s="10">
        <v>276.0</v>
      </c>
      <c r="G407" s="10" t="s">
        <v>15829</v>
      </c>
      <c r="H407" s="10" t="s">
        <v>159</v>
      </c>
      <c r="I407" s="10" t="s">
        <v>55</v>
      </c>
      <c r="J407" s="10" t="s">
        <v>1409</v>
      </c>
      <c r="K407" s="10" t="s">
        <v>15900</v>
      </c>
      <c r="L407" s="10" t="s">
        <v>42</v>
      </c>
    </row>
    <row r="408" ht="15.75" customHeight="1">
      <c r="A408" s="66">
        <v>45484.0</v>
      </c>
      <c r="B408" s="55" t="str">
        <f>HYPERLINK("https://jobright.ai/jobs/info/66908a4160a291b68c8fec2b?utm_campaign=1051&amp;utm_source=sheet", "Apply")</f>
        <v>Apply</v>
      </c>
      <c r="C408" s="10" t="s">
        <v>16565</v>
      </c>
      <c r="D408" s="56" t="s">
        <v>16283</v>
      </c>
      <c r="E408" s="10" t="s">
        <v>45</v>
      </c>
      <c r="F408" s="10" t="s">
        <v>7346</v>
      </c>
      <c r="G408" s="10" t="s">
        <v>15829</v>
      </c>
      <c r="H408" s="10" t="s">
        <v>572</v>
      </c>
      <c r="I408" s="10" t="s">
        <v>55</v>
      </c>
      <c r="K408" s="10" t="s">
        <v>16566</v>
      </c>
      <c r="L408" s="10" t="s">
        <v>42</v>
      </c>
    </row>
    <row r="409" ht="15.75" customHeight="1">
      <c r="A409" s="66">
        <v>45484.0</v>
      </c>
      <c r="B409" s="55" t="str">
        <f>HYPERLINK("https://jobright.ai/jobs/info/6642b905c06a0b349da43dea?utm_campaign=1051&amp;utm_source=sheet", "Apply")</f>
        <v>Apply</v>
      </c>
      <c r="C409" s="10" t="s">
        <v>15918</v>
      </c>
      <c r="D409" s="56" t="s">
        <v>16137</v>
      </c>
      <c r="E409" s="10" t="s">
        <v>137</v>
      </c>
      <c r="F409" s="10" t="s">
        <v>259</v>
      </c>
      <c r="G409" s="10" t="s">
        <v>15814</v>
      </c>
      <c r="H409" s="10" t="s">
        <v>251</v>
      </c>
      <c r="I409" s="10" t="s">
        <v>252</v>
      </c>
      <c r="J409" s="10" t="s">
        <v>16567</v>
      </c>
      <c r="K409" s="10" t="s">
        <v>16568</v>
      </c>
      <c r="L409" s="10" t="s">
        <v>42</v>
      </c>
    </row>
    <row r="410" ht="15.75" customHeight="1">
      <c r="A410" s="66">
        <v>45484.0</v>
      </c>
      <c r="B410" s="55" t="str">
        <f>HYPERLINK("https://jobright.ai/jobs/info/66905d3b759f226286d9111b?utm_campaign=1051&amp;utm_source=sheet", "Apply")</f>
        <v>Apply</v>
      </c>
      <c r="C410" s="10" t="s">
        <v>16569</v>
      </c>
      <c r="D410" s="56" t="s">
        <v>9821</v>
      </c>
      <c r="E410" s="10" t="s">
        <v>45</v>
      </c>
      <c r="F410" s="10" t="s">
        <v>3594</v>
      </c>
      <c r="G410" s="10" t="s">
        <v>15814</v>
      </c>
      <c r="H410" s="10" t="s">
        <v>9570</v>
      </c>
      <c r="I410" s="10" t="s">
        <v>55</v>
      </c>
      <c r="K410" s="10" t="s">
        <v>11290</v>
      </c>
      <c r="L410" s="10" t="s">
        <v>42</v>
      </c>
    </row>
    <row r="411" ht="15.75" customHeight="1">
      <c r="A411" s="66">
        <v>45484.0</v>
      </c>
      <c r="B411" s="55" t="str">
        <f>HYPERLINK("https://jobright.ai/jobs/info/6690cfddb9480c9896c8f0f2?utm_campaign=1051&amp;utm_source=sheet", "Apply")</f>
        <v>Apply</v>
      </c>
      <c r="C411" s="10" t="s">
        <v>16570</v>
      </c>
      <c r="D411" s="56" t="s">
        <v>16571</v>
      </c>
      <c r="E411" s="10" t="s">
        <v>249</v>
      </c>
      <c r="F411" s="10" t="s">
        <v>16572</v>
      </c>
      <c r="G411" s="10" t="s">
        <v>100</v>
      </c>
      <c r="H411" s="10" t="s">
        <v>572</v>
      </c>
      <c r="I411" s="10" t="s">
        <v>55</v>
      </c>
      <c r="J411" s="10" t="s">
        <v>16573</v>
      </c>
      <c r="K411" s="10" t="s">
        <v>16574</v>
      </c>
      <c r="L411" s="10" t="s">
        <v>42</v>
      </c>
    </row>
    <row r="412" ht="15.75" customHeight="1">
      <c r="A412" s="66">
        <v>45484.0</v>
      </c>
      <c r="B412" s="55" t="str">
        <f>HYPERLINK("https://jobright.ai/jobs/info/6699078f2080f740abe21176?utm_campaign=1051&amp;utm_source=sheet", "Apply")</f>
        <v>Apply</v>
      </c>
      <c r="C412" s="10" t="s">
        <v>16575</v>
      </c>
      <c r="D412" s="56" t="s">
        <v>14616</v>
      </c>
      <c r="E412" s="10" t="s">
        <v>45</v>
      </c>
      <c r="F412" s="10" t="s">
        <v>370</v>
      </c>
      <c r="G412" s="10" t="s">
        <v>100</v>
      </c>
      <c r="H412" s="10" t="s">
        <v>11488</v>
      </c>
      <c r="I412" s="10" t="s">
        <v>55</v>
      </c>
      <c r="K412" s="10" t="s">
        <v>16576</v>
      </c>
      <c r="L412" s="10" t="s">
        <v>42</v>
      </c>
    </row>
    <row r="413" ht="15.75" customHeight="1">
      <c r="A413" s="66">
        <v>45484.0</v>
      </c>
      <c r="B413" s="55" t="str">
        <f>HYPERLINK("https://jobright.ai/jobs/info/66910e9a5b378671cbeb1e04?utm_campaign=1051&amp;utm_source=sheet", "Apply")</f>
        <v>Apply</v>
      </c>
      <c r="C413" s="10" t="s">
        <v>16577</v>
      </c>
      <c r="D413" s="56" t="s">
        <v>16578</v>
      </c>
      <c r="E413" s="10" t="s">
        <v>209</v>
      </c>
      <c r="F413" s="10" t="s">
        <v>3778</v>
      </c>
      <c r="G413" s="10" t="s">
        <v>15814</v>
      </c>
      <c r="H413" s="10" t="s">
        <v>16579</v>
      </c>
      <c r="I413" s="10" t="s">
        <v>55</v>
      </c>
      <c r="K413" s="10" t="s">
        <v>16580</v>
      </c>
      <c r="L413" s="10" t="s">
        <v>42</v>
      </c>
    </row>
    <row r="414" ht="15.75" customHeight="1">
      <c r="A414" s="66">
        <v>45484.0</v>
      </c>
      <c r="B414" s="55" t="str">
        <f>HYPERLINK("https://jobright.ai/jobs/info/669110281275f0d7353dce6a?utm_campaign=1051&amp;utm_source=sheet", "Apply")</f>
        <v>Apply</v>
      </c>
      <c r="C414" s="10" t="s">
        <v>16581</v>
      </c>
      <c r="D414" s="56" t="s">
        <v>11212</v>
      </c>
      <c r="E414" s="10">
        <v>132.0</v>
      </c>
      <c r="G414" s="10" t="s">
        <v>15854</v>
      </c>
      <c r="H414" s="10" t="s">
        <v>113</v>
      </c>
      <c r="I414" s="10" t="s">
        <v>55</v>
      </c>
      <c r="K414" s="10" t="s">
        <v>16582</v>
      </c>
      <c r="L414" s="10" t="s">
        <v>42</v>
      </c>
    </row>
    <row r="415" ht="15.75" customHeight="1">
      <c r="A415" s="66">
        <v>45484.0</v>
      </c>
      <c r="B415" s="55" t="str">
        <f>HYPERLINK("https://jobright.ai/jobs/info/6691103e1275f0d7353dd076?utm_campaign=1051&amp;utm_source=sheet", "Apply")</f>
        <v>Apply</v>
      </c>
      <c r="C415" s="10" t="s">
        <v>16583</v>
      </c>
      <c r="D415" s="56" t="s">
        <v>16584</v>
      </c>
      <c r="G415" s="10" t="s">
        <v>15814</v>
      </c>
      <c r="H415" s="10" t="s">
        <v>159</v>
      </c>
      <c r="I415" s="10" t="s">
        <v>55</v>
      </c>
      <c r="K415" s="10" t="s">
        <v>16585</v>
      </c>
      <c r="L415" s="10" t="s">
        <v>42</v>
      </c>
    </row>
    <row r="416" ht="15.75" customHeight="1">
      <c r="A416" s="66">
        <v>45484.0</v>
      </c>
      <c r="B416" s="55" t="str">
        <f>HYPERLINK("https://jobright.ai/jobs/info/66a20c1c90f3099bed7084ab?utm_campaign=1051&amp;utm_source=sheet", "Apply")</f>
        <v>Apply</v>
      </c>
      <c r="C416" s="10" t="s">
        <v>16586</v>
      </c>
      <c r="D416" s="56" t="s">
        <v>3766</v>
      </c>
      <c r="E416" s="10" t="s">
        <v>276</v>
      </c>
      <c r="F416" s="10" t="s">
        <v>2588</v>
      </c>
      <c r="G416" s="10" t="s">
        <v>100</v>
      </c>
      <c r="H416" s="10" t="s">
        <v>607</v>
      </c>
      <c r="I416" s="10" t="s">
        <v>55</v>
      </c>
      <c r="K416" s="10" t="s">
        <v>16587</v>
      </c>
      <c r="L416" s="10" t="s">
        <v>42</v>
      </c>
    </row>
    <row r="417" ht="15.75" customHeight="1">
      <c r="A417" s="66">
        <v>45484.0</v>
      </c>
      <c r="B417" s="55" t="str">
        <f>HYPERLINK("https://jobright.ai/jobs/info/668cb2beb771a5bfb21da71b?utm_campaign=1051&amp;utm_source=sheet", "Apply")</f>
        <v>Apply</v>
      </c>
      <c r="C417" s="10" t="s">
        <v>16588</v>
      </c>
      <c r="D417" s="56" t="s">
        <v>16589</v>
      </c>
      <c r="E417" s="10" t="s">
        <v>249</v>
      </c>
      <c r="F417" s="10" t="s">
        <v>239</v>
      </c>
      <c r="G417" s="10" t="s">
        <v>15793</v>
      </c>
      <c r="H417" s="10" t="s">
        <v>836</v>
      </c>
      <c r="I417" s="10" t="s">
        <v>55</v>
      </c>
      <c r="K417" s="10" t="s">
        <v>16590</v>
      </c>
      <c r="L417" s="10" t="s">
        <v>42</v>
      </c>
    </row>
    <row r="418" ht="15.75" customHeight="1">
      <c r="A418" s="66">
        <v>45484.0</v>
      </c>
      <c r="B418" s="55" t="str">
        <f>HYPERLINK("https://jobright.ai/jobs/info/6690900d16c57e0605199f42?utm_campaign=1051&amp;utm_source=sheet", "Apply")</f>
        <v>Apply</v>
      </c>
      <c r="C418" s="10" t="s">
        <v>16399</v>
      </c>
      <c r="D418" s="56" t="s">
        <v>16591</v>
      </c>
      <c r="E418" s="10">
        <v>13.0</v>
      </c>
      <c r="G418" s="10" t="s">
        <v>15814</v>
      </c>
      <c r="H418" s="10" t="s">
        <v>251</v>
      </c>
      <c r="I418" s="10" t="s">
        <v>252</v>
      </c>
      <c r="K418" s="10" t="s">
        <v>16592</v>
      </c>
      <c r="L418" s="10" t="s">
        <v>42</v>
      </c>
    </row>
    <row r="419" ht="15.75" customHeight="1">
      <c r="A419" s="66">
        <v>45483.0</v>
      </c>
      <c r="B419" s="55" t="str">
        <f>HYPERLINK("https://jobright.ai/jobs/info/6662feb20239284ea14f3d85?utm_campaign=1051&amp;utm_source=sheet", "Apply")</f>
        <v>Apply</v>
      </c>
      <c r="C419" s="10" t="s">
        <v>16593</v>
      </c>
      <c r="D419" s="56" t="s">
        <v>9821</v>
      </c>
      <c r="E419" s="10" t="s">
        <v>45</v>
      </c>
      <c r="F419" s="10" t="s">
        <v>3594</v>
      </c>
      <c r="G419" s="10" t="s">
        <v>15793</v>
      </c>
      <c r="H419" s="10" t="s">
        <v>1160</v>
      </c>
      <c r="I419" s="10" t="s">
        <v>48</v>
      </c>
      <c r="K419" s="10" t="s">
        <v>16594</v>
      </c>
      <c r="L419" s="10" t="s">
        <v>42</v>
      </c>
    </row>
    <row r="420" ht="15.75" customHeight="1">
      <c r="A420" s="66">
        <v>45483.0</v>
      </c>
      <c r="B420" s="55" t="str">
        <f>HYPERLINK("https://jobright.ai/jobs/info/669029926f438a3944c8676d?utm_campaign=1051&amp;utm_source=sheet", "Apply")</f>
        <v>Apply</v>
      </c>
      <c r="C420" s="10" t="s">
        <v>16595</v>
      </c>
      <c r="D420" s="56" t="s">
        <v>9821</v>
      </c>
      <c r="E420" s="10" t="s">
        <v>45</v>
      </c>
      <c r="F420" s="10" t="s">
        <v>3594</v>
      </c>
      <c r="G420" s="10" t="s">
        <v>15814</v>
      </c>
      <c r="H420" s="10" t="s">
        <v>10344</v>
      </c>
      <c r="I420" s="10" t="s">
        <v>55</v>
      </c>
      <c r="K420" s="10" t="s">
        <v>16596</v>
      </c>
      <c r="L420" s="10" t="s">
        <v>42</v>
      </c>
    </row>
    <row r="421" ht="15.75" customHeight="1">
      <c r="A421" s="66">
        <v>45483.0</v>
      </c>
      <c r="B421" s="55" t="str">
        <f>HYPERLINK("https://jobright.ai/jobs/info/668eb0fcb785e3af05e6205d?utm_campaign=1051&amp;utm_source=sheet", "Apply")</f>
        <v>Apply</v>
      </c>
      <c r="C421" s="10" t="s">
        <v>15927</v>
      </c>
      <c r="D421" s="56" t="s">
        <v>9821</v>
      </c>
      <c r="E421" s="10" t="s">
        <v>45</v>
      </c>
      <c r="F421" s="10" t="s">
        <v>3594</v>
      </c>
      <c r="G421" s="10" t="s">
        <v>15814</v>
      </c>
      <c r="H421" s="10" t="s">
        <v>909</v>
      </c>
      <c r="I421" s="10" t="s">
        <v>55</v>
      </c>
      <c r="K421" s="10" t="s">
        <v>16597</v>
      </c>
      <c r="L421" s="10" t="s">
        <v>42</v>
      </c>
    </row>
    <row r="422" ht="15.75" customHeight="1">
      <c r="A422" s="66">
        <v>45483.0</v>
      </c>
      <c r="B422" s="55" t="str">
        <f>HYPERLINK("https://jobright.ai/jobs/info/668fd7dfd38b7377a4fa907b?utm_campaign=1051&amp;utm_source=sheet", "Apply")</f>
        <v>Apply</v>
      </c>
      <c r="C422" s="10" t="s">
        <v>16598</v>
      </c>
      <c r="D422" s="56" t="s">
        <v>1115</v>
      </c>
      <c r="E422" s="10" t="s">
        <v>65</v>
      </c>
      <c r="F422" s="10" t="s">
        <v>1116</v>
      </c>
      <c r="G422" s="10" t="s">
        <v>15814</v>
      </c>
      <c r="H422" s="10" t="s">
        <v>607</v>
      </c>
      <c r="I422" s="10" t="s">
        <v>48</v>
      </c>
      <c r="K422" s="10" t="s">
        <v>16599</v>
      </c>
      <c r="L422" s="10" t="s">
        <v>42</v>
      </c>
    </row>
    <row r="423" ht="15.75" customHeight="1">
      <c r="A423" s="66">
        <v>45483.0</v>
      </c>
      <c r="B423" s="55" t="str">
        <f>HYPERLINK("https://jobright.ai/jobs/info/668fd7dfd38b7377a4fa9058?utm_campaign=1051&amp;utm_source=sheet", "Apply")</f>
        <v>Apply</v>
      </c>
      <c r="C423" s="10" t="s">
        <v>16600</v>
      </c>
      <c r="D423" s="56" t="s">
        <v>1115</v>
      </c>
      <c r="E423" s="10" t="s">
        <v>65</v>
      </c>
      <c r="F423" s="10" t="s">
        <v>1116</v>
      </c>
      <c r="G423" s="10" t="s">
        <v>15854</v>
      </c>
      <c r="H423" s="10" t="s">
        <v>607</v>
      </c>
      <c r="I423" s="10" t="s">
        <v>48</v>
      </c>
      <c r="K423" s="10" t="s">
        <v>16601</v>
      </c>
      <c r="L423" s="10" t="s">
        <v>42</v>
      </c>
    </row>
    <row r="424" ht="15.75" customHeight="1">
      <c r="A424" s="66">
        <v>45483.0</v>
      </c>
      <c r="B424" s="55" t="str">
        <f>HYPERLINK("https://jobright.ai/jobs/info/66721554b169b2608057fd5e?utm_campaign=1051&amp;utm_source=sheet", "Apply")</f>
        <v>Apply</v>
      </c>
      <c r="C424" s="10" t="s">
        <v>16435</v>
      </c>
      <c r="D424" s="56" t="s">
        <v>730</v>
      </c>
      <c r="E424" s="10" t="s">
        <v>45</v>
      </c>
      <c r="F424" s="10" t="s">
        <v>731</v>
      </c>
      <c r="G424" s="10" t="s">
        <v>15793</v>
      </c>
      <c r="H424" s="10" t="s">
        <v>16602</v>
      </c>
      <c r="I424" s="10" t="s">
        <v>55</v>
      </c>
      <c r="K424" s="10" t="s">
        <v>16436</v>
      </c>
      <c r="L424" s="10" t="s">
        <v>42</v>
      </c>
    </row>
    <row r="425" ht="15.75" customHeight="1">
      <c r="A425" s="66">
        <v>45483.0</v>
      </c>
      <c r="B425" s="55" t="str">
        <f>HYPERLINK("https://jobright.ai/jobs/info/6692725d4513eee4ec006d20?utm_campaign=1051&amp;utm_source=sheet", "Apply")</f>
        <v>Apply</v>
      </c>
      <c r="C425" s="10" t="s">
        <v>15294</v>
      </c>
      <c r="D425" s="56" t="s">
        <v>15295</v>
      </c>
      <c r="E425" s="10" t="s">
        <v>45</v>
      </c>
      <c r="F425" s="10" t="s">
        <v>15296</v>
      </c>
      <c r="G425" s="10" t="s">
        <v>15793</v>
      </c>
      <c r="H425" s="10" t="s">
        <v>139</v>
      </c>
      <c r="I425" s="10" t="s">
        <v>55</v>
      </c>
      <c r="K425" s="10" t="s">
        <v>15353</v>
      </c>
      <c r="L425" s="10" t="s">
        <v>42</v>
      </c>
    </row>
    <row r="426" ht="15.75" customHeight="1">
      <c r="A426" s="66">
        <v>45483.0</v>
      </c>
      <c r="B426" s="55" t="str">
        <f>HYPERLINK("https://jobright.ai/jobs/info/66723076a86f7ed89bf85928?utm_campaign=1051&amp;utm_source=sheet", "Apply")</f>
        <v>Apply</v>
      </c>
      <c r="C426" s="10" t="s">
        <v>16435</v>
      </c>
      <c r="D426" s="56" t="s">
        <v>730</v>
      </c>
      <c r="E426" s="10" t="s">
        <v>45</v>
      </c>
      <c r="F426" s="10" t="s">
        <v>731</v>
      </c>
      <c r="G426" s="10" t="s">
        <v>15793</v>
      </c>
      <c r="H426" s="10" t="s">
        <v>113</v>
      </c>
      <c r="I426" s="10" t="s">
        <v>55</v>
      </c>
      <c r="K426" s="10" t="s">
        <v>16436</v>
      </c>
      <c r="L426" s="10" t="s">
        <v>42</v>
      </c>
    </row>
    <row r="427" ht="15.75" customHeight="1">
      <c r="A427" s="66">
        <v>45483.0</v>
      </c>
      <c r="B427" s="55" t="str">
        <f>HYPERLINK("https://jobright.ai/jobs/info/66796d753f452d31d55f9318?utm_campaign=1051&amp;utm_source=sheet", "Apply")</f>
        <v>Apply</v>
      </c>
      <c r="C427" s="10" t="s">
        <v>16435</v>
      </c>
      <c r="D427" s="56" t="s">
        <v>730</v>
      </c>
      <c r="E427" s="10" t="s">
        <v>45</v>
      </c>
      <c r="F427" s="10" t="s">
        <v>731</v>
      </c>
      <c r="G427" s="10" t="s">
        <v>15793</v>
      </c>
      <c r="H427" s="10" t="s">
        <v>96</v>
      </c>
      <c r="I427" s="10" t="s">
        <v>55</v>
      </c>
      <c r="K427" s="10" t="s">
        <v>16436</v>
      </c>
      <c r="L427" s="10" t="s">
        <v>42</v>
      </c>
    </row>
    <row r="428" ht="15.75" customHeight="1">
      <c r="A428" s="66">
        <v>45483.0</v>
      </c>
      <c r="B428" s="55" t="str">
        <f>HYPERLINK("https://jobright.ai/jobs/info/653961e0f22a77ab28155792?utm_campaign=1051&amp;utm_source=sheet", "Apply")</f>
        <v>Apply</v>
      </c>
      <c r="C428" s="10" t="s">
        <v>16340</v>
      </c>
      <c r="D428" s="56" t="s">
        <v>3003</v>
      </c>
      <c r="E428" s="10" t="s">
        <v>209</v>
      </c>
      <c r="F428" s="10" t="s">
        <v>3004</v>
      </c>
      <c r="G428" s="10" t="s">
        <v>100</v>
      </c>
      <c r="H428" s="10" t="s">
        <v>371</v>
      </c>
      <c r="I428" s="10" t="s">
        <v>48</v>
      </c>
      <c r="K428" s="10" t="s">
        <v>16603</v>
      </c>
      <c r="L428" s="10" t="s">
        <v>42</v>
      </c>
    </row>
    <row r="429" ht="15.75" customHeight="1">
      <c r="A429" s="66">
        <v>45483.0</v>
      </c>
      <c r="B429" s="55" t="str">
        <f>HYPERLINK("https://jobright.ai/jobs/info/667232b4abb4d1a8f164d80d?utm_campaign=1051&amp;utm_source=sheet", "Apply")</f>
        <v>Apply</v>
      </c>
      <c r="C429" s="10" t="s">
        <v>16435</v>
      </c>
      <c r="D429" s="56" t="s">
        <v>730</v>
      </c>
      <c r="E429" s="10" t="s">
        <v>45</v>
      </c>
      <c r="F429" s="10" t="s">
        <v>731</v>
      </c>
      <c r="G429" s="10" t="s">
        <v>15793</v>
      </c>
      <c r="H429" s="10" t="s">
        <v>5471</v>
      </c>
      <c r="I429" s="10" t="s">
        <v>55</v>
      </c>
      <c r="K429" s="10" t="s">
        <v>16436</v>
      </c>
      <c r="L429" s="10" t="s">
        <v>42</v>
      </c>
    </row>
    <row r="430" ht="15.75" customHeight="1">
      <c r="A430" s="66">
        <v>45482.0</v>
      </c>
      <c r="B430" s="55" t="str">
        <f>HYPERLINK("https://jobright.ai/jobs/info/668e8a5906f3000f3f21237e?utm_campaign=1051&amp;utm_source=sheet", "Apply")</f>
        <v>Apply</v>
      </c>
      <c r="C430" s="10" t="s">
        <v>16604</v>
      </c>
      <c r="D430" s="56" t="s">
        <v>1178</v>
      </c>
      <c r="E430" s="10" t="s">
        <v>137</v>
      </c>
      <c r="F430" s="10" t="s">
        <v>1179</v>
      </c>
      <c r="G430" s="10" t="s">
        <v>15829</v>
      </c>
      <c r="H430" s="10" t="s">
        <v>16605</v>
      </c>
      <c r="I430" s="10" t="s">
        <v>55</v>
      </c>
      <c r="J430" s="10" t="s">
        <v>1984</v>
      </c>
      <c r="K430" s="10" t="s">
        <v>16606</v>
      </c>
      <c r="L430" s="10" t="s">
        <v>42</v>
      </c>
    </row>
    <row r="431" ht="15.75" customHeight="1">
      <c r="A431" s="66">
        <v>45482.0</v>
      </c>
      <c r="B431" s="55" t="str">
        <f>HYPERLINK("https://jobright.ai/jobs/info/668e8a0006f3000f3f211cc7?utm_campaign=1051&amp;utm_source=sheet", "Apply")</f>
        <v>Apply</v>
      </c>
      <c r="C431" s="10" t="s">
        <v>15985</v>
      </c>
      <c r="D431" s="56" t="s">
        <v>15986</v>
      </c>
      <c r="E431" s="10" t="s">
        <v>65</v>
      </c>
      <c r="F431" s="10" t="s">
        <v>9860</v>
      </c>
      <c r="G431" s="10" t="s">
        <v>15829</v>
      </c>
      <c r="H431" s="10" t="s">
        <v>5959</v>
      </c>
      <c r="I431" s="10" t="s">
        <v>55</v>
      </c>
      <c r="J431" s="10" t="s">
        <v>16607</v>
      </c>
      <c r="K431" s="10" t="s">
        <v>15987</v>
      </c>
      <c r="L431" s="10" t="s">
        <v>42</v>
      </c>
    </row>
    <row r="432" ht="15.75" customHeight="1">
      <c r="A432" s="66">
        <v>45482.0</v>
      </c>
      <c r="B432" s="55" t="str">
        <f>HYPERLINK("https://jobright.ai/jobs/info/668e3b6dff127ff38d3a6dc3?utm_campaign=1051&amp;utm_source=sheet", "Apply")</f>
        <v>Apply</v>
      </c>
      <c r="C432" s="10" t="s">
        <v>16608</v>
      </c>
      <c r="D432" s="56" t="s">
        <v>7047</v>
      </c>
      <c r="E432" s="10" t="s">
        <v>65</v>
      </c>
      <c r="F432" s="10" t="s">
        <v>5048</v>
      </c>
      <c r="G432" s="10" t="s">
        <v>100</v>
      </c>
      <c r="H432" s="10" t="s">
        <v>7048</v>
      </c>
      <c r="I432" s="10" t="s">
        <v>55</v>
      </c>
      <c r="J432" s="10" t="s">
        <v>16609</v>
      </c>
      <c r="K432" s="10" t="s">
        <v>16610</v>
      </c>
      <c r="L432" s="10" t="s">
        <v>42</v>
      </c>
    </row>
    <row r="433" ht="15.75" customHeight="1">
      <c r="A433" s="66">
        <v>45482.0</v>
      </c>
      <c r="B433" s="55" t="str">
        <f>HYPERLINK("https://jobright.ai/jobs/info/668d8369e45593dfb218d1e8?utm_campaign=1051&amp;utm_source=sheet", "Apply")</f>
        <v>Apply</v>
      </c>
      <c r="C433" s="10" t="s">
        <v>16611</v>
      </c>
      <c r="D433" s="56" t="s">
        <v>9821</v>
      </c>
      <c r="E433" s="10" t="s">
        <v>45</v>
      </c>
      <c r="F433" s="10" t="s">
        <v>3594</v>
      </c>
      <c r="G433" s="10" t="s">
        <v>15814</v>
      </c>
      <c r="H433" s="10" t="s">
        <v>361</v>
      </c>
      <c r="I433" s="10" t="s">
        <v>48</v>
      </c>
      <c r="K433" s="10" t="s">
        <v>11290</v>
      </c>
      <c r="L433" s="10" t="s">
        <v>42</v>
      </c>
    </row>
    <row r="434" ht="15.75" customHeight="1">
      <c r="A434" s="66">
        <v>45482.0</v>
      </c>
      <c r="B434" s="55" t="str">
        <f>HYPERLINK("https://jobright.ai/jobs/info/668d7d332949d64d8e447c98?utm_campaign=1051&amp;utm_source=sheet", "Apply")</f>
        <v>Apply</v>
      </c>
      <c r="C434" s="10" t="s">
        <v>16612</v>
      </c>
      <c r="D434" s="56" t="s">
        <v>16613</v>
      </c>
      <c r="E434" s="10">
        <v>15.0</v>
      </c>
      <c r="G434" s="10" t="s">
        <v>100</v>
      </c>
      <c r="H434" s="10" t="s">
        <v>16614</v>
      </c>
      <c r="I434" s="10" t="s">
        <v>55</v>
      </c>
      <c r="K434" s="10" t="s">
        <v>16615</v>
      </c>
      <c r="L434" s="10" t="s">
        <v>42</v>
      </c>
    </row>
    <row r="435" ht="15.75" customHeight="1">
      <c r="A435" s="66">
        <v>45482.0</v>
      </c>
      <c r="B435" s="55" t="str">
        <f>HYPERLINK("https://jobright.ai/jobs/info/668d8386e45593dfb218d44e?utm_campaign=1051&amp;utm_source=sheet", "Apply")</f>
        <v>Apply</v>
      </c>
      <c r="C435" s="10" t="s">
        <v>15927</v>
      </c>
      <c r="D435" s="56" t="s">
        <v>9821</v>
      </c>
      <c r="E435" s="10" t="s">
        <v>45</v>
      </c>
      <c r="F435" s="10" t="s">
        <v>3594</v>
      </c>
      <c r="G435" s="10" t="s">
        <v>15814</v>
      </c>
      <c r="H435" s="10" t="s">
        <v>5935</v>
      </c>
      <c r="I435" s="10" t="s">
        <v>55</v>
      </c>
      <c r="K435" s="10" t="s">
        <v>16616</v>
      </c>
      <c r="L435" s="10" t="s">
        <v>42</v>
      </c>
    </row>
    <row r="436" ht="15.75" customHeight="1">
      <c r="A436" s="66">
        <v>45482.0</v>
      </c>
      <c r="B436" s="55" t="str">
        <f>HYPERLINK("https://jobright.ai/jobs/info/668d6a227d76edb31743c98a?utm_campaign=1051&amp;utm_source=sheet", "Apply")</f>
        <v>Apply</v>
      </c>
      <c r="C436" s="10" t="s">
        <v>16604</v>
      </c>
      <c r="D436" s="56" t="s">
        <v>16617</v>
      </c>
      <c r="E436" s="10" t="s">
        <v>65</v>
      </c>
      <c r="F436" s="10" t="s">
        <v>1376</v>
      </c>
      <c r="G436" s="10" t="s">
        <v>15829</v>
      </c>
      <c r="H436" s="10" t="s">
        <v>16605</v>
      </c>
      <c r="I436" s="10" t="s">
        <v>55</v>
      </c>
      <c r="J436" s="10" t="s">
        <v>1984</v>
      </c>
      <c r="K436" s="10" t="s">
        <v>16606</v>
      </c>
      <c r="L436" s="10" t="s">
        <v>42</v>
      </c>
    </row>
    <row r="437" ht="15.75" customHeight="1">
      <c r="A437" s="66">
        <v>45482.0</v>
      </c>
      <c r="B437" s="55" t="str">
        <f>HYPERLINK("https://jobright.ai/jobs/info/667972f78f20c6df6b899544?utm_campaign=1051&amp;utm_source=sheet", "Apply")</f>
        <v>Apply</v>
      </c>
      <c r="C437" s="10" t="s">
        <v>16618</v>
      </c>
      <c r="D437" s="56" t="s">
        <v>10975</v>
      </c>
      <c r="E437" s="10" t="s">
        <v>249</v>
      </c>
      <c r="F437" s="10" t="s">
        <v>1934</v>
      </c>
      <c r="G437" s="10" t="s">
        <v>15793</v>
      </c>
      <c r="H437" s="10" t="s">
        <v>113</v>
      </c>
      <c r="I437" s="10" t="s">
        <v>55</v>
      </c>
      <c r="K437" s="10" t="s">
        <v>15837</v>
      </c>
      <c r="L437" s="10" t="s">
        <v>42</v>
      </c>
    </row>
    <row r="438" ht="15.75" customHeight="1">
      <c r="A438" s="66">
        <v>45482.0</v>
      </c>
      <c r="B438" s="55" t="str">
        <f>HYPERLINK("https://jobright.ai/jobs/info/66182643634c5f875a317c68?utm_campaign=1051&amp;utm_source=sheet", "Apply")</f>
        <v>Apply</v>
      </c>
      <c r="C438" s="10" t="s">
        <v>16619</v>
      </c>
      <c r="D438" s="56" t="s">
        <v>16620</v>
      </c>
      <c r="E438" s="10" t="s">
        <v>65</v>
      </c>
      <c r="F438" s="10" t="s">
        <v>16621</v>
      </c>
      <c r="G438" s="10" t="s">
        <v>100</v>
      </c>
      <c r="H438" s="10" t="s">
        <v>251</v>
      </c>
      <c r="I438" s="10" t="s">
        <v>252</v>
      </c>
      <c r="K438" s="10" t="s">
        <v>16622</v>
      </c>
      <c r="L438" s="10" t="s">
        <v>42</v>
      </c>
    </row>
    <row r="439" ht="15.75" customHeight="1">
      <c r="A439" s="66">
        <v>45482.0</v>
      </c>
      <c r="B439" s="55" t="str">
        <f>HYPERLINK("https://jobright.ai/jobs/info/6683ffaf29646ce4f98c5828?utm_campaign=1051&amp;utm_source=sheet", "Apply")</f>
        <v>Apply</v>
      </c>
      <c r="C439" s="10" t="s">
        <v>16553</v>
      </c>
      <c r="D439" s="56" t="s">
        <v>5523</v>
      </c>
      <c r="E439" s="10" t="s">
        <v>209</v>
      </c>
      <c r="F439" s="10" t="s">
        <v>5524</v>
      </c>
      <c r="G439" s="10" t="s">
        <v>100</v>
      </c>
      <c r="H439" s="10" t="s">
        <v>5245</v>
      </c>
      <c r="I439" s="10" t="s">
        <v>55</v>
      </c>
      <c r="J439" s="10" t="s">
        <v>9054</v>
      </c>
      <c r="K439" s="10" t="s">
        <v>16554</v>
      </c>
      <c r="L439" s="10" t="s">
        <v>42</v>
      </c>
    </row>
    <row r="440" ht="15.75" customHeight="1">
      <c r="A440" s="66">
        <v>45482.0</v>
      </c>
      <c r="B440" s="55" t="str">
        <f>HYPERLINK("https://jobright.ai/jobs/info/668c9d16fb45ee61e9527168?utm_campaign=1051&amp;utm_source=sheet", "Apply")</f>
        <v>Apply</v>
      </c>
      <c r="C440" s="10" t="s">
        <v>16623</v>
      </c>
      <c r="D440" s="56" t="s">
        <v>16624</v>
      </c>
      <c r="E440" s="10">
        <v>371.0</v>
      </c>
      <c r="G440" s="10" t="s">
        <v>15814</v>
      </c>
      <c r="H440" s="10" t="s">
        <v>636</v>
      </c>
      <c r="I440" s="10" t="s">
        <v>48</v>
      </c>
      <c r="K440" s="10" t="s">
        <v>16625</v>
      </c>
      <c r="L440" s="10" t="s">
        <v>42</v>
      </c>
    </row>
    <row r="441" ht="15.75" customHeight="1">
      <c r="A441" s="66">
        <v>45481.0</v>
      </c>
      <c r="B441" s="55" t="str">
        <f>HYPERLINK("https://jobright.ai/jobs/info/668c8bfb8ed79318789180e2?utm_campaign=1051&amp;utm_source=sheet", "Apply")</f>
        <v>Apply</v>
      </c>
      <c r="C441" s="10" t="s">
        <v>16007</v>
      </c>
      <c r="D441" s="56" t="s">
        <v>3376</v>
      </c>
      <c r="E441" s="10" t="s">
        <v>45</v>
      </c>
      <c r="F441" s="10" t="s">
        <v>3377</v>
      </c>
      <c r="G441" s="10" t="s">
        <v>15793</v>
      </c>
      <c r="H441" s="10" t="s">
        <v>405</v>
      </c>
      <c r="I441" s="10" t="s">
        <v>55</v>
      </c>
      <c r="J441" s="10" t="s">
        <v>15911</v>
      </c>
      <c r="K441" s="10" t="s">
        <v>16009</v>
      </c>
      <c r="L441" s="10" t="s">
        <v>42</v>
      </c>
    </row>
    <row r="442" ht="15.75" customHeight="1">
      <c r="A442" s="66">
        <v>45481.0</v>
      </c>
      <c r="B442" s="55" t="str">
        <f>HYPERLINK("https://jobright.ai/jobs/info/668c8bfb8ed79318789180e0?utm_campaign=1051&amp;utm_source=sheet", "Apply")</f>
        <v>Apply</v>
      </c>
      <c r="C442" s="10" t="s">
        <v>16626</v>
      </c>
      <c r="D442" s="56" t="s">
        <v>9917</v>
      </c>
      <c r="E442" s="10" t="s">
        <v>65</v>
      </c>
      <c r="F442" s="10" t="s">
        <v>9918</v>
      </c>
      <c r="G442" s="10" t="s">
        <v>100</v>
      </c>
      <c r="H442" s="10" t="s">
        <v>1004</v>
      </c>
      <c r="I442" s="10" t="s">
        <v>55</v>
      </c>
      <c r="K442" s="10" t="s">
        <v>9919</v>
      </c>
      <c r="L442" s="10" t="s">
        <v>42</v>
      </c>
    </row>
    <row r="443" ht="15.75" customHeight="1">
      <c r="A443" s="66">
        <v>45481.0</v>
      </c>
      <c r="B443" s="55" t="str">
        <f>HYPERLINK("https://jobright.ai/jobs/info/668688a59db87c158112a6bf?utm_campaign=1051&amp;utm_source=sheet", "Apply")</f>
        <v>Apply</v>
      </c>
      <c r="C443" s="10" t="s">
        <v>16627</v>
      </c>
      <c r="D443" s="56" t="s">
        <v>1650</v>
      </c>
      <c r="E443" s="10" t="s">
        <v>209</v>
      </c>
      <c r="F443" s="10" t="s">
        <v>1243</v>
      </c>
      <c r="G443" s="10" t="s">
        <v>100</v>
      </c>
      <c r="H443" s="10" t="s">
        <v>153</v>
      </c>
      <c r="I443" s="10" t="s">
        <v>48</v>
      </c>
      <c r="K443" s="10" t="s">
        <v>16628</v>
      </c>
      <c r="L443" s="10" t="s">
        <v>42</v>
      </c>
    </row>
    <row r="444" ht="15.75" customHeight="1">
      <c r="A444" s="66">
        <v>45481.0</v>
      </c>
      <c r="B444" s="55" t="str">
        <f>HYPERLINK("https://jobright.ai/jobs/info/668c616f980e9b9331fff0f4?utm_campaign=1051&amp;utm_source=sheet", "Apply")</f>
        <v>Apply</v>
      </c>
      <c r="C444" s="10" t="s">
        <v>9854</v>
      </c>
      <c r="D444" s="56" t="s">
        <v>16629</v>
      </c>
      <c r="E444" s="10" t="s">
        <v>137</v>
      </c>
      <c r="F444" s="10" t="s">
        <v>16630</v>
      </c>
      <c r="G444" s="10" t="s">
        <v>15854</v>
      </c>
      <c r="H444" s="10" t="s">
        <v>799</v>
      </c>
      <c r="I444" s="10" t="s">
        <v>48</v>
      </c>
      <c r="K444" s="10" t="s">
        <v>16631</v>
      </c>
      <c r="L444" s="10" t="s">
        <v>42</v>
      </c>
    </row>
    <row r="445" ht="15.75" customHeight="1">
      <c r="A445" s="66">
        <v>45481.0</v>
      </c>
      <c r="B445" s="55" t="str">
        <f>HYPERLINK("https://jobright.ai/jobs/info/668c618b980e9b9331fff306?utm_campaign=1051&amp;utm_source=sheet", "Apply")</f>
        <v>Apply</v>
      </c>
      <c r="C445" s="10" t="s">
        <v>16632</v>
      </c>
      <c r="D445" s="56" t="s">
        <v>9821</v>
      </c>
      <c r="E445" s="10" t="s">
        <v>45</v>
      </c>
      <c r="F445" s="10" t="s">
        <v>3594</v>
      </c>
      <c r="G445" s="10" t="s">
        <v>15814</v>
      </c>
      <c r="H445" s="10" t="s">
        <v>1696</v>
      </c>
      <c r="I445" s="10" t="s">
        <v>55</v>
      </c>
      <c r="K445" s="10" t="s">
        <v>11290</v>
      </c>
      <c r="L445" s="10" t="s">
        <v>42</v>
      </c>
    </row>
    <row r="446" ht="15.75" customHeight="1">
      <c r="A446" s="66">
        <v>45481.0</v>
      </c>
      <c r="B446" s="55" t="str">
        <f>HYPERLINK("https://jobright.ai/jobs/info/668c618b980e9b9331fff2f3?utm_campaign=1051&amp;utm_source=sheet", "Apply")</f>
        <v>Apply</v>
      </c>
      <c r="C446" s="10" t="s">
        <v>16633</v>
      </c>
      <c r="D446" s="56" t="s">
        <v>9821</v>
      </c>
      <c r="E446" s="10" t="s">
        <v>45</v>
      </c>
      <c r="F446" s="10" t="s">
        <v>3594</v>
      </c>
      <c r="G446" s="10" t="s">
        <v>15814</v>
      </c>
      <c r="H446" s="10" t="s">
        <v>6550</v>
      </c>
      <c r="I446" s="10" t="s">
        <v>55</v>
      </c>
      <c r="K446" s="10" t="s">
        <v>16634</v>
      </c>
      <c r="L446" s="10" t="s">
        <v>42</v>
      </c>
    </row>
    <row r="447" ht="15.75" customHeight="1">
      <c r="A447" s="66">
        <v>45481.0</v>
      </c>
      <c r="B447" s="55" t="str">
        <f>HYPERLINK("https://jobright.ai/jobs/info/668c3793a1686f7e71b6a467?utm_campaign=1051&amp;utm_source=sheet", "Apply")</f>
        <v>Apply</v>
      </c>
      <c r="C447" s="10" t="s">
        <v>16635</v>
      </c>
      <c r="D447" s="56" t="s">
        <v>16636</v>
      </c>
      <c r="F447" s="10" t="s">
        <v>16637</v>
      </c>
      <c r="G447" s="10" t="s">
        <v>15793</v>
      </c>
      <c r="H447" s="10" t="s">
        <v>3256</v>
      </c>
      <c r="I447" s="10" t="s">
        <v>55</v>
      </c>
      <c r="J447" s="10" t="s">
        <v>3125</v>
      </c>
      <c r="K447" s="10" t="s">
        <v>16638</v>
      </c>
      <c r="L447" s="10" t="s">
        <v>42</v>
      </c>
    </row>
    <row r="448" ht="15.75" customHeight="1">
      <c r="A448" s="66">
        <v>45481.0</v>
      </c>
      <c r="B448" s="55" t="str">
        <f>HYPERLINK("https://jobright.ai/jobs/info/668c2d40dc14ede91846ae26?utm_campaign=1051&amp;utm_source=sheet", "Apply")</f>
        <v>Apply</v>
      </c>
      <c r="C448" s="10" t="s">
        <v>16206</v>
      </c>
      <c r="D448" s="56" t="s">
        <v>9821</v>
      </c>
      <c r="E448" s="10" t="s">
        <v>45</v>
      </c>
      <c r="F448" s="10" t="s">
        <v>3594</v>
      </c>
      <c r="G448" s="10" t="s">
        <v>15814</v>
      </c>
      <c r="H448" s="10" t="s">
        <v>965</v>
      </c>
      <c r="I448" s="10" t="s">
        <v>55</v>
      </c>
      <c r="K448" s="10" t="s">
        <v>16639</v>
      </c>
      <c r="L448" s="10" t="s">
        <v>42</v>
      </c>
    </row>
    <row r="449" ht="15.75" customHeight="1">
      <c r="A449" s="66">
        <v>45481.0</v>
      </c>
      <c r="B449" s="55" t="str">
        <f>HYPERLINK("https://jobright.ai/jobs/info/668c618b980e9b9331fff2d5?utm_campaign=1051&amp;utm_source=sheet", "Apply")</f>
        <v>Apply</v>
      </c>
      <c r="C449" s="10" t="s">
        <v>15927</v>
      </c>
      <c r="D449" s="56" t="s">
        <v>9821</v>
      </c>
      <c r="E449" s="10" t="s">
        <v>45</v>
      </c>
      <c r="F449" s="10" t="s">
        <v>3594</v>
      </c>
      <c r="G449" s="10" t="s">
        <v>15814</v>
      </c>
      <c r="H449" s="10" t="s">
        <v>578</v>
      </c>
      <c r="I449" s="10" t="s">
        <v>55</v>
      </c>
      <c r="K449" s="10" t="s">
        <v>16640</v>
      </c>
      <c r="L449" s="10" t="s">
        <v>42</v>
      </c>
    </row>
    <row r="450" ht="15.75" customHeight="1">
      <c r="A450" s="66">
        <v>45481.0</v>
      </c>
      <c r="B450" s="55" t="str">
        <f>HYPERLINK("https://jobright.ai/jobs/info/668c22cc42557af01ff61496?utm_campaign=1051&amp;utm_source=sheet", "Apply")</f>
        <v>Apply</v>
      </c>
      <c r="C450" s="10" t="s">
        <v>16641</v>
      </c>
      <c r="D450" s="56" t="s">
        <v>16642</v>
      </c>
      <c r="E450" s="10" t="s">
        <v>276</v>
      </c>
      <c r="F450" s="10" t="s">
        <v>1485</v>
      </c>
      <c r="G450" s="10" t="s">
        <v>15793</v>
      </c>
      <c r="H450" s="10" t="s">
        <v>7659</v>
      </c>
      <c r="I450" s="10" t="s">
        <v>48</v>
      </c>
      <c r="K450" s="10" t="s">
        <v>16643</v>
      </c>
      <c r="L450" s="10" t="s">
        <v>42</v>
      </c>
    </row>
    <row r="451" ht="15.75" customHeight="1">
      <c r="A451" s="66">
        <v>45481.0</v>
      </c>
      <c r="B451" s="55" t="str">
        <f>HYPERLINK("https://jobright.ai/jobs/info/668c22cc42557af01ff61495?utm_campaign=1051&amp;utm_source=sheet", "Apply")</f>
        <v>Apply</v>
      </c>
      <c r="C451" s="10" t="s">
        <v>16641</v>
      </c>
      <c r="D451" s="56" t="s">
        <v>16642</v>
      </c>
      <c r="E451" s="10" t="s">
        <v>276</v>
      </c>
      <c r="F451" s="10" t="s">
        <v>1485</v>
      </c>
      <c r="G451" s="10" t="s">
        <v>15793</v>
      </c>
      <c r="H451" s="10" t="s">
        <v>994</v>
      </c>
      <c r="I451" s="10" t="s">
        <v>48</v>
      </c>
      <c r="K451" s="10" t="s">
        <v>16643</v>
      </c>
      <c r="L451" s="10" t="s">
        <v>42</v>
      </c>
    </row>
    <row r="452" ht="15.75" customHeight="1">
      <c r="A452" s="66">
        <v>45481.0</v>
      </c>
      <c r="B452" s="55" t="str">
        <f>HYPERLINK("https://jobright.ai/jobs/info/668c1d7c1c630cef6f193496?utm_campaign=1051&amp;utm_source=sheet", "Apply")</f>
        <v>Apply</v>
      </c>
      <c r="C452" s="10" t="s">
        <v>16641</v>
      </c>
      <c r="D452" s="56" t="s">
        <v>16642</v>
      </c>
      <c r="E452" s="10" t="s">
        <v>276</v>
      </c>
      <c r="F452" s="10" t="s">
        <v>1485</v>
      </c>
      <c r="G452" s="10" t="s">
        <v>15793</v>
      </c>
      <c r="H452" s="10" t="s">
        <v>165</v>
      </c>
      <c r="I452" s="10" t="s">
        <v>48</v>
      </c>
      <c r="K452" s="10" t="s">
        <v>16643</v>
      </c>
      <c r="L452" s="10" t="s">
        <v>42</v>
      </c>
    </row>
    <row r="453" ht="15.75" customHeight="1">
      <c r="A453" s="66">
        <v>45481.0</v>
      </c>
      <c r="B453" s="55" t="str">
        <f>HYPERLINK("https://jobright.ai/jobs/info/668c1da91c630cef6f193913?utm_campaign=1051&amp;utm_source=sheet", "Apply")</f>
        <v>Apply</v>
      </c>
      <c r="C453" s="10" t="s">
        <v>16641</v>
      </c>
      <c r="D453" s="56" t="s">
        <v>16642</v>
      </c>
      <c r="E453" s="10" t="s">
        <v>276</v>
      </c>
      <c r="F453" s="10" t="s">
        <v>1485</v>
      </c>
      <c r="G453" s="10" t="s">
        <v>15793</v>
      </c>
      <c r="H453" s="10" t="s">
        <v>1263</v>
      </c>
      <c r="I453" s="10" t="s">
        <v>48</v>
      </c>
      <c r="K453" s="10" t="s">
        <v>16643</v>
      </c>
      <c r="L453" s="10" t="s">
        <v>42</v>
      </c>
    </row>
    <row r="454" ht="15.75" customHeight="1">
      <c r="A454" s="66">
        <v>45481.0</v>
      </c>
      <c r="B454" s="55" t="str">
        <f>HYPERLINK("https://jobright.ai/jobs/info/668c5deca0bdbc20c7ddd002?utm_campaign=1051&amp;utm_source=sheet", "Apply")</f>
        <v>Apply</v>
      </c>
      <c r="C454" s="10" t="s">
        <v>16644</v>
      </c>
      <c r="D454" s="56" t="s">
        <v>9821</v>
      </c>
      <c r="E454" s="10" t="s">
        <v>45</v>
      </c>
      <c r="F454" s="10" t="s">
        <v>3594</v>
      </c>
      <c r="G454" s="10" t="s">
        <v>15814</v>
      </c>
      <c r="H454" s="10" t="s">
        <v>4423</v>
      </c>
      <c r="I454" s="10" t="s">
        <v>55</v>
      </c>
      <c r="K454" s="10" t="s">
        <v>16645</v>
      </c>
      <c r="L454" s="10" t="s">
        <v>42</v>
      </c>
    </row>
    <row r="455" ht="15.75" customHeight="1">
      <c r="A455" s="66">
        <v>45481.0</v>
      </c>
      <c r="B455" s="55" t="str">
        <f>HYPERLINK("https://jobright.ai/jobs/info/66675fea6d0e3ab9d0ace58d?utm_campaign=1051&amp;utm_source=sheet", "Apply")</f>
        <v>Apply</v>
      </c>
      <c r="C455" s="10" t="s">
        <v>16646</v>
      </c>
      <c r="D455" s="56" t="s">
        <v>9821</v>
      </c>
      <c r="E455" s="10" t="s">
        <v>45</v>
      </c>
      <c r="F455" s="10" t="s">
        <v>3594</v>
      </c>
      <c r="G455" s="10" t="s">
        <v>100</v>
      </c>
      <c r="H455" s="10" t="s">
        <v>16647</v>
      </c>
      <c r="I455" s="10" t="s">
        <v>55</v>
      </c>
      <c r="K455" s="10" t="s">
        <v>16648</v>
      </c>
      <c r="L455" s="10" t="s">
        <v>42</v>
      </c>
    </row>
    <row r="456" ht="15.75" customHeight="1">
      <c r="A456" s="66">
        <v>45481.0</v>
      </c>
      <c r="B456" s="55" t="str">
        <f>HYPERLINK("https://jobright.ai/jobs/info/669514926752148357c42ef5?utm_campaign=1051&amp;utm_source=sheet", "Apply")</f>
        <v>Apply</v>
      </c>
      <c r="C456" s="10" t="s">
        <v>16309</v>
      </c>
      <c r="D456" s="56" t="s">
        <v>2682</v>
      </c>
      <c r="E456" s="10" t="s">
        <v>45</v>
      </c>
      <c r="F456" s="10" t="s">
        <v>1357</v>
      </c>
      <c r="G456" s="10" t="s">
        <v>15829</v>
      </c>
      <c r="H456" s="10" t="s">
        <v>170</v>
      </c>
      <c r="I456" s="10" t="s">
        <v>55</v>
      </c>
      <c r="J456" s="10" t="s">
        <v>16439</v>
      </c>
      <c r="K456" s="10" t="s">
        <v>16310</v>
      </c>
      <c r="L456" s="10" t="s">
        <v>42</v>
      </c>
    </row>
    <row r="457" ht="15.75" customHeight="1">
      <c r="A457" s="66">
        <v>45481.0</v>
      </c>
      <c r="B457" s="55" t="str">
        <f>HYPERLINK("https://jobright.ai/jobs/info/668c6f5d722799dac22804e6?utm_campaign=1051&amp;utm_source=sheet", "Apply")</f>
        <v>Apply</v>
      </c>
      <c r="C457" s="10" t="s">
        <v>16649</v>
      </c>
      <c r="D457" s="56" t="s">
        <v>3769</v>
      </c>
      <c r="E457" s="10" t="s">
        <v>65</v>
      </c>
      <c r="F457" s="10" t="s">
        <v>3770</v>
      </c>
      <c r="G457" s="10" t="s">
        <v>15814</v>
      </c>
      <c r="H457" s="10" t="s">
        <v>434</v>
      </c>
      <c r="I457" s="10" t="s">
        <v>48</v>
      </c>
      <c r="J457" s="10" t="s">
        <v>3771</v>
      </c>
      <c r="K457" s="10" t="s">
        <v>16650</v>
      </c>
      <c r="L457" s="10" t="s">
        <v>42</v>
      </c>
    </row>
    <row r="458" ht="15.75" customHeight="1">
      <c r="A458" s="66">
        <v>45480.0</v>
      </c>
      <c r="B458" s="55" t="str">
        <f>HYPERLINK("https://jobright.ai/jobs/info/668b4a4a31b621abadc215ed?utm_campaign=1051&amp;utm_source=sheet", "Apply")</f>
        <v>Apply</v>
      </c>
      <c r="C458" s="10" t="s">
        <v>13889</v>
      </c>
      <c r="D458" s="56" t="s">
        <v>16651</v>
      </c>
      <c r="E458" s="59">
        <v>45301.0</v>
      </c>
      <c r="F458" s="10" t="s">
        <v>16652</v>
      </c>
      <c r="G458" s="10" t="s">
        <v>15784</v>
      </c>
      <c r="H458" s="10" t="s">
        <v>154</v>
      </c>
      <c r="I458" s="10" t="s">
        <v>48</v>
      </c>
      <c r="K458" s="10" t="s">
        <v>16653</v>
      </c>
      <c r="L458" s="10" t="s">
        <v>42</v>
      </c>
    </row>
    <row r="459" ht="15.75" customHeight="1">
      <c r="A459" s="66">
        <v>45480.0</v>
      </c>
      <c r="B459" s="55" t="str">
        <f>HYPERLINK("https://jobright.ai/jobs/info/668b575627834c5081097a77?utm_campaign=1051&amp;utm_source=sheet", "Apply")</f>
        <v>Apply</v>
      </c>
      <c r="C459" s="10" t="s">
        <v>16309</v>
      </c>
      <c r="D459" s="56" t="s">
        <v>2682</v>
      </c>
      <c r="E459" s="10" t="s">
        <v>45</v>
      </c>
      <c r="F459" s="10" t="s">
        <v>1357</v>
      </c>
      <c r="G459" s="10" t="s">
        <v>15829</v>
      </c>
      <c r="H459" s="10" t="s">
        <v>995</v>
      </c>
      <c r="I459" s="10" t="s">
        <v>55</v>
      </c>
      <c r="J459" s="10" t="s">
        <v>16654</v>
      </c>
      <c r="K459" s="10" t="s">
        <v>16310</v>
      </c>
      <c r="L459" s="10" t="s">
        <v>42</v>
      </c>
    </row>
    <row r="460" ht="15.75" customHeight="1">
      <c r="A460" s="66">
        <v>45480.0</v>
      </c>
      <c r="B460" s="55" t="str">
        <f>HYPERLINK("https://jobright.ai/jobs/info/668b576727834c5081097bbc?utm_campaign=1051&amp;utm_source=sheet", "Apply")</f>
        <v>Apply</v>
      </c>
      <c r="C460" s="10" t="s">
        <v>16309</v>
      </c>
      <c r="D460" s="56" t="s">
        <v>2682</v>
      </c>
      <c r="E460" s="10" t="s">
        <v>45</v>
      </c>
      <c r="F460" s="10" t="s">
        <v>1357</v>
      </c>
      <c r="G460" s="10" t="s">
        <v>15829</v>
      </c>
      <c r="H460" s="10" t="s">
        <v>16655</v>
      </c>
      <c r="I460" s="10" t="s">
        <v>55</v>
      </c>
      <c r="J460" s="10" t="s">
        <v>16654</v>
      </c>
      <c r="K460" s="10" t="s">
        <v>16310</v>
      </c>
      <c r="L460" s="10" t="s">
        <v>42</v>
      </c>
    </row>
    <row r="461" ht="15.75" customHeight="1">
      <c r="A461" s="66">
        <v>45480.0</v>
      </c>
      <c r="B461" s="55" t="str">
        <f>HYPERLINK("https://jobright.ai/jobs/info/668b56ee27834c50810970bc?utm_campaign=1051&amp;utm_source=sheet", "Apply")</f>
        <v>Apply</v>
      </c>
      <c r="C461" s="10" t="s">
        <v>16309</v>
      </c>
      <c r="D461" s="56" t="s">
        <v>2682</v>
      </c>
      <c r="E461" s="10" t="s">
        <v>45</v>
      </c>
      <c r="F461" s="10" t="s">
        <v>1357</v>
      </c>
      <c r="G461" s="10" t="s">
        <v>15829</v>
      </c>
      <c r="H461" s="10" t="s">
        <v>170</v>
      </c>
      <c r="I461" s="10" t="s">
        <v>55</v>
      </c>
      <c r="J461" s="10" t="s">
        <v>16439</v>
      </c>
      <c r="K461" s="10" t="s">
        <v>16310</v>
      </c>
      <c r="L461" s="10" t="s">
        <v>42</v>
      </c>
    </row>
    <row r="462" ht="15.75" customHeight="1">
      <c r="A462" s="66">
        <v>45479.0</v>
      </c>
      <c r="B462" s="55" t="str">
        <f>HYPERLINK("https://jobright.ai/jobs/info/668a801aa62baba7813eea1e?utm_campaign=1051&amp;utm_source=sheet", "Apply")</f>
        <v>Apply</v>
      </c>
      <c r="C462" s="10" t="s">
        <v>16391</v>
      </c>
      <c r="D462" s="56" t="s">
        <v>16501</v>
      </c>
      <c r="E462" s="10" t="s">
        <v>249</v>
      </c>
      <c r="F462" s="10" t="s">
        <v>1723</v>
      </c>
      <c r="G462" s="10" t="s">
        <v>15793</v>
      </c>
      <c r="H462" s="10" t="s">
        <v>6071</v>
      </c>
      <c r="I462" s="10" t="s">
        <v>55</v>
      </c>
      <c r="J462" s="10" t="s">
        <v>12176</v>
      </c>
      <c r="K462" s="10" t="s">
        <v>16503</v>
      </c>
      <c r="L462" s="10" t="s">
        <v>42</v>
      </c>
    </row>
    <row r="463" ht="15.75" customHeight="1">
      <c r="A463" s="66">
        <v>45479.0</v>
      </c>
      <c r="B463" s="55" t="str">
        <f>HYPERLINK("https://jobright.ai/jobs/info/6677bdf427c0e726e8f4f57b?utm_campaign=1051&amp;utm_source=sheet", "Apply")</f>
        <v>Apply</v>
      </c>
      <c r="C463" s="10" t="s">
        <v>16656</v>
      </c>
      <c r="D463" s="56" t="s">
        <v>16657</v>
      </c>
      <c r="E463" s="10" t="s">
        <v>79</v>
      </c>
      <c r="F463" s="10" t="s">
        <v>1485</v>
      </c>
      <c r="G463" s="10" t="s">
        <v>100</v>
      </c>
      <c r="H463" s="10" t="s">
        <v>1254</v>
      </c>
      <c r="I463" s="10" t="s">
        <v>55</v>
      </c>
      <c r="J463" s="10" t="s">
        <v>16658</v>
      </c>
      <c r="K463" s="10" t="s">
        <v>16659</v>
      </c>
      <c r="L463" s="10" t="s">
        <v>42</v>
      </c>
    </row>
    <row r="464" ht="15.75" customHeight="1">
      <c r="A464" s="66">
        <v>45479.0</v>
      </c>
      <c r="B464" s="55" t="str">
        <f>HYPERLINK("https://jobright.ai/jobs/info/666cefa949c3ba5a71c47ba9?utm_campaign=1051&amp;utm_source=sheet", "Apply")</f>
        <v>Apply</v>
      </c>
      <c r="C464" s="10" t="s">
        <v>16660</v>
      </c>
      <c r="D464" s="56" t="s">
        <v>16661</v>
      </c>
      <c r="E464" s="10" t="s">
        <v>65</v>
      </c>
      <c r="F464" s="10" t="s">
        <v>16662</v>
      </c>
      <c r="G464" s="10" t="s">
        <v>15793</v>
      </c>
      <c r="H464" s="10" t="s">
        <v>106</v>
      </c>
      <c r="I464" s="10" t="s">
        <v>55</v>
      </c>
      <c r="J464" s="10" t="s">
        <v>16663</v>
      </c>
      <c r="K464" s="10" t="s">
        <v>16664</v>
      </c>
      <c r="L464" s="10" t="s">
        <v>42</v>
      </c>
    </row>
    <row r="465" ht="15.75" customHeight="1">
      <c r="A465" s="66">
        <v>45479.0</v>
      </c>
      <c r="B465" s="55" t="str">
        <f>HYPERLINK("https://jobright.ai/jobs/info/6675c3902c5358baace99464?utm_campaign=1051&amp;utm_source=sheet", "Apply")</f>
        <v>Apply</v>
      </c>
      <c r="C465" s="10" t="s">
        <v>15985</v>
      </c>
      <c r="D465" s="56" t="s">
        <v>15986</v>
      </c>
      <c r="E465" s="10" t="s">
        <v>65</v>
      </c>
      <c r="F465" s="10" t="s">
        <v>9860</v>
      </c>
      <c r="G465" s="10" t="s">
        <v>15793</v>
      </c>
      <c r="H465" s="10" t="s">
        <v>16665</v>
      </c>
      <c r="I465" s="10" t="s">
        <v>55</v>
      </c>
      <c r="K465" s="10" t="s">
        <v>15987</v>
      </c>
      <c r="L465" s="10" t="s">
        <v>42</v>
      </c>
    </row>
    <row r="466" ht="15.75" customHeight="1">
      <c r="A466" s="66">
        <v>45479.0</v>
      </c>
      <c r="B466" s="55" t="str">
        <f>HYPERLINK("https://jobright.ai/jobs/info/6675d3835e546ebdd783a569?utm_campaign=1051&amp;utm_source=sheet", "Apply")</f>
        <v>Apply</v>
      </c>
      <c r="C466" s="10" t="s">
        <v>16660</v>
      </c>
      <c r="D466" s="56" t="s">
        <v>16661</v>
      </c>
      <c r="E466" s="10" t="s">
        <v>65</v>
      </c>
      <c r="F466" s="10" t="s">
        <v>16662</v>
      </c>
      <c r="G466" s="10" t="s">
        <v>15793</v>
      </c>
      <c r="H466" s="10" t="s">
        <v>5074</v>
      </c>
      <c r="I466" s="10" t="s">
        <v>55</v>
      </c>
      <c r="J466" s="10" t="s">
        <v>16666</v>
      </c>
      <c r="K466" s="10" t="s">
        <v>16664</v>
      </c>
      <c r="L466" s="10" t="s">
        <v>42</v>
      </c>
    </row>
    <row r="467" ht="15.75" customHeight="1">
      <c r="A467" s="66">
        <v>45479.0</v>
      </c>
      <c r="B467" s="55" t="str">
        <f>HYPERLINK("https://jobright.ai/jobs/info/6675bead6f7095ca90c07e02?utm_campaign=1051&amp;utm_source=sheet", "Apply")</f>
        <v>Apply</v>
      </c>
      <c r="C467" s="10" t="s">
        <v>16660</v>
      </c>
      <c r="D467" s="56" t="s">
        <v>16661</v>
      </c>
      <c r="E467" s="10" t="s">
        <v>65</v>
      </c>
      <c r="F467" s="10" t="s">
        <v>16662</v>
      </c>
      <c r="G467" s="10" t="s">
        <v>15793</v>
      </c>
      <c r="H467" s="10" t="s">
        <v>826</v>
      </c>
      <c r="I467" s="10" t="s">
        <v>55</v>
      </c>
      <c r="J467" s="10" t="s">
        <v>16667</v>
      </c>
      <c r="K467" s="10" t="s">
        <v>16664</v>
      </c>
      <c r="L467" s="10" t="s">
        <v>42</v>
      </c>
    </row>
    <row r="468" ht="15.75" customHeight="1">
      <c r="A468" s="66">
        <v>45479.0</v>
      </c>
      <c r="B468" s="55" t="str">
        <f>HYPERLINK("https://jobright.ai/jobs/info/666ccdc03b7659eebbb4e247?utm_campaign=1051&amp;utm_source=sheet", "Apply")</f>
        <v>Apply</v>
      </c>
      <c r="C468" s="10" t="s">
        <v>16660</v>
      </c>
      <c r="D468" s="56" t="s">
        <v>16661</v>
      </c>
      <c r="E468" s="10" t="s">
        <v>65</v>
      </c>
      <c r="F468" s="10" t="s">
        <v>16662</v>
      </c>
      <c r="G468" s="10" t="s">
        <v>15793</v>
      </c>
      <c r="H468" s="10" t="s">
        <v>434</v>
      </c>
      <c r="I468" s="10" t="s">
        <v>55</v>
      </c>
      <c r="J468" s="10" t="s">
        <v>16667</v>
      </c>
      <c r="K468" s="10" t="s">
        <v>16664</v>
      </c>
      <c r="L468" s="10" t="s">
        <v>42</v>
      </c>
    </row>
    <row r="469" ht="15.75" customHeight="1">
      <c r="A469" s="66">
        <v>45478.0</v>
      </c>
      <c r="B469" s="55" t="str">
        <f>HYPERLINK("https://jobright.ai/jobs/info/66887085fd857308355f3072?utm_campaign=1051&amp;utm_source=sheet", "Apply")</f>
        <v>Apply</v>
      </c>
      <c r="C469" s="10" t="s">
        <v>16668</v>
      </c>
      <c r="D469" s="56" t="s">
        <v>16194</v>
      </c>
      <c r="E469" s="10" t="s">
        <v>249</v>
      </c>
      <c r="F469" s="10" t="s">
        <v>2431</v>
      </c>
      <c r="G469" s="10" t="s">
        <v>15814</v>
      </c>
      <c r="H469" s="10" t="s">
        <v>1041</v>
      </c>
      <c r="I469" s="10" t="s">
        <v>55</v>
      </c>
      <c r="K469" s="10" t="s">
        <v>16669</v>
      </c>
      <c r="L469" s="10" t="s">
        <v>42</v>
      </c>
    </row>
    <row r="470" ht="15.75" customHeight="1">
      <c r="A470" s="66">
        <v>45478.0</v>
      </c>
      <c r="B470" s="55" t="str">
        <f>HYPERLINK("https://jobright.ai/jobs/info/6688504e0abd1339a52504cd?utm_campaign=1051&amp;utm_source=sheet", "Apply")</f>
        <v>Apply</v>
      </c>
      <c r="C470" s="10" t="s">
        <v>15838</v>
      </c>
      <c r="D470" s="56" t="s">
        <v>15839</v>
      </c>
      <c r="E470" s="10">
        <v>4852.0</v>
      </c>
      <c r="G470" s="10" t="s">
        <v>15829</v>
      </c>
      <c r="H470" s="10" t="s">
        <v>1016</v>
      </c>
      <c r="I470" s="10" t="s">
        <v>55</v>
      </c>
      <c r="K470" s="10" t="s">
        <v>15843</v>
      </c>
      <c r="L470" s="10" t="s">
        <v>42</v>
      </c>
    </row>
    <row r="471" ht="15.75" customHeight="1">
      <c r="A471" s="66">
        <v>45478.0</v>
      </c>
      <c r="B471" s="55" t="str">
        <f>HYPERLINK("https://jobright.ai/jobs/info/66884426332fa18800f3f96c?utm_campaign=1051&amp;utm_source=sheet", "Apply")</f>
        <v>Apply</v>
      </c>
      <c r="C471" s="10" t="s">
        <v>15838</v>
      </c>
      <c r="D471" s="56" t="s">
        <v>15839</v>
      </c>
      <c r="E471" s="10">
        <v>4852.0</v>
      </c>
      <c r="G471" s="10" t="s">
        <v>15829</v>
      </c>
      <c r="H471" s="10" t="s">
        <v>1038</v>
      </c>
      <c r="I471" s="10" t="s">
        <v>55</v>
      </c>
      <c r="K471" s="10" t="s">
        <v>15843</v>
      </c>
      <c r="L471" s="10" t="s">
        <v>42</v>
      </c>
    </row>
    <row r="472" ht="15.75" customHeight="1">
      <c r="A472" s="66">
        <v>45478.0</v>
      </c>
      <c r="B472" s="55" t="str">
        <f>HYPERLINK("https://jobright.ai/jobs/info/66884426332fa18800f3f96d?utm_campaign=1051&amp;utm_source=sheet", "Apply")</f>
        <v>Apply</v>
      </c>
      <c r="C472" s="10" t="s">
        <v>15838</v>
      </c>
      <c r="D472" s="56" t="s">
        <v>15839</v>
      </c>
      <c r="E472" s="10">
        <v>4852.0</v>
      </c>
      <c r="G472" s="10" t="s">
        <v>15829</v>
      </c>
      <c r="H472" s="10" t="s">
        <v>919</v>
      </c>
      <c r="I472" s="10" t="s">
        <v>55</v>
      </c>
      <c r="K472" s="10" t="s">
        <v>15843</v>
      </c>
      <c r="L472" s="10" t="s">
        <v>42</v>
      </c>
    </row>
    <row r="473" ht="15.75" customHeight="1">
      <c r="A473" s="66">
        <v>45478.0</v>
      </c>
      <c r="B473" s="55" t="str">
        <f>HYPERLINK("https://jobright.ai/jobs/info/66884426332fa18800f3f96f?utm_campaign=1051&amp;utm_source=sheet", "Apply")</f>
        <v>Apply</v>
      </c>
      <c r="C473" s="10" t="s">
        <v>15838</v>
      </c>
      <c r="D473" s="56" t="s">
        <v>15839</v>
      </c>
      <c r="E473" s="10">
        <v>4852.0</v>
      </c>
      <c r="G473" s="10" t="s">
        <v>15829</v>
      </c>
      <c r="H473" s="10" t="s">
        <v>16670</v>
      </c>
      <c r="I473" s="10" t="s">
        <v>55</v>
      </c>
      <c r="J473" s="10" t="s">
        <v>15638</v>
      </c>
      <c r="K473" s="10" t="s">
        <v>15842</v>
      </c>
      <c r="L473" s="10" t="s">
        <v>42</v>
      </c>
    </row>
    <row r="474" ht="15.75" customHeight="1">
      <c r="A474" s="66">
        <v>45478.0</v>
      </c>
      <c r="B474" s="55" t="str">
        <f>HYPERLINK("https://jobright.ai/jobs/info/66884426332fa18800f3f96e?utm_campaign=1051&amp;utm_source=sheet", "Apply")</f>
        <v>Apply</v>
      </c>
      <c r="C474" s="10" t="s">
        <v>15838</v>
      </c>
      <c r="D474" s="56" t="s">
        <v>15839</v>
      </c>
      <c r="E474" s="10">
        <v>4852.0</v>
      </c>
      <c r="G474" s="10" t="s">
        <v>15829</v>
      </c>
      <c r="H474" s="10" t="s">
        <v>11046</v>
      </c>
      <c r="I474" s="10" t="s">
        <v>55</v>
      </c>
      <c r="K474" s="10" t="s">
        <v>15851</v>
      </c>
      <c r="L474" s="10" t="s">
        <v>42</v>
      </c>
    </row>
    <row r="475" ht="15.75" customHeight="1">
      <c r="A475" s="66">
        <v>45478.0</v>
      </c>
      <c r="B475" s="55" t="str">
        <f>HYPERLINK("https://jobright.ai/jobs/info/66884426332fa18800f3f970?utm_campaign=1051&amp;utm_source=sheet", "Apply")</f>
        <v>Apply</v>
      </c>
      <c r="C475" s="10" t="s">
        <v>15838</v>
      </c>
      <c r="D475" s="56" t="s">
        <v>15839</v>
      </c>
      <c r="E475" s="10">
        <v>4852.0</v>
      </c>
      <c r="G475" s="10" t="s">
        <v>15829</v>
      </c>
      <c r="H475" s="10" t="s">
        <v>16671</v>
      </c>
      <c r="I475" s="10" t="s">
        <v>55</v>
      </c>
      <c r="K475" s="10" t="s">
        <v>15843</v>
      </c>
      <c r="L475" s="10" t="s">
        <v>42</v>
      </c>
    </row>
    <row r="476" ht="15.75" customHeight="1">
      <c r="A476" s="66">
        <v>45478.0</v>
      </c>
      <c r="B476" s="55" t="str">
        <f>HYPERLINK("https://jobright.ai/jobs/info/66883d43fff5ac6f3db720f1?utm_campaign=1051&amp;utm_source=sheet", "Apply")</f>
        <v>Apply</v>
      </c>
      <c r="C476" s="10" t="s">
        <v>15838</v>
      </c>
      <c r="D476" s="56" t="s">
        <v>15839</v>
      </c>
      <c r="E476" s="10">
        <v>4852.0</v>
      </c>
      <c r="G476" s="10" t="s">
        <v>15829</v>
      </c>
      <c r="H476" s="10" t="s">
        <v>16672</v>
      </c>
      <c r="I476" s="10" t="s">
        <v>55</v>
      </c>
      <c r="K476" s="10" t="s">
        <v>15840</v>
      </c>
      <c r="L476" s="10" t="s">
        <v>42</v>
      </c>
    </row>
    <row r="477" ht="15.75" customHeight="1">
      <c r="A477" s="66">
        <v>45478.0</v>
      </c>
      <c r="B477" s="55" t="str">
        <f>HYPERLINK("https://jobright.ai/jobs/info/66883d43fff5ac6f3db720ef?utm_campaign=1051&amp;utm_source=sheet", "Apply")</f>
        <v>Apply</v>
      </c>
      <c r="C477" s="10" t="s">
        <v>15838</v>
      </c>
      <c r="D477" s="56" t="s">
        <v>15839</v>
      </c>
      <c r="E477" s="10">
        <v>4852.0</v>
      </c>
      <c r="G477" s="10" t="s">
        <v>15829</v>
      </c>
      <c r="H477" s="10" t="s">
        <v>16673</v>
      </c>
      <c r="I477" s="10" t="s">
        <v>55</v>
      </c>
      <c r="J477" s="10" t="s">
        <v>15873</v>
      </c>
      <c r="K477" s="10" t="s">
        <v>15840</v>
      </c>
      <c r="L477" s="10" t="s">
        <v>42</v>
      </c>
    </row>
    <row r="478" ht="15.75" customHeight="1">
      <c r="A478" s="66">
        <v>45478.0</v>
      </c>
      <c r="B478" s="55" t="str">
        <f>HYPERLINK("https://jobright.ai/jobs/info/66883d43fff5ac6f3db720f0?utm_campaign=1051&amp;utm_source=sheet", "Apply")</f>
        <v>Apply</v>
      </c>
      <c r="C478" s="10" t="s">
        <v>15838</v>
      </c>
      <c r="D478" s="56" t="s">
        <v>15839</v>
      </c>
      <c r="E478" s="10">
        <v>4852.0</v>
      </c>
      <c r="G478" s="10" t="s">
        <v>15829</v>
      </c>
      <c r="H478" s="10" t="s">
        <v>9486</v>
      </c>
      <c r="I478" s="10" t="s">
        <v>55</v>
      </c>
      <c r="K478" s="10" t="s">
        <v>16674</v>
      </c>
      <c r="L478" s="10" t="s">
        <v>42</v>
      </c>
    </row>
    <row r="479" ht="15.75" customHeight="1">
      <c r="A479" s="66">
        <v>45478.0</v>
      </c>
      <c r="B479" s="55" t="str">
        <f>HYPERLINK("https://jobright.ai/jobs/info/66883d43fff5ac6f3db720ee?utm_campaign=1051&amp;utm_source=sheet", "Apply")</f>
        <v>Apply</v>
      </c>
      <c r="C479" s="10" t="s">
        <v>15838</v>
      </c>
      <c r="D479" s="56" t="s">
        <v>15839</v>
      </c>
      <c r="E479" s="10">
        <v>4852.0</v>
      </c>
      <c r="G479" s="10" t="s">
        <v>15829</v>
      </c>
      <c r="H479" s="10" t="s">
        <v>1009</v>
      </c>
      <c r="I479" s="10" t="s">
        <v>55</v>
      </c>
      <c r="K479" s="10" t="s">
        <v>15851</v>
      </c>
      <c r="L479" s="10" t="s">
        <v>42</v>
      </c>
    </row>
    <row r="480" ht="15.75" customHeight="1">
      <c r="A480" s="66">
        <v>45478.0</v>
      </c>
      <c r="B480" s="55" t="str">
        <f>HYPERLINK("https://jobright.ai/jobs/info/66883d43fff5ac6f3db720f4?utm_campaign=1051&amp;utm_source=sheet", "Apply")</f>
        <v>Apply</v>
      </c>
      <c r="C480" s="10" t="s">
        <v>15838</v>
      </c>
      <c r="D480" s="56" t="s">
        <v>15839</v>
      </c>
      <c r="E480" s="10">
        <v>4852.0</v>
      </c>
      <c r="G480" s="10" t="s">
        <v>15829</v>
      </c>
      <c r="H480" s="10" t="s">
        <v>795</v>
      </c>
      <c r="I480" s="10" t="s">
        <v>55</v>
      </c>
      <c r="J480" s="10" t="s">
        <v>15873</v>
      </c>
      <c r="K480" s="10" t="s">
        <v>15840</v>
      </c>
      <c r="L480" s="10" t="s">
        <v>42</v>
      </c>
    </row>
    <row r="481" ht="15.75" customHeight="1">
      <c r="A481" s="66">
        <v>45478.0</v>
      </c>
      <c r="B481" s="55" t="str">
        <f>HYPERLINK("https://jobright.ai/jobs/info/66883d43fff5ac6f3db720f2?utm_campaign=1051&amp;utm_source=sheet", "Apply")</f>
        <v>Apply</v>
      </c>
      <c r="C481" s="10" t="s">
        <v>15838</v>
      </c>
      <c r="D481" s="56" t="s">
        <v>15839</v>
      </c>
      <c r="E481" s="10">
        <v>4852.0</v>
      </c>
      <c r="G481" s="10" t="s">
        <v>15829</v>
      </c>
      <c r="H481" s="10" t="s">
        <v>299</v>
      </c>
      <c r="I481" s="10" t="s">
        <v>55</v>
      </c>
      <c r="K481" s="10" t="s">
        <v>15843</v>
      </c>
      <c r="L481" s="10" t="s">
        <v>42</v>
      </c>
    </row>
    <row r="482" ht="15.75" customHeight="1">
      <c r="A482" s="66">
        <v>45478.0</v>
      </c>
      <c r="B482" s="55" t="str">
        <f>HYPERLINK("https://jobright.ai/jobs/info/66883d43fff5ac6f3db720f3?utm_campaign=1051&amp;utm_source=sheet", "Apply")</f>
        <v>Apply</v>
      </c>
      <c r="C482" s="10" t="s">
        <v>15838</v>
      </c>
      <c r="D482" s="56" t="s">
        <v>15839</v>
      </c>
      <c r="E482" s="10">
        <v>4852.0</v>
      </c>
      <c r="G482" s="10" t="s">
        <v>15829</v>
      </c>
      <c r="H482" s="10" t="s">
        <v>152</v>
      </c>
      <c r="I482" s="10" t="s">
        <v>55</v>
      </c>
      <c r="K482" s="10" t="s">
        <v>15843</v>
      </c>
      <c r="L482" s="10" t="s">
        <v>42</v>
      </c>
    </row>
    <row r="483" ht="15.75" customHeight="1">
      <c r="A483" s="66">
        <v>45478.0</v>
      </c>
      <c r="B483" s="55" t="str">
        <f>HYPERLINK("https://jobright.ai/jobs/info/668859be97a875b115053e1b?utm_campaign=1051&amp;utm_source=sheet", "Apply")</f>
        <v>Apply</v>
      </c>
      <c r="C483" s="10" t="s">
        <v>15838</v>
      </c>
      <c r="D483" s="56" t="s">
        <v>15839</v>
      </c>
      <c r="E483" s="10">
        <v>4852.0</v>
      </c>
      <c r="G483" s="10" t="s">
        <v>15829</v>
      </c>
      <c r="H483" s="10" t="s">
        <v>4279</v>
      </c>
      <c r="I483" s="10" t="s">
        <v>55</v>
      </c>
      <c r="K483" s="10" t="s">
        <v>15843</v>
      </c>
      <c r="L483" s="10" t="s">
        <v>42</v>
      </c>
    </row>
    <row r="484" ht="15.75" customHeight="1">
      <c r="A484" s="66">
        <v>45478.0</v>
      </c>
      <c r="B484" s="55" t="str">
        <f>HYPERLINK("https://jobright.ai/jobs/info/66884ce0e0a9adf406ff5eba?utm_campaign=1051&amp;utm_source=sheet", "Apply")</f>
        <v>Apply</v>
      </c>
      <c r="C484" s="10" t="s">
        <v>15838</v>
      </c>
      <c r="D484" s="56" t="s">
        <v>15839</v>
      </c>
      <c r="E484" s="10">
        <v>4852.0</v>
      </c>
      <c r="G484" s="10" t="s">
        <v>15829</v>
      </c>
      <c r="H484" s="10" t="s">
        <v>9042</v>
      </c>
      <c r="I484" s="10" t="s">
        <v>55</v>
      </c>
      <c r="K484" s="10" t="s">
        <v>15840</v>
      </c>
      <c r="L484" s="10" t="s">
        <v>42</v>
      </c>
    </row>
    <row r="485" ht="15.75" customHeight="1">
      <c r="A485" s="66">
        <v>45478.0</v>
      </c>
      <c r="B485" s="55" t="str">
        <f>HYPERLINK("https://jobright.ai/jobs/info/66884ce0e0a9adf406ff5ebb?utm_campaign=1051&amp;utm_source=sheet", "Apply")</f>
        <v>Apply</v>
      </c>
      <c r="C485" s="10" t="s">
        <v>15838</v>
      </c>
      <c r="D485" s="56" t="s">
        <v>15839</v>
      </c>
      <c r="E485" s="10">
        <v>4852.0</v>
      </c>
      <c r="G485" s="10" t="s">
        <v>15829</v>
      </c>
      <c r="H485" s="10" t="s">
        <v>661</v>
      </c>
      <c r="I485" s="10" t="s">
        <v>55</v>
      </c>
      <c r="K485" s="10" t="s">
        <v>15843</v>
      </c>
      <c r="L485" s="10" t="s">
        <v>42</v>
      </c>
    </row>
    <row r="486" ht="15.75" customHeight="1">
      <c r="A486" s="66">
        <v>45478.0</v>
      </c>
      <c r="B486" s="55" t="str">
        <f>HYPERLINK("https://jobright.ai/jobs/info/66883986564fd29082eb321d?utm_campaign=1051&amp;utm_source=sheet", "Apply")</f>
        <v>Apply</v>
      </c>
      <c r="C486" s="10" t="s">
        <v>15838</v>
      </c>
      <c r="D486" s="56" t="s">
        <v>15839</v>
      </c>
      <c r="E486" s="10">
        <v>4852.0</v>
      </c>
      <c r="G486" s="10" t="s">
        <v>15829</v>
      </c>
      <c r="H486" s="10" t="s">
        <v>863</v>
      </c>
      <c r="I486" s="10" t="s">
        <v>55</v>
      </c>
      <c r="K486" s="10" t="s">
        <v>15843</v>
      </c>
      <c r="L486" s="10" t="s">
        <v>42</v>
      </c>
    </row>
    <row r="487" ht="15.75" customHeight="1">
      <c r="A487" s="66">
        <v>45478.0</v>
      </c>
      <c r="B487" s="55" t="str">
        <f>HYPERLINK("https://jobright.ai/jobs/info/66883986564fd29082eb321c?utm_campaign=1051&amp;utm_source=sheet", "Apply")</f>
        <v>Apply</v>
      </c>
      <c r="C487" s="10" t="s">
        <v>15838</v>
      </c>
      <c r="D487" s="56" t="s">
        <v>15839</v>
      </c>
      <c r="E487" s="10">
        <v>4852.0</v>
      </c>
      <c r="G487" s="10" t="s">
        <v>15829</v>
      </c>
      <c r="H487" s="10" t="s">
        <v>861</v>
      </c>
      <c r="I487" s="10" t="s">
        <v>55</v>
      </c>
      <c r="K487" s="10" t="s">
        <v>15851</v>
      </c>
      <c r="L487" s="10" t="s">
        <v>42</v>
      </c>
    </row>
    <row r="488" ht="15.75" customHeight="1">
      <c r="A488" s="66">
        <v>45478.0</v>
      </c>
      <c r="B488" s="55" t="str">
        <f>HYPERLINK("https://jobright.ai/jobs/info/66883986564fd29082eb321f?utm_campaign=1051&amp;utm_source=sheet", "Apply")</f>
        <v>Apply</v>
      </c>
      <c r="C488" s="10" t="s">
        <v>15838</v>
      </c>
      <c r="D488" s="56" t="s">
        <v>15839</v>
      </c>
      <c r="E488" s="10">
        <v>4852.0</v>
      </c>
      <c r="G488" s="10" t="s">
        <v>15829</v>
      </c>
      <c r="H488" s="10" t="s">
        <v>16675</v>
      </c>
      <c r="I488" s="10" t="s">
        <v>55</v>
      </c>
      <c r="K488" s="10" t="s">
        <v>16676</v>
      </c>
      <c r="L488" s="10" t="s">
        <v>42</v>
      </c>
    </row>
    <row r="489" ht="15.75" customHeight="1">
      <c r="A489" s="66">
        <v>45478.0</v>
      </c>
      <c r="B489" s="55" t="str">
        <f>HYPERLINK("https://jobright.ai/jobs/info/66883986564fd29082eb3220?utm_campaign=1051&amp;utm_source=sheet", "Apply")</f>
        <v>Apply</v>
      </c>
      <c r="C489" s="10" t="s">
        <v>15838</v>
      </c>
      <c r="D489" s="56" t="s">
        <v>15839</v>
      </c>
      <c r="E489" s="10">
        <v>4852.0</v>
      </c>
      <c r="G489" s="10" t="s">
        <v>15829</v>
      </c>
      <c r="H489" s="10" t="s">
        <v>16677</v>
      </c>
      <c r="I489" s="10" t="s">
        <v>55</v>
      </c>
      <c r="K489" s="10" t="s">
        <v>15843</v>
      </c>
      <c r="L489" s="10" t="s">
        <v>42</v>
      </c>
    </row>
    <row r="490" ht="15.75" customHeight="1">
      <c r="A490" s="66">
        <v>45478.0</v>
      </c>
      <c r="B490" s="55" t="str">
        <f>HYPERLINK("https://jobright.ai/jobs/info/66883986564fd29082eb3221?utm_campaign=1051&amp;utm_source=sheet", "Apply")</f>
        <v>Apply</v>
      </c>
      <c r="C490" s="10" t="s">
        <v>15838</v>
      </c>
      <c r="D490" s="56" t="s">
        <v>15839</v>
      </c>
      <c r="E490" s="10">
        <v>4852.0</v>
      </c>
      <c r="G490" s="10" t="s">
        <v>15829</v>
      </c>
      <c r="H490" s="10" t="s">
        <v>16678</v>
      </c>
      <c r="I490" s="10" t="s">
        <v>55</v>
      </c>
      <c r="K490" s="10" t="s">
        <v>15840</v>
      </c>
      <c r="L490" s="10" t="s">
        <v>42</v>
      </c>
    </row>
    <row r="491" ht="15.75" customHeight="1">
      <c r="A491" s="66">
        <v>45478.0</v>
      </c>
      <c r="B491" s="55" t="str">
        <f>HYPERLINK("https://jobright.ai/jobs/info/6688565f33f512031a795ba5?utm_campaign=1051&amp;utm_source=sheet", "Apply")</f>
        <v>Apply</v>
      </c>
      <c r="C491" s="10" t="s">
        <v>15838</v>
      </c>
      <c r="D491" s="56" t="s">
        <v>15839</v>
      </c>
      <c r="E491" s="10">
        <v>4852.0</v>
      </c>
      <c r="G491" s="10" t="s">
        <v>15829</v>
      </c>
      <c r="H491" s="10" t="s">
        <v>846</v>
      </c>
      <c r="I491" s="10" t="s">
        <v>55</v>
      </c>
      <c r="K491" s="10" t="s">
        <v>15851</v>
      </c>
      <c r="L491" s="10" t="s">
        <v>42</v>
      </c>
    </row>
    <row r="492" ht="15.75" customHeight="1">
      <c r="A492" s="66">
        <v>45478.0</v>
      </c>
      <c r="B492" s="55" t="str">
        <f>HYPERLINK("https://jobright.ai/jobs/info/6688565f33f512031a795ba6?utm_campaign=1051&amp;utm_source=sheet", "Apply")</f>
        <v>Apply</v>
      </c>
      <c r="C492" s="10" t="s">
        <v>15838</v>
      </c>
      <c r="D492" s="56" t="s">
        <v>15839</v>
      </c>
      <c r="E492" s="10">
        <v>4852.0</v>
      </c>
      <c r="G492" s="10" t="s">
        <v>15829</v>
      </c>
      <c r="H492" s="10" t="s">
        <v>1047</v>
      </c>
      <c r="I492" s="10" t="s">
        <v>55</v>
      </c>
      <c r="K492" s="10" t="s">
        <v>15843</v>
      </c>
      <c r="L492" s="10" t="s">
        <v>42</v>
      </c>
    </row>
    <row r="493" ht="15.75" customHeight="1">
      <c r="A493" s="66">
        <v>45478.0</v>
      </c>
      <c r="B493" s="55" t="str">
        <f>HYPERLINK("https://jobright.ai/jobs/info/668848a0f10da03f07e99430?utm_campaign=1051&amp;utm_source=sheet", "Apply")</f>
        <v>Apply</v>
      </c>
      <c r="C493" s="10" t="s">
        <v>15838</v>
      </c>
      <c r="D493" s="56" t="s">
        <v>15839</v>
      </c>
      <c r="E493" s="10">
        <v>4852.0</v>
      </c>
      <c r="G493" s="10" t="s">
        <v>15829</v>
      </c>
      <c r="H493" s="10" t="s">
        <v>607</v>
      </c>
      <c r="I493" s="10" t="s">
        <v>55</v>
      </c>
      <c r="K493" s="10" t="s">
        <v>16674</v>
      </c>
      <c r="L493" s="10" t="s">
        <v>42</v>
      </c>
    </row>
    <row r="494" ht="15.75" customHeight="1">
      <c r="A494" s="66">
        <v>45478.0</v>
      </c>
      <c r="B494" s="55" t="str">
        <f>HYPERLINK("https://jobright.ai/jobs/info/66882a8fc80c9fe0516253fe?utm_campaign=1051&amp;utm_source=sheet", "Apply")</f>
        <v>Apply</v>
      </c>
      <c r="C494" s="10" t="s">
        <v>15838</v>
      </c>
      <c r="D494" s="56" t="s">
        <v>15839</v>
      </c>
      <c r="E494" s="10">
        <v>4852.0</v>
      </c>
      <c r="G494" s="10" t="s">
        <v>15829</v>
      </c>
      <c r="H494" s="10" t="s">
        <v>971</v>
      </c>
      <c r="I494" s="10" t="s">
        <v>55</v>
      </c>
      <c r="K494" s="10" t="s">
        <v>15851</v>
      </c>
      <c r="L494" s="10" t="s">
        <v>42</v>
      </c>
    </row>
    <row r="495" ht="15.75" customHeight="1">
      <c r="A495" s="66">
        <v>45478.0</v>
      </c>
      <c r="B495" s="55" t="str">
        <f>HYPERLINK("https://jobright.ai/jobs/info/66882a8fc80c9fe0516253ff?utm_campaign=1051&amp;utm_source=sheet", "Apply")</f>
        <v>Apply</v>
      </c>
      <c r="C495" s="10" t="s">
        <v>15838</v>
      </c>
      <c r="D495" s="56" t="s">
        <v>15839</v>
      </c>
      <c r="E495" s="10">
        <v>4852.0</v>
      </c>
      <c r="G495" s="10" t="s">
        <v>15829</v>
      </c>
      <c r="H495" s="10" t="s">
        <v>10777</v>
      </c>
      <c r="I495" s="10" t="s">
        <v>55</v>
      </c>
      <c r="K495" s="10" t="s">
        <v>15843</v>
      </c>
      <c r="L495" s="10" t="s">
        <v>42</v>
      </c>
    </row>
    <row r="496" ht="15.75" customHeight="1">
      <c r="A496" s="66">
        <v>45478.0</v>
      </c>
      <c r="B496" s="55" t="str">
        <f>HYPERLINK("https://jobright.ai/jobs/info/66882a8fc80c9fe051625405?utm_campaign=1051&amp;utm_source=sheet", "Apply")</f>
        <v>Apply</v>
      </c>
      <c r="C496" s="10" t="s">
        <v>15838</v>
      </c>
      <c r="D496" s="56" t="s">
        <v>15839</v>
      </c>
      <c r="E496" s="10">
        <v>4852.0</v>
      </c>
      <c r="G496" s="10" t="s">
        <v>15829</v>
      </c>
      <c r="H496" s="10" t="s">
        <v>1007</v>
      </c>
      <c r="I496" s="10" t="s">
        <v>55</v>
      </c>
      <c r="J496" s="10" t="s">
        <v>15638</v>
      </c>
      <c r="K496" s="10" t="s">
        <v>15842</v>
      </c>
      <c r="L496" s="10" t="s">
        <v>42</v>
      </c>
    </row>
    <row r="497" ht="15.75" customHeight="1">
      <c r="A497" s="66">
        <v>45478.0</v>
      </c>
      <c r="B497" s="55" t="str">
        <f>HYPERLINK("https://jobright.ai/jobs/info/66882a8fc80c9fe051625400?utm_campaign=1051&amp;utm_source=sheet", "Apply")</f>
        <v>Apply</v>
      </c>
      <c r="C497" s="10" t="s">
        <v>15838</v>
      </c>
      <c r="D497" s="56" t="s">
        <v>15839</v>
      </c>
      <c r="E497" s="10">
        <v>4852.0</v>
      </c>
      <c r="G497" s="10" t="s">
        <v>15829</v>
      </c>
      <c r="H497" s="10" t="s">
        <v>16679</v>
      </c>
      <c r="I497" s="10" t="s">
        <v>55</v>
      </c>
      <c r="K497" s="10" t="s">
        <v>15843</v>
      </c>
      <c r="L497" s="10" t="s">
        <v>42</v>
      </c>
    </row>
    <row r="498" ht="15.75" customHeight="1">
      <c r="A498" s="66">
        <v>45478.0</v>
      </c>
      <c r="B498" s="55" t="str">
        <f>HYPERLINK("https://jobright.ai/jobs/info/66882a8fc80c9fe051625404?utm_campaign=1051&amp;utm_source=sheet", "Apply")</f>
        <v>Apply</v>
      </c>
      <c r="C498" s="10" t="s">
        <v>15838</v>
      </c>
      <c r="D498" s="56" t="s">
        <v>15839</v>
      </c>
      <c r="E498" s="10">
        <v>4852.0</v>
      </c>
      <c r="G498" s="10" t="s">
        <v>15829</v>
      </c>
      <c r="H498" s="10" t="s">
        <v>16680</v>
      </c>
      <c r="I498" s="10" t="s">
        <v>55</v>
      </c>
      <c r="K498" s="10" t="s">
        <v>15851</v>
      </c>
      <c r="L498" s="10" t="s">
        <v>42</v>
      </c>
    </row>
    <row r="499" ht="15.75" customHeight="1">
      <c r="A499" s="66">
        <v>45478.0</v>
      </c>
      <c r="B499" s="55" t="str">
        <f>HYPERLINK("https://jobright.ai/jobs/info/66882a8fc80c9fe051625402?utm_campaign=1051&amp;utm_source=sheet", "Apply")</f>
        <v>Apply</v>
      </c>
      <c r="C499" s="10" t="s">
        <v>15838</v>
      </c>
      <c r="D499" s="56" t="s">
        <v>15839</v>
      </c>
      <c r="E499" s="10">
        <v>4852.0</v>
      </c>
      <c r="G499" s="10" t="s">
        <v>15829</v>
      </c>
      <c r="H499" s="10" t="s">
        <v>4897</v>
      </c>
      <c r="I499" s="10" t="s">
        <v>55</v>
      </c>
      <c r="J499" s="10" t="s">
        <v>16681</v>
      </c>
      <c r="K499" s="10" t="s">
        <v>15840</v>
      </c>
      <c r="L499" s="10" t="s">
        <v>42</v>
      </c>
    </row>
    <row r="500" ht="15.75" customHeight="1">
      <c r="A500" s="66">
        <v>45478.0</v>
      </c>
      <c r="B500" s="55" t="str">
        <f>HYPERLINK("https://jobright.ai/jobs/info/66882a8fc80c9fe051625401?utm_campaign=1051&amp;utm_source=sheet", "Apply")</f>
        <v>Apply</v>
      </c>
      <c r="C500" s="10" t="s">
        <v>15838</v>
      </c>
      <c r="D500" s="56" t="s">
        <v>15839</v>
      </c>
      <c r="E500" s="10">
        <v>4852.0</v>
      </c>
      <c r="G500" s="10" t="s">
        <v>15829</v>
      </c>
      <c r="H500" s="10" t="s">
        <v>16682</v>
      </c>
      <c r="I500" s="10" t="s">
        <v>55</v>
      </c>
      <c r="K500" s="10" t="s">
        <v>15851</v>
      </c>
      <c r="L500" s="10" t="s">
        <v>42</v>
      </c>
    </row>
    <row r="501" ht="15.75" customHeight="1">
      <c r="A501" s="66">
        <v>45478.0</v>
      </c>
      <c r="B501" s="55" t="str">
        <f>HYPERLINK("https://jobright.ai/jobs/info/66882a8fc80c9fe051625403?utm_campaign=1051&amp;utm_source=sheet", "Apply")</f>
        <v>Apply</v>
      </c>
      <c r="C501" s="10" t="s">
        <v>15838</v>
      </c>
      <c r="D501" s="56" t="s">
        <v>15839</v>
      </c>
      <c r="E501" s="10">
        <v>4852.0</v>
      </c>
      <c r="G501" s="10" t="s">
        <v>15829</v>
      </c>
      <c r="H501" s="10" t="s">
        <v>16683</v>
      </c>
      <c r="I501" s="10" t="s">
        <v>55</v>
      </c>
      <c r="K501" s="10" t="s">
        <v>15843</v>
      </c>
      <c r="L501" s="10" t="s">
        <v>42</v>
      </c>
    </row>
    <row r="502" ht="15.75" customHeight="1">
      <c r="A502" s="66">
        <v>45478.0</v>
      </c>
      <c r="B502" s="55" t="str">
        <f>HYPERLINK("https://jobright.ai/jobs/info/66882a8fc80c9fe051625407?utm_campaign=1051&amp;utm_source=sheet", "Apply")</f>
        <v>Apply</v>
      </c>
      <c r="C502" s="10" t="s">
        <v>15838</v>
      </c>
      <c r="D502" s="56" t="s">
        <v>15839</v>
      </c>
      <c r="E502" s="10">
        <v>4852.0</v>
      </c>
      <c r="G502" s="10" t="s">
        <v>15829</v>
      </c>
      <c r="H502" s="10" t="s">
        <v>3387</v>
      </c>
      <c r="I502" s="10" t="s">
        <v>55</v>
      </c>
      <c r="K502" s="10" t="s">
        <v>15843</v>
      </c>
      <c r="L502" s="10" t="s">
        <v>42</v>
      </c>
    </row>
    <row r="503" ht="15.75" customHeight="1">
      <c r="A503" s="66">
        <v>45478.0</v>
      </c>
      <c r="B503" s="55" t="str">
        <f>HYPERLINK("https://jobright.ai/jobs/info/66882a8fc80c9fe051625408?utm_campaign=1051&amp;utm_source=sheet", "Apply")</f>
        <v>Apply</v>
      </c>
      <c r="C503" s="10" t="s">
        <v>15838</v>
      </c>
      <c r="D503" s="56" t="s">
        <v>15839</v>
      </c>
      <c r="E503" s="10">
        <v>4852.0</v>
      </c>
      <c r="G503" s="10" t="s">
        <v>15829</v>
      </c>
      <c r="H503" s="10" t="s">
        <v>938</v>
      </c>
      <c r="I503" s="10" t="s">
        <v>55</v>
      </c>
      <c r="K503" s="10" t="s">
        <v>15851</v>
      </c>
      <c r="L503" s="10" t="s">
        <v>42</v>
      </c>
    </row>
    <row r="504" ht="15.75" customHeight="1">
      <c r="A504" s="66">
        <v>45478.0</v>
      </c>
      <c r="B504" s="55" t="str">
        <f>HYPERLINK("https://jobright.ai/jobs/info/66882a8fc80c9fe051625406?utm_campaign=1051&amp;utm_source=sheet", "Apply")</f>
        <v>Apply</v>
      </c>
      <c r="C504" s="10" t="s">
        <v>15838</v>
      </c>
      <c r="D504" s="56" t="s">
        <v>15839</v>
      </c>
      <c r="E504" s="10">
        <v>4852.0</v>
      </c>
      <c r="G504" s="10" t="s">
        <v>15829</v>
      </c>
      <c r="H504" s="10" t="s">
        <v>16684</v>
      </c>
      <c r="I504" s="10" t="s">
        <v>55</v>
      </c>
      <c r="K504" s="10" t="s">
        <v>15843</v>
      </c>
      <c r="L504" s="10" t="s">
        <v>42</v>
      </c>
    </row>
    <row r="505" ht="15.75" customHeight="1">
      <c r="A505" s="66">
        <v>45478.0</v>
      </c>
      <c r="B505" s="55" t="str">
        <f>HYPERLINK("https://jobright.ai/jobs/info/66882a8fc80c9fe051625409?utm_campaign=1051&amp;utm_source=sheet", "Apply")</f>
        <v>Apply</v>
      </c>
      <c r="C505" s="10" t="s">
        <v>15838</v>
      </c>
      <c r="D505" s="56" t="s">
        <v>15839</v>
      </c>
      <c r="E505" s="10">
        <v>4852.0</v>
      </c>
      <c r="G505" s="10" t="s">
        <v>15829</v>
      </c>
      <c r="H505" s="10" t="s">
        <v>278</v>
      </c>
      <c r="I505" s="10" t="s">
        <v>55</v>
      </c>
      <c r="K505" s="10" t="s">
        <v>15843</v>
      </c>
      <c r="L505" s="10" t="s">
        <v>42</v>
      </c>
    </row>
    <row r="506" ht="15.75" customHeight="1">
      <c r="A506" s="66">
        <v>45478.0</v>
      </c>
      <c r="B506" s="55" t="str">
        <f>HYPERLINK("https://jobright.ai/jobs/info/66882a8fc80c9fe05162540a?utm_campaign=1051&amp;utm_source=sheet", "Apply")</f>
        <v>Apply</v>
      </c>
      <c r="C506" s="10" t="s">
        <v>15838</v>
      </c>
      <c r="D506" s="56" t="s">
        <v>15839</v>
      </c>
      <c r="E506" s="10">
        <v>4852.0</v>
      </c>
      <c r="G506" s="10" t="s">
        <v>15829</v>
      </c>
      <c r="H506" s="10" t="s">
        <v>902</v>
      </c>
      <c r="I506" s="10" t="s">
        <v>55</v>
      </c>
      <c r="K506" s="10" t="s">
        <v>15843</v>
      </c>
      <c r="L506" s="10" t="s">
        <v>42</v>
      </c>
    </row>
    <row r="507" ht="15.75" customHeight="1">
      <c r="A507" s="66">
        <v>45478.0</v>
      </c>
      <c r="B507" s="55" t="str">
        <f>HYPERLINK("https://jobright.ai/jobs/info/66882a8fc80c9fe05162540b?utm_campaign=1051&amp;utm_source=sheet", "Apply")</f>
        <v>Apply</v>
      </c>
      <c r="C507" s="10" t="s">
        <v>15838</v>
      </c>
      <c r="D507" s="56" t="s">
        <v>15839</v>
      </c>
      <c r="E507" s="10">
        <v>4852.0</v>
      </c>
      <c r="G507" s="10" t="s">
        <v>15829</v>
      </c>
      <c r="H507" s="10" t="s">
        <v>1352</v>
      </c>
      <c r="I507" s="10" t="s">
        <v>55</v>
      </c>
      <c r="K507" s="10" t="s">
        <v>15843</v>
      </c>
      <c r="L507" s="10" t="s">
        <v>42</v>
      </c>
    </row>
    <row r="508" ht="15.75" customHeight="1">
      <c r="A508" s="66">
        <v>45478.0</v>
      </c>
      <c r="B508" s="55" t="str">
        <f>HYPERLINK("https://jobright.ai/jobs/info/668835b8bc9ee9c419e9a08d?utm_campaign=1051&amp;utm_source=sheet", "Apply")</f>
        <v>Apply</v>
      </c>
      <c r="C508" s="10" t="s">
        <v>15838</v>
      </c>
      <c r="D508" s="56" t="s">
        <v>15839</v>
      </c>
      <c r="E508" s="10">
        <v>4852.0</v>
      </c>
      <c r="G508" s="10" t="s">
        <v>15829</v>
      </c>
      <c r="H508" s="10" t="s">
        <v>5845</v>
      </c>
      <c r="I508" s="10" t="s">
        <v>55</v>
      </c>
      <c r="J508" s="10" t="s">
        <v>15638</v>
      </c>
      <c r="K508" s="10" t="s">
        <v>15961</v>
      </c>
      <c r="L508" s="10" t="s">
        <v>42</v>
      </c>
    </row>
    <row r="509" ht="15.75" customHeight="1">
      <c r="A509" s="66">
        <v>45478.0</v>
      </c>
      <c r="B509" s="55" t="str">
        <f>HYPERLINK("https://jobright.ai/jobs/info/668835b8bc9ee9c419e9a091?utm_campaign=1051&amp;utm_source=sheet", "Apply")</f>
        <v>Apply</v>
      </c>
      <c r="C509" s="10" t="s">
        <v>15838</v>
      </c>
      <c r="D509" s="56" t="s">
        <v>15839</v>
      </c>
      <c r="E509" s="10">
        <v>4852.0</v>
      </c>
      <c r="G509" s="10" t="s">
        <v>15829</v>
      </c>
      <c r="H509" s="10" t="s">
        <v>8727</v>
      </c>
      <c r="I509" s="10" t="s">
        <v>55</v>
      </c>
      <c r="K509" s="10" t="s">
        <v>15840</v>
      </c>
      <c r="L509" s="10" t="s">
        <v>42</v>
      </c>
    </row>
    <row r="510" ht="15.75" customHeight="1">
      <c r="A510" s="66">
        <v>45478.0</v>
      </c>
      <c r="B510" s="55" t="str">
        <f>HYPERLINK("https://jobright.ai/jobs/info/668835b8bc9ee9c419e9a08e?utm_campaign=1051&amp;utm_source=sheet", "Apply")</f>
        <v>Apply</v>
      </c>
      <c r="C510" s="10" t="s">
        <v>15838</v>
      </c>
      <c r="D510" s="56" t="s">
        <v>15839</v>
      </c>
      <c r="E510" s="10">
        <v>4852.0</v>
      </c>
      <c r="G510" s="10" t="s">
        <v>15829</v>
      </c>
      <c r="H510" s="10" t="s">
        <v>16685</v>
      </c>
      <c r="I510" s="10" t="s">
        <v>55</v>
      </c>
      <c r="K510" s="10" t="s">
        <v>15843</v>
      </c>
      <c r="L510" s="10" t="s">
        <v>42</v>
      </c>
    </row>
    <row r="511" ht="15.75" customHeight="1">
      <c r="A511" s="66">
        <v>45478.0</v>
      </c>
      <c r="B511" s="55" t="str">
        <f>HYPERLINK("https://jobright.ai/jobs/info/668835b8bc9ee9c419e9a090?utm_campaign=1051&amp;utm_source=sheet", "Apply")</f>
        <v>Apply</v>
      </c>
      <c r="C511" s="10" t="s">
        <v>15838</v>
      </c>
      <c r="D511" s="56" t="s">
        <v>15839</v>
      </c>
      <c r="E511" s="10">
        <v>4852.0</v>
      </c>
      <c r="G511" s="10" t="s">
        <v>15829</v>
      </c>
      <c r="H511" s="10" t="s">
        <v>910</v>
      </c>
      <c r="I511" s="10" t="s">
        <v>55</v>
      </c>
      <c r="K511" s="10" t="s">
        <v>15840</v>
      </c>
      <c r="L511" s="10" t="s">
        <v>42</v>
      </c>
    </row>
    <row r="512" ht="15.75" customHeight="1">
      <c r="A512" s="66">
        <v>45478.0</v>
      </c>
      <c r="B512" s="55" t="str">
        <f>HYPERLINK("https://jobright.ai/jobs/info/668835b8bc9ee9c419e9a08f?utm_campaign=1051&amp;utm_source=sheet", "Apply")</f>
        <v>Apply</v>
      </c>
      <c r="C512" s="10" t="s">
        <v>15838</v>
      </c>
      <c r="D512" s="56" t="s">
        <v>15839</v>
      </c>
      <c r="E512" s="10">
        <v>4852.0</v>
      </c>
      <c r="G512" s="10" t="s">
        <v>15829</v>
      </c>
      <c r="H512" s="10" t="s">
        <v>11445</v>
      </c>
      <c r="I512" s="10" t="s">
        <v>55</v>
      </c>
      <c r="K512" s="10" t="s">
        <v>15843</v>
      </c>
      <c r="L512" s="10" t="s">
        <v>42</v>
      </c>
    </row>
    <row r="513" ht="15.75" customHeight="1">
      <c r="A513" s="66">
        <v>45478.0</v>
      </c>
      <c r="B513" s="55" t="str">
        <f>HYPERLINK("https://jobright.ai/jobs/info/668831d3267b613d19e45ccf?utm_campaign=1051&amp;utm_source=sheet", "Apply")</f>
        <v>Apply</v>
      </c>
      <c r="C513" s="10" t="s">
        <v>15838</v>
      </c>
      <c r="D513" s="56" t="s">
        <v>15839</v>
      </c>
      <c r="E513" s="10">
        <v>4852.0</v>
      </c>
      <c r="G513" s="10" t="s">
        <v>15829</v>
      </c>
      <c r="H513" s="10" t="s">
        <v>828</v>
      </c>
      <c r="I513" s="10" t="s">
        <v>55</v>
      </c>
      <c r="K513" s="10" t="s">
        <v>15840</v>
      </c>
      <c r="L513" s="10" t="s">
        <v>42</v>
      </c>
    </row>
    <row r="514" ht="15.75" customHeight="1">
      <c r="A514" s="66">
        <v>45478.0</v>
      </c>
      <c r="B514" s="55" t="str">
        <f>HYPERLINK("https://jobright.ai/jobs/info/668835b8bc9ee9c419e9a092?utm_campaign=1051&amp;utm_source=sheet", "Apply")</f>
        <v>Apply</v>
      </c>
      <c r="C514" s="10" t="s">
        <v>15838</v>
      </c>
      <c r="D514" s="56" t="s">
        <v>15839</v>
      </c>
      <c r="E514" s="10">
        <v>4852.0</v>
      </c>
      <c r="G514" s="10" t="s">
        <v>15829</v>
      </c>
      <c r="H514" s="10" t="s">
        <v>1006</v>
      </c>
      <c r="I514" s="10" t="s">
        <v>55</v>
      </c>
      <c r="J514" s="10" t="s">
        <v>16147</v>
      </c>
      <c r="K514" s="10" t="s">
        <v>15961</v>
      </c>
      <c r="L514" s="10" t="s">
        <v>42</v>
      </c>
    </row>
    <row r="515" ht="15.75" customHeight="1">
      <c r="A515" s="66">
        <v>45478.0</v>
      </c>
      <c r="B515" s="55" t="str">
        <f>HYPERLINK("https://jobright.ai/jobs/info/668835b8bc9ee9c419e9a094?utm_campaign=1051&amp;utm_source=sheet", "Apply")</f>
        <v>Apply</v>
      </c>
      <c r="C515" s="10" t="s">
        <v>15838</v>
      </c>
      <c r="D515" s="56" t="s">
        <v>15839</v>
      </c>
      <c r="E515" s="10">
        <v>4852.0</v>
      </c>
      <c r="G515" s="10" t="s">
        <v>15829</v>
      </c>
      <c r="H515" s="10" t="s">
        <v>988</v>
      </c>
      <c r="I515" s="10" t="s">
        <v>55</v>
      </c>
      <c r="K515" s="10" t="s">
        <v>15843</v>
      </c>
      <c r="L515" s="10" t="s">
        <v>42</v>
      </c>
    </row>
    <row r="516" ht="15.75" customHeight="1">
      <c r="A516" s="66">
        <v>45478.0</v>
      </c>
      <c r="B516" s="55" t="str">
        <f>HYPERLINK("https://jobright.ai/jobs/info/668835b8bc9ee9c419e9a093?utm_campaign=1051&amp;utm_source=sheet", "Apply")</f>
        <v>Apply</v>
      </c>
      <c r="C516" s="10" t="s">
        <v>15838</v>
      </c>
      <c r="D516" s="56" t="s">
        <v>15839</v>
      </c>
      <c r="E516" s="10">
        <v>4852.0</v>
      </c>
      <c r="G516" s="10" t="s">
        <v>15829</v>
      </c>
      <c r="H516" s="10" t="s">
        <v>6501</v>
      </c>
      <c r="I516" s="10" t="s">
        <v>55</v>
      </c>
      <c r="K516" s="10" t="s">
        <v>15840</v>
      </c>
      <c r="L516" s="10" t="s">
        <v>42</v>
      </c>
    </row>
    <row r="517" ht="15.75" customHeight="1">
      <c r="A517" s="66">
        <v>45478.0</v>
      </c>
      <c r="B517" s="55" t="str">
        <f>HYPERLINK("https://jobright.ai/jobs/info/668831d3267b613d19e45cd6?utm_campaign=1051&amp;utm_source=sheet", "Apply")</f>
        <v>Apply</v>
      </c>
      <c r="C517" s="10" t="s">
        <v>15838</v>
      </c>
      <c r="D517" s="56" t="s">
        <v>15839</v>
      </c>
      <c r="E517" s="10">
        <v>4852.0</v>
      </c>
      <c r="G517" s="10" t="s">
        <v>15829</v>
      </c>
      <c r="H517" s="10" t="s">
        <v>16686</v>
      </c>
      <c r="I517" s="10" t="s">
        <v>55</v>
      </c>
      <c r="K517" s="10" t="s">
        <v>15843</v>
      </c>
      <c r="L517" s="10" t="s">
        <v>42</v>
      </c>
    </row>
    <row r="518" ht="15.75" customHeight="1">
      <c r="A518" s="66">
        <v>45478.0</v>
      </c>
      <c r="B518" s="55" t="str">
        <f>HYPERLINK("https://jobright.ai/jobs/info/668831d3267b613d19e45cd7?utm_campaign=1051&amp;utm_source=sheet", "Apply")</f>
        <v>Apply</v>
      </c>
      <c r="C518" s="10" t="s">
        <v>15838</v>
      </c>
      <c r="D518" s="56" t="s">
        <v>15839</v>
      </c>
      <c r="E518" s="10">
        <v>4852.0</v>
      </c>
      <c r="G518" s="10" t="s">
        <v>15829</v>
      </c>
      <c r="H518" s="10" t="s">
        <v>867</v>
      </c>
      <c r="I518" s="10" t="s">
        <v>55</v>
      </c>
      <c r="J518" s="10" t="s">
        <v>15638</v>
      </c>
      <c r="K518" s="10" t="s">
        <v>15961</v>
      </c>
      <c r="L518" s="10" t="s">
        <v>42</v>
      </c>
    </row>
    <row r="519" ht="15.75" customHeight="1">
      <c r="A519" s="66">
        <v>45478.0</v>
      </c>
      <c r="B519" s="55" t="str">
        <f>HYPERLINK("https://jobright.ai/jobs/info/668831d3267b613d19e45cd5?utm_campaign=1051&amp;utm_source=sheet", "Apply")</f>
        <v>Apply</v>
      </c>
      <c r="C519" s="10" t="s">
        <v>15838</v>
      </c>
      <c r="D519" s="56" t="s">
        <v>15839</v>
      </c>
      <c r="E519" s="10">
        <v>4852.0</v>
      </c>
      <c r="G519" s="10" t="s">
        <v>15829</v>
      </c>
      <c r="H519" s="10" t="s">
        <v>16687</v>
      </c>
      <c r="I519" s="10" t="s">
        <v>55</v>
      </c>
      <c r="K519" s="10" t="s">
        <v>16674</v>
      </c>
      <c r="L519" s="10" t="s">
        <v>42</v>
      </c>
    </row>
    <row r="520" ht="15.75" customHeight="1">
      <c r="A520" s="66">
        <v>45478.0</v>
      </c>
      <c r="B520" s="55" t="str">
        <f>HYPERLINK("https://jobright.ai/jobs/info/668831d3267b613d19e45cd1?utm_campaign=1051&amp;utm_source=sheet", "Apply")</f>
        <v>Apply</v>
      </c>
      <c r="C520" s="10" t="s">
        <v>15838</v>
      </c>
      <c r="D520" s="56" t="s">
        <v>15839</v>
      </c>
      <c r="E520" s="10">
        <v>4852.0</v>
      </c>
      <c r="G520" s="10" t="s">
        <v>15829</v>
      </c>
      <c r="H520" s="10" t="s">
        <v>866</v>
      </c>
      <c r="I520" s="10" t="s">
        <v>55</v>
      </c>
      <c r="K520" s="10" t="s">
        <v>15840</v>
      </c>
      <c r="L520" s="10" t="s">
        <v>42</v>
      </c>
    </row>
    <row r="521" ht="15.75" customHeight="1">
      <c r="A521" s="66">
        <v>45478.0</v>
      </c>
      <c r="B521" s="55" t="str">
        <f>HYPERLINK("https://jobright.ai/jobs/info/668835b8bc9ee9c419e9a095?utm_campaign=1051&amp;utm_source=sheet", "Apply")</f>
        <v>Apply</v>
      </c>
      <c r="C521" s="10" t="s">
        <v>15838</v>
      </c>
      <c r="D521" s="56" t="s">
        <v>15839</v>
      </c>
      <c r="E521" s="10">
        <v>4852.0</v>
      </c>
      <c r="G521" s="10" t="s">
        <v>15829</v>
      </c>
      <c r="H521" s="10" t="s">
        <v>1014</v>
      </c>
      <c r="I521" s="10" t="s">
        <v>55</v>
      </c>
      <c r="K521" s="10" t="s">
        <v>15843</v>
      </c>
      <c r="L521" s="10" t="s">
        <v>42</v>
      </c>
    </row>
    <row r="522" ht="15.75" customHeight="1">
      <c r="A522" s="66">
        <v>45478.0</v>
      </c>
      <c r="B522" s="55" t="str">
        <f>HYPERLINK("https://jobright.ai/jobs/info/668831d3267b613d19e45cd2?utm_campaign=1051&amp;utm_source=sheet", "Apply")</f>
        <v>Apply</v>
      </c>
      <c r="C522" s="10" t="s">
        <v>15838</v>
      </c>
      <c r="D522" s="56" t="s">
        <v>15839</v>
      </c>
      <c r="E522" s="10">
        <v>4852.0</v>
      </c>
      <c r="G522" s="10" t="s">
        <v>15829</v>
      </c>
      <c r="H522" s="10" t="s">
        <v>16688</v>
      </c>
      <c r="I522" s="10" t="s">
        <v>55</v>
      </c>
      <c r="K522" s="10" t="s">
        <v>15840</v>
      </c>
      <c r="L522" s="10" t="s">
        <v>42</v>
      </c>
    </row>
    <row r="523" ht="15.75" customHeight="1">
      <c r="A523" s="66">
        <v>45478.0</v>
      </c>
      <c r="B523" s="55" t="str">
        <f>HYPERLINK("https://jobright.ai/jobs/info/668831d3267b613d19e45cd0?utm_campaign=1051&amp;utm_source=sheet", "Apply")</f>
        <v>Apply</v>
      </c>
      <c r="C523" s="10" t="s">
        <v>15838</v>
      </c>
      <c r="D523" s="56" t="s">
        <v>15839</v>
      </c>
      <c r="E523" s="10">
        <v>4852.0</v>
      </c>
      <c r="G523" s="10" t="s">
        <v>15829</v>
      </c>
      <c r="H523" s="10" t="s">
        <v>15417</v>
      </c>
      <c r="I523" s="10" t="s">
        <v>55</v>
      </c>
      <c r="K523" s="10" t="s">
        <v>15851</v>
      </c>
      <c r="L523" s="10" t="s">
        <v>42</v>
      </c>
    </row>
    <row r="524" ht="15.75" customHeight="1">
      <c r="A524" s="66">
        <v>45478.0</v>
      </c>
      <c r="B524" s="55" t="str">
        <f>HYPERLINK("https://jobright.ai/jobs/info/668831d3267b613d19e45cd4?utm_campaign=1051&amp;utm_source=sheet", "Apply")</f>
        <v>Apply</v>
      </c>
      <c r="C524" s="10" t="s">
        <v>15838</v>
      </c>
      <c r="D524" s="56" t="s">
        <v>15839</v>
      </c>
      <c r="E524" s="10">
        <v>4852.0</v>
      </c>
      <c r="G524" s="10" t="s">
        <v>15829</v>
      </c>
      <c r="H524" s="10" t="s">
        <v>914</v>
      </c>
      <c r="I524" s="10" t="s">
        <v>55</v>
      </c>
      <c r="K524" s="10" t="s">
        <v>15840</v>
      </c>
      <c r="L524" s="10" t="s">
        <v>42</v>
      </c>
    </row>
    <row r="525" ht="15.75" customHeight="1">
      <c r="A525" s="66">
        <v>45478.0</v>
      </c>
      <c r="B525" s="55" t="str">
        <f>HYPERLINK("https://jobright.ai/jobs/info/668831d3267b613d19e45cd3?utm_campaign=1051&amp;utm_source=sheet", "Apply")</f>
        <v>Apply</v>
      </c>
      <c r="C525" s="10" t="s">
        <v>15838</v>
      </c>
      <c r="D525" s="56" t="s">
        <v>15839</v>
      </c>
      <c r="E525" s="10">
        <v>4852.0</v>
      </c>
      <c r="G525" s="10" t="s">
        <v>15829</v>
      </c>
      <c r="H525" s="10" t="s">
        <v>868</v>
      </c>
      <c r="I525" s="10" t="s">
        <v>55</v>
      </c>
      <c r="K525" s="10" t="s">
        <v>15843</v>
      </c>
      <c r="L525" s="10" t="s">
        <v>42</v>
      </c>
    </row>
    <row r="526" ht="15.75" customHeight="1">
      <c r="A526" s="66">
        <v>45478.0</v>
      </c>
      <c r="B526" s="55" t="str">
        <f>HYPERLINK("https://jobright.ai/jobs/info/668831dd267b613d19e45cdc?utm_campaign=1051&amp;utm_source=sheet", "Apply")</f>
        <v>Apply</v>
      </c>
      <c r="C526" s="10" t="s">
        <v>15838</v>
      </c>
      <c r="D526" s="56" t="s">
        <v>15839</v>
      </c>
      <c r="E526" s="10">
        <v>4852.0</v>
      </c>
      <c r="G526" s="10" t="s">
        <v>15829</v>
      </c>
      <c r="H526" s="10" t="s">
        <v>1023</v>
      </c>
      <c r="I526" s="10" t="s">
        <v>55</v>
      </c>
      <c r="K526" s="10" t="s">
        <v>15840</v>
      </c>
      <c r="L526" s="10" t="s">
        <v>42</v>
      </c>
    </row>
    <row r="527" ht="15.75" customHeight="1">
      <c r="A527" s="66">
        <v>45478.0</v>
      </c>
      <c r="B527" s="55" t="str">
        <f>HYPERLINK("https://jobright.ai/jobs/info/668831dd267b613d19e45cd9?utm_campaign=1051&amp;utm_source=sheet", "Apply")</f>
        <v>Apply</v>
      </c>
      <c r="C527" s="10" t="s">
        <v>15838</v>
      </c>
      <c r="D527" s="56" t="s">
        <v>15839</v>
      </c>
      <c r="E527" s="10">
        <v>4852.0</v>
      </c>
      <c r="G527" s="10" t="s">
        <v>15829</v>
      </c>
      <c r="H527" s="10" t="s">
        <v>925</v>
      </c>
      <c r="I527" s="10" t="s">
        <v>55</v>
      </c>
      <c r="K527" s="10" t="s">
        <v>15851</v>
      </c>
      <c r="L527" s="10" t="s">
        <v>42</v>
      </c>
    </row>
    <row r="528" ht="15.75" customHeight="1">
      <c r="A528" s="66">
        <v>45478.0</v>
      </c>
      <c r="B528" s="55" t="str">
        <f>HYPERLINK("https://jobright.ai/jobs/info/668831dd267b613d19e45cdf?utm_campaign=1051&amp;utm_source=sheet", "Apply")</f>
        <v>Apply</v>
      </c>
      <c r="C528" s="10" t="s">
        <v>15838</v>
      </c>
      <c r="D528" s="56" t="s">
        <v>15839</v>
      </c>
      <c r="E528" s="10">
        <v>4852.0</v>
      </c>
      <c r="G528" s="10" t="s">
        <v>15829</v>
      </c>
      <c r="H528" s="10" t="s">
        <v>7699</v>
      </c>
      <c r="I528" s="10" t="s">
        <v>55</v>
      </c>
      <c r="K528" s="10" t="s">
        <v>15851</v>
      </c>
      <c r="L528" s="10" t="s">
        <v>42</v>
      </c>
    </row>
    <row r="529" ht="15.75" customHeight="1">
      <c r="A529" s="66">
        <v>45478.0</v>
      </c>
      <c r="B529" s="55" t="str">
        <f>HYPERLINK("https://jobright.ai/jobs/info/668835b8bc9ee9c419e9a096?utm_campaign=1051&amp;utm_source=sheet", "Apply")</f>
        <v>Apply</v>
      </c>
      <c r="C529" s="10" t="s">
        <v>15838</v>
      </c>
      <c r="D529" s="56" t="s">
        <v>15839</v>
      </c>
      <c r="E529" s="10">
        <v>4852.0</v>
      </c>
      <c r="G529" s="10" t="s">
        <v>15829</v>
      </c>
      <c r="H529" s="10" t="s">
        <v>16689</v>
      </c>
      <c r="I529" s="10" t="s">
        <v>55</v>
      </c>
      <c r="K529" s="10" t="s">
        <v>15843</v>
      </c>
      <c r="L529" s="10" t="s">
        <v>42</v>
      </c>
    </row>
    <row r="530" ht="15.75" customHeight="1">
      <c r="A530" s="66">
        <v>45478.0</v>
      </c>
      <c r="B530" s="55" t="str">
        <f>HYPERLINK("https://jobright.ai/jobs/info/668831d3267b613d19e45cd8?utm_campaign=1051&amp;utm_source=sheet", "Apply")</f>
        <v>Apply</v>
      </c>
      <c r="C530" s="10" t="s">
        <v>15838</v>
      </c>
      <c r="D530" s="56" t="s">
        <v>15839</v>
      </c>
      <c r="E530" s="10">
        <v>4852.0</v>
      </c>
      <c r="G530" s="10" t="s">
        <v>15829</v>
      </c>
      <c r="H530" s="10" t="s">
        <v>949</v>
      </c>
      <c r="I530" s="10" t="s">
        <v>55</v>
      </c>
      <c r="K530" s="10" t="s">
        <v>16690</v>
      </c>
      <c r="L530" s="10" t="s">
        <v>42</v>
      </c>
    </row>
    <row r="531" ht="15.75" customHeight="1">
      <c r="A531" s="66">
        <v>45478.0</v>
      </c>
      <c r="B531" s="55" t="str">
        <f>HYPERLINK("https://jobright.ai/jobs/info/668831dd267b613d19e45cde?utm_campaign=1051&amp;utm_source=sheet", "Apply")</f>
        <v>Apply</v>
      </c>
      <c r="C531" s="10" t="s">
        <v>15838</v>
      </c>
      <c r="D531" s="56" t="s">
        <v>15839</v>
      </c>
      <c r="E531" s="10">
        <v>4852.0</v>
      </c>
      <c r="G531" s="10" t="s">
        <v>15829</v>
      </c>
      <c r="H531" s="10" t="s">
        <v>1696</v>
      </c>
      <c r="I531" s="10" t="s">
        <v>55</v>
      </c>
      <c r="K531" s="10" t="s">
        <v>15840</v>
      </c>
      <c r="L531" s="10" t="s">
        <v>42</v>
      </c>
    </row>
    <row r="532" ht="15.75" customHeight="1">
      <c r="A532" s="66">
        <v>45478.0</v>
      </c>
      <c r="B532" s="55" t="str">
        <f>HYPERLINK("https://jobright.ai/jobs/info/668831dd267b613d19e45cda?utm_campaign=1051&amp;utm_source=sheet", "Apply")</f>
        <v>Apply</v>
      </c>
      <c r="C532" s="10" t="s">
        <v>15838</v>
      </c>
      <c r="D532" s="56" t="s">
        <v>15839</v>
      </c>
      <c r="E532" s="10">
        <v>4852.0</v>
      </c>
      <c r="G532" s="10" t="s">
        <v>15829</v>
      </c>
      <c r="H532" s="10" t="s">
        <v>829</v>
      </c>
      <c r="I532" s="10" t="s">
        <v>55</v>
      </c>
      <c r="K532" s="10" t="s">
        <v>15840</v>
      </c>
      <c r="L532" s="10" t="s">
        <v>42</v>
      </c>
    </row>
    <row r="533" ht="15.75" customHeight="1">
      <c r="A533" s="66">
        <v>45478.0</v>
      </c>
      <c r="B533" s="55" t="str">
        <f>HYPERLINK("https://jobright.ai/jobs/info/668831dd267b613d19e45ce0?utm_campaign=1051&amp;utm_source=sheet", "Apply")</f>
        <v>Apply</v>
      </c>
      <c r="C533" s="10" t="s">
        <v>15838</v>
      </c>
      <c r="D533" s="56" t="s">
        <v>15839</v>
      </c>
      <c r="E533" s="10">
        <v>4852.0</v>
      </c>
      <c r="G533" s="10" t="s">
        <v>15829</v>
      </c>
      <c r="H533" s="10" t="s">
        <v>16691</v>
      </c>
      <c r="I533" s="10" t="s">
        <v>55</v>
      </c>
      <c r="K533" s="10" t="s">
        <v>15840</v>
      </c>
      <c r="L533" s="10" t="s">
        <v>42</v>
      </c>
    </row>
    <row r="534" ht="15.75" customHeight="1">
      <c r="A534" s="66">
        <v>45478.0</v>
      </c>
      <c r="B534" s="55" t="str">
        <f>HYPERLINK("https://jobright.ai/jobs/info/668831dd267b613d19e45cdd?utm_campaign=1051&amp;utm_source=sheet", "Apply")</f>
        <v>Apply</v>
      </c>
      <c r="C534" s="10" t="s">
        <v>15838</v>
      </c>
      <c r="D534" s="56" t="s">
        <v>15839</v>
      </c>
      <c r="E534" s="10">
        <v>4852.0</v>
      </c>
      <c r="G534" s="10" t="s">
        <v>15829</v>
      </c>
      <c r="H534" s="10" t="s">
        <v>16692</v>
      </c>
      <c r="I534" s="10" t="s">
        <v>55</v>
      </c>
      <c r="K534" s="10" t="s">
        <v>15851</v>
      </c>
      <c r="L534" s="10" t="s">
        <v>42</v>
      </c>
    </row>
    <row r="535" ht="15.75" customHeight="1">
      <c r="A535" s="66">
        <v>45478.0</v>
      </c>
      <c r="B535" s="55" t="str">
        <f>HYPERLINK("https://jobright.ai/jobs/info/668835b8bc9ee9c419e9a097?utm_campaign=1051&amp;utm_source=sheet", "Apply")</f>
        <v>Apply</v>
      </c>
      <c r="C535" s="10" t="s">
        <v>15838</v>
      </c>
      <c r="D535" s="56" t="s">
        <v>15839</v>
      </c>
      <c r="E535" s="10">
        <v>4852.0</v>
      </c>
      <c r="G535" s="10" t="s">
        <v>15829</v>
      </c>
      <c r="H535" s="10" t="s">
        <v>1691</v>
      </c>
      <c r="I535" s="10" t="s">
        <v>55</v>
      </c>
      <c r="K535" s="10" t="s">
        <v>16674</v>
      </c>
      <c r="L535" s="10" t="s">
        <v>42</v>
      </c>
    </row>
    <row r="536" ht="15.75" customHeight="1">
      <c r="A536" s="66">
        <v>45478.0</v>
      </c>
      <c r="B536" s="55" t="str">
        <f>HYPERLINK("https://jobright.ai/jobs/info/668831dd267b613d19e45cdb?utm_campaign=1051&amp;utm_source=sheet", "Apply")</f>
        <v>Apply</v>
      </c>
      <c r="C536" s="10" t="s">
        <v>15838</v>
      </c>
      <c r="D536" s="56" t="s">
        <v>15839</v>
      </c>
      <c r="E536" s="10">
        <v>4852.0</v>
      </c>
      <c r="G536" s="10" t="s">
        <v>15829</v>
      </c>
      <c r="H536" s="10" t="s">
        <v>1040</v>
      </c>
      <c r="I536" s="10" t="s">
        <v>55</v>
      </c>
      <c r="K536" s="10" t="s">
        <v>15843</v>
      </c>
      <c r="L536" s="10" t="s">
        <v>42</v>
      </c>
    </row>
    <row r="537" ht="15.75" customHeight="1">
      <c r="A537" s="66">
        <v>45478.0</v>
      </c>
      <c r="B537" s="55" t="str">
        <f>HYPERLINK("https://jobright.ai/jobs/info/668831dd267b613d19e45ce2?utm_campaign=1051&amp;utm_source=sheet", "Apply")</f>
        <v>Apply</v>
      </c>
      <c r="C537" s="10" t="s">
        <v>15838</v>
      </c>
      <c r="D537" s="56" t="s">
        <v>15839</v>
      </c>
      <c r="E537" s="10">
        <v>4852.0</v>
      </c>
      <c r="G537" s="10" t="s">
        <v>15829</v>
      </c>
      <c r="H537" s="10" t="s">
        <v>628</v>
      </c>
      <c r="I537" s="10" t="s">
        <v>55</v>
      </c>
      <c r="K537" s="10" t="s">
        <v>15840</v>
      </c>
      <c r="L537" s="10" t="s">
        <v>42</v>
      </c>
    </row>
    <row r="538" ht="15.75" customHeight="1">
      <c r="A538" s="66">
        <v>45478.0</v>
      </c>
      <c r="B538" s="55" t="str">
        <f>HYPERLINK("https://jobright.ai/jobs/info/668835b8bc9ee9c419e9a099?utm_campaign=1051&amp;utm_source=sheet", "Apply")</f>
        <v>Apply</v>
      </c>
      <c r="C538" s="10" t="s">
        <v>15838</v>
      </c>
      <c r="D538" s="56" t="s">
        <v>15839</v>
      </c>
      <c r="E538" s="10">
        <v>4852.0</v>
      </c>
      <c r="G538" s="10" t="s">
        <v>15829</v>
      </c>
      <c r="H538" s="10" t="s">
        <v>16693</v>
      </c>
      <c r="I538" s="10" t="s">
        <v>55</v>
      </c>
      <c r="K538" s="10" t="s">
        <v>16690</v>
      </c>
      <c r="L538" s="10" t="s">
        <v>42</v>
      </c>
    </row>
    <row r="539" ht="15.75" customHeight="1">
      <c r="A539" s="66">
        <v>45478.0</v>
      </c>
      <c r="B539" s="55" t="str">
        <f>HYPERLINK("https://jobright.ai/jobs/info/668831dd267b613d19e45ce3?utm_campaign=1051&amp;utm_source=sheet", "Apply")</f>
        <v>Apply</v>
      </c>
      <c r="C539" s="10" t="s">
        <v>15838</v>
      </c>
      <c r="D539" s="56" t="s">
        <v>15839</v>
      </c>
      <c r="E539" s="10">
        <v>4852.0</v>
      </c>
      <c r="G539" s="10" t="s">
        <v>15829</v>
      </c>
      <c r="H539" s="10" t="s">
        <v>1041</v>
      </c>
      <c r="I539" s="10" t="s">
        <v>55</v>
      </c>
      <c r="K539" s="10" t="s">
        <v>15851</v>
      </c>
      <c r="L539" s="10" t="s">
        <v>42</v>
      </c>
    </row>
    <row r="540" ht="15.75" customHeight="1">
      <c r="A540" s="66">
        <v>45478.0</v>
      </c>
      <c r="B540" s="55" t="str">
        <f>HYPERLINK("https://jobright.ai/jobs/info/668831dd267b613d19e45ce1?utm_campaign=1051&amp;utm_source=sheet", "Apply")</f>
        <v>Apply</v>
      </c>
      <c r="C540" s="10" t="s">
        <v>15838</v>
      </c>
      <c r="D540" s="56" t="s">
        <v>15839</v>
      </c>
      <c r="E540" s="10">
        <v>4852.0</v>
      </c>
      <c r="G540" s="10" t="s">
        <v>15829</v>
      </c>
      <c r="H540" s="10" t="s">
        <v>16694</v>
      </c>
      <c r="I540" s="10" t="s">
        <v>55</v>
      </c>
      <c r="K540" s="10" t="s">
        <v>15840</v>
      </c>
      <c r="L540" s="10" t="s">
        <v>42</v>
      </c>
    </row>
    <row r="541" ht="15.75" customHeight="1">
      <c r="A541" s="66">
        <v>45478.0</v>
      </c>
      <c r="B541" s="55" t="str">
        <f>HYPERLINK("https://jobright.ai/jobs/info/668835c1bc9ee9c419e9a09a?utm_campaign=1051&amp;utm_source=sheet", "Apply")</f>
        <v>Apply</v>
      </c>
      <c r="C541" s="10" t="s">
        <v>15838</v>
      </c>
      <c r="D541" s="56" t="s">
        <v>15839</v>
      </c>
      <c r="E541" s="10">
        <v>4852.0</v>
      </c>
      <c r="G541" s="10" t="s">
        <v>15829</v>
      </c>
      <c r="H541" s="10" t="s">
        <v>4963</v>
      </c>
      <c r="I541" s="10" t="s">
        <v>55</v>
      </c>
      <c r="K541" s="10" t="s">
        <v>15851</v>
      </c>
      <c r="L541" s="10" t="s">
        <v>42</v>
      </c>
    </row>
    <row r="542" ht="15.75" customHeight="1">
      <c r="A542" s="66">
        <v>45478.0</v>
      </c>
      <c r="B542" s="55" t="str">
        <f>HYPERLINK("https://jobright.ai/jobs/info/668835b8bc9ee9c419e9a098?utm_campaign=1051&amp;utm_source=sheet", "Apply")</f>
        <v>Apply</v>
      </c>
      <c r="C542" s="10" t="s">
        <v>15838</v>
      </c>
      <c r="D542" s="56" t="s">
        <v>15839</v>
      </c>
      <c r="E542" s="10">
        <v>4852.0</v>
      </c>
      <c r="G542" s="10" t="s">
        <v>15829</v>
      </c>
      <c r="H542" s="10" t="s">
        <v>1032</v>
      </c>
      <c r="I542" s="10" t="s">
        <v>55</v>
      </c>
      <c r="K542" s="10" t="s">
        <v>16674</v>
      </c>
      <c r="L542" s="10" t="s">
        <v>42</v>
      </c>
    </row>
    <row r="543" ht="15.75" customHeight="1">
      <c r="A543" s="66">
        <v>45478.0</v>
      </c>
      <c r="B543" s="55" t="str">
        <f>HYPERLINK("https://jobright.ai/jobs/info/6675ac046d8340c59f8e4492?utm_campaign=1051&amp;utm_source=sheet", "Apply")</f>
        <v>Apply</v>
      </c>
      <c r="C543" s="10" t="s">
        <v>15918</v>
      </c>
      <c r="D543" s="56" t="s">
        <v>13732</v>
      </c>
      <c r="E543" s="10" t="s">
        <v>209</v>
      </c>
      <c r="F543" s="10" t="s">
        <v>13733</v>
      </c>
      <c r="G543" s="10" t="s">
        <v>15814</v>
      </c>
      <c r="H543" s="10" t="s">
        <v>11404</v>
      </c>
      <c r="I543" s="10" t="s">
        <v>55</v>
      </c>
      <c r="J543" s="10" t="s">
        <v>1984</v>
      </c>
      <c r="K543" s="10" t="s">
        <v>16695</v>
      </c>
      <c r="L543" s="10" t="s">
        <v>42</v>
      </c>
    </row>
    <row r="544" ht="15.75" customHeight="1">
      <c r="A544" s="66">
        <v>45478.0</v>
      </c>
      <c r="B544" s="55" t="str">
        <f>HYPERLINK("https://jobright.ai/jobs/info/6630ccfcbb7bd6189cb1d3c9?utm_campaign=1051&amp;utm_source=sheet", "Apply")</f>
        <v>Apply</v>
      </c>
      <c r="C544" s="10" t="s">
        <v>16696</v>
      </c>
      <c r="D544" s="56" t="s">
        <v>16697</v>
      </c>
      <c r="E544" s="10" t="s">
        <v>137</v>
      </c>
      <c r="F544" s="10" t="s">
        <v>16698</v>
      </c>
      <c r="G544" s="10" t="s">
        <v>100</v>
      </c>
      <c r="H544" s="10" t="s">
        <v>152</v>
      </c>
      <c r="I544" s="10" t="s">
        <v>48</v>
      </c>
      <c r="K544" s="10" t="s">
        <v>16699</v>
      </c>
      <c r="L544" s="10" t="s">
        <v>42</v>
      </c>
    </row>
    <row r="545" ht="15.75" customHeight="1">
      <c r="A545" s="66">
        <v>45478.0</v>
      </c>
      <c r="B545" s="55" t="str">
        <f>HYPERLINK("https://jobright.ai/jobs/info/6687efc28d77caa13731f45b?utm_campaign=1051&amp;utm_source=sheet", "Apply")</f>
        <v>Apply</v>
      </c>
      <c r="C545" s="10" t="s">
        <v>15838</v>
      </c>
      <c r="D545" s="56" t="s">
        <v>15839</v>
      </c>
      <c r="E545" s="10">
        <v>4852.0</v>
      </c>
      <c r="G545" s="10" t="s">
        <v>15829</v>
      </c>
      <c r="H545" s="10" t="s">
        <v>936</v>
      </c>
      <c r="I545" s="10" t="s">
        <v>55</v>
      </c>
      <c r="K545" s="10" t="s">
        <v>15843</v>
      </c>
      <c r="L545" s="10" t="s">
        <v>42</v>
      </c>
    </row>
    <row r="546" ht="15.75" customHeight="1">
      <c r="A546" s="66">
        <v>45478.0</v>
      </c>
      <c r="B546" s="55" t="str">
        <f>HYPERLINK("https://jobright.ai/jobs/info/6687efc28d77caa13731f45f?utm_campaign=1051&amp;utm_source=sheet", "Apply")</f>
        <v>Apply</v>
      </c>
      <c r="C546" s="10" t="s">
        <v>15838</v>
      </c>
      <c r="D546" s="56" t="s">
        <v>15839</v>
      </c>
      <c r="E546" s="10">
        <v>4852.0</v>
      </c>
      <c r="G546" s="10" t="s">
        <v>15829</v>
      </c>
      <c r="H546" s="10" t="s">
        <v>4721</v>
      </c>
      <c r="I546" s="10" t="s">
        <v>55</v>
      </c>
      <c r="K546" s="10" t="s">
        <v>15843</v>
      </c>
      <c r="L546" s="10" t="s">
        <v>42</v>
      </c>
    </row>
    <row r="547" ht="15.75" customHeight="1">
      <c r="A547" s="66">
        <v>45478.0</v>
      </c>
      <c r="B547" s="55" t="str">
        <f>HYPERLINK("https://jobright.ai/jobs/info/6687efc28d77caa13731f468?utm_campaign=1051&amp;utm_source=sheet", "Apply")</f>
        <v>Apply</v>
      </c>
      <c r="C547" s="10" t="s">
        <v>15838</v>
      </c>
      <c r="D547" s="56" t="s">
        <v>15839</v>
      </c>
      <c r="E547" s="10">
        <v>4852.0</v>
      </c>
      <c r="G547" s="10" t="s">
        <v>15829</v>
      </c>
      <c r="H547" s="10" t="s">
        <v>16700</v>
      </c>
      <c r="I547" s="10" t="s">
        <v>55</v>
      </c>
      <c r="K547" s="10" t="s">
        <v>16674</v>
      </c>
      <c r="L547" s="10" t="s">
        <v>42</v>
      </c>
    </row>
    <row r="548" ht="15.75" customHeight="1">
      <c r="A548" s="66">
        <v>45478.0</v>
      </c>
      <c r="B548" s="55" t="str">
        <f>HYPERLINK("https://jobright.ai/jobs/info/6687efc28d77caa13731f465?utm_campaign=1051&amp;utm_source=sheet", "Apply")</f>
        <v>Apply</v>
      </c>
      <c r="C548" s="10" t="s">
        <v>15838</v>
      </c>
      <c r="D548" s="56" t="s">
        <v>15839</v>
      </c>
      <c r="E548" s="10">
        <v>4852.0</v>
      </c>
      <c r="G548" s="10" t="s">
        <v>15829</v>
      </c>
      <c r="H548" s="10" t="s">
        <v>9420</v>
      </c>
      <c r="I548" s="10" t="s">
        <v>55</v>
      </c>
      <c r="K548" s="10" t="s">
        <v>15840</v>
      </c>
      <c r="L548" s="10" t="s">
        <v>42</v>
      </c>
    </row>
    <row r="549" ht="15.75" customHeight="1">
      <c r="A549" s="66">
        <v>45478.0</v>
      </c>
      <c r="B549" s="55" t="str">
        <f>HYPERLINK("https://jobright.ai/jobs/info/6687efc28d77caa13731f463?utm_campaign=1051&amp;utm_source=sheet", "Apply")</f>
        <v>Apply</v>
      </c>
      <c r="C549" s="10" t="s">
        <v>15838</v>
      </c>
      <c r="D549" s="56" t="s">
        <v>15839</v>
      </c>
      <c r="E549" s="10">
        <v>4852.0</v>
      </c>
      <c r="G549" s="10" t="s">
        <v>15829</v>
      </c>
      <c r="H549" s="10" t="s">
        <v>1070</v>
      </c>
      <c r="I549" s="10" t="s">
        <v>55</v>
      </c>
      <c r="K549" s="10" t="s">
        <v>15851</v>
      </c>
      <c r="L549" s="10" t="s">
        <v>42</v>
      </c>
    </row>
    <row r="550" ht="15.75" customHeight="1">
      <c r="A550" s="66">
        <v>45478.0</v>
      </c>
      <c r="B550" s="55" t="str">
        <f>HYPERLINK("https://jobright.ai/jobs/info/6687efc28d77caa13731f460?utm_campaign=1051&amp;utm_source=sheet", "Apply")</f>
        <v>Apply</v>
      </c>
      <c r="C550" s="10" t="s">
        <v>15838</v>
      </c>
      <c r="D550" s="56" t="s">
        <v>15839</v>
      </c>
      <c r="E550" s="10">
        <v>4852.0</v>
      </c>
      <c r="G550" s="10" t="s">
        <v>15829</v>
      </c>
      <c r="H550" s="10" t="s">
        <v>8034</v>
      </c>
      <c r="I550" s="10" t="s">
        <v>55</v>
      </c>
      <c r="K550" s="10" t="s">
        <v>16674</v>
      </c>
      <c r="L550" s="10" t="s">
        <v>42</v>
      </c>
    </row>
    <row r="551" ht="15.75" customHeight="1">
      <c r="A551" s="66">
        <v>45478.0</v>
      </c>
      <c r="B551" s="55" t="str">
        <f>HYPERLINK("https://jobright.ai/jobs/info/6687efc28d77caa13731f462?utm_campaign=1051&amp;utm_source=sheet", "Apply")</f>
        <v>Apply</v>
      </c>
      <c r="C551" s="10" t="s">
        <v>15838</v>
      </c>
      <c r="D551" s="56" t="s">
        <v>15839</v>
      </c>
      <c r="E551" s="10">
        <v>4852.0</v>
      </c>
      <c r="G551" s="10" t="s">
        <v>15829</v>
      </c>
      <c r="H551" s="10" t="s">
        <v>5481</v>
      </c>
      <c r="I551" s="10" t="s">
        <v>55</v>
      </c>
      <c r="J551" s="10" t="s">
        <v>15873</v>
      </c>
      <c r="K551" s="10" t="s">
        <v>15840</v>
      </c>
      <c r="L551" s="10" t="s">
        <v>42</v>
      </c>
    </row>
    <row r="552" ht="15.75" customHeight="1">
      <c r="A552" s="66">
        <v>45478.0</v>
      </c>
      <c r="B552" s="55" t="str">
        <f>HYPERLINK("https://jobright.ai/jobs/info/6687efc28d77caa13731f464?utm_campaign=1051&amp;utm_source=sheet", "Apply")</f>
        <v>Apply</v>
      </c>
      <c r="C552" s="10" t="s">
        <v>15838</v>
      </c>
      <c r="D552" s="56" t="s">
        <v>15839</v>
      </c>
      <c r="E552" s="10">
        <v>4852.0</v>
      </c>
      <c r="G552" s="10" t="s">
        <v>15829</v>
      </c>
      <c r="H552" s="10" t="s">
        <v>16701</v>
      </c>
      <c r="I552" s="10" t="s">
        <v>55</v>
      </c>
      <c r="K552" s="10" t="s">
        <v>15843</v>
      </c>
      <c r="L552" s="10" t="s">
        <v>42</v>
      </c>
    </row>
    <row r="553" ht="15.75" customHeight="1">
      <c r="A553" s="66">
        <v>45478.0</v>
      </c>
      <c r="B553" s="55" t="str">
        <f>HYPERLINK("https://jobright.ai/jobs/info/6687efc28d77caa13731f45e?utm_campaign=1051&amp;utm_source=sheet", "Apply")</f>
        <v>Apply</v>
      </c>
      <c r="C553" s="10" t="s">
        <v>15838</v>
      </c>
      <c r="D553" s="56" t="s">
        <v>15839</v>
      </c>
      <c r="E553" s="10">
        <v>4852.0</v>
      </c>
      <c r="G553" s="10" t="s">
        <v>15829</v>
      </c>
      <c r="H553" s="10" t="s">
        <v>16702</v>
      </c>
      <c r="I553" s="10" t="s">
        <v>55</v>
      </c>
      <c r="K553" s="10" t="s">
        <v>15843</v>
      </c>
      <c r="L553" s="10" t="s">
        <v>42</v>
      </c>
    </row>
    <row r="554" ht="15.75" customHeight="1">
      <c r="A554" s="66">
        <v>45478.0</v>
      </c>
      <c r="B554" s="55" t="str">
        <f>HYPERLINK("https://jobright.ai/jobs/info/6687efc28d77caa13731f469?utm_campaign=1051&amp;utm_source=sheet", "Apply")</f>
        <v>Apply</v>
      </c>
      <c r="C554" s="10" t="s">
        <v>15838</v>
      </c>
      <c r="D554" s="56" t="s">
        <v>15839</v>
      </c>
      <c r="E554" s="10">
        <v>4852.0</v>
      </c>
      <c r="G554" s="10" t="s">
        <v>15829</v>
      </c>
      <c r="H554" s="10" t="s">
        <v>16703</v>
      </c>
      <c r="I554" s="10" t="s">
        <v>55</v>
      </c>
      <c r="K554" s="10" t="s">
        <v>16674</v>
      </c>
      <c r="L554" s="10" t="s">
        <v>42</v>
      </c>
    </row>
    <row r="555" ht="15.75" customHeight="1">
      <c r="A555" s="66">
        <v>45478.0</v>
      </c>
      <c r="B555" s="55" t="str">
        <f>HYPERLINK("https://jobright.ai/jobs/info/666bd5e5cf309ffb07c0be34?utm_campaign=1051&amp;utm_source=sheet", "Apply")</f>
        <v>Apply</v>
      </c>
      <c r="C555" s="10" t="s">
        <v>16704</v>
      </c>
      <c r="D555" s="56" t="s">
        <v>16705</v>
      </c>
      <c r="E555" s="10" t="s">
        <v>276</v>
      </c>
      <c r="F555" s="10" t="s">
        <v>1065</v>
      </c>
      <c r="G555" s="10" t="s">
        <v>15787</v>
      </c>
      <c r="H555" s="10" t="s">
        <v>1033</v>
      </c>
      <c r="I555" s="10" t="s">
        <v>55</v>
      </c>
      <c r="J555" s="10" t="s">
        <v>3651</v>
      </c>
      <c r="K555" s="10" t="s">
        <v>16706</v>
      </c>
      <c r="L555" s="10" t="s">
        <v>42</v>
      </c>
    </row>
    <row r="556" ht="15.75" customHeight="1">
      <c r="A556" s="66">
        <v>45478.0</v>
      </c>
      <c r="B556" s="55" t="str">
        <f>HYPERLINK("https://jobright.ai/jobs/info/668806030c041b83fd893ee6?utm_campaign=1051&amp;utm_source=sheet", "Apply")</f>
        <v>Apply</v>
      </c>
      <c r="C556" s="10" t="s">
        <v>15838</v>
      </c>
      <c r="D556" s="56" t="s">
        <v>15839</v>
      </c>
      <c r="E556" s="10">
        <v>4852.0</v>
      </c>
      <c r="G556" s="10" t="s">
        <v>15829</v>
      </c>
      <c r="H556" s="10" t="s">
        <v>16707</v>
      </c>
      <c r="I556" s="10" t="s">
        <v>55</v>
      </c>
      <c r="K556" s="10" t="s">
        <v>15843</v>
      </c>
      <c r="L556" s="10" t="s">
        <v>42</v>
      </c>
    </row>
    <row r="557" ht="15.75" customHeight="1">
      <c r="A557" s="66">
        <v>45478.0</v>
      </c>
      <c r="B557" s="55" t="str">
        <f>HYPERLINK("https://jobright.ai/jobs/info/668806030c041b83fd893ee7?utm_campaign=1051&amp;utm_source=sheet", "Apply")</f>
        <v>Apply</v>
      </c>
      <c r="C557" s="10" t="s">
        <v>15838</v>
      </c>
      <c r="D557" s="56" t="s">
        <v>15839</v>
      </c>
      <c r="E557" s="10">
        <v>4852.0</v>
      </c>
      <c r="G557" s="10" t="s">
        <v>15829</v>
      </c>
      <c r="H557" s="10" t="s">
        <v>4079</v>
      </c>
      <c r="I557" s="10" t="s">
        <v>55</v>
      </c>
      <c r="K557" s="10" t="s">
        <v>15851</v>
      </c>
      <c r="L557" s="10" t="s">
        <v>42</v>
      </c>
    </row>
    <row r="558" ht="15.75" customHeight="1">
      <c r="A558" s="66">
        <v>45478.0</v>
      </c>
      <c r="B558" s="55" t="str">
        <f>HYPERLINK("https://jobright.ai/jobs/info/6687f40c0825ab5c18ac487e?utm_campaign=1051&amp;utm_source=sheet", "Apply")</f>
        <v>Apply</v>
      </c>
      <c r="C558" s="10" t="s">
        <v>15838</v>
      </c>
      <c r="D558" s="56" t="s">
        <v>15839</v>
      </c>
      <c r="E558" s="10">
        <v>4852.0</v>
      </c>
      <c r="G558" s="10" t="s">
        <v>15829</v>
      </c>
      <c r="H558" s="10" t="s">
        <v>10949</v>
      </c>
      <c r="I558" s="10" t="s">
        <v>55</v>
      </c>
      <c r="K558" s="10" t="s">
        <v>15851</v>
      </c>
      <c r="L558" s="10" t="s">
        <v>42</v>
      </c>
    </row>
    <row r="559" ht="15.75" customHeight="1">
      <c r="A559" s="66">
        <v>45478.0</v>
      </c>
      <c r="B559" s="55" t="str">
        <f>HYPERLINK("https://jobright.ai/jobs/info/6687f40c0825ab5c18ac487f?utm_campaign=1051&amp;utm_source=sheet", "Apply")</f>
        <v>Apply</v>
      </c>
      <c r="C559" s="10" t="s">
        <v>15838</v>
      </c>
      <c r="D559" s="56" t="s">
        <v>15839</v>
      </c>
      <c r="E559" s="10">
        <v>4852.0</v>
      </c>
      <c r="G559" s="10" t="s">
        <v>15829</v>
      </c>
      <c r="H559" s="10" t="s">
        <v>16708</v>
      </c>
      <c r="I559" s="10" t="s">
        <v>55</v>
      </c>
      <c r="K559" s="10" t="s">
        <v>15840</v>
      </c>
      <c r="L559" s="10" t="s">
        <v>42</v>
      </c>
    </row>
    <row r="560" ht="15.75" customHeight="1">
      <c r="A560" s="66">
        <v>45478.0</v>
      </c>
      <c r="B560" s="55" t="str">
        <f>HYPERLINK("https://jobright.ai/jobs/info/6687f40c0825ab5c18ac4880?utm_campaign=1051&amp;utm_source=sheet", "Apply")</f>
        <v>Apply</v>
      </c>
      <c r="C560" s="10" t="s">
        <v>15838</v>
      </c>
      <c r="D560" s="56" t="s">
        <v>15839</v>
      </c>
      <c r="E560" s="10">
        <v>4852.0</v>
      </c>
      <c r="G560" s="10" t="s">
        <v>15829</v>
      </c>
      <c r="H560" s="10" t="s">
        <v>16324</v>
      </c>
      <c r="I560" s="10" t="s">
        <v>55</v>
      </c>
      <c r="K560" s="10" t="s">
        <v>15840</v>
      </c>
      <c r="L560" s="10" t="s">
        <v>42</v>
      </c>
    </row>
    <row r="561" ht="15.75" customHeight="1">
      <c r="A561" s="66">
        <v>45478.0</v>
      </c>
      <c r="B561" s="55" t="str">
        <f>HYPERLINK("https://jobright.ai/jobs/info/6687f40c0825ab5c18ac4881?utm_campaign=1051&amp;utm_source=sheet", "Apply")</f>
        <v>Apply</v>
      </c>
      <c r="C561" s="10" t="s">
        <v>15838</v>
      </c>
      <c r="D561" s="56" t="s">
        <v>15839</v>
      </c>
      <c r="E561" s="10">
        <v>4852.0</v>
      </c>
      <c r="G561" s="10" t="s">
        <v>15829</v>
      </c>
      <c r="H561" s="10" t="s">
        <v>981</v>
      </c>
      <c r="I561" s="10" t="s">
        <v>55</v>
      </c>
      <c r="K561" s="10" t="s">
        <v>15851</v>
      </c>
      <c r="L561" s="10" t="s">
        <v>42</v>
      </c>
    </row>
    <row r="562" ht="15.75" customHeight="1">
      <c r="A562" s="66">
        <v>45478.0</v>
      </c>
      <c r="B562" s="55" t="str">
        <f>HYPERLINK("https://jobright.ai/jobs/info/6687eaed6a69f3e10ab454cc?utm_campaign=1051&amp;utm_source=sheet", "Apply")</f>
        <v>Apply</v>
      </c>
      <c r="C562" s="10" t="s">
        <v>15838</v>
      </c>
      <c r="D562" s="56" t="s">
        <v>15839</v>
      </c>
      <c r="E562" s="10">
        <v>4852.0</v>
      </c>
      <c r="G562" s="10" t="s">
        <v>15829</v>
      </c>
      <c r="H562" s="10" t="s">
        <v>429</v>
      </c>
      <c r="I562" s="10" t="s">
        <v>55</v>
      </c>
      <c r="K562" s="10" t="s">
        <v>15840</v>
      </c>
      <c r="L562" s="10" t="s">
        <v>42</v>
      </c>
    </row>
    <row r="563" ht="15.75" customHeight="1">
      <c r="A563" s="66">
        <v>45478.0</v>
      </c>
      <c r="B563" s="55" t="str">
        <f>HYPERLINK("https://jobright.ai/jobs/info/6687eaed6a69f3e10ab454cd?utm_campaign=1051&amp;utm_source=sheet", "Apply")</f>
        <v>Apply</v>
      </c>
      <c r="C563" s="10" t="s">
        <v>15838</v>
      </c>
      <c r="D563" s="56" t="s">
        <v>15839</v>
      </c>
      <c r="E563" s="10">
        <v>4852.0</v>
      </c>
      <c r="G563" s="10" t="s">
        <v>15829</v>
      </c>
      <c r="H563" s="10" t="s">
        <v>952</v>
      </c>
      <c r="I563" s="10" t="s">
        <v>55</v>
      </c>
      <c r="K563" s="10" t="s">
        <v>15851</v>
      </c>
      <c r="L563" s="10" t="s">
        <v>42</v>
      </c>
    </row>
    <row r="564" ht="15.75" customHeight="1">
      <c r="A564" s="66">
        <v>45478.0</v>
      </c>
      <c r="B564" s="55" t="str">
        <f>HYPERLINK("https://jobright.ai/jobs/info/6687eaed6a69f3e10ab454d1?utm_campaign=1051&amp;utm_source=sheet", "Apply")</f>
        <v>Apply</v>
      </c>
      <c r="C564" s="10" t="s">
        <v>15838</v>
      </c>
      <c r="D564" s="56" t="s">
        <v>15839</v>
      </c>
      <c r="E564" s="10">
        <v>4852.0</v>
      </c>
      <c r="G564" s="10" t="s">
        <v>15829</v>
      </c>
      <c r="H564" s="10" t="s">
        <v>16709</v>
      </c>
      <c r="I564" s="10" t="s">
        <v>55</v>
      </c>
      <c r="K564" s="10" t="s">
        <v>15840</v>
      </c>
      <c r="L564" s="10" t="s">
        <v>42</v>
      </c>
    </row>
    <row r="565" ht="15.75" customHeight="1">
      <c r="A565" s="66">
        <v>45478.0</v>
      </c>
      <c r="B565" s="55" t="str">
        <f>HYPERLINK("https://jobright.ai/jobs/info/6687eaed6a69f3e10ab454d2?utm_campaign=1051&amp;utm_source=sheet", "Apply")</f>
        <v>Apply</v>
      </c>
      <c r="C565" s="10" t="s">
        <v>15838</v>
      </c>
      <c r="D565" s="56" t="s">
        <v>15839</v>
      </c>
      <c r="E565" s="10">
        <v>4852.0</v>
      </c>
      <c r="G565" s="10" t="s">
        <v>15829</v>
      </c>
      <c r="H565" s="10" t="s">
        <v>6759</v>
      </c>
      <c r="I565" s="10" t="s">
        <v>55</v>
      </c>
      <c r="K565" s="10" t="s">
        <v>15843</v>
      </c>
      <c r="L565" s="10" t="s">
        <v>42</v>
      </c>
    </row>
    <row r="566" ht="15.75" customHeight="1">
      <c r="A566" s="66">
        <v>45478.0</v>
      </c>
      <c r="B566" s="55" t="str">
        <f>HYPERLINK("https://jobright.ai/jobs/info/6687eaed6a69f3e10ab454cf?utm_campaign=1051&amp;utm_source=sheet", "Apply")</f>
        <v>Apply</v>
      </c>
      <c r="C566" s="10" t="s">
        <v>15838</v>
      </c>
      <c r="D566" s="56" t="s">
        <v>15839</v>
      </c>
      <c r="E566" s="10">
        <v>4852.0</v>
      </c>
      <c r="G566" s="10" t="s">
        <v>15829</v>
      </c>
      <c r="H566" s="10" t="s">
        <v>3954</v>
      </c>
      <c r="I566" s="10" t="s">
        <v>55</v>
      </c>
      <c r="K566" s="10" t="s">
        <v>15843</v>
      </c>
      <c r="L566" s="10" t="s">
        <v>42</v>
      </c>
    </row>
    <row r="567" ht="15.75" customHeight="1">
      <c r="A567" s="66">
        <v>45478.0</v>
      </c>
      <c r="B567" s="55" t="str">
        <f>HYPERLINK("https://jobright.ai/jobs/info/6687eaed6a69f3e10ab454d6?utm_campaign=1051&amp;utm_source=sheet", "Apply")</f>
        <v>Apply</v>
      </c>
      <c r="C567" s="10" t="s">
        <v>15838</v>
      </c>
      <c r="D567" s="56" t="s">
        <v>15839</v>
      </c>
      <c r="E567" s="10">
        <v>4852.0</v>
      </c>
      <c r="G567" s="10" t="s">
        <v>15829</v>
      </c>
      <c r="H567" s="10" t="s">
        <v>446</v>
      </c>
      <c r="I567" s="10" t="s">
        <v>55</v>
      </c>
      <c r="K567" s="10" t="s">
        <v>16674</v>
      </c>
      <c r="L567" s="10" t="s">
        <v>42</v>
      </c>
    </row>
    <row r="568" ht="15.75" customHeight="1">
      <c r="A568" s="66">
        <v>45478.0</v>
      </c>
      <c r="B568" s="55" t="str">
        <f>HYPERLINK("https://jobright.ai/jobs/info/6687eaed6a69f3e10ab454d0?utm_campaign=1051&amp;utm_source=sheet", "Apply")</f>
        <v>Apply</v>
      </c>
      <c r="C568" s="10" t="s">
        <v>15838</v>
      </c>
      <c r="D568" s="56" t="s">
        <v>15839</v>
      </c>
      <c r="E568" s="10">
        <v>4852.0</v>
      </c>
      <c r="G568" s="10" t="s">
        <v>15829</v>
      </c>
      <c r="H568" s="10" t="s">
        <v>16710</v>
      </c>
      <c r="I568" s="10" t="s">
        <v>55</v>
      </c>
      <c r="K568" s="10" t="s">
        <v>15843</v>
      </c>
      <c r="L568" s="10" t="s">
        <v>42</v>
      </c>
    </row>
    <row r="569" ht="15.75" customHeight="1">
      <c r="A569" s="66">
        <v>45478.0</v>
      </c>
      <c r="B569" s="55" t="str">
        <f>HYPERLINK("https://jobright.ai/jobs/info/6687eaed6a69f3e10ab454d7?utm_campaign=1051&amp;utm_source=sheet", "Apply")</f>
        <v>Apply</v>
      </c>
      <c r="C569" s="10" t="s">
        <v>15838</v>
      </c>
      <c r="D569" s="56" t="s">
        <v>15839</v>
      </c>
      <c r="E569" s="10">
        <v>4852.0</v>
      </c>
      <c r="G569" s="10" t="s">
        <v>15829</v>
      </c>
      <c r="H569" s="10" t="s">
        <v>16711</v>
      </c>
      <c r="I569" s="10" t="s">
        <v>55</v>
      </c>
      <c r="K569" s="10" t="s">
        <v>15843</v>
      </c>
      <c r="L569" s="10" t="s">
        <v>42</v>
      </c>
    </row>
    <row r="570" ht="15.75" customHeight="1">
      <c r="A570" s="66">
        <v>45478.0</v>
      </c>
      <c r="B570" s="55" t="str">
        <f>HYPERLINK("https://jobright.ai/jobs/info/6687eaed6a69f3e10ab454d9?utm_campaign=1051&amp;utm_source=sheet", "Apply")</f>
        <v>Apply</v>
      </c>
      <c r="C570" s="10" t="s">
        <v>15838</v>
      </c>
      <c r="D570" s="56" t="s">
        <v>15839</v>
      </c>
      <c r="E570" s="10">
        <v>4852.0</v>
      </c>
      <c r="G570" s="10" t="s">
        <v>15829</v>
      </c>
      <c r="H570" s="10" t="s">
        <v>11436</v>
      </c>
      <c r="I570" s="10" t="s">
        <v>55</v>
      </c>
      <c r="K570" s="10" t="s">
        <v>15851</v>
      </c>
      <c r="L570" s="10" t="s">
        <v>42</v>
      </c>
    </row>
    <row r="571" ht="15.75" customHeight="1">
      <c r="A571" s="66">
        <v>45478.0</v>
      </c>
      <c r="B571" s="55" t="str">
        <f>HYPERLINK("https://jobright.ai/jobs/info/668e714f5006a3dce367addf?utm_campaign=1051&amp;utm_source=sheet", "Apply")</f>
        <v>Apply</v>
      </c>
      <c r="C571" s="10" t="s">
        <v>15820</v>
      </c>
      <c r="D571" s="56" t="s">
        <v>16712</v>
      </c>
      <c r="E571" s="10" t="s">
        <v>79</v>
      </c>
      <c r="F571" s="10" t="s">
        <v>2454</v>
      </c>
      <c r="G571" s="10" t="s">
        <v>100</v>
      </c>
      <c r="H571" s="10" t="s">
        <v>3847</v>
      </c>
      <c r="I571" s="10" t="s">
        <v>55</v>
      </c>
      <c r="J571" s="10" t="s">
        <v>1797</v>
      </c>
      <c r="K571" s="10" t="s">
        <v>16713</v>
      </c>
      <c r="L571" s="10" t="s">
        <v>42</v>
      </c>
    </row>
    <row r="572" ht="15.75" customHeight="1">
      <c r="A572" s="66">
        <v>45478.0</v>
      </c>
      <c r="B572" s="55" t="str">
        <f>HYPERLINK("https://jobright.ai/jobs/info/6687eaed6a69f3e10ab454da?utm_campaign=1051&amp;utm_source=sheet", "Apply")</f>
        <v>Apply</v>
      </c>
      <c r="C572" s="10" t="s">
        <v>15838</v>
      </c>
      <c r="D572" s="56" t="s">
        <v>15839</v>
      </c>
      <c r="E572" s="10">
        <v>4852.0</v>
      </c>
      <c r="G572" s="10" t="s">
        <v>15829</v>
      </c>
      <c r="H572" s="10" t="s">
        <v>16714</v>
      </c>
      <c r="I572" s="10" t="s">
        <v>55</v>
      </c>
      <c r="K572" s="10" t="s">
        <v>15851</v>
      </c>
      <c r="L572" s="10" t="s">
        <v>42</v>
      </c>
    </row>
    <row r="573" ht="15.75" customHeight="1">
      <c r="A573" s="66">
        <v>45478.0</v>
      </c>
      <c r="B573" s="55" t="str">
        <f>HYPERLINK("https://jobright.ai/jobs/info/6687eaed6a69f3e10ab454dd?utm_campaign=1051&amp;utm_source=sheet", "Apply")</f>
        <v>Apply</v>
      </c>
      <c r="C573" s="10" t="s">
        <v>15838</v>
      </c>
      <c r="D573" s="56" t="s">
        <v>15839</v>
      </c>
      <c r="E573" s="10">
        <v>4852.0</v>
      </c>
      <c r="G573" s="10" t="s">
        <v>15829</v>
      </c>
      <c r="H573" s="10" t="s">
        <v>16095</v>
      </c>
      <c r="I573" s="10" t="s">
        <v>55</v>
      </c>
      <c r="K573" s="10" t="s">
        <v>15840</v>
      </c>
      <c r="L573" s="10" t="s">
        <v>42</v>
      </c>
    </row>
    <row r="574" ht="15.75" customHeight="1">
      <c r="A574" s="66">
        <v>45478.0</v>
      </c>
      <c r="B574" s="55" t="str">
        <f>HYPERLINK("https://jobright.ai/jobs/info/6687eaed6a69f3e10ab454db?utm_campaign=1051&amp;utm_source=sheet", "Apply")</f>
        <v>Apply</v>
      </c>
      <c r="C574" s="10" t="s">
        <v>15838</v>
      </c>
      <c r="D574" s="56" t="s">
        <v>15839</v>
      </c>
      <c r="E574" s="10">
        <v>4852.0</v>
      </c>
      <c r="G574" s="10" t="s">
        <v>15829</v>
      </c>
      <c r="H574" s="10" t="s">
        <v>16715</v>
      </c>
      <c r="I574" s="10" t="s">
        <v>55</v>
      </c>
      <c r="K574" s="10" t="s">
        <v>15843</v>
      </c>
      <c r="L574" s="10" t="s">
        <v>42</v>
      </c>
    </row>
    <row r="575" ht="15.75" customHeight="1">
      <c r="A575" s="66">
        <v>45478.0</v>
      </c>
      <c r="B575" s="55" t="str">
        <f>HYPERLINK("https://jobright.ai/jobs/info/6687eaed6a69f3e10ab454df?utm_campaign=1051&amp;utm_source=sheet", "Apply")</f>
        <v>Apply</v>
      </c>
      <c r="C575" s="10" t="s">
        <v>15838</v>
      </c>
      <c r="D575" s="56" t="s">
        <v>15839</v>
      </c>
      <c r="E575" s="10">
        <v>4852.0</v>
      </c>
      <c r="G575" s="10" t="s">
        <v>15829</v>
      </c>
      <c r="H575" s="10" t="s">
        <v>3873</v>
      </c>
      <c r="I575" s="10" t="s">
        <v>55</v>
      </c>
      <c r="K575" s="10" t="s">
        <v>15840</v>
      </c>
      <c r="L575" s="10" t="s">
        <v>42</v>
      </c>
    </row>
    <row r="576" ht="15.75" customHeight="1">
      <c r="A576" s="66">
        <v>45478.0</v>
      </c>
      <c r="B576" s="55" t="str">
        <f>HYPERLINK("https://jobright.ai/jobs/info/668801c0f2620e116ee3bccb?utm_campaign=1051&amp;utm_source=sheet", "Apply")</f>
        <v>Apply</v>
      </c>
      <c r="C576" s="10" t="s">
        <v>15838</v>
      </c>
      <c r="D576" s="56" t="s">
        <v>15839</v>
      </c>
      <c r="E576" s="10">
        <v>4852.0</v>
      </c>
      <c r="G576" s="10" t="s">
        <v>15829</v>
      </c>
      <c r="H576" s="10" t="s">
        <v>359</v>
      </c>
      <c r="I576" s="10" t="s">
        <v>55</v>
      </c>
      <c r="K576" s="10" t="s">
        <v>15843</v>
      </c>
      <c r="L576" s="10" t="s">
        <v>42</v>
      </c>
    </row>
    <row r="577" ht="15.75" customHeight="1">
      <c r="A577" s="66">
        <v>45478.0</v>
      </c>
      <c r="B577" s="55" t="str">
        <f>HYPERLINK("https://jobright.ai/jobs/info/66880a60576fc36f7f05f55d?utm_campaign=1051&amp;utm_source=sheet", "Apply")</f>
        <v>Apply</v>
      </c>
      <c r="C577" s="10" t="s">
        <v>15838</v>
      </c>
      <c r="D577" s="56" t="s">
        <v>15839</v>
      </c>
      <c r="E577" s="10">
        <v>4852.0</v>
      </c>
      <c r="G577" s="10" t="s">
        <v>15829</v>
      </c>
      <c r="H577" s="10" t="s">
        <v>843</v>
      </c>
      <c r="I577" s="10" t="s">
        <v>55</v>
      </c>
      <c r="K577" s="10" t="s">
        <v>15843</v>
      </c>
      <c r="L577" s="10" t="s">
        <v>42</v>
      </c>
    </row>
    <row r="578" ht="15.75" customHeight="1">
      <c r="A578" s="66">
        <v>45478.0</v>
      </c>
      <c r="B578" s="55" t="str">
        <f>HYPERLINK("https://jobright.ai/jobs/info/66880a60576fc36f7f05f55f?utm_campaign=1051&amp;utm_source=sheet", "Apply")</f>
        <v>Apply</v>
      </c>
      <c r="C578" s="10" t="s">
        <v>15838</v>
      </c>
      <c r="D578" s="56" t="s">
        <v>15839</v>
      </c>
      <c r="E578" s="10">
        <v>4852.0</v>
      </c>
      <c r="G578" s="10" t="s">
        <v>15829</v>
      </c>
      <c r="H578" s="10" t="s">
        <v>616</v>
      </c>
      <c r="I578" s="10" t="s">
        <v>55</v>
      </c>
      <c r="J578" s="10" t="s">
        <v>15873</v>
      </c>
      <c r="K578" s="10" t="s">
        <v>15840</v>
      </c>
      <c r="L578" s="10" t="s">
        <v>42</v>
      </c>
    </row>
    <row r="579" ht="15.75" customHeight="1">
      <c r="A579" s="66">
        <v>45478.0</v>
      </c>
      <c r="B579" s="55" t="str">
        <f>HYPERLINK("https://jobright.ai/jobs/info/66880a60576fc36f7f05f55e?utm_campaign=1051&amp;utm_source=sheet", "Apply")</f>
        <v>Apply</v>
      </c>
      <c r="C579" s="10" t="s">
        <v>15838</v>
      </c>
      <c r="D579" s="56" t="s">
        <v>15839</v>
      </c>
      <c r="E579" s="10">
        <v>4852.0</v>
      </c>
      <c r="G579" s="10" t="s">
        <v>15829</v>
      </c>
      <c r="H579" s="10" t="s">
        <v>16716</v>
      </c>
      <c r="I579" s="10" t="s">
        <v>55</v>
      </c>
      <c r="K579" s="10" t="s">
        <v>15851</v>
      </c>
      <c r="L579" s="10" t="s">
        <v>42</v>
      </c>
    </row>
    <row r="580" ht="15.75" customHeight="1">
      <c r="A580" s="66">
        <v>45478.0</v>
      </c>
      <c r="B580" s="55" t="str">
        <f>HYPERLINK("https://jobright.ai/jobs/info/6687e5c3f5423f35e4cce6ba?utm_campaign=1051&amp;utm_source=sheet", "Apply")</f>
        <v>Apply</v>
      </c>
      <c r="C580" s="10" t="s">
        <v>15838</v>
      </c>
      <c r="D580" s="56" t="s">
        <v>15839</v>
      </c>
      <c r="E580" s="10">
        <v>4852.0</v>
      </c>
      <c r="G580" s="10" t="s">
        <v>15829</v>
      </c>
      <c r="H580" s="10" t="s">
        <v>16717</v>
      </c>
      <c r="I580" s="10" t="s">
        <v>55</v>
      </c>
      <c r="K580" s="10" t="s">
        <v>15851</v>
      </c>
      <c r="L580" s="10" t="s">
        <v>42</v>
      </c>
    </row>
    <row r="581" ht="15.75" customHeight="1">
      <c r="A581" s="66">
        <v>45478.0</v>
      </c>
      <c r="B581" s="55" t="str">
        <f>HYPERLINK("https://jobright.ai/jobs/info/6687e5c3f5423f35e4cce6bb?utm_campaign=1051&amp;utm_source=sheet", "Apply")</f>
        <v>Apply</v>
      </c>
      <c r="C581" s="10" t="s">
        <v>15838</v>
      </c>
      <c r="D581" s="56" t="s">
        <v>15839</v>
      </c>
      <c r="E581" s="10">
        <v>4852.0</v>
      </c>
      <c r="G581" s="10" t="s">
        <v>15829</v>
      </c>
      <c r="H581" s="10" t="s">
        <v>990</v>
      </c>
      <c r="I581" s="10" t="s">
        <v>55</v>
      </c>
      <c r="K581" s="10" t="s">
        <v>15843</v>
      </c>
      <c r="L581" s="10" t="s">
        <v>42</v>
      </c>
    </row>
    <row r="582" ht="15.75" customHeight="1">
      <c r="A582" s="66">
        <v>45478.0</v>
      </c>
      <c r="B582" s="55" t="str">
        <f>HYPERLINK("https://jobright.ai/jobs/info/6687e5c3f5423f35e4cce6bc?utm_campaign=1051&amp;utm_source=sheet", "Apply")</f>
        <v>Apply</v>
      </c>
      <c r="C582" s="10" t="s">
        <v>15838</v>
      </c>
      <c r="D582" s="56" t="s">
        <v>15839</v>
      </c>
      <c r="E582" s="10">
        <v>4852.0</v>
      </c>
      <c r="G582" s="10" t="s">
        <v>15829</v>
      </c>
      <c r="H582" s="10" t="s">
        <v>16338</v>
      </c>
      <c r="I582" s="10" t="s">
        <v>55</v>
      </c>
      <c r="K582" s="10" t="s">
        <v>15843</v>
      </c>
      <c r="L582" s="10" t="s">
        <v>42</v>
      </c>
    </row>
    <row r="583" ht="15.75" customHeight="1">
      <c r="A583" s="66">
        <v>45478.0</v>
      </c>
      <c r="B583" s="55" t="str">
        <f>HYPERLINK("https://jobright.ai/jobs/info/6687e5c3f5423f35e4cce6bd?utm_campaign=1051&amp;utm_source=sheet", "Apply")</f>
        <v>Apply</v>
      </c>
      <c r="C583" s="10" t="s">
        <v>16718</v>
      </c>
      <c r="D583" s="56" t="s">
        <v>15839</v>
      </c>
      <c r="E583" s="10">
        <v>4852.0</v>
      </c>
      <c r="G583" s="10" t="s">
        <v>15829</v>
      </c>
      <c r="H583" s="10" t="s">
        <v>1097</v>
      </c>
      <c r="I583" s="10" t="s">
        <v>55</v>
      </c>
      <c r="K583" s="10" t="s">
        <v>15840</v>
      </c>
      <c r="L583" s="10" t="s">
        <v>42</v>
      </c>
    </row>
    <row r="584" ht="15.75" customHeight="1">
      <c r="A584" s="66">
        <v>45478.0</v>
      </c>
      <c r="B584" s="55" t="str">
        <f>HYPERLINK("https://jobright.ai/jobs/info/6687e5c3f5423f35e4cce6c1?utm_campaign=1051&amp;utm_source=sheet", "Apply")</f>
        <v>Apply</v>
      </c>
      <c r="C584" s="10" t="s">
        <v>15838</v>
      </c>
      <c r="D584" s="56" t="s">
        <v>15839</v>
      </c>
      <c r="E584" s="10">
        <v>4852.0</v>
      </c>
      <c r="G584" s="10" t="s">
        <v>15829</v>
      </c>
      <c r="H584" s="10" t="s">
        <v>16719</v>
      </c>
      <c r="I584" s="10" t="s">
        <v>55</v>
      </c>
      <c r="K584" s="10" t="s">
        <v>15840</v>
      </c>
      <c r="L584" s="10" t="s">
        <v>42</v>
      </c>
    </row>
    <row r="585" ht="15.75" customHeight="1">
      <c r="A585" s="66">
        <v>45478.0</v>
      </c>
      <c r="B585" s="55" t="str">
        <f>HYPERLINK("https://jobright.ai/jobs/info/6687e5c3f5423f35e4cce6c3?utm_campaign=1051&amp;utm_source=sheet", "Apply")</f>
        <v>Apply</v>
      </c>
      <c r="C585" s="10" t="s">
        <v>15838</v>
      </c>
      <c r="D585" s="56" t="s">
        <v>15839</v>
      </c>
      <c r="E585" s="10">
        <v>4852.0</v>
      </c>
      <c r="G585" s="10" t="s">
        <v>15829</v>
      </c>
      <c r="H585" s="10" t="s">
        <v>5742</v>
      </c>
      <c r="I585" s="10" t="s">
        <v>55</v>
      </c>
      <c r="K585" s="10" t="s">
        <v>15851</v>
      </c>
      <c r="L585" s="10" t="s">
        <v>42</v>
      </c>
    </row>
    <row r="586" ht="15.75" customHeight="1">
      <c r="A586" s="66">
        <v>45478.0</v>
      </c>
      <c r="B586" s="55" t="str">
        <f>HYPERLINK("https://jobright.ai/jobs/info/6687e5c3f5423f35e4cce6be?utm_campaign=1051&amp;utm_source=sheet", "Apply")</f>
        <v>Apply</v>
      </c>
      <c r="C586" s="10" t="s">
        <v>15838</v>
      </c>
      <c r="D586" s="56" t="s">
        <v>15839</v>
      </c>
      <c r="E586" s="10">
        <v>4852.0</v>
      </c>
      <c r="G586" s="10" t="s">
        <v>15829</v>
      </c>
      <c r="H586" s="10" t="s">
        <v>16720</v>
      </c>
      <c r="I586" s="10" t="s">
        <v>55</v>
      </c>
      <c r="K586" s="10" t="s">
        <v>15851</v>
      </c>
      <c r="L586" s="10" t="s">
        <v>42</v>
      </c>
    </row>
    <row r="587" ht="15.75" customHeight="1">
      <c r="A587" s="66">
        <v>45478.0</v>
      </c>
      <c r="B587" s="55" t="str">
        <f>HYPERLINK("https://jobright.ai/jobs/info/6687e5c3f5423f35e4cce6c2?utm_campaign=1051&amp;utm_source=sheet", "Apply")</f>
        <v>Apply</v>
      </c>
      <c r="C587" s="10" t="s">
        <v>15838</v>
      </c>
      <c r="D587" s="56" t="s">
        <v>15839</v>
      </c>
      <c r="E587" s="10">
        <v>4852.0</v>
      </c>
      <c r="G587" s="10" t="s">
        <v>15829</v>
      </c>
      <c r="H587" s="10" t="s">
        <v>16721</v>
      </c>
      <c r="I587" s="10" t="s">
        <v>55</v>
      </c>
      <c r="K587" s="10" t="s">
        <v>15843</v>
      </c>
      <c r="L587" s="10" t="s">
        <v>42</v>
      </c>
    </row>
    <row r="588" ht="15.75" customHeight="1">
      <c r="A588" s="66">
        <v>45478.0</v>
      </c>
      <c r="B588" s="55" t="str">
        <f>HYPERLINK("https://jobright.ai/jobs/info/6687e5c3f5423f35e4cce6c6?utm_campaign=1051&amp;utm_source=sheet", "Apply")</f>
        <v>Apply</v>
      </c>
      <c r="C588" s="10" t="s">
        <v>15838</v>
      </c>
      <c r="D588" s="56" t="s">
        <v>15839</v>
      </c>
      <c r="E588" s="10">
        <v>4852.0</v>
      </c>
      <c r="G588" s="10" t="s">
        <v>15829</v>
      </c>
      <c r="H588" s="10" t="s">
        <v>884</v>
      </c>
      <c r="I588" s="10" t="s">
        <v>55</v>
      </c>
      <c r="K588" s="10" t="s">
        <v>15843</v>
      </c>
      <c r="L588" s="10" t="s">
        <v>42</v>
      </c>
    </row>
    <row r="589" ht="15.75" customHeight="1">
      <c r="A589" s="66">
        <v>45478.0</v>
      </c>
      <c r="B589" s="55" t="str">
        <f>HYPERLINK("https://jobright.ai/jobs/info/6687e5c3f5423f35e4cce6c7?utm_campaign=1051&amp;utm_source=sheet", "Apply")</f>
        <v>Apply</v>
      </c>
      <c r="C589" s="10" t="s">
        <v>15838</v>
      </c>
      <c r="D589" s="56" t="s">
        <v>15839</v>
      </c>
      <c r="E589" s="10">
        <v>4852.0</v>
      </c>
      <c r="G589" s="10" t="s">
        <v>15829</v>
      </c>
      <c r="H589" s="10" t="s">
        <v>16722</v>
      </c>
      <c r="I589" s="10" t="s">
        <v>55</v>
      </c>
      <c r="J589" s="10" t="s">
        <v>15873</v>
      </c>
      <c r="K589" s="10" t="s">
        <v>15840</v>
      </c>
      <c r="L589" s="10" t="s">
        <v>42</v>
      </c>
    </row>
    <row r="590" ht="15.75" customHeight="1">
      <c r="A590" s="66">
        <v>45478.0</v>
      </c>
      <c r="B590" s="55" t="str">
        <f>HYPERLINK("https://jobright.ai/jobs/info/6687e5c3f5423f35e4cce6c4?utm_campaign=1051&amp;utm_source=sheet", "Apply")</f>
        <v>Apply</v>
      </c>
      <c r="C590" s="10" t="s">
        <v>16723</v>
      </c>
      <c r="D590" s="56" t="s">
        <v>15839</v>
      </c>
      <c r="E590" s="10">
        <v>4852.0</v>
      </c>
      <c r="G590" s="10" t="s">
        <v>15829</v>
      </c>
      <c r="H590" s="10" t="s">
        <v>16724</v>
      </c>
      <c r="I590" s="10" t="s">
        <v>55</v>
      </c>
      <c r="K590" s="10" t="s">
        <v>15840</v>
      </c>
      <c r="L590" s="10" t="s">
        <v>42</v>
      </c>
    </row>
    <row r="591" ht="15.75" customHeight="1">
      <c r="A591" s="66">
        <v>45478.0</v>
      </c>
      <c r="B591" s="55" t="str">
        <f>HYPERLINK("https://jobright.ai/jobs/info/6687e5c3f5423f35e4cce6c5?utm_campaign=1051&amp;utm_source=sheet", "Apply")</f>
        <v>Apply</v>
      </c>
      <c r="C591" s="10" t="s">
        <v>15838</v>
      </c>
      <c r="D591" s="56" t="s">
        <v>15839</v>
      </c>
      <c r="E591" s="10">
        <v>4852.0</v>
      </c>
      <c r="G591" s="10" t="s">
        <v>15829</v>
      </c>
      <c r="H591" s="10" t="s">
        <v>7362</v>
      </c>
      <c r="I591" s="10" t="s">
        <v>55</v>
      </c>
      <c r="J591" s="10" t="s">
        <v>15873</v>
      </c>
      <c r="K591" s="10" t="s">
        <v>15840</v>
      </c>
      <c r="L591" s="10" t="s">
        <v>42</v>
      </c>
    </row>
    <row r="592" ht="15.75" customHeight="1">
      <c r="A592" s="66">
        <v>45478.0</v>
      </c>
      <c r="B592" s="55" t="str">
        <f>HYPERLINK("https://jobright.ai/jobs/info/6687e5c3f5423f35e4cce6c0?utm_campaign=1051&amp;utm_source=sheet", "Apply")</f>
        <v>Apply</v>
      </c>
      <c r="C592" s="10" t="s">
        <v>15838</v>
      </c>
      <c r="D592" s="56" t="s">
        <v>15839</v>
      </c>
      <c r="E592" s="10">
        <v>4852.0</v>
      </c>
      <c r="G592" s="10" t="s">
        <v>15829</v>
      </c>
      <c r="H592" s="10" t="s">
        <v>10713</v>
      </c>
      <c r="I592" s="10" t="s">
        <v>55</v>
      </c>
      <c r="K592" s="10" t="s">
        <v>15851</v>
      </c>
      <c r="L592" s="10" t="s">
        <v>42</v>
      </c>
    </row>
    <row r="593" ht="15.75" customHeight="1">
      <c r="A593" s="66">
        <v>45478.0</v>
      </c>
      <c r="B593" s="55" t="str">
        <f>HYPERLINK("https://jobright.ai/jobs/info/6687e5c3f5423f35e4cce6c8?utm_campaign=1051&amp;utm_source=sheet", "Apply")</f>
        <v>Apply</v>
      </c>
      <c r="C593" s="10" t="s">
        <v>15838</v>
      </c>
      <c r="D593" s="56" t="s">
        <v>15839</v>
      </c>
      <c r="E593" s="10">
        <v>4852.0</v>
      </c>
      <c r="G593" s="10" t="s">
        <v>15829</v>
      </c>
      <c r="H593" s="10" t="s">
        <v>921</v>
      </c>
      <c r="I593" s="10" t="s">
        <v>55</v>
      </c>
      <c r="K593" s="10" t="s">
        <v>15840</v>
      </c>
      <c r="L593" s="10" t="s">
        <v>42</v>
      </c>
    </row>
    <row r="594" ht="15.75" customHeight="1">
      <c r="A594" s="66">
        <v>45478.0</v>
      </c>
      <c r="B594" s="55" t="str">
        <f>HYPERLINK("https://jobright.ai/jobs/info/6687e5ccf5423f35e4cce6cb?utm_campaign=1051&amp;utm_source=sheet", "Apply")</f>
        <v>Apply</v>
      </c>
      <c r="C594" s="10" t="s">
        <v>15838</v>
      </c>
      <c r="D594" s="56" t="s">
        <v>15839</v>
      </c>
      <c r="E594" s="10">
        <v>4852.0</v>
      </c>
      <c r="G594" s="10" t="s">
        <v>15829</v>
      </c>
      <c r="H594" s="10" t="s">
        <v>16725</v>
      </c>
      <c r="I594" s="10" t="s">
        <v>55</v>
      </c>
      <c r="J594" s="10" t="s">
        <v>16726</v>
      </c>
      <c r="K594" s="10" t="s">
        <v>16727</v>
      </c>
      <c r="L594" s="10" t="s">
        <v>42</v>
      </c>
    </row>
    <row r="595" ht="15.75" customHeight="1">
      <c r="A595" s="66">
        <v>45478.0</v>
      </c>
      <c r="B595" s="55" t="str">
        <f>HYPERLINK("https://jobright.ai/jobs/info/6687e5ccf5423f35e4cce6cc?utm_campaign=1051&amp;utm_source=sheet", "Apply")</f>
        <v>Apply</v>
      </c>
      <c r="C595" s="10" t="s">
        <v>15838</v>
      </c>
      <c r="D595" s="56" t="s">
        <v>15839</v>
      </c>
      <c r="E595" s="10">
        <v>4852.0</v>
      </c>
      <c r="G595" s="10" t="s">
        <v>15829</v>
      </c>
      <c r="H595" s="10" t="s">
        <v>16728</v>
      </c>
      <c r="I595" s="10" t="s">
        <v>55</v>
      </c>
      <c r="J595" s="10" t="s">
        <v>16147</v>
      </c>
      <c r="K595" s="10" t="s">
        <v>15961</v>
      </c>
      <c r="L595" s="10" t="s">
        <v>42</v>
      </c>
    </row>
    <row r="596" ht="15.75" customHeight="1">
      <c r="A596" s="66">
        <v>45478.0</v>
      </c>
      <c r="B596" s="55" t="str">
        <f>HYPERLINK("https://jobright.ai/jobs/info/6687e5ccf5423f35e4cce6cf?utm_campaign=1051&amp;utm_source=sheet", "Apply")</f>
        <v>Apply</v>
      </c>
      <c r="C596" s="10" t="s">
        <v>15838</v>
      </c>
      <c r="D596" s="56" t="s">
        <v>15839</v>
      </c>
      <c r="E596" s="10">
        <v>4852.0</v>
      </c>
      <c r="G596" s="10" t="s">
        <v>15829</v>
      </c>
      <c r="H596" s="10" t="s">
        <v>405</v>
      </c>
      <c r="I596" s="10" t="s">
        <v>55</v>
      </c>
      <c r="J596" s="10" t="s">
        <v>15873</v>
      </c>
      <c r="K596" s="10" t="s">
        <v>15840</v>
      </c>
      <c r="L596" s="10" t="s">
        <v>42</v>
      </c>
    </row>
    <row r="597" ht="15.75" customHeight="1">
      <c r="A597" s="66">
        <v>45478.0</v>
      </c>
      <c r="B597" s="55" t="str">
        <f>HYPERLINK("https://jobright.ai/jobs/info/6687e5ccf5423f35e4cce6cd?utm_campaign=1051&amp;utm_source=sheet", "Apply")</f>
        <v>Apply</v>
      </c>
      <c r="C597" s="10" t="s">
        <v>15838</v>
      </c>
      <c r="D597" s="56" t="s">
        <v>15839</v>
      </c>
      <c r="E597" s="10">
        <v>4852.0</v>
      </c>
      <c r="G597" s="10" t="s">
        <v>15829</v>
      </c>
      <c r="H597" s="10" t="s">
        <v>609</v>
      </c>
      <c r="I597" s="10" t="s">
        <v>55</v>
      </c>
      <c r="K597" s="10" t="s">
        <v>15851</v>
      </c>
      <c r="L597" s="10" t="s">
        <v>42</v>
      </c>
    </row>
    <row r="598" ht="15.75" customHeight="1">
      <c r="A598" s="66">
        <v>45478.0</v>
      </c>
      <c r="B598" s="55" t="str">
        <f>HYPERLINK("https://jobright.ai/jobs/info/6687e5ccf5423f35e4cce6d0?utm_campaign=1051&amp;utm_source=sheet", "Apply")</f>
        <v>Apply</v>
      </c>
      <c r="C598" s="10" t="s">
        <v>15838</v>
      </c>
      <c r="D598" s="56" t="s">
        <v>15839</v>
      </c>
      <c r="E598" s="10">
        <v>4852.0</v>
      </c>
      <c r="G598" s="10" t="s">
        <v>15829</v>
      </c>
      <c r="H598" s="10" t="s">
        <v>816</v>
      </c>
      <c r="I598" s="10" t="s">
        <v>55</v>
      </c>
      <c r="K598" s="10" t="s">
        <v>15843</v>
      </c>
      <c r="L598" s="10" t="s">
        <v>42</v>
      </c>
    </row>
    <row r="599" ht="15.75" customHeight="1">
      <c r="A599" s="66">
        <v>45478.0</v>
      </c>
      <c r="B599" s="55" t="str">
        <f>HYPERLINK("https://jobright.ai/jobs/info/6687fdc591d12b5974c704c6?utm_campaign=1051&amp;utm_source=sheet", "Apply")</f>
        <v>Apply</v>
      </c>
      <c r="C599" s="10" t="s">
        <v>15838</v>
      </c>
      <c r="D599" s="56" t="s">
        <v>15839</v>
      </c>
      <c r="E599" s="10">
        <v>4852.0</v>
      </c>
      <c r="G599" s="10" t="s">
        <v>15829</v>
      </c>
      <c r="H599" s="10" t="s">
        <v>822</v>
      </c>
      <c r="I599" s="10" t="s">
        <v>55</v>
      </c>
      <c r="J599" s="10" t="s">
        <v>8269</v>
      </c>
      <c r="K599" s="10" t="s">
        <v>15842</v>
      </c>
      <c r="L599" s="10" t="s">
        <v>42</v>
      </c>
    </row>
    <row r="600" ht="15.75" customHeight="1">
      <c r="A600" s="66">
        <v>45478.0</v>
      </c>
      <c r="B600" s="55" t="str">
        <f>HYPERLINK("https://jobright.ai/jobs/info/6687fdc591d12b5974c704c5?utm_campaign=1051&amp;utm_source=sheet", "Apply")</f>
        <v>Apply</v>
      </c>
      <c r="C600" s="10" t="s">
        <v>15838</v>
      </c>
      <c r="D600" s="56" t="s">
        <v>15839</v>
      </c>
      <c r="E600" s="10">
        <v>4852.0</v>
      </c>
      <c r="G600" s="10" t="s">
        <v>15829</v>
      </c>
      <c r="H600" s="10" t="s">
        <v>1028</v>
      </c>
      <c r="I600" s="10" t="s">
        <v>55</v>
      </c>
      <c r="K600" s="10" t="s">
        <v>15843</v>
      </c>
      <c r="L600" s="10" t="s">
        <v>42</v>
      </c>
    </row>
    <row r="601" ht="15.75" customHeight="1">
      <c r="A601" s="66">
        <v>45478.0</v>
      </c>
      <c r="B601" s="55" t="str">
        <f>HYPERLINK("https://jobright.ai/jobs/info/6687fdc591d12b5974c704c7?utm_campaign=1051&amp;utm_source=sheet", "Apply")</f>
        <v>Apply</v>
      </c>
      <c r="C601" s="10" t="s">
        <v>16729</v>
      </c>
      <c r="D601" s="56" t="s">
        <v>15839</v>
      </c>
      <c r="E601" s="10">
        <v>4852.0</v>
      </c>
      <c r="G601" s="10" t="s">
        <v>15829</v>
      </c>
      <c r="H601" s="10" t="s">
        <v>854</v>
      </c>
      <c r="I601" s="10" t="s">
        <v>55</v>
      </c>
      <c r="K601" s="10" t="s">
        <v>16730</v>
      </c>
      <c r="L601" s="10" t="s">
        <v>42</v>
      </c>
    </row>
    <row r="602" ht="15.75" customHeight="1">
      <c r="A602" s="66">
        <v>45478.0</v>
      </c>
      <c r="B602" s="55" t="str">
        <f>HYPERLINK("https://jobright.ai/jobs/info/6687efc28d77caa13731f481?utm_campaign=1051&amp;utm_source=sheet", "Apply")</f>
        <v>Apply</v>
      </c>
      <c r="C602" s="10" t="s">
        <v>15838</v>
      </c>
      <c r="D602" s="56" t="s">
        <v>15839</v>
      </c>
      <c r="E602" s="10">
        <v>4852.0</v>
      </c>
      <c r="G602" s="10" t="s">
        <v>15829</v>
      </c>
      <c r="H602" s="10" t="s">
        <v>10033</v>
      </c>
      <c r="I602" s="10" t="s">
        <v>55</v>
      </c>
      <c r="K602" s="10" t="s">
        <v>15843</v>
      </c>
      <c r="L602" s="10" t="s">
        <v>42</v>
      </c>
    </row>
    <row r="603" ht="15.75" customHeight="1">
      <c r="A603" s="66">
        <v>45478.0</v>
      </c>
      <c r="B603" s="55" t="str">
        <f>HYPERLINK("https://jobright.ai/jobs/info/6687efc28d77caa13731f482?utm_campaign=1051&amp;utm_source=sheet", "Apply")</f>
        <v>Apply</v>
      </c>
      <c r="C603" s="10" t="s">
        <v>15838</v>
      </c>
      <c r="D603" s="56" t="s">
        <v>15839</v>
      </c>
      <c r="E603" s="10">
        <v>4852.0</v>
      </c>
      <c r="G603" s="10" t="s">
        <v>15829</v>
      </c>
      <c r="H603" s="10" t="s">
        <v>4208</v>
      </c>
      <c r="I603" s="10" t="s">
        <v>55</v>
      </c>
      <c r="K603" s="10" t="s">
        <v>15843</v>
      </c>
      <c r="L603" s="10" t="s">
        <v>42</v>
      </c>
    </row>
    <row r="604" ht="15.75" customHeight="1">
      <c r="A604" s="66">
        <v>45478.0</v>
      </c>
      <c r="B604" s="55" t="str">
        <f>HYPERLINK("https://jobright.ai/jobs/info/6687efc28d77caa13731f483?utm_campaign=1051&amp;utm_source=sheet", "Apply")</f>
        <v>Apply</v>
      </c>
      <c r="C604" s="10" t="s">
        <v>15838</v>
      </c>
      <c r="D604" s="56" t="s">
        <v>15839</v>
      </c>
      <c r="E604" s="10">
        <v>4852.0</v>
      </c>
      <c r="G604" s="10" t="s">
        <v>15829</v>
      </c>
      <c r="H604" s="10" t="s">
        <v>16731</v>
      </c>
      <c r="I604" s="10" t="s">
        <v>55</v>
      </c>
      <c r="K604" s="10" t="s">
        <v>15840</v>
      </c>
      <c r="L604" s="10" t="s">
        <v>42</v>
      </c>
    </row>
    <row r="605" ht="15.75" customHeight="1">
      <c r="A605" s="66">
        <v>45478.0</v>
      </c>
      <c r="B605" s="55" t="str">
        <f>HYPERLINK("https://jobright.ai/jobs/info/6687d37f4284c3a878b085a5?utm_campaign=1051&amp;utm_source=sheet", "Apply")</f>
        <v>Apply</v>
      </c>
      <c r="C605" s="10" t="s">
        <v>15838</v>
      </c>
      <c r="D605" s="56" t="s">
        <v>15839</v>
      </c>
      <c r="E605" s="10">
        <v>4852.0</v>
      </c>
      <c r="G605" s="10" t="s">
        <v>15829</v>
      </c>
      <c r="H605" s="10" t="s">
        <v>16732</v>
      </c>
      <c r="I605" s="10" t="s">
        <v>55</v>
      </c>
      <c r="K605" s="10" t="s">
        <v>15851</v>
      </c>
      <c r="L605" s="10" t="s">
        <v>42</v>
      </c>
    </row>
    <row r="606" ht="15.75" customHeight="1">
      <c r="A606" s="66">
        <v>45478.0</v>
      </c>
      <c r="B606" s="55" t="str">
        <f>HYPERLINK("https://jobright.ai/jobs/info/6687d37f4284c3a878b085a6?utm_campaign=1051&amp;utm_source=sheet", "Apply")</f>
        <v>Apply</v>
      </c>
      <c r="C606" s="10" t="s">
        <v>15838</v>
      </c>
      <c r="D606" s="56" t="s">
        <v>15839</v>
      </c>
      <c r="E606" s="10">
        <v>4852.0</v>
      </c>
      <c r="G606" s="10" t="s">
        <v>15829</v>
      </c>
      <c r="H606" s="10" t="s">
        <v>1027</v>
      </c>
      <c r="I606" s="10" t="s">
        <v>55</v>
      </c>
      <c r="K606" s="10" t="s">
        <v>16674</v>
      </c>
      <c r="L606" s="10" t="s">
        <v>42</v>
      </c>
    </row>
    <row r="607" ht="15.75" customHeight="1">
      <c r="A607" s="66">
        <v>45478.0</v>
      </c>
      <c r="B607" s="55" t="str">
        <f>HYPERLINK("https://jobright.ai/jobs/info/6687d7a846a9419a30f83441?utm_campaign=1051&amp;utm_source=sheet", "Apply")</f>
        <v>Apply</v>
      </c>
      <c r="C607" s="10" t="s">
        <v>15838</v>
      </c>
      <c r="D607" s="56" t="s">
        <v>15839</v>
      </c>
      <c r="E607" s="10">
        <v>4852.0</v>
      </c>
      <c r="G607" s="10" t="s">
        <v>15829</v>
      </c>
      <c r="H607" s="10" t="s">
        <v>16733</v>
      </c>
      <c r="I607" s="10" t="s">
        <v>55</v>
      </c>
      <c r="K607" s="10" t="s">
        <v>15843</v>
      </c>
      <c r="L607" s="10" t="s">
        <v>42</v>
      </c>
    </row>
    <row r="608" ht="15.75" customHeight="1">
      <c r="A608" s="66">
        <v>45478.0</v>
      </c>
      <c r="B608" s="55" t="str">
        <f>HYPERLINK("https://jobright.ai/jobs/info/6687d37f4284c3a878b085a7?utm_campaign=1051&amp;utm_source=sheet", "Apply")</f>
        <v>Apply</v>
      </c>
      <c r="C608" s="10" t="s">
        <v>15838</v>
      </c>
      <c r="D608" s="56" t="s">
        <v>15839</v>
      </c>
      <c r="E608" s="10">
        <v>4852.0</v>
      </c>
      <c r="G608" s="10" t="s">
        <v>15829</v>
      </c>
      <c r="H608" s="10" t="s">
        <v>16734</v>
      </c>
      <c r="I608" s="10" t="s">
        <v>55</v>
      </c>
      <c r="K608" s="10" t="s">
        <v>15840</v>
      </c>
      <c r="L608" s="10" t="s">
        <v>42</v>
      </c>
    </row>
    <row r="609" ht="15.75" customHeight="1">
      <c r="A609" s="66">
        <v>45478.0</v>
      </c>
      <c r="B609" s="55" t="str">
        <f>HYPERLINK("https://jobright.ai/jobs/info/6687e02cd2a452d5e24c70ce?utm_campaign=1051&amp;utm_source=sheet", "Apply")</f>
        <v>Apply</v>
      </c>
      <c r="C609" s="10" t="s">
        <v>15838</v>
      </c>
      <c r="D609" s="56" t="s">
        <v>15839</v>
      </c>
      <c r="E609" s="10">
        <v>4852.0</v>
      </c>
      <c r="G609" s="10" t="s">
        <v>15829</v>
      </c>
      <c r="H609" s="10" t="s">
        <v>972</v>
      </c>
      <c r="I609" s="10" t="s">
        <v>55</v>
      </c>
      <c r="K609" s="10" t="s">
        <v>15851</v>
      </c>
      <c r="L609" s="10" t="s">
        <v>42</v>
      </c>
    </row>
    <row r="610" ht="15.75" customHeight="1">
      <c r="A610" s="66">
        <v>45478.0</v>
      </c>
      <c r="B610" s="55" t="str">
        <f>HYPERLINK("https://jobright.ai/jobs/info/6687d37f4284c3a878b085a9?utm_campaign=1051&amp;utm_source=sheet", "Apply")</f>
        <v>Apply</v>
      </c>
      <c r="C610" s="10" t="s">
        <v>15838</v>
      </c>
      <c r="D610" s="56" t="s">
        <v>15839</v>
      </c>
      <c r="E610" s="10">
        <v>4852.0</v>
      </c>
      <c r="G610" s="10" t="s">
        <v>15829</v>
      </c>
      <c r="H610" s="10" t="s">
        <v>836</v>
      </c>
      <c r="I610" s="10" t="s">
        <v>55</v>
      </c>
      <c r="K610" s="10" t="s">
        <v>15843</v>
      </c>
      <c r="L610" s="10" t="s">
        <v>42</v>
      </c>
    </row>
    <row r="611" ht="15.75" customHeight="1">
      <c r="A611" s="66">
        <v>45478.0</v>
      </c>
      <c r="B611" s="55" t="str">
        <f>HYPERLINK("https://jobright.ai/jobs/info/6687d37f4284c3a878b085ad?utm_campaign=1051&amp;utm_source=sheet", "Apply")</f>
        <v>Apply</v>
      </c>
      <c r="C611" s="10" t="s">
        <v>15838</v>
      </c>
      <c r="D611" s="56" t="s">
        <v>15839</v>
      </c>
      <c r="E611" s="10">
        <v>4852.0</v>
      </c>
      <c r="G611" s="10" t="s">
        <v>15829</v>
      </c>
      <c r="H611" s="10" t="s">
        <v>621</v>
      </c>
      <c r="I611" s="10" t="s">
        <v>55</v>
      </c>
      <c r="J611" s="10" t="s">
        <v>16147</v>
      </c>
      <c r="K611" s="10" t="s">
        <v>15961</v>
      </c>
      <c r="L611" s="10" t="s">
        <v>42</v>
      </c>
    </row>
    <row r="612" ht="15.75" customHeight="1">
      <c r="A612" s="66">
        <v>45478.0</v>
      </c>
      <c r="B612" s="55" t="str">
        <f>HYPERLINK("https://jobright.ai/jobs/info/6687d37f4284c3a878b085ab?utm_campaign=1051&amp;utm_source=sheet", "Apply")</f>
        <v>Apply</v>
      </c>
      <c r="C612" s="10" t="s">
        <v>15838</v>
      </c>
      <c r="D612" s="56" t="s">
        <v>15839</v>
      </c>
      <c r="E612" s="10">
        <v>4852.0</v>
      </c>
      <c r="G612" s="10" t="s">
        <v>15829</v>
      </c>
      <c r="H612" s="10" t="s">
        <v>174</v>
      </c>
      <c r="I612" s="10" t="s">
        <v>55</v>
      </c>
      <c r="K612" s="10" t="s">
        <v>15843</v>
      </c>
      <c r="L612" s="10" t="s">
        <v>42</v>
      </c>
    </row>
    <row r="613" ht="15.75" customHeight="1">
      <c r="A613" s="66">
        <v>45478.0</v>
      </c>
      <c r="B613" s="55" t="str">
        <f>HYPERLINK("https://jobright.ai/jobs/info/6687d7a846a9419a30f83442?utm_campaign=1051&amp;utm_source=sheet", "Apply")</f>
        <v>Apply</v>
      </c>
      <c r="C613" s="10" t="s">
        <v>15838</v>
      </c>
      <c r="D613" s="56" t="s">
        <v>15839</v>
      </c>
      <c r="E613" s="10">
        <v>4852.0</v>
      </c>
      <c r="G613" s="10" t="s">
        <v>15829</v>
      </c>
      <c r="H613" s="10" t="s">
        <v>5996</v>
      </c>
      <c r="I613" s="10" t="s">
        <v>55</v>
      </c>
      <c r="J613" s="10" t="s">
        <v>15638</v>
      </c>
      <c r="K613" s="10" t="s">
        <v>15961</v>
      </c>
      <c r="L613" s="10" t="s">
        <v>42</v>
      </c>
    </row>
    <row r="614" ht="15.75" customHeight="1">
      <c r="A614" s="66">
        <v>45478.0</v>
      </c>
      <c r="B614" s="55" t="str">
        <f>HYPERLINK("https://jobright.ai/jobs/info/6687d37f4284c3a878b085ac?utm_campaign=1051&amp;utm_source=sheet", "Apply")</f>
        <v>Apply</v>
      </c>
      <c r="C614" s="10" t="s">
        <v>15838</v>
      </c>
      <c r="D614" s="56" t="s">
        <v>15839</v>
      </c>
      <c r="E614" s="10">
        <v>4852.0</v>
      </c>
      <c r="G614" s="10" t="s">
        <v>15829</v>
      </c>
      <c r="H614" s="10" t="s">
        <v>13300</v>
      </c>
      <c r="I614" s="10" t="s">
        <v>55</v>
      </c>
      <c r="K614" s="10" t="s">
        <v>15843</v>
      </c>
      <c r="L614" s="10" t="s">
        <v>42</v>
      </c>
    </row>
    <row r="615" ht="15.75" customHeight="1">
      <c r="A615" s="66">
        <v>45478.0</v>
      </c>
      <c r="B615" s="55" t="str">
        <f>HYPERLINK("https://jobright.ai/jobs/info/6687e02cd2a452d5e24c70cf?utm_campaign=1051&amp;utm_source=sheet", "Apply")</f>
        <v>Apply</v>
      </c>
      <c r="C615" s="10" t="s">
        <v>15838</v>
      </c>
      <c r="D615" s="56" t="s">
        <v>15839</v>
      </c>
      <c r="E615" s="10">
        <v>4852.0</v>
      </c>
      <c r="G615" s="10" t="s">
        <v>15829</v>
      </c>
      <c r="H615" s="10" t="s">
        <v>860</v>
      </c>
      <c r="I615" s="10" t="s">
        <v>55</v>
      </c>
      <c r="K615" s="10" t="s">
        <v>16674</v>
      </c>
      <c r="L615" s="10" t="s">
        <v>42</v>
      </c>
    </row>
    <row r="616" ht="15.75" customHeight="1">
      <c r="A616" s="66">
        <v>45478.0</v>
      </c>
      <c r="B616" s="55" t="str">
        <f>HYPERLINK("https://jobright.ai/jobs/info/6687d7a846a9419a30f83443?utm_campaign=1051&amp;utm_source=sheet", "Apply")</f>
        <v>Apply</v>
      </c>
      <c r="C616" s="10" t="s">
        <v>15838</v>
      </c>
      <c r="D616" s="56" t="s">
        <v>15839</v>
      </c>
      <c r="E616" s="10">
        <v>4852.0</v>
      </c>
      <c r="G616" s="10" t="s">
        <v>15829</v>
      </c>
      <c r="H616" s="10" t="s">
        <v>16735</v>
      </c>
      <c r="I616" s="10" t="s">
        <v>55</v>
      </c>
      <c r="K616" s="10" t="s">
        <v>15851</v>
      </c>
      <c r="L616" s="10" t="s">
        <v>42</v>
      </c>
    </row>
    <row r="617" ht="15.75" customHeight="1">
      <c r="A617" s="66">
        <v>45478.0</v>
      </c>
      <c r="B617" s="55" t="str">
        <f>HYPERLINK("https://jobright.ai/jobs/info/6687d37f4284c3a878b085b1?utm_campaign=1051&amp;utm_source=sheet", "Apply")</f>
        <v>Apply</v>
      </c>
      <c r="C617" s="10" t="s">
        <v>16736</v>
      </c>
      <c r="D617" s="56" t="s">
        <v>15839</v>
      </c>
      <c r="E617" s="10">
        <v>4852.0</v>
      </c>
      <c r="G617" s="10" t="s">
        <v>15829</v>
      </c>
      <c r="H617" s="10" t="s">
        <v>872</v>
      </c>
      <c r="I617" s="10" t="s">
        <v>55</v>
      </c>
      <c r="K617" s="10" t="s">
        <v>15961</v>
      </c>
      <c r="L617" s="10" t="s">
        <v>42</v>
      </c>
    </row>
    <row r="618" ht="15.75" customHeight="1">
      <c r="A618" s="66">
        <v>45478.0</v>
      </c>
      <c r="B618" s="55" t="str">
        <f>HYPERLINK("https://jobright.ai/jobs/info/6687d7a846a9419a30f83445?utm_campaign=1051&amp;utm_source=sheet", "Apply")</f>
        <v>Apply</v>
      </c>
      <c r="C618" s="10" t="s">
        <v>15838</v>
      </c>
      <c r="D618" s="56" t="s">
        <v>15839</v>
      </c>
      <c r="E618" s="10">
        <v>4852.0</v>
      </c>
      <c r="G618" s="10" t="s">
        <v>15829</v>
      </c>
      <c r="H618" s="10" t="s">
        <v>271</v>
      </c>
      <c r="I618" s="10" t="s">
        <v>55</v>
      </c>
      <c r="K618" s="10" t="s">
        <v>15851</v>
      </c>
      <c r="L618" s="10" t="s">
        <v>42</v>
      </c>
    </row>
    <row r="619" ht="15.75" customHeight="1">
      <c r="A619" s="66">
        <v>45478.0</v>
      </c>
      <c r="B619" s="55" t="str">
        <f>HYPERLINK("https://jobright.ai/jobs/info/6687e02cd2a452d5e24c70d0?utm_campaign=1051&amp;utm_source=sheet", "Apply")</f>
        <v>Apply</v>
      </c>
      <c r="C619" s="10" t="s">
        <v>15838</v>
      </c>
      <c r="D619" s="56" t="s">
        <v>15839</v>
      </c>
      <c r="E619" s="10">
        <v>4852.0</v>
      </c>
      <c r="G619" s="10" t="s">
        <v>15829</v>
      </c>
      <c r="H619" s="10" t="s">
        <v>991</v>
      </c>
      <c r="I619" s="10" t="s">
        <v>55</v>
      </c>
      <c r="K619" s="10" t="s">
        <v>15840</v>
      </c>
      <c r="L619" s="10" t="s">
        <v>42</v>
      </c>
    </row>
    <row r="620" ht="15.75" customHeight="1">
      <c r="A620" s="66">
        <v>45478.0</v>
      </c>
      <c r="B620" s="55" t="str">
        <f>HYPERLINK("https://jobright.ai/jobs/info/6687d7a846a9419a30f83448?utm_campaign=1051&amp;utm_source=sheet", "Apply")</f>
        <v>Apply</v>
      </c>
      <c r="C620" s="10" t="s">
        <v>15838</v>
      </c>
      <c r="D620" s="56" t="s">
        <v>15839</v>
      </c>
      <c r="E620" s="10">
        <v>4852.0</v>
      </c>
      <c r="G620" s="10" t="s">
        <v>15829</v>
      </c>
      <c r="H620" s="10" t="s">
        <v>16737</v>
      </c>
      <c r="I620" s="10" t="s">
        <v>55</v>
      </c>
      <c r="K620" s="10" t="s">
        <v>15840</v>
      </c>
      <c r="L620" s="10" t="s">
        <v>42</v>
      </c>
    </row>
    <row r="621" ht="15.75" customHeight="1">
      <c r="A621" s="66">
        <v>45478.0</v>
      </c>
      <c r="B621" s="55" t="str">
        <f>HYPERLINK("https://jobright.ai/jobs/info/6687d7a846a9419a30f83447?utm_campaign=1051&amp;utm_source=sheet", "Apply")</f>
        <v>Apply</v>
      </c>
      <c r="C621" s="10" t="s">
        <v>15838</v>
      </c>
      <c r="D621" s="56" t="s">
        <v>15839</v>
      </c>
      <c r="E621" s="10">
        <v>4852.0</v>
      </c>
      <c r="G621" s="10" t="s">
        <v>15829</v>
      </c>
      <c r="H621" s="10" t="s">
        <v>2831</v>
      </c>
      <c r="I621" s="10" t="s">
        <v>55</v>
      </c>
      <c r="K621" s="10" t="s">
        <v>15851</v>
      </c>
      <c r="L621" s="10" t="s">
        <v>42</v>
      </c>
    </row>
    <row r="622" ht="15.75" customHeight="1">
      <c r="A622" s="66">
        <v>45478.0</v>
      </c>
      <c r="B622" s="55" t="str">
        <f>HYPERLINK("https://jobright.ai/jobs/info/6687d7a846a9419a30f8344a?utm_campaign=1051&amp;utm_source=sheet", "Apply")</f>
        <v>Apply</v>
      </c>
      <c r="C622" s="10" t="s">
        <v>15838</v>
      </c>
      <c r="D622" s="56" t="s">
        <v>15839</v>
      </c>
      <c r="E622" s="10">
        <v>4852.0</v>
      </c>
      <c r="G622" s="10" t="s">
        <v>15829</v>
      </c>
      <c r="H622" s="10" t="s">
        <v>10654</v>
      </c>
      <c r="I622" s="10" t="s">
        <v>55</v>
      </c>
      <c r="K622" s="10" t="s">
        <v>15840</v>
      </c>
      <c r="L622" s="10" t="s">
        <v>42</v>
      </c>
    </row>
    <row r="623" ht="15.75" customHeight="1">
      <c r="A623" s="66">
        <v>45478.0</v>
      </c>
      <c r="B623" s="55" t="str">
        <f>HYPERLINK("https://jobright.ai/jobs/info/6687d7a846a9419a30f83454?utm_campaign=1051&amp;utm_source=sheet", "Apply")</f>
        <v>Apply</v>
      </c>
      <c r="C623" s="10" t="s">
        <v>15838</v>
      </c>
      <c r="D623" s="56" t="s">
        <v>15839</v>
      </c>
      <c r="E623" s="10">
        <v>4852.0</v>
      </c>
      <c r="G623" s="10" t="s">
        <v>15829</v>
      </c>
      <c r="H623" s="10" t="s">
        <v>800</v>
      </c>
      <c r="I623" s="10" t="s">
        <v>55</v>
      </c>
      <c r="K623" s="10" t="s">
        <v>15843</v>
      </c>
      <c r="L623" s="10" t="s">
        <v>42</v>
      </c>
    </row>
    <row r="624" ht="15.75" customHeight="1">
      <c r="A624" s="66">
        <v>45478.0</v>
      </c>
      <c r="B624" s="55" t="str">
        <f>HYPERLINK("https://jobright.ai/jobs/info/6687d37f4284c3a878b085b3?utm_campaign=1051&amp;utm_source=sheet", "Apply")</f>
        <v>Apply</v>
      </c>
      <c r="C624" s="10" t="s">
        <v>15838</v>
      </c>
      <c r="D624" s="56" t="s">
        <v>15839</v>
      </c>
      <c r="E624" s="10">
        <v>4852.0</v>
      </c>
      <c r="G624" s="10" t="s">
        <v>15829</v>
      </c>
      <c r="H624" s="10" t="s">
        <v>16738</v>
      </c>
      <c r="I624" s="10" t="s">
        <v>55</v>
      </c>
      <c r="K624" s="10" t="s">
        <v>15851</v>
      </c>
      <c r="L624" s="10" t="s">
        <v>42</v>
      </c>
    </row>
    <row r="625" ht="15.75" customHeight="1">
      <c r="A625" s="66">
        <v>45478.0</v>
      </c>
      <c r="B625" s="55" t="str">
        <f>HYPERLINK("https://jobright.ai/jobs/info/6687e02cd2a452d5e24c70d3?utm_campaign=1051&amp;utm_source=sheet", "Apply")</f>
        <v>Apply</v>
      </c>
      <c r="C625" s="10" t="s">
        <v>15838</v>
      </c>
      <c r="D625" s="56" t="s">
        <v>15839</v>
      </c>
      <c r="E625" s="10">
        <v>4852.0</v>
      </c>
      <c r="G625" s="10" t="s">
        <v>15829</v>
      </c>
      <c r="H625" s="10" t="s">
        <v>16739</v>
      </c>
      <c r="I625" s="10" t="s">
        <v>55</v>
      </c>
      <c r="K625" s="10" t="s">
        <v>15843</v>
      </c>
      <c r="L625" s="10" t="s">
        <v>42</v>
      </c>
    </row>
    <row r="626" ht="15.75" customHeight="1">
      <c r="A626" s="66">
        <v>45478.0</v>
      </c>
      <c r="B626" s="55" t="str">
        <f>HYPERLINK("https://jobright.ai/jobs/info/6687d7a846a9419a30f8344b?utm_campaign=1051&amp;utm_source=sheet", "Apply")</f>
        <v>Apply</v>
      </c>
      <c r="C626" s="10" t="s">
        <v>15838</v>
      </c>
      <c r="D626" s="56" t="s">
        <v>15839</v>
      </c>
      <c r="E626" s="10">
        <v>4852.0</v>
      </c>
      <c r="G626" s="10" t="s">
        <v>15829</v>
      </c>
      <c r="H626" s="10" t="s">
        <v>106</v>
      </c>
      <c r="I626" s="10" t="s">
        <v>55</v>
      </c>
      <c r="K626" s="10" t="s">
        <v>15843</v>
      </c>
      <c r="L626" s="10" t="s">
        <v>42</v>
      </c>
    </row>
    <row r="627" ht="15.75" customHeight="1">
      <c r="A627" s="66">
        <v>45478.0</v>
      </c>
      <c r="B627" s="55" t="str">
        <f>HYPERLINK("https://jobright.ai/jobs/info/6687d7a846a9419a30f83457?utm_campaign=1051&amp;utm_source=sheet", "Apply")</f>
        <v>Apply</v>
      </c>
      <c r="C627" s="10" t="s">
        <v>15838</v>
      </c>
      <c r="D627" s="56" t="s">
        <v>15839</v>
      </c>
      <c r="E627" s="10">
        <v>4852.0</v>
      </c>
      <c r="G627" s="10" t="s">
        <v>15829</v>
      </c>
      <c r="H627" s="10" t="s">
        <v>16740</v>
      </c>
      <c r="I627" s="10" t="s">
        <v>55</v>
      </c>
      <c r="K627" s="10" t="s">
        <v>15843</v>
      </c>
      <c r="L627" s="10" t="s">
        <v>42</v>
      </c>
    </row>
    <row r="628" ht="15.75" customHeight="1">
      <c r="A628" s="66">
        <v>45478.0</v>
      </c>
      <c r="B628" s="55" t="str">
        <f>HYPERLINK("https://jobright.ai/jobs/info/6687d7a846a9419a30f8344c?utm_campaign=1051&amp;utm_source=sheet", "Apply")</f>
        <v>Apply</v>
      </c>
      <c r="C628" s="10" t="s">
        <v>15838</v>
      </c>
      <c r="D628" s="56" t="s">
        <v>15839</v>
      </c>
      <c r="E628" s="10">
        <v>4852.0</v>
      </c>
      <c r="G628" s="10" t="s">
        <v>15829</v>
      </c>
      <c r="H628" s="10" t="s">
        <v>3150</v>
      </c>
      <c r="I628" s="10" t="s">
        <v>55</v>
      </c>
      <c r="K628" s="10" t="s">
        <v>15840</v>
      </c>
      <c r="L628" s="10" t="s">
        <v>42</v>
      </c>
    </row>
    <row r="629" ht="15.75" customHeight="1">
      <c r="A629" s="66">
        <v>45478.0</v>
      </c>
      <c r="B629" s="55" t="str">
        <f>HYPERLINK("https://jobright.ai/jobs/info/6687d7a846a9419a30f8344f?utm_campaign=1051&amp;utm_source=sheet", "Apply")</f>
        <v>Apply</v>
      </c>
      <c r="C629" s="10" t="s">
        <v>15838</v>
      </c>
      <c r="D629" s="56" t="s">
        <v>15839</v>
      </c>
      <c r="E629" s="10">
        <v>4852.0</v>
      </c>
      <c r="G629" s="10" t="s">
        <v>15829</v>
      </c>
      <c r="H629" s="10" t="s">
        <v>16741</v>
      </c>
      <c r="I629" s="10" t="s">
        <v>55</v>
      </c>
      <c r="K629" s="10" t="s">
        <v>15851</v>
      </c>
      <c r="L629" s="10" t="s">
        <v>42</v>
      </c>
    </row>
    <row r="630" ht="15.75" customHeight="1">
      <c r="A630" s="66">
        <v>45478.0</v>
      </c>
      <c r="B630" s="55" t="str">
        <f>HYPERLINK("https://jobright.ai/jobs/info/6687d7a846a9419a30f83451?utm_campaign=1051&amp;utm_source=sheet", "Apply")</f>
        <v>Apply</v>
      </c>
      <c r="C630" s="10" t="s">
        <v>15838</v>
      </c>
      <c r="D630" s="56" t="s">
        <v>15839</v>
      </c>
      <c r="E630" s="10">
        <v>4852.0</v>
      </c>
      <c r="G630" s="10" t="s">
        <v>15829</v>
      </c>
      <c r="H630" s="10" t="s">
        <v>16742</v>
      </c>
      <c r="I630" s="10" t="s">
        <v>55</v>
      </c>
      <c r="K630" s="10" t="s">
        <v>15851</v>
      </c>
      <c r="L630" s="10" t="s">
        <v>42</v>
      </c>
    </row>
    <row r="631" ht="15.75" customHeight="1">
      <c r="A631" s="66">
        <v>45478.0</v>
      </c>
      <c r="B631" s="55" t="str">
        <f>HYPERLINK("https://jobright.ai/jobs/info/6687d7a846a9419a30f83453?utm_campaign=1051&amp;utm_source=sheet", "Apply")</f>
        <v>Apply</v>
      </c>
      <c r="C631" s="10" t="s">
        <v>15838</v>
      </c>
      <c r="D631" s="56" t="s">
        <v>15839</v>
      </c>
      <c r="E631" s="10">
        <v>4852.0</v>
      </c>
      <c r="G631" s="10" t="s">
        <v>15829</v>
      </c>
      <c r="H631" s="10" t="s">
        <v>775</v>
      </c>
      <c r="I631" s="10" t="s">
        <v>55</v>
      </c>
      <c r="K631" s="10" t="s">
        <v>15840</v>
      </c>
      <c r="L631" s="10" t="s">
        <v>42</v>
      </c>
    </row>
    <row r="632" ht="15.75" customHeight="1">
      <c r="A632" s="66">
        <v>45478.0</v>
      </c>
      <c r="B632" s="55" t="str">
        <f>HYPERLINK("https://jobright.ai/jobs/info/6687d37f4284c3a878b085b2?utm_campaign=1051&amp;utm_source=sheet", "Apply")</f>
        <v>Apply</v>
      </c>
      <c r="C632" s="10" t="s">
        <v>15838</v>
      </c>
      <c r="D632" s="56" t="s">
        <v>15839</v>
      </c>
      <c r="E632" s="10">
        <v>4852.0</v>
      </c>
      <c r="G632" s="10" t="s">
        <v>15829</v>
      </c>
      <c r="H632" s="10" t="s">
        <v>3551</v>
      </c>
      <c r="I632" s="10" t="s">
        <v>55</v>
      </c>
      <c r="K632" s="10" t="s">
        <v>15851</v>
      </c>
      <c r="L632" s="10" t="s">
        <v>42</v>
      </c>
    </row>
    <row r="633" ht="15.75" customHeight="1">
      <c r="A633" s="66">
        <v>45478.0</v>
      </c>
      <c r="B633" s="55" t="str">
        <f>HYPERLINK("https://jobright.ai/jobs/info/6687d7a846a9419a30f83450?utm_campaign=1051&amp;utm_source=sheet", "Apply")</f>
        <v>Apply</v>
      </c>
      <c r="C633" s="10" t="s">
        <v>15838</v>
      </c>
      <c r="D633" s="56" t="s">
        <v>15839</v>
      </c>
      <c r="E633" s="10">
        <v>4852.0</v>
      </c>
      <c r="G633" s="10" t="s">
        <v>15829</v>
      </c>
      <c r="H633" s="10" t="s">
        <v>10592</v>
      </c>
      <c r="I633" s="10" t="s">
        <v>55</v>
      </c>
      <c r="K633" s="10" t="s">
        <v>16674</v>
      </c>
      <c r="L633" s="10" t="s">
        <v>42</v>
      </c>
    </row>
    <row r="634" ht="15.75" customHeight="1">
      <c r="A634" s="66">
        <v>45478.0</v>
      </c>
      <c r="B634" s="55" t="str">
        <f>HYPERLINK("https://jobright.ai/jobs/info/6687e02cd2a452d5e24c70d2?utm_campaign=1051&amp;utm_source=sheet", "Apply")</f>
        <v>Apply</v>
      </c>
      <c r="C634" s="10" t="s">
        <v>15838</v>
      </c>
      <c r="D634" s="56" t="s">
        <v>15839</v>
      </c>
      <c r="E634" s="10">
        <v>4852.0</v>
      </c>
      <c r="G634" s="10" t="s">
        <v>15829</v>
      </c>
      <c r="H634" s="10" t="s">
        <v>896</v>
      </c>
      <c r="I634" s="10" t="s">
        <v>55</v>
      </c>
      <c r="K634" s="10" t="s">
        <v>15851</v>
      </c>
      <c r="L634" s="10" t="s">
        <v>42</v>
      </c>
    </row>
    <row r="635" ht="15.75" customHeight="1">
      <c r="A635" s="66">
        <v>45478.0</v>
      </c>
      <c r="B635" s="55" t="str">
        <f>HYPERLINK("https://jobright.ai/jobs/info/6687d7a846a9419a30f83455?utm_campaign=1051&amp;utm_source=sheet", "Apply")</f>
        <v>Apply</v>
      </c>
      <c r="C635" s="10" t="s">
        <v>15838</v>
      </c>
      <c r="D635" s="56" t="s">
        <v>15839</v>
      </c>
      <c r="E635" s="10">
        <v>4852.0</v>
      </c>
      <c r="G635" s="10" t="s">
        <v>15829</v>
      </c>
      <c r="H635" s="10" t="s">
        <v>909</v>
      </c>
      <c r="I635" s="10" t="s">
        <v>55</v>
      </c>
      <c r="K635" s="10" t="s">
        <v>15840</v>
      </c>
      <c r="L635" s="10" t="s">
        <v>42</v>
      </c>
    </row>
    <row r="636" ht="15.75" customHeight="1">
      <c r="A636" s="66">
        <v>45478.0</v>
      </c>
      <c r="B636" s="55" t="str">
        <f>HYPERLINK("https://jobright.ai/jobs/info/6687d37f4284c3a878b085b4?utm_campaign=1051&amp;utm_source=sheet", "Apply")</f>
        <v>Apply</v>
      </c>
      <c r="C636" s="10" t="s">
        <v>15838</v>
      </c>
      <c r="D636" s="56" t="s">
        <v>15839</v>
      </c>
      <c r="E636" s="10">
        <v>4852.0</v>
      </c>
      <c r="G636" s="10" t="s">
        <v>15829</v>
      </c>
      <c r="H636" s="10" t="s">
        <v>4800</v>
      </c>
      <c r="I636" s="10" t="s">
        <v>55</v>
      </c>
      <c r="K636" s="10" t="s">
        <v>15843</v>
      </c>
      <c r="L636" s="10" t="s">
        <v>42</v>
      </c>
    </row>
    <row r="637" ht="15.75" customHeight="1">
      <c r="A637" s="66">
        <v>45478.0</v>
      </c>
      <c r="B637" s="55" t="str">
        <f>HYPERLINK("https://jobright.ai/jobs/info/6687e02cd2a452d5e24c70d1?utm_campaign=1051&amp;utm_source=sheet", "Apply")</f>
        <v>Apply</v>
      </c>
      <c r="C637" s="10" t="s">
        <v>15838</v>
      </c>
      <c r="D637" s="56" t="s">
        <v>15839</v>
      </c>
      <c r="E637" s="10">
        <v>4852.0</v>
      </c>
      <c r="G637" s="10" t="s">
        <v>15829</v>
      </c>
      <c r="H637" s="10" t="s">
        <v>16743</v>
      </c>
      <c r="I637" s="10" t="s">
        <v>55</v>
      </c>
      <c r="K637" s="10" t="s">
        <v>15843</v>
      </c>
      <c r="L637" s="10" t="s">
        <v>42</v>
      </c>
    </row>
    <row r="638" ht="15.75" customHeight="1">
      <c r="A638" s="66">
        <v>45478.0</v>
      </c>
      <c r="B638" s="55" t="str">
        <f>HYPERLINK("https://jobright.ai/jobs/info/6687e02cd2a452d5e24c70d6?utm_campaign=1051&amp;utm_source=sheet", "Apply")</f>
        <v>Apply</v>
      </c>
      <c r="C638" s="10" t="s">
        <v>15838</v>
      </c>
      <c r="D638" s="56" t="s">
        <v>15839</v>
      </c>
      <c r="E638" s="10">
        <v>4852.0</v>
      </c>
      <c r="G638" s="10" t="s">
        <v>15829</v>
      </c>
      <c r="H638" s="10" t="s">
        <v>16744</v>
      </c>
      <c r="I638" s="10" t="s">
        <v>55</v>
      </c>
      <c r="K638" s="10" t="s">
        <v>15840</v>
      </c>
      <c r="L638" s="10" t="s">
        <v>42</v>
      </c>
    </row>
    <row r="639" ht="15.75" customHeight="1">
      <c r="A639" s="66">
        <v>45478.0</v>
      </c>
      <c r="B639" s="55" t="str">
        <f>HYPERLINK("https://jobright.ai/jobs/info/6687e02cd2a452d5e24c70d4?utm_campaign=1051&amp;utm_source=sheet", "Apply")</f>
        <v>Apply</v>
      </c>
      <c r="C639" s="10" t="s">
        <v>15838</v>
      </c>
      <c r="D639" s="56" t="s">
        <v>15839</v>
      </c>
      <c r="E639" s="10">
        <v>4852.0</v>
      </c>
      <c r="G639" s="10" t="s">
        <v>15829</v>
      </c>
      <c r="H639" s="10" t="s">
        <v>16745</v>
      </c>
      <c r="I639" s="10" t="s">
        <v>55</v>
      </c>
      <c r="K639" s="10" t="s">
        <v>15843</v>
      </c>
      <c r="L639" s="10" t="s">
        <v>42</v>
      </c>
    </row>
    <row r="640" ht="15.75" customHeight="1">
      <c r="A640" s="66">
        <v>45478.0</v>
      </c>
      <c r="B640" s="55" t="str">
        <f>HYPERLINK("https://jobright.ai/jobs/info/6687e02cd2a452d5e24c70e9?utm_campaign=1051&amp;utm_source=sheet", "Apply")</f>
        <v>Apply</v>
      </c>
      <c r="C640" s="10" t="s">
        <v>15838</v>
      </c>
      <c r="D640" s="56" t="s">
        <v>15839</v>
      </c>
      <c r="E640" s="10">
        <v>4852.0</v>
      </c>
      <c r="G640" s="10" t="s">
        <v>15829</v>
      </c>
      <c r="H640" s="10" t="s">
        <v>1022</v>
      </c>
      <c r="I640" s="10" t="s">
        <v>55</v>
      </c>
      <c r="K640" s="10" t="s">
        <v>15843</v>
      </c>
      <c r="L640" s="10" t="s">
        <v>42</v>
      </c>
    </row>
    <row r="641" ht="15.75" customHeight="1">
      <c r="A641" s="66">
        <v>45478.0</v>
      </c>
      <c r="B641" s="55" t="str">
        <f>HYPERLINK("https://jobright.ai/jobs/info/6687d7a846a9419a30f83466?utm_campaign=1051&amp;utm_source=sheet", "Apply")</f>
        <v>Apply</v>
      </c>
      <c r="C641" s="10" t="s">
        <v>15838</v>
      </c>
      <c r="D641" s="56" t="s">
        <v>15839</v>
      </c>
      <c r="E641" s="10">
        <v>4852.0</v>
      </c>
      <c r="G641" s="10" t="s">
        <v>15829</v>
      </c>
      <c r="H641" s="10" t="s">
        <v>708</v>
      </c>
      <c r="I641" s="10" t="s">
        <v>55</v>
      </c>
      <c r="K641" s="10" t="s">
        <v>15840</v>
      </c>
      <c r="L641" s="10" t="s">
        <v>42</v>
      </c>
    </row>
    <row r="642" ht="15.75" customHeight="1">
      <c r="A642" s="66">
        <v>45478.0</v>
      </c>
      <c r="B642" s="55" t="str">
        <f>HYPERLINK("https://jobright.ai/jobs/info/6687e02cd2a452d5e24c70d7?utm_campaign=1051&amp;utm_source=sheet", "Apply")</f>
        <v>Apply</v>
      </c>
      <c r="C642" s="10" t="s">
        <v>15838</v>
      </c>
      <c r="D642" s="56" t="s">
        <v>15839</v>
      </c>
      <c r="E642" s="10">
        <v>4852.0</v>
      </c>
      <c r="G642" s="10" t="s">
        <v>15829</v>
      </c>
      <c r="H642" s="10" t="s">
        <v>16746</v>
      </c>
      <c r="I642" s="10" t="s">
        <v>55</v>
      </c>
      <c r="K642" s="10" t="s">
        <v>15843</v>
      </c>
      <c r="L642" s="10" t="s">
        <v>42</v>
      </c>
    </row>
    <row r="643" ht="15.75" customHeight="1">
      <c r="A643" s="66">
        <v>45478.0</v>
      </c>
      <c r="B643" s="55" t="str">
        <f>HYPERLINK("https://jobright.ai/jobs/info/6687e02cd2a452d5e24c70e3?utm_campaign=1051&amp;utm_source=sheet", "Apply")</f>
        <v>Apply</v>
      </c>
      <c r="C643" s="10" t="s">
        <v>15838</v>
      </c>
      <c r="D643" s="56" t="s">
        <v>15839</v>
      </c>
      <c r="E643" s="10">
        <v>4852.0</v>
      </c>
      <c r="G643" s="10" t="s">
        <v>15829</v>
      </c>
      <c r="H643" s="10" t="s">
        <v>3042</v>
      </c>
      <c r="I643" s="10" t="s">
        <v>55</v>
      </c>
      <c r="K643" s="10" t="s">
        <v>15851</v>
      </c>
      <c r="L643" s="10" t="s">
        <v>42</v>
      </c>
    </row>
    <row r="644" ht="15.75" customHeight="1">
      <c r="A644" s="66">
        <v>45478.0</v>
      </c>
      <c r="B644" s="55" t="str">
        <f>HYPERLINK("https://jobright.ai/jobs/info/6687e02cd2a452d5e24c70e8?utm_campaign=1051&amp;utm_source=sheet", "Apply")</f>
        <v>Apply</v>
      </c>
      <c r="C644" s="10" t="s">
        <v>15838</v>
      </c>
      <c r="D644" s="56" t="s">
        <v>15839</v>
      </c>
      <c r="E644" s="10">
        <v>4852.0</v>
      </c>
      <c r="G644" s="10" t="s">
        <v>15829</v>
      </c>
      <c r="H644" s="10" t="s">
        <v>16747</v>
      </c>
      <c r="I644" s="10" t="s">
        <v>55</v>
      </c>
      <c r="K644" s="10" t="s">
        <v>15843</v>
      </c>
      <c r="L644" s="10" t="s">
        <v>42</v>
      </c>
    </row>
    <row r="645" ht="15.75" customHeight="1">
      <c r="A645" s="66">
        <v>45478.0</v>
      </c>
      <c r="B645" s="55" t="str">
        <f>HYPERLINK("https://jobright.ai/jobs/info/6687e02cd2a452d5e24c70e5?utm_campaign=1051&amp;utm_source=sheet", "Apply")</f>
        <v>Apply</v>
      </c>
      <c r="C645" s="10" t="s">
        <v>15838</v>
      </c>
      <c r="D645" s="56" t="s">
        <v>15839</v>
      </c>
      <c r="E645" s="10">
        <v>4852.0</v>
      </c>
      <c r="G645" s="10" t="s">
        <v>15829</v>
      </c>
      <c r="H645" s="10" t="s">
        <v>806</v>
      </c>
      <c r="I645" s="10" t="s">
        <v>55</v>
      </c>
      <c r="K645" s="10" t="s">
        <v>16674</v>
      </c>
      <c r="L645" s="10" t="s">
        <v>42</v>
      </c>
    </row>
    <row r="646" ht="15.75" customHeight="1">
      <c r="A646" s="66">
        <v>45478.0</v>
      </c>
      <c r="B646" s="55" t="str">
        <f>HYPERLINK("https://jobright.ai/jobs/info/6687d7a846a9419a30f83459?utm_campaign=1051&amp;utm_source=sheet", "Apply")</f>
        <v>Apply</v>
      </c>
      <c r="C646" s="10" t="s">
        <v>15838</v>
      </c>
      <c r="D646" s="56" t="s">
        <v>15839</v>
      </c>
      <c r="E646" s="10">
        <v>4852.0</v>
      </c>
      <c r="G646" s="10" t="s">
        <v>15829</v>
      </c>
      <c r="H646" s="10" t="s">
        <v>15078</v>
      </c>
      <c r="I646" s="10" t="s">
        <v>55</v>
      </c>
      <c r="K646" s="10" t="s">
        <v>15843</v>
      </c>
      <c r="L646" s="10" t="s">
        <v>42</v>
      </c>
    </row>
    <row r="647" ht="15.75" customHeight="1">
      <c r="A647" s="66">
        <v>45478.0</v>
      </c>
      <c r="B647" s="55" t="str">
        <f>HYPERLINK("https://jobright.ai/jobs/info/6687e02cd2a452d5e24c70df?utm_campaign=1051&amp;utm_source=sheet", "Apply")</f>
        <v>Apply</v>
      </c>
      <c r="C647" s="10" t="s">
        <v>15838</v>
      </c>
      <c r="D647" s="56" t="s">
        <v>15839</v>
      </c>
      <c r="E647" s="10">
        <v>4852.0</v>
      </c>
      <c r="G647" s="10" t="s">
        <v>15829</v>
      </c>
      <c r="H647" s="10" t="s">
        <v>7393</v>
      </c>
      <c r="I647" s="10" t="s">
        <v>55</v>
      </c>
      <c r="K647" s="10" t="s">
        <v>15843</v>
      </c>
      <c r="L647" s="10" t="s">
        <v>42</v>
      </c>
    </row>
    <row r="648" ht="15.75" customHeight="1">
      <c r="A648" s="66">
        <v>45478.0</v>
      </c>
      <c r="B648" s="55" t="str">
        <f>HYPERLINK("https://jobright.ai/jobs/info/6687e02cd2a452d5e24c70e1?utm_campaign=1051&amp;utm_source=sheet", "Apply")</f>
        <v>Apply</v>
      </c>
      <c r="C648" s="10" t="s">
        <v>15838</v>
      </c>
      <c r="D648" s="56" t="s">
        <v>15839</v>
      </c>
      <c r="E648" s="10">
        <v>4852.0</v>
      </c>
      <c r="G648" s="10" t="s">
        <v>15829</v>
      </c>
      <c r="H648" s="10" t="s">
        <v>813</v>
      </c>
      <c r="I648" s="10" t="s">
        <v>55</v>
      </c>
      <c r="K648" s="10" t="s">
        <v>15843</v>
      </c>
      <c r="L648" s="10" t="s">
        <v>42</v>
      </c>
    </row>
    <row r="649" ht="15.75" customHeight="1">
      <c r="A649" s="66">
        <v>45478.0</v>
      </c>
      <c r="B649" s="55" t="str">
        <f>HYPERLINK("https://jobright.ai/jobs/info/6687e02cd2a452d5e24c70dd?utm_campaign=1051&amp;utm_source=sheet", "Apply")</f>
        <v>Apply</v>
      </c>
      <c r="C649" s="10" t="s">
        <v>15838</v>
      </c>
      <c r="D649" s="56" t="s">
        <v>15839</v>
      </c>
      <c r="E649" s="10">
        <v>4852.0</v>
      </c>
      <c r="G649" s="10" t="s">
        <v>15829</v>
      </c>
      <c r="H649" s="10" t="s">
        <v>835</v>
      </c>
      <c r="I649" s="10" t="s">
        <v>55</v>
      </c>
      <c r="K649" s="10" t="s">
        <v>15843</v>
      </c>
      <c r="L649" s="10" t="s">
        <v>42</v>
      </c>
    </row>
    <row r="650" ht="15.75" customHeight="1">
      <c r="A650" s="66">
        <v>45478.0</v>
      </c>
      <c r="B650" s="55" t="str">
        <f>HYPERLINK("https://jobright.ai/jobs/info/6687e02cd2a452d5e24c70d9?utm_campaign=1051&amp;utm_source=sheet", "Apply")</f>
        <v>Apply</v>
      </c>
      <c r="C650" s="10" t="s">
        <v>15838</v>
      </c>
      <c r="D650" s="56" t="s">
        <v>15839</v>
      </c>
      <c r="E650" s="10">
        <v>4852.0</v>
      </c>
      <c r="G650" s="10" t="s">
        <v>15829</v>
      </c>
      <c r="H650" s="10" t="s">
        <v>941</v>
      </c>
      <c r="I650" s="10" t="s">
        <v>55</v>
      </c>
      <c r="K650" s="10" t="s">
        <v>15851</v>
      </c>
      <c r="L650" s="10" t="s">
        <v>42</v>
      </c>
    </row>
    <row r="651" ht="15.75" customHeight="1">
      <c r="A651" s="66">
        <v>45478.0</v>
      </c>
      <c r="B651" s="55" t="str">
        <f>HYPERLINK("https://jobright.ai/jobs/info/6687e02cd2a452d5e24c70e4?utm_campaign=1051&amp;utm_source=sheet", "Apply")</f>
        <v>Apply</v>
      </c>
      <c r="C651" s="10" t="s">
        <v>15838</v>
      </c>
      <c r="D651" s="56" t="s">
        <v>15839</v>
      </c>
      <c r="E651" s="10">
        <v>4852.0</v>
      </c>
      <c r="G651" s="10" t="s">
        <v>15829</v>
      </c>
      <c r="H651" s="10" t="s">
        <v>11282</v>
      </c>
      <c r="I651" s="10" t="s">
        <v>55</v>
      </c>
      <c r="K651" s="10" t="s">
        <v>15840</v>
      </c>
      <c r="L651" s="10" t="s">
        <v>42</v>
      </c>
    </row>
    <row r="652" ht="15.75" customHeight="1">
      <c r="A652" s="66">
        <v>45478.0</v>
      </c>
      <c r="B652" s="55" t="str">
        <f>HYPERLINK("https://jobright.ai/jobs/info/6687e02cd2a452d5e24c70e7?utm_campaign=1051&amp;utm_source=sheet", "Apply")</f>
        <v>Apply</v>
      </c>
      <c r="C652" s="10" t="s">
        <v>15838</v>
      </c>
      <c r="D652" s="56" t="s">
        <v>15839</v>
      </c>
      <c r="E652" s="10">
        <v>4852.0</v>
      </c>
      <c r="G652" s="10" t="s">
        <v>15829</v>
      </c>
      <c r="H652" s="10" t="s">
        <v>1008</v>
      </c>
      <c r="I652" s="10" t="s">
        <v>55</v>
      </c>
      <c r="K652" s="10" t="s">
        <v>16674</v>
      </c>
      <c r="L652" s="10" t="s">
        <v>42</v>
      </c>
    </row>
    <row r="653" ht="15.75" customHeight="1">
      <c r="A653" s="66">
        <v>45478.0</v>
      </c>
      <c r="B653" s="55" t="str">
        <f>HYPERLINK("https://jobright.ai/jobs/info/6687d7a846a9419a30f8345a?utm_campaign=1051&amp;utm_source=sheet", "Apply")</f>
        <v>Apply</v>
      </c>
      <c r="C653" s="10" t="s">
        <v>15838</v>
      </c>
      <c r="D653" s="56" t="s">
        <v>15839</v>
      </c>
      <c r="E653" s="10">
        <v>4852.0</v>
      </c>
      <c r="G653" s="10" t="s">
        <v>15829</v>
      </c>
      <c r="H653" s="10" t="s">
        <v>848</v>
      </c>
      <c r="I653" s="10" t="s">
        <v>55</v>
      </c>
      <c r="K653" s="10" t="s">
        <v>16674</v>
      </c>
      <c r="L653" s="10" t="s">
        <v>42</v>
      </c>
    </row>
    <row r="654" ht="15.75" customHeight="1">
      <c r="A654" s="66">
        <v>45478.0</v>
      </c>
      <c r="B654" s="55" t="str">
        <f>HYPERLINK("https://jobright.ai/jobs/info/6687e02cd2a452d5e24c70ea?utm_campaign=1051&amp;utm_source=sheet", "Apply")</f>
        <v>Apply</v>
      </c>
      <c r="C654" s="10" t="s">
        <v>15838</v>
      </c>
      <c r="D654" s="56" t="s">
        <v>15839</v>
      </c>
      <c r="E654" s="10">
        <v>4852.0</v>
      </c>
      <c r="G654" s="10" t="s">
        <v>15829</v>
      </c>
      <c r="H654" s="10" t="s">
        <v>3599</v>
      </c>
      <c r="I654" s="10" t="s">
        <v>55</v>
      </c>
      <c r="K654" s="10" t="s">
        <v>15843</v>
      </c>
      <c r="L654" s="10" t="s">
        <v>42</v>
      </c>
    </row>
    <row r="655" ht="15.75" customHeight="1">
      <c r="A655" s="66">
        <v>45478.0</v>
      </c>
      <c r="B655" s="55" t="str">
        <f>HYPERLINK("https://jobright.ai/jobs/info/6687e02cd2a452d5e24c70de?utm_campaign=1051&amp;utm_source=sheet", "Apply")</f>
        <v>Apply</v>
      </c>
      <c r="C655" s="10" t="s">
        <v>15838</v>
      </c>
      <c r="D655" s="56" t="s">
        <v>15839</v>
      </c>
      <c r="E655" s="10">
        <v>4852.0</v>
      </c>
      <c r="G655" s="10" t="s">
        <v>15829</v>
      </c>
      <c r="H655" s="10" t="s">
        <v>131</v>
      </c>
      <c r="I655" s="10" t="s">
        <v>55</v>
      </c>
      <c r="K655" s="10" t="s">
        <v>15843</v>
      </c>
      <c r="L655" s="10" t="s">
        <v>42</v>
      </c>
    </row>
    <row r="656" ht="15.75" customHeight="1">
      <c r="A656" s="66">
        <v>45478.0</v>
      </c>
      <c r="B656" s="55" t="str">
        <f>HYPERLINK("https://jobright.ai/jobs/info/6687e02cd2a452d5e24c70e6?utm_campaign=1051&amp;utm_source=sheet", "Apply")</f>
        <v>Apply</v>
      </c>
      <c r="C656" s="10" t="s">
        <v>15838</v>
      </c>
      <c r="D656" s="56" t="s">
        <v>15839</v>
      </c>
      <c r="E656" s="10">
        <v>4852.0</v>
      </c>
      <c r="G656" s="10" t="s">
        <v>15829</v>
      </c>
      <c r="H656" s="10" t="s">
        <v>11446</v>
      </c>
      <c r="I656" s="10" t="s">
        <v>55</v>
      </c>
      <c r="K656" s="10" t="s">
        <v>15843</v>
      </c>
      <c r="L656" s="10" t="s">
        <v>42</v>
      </c>
    </row>
    <row r="657" ht="15.75" customHeight="1">
      <c r="A657" s="66">
        <v>45478.0</v>
      </c>
      <c r="B657" s="55" t="str">
        <f>HYPERLINK("https://jobright.ai/jobs/info/6687d7a846a9419a30f83464?utm_campaign=1051&amp;utm_source=sheet", "Apply")</f>
        <v>Apply</v>
      </c>
      <c r="C657" s="10" t="s">
        <v>15838</v>
      </c>
      <c r="D657" s="56" t="s">
        <v>15839</v>
      </c>
      <c r="E657" s="10">
        <v>4852.0</v>
      </c>
      <c r="G657" s="10" t="s">
        <v>15829</v>
      </c>
      <c r="H657" s="10" t="s">
        <v>16748</v>
      </c>
      <c r="I657" s="10" t="s">
        <v>55</v>
      </c>
      <c r="K657" s="10" t="s">
        <v>16674</v>
      </c>
      <c r="L657" s="10" t="s">
        <v>42</v>
      </c>
    </row>
    <row r="658" ht="15.75" customHeight="1">
      <c r="A658" s="66">
        <v>45478.0</v>
      </c>
      <c r="B658" s="55" t="str">
        <f>HYPERLINK("https://jobright.ai/jobs/info/6687e02cd2a452d5e24c70e2?utm_campaign=1051&amp;utm_source=sheet", "Apply")</f>
        <v>Apply</v>
      </c>
      <c r="C658" s="10" t="s">
        <v>15838</v>
      </c>
      <c r="D658" s="56" t="s">
        <v>15839</v>
      </c>
      <c r="E658" s="10">
        <v>4852.0</v>
      </c>
      <c r="G658" s="10" t="s">
        <v>15829</v>
      </c>
      <c r="H658" s="10" t="s">
        <v>1978</v>
      </c>
      <c r="I658" s="10" t="s">
        <v>55</v>
      </c>
      <c r="K658" s="10" t="s">
        <v>15851</v>
      </c>
      <c r="L658" s="10" t="s">
        <v>42</v>
      </c>
    </row>
    <row r="659" ht="15.75" customHeight="1">
      <c r="A659" s="66">
        <v>45478.0</v>
      </c>
      <c r="B659" s="55" t="str">
        <f>HYPERLINK("https://jobright.ai/jobs/info/6687e02cd2a452d5e24c70eb?utm_campaign=1051&amp;utm_source=sheet", "Apply")</f>
        <v>Apply</v>
      </c>
      <c r="C659" s="10" t="s">
        <v>15838</v>
      </c>
      <c r="D659" s="56" t="s">
        <v>15839</v>
      </c>
      <c r="E659" s="10">
        <v>4852.0</v>
      </c>
      <c r="G659" s="10" t="s">
        <v>15829</v>
      </c>
      <c r="H659" s="10" t="s">
        <v>16749</v>
      </c>
      <c r="I659" s="10" t="s">
        <v>55</v>
      </c>
      <c r="K659" s="10" t="s">
        <v>15851</v>
      </c>
      <c r="L659" s="10" t="s">
        <v>42</v>
      </c>
    </row>
    <row r="660" ht="15.75" customHeight="1">
      <c r="A660" s="66">
        <v>45478.0</v>
      </c>
      <c r="B660" s="55" t="str">
        <f>HYPERLINK("https://jobright.ai/jobs/info/6687d7a846a9419a30f83462?utm_campaign=1051&amp;utm_source=sheet", "Apply")</f>
        <v>Apply</v>
      </c>
      <c r="C660" s="10" t="s">
        <v>15838</v>
      </c>
      <c r="D660" s="56" t="s">
        <v>15839</v>
      </c>
      <c r="E660" s="10">
        <v>4852.0</v>
      </c>
      <c r="G660" s="10" t="s">
        <v>15829</v>
      </c>
      <c r="H660" s="10" t="s">
        <v>796</v>
      </c>
      <c r="I660" s="10" t="s">
        <v>55</v>
      </c>
      <c r="K660" s="10" t="s">
        <v>15851</v>
      </c>
      <c r="L660" s="10" t="s">
        <v>42</v>
      </c>
    </row>
    <row r="661" ht="15.75" customHeight="1">
      <c r="A661" s="66">
        <v>45478.0</v>
      </c>
      <c r="B661" s="55" t="str">
        <f>HYPERLINK("https://jobright.ai/jobs/info/6687d7a846a9419a30f8345d?utm_campaign=1051&amp;utm_source=sheet", "Apply")</f>
        <v>Apply</v>
      </c>
      <c r="C661" s="10" t="s">
        <v>15838</v>
      </c>
      <c r="D661" s="56" t="s">
        <v>15839</v>
      </c>
      <c r="E661" s="10">
        <v>4852.0</v>
      </c>
      <c r="G661" s="10" t="s">
        <v>15829</v>
      </c>
      <c r="H661" s="10" t="s">
        <v>16750</v>
      </c>
      <c r="I661" s="10" t="s">
        <v>55</v>
      </c>
      <c r="K661" s="10" t="s">
        <v>15840</v>
      </c>
      <c r="L661" s="10" t="s">
        <v>42</v>
      </c>
    </row>
    <row r="662" ht="15.75" customHeight="1">
      <c r="A662" s="66">
        <v>45478.0</v>
      </c>
      <c r="B662" s="55" t="str">
        <f>HYPERLINK("https://jobright.ai/jobs/info/6687e02cd2a452d5e24c70db?utm_campaign=1051&amp;utm_source=sheet", "Apply")</f>
        <v>Apply</v>
      </c>
      <c r="C662" s="10" t="s">
        <v>15838</v>
      </c>
      <c r="D662" s="56" t="s">
        <v>15839</v>
      </c>
      <c r="E662" s="10">
        <v>4852.0</v>
      </c>
      <c r="G662" s="10" t="s">
        <v>15829</v>
      </c>
      <c r="H662" s="10" t="s">
        <v>761</v>
      </c>
      <c r="I662" s="10" t="s">
        <v>55</v>
      </c>
      <c r="J662" s="10" t="s">
        <v>15873</v>
      </c>
      <c r="K662" s="10" t="s">
        <v>15840</v>
      </c>
      <c r="L662" s="10" t="s">
        <v>42</v>
      </c>
    </row>
    <row r="663" ht="15.75" customHeight="1">
      <c r="A663" s="66">
        <v>45478.0</v>
      </c>
      <c r="B663" s="55" t="str">
        <f>HYPERLINK("https://jobright.ai/jobs/info/6687e02cd2a452d5e24c70e0?utm_campaign=1051&amp;utm_source=sheet", "Apply")</f>
        <v>Apply</v>
      </c>
      <c r="C663" s="10" t="s">
        <v>15838</v>
      </c>
      <c r="D663" s="56" t="s">
        <v>15839</v>
      </c>
      <c r="E663" s="10">
        <v>4852.0</v>
      </c>
      <c r="G663" s="10" t="s">
        <v>15829</v>
      </c>
      <c r="H663" s="10" t="s">
        <v>852</v>
      </c>
      <c r="I663" s="10" t="s">
        <v>55</v>
      </c>
      <c r="K663" s="10" t="s">
        <v>15851</v>
      </c>
      <c r="L663" s="10" t="s">
        <v>42</v>
      </c>
    </row>
    <row r="664" ht="15.75" customHeight="1">
      <c r="A664" s="66">
        <v>45478.0</v>
      </c>
      <c r="B664" s="55" t="str">
        <f>HYPERLINK("https://jobright.ai/jobs/info/6687e02cd2a452d5e24c70ec?utm_campaign=1051&amp;utm_source=sheet", "Apply")</f>
        <v>Apply</v>
      </c>
      <c r="C664" s="10" t="s">
        <v>15838</v>
      </c>
      <c r="D664" s="56" t="s">
        <v>15839</v>
      </c>
      <c r="E664" s="10">
        <v>4852.0</v>
      </c>
      <c r="G664" s="10" t="s">
        <v>15829</v>
      </c>
      <c r="H664" s="10" t="s">
        <v>6287</v>
      </c>
      <c r="I664" s="10" t="s">
        <v>55</v>
      </c>
      <c r="K664" s="10" t="s">
        <v>15843</v>
      </c>
      <c r="L664" s="10" t="s">
        <v>42</v>
      </c>
    </row>
    <row r="665" ht="15.75" customHeight="1">
      <c r="A665" s="66">
        <v>45478.0</v>
      </c>
      <c r="B665" s="55" t="str">
        <f>HYPERLINK("https://jobright.ai/jobs/info/6687e02cd2a452d5e24c70f0?utm_campaign=1051&amp;utm_source=sheet", "Apply")</f>
        <v>Apply</v>
      </c>
      <c r="C665" s="10" t="s">
        <v>15838</v>
      </c>
      <c r="D665" s="56" t="s">
        <v>15839</v>
      </c>
      <c r="E665" s="10">
        <v>4852.0</v>
      </c>
      <c r="G665" s="10" t="s">
        <v>15829</v>
      </c>
      <c r="H665" s="10" t="s">
        <v>886</v>
      </c>
      <c r="I665" s="10" t="s">
        <v>55</v>
      </c>
      <c r="K665" s="10" t="s">
        <v>15840</v>
      </c>
      <c r="L665" s="10" t="s">
        <v>42</v>
      </c>
    </row>
    <row r="666" ht="15.75" customHeight="1">
      <c r="A666" s="66">
        <v>45478.0</v>
      </c>
      <c r="B666" s="55" t="str">
        <f>HYPERLINK("https://jobright.ai/jobs/info/6687d7a846a9419a30f83468?utm_campaign=1051&amp;utm_source=sheet", "Apply")</f>
        <v>Apply</v>
      </c>
      <c r="C666" s="10" t="s">
        <v>15838</v>
      </c>
      <c r="D666" s="56" t="s">
        <v>15839</v>
      </c>
      <c r="E666" s="10">
        <v>4852.0</v>
      </c>
      <c r="G666" s="10" t="s">
        <v>15829</v>
      </c>
      <c r="H666" s="10" t="s">
        <v>776</v>
      </c>
      <c r="I666" s="10" t="s">
        <v>55</v>
      </c>
      <c r="K666" s="10" t="s">
        <v>15840</v>
      </c>
      <c r="L666" s="10" t="s">
        <v>42</v>
      </c>
    </row>
    <row r="667" ht="15.75" customHeight="1">
      <c r="A667" s="66">
        <v>45478.0</v>
      </c>
      <c r="B667" s="55" t="str">
        <f>HYPERLINK("https://jobright.ai/jobs/info/6687d7a846a9419a30f83469?utm_campaign=1051&amp;utm_source=sheet", "Apply")</f>
        <v>Apply</v>
      </c>
      <c r="C667" s="10" t="s">
        <v>15838</v>
      </c>
      <c r="D667" s="56" t="s">
        <v>15839</v>
      </c>
      <c r="E667" s="10">
        <v>4852.0</v>
      </c>
      <c r="G667" s="10" t="s">
        <v>15829</v>
      </c>
      <c r="H667" s="10" t="s">
        <v>1004</v>
      </c>
      <c r="I667" s="10" t="s">
        <v>55</v>
      </c>
      <c r="K667" s="10" t="s">
        <v>15851</v>
      </c>
      <c r="L667" s="10" t="s">
        <v>42</v>
      </c>
    </row>
    <row r="668" ht="15.75" customHeight="1">
      <c r="A668" s="66">
        <v>45478.0</v>
      </c>
      <c r="B668" s="55" t="str">
        <f>HYPERLINK("https://jobright.ai/jobs/info/6687e02cd2a452d5e24c70ef?utm_campaign=1051&amp;utm_source=sheet", "Apply")</f>
        <v>Apply</v>
      </c>
      <c r="C668" s="10" t="s">
        <v>15838</v>
      </c>
      <c r="D668" s="56" t="s">
        <v>15839</v>
      </c>
      <c r="E668" s="10">
        <v>4852.0</v>
      </c>
      <c r="G668" s="10" t="s">
        <v>15829</v>
      </c>
      <c r="H668" s="10" t="s">
        <v>16751</v>
      </c>
      <c r="I668" s="10" t="s">
        <v>55</v>
      </c>
      <c r="K668" s="10" t="s">
        <v>15843</v>
      </c>
      <c r="L668" s="10" t="s">
        <v>42</v>
      </c>
    </row>
    <row r="669" ht="15.75" customHeight="1">
      <c r="A669" s="66">
        <v>45478.0</v>
      </c>
      <c r="B669" s="55" t="str">
        <f>HYPERLINK("https://jobright.ai/jobs/info/6687e02cd2a452d5e24c70f2?utm_campaign=1051&amp;utm_source=sheet", "Apply")</f>
        <v>Apply</v>
      </c>
      <c r="C669" s="10" t="s">
        <v>15838</v>
      </c>
      <c r="D669" s="56" t="s">
        <v>15839</v>
      </c>
      <c r="E669" s="10">
        <v>4852.0</v>
      </c>
      <c r="G669" s="10" t="s">
        <v>15829</v>
      </c>
      <c r="H669" s="10" t="s">
        <v>4848</v>
      </c>
      <c r="I669" s="10" t="s">
        <v>55</v>
      </c>
      <c r="K669" s="10" t="s">
        <v>15843</v>
      </c>
      <c r="L669" s="10" t="s">
        <v>42</v>
      </c>
    </row>
    <row r="670" ht="15.75" customHeight="1">
      <c r="A670" s="66">
        <v>45478.0</v>
      </c>
      <c r="B670" s="55" t="str">
        <f>HYPERLINK("https://jobright.ai/jobs/info/6687d7a846a9419a30f8346a?utm_campaign=1051&amp;utm_source=sheet", "Apply")</f>
        <v>Apply</v>
      </c>
      <c r="C670" s="10" t="s">
        <v>15838</v>
      </c>
      <c r="D670" s="56" t="s">
        <v>15839</v>
      </c>
      <c r="E670" s="10">
        <v>4852.0</v>
      </c>
      <c r="G670" s="10" t="s">
        <v>15829</v>
      </c>
      <c r="H670" s="10" t="s">
        <v>16752</v>
      </c>
      <c r="I670" s="10" t="s">
        <v>55</v>
      </c>
      <c r="J670" s="10" t="s">
        <v>16753</v>
      </c>
      <c r="K670" s="10" t="s">
        <v>15840</v>
      </c>
      <c r="L670" s="10" t="s">
        <v>42</v>
      </c>
    </row>
    <row r="671" ht="15.75" customHeight="1">
      <c r="A671" s="66">
        <v>45478.0</v>
      </c>
      <c r="B671" s="55" t="str">
        <f>HYPERLINK("https://jobright.ai/jobs/info/6687e02cd2a452d5e24c70ee?utm_campaign=1051&amp;utm_source=sheet", "Apply")</f>
        <v>Apply</v>
      </c>
      <c r="C671" s="10" t="s">
        <v>15838</v>
      </c>
      <c r="D671" s="56" t="s">
        <v>15839</v>
      </c>
      <c r="E671" s="10">
        <v>4852.0</v>
      </c>
      <c r="G671" s="10" t="s">
        <v>15829</v>
      </c>
      <c r="H671" s="10" t="s">
        <v>1018</v>
      </c>
      <c r="I671" s="10" t="s">
        <v>55</v>
      </c>
      <c r="K671" s="10" t="s">
        <v>15851</v>
      </c>
      <c r="L671" s="10" t="s">
        <v>42</v>
      </c>
    </row>
    <row r="672" ht="15.75" customHeight="1">
      <c r="A672" s="66">
        <v>45478.0</v>
      </c>
      <c r="B672" s="55" t="str">
        <f>HYPERLINK("https://jobright.ai/jobs/info/6687e02cd2a452d5e24c70ed?utm_campaign=1051&amp;utm_source=sheet", "Apply")</f>
        <v>Apply</v>
      </c>
      <c r="C672" s="10" t="s">
        <v>15838</v>
      </c>
      <c r="D672" s="56" t="s">
        <v>15839</v>
      </c>
      <c r="E672" s="10">
        <v>4852.0</v>
      </c>
      <c r="G672" s="10" t="s">
        <v>15829</v>
      </c>
      <c r="H672" s="10" t="s">
        <v>245</v>
      </c>
      <c r="I672" s="10" t="s">
        <v>55</v>
      </c>
      <c r="K672" s="10" t="s">
        <v>15851</v>
      </c>
      <c r="L672" s="10" t="s">
        <v>42</v>
      </c>
    </row>
    <row r="673" ht="15.75" customHeight="1">
      <c r="A673" s="66">
        <v>45478.0</v>
      </c>
      <c r="B673" s="55" t="str">
        <f>HYPERLINK("https://jobright.ai/jobs/info/666b47865c2549fb6b38dffe?utm_campaign=1051&amp;utm_source=sheet", "Apply")</f>
        <v>Apply</v>
      </c>
      <c r="C673" s="10" t="s">
        <v>16754</v>
      </c>
      <c r="D673" s="56" t="s">
        <v>16755</v>
      </c>
      <c r="E673" s="10" t="s">
        <v>249</v>
      </c>
      <c r="F673" s="10" t="s">
        <v>239</v>
      </c>
      <c r="G673" s="10" t="s">
        <v>15787</v>
      </c>
      <c r="H673" s="10" t="s">
        <v>251</v>
      </c>
      <c r="I673" s="10" t="s">
        <v>252</v>
      </c>
      <c r="K673" s="10" t="s">
        <v>16756</v>
      </c>
      <c r="L673" s="10" t="s">
        <v>42</v>
      </c>
    </row>
    <row r="674" ht="15.75" customHeight="1">
      <c r="A674" s="66">
        <v>45478.0</v>
      </c>
      <c r="B674" s="55" t="str">
        <f>HYPERLINK("https://jobright.ai/jobs/info/66874fccfcca4c8be13764d5?utm_campaign=1051&amp;utm_source=sheet", "Apply")</f>
        <v>Apply</v>
      </c>
      <c r="C674" s="10" t="s">
        <v>16173</v>
      </c>
      <c r="D674" s="56" t="s">
        <v>16174</v>
      </c>
      <c r="E674" s="10">
        <v>1.0</v>
      </c>
      <c r="G674" s="10" t="s">
        <v>15814</v>
      </c>
      <c r="H674" s="10" t="s">
        <v>3271</v>
      </c>
      <c r="I674" s="10" t="s">
        <v>55</v>
      </c>
      <c r="K674" s="10" t="s">
        <v>16175</v>
      </c>
      <c r="L674" s="10" t="s">
        <v>42</v>
      </c>
    </row>
    <row r="675" ht="15.75" customHeight="1">
      <c r="A675" s="66">
        <v>45477.0</v>
      </c>
      <c r="B675" s="55" t="str">
        <f>HYPERLINK("https://jobright.ai/jobs/info/668745c816dbcf65cb9c4651?utm_campaign=1051&amp;utm_source=sheet", "Apply")</f>
        <v>Apply</v>
      </c>
      <c r="C675" s="10" t="s">
        <v>16173</v>
      </c>
      <c r="D675" s="56" t="s">
        <v>16174</v>
      </c>
      <c r="E675" s="10">
        <v>1.0</v>
      </c>
      <c r="G675" s="10" t="s">
        <v>15814</v>
      </c>
      <c r="H675" s="10" t="s">
        <v>165</v>
      </c>
      <c r="I675" s="10" t="s">
        <v>55</v>
      </c>
      <c r="K675" s="10" t="s">
        <v>16175</v>
      </c>
      <c r="L675" s="10" t="s">
        <v>42</v>
      </c>
    </row>
    <row r="676" ht="15.75" customHeight="1">
      <c r="A676" s="66">
        <v>45477.0</v>
      </c>
      <c r="B676" s="55" t="str">
        <f>HYPERLINK("https://jobright.ai/jobs/info/6686d38e1e7f22b860e75bd1?utm_campaign=1051&amp;utm_source=sheet", "Apply")</f>
        <v>Apply</v>
      </c>
      <c r="C676" s="10" t="s">
        <v>16757</v>
      </c>
      <c r="D676" s="56" t="s">
        <v>16758</v>
      </c>
      <c r="E676" s="10" t="s">
        <v>71</v>
      </c>
      <c r="F676" s="10" t="s">
        <v>16759</v>
      </c>
      <c r="G676" s="10" t="s">
        <v>15814</v>
      </c>
      <c r="H676" s="10" t="s">
        <v>674</v>
      </c>
      <c r="I676" s="10" t="s">
        <v>55</v>
      </c>
      <c r="K676" s="10" t="s">
        <v>16760</v>
      </c>
      <c r="L676" s="10" t="s">
        <v>42</v>
      </c>
    </row>
    <row r="677" ht="15.75" customHeight="1">
      <c r="A677" s="66">
        <v>45477.0</v>
      </c>
      <c r="B677" s="55" t="str">
        <f>HYPERLINK("https://jobright.ai/jobs/info/666a317290feb1bdec571e13?utm_campaign=1051&amp;utm_source=sheet", "Apply")</f>
        <v>Apply</v>
      </c>
      <c r="C677" s="10" t="s">
        <v>16761</v>
      </c>
      <c r="D677" s="56" t="s">
        <v>10975</v>
      </c>
      <c r="E677" s="10" t="s">
        <v>249</v>
      </c>
      <c r="F677" s="10" t="s">
        <v>1934</v>
      </c>
      <c r="G677" s="10" t="s">
        <v>15793</v>
      </c>
      <c r="H677" s="10" t="s">
        <v>154</v>
      </c>
      <c r="I677" s="10" t="s">
        <v>55</v>
      </c>
      <c r="K677" s="10" t="s">
        <v>15837</v>
      </c>
      <c r="L677" s="10" t="s">
        <v>42</v>
      </c>
    </row>
    <row r="678" ht="15.75" customHeight="1">
      <c r="A678" s="66">
        <v>45476.0</v>
      </c>
      <c r="B678" s="55" t="str">
        <f>HYPERLINK("https://jobright.ai/jobs/info/6685f2ecc18bebcab14e3dd9?utm_campaign=1051&amp;utm_source=sheet", "Apply")</f>
        <v>Apply</v>
      </c>
      <c r="C678" s="10" t="s">
        <v>16762</v>
      </c>
      <c r="D678" s="56" t="s">
        <v>1636</v>
      </c>
      <c r="E678" s="10">
        <v>6029.0</v>
      </c>
      <c r="G678" s="10" t="s">
        <v>15854</v>
      </c>
      <c r="H678" s="10" t="s">
        <v>170</v>
      </c>
      <c r="I678" s="10" t="s">
        <v>55</v>
      </c>
      <c r="J678" s="10" t="s">
        <v>11409</v>
      </c>
      <c r="K678" s="10" t="s">
        <v>16763</v>
      </c>
      <c r="L678" s="10" t="s">
        <v>42</v>
      </c>
    </row>
    <row r="679" ht="15.75" customHeight="1">
      <c r="A679" s="66">
        <v>45476.0</v>
      </c>
      <c r="B679" s="55" t="str">
        <f>HYPERLINK("https://jobright.ai/jobs/info/6685e208adbfe96e189b7340?utm_campaign=1051&amp;utm_source=sheet", "Apply")</f>
        <v>Apply</v>
      </c>
      <c r="C679" s="10" t="s">
        <v>16764</v>
      </c>
      <c r="D679" s="56" t="s">
        <v>16765</v>
      </c>
      <c r="E679" s="10" t="s">
        <v>71</v>
      </c>
      <c r="F679" s="10" t="s">
        <v>16766</v>
      </c>
      <c r="G679" s="10" t="s">
        <v>15814</v>
      </c>
      <c r="H679" s="10" t="s">
        <v>251</v>
      </c>
      <c r="I679" s="10" t="s">
        <v>252</v>
      </c>
      <c r="K679" s="10" t="s">
        <v>16767</v>
      </c>
      <c r="L679" s="10" t="s">
        <v>42</v>
      </c>
    </row>
    <row r="680" ht="15.75" customHeight="1">
      <c r="A680" s="66">
        <v>45476.0</v>
      </c>
      <c r="B680" s="55" t="str">
        <f>HYPERLINK("https://jobright.ai/jobs/info/6685d8b93aae3c4b011ad31d?utm_campaign=1051&amp;utm_source=sheet", "Apply")</f>
        <v>Apply</v>
      </c>
      <c r="C680" s="10" t="s">
        <v>16768</v>
      </c>
      <c r="D680" s="56" t="s">
        <v>8698</v>
      </c>
      <c r="E680" s="10" t="s">
        <v>249</v>
      </c>
      <c r="F680" s="10" t="s">
        <v>3180</v>
      </c>
      <c r="G680" s="10" t="s">
        <v>15814</v>
      </c>
      <c r="H680" s="10" t="s">
        <v>47</v>
      </c>
      <c r="I680" s="10" t="s">
        <v>55</v>
      </c>
      <c r="K680" s="10" t="s">
        <v>16769</v>
      </c>
      <c r="L680" s="10" t="s">
        <v>42</v>
      </c>
    </row>
    <row r="681" ht="15.75" customHeight="1">
      <c r="A681" s="66">
        <v>45476.0</v>
      </c>
      <c r="B681" s="55" t="str">
        <f>HYPERLINK("https://jobright.ai/jobs/info/6685baffdaed635a51efb0aa?utm_campaign=1051&amp;utm_source=sheet", "Apply")</f>
        <v>Apply</v>
      </c>
      <c r="C681" s="10" t="s">
        <v>16770</v>
      </c>
      <c r="D681" s="56" t="s">
        <v>16771</v>
      </c>
      <c r="E681" s="10" t="s">
        <v>137</v>
      </c>
      <c r="F681" s="10" t="s">
        <v>1312</v>
      </c>
      <c r="G681" s="10" t="s">
        <v>100</v>
      </c>
      <c r="H681" s="10" t="s">
        <v>5137</v>
      </c>
      <c r="I681" s="10" t="s">
        <v>48</v>
      </c>
      <c r="K681" s="10" t="s">
        <v>16772</v>
      </c>
      <c r="L681" s="10" t="s">
        <v>42</v>
      </c>
    </row>
    <row r="682" ht="15.75" customHeight="1">
      <c r="A682" s="66">
        <v>45476.0</v>
      </c>
      <c r="B682" s="55" t="str">
        <f>HYPERLINK("https://jobright.ai/jobs/info/66859c0b04d7e7f0936fd654?utm_campaign=1051&amp;utm_source=sheet", "Apply")</f>
        <v>Apply</v>
      </c>
      <c r="C682" s="10" t="s">
        <v>16773</v>
      </c>
      <c r="D682" s="56" t="s">
        <v>16774</v>
      </c>
      <c r="E682" s="10" t="s">
        <v>249</v>
      </c>
      <c r="F682" s="10" t="s">
        <v>1281</v>
      </c>
      <c r="G682" s="10" t="s">
        <v>15793</v>
      </c>
      <c r="H682" s="10" t="s">
        <v>7531</v>
      </c>
      <c r="I682" s="10" t="s">
        <v>55</v>
      </c>
      <c r="K682" s="10" t="s">
        <v>16775</v>
      </c>
      <c r="L682" s="10" t="s">
        <v>42</v>
      </c>
    </row>
    <row r="683" ht="15.75" customHeight="1">
      <c r="A683" s="66">
        <v>45476.0</v>
      </c>
      <c r="B683" s="55" t="str">
        <f>HYPERLINK("https://jobright.ai/jobs/info/668589fa0ae1f988330e0066?utm_campaign=1051&amp;utm_source=sheet", "Apply")</f>
        <v>Apply</v>
      </c>
      <c r="C683" s="10" t="s">
        <v>15918</v>
      </c>
      <c r="D683" s="56" t="s">
        <v>16137</v>
      </c>
      <c r="E683" s="10" t="s">
        <v>137</v>
      </c>
      <c r="F683" s="10" t="s">
        <v>259</v>
      </c>
      <c r="G683" s="10" t="s">
        <v>15814</v>
      </c>
      <c r="H683" s="10" t="s">
        <v>251</v>
      </c>
      <c r="I683" s="10" t="s">
        <v>252</v>
      </c>
      <c r="J683" s="10" t="s">
        <v>16776</v>
      </c>
      <c r="K683" s="10" t="s">
        <v>16777</v>
      </c>
      <c r="L683" s="10" t="s">
        <v>42</v>
      </c>
    </row>
    <row r="684" ht="15.75" customHeight="1">
      <c r="A684" s="66">
        <v>45476.0</v>
      </c>
      <c r="B684" s="55" t="str">
        <f>HYPERLINK("https://jobright.ai/jobs/info/668eab936a54d7e82ea09b47?utm_campaign=1051&amp;utm_source=sheet", "Apply")</f>
        <v>Apply</v>
      </c>
      <c r="C684" s="10" t="s">
        <v>15918</v>
      </c>
      <c r="D684" s="56" t="s">
        <v>1178</v>
      </c>
      <c r="E684" s="10" t="s">
        <v>137</v>
      </c>
      <c r="F684" s="10" t="s">
        <v>1179</v>
      </c>
      <c r="G684" s="10" t="s">
        <v>15814</v>
      </c>
      <c r="H684" s="10" t="s">
        <v>11404</v>
      </c>
      <c r="I684" s="10" t="s">
        <v>55</v>
      </c>
      <c r="J684" s="10" t="s">
        <v>1984</v>
      </c>
      <c r="K684" s="10" t="s">
        <v>16778</v>
      </c>
      <c r="L684" s="10" t="s">
        <v>42</v>
      </c>
    </row>
    <row r="685" ht="15.75" customHeight="1">
      <c r="A685" s="66">
        <v>45476.0</v>
      </c>
      <c r="B685" s="55" t="str">
        <f>HYPERLINK("https://jobright.ai/jobs/info/66856bedbdc2939b8d261f9f?utm_campaign=1051&amp;utm_source=sheet", "Apply")</f>
        <v>Apply</v>
      </c>
      <c r="C685" s="10" t="s">
        <v>16779</v>
      </c>
      <c r="D685" s="56" t="s">
        <v>16780</v>
      </c>
      <c r="E685" s="10" t="s">
        <v>65</v>
      </c>
      <c r="F685" s="10" t="s">
        <v>16781</v>
      </c>
      <c r="G685" s="10" t="s">
        <v>15829</v>
      </c>
      <c r="H685" s="10" t="s">
        <v>96</v>
      </c>
      <c r="I685" s="10" t="s">
        <v>55</v>
      </c>
      <c r="J685" s="10" t="s">
        <v>5716</v>
      </c>
      <c r="K685" s="10" t="s">
        <v>16782</v>
      </c>
      <c r="L685" s="10" t="s">
        <v>42</v>
      </c>
    </row>
    <row r="686" ht="15.75" customHeight="1">
      <c r="A686" s="66">
        <v>45476.0</v>
      </c>
      <c r="B686" s="55" t="str">
        <f>HYPERLINK("https://jobright.ai/jobs/info/668578e3ad79c6e653c8587b?utm_campaign=1051&amp;utm_source=sheet", "Apply")</f>
        <v>Apply</v>
      </c>
      <c r="C686" s="10" t="s">
        <v>16783</v>
      </c>
      <c r="D686" s="56" t="s">
        <v>357</v>
      </c>
      <c r="E686" s="10" t="s">
        <v>45</v>
      </c>
      <c r="F686" s="10" t="s">
        <v>358</v>
      </c>
      <c r="G686" s="10" t="s">
        <v>15829</v>
      </c>
      <c r="H686" s="10" t="s">
        <v>16715</v>
      </c>
      <c r="I686" s="10" t="s">
        <v>55</v>
      </c>
      <c r="K686" s="10" t="s">
        <v>16784</v>
      </c>
      <c r="L686" s="10" t="s">
        <v>42</v>
      </c>
    </row>
    <row r="687" ht="15.75" customHeight="1">
      <c r="A687" s="66">
        <v>45476.0</v>
      </c>
      <c r="B687" s="55" t="str">
        <f>HYPERLINK("https://jobright.ai/jobs/info/66859c0b04d7e7f0936fd5fa?utm_campaign=1051&amp;utm_source=sheet", "Apply")</f>
        <v>Apply</v>
      </c>
      <c r="C687" s="10" t="s">
        <v>16762</v>
      </c>
      <c r="D687" s="56" t="s">
        <v>1636</v>
      </c>
      <c r="E687" s="10">
        <v>6029.0</v>
      </c>
      <c r="G687" s="10" t="s">
        <v>100</v>
      </c>
      <c r="H687" s="10" t="s">
        <v>11437</v>
      </c>
      <c r="I687" s="10" t="s">
        <v>55</v>
      </c>
      <c r="J687" s="10" t="s">
        <v>11409</v>
      </c>
      <c r="K687" s="10" t="s">
        <v>16763</v>
      </c>
      <c r="L687" s="10" t="s">
        <v>42</v>
      </c>
    </row>
    <row r="688" ht="15.75" customHeight="1">
      <c r="A688" s="66">
        <v>45475.0</v>
      </c>
      <c r="B688" s="55" t="str">
        <f>HYPERLINK("https://jobright.ai/jobs/info/668462f6387089b88317673a?utm_campaign=1051&amp;utm_source=sheet", "Apply")</f>
        <v>Apply</v>
      </c>
      <c r="C688" s="10" t="s">
        <v>16785</v>
      </c>
      <c r="D688" s="56" t="s">
        <v>16786</v>
      </c>
      <c r="E688" s="10">
        <v>1.0</v>
      </c>
      <c r="G688" s="10" t="s">
        <v>15829</v>
      </c>
      <c r="H688" s="10" t="s">
        <v>16787</v>
      </c>
      <c r="I688" s="10" t="s">
        <v>252</v>
      </c>
      <c r="K688" s="10" t="s">
        <v>16788</v>
      </c>
      <c r="L688" s="10" t="s">
        <v>42</v>
      </c>
    </row>
    <row r="689" ht="15.75" customHeight="1">
      <c r="A689" s="66">
        <v>45475.0</v>
      </c>
      <c r="B689" s="55" t="str">
        <f>HYPERLINK("https://jobright.ai/jobs/info/66844392d074e25fefa98c5d?utm_campaign=1051&amp;utm_source=sheet", "Apply")</f>
        <v>Apply</v>
      </c>
      <c r="C689" s="10" t="s">
        <v>16789</v>
      </c>
      <c r="D689" s="56" t="s">
        <v>2220</v>
      </c>
      <c r="E689" s="10" t="s">
        <v>45</v>
      </c>
      <c r="F689" s="10" t="s">
        <v>2221</v>
      </c>
      <c r="G689" s="10" t="s">
        <v>100</v>
      </c>
      <c r="H689" s="10" t="s">
        <v>6620</v>
      </c>
      <c r="I689" s="10" t="s">
        <v>55</v>
      </c>
      <c r="J689" s="10" t="s">
        <v>16790</v>
      </c>
      <c r="K689" s="10" t="s">
        <v>7614</v>
      </c>
      <c r="L689" s="10" t="s">
        <v>42</v>
      </c>
    </row>
    <row r="690" ht="15.75" customHeight="1">
      <c r="A690" s="66">
        <v>45475.0</v>
      </c>
      <c r="B690" s="55" t="str">
        <f>HYPERLINK("https://jobright.ai/jobs/info/6684e73d10843bb0fec4ec53?utm_campaign=1051&amp;utm_source=sheet", "Apply")</f>
        <v>Apply</v>
      </c>
      <c r="C690" s="10" t="s">
        <v>15927</v>
      </c>
      <c r="D690" s="56" t="s">
        <v>9821</v>
      </c>
      <c r="E690" s="10" t="s">
        <v>45</v>
      </c>
      <c r="F690" s="10" t="s">
        <v>3594</v>
      </c>
      <c r="G690" s="10" t="s">
        <v>15814</v>
      </c>
      <c r="H690" s="10" t="s">
        <v>16791</v>
      </c>
      <c r="I690" s="10" t="s">
        <v>48</v>
      </c>
      <c r="K690" s="10" t="s">
        <v>16792</v>
      </c>
      <c r="L690" s="10" t="s">
        <v>42</v>
      </c>
    </row>
    <row r="691" ht="15.75" customHeight="1">
      <c r="A691" s="66">
        <v>45475.0</v>
      </c>
      <c r="B691" s="55" t="str">
        <f>HYPERLINK("https://jobright.ai/jobs/info/668365ddef136f96b499dc28?utm_campaign=1051&amp;utm_source=sheet", "Apply")</f>
        <v>Apply</v>
      </c>
      <c r="C691" s="10" t="s">
        <v>16793</v>
      </c>
      <c r="D691" s="56" t="s">
        <v>16794</v>
      </c>
      <c r="E691" s="10" t="s">
        <v>209</v>
      </c>
      <c r="F691" s="10" t="s">
        <v>2274</v>
      </c>
      <c r="G691" s="10" t="s">
        <v>15793</v>
      </c>
      <c r="H691" s="10" t="s">
        <v>3674</v>
      </c>
      <c r="I691" s="10" t="s">
        <v>55</v>
      </c>
      <c r="J691" s="10" t="s">
        <v>1960</v>
      </c>
      <c r="K691" s="10" t="s">
        <v>16795</v>
      </c>
      <c r="L691" s="10" t="s">
        <v>42</v>
      </c>
    </row>
    <row r="692" ht="15.75" customHeight="1">
      <c r="A692" s="66">
        <v>45475.0</v>
      </c>
      <c r="B692" s="55" t="str">
        <f>HYPERLINK("https://jobright.ai/jobs/info/66846818b9a5d629f5e23900?utm_campaign=1051&amp;utm_source=sheet", "Apply")</f>
        <v>Apply</v>
      </c>
      <c r="C692" s="10" t="s">
        <v>16796</v>
      </c>
      <c r="D692" s="56" t="s">
        <v>10126</v>
      </c>
      <c r="E692" s="10">
        <v>276.0</v>
      </c>
      <c r="G692" s="10" t="s">
        <v>15829</v>
      </c>
      <c r="H692" s="10" t="s">
        <v>8592</v>
      </c>
      <c r="I692" s="10" t="s">
        <v>55</v>
      </c>
      <c r="J692" s="10" t="s">
        <v>16797</v>
      </c>
      <c r="K692" s="10" t="s">
        <v>16798</v>
      </c>
      <c r="L692" s="10" t="s">
        <v>42</v>
      </c>
    </row>
    <row r="693" ht="15.75" customHeight="1">
      <c r="A693" s="66">
        <v>45474.0</v>
      </c>
      <c r="B693" s="55" t="str">
        <f>HYPERLINK("https://jobright.ai/jobs/info/6683ff3a29646ce4f98c50d6?utm_campaign=1051&amp;utm_source=sheet", "Apply")</f>
        <v>Apply</v>
      </c>
      <c r="C693" s="10" t="s">
        <v>15918</v>
      </c>
      <c r="D693" s="56" t="s">
        <v>1178</v>
      </c>
      <c r="E693" s="10" t="s">
        <v>137</v>
      </c>
      <c r="F693" s="10" t="s">
        <v>1179</v>
      </c>
      <c r="G693" s="10" t="s">
        <v>15814</v>
      </c>
      <c r="H693" s="10" t="s">
        <v>11404</v>
      </c>
      <c r="I693" s="10" t="s">
        <v>55</v>
      </c>
      <c r="J693" s="10" t="s">
        <v>1984</v>
      </c>
      <c r="K693" s="10" t="s">
        <v>16778</v>
      </c>
      <c r="L693" s="10" t="s">
        <v>42</v>
      </c>
    </row>
    <row r="694" ht="15.75" customHeight="1">
      <c r="A694" s="66">
        <v>45474.0</v>
      </c>
      <c r="B694" s="55" t="str">
        <f>HYPERLINK("https://jobright.ai/jobs/info/6683216aa46d7cc415a6dfcd?utm_campaign=1051&amp;utm_source=sheet", "Apply")</f>
        <v>Apply</v>
      </c>
      <c r="C694" s="10" t="s">
        <v>16799</v>
      </c>
      <c r="D694" s="56" t="s">
        <v>16800</v>
      </c>
      <c r="E694" s="10" t="s">
        <v>45</v>
      </c>
      <c r="F694" s="10" t="s">
        <v>15603</v>
      </c>
      <c r="G694" s="10" t="s">
        <v>15829</v>
      </c>
      <c r="H694" s="10" t="s">
        <v>16801</v>
      </c>
      <c r="I694" s="10" t="s">
        <v>55</v>
      </c>
      <c r="K694" s="10" t="s">
        <v>16802</v>
      </c>
      <c r="L694" s="10" t="s">
        <v>42</v>
      </c>
    </row>
    <row r="695" ht="15.75" customHeight="1">
      <c r="A695" s="66">
        <v>45474.0</v>
      </c>
      <c r="B695" s="55" t="str">
        <f>HYPERLINK("https://jobright.ai/jobs/info/6682e318bcb975e888d2159b?utm_campaign=1051&amp;utm_source=sheet", "Apply")</f>
        <v>Apply</v>
      </c>
      <c r="C695" s="10" t="s">
        <v>16803</v>
      </c>
      <c r="D695" s="56" t="s">
        <v>16804</v>
      </c>
      <c r="E695" s="10">
        <v>1893.0</v>
      </c>
      <c r="G695" s="10" t="s">
        <v>100</v>
      </c>
      <c r="H695" s="10" t="s">
        <v>6012</v>
      </c>
      <c r="I695" s="10" t="s">
        <v>252</v>
      </c>
      <c r="K695" s="10" t="s">
        <v>16805</v>
      </c>
      <c r="L695" s="10" t="s">
        <v>42</v>
      </c>
    </row>
    <row r="696" ht="15.75" customHeight="1">
      <c r="A696" s="66">
        <v>45474.0</v>
      </c>
      <c r="B696" s="55" t="str">
        <f>HYPERLINK("https://jobright.ai/jobs/info/6682d46d0a324f50ed343f9c?utm_campaign=1051&amp;utm_source=sheet", "Apply")</f>
        <v>Apply</v>
      </c>
      <c r="C696" s="10" t="s">
        <v>15927</v>
      </c>
      <c r="D696" s="56" t="s">
        <v>9821</v>
      </c>
      <c r="E696" s="10" t="s">
        <v>45</v>
      </c>
      <c r="F696" s="10" t="s">
        <v>3594</v>
      </c>
      <c r="G696" s="10" t="s">
        <v>15814</v>
      </c>
      <c r="H696" s="10" t="s">
        <v>872</v>
      </c>
      <c r="I696" s="10" t="s">
        <v>55</v>
      </c>
      <c r="K696" s="10" t="s">
        <v>16616</v>
      </c>
      <c r="L696" s="10" t="s">
        <v>42</v>
      </c>
    </row>
    <row r="697" ht="15.75" customHeight="1">
      <c r="A697" s="66">
        <v>45474.0</v>
      </c>
      <c r="B697" s="55" t="str">
        <f>HYPERLINK("https://jobright.ai/jobs/info/6682d983e473540dbcd0ea37?utm_campaign=1051&amp;utm_source=sheet", "Apply")</f>
        <v>Apply</v>
      </c>
      <c r="C697" s="10" t="s">
        <v>16806</v>
      </c>
      <c r="D697" s="56" t="s">
        <v>16807</v>
      </c>
      <c r="E697" s="10" t="s">
        <v>137</v>
      </c>
      <c r="F697" s="10" t="s">
        <v>16808</v>
      </c>
      <c r="G697" s="10" t="s">
        <v>15829</v>
      </c>
      <c r="H697" s="10" t="s">
        <v>16809</v>
      </c>
      <c r="I697" s="10" t="s">
        <v>55</v>
      </c>
      <c r="J697" s="10" t="s">
        <v>521</v>
      </c>
      <c r="K697" s="10" t="s">
        <v>16810</v>
      </c>
      <c r="L697" s="10" t="s">
        <v>42</v>
      </c>
    </row>
    <row r="698" ht="15.75" customHeight="1">
      <c r="A698" s="66">
        <v>45474.0</v>
      </c>
      <c r="B698" s="55" t="str">
        <f>HYPERLINK("https://jobright.ai/jobs/info/6682d983e473540dbcd0ea35?utm_campaign=1051&amp;utm_source=sheet", "Apply")</f>
        <v>Apply</v>
      </c>
      <c r="C698" s="10" t="s">
        <v>16811</v>
      </c>
      <c r="D698" s="56" t="s">
        <v>16807</v>
      </c>
      <c r="E698" s="10" t="s">
        <v>137</v>
      </c>
      <c r="F698" s="10" t="s">
        <v>16808</v>
      </c>
      <c r="G698" s="10" t="s">
        <v>15829</v>
      </c>
      <c r="H698" s="10" t="s">
        <v>572</v>
      </c>
      <c r="I698" s="10" t="s">
        <v>55</v>
      </c>
      <c r="J698" s="10" t="s">
        <v>521</v>
      </c>
      <c r="K698" s="10" t="s">
        <v>16810</v>
      </c>
      <c r="L698" s="10" t="s">
        <v>42</v>
      </c>
    </row>
    <row r="699" ht="15.75" customHeight="1">
      <c r="A699" s="66">
        <v>45474.0</v>
      </c>
      <c r="B699" s="55" t="str">
        <f>HYPERLINK("https://jobright.ai/jobs/info/6682d983e473540dbcd0ea34?utm_campaign=1051&amp;utm_source=sheet", "Apply")</f>
        <v>Apply</v>
      </c>
      <c r="C699" s="10" t="s">
        <v>16812</v>
      </c>
      <c r="D699" s="56" t="s">
        <v>16807</v>
      </c>
      <c r="E699" s="10" t="s">
        <v>137</v>
      </c>
      <c r="F699" s="10" t="s">
        <v>16808</v>
      </c>
      <c r="G699" s="10" t="s">
        <v>15829</v>
      </c>
      <c r="H699" s="10" t="s">
        <v>16813</v>
      </c>
      <c r="I699" s="10" t="s">
        <v>55</v>
      </c>
      <c r="J699" s="10" t="s">
        <v>521</v>
      </c>
      <c r="K699" s="10" t="s">
        <v>16810</v>
      </c>
      <c r="L699" s="10" t="s">
        <v>42</v>
      </c>
    </row>
    <row r="700" ht="15.75" customHeight="1">
      <c r="A700" s="66">
        <v>45474.0</v>
      </c>
      <c r="B700" s="55" t="str">
        <f>HYPERLINK("https://jobright.ai/jobs/info/6682cef3ac1ecadd06f38eea?utm_campaign=1051&amp;utm_source=sheet", "Apply")</f>
        <v>Apply</v>
      </c>
      <c r="C700" s="10" t="s">
        <v>16814</v>
      </c>
      <c r="D700" s="56" t="s">
        <v>16800</v>
      </c>
      <c r="E700" s="10" t="s">
        <v>45</v>
      </c>
      <c r="F700" s="10" t="s">
        <v>15603</v>
      </c>
      <c r="G700" s="10" t="s">
        <v>15829</v>
      </c>
      <c r="H700" s="10" t="s">
        <v>154</v>
      </c>
      <c r="I700" s="10" t="s">
        <v>55</v>
      </c>
      <c r="K700" s="10" t="s">
        <v>16802</v>
      </c>
      <c r="L700" s="10" t="s">
        <v>42</v>
      </c>
    </row>
    <row r="701" ht="15.75" customHeight="1">
      <c r="A701" s="66">
        <v>45474.0</v>
      </c>
      <c r="B701" s="55" t="str">
        <f>HYPERLINK("https://jobright.ai/jobs/info/668379b584b098fd85a44e3b?utm_campaign=1051&amp;utm_source=sheet", "Apply")</f>
        <v>Apply</v>
      </c>
      <c r="C701" s="10" t="s">
        <v>16815</v>
      </c>
      <c r="D701" s="56" t="s">
        <v>16816</v>
      </c>
      <c r="E701" s="10" t="s">
        <v>137</v>
      </c>
      <c r="F701" s="10" t="s">
        <v>16817</v>
      </c>
      <c r="G701" s="10" t="s">
        <v>15829</v>
      </c>
      <c r="H701" s="10" t="s">
        <v>16818</v>
      </c>
      <c r="I701" s="10" t="s">
        <v>55</v>
      </c>
      <c r="K701" s="10" t="s">
        <v>16819</v>
      </c>
      <c r="L701" s="10" t="s">
        <v>42</v>
      </c>
    </row>
    <row r="702" ht="15.75" customHeight="1">
      <c r="A702" s="66">
        <v>45474.0</v>
      </c>
      <c r="B702" s="55" t="str">
        <f>HYPERLINK("https://jobright.ai/jobs/info/66838cc62c4a444fbfe64973?utm_campaign=1051&amp;utm_source=sheet", "Apply")</f>
        <v>Apply</v>
      </c>
      <c r="C702" s="10" t="s">
        <v>16815</v>
      </c>
      <c r="D702" s="56" t="s">
        <v>16816</v>
      </c>
      <c r="E702" s="10" t="s">
        <v>137</v>
      </c>
      <c r="F702" s="10" t="s">
        <v>16817</v>
      </c>
      <c r="G702" s="10" t="s">
        <v>15829</v>
      </c>
      <c r="H702" s="10" t="s">
        <v>16820</v>
      </c>
      <c r="I702" s="10" t="s">
        <v>55</v>
      </c>
      <c r="K702" s="10" t="s">
        <v>16819</v>
      </c>
      <c r="L702" s="10" t="s">
        <v>42</v>
      </c>
    </row>
    <row r="703" ht="15.75" customHeight="1">
      <c r="A703" s="66">
        <v>45473.0</v>
      </c>
      <c r="B703" s="55" t="str">
        <f>HYPERLINK("https://jobright.ai/jobs/info/6682915680444982f0ddc207?utm_campaign=1051&amp;utm_source=sheet", "Apply")</f>
        <v>Apply</v>
      </c>
      <c r="C703" s="10" t="s">
        <v>16821</v>
      </c>
      <c r="D703" s="56" t="s">
        <v>16822</v>
      </c>
      <c r="E703" s="10">
        <v>138.0</v>
      </c>
      <c r="G703" s="10" t="s">
        <v>100</v>
      </c>
      <c r="H703" s="10" t="s">
        <v>15805</v>
      </c>
      <c r="I703" s="10" t="s">
        <v>55</v>
      </c>
      <c r="K703" s="10" t="s">
        <v>16823</v>
      </c>
      <c r="L703" s="10" t="s">
        <v>42</v>
      </c>
    </row>
    <row r="704" ht="15.75" customHeight="1">
      <c r="A704" s="66">
        <v>45473.0</v>
      </c>
      <c r="B704" s="55" t="str">
        <f>HYPERLINK("https://jobright.ai/jobs/info/6680ea2a7845d9206026fcf8?utm_campaign=1051&amp;utm_source=sheet", "Apply")</f>
        <v>Apply</v>
      </c>
      <c r="C704" s="10" t="s">
        <v>15294</v>
      </c>
      <c r="D704" s="56" t="s">
        <v>15295</v>
      </c>
      <c r="E704" s="10" t="s">
        <v>45</v>
      </c>
      <c r="F704" s="10" t="s">
        <v>15296</v>
      </c>
      <c r="G704" s="10" t="s">
        <v>15793</v>
      </c>
      <c r="H704" s="10" t="s">
        <v>4963</v>
      </c>
      <c r="I704" s="10" t="s">
        <v>55</v>
      </c>
      <c r="J704" s="10" t="s">
        <v>16824</v>
      </c>
      <c r="K704" s="10" t="s">
        <v>16825</v>
      </c>
      <c r="L704" s="10" t="s">
        <v>42</v>
      </c>
    </row>
    <row r="705" ht="15.75" customHeight="1">
      <c r="A705" s="66">
        <v>45472.0</v>
      </c>
      <c r="B705" s="55" t="str">
        <f>HYPERLINK("https://jobright.ai/jobs/info/66804899a512f2495b1c44fc?utm_campaign=1051&amp;utm_source=sheet", "Apply")</f>
        <v>Apply</v>
      </c>
      <c r="C705" s="10" t="s">
        <v>16826</v>
      </c>
      <c r="D705" s="56" t="s">
        <v>16827</v>
      </c>
      <c r="E705" s="10">
        <v>2.0</v>
      </c>
      <c r="G705" s="10" t="s">
        <v>15829</v>
      </c>
      <c r="H705" s="10" t="s">
        <v>605</v>
      </c>
      <c r="I705" s="10" t="s">
        <v>55</v>
      </c>
      <c r="K705" s="10" t="s">
        <v>16828</v>
      </c>
      <c r="L705" s="10" t="s">
        <v>42</v>
      </c>
    </row>
    <row r="706" ht="15.75" customHeight="1">
      <c r="A706" s="66">
        <v>45471.0</v>
      </c>
      <c r="B706" s="55" t="str">
        <f>HYPERLINK("https://jobright.ai/jobs/info/667f7c0c246a2f70771a7a20?utm_campaign=1051&amp;utm_source=sheet", "Apply")</f>
        <v>Apply</v>
      </c>
      <c r="C706" s="10" t="s">
        <v>16829</v>
      </c>
      <c r="D706" s="56" t="s">
        <v>16830</v>
      </c>
      <c r="E706" s="10" t="s">
        <v>79</v>
      </c>
      <c r="F706" s="10" t="s">
        <v>16831</v>
      </c>
      <c r="G706" s="10" t="s">
        <v>15829</v>
      </c>
      <c r="H706" s="10" t="s">
        <v>10432</v>
      </c>
      <c r="I706" s="10" t="s">
        <v>55</v>
      </c>
      <c r="J706" s="10" t="s">
        <v>15596</v>
      </c>
      <c r="K706" s="10" t="s">
        <v>16832</v>
      </c>
      <c r="L706" s="10" t="s">
        <v>42</v>
      </c>
    </row>
    <row r="707" ht="15.75" customHeight="1">
      <c r="A707" s="66">
        <v>45471.0</v>
      </c>
      <c r="B707" s="55" t="str">
        <f>HYPERLINK("https://jobright.ai/jobs/info/667fee1dc72a4cb5f3dd67f3?utm_campaign=1051&amp;utm_source=sheet", "Apply")</f>
        <v>Apply</v>
      </c>
      <c r="C707" s="10" t="s">
        <v>16833</v>
      </c>
      <c r="D707" s="56" t="s">
        <v>16834</v>
      </c>
      <c r="E707" s="10" t="s">
        <v>71</v>
      </c>
      <c r="F707" s="10" t="s">
        <v>5705</v>
      </c>
      <c r="G707" s="10" t="s">
        <v>15793</v>
      </c>
      <c r="H707" s="10" t="s">
        <v>5245</v>
      </c>
      <c r="I707" s="10" t="s">
        <v>55</v>
      </c>
      <c r="K707" s="10" t="s">
        <v>16835</v>
      </c>
      <c r="L707" s="10" t="s">
        <v>42</v>
      </c>
    </row>
    <row r="708" ht="15.75" customHeight="1">
      <c r="A708" s="66">
        <v>45471.0</v>
      </c>
      <c r="B708" s="55" t="str">
        <f>HYPERLINK("https://jobright.ai/jobs/info/667e865b3c4ad307acc7d8be?utm_campaign=1051&amp;utm_source=sheet", "Apply")</f>
        <v>Apply</v>
      </c>
      <c r="C708" s="10" t="s">
        <v>16836</v>
      </c>
      <c r="D708" s="56" t="s">
        <v>13615</v>
      </c>
      <c r="E708" s="10" t="s">
        <v>65</v>
      </c>
      <c r="F708" s="10" t="s">
        <v>400</v>
      </c>
      <c r="G708" s="10" t="s">
        <v>15854</v>
      </c>
      <c r="H708" s="10" t="s">
        <v>165</v>
      </c>
      <c r="I708" s="10" t="s">
        <v>55</v>
      </c>
      <c r="K708" s="10" t="s">
        <v>16837</v>
      </c>
      <c r="L708" s="10" t="s">
        <v>42</v>
      </c>
    </row>
    <row r="709" ht="15.75" customHeight="1">
      <c r="A709" s="66">
        <v>45471.0</v>
      </c>
      <c r="B709" s="55" t="str">
        <f>HYPERLINK("https://jobright.ai/jobs/info/667e8f16bbf135a0db7e6283?utm_campaign=1051&amp;utm_source=sheet", "Apply")</f>
        <v>Apply</v>
      </c>
      <c r="C709" s="10" t="s">
        <v>16838</v>
      </c>
      <c r="D709" s="56" t="s">
        <v>15396</v>
      </c>
      <c r="E709" s="10" t="s">
        <v>65</v>
      </c>
      <c r="F709" s="10" t="s">
        <v>1234</v>
      </c>
      <c r="G709" s="10" t="s">
        <v>15829</v>
      </c>
      <c r="H709" s="10" t="s">
        <v>927</v>
      </c>
      <c r="I709" s="10" t="s">
        <v>55</v>
      </c>
      <c r="K709" s="10" t="s">
        <v>16839</v>
      </c>
      <c r="L709" s="10" t="s">
        <v>42</v>
      </c>
    </row>
    <row r="710" ht="15.75" customHeight="1">
      <c r="A710" s="66">
        <v>45471.0</v>
      </c>
      <c r="B710" s="55" t="str">
        <f>HYPERLINK("https://jobright.ai/jobs/info/667ef301c494c660b6019ab9?utm_campaign=1051&amp;utm_source=sheet", "Apply")</f>
        <v>Apply</v>
      </c>
      <c r="C710" s="10" t="s">
        <v>16840</v>
      </c>
      <c r="D710" s="56" t="s">
        <v>2077</v>
      </c>
      <c r="E710" s="10" t="s">
        <v>45</v>
      </c>
      <c r="F710" s="10" t="s">
        <v>1234</v>
      </c>
      <c r="G710" s="10" t="s">
        <v>15829</v>
      </c>
      <c r="H710" s="10" t="s">
        <v>2078</v>
      </c>
      <c r="I710" s="10" t="s">
        <v>55</v>
      </c>
      <c r="J710" s="10" t="s">
        <v>3125</v>
      </c>
      <c r="K710" s="10" t="s">
        <v>16841</v>
      </c>
      <c r="L710" s="10" t="s">
        <v>42</v>
      </c>
    </row>
    <row r="711" ht="15.75" customHeight="1">
      <c r="A711" s="66">
        <v>45471.0</v>
      </c>
      <c r="B711" s="55" t="str">
        <f>HYPERLINK("https://jobright.ai/jobs/info/667f0acd936892b2c2c78f3b?utm_campaign=1051&amp;utm_source=sheet", "Apply")</f>
        <v>Apply</v>
      </c>
      <c r="C711" s="10" t="s">
        <v>16182</v>
      </c>
      <c r="D711" s="56" t="s">
        <v>1196</v>
      </c>
      <c r="E711" s="10" t="s">
        <v>65</v>
      </c>
      <c r="F711" s="10" t="s">
        <v>1197</v>
      </c>
      <c r="G711" s="10" t="s">
        <v>100</v>
      </c>
      <c r="H711" s="10" t="s">
        <v>3208</v>
      </c>
      <c r="I711" s="10" t="s">
        <v>55</v>
      </c>
      <c r="K711" s="10" t="s">
        <v>16183</v>
      </c>
      <c r="L711" s="10" t="s">
        <v>42</v>
      </c>
    </row>
    <row r="712" ht="15.75" customHeight="1">
      <c r="A712" s="66">
        <v>45470.0</v>
      </c>
      <c r="B712" s="55" t="str">
        <f>HYPERLINK("https://jobright.ai/jobs/info/667e099ead1ad78c00128185?utm_campaign=1051&amp;utm_source=sheet", "Apply")</f>
        <v>Apply</v>
      </c>
      <c r="C712" s="10" t="s">
        <v>15799</v>
      </c>
      <c r="D712" s="56" t="s">
        <v>16842</v>
      </c>
      <c r="E712" s="10" t="s">
        <v>79</v>
      </c>
      <c r="F712" s="10" t="s">
        <v>16843</v>
      </c>
      <c r="G712" s="10" t="s">
        <v>100</v>
      </c>
      <c r="H712" s="10" t="s">
        <v>131</v>
      </c>
      <c r="I712" s="10" t="s">
        <v>55</v>
      </c>
      <c r="K712" s="10" t="s">
        <v>16844</v>
      </c>
      <c r="L712" s="10" t="s">
        <v>42</v>
      </c>
    </row>
    <row r="713" ht="15.75" customHeight="1">
      <c r="A713" s="66">
        <v>45470.0</v>
      </c>
      <c r="B713" s="55" t="str">
        <f>HYPERLINK("https://jobright.ai/jobs/info/667dac79a59aa08a6b4d3d87?utm_campaign=1051&amp;utm_source=sheet", "Apply")</f>
        <v>Apply</v>
      </c>
      <c r="C713" s="10" t="s">
        <v>16845</v>
      </c>
      <c r="D713" s="56" t="s">
        <v>16846</v>
      </c>
      <c r="E713" s="10" t="s">
        <v>79</v>
      </c>
      <c r="F713" s="10" t="s">
        <v>2122</v>
      </c>
      <c r="G713" s="10" t="s">
        <v>100</v>
      </c>
      <c r="H713" s="10" t="s">
        <v>153</v>
      </c>
      <c r="I713" s="10" t="s">
        <v>55</v>
      </c>
      <c r="K713" s="10" t="s">
        <v>16847</v>
      </c>
      <c r="L713" s="10" t="s">
        <v>42</v>
      </c>
    </row>
    <row r="714" ht="15.75" customHeight="1">
      <c r="A714" s="66">
        <v>45470.0</v>
      </c>
      <c r="B714" s="55" t="str">
        <f>HYPERLINK("https://jobright.ai/jobs/info/667db779eade89152c970197?utm_campaign=1051&amp;utm_source=sheet", "Apply")</f>
        <v>Apply</v>
      </c>
      <c r="C714" s="10" t="s">
        <v>16848</v>
      </c>
      <c r="D714" s="56" t="s">
        <v>16849</v>
      </c>
      <c r="E714" s="10" t="s">
        <v>71</v>
      </c>
      <c r="F714" s="10" t="s">
        <v>8846</v>
      </c>
      <c r="G714" s="10" t="s">
        <v>15793</v>
      </c>
      <c r="H714" s="10" t="s">
        <v>8543</v>
      </c>
      <c r="I714" s="10" t="s">
        <v>55</v>
      </c>
      <c r="K714" s="10" t="s">
        <v>16850</v>
      </c>
      <c r="L714" s="10" t="s">
        <v>42</v>
      </c>
    </row>
    <row r="715" ht="15.75" customHeight="1">
      <c r="A715" s="66">
        <v>45470.0</v>
      </c>
      <c r="B715" s="55" t="str">
        <f>HYPERLINK("https://jobright.ai/jobs/info/667cfcaea9415a3ca6b27a58?utm_campaign=1051&amp;utm_source=sheet", "Apply")</f>
        <v>Apply</v>
      </c>
      <c r="C715" s="10" t="s">
        <v>16452</v>
      </c>
      <c r="D715" s="56" t="s">
        <v>11133</v>
      </c>
      <c r="G715" s="10" t="s">
        <v>100</v>
      </c>
      <c r="H715" s="10" t="s">
        <v>966</v>
      </c>
      <c r="I715" s="10" t="s">
        <v>55</v>
      </c>
      <c r="K715" s="10" t="s">
        <v>16453</v>
      </c>
      <c r="L715" s="10" t="s">
        <v>42</v>
      </c>
    </row>
    <row r="716" ht="15.75" customHeight="1">
      <c r="A716" s="66">
        <v>45470.0</v>
      </c>
      <c r="B716" s="55" t="str">
        <f>HYPERLINK("https://jobright.ai/jobs/info/667cfcaea9415a3ca6b27a59?utm_campaign=1051&amp;utm_source=sheet", "Apply")</f>
        <v>Apply</v>
      </c>
      <c r="C716" s="10" t="s">
        <v>16452</v>
      </c>
      <c r="D716" s="56" t="s">
        <v>11133</v>
      </c>
      <c r="G716" s="10" t="s">
        <v>100</v>
      </c>
      <c r="H716" s="10" t="s">
        <v>423</v>
      </c>
      <c r="I716" s="10" t="s">
        <v>55</v>
      </c>
      <c r="K716" s="10" t="s">
        <v>16453</v>
      </c>
      <c r="L716" s="10" t="s">
        <v>42</v>
      </c>
    </row>
    <row r="717" ht="15.75" customHeight="1">
      <c r="A717" s="66">
        <v>45470.0</v>
      </c>
      <c r="B717" s="55" t="str">
        <f>HYPERLINK("https://jobright.ai/jobs/info/667cecf5d22aee88a5efca59?utm_campaign=1051&amp;utm_source=sheet", "Apply")</f>
        <v>Apply</v>
      </c>
      <c r="C717" s="10" t="s">
        <v>16452</v>
      </c>
      <c r="D717" s="56" t="s">
        <v>11133</v>
      </c>
      <c r="G717" s="10" t="s">
        <v>100</v>
      </c>
      <c r="H717" s="10" t="s">
        <v>113</v>
      </c>
      <c r="I717" s="10" t="s">
        <v>55</v>
      </c>
      <c r="K717" s="10" t="s">
        <v>16453</v>
      </c>
      <c r="L717" s="10" t="s">
        <v>42</v>
      </c>
    </row>
    <row r="718" ht="15.75" customHeight="1">
      <c r="A718" s="66">
        <v>45470.0</v>
      </c>
      <c r="B718" s="55" t="str">
        <f>HYPERLINK("https://jobright.ai/jobs/info/667d87ec7eec5847adf8cad9?utm_campaign=1051&amp;utm_source=sheet", "Apply")</f>
        <v>Apply</v>
      </c>
      <c r="C718" s="10" t="s">
        <v>16851</v>
      </c>
      <c r="D718" s="56" t="s">
        <v>16852</v>
      </c>
      <c r="E718" s="10" t="s">
        <v>65</v>
      </c>
      <c r="G718" s="10" t="s">
        <v>100</v>
      </c>
      <c r="H718" s="10" t="s">
        <v>169</v>
      </c>
      <c r="I718" s="10" t="s">
        <v>55</v>
      </c>
      <c r="J718" s="10" t="s">
        <v>16853</v>
      </c>
      <c r="K718" s="10" t="s">
        <v>16854</v>
      </c>
      <c r="L718" s="10" t="s">
        <v>42</v>
      </c>
    </row>
    <row r="719" ht="15.75" customHeight="1">
      <c r="A719" s="66">
        <v>45470.0</v>
      </c>
      <c r="B719" s="55" t="str">
        <f>HYPERLINK("https://jobright.ai/jobs/info/667e1bef164e0674b2ce1282?utm_campaign=1051&amp;utm_source=sheet", "Apply")</f>
        <v>Apply</v>
      </c>
      <c r="C719" s="10" t="s">
        <v>16855</v>
      </c>
      <c r="D719" s="56" t="s">
        <v>5584</v>
      </c>
      <c r="E719" s="10" t="s">
        <v>45</v>
      </c>
      <c r="F719" s="10" t="s">
        <v>5585</v>
      </c>
      <c r="G719" s="10" t="s">
        <v>15829</v>
      </c>
      <c r="H719" s="10" t="s">
        <v>16856</v>
      </c>
      <c r="I719" s="10" t="s">
        <v>55</v>
      </c>
      <c r="K719" s="10" t="s">
        <v>16857</v>
      </c>
      <c r="L719" s="10" t="s">
        <v>42</v>
      </c>
    </row>
    <row r="720" ht="15.75" customHeight="1">
      <c r="A720" s="66">
        <v>45469.0</v>
      </c>
      <c r="B720" s="55" t="str">
        <f>HYPERLINK("https://jobright.ai/jobs/info/667cb71e7f13acf322d947ec?utm_campaign=1051&amp;utm_source=sheet", "Apply")</f>
        <v>Apply</v>
      </c>
      <c r="C720" s="10" t="s">
        <v>15799</v>
      </c>
      <c r="D720" s="56" t="s">
        <v>16067</v>
      </c>
      <c r="E720" s="10">
        <v>34.0</v>
      </c>
      <c r="G720" s="10" t="s">
        <v>100</v>
      </c>
      <c r="H720" s="10" t="s">
        <v>96</v>
      </c>
      <c r="I720" s="10" t="s">
        <v>55</v>
      </c>
      <c r="J720" s="10" t="s">
        <v>16858</v>
      </c>
      <c r="K720" s="10" t="s">
        <v>16859</v>
      </c>
      <c r="L720" s="10" t="s">
        <v>42</v>
      </c>
    </row>
    <row r="721" ht="15.75" customHeight="1">
      <c r="A721" s="66">
        <v>45469.0</v>
      </c>
      <c r="B721" s="55" t="str">
        <f>HYPERLINK("https://jobright.ai/jobs/info/667cb29a93f123f8bc4b6736?utm_campaign=1051&amp;utm_source=sheet", "Apply")</f>
        <v>Apply</v>
      </c>
      <c r="C721" s="10" t="s">
        <v>16860</v>
      </c>
      <c r="D721" s="56" t="s">
        <v>1794</v>
      </c>
      <c r="E721" s="10" t="s">
        <v>65</v>
      </c>
      <c r="F721" s="10" t="s">
        <v>1795</v>
      </c>
      <c r="G721" s="10" t="s">
        <v>100</v>
      </c>
      <c r="H721" s="10" t="s">
        <v>1796</v>
      </c>
      <c r="I721" s="10" t="s">
        <v>55</v>
      </c>
      <c r="J721" s="10" t="s">
        <v>11533</v>
      </c>
      <c r="K721" s="10" t="s">
        <v>16861</v>
      </c>
      <c r="L721" s="10" t="s">
        <v>42</v>
      </c>
    </row>
    <row r="722" ht="15.75" customHeight="1">
      <c r="A722" s="66">
        <v>45469.0</v>
      </c>
      <c r="B722" s="55" t="str">
        <f>HYPERLINK("https://jobright.ai/jobs/info/667ca3167b6b9db4746b1881?utm_campaign=1051&amp;utm_source=sheet", "Apply")</f>
        <v>Apply</v>
      </c>
      <c r="C722" s="10" t="s">
        <v>16862</v>
      </c>
      <c r="D722" s="56" t="s">
        <v>13128</v>
      </c>
      <c r="E722" s="10" t="s">
        <v>79</v>
      </c>
      <c r="F722" s="10" t="s">
        <v>7346</v>
      </c>
      <c r="G722" s="10" t="s">
        <v>15829</v>
      </c>
      <c r="H722" s="10" t="s">
        <v>96</v>
      </c>
      <c r="I722" s="10" t="s">
        <v>55</v>
      </c>
      <c r="K722" s="10" t="s">
        <v>16863</v>
      </c>
      <c r="L722" s="10" t="s">
        <v>42</v>
      </c>
    </row>
    <row r="723" ht="15.75" customHeight="1">
      <c r="A723" s="66">
        <v>45469.0</v>
      </c>
      <c r="B723" s="55" t="str">
        <f>HYPERLINK("https://jobright.ai/jobs/info/667cfa9ddfea4cf625833dee?utm_campaign=1051&amp;utm_source=sheet", "Apply")</f>
        <v>Apply</v>
      </c>
      <c r="C723" s="10" t="s">
        <v>16864</v>
      </c>
      <c r="D723" s="56" t="s">
        <v>7618</v>
      </c>
      <c r="E723" s="10" t="s">
        <v>65</v>
      </c>
      <c r="F723" s="10" t="s">
        <v>627</v>
      </c>
      <c r="G723" s="10" t="s">
        <v>100</v>
      </c>
      <c r="H723" s="10" t="s">
        <v>994</v>
      </c>
      <c r="I723" s="10" t="s">
        <v>55</v>
      </c>
      <c r="K723" s="10" t="s">
        <v>16865</v>
      </c>
      <c r="L723" s="10" t="s">
        <v>42</v>
      </c>
    </row>
    <row r="724" ht="15.75" customHeight="1">
      <c r="A724" s="66">
        <v>45469.0</v>
      </c>
      <c r="B724" s="55" t="str">
        <f>HYPERLINK("https://jobright.ai/jobs/info/667c7a65d3d325f1ef6ffdd7?utm_campaign=1051&amp;utm_source=sheet", "Apply")</f>
        <v>Apply</v>
      </c>
      <c r="C724" s="10" t="s">
        <v>16866</v>
      </c>
      <c r="D724" s="56" t="s">
        <v>10126</v>
      </c>
      <c r="E724" s="10">
        <v>276.0</v>
      </c>
      <c r="G724" s="10" t="s">
        <v>15829</v>
      </c>
      <c r="H724" s="10" t="s">
        <v>7036</v>
      </c>
      <c r="I724" s="10" t="s">
        <v>55</v>
      </c>
      <c r="J724" s="10" t="s">
        <v>16867</v>
      </c>
      <c r="K724" s="10" t="s">
        <v>16868</v>
      </c>
      <c r="L724" s="10" t="s">
        <v>42</v>
      </c>
    </row>
    <row r="725" ht="15.75" customHeight="1">
      <c r="A725" s="66">
        <v>45469.0</v>
      </c>
      <c r="B725" s="55" t="str">
        <f>HYPERLINK("https://jobright.ai/jobs/info/667c7c921a825aee2fce0a62?utm_campaign=1051&amp;utm_source=sheet", "Apply")</f>
        <v>Apply</v>
      </c>
      <c r="C725" s="10" t="s">
        <v>16869</v>
      </c>
      <c r="D725" s="56" t="s">
        <v>10126</v>
      </c>
      <c r="E725" s="10">
        <v>276.0</v>
      </c>
      <c r="G725" s="10" t="s">
        <v>15829</v>
      </c>
      <c r="H725" s="10" t="s">
        <v>16870</v>
      </c>
      <c r="I725" s="10" t="s">
        <v>55</v>
      </c>
      <c r="J725" s="10" t="s">
        <v>13106</v>
      </c>
      <c r="K725" s="10" t="s">
        <v>15900</v>
      </c>
      <c r="L725" s="10" t="s">
        <v>42</v>
      </c>
    </row>
    <row r="726" ht="15.75" customHeight="1">
      <c r="A726" s="66">
        <v>45469.0</v>
      </c>
      <c r="B726" s="55" t="str">
        <f>HYPERLINK("https://jobright.ai/jobs/info/667c5c8c9f61c590ee1592a2?utm_campaign=1051&amp;utm_source=sheet", "Apply")</f>
        <v>Apply</v>
      </c>
      <c r="C726" s="10" t="s">
        <v>16862</v>
      </c>
      <c r="D726" s="56" t="s">
        <v>13128</v>
      </c>
      <c r="E726" s="10" t="s">
        <v>79</v>
      </c>
      <c r="F726" s="10" t="s">
        <v>7346</v>
      </c>
      <c r="G726" s="10" t="s">
        <v>15854</v>
      </c>
      <c r="H726" s="10" t="s">
        <v>11140</v>
      </c>
      <c r="I726" s="10" t="s">
        <v>55</v>
      </c>
      <c r="J726" s="10" t="s">
        <v>1984</v>
      </c>
      <c r="K726" s="10" t="s">
        <v>16863</v>
      </c>
      <c r="L726" s="10" t="s">
        <v>42</v>
      </c>
    </row>
    <row r="727" ht="15.75" customHeight="1">
      <c r="A727" s="66">
        <v>45468.0</v>
      </c>
      <c r="B727" s="55" t="str">
        <f>HYPERLINK("https://jobright.ai/jobs/info/667b5c07144544f4c57b51c8?utm_campaign=1051&amp;utm_source=sheet", "Apply")</f>
        <v>Apply</v>
      </c>
      <c r="C727" s="10" t="s">
        <v>16871</v>
      </c>
      <c r="D727" s="56" t="s">
        <v>16872</v>
      </c>
      <c r="E727" s="10" t="s">
        <v>71</v>
      </c>
      <c r="F727" s="10" t="s">
        <v>10019</v>
      </c>
      <c r="G727" s="10" t="s">
        <v>15793</v>
      </c>
      <c r="H727" s="10" t="s">
        <v>159</v>
      </c>
      <c r="I727" s="10" t="s">
        <v>55</v>
      </c>
      <c r="J727" s="10" t="s">
        <v>16873</v>
      </c>
      <c r="K727" s="10" t="s">
        <v>16874</v>
      </c>
      <c r="L727" s="10" t="s">
        <v>42</v>
      </c>
    </row>
    <row r="728" ht="15.75" customHeight="1">
      <c r="A728" s="66">
        <v>45468.0</v>
      </c>
      <c r="B728" s="55" t="str">
        <f>HYPERLINK("https://jobright.ai/jobs/info/667bb57f28265d9f5e768d5f?utm_campaign=1051&amp;utm_source=sheet", "Apply")</f>
        <v>Apply</v>
      </c>
      <c r="C728" s="10" t="s">
        <v>16875</v>
      </c>
      <c r="D728" s="56" t="s">
        <v>16876</v>
      </c>
      <c r="E728" s="10" t="s">
        <v>137</v>
      </c>
      <c r="F728" s="10" t="s">
        <v>16877</v>
      </c>
      <c r="G728" s="10" t="s">
        <v>15793</v>
      </c>
      <c r="H728" s="10" t="s">
        <v>251</v>
      </c>
      <c r="I728" s="10" t="s">
        <v>48</v>
      </c>
      <c r="K728" s="10" t="s">
        <v>16878</v>
      </c>
      <c r="L728" s="10" t="s">
        <v>42</v>
      </c>
    </row>
    <row r="729" ht="15.75" customHeight="1">
      <c r="A729" s="66">
        <v>45468.0</v>
      </c>
      <c r="B729" s="55" t="str">
        <f>HYPERLINK("https://jobright.ai/jobs/info/667bb57f28265d9f5e768d4b?utm_campaign=1051&amp;utm_source=sheet", "Apply")</f>
        <v>Apply</v>
      </c>
      <c r="C729" s="10" t="s">
        <v>16879</v>
      </c>
      <c r="D729" s="56" t="s">
        <v>16876</v>
      </c>
      <c r="E729" s="10" t="s">
        <v>137</v>
      </c>
      <c r="F729" s="10" t="s">
        <v>16877</v>
      </c>
      <c r="G729" s="10" t="s">
        <v>15814</v>
      </c>
      <c r="H729" s="10" t="s">
        <v>251</v>
      </c>
      <c r="I729" s="10" t="s">
        <v>48</v>
      </c>
      <c r="K729" s="10" t="s">
        <v>16880</v>
      </c>
      <c r="L729" s="10" t="s">
        <v>42</v>
      </c>
    </row>
    <row r="730" ht="15.75" customHeight="1">
      <c r="A730" s="66">
        <v>45468.0</v>
      </c>
      <c r="B730" s="55" t="str">
        <f>HYPERLINK("https://jobright.ai/jobs/info/667aed7c0689953085cb8a94?utm_campaign=1051&amp;utm_source=sheet", "Apply")</f>
        <v>Apply</v>
      </c>
      <c r="C730" s="10" t="s">
        <v>15799</v>
      </c>
      <c r="D730" s="56" t="s">
        <v>16881</v>
      </c>
      <c r="E730" s="10" t="s">
        <v>71</v>
      </c>
      <c r="F730" s="10" t="s">
        <v>16098</v>
      </c>
      <c r="G730" s="10" t="s">
        <v>100</v>
      </c>
      <c r="H730" s="10" t="s">
        <v>96</v>
      </c>
      <c r="I730" s="10" t="s">
        <v>48</v>
      </c>
      <c r="J730" s="10" t="s">
        <v>1984</v>
      </c>
      <c r="K730" s="10" t="s">
        <v>16882</v>
      </c>
      <c r="L730" s="10" t="s">
        <v>42</v>
      </c>
    </row>
    <row r="731" ht="15.75" customHeight="1">
      <c r="A731" s="66">
        <v>45468.0</v>
      </c>
      <c r="B731" s="55" t="str">
        <f>HYPERLINK("https://jobright.ai/jobs/info/667ae8627e76855be4cc33a0?utm_campaign=1051&amp;utm_source=sheet", "Apply")</f>
        <v>Apply</v>
      </c>
      <c r="C731" s="10" t="s">
        <v>16883</v>
      </c>
      <c r="D731" s="56" t="s">
        <v>9821</v>
      </c>
      <c r="E731" s="10" t="s">
        <v>45</v>
      </c>
      <c r="F731" s="10" t="s">
        <v>3594</v>
      </c>
      <c r="G731" s="10" t="s">
        <v>15814</v>
      </c>
      <c r="H731" s="10" t="s">
        <v>1041</v>
      </c>
      <c r="I731" s="10" t="s">
        <v>55</v>
      </c>
      <c r="K731" s="10" t="s">
        <v>16884</v>
      </c>
      <c r="L731" s="10" t="s">
        <v>42</v>
      </c>
    </row>
    <row r="732" ht="15.75" customHeight="1">
      <c r="A732" s="66">
        <v>45468.0</v>
      </c>
      <c r="B732" s="55" t="str">
        <f>HYPERLINK("https://jobright.ai/jobs/info/667a6ec8a2d83c0ac06e644e?utm_campaign=1051&amp;utm_source=sheet", "Apply")</f>
        <v>Apply</v>
      </c>
      <c r="C732" s="10" t="s">
        <v>16885</v>
      </c>
      <c r="D732" s="56" t="s">
        <v>16830</v>
      </c>
      <c r="E732" s="10" t="s">
        <v>79</v>
      </c>
      <c r="F732" s="10" t="s">
        <v>16831</v>
      </c>
      <c r="G732" s="10" t="s">
        <v>15829</v>
      </c>
      <c r="H732" s="10" t="s">
        <v>16886</v>
      </c>
      <c r="I732" s="10" t="s">
        <v>55</v>
      </c>
      <c r="J732" s="10" t="s">
        <v>15596</v>
      </c>
      <c r="K732" s="10" t="s">
        <v>16832</v>
      </c>
      <c r="L732" s="10" t="s">
        <v>42</v>
      </c>
    </row>
    <row r="733" ht="15.75" customHeight="1">
      <c r="A733" s="66">
        <v>45468.0</v>
      </c>
      <c r="B733" s="55" t="str">
        <f>HYPERLINK("https://jobright.ai/jobs/info/667a3930030920687ecf8ed0?utm_campaign=1051&amp;utm_source=sheet", "Apply")</f>
        <v>Apply</v>
      </c>
      <c r="C733" s="10" t="s">
        <v>16887</v>
      </c>
      <c r="D733" s="56" t="s">
        <v>16830</v>
      </c>
      <c r="E733" s="10" t="s">
        <v>79</v>
      </c>
      <c r="F733" s="10" t="s">
        <v>16831</v>
      </c>
      <c r="G733" s="10" t="s">
        <v>15829</v>
      </c>
      <c r="H733" s="10" t="s">
        <v>16888</v>
      </c>
      <c r="I733" s="10" t="s">
        <v>55</v>
      </c>
      <c r="J733" s="10" t="s">
        <v>15596</v>
      </c>
      <c r="K733" s="10" t="s">
        <v>16889</v>
      </c>
      <c r="L733" s="10" t="s">
        <v>42</v>
      </c>
    </row>
    <row r="734" ht="15.75" customHeight="1">
      <c r="A734" s="66">
        <v>45468.0</v>
      </c>
      <c r="B734" s="55" t="str">
        <f>HYPERLINK("https://jobright.ai/jobs/info/667a3930030920687ecf8ef2?utm_campaign=1051&amp;utm_source=sheet", "Apply")</f>
        <v>Apply</v>
      </c>
      <c r="C734" s="10" t="s">
        <v>16890</v>
      </c>
      <c r="D734" s="56" t="s">
        <v>16830</v>
      </c>
      <c r="E734" s="10" t="s">
        <v>79</v>
      </c>
      <c r="F734" s="10" t="s">
        <v>16831</v>
      </c>
      <c r="G734" s="10" t="s">
        <v>15829</v>
      </c>
      <c r="H734" s="10" t="s">
        <v>152</v>
      </c>
      <c r="I734" s="10" t="s">
        <v>55</v>
      </c>
      <c r="J734" s="10" t="s">
        <v>11147</v>
      </c>
      <c r="K734" s="10" t="s">
        <v>16832</v>
      </c>
      <c r="L734" s="10" t="s">
        <v>42</v>
      </c>
    </row>
    <row r="735" ht="15.75" customHeight="1">
      <c r="A735" s="66">
        <v>45468.0</v>
      </c>
      <c r="B735" s="55" t="str">
        <f>HYPERLINK("https://jobright.ai/jobs/info/667a3930030920687ecf8f1d?utm_campaign=1051&amp;utm_source=sheet", "Apply")</f>
        <v>Apply</v>
      </c>
      <c r="C735" s="10" t="s">
        <v>16891</v>
      </c>
      <c r="D735" s="56" t="s">
        <v>16830</v>
      </c>
      <c r="E735" s="10" t="s">
        <v>79</v>
      </c>
      <c r="F735" s="10" t="s">
        <v>16831</v>
      </c>
      <c r="G735" s="10" t="s">
        <v>15829</v>
      </c>
      <c r="H735" s="10" t="s">
        <v>16744</v>
      </c>
      <c r="I735" s="10" t="s">
        <v>55</v>
      </c>
      <c r="J735" s="10" t="s">
        <v>16892</v>
      </c>
      <c r="K735" s="10" t="s">
        <v>16832</v>
      </c>
      <c r="L735" s="10" t="s">
        <v>42</v>
      </c>
    </row>
    <row r="736" ht="15.75" customHeight="1">
      <c r="A736" s="66">
        <v>45468.0</v>
      </c>
      <c r="B736" s="55" t="str">
        <f>HYPERLINK("https://jobright.ai/jobs/info/667a3930030920687ecf8f1e?utm_campaign=1051&amp;utm_source=sheet", "Apply")</f>
        <v>Apply</v>
      </c>
      <c r="C736" s="10" t="s">
        <v>16893</v>
      </c>
      <c r="D736" s="56" t="s">
        <v>16830</v>
      </c>
      <c r="E736" s="10" t="s">
        <v>79</v>
      </c>
      <c r="F736" s="10" t="s">
        <v>16831</v>
      </c>
      <c r="G736" s="10" t="s">
        <v>15829</v>
      </c>
      <c r="H736" s="10" t="s">
        <v>16744</v>
      </c>
      <c r="I736" s="10" t="s">
        <v>55</v>
      </c>
      <c r="J736" s="10" t="s">
        <v>16894</v>
      </c>
      <c r="K736" s="10" t="s">
        <v>16832</v>
      </c>
      <c r="L736" s="10" t="s">
        <v>42</v>
      </c>
    </row>
    <row r="737" ht="15.75" customHeight="1">
      <c r="A737" s="66">
        <v>45468.0</v>
      </c>
      <c r="B737" s="55" t="str">
        <f>HYPERLINK("https://jobright.ai/jobs/info/667a3930030920687ecf8f1f?utm_campaign=1051&amp;utm_source=sheet", "Apply")</f>
        <v>Apply</v>
      </c>
      <c r="C737" s="10" t="s">
        <v>16895</v>
      </c>
      <c r="D737" s="56" t="s">
        <v>16830</v>
      </c>
      <c r="E737" s="10" t="s">
        <v>79</v>
      </c>
      <c r="F737" s="10" t="s">
        <v>16831</v>
      </c>
      <c r="G737" s="10" t="s">
        <v>15829</v>
      </c>
      <c r="H737" s="10" t="s">
        <v>16744</v>
      </c>
      <c r="I737" s="10" t="s">
        <v>55</v>
      </c>
      <c r="J737" s="10" t="s">
        <v>16894</v>
      </c>
      <c r="K737" s="10" t="s">
        <v>16896</v>
      </c>
      <c r="L737" s="10" t="s">
        <v>42</v>
      </c>
    </row>
    <row r="738" ht="15.75" customHeight="1">
      <c r="A738" s="66">
        <v>45468.0</v>
      </c>
      <c r="B738" s="55" t="str">
        <f>HYPERLINK("https://jobright.ai/jobs/info/667a3919030920687ecf8d1c?utm_campaign=1051&amp;utm_source=sheet", "Apply")</f>
        <v>Apply</v>
      </c>
      <c r="C738" s="10" t="s">
        <v>16897</v>
      </c>
      <c r="D738" s="56" t="s">
        <v>16830</v>
      </c>
      <c r="E738" s="10" t="s">
        <v>79</v>
      </c>
      <c r="F738" s="10" t="s">
        <v>16831</v>
      </c>
      <c r="G738" s="10" t="s">
        <v>15829</v>
      </c>
      <c r="H738" s="10" t="s">
        <v>5053</v>
      </c>
      <c r="I738" s="10" t="s">
        <v>55</v>
      </c>
      <c r="J738" s="10" t="s">
        <v>16894</v>
      </c>
      <c r="K738" s="10" t="s">
        <v>16898</v>
      </c>
      <c r="L738" s="10" t="s">
        <v>42</v>
      </c>
    </row>
    <row r="739" ht="15.75" customHeight="1">
      <c r="A739" s="66">
        <v>45468.0</v>
      </c>
      <c r="B739" s="55" t="str">
        <f>HYPERLINK("https://jobright.ai/jobs/info/667b1bce3fcd72ae62403da5?utm_campaign=1051&amp;utm_source=sheet", "Apply")</f>
        <v>Apply</v>
      </c>
      <c r="C739" s="10" t="s">
        <v>16320</v>
      </c>
      <c r="D739" s="56" t="s">
        <v>9671</v>
      </c>
      <c r="E739" s="10" t="s">
        <v>45</v>
      </c>
      <c r="F739" s="10" t="s">
        <v>1084</v>
      </c>
      <c r="G739" s="10" t="s">
        <v>100</v>
      </c>
      <c r="H739" s="10" t="s">
        <v>16899</v>
      </c>
      <c r="I739" s="10" t="s">
        <v>55</v>
      </c>
      <c r="J739" s="10" t="s">
        <v>10426</v>
      </c>
      <c r="K739" s="10" t="s">
        <v>16900</v>
      </c>
      <c r="L739" s="10" t="s">
        <v>42</v>
      </c>
    </row>
    <row r="740" ht="15.75" customHeight="1">
      <c r="A740" s="66">
        <v>45467.0</v>
      </c>
      <c r="B740" s="55" t="str">
        <f>HYPERLINK("https://jobright.ai/jobs/info/667a1b7130a37849eb7b1667?utm_campaign=1051&amp;utm_source=sheet", "Apply")</f>
        <v>Apply</v>
      </c>
      <c r="C740" s="10" t="s">
        <v>15889</v>
      </c>
      <c r="D740" s="56" t="s">
        <v>2458</v>
      </c>
      <c r="E740" s="10">
        <v>24.0</v>
      </c>
      <c r="G740" s="10" t="s">
        <v>100</v>
      </c>
      <c r="H740" s="10" t="s">
        <v>636</v>
      </c>
      <c r="I740" s="10" t="s">
        <v>55</v>
      </c>
      <c r="K740" s="10" t="s">
        <v>16901</v>
      </c>
      <c r="L740" s="10" t="s">
        <v>42</v>
      </c>
    </row>
    <row r="741" ht="15.75" customHeight="1">
      <c r="A741" s="66">
        <v>45467.0</v>
      </c>
      <c r="B741" s="55" t="str">
        <f>HYPERLINK("https://jobright.ai/jobs/info/6679c7d21db8ec5328a2a5cf?utm_campaign=1051&amp;utm_source=sheet", "Apply")</f>
        <v>Apply</v>
      </c>
      <c r="C741" s="10" t="s">
        <v>16902</v>
      </c>
      <c r="D741" s="56" t="s">
        <v>16903</v>
      </c>
      <c r="E741" s="10" t="s">
        <v>137</v>
      </c>
      <c r="F741" s="10" t="s">
        <v>16904</v>
      </c>
      <c r="G741" s="10" t="s">
        <v>15814</v>
      </c>
      <c r="H741" s="10" t="s">
        <v>131</v>
      </c>
      <c r="I741" s="10" t="s">
        <v>48</v>
      </c>
      <c r="K741" s="10" t="s">
        <v>16905</v>
      </c>
      <c r="L741" s="10" t="s">
        <v>42</v>
      </c>
    </row>
    <row r="742" ht="15.75" customHeight="1">
      <c r="A742" s="66">
        <v>45467.0</v>
      </c>
      <c r="B742" s="55" t="str">
        <f>HYPERLINK("https://jobright.ai/jobs/info/66799707195b0ea32daa19fe?utm_campaign=1051&amp;utm_source=sheet", "Apply")</f>
        <v>Apply</v>
      </c>
      <c r="C742" s="10" t="s">
        <v>16906</v>
      </c>
      <c r="D742" s="56" t="s">
        <v>16907</v>
      </c>
      <c r="E742" s="10" t="s">
        <v>79</v>
      </c>
      <c r="F742" s="10" t="s">
        <v>5405</v>
      </c>
      <c r="G742" s="10" t="s">
        <v>15814</v>
      </c>
      <c r="H742" s="10" t="s">
        <v>251</v>
      </c>
      <c r="I742" s="10" t="s">
        <v>252</v>
      </c>
      <c r="K742" s="10" t="s">
        <v>16908</v>
      </c>
      <c r="L742" s="10" t="s">
        <v>42</v>
      </c>
    </row>
    <row r="743" ht="15.75" customHeight="1">
      <c r="A743" s="66">
        <v>45467.0</v>
      </c>
      <c r="B743" s="55" t="str">
        <f>HYPERLINK("https://jobright.ai/jobs/info/667957f55d9e5909f9a54d4c?utm_campaign=1051&amp;utm_source=sheet", "Apply")</f>
        <v>Apply</v>
      </c>
      <c r="C743" s="10" t="s">
        <v>16909</v>
      </c>
      <c r="D743" s="56" t="s">
        <v>15209</v>
      </c>
      <c r="E743" s="10" t="s">
        <v>71</v>
      </c>
      <c r="F743" s="10" t="s">
        <v>15210</v>
      </c>
      <c r="G743" s="10" t="s">
        <v>100</v>
      </c>
      <c r="H743" s="10" t="s">
        <v>159</v>
      </c>
      <c r="I743" s="10" t="s">
        <v>48</v>
      </c>
      <c r="J743" s="10" t="s">
        <v>366</v>
      </c>
      <c r="K743" s="10" t="s">
        <v>16910</v>
      </c>
      <c r="L743" s="10" t="s">
        <v>42</v>
      </c>
    </row>
    <row r="744" ht="15.75" customHeight="1">
      <c r="A744" s="66">
        <v>45467.0</v>
      </c>
      <c r="B744" s="55" t="str">
        <f>HYPERLINK("https://jobright.ai/jobs/info/667954db39ca2f81c436fca6?utm_campaign=1051&amp;utm_source=sheet", "Apply")</f>
        <v>Apply</v>
      </c>
      <c r="C744" s="10" t="s">
        <v>15799</v>
      </c>
      <c r="D744" s="56" t="s">
        <v>8035</v>
      </c>
      <c r="E744" s="10" t="s">
        <v>137</v>
      </c>
      <c r="F744" s="10" t="s">
        <v>8036</v>
      </c>
      <c r="G744" s="10" t="s">
        <v>100</v>
      </c>
      <c r="H744" s="10" t="s">
        <v>144</v>
      </c>
      <c r="I744" s="10" t="s">
        <v>55</v>
      </c>
      <c r="K744" s="10" t="s">
        <v>16911</v>
      </c>
      <c r="L744" s="10" t="s">
        <v>42</v>
      </c>
    </row>
    <row r="745" ht="15.75" customHeight="1">
      <c r="A745" s="66">
        <v>45467.0</v>
      </c>
      <c r="B745" s="55" t="str">
        <f>HYPERLINK("https://jobright.ai/jobs/info/6679c9006daf1c92b547e0fe?utm_campaign=1051&amp;utm_source=sheet", "Apply")</f>
        <v>Apply</v>
      </c>
      <c r="C745" s="10" t="s">
        <v>16779</v>
      </c>
      <c r="D745" s="56" t="s">
        <v>2426</v>
      </c>
      <c r="E745" s="10" t="s">
        <v>209</v>
      </c>
      <c r="G745" s="10" t="s">
        <v>15829</v>
      </c>
      <c r="H745" s="10" t="s">
        <v>16912</v>
      </c>
      <c r="I745" s="10" t="s">
        <v>55</v>
      </c>
      <c r="J745" s="10" t="s">
        <v>5716</v>
      </c>
      <c r="K745" s="10" t="s">
        <v>16782</v>
      </c>
      <c r="L745" s="10" t="s">
        <v>42</v>
      </c>
    </row>
    <row r="746" ht="15.75" customHeight="1">
      <c r="A746" s="66">
        <v>45466.0</v>
      </c>
      <c r="B746" s="55" t="str">
        <f>HYPERLINK("https://jobright.ai/jobs/info/66815c36795d299cfda34124?utm_campaign=1051&amp;utm_source=sheet", "Apply")</f>
        <v>Apply</v>
      </c>
      <c r="C746" s="10" t="s">
        <v>15294</v>
      </c>
      <c r="D746" s="56" t="s">
        <v>15295</v>
      </c>
      <c r="E746" s="10" t="s">
        <v>45</v>
      </c>
      <c r="F746" s="10" t="s">
        <v>15296</v>
      </c>
      <c r="G746" s="10" t="s">
        <v>15793</v>
      </c>
      <c r="H746" s="10" t="s">
        <v>131</v>
      </c>
      <c r="I746" s="10" t="s">
        <v>55</v>
      </c>
      <c r="K746" s="10" t="s">
        <v>16913</v>
      </c>
      <c r="L746" s="10" t="s">
        <v>42</v>
      </c>
    </row>
    <row r="747" ht="15.75" customHeight="1">
      <c r="A747" s="66">
        <v>45466.0</v>
      </c>
      <c r="B747" s="55" t="str">
        <f>HYPERLINK("https://jobright.ai/jobs/info/66814f00debd2e5f4e6cdbe3?utm_campaign=1051&amp;utm_source=sheet", "Apply")</f>
        <v>Apply</v>
      </c>
      <c r="C747" s="10" t="s">
        <v>15294</v>
      </c>
      <c r="D747" s="56" t="s">
        <v>15295</v>
      </c>
      <c r="E747" s="10" t="s">
        <v>45</v>
      </c>
      <c r="F747" s="10" t="s">
        <v>15296</v>
      </c>
      <c r="G747" s="10" t="s">
        <v>15793</v>
      </c>
      <c r="H747" s="10" t="s">
        <v>16914</v>
      </c>
      <c r="I747" s="10" t="s">
        <v>55</v>
      </c>
      <c r="J747" s="10" t="s">
        <v>16915</v>
      </c>
      <c r="K747" s="10" t="s">
        <v>16916</v>
      </c>
      <c r="L747" s="10" t="s">
        <v>42</v>
      </c>
    </row>
    <row r="748" ht="15.75" customHeight="1">
      <c r="A748" s="66">
        <v>45466.0</v>
      </c>
      <c r="B748" s="55" t="str">
        <f>HYPERLINK("https://jobright.ai/jobs/info/6677c1b02b6ed5133f44319d?utm_campaign=1051&amp;utm_source=sheet", "Apply")</f>
        <v>Apply</v>
      </c>
      <c r="C748" s="10" t="s">
        <v>16917</v>
      </c>
      <c r="D748" s="56" t="s">
        <v>16918</v>
      </c>
      <c r="E748" s="59">
        <v>45301.0</v>
      </c>
      <c r="F748" s="10" t="s">
        <v>13247</v>
      </c>
      <c r="G748" s="10" t="s">
        <v>100</v>
      </c>
      <c r="H748" s="10" t="s">
        <v>144</v>
      </c>
      <c r="I748" s="10" t="s">
        <v>55</v>
      </c>
      <c r="K748" s="10" t="s">
        <v>16919</v>
      </c>
      <c r="L748" s="10" t="s">
        <v>42</v>
      </c>
    </row>
    <row r="749" ht="15.75" customHeight="1">
      <c r="A749" s="66">
        <v>45465.0</v>
      </c>
      <c r="B749" s="55" t="str">
        <f>HYPERLINK("https://jobright.ai/jobs/info/6687f92ae012f36c74fd8f18?utm_campaign=1051&amp;utm_source=sheet", "Apply")</f>
        <v>Apply</v>
      </c>
      <c r="C749" s="10" t="s">
        <v>16405</v>
      </c>
      <c r="D749" s="56" t="s">
        <v>16920</v>
      </c>
      <c r="E749" s="10" t="s">
        <v>137</v>
      </c>
      <c r="F749" s="10" t="s">
        <v>4095</v>
      </c>
      <c r="G749" s="10" t="s">
        <v>100</v>
      </c>
      <c r="H749" s="10" t="s">
        <v>11767</v>
      </c>
      <c r="I749" s="10" t="s">
        <v>55</v>
      </c>
      <c r="K749" s="10" t="s">
        <v>16921</v>
      </c>
      <c r="L749" s="10" t="s">
        <v>42</v>
      </c>
    </row>
    <row r="750" ht="15.75" customHeight="1">
      <c r="A750" s="66">
        <v>45465.0</v>
      </c>
      <c r="B750" s="55" t="str">
        <f>HYPERLINK("https://jobright.ai/jobs/info/66790dbee04a7bc0195867b9?utm_campaign=1051&amp;utm_source=sheet", "Apply")</f>
        <v>Apply</v>
      </c>
      <c r="C750" s="10" t="s">
        <v>15838</v>
      </c>
      <c r="D750" s="56" t="s">
        <v>15839</v>
      </c>
      <c r="E750" s="10">
        <v>4852.0</v>
      </c>
      <c r="G750" s="10" t="s">
        <v>15829</v>
      </c>
      <c r="H750" s="10" t="s">
        <v>229</v>
      </c>
      <c r="I750" s="10" t="s">
        <v>55</v>
      </c>
      <c r="K750" s="10" t="s">
        <v>15843</v>
      </c>
      <c r="L750" s="10" t="s">
        <v>42</v>
      </c>
    </row>
    <row r="751" ht="15.75" customHeight="1">
      <c r="A751" s="66">
        <v>45465.0</v>
      </c>
      <c r="B751" s="55" t="str">
        <f>HYPERLINK("https://jobright.ai/jobs/info/6679094dcd53bac5080bd92c?utm_campaign=1051&amp;utm_source=sheet", "Apply")</f>
        <v>Apply</v>
      </c>
      <c r="C751" s="10" t="s">
        <v>15838</v>
      </c>
      <c r="D751" s="56" t="s">
        <v>15839</v>
      </c>
      <c r="E751" s="10">
        <v>4852.0</v>
      </c>
      <c r="G751" s="10" t="s">
        <v>15829</v>
      </c>
      <c r="H751" s="10" t="s">
        <v>12786</v>
      </c>
      <c r="I751" s="10" t="s">
        <v>55</v>
      </c>
      <c r="K751" s="10" t="s">
        <v>15843</v>
      </c>
      <c r="L751" s="10" t="s">
        <v>42</v>
      </c>
    </row>
    <row r="752" ht="15.75" customHeight="1">
      <c r="A752" s="66">
        <v>45465.0</v>
      </c>
      <c r="B752" s="55" t="str">
        <f>HYPERLINK("https://jobright.ai/jobs/info/6679094dcd53bac5080bd933?utm_campaign=1051&amp;utm_source=sheet", "Apply")</f>
        <v>Apply</v>
      </c>
      <c r="C752" s="10" t="s">
        <v>15838</v>
      </c>
      <c r="D752" s="56" t="s">
        <v>15839</v>
      </c>
      <c r="E752" s="10">
        <v>4852.0</v>
      </c>
      <c r="G752" s="10" t="s">
        <v>15829</v>
      </c>
      <c r="H752" s="10" t="s">
        <v>891</v>
      </c>
      <c r="I752" s="10" t="s">
        <v>55</v>
      </c>
      <c r="K752" s="10" t="s">
        <v>15840</v>
      </c>
      <c r="L752" s="10" t="s">
        <v>42</v>
      </c>
    </row>
    <row r="753" ht="15.75" customHeight="1">
      <c r="A753" s="66">
        <v>45465.0</v>
      </c>
      <c r="B753" s="55" t="str">
        <f>HYPERLINK("https://jobright.ai/jobs/info/6676e08dc909276a3772dcc8?utm_campaign=1051&amp;utm_source=sheet", "Apply")</f>
        <v>Apply</v>
      </c>
      <c r="C753" s="10" t="s">
        <v>15820</v>
      </c>
      <c r="D753" s="56" t="s">
        <v>16922</v>
      </c>
      <c r="E753" s="10" t="s">
        <v>137</v>
      </c>
      <c r="F753" s="10" t="s">
        <v>2315</v>
      </c>
      <c r="G753" s="10" t="s">
        <v>100</v>
      </c>
      <c r="H753" s="10" t="s">
        <v>251</v>
      </c>
      <c r="I753" s="10" t="s">
        <v>252</v>
      </c>
      <c r="K753" s="10" t="s">
        <v>16923</v>
      </c>
      <c r="L753" s="10" t="s">
        <v>42</v>
      </c>
    </row>
    <row r="754" ht="15.75" customHeight="1">
      <c r="A754" s="66">
        <v>45465.0</v>
      </c>
      <c r="B754" s="55" t="str">
        <f>HYPERLINK("https://jobright.ai/jobs/info/66779d613fb2e61146dd76a3?utm_campaign=1051&amp;utm_source=sheet", "Apply")</f>
        <v>Apply</v>
      </c>
      <c r="C754" s="10" t="s">
        <v>16924</v>
      </c>
      <c r="D754" s="56" t="s">
        <v>16830</v>
      </c>
      <c r="E754" s="10" t="s">
        <v>79</v>
      </c>
      <c r="F754" s="10" t="s">
        <v>16831</v>
      </c>
      <c r="G754" s="10" t="s">
        <v>15829</v>
      </c>
      <c r="H754" s="10" t="s">
        <v>16925</v>
      </c>
      <c r="I754" s="10" t="s">
        <v>55</v>
      </c>
      <c r="J754" s="10" t="s">
        <v>15596</v>
      </c>
      <c r="K754" s="10" t="s">
        <v>16832</v>
      </c>
      <c r="L754" s="10" t="s">
        <v>42</v>
      </c>
    </row>
    <row r="755" ht="15.75" customHeight="1">
      <c r="A755" s="66">
        <v>45464.0</v>
      </c>
      <c r="B755" s="55" t="str">
        <f>HYPERLINK("https://jobright.ai/jobs/info/66779d613fb2e61146dd76ec?utm_campaign=1051&amp;utm_source=sheet", "Apply")</f>
        <v>Apply</v>
      </c>
      <c r="C755" s="10" t="s">
        <v>16926</v>
      </c>
      <c r="D755" s="56" t="s">
        <v>16830</v>
      </c>
      <c r="E755" s="10" t="s">
        <v>79</v>
      </c>
      <c r="F755" s="10" t="s">
        <v>16831</v>
      </c>
      <c r="G755" s="10" t="s">
        <v>15829</v>
      </c>
      <c r="H755" s="10" t="s">
        <v>16927</v>
      </c>
      <c r="I755" s="10" t="s">
        <v>55</v>
      </c>
      <c r="J755" s="10" t="s">
        <v>15596</v>
      </c>
      <c r="K755" s="10" t="s">
        <v>16896</v>
      </c>
      <c r="L755" s="10" t="s">
        <v>42</v>
      </c>
    </row>
    <row r="756" ht="15.75" customHeight="1">
      <c r="A756" s="66">
        <v>45464.0</v>
      </c>
      <c r="B756" s="55" t="str">
        <f>HYPERLINK("https://jobright.ai/jobs/info/66762e45b94daa33c52a48e4?utm_campaign=1051&amp;utm_source=sheet", "Apply")</f>
        <v>Apply</v>
      </c>
      <c r="C756" s="10" t="s">
        <v>16928</v>
      </c>
      <c r="D756" s="56" t="s">
        <v>16830</v>
      </c>
      <c r="E756" s="10" t="s">
        <v>79</v>
      </c>
      <c r="F756" s="10" t="s">
        <v>16831</v>
      </c>
      <c r="G756" s="10" t="s">
        <v>15829</v>
      </c>
      <c r="H756" s="10" t="s">
        <v>1978</v>
      </c>
      <c r="I756" s="10" t="s">
        <v>55</v>
      </c>
      <c r="J756" s="10" t="s">
        <v>15596</v>
      </c>
      <c r="K756" s="10" t="s">
        <v>16832</v>
      </c>
      <c r="L756" s="10" t="s">
        <v>42</v>
      </c>
    </row>
    <row r="757" ht="15.75" customHeight="1">
      <c r="A757" s="66">
        <v>45464.0</v>
      </c>
      <c r="B757" s="55" t="str">
        <f>HYPERLINK("https://jobright.ai/jobs/info/66779d613fb2e61146dd770d?utm_campaign=1051&amp;utm_source=sheet", "Apply")</f>
        <v>Apply</v>
      </c>
      <c r="C757" s="10" t="s">
        <v>16929</v>
      </c>
      <c r="D757" s="56" t="s">
        <v>16830</v>
      </c>
      <c r="E757" s="10" t="s">
        <v>79</v>
      </c>
      <c r="F757" s="10" t="s">
        <v>16831</v>
      </c>
      <c r="G757" s="10" t="s">
        <v>15829</v>
      </c>
      <c r="H757" s="10" t="s">
        <v>859</v>
      </c>
      <c r="I757" s="10" t="s">
        <v>55</v>
      </c>
      <c r="J757" s="10" t="s">
        <v>16930</v>
      </c>
      <c r="K757" s="10" t="s">
        <v>16898</v>
      </c>
      <c r="L757" s="10" t="s">
        <v>42</v>
      </c>
    </row>
    <row r="758" ht="15.75" customHeight="1">
      <c r="A758" s="66">
        <v>45464.0</v>
      </c>
      <c r="B758" s="55" t="str">
        <f>HYPERLINK("https://jobright.ai/jobs/info/66779d6b3fb2e61146dd7731?utm_campaign=1051&amp;utm_source=sheet", "Apply")</f>
        <v>Apply</v>
      </c>
      <c r="C758" s="10" t="s">
        <v>16931</v>
      </c>
      <c r="D758" s="56" t="s">
        <v>16830</v>
      </c>
      <c r="E758" s="10" t="s">
        <v>79</v>
      </c>
      <c r="F758" s="10" t="s">
        <v>16831</v>
      </c>
      <c r="G758" s="10" t="s">
        <v>15829</v>
      </c>
      <c r="H758" s="10" t="s">
        <v>16932</v>
      </c>
      <c r="I758" s="10" t="s">
        <v>55</v>
      </c>
      <c r="J758" s="10" t="s">
        <v>9875</v>
      </c>
      <c r="K758" s="10" t="s">
        <v>16898</v>
      </c>
      <c r="L758" s="10" t="s">
        <v>42</v>
      </c>
    </row>
    <row r="759" ht="15.75" customHeight="1">
      <c r="A759" s="66">
        <v>45464.0</v>
      </c>
      <c r="B759" s="55" t="str">
        <f>HYPERLINK("https://jobright.ai/jobs/info/66779d6b3fb2e61146dd773d?utm_campaign=1051&amp;utm_source=sheet", "Apply")</f>
        <v>Apply</v>
      </c>
      <c r="C759" s="10" t="s">
        <v>16933</v>
      </c>
      <c r="D759" s="56" t="s">
        <v>16830</v>
      </c>
      <c r="E759" s="10" t="s">
        <v>79</v>
      </c>
      <c r="F759" s="10" t="s">
        <v>16831</v>
      </c>
      <c r="G759" s="10" t="s">
        <v>15829</v>
      </c>
      <c r="H759" s="10" t="s">
        <v>761</v>
      </c>
      <c r="I759" s="10" t="s">
        <v>55</v>
      </c>
      <c r="J759" s="10" t="s">
        <v>9875</v>
      </c>
      <c r="K759" s="10" t="s">
        <v>16898</v>
      </c>
      <c r="L759" s="10" t="s">
        <v>42</v>
      </c>
    </row>
    <row r="760" ht="15.75" customHeight="1">
      <c r="A760" s="66">
        <v>45464.0</v>
      </c>
      <c r="B760" s="55" t="str">
        <f>HYPERLINK("https://jobright.ai/jobs/info/66779d6b3fb2e61146dd7740?utm_campaign=1051&amp;utm_source=sheet", "Apply")</f>
        <v>Apply</v>
      </c>
      <c r="C760" s="10" t="s">
        <v>16934</v>
      </c>
      <c r="D760" s="56" t="s">
        <v>16830</v>
      </c>
      <c r="E760" s="10" t="s">
        <v>79</v>
      </c>
      <c r="F760" s="10" t="s">
        <v>16831</v>
      </c>
      <c r="G760" s="10" t="s">
        <v>15829</v>
      </c>
      <c r="H760" s="10" t="s">
        <v>761</v>
      </c>
      <c r="I760" s="10" t="s">
        <v>55</v>
      </c>
      <c r="J760" s="10" t="s">
        <v>9875</v>
      </c>
      <c r="K760" s="10" t="s">
        <v>16898</v>
      </c>
      <c r="L760" s="10" t="s">
        <v>42</v>
      </c>
    </row>
    <row r="761" ht="15.75" customHeight="1">
      <c r="A761" s="66">
        <v>45464.0</v>
      </c>
      <c r="B761" s="55" t="str">
        <f>HYPERLINK("https://jobright.ai/jobs/info/66779d6b3fb2e61146dd7744?utm_campaign=1051&amp;utm_source=sheet", "Apply")</f>
        <v>Apply</v>
      </c>
      <c r="C761" s="10" t="s">
        <v>16935</v>
      </c>
      <c r="D761" s="56" t="s">
        <v>16830</v>
      </c>
      <c r="E761" s="10" t="s">
        <v>79</v>
      </c>
      <c r="F761" s="10" t="s">
        <v>16831</v>
      </c>
      <c r="G761" s="10" t="s">
        <v>15829</v>
      </c>
      <c r="H761" s="10" t="s">
        <v>16936</v>
      </c>
      <c r="I761" s="10" t="s">
        <v>55</v>
      </c>
      <c r="J761" s="10" t="s">
        <v>9875</v>
      </c>
      <c r="K761" s="10" t="s">
        <v>16937</v>
      </c>
      <c r="L761" s="10" t="s">
        <v>42</v>
      </c>
    </row>
    <row r="762" ht="15.75" customHeight="1">
      <c r="A762" s="66">
        <v>45464.0</v>
      </c>
      <c r="B762" s="55" t="str">
        <f>HYPERLINK("https://jobright.ai/jobs/info/667637c95a93920dc6d82a1e?utm_campaign=1051&amp;utm_source=sheet", "Apply")</f>
        <v>Apply</v>
      </c>
      <c r="C762" s="10" t="s">
        <v>16938</v>
      </c>
      <c r="D762" s="56" t="s">
        <v>16830</v>
      </c>
      <c r="E762" s="10" t="s">
        <v>79</v>
      </c>
      <c r="F762" s="10" t="s">
        <v>16831</v>
      </c>
      <c r="G762" s="10" t="s">
        <v>15829</v>
      </c>
      <c r="H762" s="10" t="s">
        <v>777</v>
      </c>
      <c r="I762" s="10" t="s">
        <v>55</v>
      </c>
      <c r="J762" s="10" t="s">
        <v>9875</v>
      </c>
      <c r="K762" s="10" t="s">
        <v>16832</v>
      </c>
      <c r="L762" s="10" t="s">
        <v>42</v>
      </c>
    </row>
    <row r="763" ht="15.75" customHeight="1">
      <c r="A763" s="66">
        <v>45464.0</v>
      </c>
      <c r="B763" s="55" t="str">
        <f>HYPERLINK("https://jobright.ai/jobs/info/66779d6b3fb2e61146dd776c?utm_campaign=1051&amp;utm_source=sheet", "Apply")</f>
        <v>Apply</v>
      </c>
      <c r="C763" s="10" t="s">
        <v>16939</v>
      </c>
      <c r="D763" s="56" t="s">
        <v>16830</v>
      </c>
      <c r="E763" s="10" t="s">
        <v>79</v>
      </c>
      <c r="F763" s="10" t="s">
        <v>16831</v>
      </c>
      <c r="G763" s="10" t="s">
        <v>15829</v>
      </c>
      <c r="H763" s="10" t="s">
        <v>434</v>
      </c>
      <c r="I763" s="10" t="s">
        <v>55</v>
      </c>
      <c r="J763" s="10" t="s">
        <v>9875</v>
      </c>
      <c r="K763" s="10" t="s">
        <v>16937</v>
      </c>
      <c r="L763" s="10" t="s">
        <v>42</v>
      </c>
    </row>
    <row r="764" ht="15.75" customHeight="1">
      <c r="A764" s="66">
        <v>45464.0</v>
      </c>
      <c r="B764" s="55" t="str">
        <f>HYPERLINK("https://jobright.ai/jobs/info/66766c0493b9404f41dd58f9?utm_campaign=1051&amp;utm_source=sheet", "Apply")</f>
        <v>Apply</v>
      </c>
      <c r="C764" s="10" t="s">
        <v>16940</v>
      </c>
      <c r="D764" s="56" t="s">
        <v>15622</v>
      </c>
      <c r="E764" s="10" t="s">
        <v>137</v>
      </c>
      <c r="F764" s="10" t="s">
        <v>2601</v>
      </c>
      <c r="G764" s="10" t="s">
        <v>15814</v>
      </c>
      <c r="H764" s="10" t="s">
        <v>6990</v>
      </c>
      <c r="I764" s="10" t="s">
        <v>252</v>
      </c>
      <c r="K764" s="10" t="s">
        <v>16941</v>
      </c>
      <c r="L764" s="10" t="s">
        <v>42</v>
      </c>
    </row>
    <row r="765" ht="15.75" customHeight="1">
      <c r="A765" s="66">
        <v>45464.0</v>
      </c>
      <c r="B765" s="55" t="str">
        <f>HYPERLINK("https://jobright.ai/jobs/info/6677a1a782327573f52c01dd?utm_campaign=1051&amp;utm_source=sheet", "Apply")</f>
        <v>Apply</v>
      </c>
      <c r="C765" s="10" t="s">
        <v>16940</v>
      </c>
      <c r="D765" s="56" t="s">
        <v>15622</v>
      </c>
      <c r="E765" s="10" t="s">
        <v>137</v>
      </c>
      <c r="F765" s="10" t="s">
        <v>2601</v>
      </c>
      <c r="G765" s="10" t="s">
        <v>15814</v>
      </c>
      <c r="H765" s="10" t="s">
        <v>6990</v>
      </c>
      <c r="I765" s="10" t="s">
        <v>55</v>
      </c>
      <c r="K765" s="10" t="s">
        <v>16941</v>
      </c>
      <c r="L765" s="10" t="s">
        <v>42</v>
      </c>
    </row>
    <row r="766" ht="15.75" customHeight="1">
      <c r="A766" s="64">
        <v>45464.0</v>
      </c>
      <c r="B766" s="55" t="str">
        <f>HYPERLINK("https://jobright.ai/jobs/info/667acc58ed1008d97a685e2e?utm_campaign=1051&amp;utm_source=sheet", "Apply")</f>
        <v>Apply</v>
      </c>
      <c r="C766" s="10" t="s">
        <v>16942</v>
      </c>
      <c r="D766" s="56" t="s">
        <v>10126</v>
      </c>
      <c r="E766" s="10">
        <v>276.0</v>
      </c>
      <c r="G766" s="10" t="s">
        <v>15829</v>
      </c>
      <c r="H766" s="10" t="s">
        <v>3482</v>
      </c>
      <c r="I766" s="10" t="s">
        <v>55</v>
      </c>
      <c r="J766" s="10" t="s">
        <v>1409</v>
      </c>
      <c r="K766" s="10" t="s">
        <v>15900</v>
      </c>
      <c r="L766" s="10" t="s">
        <v>42</v>
      </c>
    </row>
    <row r="767" ht="15.75" customHeight="1">
      <c r="A767" s="64">
        <v>45464.0</v>
      </c>
      <c r="B767" s="55" t="str">
        <f>HYPERLINK("https://jobright.ai/jobs/info/66795b1bdcb1db3fc098e302?utm_campaign=1051&amp;utm_source=sheet", "Apply")</f>
        <v>Apply</v>
      </c>
      <c r="C767" s="10" t="s">
        <v>16943</v>
      </c>
      <c r="D767" s="56" t="s">
        <v>16944</v>
      </c>
      <c r="E767" s="10" t="s">
        <v>249</v>
      </c>
      <c r="F767" s="10" t="s">
        <v>16945</v>
      </c>
      <c r="G767" s="10" t="s">
        <v>15814</v>
      </c>
      <c r="H767" s="10" t="s">
        <v>144</v>
      </c>
      <c r="I767" s="10" t="s">
        <v>55</v>
      </c>
      <c r="K767" s="10" t="s">
        <v>16946</v>
      </c>
      <c r="L767" s="10" t="s">
        <v>42</v>
      </c>
    </row>
    <row r="768" ht="15.75" customHeight="1">
      <c r="A768" s="64">
        <v>45464.0</v>
      </c>
      <c r="B768" s="55" t="str">
        <f>HYPERLINK("https://jobright.ai/jobs/info/66750e43c3e4400b3193403c?utm_campaign=1051&amp;utm_source=sheet", "Apply")</f>
        <v>Apply</v>
      </c>
      <c r="C768" s="10" t="s">
        <v>16947</v>
      </c>
      <c r="D768" s="56" t="s">
        <v>1360</v>
      </c>
      <c r="E768" s="10" t="s">
        <v>79</v>
      </c>
      <c r="F768" s="10" t="s">
        <v>1361</v>
      </c>
      <c r="G768" s="10" t="s">
        <v>15787</v>
      </c>
      <c r="H768" s="10" t="s">
        <v>1120</v>
      </c>
      <c r="I768" s="10" t="s">
        <v>55</v>
      </c>
      <c r="K768" s="10" t="s">
        <v>1362</v>
      </c>
      <c r="L768" s="10" t="s">
        <v>42</v>
      </c>
    </row>
    <row r="769" ht="15.75" customHeight="1">
      <c r="A769" s="64">
        <v>45464.0</v>
      </c>
      <c r="B769" s="55" t="str">
        <f>HYPERLINK("https://jobright.ai/jobs/info/6674ffac38794d4dc1cab9a0?utm_campaign=1051&amp;utm_source=sheet", "Apply")</f>
        <v>Apply</v>
      </c>
      <c r="C769" s="10" t="s">
        <v>15799</v>
      </c>
      <c r="D769" s="56" t="s">
        <v>16948</v>
      </c>
      <c r="E769" s="10" t="s">
        <v>137</v>
      </c>
      <c r="F769" s="10" t="s">
        <v>1601</v>
      </c>
      <c r="G769" s="10" t="s">
        <v>100</v>
      </c>
      <c r="H769" s="10" t="s">
        <v>96</v>
      </c>
      <c r="I769" s="10" t="s">
        <v>55</v>
      </c>
      <c r="K769" s="10" t="s">
        <v>16949</v>
      </c>
      <c r="L769" s="10" t="s">
        <v>42</v>
      </c>
    </row>
    <row r="770" ht="15.75" customHeight="1">
      <c r="A770" s="64">
        <v>45463.0</v>
      </c>
      <c r="B770" s="55" t="str">
        <f>HYPERLINK("https://jobright.ai/jobs/info/667ad33cea7720d72c72417d?utm_campaign=1051&amp;utm_source=sheet", "Apply")</f>
        <v>Apply</v>
      </c>
      <c r="C770" s="10" t="s">
        <v>16950</v>
      </c>
      <c r="D770" s="56" t="s">
        <v>10126</v>
      </c>
      <c r="E770" s="10">
        <v>276.0</v>
      </c>
      <c r="G770" s="10" t="s">
        <v>15829</v>
      </c>
      <c r="H770" s="10" t="s">
        <v>901</v>
      </c>
      <c r="I770" s="10" t="s">
        <v>55</v>
      </c>
      <c r="J770" s="10" t="s">
        <v>1409</v>
      </c>
      <c r="K770" s="10" t="s">
        <v>15900</v>
      </c>
      <c r="L770" s="10" t="s">
        <v>42</v>
      </c>
    </row>
    <row r="771" ht="15.75" customHeight="1">
      <c r="A771" s="64">
        <v>45463.0</v>
      </c>
      <c r="B771" s="55" t="str">
        <f>HYPERLINK("https://jobright.ai/jobs/info/667ac5f26fec2de82002aae8?utm_campaign=1051&amp;utm_source=sheet", "Apply")</f>
        <v>Apply</v>
      </c>
      <c r="C771" s="10" t="s">
        <v>16951</v>
      </c>
      <c r="D771" s="56" t="s">
        <v>10126</v>
      </c>
      <c r="E771" s="10">
        <v>276.0</v>
      </c>
      <c r="G771" s="10" t="s">
        <v>15829</v>
      </c>
      <c r="H771" s="10" t="s">
        <v>354</v>
      </c>
      <c r="I771" s="10" t="s">
        <v>55</v>
      </c>
      <c r="J771" s="10" t="s">
        <v>1409</v>
      </c>
      <c r="K771" s="10" t="s">
        <v>15900</v>
      </c>
      <c r="L771" s="10" t="s">
        <v>42</v>
      </c>
    </row>
    <row r="772" ht="15.75" customHeight="1">
      <c r="A772" s="64">
        <v>45463.0</v>
      </c>
      <c r="B772" s="55" t="str">
        <f>HYPERLINK("https://jobright.ai/jobs/info/66737e521bd2435aab8ca25a?utm_campaign=1051&amp;utm_source=sheet", "Apply")</f>
        <v>Apply</v>
      </c>
      <c r="C772" s="10" t="s">
        <v>16196</v>
      </c>
      <c r="D772" s="56" t="s">
        <v>16952</v>
      </c>
      <c r="E772" s="10" t="s">
        <v>71</v>
      </c>
      <c r="F772" s="10" t="s">
        <v>16953</v>
      </c>
      <c r="G772" s="10" t="s">
        <v>100</v>
      </c>
      <c r="H772" s="10" t="s">
        <v>251</v>
      </c>
      <c r="I772" s="10" t="s">
        <v>252</v>
      </c>
      <c r="K772" s="10" t="s">
        <v>16954</v>
      </c>
      <c r="L772" s="10" t="s">
        <v>42</v>
      </c>
    </row>
    <row r="773" ht="15.75" customHeight="1">
      <c r="A773" s="64">
        <v>45462.0</v>
      </c>
      <c r="B773" s="55" t="str">
        <f>HYPERLINK("https://jobright.ai/jobs/info/667386dcad714b00473369a1?utm_campaign=1051&amp;utm_source=sheet", "Apply")</f>
        <v>Apply</v>
      </c>
      <c r="C773" s="10" t="s">
        <v>16955</v>
      </c>
      <c r="D773" s="56" t="s">
        <v>16956</v>
      </c>
      <c r="E773" s="10" t="s">
        <v>249</v>
      </c>
      <c r="F773" s="10" t="s">
        <v>85</v>
      </c>
      <c r="G773" s="10" t="s">
        <v>15814</v>
      </c>
      <c r="H773" s="10" t="s">
        <v>835</v>
      </c>
      <c r="I773" s="10" t="s">
        <v>55</v>
      </c>
      <c r="J773" s="10" t="s">
        <v>16957</v>
      </c>
      <c r="K773" s="10" t="s">
        <v>16958</v>
      </c>
      <c r="L773" s="10" t="s">
        <v>42</v>
      </c>
    </row>
    <row r="774" ht="15.75" customHeight="1">
      <c r="A774" s="64">
        <v>45462.0</v>
      </c>
      <c r="B774" s="55" t="str">
        <f>HYPERLINK("https://jobright.ai/jobs/info/666ffff780fd4925ffdec844?utm_campaign=1051&amp;utm_source=sheet", "Apply")</f>
        <v>Apply</v>
      </c>
      <c r="C774" s="10" t="s">
        <v>16959</v>
      </c>
      <c r="D774" s="56" t="s">
        <v>16800</v>
      </c>
      <c r="E774" s="10" t="s">
        <v>45</v>
      </c>
      <c r="F774" s="10" t="s">
        <v>15603</v>
      </c>
      <c r="G774" s="10" t="s">
        <v>15829</v>
      </c>
      <c r="H774" s="10" t="s">
        <v>16960</v>
      </c>
      <c r="I774" s="10" t="s">
        <v>55</v>
      </c>
      <c r="K774" s="10" t="s">
        <v>16961</v>
      </c>
      <c r="L774" s="10" t="s">
        <v>42</v>
      </c>
    </row>
    <row r="775" ht="15.75" customHeight="1">
      <c r="A775" s="64">
        <v>45462.0</v>
      </c>
      <c r="B775" s="55" t="str">
        <f>HYPERLINK("https://jobright.ai/jobs/info/666ffff780fd4925ffdec835?utm_campaign=1051&amp;utm_source=sheet", "Apply")</f>
        <v>Apply</v>
      </c>
      <c r="C775" s="10" t="s">
        <v>16962</v>
      </c>
      <c r="D775" s="56" t="s">
        <v>16800</v>
      </c>
      <c r="E775" s="10" t="s">
        <v>45</v>
      </c>
      <c r="F775" s="10" t="s">
        <v>15603</v>
      </c>
      <c r="G775" s="10" t="s">
        <v>15829</v>
      </c>
      <c r="H775" s="10" t="s">
        <v>10840</v>
      </c>
      <c r="I775" s="10" t="s">
        <v>55</v>
      </c>
      <c r="K775" s="10" t="s">
        <v>16802</v>
      </c>
      <c r="L775" s="10" t="s">
        <v>42</v>
      </c>
    </row>
    <row r="776" ht="15.75" customHeight="1">
      <c r="A776" s="64">
        <v>45462.0</v>
      </c>
      <c r="B776" s="55" t="str">
        <f>HYPERLINK("https://jobright.ai/jobs/info/667428382e2115fb0d03a6d9?utm_campaign=1051&amp;utm_source=sheet", "Apply")</f>
        <v>Apply</v>
      </c>
      <c r="C776" s="10" t="s">
        <v>16963</v>
      </c>
      <c r="D776" s="56" t="s">
        <v>16964</v>
      </c>
      <c r="E776" s="10" t="s">
        <v>137</v>
      </c>
      <c r="F776" s="10" t="s">
        <v>2617</v>
      </c>
      <c r="G776" s="10" t="s">
        <v>100</v>
      </c>
      <c r="H776" s="10" t="s">
        <v>3266</v>
      </c>
      <c r="I776" s="10" t="s">
        <v>55</v>
      </c>
      <c r="J776" s="10" t="s">
        <v>4124</v>
      </c>
      <c r="K776" s="10" t="s">
        <v>16965</v>
      </c>
      <c r="L776" s="10" t="s">
        <v>42</v>
      </c>
    </row>
    <row r="777" ht="15.75" customHeight="1">
      <c r="A777" s="64">
        <v>45462.0</v>
      </c>
      <c r="B777" s="55" t="str">
        <f>HYPERLINK("https://jobright.ai/jobs/info/667ab1e59d71c22d4959cbb8?utm_campaign=1051&amp;utm_source=sheet", "Apply")</f>
        <v>Apply</v>
      </c>
      <c r="C777" s="10" t="s">
        <v>16966</v>
      </c>
      <c r="D777" s="56" t="s">
        <v>10126</v>
      </c>
      <c r="E777" s="10">
        <v>276.0</v>
      </c>
      <c r="G777" s="10" t="s">
        <v>15829</v>
      </c>
      <c r="H777" s="10" t="s">
        <v>16967</v>
      </c>
      <c r="I777" s="10" t="s">
        <v>55</v>
      </c>
      <c r="J777" s="10" t="s">
        <v>2311</v>
      </c>
      <c r="K777" s="10" t="s">
        <v>16868</v>
      </c>
      <c r="L777" s="10" t="s">
        <v>42</v>
      </c>
    </row>
    <row r="778" ht="15.75" customHeight="1">
      <c r="A778" s="64">
        <v>45461.0</v>
      </c>
      <c r="B778" s="55" t="str">
        <f>HYPERLINK("https://jobright.ai/jobs/info/6674284c2e2115fb0d03a85a?utm_campaign=1051&amp;utm_source=sheet", "Apply")</f>
        <v>Apply</v>
      </c>
      <c r="C778" s="10" t="s">
        <v>16173</v>
      </c>
      <c r="D778" s="56" t="s">
        <v>16174</v>
      </c>
      <c r="E778" s="10">
        <v>1.0</v>
      </c>
      <c r="G778" s="10" t="s">
        <v>15814</v>
      </c>
      <c r="H778" s="10" t="s">
        <v>144</v>
      </c>
      <c r="I778" s="10" t="s">
        <v>55</v>
      </c>
      <c r="K778" s="10" t="s">
        <v>16175</v>
      </c>
      <c r="L778" s="10" t="s">
        <v>42</v>
      </c>
    </row>
    <row r="779" ht="15.75" customHeight="1">
      <c r="A779" s="64">
        <v>45461.0</v>
      </c>
      <c r="B779" s="55" t="str">
        <f>HYPERLINK("https://jobright.ai/jobs/info/66712fd162281582c47dfc8b?utm_campaign=1051&amp;utm_source=sheet", "Apply")</f>
        <v>Apply</v>
      </c>
      <c r="C779" s="10" t="s">
        <v>16173</v>
      </c>
      <c r="D779" s="56" t="s">
        <v>16174</v>
      </c>
      <c r="E779" s="10">
        <v>1.0</v>
      </c>
      <c r="G779" s="10" t="s">
        <v>15814</v>
      </c>
      <c r="H779" s="10" t="s">
        <v>165</v>
      </c>
      <c r="I779" s="10" t="s">
        <v>55</v>
      </c>
      <c r="K779" s="10" t="s">
        <v>16175</v>
      </c>
      <c r="L779" s="10" t="s">
        <v>42</v>
      </c>
    </row>
    <row r="780" ht="15.75" customHeight="1">
      <c r="A780" s="64">
        <v>45460.0</v>
      </c>
      <c r="B780" s="55" t="str">
        <f>HYPERLINK("https://jobright.ai/jobs/info/6677b32ad57a2b58a480d7d8?utm_campaign=1051&amp;utm_source=sheet", "Apply")</f>
        <v>Apply</v>
      </c>
      <c r="C780" s="10" t="s">
        <v>15838</v>
      </c>
      <c r="D780" s="56" t="s">
        <v>15839</v>
      </c>
      <c r="E780" s="10">
        <v>4852.0</v>
      </c>
      <c r="G780" s="10" t="s">
        <v>15829</v>
      </c>
      <c r="H780" s="10" t="s">
        <v>965</v>
      </c>
      <c r="I780" s="10" t="s">
        <v>55</v>
      </c>
      <c r="K780" s="10" t="s">
        <v>15851</v>
      </c>
      <c r="L780" s="10" t="s">
        <v>42</v>
      </c>
    </row>
    <row r="781" ht="15.75" customHeight="1">
      <c r="A781" s="64">
        <v>45460.0</v>
      </c>
      <c r="B781" s="55" t="str">
        <f>HYPERLINK("https://jobright.ai/jobs/info/6677b32ad57a2b58a480d80d?utm_campaign=1051&amp;utm_source=sheet", "Apply")</f>
        <v>Apply</v>
      </c>
      <c r="C781" s="10" t="s">
        <v>15838</v>
      </c>
      <c r="D781" s="56" t="s">
        <v>15839</v>
      </c>
      <c r="E781" s="10">
        <v>4852.0</v>
      </c>
      <c r="G781" s="10" t="s">
        <v>15829</v>
      </c>
      <c r="H781" s="10" t="s">
        <v>16968</v>
      </c>
      <c r="I781" s="10" t="s">
        <v>55</v>
      </c>
      <c r="K781" s="10" t="s">
        <v>15843</v>
      </c>
      <c r="L781" s="10" t="s">
        <v>42</v>
      </c>
    </row>
    <row r="782" ht="15.75" customHeight="1">
      <c r="A782" s="64">
        <v>45460.0</v>
      </c>
      <c r="B782" s="55" t="str">
        <f>HYPERLINK("https://jobright.ai/jobs/info/6677b32ad57a2b58a480d81b?utm_campaign=1051&amp;utm_source=sheet", "Apply")</f>
        <v>Apply</v>
      </c>
      <c r="C782" s="10" t="s">
        <v>15838</v>
      </c>
      <c r="D782" s="56" t="s">
        <v>15839</v>
      </c>
      <c r="E782" s="10">
        <v>4852.0</v>
      </c>
      <c r="G782" s="10" t="s">
        <v>15829</v>
      </c>
      <c r="H782" s="10" t="s">
        <v>982</v>
      </c>
      <c r="I782" s="10" t="s">
        <v>55</v>
      </c>
      <c r="K782" s="10" t="s">
        <v>15840</v>
      </c>
      <c r="L782" s="10" t="s">
        <v>42</v>
      </c>
    </row>
    <row r="783" ht="15.75" customHeight="1">
      <c r="A783" s="64">
        <v>45460.0</v>
      </c>
      <c r="B783" s="55" t="str">
        <f>HYPERLINK("https://jobright.ai/jobs/info/6677b33dd57a2b58a480d8fd?utm_campaign=1051&amp;utm_source=sheet", "Apply")</f>
        <v>Apply</v>
      </c>
      <c r="C783" s="10" t="s">
        <v>15838</v>
      </c>
      <c r="D783" s="56" t="s">
        <v>15839</v>
      </c>
      <c r="E783" s="10">
        <v>4852.0</v>
      </c>
      <c r="G783" s="10" t="s">
        <v>15829</v>
      </c>
      <c r="H783" s="10" t="s">
        <v>434</v>
      </c>
      <c r="I783" s="10" t="s">
        <v>55</v>
      </c>
      <c r="J783" s="10" t="s">
        <v>3771</v>
      </c>
      <c r="K783" s="10" t="s">
        <v>15840</v>
      </c>
      <c r="L783" s="10" t="s">
        <v>42</v>
      </c>
    </row>
    <row r="784" ht="15.75" customHeight="1">
      <c r="A784" s="64">
        <v>45460.0</v>
      </c>
      <c r="B784" s="55" t="str">
        <f>HYPERLINK("https://jobright.ai/jobs/info/6677b33dd57a2b58a480d9af?utm_campaign=1051&amp;utm_source=sheet", "Apply")</f>
        <v>Apply</v>
      </c>
      <c r="C784" s="10" t="s">
        <v>15838</v>
      </c>
      <c r="D784" s="56" t="s">
        <v>15839</v>
      </c>
      <c r="E784" s="10">
        <v>4852.0</v>
      </c>
      <c r="G784" s="10" t="s">
        <v>15829</v>
      </c>
      <c r="H784" s="10" t="s">
        <v>797</v>
      </c>
      <c r="I784" s="10" t="s">
        <v>55</v>
      </c>
      <c r="K784" s="10" t="s">
        <v>15843</v>
      </c>
      <c r="L784" s="10" t="s">
        <v>42</v>
      </c>
    </row>
    <row r="785" ht="15.75" customHeight="1">
      <c r="A785" s="64">
        <v>45460.0</v>
      </c>
      <c r="B785" s="55" t="str">
        <f>HYPERLINK("https://jobright.ai/jobs/info/6677b347d57a2b58a480d9da?utm_campaign=1051&amp;utm_source=sheet", "Apply")</f>
        <v>Apply</v>
      </c>
      <c r="C785" s="10" t="s">
        <v>15838</v>
      </c>
      <c r="D785" s="56" t="s">
        <v>15839</v>
      </c>
      <c r="E785" s="10">
        <v>4852.0</v>
      </c>
      <c r="G785" s="10" t="s">
        <v>15829</v>
      </c>
      <c r="H785" s="10" t="s">
        <v>607</v>
      </c>
      <c r="I785" s="10" t="s">
        <v>55</v>
      </c>
      <c r="K785" s="10" t="s">
        <v>16674</v>
      </c>
      <c r="L785" s="10" t="s">
        <v>42</v>
      </c>
    </row>
    <row r="786" ht="15.75" customHeight="1">
      <c r="A786" s="64">
        <v>45460.0</v>
      </c>
      <c r="B786" s="55" t="str">
        <f>HYPERLINK("https://jobright.ai/jobs/info/6677b347d57a2b58a480da7e?utm_campaign=1051&amp;utm_source=sheet", "Apply")</f>
        <v>Apply</v>
      </c>
      <c r="C786" s="10" t="s">
        <v>15838</v>
      </c>
      <c r="D786" s="56" t="s">
        <v>15839</v>
      </c>
      <c r="E786" s="10">
        <v>4852.0</v>
      </c>
      <c r="G786" s="10" t="s">
        <v>15829</v>
      </c>
      <c r="H786" s="10" t="s">
        <v>1046</v>
      </c>
      <c r="I786" s="10" t="s">
        <v>55</v>
      </c>
      <c r="K786" s="10" t="s">
        <v>15840</v>
      </c>
      <c r="L786" s="10" t="s">
        <v>42</v>
      </c>
    </row>
    <row r="787" ht="15.75" customHeight="1">
      <c r="A787" s="64">
        <v>45460.0</v>
      </c>
      <c r="B787" s="55" t="str">
        <f>HYPERLINK("https://jobright.ai/jobs/info/6677b350d57a2b58a480db45?utm_campaign=1051&amp;utm_source=sheet", "Apply")</f>
        <v>Apply</v>
      </c>
      <c r="C787" s="10" t="s">
        <v>15838</v>
      </c>
      <c r="D787" s="56" t="s">
        <v>15839</v>
      </c>
      <c r="E787" s="10">
        <v>4852.0</v>
      </c>
      <c r="G787" s="10" t="s">
        <v>15829</v>
      </c>
      <c r="H787" s="10" t="s">
        <v>859</v>
      </c>
      <c r="I787" s="10" t="s">
        <v>55</v>
      </c>
      <c r="K787" s="10" t="s">
        <v>15840</v>
      </c>
      <c r="L787" s="10" t="s">
        <v>42</v>
      </c>
    </row>
    <row r="788" ht="15.75" customHeight="1">
      <c r="A788" s="64">
        <v>45460.0</v>
      </c>
      <c r="B788" s="55" t="str">
        <f>HYPERLINK("https://jobright.ai/jobs/info/6679781e22283fc0c7338444?utm_campaign=1051&amp;utm_source=sheet", "Apply")</f>
        <v>Apply</v>
      </c>
      <c r="C788" s="10" t="s">
        <v>15838</v>
      </c>
      <c r="D788" s="56" t="s">
        <v>15839</v>
      </c>
      <c r="E788" s="10">
        <v>4852.0</v>
      </c>
      <c r="G788" s="10" t="s">
        <v>15829</v>
      </c>
      <c r="H788" s="10" t="s">
        <v>4799</v>
      </c>
      <c r="I788" s="10" t="s">
        <v>55</v>
      </c>
      <c r="K788" s="10" t="s">
        <v>15840</v>
      </c>
      <c r="L788" s="10" t="s">
        <v>42</v>
      </c>
    </row>
    <row r="789" ht="15.75" customHeight="1">
      <c r="A789" s="64">
        <v>45460.0</v>
      </c>
      <c r="B789" s="55" t="str">
        <f>HYPERLINK("https://jobright.ai/jobs/info/6677b359d57a2b58a480dbf4?utm_campaign=1051&amp;utm_source=sheet", "Apply")</f>
        <v>Apply</v>
      </c>
      <c r="C789" s="10" t="s">
        <v>15838</v>
      </c>
      <c r="D789" s="56" t="s">
        <v>15839</v>
      </c>
      <c r="E789" s="10">
        <v>4852.0</v>
      </c>
      <c r="G789" s="10" t="s">
        <v>15829</v>
      </c>
      <c r="H789" s="10" t="s">
        <v>16969</v>
      </c>
      <c r="I789" s="10" t="s">
        <v>55</v>
      </c>
      <c r="J789" s="10" t="s">
        <v>8269</v>
      </c>
      <c r="K789" s="10" t="s">
        <v>15961</v>
      </c>
      <c r="L789" s="10" t="s">
        <v>42</v>
      </c>
    </row>
    <row r="790" ht="15.75" customHeight="1">
      <c r="A790" s="64">
        <v>45460.0</v>
      </c>
      <c r="B790" s="55" t="str">
        <f>HYPERLINK("https://jobright.ai/jobs/info/66796d9a3f452d31d55f960f?utm_campaign=1051&amp;utm_source=sheet", "Apply")</f>
        <v>Apply</v>
      </c>
      <c r="C790" s="10" t="s">
        <v>15838</v>
      </c>
      <c r="D790" s="56" t="s">
        <v>15839</v>
      </c>
      <c r="E790" s="10">
        <v>4852.0</v>
      </c>
      <c r="G790" s="10" t="s">
        <v>15829</v>
      </c>
      <c r="H790" s="10" t="s">
        <v>847</v>
      </c>
      <c r="I790" s="10" t="s">
        <v>55</v>
      </c>
      <c r="K790" s="10" t="s">
        <v>15843</v>
      </c>
      <c r="L790" s="10" t="s">
        <v>42</v>
      </c>
    </row>
    <row r="791" ht="15.75" customHeight="1">
      <c r="A791" s="64">
        <v>45460.0</v>
      </c>
      <c r="B791" s="55" t="str">
        <f>HYPERLINK("https://jobright.ai/jobs/info/66796da73f452d31d55f9652?utm_campaign=1051&amp;utm_source=sheet", "Apply")</f>
        <v>Apply</v>
      </c>
      <c r="C791" s="10" t="s">
        <v>15838</v>
      </c>
      <c r="D791" s="56" t="s">
        <v>15839</v>
      </c>
      <c r="E791" s="10">
        <v>4852.0</v>
      </c>
      <c r="G791" s="10" t="s">
        <v>15829</v>
      </c>
      <c r="H791" s="10" t="s">
        <v>1035</v>
      </c>
      <c r="I791" s="10" t="s">
        <v>55</v>
      </c>
      <c r="K791" s="10" t="s">
        <v>15843</v>
      </c>
      <c r="L791" s="10" t="s">
        <v>42</v>
      </c>
    </row>
    <row r="792" ht="15.75" customHeight="1">
      <c r="A792" s="64">
        <v>45460.0</v>
      </c>
      <c r="B792" s="55" t="str">
        <f>HYPERLINK("https://jobright.ai/jobs/info/66796985d86d626ab8b789f8?utm_campaign=1051&amp;utm_source=sheet", "Apply")</f>
        <v>Apply</v>
      </c>
      <c r="C792" s="10" t="s">
        <v>15838</v>
      </c>
      <c r="D792" s="56" t="s">
        <v>15839</v>
      </c>
      <c r="E792" s="10">
        <v>4852.0</v>
      </c>
      <c r="G792" s="10" t="s">
        <v>15829</v>
      </c>
      <c r="H792" s="10" t="s">
        <v>11611</v>
      </c>
      <c r="I792" s="10" t="s">
        <v>55</v>
      </c>
      <c r="K792" s="10" t="s">
        <v>15843</v>
      </c>
      <c r="L792" s="10" t="s">
        <v>42</v>
      </c>
    </row>
    <row r="793" ht="15.75" customHeight="1">
      <c r="A793" s="64">
        <v>45460.0</v>
      </c>
      <c r="B793" s="55" t="str">
        <f>HYPERLINK("https://jobright.ai/jobs/info/66796985d86d626ab8b78ab0?utm_campaign=1051&amp;utm_source=sheet", "Apply")</f>
        <v>Apply</v>
      </c>
      <c r="C793" s="10" t="s">
        <v>15838</v>
      </c>
      <c r="D793" s="56" t="s">
        <v>15839</v>
      </c>
      <c r="E793" s="10">
        <v>4852.0</v>
      </c>
      <c r="G793" s="10" t="s">
        <v>15829</v>
      </c>
      <c r="H793" s="10" t="s">
        <v>792</v>
      </c>
      <c r="I793" s="10" t="s">
        <v>55</v>
      </c>
      <c r="K793" s="10" t="s">
        <v>15843</v>
      </c>
      <c r="L793" s="10" t="s">
        <v>42</v>
      </c>
    </row>
    <row r="794" ht="15.75" customHeight="1">
      <c r="A794" s="64">
        <v>45460.0</v>
      </c>
      <c r="B794" s="55" t="str">
        <f>HYPERLINK("https://jobright.ai/jobs/info/66795fb3dd14b36e4d97b655?utm_campaign=1051&amp;utm_source=sheet", "Apply")</f>
        <v>Apply</v>
      </c>
      <c r="C794" s="10" t="s">
        <v>15838</v>
      </c>
      <c r="D794" s="56" t="s">
        <v>15839</v>
      </c>
      <c r="E794" s="10">
        <v>4852.0</v>
      </c>
      <c r="G794" s="10" t="s">
        <v>15829</v>
      </c>
      <c r="H794" s="10" t="s">
        <v>7569</v>
      </c>
      <c r="I794" s="10" t="s">
        <v>55</v>
      </c>
      <c r="K794" s="10" t="s">
        <v>15843</v>
      </c>
      <c r="L794" s="10" t="s">
        <v>42</v>
      </c>
    </row>
    <row r="795" ht="15.75" customHeight="1">
      <c r="A795" s="64">
        <v>45460.0</v>
      </c>
      <c r="B795" s="55" t="str">
        <f>HYPERLINK("https://jobright.ai/jobs/info/66795fb3dd14b36e4d97b68a?utm_campaign=1051&amp;utm_source=sheet", "Apply")</f>
        <v>Apply</v>
      </c>
      <c r="C795" s="10" t="s">
        <v>15838</v>
      </c>
      <c r="D795" s="56" t="s">
        <v>15839</v>
      </c>
      <c r="E795" s="10">
        <v>4852.0</v>
      </c>
      <c r="G795" s="10" t="s">
        <v>15829</v>
      </c>
      <c r="H795" s="10" t="s">
        <v>16970</v>
      </c>
      <c r="I795" s="10" t="s">
        <v>55</v>
      </c>
      <c r="K795" s="10" t="s">
        <v>15843</v>
      </c>
      <c r="L795" s="10" t="s">
        <v>42</v>
      </c>
    </row>
    <row r="796" ht="15.75" customHeight="1">
      <c r="A796" s="64">
        <v>45460.0</v>
      </c>
      <c r="B796" s="55" t="str">
        <f>HYPERLINK("https://jobright.ai/jobs/info/66795b9adcb1db3fc098ebcf?utm_campaign=1051&amp;utm_source=sheet", "Apply")</f>
        <v>Apply</v>
      </c>
      <c r="C796" s="10" t="s">
        <v>15838</v>
      </c>
      <c r="D796" s="56" t="s">
        <v>15839</v>
      </c>
      <c r="E796" s="10">
        <v>4852.0</v>
      </c>
      <c r="G796" s="10" t="s">
        <v>15829</v>
      </c>
      <c r="H796" s="10" t="s">
        <v>472</v>
      </c>
      <c r="I796" s="10" t="s">
        <v>55</v>
      </c>
      <c r="K796" s="10" t="s">
        <v>15851</v>
      </c>
      <c r="L796" s="10" t="s">
        <v>42</v>
      </c>
    </row>
    <row r="797" ht="15.75" customHeight="1">
      <c r="A797" s="64">
        <v>45460.0</v>
      </c>
      <c r="B797" s="55" t="str">
        <f>HYPERLINK("https://jobright.ai/jobs/info/66795ba6dcb1db3fc098ebef?utm_campaign=1051&amp;utm_source=sheet", "Apply")</f>
        <v>Apply</v>
      </c>
      <c r="C797" s="10" t="s">
        <v>15838</v>
      </c>
      <c r="D797" s="56" t="s">
        <v>15839</v>
      </c>
      <c r="E797" s="10">
        <v>4852.0</v>
      </c>
      <c r="G797" s="10" t="s">
        <v>15829</v>
      </c>
      <c r="H797" s="10" t="s">
        <v>16971</v>
      </c>
      <c r="I797" s="10" t="s">
        <v>55</v>
      </c>
      <c r="K797" s="10" t="s">
        <v>15843</v>
      </c>
      <c r="L797" s="10" t="s">
        <v>42</v>
      </c>
    </row>
    <row r="798" ht="15.75" customHeight="1">
      <c r="A798" s="64">
        <v>45460.0</v>
      </c>
      <c r="B798" s="55" t="str">
        <f>HYPERLINK("https://jobright.ai/jobs/info/66795ba6dcb1db3fc098ec16?utm_campaign=1051&amp;utm_source=sheet", "Apply")</f>
        <v>Apply</v>
      </c>
      <c r="C798" s="10" t="s">
        <v>15838</v>
      </c>
      <c r="D798" s="56" t="s">
        <v>15839</v>
      </c>
      <c r="E798" s="10">
        <v>4852.0</v>
      </c>
      <c r="G798" s="10" t="s">
        <v>15829</v>
      </c>
      <c r="H798" s="10" t="s">
        <v>174</v>
      </c>
      <c r="I798" s="10" t="s">
        <v>55</v>
      </c>
      <c r="K798" s="10" t="s">
        <v>15843</v>
      </c>
      <c r="L798" s="10" t="s">
        <v>42</v>
      </c>
    </row>
    <row r="799" ht="15.75" customHeight="1">
      <c r="A799" s="64">
        <v>45460.0</v>
      </c>
      <c r="B799" s="55" t="str">
        <f>HYPERLINK("https://jobright.ai/jobs/info/66795ba6dcb1db3fc098ec76?utm_campaign=1051&amp;utm_source=sheet", "Apply")</f>
        <v>Apply</v>
      </c>
      <c r="C799" s="10" t="s">
        <v>15838</v>
      </c>
      <c r="D799" s="56" t="s">
        <v>15839</v>
      </c>
      <c r="E799" s="10">
        <v>4852.0</v>
      </c>
      <c r="G799" s="10" t="s">
        <v>15829</v>
      </c>
      <c r="H799" s="10" t="s">
        <v>361</v>
      </c>
      <c r="I799" s="10" t="s">
        <v>55</v>
      </c>
      <c r="K799" s="10" t="s">
        <v>15840</v>
      </c>
      <c r="L799" s="10" t="s">
        <v>42</v>
      </c>
    </row>
    <row r="800" ht="15.75" customHeight="1">
      <c r="A800" s="64">
        <v>45460.0</v>
      </c>
      <c r="B800" s="55" t="str">
        <f>HYPERLINK("https://jobright.ai/jobs/info/66795ba6dcb1db3fc098ec98?utm_campaign=1051&amp;utm_source=sheet", "Apply")</f>
        <v>Apply</v>
      </c>
      <c r="C800" s="10" t="s">
        <v>15838</v>
      </c>
      <c r="D800" s="56" t="s">
        <v>15839</v>
      </c>
      <c r="E800" s="10">
        <v>4852.0</v>
      </c>
      <c r="G800" s="10" t="s">
        <v>15829</v>
      </c>
      <c r="H800" s="10" t="s">
        <v>1042</v>
      </c>
      <c r="I800" s="10" t="s">
        <v>55</v>
      </c>
      <c r="K800" s="10" t="s">
        <v>15843</v>
      </c>
      <c r="L800" s="10" t="s">
        <v>42</v>
      </c>
    </row>
    <row r="801" ht="15.75" customHeight="1">
      <c r="A801" s="64">
        <v>45460.0</v>
      </c>
      <c r="B801" s="55" t="str">
        <f>HYPERLINK("https://jobright.ai/jobs/info/6676b80f022d43fb7b688b0a?utm_campaign=1051&amp;utm_source=sheet", "Apply")</f>
        <v>Apply</v>
      </c>
      <c r="C801" s="10" t="s">
        <v>15838</v>
      </c>
      <c r="D801" s="56" t="s">
        <v>15839</v>
      </c>
      <c r="E801" s="10">
        <v>4852.0</v>
      </c>
      <c r="G801" s="10" t="s">
        <v>15829</v>
      </c>
      <c r="H801" s="10" t="s">
        <v>5863</v>
      </c>
      <c r="I801" s="10" t="s">
        <v>55</v>
      </c>
      <c r="J801" s="10" t="s">
        <v>8269</v>
      </c>
      <c r="K801" s="10" t="s">
        <v>15961</v>
      </c>
      <c r="L801" s="10" t="s">
        <v>42</v>
      </c>
    </row>
    <row r="802" ht="15.75" customHeight="1">
      <c r="A802" s="64">
        <v>45460.0</v>
      </c>
      <c r="B802" s="55" t="str">
        <f>HYPERLINK("https://jobright.ai/jobs/info/6671228b25c1215749378e7e?utm_campaign=1051&amp;utm_source=sheet", "Apply")</f>
        <v>Apply</v>
      </c>
      <c r="C802" s="10" t="s">
        <v>15838</v>
      </c>
      <c r="D802" s="56" t="s">
        <v>15839</v>
      </c>
      <c r="E802" s="10">
        <v>4852.0</v>
      </c>
      <c r="G802" s="10" t="s">
        <v>15829</v>
      </c>
      <c r="H802" s="10" t="s">
        <v>636</v>
      </c>
      <c r="I802" s="10" t="s">
        <v>55</v>
      </c>
      <c r="K802" s="10" t="s">
        <v>15843</v>
      </c>
      <c r="L802" s="10" t="s">
        <v>42</v>
      </c>
    </row>
    <row r="803" ht="15.75" customHeight="1">
      <c r="A803" s="64">
        <v>45460.0</v>
      </c>
      <c r="B803" s="55" t="str">
        <f>HYPERLINK("https://jobright.ai/jobs/info/6671228b25c1215749378e8b?utm_campaign=1051&amp;utm_source=sheet", "Apply")</f>
        <v>Apply</v>
      </c>
      <c r="C803" s="10" t="s">
        <v>15838</v>
      </c>
      <c r="D803" s="56" t="s">
        <v>15839</v>
      </c>
      <c r="E803" s="10">
        <v>4852.0</v>
      </c>
      <c r="G803" s="10" t="s">
        <v>15829</v>
      </c>
      <c r="H803" s="10" t="s">
        <v>1172</v>
      </c>
      <c r="I803" s="10" t="s">
        <v>55</v>
      </c>
      <c r="K803" s="10" t="s">
        <v>15843</v>
      </c>
      <c r="L803" s="10" t="s">
        <v>42</v>
      </c>
    </row>
    <row r="804" ht="15.75" customHeight="1">
      <c r="A804" s="64">
        <v>45460.0</v>
      </c>
      <c r="B804" s="55" t="str">
        <f>HYPERLINK("https://jobright.ai/jobs/info/6671228b25c1215749378ec0?utm_campaign=1051&amp;utm_source=sheet", "Apply")</f>
        <v>Apply</v>
      </c>
      <c r="C804" s="10" t="s">
        <v>15838</v>
      </c>
      <c r="D804" s="56" t="s">
        <v>15839</v>
      </c>
      <c r="E804" s="10">
        <v>4852.0</v>
      </c>
      <c r="G804" s="10" t="s">
        <v>15829</v>
      </c>
      <c r="H804" s="10" t="s">
        <v>16972</v>
      </c>
      <c r="I804" s="10" t="s">
        <v>55</v>
      </c>
      <c r="J804" s="10" t="s">
        <v>15873</v>
      </c>
      <c r="K804" s="10" t="s">
        <v>15840</v>
      </c>
      <c r="L804" s="10" t="s">
        <v>42</v>
      </c>
    </row>
    <row r="805" ht="15.75" customHeight="1">
      <c r="A805" s="64">
        <v>45460.0</v>
      </c>
      <c r="B805" s="55" t="str">
        <f>HYPERLINK("https://jobright.ai/jobs/info/6671228b25c1215749378e90?utm_campaign=1051&amp;utm_source=sheet", "Apply")</f>
        <v>Apply</v>
      </c>
      <c r="C805" s="10" t="s">
        <v>15838</v>
      </c>
      <c r="D805" s="56" t="s">
        <v>15839</v>
      </c>
      <c r="E805" s="10">
        <v>4852.0</v>
      </c>
      <c r="G805" s="10" t="s">
        <v>15829</v>
      </c>
      <c r="H805" s="10" t="s">
        <v>131</v>
      </c>
      <c r="I805" s="10" t="s">
        <v>55</v>
      </c>
      <c r="K805" s="10" t="s">
        <v>15851</v>
      </c>
      <c r="L805" s="10" t="s">
        <v>42</v>
      </c>
    </row>
    <row r="806" ht="15.75" customHeight="1">
      <c r="A806" s="64">
        <v>45460.0</v>
      </c>
      <c r="B806" s="55" t="str">
        <f>HYPERLINK("https://jobright.ai/jobs/info/6671228b25c1215749378e8f?utm_campaign=1051&amp;utm_source=sheet", "Apply")</f>
        <v>Apply</v>
      </c>
      <c r="C806" s="10" t="s">
        <v>15838</v>
      </c>
      <c r="D806" s="56" t="s">
        <v>15839</v>
      </c>
      <c r="E806" s="10">
        <v>4852.0</v>
      </c>
      <c r="G806" s="10" t="s">
        <v>15829</v>
      </c>
      <c r="H806" s="10" t="s">
        <v>765</v>
      </c>
      <c r="I806" s="10" t="s">
        <v>55</v>
      </c>
      <c r="K806" s="10" t="s">
        <v>15843</v>
      </c>
      <c r="L806" s="10" t="s">
        <v>42</v>
      </c>
    </row>
    <row r="807" ht="15.75" customHeight="1">
      <c r="A807" s="64">
        <v>45460.0</v>
      </c>
      <c r="B807" s="55" t="str">
        <f>HYPERLINK("https://jobright.ai/jobs/info/6671228b25c1215749378e95?utm_campaign=1051&amp;utm_source=sheet", "Apply")</f>
        <v>Apply</v>
      </c>
      <c r="C807" s="10" t="s">
        <v>15838</v>
      </c>
      <c r="D807" s="56" t="s">
        <v>15839</v>
      </c>
      <c r="E807" s="10">
        <v>4852.0</v>
      </c>
      <c r="G807" s="10" t="s">
        <v>15829</v>
      </c>
      <c r="H807" s="10" t="s">
        <v>16973</v>
      </c>
      <c r="I807" s="10" t="s">
        <v>55</v>
      </c>
      <c r="K807" s="10" t="s">
        <v>15843</v>
      </c>
      <c r="L807" s="10" t="s">
        <v>42</v>
      </c>
    </row>
    <row r="808" ht="15.75" customHeight="1">
      <c r="A808" s="64">
        <v>45460.0</v>
      </c>
      <c r="B808" s="55" t="str">
        <f>HYPERLINK("https://jobright.ai/jobs/info/6671228b25c1215749378e98?utm_campaign=1051&amp;utm_source=sheet", "Apply")</f>
        <v>Apply</v>
      </c>
      <c r="C808" s="10" t="s">
        <v>15838</v>
      </c>
      <c r="D808" s="56" t="s">
        <v>15839</v>
      </c>
      <c r="E808" s="10">
        <v>4852.0</v>
      </c>
      <c r="G808" s="10" t="s">
        <v>15829</v>
      </c>
      <c r="H808" s="10" t="s">
        <v>809</v>
      </c>
      <c r="I808" s="10" t="s">
        <v>55</v>
      </c>
      <c r="K808" s="10" t="s">
        <v>15843</v>
      </c>
      <c r="L808" s="10" t="s">
        <v>42</v>
      </c>
    </row>
    <row r="809" ht="15.75" customHeight="1">
      <c r="A809" s="64">
        <v>45460.0</v>
      </c>
      <c r="B809" s="55" t="str">
        <f>HYPERLINK("https://jobright.ai/jobs/info/666ff238c76a5d427a1484c9?utm_campaign=1051&amp;utm_source=sheet", "Apply")</f>
        <v>Apply</v>
      </c>
      <c r="C809" s="10" t="s">
        <v>16959</v>
      </c>
      <c r="D809" s="56" t="s">
        <v>16800</v>
      </c>
      <c r="E809" s="10" t="s">
        <v>45</v>
      </c>
      <c r="F809" s="10" t="s">
        <v>15603</v>
      </c>
      <c r="G809" s="10" t="s">
        <v>15829</v>
      </c>
      <c r="H809" s="10" t="s">
        <v>16974</v>
      </c>
      <c r="I809" s="10" t="s">
        <v>55</v>
      </c>
      <c r="K809" s="10" t="s">
        <v>16975</v>
      </c>
      <c r="L809" s="10" t="s">
        <v>42</v>
      </c>
    </row>
    <row r="810" ht="15.75" customHeight="1">
      <c r="A810" s="64">
        <v>45460.0</v>
      </c>
      <c r="B810" s="55" t="str">
        <f>HYPERLINK("https://jobright.ai/jobs/info/666ff238c76a5d427a1484bb?utm_campaign=1051&amp;utm_source=sheet", "Apply")</f>
        <v>Apply</v>
      </c>
      <c r="C810" s="10" t="s">
        <v>16976</v>
      </c>
      <c r="D810" s="56" t="s">
        <v>16800</v>
      </c>
      <c r="E810" s="10" t="s">
        <v>45</v>
      </c>
      <c r="F810" s="10" t="s">
        <v>15603</v>
      </c>
      <c r="G810" s="10" t="s">
        <v>15829</v>
      </c>
      <c r="H810" s="10" t="s">
        <v>16977</v>
      </c>
      <c r="I810" s="10" t="s">
        <v>55</v>
      </c>
      <c r="K810" s="10" t="s">
        <v>16975</v>
      </c>
      <c r="L810" s="10" t="s">
        <v>42</v>
      </c>
    </row>
    <row r="811" ht="15.75" customHeight="1">
      <c r="A811" s="64">
        <v>45460.0</v>
      </c>
      <c r="B811" s="55" t="str">
        <f>HYPERLINK("https://jobright.ai/jobs/info/666ff238c76a5d427a1484c0?utm_campaign=1051&amp;utm_source=sheet", "Apply")</f>
        <v>Apply</v>
      </c>
      <c r="C811" s="10" t="s">
        <v>16978</v>
      </c>
      <c r="D811" s="56" t="s">
        <v>16800</v>
      </c>
      <c r="E811" s="10" t="s">
        <v>45</v>
      </c>
      <c r="F811" s="10" t="s">
        <v>15603</v>
      </c>
      <c r="G811" s="10" t="s">
        <v>15829</v>
      </c>
      <c r="H811" s="10" t="s">
        <v>16979</v>
      </c>
      <c r="I811" s="10" t="s">
        <v>55</v>
      </c>
      <c r="K811" s="10" t="s">
        <v>16975</v>
      </c>
      <c r="L811" s="10" t="s">
        <v>42</v>
      </c>
    </row>
    <row r="812" ht="15.75" customHeight="1">
      <c r="A812" s="64">
        <v>45460.0</v>
      </c>
      <c r="B812" s="55" t="str">
        <f>HYPERLINK("https://jobright.ai/jobs/info/666ff238c76a5d427a1484ca?utm_campaign=1051&amp;utm_source=sheet", "Apply")</f>
        <v>Apply</v>
      </c>
      <c r="C812" s="10" t="s">
        <v>16962</v>
      </c>
      <c r="D812" s="56" t="s">
        <v>16800</v>
      </c>
      <c r="E812" s="10" t="s">
        <v>45</v>
      </c>
      <c r="F812" s="10" t="s">
        <v>15603</v>
      </c>
      <c r="G812" s="10" t="s">
        <v>15829</v>
      </c>
      <c r="H812" s="10" t="s">
        <v>16980</v>
      </c>
      <c r="I812" s="10" t="s">
        <v>55</v>
      </c>
      <c r="K812" s="10" t="s">
        <v>16975</v>
      </c>
      <c r="L812" s="10" t="s">
        <v>42</v>
      </c>
    </row>
    <row r="813" ht="15.75" customHeight="1">
      <c r="A813" s="64">
        <v>45460.0</v>
      </c>
      <c r="B813" s="55" t="str">
        <f>HYPERLINK("https://jobright.ai/jobs/info/66727df38ce3decedf253d99?utm_campaign=1051&amp;utm_source=sheet", "Apply")</f>
        <v>Apply</v>
      </c>
      <c r="C813" s="10" t="s">
        <v>16981</v>
      </c>
      <c r="D813" s="56" t="s">
        <v>15335</v>
      </c>
      <c r="E813" s="10" t="s">
        <v>249</v>
      </c>
      <c r="F813" s="10" t="s">
        <v>15336</v>
      </c>
      <c r="G813" s="10" t="s">
        <v>100</v>
      </c>
      <c r="H813" s="10" t="s">
        <v>15337</v>
      </c>
      <c r="I813" s="10" t="s">
        <v>55</v>
      </c>
      <c r="K813" s="10" t="s">
        <v>16982</v>
      </c>
      <c r="L813" s="10" t="s">
        <v>42</v>
      </c>
    </row>
    <row r="814" ht="15.75" customHeight="1">
      <c r="A814" s="64">
        <v>45460.0</v>
      </c>
      <c r="B814" s="55" t="str">
        <f>HYPERLINK("https://jobright.ai/jobs/info/66727e178ce3decedf253f1a?utm_campaign=1051&amp;utm_source=sheet", "Apply")</f>
        <v>Apply</v>
      </c>
      <c r="C814" s="10" t="s">
        <v>16983</v>
      </c>
      <c r="D814" s="56" t="s">
        <v>15335</v>
      </c>
      <c r="E814" s="10" t="s">
        <v>249</v>
      </c>
      <c r="F814" s="10" t="s">
        <v>15336</v>
      </c>
      <c r="G814" s="10" t="s">
        <v>15829</v>
      </c>
      <c r="H814" s="10" t="s">
        <v>15337</v>
      </c>
      <c r="I814" s="10" t="s">
        <v>55</v>
      </c>
      <c r="K814" s="10" t="s">
        <v>16984</v>
      </c>
      <c r="L814" s="10" t="s">
        <v>42</v>
      </c>
    </row>
    <row r="815" ht="15.75" customHeight="1">
      <c r="A815" s="64">
        <v>45459.0</v>
      </c>
      <c r="B815" s="55" t="str">
        <f>HYPERLINK("https://jobright.ai/jobs/info/6677b36cd57a2b58a480dcff?utm_campaign=1051&amp;utm_source=sheet", "Apply")</f>
        <v>Apply</v>
      </c>
      <c r="C815" s="10" t="s">
        <v>15838</v>
      </c>
      <c r="D815" s="56" t="s">
        <v>15839</v>
      </c>
      <c r="E815" s="10">
        <v>4852.0</v>
      </c>
      <c r="G815" s="10" t="s">
        <v>15829</v>
      </c>
      <c r="H815" s="10" t="s">
        <v>10432</v>
      </c>
      <c r="I815" s="10" t="s">
        <v>55</v>
      </c>
      <c r="K815" s="10" t="s">
        <v>15851</v>
      </c>
      <c r="L815" s="10" t="s">
        <v>42</v>
      </c>
    </row>
    <row r="816" ht="15.75" customHeight="1">
      <c r="A816" s="64">
        <v>45459.0</v>
      </c>
      <c r="B816" s="55" t="str">
        <f>HYPERLINK("https://jobright.ai/jobs/info/6677b36cd57a2b58a480dd0d?utm_campaign=1051&amp;utm_source=sheet", "Apply")</f>
        <v>Apply</v>
      </c>
      <c r="C816" s="10" t="s">
        <v>15838</v>
      </c>
      <c r="D816" s="56" t="s">
        <v>15839</v>
      </c>
      <c r="E816" s="10">
        <v>4852.0</v>
      </c>
      <c r="G816" s="10" t="s">
        <v>15829</v>
      </c>
      <c r="H816" s="10" t="s">
        <v>10777</v>
      </c>
      <c r="I816" s="10" t="s">
        <v>55</v>
      </c>
      <c r="K816" s="10" t="s">
        <v>15851</v>
      </c>
      <c r="L816" s="10" t="s">
        <v>42</v>
      </c>
    </row>
    <row r="817" ht="15.75" customHeight="1">
      <c r="A817" s="64">
        <v>45459.0</v>
      </c>
      <c r="B817" s="55" t="str">
        <f>HYPERLINK("https://jobright.ai/jobs/info/6677b36cd57a2b58a480dd94?utm_campaign=1051&amp;utm_source=sheet", "Apply")</f>
        <v>Apply</v>
      </c>
      <c r="C817" s="10" t="s">
        <v>15838</v>
      </c>
      <c r="D817" s="56" t="s">
        <v>15839</v>
      </c>
      <c r="E817" s="10">
        <v>4852.0</v>
      </c>
      <c r="G817" s="10" t="s">
        <v>15829</v>
      </c>
      <c r="H817" s="10" t="s">
        <v>953</v>
      </c>
      <c r="I817" s="10" t="s">
        <v>55</v>
      </c>
      <c r="K817" s="10" t="s">
        <v>15851</v>
      </c>
      <c r="L817" s="10" t="s">
        <v>42</v>
      </c>
    </row>
    <row r="818" ht="15.75" customHeight="1">
      <c r="A818" s="64">
        <v>45459.0</v>
      </c>
      <c r="B818" s="55" t="str">
        <f>HYPERLINK("https://jobright.ai/jobs/info/6677b375d57a2b58a480de11?utm_campaign=1051&amp;utm_source=sheet", "Apply")</f>
        <v>Apply</v>
      </c>
      <c r="C818" s="10" t="s">
        <v>15838</v>
      </c>
      <c r="D818" s="56" t="s">
        <v>15839</v>
      </c>
      <c r="E818" s="10">
        <v>4852.0</v>
      </c>
      <c r="G818" s="10" t="s">
        <v>15829</v>
      </c>
      <c r="H818" s="10" t="s">
        <v>16985</v>
      </c>
      <c r="I818" s="10" t="s">
        <v>55</v>
      </c>
      <c r="K818" s="10" t="s">
        <v>16674</v>
      </c>
      <c r="L818" s="10" t="s">
        <v>42</v>
      </c>
    </row>
    <row r="819" ht="15.75" customHeight="1">
      <c r="A819" s="64">
        <v>45459.0</v>
      </c>
      <c r="B819" s="55" t="str">
        <f>HYPERLINK("https://jobright.ai/jobs/info/6677b37fd57a2b58a480de75?utm_campaign=1051&amp;utm_source=sheet", "Apply")</f>
        <v>Apply</v>
      </c>
      <c r="C819" s="10" t="s">
        <v>15838</v>
      </c>
      <c r="D819" s="56" t="s">
        <v>15839</v>
      </c>
      <c r="E819" s="10">
        <v>4852.0</v>
      </c>
      <c r="G819" s="10" t="s">
        <v>15829</v>
      </c>
      <c r="H819" s="10" t="s">
        <v>7099</v>
      </c>
      <c r="I819" s="10" t="s">
        <v>55</v>
      </c>
      <c r="K819" s="10" t="s">
        <v>15851</v>
      </c>
      <c r="L819" s="10" t="s">
        <v>42</v>
      </c>
    </row>
    <row r="820" ht="15.75" customHeight="1">
      <c r="A820" s="64">
        <v>45459.0</v>
      </c>
      <c r="B820" s="55" t="str">
        <f>HYPERLINK("https://jobright.ai/jobs/info/6676cb470367cb83573cd55d?utm_campaign=1051&amp;utm_source=sheet", "Apply")</f>
        <v>Apply</v>
      </c>
      <c r="C820" s="10" t="s">
        <v>15838</v>
      </c>
      <c r="D820" s="56" t="s">
        <v>15839</v>
      </c>
      <c r="E820" s="10">
        <v>4852.0</v>
      </c>
      <c r="G820" s="10" t="s">
        <v>15829</v>
      </c>
      <c r="H820" s="10" t="s">
        <v>3374</v>
      </c>
      <c r="I820" s="10" t="s">
        <v>55</v>
      </c>
      <c r="K820" s="10" t="s">
        <v>15843</v>
      </c>
      <c r="L820" s="10" t="s">
        <v>42</v>
      </c>
    </row>
    <row r="821" ht="15.75" customHeight="1">
      <c r="A821" s="64">
        <v>45459.0</v>
      </c>
      <c r="B821" s="55" t="str">
        <f>HYPERLINK("https://jobright.ai/jobs/info/666e80a8f54bb97fb1c0f582?utm_campaign=1051&amp;utm_source=sheet", "Apply")</f>
        <v>Apply</v>
      </c>
      <c r="C821" s="10" t="s">
        <v>15838</v>
      </c>
      <c r="D821" s="56" t="s">
        <v>15839</v>
      </c>
      <c r="E821" s="10">
        <v>4852.0</v>
      </c>
      <c r="G821" s="10" t="s">
        <v>15829</v>
      </c>
      <c r="H821" s="10" t="s">
        <v>16986</v>
      </c>
      <c r="I821" s="10" t="s">
        <v>55</v>
      </c>
      <c r="K821" s="10" t="s">
        <v>15851</v>
      </c>
      <c r="L821" s="10" t="s">
        <v>42</v>
      </c>
    </row>
    <row r="822" ht="15.75" customHeight="1">
      <c r="A822" s="64">
        <v>45459.0</v>
      </c>
      <c r="B822" s="55" t="str">
        <f>HYPERLINK("https://jobright.ai/jobs/info/666e80a8f54bb97fb1c0f57c?utm_campaign=1051&amp;utm_source=sheet", "Apply")</f>
        <v>Apply</v>
      </c>
      <c r="C822" s="10" t="s">
        <v>15838</v>
      </c>
      <c r="D822" s="56" t="s">
        <v>15839</v>
      </c>
      <c r="E822" s="10">
        <v>4852.0</v>
      </c>
      <c r="G822" s="10" t="s">
        <v>15829</v>
      </c>
      <c r="H822" s="10" t="s">
        <v>153</v>
      </c>
      <c r="I822" s="10" t="s">
        <v>55</v>
      </c>
      <c r="K822" s="10" t="s">
        <v>15851</v>
      </c>
      <c r="L822" s="10" t="s">
        <v>42</v>
      </c>
    </row>
    <row r="823" ht="15.75" customHeight="1">
      <c r="A823" s="64">
        <v>45459.0</v>
      </c>
      <c r="B823" s="55" t="str">
        <f>HYPERLINK("https://jobright.ai/jobs/info/666e73864367815f715fef23?utm_campaign=1051&amp;utm_source=sheet", "Apply")</f>
        <v>Apply</v>
      </c>
      <c r="C823" s="10" t="s">
        <v>15838</v>
      </c>
      <c r="D823" s="56" t="s">
        <v>15839</v>
      </c>
      <c r="E823" s="10">
        <v>4852.0</v>
      </c>
      <c r="G823" s="10" t="s">
        <v>15829</v>
      </c>
      <c r="H823" s="10" t="s">
        <v>16987</v>
      </c>
      <c r="I823" s="10" t="s">
        <v>55</v>
      </c>
      <c r="K823" s="10" t="s">
        <v>15851</v>
      </c>
      <c r="L823" s="10" t="s">
        <v>42</v>
      </c>
    </row>
    <row r="824" ht="15.75" customHeight="1">
      <c r="A824" s="64">
        <v>45459.0</v>
      </c>
      <c r="B824" s="55" t="str">
        <f>HYPERLINK("https://jobright.ai/jobs/info/666e73864367815f715fef27?utm_campaign=1051&amp;utm_source=sheet", "Apply")</f>
        <v>Apply</v>
      </c>
      <c r="C824" s="10" t="s">
        <v>15838</v>
      </c>
      <c r="D824" s="56" t="s">
        <v>15839</v>
      </c>
      <c r="E824" s="10">
        <v>4852.0</v>
      </c>
      <c r="G824" s="10" t="s">
        <v>15829</v>
      </c>
      <c r="H824" s="10" t="s">
        <v>962</v>
      </c>
      <c r="I824" s="10" t="s">
        <v>55</v>
      </c>
      <c r="K824" s="10" t="s">
        <v>15843</v>
      </c>
      <c r="L824" s="10" t="s">
        <v>42</v>
      </c>
    </row>
    <row r="825" ht="15.75" customHeight="1">
      <c r="A825" s="64">
        <v>45459.0</v>
      </c>
      <c r="B825" s="55" t="str">
        <f>HYPERLINK("https://jobright.ai/jobs/info/666e7b25b45059c5f456ba11?utm_campaign=1051&amp;utm_source=sheet", "Apply")</f>
        <v>Apply</v>
      </c>
      <c r="C825" s="10" t="s">
        <v>15838</v>
      </c>
      <c r="D825" s="56" t="s">
        <v>15839</v>
      </c>
      <c r="E825" s="10">
        <v>4852.0</v>
      </c>
      <c r="G825" s="10" t="s">
        <v>15829</v>
      </c>
      <c r="H825" s="10" t="s">
        <v>965</v>
      </c>
      <c r="I825" s="10" t="s">
        <v>55</v>
      </c>
      <c r="J825" s="10" t="s">
        <v>16681</v>
      </c>
      <c r="K825" s="10" t="s">
        <v>15840</v>
      </c>
      <c r="L825" s="10" t="s">
        <v>42</v>
      </c>
    </row>
    <row r="826" ht="15.75" customHeight="1">
      <c r="A826" s="64">
        <v>45459.0</v>
      </c>
      <c r="B826" s="55" t="str">
        <f>HYPERLINK("https://jobright.ai/jobs/info/666e7b25b45059c5f456ba15?utm_campaign=1051&amp;utm_source=sheet", "Apply")</f>
        <v>Apply</v>
      </c>
      <c r="C826" s="10" t="s">
        <v>15838</v>
      </c>
      <c r="D826" s="56" t="s">
        <v>15839</v>
      </c>
      <c r="E826" s="10">
        <v>4852.0</v>
      </c>
      <c r="G826" s="10" t="s">
        <v>15829</v>
      </c>
      <c r="H826" s="10" t="s">
        <v>14453</v>
      </c>
      <c r="I826" s="10" t="s">
        <v>55</v>
      </c>
      <c r="K826" s="10" t="s">
        <v>15843</v>
      </c>
      <c r="L826" s="10" t="s">
        <v>42</v>
      </c>
    </row>
    <row r="827" ht="15.75" customHeight="1">
      <c r="A827" s="64">
        <v>45459.0</v>
      </c>
      <c r="B827" s="55" t="str">
        <f>HYPERLINK("https://jobright.ai/jobs/info/666e8676465a63876053e78a?utm_campaign=1051&amp;utm_source=sheet", "Apply")</f>
        <v>Apply</v>
      </c>
      <c r="C827" s="10" t="s">
        <v>15838</v>
      </c>
      <c r="D827" s="56" t="s">
        <v>15839</v>
      </c>
      <c r="E827" s="10">
        <v>4852.0</v>
      </c>
      <c r="G827" s="10" t="s">
        <v>15829</v>
      </c>
      <c r="H827" s="10" t="s">
        <v>4128</v>
      </c>
      <c r="I827" s="10" t="s">
        <v>55</v>
      </c>
      <c r="K827" s="10" t="s">
        <v>15843</v>
      </c>
      <c r="L827" s="10" t="s">
        <v>42</v>
      </c>
    </row>
    <row r="828" ht="15.75" customHeight="1">
      <c r="A828" s="64">
        <v>45459.0</v>
      </c>
      <c r="B828" s="55" t="str">
        <f>HYPERLINK("https://jobright.ai/jobs/info/666e7a669acf8274b454c35d?utm_campaign=1051&amp;utm_source=sheet", "Apply")</f>
        <v>Apply</v>
      </c>
      <c r="C828" s="10" t="s">
        <v>15838</v>
      </c>
      <c r="D828" s="56" t="s">
        <v>15839</v>
      </c>
      <c r="E828" s="10">
        <v>4852.0</v>
      </c>
      <c r="G828" s="10" t="s">
        <v>15829</v>
      </c>
      <c r="H828" s="10" t="s">
        <v>9605</v>
      </c>
      <c r="I828" s="10" t="s">
        <v>55</v>
      </c>
      <c r="K828" s="10" t="s">
        <v>15851</v>
      </c>
      <c r="L828" s="10" t="s">
        <v>42</v>
      </c>
    </row>
    <row r="829" ht="15.75" customHeight="1">
      <c r="A829" s="64">
        <v>45459.0</v>
      </c>
      <c r="B829" s="55" t="str">
        <f>HYPERLINK("https://jobright.ai/jobs/info/666e7a669acf8274b454c363?utm_campaign=1051&amp;utm_source=sheet", "Apply")</f>
        <v>Apply</v>
      </c>
      <c r="C829" s="10" t="s">
        <v>15838</v>
      </c>
      <c r="D829" s="56" t="s">
        <v>15839</v>
      </c>
      <c r="E829" s="10">
        <v>4852.0</v>
      </c>
      <c r="G829" s="10" t="s">
        <v>15829</v>
      </c>
      <c r="H829" s="10" t="s">
        <v>661</v>
      </c>
      <c r="I829" s="10" t="s">
        <v>55</v>
      </c>
      <c r="K829" s="10" t="s">
        <v>15843</v>
      </c>
      <c r="L829" s="10" t="s">
        <v>42</v>
      </c>
    </row>
    <row r="830" ht="15.75" customHeight="1">
      <c r="A830" s="64">
        <v>45459.0</v>
      </c>
      <c r="B830" s="55" t="str">
        <f>HYPERLINK("https://jobright.ai/jobs/info/666e7a669acf8274b454c35e?utm_campaign=1051&amp;utm_source=sheet", "Apply")</f>
        <v>Apply</v>
      </c>
      <c r="C830" s="10" t="s">
        <v>15838</v>
      </c>
      <c r="D830" s="56" t="s">
        <v>15839</v>
      </c>
      <c r="E830" s="10">
        <v>4852.0</v>
      </c>
      <c r="G830" s="10" t="s">
        <v>15829</v>
      </c>
      <c r="H830" s="10" t="s">
        <v>16988</v>
      </c>
      <c r="I830" s="10" t="s">
        <v>55</v>
      </c>
      <c r="K830" s="10" t="s">
        <v>15851</v>
      </c>
      <c r="L830" s="10" t="s">
        <v>42</v>
      </c>
    </row>
    <row r="831" ht="15.75" customHeight="1">
      <c r="A831" s="64">
        <v>45459.0</v>
      </c>
      <c r="B831" s="55" t="str">
        <f>HYPERLINK("https://jobright.ai/jobs/info/666e7a669acf8274b454c364?utm_campaign=1051&amp;utm_source=sheet", "Apply")</f>
        <v>Apply</v>
      </c>
      <c r="C831" s="10" t="s">
        <v>15838</v>
      </c>
      <c r="D831" s="56" t="s">
        <v>15839</v>
      </c>
      <c r="E831" s="10">
        <v>4852.0</v>
      </c>
      <c r="G831" s="10" t="s">
        <v>15829</v>
      </c>
      <c r="H831" s="10" t="s">
        <v>11767</v>
      </c>
      <c r="I831" s="10" t="s">
        <v>55</v>
      </c>
      <c r="K831" s="10" t="s">
        <v>15851</v>
      </c>
      <c r="L831" s="10" t="s">
        <v>42</v>
      </c>
    </row>
    <row r="832" ht="15.75" customHeight="1">
      <c r="A832" s="64">
        <v>45459.0</v>
      </c>
      <c r="B832" s="55" t="str">
        <f>HYPERLINK("https://jobright.ai/jobs/info/666ed0bacfaf83a47e1e8127?utm_campaign=1051&amp;utm_source=sheet", "Apply")</f>
        <v>Apply</v>
      </c>
      <c r="C832" s="10" t="s">
        <v>15838</v>
      </c>
      <c r="D832" s="56" t="s">
        <v>15839</v>
      </c>
      <c r="E832" s="10">
        <v>4852.0</v>
      </c>
      <c r="G832" s="10" t="s">
        <v>15829</v>
      </c>
      <c r="H832" s="10" t="s">
        <v>10437</v>
      </c>
      <c r="I832" s="10" t="s">
        <v>55</v>
      </c>
      <c r="K832" s="10" t="s">
        <v>15843</v>
      </c>
      <c r="L832" s="10" t="s">
        <v>42</v>
      </c>
    </row>
    <row r="833" ht="15.75" customHeight="1">
      <c r="A833" s="64">
        <v>45459.0</v>
      </c>
      <c r="B833" s="55" t="str">
        <f>HYPERLINK("https://jobright.ai/jobs/info/666e8676465a63876053e7a2?utm_campaign=1051&amp;utm_source=sheet", "Apply")</f>
        <v>Apply</v>
      </c>
      <c r="C833" s="10" t="s">
        <v>15838</v>
      </c>
      <c r="D833" s="56" t="s">
        <v>15839</v>
      </c>
      <c r="E833" s="10">
        <v>4852.0</v>
      </c>
      <c r="G833" s="10" t="s">
        <v>15829</v>
      </c>
      <c r="H833" s="10" t="s">
        <v>818</v>
      </c>
      <c r="I833" s="10" t="s">
        <v>55</v>
      </c>
      <c r="K833" s="10" t="s">
        <v>15843</v>
      </c>
      <c r="L833" s="10" t="s">
        <v>42</v>
      </c>
    </row>
    <row r="834" ht="15.75" customHeight="1">
      <c r="A834" s="64">
        <v>45458.0</v>
      </c>
      <c r="B834" s="55" t="str">
        <f>HYPERLINK("https://jobright.ai/jobs/info/666dc70347b7f73759eedf38?utm_campaign=1051&amp;utm_source=sheet", "Apply")</f>
        <v>Apply</v>
      </c>
      <c r="C834" s="10" t="s">
        <v>16989</v>
      </c>
      <c r="D834" s="56" t="s">
        <v>1424</v>
      </c>
      <c r="E834" s="10">
        <v>73.0</v>
      </c>
      <c r="G834" s="10" t="s">
        <v>100</v>
      </c>
      <c r="H834" s="10" t="s">
        <v>113</v>
      </c>
      <c r="I834" s="10" t="s">
        <v>48</v>
      </c>
      <c r="K834" s="10" t="s">
        <v>16990</v>
      </c>
      <c r="L834" s="10" t="s">
        <v>42</v>
      </c>
    </row>
    <row r="835" ht="15.75" customHeight="1">
      <c r="A835" s="64">
        <v>45458.0</v>
      </c>
      <c r="B835" s="55" t="str">
        <f>HYPERLINK("https://jobright.ai/jobs/info/666bb7c64f2df602085b04d2?utm_campaign=1051&amp;utm_source=sheet", "Apply")</f>
        <v>Apply</v>
      </c>
      <c r="C835" s="10" t="s">
        <v>16991</v>
      </c>
      <c r="D835" s="56" t="s">
        <v>16992</v>
      </c>
      <c r="E835" s="10" t="s">
        <v>65</v>
      </c>
      <c r="F835" s="10" t="s">
        <v>16993</v>
      </c>
      <c r="G835" s="10" t="s">
        <v>100</v>
      </c>
      <c r="H835" s="10" t="s">
        <v>146</v>
      </c>
      <c r="I835" s="10" t="s">
        <v>55</v>
      </c>
      <c r="K835" s="10" t="s">
        <v>16994</v>
      </c>
      <c r="L835" s="10" t="s">
        <v>42</v>
      </c>
    </row>
    <row r="836" ht="15.75" customHeight="1">
      <c r="A836" s="64">
        <v>45458.0</v>
      </c>
      <c r="B836" s="55" t="str">
        <f>HYPERLINK("https://jobright.ai/jobs/info/666e28705fa2e9277d8c88e6?utm_campaign=1051&amp;utm_source=sheet", "Apply")</f>
        <v>Apply</v>
      </c>
      <c r="C836" s="10" t="s">
        <v>15838</v>
      </c>
      <c r="D836" s="56" t="s">
        <v>15839</v>
      </c>
      <c r="E836" s="10">
        <v>4852.0</v>
      </c>
      <c r="G836" s="10" t="s">
        <v>15829</v>
      </c>
      <c r="H836" s="10" t="s">
        <v>575</v>
      </c>
      <c r="I836" s="10" t="s">
        <v>55</v>
      </c>
      <c r="K836" s="10" t="s">
        <v>15851</v>
      </c>
      <c r="L836" s="10" t="s">
        <v>42</v>
      </c>
    </row>
    <row r="837" ht="15.75" customHeight="1">
      <c r="A837" s="64">
        <v>45458.0</v>
      </c>
      <c r="B837" s="55" t="str">
        <f>HYPERLINK("https://jobright.ai/jobs/info/666e273223672a3521806dcd?utm_campaign=1051&amp;utm_source=sheet", "Apply")</f>
        <v>Apply</v>
      </c>
      <c r="C837" s="10" t="s">
        <v>15838</v>
      </c>
      <c r="D837" s="56" t="s">
        <v>15839</v>
      </c>
      <c r="E837" s="10">
        <v>4852.0</v>
      </c>
      <c r="G837" s="10" t="s">
        <v>15829</v>
      </c>
      <c r="H837" s="10" t="s">
        <v>16995</v>
      </c>
      <c r="I837" s="10" t="s">
        <v>55</v>
      </c>
      <c r="K837" s="10" t="s">
        <v>15843</v>
      </c>
      <c r="L837" s="10" t="s">
        <v>42</v>
      </c>
    </row>
    <row r="838" ht="15.75" customHeight="1">
      <c r="A838" s="64">
        <v>45458.0</v>
      </c>
      <c r="B838" s="55" t="str">
        <f>HYPERLINK("https://jobright.ai/jobs/info/666e273323672a3521806ddd?utm_campaign=1051&amp;utm_source=sheet", "Apply")</f>
        <v>Apply</v>
      </c>
      <c r="C838" s="10" t="s">
        <v>15838</v>
      </c>
      <c r="D838" s="56" t="s">
        <v>15839</v>
      </c>
      <c r="E838" s="10">
        <v>4852.0</v>
      </c>
      <c r="G838" s="10" t="s">
        <v>15829</v>
      </c>
      <c r="H838" s="10" t="s">
        <v>929</v>
      </c>
      <c r="I838" s="10" t="s">
        <v>55</v>
      </c>
      <c r="K838" s="10" t="s">
        <v>15843</v>
      </c>
      <c r="L838" s="10" t="s">
        <v>42</v>
      </c>
    </row>
    <row r="839" ht="15.75" customHeight="1">
      <c r="A839" s="64">
        <v>45458.0</v>
      </c>
      <c r="B839" s="55" t="str">
        <f>HYPERLINK("https://jobright.ai/jobs/info/666e342d3d798d953907c238?utm_campaign=1051&amp;utm_source=sheet", "Apply")</f>
        <v>Apply</v>
      </c>
      <c r="C839" s="10" t="s">
        <v>15838</v>
      </c>
      <c r="D839" s="56" t="s">
        <v>15839</v>
      </c>
      <c r="E839" s="10">
        <v>4852.0</v>
      </c>
      <c r="G839" s="10" t="s">
        <v>15829</v>
      </c>
      <c r="H839" s="10" t="s">
        <v>11438</v>
      </c>
      <c r="I839" s="10" t="s">
        <v>55</v>
      </c>
      <c r="K839" s="10" t="s">
        <v>15851</v>
      </c>
      <c r="L839" s="10" t="s">
        <v>42</v>
      </c>
    </row>
    <row r="840" ht="15.75" customHeight="1">
      <c r="A840" s="64">
        <v>45458.0</v>
      </c>
      <c r="B840" s="55" t="str">
        <f>HYPERLINK("https://jobright.ai/jobs/info/666e342d3d798d953907c23f?utm_campaign=1051&amp;utm_source=sheet", "Apply")</f>
        <v>Apply</v>
      </c>
      <c r="C840" s="10" t="s">
        <v>15838</v>
      </c>
      <c r="D840" s="56" t="s">
        <v>15839</v>
      </c>
      <c r="E840" s="10">
        <v>4852.0</v>
      </c>
      <c r="G840" s="10" t="s">
        <v>15829</v>
      </c>
      <c r="H840" s="10" t="s">
        <v>942</v>
      </c>
      <c r="I840" s="10" t="s">
        <v>55</v>
      </c>
      <c r="K840" s="10" t="s">
        <v>15843</v>
      </c>
      <c r="L840" s="10" t="s">
        <v>42</v>
      </c>
    </row>
    <row r="841" ht="15.75" customHeight="1">
      <c r="A841" s="64">
        <v>45458.0</v>
      </c>
      <c r="B841" s="55" t="str">
        <f>HYPERLINK("https://jobright.ai/jobs/info/666d08e16bf3dd39802dc16d?utm_campaign=1051&amp;utm_source=sheet", "Apply")</f>
        <v>Apply</v>
      </c>
      <c r="C841" s="10" t="s">
        <v>16996</v>
      </c>
      <c r="D841" s="56" t="s">
        <v>16830</v>
      </c>
      <c r="E841" s="10" t="s">
        <v>79</v>
      </c>
      <c r="F841" s="10" t="s">
        <v>16831</v>
      </c>
      <c r="G841" s="10" t="s">
        <v>15829</v>
      </c>
      <c r="H841" s="10" t="s">
        <v>152</v>
      </c>
      <c r="I841" s="10" t="s">
        <v>55</v>
      </c>
      <c r="J841" s="10" t="s">
        <v>15596</v>
      </c>
      <c r="K841" s="10" t="s">
        <v>16896</v>
      </c>
      <c r="L841" s="10" t="s">
        <v>42</v>
      </c>
    </row>
    <row r="842" ht="15.75" customHeight="1">
      <c r="A842" s="64">
        <v>45458.0</v>
      </c>
      <c r="B842" s="55" t="str">
        <f>HYPERLINK("https://jobright.ai/jobs/info/666d96ece33cd5cb0593d56a?utm_campaign=1051&amp;utm_source=sheet", "Apply")</f>
        <v>Apply</v>
      </c>
      <c r="C842" s="10" t="s">
        <v>16519</v>
      </c>
      <c r="D842" s="56" t="s">
        <v>16997</v>
      </c>
      <c r="E842" s="10" t="s">
        <v>45</v>
      </c>
      <c r="F842" s="10" t="s">
        <v>16998</v>
      </c>
      <c r="G842" s="10" t="s">
        <v>15793</v>
      </c>
      <c r="H842" s="10" t="s">
        <v>16999</v>
      </c>
      <c r="I842" s="10" t="s">
        <v>55</v>
      </c>
      <c r="K842" s="10" t="s">
        <v>16521</v>
      </c>
      <c r="L842" s="10" t="s">
        <v>42</v>
      </c>
    </row>
    <row r="843" ht="15.75" customHeight="1">
      <c r="A843" s="64">
        <v>45457.0</v>
      </c>
      <c r="B843" s="55" t="str">
        <f>HYPERLINK("https://jobright.ai/jobs/info/666d08e16bf3dd39802dc18f?utm_campaign=1051&amp;utm_source=sheet", "Apply")</f>
        <v>Apply</v>
      </c>
      <c r="C843" s="10" t="s">
        <v>17000</v>
      </c>
      <c r="D843" s="56" t="s">
        <v>16830</v>
      </c>
      <c r="E843" s="10" t="s">
        <v>79</v>
      </c>
      <c r="F843" s="10" t="s">
        <v>16831</v>
      </c>
      <c r="G843" s="10" t="s">
        <v>15829</v>
      </c>
      <c r="H843" s="10" t="s">
        <v>152</v>
      </c>
      <c r="I843" s="10" t="s">
        <v>55</v>
      </c>
      <c r="J843" s="10" t="s">
        <v>11147</v>
      </c>
      <c r="K843" s="10" t="s">
        <v>16832</v>
      </c>
      <c r="L843" s="10" t="s">
        <v>42</v>
      </c>
    </row>
    <row r="844" ht="15.75" customHeight="1">
      <c r="A844" s="64">
        <v>45457.0</v>
      </c>
      <c r="B844" s="55" t="str">
        <f>HYPERLINK("https://jobright.ai/jobs/info/666cc2babac4ff7da205df0f?utm_campaign=1051&amp;utm_source=sheet", "Apply")</f>
        <v>Apply</v>
      </c>
      <c r="C844" s="10" t="s">
        <v>16885</v>
      </c>
      <c r="D844" s="56" t="s">
        <v>16830</v>
      </c>
      <c r="E844" s="10" t="s">
        <v>79</v>
      </c>
      <c r="F844" s="10" t="s">
        <v>16831</v>
      </c>
      <c r="G844" s="10" t="s">
        <v>15829</v>
      </c>
      <c r="H844" s="10" t="s">
        <v>16886</v>
      </c>
      <c r="I844" s="10" t="s">
        <v>55</v>
      </c>
      <c r="J844" s="10" t="s">
        <v>15596</v>
      </c>
      <c r="K844" s="10" t="s">
        <v>16832</v>
      </c>
      <c r="L844" s="10" t="s">
        <v>42</v>
      </c>
    </row>
    <row r="845" ht="15.75" customHeight="1">
      <c r="A845" s="64">
        <v>45457.0</v>
      </c>
      <c r="B845" s="55" t="str">
        <f>HYPERLINK("https://jobright.ai/jobs/info/6675938bbad9224db7bb743a?utm_campaign=1051&amp;utm_source=sheet", "Apply")</f>
        <v>Apply</v>
      </c>
      <c r="C845" s="10" t="s">
        <v>17001</v>
      </c>
      <c r="D845" s="56" t="s">
        <v>17002</v>
      </c>
      <c r="E845" s="10" t="s">
        <v>249</v>
      </c>
      <c r="F845" s="10" t="s">
        <v>17003</v>
      </c>
      <c r="G845" s="10" t="s">
        <v>100</v>
      </c>
      <c r="H845" s="10" t="s">
        <v>792</v>
      </c>
      <c r="I845" s="10" t="s">
        <v>55</v>
      </c>
      <c r="K845" s="10" t="s">
        <v>17004</v>
      </c>
      <c r="L845" s="10" t="s">
        <v>42</v>
      </c>
    </row>
    <row r="846" ht="15.75" customHeight="1">
      <c r="A846" s="64">
        <v>45457.0</v>
      </c>
      <c r="B846" s="55" t="str">
        <f>HYPERLINK("https://jobright.ai/jobs/info/66757cd518f8e42094329739?utm_campaign=1051&amp;utm_source=sheet", "Apply")</f>
        <v>Apply</v>
      </c>
      <c r="C846" s="10" t="s">
        <v>17005</v>
      </c>
      <c r="D846" s="56" t="s">
        <v>14047</v>
      </c>
      <c r="E846" s="10" t="s">
        <v>71</v>
      </c>
      <c r="F846" s="10" t="s">
        <v>14048</v>
      </c>
      <c r="G846" s="10" t="s">
        <v>15829</v>
      </c>
      <c r="H846" s="10" t="s">
        <v>139</v>
      </c>
      <c r="I846" s="10" t="s">
        <v>55</v>
      </c>
      <c r="J846" s="10" t="s">
        <v>1761</v>
      </c>
      <c r="K846" s="10" t="s">
        <v>17006</v>
      </c>
      <c r="L846" s="10" t="s">
        <v>42</v>
      </c>
    </row>
    <row r="847" ht="15.75" customHeight="1">
      <c r="A847" s="64">
        <v>45457.0</v>
      </c>
      <c r="B847" s="55" t="str">
        <f>HYPERLINK("https://jobright.ai/jobs/info/66709b5798cf9112c1089556?utm_campaign=1051&amp;utm_source=sheet", "Apply")</f>
        <v>Apply</v>
      </c>
      <c r="C847" s="10" t="s">
        <v>16757</v>
      </c>
      <c r="D847" s="56" t="s">
        <v>16758</v>
      </c>
      <c r="E847" s="10" t="s">
        <v>71</v>
      </c>
      <c r="F847" s="10" t="s">
        <v>16759</v>
      </c>
      <c r="G847" s="10" t="s">
        <v>15814</v>
      </c>
      <c r="H847" s="10" t="s">
        <v>17007</v>
      </c>
      <c r="I847" s="10" t="s">
        <v>55</v>
      </c>
      <c r="K847" s="10" t="s">
        <v>16760</v>
      </c>
      <c r="L847" s="10" t="s">
        <v>42</v>
      </c>
    </row>
    <row r="848" ht="15.75" customHeight="1">
      <c r="A848" s="64">
        <v>45457.0</v>
      </c>
      <c r="B848" s="55" t="str">
        <f>HYPERLINK("https://jobright.ai/jobs/info/666c97ade975581818a68b27?utm_campaign=1051&amp;utm_source=sheet", "Apply")</f>
        <v>Apply</v>
      </c>
      <c r="C848" s="10" t="s">
        <v>16660</v>
      </c>
      <c r="D848" s="56" t="s">
        <v>16661</v>
      </c>
      <c r="E848" s="10" t="s">
        <v>65</v>
      </c>
      <c r="F848" s="10" t="s">
        <v>16662</v>
      </c>
      <c r="G848" s="10" t="s">
        <v>15793</v>
      </c>
      <c r="H848" s="10" t="s">
        <v>434</v>
      </c>
      <c r="I848" s="10" t="s">
        <v>55</v>
      </c>
      <c r="J848" s="10" t="s">
        <v>16667</v>
      </c>
      <c r="K848" s="10" t="s">
        <v>16664</v>
      </c>
      <c r="L848" s="10" t="s">
        <v>42</v>
      </c>
    </row>
    <row r="849" ht="15.75" customHeight="1">
      <c r="A849" s="64">
        <v>45457.0</v>
      </c>
      <c r="B849" s="55" t="str">
        <f>HYPERLINK("https://jobright.ai/jobs/info/666c97ade975581818a68ae0?utm_campaign=1051&amp;utm_source=sheet", "Apply")</f>
        <v>Apply</v>
      </c>
      <c r="C849" s="10" t="s">
        <v>16660</v>
      </c>
      <c r="D849" s="56" t="s">
        <v>16661</v>
      </c>
      <c r="E849" s="10" t="s">
        <v>65</v>
      </c>
      <c r="F849" s="10" t="s">
        <v>16662</v>
      </c>
      <c r="G849" s="10" t="s">
        <v>15793</v>
      </c>
      <c r="H849" s="10" t="s">
        <v>5074</v>
      </c>
      <c r="I849" s="10" t="s">
        <v>55</v>
      </c>
      <c r="J849" s="10" t="s">
        <v>16666</v>
      </c>
      <c r="K849" s="10" t="s">
        <v>16664</v>
      </c>
      <c r="L849" s="10" t="s">
        <v>42</v>
      </c>
    </row>
    <row r="850" ht="15.75" customHeight="1">
      <c r="A850" s="64">
        <v>45457.0</v>
      </c>
      <c r="B850" s="55" t="str">
        <f>HYPERLINK("https://jobright.ai/jobs/info/666c97ade975581818a68ae1?utm_campaign=1051&amp;utm_source=sheet", "Apply")</f>
        <v>Apply</v>
      </c>
      <c r="C850" s="10" t="s">
        <v>16660</v>
      </c>
      <c r="D850" s="56" t="s">
        <v>16661</v>
      </c>
      <c r="E850" s="10" t="s">
        <v>65</v>
      </c>
      <c r="F850" s="10" t="s">
        <v>16662</v>
      </c>
      <c r="G850" s="10" t="s">
        <v>15793</v>
      </c>
      <c r="H850" s="10" t="s">
        <v>826</v>
      </c>
      <c r="I850" s="10" t="s">
        <v>55</v>
      </c>
      <c r="J850" s="10" t="s">
        <v>16667</v>
      </c>
      <c r="K850" s="10" t="s">
        <v>16664</v>
      </c>
      <c r="L850" s="10" t="s">
        <v>42</v>
      </c>
    </row>
    <row r="851" ht="15.75" customHeight="1">
      <c r="A851" s="64">
        <v>45457.0</v>
      </c>
      <c r="B851" s="55" t="str">
        <f>HYPERLINK("https://jobright.ai/jobs/info/666c97ade975581818a68aed?utm_campaign=1051&amp;utm_source=sheet", "Apply")</f>
        <v>Apply</v>
      </c>
      <c r="C851" s="10" t="s">
        <v>16660</v>
      </c>
      <c r="D851" s="56" t="s">
        <v>16661</v>
      </c>
      <c r="E851" s="10" t="s">
        <v>65</v>
      </c>
      <c r="F851" s="10" t="s">
        <v>16662</v>
      </c>
      <c r="G851" s="10" t="s">
        <v>15793</v>
      </c>
      <c r="H851" s="10" t="s">
        <v>106</v>
      </c>
      <c r="I851" s="10" t="s">
        <v>55</v>
      </c>
      <c r="J851" s="10" t="s">
        <v>16663</v>
      </c>
      <c r="K851" s="10" t="s">
        <v>16664</v>
      </c>
      <c r="L851" s="10" t="s">
        <v>42</v>
      </c>
    </row>
    <row r="852" ht="15.75" customHeight="1">
      <c r="A852" s="64">
        <v>45456.0</v>
      </c>
      <c r="B852" s="55" t="str">
        <f>HYPERLINK("https://jobright.ai/jobs/info/666b7e5bbb0d4daf8189d490?utm_campaign=1051&amp;utm_source=sheet", "Apply")</f>
        <v>Apply</v>
      </c>
      <c r="C852" s="10" t="s">
        <v>17008</v>
      </c>
      <c r="D852" s="56" t="s">
        <v>16830</v>
      </c>
      <c r="E852" s="10" t="s">
        <v>79</v>
      </c>
      <c r="F852" s="10" t="s">
        <v>16831</v>
      </c>
      <c r="G852" s="10" t="s">
        <v>15829</v>
      </c>
      <c r="H852" s="10" t="s">
        <v>1298</v>
      </c>
      <c r="I852" s="10" t="s">
        <v>55</v>
      </c>
      <c r="J852" s="10" t="s">
        <v>15596</v>
      </c>
      <c r="K852" s="10" t="s">
        <v>16832</v>
      </c>
      <c r="L852" s="10" t="s">
        <v>42</v>
      </c>
    </row>
    <row r="853" ht="15.75" customHeight="1">
      <c r="A853" s="64">
        <v>45456.0</v>
      </c>
      <c r="B853" s="55" t="str">
        <f>HYPERLINK("https://jobright.ai/jobs/info/666b6769df4302fa07d3269a?utm_campaign=1051&amp;utm_source=sheet", "Apply")</f>
        <v>Apply</v>
      </c>
      <c r="C853" s="10" t="s">
        <v>16887</v>
      </c>
      <c r="D853" s="56" t="s">
        <v>16830</v>
      </c>
      <c r="E853" s="10" t="s">
        <v>79</v>
      </c>
      <c r="F853" s="10" t="s">
        <v>16831</v>
      </c>
      <c r="G853" s="10" t="s">
        <v>15829</v>
      </c>
      <c r="H853" s="10" t="s">
        <v>16888</v>
      </c>
      <c r="I853" s="10" t="s">
        <v>55</v>
      </c>
      <c r="J853" s="10" t="s">
        <v>15596</v>
      </c>
      <c r="K853" s="10" t="s">
        <v>16889</v>
      </c>
      <c r="L853" s="10" t="s">
        <v>42</v>
      </c>
    </row>
    <row r="854" ht="15.75" customHeight="1">
      <c r="A854" s="64">
        <v>45456.0</v>
      </c>
      <c r="B854" s="55" t="str">
        <f>HYPERLINK("https://jobright.ai/jobs/info/666b6769df4302fa07d326b2?utm_campaign=1051&amp;utm_source=sheet", "Apply")</f>
        <v>Apply</v>
      </c>
      <c r="C854" s="10" t="s">
        <v>17009</v>
      </c>
      <c r="D854" s="56" t="s">
        <v>16830</v>
      </c>
      <c r="E854" s="10" t="s">
        <v>79</v>
      </c>
      <c r="F854" s="10" t="s">
        <v>16831</v>
      </c>
      <c r="G854" s="10" t="s">
        <v>15829</v>
      </c>
      <c r="H854" s="10" t="s">
        <v>152</v>
      </c>
      <c r="I854" s="10" t="s">
        <v>55</v>
      </c>
      <c r="J854" s="10" t="s">
        <v>15596</v>
      </c>
      <c r="K854" s="10" t="s">
        <v>16898</v>
      </c>
      <c r="L854" s="10" t="s">
        <v>42</v>
      </c>
    </row>
    <row r="855" ht="15.75" customHeight="1">
      <c r="A855" s="64">
        <v>45455.0</v>
      </c>
      <c r="B855" s="55" t="str">
        <f>HYPERLINK("https://jobright.ai/jobs/info/666a3f8ee10e68e168ef2f60?utm_campaign=1051&amp;utm_source=sheet", "Apply")</f>
        <v>Apply</v>
      </c>
      <c r="C855" s="10" t="s">
        <v>17010</v>
      </c>
      <c r="D855" s="56" t="s">
        <v>17011</v>
      </c>
      <c r="E855" s="10" t="s">
        <v>45</v>
      </c>
      <c r="F855" s="10" t="s">
        <v>9784</v>
      </c>
      <c r="G855" s="10" t="s">
        <v>100</v>
      </c>
      <c r="H855" s="10" t="s">
        <v>13002</v>
      </c>
      <c r="I855" s="10" t="s">
        <v>55</v>
      </c>
      <c r="K855" s="10" t="s">
        <v>17012</v>
      </c>
      <c r="L855" s="10" t="s">
        <v>42</v>
      </c>
    </row>
    <row r="856" ht="15.75" customHeight="1">
      <c r="A856" s="64">
        <v>45455.0</v>
      </c>
      <c r="B856" s="55" t="str">
        <f>HYPERLINK("https://jobright.ai/jobs/info/666a03ff0561b1d069fccf57?utm_campaign=1051&amp;utm_source=sheet", "Apply")</f>
        <v>Apply</v>
      </c>
      <c r="C856" s="10" t="s">
        <v>15918</v>
      </c>
      <c r="D856" s="56" t="s">
        <v>17013</v>
      </c>
      <c r="E856" s="10" t="s">
        <v>45</v>
      </c>
      <c r="F856" s="10" t="s">
        <v>259</v>
      </c>
      <c r="G856" s="10" t="s">
        <v>15814</v>
      </c>
      <c r="H856" s="10" t="s">
        <v>365</v>
      </c>
      <c r="I856" s="10" t="s">
        <v>48</v>
      </c>
      <c r="K856" s="10" t="s">
        <v>17014</v>
      </c>
      <c r="L856" s="10" t="s">
        <v>42</v>
      </c>
    </row>
    <row r="857" ht="15.75" customHeight="1">
      <c r="A857" s="64">
        <v>45454.0</v>
      </c>
      <c r="B857" s="55" t="str">
        <f>HYPERLINK("https://jobright.ai/jobs/info/6669382382917d36f1d90898?utm_campaign=1051&amp;utm_source=sheet", "Apply")</f>
        <v>Apply</v>
      </c>
      <c r="C857" s="10" t="s">
        <v>16890</v>
      </c>
      <c r="D857" s="56" t="s">
        <v>16830</v>
      </c>
      <c r="E857" s="10" t="s">
        <v>79</v>
      </c>
      <c r="F857" s="10" t="s">
        <v>16831</v>
      </c>
      <c r="G857" s="10" t="s">
        <v>15829</v>
      </c>
      <c r="H857" s="10" t="s">
        <v>152</v>
      </c>
      <c r="I857" s="10" t="s">
        <v>55</v>
      </c>
      <c r="J857" s="10" t="s">
        <v>11147</v>
      </c>
      <c r="K857" s="10" t="s">
        <v>16832</v>
      </c>
      <c r="L857" s="10" t="s">
        <v>42</v>
      </c>
    </row>
    <row r="858" ht="15.75" customHeight="1">
      <c r="A858" s="64">
        <v>45454.0</v>
      </c>
      <c r="B858" s="55" t="str">
        <f>HYPERLINK("https://jobright.ai/jobs/info/6669291934ef41b1700c6997?utm_campaign=1051&amp;utm_source=sheet", "Apply")</f>
        <v>Apply</v>
      </c>
      <c r="C858" s="10" t="s">
        <v>17015</v>
      </c>
      <c r="D858" s="56" t="s">
        <v>16830</v>
      </c>
      <c r="E858" s="10" t="s">
        <v>79</v>
      </c>
      <c r="F858" s="10" t="s">
        <v>16831</v>
      </c>
      <c r="G858" s="10" t="s">
        <v>15829</v>
      </c>
      <c r="H858" s="10" t="s">
        <v>958</v>
      </c>
      <c r="I858" s="10" t="s">
        <v>55</v>
      </c>
      <c r="J858" s="10" t="s">
        <v>16894</v>
      </c>
      <c r="K858" s="10" t="s">
        <v>16898</v>
      </c>
      <c r="L858" s="10" t="s">
        <v>42</v>
      </c>
    </row>
    <row r="859" ht="15.75" customHeight="1">
      <c r="A859" s="64">
        <v>45454.0</v>
      </c>
      <c r="B859" s="55" t="str">
        <f>HYPERLINK("https://jobright.ai/jobs/info/666930d432b5c01ae0397746?utm_campaign=1051&amp;utm_source=sheet", "Apply")</f>
        <v>Apply</v>
      </c>
      <c r="C859" s="10" t="s">
        <v>17016</v>
      </c>
      <c r="D859" s="56" t="s">
        <v>16830</v>
      </c>
      <c r="E859" s="10" t="s">
        <v>79</v>
      </c>
      <c r="F859" s="10" t="s">
        <v>16831</v>
      </c>
      <c r="G859" s="10" t="s">
        <v>15829</v>
      </c>
      <c r="H859" s="10" t="s">
        <v>4279</v>
      </c>
      <c r="I859" s="10" t="s">
        <v>55</v>
      </c>
      <c r="J859" s="10" t="s">
        <v>16894</v>
      </c>
      <c r="K859" s="10" t="s">
        <v>16898</v>
      </c>
      <c r="L859" s="10" t="s">
        <v>42</v>
      </c>
    </row>
    <row r="860" ht="15.75" customHeight="1">
      <c r="A860" s="64">
        <v>45454.0</v>
      </c>
      <c r="B860" s="55" t="str">
        <f>HYPERLINK("https://jobright.ai/jobs/info/6669290f34ef41b1700c6955?utm_campaign=1051&amp;utm_source=sheet", "Apply")</f>
        <v>Apply</v>
      </c>
      <c r="C860" s="10" t="s">
        <v>17017</v>
      </c>
      <c r="D860" s="56" t="s">
        <v>16830</v>
      </c>
      <c r="E860" s="10" t="s">
        <v>79</v>
      </c>
      <c r="F860" s="10" t="s">
        <v>16831</v>
      </c>
      <c r="G860" s="10" t="s">
        <v>15829</v>
      </c>
      <c r="H860" s="10" t="s">
        <v>4279</v>
      </c>
      <c r="I860" s="10" t="s">
        <v>55</v>
      </c>
      <c r="J860" s="10" t="s">
        <v>16894</v>
      </c>
      <c r="K860" s="10" t="s">
        <v>16898</v>
      </c>
      <c r="L860" s="10" t="s">
        <v>42</v>
      </c>
    </row>
    <row r="861" ht="15.75" customHeight="1">
      <c r="A861" s="64">
        <v>45454.0</v>
      </c>
      <c r="B861" s="55" t="str">
        <f>HYPERLINK("https://jobright.ai/jobs/info/6669293d34ef41b1700c6bec?utm_campaign=1051&amp;utm_source=sheet", "Apply")</f>
        <v>Apply</v>
      </c>
      <c r="C861" s="10" t="s">
        <v>17018</v>
      </c>
      <c r="D861" s="56" t="s">
        <v>16830</v>
      </c>
      <c r="E861" s="10" t="s">
        <v>79</v>
      </c>
      <c r="F861" s="10" t="s">
        <v>16831</v>
      </c>
      <c r="G861" s="10" t="s">
        <v>15829</v>
      </c>
      <c r="H861" s="10" t="s">
        <v>958</v>
      </c>
      <c r="I861" s="10" t="s">
        <v>55</v>
      </c>
      <c r="J861" s="10" t="s">
        <v>16894</v>
      </c>
      <c r="K861" s="10" t="s">
        <v>17019</v>
      </c>
      <c r="L861" s="10" t="s">
        <v>42</v>
      </c>
    </row>
    <row r="862" ht="15.75" customHeight="1">
      <c r="A862" s="64">
        <v>45454.0</v>
      </c>
      <c r="B862" s="55" t="str">
        <f>HYPERLINK("https://jobright.ai/jobs/info/6668c96377460a6c8f89ae7a?utm_campaign=1051&amp;utm_source=sheet", "Apply")</f>
        <v>Apply</v>
      </c>
      <c r="C862" s="10" t="s">
        <v>17020</v>
      </c>
      <c r="D862" s="56" t="s">
        <v>16830</v>
      </c>
      <c r="E862" s="10" t="s">
        <v>79</v>
      </c>
      <c r="F862" s="10" t="s">
        <v>16831</v>
      </c>
      <c r="G862" s="10" t="s">
        <v>15829</v>
      </c>
      <c r="H862" s="10" t="s">
        <v>10432</v>
      </c>
      <c r="I862" s="10" t="s">
        <v>55</v>
      </c>
      <c r="J862" s="10" t="s">
        <v>16894</v>
      </c>
      <c r="K862" s="10" t="s">
        <v>16898</v>
      </c>
      <c r="L862" s="10" t="s">
        <v>42</v>
      </c>
    </row>
    <row r="863" ht="15.75" customHeight="1">
      <c r="A863" s="64">
        <v>45454.0</v>
      </c>
      <c r="B863" s="55" t="str">
        <f>HYPERLINK("https://jobright.ai/jobs/info/6668bb4b85b2e37272755b8f?utm_campaign=1051&amp;utm_source=sheet", "Apply")</f>
        <v>Apply</v>
      </c>
      <c r="C863" s="10" t="s">
        <v>17021</v>
      </c>
      <c r="D863" s="56" t="s">
        <v>16830</v>
      </c>
      <c r="E863" s="10" t="s">
        <v>79</v>
      </c>
      <c r="F863" s="10" t="s">
        <v>16831</v>
      </c>
      <c r="G863" s="10" t="s">
        <v>15829</v>
      </c>
      <c r="H863" s="10" t="s">
        <v>16744</v>
      </c>
      <c r="I863" s="10" t="s">
        <v>55</v>
      </c>
      <c r="J863" s="10" t="s">
        <v>16894</v>
      </c>
      <c r="K863" s="10" t="s">
        <v>16898</v>
      </c>
      <c r="L863" s="10" t="s">
        <v>42</v>
      </c>
    </row>
    <row r="864" ht="15.75" customHeight="1">
      <c r="A864" s="64">
        <v>45454.0</v>
      </c>
      <c r="B864" s="55" t="str">
        <f>HYPERLINK("https://jobright.ai/jobs/info/6668bb4b85b2e37272755b97?utm_campaign=1051&amp;utm_source=sheet", "Apply")</f>
        <v>Apply</v>
      </c>
      <c r="C864" s="10" t="s">
        <v>17022</v>
      </c>
      <c r="D864" s="56" t="s">
        <v>16830</v>
      </c>
      <c r="E864" s="10" t="s">
        <v>79</v>
      </c>
      <c r="F864" s="10" t="s">
        <v>16831</v>
      </c>
      <c r="G864" s="10" t="s">
        <v>15829</v>
      </c>
      <c r="H864" s="10" t="s">
        <v>17023</v>
      </c>
      <c r="I864" s="10" t="s">
        <v>55</v>
      </c>
      <c r="J864" s="10" t="s">
        <v>16894</v>
      </c>
      <c r="K864" s="10" t="s">
        <v>16832</v>
      </c>
      <c r="L864" s="10" t="s">
        <v>42</v>
      </c>
    </row>
    <row r="865" ht="15.75" customHeight="1">
      <c r="A865" s="64">
        <v>45454.0</v>
      </c>
      <c r="B865" s="55" t="str">
        <f>HYPERLINK("https://jobright.ai/jobs/info/6668bb4b85b2e37272755bdb?utm_campaign=1051&amp;utm_source=sheet", "Apply")</f>
        <v>Apply</v>
      </c>
      <c r="C865" s="10" t="s">
        <v>16895</v>
      </c>
      <c r="D865" s="56" t="s">
        <v>16830</v>
      </c>
      <c r="E865" s="10" t="s">
        <v>79</v>
      </c>
      <c r="F865" s="10" t="s">
        <v>16831</v>
      </c>
      <c r="G865" s="10" t="s">
        <v>15829</v>
      </c>
      <c r="H865" s="10" t="s">
        <v>16744</v>
      </c>
      <c r="I865" s="10" t="s">
        <v>55</v>
      </c>
      <c r="J865" s="10" t="s">
        <v>16894</v>
      </c>
      <c r="K865" s="10" t="s">
        <v>16896</v>
      </c>
      <c r="L865" s="10" t="s">
        <v>42</v>
      </c>
    </row>
    <row r="866" ht="15.75" customHeight="1">
      <c r="A866" s="64">
        <v>45454.0</v>
      </c>
      <c r="B866" s="55" t="str">
        <f>HYPERLINK("https://jobright.ai/jobs/info/6668aff8b978427ed77c15e2?utm_campaign=1051&amp;utm_source=sheet", "Apply")</f>
        <v>Apply</v>
      </c>
      <c r="C866" s="10" t="s">
        <v>16891</v>
      </c>
      <c r="D866" s="56" t="s">
        <v>16830</v>
      </c>
      <c r="E866" s="10" t="s">
        <v>79</v>
      </c>
      <c r="F866" s="10" t="s">
        <v>16831</v>
      </c>
      <c r="G866" s="10" t="s">
        <v>15829</v>
      </c>
      <c r="H866" s="10" t="s">
        <v>16744</v>
      </c>
      <c r="I866" s="10" t="s">
        <v>55</v>
      </c>
      <c r="J866" s="10" t="s">
        <v>16892</v>
      </c>
      <c r="K866" s="10" t="s">
        <v>16832</v>
      </c>
      <c r="L866" s="10" t="s">
        <v>42</v>
      </c>
    </row>
    <row r="867" ht="15.75" customHeight="1">
      <c r="A867" s="64">
        <v>45454.0</v>
      </c>
      <c r="B867" s="55" t="str">
        <f>HYPERLINK("https://jobright.ai/jobs/info/6668cbc477460a6c8f89b76a?utm_campaign=1051&amp;utm_source=sheet", "Apply")</f>
        <v>Apply</v>
      </c>
      <c r="C867" s="10" t="s">
        <v>16893</v>
      </c>
      <c r="D867" s="56" t="s">
        <v>16830</v>
      </c>
      <c r="E867" s="10" t="s">
        <v>79</v>
      </c>
      <c r="F867" s="10" t="s">
        <v>16831</v>
      </c>
      <c r="G867" s="10" t="s">
        <v>15829</v>
      </c>
      <c r="H867" s="10" t="s">
        <v>16744</v>
      </c>
      <c r="I867" s="10" t="s">
        <v>55</v>
      </c>
      <c r="J867" s="10" t="s">
        <v>16894</v>
      </c>
      <c r="K867" s="10" t="s">
        <v>16832</v>
      </c>
      <c r="L867" s="10" t="s">
        <v>42</v>
      </c>
    </row>
    <row r="868" ht="15.75" customHeight="1">
      <c r="A868" s="64">
        <v>45454.0</v>
      </c>
      <c r="B868" s="55" t="str">
        <f>HYPERLINK("https://jobright.ai/jobs/info/6668bb8985b2e37272755c4c?utm_campaign=1051&amp;utm_source=sheet", "Apply")</f>
        <v>Apply</v>
      </c>
      <c r="C868" s="10" t="s">
        <v>17024</v>
      </c>
      <c r="D868" s="56" t="s">
        <v>16830</v>
      </c>
      <c r="E868" s="10" t="s">
        <v>79</v>
      </c>
      <c r="F868" s="10" t="s">
        <v>16831</v>
      </c>
      <c r="G868" s="10" t="s">
        <v>15829</v>
      </c>
      <c r="H868" s="10" t="s">
        <v>16744</v>
      </c>
      <c r="I868" s="10" t="s">
        <v>55</v>
      </c>
      <c r="J868" s="10" t="s">
        <v>16894</v>
      </c>
      <c r="K868" s="10" t="s">
        <v>17025</v>
      </c>
      <c r="L868" s="10" t="s">
        <v>42</v>
      </c>
    </row>
    <row r="869" ht="15.75" customHeight="1">
      <c r="A869" s="64">
        <v>45454.0</v>
      </c>
      <c r="B869" s="55" t="str">
        <f>HYPERLINK("https://jobright.ai/jobs/info/6668aff8b978427ed77c15ef?utm_campaign=1051&amp;utm_source=sheet", "Apply")</f>
        <v>Apply</v>
      </c>
      <c r="C869" s="10" t="s">
        <v>17026</v>
      </c>
      <c r="D869" s="56" t="s">
        <v>16830</v>
      </c>
      <c r="E869" s="10" t="s">
        <v>79</v>
      </c>
      <c r="F869" s="10" t="s">
        <v>16831</v>
      </c>
      <c r="G869" s="10" t="s">
        <v>15829</v>
      </c>
      <c r="H869" s="10" t="s">
        <v>16744</v>
      </c>
      <c r="I869" s="10" t="s">
        <v>55</v>
      </c>
      <c r="J869" s="10" t="s">
        <v>16894</v>
      </c>
      <c r="K869" s="10" t="s">
        <v>17027</v>
      </c>
      <c r="L869" s="10" t="s">
        <v>42</v>
      </c>
    </row>
    <row r="870" ht="15.75" customHeight="1">
      <c r="A870" s="64">
        <v>45454.0</v>
      </c>
      <c r="B870" s="55" t="str">
        <f>HYPERLINK("https://jobright.ai/jobs/info/6668b02fb978427ed77c1697?utm_campaign=1051&amp;utm_source=sheet", "Apply")</f>
        <v>Apply</v>
      </c>
      <c r="C870" s="10" t="s">
        <v>17026</v>
      </c>
      <c r="D870" s="56" t="s">
        <v>16830</v>
      </c>
      <c r="E870" s="10" t="s">
        <v>79</v>
      </c>
      <c r="F870" s="10" t="s">
        <v>16831</v>
      </c>
      <c r="G870" s="10" t="s">
        <v>15829</v>
      </c>
      <c r="H870" s="10" t="s">
        <v>16744</v>
      </c>
      <c r="I870" s="10" t="s">
        <v>55</v>
      </c>
      <c r="J870" s="10" t="s">
        <v>16930</v>
      </c>
      <c r="K870" s="10" t="s">
        <v>17028</v>
      </c>
      <c r="L870" s="10" t="s">
        <v>42</v>
      </c>
    </row>
    <row r="871" ht="15.75" customHeight="1">
      <c r="A871" s="64">
        <v>45454.0</v>
      </c>
      <c r="B871" s="55" t="str">
        <f>HYPERLINK("https://jobright.ai/jobs/info/667accb7ed1008d97a68647b?utm_campaign=1051&amp;utm_source=sheet", "Apply")</f>
        <v>Apply</v>
      </c>
      <c r="C871" s="10" t="s">
        <v>17029</v>
      </c>
      <c r="D871" s="56" t="s">
        <v>10126</v>
      </c>
      <c r="E871" s="10">
        <v>276.0</v>
      </c>
      <c r="G871" s="10" t="s">
        <v>15829</v>
      </c>
      <c r="H871" s="10" t="s">
        <v>578</v>
      </c>
      <c r="I871" s="10" t="s">
        <v>55</v>
      </c>
      <c r="J871" s="10" t="s">
        <v>1409</v>
      </c>
      <c r="K871" s="10" t="s">
        <v>15900</v>
      </c>
      <c r="L871" s="10" t="s">
        <v>42</v>
      </c>
    </row>
    <row r="872" ht="15.75" customHeight="1">
      <c r="A872" s="64">
        <v>45454.0</v>
      </c>
      <c r="B872" s="55" t="str">
        <f>HYPERLINK("https://jobright.ai/jobs/info/667283168781854cc12ee9d8?utm_campaign=1051&amp;utm_source=sheet", "Apply")</f>
        <v>Apply</v>
      </c>
      <c r="C872" s="10" t="s">
        <v>16983</v>
      </c>
      <c r="D872" s="56" t="s">
        <v>15335</v>
      </c>
      <c r="E872" s="10" t="s">
        <v>249</v>
      </c>
      <c r="F872" s="10" t="s">
        <v>15336</v>
      </c>
      <c r="G872" s="10" t="s">
        <v>15829</v>
      </c>
      <c r="H872" s="10" t="s">
        <v>15337</v>
      </c>
      <c r="I872" s="10" t="s">
        <v>55</v>
      </c>
      <c r="K872" s="10" t="s">
        <v>16984</v>
      </c>
      <c r="L872" s="10" t="s">
        <v>42</v>
      </c>
    </row>
    <row r="873" ht="15.75" customHeight="1">
      <c r="A873" s="64">
        <v>45454.0</v>
      </c>
      <c r="B873" s="55" t="str">
        <f>HYPERLINK("https://jobright.ai/jobs/info/667283758781854cc12eee32?utm_campaign=1051&amp;utm_source=sheet", "Apply")</f>
        <v>Apply</v>
      </c>
      <c r="C873" s="10" t="s">
        <v>16981</v>
      </c>
      <c r="D873" s="56" t="s">
        <v>15335</v>
      </c>
      <c r="E873" s="10" t="s">
        <v>249</v>
      </c>
      <c r="F873" s="10" t="s">
        <v>15336</v>
      </c>
      <c r="G873" s="10" t="s">
        <v>100</v>
      </c>
      <c r="H873" s="10" t="s">
        <v>15337</v>
      </c>
      <c r="I873" s="10" t="s">
        <v>55</v>
      </c>
      <c r="K873" s="10" t="s">
        <v>16982</v>
      </c>
      <c r="L873" s="10" t="s">
        <v>42</v>
      </c>
    </row>
    <row r="874" ht="15.75" customHeight="1">
      <c r="A874" s="64">
        <v>45453.0</v>
      </c>
      <c r="B874" s="55" t="str">
        <f>HYPERLINK("https://jobright.ai/jobs/info/66676cfeef40d0eb43eb6fd3?utm_campaign=1051&amp;utm_source=sheet", "Apply")</f>
        <v>Apply</v>
      </c>
      <c r="C874" s="10" t="s">
        <v>16182</v>
      </c>
      <c r="D874" s="56" t="s">
        <v>17030</v>
      </c>
      <c r="E874" s="10" t="s">
        <v>137</v>
      </c>
      <c r="F874" s="10" t="s">
        <v>17031</v>
      </c>
      <c r="G874" s="10" t="s">
        <v>15784</v>
      </c>
      <c r="H874" s="10" t="s">
        <v>965</v>
      </c>
      <c r="I874" s="10" t="s">
        <v>55</v>
      </c>
      <c r="K874" s="10" t="s">
        <v>17032</v>
      </c>
      <c r="L874" s="10" t="s">
        <v>42</v>
      </c>
    </row>
    <row r="875" ht="15.75" customHeight="1">
      <c r="A875" s="64">
        <v>45453.0</v>
      </c>
      <c r="B875" s="55" t="str">
        <f>HYPERLINK("https://jobright.ai/jobs/info/66672c7cb5e2e46e1c4ff716?utm_campaign=1051&amp;utm_source=sheet", "Apply")</f>
        <v>Apply</v>
      </c>
      <c r="C875" s="10" t="s">
        <v>16646</v>
      </c>
      <c r="D875" s="56" t="s">
        <v>9821</v>
      </c>
      <c r="E875" s="10" t="s">
        <v>45</v>
      </c>
      <c r="F875" s="10" t="s">
        <v>3594</v>
      </c>
      <c r="G875" s="10" t="s">
        <v>100</v>
      </c>
      <c r="H875" s="10" t="s">
        <v>7807</v>
      </c>
      <c r="I875" s="10" t="s">
        <v>55</v>
      </c>
      <c r="K875" s="10" t="s">
        <v>16594</v>
      </c>
      <c r="L875" s="10" t="s">
        <v>42</v>
      </c>
    </row>
    <row r="876" ht="15.75" customHeight="1">
      <c r="A876" s="64">
        <v>45453.0</v>
      </c>
      <c r="B876" s="55" t="str">
        <f>HYPERLINK("https://jobright.ai/jobs/info/66677753414262a4f380fd10?utm_campaign=1051&amp;utm_source=sheet", "Apply")</f>
        <v>Apply</v>
      </c>
      <c r="C876" s="10" t="s">
        <v>17033</v>
      </c>
      <c r="D876" s="56" t="s">
        <v>15387</v>
      </c>
      <c r="E876" s="10" t="s">
        <v>209</v>
      </c>
      <c r="F876" s="10" t="s">
        <v>15388</v>
      </c>
      <c r="G876" s="10" t="s">
        <v>100</v>
      </c>
      <c r="H876" s="10" t="s">
        <v>935</v>
      </c>
      <c r="I876" s="10" t="s">
        <v>55</v>
      </c>
      <c r="J876" s="10" t="s">
        <v>17034</v>
      </c>
      <c r="K876" s="10" t="s">
        <v>17035</v>
      </c>
      <c r="L876" s="10" t="s">
        <v>42</v>
      </c>
    </row>
    <row r="877" ht="15.75" customHeight="1">
      <c r="A877" s="64">
        <v>45451.0</v>
      </c>
      <c r="B877" s="55" t="str">
        <f>HYPERLINK("https://jobright.ai/jobs/info/6677cc9c74ec1a95a89ae49e?utm_campaign=1051&amp;utm_source=sheet", "Apply")</f>
        <v>Apply</v>
      </c>
      <c r="C877" s="10" t="s">
        <v>17036</v>
      </c>
      <c r="D877" s="56" t="s">
        <v>17037</v>
      </c>
      <c r="E877" s="10" t="s">
        <v>71</v>
      </c>
      <c r="F877" s="10" t="s">
        <v>1577</v>
      </c>
      <c r="G877" s="10" t="s">
        <v>100</v>
      </c>
      <c r="H877" s="10" t="s">
        <v>609</v>
      </c>
      <c r="I877" s="10" t="s">
        <v>55</v>
      </c>
      <c r="K877" s="10" t="s">
        <v>17038</v>
      </c>
      <c r="L877" s="10" t="s">
        <v>42</v>
      </c>
    </row>
    <row r="878" ht="15.75" customHeight="1">
      <c r="A878" s="64">
        <v>45451.0</v>
      </c>
      <c r="B878" s="55" t="str">
        <f>HYPERLINK("https://jobright.ai/jobs/info/6677d27997271e26801e2de8?utm_campaign=1051&amp;utm_source=sheet", "Apply")</f>
        <v>Apply</v>
      </c>
      <c r="C878" s="10" t="s">
        <v>16182</v>
      </c>
      <c r="D878" s="56" t="s">
        <v>17039</v>
      </c>
      <c r="E878" s="10" t="s">
        <v>137</v>
      </c>
      <c r="F878" s="10" t="s">
        <v>13049</v>
      </c>
      <c r="G878" s="10" t="s">
        <v>15793</v>
      </c>
      <c r="H878" s="10" t="s">
        <v>96</v>
      </c>
      <c r="I878" s="10" t="s">
        <v>48</v>
      </c>
      <c r="K878" s="10" t="s">
        <v>17040</v>
      </c>
      <c r="L878" s="10" t="s">
        <v>42</v>
      </c>
    </row>
    <row r="879" ht="15.75" customHeight="1">
      <c r="A879" s="64">
        <v>45451.0</v>
      </c>
      <c r="B879" s="55" t="str">
        <f>HYPERLINK("https://jobright.ai/jobs/info/6677d71d5793f82273cb3795?utm_campaign=1051&amp;utm_source=sheet", "Apply")</f>
        <v>Apply</v>
      </c>
      <c r="C879" s="10" t="s">
        <v>17041</v>
      </c>
      <c r="D879" s="56" t="s">
        <v>17042</v>
      </c>
      <c r="E879" s="10" t="s">
        <v>45</v>
      </c>
      <c r="F879" s="10" t="s">
        <v>12539</v>
      </c>
      <c r="G879" s="10" t="s">
        <v>15829</v>
      </c>
      <c r="H879" s="10" t="s">
        <v>17043</v>
      </c>
      <c r="I879" s="10" t="s">
        <v>55</v>
      </c>
      <c r="K879" s="10" t="s">
        <v>17044</v>
      </c>
      <c r="L879" s="10" t="s">
        <v>42</v>
      </c>
    </row>
    <row r="880" ht="15.75" customHeight="1">
      <c r="A880" s="64">
        <v>45451.0</v>
      </c>
      <c r="B880" s="55" t="str">
        <f>HYPERLINK("https://jobright.ai/jobs/info/666d736bc1167105cf58f258?utm_campaign=1051&amp;utm_source=sheet", "Apply")</f>
        <v>Apply</v>
      </c>
      <c r="C880" s="10" t="s">
        <v>17045</v>
      </c>
      <c r="D880" s="56" t="s">
        <v>12840</v>
      </c>
      <c r="E880" s="10" t="s">
        <v>45</v>
      </c>
      <c r="F880" s="10" t="s">
        <v>665</v>
      </c>
      <c r="G880" s="10" t="s">
        <v>15793</v>
      </c>
      <c r="H880" s="10" t="s">
        <v>17046</v>
      </c>
      <c r="I880" s="10" t="s">
        <v>55</v>
      </c>
      <c r="K880" s="10" t="s">
        <v>17047</v>
      </c>
      <c r="L880" s="10" t="s">
        <v>42</v>
      </c>
    </row>
    <row r="881" ht="15.75" customHeight="1">
      <c r="A881" s="64">
        <v>45451.0</v>
      </c>
      <c r="B881" s="55" t="str">
        <f>HYPERLINK("https://jobright.ai/jobs/info/6664432962213da165ff41f7?utm_campaign=1051&amp;utm_source=sheet", "Apply")</f>
        <v>Apply</v>
      </c>
      <c r="C881" s="10" t="s">
        <v>17048</v>
      </c>
      <c r="D881" s="56" t="s">
        <v>16830</v>
      </c>
      <c r="E881" s="10" t="s">
        <v>79</v>
      </c>
      <c r="F881" s="10" t="s">
        <v>16831</v>
      </c>
      <c r="G881" s="10" t="s">
        <v>15829</v>
      </c>
      <c r="H881" s="10" t="s">
        <v>131</v>
      </c>
      <c r="I881" s="10" t="s">
        <v>55</v>
      </c>
      <c r="J881" s="10" t="s">
        <v>16894</v>
      </c>
      <c r="K881" s="10" t="s">
        <v>16832</v>
      </c>
      <c r="L881" s="10" t="s">
        <v>42</v>
      </c>
    </row>
    <row r="882" ht="15.75" customHeight="1">
      <c r="A882" s="64">
        <v>45450.0</v>
      </c>
      <c r="B882" s="55" t="str">
        <f>HYPERLINK("https://jobright.ai/jobs/info/666446b30f5523d171616021?utm_campaign=1051&amp;utm_source=sheet", "Apply")</f>
        <v>Apply</v>
      </c>
      <c r="C882" s="10" t="s">
        <v>17049</v>
      </c>
      <c r="D882" s="56" t="s">
        <v>16830</v>
      </c>
      <c r="E882" s="10" t="s">
        <v>79</v>
      </c>
      <c r="F882" s="10" t="s">
        <v>16831</v>
      </c>
      <c r="G882" s="10" t="s">
        <v>15829</v>
      </c>
      <c r="H882" s="10" t="s">
        <v>131</v>
      </c>
      <c r="I882" s="10" t="s">
        <v>55</v>
      </c>
      <c r="J882" s="10" t="s">
        <v>16894</v>
      </c>
      <c r="K882" s="10" t="s">
        <v>16896</v>
      </c>
      <c r="L882" s="10" t="s">
        <v>42</v>
      </c>
    </row>
    <row r="883" ht="15.75" customHeight="1">
      <c r="A883" s="64">
        <v>45450.0</v>
      </c>
      <c r="B883" s="55" t="str">
        <f>HYPERLINK("https://jobright.ai/jobs/info/666342df06fc88ab0d0af917?utm_campaign=1051&amp;utm_source=sheet", "Apply")</f>
        <v>Apply</v>
      </c>
      <c r="C883" s="10" t="s">
        <v>17050</v>
      </c>
      <c r="D883" s="56" t="s">
        <v>17051</v>
      </c>
      <c r="E883" s="10" t="s">
        <v>65</v>
      </c>
      <c r="F883" s="10" t="s">
        <v>17052</v>
      </c>
      <c r="G883" s="10" t="s">
        <v>15793</v>
      </c>
      <c r="H883" s="10" t="s">
        <v>96</v>
      </c>
      <c r="I883" s="10" t="s">
        <v>48</v>
      </c>
      <c r="J883" s="10" t="s">
        <v>17053</v>
      </c>
      <c r="K883" s="10" t="s">
        <v>17054</v>
      </c>
      <c r="L883" s="10" t="s">
        <v>42</v>
      </c>
    </row>
    <row r="884" ht="15.75" customHeight="1">
      <c r="A884" s="64">
        <v>45450.0</v>
      </c>
      <c r="B884" s="55" t="str">
        <f>HYPERLINK("https://jobright.ai/jobs/info/66759397bad9224db7bb753f?utm_campaign=1051&amp;utm_source=sheet", "Apply")</f>
        <v>Apply</v>
      </c>
      <c r="C884" s="10" t="s">
        <v>17055</v>
      </c>
      <c r="D884" s="56" t="s">
        <v>13758</v>
      </c>
      <c r="E884" s="10" t="s">
        <v>137</v>
      </c>
      <c r="F884" s="10" t="s">
        <v>13759</v>
      </c>
      <c r="G884" s="10" t="s">
        <v>100</v>
      </c>
      <c r="H884" s="10" t="s">
        <v>170</v>
      </c>
      <c r="I884" s="10" t="s">
        <v>55</v>
      </c>
      <c r="K884" s="10" t="s">
        <v>13760</v>
      </c>
      <c r="L884" s="10" t="s">
        <v>42</v>
      </c>
    </row>
    <row r="885" ht="15.75" customHeight="1">
      <c r="A885" s="64">
        <v>45450.0</v>
      </c>
      <c r="B885" s="55" t="str">
        <f>HYPERLINK("https://jobright.ai/jobs/info/6675a7756fb7d4bb72dd734b?utm_campaign=1051&amp;utm_source=sheet", "Apply")</f>
        <v>Apply</v>
      </c>
      <c r="C885" s="10" t="s">
        <v>15263</v>
      </c>
      <c r="D885" s="56" t="s">
        <v>17056</v>
      </c>
      <c r="E885" s="10">
        <v>2.0</v>
      </c>
      <c r="G885" s="10" t="s">
        <v>15784</v>
      </c>
      <c r="H885" s="10" t="s">
        <v>927</v>
      </c>
      <c r="I885" s="10" t="s">
        <v>55</v>
      </c>
      <c r="J885" s="10" t="s">
        <v>9198</v>
      </c>
      <c r="K885" s="10" t="s">
        <v>17057</v>
      </c>
      <c r="L885" s="10" t="s">
        <v>42</v>
      </c>
    </row>
    <row r="886" ht="15.75" customHeight="1">
      <c r="A886" s="64">
        <v>45450.0</v>
      </c>
      <c r="B886" s="55" t="str">
        <f>HYPERLINK("https://jobright.ai/jobs/info/66757d1618f8e42094329bc1?utm_campaign=1051&amp;utm_source=sheet", "Apply")</f>
        <v>Apply</v>
      </c>
      <c r="C886" s="10" t="s">
        <v>15263</v>
      </c>
      <c r="D886" s="56" t="s">
        <v>17056</v>
      </c>
      <c r="E886" s="10">
        <v>2.0</v>
      </c>
      <c r="G886" s="10" t="s">
        <v>15784</v>
      </c>
      <c r="H886" s="10" t="s">
        <v>832</v>
      </c>
      <c r="I886" s="10" t="s">
        <v>55</v>
      </c>
      <c r="J886" s="10" t="s">
        <v>9198</v>
      </c>
      <c r="K886" s="10" t="s">
        <v>17057</v>
      </c>
      <c r="L886" s="10" t="s">
        <v>42</v>
      </c>
    </row>
    <row r="887" ht="15.75" customHeight="1">
      <c r="A887" s="64">
        <v>45450.0</v>
      </c>
      <c r="B887" s="55" t="str">
        <f>HYPERLINK("https://jobright.ai/jobs/info/66629fec80c546db936f6c82?utm_campaign=1051&amp;utm_source=sheet", "Apply")</f>
        <v>Apply</v>
      </c>
      <c r="C887" s="10" t="s">
        <v>15294</v>
      </c>
      <c r="D887" s="56" t="s">
        <v>15295</v>
      </c>
      <c r="E887" s="10" t="s">
        <v>45</v>
      </c>
      <c r="F887" s="10" t="s">
        <v>15296</v>
      </c>
      <c r="G887" s="10" t="s">
        <v>15793</v>
      </c>
      <c r="H887" s="10" t="s">
        <v>965</v>
      </c>
      <c r="I887" s="10" t="s">
        <v>55</v>
      </c>
      <c r="K887" s="10" t="s">
        <v>17058</v>
      </c>
      <c r="L887" s="10" t="s">
        <v>42</v>
      </c>
    </row>
    <row r="888" ht="15.75" customHeight="1">
      <c r="A888" s="64">
        <v>45450.0</v>
      </c>
      <c r="B888" s="55" t="str">
        <f>HYPERLINK("https://jobright.ai/jobs/info/6662a00780c546db936f6e0e?utm_campaign=1051&amp;utm_source=sheet", "Apply")</f>
        <v>Apply</v>
      </c>
      <c r="C888" s="10" t="s">
        <v>17059</v>
      </c>
      <c r="D888" s="56" t="s">
        <v>16830</v>
      </c>
      <c r="E888" s="10" t="s">
        <v>79</v>
      </c>
      <c r="F888" s="10" t="s">
        <v>16831</v>
      </c>
      <c r="G888" s="10" t="s">
        <v>15829</v>
      </c>
      <c r="H888" s="10" t="s">
        <v>1978</v>
      </c>
      <c r="I888" s="10" t="s">
        <v>55</v>
      </c>
      <c r="J888" s="10" t="s">
        <v>16957</v>
      </c>
      <c r="K888" s="10" t="s">
        <v>16896</v>
      </c>
      <c r="L888" s="10" t="s">
        <v>42</v>
      </c>
    </row>
    <row r="889" ht="15.75" customHeight="1">
      <c r="A889" s="64">
        <v>45450.0</v>
      </c>
      <c r="B889" s="55" t="str">
        <f>HYPERLINK("https://jobright.ai/jobs/info/66629213d207c74779ac7166?utm_campaign=1051&amp;utm_source=sheet", "Apply")</f>
        <v>Apply</v>
      </c>
      <c r="C889" s="10" t="s">
        <v>17059</v>
      </c>
      <c r="D889" s="56" t="s">
        <v>16830</v>
      </c>
      <c r="E889" s="10" t="s">
        <v>79</v>
      </c>
      <c r="F889" s="10" t="s">
        <v>16831</v>
      </c>
      <c r="G889" s="10" t="s">
        <v>15829</v>
      </c>
      <c r="H889" s="10" t="s">
        <v>994</v>
      </c>
      <c r="I889" s="10" t="s">
        <v>55</v>
      </c>
      <c r="J889" s="10" t="s">
        <v>16957</v>
      </c>
      <c r="K889" s="10" t="s">
        <v>16896</v>
      </c>
      <c r="L889" s="10" t="s">
        <v>42</v>
      </c>
    </row>
    <row r="890" ht="15.75" customHeight="1">
      <c r="A890" s="64">
        <v>45450.0</v>
      </c>
      <c r="B890" s="55" t="str">
        <f>HYPERLINK("https://jobright.ai/jobs/info/6662a1c280c546db936f8d2b?utm_campaign=1051&amp;utm_source=sheet", "Apply")</f>
        <v>Apply</v>
      </c>
      <c r="C890" s="10" t="s">
        <v>17059</v>
      </c>
      <c r="D890" s="56" t="s">
        <v>16830</v>
      </c>
      <c r="E890" s="10" t="s">
        <v>79</v>
      </c>
      <c r="F890" s="10" t="s">
        <v>16831</v>
      </c>
      <c r="G890" s="10" t="s">
        <v>15829</v>
      </c>
      <c r="H890" s="10" t="s">
        <v>1978</v>
      </c>
      <c r="I890" s="10" t="s">
        <v>55</v>
      </c>
      <c r="J890" s="10" t="s">
        <v>16957</v>
      </c>
      <c r="K890" s="10" t="s">
        <v>17060</v>
      </c>
      <c r="L890" s="10" t="s">
        <v>42</v>
      </c>
    </row>
    <row r="891" ht="15.75" customHeight="1">
      <c r="A891" s="64">
        <v>45450.0</v>
      </c>
      <c r="B891" s="55" t="str">
        <f>HYPERLINK("https://jobright.ai/jobs/info/6667d0850e75e6484ca3f72c?utm_campaign=1051&amp;utm_source=sheet", "Apply")</f>
        <v>Apply</v>
      </c>
      <c r="C891" s="10" t="s">
        <v>17061</v>
      </c>
      <c r="D891" s="56" t="s">
        <v>17062</v>
      </c>
      <c r="E891" s="10" t="s">
        <v>45</v>
      </c>
      <c r="F891" s="10" t="s">
        <v>12539</v>
      </c>
      <c r="G891" s="10" t="s">
        <v>15829</v>
      </c>
      <c r="H891" s="10" t="s">
        <v>15422</v>
      </c>
      <c r="I891" s="10" t="s">
        <v>55</v>
      </c>
      <c r="K891" s="10" t="s">
        <v>17063</v>
      </c>
      <c r="L891" s="10" t="s">
        <v>42</v>
      </c>
    </row>
    <row r="892" ht="15.75" customHeight="1">
      <c r="A892" s="64">
        <v>45450.0</v>
      </c>
      <c r="B892" s="55" t="str">
        <f>HYPERLINK("https://jobright.ai/jobs/info/6667d1150e75e6484ca3f905?utm_campaign=1051&amp;utm_source=sheet", "Apply")</f>
        <v>Apply</v>
      </c>
      <c r="C892" s="10" t="s">
        <v>17064</v>
      </c>
      <c r="D892" s="56" t="s">
        <v>8600</v>
      </c>
      <c r="E892" s="10">
        <v>20845.0</v>
      </c>
      <c r="G892" s="10" t="s">
        <v>100</v>
      </c>
      <c r="H892" s="10" t="s">
        <v>8601</v>
      </c>
      <c r="I892" s="10" t="s">
        <v>55</v>
      </c>
      <c r="K892" s="10" t="s">
        <v>17065</v>
      </c>
      <c r="L892" s="10" t="s">
        <v>42</v>
      </c>
    </row>
    <row r="893" ht="15.75" customHeight="1">
      <c r="A893" s="64">
        <v>45450.0</v>
      </c>
      <c r="B893" s="55" t="str">
        <f>HYPERLINK("https://jobright.ai/jobs/info/6667d3f80e75e6484ca400dc?utm_campaign=1051&amp;utm_source=sheet", "Apply")</f>
        <v>Apply</v>
      </c>
      <c r="C893" s="10" t="s">
        <v>17066</v>
      </c>
      <c r="D893" s="56" t="s">
        <v>8600</v>
      </c>
      <c r="E893" s="10">
        <v>20845.0</v>
      </c>
      <c r="G893" s="10" t="s">
        <v>100</v>
      </c>
      <c r="H893" s="10" t="s">
        <v>8601</v>
      </c>
      <c r="I893" s="10" t="s">
        <v>55</v>
      </c>
      <c r="K893" s="10" t="s">
        <v>17067</v>
      </c>
      <c r="L893" s="10" t="s">
        <v>42</v>
      </c>
    </row>
    <row r="894" ht="15.75" customHeight="1">
      <c r="A894" s="64">
        <v>45449.0</v>
      </c>
      <c r="B894" s="55" t="str">
        <f>HYPERLINK("https://jobright.ai/jobs/info/6662a00780c546db936f6e33?utm_campaign=1051&amp;utm_source=sheet", "Apply")</f>
        <v>Apply</v>
      </c>
      <c r="C894" s="10" t="s">
        <v>17059</v>
      </c>
      <c r="D894" s="56" t="s">
        <v>16830</v>
      </c>
      <c r="E894" s="10" t="s">
        <v>79</v>
      </c>
      <c r="F894" s="10" t="s">
        <v>16831</v>
      </c>
      <c r="G894" s="10" t="s">
        <v>15829</v>
      </c>
      <c r="H894" s="10" t="s">
        <v>17068</v>
      </c>
      <c r="I894" s="10" t="s">
        <v>55</v>
      </c>
      <c r="J894" s="10" t="s">
        <v>16957</v>
      </c>
      <c r="K894" s="10" t="s">
        <v>16896</v>
      </c>
      <c r="L894" s="10" t="s">
        <v>42</v>
      </c>
    </row>
    <row r="895" ht="15.75" customHeight="1">
      <c r="A895" s="64">
        <v>45449.0</v>
      </c>
      <c r="B895" s="55" t="str">
        <f>HYPERLINK("https://jobright.ai/jobs/info/6662a00780c546db936f6e30?utm_campaign=1051&amp;utm_source=sheet", "Apply")</f>
        <v>Apply</v>
      </c>
      <c r="C895" s="10" t="s">
        <v>17059</v>
      </c>
      <c r="D895" s="56" t="s">
        <v>16830</v>
      </c>
      <c r="E895" s="10" t="s">
        <v>79</v>
      </c>
      <c r="F895" s="10" t="s">
        <v>16831</v>
      </c>
      <c r="G895" s="10" t="s">
        <v>15829</v>
      </c>
      <c r="H895" s="10" t="s">
        <v>994</v>
      </c>
      <c r="I895" s="10" t="s">
        <v>55</v>
      </c>
      <c r="J895" s="10" t="s">
        <v>16957</v>
      </c>
      <c r="K895" s="10" t="s">
        <v>16896</v>
      </c>
      <c r="L895" s="10" t="s">
        <v>42</v>
      </c>
    </row>
    <row r="896" ht="15.75" customHeight="1">
      <c r="A896" s="64">
        <v>45449.0</v>
      </c>
      <c r="B896" s="55" t="str">
        <f>HYPERLINK("https://jobright.ai/jobs/info/6662877ff8f866346ea77f44?utm_campaign=1051&amp;utm_source=sheet", "Apply")</f>
        <v>Apply</v>
      </c>
      <c r="C896" s="10" t="s">
        <v>17069</v>
      </c>
      <c r="D896" s="56" t="s">
        <v>16830</v>
      </c>
      <c r="E896" s="10" t="s">
        <v>79</v>
      </c>
      <c r="F896" s="10" t="s">
        <v>16831</v>
      </c>
      <c r="G896" s="10" t="s">
        <v>15829</v>
      </c>
      <c r="H896" s="10" t="s">
        <v>1978</v>
      </c>
      <c r="I896" s="10" t="s">
        <v>55</v>
      </c>
      <c r="J896" s="10" t="s">
        <v>16957</v>
      </c>
      <c r="K896" s="10" t="s">
        <v>16889</v>
      </c>
      <c r="L896" s="10" t="s">
        <v>42</v>
      </c>
    </row>
    <row r="897" ht="15.75" customHeight="1">
      <c r="A897" s="64">
        <v>45449.0</v>
      </c>
      <c r="B897" s="55" t="str">
        <f>HYPERLINK("https://jobright.ai/jobs/info/6662cf98ae275b277b809f3c?utm_campaign=1051&amp;utm_source=sheet", "Apply")</f>
        <v>Apply</v>
      </c>
      <c r="C897" s="10" t="s">
        <v>15263</v>
      </c>
      <c r="D897" s="56" t="s">
        <v>17070</v>
      </c>
      <c r="E897" s="10" t="s">
        <v>137</v>
      </c>
      <c r="F897" s="10" t="s">
        <v>627</v>
      </c>
      <c r="G897" s="10" t="s">
        <v>15814</v>
      </c>
      <c r="H897" s="10" t="s">
        <v>628</v>
      </c>
      <c r="I897" s="10" t="s">
        <v>55</v>
      </c>
      <c r="J897" s="10" t="s">
        <v>1409</v>
      </c>
      <c r="K897" s="10" t="s">
        <v>17071</v>
      </c>
      <c r="L897" s="10" t="s">
        <v>42</v>
      </c>
    </row>
    <row r="898" ht="15.75" customHeight="1">
      <c r="A898" s="64">
        <v>45449.0</v>
      </c>
      <c r="B898" s="55" t="str">
        <f>HYPERLINK("https://jobright.ai/jobs/info/66612139c81c859cb0d3dffe?utm_campaign=1051&amp;utm_source=sheet", "Apply")</f>
        <v>Apply</v>
      </c>
      <c r="C898" s="10" t="s">
        <v>17072</v>
      </c>
      <c r="D898" s="56" t="s">
        <v>16830</v>
      </c>
      <c r="E898" s="10" t="s">
        <v>79</v>
      </c>
      <c r="F898" s="10" t="s">
        <v>16831</v>
      </c>
      <c r="G898" s="10" t="s">
        <v>15829</v>
      </c>
      <c r="H898" s="10" t="s">
        <v>1978</v>
      </c>
      <c r="I898" s="10" t="s">
        <v>55</v>
      </c>
      <c r="J898" s="10" t="s">
        <v>9875</v>
      </c>
      <c r="K898" s="10" t="s">
        <v>16889</v>
      </c>
      <c r="L898" s="10" t="s">
        <v>42</v>
      </c>
    </row>
    <row r="899" ht="15.75" customHeight="1">
      <c r="A899" s="64">
        <v>45449.0</v>
      </c>
      <c r="B899" s="55" t="str">
        <f>HYPERLINK("https://jobright.ai/jobs/info/6667d6d70e75e6484ca408fc?utm_campaign=1051&amp;utm_source=sheet", "Apply")</f>
        <v>Apply</v>
      </c>
      <c r="C899" s="10" t="s">
        <v>17073</v>
      </c>
      <c r="D899" s="56" t="s">
        <v>17074</v>
      </c>
      <c r="E899" s="10">
        <v>4581.0</v>
      </c>
      <c r="G899" s="10" t="s">
        <v>15829</v>
      </c>
      <c r="H899" s="10" t="s">
        <v>17075</v>
      </c>
      <c r="I899" s="10" t="s">
        <v>55</v>
      </c>
      <c r="J899" s="10" t="s">
        <v>4496</v>
      </c>
      <c r="K899" s="10" t="s">
        <v>17076</v>
      </c>
      <c r="L899" s="10" t="s">
        <v>42</v>
      </c>
    </row>
    <row r="900" ht="15.75" customHeight="1">
      <c r="A900" s="64">
        <v>45448.0</v>
      </c>
      <c r="B900" s="55" t="str">
        <f>HYPERLINK("https://jobright.ai/jobs/info/66612139c81c859cb0d3dfdd?utm_campaign=1051&amp;utm_source=sheet", "Apply")</f>
        <v>Apply</v>
      </c>
      <c r="C900" s="10" t="s">
        <v>16938</v>
      </c>
      <c r="D900" s="56" t="s">
        <v>16830</v>
      </c>
      <c r="E900" s="10" t="s">
        <v>79</v>
      </c>
      <c r="F900" s="10" t="s">
        <v>16831</v>
      </c>
      <c r="G900" s="10" t="s">
        <v>15829</v>
      </c>
      <c r="H900" s="10" t="s">
        <v>777</v>
      </c>
      <c r="I900" s="10" t="s">
        <v>55</v>
      </c>
      <c r="J900" s="10" t="s">
        <v>9875</v>
      </c>
      <c r="K900" s="10" t="s">
        <v>16898</v>
      </c>
      <c r="L900" s="10" t="s">
        <v>42</v>
      </c>
    </row>
    <row r="901" ht="15.75" customHeight="1">
      <c r="A901" s="64">
        <v>45448.0</v>
      </c>
      <c r="B901" s="55" t="str">
        <f>HYPERLINK("https://jobright.ai/jobs/info/6660bd4d0c73ec61fae69e15?utm_campaign=1051&amp;utm_source=sheet", "Apply")</f>
        <v>Apply</v>
      </c>
      <c r="C901" s="10" t="s">
        <v>17077</v>
      </c>
      <c r="D901" s="56" t="s">
        <v>16830</v>
      </c>
      <c r="E901" s="10" t="s">
        <v>79</v>
      </c>
      <c r="F901" s="10" t="s">
        <v>16831</v>
      </c>
      <c r="G901" s="10" t="s">
        <v>15829</v>
      </c>
      <c r="H901" s="10" t="s">
        <v>16886</v>
      </c>
      <c r="I901" s="10" t="s">
        <v>55</v>
      </c>
      <c r="J901" s="10" t="s">
        <v>11147</v>
      </c>
      <c r="K901" s="10" t="s">
        <v>16832</v>
      </c>
      <c r="L901" s="10" t="s">
        <v>42</v>
      </c>
    </row>
    <row r="902" ht="15.75" customHeight="1">
      <c r="A902" s="64">
        <v>45448.0</v>
      </c>
      <c r="B902" s="55" t="str">
        <f>HYPERLINK("https://jobright.ai/jobs/info/6660b6791f72850676b8857d?utm_campaign=1051&amp;utm_source=sheet", "Apply")</f>
        <v>Apply</v>
      </c>
      <c r="C902" s="10" t="s">
        <v>17000</v>
      </c>
      <c r="D902" s="56" t="s">
        <v>16830</v>
      </c>
      <c r="E902" s="10" t="s">
        <v>79</v>
      </c>
      <c r="F902" s="10" t="s">
        <v>16831</v>
      </c>
      <c r="G902" s="10" t="s">
        <v>15829</v>
      </c>
      <c r="H902" s="10" t="s">
        <v>152</v>
      </c>
      <c r="I902" s="10" t="s">
        <v>55</v>
      </c>
      <c r="J902" s="10" t="s">
        <v>11147</v>
      </c>
      <c r="K902" s="10" t="s">
        <v>16832</v>
      </c>
      <c r="L902" s="10" t="s">
        <v>42</v>
      </c>
    </row>
    <row r="903" ht="15.75" customHeight="1">
      <c r="A903" s="64">
        <v>45448.0</v>
      </c>
      <c r="B903" s="55" t="str">
        <f>HYPERLINK("https://jobright.ai/jobs/info/6662922ad207c74779ac72b6?utm_campaign=1051&amp;utm_source=sheet", "Apply")</f>
        <v>Apply</v>
      </c>
      <c r="C903" s="10" t="s">
        <v>17078</v>
      </c>
      <c r="D903" s="56" t="s">
        <v>15475</v>
      </c>
      <c r="E903" s="10" t="s">
        <v>79</v>
      </c>
      <c r="F903" s="10" t="s">
        <v>3770</v>
      </c>
      <c r="G903" s="10" t="s">
        <v>100</v>
      </c>
      <c r="H903" s="10" t="s">
        <v>15476</v>
      </c>
      <c r="I903" s="10" t="s">
        <v>55</v>
      </c>
      <c r="K903" s="10" t="s">
        <v>17079</v>
      </c>
      <c r="L903" s="10" t="s">
        <v>42</v>
      </c>
    </row>
    <row r="904" ht="15.75" customHeight="1">
      <c r="A904" s="64">
        <v>45447.0</v>
      </c>
      <c r="B904" s="55" t="str">
        <f>HYPERLINK("https://jobright.ai/jobs/info/665fed1f37b467f05a6e54f2?utm_campaign=1051&amp;utm_source=sheet", "Apply")</f>
        <v>Apply</v>
      </c>
      <c r="C904" s="10" t="s">
        <v>16885</v>
      </c>
      <c r="D904" s="56" t="s">
        <v>16830</v>
      </c>
      <c r="E904" s="10" t="s">
        <v>79</v>
      </c>
      <c r="F904" s="10" t="s">
        <v>16831</v>
      </c>
      <c r="G904" s="10" t="s">
        <v>15829</v>
      </c>
      <c r="H904" s="10" t="s">
        <v>16886</v>
      </c>
      <c r="I904" s="10" t="s">
        <v>55</v>
      </c>
      <c r="J904" s="10" t="s">
        <v>11147</v>
      </c>
      <c r="K904" s="10" t="s">
        <v>16832</v>
      </c>
      <c r="L904" s="10" t="s">
        <v>42</v>
      </c>
    </row>
    <row r="905" ht="15.75" customHeight="1">
      <c r="A905" s="64">
        <v>45447.0</v>
      </c>
      <c r="B905" s="55" t="str">
        <f>HYPERLINK("https://jobright.ai/jobs/info/665fed1f37b467f05a6e54ed?utm_campaign=1051&amp;utm_source=sheet", "Apply")</f>
        <v>Apply</v>
      </c>
      <c r="C905" s="10" t="s">
        <v>17008</v>
      </c>
      <c r="D905" s="56" t="s">
        <v>16830</v>
      </c>
      <c r="E905" s="10" t="s">
        <v>79</v>
      </c>
      <c r="F905" s="10" t="s">
        <v>16831</v>
      </c>
      <c r="G905" s="10" t="s">
        <v>15829</v>
      </c>
      <c r="H905" s="10" t="s">
        <v>1298</v>
      </c>
      <c r="I905" s="10" t="s">
        <v>55</v>
      </c>
      <c r="J905" s="10" t="s">
        <v>11147</v>
      </c>
      <c r="K905" s="10" t="s">
        <v>16832</v>
      </c>
      <c r="L905" s="10" t="s">
        <v>42</v>
      </c>
    </row>
    <row r="906" ht="15.75" customHeight="1">
      <c r="A906" s="64">
        <v>45447.0</v>
      </c>
      <c r="B906" s="55" t="str">
        <f>HYPERLINK("https://jobright.ai/jobs/info/665fc1f5e3e6cc9253a5db95?utm_campaign=1051&amp;utm_source=sheet", "Apply")</f>
        <v>Apply</v>
      </c>
      <c r="C906" s="10" t="s">
        <v>17080</v>
      </c>
      <c r="D906" s="56" t="s">
        <v>16830</v>
      </c>
      <c r="E906" s="10" t="s">
        <v>79</v>
      </c>
      <c r="F906" s="10" t="s">
        <v>16831</v>
      </c>
      <c r="G906" s="10" t="s">
        <v>15829</v>
      </c>
      <c r="H906" s="10" t="s">
        <v>152</v>
      </c>
      <c r="I906" s="10" t="s">
        <v>55</v>
      </c>
      <c r="J906" s="10" t="s">
        <v>11147</v>
      </c>
      <c r="K906" s="10" t="s">
        <v>16896</v>
      </c>
      <c r="L906" s="10" t="s">
        <v>42</v>
      </c>
    </row>
    <row r="907" ht="15.75" customHeight="1">
      <c r="A907" s="64">
        <v>45447.0</v>
      </c>
      <c r="B907" s="55" t="str">
        <f>HYPERLINK("https://jobright.ai/jobs/info/665fed1f37b467f05a6e54ec?utm_campaign=1051&amp;utm_source=sheet", "Apply")</f>
        <v>Apply</v>
      </c>
      <c r="C907" s="10" t="s">
        <v>17009</v>
      </c>
      <c r="D907" s="56" t="s">
        <v>16830</v>
      </c>
      <c r="E907" s="10" t="s">
        <v>79</v>
      </c>
      <c r="F907" s="10" t="s">
        <v>16831</v>
      </c>
      <c r="G907" s="10" t="s">
        <v>15829</v>
      </c>
      <c r="H907" s="10" t="s">
        <v>152</v>
      </c>
      <c r="I907" s="10" t="s">
        <v>55</v>
      </c>
      <c r="J907" s="10" t="s">
        <v>11147</v>
      </c>
      <c r="K907" s="10" t="s">
        <v>16832</v>
      </c>
      <c r="L907" s="10" t="s">
        <v>42</v>
      </c>
    </row>
    <row r="908" ht="15.75" customHeight="1">
      <c r="A908" s="64">
        <v>45447.0</v>
      </c>
      <c r="B908" s="55" t="str">
        <f>HYPERLINK("https://jobright.ai/jobs/info/665fed1f37b467f05a6e54fd?utm_campaign=1051&amp;utm_source=sheet", "Apply")</f>
        <v>Apply</v>
      </c>
      <c r="C908" s="10" t="s">
        <v>17081</v>
      </c>
      <c r="D908" s="56" t="s">
        <v>16830</v>
      </c>
      <c r="E908" s="10" t="s">
        <v>79</v>
      </c>
      <c r="F908" s="10" t="s">
        <v>16831</v>
      </c>
      <c r="G908" s="10" t="s">
        <v>15829</v>
      </c>
      <c r="H908" s="10" t="s">
        <v>152</v>
      </c>
      <c r="I908" s="10" t="s">
        <v>55</v>
      </c>
      <c r="J908" s="10" t="s">
        <v>11147</v>
      </c>
      <c r="K908" s="10" t="s">
        <v>16832</v>
      </c>
      <c r="L908" s="10" t="s">
        <v>42</v>
      </c>
    </row>
    <row r="909" ht="15.75" customHeight="1">
      <c r="A909" s="64">
        <v>45447.0</v>
      </c>
      <c r="B909" s="55" t="str">
        <f>HYPERLINK("https://jobright.ai/jobs/info/665f7b2f0f2c1cd371ebc59c?utm_campaign=1051&amp;utm_source=sheet", "Apply")</f>
        <v>Apply</v>
      </c>
      <c r="C909" s="10" t="s">
        <v>17082</v>
      </c>
      <c r="D909" s="56" t="s">
        <v>17083</v>
      </c>
      <c r="E909" s="10" t="s">
        <v>137</v>
      </c>
      <c r="F909" s="10" t="s">
        <v>17084</v>
      </c>
      <c r="G909" s="10" t="s">
        <v>15793</v>
      </c>
      <c r="H909" s="10" t="s">
        <v>572</v>
      </c>
      <c r="I909" s="10" t="s">
        <v>55</v>
      </c>
      <c r="J909" s="10" t="s">
        <v>1761</v>
      </c>
      <c r="K909" s="10" t="s">
        <v>17085</v>
      </c>
      <c r="L909" s="10" t="s">
        <v>42</v>
      </c>
    </row>
    <row r="910" ht="15.75" customHeight="1">
      <c r="A910" s="64">
        <v>45447.0</v>
      </c>
      <c r="B910" s="55" t="str">
        <f>HYPERLINK("https://jobright.ai/jobs/info/665f7b440f2c1cd371ebc6c1?utm_campaign=1051&amp;utm_source=sheet", "Apply")</f>
        <v>Apply</v>
      </c>
      <c r="C910" s="10" t="s">
        <v>16083</v>
      </c>
      <c r="D910" s="56" t="s">
        <v>17086</v>
      </c>
      <c r="E910" s="10" t="s">
        <v>137</v>
      </c>
      <c r="F910" s="10" t="s">
        <v>13982</v>
      </c>
      <c r="G910" s="10" t="s">
        <v>15793</v>
      </c>
      <c r="H910" s="10" t="s">
        <v>6071</v>
      </c>
      <c r="I910" s="10" t="s">
        <v>55</v>
      </c>
      <c r="K910" s="10" t="s">
        <v>17087</v>
      </c>
      <c r="L910" s="10" t="s">
        <v>42</v>
      </c>
    </row>
    <row r="911" ht="15.75" customHeight="1">
      <c r="A911" s="64">
        <v>45447.0</v>
      </c>
      <c r="B911" s="55" t="str">
        <f>HYPERLINK("https://jobright.ai/jobs/info/665f7b560f2c1cd371ebc8c3?utm_campaign=1051&amp;utm_source=sheet", "Apply")</f>
        <v>Apply</v>
      </c>
      <c r="C911" s="10" t="s">
        <v>16083</v>
      </c>
      <c r="D911" s="56" t="s">
        <v>17086</v>
      </c>
      <c r="E911" s="10" t="s">
        <v>137</v>
      </c>
      <c r="F911" s="10" t="s">
        <v>13982</v>
      </c>
      <c r="G911" s="10" t="s">
        <v>15793</v>
      </c>
      <c r="H911" s="10" t="s">
        <v>16005</v>
      </c>
      <c r="I911" s="10" t="s">
        <v>55</v>
      </c>
      <c r="K911" s="10" t="s">
        <v>17087</v>
      </c>
      <c r="L911" s="10" t="s">
        <v>42</v>
      </c>
    </row>
    <row r="912" ht="15.75" customHeight="1">
      <c r="A912" s="64">
        <v>45447.0</v>
      </c>
      <c r="B912" s="55" t="str">
        <f>HYPERLINK("https://jobright.ai/jobs/info/665f7b560f2c1cd371ebc8c4?utm_campaign=1051&amp;utm_source=sheet", "Apply")</f>
        <v>Apply</v>
      </c>
      <c r="C912" s="10" t="s">
        <v>16083</v>
      </c>
      <c r="D912" s="56" t="s">
        <v>17086</v>
      </c>
      <c r="E912" s="10" t="s">
        <v>137</v>
      </c>
      <c r="F912" s="10" t="s">
        <v>13982</v>
      </c>
      <c r="G912" s="10" t="s">
        <v>15793</v>
      </c>
      <c r="H912" s="10" t="s">
        <v>17088</v>
      </c>
      <c r="I912" s="10" t="s">
        <v>55</v>
      </c>
      <c r="K912" s="10" t="s">
        <v>17087</v>
      </c>
      <c r="L912" s="10" t="s">
        <v>42</v>
      </c>
    </row>
    <row r="913" ht="15.75" customHeight="1">
      <c r="A913" s="64">
        <v>45447.0</v>
      </c>
      <c r="B913" s="55" t="str">
        <f>HYPERLINK("https://jobright.ai/jobs/info/665f92d205ea3c069520878b?utm_campaign=1051&amp;utm_source=sheet", "Apply")</f>
        <v>Apply</v>
      </c>
      <c r="C913" s="10" t="s">
        <v>16083</v>
      </c>
      <c r="D913" s="56" t="s">
        <v>17086</v>
      </c>
      <c r="E913" s="10" t="s">
        <v>137</v>
      </c>
      <c r="F913" s="10" t="s">
        <v>13982</v>
      </c>
      <c r="G913" s="10" t="s">
        <v>15793</v>
      </c>
      <c r="H913" s="10" t="s">
        <v>423</v>
      </c>
      <c r="I913" s="10" t="s">
        <v>55</v>
      </c>
      <c r="K913" s="10" t="s">
        <v>17087</v>
      </c>
      <c r="L913" s="10" t="s">
        <v>42</v>
      </c>
    </row>
    <row r="914" ht="15.75" customHeight="1">
      <c r="A914" s="64">
        <v>45447.0</v>
      </c>
      <c r="B914" s="55" t="str">
        <f>HYPERLINK("https://jobright.ai/jobs/info/665f807edaa37644dd1a3484?utm_campaign=1051&amp;utm_source=sheet", "Apply")</f>
        <v>Apply</v>
      </c>
      <c r="C914" s="10" t="s">
        <v>16083</v>
      </c>
      <c r="D914" s="56" t="s">
        <v>17086</v>
      </c>
      <c r="E914" s="10" t="s">
        <v>137</v>
      </c>
      <c r="F914" s="10" t="s">
        <v>13982</v>
      </c>
      <c r="G914" s="10" t="s">
        <v>15793</v>
      </c>
      <c r="H914" s="10" t="s">
        <v>17089</v>
      </c>
      <c r="I914" s="10" t="s">
        <v>55</v>
      </c>
      <c r="K914" s="10" t="s">
        <v>17087</v>
      </c>
      <c r="L914" s="10" t="s">
        <v>42</v>
      </c>
    </row>
    <row r="915" ht="15.75" customHeight="1">
      <c r="A915" s="64">
        <v>45447.0</v>
      </c>
      <c r="B915" s="55" t="str">
        <f>HYPERLINK("https://jobright.ai/jobs/info/665f807edaa37644dd1a3486?utm_campaign=1051&amp;utm_source=sheet", "Apply")</f>
        <v>Apply</v>
      </c>
      <c r="C915" s="10" t="s">
        <v>16083</v>
      </c>
      <c r="D915" s="56" t="s">
        <v>17086</v>
      </c>
      <c r="E915" s="10" t="s">
        <v>137</v>
      </c>
      <c r="F915" s="10" t="s">
        <v>13982</v>
      </c>
      <c r="G915" s="10" t="s">
        <v>15793</v>
      </c>
      <c r="H915" s="10" t="s">
        <v>193</v>
      </c>
      <c r="I915" s="10" t="s">
        <v>55</v>
      </c>
      <c r="K915" s="10" t="s">
        <v>17087</v>
      </c>
      <c r="L915" s="10" t="s">
        <v>42</v>
      </c>
    </row>
    <row r="916" ht="15.75" customHeight="1">
      <c r="A916" s="64">
        <v>45447.0</v>
      </c>
      <c r="B916" s="55" t="str">
        <f>HYPERLINK("https://jobright.ai/jobs/info/665f807edaa37644dd1a3487?utm_campaign=1051&amp;utm_source=sheet", "Apply")</f>
        <v>Apply</v>
      </c>
      <c r="C916" s="10" t="s">
        <v>16083</v>
      </c>
      <c r="D916" s="56" t="s">
        <v>17086</v>
      </c>
      <c r="E916" s="10" t="s">
        <v>137</v>
      </c>
      <c r="F916" s="10" t="s">
        <v>13982</v>
      </c>
      <c r="G916" s="10" t="s">
        <v>15793</v>
      </c>
      <c r="H916" s="10" t="s">
        <v>16733</v>
      </c>
      <c r="I916" s="10" t="s">
        <v>55</v>
      </c>
      <c r="K916" s="10" t="s">
        <v>17087</v>
      </c>
      <c r="L916" s="10" t="s">
        <v>42</v>
      </c>
    </row>
    <row r="917" ht="15.75" customHeight="1">
      <c r="A917" s="64">
        <v>45447.0</v>
      </c>
      <c r="B917" s="55" t="str">
        <f>HYPERLINK("https://jobright.ai/jobs/info/665f807edaa37644dd1a3485?utm_campaign=1051&amp;utm_source=sheet", "Apply")</f>
        <v>Apply</v>
      </c>
      <c r="C917" s="10" t="s">
        <v>16083</v>
      </c>
      <c r="D917" s="56" t="s">
        <v>17086</v>
      </c>
      <c r="E917" s="10" t="s">
        <v>137</v>
      </c>
      <c r="F917" s="10" t="s">
        <v>13982</v>
      </c>
      <c r="G917" s="10" t="s">
        <v>15793</v>
      </c>
      <c r="H917" s="10" t="s">
        <v>17090</v>
      </c>
      <c r="I917" s="10" t="s">
        <v>55</v>
      </c>
      <c r="K917" s="10" t="s">
        <v>17087</v>
      </c>
      <c r="L917" s="10" t="s">
        <v>42</v>
      </c>
    </row>
    <row r="918" ht="15.75" customHeight="1">
      <c r="A918" s="64">
        <v>45447.0</v>
      </c>
      <c r="B918" s="55" t="str">
        <f>HYPERLINK("https://jobright.ai/jobs/info/665f807edaa37644dd1a3483?utm_campaign=1051&amp;utm_source=sheet", "Apply")</f>
        <v>Apply</v>
      </c>
      <c r="C918" s="10" t="s">
        <v>16083</v>
      </c>
      <c r="D918" s="56" t="s">
        <v>17086</v>
      </c>
      <c r="E918" s="10" t="s">
        <v>137</v>
      </c>
      <c r="F918" s="10" t="s">
        <v>13982</v>
      </c>
      <c r="G918" s="10" t="s">
        <v>15793</v>
      </c>
      <c r="H918" s="10" t="s">
        <v>361</v>
      </c>
      <c r="I918" s="10" t="s">
        <v>55</v>
      </c>
      <c r="K918" s="10" t="s">
        <v>17087</v>
      </c>
      <c r="L918" s="10" t="s">
        <v>42</v>
      </c>
    </row>
    <row r="919" ht="15.75" customHeight="1">
      <c r="A919" s="64">
        <v>45447.0</v>
      </c>
      <c r="B919" s="55" t="str">
        <f>HYPERLINK("https://jobright.ai/jobs/info/665f807edaa37644dd1a3489?utm_campaign=1051&amp;utm_source=sheet", "Apply")</f>
        <v>Apply</v>
      </c>
      <c r="C919" s="10" t="s">
        <v>16083</v>
      </c>
      <c r="D919" s="56" t="s">
        <v>17086</v>
      </c>
      <c r="E919" s="10" t="s">
        <v>137</v>
      </c>
      <c r="F919" s="10" t="s">
        <v>13982</v>
      </c>
      <c r="G919" s="10" t="s">
        <v>15793</v>
      </c>
      <c r="H919" s="10" t="s">
        <v>3019</v>
      </c>
      <c r="I919" s="10" t="s">
        <v>55</v>
      </c>
      <c r="K919" s="10" t="s">
        <v>17087</v>
      </c>
      <c r="L919" s="10" t="s">
        <v>42</v>
      </c>
    </row>
    <row r="920" ht="15.75" customHeight="1">
      <c r="A920" s="64">
        <v>45447.0</v>
      </c>
      <c r="B920" s="55" t="str">
        <f>HYPERLINK("https://jobright.ai/jobs/info/665f7e524b70bae99941eae9?utm_campaign=1051&amp;utm_source=sheet", "Apply")</f>
        <v>Apply</v>
      </c>
      <c r="C920" s="10" t="s">
        <v>16083</v>
      </c>
      <c r="D920" s="56" t="s">
        <v>17086</v>
      </c>
      <c r="E920" s="10" t="s">
        <v>137</v>
      </c>
      <c r="F920" s="10" t="s">
        <v>13982</v>
      </c>
      <c r="G920" s="10" t="s">
        <v>15793</v>
      </c>
      <c r="H920" s="10" t="s">
        <v>965</v>
      </c>
      <c r="I920" s="10" t="s">
        <v>55</v>
      </c>
      <c r="K920" s="10" t="s">
        <v>17087</v>
      </c>
      <c r="L920" s="10" t="s">
        <v>42</v>
      </c>
    </row>
    <row r="921" ht="15.75" customHeight="1">
      <c r="A921" s="64">
        <v>45447.0</v>
      </c>
      <c r="B921" s="55" t="str">
        <f>HYPERLINK("https://jobright.ai/jobs/info/665f7e524b70bae99941eaea?utm_campaign=1051&amp;utm_source=sheet", "Apply")</f>
        <v>Apply</v>
      </c>
      <c r="C921" s="10" t="s">
        <v>16083</v>
      </c>
      <c r="D921" s="56" t="s">
        <v>17086</v>
      </c>
      <c r="E921" s="10" t="s">
        <v>137</v>
      </c>
      <c r="F921" s="10" t="s">
        <v>13982</v>
      </c>
      <c r="G921" s="10" t="s">
        <v>15793</v>
      </c>
      <c r="H921" s="10" t="s">
        <v>4149</v>
      </c>
      <c r="I921" s="10" t="s">
        <v>55</v>
      </c>
      <c r="K921" s="10" t="s">
        <v>17087</v>
      </c>
      <c r="L921" s="10" t="s">
        <v>42</v>
      </c>
    </row>
    <row r="922" ht="15.75" customHeight="1">
      <c r="A922" s="64">
        <v>45447.0</v>
      </c>
      <c r="B922" s="55" t="str">
        <f>HYPERLINK("https://jobright.ai/jobs/info/665f89efdba1b20ada20d3b9?utm_campaign=1051&amp;utm_source=sheet", "Apply")</f>
        <v>Apply</v>
      </c>
      <c r="C922" s="10" t="s">
        <v>16083</v>
      </c>
      <c r="D922" s="56" t="s">
        <v>17086</v>
      </c>
      <c r="E922" s="10" t="s">
        <v>137</v>
      </c>
      <c r="F922" s="10" t="s">
        <v>13982</v>
      </c>
      <c r="G922" s="10" t="s">
        <v>15793</v>
      </c>
      <c r="H922" s="10" t="s">
        <v>3860</v>
      </c>
      <c r="I922" s="10" t="s">
        <v>55</v>
      </c>
      <c r="K922" s="10" t="s">
        <v>17087</v>
      </c>
      <c r="L922" s="10" t="s">
        <v>42</v>
      </c>
    </row>
    <row r="923" ht="15.75" customHeight="1">
      <c r="A923" s="64">
        <v>45447.0</v>
      </c>
      <c r="B923" s="55" t="str">
        <f>HYPERLINK("https://jobright.ai/jobs/info/665f89efdba1b20ada20d3bc?utm_campaign=1051&amp;utm_source=sheet", "Apply")</f>
        <v>Apply</v>
      </c>
      <c r="C923" s="10" t="s">
        <v>16083</v>
      </c>
      <c r="D923" s="56" t="s">
        <v>17086</v>
      </c>
      <c r="E923" s="10" t="s">
        <v>137</v>
      </c>
      <c r="F923" s="10" t="s">
        <v>13982</v>
      </c>
      <c r="G923" s="10" t="s">
        <v>15793</v>
      </c>
      <c r="H923" s="10" t="s">
        <v>17091</v>
      </c>
      <c r="I923" s="10" t="s">
        <v>55</v>
      </c>
      <c r="K923" s="10" t="s">
        <v>17087</v>
      </c>
      <c r="L923" s="10" t="s">
        <v>42</v>
      </c>
    </row>
    <row r="924" ht="15.75" customHeight="1">
      <c r="A924" s="64">
        <v>45447.0</v>
      </c>
      <c r="B924" s="55" t="str">
        <f>HYPERLINK("https://jobright.ai/jobs/info/665f89efdba1b20ada20d3bf?utm_campaign=1051&amp;utm_source=sheet", "Apply")</f>
        <v>Apply</v>
      </c>
      <c r="C924" s="10" t="s">
        <v>16083</v>
      </c>
      <c r="D924" s="56" t="s">
        <v>17086</v>
      </c>
      <c r="E924" s="10" t="s">
        <v>137</v>
      </c>
      <c r="F924" s="10" t="s">
        <v>13982</v>
      </c>
      <c r="G924" s="10" t="s">
        <v>15793</v>
      </c>
      <c r="H924" s="10" t="s">
        <v>898</v>
      </c>
      <c r="I924" s="10" t="s">
        <v>55</v>
      </c>
      <c r="K924" s="10" t="s">
        <v>17087</v>
      </c>
      <c r="L924" s="10" t="s">
        <v>42</v>
      </c>
    </row>
    <row r="925" ht="15.75" customHeight="1">
      <c r="A925" s="64">
        <v>45447.0</v>
      </c>
      <c r="B925" s="55" t="str">
        <f>HYPERLINK("https://jobright.ai/jobs/info/665f89efdba1b20ada20d3ba?utm_campaign=1051&amp;utm_source=sheet", "Apply")</f>
        <v>Apply</v>
      </c>
      <c r="C925" s="10" t="s">
        <v>16083</v>
      </c>
      <c r="D925" s="56" t="s">
        <v>17086</v>
      </c>
      <c r="E925" s="10" t="s">
        <v>137</v>
      </c>
      <c r="F925" s="10" t="s">
        <v>13982</v>
      </c>
      <c r="G925" s="10" t="s">
        <v>15793</v>
      </c>
      <c r="H925" s="10" t="s">
        <v>3097</v>
      </c>
      <c r="I925" s="10" t="s">
        <v>55</v>
      </c>
      <c r="K925" s="10" t="s">
        <v>17087</v>
      </c>
      <c r="L925" s="10" t="s">
        <v>42</v>
      </c>
    </row>
    <row r="926" ht="15.75" customHeight="1">
      <c r="A926" s="64">
        <v>45447.0</v>
      </c>
      <c r="B926" s="55" t="str">
        <f>HYPERLINK("https://jobright.ai/jobs/info/665f89efdba1b20ada20d3bd?utm_campaign=1051&amp;utm_source=sheet", "Apply")</f>
        <v>Apply</v>
      </c>
      <c r="C926" s="10" t="s">
        <v>16083</v>
      </c>
      <c r="D926" s="56" t="s">
        <v>17086</v>
      </c>
      <c r="E926" s="10" t="s">
        <v>137</v>
      </c>
      <c r="F926" s="10" t="s">
        <v>13982</v>
      </c>
      <c r="G926" s="10" t="s">
        <v>15793</v>
      </c>
      <c r="H926" s="10" t="s">
        <v>16742</v>
      </c>
      <c r="I926" s="10" t="s">
        <v>55</v>
      </c>
      <c r="K926" s="10" t="s">
        <v>17087</v>
      </c>
      <c r="L926" s="10" t="s">
        <v>42</v>
      </c>
    </row>
    <row r="927" ht="15.75" customHeight="1">
      <c r="A927" s="64">
        <v>45447.0</v>
      </c>
      <c r="B927" s="55" t="str">
        <f>HYPERLINK("https://jobright.ai/jobs/info/665f89efdba1b20ada20d3c2?utm_campaign=1051&amp;utm_source=sheet", "Apply")</f>
        <v>Apply</v>
      </c>
      <c r="C927" s="10" t="s">
        <v>16083</v>
      </c>
      <c r="D927" s="56" t="s">
        <v>17086</v>
      </c>
      <c r="E927" s="10" t="s">
        <v>137</v>
      </c>
      <c r="F927" s="10" t="s">
        <v>13982</v>
      </c>
      <c r="G927" s="10" t="s">
        <v>15793</v>
      </c>
      <c r="H927" s="10" t="s">
        <v>3791</v>
      </c>
      <c r="I927" s="10" t="s">
        <v>55</v>
      </c>
      <c r="K927" s="10" t="s">
        <v>17087</v>
      </c>
      <c r="L927" s="10" t="s">
        <v>42</v>
      </c>
    </row>
    <row r="928" ht="15.75" customHeight="1">
      <c r="A928" s="64">
        <v>45447.0</v>
      </c>
      <c r="B928" s="55" t="str">
        <f>HYPERLINK("https://jobright.ai/jobs/info/665f89efdba1b20ada20d3c1?utm_campaign=1051&amp;utm_source=sheet", "Apply")</f>
        <v>Apply</v>
      </c>
      <c r="C928" s="10" t="s">
        <v>16083</v>
      </c>
      <c r="D928" s="56" t="s">
        <v>17086</v>
      </c>
      <c r="E928" s="10" t="s">
        <v>137</v>
      </c>
      <c r="F928" s="10" t="s">
        <v>13982</v>
      </c>
      <c r="G928" s="10" t="s">
        <v>15793</v>
      </c>
      <c r="H928" s="10" t="s">
        <v>168</v>
      </c>
      <c r="I928" s="10" t="s">
        <v>55</v>
      </c>
      <c r="K928" s="10" t="s">
        <v>17087</v>
      </c>
      <c r="L928" s="10" t="s">
        <v>42</v>
      </c>
    </row>
    <row r="929" ht="15.75" customHeight="1">
      <c r="A929" s="64">
        <v>45447.0</v>
      </c>
      <c r="B929" s="55" t="str">
        <f>HYPERLINK("https://jobright.ai/jobs/info/665f89efdba1b20ada20d3c4?utm_campaign=1051&amp;utm_source=sheet", "Apply")</f>
        <v>Apply</v>
      </c>
      <c r="C929" s="10" t="s">
        <v>16083</v>
      </c>
      <c r="D929" s="56" t="s">
        <v>17086</v>
      </c>
      <c r="E929" s="10" t="s">
        <v>137</v>
      </c>
      <c r="F929" s="10" t="s">
        <v>13982</v>
      </c>
      <c r="G929" s="10" t="s">
        <v>15793</v>
      </c>
      <c r="H929" s="10" t="s">
        <v>1709</v>
      </c>
      <c r="I929" s="10" t="s">
        <v>55</v>
      </c>
      <c r="K929" s="10" t="s">
        <v>17087</v>
      </c>
      <c r="L929" s="10" t="s">
        <v>42</v>
      </c>
    </row>
    <row r="930" ht="15.75" customHeight="1">
      <c r="A930" s="64">
        <v>45446.0</v>
      </c>
      <c r="B930" s="55" t="str">
        <f>HYPERLINK("https://jobright.ai/jobs/info/665ea796f46e6dffc09604c6?utm_campaign=1051&amp;utm_source=sheet", "Apply")</f>
        <v>Apply</v>
      </c>
      <c r="C930" s="10" t="s">
        <v>17092</v>
      </c>
      <c r="D930" s="56" t="s">
        <v>16830</v>
      </c>
      <c r="E930" s="10" t="s">
        <v>79</v>
      </c>
      <c r="F930" s="10" t="s">
        <v>16831</v>
      </c>
      <c r="G930" s="10" t="s">
        <v>15829</v>
      </c>
      <c r="H930" s="10" t="s">
        <v>987</v>
      </c>
      <c r="I930" s="10" t="s">
        <v>55</v>
      </c>
      <c r="J930" s="10" t="s">
        <v>16894</v>
      </c>
      <c r="K930" s="10" t="s">
        <v>16898</v>
      </c>
      <c r="L930" s="10" t="s">
        <v>42</v>
      </c>
    </row>
    <row r="931" ht="15.75" customHeight="1">
      <c r="A931" s="64">
        <v>45446.0</v>
      </c>
      <c r="B931" s="55" t="str">
        <f>HYPERLINK("https://jobright.ai/jobs/info/665e8d95c23cb2757e22b66c?utm_campaign=1051&amp;utm_source=sheet", "Apply")</f>
        <v>Apply</v>
      </c>
      <c r="C931" s="10" t="s">
        <v>17017</v>
      </c>
      <c r="D931" s="56" t="s">
        <v>16830</v>
      </c>
      <c r="E931" s="10" t="s">
        <v>79</v>
      </c>
      <c r="F931" s="10" t="s">
        <v>16831</v>
      </c>
      <c r="G931" s="10" t="s">
        <v>15829</v>
      </c>
      <c r="H931" s="10" t="s">
        <v>4279</v>
      </c>
      <c r="I931" s="10" t="s">
        <v>55</v>
      </c>
      <c r="J931" s="10" t="s">
        <v>16894</v>
      </c>
      <c r="K931" s="10" t="s">
        <v>16898</v>
      </c>
      <c r="L931" s="10" t="s">
        <v>42</v>
      </c>
    </row>
    <row r="932" ht="15.75" customHeight="1">
      <c r="A932" s="64">
        <v>45446.0</v>
      </c>
      <c r="B932" s="55" t="str">
        <f>HYPERLINK("https://jobright.ai/jobs/info/665ead12e9d88fa167143eea?utm_campaign=1051&amp;utm_source=sheet", "Apply")</f>
        <v>Apply</v>
      </c>
      <c r="C932" s="10" t="s">
        <v>17018</v>
      </c>
      <c r="D932" s="56" t="s">
        <v>16830</v>
      </c>
      <c r="E932" s="10" t="s">
        <v>79</v>
      </c>
      <c r="F932" s="10" t="s">
        <v>16831</v>
      </c>
      <c r="G932" s="10" t="s">
        <v>15829</v>
      </c>
      <c r="H932" s="10" t="s">
        <v>958</v>
      </c>
      <c r="I932" s="10" t="s">
        <v>55</v>
      </c>
      <c r="J932" s="10" t="s">
        <v>16894</v>
      </c>
      <c r="K932" s="10" t="s">
        <v>17019</v>
      </c>
      <c r="L932" s="10" t="s">
        <v>42</v>
      </c>
    </row>
    <row r="933" ht="15.75" customHeight="1">
      <c r="A933" s="64">
        <v>45446.0</v>
      </c>
      <c r="B933" s="55" t="str">
        <f>HYPERLINK("https://jobright.ai/jobs/info/665e6dc070512a7109e957ce?utm_campaign=1051&amp;utm_source=sheet", "Apply")</f>
        <v>Apply</v>
      </c>
      <c r="C933" s="10" t="s">
        <v>17093</v>
      </c>
      <c r="D933" s="56" t="s">
        <v>16830</v>
      </c>
      <c r="E933" s="10" t="s">
        <v>79</v>
      </c>
      <c r="F933" s="10" t="s">
        <v>16831</v>
      </c>
      <c r="G933" s="10" t="s">
        <v>15829</v>
      </c>
      <c r="H933" s="10" t="s">
        <v>987</v>
      </c>
      <c r="I933" s="10" t="s">
        <v>55</v>
      </c>
      <c r="J933" s="10" t="s">
        <v>16894</v>
      </c>
      <c r="K933" s="10" t="s">
        <v>16832</v>
      </c>
      <c r="L933" s="10" t="s">
        <v>42</v>
      </c>
    </row>
    <row r="934" ht="15.75" customHeight="1">
      <c r="A934" s="64">
        <v>45445.0</v>
      </c>
      <c r="B934" s="55" t="str">
        <f>HYPERLINK("https://jobright.ai/jobs/info/665c9b9b3aded7abaafb4680?utm_campaign=1051&amp;utm_source=sheet", "Apply")</f>
        <v>Apply</v>
      </c>
      <c r="C934" s="10" t="s">
        <v>17094</v>
      </c>
      <c r="D934" s="56" t="s">
        <v>11659</v>
      </c>
      <c r="E934" s="10">
        <v>9.0</v>
      </c>
      <c r="G934" s="10" t="s">
        <v>15793</v>
      </c>
      <c r="H934" s="10" t="s">
        <v>152</v>
      </c>
      <c r="I934" s="10" t="s">
        <v>55</v>
      </c>
      <c r="K934" s="10" t="s">
        <v>17095</v>
      </c>
      <c r="L934" s="10" t="s">
        <v>42</v>
      </c>
    </row>
    <row r="935" ht="15.75" customHeight="1">
      <c r="A935" s="64">
        <v>45444.0</v>
      </c>
      <c r="B935" s="55" t="str">
        <f>HYPERLINK("https://jobright.ai/jobs/info/6677dd3bfbac42152a146756?utm_campaign=1051&amp;utm_source=sheet", "Apply")</f>
        <v>Apply</v>
      </c>
      <c r="C935" s="10" t="s">
        <v>17096</v>
      </c>
      <c r="D935" s="56" t="s">
        <v>17097</v>
      </c>
      <c r="E935" s="10">
        <v>52.0</v>
      </c>
      <c r="G935" s="10" t="s">
        <v>15793</v>
      </c>
      <c r="H935" s="10" t="s">
        <v>13077</v>
      </c>
      <c r="I935" s="10" t="s">
        <v>55</v>
      </c>
      <c r="K935" s="10" t="s">
        <v>17098</v>
      </c>
      <c r="L935" s="10" t="s">
        <v>42</v>
      </c>
    </row>
    <row r="936" ht="15.75" customHeight="1">
      <c r="A936" s="64">
        <v>45444.0</v>
      </c>
      <c r="B936" s="55" t="str">
        <f>HYPERLINK("https://jobright.ai/jobs/info/6664263d5573a27c1546d3ea?utm_campaign=1051&amp;utm_source=sheet", "Apply")</f>
        <v>Apply</v>
      </c>
      <c r="C936" s="10" t="s">
        <v>17099</v>
      </c>
      <c r="D936" s="56" t="s">
        <v>11659</v>
      </c>
      <c r="E936" s="10">
        <v>9.0</v>
      </c>
      <c r="G936" s="10" t="s">
        <v>100</v>
      </c>
      <c r="H936" s="10" t="s">
        <v>96</v>
      </c>
      <c r="I936" s="10" t="s">
        <v>55</v>
      </c>
      <c r="K936" s="10" t="s">
        <v>17100</v>
      </c>
      <c r="L936" s="10" t="s">
        <v>42</v>
      </c>
    </row>
    <row r="937" ht="15.75" customHeight="1">
      <c r="A937" s="64">
        <v>45444.0</v>
      </c>
      <c r="B937" s="55" t="str">
        <f>HYPERLINK("https://jobright.ai/jobs/info/665ae0193671a07d19d05a36?utm_campaign=1051&amp;utm_source=sheet", "Apply")</f>
        <v>Apply</v>
      </c>
      <c r="C937" s="10" t="s">
        <v>16456</v>
      </c>
      <c r="D937" s="56" t="s">
        <v>730</v>
      </c>
      <c r="E937" s="10" t="s">
        <v>45</v>
      </c>
      <c r="F937" s="10" t="s">
        <v>731</v>
      </c>
      <c r="G937" s="10" t="s">
        <v>15793</v>
      </c>
      <c r="H937" s="10" t="s">
        <v>159</v>
      </c>
      <c r="I937" s="10" t="s">
        <v>55</v>
      </c>
      <c r="K937" s="10" t="s">
        <v>16457</v>
      </c>
      <c r="L937" s="10" t="s">
        <v>42</v>
      </c>
    </row>
    <row r="938" ht="15.75" customHeight="1">
      <c r="A938" s="64">
        <v>45444.0</v>
      </c>
      <c r="B938" s="55" t="str">
        <f>HYPERLINK("https://jobright.ai/jobs/info/665b65076eb8d68b10797829?utm_campaign=1051&amp;utm_source=sheet", "Apply")</f>
        <v>Apply</v>
      </c>
      <c r="C938" s="10" t="s">
        <v>15799</v>
      </c>
      <c r="D938" s="56" t="s">
        <v>17101</v>
      </c>
      <c r="E938" s="59">
        <v>45301.0</v>
      </c>
      <c r="F938" s="10" t="s">
        <v>19</v>
      </c>
      <c r="G938" s="10" t="s">
        <v>100</v>
      </c>
      <c r="H938" s="10" t="s">
        <v>17102</v>
      </c>
      <c r="I938" s="10" t="s">
        <v>55</v>
      </c>
      <c r="K938" s="10" t="s">
        <v>17103</v>
      </c>
      <c r="L938" s="10" t="s">
        <v>42</v>
      </c>
    </row>
    <row r="939" ht="15.75" customHeight="1">
      <c r="A939" s="64">
        <v>45444.0</v>
      </c>
      <c r="B939" s="55" t="str">
        <f>HYPERLINK("https://jobright.ai/jobs/info/66684f9390e17dfadf8318c8?utm_campaign=1051&amp;utm_source=sheet", "Apply")</f>
        <v>Apply</v>
      </c>
      <c r="C939" s="10" t="s">
        <v>17104</v>
      </c>
      <c r="D939" s="56" t="s">
        <v>17105</v>
      </c>
      <c r="E939" s="10" t="s">
        <v>45</v>
      </c>
      <c r="F939" s="10" t="s">
        <v>17106</v>
      </c>
      <c r="G939" s="10" t="s">
        <v>15829</v>
      </c>
      <c r="H939" s="10" t="s">
        <v>17107</v>
      </c>
      <c r="I939" s="10" t="s">
        <v>55</v>
      </c>
      <c r="K939" s="10" t="s">
        <v>17108</v>
      </c>
      <c r="L939" s="10" t="s">
        <v>42</v>
      </c>
    </row>
    <row r="940" ht="15.75" customHeight="1">
      <c r="A940" s="64">
        <v>45443.0</v>
      </c>
      <c r="B940" s="55" t="str">
        <f>HYPERLINK("https://jobright.ai/jobs/info/6675f3642617111d53a4454e?utm_campaign=1051&amp;utm_source=sheet", "Apply")</f>
        <v>Apply</v>
      </c>
      <c r="C940" s="10" t="s">
        <v>17109</v>
      </c>
      <c r="D940" s="56" t="s">
        <v>17110</v>
      </c>
      <c r="E940" s="10">
        <v>22.0</v>
      </c>
      <c r="G940" s="10" t="s">
        <v>100</v>
      </c>
      <c r="H940" s="10" t="s">
        <v>251</v>
      </c>
      <c r="I940" s="10" t="s">
        <v>252</v>
      </c>
      <c r="K940" s="10" t="s">
        <v>17111</v>
      </c>
      <c r="L940" s="10" t="s">
        <v>42</v>
      </c>
    </row>
    <row r="941" ht="15.75" customHeight="1">
      <c r="A941" s="64">
        <v>45443.0</v>
      </c>
      <c r="B941" s="55" t="str">
        <f>HYPERLINK("https://jobright.ai/jobs/info/6642210ffdde3a339c393c4d?utm_campaign=1051&amp;utm_source=sheet", "Apply")</f>
        <v>Apply</v>
      </c>
      <c r="C941" s="10" t="s">
        <v>17112</v>
      </c>
      <c r="D941" s="56" t="s">
        <v>15531</v>
      </c>
      <c r="E941" s="59">
        <v>45301.0</v>
      </c>
      <c r="F941" s="10" t="s">
        <v>15532</v>
      </c>
      <c r="G941" s="10" t="s">
        <v>15814</v>
      </c>
      <c r="H941" s="10" t="s">
        <v>251</v>
      </c>
      <c r="I941" s="10" t="s">
        <v>252</v>
      </c>
      <c r="K941" s="10" t="s">
        <v>17113</v>
      </c>
      <c r="L941" s="10" t="s">
        <v>42</v>
      </c>
    </row>
    <row r="942" ht="15.75" customHeight="1">
      <c r="A942" s="64">
        <v>45443.0</v>
      </c>
      <c r="B942" s="55" t="str">
        <f>HYPERLINK("https://jobright.ai/jobs/info/66685d88b3577e6d5da7a7ed?utm_campaign=1051&amp;utm_source=sheet", "Apply")</f>
        <v>Apply</v>
      </c>
      <c r="C942" s="10" t="s">
        <v>17114</v>
      </c>
      <c r="D942" s="56" t="s">
        <v>12373</v>
      </c>
      <c r="E942" s="10" t="s">
        <v>209</v>
      </c>
      <c r="F942" s="10" t="s">
        <v>11154</v>
      </c>
      <c r="G942" s="10" t="s">
        <v>100</v>
      </c>
      <c r="H942" s="10" t="s">
        <v>17115</v>
      </c>
      <c r="I942" s="10" t="s">
        <v>55</v>
      </c>
      <c r="K942" s="10" t="s">
        <v>17116</v>
      </c>
      <c r="L942" s="10" t="s">
        <v>42</v>
      </c>
    </row>
    <row r="943" ht="15.75" customHeight="1">
      <c r="A943" s="64">
        <v>45442.0</v>
      </c>
      <c r="B943" s="55" t="str">
        <f>HYPERLINK("https://jobright.ai/jobs/info/6659223adc30f127d7d71835?utm_campaign=1051&amp;utm_source=sheet", "Apply")</f>
        <v>Apply</v>
      </c>
      <c r="C943" s="10" t="s">
        <v>16885</v>
      </c>
      <c r="D943" s="56" t="s">
        <v>16830</v>
      </c>
      <c r="E943" s="10" t="s">
        <v>79</v>
      </c>
      <c r="F943" s="10" t="s">
        <v>16831</v>
      </c>
      <c r="G943" s="10" t="s">
        <v>15829</v>
      </c>
      <c r="H943" s="10" t="s">
        <v>16886</v>
      </c>
      <c r="I943" s="10" t="s">
        <v>55</v>
      </c>
      <c r="J943" s="10" t="s">
        <v>17117</v>
      </c>
      <c r="K943" s="10" t="s">
        <v>16832</v>
      </c>
      <c r="L943" s="10" t="s">
        <v>42</v>
      </c>
    </row>
    <row r="944" ht="15.75" customHeight="1">
      <c r="A944" s="64">
        <v>45442.0</v>
      </c>
      <c r="B944" s="55" t="str">
        <f>HYPERLINK("https://jobright.ai/jobs/info/66592243dc30f127d7d71858?utm_campaign=1051&amp;utm_source=sheet", "Apply")</f>
        <v>Apply</v>
      </c>
      <c r="C944" s="10" t="s">
        <v>17008</v>
      </c>
      <c r="D944" s="56" t="s">
        <v>16830</v>
      </c>
      <c r="E944" s="10" t="s">
        <v>79</v>
      </c>
      <c r="F944" s="10" t="s">
        <v>16831</v>
      </c>
      <c r="G944" s="10" t="s">
        <v>15829</v>
      </c>
      <c r="H944" s="10" t="s">
        <v>1298</v>
      </c>
      <c r="I944" s="10" t="s">
        <v>55</v>
      </c>
      <c r="J944" s="10" t="s">
        <v>17117</v>
      </c>
      <c r="K944" s="10" t="s">
        <v>16832</v>
      </c>
      <c r="L944" s="10" t="s">
        <v>42</v>
      </c>
    </row>
    <row r="945" ht="15.75" customHeight="1">
      <c r="A945" s="64">
        <v>45442.0</v>
      </c>
      <c r="B945" s="55" t="str">
        <f>HYPERLINK("https://jobright.ai/jobs/info/66592243dc30f127d7d71880?utm_campaign=1051&amp;utm_source=sheet", "Apply")</f>
        <v>Apply</v>
      </c>
      <c r="C945" s="10" t="s">
        <v>17118</v>
      </c>
      <c r="D945" s="56" t="s">
        <v>16830</v>
      </c>
      <c r="E945" s="10" t="s">
        <v>79</v>
      </c>
      <c r="F945" s="10" t="s">
        <v>16831</v>
      </c>
      <c r="G945" s="10" t="s">
        <v>15829</v>
      </c>
      <c r="H945" s="10" t="s">
        <v>152</v>
      </c>
      <c r="I945" s="10" t="s">
        <v>55</v>
      </c>
      <c r="J945" s="10" t="s">
        <v>17117</v>
      </c>
      <c r="K945" s="10" t="s">
        <v>16832</v>
      </c>
      <c r="L945" s="10" t="s">
        <v>42</v>
      </c>
    </row>
    <row r="946" ht="15.75" customHeight="1">
      <c r="A946" s="64">
        <v>45442.0</v>
      </c>
      <c r="B946" s="55" t="str">
        <f>HYPERLINK("https://jobright.ai/jobs/info/66592b8dfb1dd944df45a450?utm_campaign=1051&amp;utm_source=sheet", "Apply")</f>
        <v>Apply</v>
      </c>
      <c r="C946" s="10" t="s">
        <v>17009</v>
      </c>
      <c r="D946" s="56" t="s">
        <v>16830</v>
      </c>
      <c r="E946" s="10" t="s">
        <v>79</v>
      </c>
      <c r="F946" s="10" t="s">
        <v>16831</v>
      </c>
      <c r="G946" s="10" t="s">
        <v>15829</v>
      </c>
      <c r="H946" s="10" t="s">
        <v>152</v>
      </c>
      <c r="I946" s="10" t="s">
        <v>55</v>
      </c>
      <c r="J946" s="10" t="s">
        <v>17117</v>
      </c>
      <c r="K946" s="10" t="s">
        <v>16832</v>
      </c>
      <c r="L946" s="10" t="s">
        <v>42</v>
      </c>
    </row>
    <row r="947" ht="15.75" customHeight="1">
      <c r="A947" s="64">
        <v>45442.0</v>
      </c>
      <c r="B947" s="55" t="str">
        <f>HYPERLINK("https://jobright.ai/jobs/info/66740f515ff28865e7a71951?utm_campaign=1051&amp;utm_source=sheet", "Apply")</f>
        <v>Apply</v>
      </c>
      <c r="C947" s="10" t="s">
        <v>17119</v>
      </c>
      <c r="D947" s="56" t="s">
        <v>17120</v>
      </c>
      <c r="E947" s="10">
        <v>4.0</v>
      </c>
      <c r="G947" s="10" t="s">
        <v>15793</v>
      </c>
      <c r="H947" s="10" t="s">
        <v>848</v>
      </c>
      <c r="I947" s="10" t="s">
        <v>55</v>
      </c>
      <c r="J947" s="10" t="s">
        <v>17121</v>
      </c>
      <c r="K947" s="10" t="s">
        <v>17122</v>
      </c>
      <c r="L947" s="10" t="s">
        <v>42</v>
      </c>
    </row>
    <row r="948" ht="15.75" customHeight="1">
      <c r="A948" s="64">
        <v>45442.0</v>
      </c>
      <c r="B948" s="55" t="str">
        <f>HYPERLINK("https://jobright.ai/jobs/info/66685f75b3577e6d5da7adaa?utm_campaign=1051&amp;utm_source=sheet", "Apply")</f>
        <v>Apply</v>
      </c>
      <c r="C948" s="10" t="s">
        <v>17123</v>
      </c>
      <c r="D948" s="56" t="s">
        <v>1496</v>
      </c>
      <c r="E948" s="10" t="s">
        <v>45</v>
      </c>
      <c r="F948" s="10" t="s">
        <v>1497</v>
      </c>
      <c r="G948" s="10" t="s">
        <v>100</v>
      </c>
      <c r="H948" s="10" t="s">
        <v>12374</v>
      </c>
      <c r="I948" s="10" t="s">
        <v>55</v>
      </c>
      <c r="K948" s="10" t="s">
        <v>17124</v>
      </c>
      <c r="L948" s="10" t="s">
        <v>42</v>
      </c>
    </row>
    <row r="949" ht="15.75" customHeight="1">
      <c r="A949" s="64">
        <v>45441.0</v>
      </c>
      <c r="B949" s="55" t="str">
        <f>HYPERLINK("https://jobright.ai/jobs/info/665d81552492096ac0690037?utm_campaign=1051&amp;utm_source=sheet", "Apply")</f>
        <v>Apply</v>
      </c>
      <c r="C949" s="10" t="s">
        <v>17125</v>
      </c>
      <c r="D949" s="56" t="s">
        <v>17126</v>
      </c>
      <c r="E949" s="10" t="s">
        <v>249</v>
      </c>
      <c r="F949" s="10" t="s">
        <v>17127</v>
      </c>
      <c r="G949" s="10" t="s">
        <v>15787</v>
      </c>
      <c r="H949" s="10" t="s">
        <v>2275</v>
      </c>
      <c r="I949" s="10" t="s">
        <v>55</v>
      </c>
      <c r="J949" s="10" t="s">
        <v>17128</v>
      </c>
      <c r="K949" s="10" t="s">
        <v>17129</v>
      </c>
      <c r="L949" s="10" t="s">
        <v>42</v>
      </c>
    </row>
    <row r="950" ht="15.75" customHeight="1">
      <c r="A950" s="64">
        <v>45440.0</v>
      </c>
      <c r="B950" s="55" t="str">
        <f>HYPERLINK("https://jobright.ai/jobs/info/66567a90d03dbae0ead72791?utm_campaign=1051&amp;utm_source=sheet", "Apply")</f>
        <v>Apply</v>
      </c>
      <c r="C950" s="10" t="s">
        <v>17130</v>
      </c>
      <c r="D950" s="56" t="s">
        <v>2174</v>
      </c>
      <c r="E950" s="10">
        <v>294.0</v>
      </c>
      <c r="G950" s="10" t="s">
        <v>15787</v>
      </c>
      <c r="H950" s="10" t="s">
        <v>956</v>
      </c>
      <c r="I950" s="10" t="s">
        <v>55</v>
      </c>
      <c r="J950" s="10" t="s">
        <v>1608</v>
      </c>
      <c r="K950" s="10" t="s">
        <v>17131</v>
      </c>
      <c r="L950" s="10" t="s">
        <v>42</v>
      </c>
    </row>
    <row r="951" ht="15.75" customHeight="1">
      <c r="A951" s="64">
        <v>45440.0</v>
      </c>
      <c r="B951" s="55" t="str">
        <f>HYPERLINK("https://jobright.ai/jobs/info/66566e709dfa60b19fadc108?utm_campaign=1051&amp;utm_source=sheet", "Apply")</f>
        <v>Apply</v>
      </c>
      <c r="C951" s="10" t="s">
        <v>17132</v>
      </c>
      <c r="D951" s="56" t="s">
        <v>2174</v>
      </c>
      <c r="E951" s="10">
        <v>294.0</v>
      </c>
      <c r="G951" s="10" t="s">
        <v>100</v>
      </c>
      <c r="H951" s="10" t="s">
        <v>96</v>
      </c>
      <c r="I951" s="10" t="s">
        <v>55</v>
      </c>
      <c r="J951" s="10" t="s">
        <v>1608</v>
      </c>
      <c r="K951" s="10" t="s">
        <v>17133</v>
      </c>
      <c r="L951" s="10" t="s">
        <v>42</v>
      </c>
    </row>
    <row r="952" ht="15.75" customHeight="1">
      <c r="A952" s="64">
        <v>45440.0</v>
      </c>
      <c r="B952" s="55" t="str">
        <f>HYPERLINK("https://jobright.ai/jobs/info/66566ee79dfa60b19fadcc7b?utm_campaign=1051&amp;utm_source=sheet", "Apply")</f>
        <v>Apply</v>
      </c>
      <c r="C952" s="10" t="s">
        <v>17134</v>
      </c>
      <c r="D952" s="56" t="s">
        <v>2174</v>
      </c>
      <c r="E952" s="10">
        <v>294.0</v>
      </c>
      <c r="G952" s="10" t="s">
        <v>100</v>
      </c>
      <c r="H952" s="10" t="s">
        <v>956</v>
      </c>
      <c r="I952" s="10" t="s">
        <v>55</v>
      </c>
      <c r="J952" s="10" t="s">
        <v>1608</v>
      </c>
      <c r="K952" s="10" t="s">
        <v>17131</v>
      </c>
      <c r="L952" s="10" t="s">
        <v>42</v>
      </c>
    </row>
    <row r="953" ht="15.75" customHeight="1">
      <c r="A953" s="64">
        <v>45440.0</v>
      </c>
      <c r="B953" s="55" t="str">
        <f>HYPERLINK("https://jobright.ai/jobs/info/665640f37d6fa3559d7daeb9?utm_campaign=1051&amp;utm_source=sheet", "Apply")</f>
        <v>Apply</v>
      </c>
      <c r="C953" s="10" t="s">
        <v>17135</v>
      </c>
      <c r="D953" s="56" t="s">
        <v>16830</v>
      </c>
      <c r="E953" s="10" t="s">
        <v>79</v>
      </c>
      <c r="F953" s="10" t="s">
        <v>16831</v>
      </c>
      <c r="G953" s="10" t="s">
        <v>15829</v>
      </c>
      <c r="H953" s="10" t="s">
        <v>131</v>
      </c>
      <c r="I953" s="10" t="s">
        <v>55</v>
      </c>
      <c r="J953" s="10" t="s">
        <v>15596</v>
      </c>
      <c r="K953" s="10" t="s">
        <v>16896</v>
      </c>
      <c r="L953" s="10" t="s">
        <v>42</v>
      </c>
    </row>
    <row r="954" ht="15.75" customHeight="1">
      <c r="A954" s="64">
        <v>45440.0</v>
      </c>
      <c r="B954" s="55" t="str">
        <f>HYPERLINK("https://jobright.ai/jobs/info/665640f37d6fa3559d7daebd?utm_campaign=1051&amp;utm_source=sheet", "Apply")</f>
        <v>Apply</v>
      </c>
      <c r="C954" s="10" t="s">
        <v>17136</v>
      </c>
      <c r="D954" s="56" t="s">
        <v>16830</v>
      </c>
      <c r="E954" s="10" t="s">
        <v>79</v>
      </c>
      <c r="F954" s="10" t="s">
        <v>16831</v>
      </c>
      <c r="G954" s="10" t="s">
        <v>15829</v>
      </c>
      <c r="H954" s="10" t="s">
        <v>17137</v>
      </c>
      <c r="I954" s="10" t="s">
        <v>55</v>
      </c>
      <c r="J954" s="10" t="s">
        <v>15596</v>
      </c>
      <c r="K954" s="10" t="s">
        <v>16896</v>
      </c>
      <c r="L954" s="10" t="s">
        <v>42</v>
      </c>
    </row>
    <row r="955" ht="15.75" customHeight="1">
      <c r="A955" s="64">
        <v>45440.0</v>
      </c>
      <c r="B955" s="55" t="str">
        <f>HYPERLINK("https://jobright.ai/jobs/info/665640f37d6fa3559d7daedb?utm_campaign=1051&amp;utm_source=sheet", "Apply")</f>
        <v>Apply</v>
      </c>
      <c r="C955" s="10" t="s">
        <v>17138</v>
      </c>
      <c r="D955" s="56" t="s">
        <v>16830</v>
      </c>
      <c r="E955" s="10" t="s">
        <v>79</v>
      </c>
      <c r="F955" s="10" t="s">
        <v>16831</v>
      </c>
      <c r="G955" s="10" t="s">
        <v>15829</v>
      </c>
      <c r="H955" s="10" t="s">
        <v>919</v>
      </c>
      <c r="I955" s="10" t="s">
        <v>55</v>
      </c>
      <c r="J955" s="10" t="s">
        <v>15596</v>
      </c>
      <c r="K955" s="10" t="s">
        <v>16896</v>
      </c>
      <c r="L955" s="10" t="s">
        <v>42</v>
      </c>
    </row>
    <row r="956" ht="15.75" customHeight="1">
      <c r="A956" s="64">
        <v>45440.0</v>
      </c>
      <c r="B956" s="55" t="str">
        <f>HYPERLINK("https://jobright.ai/jobs/info/6668760e33709360ffdc8f3d?utm_campaign=1051&amp;utm_source=sheet", "Apply")</f>
        <v>Apply</v>
      </c>
      <c r="C956" s="10" t="s">
        <v>17139</v>
      </c>
      <c r="D956" s="56" t="s">
        <v>1559</v>
      </c>
      <c r="E956" s="10" t="s">
        <v>45</v>
      </c>
      <c r="F956" s="10" t="s">
        <v>1485</v>
      </c>
      <c r="G956" s="10" t="s">
        <v>100</v>
      </c>
      <c r="H956" s="10" t="s">
        <v>1560</v>
      </c>
      <c r="I956" s="10" t="s">
        <v>55</v>
      </c>
      <c r="K956" s="10" t="s">
        <v>17140</v>
      </c>
      <c r="L956" s="10" t="s">
        <v>42</v>
      </c>
    </row>
    <row r="957" ht="15.75" customHeight="1">
      <c r="A957" s="64">
        <v>45439.0</v>
      </c>
      <c r="B957" s="55" t="str">
        <f>HYPERLINK("https://jobright.ai/jobs/info/665528497051dddd7d104a51?utm_campaign=1051&amp;utm_source=sheet", "Apply")</f>
        <v>Apply</v>
      </c>
      <c r="C957" s="10" t="s">
        <v>17141</v>
      </c>
      <c r="D957" s="56" t="s">
        <v>17142</v>
      </c>
      <c r="E957" s="10">
        <v>7.0</v>
      </c>
      <c r="G957" s="10" t="s">
        <v>15784</v>
      </c>
      <c r="H957" s="10" t="s">
        <v>12767</v>
      </c>
      <c r="I957" s="10" t="s">
        <v>55</v>
      </c>
      <c r="K957" s="10" t="s">
        <v>17143</v>
      </c>
      <c r="L957" s="10" t="s">
        <v>42</v>
      </c>
    </row>
    <row r="958" ht="15.75" customHeight="1">
      <c r="A958" s="64">
        <v>45439.0</v>
      </c>
      <c r="B958" s="55" t="str">
        <f>HYPERLINK("https://jobright.ai/jobs/info/667c329e9f00ed44e1dd3b43?utm_campaign=1051&amp;utm_source=sheet", "Apply")</f>
        <v>Apply</v>
      </c>
      <c r="C958" s="10" t="s">
        <v>17144</v>
      </c>
      <c r="D958" s="56" t="s">
        <v>17145</v>
      </c>
      <c r="E958" s="10" t="s">
        <v>209</v>
      </c>
      <c r="F958" s="10" t="s">
        <v>17146</v>
      </c>
      <c r="G958" s="10" t="s">
        <v>100</v>
      </c>
      <c r="H958" s="10" t="s">
        <v>14929</v>
      </c>
      <c r="I958" s="10" t="s">
        <v>55</v>
      </c>
      <c r="K958" s="10" t="s">
        <v>17147</v>
      </c>
      <c r="L958" s="10" t="s">
        <v>42</v>
      </c>
    </row>
    <row r="959" ht="15.75" customHeight="1">
      <c r="A959" s="64">
        <v>45439.0</v>
      </c>
      <c r="B959" s="55" t="str">
        <f>HYPERLINK("https://jobright.ai/jobs/info/666883e3f8309f8de12c5728?utm_campaign=1051&amp;utm_source=sheet", "Apply")</f>
        <v>Apply</v>
      </c>
      <c r="C959" s="10" t="s">
        <v>17148</v>
      </c>
      <c r="D959" s="56" t="s">
        <v>17062</v>
      </c>
      <c r="E959" s="10" t="s">
        <v>45</v>
      </c>
      <c r="F959" s="10" t="s">
        <v>12539</v>
      </c>
      <c r="G959" s="10" t="s">
        <v>15829</v>
      </c>
      <c r="H959" s="10" t="s">
        <v>9053</v>
      </c>
      <c r="I959" s="10" t="s">
        <v>55</v>
      </c>
      <c r="K959" s="10" t="s">
        <v>17063</v>
      </c>
      <c r="L959" s="10" t="s">
        <v>42</v>
      </c>
    </row>
    <row r="960" ht="15.75" customHeight="1">
      <c r="A960" s="64">
        <v>45439.0</v>
      </c>
      <c r="B960" s="55" t="str">
        <f>HYPERLINK("https://jobright.ai/jobs/info/665d817d2492096ac06902dc?utm_campaign=1051&amp;utm_source=sheet", "Apply")</f>
        <v>Apply</v>
      </c>
      <c r="C960" s="10" t="s">
        <v>17149</v>
      </c>
      <c r="D960" s="56" t="s">
        <v>17150</v>
      </c>
      <c r="E960" s="10" t="s">
        <v>249</v>
      </c>
      <c r="F960" s="10" t="s">
        <v>17151</v>
      </c>
      <c r="G960" s="10" t="s">
        <v>15787</v>
      </c>
      <c r="H960" s="10" t="s">
        <v>2275</v>
      </c>
      <c r="I960" s="10" t="s">
        <v>48</v>
      </c>
      <c r="K960" s="10" t="s">
        <v>17152</v>
      </c>
      <c r="L960" s="10" t="s">
        <v>42</v>
      </c>
    </row>
    <row r="961" ht="15.75" customHeight="1">
      <c r="A961" s="64">
        <v>45439.0</v>
      </c>
      <c r="B961" s="55" t="str">
        <f>HYPERLINK("https://jobright.ai/jobs/info/6662929fd207c74779ac7a87?utm_campaign=1051&amp;utm_source=sheet", "Apply")</f>
        <v>Apply</v>
      </c>
      <c r="C961" s="10" t="s">
        <v>17153</v>
      </c>
      <c r="D961" s="56" t="s">
        <v>17154</v>
      </c>
      <c r="E961" s="10" t="s">
        <v>276</v>
      </c>
      <c r="F961" s="10" t="s">
        <v>17155</v>
      </c>
      <c r="G961" s="10" t="s">
        <v>15793</v>
      </c>
      <c r="H961" s="10" t="s">
        <v>17156</v>
      </c>
      <c r="I961" s="10" t="s">
        <v>252</v>
      </c>
      <c r="K961" s="10" t="s">
        <v>17157</v>
      </c>
      <c r="L961" s="10" t="s">
        <v>42</v>
      </c>
    </row>
    <row r="962" ht="15.75" customHeight="1">
      <c r="A962" s="64">
        <v>45439.0</v>
      </c>
      <c r="B962" s="55" t="str">
        <f>HYPERLINK("https://jobright.ai/jobs/info/6662929fd207c74779ac7ab1?utm_campaign=1051&amp;utm_source=sheet", "Apply")</f>
        <v>Apply</v>
      </c>
      <c r="C962" s="10" t="s">
        <v>17158</v>
      </c>
      <c r="D962" s="56" t="s">
        <v>17154</v>
      </c>
      <c r="E962" s="10" t="s">
        <v>276</v>
      </c>
      <c r="F962" s="10" t="s">
        <v>17155</v>
      </c>
      <c r="G962" s="10" t="s">
        <v>15829</v>
      </c>
      <c r="H962" s="10" t="s">
        <v>17156</v>
      </c>
      <c r="I962" s="10" t="s">
        <v>252</v>
      </c>
      <c r="K962" s="10" t="s">
        <v>17157</v>
      </c>
      <c r="L962" s="10" t="s">
        <v>42</v>
      </c>
    </row>
    <row r="963" ht="15.75" customHeight="1">
      <c r="A963" s="64">
        <v>45438.0</v>
      </c>
      <c r="B963" s="55" t="str">
        <f>HYPERLINK("https://jobright.ai/jobs/info/66742d0e668628c49c216725?utm_campaign=1051&amp;utm_source=sheet", "Apply")</f>
        <v>Apply</v>
      </c>
      <c r="C963" s="10" t="s">
        <v>17159</v>
      </c>
      <c r="D963" s="56" t="s">
        <v>15295</v>
      </c>
      <c r="E963" s="10" t="s">
        <v>45</v>
      </c>
      <c r="F963" s="10" t="s">
        <v>15296</v>
      </c>
      <c r="G963" s="10" t="s">
        <v>15793</v>
      </c>
      <c r="H963" s="10" t="s">
        <v>5908</v>
      </c>
      <c r="I963" s="10" t="s">
        <v>55</v>
      </c>
      <c r="J963" s="10" t="s">
        <v>1409</v>
      </c>
      <c r="K963" s="10" t="s">
        <v>15353</v>
      </c>
      <c r="L963" s="10" t="s">
        <v>42</v>
      </c>
    </row>
    <row r="964" ht="15.75" customHeight="1">
      <c r="A964" s="64">
        <v>45437.0</v>
      </c>
      <c r="B964" s="55" t="str">
        <f>HYPERLINK("https://jobright.ai/jobs/info/6677ddf4fbac42152a1475a6?utm_campaign=1051&amp;utm_source=sheet", "Apply")</f>
        <v>Apply</v>
      </c>
      <c r="C964" s="10" t="s">
        <v>17160</v>
      </c>
      <c r="D964" s="56" t="s">
        <v>17161</v>
      </c>
      <c r="E964" s="10" t="s">
        <v>276</v>
      </c>
      <c r="F964" s="10" t="s">
        <v>1084</v>
      </c>
      <c r="G964" s="10" t="s">
        <v>15793</v>
      </c>
      <c r="H964" s="10" t="s">
        <v>17162</v>
      </c>
      <c r="I964" s="10" t="s">
        <v>55</v>
      </c>
      <c r="K964" s="10" t="s">
        <v>17163</v>
      </c>
      <c r="L964" s="10" t="s">
        <v>42</v>
      </c>
    </row>
    <row r="965" ht="15.75" customHeight="1">
      <c r="A965" s="64">
        <v>45437.0</v>
      </c>
      <c r="B965" s="55" t="str">
        <f>HYPERLINK("https://jobright.ai/jobs/info/6677dc88fbac42152a1459d9?utm_campaign=1051&amp;utm_source=sheet", "Apply")</f>
        <v>Apply</v>
      </c>
      <c r="C965" s="10" t="s">
        <v>15918</v>
      </c>
      <c r="D965" s="56" t="s">
        <v>17164</v>
      </c>
      <c r="E965" s="10" t="s">
        <v>137</v>
      </c>
      <c r="F965" s="10" t="s">
        <v>17165</v>
      </c>
      <c r="G965" s="10" t="s">
        <v>15793</v>
      </c>
      <c r="H965" s="10" t="s">
        <v>165</v>
      </c>
      <c r="I965" s="10" t="s">
        <v>55</v>
      </c>
      <c r="K965" s="10" t="s">
        <v>17166</v>
      </c>
      <c r="L965" s="10" t="s">
        <v>42</v>
      </c>
    </row>
    <row r="966" ht="15.75" customHeight="1">
      <c r="A966" s="64">
        <v>45437.0</v>
      </c>
      <c r="B966" s="55" t="str">
        <f>HYPERLINK("https://jobright.ai/jobs/info/6677dc88fbac42152a145a49?utm_campaign=1051&amp;utm_source=sheet", "Apply")</f>
        <v>Apply</v>
      </c>
      <c r="C966" s="10" t="s">
        <v>15799</v>
      </c>
      <c r="D966" s="56" t="s">
        <v>17164</v>
      </c>
      <c r="E966" s="10" t="s">
        <v>137</v>
      </c>
      <c r="F966" s="10" t="s">
        <v>17165</v>
      </c>
      <c r="G966" s="10" t="s">
        <v>100</v>
      </c>
      <c r="H966" s="10" t="s">
        <v>165</v>
      </c>
      <c r="I966" s="10" t="s">
        <v>55</v>
      </c>
      <c r="K966" s="10" t="s">
        <v>17166</v>
      </c>
      <c r="L966" s="10" t="s">
        <v>42</v>
      </c>
    </row>
    <row r="967" ht="15.75" customHeight="1">
      <c r="A967" s="64">
        <v>45437.0</v>
      </c>
      <c r="B967" s="55" t="str">
        <f>HYPERLINK("https://jobright.ai/jobs/info/66795be1dcb1db3fc098f10b?utm_campaign=1051&amp;utm_source=sheet", "Apply")</f>
        <v>Apply</v>
      </c>
      <c r="C967" s="10" t="s">
        <v>15838</v>
      </c>
      <c r="D967" s="56" t="s">
        <v>15839</v>
      </c>
      <c r="E967" s="10">
        <v>4852.0</v>
      </c>
      <c r="G967" s="10" t="s">
        <v>15829</v>
      </c>
      <c r="H967" s="10" t="s">
        <v>952</v>
      </c>
      <c r="I967" s="10" t="s">
        <v>55</v>
      </c>
      <c r="K967" s="10" t="s">
        <v>15840</v>
      </c>
      <c r="L967" s="10" t="s">
        <v>42</v>
      </c>
    </row>
    <row r="968" ht="15.75" customHeight="1">
      <c r="A968" s="64">
        <v>45437.0</v>
      </c>
      <c r="B968" s="55" t="str">
        <f>HYPERLINK("https://jobright.ai/jobs/info/665484fbdc70ef329d81fc84?utm_campaign=1051&amp;utm_source=sheet", "Apply")</f>
        <v>Apply</v>
      </c>
      <c r="C968" s="10" t="s">
        <v>17096</v>
      </c>
      <c r="D968" s="56" t="s">
        <v>17167</v>
      </c>
      <c r="E968" s="10" t="s">
        <v>137</v>
      </c>
      <c r="F968" s="10" t="s">
        <v>14028</v>
      </c>
      <c r="G968" s="10" t="s">
        <v>15814</v>
      </c>
      <c r="H968" s="10" t="s">
        <v>17168</v>
      </c>
      <c r="I968" s="10" t="s">
        <v>55</v>
      </c>
      <c r="K968" s="10" t="s">
        <v>17169</v>
      </c>
      <c r="L968" s="10" t="s">
        <v>42</v>
      </c>
    </row>
    <row r="969" ht="15.75" customHeight="1">
      <c r="A969" s="64">
        <v>45436.0</v>
      </c>
      <c r="B969" s="55" t="str">
        <f>HYPERLINK("https://jobright.ai/jobs/info/6668846ff8309f8de12c5812?utm_campaign=1051&amp;utm_source=sheet", "Apply")</f>
        <v>Apply</v>
      </c>
      <c r="C969" s="10" t="s">
        <v>17170</v>
      </c>
      <c r="D969" s="56" t="s">
        <v>17062</v>
      </c>
      <c r="E969" s="10" t="s">
        <v>45</v>
      </c>
      <c r="F969" s="10" t="s">
        <v>12539</v>
      </c>
      <c r="G969" s="10" t="s">
        <v>15829</v>
      </c>
      <c r="H969" s="10" t="s">
        <v>17171</v>
      </c>
      <c r="I969" s="10" t="s">
        <v>55</v>
      </c>
      <c r="K969" s="10" t="s">
        <v>17063</v>
      </c>
      <c r="L969" s="10" t="s">
        <v>42</v>
      </c>
    </row>
    <row r="970" ht="15.75" customHeight="1">
      <c r="A970" s="64">
        <v>45436.0</v>
      </c>
      <c r="B970" s="55" t="str">
        <f>HYPERLINK("https://jobright.ai/jobs/info/66583ba1802ee0ffc31b1eb6?utm_campaign=1051&amp;utm_source=sheet", "Apply")</f>
        <v>Apply</v>
      </c>
      <c r="C970" s="10" t="s">
        <v>15799</v>
      </c>
      <c r="D970" s="56" t="s">
        <v>17164</v>
      </c>
      <c r="E970" s="10" t="s">
        <v>137</v>
      </c>
      <c r="F970" s="10" t="s">
        <v>17165</v>
      </c>
      <c r="G970" s="10" t="s">
        <v>100</v>
      </c>
      <c r="H970" s="10" t="s">
        <v>17172</v>
      </c>
      <c r="I970" s="10" t="s">
        <v>252</v>
      </c>
      <c r="K970" s="10" t="s">
        <v>17166</v>
      </c>
      <c r="L970" s="10" t="s">
        <v>42</v>
      </c>
    </row>
    <row r="971" ht="15.75" customHeight="1">
      <c r="A971" s="64">
        <v>45436.0</v>
      </c>
      <c r="B971" s="55" t="str">
        <f>HYPERLINK("https://jobright.ai/jobs/info/66583b9a802ee0ffc31b1e8d?utm_campaign=1051&amp;utm_source=sheet", "Apply")</f>
        <v>Apply</v>
      </c>
      <c r="C971" s="10" t="s">
        <v>15918</v>
      </c>
      <c r="D971" s="56" t="s">
        <v>17164</v>
      </c>
      <c r="E971" s="10" t="s">
        <v>137</v>
      </c>
      <c r="F971" s="10" t="s">
        <v>17165</v>
      </c>
      <c r="G971" s="10" t="s">
        <v>15793</v>
      </c>
      <c r="H971" s="10" t="s">
        <v>17172</v>
      </c>
      <c r="I971" s="10" t="s">
        <v>252</v>
      </c>
      <c r="K971" s="10" t="s">
        <v>17166</v>
      </c>
      <c r="L971" s="10" t="s">
        <v>42</v>
      </c>
    </row>
    <row r="972" ht="15.75" customHeight="1">
      <c r="A972" s="64">
        <v>45435.0</v>
      </c>
      <c r="B972" s="55" t="str">
        <f>HYPERLINK("https://jobright.ai/jobs/info/6677e275783a239da84184c9?utm_campaign=1051&amp;utm_source=sheet", "Apply")</f>
        <v>Apply</v>
      </c>
      <c r="C972" s="10" t="s">
        <v>16286</v>
      </c>
      <c r="D972" s="56" t="s">
        <v>16287</v>
      </c>
      <c r="E972" s="10" t="s">
        <v>45</v>
      </c>
      <c r="F972" s="10" t="s">
        <v>13636</v>
      </c>
      <c r="G972" s="10" t="s">
        <v>15793</v>
      </c>
      <c r="H972" s="10" t="s">
        <v>846</v>
      </c>
      <c r="I972" s="10" t="s">
        <v>55</v>
      </c>
      <c r="K972" s="10" t="s">
        <v>16288</v>
      </c>
      <c r="L972" s="10" t="s">
        <v>42</v>
      </c>
    </row>
    <row r="973" ht="15.75" customHeight="1">
      <c r="A973" s="64">
        <v>45435.0</v>
      </c>
      <c r="B973" s="55" t="str">
        <f>HYPERLINK("https://jobright.ai/jobs/info/6677e281783a239da841859e?utm_campaign=1051&amp;utm_source=sheet", "Apply")</f>
        <v>Apply</v>
      </c>
      <c r="C973" s="10" t="s">
        <v>16286</v>
      </c>
      <c r="D973" s="56" t="s">
        <v>16287</v>
      </c>
      <c r="E973" s="10" t="s">
        <v>45</v>
      </c>
      <c r="F973" s="10" t="s">
        <v>13636</v>
      </c>
      <c r="G973" s="10" t="s">
        <v>15793</v>
      </c>
      <c r="H973" s="10" t="s">
        <v>106</v>
      </c>
      <c r="I973" s="10" t="s">
        <v>55</v>
      </c>
      <c r="J973" s="10" t="s">
        <v>724</v>
      </c>
      <c r="K973" s="10" t="s">
        <v>16288</v>
      </c>
      <c r="L973" s="10" t="s">
        <v>42</v>
      </c>
    </row>
    <row r="974" ht="15.75" customHeight="1">
      <c r="A974" s="64">
        <v>45435.0</v>
      </c>
      <c r="B974" s="55" t="str">
        <f>HYPERLINK("https://jobright.ai/jobs/info/6677e295783a239da84186e0?utm_campaign=1051&amp;utm_source=sheet", "Apply")</f>
        <v>Apply</v>
      </c>
      <c r="C974" s="10" t="s">
        <v>14852</v>
      </c>
      <c r="D974" s="56" t="s">
        <v>2314</v>
      </c>
      <c r="E974" s="10" t="s">
        <v>209</v>
      </c>
      <c r="F974" s="10" t="s">
        <v>2315</v>
      </c>
      <c r="G974" s="10" t="s">
        <v>15854</v>
      </c>
      <c r="H974" s="10" t="s">
        <v>4420</v>
      </c>
      <c r="I974" s="10" t="s">
        <v>55</v>
      </c>
      <c r="K974" s="10" t="s">
        <v>17173</v>
      </c>
      <c r="L974" s="10" t="s">
        <v>42</v>
      </c>
    </row>
    <row r="975" ht="15.75" customHeight="1">
      <c r="A975" s="64">
        <v>45435.0</v>
      </c>
      <c r="B975" s="55" t="str">
        <f>HYPERLINK("https://jobright.ai/jobs/info/6677e2cf783a239da8418b6f?utm_campaign=1051&amp;utm_source=sheet", "Apply")</f>
        <v>Apply</v>
      </c>
      <c r="C975" s="10" t="s">
        <v>16286</v>
      </c>
      <c r="D975" s="56" t="s">
        <v>16287</v>
      </c>
      <c r="E975" s="10" t="s">
        <v>45</v>
      </c>
      <c r="F975" s="10" t="s">
        <v>13636</v>
      </c>
      <c r="G975" s="10" t="s">
        <v>15793</v>
      </c>
      <c r="H975" s="10" t="s">
        <v>15952</v>
      </c>
      <c r="I975" s="10" t="s">
        <v>55</v>
      </c>
      <c r="K975" s="10" t="s">
        <v>16288</v>
      </c>
      <c r="L975" s="10" t="s">
        <v>42</v>
      </c>
    </row>
    <row r="976" ht="15.75" customHeight="1">
      <c r="A976" s="64">
        <v>45435.0</v>
      </c>
      <c r="B976" s="55" t="str">
        <f>HYPERLINK("https://jobright.ai/jobs/info/6677e2ec783a239da8418d94?utm_campaign=1051&amp;utm_source=sheet", "Apply")</f>
        <v>Apply</v>
      </c>
      <c r="C976" s="10" t="s">
        <v>16286</v>
      </c>
      <c r="D976" s="56" t="s">
        <v>16287</v>
      </c>
      <c r="E976" s="10" t="s">
        <v>45</v>
      </c>
      <c r="F976" s="10" t="s">
        <v>13636</v>
      </c>
      <c r="G976" s="10" t="s">
        <v>15793</v>
      </c>
      <c r="H976" s="10" t="s">
        <v>966</v>
      </c>
      <c r="I976" s="10" t="s">
        <v>55</v>
      </c>
      <c r="K976" s="10" t="s">
        <v>16288</v>
      </c>
      <c r="L976" s="10" t="s">
        <v>42</v>
      </c>
    </row>
    <row r="977" ht="15.75" customHeight="1">
      <c r="A977" s="64">
        <v>45435.0</v>
      </c>
      <c r="B977" s="55" t="str">
        <f>HYPERLINK("https://jobright.ai/jobs/info/6677e2ec783a239da8418dec?utm_campaign=1051&amp;utm_source=sheet", "Apply")</f>
        <v>Apply</v>
      </c>
      <c r="C977" s="10" t="s">
        <v>16286</v>
      </c>
      <c r="D977" s="56" t="s">
        <v>16287</v>
      </c>
      <c r="E977" s="10" t="s">
        <v>45</v>
      </c>
      <c r="F977" s="10" t="s">
        <v>13636</v>
      </c>
      <c r="G977" s="10" t="s">
        <v>15793</v>
      </c>
      <c r="H977" s="10" t="s">
        <v>17174</v>
      </c>
      <c r="I977" s="10" t="s">
        <v>55</v>
      </c>
      <c r="J977" s="10" t="s">
        <v>724</v>
      </c>
      <c r="K977" s="10" t="s">
        <v>16288</v>
      </c>
      <c r="L977" s="10" t="s">
        <v>42</v>
      </c>
    </row>
    <row r="978" ht="15.75" customHeight="1">
      <c r="A978" s="64">
        <v>45435.0</v>
      </c>
      <c r="B978" s="55" t="str">
        <f>HYPERLINK("https://jobright.ai/jobs/info/6677e2ec783a239da8418e31?utm_campaign=1051&amp;utm_source=sheet", "Apply")</f>
        <v>Apply</v>
      </c>
      <c r="C978" s="10" t="s">
        <v>16286</v>
      </c>
      <c r="D978" s="56" t="s">
        <v>16287</v>
      </c>
      <c r="E978" s="10" t="s">
        <v>45</v>
      </c>
      <c r="F978" s="10" t="s">
        <v>13636</v>
      </c>
      <c r="G978" s="10" t="s">
        <v>15793</v>
      </c>
      <c r="H978" s="10" t="s">
        <v>930</v>
      </c>
      <c r="I978" s="10" t="s">
        <v>55</v>
      </c>
      <c r="J978" s="10" t="s">
        <v>17175</v>
      </c>
      <c r="K978" s="10" t="s">
        <v>16288</v>
      </c>
      <c r="L978" s="10" t="s">
        <v>42</v>
      </c>
    </row>
    <row r="979" ht="15.75" customHeight="1">
      <c r="A979" s="64">
        <v>45435.0</v>
      </c>
      <c r="B979" s="55" t="str">
        <f>HYPERLINK("https://jobright.ai/jobs/info/6677e2f6783a239da8418ea7?utm_campaign=1051&amp;utm_source=sheet", "Apply")</f>
        <v>Apply</v>
      </c>
      <c r="C979" s="10" t="s">
        <v>16286</v>
      </c>
      <c r="D979" s="56" t="s">
        <v>16287</v>
      </c>
      <c r="E979" s="10" t="s">
        <v>45</v>
      </c>
      <c r="F979" s="10" t="s">
        <v>13636</v>
      </c>
      <c r="G979" s="10" t="s">
        <v>15793</v>
      </c>
      <c r="H979" s="10" t="s">
        <v>4423</v>
      </c>
      <c r="I979" s="10" t="s">
        <v>55</v>
      </c>
      <c r="J979" s="10" t="s">
        <v>724</v>
      </c>
      <c r="K979" s="10" t="s">
        <v>16288</v>
      </c>
      <c r="L979" s="10" t="s">
        <v>42</v>
      </c>
    </row>
    <row r="980" ht="15.75" customHeight="1">
      <c r="A980" s="64">
        <v>45435.0</v>
      </c>
      <c r="B980" s="55" t="str">
        <f>HYPERLINK("https://jobright.ai/jobs/info/6677e2f6783a239da8418eb5?utm_campaign=1051&amp;utm_source=sheet", "Apply")</f>
        <v>Apply</v>
      </c>
      <c r="C980" s="10" t="s">
        <v>16286</v>
      </c>
      <c r="D980" s="56" t="s">
        <v>16287</v>
      </c>
      <c r="E980" s="10" t="s">
        <v>45</v>
      </c>
      <c r="F980" s="10" t="s">
        <v>13636</v>
      </c>
      <c r="G980" s="10" t="s">
        <v>15793</v>
      </c>
      <c r="H980" s="10" t="s">
        <v>4423</v>
      </c>
      <c r="I980" s="10" t="s">
        <v>55</v>
      </c>
      <c r="K980" s="10" t="s">
        <v>16288</v>
      </c>
      <c r="L980" s="10" t="s">
        <v>42</v>
      </c>
    </row>
    <row r="981" ht="15.75" customHeight="1">
      <c r="A981" s="64">
        <v>45435.0</v>
      </c>
      <c r="B981" s="55" t="str">
        <f>HYPERLINK("https://jobright.ai/jobs/info/6677e300783a239da8418f30?utm_campaign=1051&amp;utm_source=sheet", "Apply")</f>
        <v>Apply</v>
      </c>
      <c r="C981" s="10" t="s">
        <v>16286</v>
      </c>
      <c r="D981" s="56" t="s">
        <v>16287</v>
      </c>
      <c r="E981" s="10" t="s">
        <v>45</v>
      </c>
      <c r="F981" s="10" t="s">
        <v>13636</v>
      </c>
      <c r="G981" s="10" t="s">
        <v>15793</v>
      </c>
      <c r="H981" s="10" t="s">
        <v>4001</v>
      </c>
      <c r="I981" s="10" t="s">
        <v>55</v>
      </c>
      <c r="J981" s="10" t="s">
        <v>724</v>
      </c>
      <c r="K981" s="10" t="s">
        <v>16288</v>
      </c>
      <c r="L981" s="10" t="s">
        <v>42</v>
      </c>
    </row>
    <row r="982" ht="15.75" customHeight="1">
      <c r="A982" s="64">
        <v>45435.0</v>
      </c>
      <c r="B982" s="55" t="str">
        <f>HYPERLINK("https://jobright.ai/jobs/info/6677e300783a239da8418fba?utm_campaign=1051&amp;utm_source=sheet", "Apply")</f>
        <v>Apply</v>
      </c>
      <c r="C982" s="10" t="s">
        <v>16286</v>
      </c>
      <c r="D982" s="56" t="s">
        <v>16287</v>
      </c>
      <c r="E982" s="10" t="s">
        <v>45</v>
      </c>
      <c r="F982" s="10" t="s">
        <v>13636</v>
      </c>
      <c r="G982" s="10" t="s">
        <v>15793</v>
      </c>
      <c r="H982" s="10" t="s">
        <v>106</v>
      </c>
      <c r="I982" s="10" t="s">
        <v>55</v>
      </c>
      <c r="J982" s="10" t="s">
        <v>724</v>
      </c>
      <c r="K982" s="10" t="s">
        <v>16288</v>
      </c>
      <c r="L982" s="10" t="s">
        <v>42</v>
      </c>
    </row>
    <row r="983" ht="15.75" customHeight="1">
      <c r="A983" s="64">
        <v>45435.0</v>
      </c>
      <c r="B983" s="55" t="str">
        <f>HYPERLINK("https://jobright.ai/jobs/info/6677e31f783a239da8419204?utm_campaign=1051&amp;utm_source=sheet", "Apply")</f>
        <v>Apply</v>
      </c>
      <c r="C983" s="10" t="s">
        <v>17176</v>
      </c>
      <c r="D983" s="56" t="s">
        <v>9821</v>
      </c>
      <c r="E983" s="10" t="s">
        <v>45</v>
      </c>
      <c r="F983" s="10" t="s">
        <v>3594</v>
      </c>
      <c r="G983" s="10" t="s">
        <v>15814</v>
      </c>
      <c r="H983" s="10" t="s">
        <v>411</v>
      </c>
      <c r="I983" s="10" t="s">
        <v>55</v>
      </c>
      <c r="J983" s="10" t="s">
        <v>17177</v>
      </c>
      <c r="K983" s="10" t="s">
        <v>16616</v>
      </c>
      <c r="L983" s="10" t="s">
        <v>42</v>
      </c>
    </row>
    <row r="984" ht="15.75" customHeight="1">
      <c r="A984" s="64">
        <v>45435.0</v>
      </c>
      <c r="B984" s="55" t="str">
        <f>HYPERLINK("https://jobright.ai/jobs/info/6677e212783a239da8417c6d?utm_campaign=1051&amp;utm_source=sheet", "Apply")</f>
        <v>Apply</v>
      </c>
      <c r="C984" s="10" t="s">
        <v>17178</v>
      </c>
      <c r="D984" s="56" t="s">
        <v>17179</v>
      </c>
      <c r="E984" s="10" t="s">
        <v>79</v>
      </c>
      <c r="F984" s="10" t="s">
        <v>331</v>
      </c>
      <c r="G984" s="10" t="s">
        <v>15793</v>
      </c>
      <c r="H984" s="10" t="s">
        <v>636</v>
      </c>
      <c r="I984" s="10" t="s">
        <v>55</v>
      </c>
      <c r="K984" s="10" t="s">
        <v>17180</v>
      </c>
      <c r="L984" s="10" t="s">
        <v>42</v>
      </c>
    </row>
    <row r="985" ht="15.75" customHeight="1">
      <c r="A985" s="64">
        <v>45435.0</v>
      </c>
      <c r="B985" s="55" t="str">
        <f>HYPERLINK("https://jobright.ai/jobs/info/6677e387783a239da8419ac2?utm_campaign=1051&amp;utm_source=sheet", "Apply")</f>
        <v>Apply</v>
      </c>
      <c r="C985" s="10" t="s">
        <v>16286</v>
      </c>
      <c r="D985" s="56" t="s">
        <v>16287</v>
      </c>
      <c r="E985" s="10" t="s">
        <v>45</v>
      </c>
      <c r="F985" s="10" t="s">
        <v>13636</v>
      </c>
      <c r="G985" s="10" t="s">
        <v>15793</v>
      </c>
      <c r="H985" s="10" t="s">
        <v>17181</v>
      </c>
      <c r="I985" s="10" t="s">
        <v>55</v>
      </c>
      <c r="K985" s="10" t="s">
        <v>16288</v>
      </c>
      <c r="L985" s="10" t="s">
        <v>42</v>
      </c>
    </row>
    <row r="986" ht="15.75" customHeight="1">
      <c r="A986" s="64">
        <v>45435.0</v>
      </c>
      <c r="B986" s="55" t="str">
        <f>HYPERLINK("https://jobright.ai/jobs/info/6677e73e8edbb3fe78f31a16?utm_campaign=1051&amp;utm_source=sheet", "Apply")</f>
        <v>Apply</v>
      </c>
      <c r="C986" s="10" t="s">
        <v>16286</v>
      </c>
      <c r="D986" s="56" t="s">
        <v>16287</v>
      </c>
      <c r="E986" s="10" t="s">
        <v>45</v>
      </c>
      <c r="F986" s="10" t="s">
        <v>13636</v>
      </c>
      <c r="G986" s="10" t="s">
        <v>15793</v>
      </c>
      <c r="H986" s="10" t="s">
        <v>106</v>
      </c>
      <c r="I986" s="10" t="s">
        <v>55</v>
      </c>
      <c r="J986" s="10" t="s">
        <v>724</v>
      </c>
      <c r="K986" s="10" t="s">
        <v>16288</v>
      </c>
      <c r="L986" s="10" t="s">
        <v>42</v>
      </c>
    </row>
    <row r="987" ht="15.75" customHeight="1">
      <c r="A987" s="64">
        <v>45435.0</v>
      </c>
      <c r="B987" s="55" t="str">
        <f>HYPERLINK("https://jobright.ai/jobs/info/6677e7a28edbb3fe78f32162?utm_campaign=1051&amp;utm_source=sheet", "Apply")</f>
        <v>Apply</v>
      </c>
      <c r="C987" s="10" t="s">
        <v>17182</v>
      </c>
      <c r="D987" s="56" t="s">
        <v>17183</v>
      </c>
      <c r="E987" s="10">
        <v>20.0</v>
      </c>
      <c r="G987" s="10" t="s">
        <v>15793</v>
      </c>
      <c r="H987" s="10" t="s">
        <v>859</v>
      </c>
      <c r="I987" s="10" t="s">
        <v>55</v>
      </c>
      <c r="K987" s="10" t="s">
        <v>17184</v>
      </c>
      <c r="L987" s="10" t="s">
        <v>42</v>
      </c>
    </row>
    <row r="988" ht="15.75" customHeight="1">
      <c r="A988" s="64">
        <v>45435.0</v>
      </c>
      <c r="B988" s="55" t="str">
        <f>HYPERLINK("https://jobright.ai/jobs/info/6677e6e08edbb3fe78f31262?utm_campaign=1051&amp;utm_source=sheet", "Apply")</f>
        <v>Apply</v>
      </c>
      <c r="C988" s="10" t="s">
        <v>17185</v>
      </c>
      <c r="D988" s="56" t="s">
        <v>12306</v>
      </c>
      <c r="E988" s="10">
        <v>40.0</v>
      </c>
      <c r="G988" s="10" t="s">
        <v>15854</v>
      </c>
      <c r="H988" s="10" t="s">
        <v>843</v>
      </c>
      <c r="I988" s="10" t="s">
        <v>55</v>
      </c>
      <c r="J988" s="10" t="s">
        <v>1409</v>
      </c>
      <c r="K988" s="10" t="s">
        <v>17186</v>
      </c>
      <c r="L988" s="10" t="s">
        <v>42</v>
      </c>
    </row>
    <row r="989" ht="15.75" customHeight="1">
      <c r="A989" s="64">
        <v>45435.0</v>
      </c>
      <c r="B989" s="55" t="str">
        <f>HYPERLINK("https://jobright.ai/jobs/info/6677e7eb8edbb3fe78f327eb?utm_campaign=1051&amp;utm_source=sheet", "Apply")</f>
        <v>Apply</v>
      </c>
      <c r="C989" s="10" t="s">
        <v>16286</v>
      </c>
      <c r="D989" s="56" t="s">
        <v>16287</v>
      </c>
      <c r="E989" s="10" t="s">
        <v>45</v>
      </c>
      <c r="F989" s="10" t="s">
        <v>13636</v>
      </c>
      <c r="G989" s="10" t="s">
        <v>15793</v>
      </c>
      <c r="H989" s="10" t="s">
        <v>847</v>
      </c>
      <c r="I989" s="10" t="s">
        <v>55</v>
      </c>
      <c r="J989" s="10" t="s">
        <v>724</v>
      </c>
      <c r="K989" s="10" t="s">
        <v>16288</v>
      </c>
      <c r="L989" s="10" t="s">
        <v>42</v>
      </c>
    </row>
    <row r="990" ht="15.75" customHeight="1">
      <c r="A990" s="64">
        <v>45435.0</v>
      </c>
      <c r="B990" s="55" t="str">
        <f>HYPERLINK("https://jobright.ai/jobs/info/6677e7068edbb3fe78f314fc?utm_campaign=1051&amp;utm_source=sheet", "Apply")</f>
        <v>Apply</v>
      </c>
      <c r="C990" s="10" t="s">
        <v>17187</v>
      </c>
      <c r="D990" s="56" t="s">
        <v>17188</v>
      </c>
      <c r="E990" s="10" t="s">
        <v>249</v>
      </c>
      <c r="F990" s="10" t="s">
        <v>7857</v>
      </c>
      <c r="G990" s="10" t="s">
        <v>15793</v>
      </c>
      <c r="H990" s="10" t="s">
        <v>131</v>
      </c>
      <c r="I990" s="10" t="s">
        <v>55</v>
      </c>
      <c r="J990" s="10" t="s">
        <v>17189</v>
      </c>
      <c r="K990" s="10" t="s">
        <v>17190</v>
      </c>
      <c r="L990" s="10" t="s">
        <v>42</v>
      </c>
    </row>
    <row r="991" ht="15.75" customHeight="1">
      <c r="A991" s="64">
        <v>45435.0</v>
      </c>
      <c r="B991" s="55" t="str">
        <f>HYPERLINK("https://jobright.ai/jobs/info/6677e7fe8edbb3fe78f3294b?utm_campaign=1051&amp;utm_source=sheet", "Apply")</f>
        <v>Apply</v>
      </c>
      <c r="C991" s="10" t="s">
        <v>16286</v>
      </c>
      <c r="D991" s="56" t="s">
        <v>16287</v>
      </c>
      <c r="E991" s="10" t="s">
        <v>45</v>
      </c>
      <c r="F991" s="10" t="s">
        <v>13636</v>
      </c>
      <c r="G991" s="10" t="s">
        <v>15793</v>
      </c>
      <c r="H991" s="10" t="s">
        <v>17191</v>
      </c>
      <c r="I991" s="10" t="s">
        <v>55</v>
      </c>
      <c r="J991" s="10" t="s">
        <v>17175</v>
      </c>
      <c r="K991" s="10" t="s">
        <v>16288</v>
      </c>
      <c r="L991" s="10" t="s">
        <v>42</v>
      </c>
    </row>
    <row r="992" ht="15.75" customHeight="1">
      <c r="A992" s="64">
        <v>45435.0</v>
      </c>
      <c r="B992" s="55" t="str">
        <f>HYPERLINK("https://jobright.ai/jobs/info/6677e7fe8edbb3fe78f32956?utm_campaign=1051&amp;utm_source=sheet", "Apply")</f>
        <v>Apply</v>
      </c>
      <c r="C992" s="10" t="s">
        <v>16286</v>
      </c>
      <c r="D992" s="56" t="s">
        <v>16287</v>
      </c>
      <c r="E992" s="10" t="s">
        <v>45</v>
      </c>
      <c r="F992" s="10" t="s">
        <v>13636</v>
      </c>
      <c r="G992" s="10" t="s">
        <v>15793</v>
      </c>
      <c r="H992" s="10" t="s">
        <v>810</v>
      </c>
      <c r="I992" s="10" t="s">
        <v>55</v>
      </c>
      <c r="J992" s="10" t="s">
        <v>724</v>
      </c>
      <c r="K992" s="10" t="s">
        <v>16288</v>
      </c>
      <c r="L992" s="10" t="s">
        <v>42</v>
      </c>
    </row>
    <row r="993" ht="15.75" customHeight="1">
      <c r="A993" s="64">
        <v>45435.0</v>
      </c>
      <c r="B993" s="55" t="str">
        <f>HYPERLINK("https://jobright.ai/jobs/info/6677e7fe8edbb3fe78f329d2?utm_campaign=1051&amp;utm_source=sheet", "Apply")</f>
        <v>Apply</v>
      </c>
      <c r="C993" s="10" t="s">
        <v>16286</v>
      </c>
      <c r="D993" s="56" t="s">
        <v>16287</v>
      </c>
      <c r="E993" s="10" t="s">
        <v>45</v>
      </c>
      <c r="F993" s="10" t="s">
        <v>13636</v>
      </c>
      <c r="G993" s="10" t="s">
        <v>15793</v>
      </c>
      <c r="H993" s="10" t="s">
        <v>794</v>
      </c>
      <c r="I993" s="10" t="s">
        <v>55</v>
      </c>
      <c r="J993" s="10" t="s">
        <v>724</v>
      </c>
      <c r="K993" s="10" t="s">
        <v>16288</v>
      </c>
      <c r="L993" s="10" t="s">
        <v>42</v>
      </c>
    </row>
    <row r="994" ht="15.75" customHeight="1">
      <c r="A994" s="64">
        <v>45435.0</v>
      </c>
      <c r="B994" s="55" t="str">
        <f>HYPERLINK("https://jobright.ai/jobs/info/6677e8088edbb3fe78f32a41?utm_campaign=1051&amp;utm_source=sheet", "Apply")</f>
        <v>Apply</v>
      </c>
      <c r="C994" s="10" t="s">
        <v>16286</v>
      </c>
      <c r="D994" s="56" t="s">
        <v>16287</v>
      </c>
      <c r="E994" s="10" t="s">
        <v>45</v>
      </c>
      <c r="F994" s="10" t="s">
        <v>13636</v>
      </c>
      <c r="G994" s="10" t="s">
        <v>15793</v>
      </c>
      <c r="H994" s="10" t="s">
        <v>17192</v>
      </c>
      <c r="I994" s="10" t="s">
        <v>55</v>
      </c>
      <c r="J994" s="10" t="s">
        <v>724</v>
      </c>
      <c r="K994" s="10" t="s">
        <v>16288</v>
      </c>
      <c r="L994" s="10" t="s">
        <v>42</v>
      </c>
    </row>
    <row r="995" ht="15.75" customHeight="1">
      <c r="A995" s="64">
        <v>45435.0</v>
      </c>
      <c r="B995" s="55" t="str">
        <f>HYPERLINK("https://jobright.ai/jobs/info/6677e89d8edbb3fe78f33589?utm_campaign=1051&amp;utm_source=sheet", "Apply")</f>
        <v>Apply</v>
      </c>
      <c r="C995" s="10" t="s">
        <v>16286</v>
      </c>
      <c r="D995" s="56" t="s">
        <v>16287</v>
      </c>
      <c r="E995" s="10" t="s">
        <v>45</v>
      </c>
      <c r="F995" s="10" t="s">
        <v>13636</v>
      </c>
      <c r="G995" s="10" t="s">
        <v>15793</v>
      </c>
      <c r="H995" s="10" t="s">
        <v>17193</v>
      </c>
      <c r="I995" s="10" t="s">
        <v>55</v>
      </c>
      <c r="J995" s="10" t="s">
        <v>17194</v>
      </c>
      <c r="K995" s="10" t="s">
        <v>16288</v>
      </c>
      <c r="L995" s="10" t="s">
        <v>42</v>
      </c>
    </row>
    <row r="996" ht="15.75" customHeight="1">
      <c r="A996" s="64">
        <v>45435.0</v>
      </c>
      <c r="B996" s="55" t="str">
        <f>HYPERLINK("https://jobright.ai/jobs/info/6677e8a68edbb3fe78f3362b?utm_campaign=1051&amp;utm_source=sheet", "Apply")</f>
        <v>Apply</v>
      </c>
      <c r="C996" s="10" t="s">
        <v>17195</v>
      </c>
      <c r="D996" s="56" t="s">
        <v>13845</v>
      </c>
      <c r="E996" s="10" t="s">
        <v>276</v>
      </c>
      <c r="F996" s="10" t="s">
        <v>339</v>
      </c>
      <c r="G996" s="10" t="s">
        <v>100</v>
      </c>
      <c r="H996" s="10" t="s">
        <v>5337</v>
      </c>
      <c r="I996" s="10" t="s">
        <v>55</v>
      </c>
      <c r="K996" s="10" t="s">
        <v>15341</v>
      </c>
      <c r="L996" s="10" t="s">
        <v>42</v>
      </c>
    </row>
    <row r="997" ht="15.75" customHeight="1">
      <c r="A997" s="64">
        <v>45435.0</v>
      </c>
      <c r="B997" s="55" t="str">
        <f>HYPERLINK("https://jobright.ai/jobs/info/6677ed0d2ffca2bcf6691c01?utm_campaign=1051&amp;utm_source=sheet", "Apply")</f>
        <v>Apply</v>
      </c>
      <c r="C997" s="10" t="s">
        <v>16286</v>
      </c>
      <c r="D997" s="56" t="s">
        <v>16287</v>
      </c>
      <c r="E997" s="10" t="s">
        <v>45</v>
      </c>
      <c r="F997" s="10" t="s">
        <v>13636</v>
      </c>
      <c r="G997" s="10" t="s">
        <v>15793</v>
      </c>
      <c r="H997" s="10" t="s">
        <v>17193</v>
      </c>
      <c r="I997" s="10" t="s">
        <v>55</v>
      </c>
      <c r="J997" s="10" t="s">
        <v>724</v>
      </c>
      <c r="K997" s="10" t="s">
        <v>16288</v>
      </c>
      <c r="L997" s="10" t="s">
        <v>42</v>
      </c>
    </row>
    <row r="998" ht="15.75" customHeight="1">
      <c r="A998" s="64">
        <v>45435.0</v>
      </c>
      <c r="B998" s="55" t="str">
        <f>HYPERLINK("https://jobright.ai/jobs/info/6677eda62ffca2bcf6692773?utm_campaign=1051&amp;utm_source=sheet", "Apply")</f>
        <v>Apply</v>
      </c>
      <c r="C998" s="10" t="s">
        <v>16286</v>
      </c>
      <c r="D998" s="56" t="s">
        <v>16287</v>
      </c>
      <c r="E998" s="10" t="s">
        <v>45</v>
      </c>
      <c r="F998" s="10" t="s">
        <v>13636</v>
      </c>
      <c r="G998" s="10" t="s">
        <v>15793</v>
      </c>
      <c r="H998" s="10" t="s">
        <v>17196</v>
      </c>
      <c r="I998" s="10" t="s">
        <v>55</v>
      </c>
      <c r="K998" s="10" t="s">
        <v>16288</v>
      </c>
      <c r="L998" s="10" t="s">
        <v>42</v>
      </c>
    </row>
    <row r="999" ht="15.75" customHeight="1">
      <c r="A999" s="64">
        <v>45435.0</v>
      </c>
      <c r="B999" s="55" t="str">
        <f>HYPERLINK("https://jobright.ai/jobs/info/6677edc52ffca2bcf6692984?utm_campaign=1051&amp;utm_source=sheet", "Apply")</f>
        <v>Apply</v>
      </c>
      <c r="C999" s="10" t="s">
        <v>16286</v>
      </c>
      <c r="D999" s="56" t="s">
        <v>16287</v>
      </c>
      <c r="E999" s="10" t="s">
        <v>45</v>
      </c>
      <c r="F999" s="10" t="s">
        <v>13636</v>
      </c>
      <c r="G999" s="10" t="s">
        <v>15793</v>
      </c>
      <c r="H999" s="10" t="s">
        <v>884</v>
      </c>
      <c r="I999" s="10" t="s">
        <v>55</v>
      </c>
      <c r="J999" s="10" t="s">
        <v>724</v>
      </c>
      <c r="K999" s="10" t="s">
        <v>16288</v>
      </c>
      <c r="L999" s="10" t="s">
        <v>42</v>
      </c>
    </row>
    <row r="1000" ht="15.75" customHeight="1">
      <c r="A1000" s="64">
        <v>45435.0</v>
      </c>
      <c r="B1000" s="55" t="str">
        <f>HYPERLINK("https://jobright.ai/jobs/info/6677edc52ffca2bcf6692a38?utm_campaign=1051&amp;utm_source=sheet", "Apply")</f>
        <v>Apply</v>
      </c>
      <c r="C1000" s="10" t="s">
        <v>16286</v>
      </c>
      <c r="D1000" s="56" t="s">
        <v>16287</v>
      </c>
      <c r="E1000" s="10" t="s">
        <v>45</v>
      </c>
      <c r="F1000" s="10" t="s">
        <v>13636</v>
      </c>
      <c r="G1000" s="10" t="s">
        <v>15793</v>
      </c>
      <c r="H1000" s="10" t="s">
        <v>17197</v>
      </c>
      <c r="I1000" s="10" t="s">
        <v>55</v>
      </c>
      <c r="K1000" s="10" t="s">
        <v>16288</v>
      </c>
      <c r="L1000" s="10" t="s">
        <v>42</v>
      </c>
    </row>
    <row r="1001" ht="15.75" customHeight="1">
      <c r="A1001" s="64">
        <v>45435.0</v>
      </c>
      <c r="B1001" s="55" t="str">
        <f>HYPERLINK("https://jobright.ai/jobs/info/6677edd02ffca2bcf6692a6c?utm_campaign=1051&amp;utm_source=sheet", "Apply")</f>
        <v>Apply</v>
      </c>
      <c r="C1001" s="10" t="s">
        <v>16286</v>
      </c>
      <c r="D1001" s="56" t="s">
        <v>16287</v>
      </c>
      <c r="E1001" s="10" t="s">
        <v>45</v>
      </c>
      <c r="F1001" s="10" t="s">
        <v>13636</v>
      </c>
      <c r="G1001" s="10" t="s">
        <v>15793</v>
      </c>
      <c r="H1001" s="10" t="s">
        <v>17198</v>
      </c>
      <c r="I1001" s="10" t="s">
        <v>55</v>
      </c>
      <c r="K1001" s="10" t="s">
        <v>16288</v>
      </c>
      <c r="L1001" s="10" t="s">
        <v>42</v>
      </c>
    </row>
    <row r="1002" ht="15.75" customHeight="1">
      <c r="A1002" s="64">
        <v>45435.0</v>
      </c>
      <c r="B1002" s="55" t="str">
        <f>HYPERLINK("https://jobright.ai/jobs/info/6677ee6c2ffca2bcf6693704?utm_campaign=1051&amp;utm_source=sheet", "Apply")</f>
        <v>Apply</v>
      </c>
      <c r="C1002" s="10" t="s">
        <v>16286</v>
      </c>
      <c r="D1002" s="56" t="s">
        <v>16287</v>
      </c>
      <c r="E1002" s="10" t="s">
        <v>45</v>
      </c>
      <c r="F1002" s="10" t="s">
        <v>13636</v>
      </c>
      <c r="G1002" s="10" t="s">
        <v>15793</v>
      </c>
      <c r="H1002" s="10" t="s">
        <v>8300</v>
      </c>
      <c r="I1002" s="10" t="s">
        <v>55</v>
      </c>
      <c r="J1002" s="10" t="s">
        <v>724</v>
      </c>
      <c r="K1002" s="10" t="s">
        <v>16288</v>
      </c>
      <c r="L1002" s="10" t="s">
        <v>42</v>
      </c>
    </row>
    <row r="1003" ht="15.75" customHeight="1">
      <c r="A1003" s="64">
        <v>45435.0</v>
      </c>
      <c r="B1003" s="55" t="str">
        <f>HYPERLINK("https://jobright.ai/jobs/info/6677ee762ffca2bcf6693798?utm_campaign=1051&amp;utm_source=sheet", "Apply")</f>
        <v>Apply</v>
      </c>
      <c r="C1003" s="10" t="s">
        <v>16286</v>
      </c>
      <c r="D1003" s="56" t="s">
        <v>16287</v>
      </c>
      <c r="E1003" s="10" t="s">
        <v>45</v>
      </c>
      <c r="F1003" s="10" t="s">
        <v>13636</v>
      </c>
      <c r="G1003" s="10" t="s">
        <v>15793</v>
      </c>
      <c r="H1003" s="10" t="s">
        <v>106</v>
      </c>
      <c r="I1003" s="10" t="s">
        <v>55</v>
      </c>
      <c r="K1003" s="10" t="s">
        <v>16288</v>
      </c>
      <c r="L1003" s="10" t="s">
        <v>42</v>
      </c>
    </row>
    <row r="1004" ht="15.75" customHeight="1">
      <c r="A1004" s="64">
        <v>45435.0</v>
      </c>
      <c r="B1004" s="55" t="str">
        <f>HYPERLINK("https://jobright.ai/jobs/info/6677ee802ffca2bcf6693873?utm_campaign=1051&amp;utm_source=sheet", "Apply")</f>
        <v>Apply</v>
      </c>
      <c r="C1004" s="10" t="s">
        <v>16286</v>
      </c>
      <c r="D1004" s="56" t="s">
        <v>16287</v>
      </c>
      <c r="E1004" s="10" t="s">
        <v>45</v>
      </c>
      <c r="F1004" s="10" t="s">
        <v>13636</v>
      </c>
      <c r="G1004" s="10" t="s">
        <v>15793</v>
      </c>
      <c r="H1004" s="10" t="s">
        <v>17174</v>
      </c>
      <c r="I1004" s="10" t="s">
        <v>55</v>
      </c>
      <c r="K1004" s="10" t="s">
        <v>16288</v>
      </c>
      <c r="L1004" s="10" t="s">
        <v>42</v>
      </c>
    </row>
    <row r="1005" ht="15.75" customHeight="1">
      <c r="A1005" s="64">
        <v>45435.0</v>
      </c>
      <c r="B1005" s="55" t="str">
        <f>HYPERLINK("https://jobright.ai/jobs/info/6677f2659c81148ccaaede60?utm_campaign=1051&amp;utm_source=sheet", "Apply")</f>
        <v>Apply</v>
      </c>
      <c r="C1005" s="10" t="s">
        <v>16286</v>
      </c>
      <c r="D1005" s="56" t="s">
        <v>16287</v>
      </c>
      <c r="E1005" s="10" t="s">
        <v>45</v>
      </c>
      <c r="F1005" s="10" t="s">
        <v>13636</v>
      </c>
      <c r="G1005" s="10" t="s">
        <v>15793</v>
      </c>
      <c r="H1005" s="10" t="s">
        <v>810</v>
      </c>
      <c r="I1005" s="10" t="s">
        <v>55</v>
      </c>
      <c r="K1005" s="10" t="s">
        <v>16288</v>
      </c>
      <c r="L1005" s="10" t="s">
        <v>42</v>
      </c>
    </row>
    <row r="1006" ht="15.75" customHeight="1">
      <c r="A1006" s="64">
        <v>45435.0</v>
      </c>
      <c r="B1006" s="55" t="str">
        <f>HYPERLINK("https://jobright.ai/jobs/info/6677f2659c81148ccaaedebb?utm_campaign=1051&amp;utm_source=sheet", "Apply")</f>
        <v>Apply</v>
      </c>
      <c r="C1006" s="10" t="s">
        <v>16286</v>
      </c>
      <c r="D1006" s="56" t="s">
        <v>16287</v>
      </c>
      <c r="E1006" s="10" t="s">
        <v>45</v>
      </c>
      <c r="F1006" s="10" t="s">
        <v>13636</v>
      </c>
      <c r="G1006" s="10" t="s">
        <v>15793</v>
      </c>
      <c r="H1006" s="10" t="s">
        <v>810</v>
      </c>
      <c r="I1006" s="10" t="s">
        <v>55</v>
      </c>
      <c r="J1006" s="10" t="s">
        <v>724</v>
      </c>
      <c r="K1006" s="10" t="s">
        <v>16288</v>
      </c>
      <c r="L1006" s="10" t="s">
        <v>42</v>
      </c>
    </row>
    <row r="1007" ht="15.75" customHeight="1">
      <c r="A1007" s="64">
        <v>45435.0</v>
      </c>
      <c r="B1007" s="55" t="str">
        <f>HYPERLINK("https://jobright.ai/jobs/info/66689c507cff9ea738f80962?utm_campaign=1051&amp;utm_source=sheet", "Apply")</f>
        <v>Apply</v>
      </c>
      <c r="C1007" s="10" t="s">
        <v>17199</v>
      </c>
      <c r="D1007" s="56" t="s">
        <v>684</v>
      </c>
      <c r="E1007" s="10" t="s">
        <v>45</v>
      </c>
      <c r="F1007" s="10" t="s">
        <v>685</v>
      </c>
      <c r="G1007" s="10" t="s">
        <v>15829</v>
      </c>
      <c r="H1007" s="10" t="s">
        <v>17200</v>
      </c>
      <c r="I1007" s="10" t="s">
        <v>55</v>
      </c>
      <c r="K1007" s="10" t="s">
        <v>17201</v>
      </c>
      <c r="L1007" s="10" t="s">
        <v>42</v>
      </c>
    </row>
    <row r="1008" ht="15.75" customHeight="1">
      <c r="A1008" s="64">
        <v>45434.0</v>
      </c>
      <c r="B1008" s="55" t="str">
        <f>HYPERLINK("https://jobright.ai/jobs/info/664e407b403c20224e70f118?utm_campaign=1051&amp;utm_source=sheet", "Apply")</f>
        <v>Apply</v>
      </c>
      <c r="C1008" s="10" t="s">
        <v>17202</v>
      </c>
      <c r="D1008" s="56" t="s">
        <v>17188</v>
      </c>
      <c r="E1008" s="10" t="s">
        <v>249</v>
      </c>
      <c r="F1008" s="10" t="s">
        <v>7857</v>
      </c>
      <c r="G1008" s="10" t="s">
        <v>15793</v>
      </c>
      <c r="H1008" s="10" t="s">
        <v>938</v>
      </c>
      <c r="I1008" s="10" t="s">
        <v>55</v>
      </c>
      <c r="K1008" s="10" t="s">
        <v>17203</v>
      </c>
      <c r="L1008" s="10" t="s">
        <v>42</v>
      </c>
    </row>
    <row r="1009" ht="15.75" customHeight="1">
      <c r="A1009" s="64">
        <v>45434.0</v>
      </c>
      <c r="B1009" s="55" t="str">
        <f>HYPERLINK("https://jobright.ai/jobs/info/6677f2d49c81148ccaaee775?utm_campaign=1051&amp;utm_source=sheet", "Apply")</f>
        <v>Apply</v>
      </c>
      <c r="C1009" s="10" t="s">
        <v>16286</v>
      </c>
      <c r="D1009" s="56" t="s">
        <v>16287</v>
      </c>
      <c r="E1009" s="10" t="s">
        <v>45</v>
      </c>
      <c r="F1009" s="10" t="s">
        <v>13636</v>
      </c>
      <c r="G1009" s="10" t="s">
        <v>15793</v>
      </c>
      <c r="H1009" s="10" t="s">
        <v>15952</v>
      </c>
      <c r="I1009" s="10" t="s">
        <v>55</v>
      </c>
      <c r="J1009" s="10" t="s">
        <v>724</v>
      </c>
      <c r="K1009" s="10" t="s">
        <v>16288</v>
      </c>
      <c r="L1009" s="10" t="s">
        <v>42</v>
      </c>
    </row>
    <row r="1010" ht="15.75" customHeight="1">
      <c r="A1010" s="64">
        <v>45434.0</v>
      </c>
      <c r="B1010" s="55" t="str">
        <f>HYPERLINK("https://jobright.ai/jobs/info/6677f2de9c81148ccaaee80c?utm_campaign=1051&amp;utm_source=sheet", "Apply")</f>
        <v>Apply</v>
      </c>
      <c r="C1010" s="10" t="s">
        <v>16286</v>
      </c>
      <c r="D1010" s="56" t="s">
        <v>16287</v>
      </c>
      <c r="E1010" s="10" t="s">
        <v>45</v>
      </c>
      <c r="F1010" s="10" t="s">
        <v>13636</v>
      </c>
      <c r="G1010" s="10" t="s">
        <v>15793</v>
      </c>
      <c r="H1010" s="10" t="s">
        <v>4423</v>
      </c>
      <c r="I1010" s="10" t="s">
        <v>55</v>
      </c>
      <c r="J1010" s="10" t="s">
        <v>724</v>
      </c>
      <c r="K1010" s="10" t="s">
        <v>16288</v>
      </c>
      <c r="L1010" s="10" t="s">
        <v>42</v>
      </c>
    </row>
    <row r="1011" ht="15.75" customHeight="1">
      <c r="A1011" s="64">
        <v>45434.0</v>
      </c>
      <c r="B1011" s="55" t="str">
        <f>HYPERLINK("https://jobright.ai/jobs/info/6677f2f19c81148ccaaee953?utm_campaign=1051&amp;utm_source=sheet", "Apply")</f>
        <v>Apply</v>
      </c>
      <c r="C1011" s="10" t="s">
        <v>16286</v>
      </c>
      <c r="D1011" s="56" t="s">
        <v>16287</v>
      </c>
      <c r="E1011" s="10" t="s">
        <v>45</v>
      </c>
      <c r="F1011" s="10" t="s">
        <v>13636</v>
      </c>
      <c r="G1011" s="10" t="s">
        <v>15793</v>
      </c>
      <c r="H1011" s="10" t="s">
        <v>17196</v>
      </c>
      <c r="I1011" s="10" t="s">
        <v>55</v>
      </c>
      <c r="K1011" s="10" t="s">
        <v>17204</v>
      </c>
      <c r="L1011" s="10" t="s">
        <v>42</v>
      </c>
    </row>
    <row r="1012" ht="15.75" customHeight="1">
      <c r="A1012" s="64">
        <v>45434.0</v>
      </c>
      <c r="B1012" s="55" t="str">
        <f>HYPERLINK("https://jobright.ai/jobs/info/6677f2f19c81148ccaaee989?utm_campaign=1051&amp;utm_source=sheet", "Apply")</f>
        <v>Apply</v>
      </c>
      <c r="C1012" s="10" t="s">
        <v>16286</v>
      </c>
      <c r="D1012" s="56" t="s">
        <v>16287</v>
      </c>
      <c r="E1012" s="10" t="s">
        <v>45</v>
      </c>
      <c r="F1012" s="10" t="s">
        <v>13636</v>
      </c>
      <c r="G1012" s="10" t="s">
        <v>15793</v>
      </c>
      <c r="H1012" s="10" t="s">
        <v>930</v>
      </c>
      <c r="I1012" s="10" t="s">
        <v>55</v>
      </c>
      <c r="J1012" s="10" t="s">
        <v>17175</v>
      </c>
      <c r="K1012" s="10" t="s">
        <v>16288</v>
      </c>
      <c r="L1012" s="10" t="s">
        <v>42</v>
      </c>
    </row>
    <row r="1013" ht="15.75" customHeight="1">
      <c r="A1013" s="64">
        <v>45434.0</v>
      </c>
      <c r="B1013" s="55" t="str">
        <f>HYPERLINK("https://jobright.ai/jobs/info/666904f32dac6f47f4671845?utm_campaign=1051&amp;utm_source=sheet", "Apply")</f>
        <v>Apply</v>
      </c>
      <c r="C1013" s="10" t="s">
        <v>17205</v>
      </c>
      <c r="D1013" s="56" t="s">
        <v>4945</v>
      </c>
      <c r="E1013" s="10" t="s">
        <v>45</v>
      </c>
      <c r="F1013" s="10" t="s">
        <v>4946</v>
      </c>
      <c r="G1013" s="10" t="s">
        <v>15829</v>
      </c>
      <c r="H1013" s="10" t="s">
        <v>15422</v>
      </c>
      <c r="I1013" s="10" t="s">
        <v>55</v>
      </c>
      <c r="K1013" s="10" t="s">
        <v>17206</v>
      </c>
      <c r="L1013" s="10" t="s">
        <v>42</v>
      </c>
    </row>
    <row r="1014" ht="15.75" customHeight="1">
      <c r="A1014" s="64">
        <v>45433.0</v>
      </c>
      <c r="B1014" s="55" t="str">
        <f>HYPERLINK("https://jobright.ai/jobs/info/66749e363bb0335d41b2da40?utm_campaign=1051&amp;utm_source=sheet", "Apply")</f>
        <v>Apply</v>
      </c>
      <c r="C1014" s="10" t="s">
        <v>16286</v>
      </c>
      <c r="D1014" s="56" t="s">
        <v>16287</v>
      </c>
      <c r="E1014" s="10" t="s">
        <v>45</v>
      </c>
      <c r="F1014" s="10" t="s">
        <v>13636</v>
      </c>
      <c r="G1014" s="10" t="s">
        <v>15793</v>
      </c>
      <c r="H1014" s="10" t="s">
        <v>930</v>
      </c>
      <c r="I1014" s="10" t="s">
        <v>55</v>
      </c>
      <c r="J1014" s="10" t="s">
        <v>17175</v>
      </c>
      <c r="K1014" s="10" t="s">
        <v>16288</v>
      </c>
      <c r="L1014" s="10" t="s">
        <v>42</v>
      </c>
    </row>
    <row r="1015" ht="15.75" customHeight="1">
      <c r="A1015" s="64">
        <v>45433.0</v>
      </c>
      <c r="B1015" s="55" t="str">
        <f>HYPERLINK("https://jobright.ai/jobs/info/66749e6c3bb0335d41b2df4e?utm_campaign=1051&amp;utm_source=sheet", "Apply")</f>
        <v>Apply</v>
      </c>
      <c r="C1015" s="10" t="s">
        <v>16286</v>
      </c>
      <c r="D1015" s="56" t="s">
        <v>16287</v>
      </c>
      <c r="E1015" s="10" t="s">
        <v>45</v>
      </c>
      <c r="F1015" s="10" t="s">
        <v>13636</v>
      </c>
      <c r="G1015" s="10" t="s">
        <v>15793</v>
      </c>
      <c r="H1015" s="10" t="s">
        <v>17191</v>
      </c>
      <c r="I1015" s="10" t="s">
        <v>55</v>
      </c>
      <c r="J1015" s="10" t="s">
        <v>17175</v>
      </c>
      <c r="K1015" s="10" t="s">
        <v>16288</v>
      </c>
      <c r="L1015" s="10" t="s">
        <v>42</v>
      </c>
    </row>
    <row r="1016" ht="15.75" customHeight="1">
      <c r="A1016" s="64">
        <v>45433.0</v>
      </c>
      <c r="B1016" s="55" t="str">
        <f>HYPERLINK("https://jobright.ai/jobs/info/66749e6c3bb0335d41b2df5d?utm_campaign=1051&amp;utm_source=sheet", "Apply")</f>
        <v>Apply</v>
      </c>
      <c r="C1016" s="10" t="s">
        <v>16286</v>
      </c>
      <c r="D1016" s="56" t="s">
        <v>16287</v>
      </c>
      <c r="E1016" s="10" t="s">
        <v>45</v>
      </c>
      <c r="F1016" s="10" t="s">
        <v>13636</v>
      </c>
      <c r="G1016" s="10" t="s">
        <v>15793</v>
      </c>
      <c r="H1016" s="10" t="s">
        <v>17207</v>
      </c>
      <c r="I1016" s="10" t="s">
        <v>55</v>
      </c>
      <c r="J1016" s="10" t="s">
        <v>724</v>
      </c>
      <c r="K1016" s="10" t="s">
        <v>16288</v>
      </c>
      <c r="L1016" s="10" t="s">
        <v>42</v>
      </c>
    </row>
    <row r="1017" ht="15.75" customHeight="1">
      <c r="A1017" s="64">
        <v>45433.0</v>
      </c>
      <c r="B1017" s="55" t="str">
        <f>HYPERLINK("https://jobright.ai/jobs/info/6674478ffa2e16b323fa4e02?utm_campaign=1051&amp;utm_source=sheet", "Apply")</f>
        <v>Apply</v>
      </c>
      <c r="C1017" s="10" t="s">
        <v>16286</v>
      </c>
      <c r="D1017" s="56" t="s">
        <v>16287</v>
      </c>
      <c r="E1017" s="10" t="s">
        <v>45</v>
      </c>
      <c r="F1017" s="10" t="s">
        <v>13636</v>
      </c>
      <c r="G1017" s="10" t="s">
        <v>15793</v>
      </c>
      <c r="H1017" s="10" t="s">
        <v>773</v>
      </c>
      <c r="I1017" s="10" t="s">
        <v>55</v>
      </c>
      <c r="K1017" s="10" t="s">
        <v>16288</v>
      </c>
      <c r="L1017" s="10" t="s">
        <v>42</v>
      </c>
    </row>
    <row r="1018" ht="15.75" customHeight="1">
      <c r="A1018" s="64">
        <v>45433.0</v>
      </c>
      <c r="B1018" s="55" t="str">
        <f>HYPERLINK("https://jobright.ai/jobs/info/6674478ffa2e16b323fa4e44?utm_campaign=1051&amp;utm_source=sheet", "Apply")</f>
        <v>Apply</v>
      </c>
      <c r="C1018" s="10" t="s">
        <v>16286</v>
      </c>
      <c r="D1018" s="56" t="s">
        <v>16287</v>
      </c>
      <c r="E1018" s="10" t="s">
        <v>45</v>
      </c>
      <c r="F1018" s="10" t="s">
        <v>13636</v>
      </c>
      <c r="G1018" s="10" t="s">
        <v>15793</v>
      </c>
      <c r="H1018" s="10" t="s">
        <v>4001</v>
      </c>
      <c r="I1018" s="10" t="s">
        <v>55</v>
      </c>
      <c r="K1018" s="10" t="s">
        <v>16288</v>
      </c>
      <c r="L1018" s="10" t="s">
        <v>42</v>
      </c>
    </row>
    <row r="1019" ht="15.75" customHeight="1">
      <c r="A1019" s="64">
        <v>45433.0</v>
      </c>
      <c r="B1019" s="55" t="str">
        <f>HYPERLINK("https://jobright.ai/jobs/info/6674478ffa2e16b323fa4e48?utm_campaign=1051&amp;utm_source=sheet", "Apply")</f>
        <v>Apply</v>
      </c>
      <c r="C1019" s="10" t="s">
        <v>16286</v>
      </c>
      <c r="D1019" s="56" t="s">
        <v>16287</v>
      </c>
      <c r="E1019" s="10" t="s">
        <v>45</v>
      </c>
      <c r="F1019" s="10" t="s">
        <v>13636</v>
      </c>
      <c r="G1019" s="10" t="s">
        <v>15793</v>
      </c>
      <c r="H1019" s="10" t="s">
        <v>17191</v>
      </c>
      <c r="I1019" s="10" t="s">
        <v>55</v>
      </c>
      <c r="J1019" s="10" t="s">
        <v>17175</v>
      </c>
      <c r="K1019" s="10" t="s">
        <v>16288</v>
      </c>
      <c r="L1019" s="10" t="s">
        <v>42</v>
      </c>
    </row>
    <row r="1020" ht="15.75" customHeight="1">
      <c r="A1020" s="64">
        <v>45433.0</v>
      </c>
      <c r="B1020" s="55" t="str">
        <f>HYPERLINK("https://jobright.ai/jobs/info/66744798fa2e16b323fa4eda?utm_campaign=1051&amp;utm_source=sheet", "Apply")</f>
        <v>Apply</v>
      </c>
      <c r="C1020" s="10" t="s">
        <v>16286</v>
      </c>
      <c r="D1020" s="56" t="s">
        <v>16287</v>
      </c>
      <c r="E1020" s="10" t="s">
        <v>45</v>
      </c>
      <c r="F1020" s="10" t="s">
        <v>13636</v>
      </c>
      <c r="G1020" s="10" t="s">
        <v>15793</v>
      </c>
      <c r="H1020" s="10" t="s">
        <v>794</v>
      </c>
      <c r="I1020" s="10" t="s">
        <v>55</v>
      </c>
      <c r="J1020" s="10" t="s">
        <v>724</v>
      </c>
      <c r="K1020" s="10" t="s">
        <v>16288</v>
      </c>
      <c r="L1020" s="10" t="s">
        <v>42</v>
      </c>
    </row>
    <row r="1021" ht="15.75" customHeight="1">
      <c r="A1021" s="64">
        <v>45433.0</v>
      </c>
      <c r="B1021" s="55" t="str">
        <f>HYPERLINK("https://jobright.ai/jobs/info/667439bf4bad03f9b038aa75?utm_campaign=1051&amp;utm_source=sheet", "Apply")</f>
        <v>Apply</v>
      </c>
      <c r="C1021" s="10" t="s">
        <v>16286</v>
      </c>
      <c r="D1021" s="56" t="s">
        <v>16287</v>
      </c>
      <c r="E1021" s="10" t="s">
        <v>45</v>
      </c>
      <c r="F1021" s="10" t="s">
        <v>13636</v>
      </c>
      <c r="G1021" s="10" t="s">
        <v>15793</v>
      </c>
      <c r="H1021" s="10" t="s">
        <v>106</v>
      </c>
      <c r="I1021" s="10" t="s">
        <v>55</v>
      </c>
      <c r="J1021" s="10" t="s">
        <v>724</v>
      </c>
      <c r="K1021" s="10" t="s">
        <v>16288</v>
      </c>
      <c r="L1021" s="10" t="s">
        <v>42</v>
      </c>
    </row>
    <row r="1022" ht="15.75" customHeight="1">
      <c r="A1022" s="64">
        <v>45433.0</v>
      </c>
      <c r="B1022" s="55" t="str">
        <f>HYPERLINK("https://jobright.ai/jobs/info/667439bf4bad03f9b038aa91?utm_campaign=1051&amp;utm_source=sheet", "Apply")</f>
        <v>Apply</v>
      </c>
      <c r="C1022" s="10" t="s">
        <v>16286</v>
      </c>
      <c r="D1022" s="56" t="s">
        <v>16287</v>
      </c>
      <c r="E1022" s="10" t="s">
        <v>45</v>
      </c>
      <c r="F1022" s="10" t="s">
        <v>13636</v>
      </c>
      <c r="G1022" s="10" t="s">
        <v>15793</v>
      </c>
      <c r="H1022" s="10" t="s">
        <v>15952</v>
      </c>
      <c r="I1022" s="10" t="s">
        <v>55</v>
      </c>
      <c r="J1022" s="10" t="s">
        <v>724</v>
      </c>
      <c r="K1022" s="10" t="s">
        <v>16288</v>
      </c>
      <c r="L1022" s="10" t="s">
        <v>42</v>
      </c>
    </row>
    <row r="1023" ht="15.75" customHeight="1">
      <c r="A1023" s="64">
        <v>45433.0</v>
      </c>
      <c r="B1023" s="55" t="str">
        <f>HYPERLINK("https://jobright.ai/jobs/info/667439bf4bad03f9b038aa9c?utm_campaign=1051&amp;utm_source=sheet", "Apply")</f>
        <v>Apply</v>
      </c>
      <c r="C1023" s="10" t="s">
        <v>16286</v>
      </c>
      <c r="D1023" s="56" t="s">
        <v>16287</v>
      </c>
      <c r="E1023" s="10" t="s">
        <v>45</v>
      </c>
      <c r="F1023" s="10" t="s">
        <v>13636</v>
      </c>
      <c r="G1023" s="10" t="s">
        <v>15793</v>
      </c>
      <c r="H1023" s="10" t="s">
        <v>10041</v>
      </c>
      <c r="I1023" s="10" t="s">
        <v>55</v>
      </c>
      <c r="J1023" s="10" t="s">
        <v>724</v>
      </c>
      <c r="K1023" s="10" t="s">
        <v>16288</v>
      </c>
      <c r="L1023" s="10" t="s">
        <v>42</v>
      </c>
    </row>
    <row r="1024" ht="15.75" customHeight="1">
      <c r="A1024" s="64">
        <v>45433.0</v>
      </c>
      <c r="B1024" s="55" t="str">
        <f>HYPERLINK("https://jobright.ai/jobs/info/66743d47c8cea9b1765b1b63?utm_campaign=1051&amp;utm_source=sheet", "Apply")</f>
        <v>Apply</v>
      </c>
      <c r="C1024" s="10" t="s">
        <v>16286</v>
      </c>
      <c r="D1024" s="56" t="s">
        <v>16287</v>
      </c>
      <c r="E1024" s="10" t="s">
        <v>45</v>
      </c>
      <c r="F1024" s="10" t="s">
        <v>13636</v>
      </c>
      <c r="G1024" s="10" t="s">
        <v>15793</v>
      </c>
      <c r="H1024" s="10" t="s">
        <v>17193</v>
      </c>
      <c r="I1024" s="10" t="s">
        <v>55</v>
      </c>
      <c r="J1024" s="10" t="s">
        <v>521</v>
      </c>
      <c r="K1024" s="10" t="s">
        <v>16288</v>
      </c>
      <c r="L1024" s="10" t="s">
        <v>42</v>
      </c>
    </row>
    <row r="1025" ht="15.75" customHeight="1">
      <c r="A1025" s="64">
        <v>45433.0</v>
      </c>
      <c r="B1025" s="55" t="str">
        <f>HYPERLINK("https://jobright.ai/jobs/info/66743d47c8cea9b1765b1bae?utm_campaign=1051&amp;utm_source=sheet", "Apply")</f>
        <v>Apply</v>
      </c>
      <c r="C1025" s="10" t="s">
        <v>16286</v>
      </c>
      <c r="D1025" s="56" t="s">
        <v>16287</v>
      </c>
      <c r="E1025" s="10" t="s">
        <v>45</v>
      </c>
      <c r="F1025" s="10" t="s">
        <v>13636</v>
      </c>
      <c r="G1025" s="10" t="s">
        <v>15793</v>
      </c>
      <c r="H1025" s="10" t="s">
        <v>884</v>
      </c>
      <c r="I1025" s="10" t="s">
        <v>55</v>
      </c>
      <c r="J1025" s="10" t="s">
        <v>724</v>
      </c>
      <c r="K1025" s="10" t="s">
        <v>16288</v>
      </c>
      <c r="L1025" s="10" t="s">
        <v>42</v>
      </c>
    </row>
    <row r="1026" ht="15.75" customHeight="1">
      <c r="A1026" s="64">
        <v>45433.0</v>
      </c>
      <c r="B1026" s="55" t="str">
        <f>HYPERLINK("https://jobright.ai/jobs/info/66742d22668628c49c21688e?utm_campaign=1051&amp;utm_source=sheet", "Apply")</f>
        <v>Apply</v>
      </c>
      <c r="C1026" s="10" t="s">
        <v>16286</v>
      </c>
      <c r="D1026" s="56" t="s">
        <v>16287</v>
      </c>
      <c r="E1026" s="10" t="s">
        <v>45</v>
      </c>
      <c r="F1026" s="10" t="s">
        <v>13636</v>
      </c>
      <c r="G1026" s="10" t="s">
        <v>15793</v>
      </c>
      <c r="H1026" s="10" t="s">
        <v>17207</v>
      </c>
      <c r="I1026" s="10" t="s">
        <v>55</v>
      </c>
      <c r="J1026" s="10" t="s">
        <v>17208</v>
      </c>
      <c r="K1026" s="10" t="s">
        <v>16288</v>
      </c>
      <c r="L1026" s="10" t="s">
        <v>42</v>
      </c>
    </row>
    <row r="1027" ht="15.75" customHeight="1">
      <c r="A1027" s="64">
        <v>45433.0</v>
      </c>
      <c r="B1027" s="55" t="str">
        <f>HYPERLINK("https://jobright.ai/jobs/info/66742d22668628c49c2168a9?utm_campaign=1051&amp;utm_source=sheet", "Apply")</f>
        <v>Apply</v>
      </c>
      <c r="C1027" s="10" t="s">
        <v>16286</v>
      </c>
      <c r="D1027" s="56" t="s">
        <v>16287</v>
      </c>
      <c r="E1027" s="10" t="s">
        <v>45</v>
      </c>
      <c r="F1027" s="10" t="s">
        <v>13636</v>
      </c>
      <c r="G1027" s="10" t="s">
        <v>15793</v>
      </c>
      <c r="H1027" s="10" t="s">
        <v>930</v>
      </c>
      <c r="I1027" s="10" t="s">
        <v>55</v>
      </c>
      <c r="J1027" s="10" t="s">
        <v>17175</v>
      </c>
      <c r="K1027" s="10" t="s">
        <v>16288</v>
      </c>
      <c r="L1027" s="10" t="s">
        <v>42</v>
      </c>
    </row>
    <row r="1028" ht="15.75" customHeight="1">
      <c r="A1028" s="64">
        <v>45433.0</v>
      </c>
      <c r="B1028" s="55" t="str">
        <f>HYPERLINK("https://jobright.ai/jobs/info/66742d2b668628c49c21691d?utm_campaign=1051&amp;utm_source=sheet", "Apply")</f>
        <v>Apply</v>
      </c>
      <c r="C1028" s="10" t="s">
        <v>16286</v>
      </c>
      <c r="D1028" s="56" t="s">
        <v>16287</v>
      </c>
      <c r="E1028" s="10" t="s">
        <v>45</v>
      </c>
      <c r="F1028" s="10" t="s">
        <v>13636</v>
      </c>
      <c r="G1028" s="10" t="s">
        <v>15793</v>
      </c>
      <c r="H1028" s="10" t="s">
        <v>10041</v>
      </c>
      <c r="I1028" s="10" t="s">
        <v>55</v>
      </c>
      <c r="J1028" s="10" t="s">
        <v>724</v>
      </c>
      <c r="K1028" s="10" t="s">
        <v>16288</v>
      </c>
      <c r="L1028" s="10" t="s">
        <v>42</v>
      </c>
    </row>
    <row r="1029" ht="15.75" customHeight="1">
      <c r="A1029" s="64">
        <v>45433.0</v>
      </c>
      <c r="B1029" s="55" t="str">
        <f>HYPERLINK("https://jobright.ai/jobs/info/66741e7a8f8ed70066b4c06d?utm_campaign=1051&amp;utm_source=sheet", "Apply")</f>
        <v>Apply</v>
      </c>
      <c r="C1029" s="10" t="s">
        <v>16286</v>
      </c>
      <c r="D1029" s="56" t="s">
        <v>16287</v>
      </c>
      <c r="E1029" s="10" t="s">
        <v>45</v>
      </c>
      <c r="F1029" s="10" t="s">
        <v>13636</v>
      </c>
      <c r="G1029" s="10" t="s">
        <v>15793</v>
      </c>
      <c r="H1029" s="10" t="s">
        <v>4423</v>
      </c>
      <c r="I1029" s="10" t="s">
        <v>55</v>
      </c>
      <c r="J1029" s="10" t="s">
        <v>724</v>
      </c>
      <c r="K1029" s="10" t="s">
        <v>16288</v>
      </c>
      <c r="L1029" s="10" t="s">
        <v>42</v>
      </c>
    </row>
    <row r="1030" ht="15.75" customHeight="1">
      <c r="A1030" s="64">
        <v>45433.0</v>
      </c>
      <c r="B1030" s="55" t="str">
        <f>HYPERLINK("https://jobright.ai/jobs/info/66741e848f8ed70066b4c12c?utm_campaign=1051&amp;utm_source=sheet", "Apply")</f>
        <v>Apply</v>
      </c>
      <c r="C1030" s="10" t="s">
        <v>16286</v>
      </c>
      <c r="D1030" s="56" t="s">
        <v>16287</v>
      </c>
      <c r="E1030" s="10" t="s">
        <v>45</v>
      </c>
      <c r="F1030" s="10" t="s">
        <v>13636</v>
      </c>
      <c r="G1030" s="10" t="s">
        <v>15793</v>
      </c>
      <c r="H1030" s="10" t="s">
        <v>17207</v>
      </c>
      <c r="I1030" s="10" t="s">
        <v>55</v>
      </c>
      <c r="J1030" s="10" t="s">
        <v>724</v>
      </c>
      <c r="K1030" s="10" t="s">
        <v>16288</v>
      </c>
      <c r="L1030" s="10" t="s">
        <v>42</v>
      </c>
    </row>
    <row r="1031" ht="15.75" customHeight="1">
      <c r="A1031" s="64">
        <v>45433.0</v>
      </c>
      <c r="B1031" s="55" t="str">
        <f>HYPERLINK("https://jobright.ai/jobs/info/66741e8d8f8ed70066b4c1a7?utm_campaign=1051&amp;utm_source=sheet", "Apply")</f>
        <v>Apply</v>
      </c>
      <c r="C1031" s="10" t="s">
        <v>16286</v>
      </c>
      <c r="D1031" s="56" t="s">
        <v>16287</v>
      </c>
      <c r="E1031" s="10" t="s">
        <v>45</v>
      </c>
      <c r="F1031" s="10" t="s">
        <v>13636</v>
      </c>
      <c r="G1031" s="10" t="s">
        <v>15793</v>
      </c>
      <c r="H1031" s="10" t="s">
        <v>4423</v>
      </c>
      <c r="I1031" s="10" t="s">
        <v>55</v>
      </c>
      <c r="J1031" s="10" t="s">
        <v>724</v>
      </c>
      <c r="K1031" s="10" t="s">
        <v>16288</v>
      </c>
      <c r="L1031" s="10" t="s">
        <v>42</v>
      </c>
    </row>
    <row r="1032" ht="15.75" customHeight="1">
      <c r="A1032" s="64">
        <v>45433.0</v>
      </c>
      <c r="B1032" s="55" t="str">
        <f>HYPERLINK("https://jobright.ai/jobs/info/66741e8d8f8ed70066b4c20d?utm_campaign=1051&amp;utm_source=sheet", "Apply")</f>
        <v>Apply</v>
      </c>
      <c r="C1032" s="10" t="s">
        <v>16286</v>
      </c>
      <c r="D1032" s="56" t="s">
        <v>16287</v>
      </c>
      <c r="E1032" s="10" t="s">
        <v>45</v>
      </c>
      <c r="F1032" s="10" t="s">
        <v>13636</v>
      </c>
      <c r="G1032" s="10" t="s">
        <v>15793</v>
      </c>
      <c r="H1032" s="10" t="s">
        <v>17181</v>
      </c>
      <c r="I1032" s="10" t="s">
        <v>55</v>
      </c>
      <c r="J1032" s="10" t="s">
        <v>724</v>
      </c>
      <c r="K1032" s="10" t="s">
        <v>16288</v>
      </c>
      <c r="L1032" s="10" t="s">
        <v>42</v>
      </c>
    </row>
    <row r="1033" ht="15.75" customHeight="1">
      <c r="A1033" s="64">
        <v>45433.0</v>
      </c>
      <c r="B1033" s="55" t="str">
        <f>HYPERLINK("https://jobright.ai/jobs/info/66740f945ff28865e7a71dcf?utm_campaign=1051&amp;utm_source=sheet", "Apply")</f>
        <v>Apply</v>
      </c>
      <c r="C1033" s="10" t="s">
        <v>16286</v>
      </c>
      <c r="D1033" s="56" t="s">
        <v>16287</v>
      </c>
      <c r="E1033" s="10" t="s">
        <v>45</v>
      </c>
      <c r="F1033" s="10" t="s">
        <v>13636</v>
      </c>
      <c r="G1033" s="10" t="s">
        <v>15793</v>
      </c>
      <c r="H1033" s="10" t="s">
        <v>794</v>
      </c>
      <c r="I1033" s="10" t="s">
        <v>55</v>
      </c>
      <c r="K1033" s="10" t="s">
        <v>16288</v>
      </c>
      <c r="L1033" s="10" t="s">
        <v>42</v>
      </c>
    </row>
    <row r="1034" ht="15.75" customHeight="1">
      <c r="A1034" s="64">
        <v>45433.0</v>
      </c>
      <c r="B1034" s="55" t="str">
        <f>HYPERLINK("https://jobright.ai/jobs/info/66740f9c5ff28865e7a71e4e?utm_campaign=1051&amp;utm_source=sheet", "Apply")</f>
        <v>Apply</v>
      </c>
      <c r="C1034" s="10" t="s">
        <v>16286</v>
      </c>
      <c r="D1034" s="56" t="s">
        <v>16287</v>
      </c>
      <c r="E1034" s="10" t="s">
        <v>45</v>
      </c>
      <c r="F1034" s="10" t="s">
        <v>13636</v>
      </c>
      <c r="G1034" s="10" t="s">
        <v>15793</v>
      </c>
      <c r="H1034" s="10" t="s">
        <v>17196</v>
      </c>
      <c r="I1034" s="10" t="s">
        <v>55</v>
      </c>
      <c r="J1034" s="10" t="s">
        <v>724</v>
      </c>
      <c r="K1034" s="10" t="s">
        <v>16288</v>
      </c>
      <c r="L1034" s="10" t="s">
        <v>42</v>
      </c>
    </row>
    <row r="1035" ht="15.75" customHeight="1">
      <c r="A1035" s="64">
        <v>45433.0</v>
      </c>
      <c r="B1035" s="55" t="str">
        <f>HYPERLINK("https://jobright.ai/jobs/info/667413db44674b0124a290e3?utm_campaign=1051&amp;utm_source=sheet", "Apply")</f>
        <v>Apply</v>
      </c>
      <c r="C1035" s="10" t="s">
        <v>16286</v>
      </c>
      <c r="D1035" s="56" t="s">
        <v>16287</v>
      </c>
      <c r="E1035" s="10" t="s">
        <v>45</v>
      </c>
      <c r="F1035" s="10" t="s">
        <v>13636</v>
      </c>
      <c r="G1035" s="10" t="s">
        <v>15793</v>
      </c>
      <c r="H1035" s="10" t="s">
        <v>846</v>
      </c>
      <c r="I1035" s="10" t="s">
        <v>55</v>
      </c>
      <c r="J1035" s="10" t="s">
        <v>724</v>
      </c>
      <c r="K1035" s="10" t="s">
        <v>16288</v>
      </c>
      <c r="L1035" s="10" t="s">
        <v>42</v>
      </c>
    </row>
    <row r="1036" ht="15.75" customHeight="1">
      <c r="A1036" s="64">
        <v>45433.0</v>
      </c>
      <c r="B1036" s="55" t="str">
        <f>HYPERLINK("https://jobright.ai/jobs/info/666917a8ef71c96a7fcbc462?utm_campaign=1051&amp;utm_source=sheet", "Apply")</f>
        <v>Apply</v>
      </c>
      <c r="C1036" s="10" t="s">
        <v>17209</v>
      </c>
      <c r="D1036" s="56" t="s">
        <v>17210</v>
      </c>
      <c r="E1036" s="10" t="s">
        <v>45</v>
      </c>
      <c r="F1036" s="10" t="s">
        <v>2274</v>
      </c>
      <c r="G1036" s="10" t="s">
        <v>100</v>
      </c>
      <c r="H1036" s="10" t="s">
        <v>9404</v>
      </c>
      <c r="I1036" s="10" t="s">
        <v>55</v>
      </c>
      <c r="K1036" s="10" t="s">
        <v>17211</v>
      </c>
      <c r="L1036" s="10" t="s">
        <v>42</v>
      </c>
    </row>
    <row r="1037" ht="15.75" customHeight="1">
      <c r="A1037" s="64">
        <v>45432.0</v>
      </c>
      <c r="B1037" s="55" t="str">
        <f>HYPERLINK("https://jobright.ai/jobs/info/66691812ef71c96a7fcbca3a?utm_campaign=1051&amp;utm_source=sheet", "Apply")</f>
        <v>Apply</v>
      </c>
      <c r="C1037" s="10" t="s">
        <v>17212</v>
      </c>
      <c r="D1037" s="56" t="s">
        <v>1458</v>
      </c>
      <c r="E1037" s="10" t="s">
        <v>45</v>
      </c>
      <c r="F1037" s="10" t="s">
        <v>1459</v>
      </c>
      <c r="G1037" s="10" t="s">
        <v>15793</v>
      </c>
      <c r="H1037" s="10" t="s">
        <v>17213</v>
      </c>
      <c r="I1037" s="10" t="s">
        <v>55</v>
      </c>
      <c r="K1037" s="10" t="s">
        <v>17214</v>
      </c>
      <c r="L1037" s="10" t="s">
        <v>42</v>
      </c>
    </row>
    <row r="1038" ht="15.75" customHeight="1">
      <c r="A1038" s="64">
        <v>45431.0</v>
      </c>
      <c r="B1038" s="55" t="str">
        <f>HYPERLINK("https://jobright.ai/jobs/info/664af63d6451496332904ef8?utm_campaign=1051&amp;utm_source=sheet", "Apply")</f>
        <v>Apply</v>
      </c>
      <c r="C1038" s="10" t="s">
        <v>16286</v>
      </c>
      <c r="D1038" s="56" t="s">
        <v>16287</v>
      </c>
      <c r="E1038" s="10" t="s">
        <v>45</v>
      </c>
      <c r="F1038" s="10" t="s">
        <v>13636</v>
      </c>
      <c r="G1038" s="10" t="s">
        <v>15793</v>
      </c>
      <c r="H1038" s="10" t="s">
        <v>810</v>
      </c>
      <c r="I1038" s="10" t="s">
        <v>55</v>
      </c>
      <c r="K1038" s="10" t="s">
        <v>16288</v>
      </c>
      <c r="L1038" s="10" t="s">
        <v>42</v>
      </c>
    </row>
    <row r="1039" ht="15.75" customHeight="1">
      <c r="A1039" s="64">
        <v>45431.0</v>
      </c>
      <c r="B1039" s="55" t="str">
        <f>HYPERLINK("https://jobright.ai/jobs/info/664af63d6451496332904ef2?utm_campaign=1051&amp;utm_source=sheet", "Apply")</f>
        <v>Apply</v>
      </c>
      <c r="C1039" s="10" t="s">
        <v>16286</v>
      </c>
      <c r="D1039" s="56" t="s">
        <v>16287</v>
      </c>
      <c r="E1039" s="10" t="s">
        <v>45</v>
      </c>
      <c r="F1039" s="10" t="s">
        <v>13636</v>
      </c>
      <c r="G1039" s="10" t="s">
        <v>15793</v>
      </c>
      <c r="H1039" s="10" t="s">
        <v>17198</v>
      </c>
      <c r="I1039" s="10" t="s">
        <v>55</v>
      </c>
      <c r="K1039" s="10" t="s">
        <v>16288</v>
      </c>
      <c r="L1039" s="10" t="s">
        <v>42</v>
      </c>
    </row>
    <row r="1040" ht="15.75" customHeight="1">
      <c r="A1040" s="64">
        <v>45431.0</v>
      </c>
      <c r="B1040" s="55" t="str">
        <f>HYPERLINK("https://jobright.ai/jobs/info/664af6486451496332904fe3?utm_campaign=1051&amp;utm_source=sheet", "Apply")</f>
        <v>Apply</v>
      </c>
      <c r="C1040" s="10" t="s">
        <v>16286</v>
      </c>
      <c r="D1040" s="56" t="s">
        <v>16287</v>
      </c>
      <c r="E1040" s="10" t="s">
        <v>45</v>
      </c>
      <c r="F1040" s="10" t="s">
        <v>13636</v>
      </c>
      <c r="G1040" s="10" t="s">
        <v>15793</v>
      </c>
      <c r="H1040" s="10" t="s">
        <v>17198</v>
      </c>
      <c r="I1040" s="10" t="s">
        <v>55</v>
      </c>
      <c r="K1040" s="10" t="s">
        <v>16288</v>
      </c>
      <c r="L1040" s="10" t="s">
        <v>42</v>
      </c>
    </row>
    <row r="1041" ht="15.75" customHeight="1">
      <c r="A1041" s="64">
        <v>45431.0</v>
      </c>
      <c r="B1041" s="55" t="str">
        <f>HYPERLINK("https://jobright.ai/jobs/info/664af6486451496332905012?utm_campaign=1051&amp;utm_source=sheet", "Apply")</f>
        <v>Apply</v>
      </c>
      <c r="C1041" s="10" t="s">
        <v>16286</v>
      </c>
      <c r="D1041" s="56" t="s">
        <v>16287</v>
      </c>
      <c r="E1041" s="10" t="s">
        <v>45</v>
      </c>
      <c r="F1041" s="10" t="s">
        <v>13636</v>
      </c>
      <c r="G1041" s="10" t="s">
        <v>15793</v>
      </c>
      <c r="H1041" s="10" t="s">
        <v>794</v>
      </c>
      <c r="I1041" s="10" t="s">
        <v>55</v>
      </c>
      <c r="J1041" s="10" t="s">
        <v>724</v>
      </c>
      <c r="K1041" s="10" t="s">
        <v>16288</v>
      </c>
      <c r="L1041" s="10" t="s">
        <v>42</v>
      </c>
    </row>
    <row r="1042" ht="15.75" customHeight="1">
      <c r="A1042" s="64">
        <v>45431.0</v>
      </c>
      <c r="B1042" s="55" t="str">
        <f>HYPERLINK("https://jobright.ai/jobs/info/664af648645149633290504e?utm_campaign=1051&amp;utm_source=sheet", "Apply")</f>
        <v>Apply</v>
      </c>
      <c r="C1042" s="10" t="s">
        <v>16286</v>
      </c>
      <c r="D1042" s="56" t="s">
        <v>16287</v>
      </c>
      <c r="E1042" s="10" t="s">
        <v>45</v>
      </c>
      <c r="F1042" s="10" t="s">
        <v>13636</v>
      </c>
      <c r="G1042" s="10" t="s">
        <v>15793</v>
      </c>
      <c r="H1042" s="10" t="s">
        <v>17192</v>
      </c>
      <c r="I1042" s="10" t="s">
        <v>55</v>
      </c>
      <c r="J1042" s="10" t="s">
        <v>17215</v>
      </c>
      <c r="K1042" s="10" t="s">
        <v>16288</v>
      </c>
      <c r="L1042" s="10" t="s">
        <v>42</v>
      </c>
    </row>
    <row r="1043" ht="15.75" customHeight="1">
      <c r="A1043" s="64">
        <v>45431.0</v>
      </c>
      <c r="B1043" s="55" t="str">
        <f>HYPERLINK("https://jobright.ai/jobs/info/664af6526451496332905141?utm_campaign=1051&amp;utm_source=sheet", "Apply")</f>
        <v>Apply</v>
      </c>
      <c r="C1043" s="10" t="s">
        <v>16286</v>
      </c>
      <c r="D1043" s="56" t="s">
        <v>16287</v>
      </c>
      <c r="E1043" s="10" t="s">
        <v>45</v>
      </c>
      <c r="F1043" s="10" t="s">
        <v>13636</v>
      </c>
      <c r="G1043" s="10" t="s">
        <v>15793</v>
      </c>
      <c r="H1043" s="10" t="s">
        <v>767</v>
      </c>
      <c r="I1043" s="10" t="s">
        <v>55</v>
      </c>
      <c r="J1043" s="10" t="s">
        <v>724</v>
      </c>
      <c r="K1043" s="10" t="s">
        <v>16288</v>
      </c>
      <c r="L1043" s="10" t="s">
        <v>42</v>
      </c>
    </row>
    <row r="1044" ht="15.75" customHeight="1">
      <c r="A1044" s="64">
        <v>45431.0</v>
      </c>
      <c r="B1044" s="55" t="str">
        <f>HYPERLINK("https://jobright.ai/jobs/info/664af65d645149633290514d?utm_campaign=1051&amp;utm_source=sheet", "Apply")</f>
        <v>Apply</v>
      </c>
      <c r="C1044" s="10" t="s">
        <v>16286</v>
      </c>
      <c r="D1044" s="56" t="s">
        <v>16287</v>
      </c>
      <c r="E1044" s="10" t="s">
        <v>45</v>
      </c>
      <c r="F1044" s="10" t="s">
        <v>13636</v>
      </c>
      <c r="G1044" s="10" t="s">
        <v>15793</v>
      </c>
      <c r="H1044" s="10" t="s">
        <v>884</v>
      </c>
      <c r="I1044" s="10" t="s">
        <v>55</v>
      </c>
      <c r="J1044" s="10" t="s">
        <v>724</v>
      </c>
      <c r="K1044" s="10" t="s">
        <v>16288</v>
      </c>
      <c r="L1044" s="10" t="s">
        <v>42</v>
      </c>
    </row>
    <row r="1045" ht="15.75" customHeight="1">
      <c r="A1045" s="64">
        <v>45431.0</v>
      </c>
      <c r="B1045" s="55" t="str">
        <f>HYPERLINK("https://jobright.ai/jobs/info/664af65d64514963329051f9?utm_campaign=1051&amp;utm_source=sheet", "Apply")</f>
        <v>Apply</v>
      </c>
      <c r="C1045" s="10" t="s">
        <v>16286</v>
      </c>
      <c r="D1045" s="56" t="s">
        <v>16287</v>
      </c>
      <c r="E1045" s="10" t="s">
        <v>45</v>
      </c>
      <c r="F1045" s="10" t="s">
        <v>13636</v>
      </c>
      <c r="G1045" s="10" t="s">
        <v>15793</v>
      </c>
      <c r="H1045" s="10" t="s">
        <v>8300</v>
      </c>
      <c r="I1045" s="10" t="s">
        <v>55</v>
      </c>
      <c r="J1045" s="10" t="s">
        <v>724</v>
      </c>
      <c r="K1045" s="10" t="s">
        <v>16288</v>
      </c>
      <c r="L1045" s="10" t="s">
        <v>42</v>
      </c>
    </row>
    <row r="1046" ht="15.75" customHeight="1">
      <c r="A1046" s="64">
        <v>45431.0</v>
      </c>
      <c r="B1046" s="55" t="str">
        <f>HYPERLINK("https://jobright.ai/jobs/info/664af65d64514963329051f5?utm_campaign=1051&amp;utm_source=sheet", "Apply")</f>
        <v>Apply</v>
      </c>
      <c r="C1046" s="10" t="s">
        <v>16286</v>
      </c>
      <c r="D1046" s="56" t="s">
        <v>16287</v>
      </c>
      <c r="E1046" s="10" t="s">
        <v>45</v>
      </c>
      <c r="F1046" s="10" t="s">
        <v>13636</v>
      </c>
      <c r="G1046" s="10" t="s">
        <v>15793</v>
      </c>
      <c r="H1046" s="10" t="s">
        <v>847</v>
      </c>
      <c r="I1046" s="10" t="s">
        <v>55</v>
      </c>
      <c r="J1046" s="10" t="s">
        <v>724</v>
      </c>
      <c r="K1046" s="10" t="s">
        <v>16288</v>
      </c>
      <c r="L1046" s="10" t="s">
        <v>42</v>
      </c>
    </row>
    <row r="1047" ht="15.75" customHeight="1">
      <c r="A1047" s="64">
        <v>45431.0</v>
      </c>
      <c r="B1047" s="55" t="str">
        <f>HYPERLINK("https://jobright.ai/jobs/info/664af65d64514963329051eb?utm_campaign=1051&amp;utm_source=sheet", "Apply")</f>
        <v>Apply</v>
      </c>
      <c r="C1047" s="10" t="s">
        <v>16286</v>
      </c>
      <c r="D1047" s="56" t="s">
        <v>16287</v>
      </c>
      <c r="E1047" s="10" t="s">
        <v>45</v>
      </c>
      <c r="F1047" s="10" t="s">
        <v>13636</v>
      </c>
      <c r="G1047" s="10" t="s">
        <v>15793</v>
      </c>
      <c r="H1047" s="10" t="s">
        <v>846</v>
      </c>
      <c r="I1047" s="10" t="s">
        <v>55</v>
      </c>
      <c r="J1047" s="10" t="s">
        <v>724</v>
      </c>
      <c r="K1047" s="10" t="s">
        <v>16288</v>
      </c>
      <c r="L1047" s="10" t="s">
        <v>42</v>
      </c>
    </row>
    <row r="1048" ht="15.75" customHeight="1">
      <c r="A1048" s="64">
        <v>45431.0</v>
      </c>
      <c r="B1048" s="55" t="str">
        <f>HYPERLINK("https://jobright.ai/jobs/info/664af65d64514963329051e9?utm_campaign=1051&amp;utm_source=sheet", "Apply")</f>
        <v>Apply</v>
      </c>
      <c r="C1048" s="10" t="s">
        <v>16286</v>
      </c>
      <c r="D1048" s="56" t="s">
        <v>16287</v>
      </c>
      <c r="E1048" s="10" t="s">
        <v>45</v>
      </c>
      <c r="F1048" s="10" t="s">
        <v>13636</v>
      </c>
      <c r="G1048" s="10" t="s">
        <v>15793</v>
      </c>
      <c r="H1048" s="10" t="s">
        <v>794</v>
      </c>
      <c r="I1048" s="10" t="s">
        <v>55</v>
      </c>
      <c r="J1048" s="10" t="s">
        <v>521</v>
      </c>
      <c r="K1048" s="10" t="s">
        <v>16288</v>
      </c>
      <c r="L1048" s="10" t="s">
        <v>42</v>
      </c>
    </row>
    <row r="1049" ht="15.75" customHeight="1">
      <c r="A1049" s="64">
        <v>45431.0</v>
      </c>
      <c r="B1049" s="55" t="str">
        <f>HYPERLINK("https://jobright.ai/jobs/info/664af668645149633290525a?utm_campaign=1051&amp;utm_source=sheet", "Apply")</f>
        <v>Apply</v>
      </c>
      <c r="C1049" s="10" t="s">
        <v>16286</v>
      </c>
      <c r="D1049" s="56" t="s">
        <v>16287</v>
      </c>
      <c r="E1049" s="10" t="s">
        <v>45</v>
      </c>
      <c r="F1049" s="10" t="s">
        <v>13636</v>
      </c>
      <c r="G1049" s="10" t="s">
        <v>15793</v>
      </c>
      <c r="H1049" s="10" t="s">
        <v>17181</v>
      </c>
      <c r="I1049" s="10" t="s">
        <v>55</v>
      </c>
      <c r="J1049" s="10" t="s">
        <v>724</v>
      </c>
      <c r="K1049" s="10" t="s">
        <v>16288</v>
      </c>
      <c r="L1049" s="10" t="s">
        <v>42</v>
      </c>
    </row>
    <row r="1050" ht="15.75" customHeight="1">
      <c r="A1050" s="64">
        <v>45431.0</v>
      </c>
      <c r="B1050" s="55" t="str">
        <f>HYPERLINK("https://jobright.ai/jobs/info/664af6686451496332905259?utm_campaign=1051&amp;utm_source=sheet", "Apply")</f>
        <v>Apply</v>
      </c>
      <c r="C1050" s="10" t="s">
        <v>16286</v>
      </c>
      <c r="D1050" s="56" t="s">
        <v>16287</v>
      </c>
      <c r="E1050" s="10" t="s">
        <v>45</v>
      </c>
      <c r="F1050" s="10" t="s">
        <v>13636</v>
      </c>
      <c r="G1050" s="10" t="s">
        <v>15793</v>
      </c>
      <c r="H1050" s="10" t="s">
        <v>4001</v>
      </c>
      <c r="I1050" s="10" t="s">
        <v>55</v>
      </c>
      <c r="J1050" s="10" t="s">
        <v>724</v>
      </c>
      <c r="K1050" s="10" t="s">
        <v>16288</v>
      </c>
      <c r="L1050" s="10" t="s">
        <v>42</v>
      </c>
    </row>
    <row r="1051" ht="15.75" customHeight="1">
      <c r="A1051" s="64">
        <v>45431.0</v>
      </c>
      <c r="B1051" s="55" t="str">
        <f>HYPERLINK("https://jobright.ai/jobs/info/664af6686451496332905263?utm_campaign=1051&amp;utm_source=sheet", "Apply")</f>
        <v>Apply</v>
      </c>
      <c r="C1051" s="10" t="s">
        <v>16286</v>
      </c>
      <c r="D1051" s="56" t="s">
        <v>16287</v>
      </c>
      <c r="E1051" s="10" t="s">
        <v>45</v>
      </c>
      <c r="F1051" s="10" t="s">
        <v>13636</v>
      </c>
      <c r="G1051" s="10" t="s">
        <v>15793</v>
      </c>
      <c r="H1051" s="10" t="s">
        <v>767</v>
      </c>
      <c r="I1051" s="10" t="s">
        <v>55</v>
      </c>
      <c r="J1051" s="10" t="s">
        <v>17216</v>
      </c>
      <c r="K1051" s="10" t="s">
        <v>16288</v>
      </c>
      <c r="L1051" s="10" t="s">
        <v>42</v>
      </c>
    </row>
    <row r="1052" ht="15.75" customHeight="1">
      <c r="A1052" s="64">
        <v>45431.0</v>
      </c>
      <c r="B1052" s="55" t="str">
        <f>HYPERLINK("https://jobright.ai/jobs/info/664af668645149633290526f?utm_campaign=1051&amp;utm_source=sheet", "Apply")</f>
        <v>Apply</v>
      </c>
      <c r="C1052" s="10" t="s">
        <v>16286</v>
      </c>
      <c r="D1052" s="56" t="s">
        <v>16287</v>
      </c>
      <c r="E1052" s="10" t="s">
        <v>45</v>
      </c>
      <c r="F1052" s="10" t="s">
        <v>13636</v>
      </c>
      <c r="G1052" s="10" t="s">
        <v>15793</v>
      </c>
      <c r="H1052" s="10" t="s">
        <v>4423</v>
      </c>
      <c r="I1052" s="10" t="s">
        <v>55</v>
      </c>
      <c r="J1052" s="10" t="s">
        <v>521</v>
      </c>
      <c r="K1052" s="10" t="s">
        <v>16288</v>
      </c>
      <c r="L1052" s="10" t="s">
        <v>42</v>
      </c>
    </row>
    <row r="1053" ht="15.75" customHeight="1">
      <c r="A1053" s="64">
        <v>45431.0</v>
      </c>
      <c r="B1053" s="55" t="str">
        <f>HYPERLINK("https://jobright.ai/jobs/info/664af6726451496332905357?utm_campaign=1051&amp;utm_source=sheet", "Apply")</f>
        <v>Apply</v>
      </c>
      <c r="C1053" s="10" t="s">
        <v>16286</v>
      </c>
      <c r="D1053" s="56" t="s">
        <v>16287</v>
      </c>
      <c r="E1053" s="10" t="s">
        <v>45</v>
      </c>
      <c r="F1053" s="10" t="s">
        <v>13636</v>
      </c>
      <c r="G1053" s="10" t="s">
        <v>15793</v>
      </c>
      <c r="H1053" s="10" t="s">
        <v>17191</v>
      </c>
      <c r="I1053" s="10" t="s">
        <v>55</v>
      </c>
      <c r="J1053" s="10" t="s">
        <v>17175</v>
      </c>
      <c r="K1053" s="10" t="s">
        <v>16288</v>
      </c>
      <c r="L1053" s="10" t="s">
        <v>42</v>
      </c>
    </row>
    <row r="1054" ht="15.75" customHeight="1">
      <c r="A1054" s="64">
        <v>45431.0</v>
      </c>
      <c r="B1054" s="55" t="str">
        <f>HYPERLINK("https://jobright.ai/jobs/info/664af6726451496332905390?utm_campaign=1051&amp;utm_source=sheet", "Apply")</f>
        <v>Apply</v>
      </c>
      <c r="C1054" s="10" t="s">
        <v>16286</v>
      </c>
      <c r="D1054" s="56" t="s">
        <v>16287</v>
      </c>
      <c r="E1054" s="10" t="s">
        <v>45</v>
      </c>
      <c r="F1054" s="10" t="s">
        <v>13636</v>
      </c>
      <c r="G1054" s="10" t="s">
        <v>15793</v>
      </c>
      <c r="H1054" s="10" t="s">
        <v>4001</v>
      </c>
      <c r="I1054" s="10" t="s">
        <v>55</v>
      </c>
      <c r="K1054" s="10" t="s">
        <v>16288</v>
      </c>
      <c r="L1054" s="10" t="s">
        <v>42</v>
      </c>
    </row>
    <row r="1055" ht="15.75" customHeight="1">
      <c r="A1055" s="64">
        <v>45431.0</v>
      </c>
      <c r="B1055" s="55" t="str">
        <f>HYPERLINK("https://jobright.ai/jobs/info/664af67d64514963329053a8?utm_campaign=1051&amp;utm_source=sheet", "Apply")</f>
        <v>Apply</v>
      </c>
      <c r="C1055" s="10" t="s">
        <v>16286</v>
      </c>
      <c r="D1055" s="56" t="s">
        <v>16287</v>
      </c>
      <c r="E1055" s="10" t="s">
        <v>45</v>
      </c>
      <c r="F1055" s="10" t="s">
        <v>13636</v>
      </c>
      <c r="G1055" s="10" t="s">
        <v>15793</v>
      </c>
      <c r="H1055" s="10" t="s">
        <v>17217</v>
      </c>
      <c r="I1055" s="10" t="s">
        <v>55</v>
      </c>
      <c r="K1055" s="10" t="s">
        <v>16288</v>
      </c>
      <c r="L1055" s="10" t="s">
        <v>42</v>
      </c>
    </row>
    <row r="1056" ht="15.75" customHeight="1">
      <c r="A1056" s="64">
        <v>45431.0</v>
      </c>
      <c r="B1056" s="55" t="str">
        <f>HYPERLINK("https://jobright.ai/jobs/info/664af67d6451496332905403?utm_campaign=1051&amp;utm_source=sheet", "Apply")</f>
        <v>Apply</v>
      </c>
      <c r="C1056" s="10" t="s">
        <v>16286</v>
      </c>
      <c r="D1056" s="56" t="s">
        <v>16287</v>
      </c>
      <c r="E1056" s="10" t="s">
        <v>45</v>
      </c>
      <c r="F1056" s="10" t="s">
        <v>13636</v>
      </c>
      <c r="G1056" s="10" t="s">
        <v>15793</v>
      </c>
      <c r="H1056" s="10" t="s">
        <v>106</v>
      </c>
      <c r="I1056" s="10" t="s">
        <v>55</v>
      </c>
      <c r="J1056" s="10" t="s">
        <v>724</v>
      </c>
      <c r="K1056" s="10" t="s">
        <v>16288</v>
      </c>
      <c r="L1056" s="10" t="s">
        <v>42</v>
      </c>
    </row>
    <row r="1057" ht="15.75" customHeight="1">
      <c r="A1057" s="64">
        <v>45431.0</v>
      </c>
      <c r="B1057" s="55" t="str">
        <f>HYPERLINK("https://jobright.ai/jobs/info/664af67d64514963329053fe?utm_campaign=1051&amp;utm_source=sheet", "Apply")</f>
        <v>Apply</v>
      </c>
      <c r="C1057" s="10" t="s">
        <v>16286</v>
      </c>
      <c r="D1057" s="56" t="s">
        <v>16287</v>
      </c>
      <c r="E1057" s="10" t="s">
        <v>45</v>
      </c>
      <c r="F1057" s="10" t="s">
        <v>13636</v>
      </c>
      <c r="G1057" s="10" t="s">
        <v>15793</v>
      </c>
      <c r="H1057" s="10" t="s">
        <v>106</v>
      </c>
      <c r="I1057" s="10" t="s">
        <v>55</v>
      </c>
      <c r="J1057" s="10" t="s">
        <v>724</v>
      </c>
      <c r="K1057" s="10" t="s">
        <v>16288</v>
      </c>
      <c r="L1057" s="10" t="s">
        <v>42</v>
      </c>
    </row>
    <row r="1058" ht="15.75" customHeight="1">
      <c r="A1058" s="64">
        <v>45431.0</v>
      </c>
      <c r="B1058" s="55" t="str">
        <f>HYPERLINK("https://jobright.ai/jobs/info/664af68764514963329054a8?utm_campaign=1051&amp;utm_source=sheet", "Apply")</f>
        <v>Apply</v>
      </c>
      <c r="C1058" s="10" t="s">
        <v>16286</v>
      </c>
      <c r="D1058" s="56" t="s">
        <v>16287</v>
      </c>
      <c r="E1058" s="10" t="s">
        <v>45</v>
      </c>
      <c r="F1058" s="10" t="s">
        <v>13636</v>
      </c>
      <c r="G1058" s="10" t="s">
        <v>15793</v>
      </c>
      <c r="H1058" s="10" t="s">
        <v>794</v>
      </c>
      <c r="I1058" s="10" t="s">
        <v>55</v>
      </c>
      <c r="K1058" s="10" t="s">
        <v>16288</v>
      </c>
      <c r="L1058" s="10" t="s">
        <v>42</v>
      </c>
    </row>
    <row r="1059" ht="15.75" customHeight="1">
      <c r="A1059" s="64">
        <v>45431.0</v>
      </c>
      <c r="B1059" s="55" t="str">
        <f>HYPERLINK("https://jobright.ai/jobs/info/664af691645149633290555c?utm_campaign=1051&amp;utm_source=sheet", "Apply")</f>
        <v>Apply</v>
      </c>
      <c r="C1059" s="10" t="s">
        <v>16286</v>
      </c>
      <c r="D1059" s="56" t="s">
        <v>16287</v>
      </c>
      <c r="E1059" s="10" t="s">
        <v>45</v>
      </c>
      <c r="F1059" s="10" t="s">
        <v>13636</v>
      </c>
      <c r="G1059" s="10" t="s">
        <v>15793</v>
      </c>
      <c r="H1059" s="10" t="s">
        <v>106</v>
      </c>
      <c r="I1059" s="10" t="s">
        <v>55</v>
      </c>
      <c r="J1059" s="10" t="s">
        <v>724</v>
      </c>
      <c r="K1059" s="10" t="s">
        <v>16288</v>
      </c>
      <c r="L1059" s="10" t="s">
        <v>42</v>
      </c>
    </row>
    <row r="1060" ht="15.75" customHeight="1">
      <c r="A1060" s="64">
        <v>45431.0</v>
      </c>
      <c r="B1060" s="55" t="str">
        <f>HYPERLINK("https://jobright.ai/jobs/info/664af69164514963329055bb?utm_campaign=1051&amp;utm_source=sheet", "Apply")</f>
        <v>Apply</v>
      </c>
      <c r="C1060" s="10" t="s">
        <v>16286</v>
      </c>
      <c r="D1060" s="56" t="s">
        <v>16287</v>
      </c>
      <c r="E1060" s="10" t="s">
        <v>45</v>
      </c>
      <c r="F1060" s="10" t="s">
        <v>13636</v>
      </c>
      <c r="G1060" s="10" t="s">
        <v>15793</v>
      </c>
      <c r="H1060" s="10" t="s">
        <v>767</v>
      </c>
      <c r="I1060" s="10" t="s">
        <v>55</v>
      </c>
      <c r="J1060" s="10" t="s">
        <v>724</v>
      </c>
      <c r="K1060" s="10" t="s">
        <v>16288</v>
      </c>
      <c r="L1060" s="10" t="s">
        <v>42</v>
      </c>
    </row>
    <row r="1061" ht="15.75" customHeight="1">
      <c r="A1061" s="64">
        <v>45431.0</v>
      </c>
      <c r="B1061" s="55" t="str">
        <f>HYPERLINK("https://jobright.ai/jobs/info/664af69164514963329055ce?utm_campaign=1051&amp;utm_source=sheet", "Apply")</f>
        <v>Apply</v>
      </c>
      <c r="C1061" s="10" t="s">
        <v>16286</v>
      </c>
      <c r="D1061" s="56" t="s">
        <v>16287</v>
      </c>
      <c r="E1061" s="10" t="s">
        <v>45</v>
      </c>
      <c r="F1061" s="10" t="s">
        <v>13636</v>
      </c>
      <c r="G1061" s="10" t="s">
        <v>15793</v>
      </c>
      <c r="H1061" s="10" t="s">
        <v>810</v>
      </c>
      <c r="I1061" s="10" t="s">
        <v>55</v>
      </c>
      <c r="J1061" s="10" t="s">
        <v>17218</v>
      </c>
      <c r="K1061" s="10" t="s">
        <v>16288</v>
      </c>
      <c r="L1061" s="10" t="s">
        <v>42</v>
      </c>
    </row>
    <row r="1062" ht="15.75" customHeight="1">
      <c r="A1062" s="64">
        <v>45431.0</v>
      </c>
      <c r="B1062" s="55" t="str">
        <f>HYPERLINK("https://jobright.ai/jobs/info/664af6b1645149633290579d?utm_campaign=1051&amp;utm_source=sheet", "Apply")</f>
        <v>Apply</v>
      </c>
      <c r="C1062" s="10" t="s">
        <v>16286</v>
      </c>
      <c r="D1062" s="56" t="s">
        <v>16287</v>
      </c>
      <c r="E1062" s="10" t="s">
        <v>45</v>
      </c>
      <c r="F1062" s="10" t="s">
        <v>13636</v>
      </c>
      <c r="G1062" s="10" t="s">
        <v>15793</v>
      </c>
      <c r="H1062" s="10" t="s">
        <v>4001</v>
      </c>
      <c r="I1062" s="10" t="s">
        <v>55</v>
      </c>
      <c r="J1062" s="10" t="s">
        <v>17218</v>
      </c>
      <c r="K1062" s="10" t="s">
        <v>16288</v>
      </c>
      <c r="L1062" s="10" t="s">
        <v>42</v>
      </c>
    </row>
    <row r="1063" ht="15.75" customHeight="1">
      <c r="A1063" s="64">
        <v>45431.0</v>
      </c>
      <c r="B1063" s="55" t="str">
        <f>HYPERLINK("https://jobright.ai/jobs/info/664af6b1645149633290579c?utm_campaign=1051&amp;utm_source=sheet", "Apply")</f>
        <v>Apply</v>
      </c>
      <c r="C1063" s="10" t="s">
        <v>16286</v>
      </c>
      <c r="D1063" s="56" t="s">
        <v>16287</v>
      </c>
      <c r="E1063" s="10" t="s">
        <v>45</v>
      </c>
      <c r="F1063" s="10" t="s">
        <v>13636</v>
      </c>
      <c r="G1063" s="10" t="s">
        <v>15793</v>
      </c>
      <c r="H1063" s="10" t="s">
        <v>930</v>
      </c>
      <c r="I1063" s="10" t="s">
        <v>55</v>
      </c>
      <c r="J1063" s="10" t="s">
        <v>17175</v>
      </c>
      <c r="K1063" s="10" t="s">
        <v>17219</v>
      </c>
      <c r="L1063" s="10" t="s">
        <v>42</v>
      </c>
    </row>
    <row r="1064" ht="15.75" customHeight="1">
      <c r="A1064" s="64">
        <v>45431.0</v>
      </c>
      <c r="B1064" s="55" t="str">
        <f>HYPERLINK("https://jobright.ai/jobs/info/664af6bb645149633290586d?utm_campaign=1051&amp;utm_source=sheet", "Apply")</f>
        <v>Apply</v>
      </c>
      <c r="C1064" s="10" t="s">
        <v>16286</v>
      </c>
      <c r="D1064" s="56" t="s">
        <v>16287</v>
      </c>
      <c r="E1064" s="10" t="s">
        <v>45</v>
      </c>
      <c r="F1064" s="10" t="s">
        <v>13636</v>
      </c>
      <c r="G1064" s="10" t="s">
        <v>15793</v>
      </c>
      <c r="H1064" s="10" t="s">
        <v>17192</v>
      </c>
      <c r="I1064" s="10" t="s">
        <v>55</v>
      </c>
      <c r="J1064" s="10" t="s">
        <v>724</v>
      </c>
      <c r="K1064" s="10" t="s">
        <v>16288</v>
      </c>
      <c r="L1064" s="10" t="s">
        <v>42</v>
      </c>
    </row>
    <row r="1065" ht="15.75" customHeight="1">
      <c r="A1065" s="64">
        <v>45430.0</v>
      </c>
      <c r="B1065" s="55" t="str">
        <f>HYPERLINK("https://jobright.ai/jobs/info/664814cc4d8c545436a6f3a1?utm_campaign=1051&amp;utm_source=sheet", "Apply")</f>
        <v>Apply</v>
      </c>
      <c r="C1065" s="10" t="s">
        <v>17135</v>
      </c>
      <c r="D1065" s="56" t="s">
        <v>16830</v>
      </c>
      <c r="E1065" s="10" t="s">
        <v>79</v>
      </c>
      <c r="F1065" s="10" t="s">
        <v>16831</v>
      </c>
      <c r="G1065" s="10" t="s">
        <v>15829</v>
      </c>
      <c r="H1065" s="10" t="s">
        <v>131</v>
      </c>
      <c r="I1065" s="10" t="s">
        <v>55</v>
      </c>
      <c r="J1065" s="10" t="s">
        <v>15596</v>
      </c>
      <c r="K1065" s="10" t="s">
        <v>16896</v>
      </c>
      <c r="L1065" s="10" t="s">
        <v>42</v>
      </c>
    </row>
    <row r="1066" ht="15.75" customHeight="1">
      <c r="A1066" s="64">
        <v>45430.0</v>
      </c>
      <c r="B1066" s="55" t="str">
        <f>HYPERLINK("https://jobright.ai/jobs/info/66480b114a0fa239f6d1f527?utm_campaign=1051&amp;utm_source=sheet", "Apply")</f>
        <v>Apply</v>
      </c>
      <c r="C1066" s="10" t="s">
        <v>17136</v>
      </c>
      <c r="D1066" s="56" t="s">
        <v>16830</v>
      </c>
      <c r="E1066" s="10" t="s">
        <v>79</v>
      </c>
      <c r="F1066" s="10" t="s">
        <v>16831</v>
      </c>
      <c r="G1066" s="10" t="s">
        <v>15829</v>
      </c>
      <c r="H1066" s="10" t="s">
        <v>17137</v>
      </c>
      <c r="I1066" s="10" t="s">
        <v>55</v>
      </c>
      <c r="J1066" s="10" t="s">
        <v>15596</v>
      </c>
      <c r="K1066" s="10" t="s">
        <v>16896</v>
      </c>
      <c r="L1066" s="10" t="s">
        <v>42</v>
      </c>
    </row>
    <row r="1067" ht="15.75" customHeight="1">
      <c r="A1067" s="64">
        <v>45429.0</v>
      </c>
      <c r="B1067" s="55" t="str">
        <f>HYPERLINK("https://jobright.ai/jobs/info/66480b1b4a0fa239f6d1f563?utm_campaign=1051&amp;utm_source=sheet", "Apply")</f>
        <v>Apply</v>
      </c>
      <c r="C1067" s="10" t="s">
        <v>17138</v>
      </c>
      <c r="D1067" s="56" t="s">
        <v>16830</v>
      </c>
      <c r="E1067" s="10" t="s">
        <v>79</v>
      </c>
      <c r="F1067" s="10" t="s">
        <v>16831</v>
      </c>
      <c r="G1067" s="10" t="s">
        <v>15829</v>
      </c>
      <c r="H1067" s="10" t="s">
        <v>919</v>
      </c>
      <c r="I1067" s="10" t="s">
        <v>55</v>
      </c>
      <c r="J1067" s="10" t="s">
        <v>15596</v>
      </c>
      <c r="K1067" s="10" t="s">
        <v>16896</v>
      </c>
      <c r="L1067" s="10" t="s">
        <v>42</v>
      </c>
    </row>
    <row r="1068" ht="15.75" customHeight="1">
      <c r="A1068" s="64">
        <v>45429.0</v>
      </c>
      <c r="B1068" s="55" t="str">
        <f>HYPERLINK("https://jobright.ai/jobs/info/664803d1aba5e84352282787?utm_campaign=1051&amp;utm_source=sheet", "Apply")</f>
        <v>Apply</v>
      </c>
      <c r="C1068" s="10" t="s">
        <v>17220</v>
      </c>
      <c r="D1068" s="56" t="s">
        <v>16830</v>
      </c>
      <c r="E1068" s="10" t="s">
        <v>79</v>
      </c>
      <c r="F1068" s="10" t="s">
        <v>16831</v>
      </c>
      <c r="G1068" s="10" t="s">
        <v>15829</v>
      </c>
      <c r="H1068" s="10" t="s">
        <v>994</v>
      </c>
      <c r="I1068" s="10" t="s">
        <v>55</v>
      </c>
      <c r="J1068" s="10" t="s">
        <v>15596</v>
      </c>
      <c r="K1068" s="10" t="s">
        <v>16832</v>
      </c>
      <c r="L1068" s="10" t="s">
        <v>42</v>
      </c>
    </row>
    <row r="1069" ht="15.75" customHeight="1">
      <c r="A1069" s="64">
        <v>45429.0</v>
      </c>
      <c r="B1069" s="55" t="str">
        <f>HYPERLINK("https://jobright.ai/jobs/info/6647f919442480d7416adf89?utm_campaign=1051&amp;utm_source=sheet", "Apply")</f>
        <v>Apply</v>
      </c>
      <c r="C1069" s="10" t="s">
        <v>17221</v>
      </c>
      <c r="D1069" s="56" t="s">
        <v>16830</v>
      </c>
      <c r="E1069" s="10" t="s">
        <v>79</v>
      </c>
      <c r="F1069" s="10" t="s">
        <v>16831</v>
      </c>
      <c r="G1069" s="10" t="s">
        <v>15829</v>
      </c>
      <c r="H1069" s="10" t="s">
        <v>16927</v>
      </c>
      <c r="I1069" s="10" t="s">
        <v>55</v>
      </c>
      <c r="J1069" s="10" t="s">
        <v>15596</v>
      </c>
      <c r="K1069" s="10" t="s">
        <v>16832</v>
      </c>
      <c r="L1069" s="10" t="s">
        <v>42</v>
      </c>
    </row>
    <row r="1070" ht="15.75" customHeight="1">
      <c r="A1070" s="64">
        <v>45429.0</v>
      </c>
      <c r="B1070" s="55" t="str">
        <f>HYPERLINK("https://jobright.ai/jobs/info/6647f923442480d7416ae073?utm_campaign=1051&amp;utm_source=sheet", "Apply")</f>
        <v>Apply</v>
      </c>
      <c r="C1070" s="10" t="s">
        <v>17222</v>
      </c>
      <c r="D1070" s="56" t="s">
        <v>16830</v>
      </c>
      <c r="E1070" s="10" t="s">
        <v>79</v>
      </c>
      <c r="F1070" s="10" t="s">
        <v>16831</v>
      </c>
      <c r="G1070" s="10" t="s">
        <v>15829</v>
      </c>
      <c r="H1070" s="10" t="s">
        <v>16927</v>
      </c>
      <c r="I1070" s="10" t="s">
        <v>55</v>
      </c>
      <c r="J1070" s="10" t="s">
        <v>11147</v>
      </c>
      <c r="K1070" s="10" t="s">
        <v>17223</v>
      </c>
      <c r="L1070" s="10" t="s">
        <v>42</v>
      </c>
    </row>
    <row r="1071" ht="15.75" customHeight="1">
      <c r="A1071" s="64">
        <v>45428.0</v>
      </c>
      <c r="B1071" s="55" t="str">
        <f>HYPERLINK("https://jobright.ai/jobs/info/66466023c8240293c0f8b4ff?utm_campaign=1051&amp;utm_source=sheet", "Apply")</f>
        <v>Apply</v>
      </c>
      <c r="C1071" s="10" t="s">
        <v>17224</v>
      </c>
      <c r="D1071" s="56" t="s">
        <v>17225</v>
      </c>
      <c r="E1071" s="10" t="s">
        <v>137</v>
      </c>
      <c r="F1071" s="10" t="s">
        <v>2950</v>
      </c>
      <c r="G1071" s="10" t="s">
        <v>15814</v>
      </c>
      <c r="H1071" s="10" t="s">
        <v>96</v>
      </c>
      <c r="I1071" s="10" t="s">
        <v>55</v>
      </c>
      <c r="K1071" s="10" t="s">
        <v>17226</v>
      </c>
      <c r="L1071" s="10" t="s">
        <v>42</v>
      </c>
    </row>
    <row r="1072" ht="15.75" customHeight="1">
      <c r="A1072" s="64">
        <v>45427.0</v>
      </c>
      <c r="B1072" s="55" t="str">
        <f>HYPERLINK("https://jobright.ai/jobs/info/664648651942052896dea0b4?utm_campaign=1051&amp;utm_source=sheet", "Apply")</f>
        <v>Apply</v>
      </c>
      <c r="C1072" s="10" t="s">
        <v>17227</v>
      </c>
      <c r="D1072" s="56" t="s">
        <v>17228</v>
      </c>
      <c r="E1072" s="10" t="s">
        <v>137</v>
      </c>
      <c r="F1072" s="10" t="s">
        <v>17229</v>
      </c>
      <c r="G1072" s="10" t="s">
        <v>15793</v>
      </c>
      <c r="H1072" s="10" t="s">
        <v>17230</v>
      </c>
      <c r="I1072" s="10" t="s">
        <v>55</v>
      </c>
      <c r="J1072" s="10" t="s">
        <v>17231</v>
      </c>
      <c r="K1072" s="10" t="s">
        <v>17232</v>
      </c>
      <c r="L1072" s="10" t="s">
        <v>42</v>
      </c>
    </row>
    <row r="1073" ht="15.75" customHeight="1">
      <c r="A1073" s="64">
        <v>45427.0</v>
      </c>
      <c r="B1073" s="55" t="str">
        <f>HYPERLINK("https://jobright.ai/jobs/info/66452700089dfb7463bc3f6d?utm_campaign=1051&amp;utm_source=sheet", "Apply")</f>
        <v>Apply</v>
      </c>
      <c r="C1073" s="10" t="s">
        <v>17176</v>
      </c>
      <c r="D1073" s="56" t="s">
        <v>9821</v>
      </c>
      <c r="E1073" s="10" t="s">
        <v>45</v>
      </c>
      <c r="F1073" s="10" t="s">
        <v>3594</v>
      </c>
      <c r="G1073" s="10" t="s">
        <v>100</v>
      </c>
      <c r="H1073" s="10" t="s">
        <v>17233</v>
      </c>
      <c r="I1073" s="10" t="s">
        <v>55</v>
      </c>
      <c r="K1073" s="10" t="s">
        <v>16616</v>
      </c>
      <c r="L1073" s="10" t="s">
        <v>42</v>
      </c>
    </row>
    <row r="1074" ht="15.75" customHeight="1">
      <c r="A1074" s="64">
        <v>45427.0</v>
      </c>
      <c r="B1074" s="55" t="str">
        <f>HYPERLINK("https://jobright.ai/jobs/info/664500e691d09408e656dd59?utm_campaign=1051&amp;utm_source=sheet", "Apply")</f>
        <v>Apply</v>
      </c>
      <c r="C1074" s="10" t="s">
        <v>17176</v>
      </c>
      <c r="D1074" s="56" t="s">
        <v>9821</v>
      </c>
      <c r="E1074" s="10" t="s">
        <v>45</v>
      </c>
      <c r="F1074" s="10" t="s">
        <v>3594</v>
      </c>
      <c r="G1074" s="10" t="s">
        <v>100</v>
      </c>
      <c r="H1074" s="10" t="s">
        <v>113</v>
      </c>
      <c r="I1074" s="10" t="s">
        <v>55</v>
      </c>
      <c r="K1074" s="10" t="s">
        <v>16616</v>
      </c>
      <c r="L1074" s="10" t="s">
        <v>42</v>
      </c>
    </row>
    <row r="1075" ht="15.75" customHeight="1">
      <c r="A1075" s="64">
        <v>45427.0</v>
      </c>
      <c r="B1075" s="55" t="str">
        <f>HYPERLINK("https://jobright.ai/jobs/info/664500c491d09408e656d9cf?utm_campaign=1051&amp;utm_source=sheet", "Apply")</f>
        <v>Apply</v>
      </c>
      <c r="C1075" s="10" t="s">
        <v>17234</v>
      </c>
      <c r="D1075" s="56" t="s">
        <v>17235</v>
      </c>
      <c r="E1075" s="10" t="s">
        <v>249</v>
      </c>
      <c r="F1075" s="10" t="s">
        <v>1234</v>
      </c>
      <c r="G1075" s="10" t="s">
        <v>15829</v>
      </c>
      <c r="H1075" s="10" t="s">
        <v>11174</v>
      </c>
      <c r="I1075" s="10" t="s">
        <v>55</v>
      </c>
      <c r="K1075" s="10" t="s">
        <v>17236</v>
      </c>
      <c r="L1075" s="10" t="s">
        <v>42</v>
      </c>
    </row>
    <row r="1076" ht="15.75" customHeight="1">
      <c r="A1076" s="64">
        <v>45426.0</v>
      </c>
      <c r="B1076" s="55" t="str">
        <f>HYPERLINK("https://jobright.ai/jobs/info/6643c49ea9816056b5d20db0?utm_campaign=1051&amp;utm_source=sheet", "Apply")</f>
        <v>Apply</v>
      </c>
      <c r="C1076" s="10" t="s">
        <v>4738</v>
      </c>
      <c r="D1076" s="56" t="s">
        <v>13986</v>
      </c>
      <c r="E1076" s="10" t="s">
        <v>249</v>
      </c>
      <c r="F1076" s="10" t="s">
        <v>1922</v>
      </c>
      <c r="G1076" s="10" t="s">
        <v>100</v>
      </c>
      <c r="H1076" s="10" t="s">
        <v>154</v>
      </c>
      <c r="I1076" s="10" t="s">
        <v>55</v>
      </c>
      <c r="K1076" s="10" t="s">
        <v>17237</v>
      </c>
      <c r="L1076" s="10" t="s">
        <v>42</v>
      </c>
    </row>
    <row r="1077" ht="15.75" customHeight="1">
      <c r="A1077" s="64">
        <v>45426.0</v>
      </c>
      <c r="B1077" s="55" t="str">
        <f>HYPERLINK("https://jobright.ai/jobs/info/666920d3c327d9911b6d53df?utm_campaign=1051&amp;utm_source=sheet", "Apply")</f>
        <v>Apply</v>
      </c>
      <c r="C1077" s="10" t="s">
        <v>17238</v>
      </c>
      <c r="D1077" s="56" t="s">
        <v>8600</v>
      </c>
      <c r="E1077" s="10">
        <v>20845.0</v>
      </c>
      <c r="G1077" s="10" t="s">
        <v>100</v>
      </c>
      <c r="H1077" s="10" t="s">
        <v>2275</v>
      </c>
      <c r="I1077" s="10" t="s">
        <v>55</v>
      </c>
      <c r="K1077" s="10" t="s">
        <v>17239</v>
      </c>
      <c r="L1077" s="10" t="s">
        <v>42</v>
      </c>
    </row>
    <row r="1078" ht="15.75" customHeight="1">
      <c r="A1078" s="64">
        <v>45422.0</v>
      </c>
      <c r="B1078" s="55" t="str">
        <f>HYPERLINK("https://jobright.ai/jobs/info/663e99c39e80642cbcd46a9a?utm_campaign=1051&amp;utm_source=sheet", "Apply")</f>
        <v>Apply</v>
      </c>
      <c r="C1078" s="10" t="s">
        <v>17176</v>
      </c>
      <c r="D1078" s="56" t="s">
        <v>9821</v>
      </c>
      <c r="E1078" s="10" t="s">
        <v>45</v>
      </c>
      <c r="F1078" s="10" t="s">
        <v>3594</v>
      </c>
      <c r="G1078" s="10" t="s">
        <v>15814</v>
      </c>
      <c r="H1078" s="10" t="s">
        <v>1010</v>
      </c>
      <c r="I1078" s="10" t="s">
        <v>55</v>
      </c>
      <c r="K1078" s="10" t="s">
        <v>16616</v>
      </c>
      <c r="L1078" s="10" t="s">
        <v>42</v>
      </c>
    </row>
    <row r="1079" ht="15.75" customHeight="1">
      <c r="A1079" s="64">
        <v>45422.0</v>
      </c>
      <c r="B1079" s="55" t="str">
        <f>HYPERLINK("https://jobright.ai/jobs/info/663e7fca700e1509a98d73b5?utm_campaign=1051&amp;utm_source=sheet", "Apply")</f>
        <v>Apply</v>
      </c>
      <c r="C1079" s="10" t="s">
        <v>17176</v>
      </c>
      <c r="D1079" s="56" t="s">
        <v>9821</v>
      </c>
      <c r="E1079" s="10" t="s">
        <v>45</v>
      </c>
      <c r="F1079" s="10" t="s">
        <v>3594</v>
      </c>
      <c r="G1079" s="10" t="s">
        <v>15814</v>
      </c>
      <c r="H1079" s="10" t="s">
        <v>989</v>
      </c>
      <c r="I1079" s="10" t="s">
        <v>55</v>
      </c>
      <c r="K1079" s="10" t="s">
        <v>16616</v>
      </c>
      <c r="L1079" s="10" t="s">
        <v>42</v>
      </c>
    </row>
    <row r="1080" ht="15.75" customHeight="1">
      <c r="A1080" s="64">
        <v>45422.0</v>
      </c>
      <c r="B1080" s="55" t="str">
        <f>HYPERLINK("https://jobright.ai/jobs/info/663e75d314cfb92423346643?utm_campaign=1051&amp;utm_source=sheet", "Apply")</f>
        <v>Apply</v>
      </c>
      <c r="C1080" s="10" t="s">
        <v>17176</v>
      </c>
      <c r="D1080" s="56" t="s">
        <v>9821</v>
      </c>
      <c r="E1080" s="10" t="s">
        <v>45</v>
      </c>
      <c r="F1080" s="10" t="s">
        <v>3594</v>
      </c>
      <c r="G1080" s="10" t="s">
        <v>15814</v>
      </c>
      <c r="H1080" s="10" t="s">
        <v>16647</v>
      </c>
      <c r="I1080" s="10" t="s">
        <v>55</v>
      </c>
      <c r="K1080" s="10" t="s">
        <v>16616</v>
      </c>
      <c r="L1080" s="10" t="s">
        <v>42</v>
      </c>
    </row>
    <row r="1081" ht="15.75" customHeight="1">
      <c r="A1081" s="64">
        <v>45422.0</v>
      </c>
      <c r="B1081" s="55" t="str">
        <f>HYPERLINK("https://jobright.ai/jobs/info/663e75d314cfb92423346644?utm_campaign=1051&amp;utm_source=sheet", "Apply")</f>
        <v>Apply</v>
      </c>
      <c r="C1081" s="10" t="s">
        <v>17176</v>
      </c>
      <c r="D1081" s="56" t="s">
        <v>9821</v>
      </c>
      <c r="E1081" s="10" t="s">
        <v>45</v>
      </c>
      <c r="F1081" s="10" t="s">
        <v>3594</v>
      </c>
      <c r="G1081" s="10" t="s">
        <v>15814</v>
      </c>
      <c r="H1081" s="10" t="s">
        <v>1030</v>
      </c>
      <c r="I1081" s="10" t="s">
        <v>55</v>
      </c>
      <c r="K1081" s="10" t="s">
        <v>16616</v>
      </c>
      <c r="L1081" s="10" t="s">
        <v>42</v>
      </c>
    </row>
    <row r="1082" ht="15.75" customHeight="1">
      <c r="A1082" s="64">
        <v>45422.0</v>
      </c>
      <c r="B1082" s="55" t="str">
        <f>HYPERLINK("https://jobright.ai/jobs/info/663e61b37b81b60fc6b96fa2?utm_campaign=1051&amp;utm_source=sheet", "Apply")</f>
        <v>Apply</v>
      </c>
      <c r="C1082" s="10" t="s">
        <v>17240</v>
      </c>
      <c r="D1082" s="56" t="s">
        <v>16830</v>
      </c>
      <c r="E1082" s="10" t="s">
        <v>79</v>
      </c>
      <c r="F1082" s="10" t="s">
        <v>16831</v>
      </c>
      <c r="G1082" s="10" t="s">
        <v>15829</v>
      </c>
      <c r="H1082" s="10" t="s">
        <v>661</v>
      </c>
      <c r="I1082" s="10" t="s">
        <v>55</v>
      </c>
      <c r="J1082" s="10" t="s">
        <v>16681</v>
      </c>
      <c r="K1082" s="10" t="s">
        <v>16832</v>
      </c>
      <c r="L1082" s="10" t="s">
        <v>42</v>
      </c>
    </row>
    <row r="1083" ht="15.75" customHeight="1">
      <c r="A1083" s="64">
        <v>45421.0</v>
      </c>
      <c r="B1083" s="55" t="str">
        <f>HYPERLINK("https://jobright.ai/jobs/info/663cf5d395d4a0d779da36ce?utm_campaign=1051&amp;utm_source=sheet", "Apply")</f>
        <v>Apply</v>
      </c>
      <c r="C1083" s="10" t="s">
        <v>17176</v>
      </c>
      <c r="D1083" s="56" t="s">
        <v>9821</v>
      </c>
      <c r="E1083" s="10" t="s">
        <v>45</v>
      </c>
      <c r="F1083" s="10" t="s">
        <v>3594</v>
      </c>
      <c r="G1083" s="10" t="s">
        <v>15814</v>
      </c>
      <c r="H1083" s="10" t="s">
        <v>5068</v>
      </c>
      <c r="I1083" s="10" t="s">
        <v>55</v>
      </c>
      <c r="K1083" s="10" t="s">
        <v>16616</v>
      </c>
      <c r="L1083" s="10" t="s">
        <v>42</v>
      </c>
    </row>
    <row r="1084" ht="15.75" customHeight="1">
      <c r="A1084" s="64">
        <v>45421.0</v>
      </c>
      <c r="B1084" s="55" t="str">
        <f>HYPERLINK("https://jobright.ai/jobs/info/663cd52cd79fcf017569438b?utm_campaign=1051&amp;utm_source=sheet", "Apply")</f>
        <v>Apply</v>
      </c>
      <c r="C1084" s="10" t="s">
        <v>17176</v>
      </c>
      <c r="D1084" s="56" t="s">
        <v>9821</v>
      </c>
      <c r="E1084" s="10" t="s">
        <v>45</v>
      </c>
      <c r="F1084" s="10" t="s">
        <v>3594</v>
      </c>
      <c r="G1084" s="10" t="s">
        <v>15814</v>
      </c>
      <c r="H1084" s="10" t="s">
        <v>159</v>
      </c>
      <c r="I1084" s="10" t="s">
        <v>55</v>
      </c>
      <c r="K1084" s="10" t="s">
        <v>16616</v>
      </c>
      <c r="L1084" s="10" t="s">
        <v>42</v>
      </c>
    </row>
    <row r="1085" ht="15.75" customHeight="1">
      <c r="A1085" s="64">
        <v>45420.0</v>
      </c>
      <c r="B1085" s="55" t="str">
        <f>HYPERLINK("https://jobright.ai/jobs/info/663b0bf60cb7c5104c777b42?utm_campaign=1051&amp;utm_source=sheet", "Apply")</f>
        <v>Apply</v>
      </c>
      <c r="C1085" s="10" t="s">
        <v>17176</v>
      </c>
      <c r="D1085" s="56" t="s">
        <v>9821</v>
      </c>
      <c r="E1085" s="10" t="s">
        <v>45</v>
      </c>
      <c r="F1085" s="10" t="s">
        <v>3594</v>
      </c>
      <c r="G1085" s="10" t="s">
        <v>15814</v>
      </c>
      <c r="H1085" s="10" t="s">
        <v>411</v>
      </c>
      <c r="I1085" s="10" t="s">
        <v>55</v>
      </c>
      <c r="J1085" s="10" t="s">
        <v>17177</v>
      </c>
      <c r="K1085" s="10" t="s">
        <v>16616</v>
      </c>
      <c r="L1085" s="10" t="s">
        <v>42</v>
      </c>
    </row>
    <row r="1086" ht="15.75" customHeight="1">
      <c r="A1086" s="64">
        <v>45418.0</v>
      </c>
      <c r="B1086" s="55" t="str">
        <f>HYPERLINK("https://jobright.ai/jobs/info/66393c1378a4a2512015b061?utm_campaign=1051&amp;utm_source=sheet", "Apply")</f>
        <v>Apply</v>
      </c>
      <c r="C1086" s="10" t="s">
        <v>17241</v>
      </c>
      <c r="D1086" s="56" t="s">
        <v>17242</v>
      </c>
      <c r="E1086" s="10" t="s">
        <v>249</v>
      </c>
      <c r="F1086" s="10" t="s">
        <v>1922</v>
      </c>
      <c r="G1086" s="10" t="s">
        <v>100</v>
      </c>
      <c r="H1086" s="10" t="s">
        <v>113</v>
      </c>
      <c r="I1086" s="10" t="s">
        <v>55</v>
      </c>
      <c r="K1086" s="10" t="s">
        <v>17243</v>
      </c>
      <c r="L1086" s="10" t="s">
        <v>42</v>
      </c>
    </row>
    <row r="1087" ht="15.75" customHeight="1">
      <c r="A1087" s="64">
        <v>45416.0</v>
      </c>
      <c r="B1087" s="55" t="str">
        <f>HYPERLINK("https://jobright.ai/jobs/info/6636fb7e7bff5cf339d3a9d9?utm_campaign=1051&amp;utm_source=sheet", "Apply")</f>
        <v>Apply</v>
      </c>
      <c r="C1087" s="10" t="s">
        <v>17244</v>
      </c>
      <c r="D1087" s="56" t="s">
        <v>17245</v>
      </c>
      <c r="E1087" s="10" t="s">
        <v>276</v>
      </c>
      <c r="F1087" s="10" t="s">
        <v>12712</v>
      </c>
      <c r="G1087" s="10" t="s">
        <v>100</v>
      </c>
      <c r="H1087" s="10" t="s">
        <v>8687</v>
      </c>
      <c r="I1087" s="10" t="s">
        <v>55</v>
      </c>
      <c r="J1087" s="10" t="s">
        <v>17246</v>
      </c>
      <c r="K1087" s="10" t="s">
        <v>17247</v>
      </c>
      <c r="L1087" s="10" t="s">
        <v>42</v>
      </c>
    </row>
    <row r="1088" ht="15.75" customHeight="1">
      <c r="A1088" s="64">
        <v>45416.0</v>
      </c>
      <c r="B1088" s="55" t="str">
        <f>HYPERLINK("https://jobright.ai/jobs/info/6636fb7e7bff5cf339d3a9da?utm_campaign=1051&amp;utm_source=sheet", "Apply")</f>
        <v>Apply</v>
      </c>
      <c r="C1088" s="10" t="s">
        <v>17244</v>
      </c>
      <c r="D1088" s="56" t="s">
        <v>17245</v>
      </c>
      <c r="E1088" s="10" t="s">
        <v>276</v>
      </c>
      <c r="F1088" s="10" t="s">
        <v>12712</v>
      </c>
      <c r="G1088" s="10" t="s">
        <v>100</v>
      </c>
      <c r="H1088" s="10" t="s">
        <v>5691</v>
      </c>
      <c r="I1088" s="10" t="s">
        <v>55</v>
      </c>
      <c r="J1088" s="10" t="s">
        <v>17246</v>
      </c>
      <c r="K1088" s="10" t="s">
        <v>17247</v>
      </c>
      <c r="L1088" s="10" t="s">
        <v>42</v>
      </c>
    </row>
    <row r="1089" ht="15.75" customHeight="1">
      <c r="A1089" s="64">
        <v>45415.0</v>
      </c>
      <c r="B1089" s="55" t="str">
        <f>HYPERLINK("https://jobright.ai/jobs/info/6635a289c5f264f15f23fa5c?utm_campaign=1051&amp;utm_source=sheet", "Apply")</f>
        <v>Apply</v>
      </c>
      <c r="C1089" s="10" t="s">
        <v>17248</v>
      </c>
      <c r="D1089" s="56" t="s">
        <v>16830</v>
      </c>
      <c r="E1089" s="10" t="s">
        <v>79</v>
      </c>
      <c r="F1089" s="10" t="s">
        <v>16831</v>
      </c>
      <c r="G1089" s="10" t="s">
        <v>15829</v>
      </c>
      <c r="H1089" s="10" t="s">
        <v>17249</v>
      </c>
      <c r="I1089" s="10" t="s">
        <v>55</v>
      </c>
      <c r="J1089" s="10" t="s">
        <v>16930</v>
      </c>
      <c r="K1089" s="10" t="s">
        <v>17223</v>
      </c>
      <c r="L1089" s="10" t="s">
        <v>42</v>
      </c>
    </row>
    <row r="1090" ht="15.75" customHeight="1">
      <c r="A1090" s="64">
        <v>45415.0</v>
      </c>
      <c r="B1090" s="55" t="str">
        <f>HYPERLINK("https://jobright.ai/jobs/info/663573a80f7e47cede63605c?utm_campaign=1051&amp;utm_source=sheet", "Apply")</f>
        <v>Apply</v>
      </c>
      <c r="C1090" s="10" t="s">
        <v>17250</v>
      </c>
      <c r="D1090" s="56" t="s">
        <v>16830</v>
      </c>
      <c r="E1090" s="10" t="s">
        <v>79</v>
      </c>
      <c r="F1090" s="10" t="s">
        <v>16831</v>
      </c>
      <c r="G1090" s="10" t="s">
        <v>15829</v>
      </c>
      <c r="H1090" s="10" t="s">
        <v>827</v>
      </c>
      <c r="I1090" s="10" t="s">
        <v>55</v>
      </c>
      <c r="J1090" s="10" t="s">
        <v>16930</v>
      </c>
      <c r="K1090" s="10" t="s">
        <v>17223</v>
      </c>
      <c r="L1090" s="10" t="s">
        <v>42</v>
      </c>
    </row>
    <row r="1091" ht="15.75" customHeight="1">
      <c r="A1091" s="64">
        <v>45415.0</v>
      </c>
      <c r="B1091" s="55" t="str">
        <f>HYPERLINK("https://jobright.ai/jobs/info/66352c7ee4997bf5c50be7fb?utm_campaign=1051&amp;utm_source=sheet", "Apply")</f>
        <v>Apply</v>
      </c>
      <c r="C1091" s="10" t="s">
        <v>17244</v>
      </c>
      <c r="D1091" s="56" t="s">
        <v>17245</v>
      </c>
      <c r="E1091" s="10" t="s">
        <v>276</v>
      </c>
      <c r="F1091" s="10" t="s">
        <v>12712</v>
      </c>
      <c r="G1091" s="10" t="s">
        <v>100</v>
      </c>
      <c r="H1091" s="10" t="s">
        <v>1290</v>
      </c>
      <c r="I1091" s="10" t="s">
        <v>55</v>
      </c>
      <c r="J1091" s="10" t="s">
        <v>17246</v>
      </c>
      <c r="K1091" s="10" t="s">
        <v>17247</v>
      </c>
      <c r="L1091" s="10" t="s">
        <v>42</v>
      </c>
    </row>
    <row r="1092" ht="15.75" customHeight="1">
      <c r="A1092" s="64">
        <v>45415.0</v>
      </c>
      <c r="B1092" s="55" t="str">
        <f>HYPERLINK("https://jobright.ai/jobs/info/6634aa90db600b7d4b6b10b1?utm_campaign=1051&amp;utm_source=sheet", "Apply")</f>
        <v>Apply</v>
      </c>
      <c r="C1092" s="10" t="s">
        <v>17244</v>
      </c>
      <c r="D1092" s="56" t="s">
        <v>17245</v>
      </c>
      <c r="E1092" s="10" t="s">
        <v>276</v>
      </c>
      <c r="F1092" s="10" t="s">
        <v>12712</v>
      </c>
      <c r="G1092" s="10" t="s">
        <v>100</v>
      </c>
      <c r="H1092" s="10" t="s">
        <v>893</v>
      </c>
      <c r="I1092" s="10" t="s">
        <v>55</v>
      </c>
      <c r="J1092" s="10" t="s">
        <v>17246</v>
      </c>
      <c r="K1092" s="10" t="s">
        <v>17247</v>
      </c>
      <c r="L1092" s="10" t="s">
        <v>42</v>
      </c>
    </row>
    <row r="1093" ht="15.75" customHeight="1">
      <c r="A1093" s="64">
        <v>45414.0</v>
      </c>
      <c r="B1093" s="55" t="str">
        <f>HYPERLINK("https://jobright.ai/jobs/info/6634016f99861187de863807?utm_campaign=1051&amp;utm_source=sheet", "Apply")</f>
        <v>Apply</v>
      </c>
      <c r="C1093" s="10" t="s">
        <v>17251</v>
      </c>
      <c r="D1093" s="56" t="s">
        <v>16830</v>
      </c>
      <c r="E1093" s="10" t="s">
        <v>79</v>
      </c>
      <c r="F1093" s="10" t="s">
        <v>16831</v>
      </c>
      <c r="G1093" s="10" t="s">
        <v>15829</v>
      </c>
      <c r="H1093" s="10" t="s">
        <v>411</v>
      </c>
      <c r="I1093" s="10" t="s">
        <v>55</v>
      </c>
      <c r="J1093" s="10" t="s">
        <v>11147</v>
      </c>
      <c r="K1093" s="10" t="s">
        <v>17223</v>
      </c>
      <c r="L1093" s="10" t="s">
        <v>42</v>
      </c>
    </row>
    <row r="1094" ht="15.75" customHeight="1">
      <c r="A1094" s="64">
        <v>45414.0</v>
      </c>
      <c r="B1094" s="55" t="str">
        <f>HYPERLINK("https://jobright.ai/jobs/info/6633eeae12a55ee4fe1d981a?utm_campaign=1051&amp;utm_source=sheet", "Apply")</f>
        <v>Apply</v>
      </c>
      <c r="C1094" s="10" t="s">
        <v>17252</v>
      </c>
      <c r="D1094" s="56" t="s">
        <v>16830</v>
      </c>
      <c r="E1094" s="10" t="s">
        <v>79</v>
      </c>
      <c r="F1094" s="10" t="s">
        <v>16831</v>
      </c>
      <c r="G1094" s="10" t="s">
        <v>15829</v>
      </c>
      <c r="H1094" s="10" t="s">
        <v>411</v>
      </c>
      <c r="I1094" s="10" t="s">
        <v>55</v>
      </c>
      <c r="J1094" s="10" t="s">
        <v>11147</v>
      </c>
      <c r="K1094" s="10" t="s">
        <v>16937</v>
      </c>
      <c r="L1094" s="10" t="s">
        <v>42</v>
      </c>
    </row>
    <row r="1095" ht="15.75" customHeight="1">
      <c r="A1095" s="64">
        <v>45414.0</v>
      </c>
      <c r="B1095" s="55" t="str">
        <f>HYPERLINK("https://jobright.ai/jobs/info/6633f3708eb4d2700616c8d4?utm_campaign=1051&amp;utm_source=sheet", "Apply")</f>
        <v>Apply</v>
      </c>
      <c r="C1095" s="10" t="s">
        <v>17253</v>
      </c>
      <c r="D1095" s="56" t="s">
        <v>16830</v>
      </c>
      <c r="E1095" s="10" t="s">
        <v>79</v>
      </c>
      <c r="F1095" s="10" t="s">
        <v>16831</v>
      </c>
      <c r="G1095" s="10" t="s">
        <v>15829</v>
      </c>
      <c r="H1095" s="10" t="s">
        <v>411</v>
      </c>
      <c r="I1095" s="10" t="s">
        <v>55</v>
      </c>
      <c r="J1095" s="10" t="s">
        <v>11147</v>
      </c>
      <c r="K1095" s="10" t="s">
        <v>16937</v>
      </c>
      <c r="L1095" s="10" t="s">
        <v>42</v>
      </c>
    </row>
    <row r="1096" ht="15.75" customHeight="1">
      <c r="A1096" s="64">
        <v>45414.0</v>
      </c>
      <c r="B1096" s="55" t="str">
        <f>HYPERLINK("https://jobright.ai/jobs/info/6633eeae12a55ee4fe1d986b?utm_campaign=1051&amp;utm_source=sheet", "Apply")</f>
        <v>Apply</v>
      </c>
      <c r="C1096" s="10" t="s">
        <v>17254</v>
      </c>
      <c r="D1096" s="56" t="s">
        <v>16830</v>
      </c>
      <c r="E1096" s="10" t="s">
        <v>79</v>
      </c>
      <c r="F1096" s="10" t="s">
        <v>16831</v>
      </c>
      <c r="G1096" s="10" t="s">
        <v>15829</v>
      </c>
      <c r="H1096" s="10" t="s">
        <v>411</v>
      </c>
      <c r="I1096" s="10" t="s">
        <v>55</v>
      </c>
      <c r="J1096" s="10" t="s">
        <v>11147</v>
      </c>
      <c r="K1096" s="10" t="s">
        <v>17223</v>
      </c>
      <c r="L1096" s="10" t="s">
        <v>42</v>
      </c>
    </row>
    <row r="1097" ht="15.75" customHeight="1">
      <c r="A1097" s="64">
        <v>45414.0</v>
      </c>
      <c r="B1097" s="55" t="str">
        <f>HYPERLINK("https://jobright.ai/jobs/info/6633fdfc24f2cffabc113fe1?utm_campaign=1051&amp;utm_source=sheet", "Apply")</f>
        <v>Apply</v>
      </c>
      <c r="C1097" s="10" t="s">
        <v>17255</v>
      </c>
      <c r="D1097" s="56" t="s">
        <v>16830</v>
      </c>
      <c r="E1097" s="10" t="s">
        <v>79</v>
      </c>
      <c r="F1097" s="10" t="s">
        <v>16831</v>
      </c>
      <c r="G1097" s="10" t="s">
        <v>15829</v>
      </c>
      <c r="H1097" s="10" t="s">
        <v>411</v>
      </c>
      <c r="I1097" s="10" t="s">
        <v>55</v>
      </c>
      <c r="J1097" s="10" t="s">
        <v>11147</v>
      </c>
      <c r="K1097" s="10" t="s">
        <v>17223</v>
      </c>
      <c r="L1097" s="10" t="s">
        <v>42</v>
      </c>
    </row>
    <row r="1098" ht="15.75" customHeight="1">
      <c r="A1098" s="64">
        <v>45414.0</v>
      </c>
      <c r="B1098" s="55" t="str">
        <f>HYPERLINK("https://jobright.ai/jobs/info/6633eeae12a55ee4fe1d9849?utm_campaign=1051&amp;utm_source=sheet", "Apply")</f>
        <v>Apply</v>
      </c>
      <c r="C1098" s="10" t="s">
        <v>17256</v>
      </c>
      <c r="D1098" s="56" t="s">
        <v>16830</v>
      </c>
      <c r="E1098" s="10" t="s">
        <v>79</v>
      </c>
      <c r="F1098" s="10" t="s">
        <v>16831</v>
      </c>
      <c r="G1098" s="10" t="s">
        <v>15829</v>
      </c>
      <c r="H1098" s="10" t="s">
        <v>411</v>
      </c>
      <c r="I1098" s="10" t="s">
        <v>55</v>
      </c>
      <c r="J1098" s="10" t="s">
        <v>11147</v>
      </c>
      <c r="K1098" s="10" t="s">
        <v>17223</v>
      </c>
      <c r="L1098" s="10" t="s">
        <v>42</v>
      </c>
    </row>
    <row r="1099" ht="15.75" customHeight="1">
      <c r="A1099" s="64">
        <v>45414.0</v>
      </c>
      <c r="B1099" s="55" t="str">
        <f>HYPERLINK("https://jobright.ai/jobs/info/6633fdfc24f2cffabc113fd9?utm_campaign=1051&amp;utm_source=sheet", "Apply")</f>
        <v>Apply</v>
      </c>
      <c r="C1099" s="10" t="s">
        <v>17257</v>
      </c>
      <c r="D1099" s="56" t="s">
        <v>16830</v>
      </c>
      <c r="E1099" s="10" t="s">
        <v>79</v>
      </c>
      <c r="F1099" s="10" t="s">
        <v>16831</v>
      </c>
      <c r="G1099" s="10" t="s">
        <v>15829</v>
      </c>
      <c r="H1099" s="10" t="s">
        <v>411</v>
      </c>
      <c r="I1099" s="10" t="s">
        <v>55</v>
      </c>
      <c r="J1099" s="10" t="s">
        <v>11147</v>
      </c>
      <c r="K1099" s="10" t="s">
        <v>17223</v>
      </c>
      <c r="L1099" s="10" t="s">
        <v>42</v>
      </c>
    </row>
    <row r="1100" ht="15.75" customHeight="1">
      <c r="A1100" s="64">
        <v>45414.0</v>
      </c>
      <c r="B1100" s="55" t="str">
        <f>HYPERLINK("https://jobright.ai/jobs/info/6633fdfc24f2cffabc113feb?utm_campaign=1051&amp;utm_source=sheet", "Apply")</f>
        <v>Apply</v>
      </c>
      <c r="C1100" s="10" t="s">
        <v>17258</v>
      </c>
      <c r="D1100" s="56" t="s">
        <v>16830</v>
      </c>
      <c r="E1100" s="10" t="s">
        <v>79</v>
      </c>
      <c r="F1100" s="10" t="s">
        <v>16831</v>
      </c>
      <c r="G1100" s="10" t="s">
        <v>15829</v>
      </c>
      <c r="H1100" s="10" t="s">
        <v>17259</v>
      </c>
      <c r="I1100" s="10" t="s">
        <v>55</v>
      </c>
      <c r="J1100" s="10" t="s">
        <v>11147</v>
      </c>
      <c r="K1100" s="10" t="s">
        <v>16937</v>
      </c>
      <c r="L1100" s="10" t="s">
        <v>42</v>
      </c>
    </row>
    <row r="1101" ht="15.75" customHeight="1">
      <c r="A1101" s="64">
        <v>45414.0</v>
      </c>
      <c r="B1101" s="55" t="str">
        <f>HYPERLINK("https://jobright.ai/jobs/info/6633eeae12a55ee4fe1d9863?utm_campaign=1051&amp;utm_source=sheet", "Apply")</f>
        <v>Apply</v>
      </c>
      <c r="C1101" s="10" t="s">
        <v>17260</v>
      </c>
      <c r="D1101" s="56" t="s">
        <v>16830</v>
      </c>
      <c r="E1101" s="10" t="s">
        <v>79</v>
      </c>
      <c r="F1101" s="10" t="s">
        <v>16831</v>
      </c>
      <c r="G1101" s="10" t="s">
        <v>15829</v>
      </c>
      <c r="H1101" s="10" t="s">
        <v>7130</v>
      </c>
      <c r="I1101" s="10" t="s">
        <v>55</v>
      </c>
      <c r="J1101" s="10" t="s">
        <v>11147</v>
      </c>
      <c r="K1101" s="10" t="s">
        <v>16937</v>
      </c>
      <c r="L1101" s="10" t="s">
        <v>42</v>
      </c>
    </row>
    <row r="1102" ht="15.75" customHeight="1">
      <c r="A1102" s="64">
        <v>45414.0</v>
      </c>
      <c r="B1102" s="55" t="str">
        <f>HYPERLINK("https://jobright.ai/jobs/info/6633eeae12a55ee4fe1d9865?utm_campaign=1051&amp;utm_source=sheet", "Apply")</f>
        <v>Apply</v>
      </c>
      <c r="C1102" s="10" t="s">
        <v>17261</v>
      </c>
      <c r="D1102" s="56" t="s">
        <v>16830</v>
      </c>
      <c r="E1102" s="10" t="s">
        <v>79</v>
      </c>
      <c r="F1102" s="10" t="s">
        <v>16831</v>
      </c>
      <c r="G1102" s="10" t="s">
        <v>15829</v>
      </c>
      <c r="H1102" s="10" t="s">
        <v>17262</v>
      </c>
      <c r="I1102" s="10" t="s">
        <v>55</v>
      </c>
      <c r="J1102" s="10" t="s">
        <v>11147</v>
      </c>
      <c r="K1102" s="10" t="s">
        <v>17223</v>
      </c>
      <c r="L1102" s="10" t="s">
        <v>42</v>
      </c>
    </row>
    <row r="1103" ht="15.75" customHeight="1">
      <c r="A1103" s="64">
        <v>45414.0</v>
      </c>
      <c r="B1103" s="55" t="str">
        <f>HYPERLINK("https://jobright.ai/jobs/info/6633da4e6dd8adf32b307c55?utm_campaign=1051&amp;utm_source=sheet", "Apply")</f>
        <v>Apply</v>
      </c>
      <c r="C1103" s="10" t="s">
        <v>17263</v>
      </c>
      <c r="D1103" s="56" t="s">
        <v>16830</v>
      </c>
      <c r="E1103" s="10" t="s">
        <v>79</v>
      </c>
      <c r="F1103" s="10" t="s">
        <v>16831</v>
      </c>
      <c r="G1103" s="10" t="s">
        <v>15829</v>
      </c>
      <c r="H1103" s="10" t="s">
        <v>2988</v>
      </c>
      <c r="I1103" s="10" t="s">
        <v>55</v>
      </c>
      <c r="J1103" s="10" t="s">
        <v>11147</v>
      </c>
      <c r="K1103" s="10" t="s">
        <v>17223</v>
      </c>
      <c r="L1103" s="10" t="s">
        <v>42</v>
      </c>
    </row>
    <row r="1104">
      <c r="A1104" s="64"/>
      <c r="D1104" s="56"/>
    </row>
    <row r="1105">
      <c r="A1105" s="64"/>
      <c r="D1105" s="56"/>
    </row>
    <row r="1106">
      <c r="A1106" s="64"/>
      <c r="D1106" s="56"/>
    </row>
    <row r="1107">
      <c r="A1107" s="64"/>
      <c r="D1107" s="56"/>
    </row>
    <row r="1108">
      <c r="A1108" s="64"/>
      <c r="D1108" s="56"/>
    </row>
    <row r="1109">
      <c r="A1109" s="64"/>
      <c r="D1109" s="56"/>
    </row>
    <row r="1110">
      <c r="A1110" s="64"/>
      <c r="D1110" s="56"/>
    </row>
    <row r="1111">
      <c r="A1111" s="64"/>
      <c r="D1111" s="56"/>
    </row>
    <row r="1112">
      <c r="A1112" s="64"/>
      <c r="D1112" s="56"/>
    </row>
    <row r="1113">
      <c r="A1113" s="64"/>
      <c r="D1113" s="56"/>
    </row>
    <row r="1114">
      <c r="A1114" s="64"/>
      <c r="D1114" s="56"/>
    </row>
    <row r="1115">
      <c r="A1115" s="64"/>
      <c r="D1115" s="56"/>
    </row>
    <row r="1116">
      <c r="A1116" s="64"/>
      <c r="D1116" s="56"/>
    </row>
    <row r="1117">
      <c r="A1117" s="64"/>
      <c r="D1117" s="56"/>
    </row>
    <row r="1118">
      <c r="A1118" s="64"/>
      <c r="D1118" s="56"/>
    </row>
    <row r="1119">
      <c r="A1119" s="64"/>
      <c r="D1119" s="56"/>
    </row>
    <row r="1120">
      <c r="A1120" s="64"/>
      <c r="D1120" s="56"/>
    </row>
    <row r="1121">
      <c r="A1121" s="64"/>
      <c r="D1121" s="56"/>
    </row>
    <row r="1122">
      <c r="A1122" s="64"/>
      <c r="D1122" s="56"/>
    </row>
    <row r="1123">
      <c r="A1123" s="64"/>
      <c r="D1123" s="56"/>
    </row>
    <row r="1124">
      <c r="A1124" s="64"/>
      <c r="D1124" s="56"/>
    </row>
    <row r="1125">
      <c r="A1125" s="64"/>
      <c r="D1125" s="56"/>
    </row>
    <row r="1126">
      <c r="A1126" s="64"/>
      <c r="D1126" s="56"/>
    </row>
    <row r="1127">
      <c r="A1127" s="64"/>
      <c r="D1127" s="56"/>
    </row>
    <row r="1128">
      <c r="A1128" s="64"/>
      <c r="D1128" s="56"/>
    </row>
    <row r="1129">
      <c r="A1129" s="64"/>
      <c r="D1129" s="56"/>
    </row>
    <row r="1130">
      <c r="A1130" s="64"/>
      <c r="D1130" s="56"/>
    </row>
    <row r="1131">
      <c r="A1131" s="64"/>
      <c r="D1131" s="56"/>
    </row>
    <row r="1132">
      <c r="A1132" s="64"/>
      <c r="D1132" s="56"/>
    </row>
    <row r="1133">
      <c r="A1133" s="64"/>
      <c r="D1133" s="56"/>
    </row>
    <row r="1134">
      <c r="A1134" s="64"/>
      <c r="D1134" s="56"/>
    </row>
    <row r="1135">
      <c r="A1135" s="64"/>
      <c r="D1135" s="56"/>
    </row>
    <row r="1136">
      <c r="A1136" s="64"/>
      <c r="D1136" s="56"/>
    </row>
    <row r="1137">
      <c r="A1137" s="64"/>
      <c r="D1137" s="56"/>
    </row>
    <row r="1138">
      <c r="A1138" s="64"/>
      <c r="D1138" s="56"/>
    </row>
    <row r="1139">
      <c r="A1139" s="64"/>
      <c r="D1139" s="56"/>
    </row>
    <row r="1140">
      <c r="A1140" s="64"/>
      <c r="D1140" s="56"/>
    </row>
    <row r="1141">
      <c r="A1141" s="64"/>
      <c r="D1141" s="56"/>
    </row>
    <row r="1142">
      <c r="A1142" s="64"/>
      <c r="D1142" s="56"/>
    </row>
    <row r="1143">
      <c r="A1143" s="64"/>
      <c r="D1143" s="56"/>
    </row>
    <row r="1144">
      <c r="A1144" s="64"/>
      <c r="D1144" s="56"/>
    </row>
    <row r="1145">
      <c r="A1145" s="64"/>
      <c r="D1145" s="56"/>
    </row>
    <row r="1146">
      <c r="A1146" s="64"/>
      <c r="D1146" s="56"/>
    </row>
    <row r="1147">
      <c r="A1147" s="64"/>
      <c r="D1147" s="56"/>
    </row>
    <row r="1148">
      <c r="A1148" s="64"/>
      <c r="D1148" s="56"/>
    </row>
    <row r="1149">
      <c r="A1149" s="64"/>
      <c r="D1149" s="56"/>
    </row>
    <row r="1150">
      <c r="A1150" s="64"/>
      <c r="D1150" s="56"/>
    </row>
    <row r="1151">
      <c r="A1151" s="64"/>
      <c r="D1151" s="56"/>
    </row>
    <row r="1152">
      <c r="A1152" s="64"/>
      <c r="D1152" s="56"/>
    </row>
    <row r="1153">
      <c r="A1153" s="64"/>
      <c r="D1153" s="56"/>
    </row>
    <row r="1154">
      <c r="A1154" s="64"/>
      <c r="D1154" s="56"/>
    </row>
    <row r="1155">
      <c r="A1155" s="64"/>
      <c r="D1155" s="56"/>
    </row>
    <row r="1156">
      <c r="A1156" s="64"/>
      <c r="D1156" s="56"/>
    </row>
    <row r="1157">
      <c r="A1157" s="64"/>
      <c r="D1157" s="56"/>
    </row>
    <row r="1158">
      <c r="A1158" s="64"/>
      <c r="D1158" s="56"/>
    </row>
    <row r="1159">
      <c r="A1159" s="64"/>
      <c r="D1159" s="56"/>
    </row>
    <row r="1160">
      <c r="A1160" s="64"/>
      <c r="D1160" s="56"/>
    </row>
    <row r="1161">
      <c r="A1161" s="64"/>
      <c r="D1161" s="56"/>
    </row>
    <row r="1162">
      <c r="A1162" s="64"/>
      <c r="D1162" s="56"/>
    </row>
    <row r="1163">
      <c r="A1163" s="64"/>
      <c r="D1163" s="56"/>
    </row>
    <row r="1164">
      <c r="A1164" s="64"/>
      <c r="D1164" s="56"/>
    </row>
    <row r="1165">
      <c r="A1165" s="64"/>
      <c r="D1165" s="56"/>
    </row>
    <row r="1166">
      <c r="A1166" s="64"/>
      <c r="D1166" s="56"/>
    </row>
    <row r="1167">
      <c r="A1167" s="64"/>
      <c r="D1167" s="56"/>
    </row>
    <row r="1168">
      <c r="A1168" s="64"/>
      <c r="D1168" s="56"/>
    </row>
    <row r="1169">
      <c r="A1169" s="64"/>
      <c r="D1169" s="56"/>
    </row>
    <row r="1170">
      <c r="A1170" s="64"/>
      <c r="D1170" s="56"/>
    </row>
    <row r="1171">
      <c r="A1171" s="64"/>
      <c r="D1171" s="56"/>
    </row>
    <row r="1172">
      <c r="A1172" s="64"/>
      <c r="D1172" s="56"/>
    </row>
    <row r="1173">
      <c r="A1173" s="64"/>
      <c r="D1173" s="56"/>
    </row>
    <row r="1174">
      <c r="A1174" s="64"/>
      <c r="D1174" s="56"/>
    </row>
    <row r="1175">
      <c r="A1175" s="64"/>
      <c r="D1175" s="56"/>
    </row>
    <row r="1176">
      <c r="A1176" s="64"/>
      <c r="D1176" s="56"/>
    </row>
    <row r="1177">
      <c r="A1177" s="64"/>
      <c r="D1177" s="56"/>
    </row>
    <row r="1178">
      <c r="A1178" s="64"/>
      <c r="D1178" s="56"/>
    </row>
    <row r="1179">
      <c r="A1179" s="64"/>
      <c r="D1179" s="56"/>
    </row>
    <row r="1180">
      <c r="A1180" s="64"/>
      <c r="D1180" s="56"/>
    </row>
    <row r="1181">
      <c r="A1181" s="64"/>
      <c r="D1181" s="56"/>
    </row>
    <row r="1182">
      <c r="A1182" s="64"/>
      <c r="D1182" s="56"/>
    </row>
    <row r="1183">
      <c r="A1183" s="64"/>
      <c r="D1183" s="56"/>
    </row>
    <row r="1184">
      <c r="A1184" s="64"/>
      <c r="D1184" s="56"/>
    </row>
    <row r="1185">
      <c r="A1185" s="64"/>
      <c r="D1185" s="56"/>
    </row>
    <row r="1186">
      <c r="A1186" s="64"/>
      <c r="D1186" s="56"/>
    </row>
    <row r="1187">
      <c r="A1187" s="64"/>
      <c r="D1187" s="56"/>
    </row>
    <row r="1188">
      <c r="A1188" s="64"/>
      <c r="D1188" s="56"/>
    </row>
    <row r="1189">
      <c r="A1189" s="64"/>
      <c r="D1189" s="56"/>
    </row>
    <row r="1190">
      <c r="A1190" s="64"/>
      <c r="D1190" s="56"/>
    </row>
    <row r="1191">
      <c r="A1191" s="64"/>
      <c r="D1191" s="56"/>
    </row>
    <row r="1192">
      <c r="A1192" s="64"/>
      <c r="D1192" s="56"/>
    </row>
    <row r="1193">
      <c r="A1193" s="64"/>
      <c r="D1193" s="56"/>
    </row>
    <row r="1194">
      <c r="A1194" s="64"/>
      <c r="D1194" s="56"/>
    </row>
    <row r="1195">
      <c r="A1195" s="64"/>
      <c r="D1195" s="56"/>
    </row>
    <row r="1196">
      <c r="A1196" s="64"/>
      <c r="D1196" s="56"/>
    </row>
    <row r="1197">
      <c r="A1197" s="64"/>
      <c r="D1197" s="56"/>
    </row>
    <row r="1198">
      <c r="A1198" s="64"/>
      <c r="D1198" s="56"/>
    </row>
    <row r="1199">
      <c r="A1199" s="64"/>
      <c r="D1199" s="56"/>
    </row>
    <row r="1200">
      <c r="A1200" s="64"/>
      <c r="D1200" s="56"/>
    </row>
    <row r="1201">
      <c r="A1201" s="64"/>
      <c r="D1201" s="56"/>
    </row>
    <row r="1202">
      <c r="A1202" s="64"/>
      <c r="D1202" s="56"/>
    </row>
    <row r="1203">
      <c r="A1203" s="64"/>
      <c r="D1203" s="56"/>
    </row>
    <row r="1204">
      <c r="A1204" s="64"/>
      <c r="D1204" s="56"/>
    </row>
    <row r="1205">
      <c r="A1205" s="64"/>
      <c r="D1205" s="56"/>
    </row>
    <row r="1206">
      <c r="A1206" s="64"/>
      <c r="D1206" s="56"/>
    </row>
    <row r="1207">
      <c r="A1207" s="64"/>
      <c r="D1207" s="56"/>
    </row>
    <row r="1208">
      <c r="A1208" s="64"/>
      <c r="D1208" s="56"/>
    </row>
    <row r="1209">
      <c r="A1209" s="64"/>
      <c r="D1209" s="56"/>
    </row>
    <row r="1210">
      <c r="A1210" s="64"/>
      <c r="D1210" s="56"/>
    </row>
    <row r="1211">
      <c r="A1211" s="64"/>
      <c r="D1211" s="56"/>
    </row>
    <row r="1212">
      <c r="A1212" s="64"/>
      <c r="D1212" s="56"/>
    </row>
    <row r="1213">
      <c r="A1213" s="64"/>
      <c r="D1213" s="56"/>
    </row>
    <row r="1214">
      <c r="A1214" s="64"/>
      <c r="D1214" s="56"/>
    </row>
    <row r="1215">
      <c r="A1215" s="64"/>
      <c r="D1215" s="56"/>
    </row>
    <row r="1216">
      <c r="A1216" s="64"/>
      <c r="D1216" s="56"/>
    </row>
    <row r="1217">
      <c r="A1217" s="64"/>
      <c r="D1217" s="56"/>
    </row>
    <row r="1218">
      <c r="A1218" s="64"/>
      <c r="D1218" s="56"/>
    </row>
    <row r="1219">
      <c r="A1219" s="64"/>
      <c r="D1219" s="56"/>
    </row>
    <row r="1220">
      <c r="A1220" s="64"/>
      <c r="D1220" s="56"/>
    </row>
    <row r="1221">
      <c r="A1221" s="64"/>
      <c r="D1221" s="56"/>
    </row>
    <row r="1222">
      <c r="A1222" s="64"/>
      <c r="D1222" s="56"/>
    </row>
    <row r="1223">
      <c r="A1223" s="64"/>
      <c r="D1223" s="56"/>
    </row>
    <row r="1224">
      <c r="A1224" s="64"/>
      <c r="D1224" s="56"/>
    </row>
    <row r="1225">
      <c r="A1225" s="64"/>
      <c r="D1225" s="56"/>
    </row>
    <row r="1226">
      <c r="A1226" s="64"/>
      <c r="D1226" s="56"/>
    </row>
    <row r="1227">
      <c r="A1227" s="64"/>
      <c r="D1227" s="56"/>
    </row>
    <row r="1228">
      <c r="A1228" s="64"/>
      <c r="D1228" s="56"/>
    </row>
    <row r="1229">
      <c r="A1229" s="64"/>
      <c r="D1229" s="56"/>
    </row>
    <row r="1230">
      <c r="A1230" s="64"/>
      <c r="D1230" s="56"/>
    </row>
    <row r="1231">
      <c r="A1231" s="64"/>
      <c r="D1231" s="56"/>
    </row>
    <row r="1232">
      <c r="A1232" s="64"/>
      <c r="D1232" s="56"/>
    </row>
    <row r="1233">
      <c r="A1233" s="64"/>
      <c r="D1233" s="56"/>
    </row>
    <row r="1234">
      <c r="A1234" s="64"/>
      <c r="D1234" s="56"/>
    </row>
    <row r="1235">
      <c r="A1235" s="64"/>
      <c r="D1235" s="56"/>
    </row>
    <row r="1236">
      <c r="A1236" s="64"/>
      <c r="D1236" s="56"/>
    </row>
    <row r="1237">
      <c r="A1237" s="64"/>
      <c r="D1237" s="56"/>
    </row>
    <row r="1238">
      <c r="A1238" s="64"/>
      <c r="D1238" s="56"/>
    </row>
    <row r="1239">
      <c r="A1239" s="64"/>
      <c r="D1239" s="56"/>
    </row>
    <row r="1240">
      <c r="A1240" s="64"/>
      <c r="D1240" s="56"/>
    </row>
    <row r="1241">
      <c r="A1241" s="64"/>
      <c r="D1241" s="56"/>
    </row>
    <row r="1242">
      <c r="A1242" s="64"/>
      <c r="D1242" s="56"/>
    </row>
    <row r="1243">
      <c r="A1243" s="64"/>
      <c r="D1243" s="56"/>
    </row>
    <row r="1244">
      <c r="A1244" s="64"/>
      <c r="D1244" s="56"/>
    </row>
    <row r="1245">
      <c r="A1245" s="64"/>
      <c r="D1245" s="56"/>
    </row>
    <row r="1246">
      <c r="A1246" s="64"/>
      <c r="D1246" s="56"/>
    </row>
    <row r="1247">
      <c r="A1247" s="64"/>
      <c r="D1247" s="56"/>
    </row>
    <row r="1248">
      <c r="A1248" s="64"/>
      <c r="D1248" s="56"/>
    </row>
    <row r="1249">
      <c r="A1249" s="64"/>
      <c r="D1249" s="56"/>
    </row>
    <row r="1250">
      <c r="A1250" s="64"/>
      <c r="D1250" s="56"/>
    </row>
    <row r="1251">
      <c r="A1251" s="64"/>
      <c r="D1251" s="56"/>
    </row>
    <row r="1252">
      <c r="A1252" s="64"/>
      <c r="D1252" s="56"/>
    </row>
    <row r="1253">
      <c r="A1253" s="64"/>
      <c r="D1253" s="56"/>
    </row>
    <row r="1254">
      <c r="A1254" s="64"/>
      <c r="D1254" s="56"/>
    </row>
    <row r="1255">
      <c r="A1255" s="64"/>
      <c r="D1255" s="56"/>
    </row>
    <row r="1256">
      <c r="A1256" s="64"/>
      <c r="D1256" s="56"/>
    </row>
    <row r="1257">
      <c r="A1257" s="64"/>
      <c r="D1257" s="56"/>
    </row>
    <row r="1258">
      <c r="A1258" s="64"/>
      <c r="D1258" s="56"/>
    </row>
    <row r="1259">
      <c r="A1259" s="64"/>
      <c r="D1259" s="56"/>
    </row>
    <row r="1260">
      <c r="A1260" s="64"/>
      <c r="D1260" s="56"/>
    </row>
    <row r="1261">
      <c r="A1261" s="64"/>
      <c r="D1261" s="56"/>
    </row>
    <row r="1262">
      <c r="A1262" s="64"/>
      <c r="D1262" s="56"/>
    </row>
    <row r="1263">
      <c r="A1263" s="64"/>
      <c r="D1263" s="56"/>
    </row>
    <row r="1264">
      <c r="A1264" s="64"/>
      <c r="D1264" s="56"/>
    </row>
    <row r="1265">
      <c r="A1265" s="64"/>
      <c r="D1265" s="56"/>
    </row>
    <row r="1266">
      <c r="A1266" s="64"/>
      <c r="D1266" s="62"/>
    </row>
    <row r="1267">
      <c r="A1267" s="64"/>
      <c r="D1267" s="56"/>
    </row>
    <row r="1268">
      <c r="A1268" s="64"/>
      <c r="D1268" s="56"/>
    </row>
    <row r="1269">
      <c r="A1269" s="64"/>
      <c r="D1269" s="56"/>
    </row>
    <row r="1270">
      <c r="A1270" s="64"/>
      <c r="D1270" s="56"/>
    </row>
    <row r="1271">
      <c r="A1271" s="64"/>
      <c r="D1271" s="56"/>
    </row>
    <row r="1272">
      <c r="A1272" s="64"/>
      <c r="D1272" s="56"/>
    </row>
    <row r="1273">
      <c r="A1273" s="64"/>
      <c r="D1273" s="56"/>
    </row>
    <row r="1274">
      <c r="A1274" s="64"/>
      <c r="D1274" s="56"/>
    </row>
    <row r="1275">
      <c r="A1275" s="64"/>
      <c r="D1275" s="56"/>
    </row>
    <row r="1276">
      <c r="A1276" s="64"/>
      <c r="D1276" s="56"/>
    </row>
    <row r="1277">
      <c r="A1277" s="64"/>
      <c r="D1277" s="56"/>
    </row>
    <row r="1278">
      <c r="A1278" s="64"/>
      <c r="D1278" s="56"/>
    </row>
    <row r="1279">
      <c r="A1279" s="64"/>
      <c r="D1279" s="56"/>
    </row>
    <row r="1280">
      <c r="A1280" s="64"/>
      <c r="D1280" s="56"/>
    </row>
    <row r="1281">
      <c r="A1281" s="64"/>
      <c r="D1281" s="56"/>
    </row>
    <row r="1282">
      <c r="A1282" s="64"/>
      <c r="D1282" s="56"/>
    </row>
    <row r="1283">
      <c r="A1283" s="64"/>
      <c r="D1283" s="56"/>
    </row>
    <row r="1284">
      <c r="A1284" s="64"/>
      <c r="D1284" s="56"/>
    </row>
    <row r="1285">
      <c r="A1285" s="64"/>
      <c r="D1285" s="56"/>
    </row>
    <row r="1286">
      <c r="A1286" s="64"/>
      <c r="D1286" s="56"/>
    </row>
    <row r="1287">
      <c r="A1287" s="64"/>
      <c r="D1287" s="56"/>
    </row>
    <row r="1288">
      <c r="A1288" s="64"/>
      <c r="D1288" s="56"/>
    </row>
    <row r="1289">
      <c r="A1289" s="64"/>
      <c r="D1289" s="56"/>
    </row>
    <row r="1290">
      <c r="A1290" s="64"/>
      <c r="D1290" s="56"/>
    </row>
    <row r="1291">
      <c r="A1291" s="64"/>
      <c r="D1291" s="56"/>
    </row>
    <row r="1292">
      <c r="A1292" s="64"/>
      <c r="D1292" s="56"/>
    </row>
    <row r="1293">
      <c r="A1293" s="64"/>
      <c r="D1293" s="56"/>
    </row>
    <row r="1294">
      <c r="A1294" s="64"/>
      <c r="D1294" s="56"/>
    </row>
    <row r="1295">
      <c r="A1295" s="64"/>
      <c r="D1295" s="56"/>
    </row>
    <row r="1296">
      <c r="A1296" s="64"/>
      <c r="D1296" s="56"/>
    </row>
    <row r="1297">
      <c r="A1297" s="64"/>
      <c r="D1297" s="56"/>
    </row>
    <row r="1298">
      <c r="A1298" s="64"/>
      <c r="D1298" s="56"/>
    </row>
    <row r="1299">
      <c r="A1299" s="64"/>
      <c r="D1299" s="56"/>
    </row>
    <row r="1300">
      <c r="A1300" s="64"/>
      <c r="D1300" s="56"/>
    </row>
    <row r="1301">
      <c r="A1301" s="64"/>
      <c r="D1301" s="56"/>
    </row>
    <row r="1302">
      <c r="A1302" s="64"/>
      <c r="D1302" s="56"/>
    </row>
    <row r="1303">
      <c r="A1303" s="64"/>
      <c r="D1303" s="56"/>
    </row>
    <row r="1304">
      <c r="A1304" s="64"/>
      <c r="D1304" s="56"/>
    </row>
    <row r="1305">
      <c r="A1305" s="64"/>
      <c r="D1305" s="56"/>
    </row>
    <row r="1306">
      <c r="A1306" s="64"/>
      <c r="D1306" s="56"/>
    </row>
    <row r="1307">
      <c r="A1307" s="64"/>
      <c r="D1307" s="56"/>
    </row>
    <row r="1308">
      <c r="A1308" s="64"/>
      <c r="D1308" s="56"/>
    </row>
    <row r="1309">
      <c r="A1309" s="64"/>
      <c r="D1309" s="56"/>
    </row>
    <row r="1310">
      <c r="A1310" s="64"/>
      <c r="D1310" s="56"/>
    </row>
    <row r="1311">
      <c r="A1311" s="64"/>
      <c r="D1311" s="56"/>
    </row>
    <row r="1312">
      <c r="A1312" s="64"/>
      <c r="D1312" s="56"/>
    </row>
    <row r="1313">
      <c r="A1313" s="64"/>
      <c r="D1313" s="56"/>
    </row>
    <row r="1314">
      <c r="A1314" s="64"/>
      <c r="D1314" s="56"/>
    </row>
    <row r="1315">
      <c r="A1315" s="64"/>
      <c r="D1315" s="56"/>
    </row>
    <row r="1316">
      <c r="A1316" s="64"/>
      <c r="D1316" s="56"/>
    </row>
    <row r="1317">
      <c r="A1317" s="64"/>
      <c r="D1317" s="56"/>
    </row>
    <row r="1318">
      <c r="A1318" s="64"/>
      <c r="D1318" s="56"/>
    </row>
    <row r="1319">
      <c r="A1319" s="64"/>
      <c r="D1319" s="56"/>
    </row>
    <row r="1320">
      <c r="A1320" s="64"/>
      <c r="D1320" s="56"/>
    </row>
    <row r="1321">
      <c r="A1321" s="64"/>
      <c r="D1321" s="56"/>
    </row>
    <row r="1322">
      <c r="A1322" s="64"/>
      <c r="D1322" s="56"/>
    </row>
    <row r="1323">
      <c r="A1323" s="64"/>
      <c r="D1323" s="56"/>
    </row>
    <row r="1324">
      <c r="A1324" s="64"/>
      <c r="D1324" s="56"/>
    </row>
    <row r="1325">
      <c r="A1325" s="64"/>
      <c r="D1325" s="56"/>
    </row>
    <row r="1326">
      <c r="A1326" s="64"/>
      <c r="D1326" s="56"/>
    </row>
    <row r="1327">
      <c r="A1327" s="64"/>
      <c r="D1327" s="56"/>
    </row>
    <row r="1328">
      <c r="A1328" s="64"/>
      <c r="D1328" s="56"/>
    </row>
    <row r="1329">
      <c r="A1329" s="64"/>
      <c r="D1329" s="56"/>
    </row>
    <row r="1330">
      <c r="A1330" s="64"/>
      <c r="D1330" s="56"/>
    </row>
    <row r="1331">
      <c r="A1331" s="64"/>
      <c r="D1331" s="56"/>
    </row>
    <row r="1332">
      <c r="A1332" s="64"/>
      <c r="D1332" s="56"/>
    </row>
    <row r="1333">
      <c r="A1333" s="64"/>
      <c r="D1333" s="56"/>
    </row>
    <row r="1334">
      <c r="A1334" s="64"/>
      <c r="D1334" s="56"/>
    </row>
    <row r="1335">
      <c r="A1335" s="64"/>
      <c r="D1335" s="56"/>
    </row>
    <row r="1336">
      <c r="A1336" s="64"/>
      <c r="D1336" s="56"/>
    </row>
    <row r="1337">
      <c r="A1337" s="64"/>
      <c r="D1337" s="56"/>
    </row>
    <row r="1338">
      <c r="A1338" s="64"/>
      <c r="D1338" s="56"/>
    </row>
    <row r="1339">
      <c r="A1339" s="64"/>
      <c r="D1339" s="56"/>
    </row>
    <row r="1340">
      <c r="A1340" s="64"/>
      <c r="D1340" s="56"/>
    </row>
    <row r="1341">
      <c r="A1341" s="64"/>
      <c r="D1341" s="62"/>
    </row>
    <row r="1342">
      <c r="A1342" s="64"/>
      <c r="D1342" s="56"/>
    </row>
    <row r="1343">
      <c r="A1343" s="64"/>
      <c r="D1343" s="56"/>
    </row>
    <row r="1344">
      <c r="A1344" s="64"/>
      <c r="D1344" s="56"/>
    </row>
    <row r="1345">
      <c r="A1345" s="64"/>
      <c r="D1345" s="56"/>
    </row>
    <row r="1346">
      <c r="A1346" s="64"/>
      <c r="D1346" s="56"/>
    </row>
    <row r="1347">
      <c r="A1347" s="64"/>
      <c r="D1347" s="56"/>
    </row>
    <row r="1348">
      <c r="A1348" s="64"/>
      <c r="D1348" s="56"/>
    </row>
    <row r="1349">
      <c r="A1349" s="64"/>
      <c r="D1349" s="56"/>
    </row>
    <row r="1350">
      <c r="A1350" s="64"/>
      <c r="D1350" s="56"/>
    </row>
    <row r="1351">
      <c r="A1351" s="64"/>
      <c r="D1351" s="56"/>
    </row>
    <row r="1352">
      <c r="A1352" s="64"/>
      <c r="D1352" s="56"/>
    </row>
    <row r="1353">
      <c r="A1353" s="64"/>
      <c r="D1353" s="56"/>
    </row>
    <row r="1354">
      <c r="A1354" s="64"/>
      <c r="D1354" s="56"/>
    </row>
    <row r="1355">
      <c r="A1355" s="64"/>
      <c r="D1355" s="56"/>
    </row>
    <row r="1356">
      <c r="A1356" s="64"/>
      <c r="D1356" s="56"/>
    </row>
    <row r="1357">
      <c r="A1357" s="64"/>
      <c r="D1357" s="56"/>
    </row>
    <row r="1358">
      <c r="A1358" s="64"/>
      <c r="D1358" s="56"/>
    </row>
    <row r="1359">
      <c r="A1359" s="64"/>
      <c r="D1359" s="56"/>
    </row>
    <row r="1360">
      <c r="A1360" s="64"/>
      <c r="D1360" s="56"/>
    </row>
    <row r="1361">
      <c r="A1361" s="64"/>
      <c r="D1361" s="56"/>
    </row>
    <row r="1362">
      <c r="A1362" s="64"/>
      <c r="D1362" s="56"/>
    </row>
    <row r="1363">
      <c r="A1363" s="64"/>
      <c r="D1363" s="56"/>
    </row>
    <row r="1364">
      <c r="A1364" s="64"/>
      <c r="D1364" s="56"/>
    </row>
    <row r="1365">
      <c r="A1365" s="64"/>
      <c r="D1365" s="56"/>
    </row>
    <row r="1366">
      <c r="A1366" s="64"/>
      <c r="D1366" s="56"/>
    </row>
    <row r="1367">
      <c r="A1367" s="64"/>
      <c r="D1367" s="56"/>
    </row>
    <row r="1368">
      <c r="A1368" s="64"/>
      <c r="D1368" s="56"/>
    </row>
    <row r="1369">
      <c r="A1369" s="64"/>
      <c r="D1369" s="56"/>
    </row>
    <row r="1370">
      <c r="A1370" s="64"/>
      <c r="D1370" s="56"/>
    </row>
    <row r="1371">
      <c r="A1371" s="64"/>
      <c r="D1371" s="56"/>
    </row>
    <row r="1372">
      <c r="A1372" s="64"/>
      <c r="D1372" s="56"/>
    </row>
    <row r="1373">
      <c r="A1373" s="64"/>
      <c r="D1373" s="56"/>
    </row>
    <row r="1374">
      <c r="A1374" s="64"/>
      <c r="D1374" s="56"/>
    </row>
    <row r="1375">
      <c r="A1375" s="64"/>
      <c r="D1375" s="56"/>
    </row>
    <row r="1376">
      <c r="A1376" s="64"/>
      <c r="D1376" s="56"/>
    </row>
    <row r="1377">
      <c r="A1377" s="64"/>
      <c r="D1377" s="56"/>
    </row>
    <row r="1378">
      <c r="A1378" s="64"/>
      <c r="D1378" s="56"/>
    </row>
    <row r="1379">
      <c r="A1379" s="64"/>
      <c r="D1379" s="56"/>
    </row>
    <row r="1380">
      <c r="A1380" s="64"/>
      <c r="D1380" s="56"/>
    </row>
    <row r="1381">
      <c r="A1381" s="64"/>
      <c r="D1381" s="56"/>
    </row>
    <row r="1382">
      <c r="A1382" s="64"/>
      <c r="D1382" s="56"/>
    </row>
    <row r="1383">
      <c r="A1383" s="64"/>
      <c r="D1383" s="56"/>
    </row>
    <row r="1384">
      <c r="A1384" s="64"/>
      <c r="D1384" s="56"/>
    </row>
    <row r="1385">
      <c r="A1385" s="64"/>
      <c r="D1385" s="56"/>
    </row>
    <row r="1386">
      <c r="A1386" s="64"/>
      <c r="D1386" s="56"/>
    </row>
    <row r="1387">
      <c r="A1387" s="64"/>
      <c r="D1387" s="56"/>
    </row>
    <row r="1388">
      <c r="A1388" s="64"/>
      <c r="D1388" s="56"/>
    </row>
    <row r="1389">
      <c r="A1389" s="64"/>
      <c r="D1389" s="56"/>
    </row>
    <row r="1390">
      <c r="A1390" s="64"/>
      <c r="D1390" s="56"/>
    </row>
    <row r="1391">
      <c r="A1391" s="64"/>
      <c r="D1391" s="56"/>
    </row>
    <row r="1392">
      <c r="A1392" s="64"/>
      <c r="D1392" s="56"/>
    </row>
    <row r="1393">
      <c r="A1393" s="64"/>
      <c r="D1393" s="56"/>
    </row>
    <row r="1394">
      <c r="A1394" s="64"/>
      <c r="D1394" s="56"/>
    </row>
    <row r="1395">
      <c r="A1395" s="64"/>
      <c r="D1395" s="56"/>
    </row>
    <row r="1396">
      <c r="A1396" s="64"/>
      <c r="D1396" s="56"/>
    </row>
    <row r="1397">
      <c r="A1397" s="64"/>
      <c r="D1397" s="56"/>
    </row>
    <row r="1398">
      <c r="A1398" s="64"/>
      <c r="D1398" s="56"/>
    </row>
    <row r="1399">
      <c r="A1399" s="64"/>
      <c r="D1399" s="56"/>
    </row>
    <row r="1400">
      <c r="A1400" s="64"/>
      <c r="D1400" s="56"/>
    </row>
    <row r="1401">
      <c r="A1401" s="64"/>
      <c r="D1401" s="56"/>
    </row>
    <row r="1402">
      <c r="A1402" s="64"/>
      <c r="D1402" s="56"/>
    </row>
    <row r="1403">
      <c r="A1403" s="64"/>
      <c r="D1403" s="56"/>
    </row>
    <row r="1404">
      <c r="A1404" s="64"/>
      <c r="D1404" s="56"/>
    </row>
    <row r="1405">
      <c r="A1405" s="64"/>
      <c r="D1405" s="56"/>
    </row>
    <row r="1406">
      <c r="A1406" s="64"/>
      <c r="D1406" s="56"/>
    </row>
    <row r="1407">
      <c r="A1407" s="64"/>
      <c r="D1407" s="56"/>
    </row>
    <row r="1408">
      <c r="A1408" s="64"/>
      <c r="D1408" s="56"/>
    </row>
    <row r="1409">
      <c r="A1409" s="64"/>
      <c r="D1409" s="56"/>
    </row>
    <row r="1410">
      <c r="A1410" s="64"/>
      <c r="D1410" s="56"/>
    </row>
    <row r="1411">
      <c r="A1411" s="64"/>
      <c r="D1411" s="56"/>
    </row>
    <row r="1412">
      <c r="A1412" s="64"/>
      <c r="D1412" s="56"/>
    </row>
    <row r="1413">
      <c r="A1413" s="64"/>
      <c r="D1413" s="56"/>
    </row>
    <row r="1414">
      <c r="A1414" s="64"/>
      <c r="D1414" s="56"/>
    </row>
    <row r="1415">
      <c r="A1415" s="64"/>
      <c r="D1415" s="56"/>
    </row>
    <row r="1416">
      <c r="A1416" s="64"/>
      <c r="D1416" s="56"/>
    </row>
    <row r="1417">
      <c r="A1417" s="64"/>
      <c r="D1417" s="56"/>
    </row>
    <row r="1418">
      <c r="A1418" s="64"/>
      <c r="D1418" s="56"/>
    </row>
    <row r="1419">
      <c r="A1419" s="64"/>
      <c r="D1419" s="56"/>
    </row>
    <row r="1420">
      <c r="A1420" s="64"/>
      <c r="D1420" s="56"/>
    </row>
    <row r="1421">
      <c r="A1421" s="64"/>
      <c r="D1421" s="56"/>
    </row>
    <row r="1422">
      <c r="A1422" s="64"/>
      <c r="D1422" s="56"/>
    </row>
    <row r="1423">
      <c r="A1423" s="64"/>
      <c r="D1423" s="56"/>
    </row>
    <row r="1424">
      <c r="A1424" s="64"/>
      <c r="D1424" s="56"/>
    </row>
    <row r="1425">
      <c r="A1425" s="64"/>
      <c r="D1425" s="56"/>
    </row>
    <row r="1426">
      <c r="A1426" s="64"/>
      <c r="D1426" s="56"/>
    </row>
    <row r="1427">
      <c r="A1427" s="64"/>
      <c r="D1427" s="56"/>
    </row>
    <row r="1428">
      <c r="A1428" s="64"/>
      <c r="D1428" s="56"/>
    </row>
    <row r="1429">
      <c r="A1429" s="64"/>
      <c r="D1429" s="56"/>
    </row>
    <row r="1430">
      <c r="A1430" s="64"/>
      <c r="D1430" s="56"/>
    </row>
    <row r="1431">
      <c r="A1431" s="64"/>
      <c r="D1431" s="56"/>
    </row>
    <row r="1432">
      <c r="A1432" s="64"/>
      <c r="D1432" s="56"/>
    </row>
    <row r="1433">
      <c r="A1433" s="64"/>
      <c r="D1433" s="56"/>
    </row>
    <row r="1434">
      <c r="A1434" s="64"/>
      <c r="D1434" s="56"/>
    </row>
    <row r="1435">
      <c r="A1435" s="64"/>
      <c r="D1435" s="56"/>
    </row>
    <row r="1436">
      <c r="A1436" s="64"/>
      <c r="D1436" s="56"/>
    </row>
    <row r="1437">
      <c r="A1437" s="64"/>
      <c r="D1437" s="56"/>
    </row>
    <row r="1438">
      <c r="A1438" s="64"/>
      <c r="D1438" s="56"/>
    </row>
    <row r="1439">
      <c r="A1439" s="64"/>
      <c r="D1439" s="56"/>
    </row>
    <row r="1440">
      <c r="A1440" s="64"/>
      <c r="D1440" s="56"/>
    </row>
    <row r="1441">
      <c r="A1441" s="64"/>
      <c r="D1441" s="56"/>
    </row>
    <row r="1442">
      <c r="A1442" s="64"/>
      <c r="D1442" s="56"/>
    </row>
    <row r="1443">
      <c r="A1443" s="64"/>
      <c r="D1443" s="56"/>
    </row>
    <row r="1444">
      <c r="A1444" s="64"/>
      <c r="D1444" s="56"/>
    </row>
    <row r="1445">
      <c r="A1445" s="64"/>
      <c r="D1445" s="56"/>
    </row>
    <row r="1446">
      <c r="A1446" s="64"/>
      <c r="D1446" s="56"/>
    </row>
    <row r="1447">
      <c r="A1447" s="64"/>
      <c r="D1447" s="56"/>
    </row>
    <row r="1448">
      <c r="A1448" s="64"/>
      <c r="D1448" s="56"/>
    </row>
    <row r="1449">
      <c r="A1449" s="64"/>
      <c r="D1449" s="56"/>
    </row>
    <row r="1450">
      <c r="A1450" s="64"/>
      <c r="D1450" s="56"/>
    </row>
    <row r="1451">
      <c r="A1451" s="64"/>
      <c r="D1451" s="56"/>
    </row>
    <row r="1452">
      <c r="A1452" s="64"/>
      <c r="D1452" s="56"/>
    </row>
    <row r="1453">
      <c r="A1453" s="64"/>
      <c r="D1453" s="56"/>
    </row>
    <row r="1454">
      <c r="A1454" s="64"/>
      <c r="D1454" s="56"/>
    </row>
    <row r="1455">
      <c r="A1455" s="64"/>
      <c r="D1455" s="56"/>
    </row>
    <row r="1456">
      <c r="A1456" s="64"/>
      <c r="D1456" s="56"/>
    </row>
    <row r="1457">
      <c r="A1457" s="64"/>
      <c r="D1457" s="56"/>
    </row>
    <row r="1458">
      <c r="A1458" s="64"/>
      <c r="D1458" s="56"/>
    </row>
    <row r="1459">
      <c r="A1459" s="64"/>
      <c r="D1459" s="56"/>
    </row>
    <row r="1460">
      <c r="A1460" s="64"/>
      <c r="D1460" s="56"/>
    </row>
    <row r="1461">
      <c r="A1461" s="64"/>
      <c r="D1461" s="56"/>
    </row>
    <row r="1462">
      <c r="A1462" s="64"/>
      <c r="D1462" s="56"/>
    </row>
    <row r="1463">
      <c r="A1463" s="64"/>
      <c r="D1463" s="56"/>
    </row>
    <row r="1464">
      <c r="A1464" s="64"/>
      <c r="D1464" s="56"/>
    </row>
    <row r="1465">
      <c r="A1465" s="64"/>
      <c r="D1465" s="56"/>
    </row>
    <row r="1466">
      <c r="A1466" s="64"/>
      <c r="D1466" s="56"/>
    </row>
    <row r="1467">
      <c r="A1467" s="64"/>
      <c r="D1467" s="56"/>
    </row>
    <row r="1468">
      <c r="A1468" s="64"/>
      <c r="D1468" s="56"/>
    </row>
    <row r="1469">
      <c r="A1469" s="64"/>
      <c r="D1469" s="56"/>
    </row>
    <row r="1470">
      <c r="A1470" s="64"/>
      <c r="D1470" s="56"/>
    </row>
    <row r="1471">
      <c r="A1471" s="64"/>
      <c r="D1471" s="56"/>
    </row>
    <row r="1472">
      <c r="A1472" s="64"/>
      <c r="D1472" s="56"/>
    </row>
    <row r="1473">
      <c r="A1473" s="64"/>
      <c r="D1473" s="56"/>
    </row>
    <row r="1474">
      <c r="A1474" s="64"/>
      <c r="D1474" s="56"/>
    </row>
    <row r="1475">
      <c r="A1475" s="64"/>
      <c r="D1475" s="56"/>
    </row>
    <row r="1476">
      <c r="A1476" s="64"/>
      <c r="D1476" s="56"/>
    </row>
    <row r="1477">
      <c r="A1477" s="64"/>
      <c r="D1477" s="56"/>
    </row>
    <row r="1478">
      <c r="A1478" s="64"/>
      <c r="D1478" s="56"/>
    </row>
    <row r="1479">
      <c r="A1479" s="64"/>
      <c r="D1479" s="56"/>
    </row>
    <row r="1480">
      <c r="A1480" s="64"/>
      <c r="D1480" s="56"/>
    </row>
    <row r="1481">
      <c r="A1481" s="64"/>
      <c r="D1481" s="56"/>
    </row>
    <row r="1482">
      <c r="A1482" s="64"/>
      <c r="D1482" s="56"/>
    </row>
    <row r="1483">
      <c r="A1483" s="64"/>
      <c r="D1483" s="56"/>
    </row>
    <row r="1484">
      <c r="A1484" s="64"/>
      <c r="D1484" s="56"/>
    </row>
    <row r="1485">
      <c r="A1485" s="64"/>
      <c r="D1485" s="56"/>
    </row>
    <row r="1486">
      <c r="A1486" s="64"/>
      <c r="D1486" s="56"/>
    </row>
    <row r="1487">
      <c r="A1487" s="64"/>
      <c r="D1487" s="56"/>
    </row>
    <row r="1488">
      <c r="A1488" s="64"/>
      <c r="D1488" s="56"/>
    </row>
    <row r="1489">
      <c r="A1489" s="64"/>
      <c r="D1489" s="56"/>
    </row>
    <row r="1490">
      <c r="A1490" s="64"/>
      <c r="D1490" s="56"/>
    </row>
    <row r="1491">
      <c r="A1491" s="64"/>
      <c r="D1491" s="56"/>
    </row>
    <row r="1492">
      <c r="A1492" s="64"/>
      <c r="D1492" s="56"/>
    </row>
    <row r="1493">
      <c r="A1493" s="64"/>
      <c r="D1493" s="56"/>
    </row>
    <row r="1494">
      <c r="A1494" s="64"/>
      <c r="D1494" s="56"/>
    </row>
    <row r="1495">
      <c r="A1495" s="64"/>
      <c r="D1495" s="56"/>
    </row>
    <row r="1496">
      <c r="A1496" s="64"/>
      <c r="D1496" s="56"/>
    </row>
    <row r="1497">
      <c r="A1497" s="64"/>
      <c r="D1497" s="56"/>
    </row>
    <row r="1498">
      <c r="A1498" s="64"/>
      <c r="D1498" s="56"/>
    </row>
    <row r="1499">
      <c r="A1499" s="64"/>
      <c r="D1499" s="56"/>
    </row>
    <row r="1500">
      <c r="A1500" s="64"/>
      <c r="D1500" s="56"/>
    </row>
    <row r="1501">
      <c r="A1501" s="64"/>
      <c r="D1501" s="56"/>
    </row>
    <row r="1502">
      <c r="A1502" s="64"/>
      <c r="D1502" s="56"/>
    </row>
    <row r="1503">
      <c r="A1503" s="64"/>
      <c r="D1503" s="56"/>
    </row>
    <row r="1504">
      <c r="A1504" s="64"/>
      <c r="D1504" s="56"/>
    </row>
    <row r="1505">
      <c r="A1505" s="64"/>
      <c r="D1505" s="56"/>
    </row>
    <row r="1506">
      <c r="A1506" s="64"/>
      <c r="D1506" s="56"/>
    </row>
    <row r="1507">
      <c r="A1507" s="64"/>
      <c r="D1507" s="56"/>
    </row>
    <row r="1508">
      <c r="A1508" s="64"/>
      <c r="D1508" s="56"/>
    </row>
    <row r="1509">
      <c r="A1509" s="64"/>
      <c r="D1509" s="56"/>
    </row>
    <row r="1510">
      <c r="A1510" s="64"/>
      <c r="D1510" s="56"/>
    </row>
    <row r="1511">
      <c r="A1511" s="64"/>
      <c r="D1511" s="56"/>
    </row>
    <row r="1512">
      <c r="A1512" s="64"/>
      <c r="D1512" s="56"/>
    </row>
    <row r="1513">
      <c r="A1513" s="64"/>
      <c r="D1513" s="56"/>
    </row>
    <row r="1514">
      <c r="A1514" s="64"/>
      <c r="D1514" s="56"/>
    </row>
    <row r="1515">
      <c r="A1515" s="64"/>
      <c r="D1515" s="56"/>
    </row>
    <row r="1516">
      <c r="A1516" s="64"/>
      <c r="D1516" s="56"/>
    </row>
    <row r="1517">
      <c r="A1517" s="64"/>
      <c r="D1517" s="56"/>
    </row>
    <row r="1518">
      <c r="A1518" s="64"/>
      <c r="D1518" s="56"/>
    </row>
    <row r="1519">
      <c r="A1519" s="64"/>
      <c r="D1519" s="56"/>
    </row>
    <row r="1520">
      <c r="A1520" s="64"/>
      <c r="D1520" s="56"/>
    </row>
    <row r="1521">
      <c r="A1521" s="64"/>
      <c r="D1521" s="56"/>
    </row>
    <row r="1522">
      <c r="A1522" s="64"/>
      <c r="D1522" s="56"/>
    </row>
    <row r="1523">
      <c r="A1523" s="64"/>
      <c r="D1523" s="56"/>
    </row>
    <row r="1524">
      <c r="A1524" s="64"/>
      <c r="D1524" s="56"/>
    </row>
    <row r="1525">
      <c r="A1525" s="64"/>
      <c r="D1525" s="56"/>
    </row>
    <row r="1526">
      <c r="A1526" s="64"/>
      <c r="D1526" s="56"/>
    </row>
    <row r="1527">
      <c r="A1527" s="64"/>
      <c r="D1527" s="56"/>
    </row>
    <row r="1528">
      <c r="A1528" s="64"/>
      <c r="D1528" s="56"/>
    </row>
    <row r="1529">
      <c r="A1529" s="64"/>
      <c r="D1529" s="56"/>
    </row>
    <row r="1530">
      <c r="A1530" s="64"/>
      <c r="D1530" s="56"/>
    </row>
    <row r="1531">
      <c r="A1531" s="64"/>
      <c r="D1531" s="56"/>
    </row>
    <row r="1532">
      <c r="A1532" s="64"/>
      <c r="D1532" s="56"/>
    </row>
    <row r="1533">
      <c r="A1533" s="64"/>
      <c r="D1533" s="56"/>
    </row>
    <row r="1534">
      <c r="A1534" s="64"/>
      <c r="D1534" s="56"/>
    </row>
    <row r="1535">
      <c r="A1535" s="64"/>
      <c r="D1535" s="56"/>
    </row>
    <row r="1536">
      <c r="A1536" s="64"/>
      <c r="D1536" s="56"/>
    </row>
    <row r="1537">
      <c r="A1537" s="64"/>
      <c r="D1537" s="56"/>
    </row>
    <row r="1538">
      <c r="A1538" s="64"/>
      <c r="D1538" s="56"/>
    </row>
    <row r="1539">
      <c r="A1539" s="64"/>
      <c r="D1539" s="56"/>
    </row>
    <row r="1540">
      <c r="A1540" s="64"/>
      <c r="D1540" s="56"/>
    </row>
    <row r="1541">
      <c r="A1541" s="64"/>
      <c r="D1541" s="56"/>
    </row>
    <row r="1542">
      <c r="A1542" s="64"/>
      <c r="D1542" s="56"/>
    </row>
    <row r="1543">
      <c r="A1543" s="64"/>
      <c r="D1543" s="56"/>
    </row>
    <row r="1544">
      <c r="A1544" s="64"/>
      <c r="D1544" s="56"/>
    </row>
    <row r="1545">
      <c r="A1545" s="64"/>
      <c r="D1545" s="56"/>
    </row>
    <row r="1546">
      <c r="A1546" s="64"/>
      <c r="D1546" s="56"/>
    </row>
    <row r="1547">
      <c r="A1547" s="64"/>
      <c r="D1547" s="56"/>
    </row>
    <row r="1548">
      <c r="A1548" s="64"/>
      <c r="D1548" s="56"/>
    </row>
    <row r="1549">
      <c r="A1549" s="64"/>
      <c r="D1549" s="56"/>
    </row>
    <row r="1550">
      <c r="A1550" s="64"/>
      <c r="D1550" s="56"/>
    </row>
    <row r="1551">
      <c r="A1551" s="64"/>
      <c r="D1551" s="56"/>
    </row>
    <row r="1552">
      <c r="A1552" s="64"/>
      <c r="D1552" s="56"/>
    </row>
    <row r="1553">
      <c r="A1553" s="64"/>
      <c r="D1553" s="56"/>
    </row>
    <row r="1554">
      <c r="A1554" s="64"/>
      <c r="D1554" s="56"/>
    </row>
    <row r="1555">
      <c r="A1555" s="64"/>
      <c r="D1555" s="56"/>
    </row>
    <row r="1556">
      <c r="A1556" s="64"/>
      <c r="D1556" s="56"/>
    </row>
    <row r="1557">
      <c r="A1557" s="64"/>
      <c r="D1557" s="56"/>
    </row>
    <row r="1558">
      <c r="A1558" s="64"/>
      <c r="D1558" s="56"/>
    </row>
    <row r="1559">
      <c r="A1559" s="64"/>
      <c r="D1559" s="56"/>
    </row>
    <row r="1560">
      <c r="A1560" s="64"/>
      <c r="D1560" s="56"/>
    </row>
    <row r="1561">
      <c r="A1561" s="64"/>
      <c r="D1561" s="56"/>
    </row>
    <row r="1562">
      <c r="A1562" s="64"/>
      <c r="D1562" s="56"/>
    </row>
    <row r="1563">
      <c r="A1563" s="64"/>
      <c r="D1563" s="56"/>
    </row>
    <row r="1564">
      <c r="A1564" s="64"/>
      <c r="D1564" s="56"/>
    </row>
    <row r="1565">
      <c r="A1565" s="64"/>
      <c r="D1565" s="56"/>
    </row>
    <row r="1566">
      <c r="A1566" s="64"/>
      <c r="D1566" s="56"/>
    </row>
    <row r="1567">
      <c r="A1567" s="64"/>
      <c r="D1567" s="56"/>
    </row>
    <row r="1568">
      <c r="A1568" s="64"/>
      <c r="D1568" s="56"/>
    </row>
    <row r="1569">
      <c r="A1569" s="64"/>
      <c r="D1569" s="56"/>
    </row>
    <row r="1570">
      <c r="A1570" s="64"/>
      <c r="D1570" s="56"/>
    </row>
    <row r="1571">
      <c r="A1571" s="64"/>
      <c r="D1571" s="56"/>
    </row>
    <row r="1572">
      <c r="A1572" s="64"/>
      <c r="D1572" s="56"/>
    </row>
    <row r="1573">
      <c r="A1573" s="64"/>
      <c r="D1573" s="56"/>
    </row>
    <row r="1574">
      <c r="A1574" s="64"/>
      <c r="D1574" s="56"/>
    </row>
    <row r="1575">
      <c r="A1575" s="64"/>
      <c r="D1575" s="56"/>
    </row>
    <row r="1576">
      <c r="A1576" s="64"/>
      <c r="D1576" s="56"/>
    </row>
    <row r="1577">
      <c r="A1577" s="64"/>
      <c r="D1577" s="56"/>
    </row>
    <row r="1578">
      <c r="A1578" s="64"/>
      <c r="D1578" s="56"/>
    </row>
    <row r="1579">
      <c r="A1579" s="64"/>
      <c r="D1579" s="56"/>
    </row>
    <row r="1580">
      <c r="A1580" s="64"/>
      <c r="D1580" s="56"/>
    </row>
    <row r="1581">
      <c r="A1581" s="64"/>
      <c r="D1581" s="56"/>
    </row>
    <row r="1582">
      <c r="A1582" s="64"/>
      <c r="D1582" s="56"/>
    </row>
    <row r="1583">
      <c r="A1583" s="64"/>
      <c r="D1583" s="56"/>
    </row>
    <row r="1584">
      <c r="A1584" s="64"/>
      <c r="D1584" s="56"/>
    </row>
    <row r="1585">
      <c r="A1585" s="64"/>
      <c r="D1585" s="56"/>
    </row>
    <row r="1586">
      <c r="A1586" s="64"/>
      <c r="D1586" s="56"/>
    </row>
    <row r="1587">
      <c r="A1587" s="64"/>
      <c r="D1587" s="56"/>
    </row>
    <row r="1588">
      <c r="A1588" s="64"/>
      <c r="D1588" s="56"/>
    </row>
    <row r="1589">
      <c r="A1589" s="64"/>
      <c r="D1589" s="56"/>
    </row>
    <row r="1590">
      <c r="A1590" s="64"/>
      <c r="D1590" s="56"/>
    </row>
    <row r="1591">
      <c r="A1591" s="64"/>
      <c r="D1591" s="56"/>
    </row>
    <row r="1592">
      <c r="A1592" s="64"/>
      <c r="D1592" s="56"/>
    </row>
    <row r="1593">
      <c r="A1593" s="64"/>
      <c r="D1593" s="56"/>
    </row>
    <row r="1594">
      <c r="A1594" s="64"/>
      <c r="D1594" s="56"/>
    </row>
    <row r="1595">
      <c r="A1595" s="64"/>
      <c r="D1595" s="56"/>
    </row>
    <row r="1596">
      <c r="A1596" s="64"/>
      <c r="D1596" s="56"/>
    </row>
    <row r="1597">
      <c r="A1597" s="64"/>
      <c r="D1597" s="56"/>
    </row>
    <row r="1598">
      <c r="A1598" s="64"/>
      <c r="D1598" s="56"/>
    </row>
    <row r="1599">
      <c r="A1599" s="64"/>
      <c r="D1599" s="56"/>
    </row>
    <row r="1600">
      <c r="A1600" s="64"/>
      <c r="D1600" s="56"/>
    </row>
    <row r="1601">
      <c r="A1601" s="64"/>
      <c r="D1601" s="56"/>
    </row>
    <row r="1602">
      <c r="A1602" s="64"/>
      <c r="D1602" s="56"/>
    </row>
    <row r="1603">
      <c r="A1603" s="64"/>
      <c r="D1603" s="56"/>
    </row>
    <row r="1604">
      <c r="A1604" s="64"/>
      <c r="D1604" s="56"/>
    </row>
    <row r="1605">
      <c r="A1605" s="64"/>
      <c r="D1605" s="56"/>
    </row>
    <row r="1606">
      <c r="A1606" s="64"/>
      <c r="D1606" s="56"/>
    </row>
    <row r="1607">
      <c r="A1607" s="64"/>
      <c r="D1607" s="56"/>
    </row>
    <row r="1608">
      <c r="A1608" s="64"/>
      <c r="D1608" s="56"/>
    </row>
    <row r="1609">
      <c r="A1609" s="64"/>
      <c r="D1609" s="56"/>
    </row>
    <row r="1610">
      <c r="A1610" s="64"/>
      <c r="D1610" s="56"/>
    </row>
    <row r="1611">
      <c r="A1611" s="64"/>
      <c r="D1611" s="56"/>
    </row>
    <row r="1612">
      <c r="A1612" s="64"/>
      <c r="D1612" s="56"/>
    </row>
    <row r="1613">
      <c r="A1613" s="64"/>
      <c r="D1613" s="56"/>
    </row>
    <row r="1614">
      <c r="A1614" s="64"/>
      <c r="D1614" s="56"/>
    </row>
    <row r="1615">
      <c r="A1615" s="64"/>
      <c r="D1615" s="56"/>
    </row>
    <row r="1616">
      <c r="A1616" s="64"/>
      <c r="D1616" s="56"/>
    </row>
    <row r="1617">
      <c r="A1617" s="64"/>
      <c r="D1617" s="56"/>
    </row>
    <row r="1618">
      <c r="A1618" s="64"/>
      <c r="D1618" s="56"/>
    </row>
    <row r="1619">
      <c r="A1619" s="64"/>
      <c r="D1619" s="56"/>
    </row>
    <row r="1620">
      <c r="A1620" s="64"/>
      <c r="D1620" s="56"/>
    </row>
    <row r="1621">
      <c r="A1621" s="64"/>
      <c r="D1621" s="56"/>
    </row>
    <row r="1622">
      <c r="A1622" s="64"/>
      <c r="D1622" s="56"/>
    </row>
    <row r="1623">
      <c r="A1623" s="64"/>
      <c r="D1623" s="56"/>
    </row>
    <row r="1624">
      <c r="A1624" s="64"/>
      <c r="D1624" s="56"/>
    </row>
    <row r="1625">
      <c r="A1625" s="64"/>
      <c r="D1625" s="56"/>
    </row>
    <row r="1626">
      <c r="A1626" s="64"/>
      <c r="D1626" s="56"/>
    </row>
    <row r="1627">
      <c r="A1627" s="64"/>
      <c r="D1627" s="56"/>
    </row>
    <row r="1628">
      <c r="A1628" s="64"/>
      <c r="D1628" s="56"/>
    </row>
    <row r="1629">
      <c r="A1629" s="64"/>
      <c r="D1629" s="62"/>
    </row>
    <row r="1630">
      <c r="A1630" s="64"/>
      <c r="D1630" s="56"/>
    </row>
    <row r="1631">
      <c r="A1631" s="64"/>
      <c r="D1631" s="56"/>
    </row>
    <row r="1632">
      <c r="A1632" s="64"/>
      <c r="D1632" s="56"/>
    </row>
    <row r="1633">
      <c r="A1633" s="64"/>
      <c r="D1633" s="56"/>
    </row>
    <row r="1634">
      <c r="A1634" s="64"/>
      <c r="D1634" s="56"/>
    </row>
    <row r="1635">
      <c r="A1635" s="64"/>
      <c r="D1635" s="56"/>
    </row>
    <row r="1636">
      <c r="A1636" s="64"/>
      <c r="D1636" s="56"/>
    </row>
    <row r="1637">
      <c r="A1637" s="64"/>
      <c r="D1637" s="56"/>
    </row>
    <row r="1638">
      <c r="A1638" s="64"/>
      <c r="D1638" s="56"/>
    </row>
    <row r="1639">
      <c r="A1639" s="64"/>
      <c r="D1639" s="56"/>
    </row>
    <row r="1640">
      <c r="A1640" s="64"/>
      <c r="D1640" s="56"/>
    </row>
    <row r="1641">
      <c r="A1641" s="64"/>
      <c r="D1641" s="56"/>
    </row>
    <row r="1642">
      <c r="A1642" s="64"/>
      <c r="D1642" s="56"/>
    </row>
    <row r="1643">
      <c r="A1643" s="64"/>
      <c r="D1643" s="56"/>
    </row>
    <row r="1644">
      <c r="A1644" s="64"/>
      <c r="D1644" s="56"/>
    </row>
    <row r="1645">
      <c r="A1645" s="64"/>
      <c r="D1645" s="56"/>
    </row>
    <row r="1646">
      <c r="A1646" s="64"/>
      <c r="D1646" s="56"/>
    </row>
    <row r="1647">
      <c r="A1647" s="64"/>
      <c r="D1647" s="56"/>
    </row>
    <row r="1648">
      <c r="A1648" s="64"/>
      <c r="D1648" s="62"/>
    </row>
    <row r="1649">
      <c r="A1649" s="64"/>
      <c r="D1649" s="62"/>
    </row>
    <row r="1650">
      <c r="A1650" s="64"/>
      <c r="D1650" s="62"/>
    </row>
    <row r="1651">
      <c r="A1651" s="64"/>
      <c r="D1651" s="62"/>
    </row>
    <row r="1652">
      <c r="A1652" s="64"/>
      <c r="D1652" s="62"/>
    </row>
    <row r="1653">
      <c r="A1653" s="64"/>
      <c r="D1653" s="62"/>
    </row>
    <row r="1654">
      <c r="A1654" s="64"/>
      <c r="D1654" s="62"/>
    </row>
    <row r="1655">
      <c r="A1655" s="64"/>
      <c r="D1655" s="62"/>
    </row>
    <row r="1656">
      <c r="A1656" s="64"/>
      <c r="D1656" s="62"/>
    </row>
    <row r="1657">
      <c r="A1657" s="64"/>
      <c r="D1657" s="62"/>
    </row>
    <row r="1658">
      <c r="A1658" s="64"/>
      <c r="D1658" s="62"/>
    </row>
    <row r="1659">
      <c r="A1659" s="64"/>
      <c r="D1659" s="62"/>
    </row>
    <row r="1660">
      <c r="A1660" s="64"/>
      <c r="D1660" s="62"/>
    </row>
    <row r="1661">
      <c r="A1661" s="64"/>
      <c r="D1661" s="62"/>
    </row>
    <row r="1662">
      <c r="A1662" s="64"/>
      <c r="D1662" s="62"/>
    </row>
    <row r="1663">
      <c r="A1663" s="64"/>
      <c r="D1663" s="62"/>
    </row>
    <row r="1664">
      <c r="A1664" s="64"/>
      <c r="D1664" s="62"/>
    </row>
    <row r="1665">
      <c r="A1665" s="64"/>
      <c r="D1665" s="62"/>
    </row>
    <row r="1666">
      <c r="A1666" s="64"/>
      <c r="D1666" s="62"/>
    </row>
    <row r="1667">
      <c r="A1667" s="64"/>
      <c r="D1667" s="62"/>
    </row>
    <row r="1668">
      <c r="A1668" s="64"/>
      <c r="D1668" s="62"/>
    </row>
    <row r="1669">
      <c r="A1669" s="64"/>
      <c r="D1669" s="62"/>
    </row>
    <row r="1670">
      <c r="A1670" s="64"/>
      <c r="D1670" s="62"/>
    </row>
    <row r="1671">
      <c r="A1671" s="64"/>
      <c r="D1671" s="62"/>
    </row>
    <row r="1672">
      <c r="A1672" s="64"/>
      <c r="D1672" s="62"/>
    </row>
    <row r="1673">
      <c r="A1673" s="64"/>
      <c r="D1673" s="62"/>
    </row>
    <row r="1674">
      <c r="A1674" s="64"/>
      <c r="D1674" s="62"/>
    </row>
    <row r="1675">
      <c r="A1675" s="64"/>
      <c r="D1675" s="62"/>
    </row>
    <row r="1676">
      <c r="A1676" s="64"/>
      <c r="D1676" s="62"/>
    </row>
    <row r="1677">
      <c r="A1677" s="64"/>
      <c r="D1677" s="62"/>
    </row>
    <row r="1678">
      <c r="A1678" s="64"/>
      <c r="D1678" s="62"/>
    </row>
    <row r="1679">
      <c r="A1679" s="64"/>
      <c r="D1679" s="62"/>
    </row>
    <row r="1680">
      <c r="A1680" s="64"/>
      <c r="D1680" s="62"/>
    </row>
    <row r="1681">
      <c r="A1681" s="64"/>
      <c r="D1681" s="62"/>
    </row>
    <row r="1682">
      <c r="A1682" s="64"/>
      <c r="D1682" s="62"/>
    </row>
    <row r="1683">
      <c r="A1683" s="64"/>
      <c r="D1683" s="62"/>
    </row>
    <row r="1684">
      <c r="A1684" s="64"/>
      <c r="D1684" s="62"/>
    </row>
    <row r="1685">
      <c r="A1685" s="64"/>
      <c r="D1685" s="62"/>
    </row>
    <row r="1686">
      <c r="A1686" s="64"/>
      <c r="D1686" s="62"/>
    </row>
    <row r="1687">
      <c r="A1687" s="64"/>
      <c r="D1687" s="62"/>
    </row>
    <row r="1688">
      <c r="A1688" s="64"/>
      <c r="D1688" s="62"/>
    </row>
    <row r="1689">
      <c r="A1689" s="64"/>
      <c r="D1689" s="62"/>
    </row>
    <row r="1690">
      <c r="A1690" s="64"/>
      <c r="D1690" s="62"/>
    </row>
    <row r="1691">
      <c r="A1691" s="64"/>
      <c r="D1691" s="62"/>
    </row>
    <row r="1692">
      <c r="A1692" s="64"/>
      <c r="D1692" s="62"/>
    </row>
    <row r="1693">
      <c r="A1693" s="64"/>
      <c r="D1693" s="62"/>
    </row>
    <row r="1694">
      <c r="A1694" s="64"/>
      <c r="D1694" s="62"/>
    </row>
    <row r="1695">
      <c r="A1695" s="64"/>
      <c r="D1695" s="62"/>
    </row>
    <row r="1696">
      <c r="A1696" s="64"/>
      <c r="D1696" s="62"/>
    </row>
    <row r="1697">
      <c r="A1697" s="64"/>
      <c r="D1697" s="62"/>
    </row>
    <row r="1698">
      <c r="A1698" s="64"/>
      <c r="D1698" s="62"/>
    </row>
    <row r="1699">
      <c r="A1699" s="64"/>
      <c r="D1699" s="62"/>
    </row>
    <row r="1700">
      <c r="A1700" s="64"/>
      <c r="D1700" s="62"/>
    </row>
    <row r="1701">
      <c r="A1701" s="64"/>
      <c r="D1701" s="62"/>
    </row>
    <row r="1702">
      <c r="A1702" s="64"/>
      <c r="D1702" s="62"/>
    </row>
    <row r="1703">
      <c r="A1703" s="64"/>
      <c r="D1703" s="62"/>
    </row>
    <row r="1704">
      <c r="A1704" s="64"/>
      <c r="D1704" s="62"/>
    </row>
    <row r="1705">
      <c r="A1705" s="64"/>
      <c r="D1705" s="62"/>
    </row>
    <row r="1706">
      <c r="A1706" s="64"/>
      <c r="D1706" s="62"/>
    </row>
    <row r="1707">
      <c r="A1707" s="64"/>
      <c r="D1707" s="62"/>
    </row>
    <row r="1708">
      <c r="A1708" s="64"/>
      <c r="D1708" s="62"/>
    </row>
    <row r="1709">
      <c r="A1709" s="64"/>
      <c r="D1709" s="62"/>
    </row>
    <row r="1710">
      <c r="A1710" s="64"/>
      <c r="D1710" s="62"/>
    </row>
    <row r="1711">
      <c r="A1711" s="64"/>
      <c r="D1711" s="62"/>
    </row>
    <row r="1712">
      <c r="A1712" s="64"/>
      <c r="D1712" s="62"/>
    </row>
    <row r="1713">
      <c r="A1713" s="64"/>
      <c r="D1713" s="62"/>
    </row>
    <row r="1714">
      <c r="A1714" s="64"/>
      <c r="D1714" s="62"/>
    </row>
    <row r="1715">
      <c r="A1715" s="64"/>
      <c r="D1715" s="62"/>
    </row>
    <row r="1716">
      <c r="A1716" s="64"/>
      <c r="D1716" s="62"/>
    </row>
    <row r="1717">
      <c r="A1717" s="64"/>
      <c r="D1717" s="62"/>
    </row>
    <row r="1718">
      <c r="A1718" s="64"/>
      <c r="D1718" s="62"/>
    </row>
    <row r="1719">
      <c r="A1719" s="64"/>
      <c r="D1719" s="62"/>
    </row>
    <row r="1720">
      <c r="A1720" s="64"/>
      <c r="D1720" s="62"/>
    </row>
    <row r="1721">
      <c r="A1721" s="64"/>
      <c r="D1721" s="62"/>
    </row>
    <row r="1722">
      <c r="A1722" s="64"/>
      <c r="D1722" s="62"/>
    </row>
    <row r="1723">
      <c r="A1723" s="64"/>
      <c r="D1723" s="62"/>
    </row>
    <row r="1724">
      <c r="A1724" s="64"/>
      <c r="D1724" s="62"/>
    </row>
    <row r="1725">
      <c r="A1725" s="64"/>
      <c r="D1725" s="62"/>
    </row>
    <row r="1726">
      <c r="A1726" s="64"/>
      <c r="D1726" s="62"/>
    </row>
    <row r="1727">
      <c r="A1727" s="64"/>
      <c r="D1727" s="62"/>
    </row>
    <row r="1728">
      <c r="A1728" s="64"/>
      <c r="D1728" s="62"/>
    </row>
    <row r="1729">
      <c r="A1729" s="64"/>
      <c r="D1729" s="62"/>
    </row>
    <row r="1730">
      <c r="A1730" s="64"/>
      <c r="D1730" s="62"/>
    </row>
    <row r="1731">
      <c r="A1731" s="64"/>
      <c r="D1731" s="62"/>
    </row>
    <row r="1732">
      <c r="A1732" s="64"/>
      <c r="D1732" s="62"/>
    </row>
    <row r="1733">
      <c r="A1733" s="64"/>
      <c r="D1733" s="62"/>
    </row>
    <row r="1734">
      <c r="A1734" s="64"/>
      <c r="D1734" s="62"/>
    </row>
    <row r="1735">
      <c r="A1735" s="64"/>
      <c r="D1735" s="62"/>
    </row>
    <row r="1736">
      <c r="A1736" s="64"/>
      <c r="D1736" s="62"/>
    </row>
    <row r="1737">
      <c r="A1737" s="64"/>
      <c r="D1737" s="62"/>
    </row>
    <row r="1738">
      <c r="A1738" s="64"/>
      <c r="D1738" s="62"/>
    </row>
    <row r="1739">
      <c r="A1739" s="64"/>
      <c r="D1739" s="62"/>
    </row>
    <row r="1740">
      <c r="A1740" s="64"/>
      <c r="D1740" s="62"/>
    </row>
    <row r="1741">
      <c r="A1741" s="64"/>
      <c r="D1741" s="62"/>
    </row>
    <row r="1742">
      <c r="A1742" s="64"/>
      <c r="D1742" s="62"/>
    </row>
    <row r="1743">
      <c r="A1743" s="64"/>
      <c r="D1743" s="62"/>
    </row>
    <row r="1744">
      <c r="A1744" s="64"/>
      <c r="D1744" s="62"/>
    </row>
    <row r="1745">
      <c r="A1745" s="64"/>
      <c r="D1745" s="62"/>
    </row>
    <row r="1746">
      <c r="A1746" s="64"/>
      <c r="D1746" s="62"/>
    </row>
    <row r="1747">
      <c r="A1747" s="64"/>
      <c r="D1747" s="62"/>
    </row>
    <row r="1748">
      <c r="A1748" s="64"/>
      <c r="D1748" s="62"/>
    </row>
    <row r="1749">
      <c r="A1749" s="64"/>
      <c r="D1749" s="62"/>
    </row>
    <row r="1750">
      <c r="A1750" s="64"/>
      <c r="D1750" s="62"/>
    </row>
    <row r="1751">
      <c r="A1751" s="64"/>
      <c r="D1751" s="62"/>
    </row>
    <row r="1752">
      <c r="A1752" s="64"/>
      <c r="D1752" s="62"/>
    </row>
    <row r="1753">
      <c r="A1753" s="64"/>
      <c r="D1753" s="62"/>
    </row>
    <row r="1754">
      <c r="A1754" s="64"/>
      <c r="D1754" s="62"/>
    </row>
    <row r="1755">
      <c r="A1755" s="64"/>
      <c r="D1755" s="62"/>
    </row>
    <row r="1756">
      <c r="A1756" s="64"/>
      <c r="D1756" s="62"/>
    </row>
    <row r="1757">
      <c r="A1757" s="64"/>
      <c r="D1757" s="62"/>
    </row>
    <row r="1758">
      <c r="A1758" s="64"/>
      <c r="D1758" s="62"/>
    </row>
    <row r="1759">
      <c r="A1759" s="64"/>
      <c r="D1759" s="62"/>
    </row>
    <row r="1760">
      <c r="A1760" s="64"/>
      <c r="D1760" s="62"/>
    </row>
    <row r="1761">
      <c r="A1761" s="64"/>
      <c r="D1761" s="62"/>
    </row>
    <row r="1762">
      <c r="A1762" s="64"/>
      <c r="D1762" s="62"/>
    </row>
    <row r="1763">
      <c r="A1763" s="64"/>
      <c r="D1763" s="62"/>
    </row>
    <row r="1764">
      <c r="A1764" s="64"/>
      <c r="D1764" s="62"/>
    </row>
    <row r="1765">
      <c r="A1765" s="64"/>
      <c r="D1765" s="62"/>
    </row>
    <row r="1766">
      <c r="A1766" s="64"/>
      <c r="D1766" s="62"/>
    </row>
    <row r="1767">
      <c r="A1767" s="64"/>
      <c r="D1767" s="62"/>
    </row>
    <row r="1768">
      <c r="A1768" s="64"/>
      <c r="D1768" s="62"/>
    </row>
    <row r="1769">
      <c r="A1769" s="64"/>
      <c r="D1769" s="62"/>
    </row>
    <row r="1770">
      <c r="A1770" s="64"/>
      <c r="D1770" s="62"/>
    </row>
    <row r="1771">
      <c r="A1771" s="64"/>
      <c r="D1771" s="62"/>
    </row>
    <row r="1772">
      <c r="A1772" s="64"/>
      <c r="D1772" s="62"/>
    </row>
    <row r="1773">
      <c r="A1773" s="64"/>
      <c r="D1773" s="62"/>
    </row>
    <row r="1774">
      <c r="A1774" s="64"/>
      <c r="D1774" s="62"/>
    </row>
    <row r="1775">
      <c r="A1775" s="64"/>
      <c r="D1775" s="62"/>
    </row>
    <row r="1776">
      <c r="A1776" s="64"/>
      <c r="D1776" s="62"/>
    </row>
    <row r="1777">
      <c r="A1777" s="64"/>
      <c r="D1777" s="62"/>
    </row>
    <row r="1778">
      <c r="A1778" s="64"/>
      <c r="D1778" s="62"/>
    </row>
    <row r="1779">
      <c r="A1779" s="64"/>
      <c r="D1779" s="62"/>
    </row>
    <row r="1780">
      <c r="A1780" s="64"/>
      <c r="D1780" s="62"/>
    </row>
    <row r="1781">
      <c r="A1781" s="64"/>
      <c r="D1781" s="62"/>
    </row>
    <row r="1782">
      <c r="A1782" s="64"/>
      <c r="D1782" s="62"/>
    </row>
    <row r="1783">
      <c r="A1783" s="64"/>
      <c r="D1783" s="62"/>
    </row>
    <row r="1784">
      <c r="A1784" s="64"/>
      <c r="D1784" s="62"/>
    </row>
    <row r="1785">
      <c r="A1785" s="64"/>
      <c r="D1785" s="62"/>
    </row>
    <row r="1786">
      <c r="A1786" s="64"/>
      <c r="D1786" s="62"/>
    </row>
    <row r="1787">
      <c r="A1787" s="64"/>
      <c r="D1787" s="62"/>
    </row>
    <row r="1788">
      <c r="A1788" s="64"/>
      <c r="D1788" s="62"/>
    </row>
    <row r="1789">
      <c r="A1789" s="64"/>
      <c r="D1789" s="62"/>
    </row>
    <row r="1790">
      <c r="A1790" s="64"/>
      <c r="D1790" s="62"/>
    </row>
    <row r="1791">
      <c r="A1791" s="64"/>
      <c r="D1791" s="62"/>
    </row>
    <row r="1792">
      <c r="A1792" s="64"/>
      <c r="D1792" s="62"/>
    </row>
    <row r="1793">
      <c r="A1793" s="64"/>
      <c r="D1793" s="62"/>
    </row>
    <row r="1794">
      <c r="A1794" s="64"/>
      <c r="D1794" s="62"/>
    </row>
    <row r="1795">
      <c r="A1795" s="64"/>
      <c r="D1795" s="62"/>
    </row>
    <row r="1796">
      <c r="A1796" s="64"/>
      <c r="D1796" s="62"/>
    </row>
    <row r="1797">
      <c r="A1797" s="64"/>
      <c r="D1797" s="62"/>
    </row>
    <row r="1798">
      <c r="A1798" s="64"/>
      <c r="D1798" s="62"/>
    </row>
    <row r="1799">
      <c r="A1799" s="64"/>
      <c r="D1799" s="62"/>
    </row>
    <row r="1800">
      <c r="A1800" s="64"/>
      <c r="D1800" s="62"/>
    </row>
    <row r="1801">
      <c r="A1801" s="64"/>
      <c r="D1801" s="62"/>
    </row>
    <row r="1802">
      <c r="A1802" s="64"/>
      <c r="D1802" s="62"/>
    </row>
    <row r="1803">
      <c r="A1803" s="64"/>
      <c r="D1803" s="62"/>
    </row>
    <row r="1804">
      <c r="A1804" s="64"/>
      <c r="D1804" s="62"/>
    </row>
    <row r="1805">
      <c r="A1805" s="64"/>
      <c r="D1805" s="62"/>
    </row>
    <row r="1806">
      <c r="A1806" s="64"/>
      <c r="D1806" s="62"/>
    </row>
    <row r="1807">
      <c r="A1807" s="64"/>
      <c r="D1807" s="62"/>
    </row>
    <row r="1808">
      <c r="A1808" s="64"/>
      <c r="D1808" s="62"/>
    </row>
    <row r="1809">
      <c r="A1809" s="64"/>
      <c r="D1809" s="62"/>
    </row>
    <row r="1810">
      <c r="A1810" s="64"/>
      <c r="D1810" s="62"/>
    </row>
    <row r="1811">
      <c r="A1811" s="64"/>
      <c r="D1811" s="62"/>
    </row>
    <row r="1812">
      <c r="A1812" s="64"/>
      <c r="D1812" s="62"/>
    </row>
    <row r="1813">
      <c r="A1813" s="64"/>
      <c r="D1813" s="62"/>
    </row>
    <row r="1814">
      <c r="A1814" s="64"/>
      <c r="D1814" s="62"/>
    </row>
    <row r="1815">
      <c r="A1815" s="64"/>
      <c r="D1815" s="62"/>
    </row>
    <row r="1816">
      <c r="A1816" s="64"/>
      <c r="D1816" s="62"/>
    </row>
    <row r="1817">
      <c r="A1817" s="64"/>
      <c r="D1817" s="62"/>
    </row>
    <row r="1818">
      <c r="A1818" s="64"/>
      <c r="D1818" s="62"/>
    </row>
    <row r="1819">
      <c r="A1819" s="64"/>
      <c r="D1819" s="62"/>
    </row>
    <row r="1820">
      <c r="A1820" s="64"/>
      <c r="D1820" s="62"/>
    </row>
    <row r="1821">
      <c r="A1821" s="64"/>
      <c r="D1821" s="62"/>
    </row>
    <row r="1822">
      <c r="A1822" s="64"/>
      <c r="D1822" s="62"/>
    </row>
    <row r="1823">
      <c r="A1823" s="64"/>
      <c r="D1823" s="62"/>
    </row>
    <row r="1824">
      <c r="A1824" s="64"/>
      <c r="D1824" s="62"/>
    </row>
    <row r="1825">
      <c r="A1825" s="64"/>
      <c r="D1825" s="62"/>
    </row>
    <row r="1826">
      <c r="A1826" s="64"/>
      <c r="D1826" s="62"/>
    </row>
    <row r="1827">
      <c r="A1827" s="64"/>
      <c r="D1827" s="62"/>
    </row>
    <row r="1828">
      <c r="A1828" s="64"/>
      <c r="D1828" s="62"/>
    </row>
    <row r="1829">
      <c r="A1829" s="64"/>
      <c r="D1829" s="62"/>
    </row>
    <row r="1830">
      <c r="A1830" s="64"/>
      <c r="D1830" s="62"/>
    </row>
    <row r="1831">
      <c r="A1831" s="64"/>
      <c r="D1831" s="62"/>
    </row>
    <row r="1832">
      <c r="A1832" s="64"/>
      <c r="D1832" s="62"/>
    </row>
    <row r="1833">
      <c r="A1833" s="64"/>
      <c r="D1833" s="62"/>
    </row>
    <row r="1834">
      <c r="A1834" s="64"/>
      <c r="D1834" s="62"/>
    </row>
    <row r="1835">
      <c r="A1835" s="64"/>
      <c r="D1835" s="62"/>
    </row>
    <row r="1836">
      <c r="A1836" s="64"/>
      <c r="D1836" s="62"/>
    </row>
    <row r="1837">
      <c r="A1837" s="64"/>
      <c r="D1837" s="62"/>
    </row>
    <row r="1838">
      <c r="A1838" s="64"/>
      <c r="D1838" s="62"/>
    </row>
    <row r="1839">
      <c r="A1839" s="64"/>
      <c r="D1839" s="62"/>
    </row>
    <row r="1840">
      <c r="A1840" s="64"/>
      <c r="D1840" s="62"/>
    </row>
    <row r="1841">
      <c r="A1841" s="64"/>
      <c r="D1841" s="62"/>
    </row>
    <row r="1842">
      <c r="A1842" s="64"/>
      <c r="D1842" s="62"/>
    </row>
    <row r="1843">
      <c r="A1843" s="64"/>
      <c r="D1843" s="62"/>
    </row>
    <row r="1844">
      <c r="A1844" s="64"/>
      <c r="D1844" s="62"/>
    </row>
    <row r="1845">
      <c r="A1845" s="64"/>
      <c r="D1845" s="62"/>
    </row>
    <row r="1846">
      <c r="A1846" s="64"/>
      <c r="D1846" s="62"/>
    </row>
    <row r="1847">
      <c r="A1847" s="64"/>
      <c r="D1847" s="62"/>
    </row>
    <row r="1848">
      <c r="A1848" s="64"/>
      <c r="D1848" s="62"/>
    </row>
    <row r="1849">
      <c r="A1849" s="64"/>
      <c r="D1849" s="62"/>
    </row>
    <row r="1850">
      <c r="A1850" s="64"/>
      <c r="D1850" s="62"/>
    </row>
    <row r="1851">
      <c r="A1851" s="64"/>
      <c r="D1851" s="62"/>
    </row>
    <row r="1852">
      <c r="A1852" s="64"/>
      <c r="D1852" s="62"/>
    </row>
    <row r="1853">
      <c r="A1853" s="64"/>
      <c r="D1853" s="62"/>
    </row>
    <row r="1854">
      <c r="A1854" s="64"/>
      <c r="D1854" s="62"/>
    </row>
    <row r="1855">
      <c r="A1855" s="64"/>
      <c r="D1855" s="62"/>
    </row>
    <row r="1856">
      <c r="A1856" s="64"/>
      <c r="D1856" s="62"/>
    </row>
    <row r="1857">
      <c r="A1857" s="64"/>
      <c r="D1857" s="62"/>
    </row>
    <row r="1858">
      <c r="A1858" s="64"/>
      <c r="D1858" s="62"/>
    </row>
    <row r="1859">
      <c r="A1859" s="64"/>
      <c r="D1859" s="62"/>
    </row>
    <row r="1860">
      <c r="A1860" s="64"/>
      <c r="D1860" s="62"/>
    </row>
    <row r="1861">
      <c r="A1861" s="64"/>
      <c r="D1861" s="62"/>
    </row>
    <row r="1862">
      <c r="A1862" s="64"/>
      <c r="D1862" s="62"/>
    </row>
    <row r="1863">
      <c r="A1863" s="64"/>
      <c r="D1863" s="62"/>
    </row>
    <row r="1864">
      <c r="A1864" s="64"/>
      <c r="D1864" s="62"/>
    </row>
    <row r="1865">
      <c r="A1865" s="64"/>
      <c r="D1865" s="62"/>
    </row>
    <row r="1866">
      <c r="A1866" s="64"/>
      <c r="D1866" s="62"/>
    </row>
    <row r="1867">
      <c r="A1867" s="64"/>
      <c r="D1867" s="62"/>
    </row>
    <row r="1868">
      <c r="A1868" s="64"/>
      <c r="D1868" s="62"/>
    </row>
    <row r="1869">
      <c r="A1869" s="64"/>
      <c r="D1869" s="62"/>
    </row>
    <row r="1870">
      <c r="A1870" s="64"/>
      <c r="D1870" s="62"/>
    </row>
    <row r="1871">
      <c r="A1871" s="64"/>
      <c r="D1871" s="62"/>
    </row>
    <row r="1872">
      <c r="A1872" s="64"/>
      <c r="D1872" s="62"/>
    </row>
    <row r="1873">
      <c r="A1873" s="64"/>
      <c r="D1873" s="62"/>
    </row>
    <row r="1874">
      <c r="A1874" s="64"/>
      <c r="D1874" s="62"/>
    </row>
    <row r="1875">
      <c r="A1875" s="64"/>
      <c r="D1875" s="62"/>
    </row>
    <row r="1876">
      <c r="A1876" s="64"/>
      <c r="D1876" s="62"/>
    </row>
    <row r="1877">
      <c r="A1877" s="64"/>
      <c r="D1877" s="62"/>
    </row>
    <row r="1878">
      <c r="A1878" s="64"/>
      <c r="D1878" s="62"/>
    </row>
    <row r="1879">
      <c r="A1879" s="64"/>
      <c r="D1879" s="62"/>
    </row>
    <row r="1880">
      <c r="A1880" s="64"/>
      <c r="D1880" s="62"/>
    </row>
    <row r="1881">
      <c r="A1881" s="64"/>
      <c r="D1881" s="62"/>
    </row>
    <row r="1882">
      <c r="A1882" s="64"/>
      <c r="D1882" s="62"/>
    </row>
    <row r="1883">
      <c r="A1883" s="64"/>
      <c r="D1883" s="62"/>
    </row>
    <row r="1884">
      <c r="A1884" s="64"/>
      <c r="D1884" s="62"/>
    </row>
    <row r="1885">
      <c r="A1885" s="64"/>
      <c r="D1885" s="62"/>
    </row>
    <row r="1886">
      <c r="A1886" s="64"/>
      <c r="D1886" s="62"/>
    </row>
    <row r="1887">
      <c r="A1887" s="64"/>
      <c r="D1887" s="62"/>
    </row>
    <row r="1888">
      <c r="A1888" s="64"/>
      <c r="D1888" s="62"/>
    </row>
    <row r="1889">
      <c r="A1889" s="64"/>
      <c r="D1889" s="62"/>
    </row>
    <row r="1890">
      <c r="A1890" s="64"/>
      <c r="D1890" s="62"/>
    </row>
    <row r="1891">
      <c r="A1891" s="64"/>
      <c r="D1891" s="62"/>
    </row>
    <row r="1892">
      <c r="A1892" s="64"/>
      <c r="D1892" s="62"/>
    </row>
    <row r="1893">
      <c r="A1893" s="64"/>
      <c r="D1893" s="62"/>
    </row>
    <row r="1894">
      <c r="A1894" s="64"/>
      <c r="D1894" s="62"/>
    </row>
    <row r="1895">
      <c r="A1895" s="64"/>
      <c r="D1895" s="62"/>
    </row>
    <row r="1896">
      <c r="A1896" s="64"/>
      <c r="D1896" s="62"/>
    </row>
    <row r="1897">
      <c r="A1897" s="64"/>
      <c r="D1897" s="56"/>
    </row>
    <row r="1898">
      <c r="A1898" s="64"/>
      <c r="D1898" s="62"/>
    </row>
    <row r="1899">
      <c r="A1899" s="64"/>
      <c r="D1899" s="62"/>
    </row>
    <row r="1900">
      <c r="A1900" s="64"/>
      <c r="D1900" s="62"/>
    </row>
    <row r="1901">
      <c r="A1901" s="64"/>
      <c r="D1901" s="62"/>
    </row>
    <row r="1902">
      <c r="A1902" s="64"/>
      <c r="D1902" s="62"/>
    </row>
    <row r="1903">
      <c r="A1903" s="64"/>
      <c r="D1903" s="62"/>
    </row>
    <row r="1904">
      <c r="A1904" s="64"/>
      <c r="D1904" s="62"/>
    </row>
    <row r="1905">
      <c r="A1905" s="64"/>
      <c r="D1905" s="62"/>
    </row>
    <row r="1906">
      <c r="A1906" s="64"/>
      <c r="D1906" s="62"/>
    </row>
    <row r="1907">
      <c r="A1907" s="64"/>
      <c r="D1907" s="62"/>
    </row>
    <row r="1908">
      <c r="A1908" s="64"/>
      <c r="D1908" s="62"/>
    </row>
    <row r="1909">
      <c r="A1909" s="64"/>
      <c r="D1909" s="62"/>
    </row>
    <row r="1910">
      <c r="A1910" s="64"/>
      <c r="D1910" s="62"/>
    </row>
    <row r="1911">
      <c r="A1911" s="64"/>
      <c r="D1911" s="62"/>
    </row>
    <row r="1912">
      <c r="A1912" s="64"/>
      <c r="D1912" s="62"/>
    </row>
    <row r="1913">
      <c r="A1913" s="64"/>
      <c r="D1913" s="62"/>
    </row>
    <row r="1914">
      <c r="A1914" s="64"/>
      <c r="D1914" s="62"/>
    </row>
    <row r="1915">
      <c r="A1915" s="64"/>
      <c r="D1915" s="62"/>
    </row>
    <row r="1916">
      <c r="A1916" s="64"/>
      <c r="D1916" s="62"/>
    </row>
    <row r="1917">
      <c r="A1917" s="64"/>
      <c r="D1917" s="62"/>
    </row>
    <row r="1918">
      <c r="A1918" s="64"/>
      <c r="D1918" s="62"/>
    </row>
    <row r="1919">
      <c r="A1919" s="64"/>
      <c r="D1919" s="62"/>
    </row>
    <row r="1920">
      <c r="A1920" s="64"/>
      <c r="D1920" s="62"/>
    </row>
    <row r="1921">
      <c r="A1921" s="64"/>
      <c r="D1921" s="62"/>
    </row>
    <row r="1922">
      <c r="A1922" s="64"/>
      <c r="D1922" s="62"/>
    </row>
    <row r="1923">
      <c r="A1923" s="64"/>
      <c r="D1923" s="62"/>
    </row>
    <row r="1924">
      <c r="A1924" s="64"/>
      <c r="D1924" s="62"/>
    </row>
    <row r="1925">
      <c r="A1925" s="64"/>
      <c r="D1925" s="62"/>
    </row>
    <row r="1926">
      <c r="A1926" s="64"/>
      <c r="D1926" s="62"/>
    </row>
    <row r="1927">
      <c r="A1927" s="64"/>
      <c r="D1927" s="62"/>
    </row>
    <row r="1928">
      <c r="A1928" s="64"/>
      <c r="D1928" s="62"/>
    </row>
    <row r="1929">
      <c r="A1929" s="64"/>
      <c r="D1929" s="62"/>
    </row>
    <row r="1930">
      <c r="A1930" s="64"/>
      <c r="D1930" s="62"/>
    </row>
    <row r="1931">
      <c r="A1931" s="64"/>
      <c r="D1931" s="62"/>
    </row>
    <row r="1932">
      <c r="A1932" s="64"/>
      <c r="D1932" s="62"/>
    </row>
    <row r="1933">
      <c r="A1933" s="64"/>
      <c r="D1933" s="62"/>
    </row>
    <row r="1934">
      <c r="A1934" s="64"/>
      <c r="D1934" s="62"/>
    </row>
    <row r="1935">
      <c r="A1935" s="64"/>
      <c r="D1935" s="62"/>
    </row>
    <row r="1936">
      <c r="A1936" s="64"/>
      <c r="D1936" s="62"/>
    </row>
    <row r="1937">
      <c r="A1937" s="64"/>
      <c r="D1937" s="62"/>
    </row>
    <row r="1938">
      <c r="A1938" s="64"/>
      <c r="D1938" s="62"/>
    </row>
    <row r="1939">
      <c r="A1939" s="64"/>
      <c r="D1939" s="62"/>
    </row>
    <row r="1940">
      <c r="A1940" s="64"/>
      <c r="D1940" s="62"/>
    </row>
    <row r="1941">
      <c r="A1941" s="64"/>
      <c r="D1941" s="62"/>
    </row>
    <row r="1942">
      <c r="A1942" s="64"/>
      <c r="D1942" s="62"/>
    </row>
    <row r="1943">
      <c r="A1943" s="64"/>
      <c r="D1943" s="62"/>
    </row>
    <row r="1944">
      <c r="A1944" s="64"/>
      <c r="D1944" s="62"/>
    </row>
    <row r="1945">
      <c r="A1945" s="64"/>
      <c r="D1945" s="62"/>
    </row>
    <row r="1946">
      <c r="A1946" s="64"/>
      <c r="D1946" s="62"/>
    </row>
    <row r="1947">
      <c r="A1947" s="64"/>
      <c r="D1947" s="62"/>
    </row>
    <row r="1948">
      <c r="A1948" s="64"/>
      <c r="D1948" s="62"/>
    </row>
    <row r="1949">
      <c r="A1949" s="64"/>
      <c r="D1949" s="62"/>
    </row>
    <row r="1950">
      <c r="A1950" s="64"/>
      <c r="D1950" s="62"/>
    </row>
    <row r="1951">
      <c r="A1951" s="64"/>
      <c r="D1951" s="62"/>
    </row>
    <row r="1952">
      <c r="A1952" s="64"/>
      <c r="D1952" s="62"/>
    </row>
    <row r="1953">
      <c r="A1953" s="64"/>
      <c r="D1953" s="62"/>
    </row>
    <row r="1954">
      <c r="A1954" s="64"/>
      <c r="D1954" s="62"/>
    </row>
    <row r="1955">
      <c r="A1955" s="64"/>
      <c r="D1955" s="62"/>
    </row>
    <row r="1956">
      <c r="A1956" s="64"/>
      <c r="D1956" s="62"/>
    </row>
    <row r="1957">
      <c r="A1957" s="64"/>
      <c r="D1957" s="62"/>
    </row>
    <row r="1958">
      <c r="A1958" s="64"/>
      <c r="D1958" s="62"/>
    </row>
    <row r="1959">
      <c r="A1959" s="64"/>
      <c r="D1959" s="62"/>
    </row>
    <row r="1960">
      <c r="A1960" s="64"/>
      <c r="D1960" s="62"/>
    </row>
    <row r="1961">
      <c r="A1961" s="64"/>
      <c r="D1961" s="62"/>
    </row>
    <row r="1962">
      <c r="A1962" s="64"/>
      <c r="D1962" s="62"/>
    </row>
    <row r="1963">
      <c r="A1963" s="64"/>
      <c r="D1963" s="62"/>
    </row>
    <row r="1964">
      <c r="A1964" s="64"/>
      <c r="D1964" s="62"/>
    </row>
    <row r="1965">
      <c r="A1965" s="64"/>
      <c r="D1965" s="62"/>
    </row>
    <row r="1966">
      <c r="A1966" s="64"/>
      <c r="D1966" s="62"/>
    </row>
    <row r="1967">
      <c r="A1967" s="64"/>
      <c r="D1967" s="62"/>
    </row>
    <row r="1968">
      <c r="A1968" s="64"/>
      <c r="D1968" s="62"/>
    </row>
    <row r="1969">
      <c r="A1969" s="64"/>
      <c r="D1969" s="62"/>
    </row>
    <row r="1970">
      <c r="A1970" s="64"/>
      <c r="D1970" s="62"/>
    </row>
    <row r="1971">
      <c r="A1971" s="64"/>
      <c r="D1971" s="62"/>
    </row>
    <row r="1972">
      <c r="A1972" s="64"/>
      <c r="D1972" s="62"/>
    </row>
    <row r="1973">
      <c r="A1973" s="64"/>
      <c r="D1973" s="62"/>
    </row>
    <row r="1974">
      <c r="A1974" s="64"/>
      <c r="D1974" s="62"/>
    </row>
    <row r="1975">
      <c r="A1975" s="64"/>
      <c r="D1975" s="62"/>
    </row>
    <row r="1976">
      <c r="A1976" s="64"/>
      <c r="D1976" s="62"/>
    </row>
    <row r="1977">
      <c r="A1977" s="64"/>
      <c r="D1977" s="62"/>
    </row>
    <row r="1978">
      <c r="A1978" s="64"/>
      <c r="D1978" s="62"/>
    </row>
    <row r="1979">
      <c r="A1979" s="64"/>
      <c r="D1979" s="62"/>
    </row>
    <row r="1980">
      <c r="A1980" s="64"/>
      <c r="D1980" s="62"/>
    </row>
    <row r="1981">
      <c r="A1981" s="64"/>
      <c r="D1981" s="62"/>
    </row>
    <row r="1982">
      <c r="A1982" s="64"/>
      <c r="D1982" s="62"/>
    </row>
    <row r="1983">
      <c r="A1983" s="64"/>
      <c r="D1983" s="62"/>
    </row>
    <row r="1984">
      <c r="A1984" s="64"/>
      <c r="D1984" s="62"/>
    </row>
    <row r="1985">
      <c r="A1985" s="64"/>
      <c r="D1985" s="62"/>
    </row>
    <row r="1986">
      <c r="A1986" s="64"/>
      <c r="D1986" s="62"/>
    </row>
    <row r="1987">
      <c r="A1987" s="64"/>
      <c r="D1987" s="62"/>
    </row>
    <row r="1988">
      <c r="A1988" s="64"/>
      <c r="D1988" s="62"/>
    </row>
    <row r="1989">
      <c r="A1989" s="64"/>
      <c r="D1989" s="62"/>
    </row>
    <row r="1990">
      <c r="A1990" s="64"/>
      <c r="D1990" s="62"/>
    </row>
    <row r="1991">
      <c r="A1991" s="64"/>
      <c r="D1991" s="62"/>
    </row>
    <row r="1992">
      <c r="A1992" s="64"/>
      <c r="D1992" s="62"/>
    </row>
    <row r="1993">
      <c r="A1993" s="64"/>
      <c r="D1993" s="62"/>
    </row>
    <row r="1994">
      <c r="A1994" s="64"/>
      <c r="D1994" s="62"/>
    </row>
    <row r="1995">
      <c r="A1995" s="64"/>
      <c r="D1995" s="62"/>
    </row>
    <row r="1996">
      <c r="A1996" s="64"/>
      <c r="D1996" s="62"/>
    </row>
    <row r="1997">
      <c r="A1997" s="64"/>
      <c r="D1997" s="62"/>
    </row>
    <row r="1998">
      <c r="A1998" s="64"/>
      <c r="D1998" s="62"/>
    </row>
    <row r="1999">
      <c r="A1999" s="64"/>
      <c r="D1999" s="62"/>
    </row>
    <row r="2000">
      <c r="A2000" s="64"/>
      <c r="D2000" s="62"/>
    </row>
    <row r="2001">
      <c r="A2001" s="64"/>
      <c r="D2001" s="62"/>
    </row>
    <row r="2002">
      <c r="A2002" s="64"/>
      <c r="D2002" s="62"/>
    </row>
    <row r="2003">
      <c r="A2003" s="64"/>
      <c r="D2003" s="62"/>
    </row>
    <row r="2004">
      <c r="A2004" s="64"/>
      <c r="D2004" s="56"/>
    </row>
    <row r="2005">
      <c r="A2005" s="64"/>
      <c r="D2005" s="62"/>
    </row>
    <row r="2006">
      <c r="A2006" s="64"/>
      <c r="D2006" s="62"/>
    </row>
    <row r="2007">
      <c r="A2007" s="64"/>
      <c r="D2007" s="62"/>
    </row>
    <row r="2008">
      <c r="A2008" s="64"/>
      <c r="D2008" s="62"/>
    </row>
    <row r="2009">
      <c r="A2009" s="64"/>
      <c r="D2009" s="62"/>
    </row>
    <row r="2010">
      <c r="A2010" s="64"/>
      <c r="D2010" s="62"/>
    </row>
    <row r="2011">
      <c r="A2011" s="64"/>
      <c r="D2011" s="62"/>
    </row>
    <row r="2012">
      <c r="A2012" s="64"/>
      <c r="D2012" s="62"/>
    </row>
    <row r="2013">
      <c r="A2013" s="64"/>
      <c r="D2013" s="62"/>
    </row>
    <row r="2014">
      <c r="A2014" s="64"/>
      <c r="D2014" s="62"/>
    </row>
    <row r="2015">
      <c r="A2015" s="64"/>
      <c r="D2015" s="62"/>
    </row>
    <row r="2016">
      <c r="A2016" s="64"/>
      <c r="D2016" s="62"/>
    </row>
    <row r="2017">
      <c r="A2017" s="64"/>
      <c r="D2017" s="62"/>
    </row>
    <row r="2018">
      <c r="A2018" s="64"/>
      <c r="D2018" s="62"/>
    </row>
    <row r="2019">
      <c r="A2019" s="64"/>
      <c r="D2019" s="62"/>
    </row>
    <row r="2020">
      <c r="A2020" s="64"/>
      <c r="D2020" s="62"/>
    </row>
    <row r="2021">
      <c r="A2021" s="64"/>
      <c r="D2021" s="62"/>
    </row>
    <row r="2022">
      <c r="A2022" s="64"/>
      <c r="D2022" s="62"/>
    </row>
    <row r="2023">
      <c r="A2023" s="64"/>
      <c r="D2023" s="62"/>
    </row>
    <row r="2024">
      <c r="A2024" s="64"/>
      <c r="D2024" s="62"/>
    </row>
    <row r="2025">
      <c r="A2025" s="64"/>
      <c r="D2025" s="62"/>
    </row>
    <row r="2026">
      <c r="A2026" s="64"/>
      <c r="D2026" s="62"/>
    </row>
    <row r="2027">
      <c r="A2027" s="64"/>
      <c r="D2027" s="62"/>
    </row>
    <row r="2028">
      <c r="A2028" s="64"/>
      <c r="D2028" s="62"/>
    </row>
    <row r="2029">
      <c r="A2029" s="64"/>
      <c r="D2029" s="62"/>
    </row>
    <row r="2030">
      <c r="A2030" s="64"/>
      <c r="D2030" s="62"/>
    </row>
    <row r="2031">
      <c r="A2031" s="64"/>
      <c r="D2031" s="62"/>
    </row>
    <row r="2032">
      <c r="A2032" s="64"/>
      <c r="D2032" s="62"/>
    </row>
    <row r="2033">
      <c r="A2033" s="64"/>
      <c r="D2033" s="62"/>
    </row>
    <row r="2034">
      <c r="A2034" s="64"/>
      <c r="D2034" s="62"/>
    </row>
    <row r="2035">
      <c r="A2035" s="64"/>
      <c r="D2035" s="62"/>
    </row>
    <row r="2036">
      <c r="A2036" s="64"/>
      <c r="D2036" s="62"/>
    </row>
    <row r="2037">
      <c r="A2037" s="64"/>
      <c r="D2037" s="62"/>
    </row>
    <row r="2038">
      <c r="A2038" s="64"/>
      <c r="D2038" s="62"/>
    </row>
    <row r="2039">
      <c r="A2039" s="64"/>
      <c r="D2039" s="62"/>
    </row>
    <row r="2040">
      <c r="A2040" s="64"/>
      <c r="D2040" s="62"/>
    </row>
    <row r="2041">
      <c r="A2041" s="64"/>
      <c r="D2041" s="62"/>
    </row>
    <row r="2042">
      <c r="A2042" s="64"/>
      <c r="D2042" s="62"/>
    </row>
    <row r="2043">
      <c r="A2043" s="64"/>
      <c r="D2043" s="62"/>
    </row>
    <row r="2044">
      <c r="A2044" s="64"/>
      <c r="D2044" s="62"/>
    </row>
    <row r="2045">
      <c r="A2045" s="64"/>
      <c r="D2045" s="62"/>
    </row>
    <row r="2046">
      <c r="A2046" s="64"/>
      <c r="D2046" s="62"/>
    </row>
    <row r="2047">
      <c r="A2047" s="64"/>
      <c r="D2047" s="62"/>
    </row>
    <row r="2048">
      <c r="A2048" s="64"/>
      <c r="D2048" s="62"/>
    </row>
    <row r="2049">
      <c r="A2049" s="64"/>
      <c r="D2049" s="62"/>
    </row>
    <row r="2050">
      <c r="A2050" s="64"/>
      <c r="D2050" s="62"/>
    </row>
    <row r="2051">
      <c r="A2051" s="64"/>
      <c r="D2051" s="62"/>
    </row>
    <row r="2052">
      <c r="A2052" s="64"/>
      <c r="D2052" s="62"/>
    </row>
    <row r="2053">
      <c r="A2053" s="64"/>
      <c r="D2053" s="62"/>
    </row>
    <row r="2054">
      <c r="A2054" s="64"/>
      <c r="D2054" s="62"/>
    </row>
    <row r="2055">
      <c r="A2055" s="64"/>
      <c r="D2055" s="62"/>
    </row>
    <row r="2056">
      <c r="A2056" s="64"/>
      <c r="D2056" s="62"/>
    </row>
    <row r="2057">
      <c r="A2057" s="64"/>
      <c r="D2057" s="62"/>
    </row>
    <row r="2058">
      <c r="A2058" s="64"/>
      <c r="D2058" s="62"/>
    </row>
    <row r="2059">
      <c r="A2059" s="64"/>
      <c r="D2059" s="62"/>
    </row>
    <row r="2060">
      <c r="A2060" s="64"/>
      <c r="D2060" s="62"/>
    </row>
    <row r="2061">
      <c r="A2061" s="64"/>
      <c r="D2061" s="62"/>
    </row>
    <row r="2062">
      <c r="A2062" s="64"/>
      <c r="D2062" s="62"/>
    </row>
    <row r="2063">
      <c r="A2063" s="64"/>
      <c r="D2063" s="62"/>
    </row>
    <row r="2064">
      <c r="A2064" s="64"/>
      <c r="D2064" s="62"/>
    </row>
    <row r="2065">
      <c r="A2065" s="64"/>
      <c r="D2065" s="62"/>
    </row>
    <row r="2066">
      <c r="A2066" s="64"/>
      <c r="D2066" s="62"/>
    </row>
    <row r="2067">
      <c r="A2067" s="64"/>
      <c r="D2067" s="62"/>
    </row>
    <row r="2068">
      <c r="A2068" s="64"/>
      <c r="D2068" s="62"/>
    </row>
    <row r="2069">
      <c r="A2069" s="64"/>
      <c r="D2069" s="62"/>
    </row>
    <row r="2070">
      <c r="A2070" s="64"/>
      <c r="D2070" s="62"/>
    </row>
    <row r="2071">
      <c r="A2071" s="64"/>
      <c r="D2071" s="62"/>
    </row>
    <row r="2072">
      <c r="A2072" s="64"/>
      <c r="D2072" s="62"/>
    </row>
    <row r="2073">
      <c r="A2073" s="64"/>
      <c r="D2073" s="62"/>
    </row>
    <row r="2074">
      <c r="A2074" s="64"/>
      <c r="D2074" s="62"/>
    </row>
    <row r="2075">
      <c r="A2075" s="64"/>
      <c r="D2075" s="62"/>
    </row>
    <row r="2076">
      <c r="A2076" s="64"/>
      <c r="D2076" s="62"/>
    </row>
    <row r="2077">
      <c r="A2077" s="64"/>
      <c r="D2077" s="62"/>
    </row>
    <row r="2078">
      <c r="A2078" s="64"/>
      <c r="D2078" s="62"/>
    </row>
    <row r="2079">
      <c r="A2079" s="64"/>
      <c r="D2079" s="62"/>
    </row>
    <row r="2080">
      <c r="A2080" s="64"/>
      <c r="D2080" s="62"/>
    </row>
    <row r="2081">
      <c r="A2081" s="64"/>
      <c r="D2081" s="62"/>
    </row>
    <row r="2082">
      <c r="A2082" s="64"/>
      <c r="D2082" s="62"/>
    </row>
    <row r="2083">
      <c r="A2083" s="64"/>
      <c r="D2083" s="62"/>
    </row>
    <row r="2084">
      <c r="A2084" s="64"/>
      <c r="D2084" s="62"/>
    </row>
    <row r="2085">
      <c r="A2085" s="64"/>
      <c r="D2085" s="62"/>
    </row>
    <row r="2086">
      <c r="A2086" s="64"/>
      <c r="D2086" s="62"/>
    </row>
    <row r="2087">
      <c r="A2087" s="64"/>
      <c r="D2087" s="62"/>
    </row>
    <row r="2088">
      <c r="A2088" s="64"/>
      <c r="D2088" s="62"/>
    </row>
    <row r="2089">
      <c r="A2089" s="64"/>
      <c r="D2089" s="62"/>
    </row>
    <row r="2090">
      <c r="A2090" s="64"/>
      <c r="D2090" s="62"/>
    </row>
    <row r="2091">
      <c r="A2091" s="64"/>
      <c r="D2091" s="62"/>
    </row>
    <row r="2092">
      <c r="A2092" s="64"/>
      <c r="D2092" s="62"/>
    </row>
    <row r="2093">
      <c r="A2093" s="64"/>
      <c r="D2093" s="62"/>
    </row>
    <row r="2094">
      <c r="A2094" s="64"/>
      <c r="D2094" s="62"/>
    </row>
    <row r="2095">
      <c r="A2095" s="64"/>
      <c r="D2095" s="62"/>
    </row>
    <row r="2096">
      <c r="A2096" s="64"/>
      <c r="D2096" s="62"/>
    </row>
    <row r="2097">
      <c r="A2097" s="64"/>
      <c r="D2097" s="62"/>
    </row>
    <row r="2098">
      <c r="A2098" s="64"/>
      <c r="D2098" s="62"/>
    </row>
    <row r="2099">
      <c r="A2099" s="64"/>
      <c r="D2099" s="62"/>
    </row>
    <row r="2100">
      <c r="A2100" s="64"/>
      <c r="D2100" s="62"/>
    </row>
    <row r="2101">
      <c r="A2101" s="64"/>
      <c r="D2101" s="62"/>
    </row>
    <row r="2102">
      <c r="A2102" s="64"/>
      <c r="D2102" s="62"/>
    </row>
    <row r="2103">
      <c r="A2103" s="64"/>
      <c r="D2103" s="62"/>
    </row>
    <row r="2104">
      <c r="A2104" s="64"/>
      <c r="D2104" s="62"/>
    </row>
    <row r="2105">
      <c r="A2105" s="64"/>
      <c r="D2105" s="62"/>
    </row>
    <row r="2106">
      <c r="A2106" s="64"/>
      <c r="D2106" s="62"/>
    </row>
    <row r="2107">
      <c r="A2107" s="64"/>
      <c r="D2107" s="62"/>
    </row>
    <row r="2108">
      <c r="A2108" s="64"/>
      <c r="D2108" s="62"/>
    </row>
    <row r="2109">
      <c r="A2109" s="64"/>
      <c r="D2109" s="62"/>
    </row>
    <row r="2110">
      <c r="A2110" s="64"/>
      <c r="D2110" s="62"/>
    </row>
    <row r="2111">
      <c r="A2111" s="64"/>
      <c r="D2111" s="62"/>
    </row>
    <row r="2112">
      <c r="A2112" s="64"/>
      <c r="D2112" s="62"/>
    </row>
    <row r="2113">
      <c r="A2113" s="64"/>
      <c r="D2113" s="62"/>
    </row>
    <row r="2114">
      <c r="A2114" s="64"/>
      <c r="D2114" s="62"/>
    </row>
    <row r="2115">
      <c r="A2115" s="64"/>
      <c r="D2115" s="62"/>
    </row>
    <row r="2116">
      <c r="A2116" s="64"/>
      <c r="D2116" s="62"/>
    </row>
    <row r="2117">
      <c r="A2117" s="64"/>
      <c r="D2117" s="62"/>
    </row>
    <row r="2118">
      <c r="A2118" s="64"/>
      <c r="D2118" s="62"/>
    </row>
    <row r="2119">
      <c r="A2119" s="64"/>
      <c r="D2119" s="62"/>
    </row>
    <row r="2120">
      <c r="A2120" s="64"/>
      <c r="D2120" s="62"/>
    </row>
    <row r="2121">
      <c r="A2121" s="64"/>
      <c r="D2121" s="62"/>
    </row>
    <row r="2122">
      <c r="A2122" s="64"/>
      <c r="D2122" s="62"/>
    </row>
    <row r="2123">
      <c r="A2123" s="64"/>
      <c r="D2123" s="62"/>
    </row>
    <row r="2124">
      <c r="A2124" s="64"/>
      <c r="D2124" s="62"/>
    </row>
    <row r="2125">
      <c r="A2125" s="64"/>
      <c r="D2125" s="62"/>
    </row>
    <row r="2126">
      <c r="A2126" s="64"/>
      <c r="D2126" s="62"/>
    </row>
    <row r="2127">
      <c r="A2127" s="64"/>
      <c r="D2127" s="62"/>
    </row>
    <row r="2128">
      <c r="A2128" s="64"/>
      <c r="D2128" s="62"/>
    </row>
    <row r="2129">
      <c r="A2129" s="64"/>
      <c r="D2129" s="62"/>
    </row>
    <row r="2130">
      <c r="A2130" s="64"/>
      <c r="D2130" s="62"/>
    </row>
    <row r="2131">
      <c r="A2131" s="64"/>
      <c r="D2131" s="62"/>
    </row>
    <row r="2132">
      <c r="A2132" s="64"/>
      <c r="D2132" s="62"/>
    </row>
    <row r="2133">
      <c r="A2133" s="64"/>
      <c r="D2133" s="62"/>
    </row>
    <row r="2134">
      <c r="A2134" s="64"/>
      <c r="D2134" s="62"/>
    </row>
    <row r="2135">
      <c r="A2135" s="64"/>
      <c r="D2135" s="62"/>
    </row>
    <row r="2136">
      <c r="A2136" s="64"/>
      <c r="D2136" s="62"/>
    </row>
    <row r="2137">
      <c r="A2137" s="64"/>
      <c r="D2137" s="62"/>
    </row>
    <row r="2138">
      <c r="A2138" s="64"/>
      <c r="D2138" s="62"/>
    </row>
    <row r="2139">
      <c r="A2139" s="64"/>
      <c r="D2139" s="62"/>
    </row>
    <row r="2140">
      <c r="A2140" s="64"/>
      <c r="D2140" s="62"/>
    </row>
    <row r="2141">
      <c r="A2141" s="64"/>
      <c r="D2141" s="62"/>
    </row>
    <row r="2142">
      <c r="A2142" s="64"/>
      <c r="D2142" s="62"/>
    </row>
    <row r="2143">
      <c r="A2143" s="64"/>
      <c r="D2143" s="62"/>
    </row>
    <row r="2144">
      <c r="A2144" s="64"/>
      <c r="D2144" s="62"/>
    </row>
    <row r="2145">
      <c r="A2145" s="64"/>
      <c r="D2145" s="62"/>
    </row>
    <row r="2146">
      <c r="A2146" s="64"/>
      <c r="D2146" s="62"/>
    </row>
    <row r="2147">
      <c r="A2147" s="64"/>
      <c r="D2147" s="62"/>
    </row>
    <row r="2148">
      <c r="A2148" s="64"/>
      <c r="D2148" s="62"/>
    </row>
    <row r="2149">
      <c r="A2149" s="64"/>
      <c r="D2149" s="62"/>
    </row>
    <row r="2150">
      <c r="A2150" s="64"/>
      <c r="D2150" s="62"/>
    </row>
    <row r="2151">
      <c r="A2151" s="64"/>
      <c r="D2151" s="62"/>
    </row>
    <row r="2152">
      <c r="A2152" s="64"/>
      <c r="D2152" s="62"/>
    </row>
    <row r="2153">
      <c r="A2153" s="64"/>
      <c r="D2153" s="62"/>
    </row>
    <row r="2154">
      <c r="A2154" s="64"/>
      <c r="D2154" s="62"/>
    </row>
    <row r="2155">
      <c r="A2155" s="64"/>
      <c r="D2155" s="62"/>
    </row>
    <row r="2156">
      <c r="A2156" s="64"/>
      <c r="D2156" s="62"/>
    </row>
    <row r="2157">
      <c r="A2157" s="64"/>
      <c r="D2157" s="62"/>
    </row>
    <row r="2158">
      <c r="A2158" s="64"/>
      <c r="D2158" s="62"/>
    </row>
    <row r="2159">
      <c r="A2159" s="64"/>
      <c r="D2159" s="62"/>
    </row>
    <row r="2160">
      <c r="A2160" s="64"/>
      <c r="D2160" s="62"/>
    </row>
    <row r="2161">
      <c r="A2161" s="64"/>
      <c r="D2161" s="62"/>
    </row>
    <row r="2162">
      <c r="A2162" s="64"/>
      <c r="D2162" s="62"/>
    </row>
    <row r="2163">
      <c r="A2163" s="64"/>
      <c r="D2163" s="62"/>
    </row>
    <row r="2164">
      <c r="A2164" s="64"/>
      <c r="D2164" s="62"/>
    </row>
    <row r="2165">
      <c r="A2165" s="64"/>
      <c r="D2165" s="62"/>
    </row>
    <row r="2166">
      <c r="A2166" s="64"/>
      <c r="D2166" s="62"/>
    </row>
    <row r="2167">
      <c r="A2167" s="64"/>
      <c r="D2167" s="62"/>
    </row>
    <row r="2168">
      <c r="A2168" s="64"/>
      <c r="D2168" s="62"/>
    </row>
    <row r="2169">
      <c r="A2169" s="64"/>
      <c r="D2169" s="62"/>
    </row>
    <row r="2170">
      <c r="A2170" s="64"/>
      <c r="D2170" s="62"/>
    </row>
    <row r="2171">
      <c r="A2171" s="64"/>
      <c r="D2171" s="62"/>
    </row>
    <row r="2172">
      <c r="A2172" s="64"/>
      <c r="D2172" s="62"/>
    </row>
    <row r="2173">
      <c r="A2173" s="64"/>
      <c r="D2173" s="62"/>
    </row>
    <row r="2174">
      <c r="A2174" s="64"/>
      <c r="D2174" s="62"/>
    </row>
    <row r="2175">
      <c r="A2175" s="64"/>
      <c r="D2175" s="62"/>
    </row>
    <row r="2176">
      <c r="A2176" s="64"/>
      <c r="D2176" s="62"/>
    </row>
    <row r="2177">
      <c r="A2177" s="64"/>
      <c r="D2177" s="62"/>
    </row>
    <row r="2178">
      <c r="A2178" s="64"/>
      <c r="D2178" s="62"/>
    </row>
    <row r="2179">
      <c r="A2179" s="64"/>
      <c r="D2179" s="62"/>
    </row>
    <row r="2180">
      <c r="A2180" s="64"/>
      <c r="D2180" s="62"/>
    </row>
    <row r="2181">
      <c r="A2181" s="64"/>
      <c r="D2181" s="62"/>
    </row>
    <row r="2182">
      <c r="A2182" s="64"/>
      <c r="D2182" s="62"/>
    </row>
    <row r="2183">
      <c r="A2183" s="64"/>
      <c r="D2183" s="62"/>
    </row>
    <row r="2184">
      <c r="A2184" s="64"/>
      <c r="D2184" s="62"/>
    </row>
    <row r="2185">
      <c r="A2185" s="64"/>
      <c r="D2185" s="62"/>
    </row>
    <row r="2186">
      <c r="A2186" s="64"/>
      <c r="D2186" s="62"/>
    </row>
    <row r="2187">
      <c r="A2187" s="64"/>
      <c r="D2187" s="62"/>
    </row>
    <row r="2188">
      <c r="A2188" s="64"/>
      <c r="D2188" s="62"/>
    </row>
    <row r="2189">
      <c r="A2189" s="64"/>
      <c r="D2189" s="62"/>
    </row>
    <row r="2190">
      <c r="A2190" s="64"/>
      <c r="D2190" s="62"/>
    </row>
    <row r="2191">
      <c r="A2191" s="64"/>
      <c r="D2191" s="62"/>
    </row>
    <row r="2192">
      <c r="A2192" s="64"/>
      <c r="D2192" s="62"/>
    </row>
    <row r="2193">
      <c r="A2193" s="64"/>
      <c r="D2193" s="62"/>
    </row>
    <row r="2194">
      <c r="A2194" s="64"/>
      <c r="D2194" s="62"/>
    </row>
    <row r="2195">
      <c r="A2195" s="64"/>
      <c r="D2195" s="62"/>
    </row>
    <row r="2196">
      <c r="A2196" s="64"/>
      <c r="D2196" s="62"/>
    </row>
    <row r="2197">
      <c r="A2197" s="64"/>
      <c r="D2197" s="62"/>
    </row>
    <row r="2198">
      <c r="A2198" s="64"/>
      <c r="D2198" s="62"/>
    </row>
    <row r="2199">
      <c r="A2199" s="64"/>
      <c r="D2199" s="62"/>
    </row>
    <row r="2200">
      <c r="A2200" s="64"/>
      <c r="D2200" s="62"/>
    </row>
    <row r="2201">
      <c r="A2201" s="64"/>
      <c r="D2201" s="62"/>
    </row>
    <row r="2202">
      <c r="A2202" s="64"/>
      <c r="D2202" s="62"/>
    </row>
    <row r="2203">
      <c r="A2203" s="64"/>
      <c r="D2203" s="62"/>
    </row>
    <row r="2204">
      <c r="A2204" s="64"/>
      <c r="D2204" s="62"/>
    </row>
    <row r="2205">
      <c r="A2205" s="64"/>
      <c r="D2205" s="62"/>
    </row>
    <row r="2206">
      <c r="A2206" s="64"/>
      <c r="D2206" s="62"/>
    </row>
    <row r="2207">
      <c r="A2207" s="64"/>
      <c r="D2207" s="62"/>
    </row>
    <row r="2208">
      <c r="A2208" s="64"/>
      <c r="D2208" s="62"/>
    </row>
    <row r="2209">
      <c r="A2209" s="64"/>
      <c r="D2209" s="62"/>
    </row>
    <row r="2210">
      <c r="A2210" s="64"/>
      <c r="D2210" s="62"/>
    </row>
    <row r="2211">
      <c r="A2211" s="64"/>
      <c r="D2211" s="62"/>
    </row>
    <row r="2212">
      <c r="A2212" s="64"/>
      <c r="D2212" s="62"/>
    </row>
    <row r="2213">
      <c r="A2213" s="64"/>
      <c r="D2213" s="62"/>
    </row>
    <row r="2214">
      <c r="A2214" s="64"/>
      <c r="D2214" s="62"/>
    </row>
    <row r="2215">
      <c r="A2215" s="64"/>
      <c r="D2215" s="62"/>
    </row>
    <row r="2216">
      <c r="A2216" s="64"/>
      <c r="D2216" s="62"/>
    </row>
    <row r="2217">
      <c r="A2217" s="64"/>
      <c r="D2217" s="62"/>
    </row>
    <row r="2218">
      <c r="A2218" s="64"/>
      <c r="D2218" s="62"/>
    </row>
    <row r="2219">
      <c r="A2219" s="64"/>
      <c r="D2219" s="62"/>
    </row>
    <row r="2220">
      <c r="A2220" s="64"/>
      <c r="D2220" s="62"/>
    </row>
    <row r="2221">
      <c r="A2221" s="64"/>
      <c r="D2221" s="62"/>
    </row>
    <row r="2222">
      <c r="A2222" s="64"/>
      <c r="D2222" s="62"/>
    </row>
    <row r="2223">
      <c r="A2223" s="64"/>
      <c r="D2223" s="62"/>
    </row>
    <row r="2224">
      <c r="A2224" s="64"/>
      <c r="D2224" s="62"/>
    </row>
    <row r="2225">
      <c r="A2225" s="64"/>
      <c r="D2225" s="62"/>
    </row>
    <row r="2226">
      <c r="A2226" s="64"/>
      <c r="D2226" s="62"/>
    </row>
    <row r="2227">
      <c r="A2227" s="64"/>
      <c r="D2227" s="62"/>
    </row>
    <row r="2228">
      <c r="A2228" s="64"/>
      <c r="D2228" s="62"/>
    </row>
    <row r="2229">
      <c r="A2229" s="64"/>
      <c r="D2229" s="62"/>
    </row>
    <row r="2230">
      <c r="A2230" s="64"/>
      <c r="D2230" s="62"/>
    </row>
    <row r="2231">
      <c r="A2231" s="64"/>
      <c r="D2231" s="62"/>
    </row>
    <row r="2232">
      <c r="A2232" s="64"/>
      <c r="D2232" s="62"/>
    </row>
    <row r="2233">
      <c r="A2233" s="64"/>
      <c r="D2233" s="62"/>
    </row>
    <row r="2234">
      <c r="A2234" s="64"/>
      <c r="D2234" s="62"/>
    </row>
    <row r="2235">
      <c r="A2235" s="64"/>
      <c r="D2235" s="62"/>
    </row>
    <row r="2236">
      <c r="A2236" s="64"/>
      <c r="D2236" s="62"/>
    </row>
    <row r="2237">
      <c r="A2237" s="64"/>
      <c r="D2237" s="62"/>
    </row>
    <row r="2238">
      <c r="A2238" s="64"/>
      <c r="D2238" s="62"/>
    </row>
    <row r="2239">
      <c r="A2239" s="64"/>
      <c r="D2239" s="62"/>
    </row>
    <row r="2240">
      <c r="A2240" s="64"/>
      <c r="D2240" s="62"/>
    </row>
    <row r="2241">
      <c r="A2241" s="64"/>
      <c r="D2241" s="62"/>
    </row>
    <row r="2242">
      <c r="A2242" s="64"/>
      <c r="D2242" s="62"/>
    </row>
    <row r="2243">
      <c r="A2243" s="64"/>
      <c r="D2243" s="62"/>
    </row>
    <row r="2244">
      <c r="A2244" s="64"/>
      <c r="D2244" s="62"/>
    </row>
    <row r="2245">
      <c r="A2245" s="64"/>
      <c r="D2245" s="62"/>
    </row>
    <row r="2246">
      <c r="A2246" s="64"/>
      <c r="D2246" s="62"/>
    </row>
    <row r="2247">
      <c r="A2247" s="64"/>
      <c r="D2247" s="62"/>
    </row>
    <row r="2248">
      <c r="A2248" s="64"/>
      <c r="D2248" s="62"/>
    </row>
    <row r="2249">
      <c r="A2249" s="64"/>
      <c r="D2249" s="62"/>
    </row>
    <row r="2250">
      <c r="A2250" s="64"/>
      <c r="D2250" s="62"/>
    </row>
    <row r="2251">
      <c r="A2251" s="64"/>
      <c r="D2251" s="62"/>
    </row>
    <row r="2252">
      <c r="A2252" s="64"/>
      <c r="D2252" s="62"/>
    </row>
    <row r="2253">
      <c r="A2253" s="64"/>
      <c r="D2253" s="62"/>
    </row>
    <row r="2254">
      <c r="A2254" s="64"/>
      <c r="D2254" s="62"/>
    </row>
    <row r="2255">
      <c r="A2255" s="64"/>
      <c r="D2255" s="62"/>
    </row>
    <row r="2256">
      <c r="A2256" s="64"/>
      <c r="D2256" s="62"/>
    </row>
    <row r="2257">
      <c r="A2257" s="64"/>
      <c r="D2257" s="62"/>
    </row>
    <row r="2258">
      <c r="A2258" s="64"/>
      <c r="D2258" s="62"/>
    </row>
    <row r="2259">
      <c r="A2259" s="64"/>
      <c r="D2259" s="62"/>
    </row>
    <row r="2260">
      <c r="A2260" s="64"/>
      <c r="D2260" s="62"/>
    </row>
    <row r="2261">
      <c r="A2261" s="64"/>
      <c r="D2261" s="62"/>
    </row>
    <row r="2262">
      <c r="A2262" s="64"/>
      <c r="D2262" s="62"/>
    </row>
    <row r="2263">
      <c r="A2263" s="64"/>
      <c r="D2263" s="62"/>
    </row>
    <row r="2264">
      <c r="A2264" s="64"/>
      <c r="D2264" s="62"/>
    </row>
    <row r="2265">
      <c r="A2265" s="64"/>
      <c r="D2265" s="62"/>
    </row>
    <row r="2266">
      <c r="A2266" s="64"/>
      <c r="D2266" s="62"/>
    </row>
    <row r="2267">
      <c r="A2267" s="64"/>
      <c r="D2267" s="62"/>
    </row>
    <row r="2268">
      <c r="A2268" s="64"/>
      <c r="D2268" s="62"/>
    </row>
    <row r="2269">
      <c r="A2269" s="64"/>
      <c r="D2269" s="62"/>
    </row>
    <row r="2270">
      <c r="A2270" s="64"/>
      <c r="D2270" s="62"/>
    </row>
    <row r="2271">
      <c r="A2271" s="64"/>
      <c r="D2271" s="62"/>
    </row>
    <row r="2272">
      <c r="A2272" s="64"/>
      <c r="D2272" s="62"/>
    </row>
    <row r="2273">
      <c r="A2273" s="64"/>
      <c r="D2273" s="62"/>
    </row>
    <row r="2274">
      <c r="A2274" s="64"/>
      <c r="D2274" s="62"/>
    </row>
    <row r="2275">
      <c r="A2275" s="64"/>
      <c r="D2275" s="62"/>
    </row>
    <row r="2276">
      <c r="A2276" s="64"/>
      <c r="D2276" s="62"/>
    </row>
    <row r="2277">
      <c r="A2277" s="64"/>
      <c r="D2277" s="62"/>
    </row>
    <row r="2278">
      <c r="A2278" s="64"/>
      <c r="D2278" s="62"/>
    </row>
    <row r="2279">
      <c r="A2279" s="64"/>
      <c r="D2279" s="62"/>
    </row>
    <row r="2280">
      <c r="A2280" s="64"/>
      <c r="D2280" s="62"/>
    </row>
    <row r="2281">
      <c r="A2281" s="64"/>
      <c r="D2281" s="62"/>
    </row>
    <row r="2282">
      <c r="A2282" s="64"/>
      <c r="D2282" s="62"/>
    </row>
    <row r="2283">
      <c r="A2283" s="64"/>
      <c r="D2283" s="62"/>
    </row>
    <row r="2284">
      <c r="A2284" s="64"/>
      <c r="D2284" s="62"/>
    </row>
    <row r="2285">
      <c r="A2285" s="64"/>
      <c r="D2285" s="62"/>
    </row>
    <row r="2286">
      <c r="A2286" s="64"/>
      <c r="D2286" s="62"/>
    </row>
    <row r="2287">
      <c r="A2287" s="64"/>
      <c r="D2287" s="62"/>
    </row>
    <row r="2288">
      <c r="A2288" s="64"/>
      <c r="D2288" s="62"/>
    </row>
    <row r="2289">
      <c r="A2289" s="64"/>
      <c r="D2289" s="62"/>
    </row>
    <row r="2290">
      <c r="A2290" s="64"/>
      <c r="D2290" s="62"/>
    </row>
    <row r="2291">
      <c r="A2291" s="64"/>
      <c r="D2291" s="62"/>
    </row>
    <row r="2292">
      <c r="A2292" s="64"/>
      <c r="D2292" s="62"/>
    </row>
    <row r="2293">
      <c r="A2293" s="64"/>
      <c r="D2293" s="62"/>
    </row>
    <row r="2294">
      <c r="A2294" s="64"/>
      <c r="D2294" s="62"/>
    </row>
    <row r="2295">
      <c r="A2295" s="64"/>
      <c r="D2295" s="62"/>
    </row>
    <row r="2296">
      <c r="A2296" s="64"/>
      <c r="D2296" s="62"/>
    </row>
    <row r="2297">
      <c r="A2297" s="64"/>
      <c r="D2297" s="62"/>
    </row>
    <row r="2298">
      <c r="A2298" s="64"/>
      <c r="D2298" s="62"/>
    </row>
    <row r="2299">
      <c r="A2299" s="64"/>
      <c r="D2299" s="62"/>
    </row>
    <row r="2300">
      <c r="A2300" s="64"/>
      <c r="D2300" s="62"/>
    </row>
    <row r="2301">
      <c r="A2301" s="64"/>
      <c r="D2301" s="62"/>
    </row>
    <row r="2302">
      <c r="A2302" s="64"/>
      <c r="D2302" s="62"/>
    </row>
    <row r="2303">
      <c r="A2303" s="64"/>
      <c r="D2303" s="62"/>
    </row>
    <row r="2304">
      <c r="A2304" s="64"/>
      <c r="D2304" s="62"/>
    </row>
    <row r="2305">
      <c r="A2305" s="64"/>
      <c r="D2305" s="62"/>
    </row>
    <row r="2306">
      <c r="A2306" s="64"/>
      <c r="D2306" s="62"/>
    </row>
    <row r="2307">
      <c r="A2307" s="64"/>
      <c r="D2307" s="62"/>
    </row>
    <row r="2308">
      <c r="A2308" s="64"/>
      <c r="D2308" s="62"/>
    </row>
    <row r="2309">
      <c r="A2309" s="64"/>
      <c r="D2309" s="62"/>
    </row>
    <row r="2310">
      <c r="A2310" s="64"/>
      <c r="D2310" s="62"/>
    </row>
    <row r="2311">
      <c r="A2311" s="64"/>
      <c r="D2311" s="62"/>
    </row>
    <row r="2312">
      <c r="A2312" s="64"/>
      <c r="D2312" s="62"/>
    </row>
    <row r="2313">
      <c r="A2313" s="64"/>
      <c r="D2313" s="62"/>
    </row>
    <row r="2314">
      <c r="A2314" s="64"/>
      <c r="D2314" s="62"/>
    </row>
    <row r="2315">
      <c r="A2315" s="64"/>
      <c r="D2315" s="62"/>
    </row>
    <row r="2316">
      <c r="A2316" s="64"/>
      <c r="D2316" s="62"/>
    </row>
    <row r="2317">
      <c r="A2317" s="64"/>
      <c r="D2317" s="62"/>
    </row>
    <row r="2318">
      <c r="A2318" s="64"/>
      <c r="D2318" s="62"/>
    </row>
    <row r="2319">
      <c r="A2319" s="64"/>
      <c r="D2319" s="62"/>
    </row>
    <row r="2320">
      <c r="A2320" s="64"/>
      <c r="D2320" s="62"/>
    </row>
    <row r="2321">
      <c r="A2321" s="64"/>
      <c r="D2321" s="62"/>
    </row>
    <row r="2322">
      <c r="A2322" s="64"/>
      <c r="D2322" s="62"/>
    </row>
    <row r="2323">
      <c r="A2323" s="64"/>
      <c r="D2323" s="62"/>
    </row>
    <row r="2324">
      <c r="A2324" s="64"/>
      <c r="D2324" s="62"/>
    </row>
    <row r="2325">
      <c r="A2325" s="64"/>
      <c r="D2325" s="62"/>
    </row>
    <row r="2326">
      <c r="A2326" s="64"/>
      <c r="D2326" s="62"/>
    </row>
    <row r="2327">
      <c r="A2327" s="64"/>
      <c r="D2327" s="56"/>
    </row>
    <row r="2328">
      <c r="A2328" s="64"/>
      <c r="D2328" s="56"/>
    </row>
    <row r="2329">
      <c r="A2329" s="64"/>
      <c r="D2329" s="56"/>
    </row>
    <row r="2330">
      <c r="A2330" s="64"/>
      <c r="D2330" s="56"/>
    </row>
    <row r="2331">
      <c r="A2331" s="64"/>
      <c r="D2331" s="56"/>
    </row>
    <row r="2332">
      <c r="A2332" s="64"/>
      <c r="D2332" s="56"/>
    </row>
    <row r="2333">
      <c r="A2333" s="64"/>
      <c r="D2333" s="56"/>
    </row>
    <row r="2334">
      <c r="A2334" s="64"/>
      <c r="D2334" s="56"/>
    </row>
    <row r="2335">
      <c r="A2335" s="64"/>
      <c r="D2335" s="56"/>
    </row>
    <row r="2336">
      <c r="A2336" s="64"/>
      <c r="D2336" s="56"/>
    </row>
    <row r="2337">
      <c r="A2337" s="64"/>
      <c r="D2337" s="56"/>
    </row>
    <row r="2338">
      <c r="A2338" s="64"/>
      <c r="D2338" s="56"/>
    </row>
    <row r="2339">
      <c r="A2339" s="64"/>
      <c r="D2339" s="56"/>
    </row>
    <row r="2340">
      <c r="A2340" s="64"/>
      <c r="D2340" s="56"/>
    </row>
    <row r="2341">
      <c r="A2341" s="64"/>
      <c r="D2341" s="56"/>
    </row>
    <row r="2342">
      <c r="A2342" s="64"/>
      <c r="D2342" s="56"/>
    </row>
    <row r="2343">
      <c r="A2343" s="64"/>
      <c r="D2343" s="56"/>
    </row>
    <row r="2344">
      <c r="A2344" s="64"/>
      <c r="D2344" s="56"/>
    </row>
    <row r="2345">
      <c r="A2345" s="64"/>
      <c r="D2345" s="56"/>
    </row>
    <row r="2346">
      <c r="A2346" s="64"/>
      <c r="D2346" s="56"/>
    </row>
    <row r="2347">
      <c r="A2347" s="64"/>
      <c r="D2347" s="56"/>
    </row>
    <row r="2348">
      <c r="A2348" s="64"/>
      <c r="D2348" s="56"/>
    </row>
    <row r="2349">
      <c r="A2349" s="64"/>
      <c r="D2349" s="56"/>
    </row>
    <row r="2350">
      <c r="A2350" s="64"/>
      <c r="D2350" s="56"/>
    </row>
    <row r="2351">
      <c r="A2351" s="64"/>
      <c r="D2351" s="56"/>
    </row>
    <row r="2352">
      <c r="A2352" s="64"/>
      <c r="D2352" s="56"/>
    </row>
    <row r="2353">
      <c r="A2353" s="64"/>
      <c r="D2353" s="56"/>
    </row>
    <row r="2354">
      <c r="A2354" s="64"/>
      <c r="D2354" s="56"/>
    </row>
    <row r="2355">
      <c r="A2355" s="64"/>
      <c r="D2355" s="56"/>
    </row>
    <row r="2356">
      <c r="A2356" s="64"/>
      <c r="D2356" s="56"/>
    </row>
    <row r="2357">
      <c r="A2357" s="64"/>
      <c r="D2357" s="56"/>
    </row>
    <row r="2358">
      <c r="A2358" s="64"/>
      <c r="D2358" s="56"/>
    </row>
    <row r="2359">
      <c r="A2359" s="64"/>
      <c r="D2359" s="56"/>
    </row>
    <row r="2360">
      <c r="A2360" s="64"/>
      <c r="D2360" s="56"/>
    </row>
    <row r="2361">
      <c r="A2361" s="64"/>
      <c r="D2361" s="56"/>
    </row>
    <row r="2362">
      <c r="A2362" s="64"/>
      <c r="D2362" s="56"/>
    </row>
    <row r="2363">
      <c r="A2363" s="64"/>
      <c r="D2363" s="56"/>
    </row>
    <row r="2364">
      <c r="A2364" s="64"/>
      <c r="D2364" s="56"/>
    </row>
    <row r="2365">
      <c r="A2365" s="64"/>
      <c r="D2365" s="56"/>
    </row>
    <row r="2366">
      <c r="A2366" s="64"/>
      <c r="D2366" s="56"/>
    </row>
    <row r="2367">
      <c r="A2367" s="64"/>
      <c r="D2367" s="56"/>
    </row>
    <row r="2368">
      <c r="A2368" s="64"/>
      <c r="D2368" s="56"/>
    </row>
    <row r="2369">
      <c r="A2369" s="64"/>
      <c r="D2369" s="62"/>
    </row>
    <row r="2370">
      <c r="A2370" s="64"/>
      <c r="D2370" s="56"/>
    </row>
    <row r="2371">
      <c r="A2371" s="64"/>
      <c r="D2371" s="56"/>
    </row>
    <row r="2372">
      <c r="A2372" s="64"/>
      <c r="D2372" s="56"/>
    </row>
    <row r="2373">
      <c r="A2373" s="64"/>
      <c r="D2373" s="56"/>
    </row>
    <row r="2374">
      <c r="A2374" s="64"/>
      <c r="D2374" s="56"/>
    </row>
    <row r="2375">
      <c r="A2375" s="64"/>
      <c r="D2375" s="56"/>
    </row>
    <row r="2376">
      <c r="A2376" s="64"/>
      <c r="D2376" s="56"/>
    </row>
    <row r="2377">
      <c r="A2377" s="64"/>
      <c r="D2377" s="56"/>
    </row>
    <row r="2378">
      <c r="A2378" s="64"/>
      <c r="D2378" s="56"/>
    </row>
    <row r="2379">
      <c r="A2379" s="64"/>
      <c r="D2379" s="56"/>
    </row>
    <row r="2380">
      <c r="A2380" s="64"/>
      <c r="D2380" s="56"/>
    </row>
    <row r="2381">
      <c r="A2381" s="64"/>
      <c r="D2381" s="62"/>
    </row>
    <row r="2382">
      <c r="A2382" s="64"/>
      <c r="D2382" s="56"/>
    </row>
    <row r="2383">
      <c r="A2383" s="64"/>
      <c r="D2383" s="56"/>
    </row>
    <row r="2384">
      <c r="A2384" s="64"/>
      <c r="D2384" s="56"/>
    </row>
    <row r="2385">
      <c r="A2385" s="64"/>
      <c r="D2385" s="56"/>
    </row>
    <row r="2386">
      <c r="A2386" s="64"/>
      <c r="D2386" s="56"/>
    </row>
    <row r="2387">
      <c r="A2387" s="64"/>
      <c r="D2387" s="56"/>
    </row>
    <row r="2388">
      <c r="A2388" s="64"/>
      <c r="D2388" s="56"/>
    </row>
    <row r="2389">
      <c r="A2389" s="64"/>
      <c r="D2389" s="56"/>
    </row>
    <row r="2390">
      <c r="A2390" s="64"/>
      <c r="D2390" s="56"/>
    </row>
    <row r="2391">
      <c r="A2391" s="64"/>
      <c r="D2391" s="56"/>
    </row>
    <row r="2392">
      <c r="A2392" s="64"/>
      <c r="D2392" s="56"/>
    </row>
    <row r="2393">
      <c r="A2393" s="64"/>
      <c r="D2393" s="56"/>
    </row>
    <row r="2394">
      <c r="A2394" s="64"/>
      <c r="D2394" s="56"/>
    </row>
    <row r="2395">
      <c r="A2395" s="64"/>
      <c r="D2395" s="56"/>
    </row>
    <row r="2396">
      <c r="A2396" s="64"/>
      <c r="D2396" s="56"/>
    </row>
    <row r="2397">
      <c r="A2397" s="64"/>
      <c r="D2397" s="56"/>
    </row>
    <row r="2398">
      <c r="A2398" s="64"/>
      <c r="D2398" s="56"/>
    </row>
    <row r="2399">
      <c r="A2399" s="64"/>
      <c r="D2399" s="56"/>
    </row>
    <row r="2400">
      <c r="A2400" s="64"/>
      <c r="D2400" s="56"/>
    </row>
    <row r="2401">
      <c r="A2401" s="64"/>
      <c r="D2401" s="56"/>
    </row>
    <row r="2402">
      <c r="A2402" s="64"/>
      <c r="D2402" s="56"/>
    </row>
    <row r="2403">
      <c r="A2403" s="64"/>
      <c r="D2403" s="56"/>
    </row>
    <row r="2404">
      <c r="A2404" s="64"/>
      <c r="D2404" s="56"/>
    </row>
    <row r="2405">
      <c r="A2405" s="64"/>
      <c r="D2405" s="56"/>
    </row>
    <row r="2406">
      <c r="A2406" s="64"/>
      <c r="D2406" s="56"/>
    </row>
    <row r="2407">
      <c r="A2407" s="64"/>
      <c r="D2407" s="56"/>
    </row>
    <row r="2408">
      <c r="A2408" s="64"/>
      <c r="D2408" s="56"/>
    </row>
    <row r="2409">
      <c r="A2409" s="64"/>
      <c r="D2409" s="56"/>
    </row>
    <row r="2410">
      <c r="A2410" s="64"/>
      <c r="D2410" s="56"/>
    </row>
    <row r="2411">
      <c r="A2411" s="64"/>
      <c r="D2411" s="56"/>
    </row>
    <row r="2412">
      <c r="A2412" s="64"/>
      <c r="D2412" s="56"/>
    </row>
    <row r="2413">
      <c r="A2413" s="64"/>
      <c r="D2413" s="56"/>
    </row>
    <row r="2414">
      <c r="A2414" s="64"/>
      <c r="D2414" s="56"/>
    </row>
    <row r="2415">
      <c r="A2415" s="64"/>
      <c r="D2415" s="56"/>
    </row>
    <row r="2416">
      <c r="A2416" s="64"/>
      <c r="D2416" s="56"/>
    </row>
    <row r="2417">
      <c r="A2417" s="64"/>
      <c r="D2417" s="56"/>
    </row>
    <row r="2418">
      <c r="A2418" s="64"/>
      <c r="D2418" s="56"/>
    </row>
    <row r="2419">
      <c r="A2419" s="64"/>
      <c r="D2419" s="56"/>
    </row>
    <row r="2420">
      <c r="A2420" s="64"/>
      <c r="D2420" s="56"/>
    </row>
    <row r="2421">
      <c r="A2421" s="64"/>
      <c r="D2421" s="56"/>
    </row>
    <row r="2422">
      <c r="A2422" s="64"/>
      <c r="D2422" s="56"/>
    </row>
    <row r="2423">
      <c r="A2423" s="64"/>
      <c r="D2423" s="56"/>
    </row>
    <row r="2424">
      <c r="A2424" s="64"/>
      <c r="D2424" s="56"/>
    </row>
    <row r="2425">
      <c r="A2425" s="64"/>
      <c r="D2425" s="56"/>
    </row>
    <row r="2426">
      <c r="A2426" s="64"/>
      <c r="D2426" s="56"/>
    </row>
    <row r="2427">
      <c r="A2427" s="64"/>
      <c r="D2427" s="56"/>
    </row>
    <row r="2428">
      <c r="A2428" s="64"/>
      <c r="D2428" s="56"/>
    </row>
    <row r="2429">
      <c r="A2429" s="64"/>
      <c r="D2429" s="56"/>
    </row>
    <row r="2430">
      <c r="A2430" s="64"/>
      <c r="D2430" s="56"/>
    </row>
    <row r="2431">
      <c r="A2431" s="64"/>
      <c r="D2431" s="56"/>
    </row>
    <row r="2432">
      <c r="A2432" s="64"/>
      <c r="D2432" s="56"/>
    </row>
    <row r="2433">
      <c r="A2433" s="64"/>
      <c r="D2433" s="62"/>
    </row>
    <row r="2434">
      <c r="A2434" s="64"/>
      <c r="D2434" s="56"/>
    </row>
    <row r="2435">
      <c r="A2435" s="64"/>
      <c r="D2435" s="56"/>
    </row>
    <row r="2436">
      <c r="A2436" s="64"/>
      <c r="D2436" s="56"/>
    </row>
    <row r="2437">
      <c r="A2437" s="64"/>
      <c r="D2437" s="56"/>
    </row>
    <row r="2438">
      <c r="A2438" s="64"/>
      <c r="D2438" s="56"/>
    </row>
    <row r="2439">
      <c r="A2439" s="64"/>
      <c r="D2439" s="56"/>
    </row>
    <row r="2440">
      <c r="A2440" s="64"/>
      <c r="D2440" s="56"/>
    </row>
    <row r="2441">
      <c r="A2441" s="64"/>
      <c r="D2441" s="56"/>
    </row>
    <row r="2442">
      <c r="A2442" s="64"/>
      <c r="D2442" s="56"/>
    </row>
    <row r="2443">
      <c r="A2443" s="64"/>
      <c r="D2443" s="56"/>
    </row>
    <row r="2444">
      <c r="A2444" s="64"/>
      <c r="D2444" s="56"/>
    </row>
    <row r="2445">
      <c r="A2445" s="64"/>
      <c r="D2445" s="56"/>
    </row>
    <row r="2446">
      <c r="A2446" s="64"/>
      <c r="D2446" s="56"/>
    </row>
    <row r="2447">
      <c r="A2447" s="64"/>
      <c r="D2447" s="56"/>
    </row>
    <row r="2448">
      <c r="A2448" s="64"/>
      <c r="D2448" s="56"/>
    </row>
    <row r="2449">
      <c r="A2449" s="64"/>
      <c r="D2449" s="56"/>
    </row>
    <row r="2450">
      <c r="A2450" s="64"/>
      <c r="D2450" s="56"/>
    </row>
    <row r="2451">
      <c r="A2451" s="64"/>
      <c r="D2451" s="56"/>
    </row>
    <row r="2452">
      <c r="A2452" s="64"/>
      <c r="D2452" s="56"/>
    </row>
    <row r="2453">
      <c r="A2453" s="64"/>
      <c r="D2453" s="56"/>
    </row>
    <row r="2454">
      <c r="A2454" s="64"/>
      <c r="D2454" s="56"/>
    </row>
    <row r="2455">
      <c r="A2455" s="64"/>
      <c r="D2455" s="56"/>
    </row>
    <row r="2456">
      <c r="A2456" s="64"/>
      <c r="D2456" s="56"/>
    </row>
    <row r="2457">
      <c r="A2457" s="64"/>
      <c r="D2457" s="56"/>
    </row>
    <row r="2458">
      <c r="A2458" s="64"/>
      <c r="D2458" s="56"/>
    </row>
    <row r="2459">
      <c r="A2459" s="64"/>
      <c r="D2459" s="56"/>
    </row>
    <row r="2460">
      <c r="A2460" s="64"/>
      <c r="D2460" s="56"/>
    </row>
    <row r="2461">
      <c r="A2461" s="64"/>
      <c r="D2461" s="56"/>
    </row>
    <row r="2462">
      <c r="A2462" s="64"/>
      <c r="D2462" s="56"/>
    </row>
    <row r="2463">
      <c r="A2463" s="64"/>
      <c r="D2463" s="56"/>
    </row>
    <row r="2464">
      <c r="A2464" s="64"/>
      <c r="D2464" s="56"/>
    </row>
    <row r="2465">
      <c r="A2465" s="64"/>
      <c r="D2465" s="56"/>
    </row>
    <row r="2466">
      <c r="A2466" s="64"/>
      <c r="D2466" s="56"/>
    </row>
    <row r="2467">
      <c r="A2467" s="64"/>
      <c r="D2467" s="56"/>
    </row>
    <row r="2468">
      <c r="A2468" s="64"/>
      <c r="D2468" s="56"/>
    </row>
    <row r="2469">
      <c r="A2469" s="64"/>
      <c r="D2469" s="56"/>
    </row>
    <row r="2470">
      <c r="A2470" s="64"/>
      <c r="D2470" s="56"/>
    </row>
    <row r="2471">
      <c r="A2471" s="64"/>
      <c r="D2471" s="56"/>
    </row>
    <row r="2472">
      <c r="A2472" s="64"/>
      <c r="D2472" s="56"/>
    </row>
    <row r="2473">
      <c r="A2473" s="64"/>
      <c r="D2473" s="56"/>
    </row>
    <row r="2474">
      <c r="A2474" s="64"/>
      <c r="D2474" s="56"/>
    </row>
    <row r="2475">
      <c r="A2475" s="64"/>
      <c r="D2475" s="56"/>
    </row>
    <row r="2476">
      <c r="A2476" s="64"/>
      <c r="D2476" s="56"/>
    </row>
    <row r="2477">
      <c r="A2477" s="64"/>
      <c r="D2477" s="56"/>
    </row>
    <row r="2478">
      <c r="A2478" s="64"/>
      <c r="D2478" s="56"/>
    </row>
    <row r="2479">
      <c r="A2479" s="64"/>
      <c r="D2479" s="56"/>
    </row>
    <row r="2480">
      <c r="A2480" s="64"/>
      <c r="D2480" s="56"/>
    </row>
    <row r="2481">
      <c r="A2481" s="64"/>
      <c r="D2481" s="56"/>
    </row>
    <row r="2482">
      <c r="A2482" s="64"/>
      <c r="D2482" s="56"/>
    </row>
    <row r="2483">
      <c r="A2483" s="64"/>
      <c r="D2483" s="56"/>
    </row>
    <row r="2484">
      <c r="A2484" s="64"/>
      <c r="D2484" s="56"/>
    </row>
    <row r="2485">
      <c r="A2485" s="64"/>
      <c r="D2485" s="56"/>
    </row>
    <row r="2486">
      <c r="A2486" s="64"/>
      <c r="D2486" s="56"/>
    </row>
    <row r="2487">
      <c r="A2487" s="64"/>
      <c r="D2487" s="56"/>
    </row>
    <row r="2488">
      <c r="A2488" s="64"/>
      <c r="D2488" s="56"/>
    </row>
    <row r="2489">
      <c r="A2489" s="64"/>
      <c r="D2489" s="56"/>
    </row>
    <row r="2490">
      <c r="A2490" s="64"/>
      <c r="D2490" s="56"/>
    </row>
    <row r="2491">
      <c r="A2491" s="64"/>
      <c r="D2491" s="56"/>
    </row>
    <row r="2492">
      <c r="A2492" s="64"/>
      <c r="D2492" s="56"/>
    </row>
    <row r="2493">
      <c r="A2493" s="64"/>
      <c r="D2493" s="56"/>
    </row>
    <row r="2494">
      <c r="A2494" s="64"/>
      <c r="D2494" s="56"/>
    </row>
    <row r="2495">
      <c r="A2495" s="64"/>
      <c r="D2495" s="56"/>
    </row>
    <row r="2496">
      <c r="A2496" s="64"/>
      <c r="D2496" s="56"/>
    </row>
    <row r="2497">
      <c r="A2497" s="64"/>
      <c r="D2497" s="56"/>
    </row>
    <row r="2498">
      <c r="A2498" s="64"/>
      <c r="D2498" s="56"/>
    </row>
    <row r="2499">
      <c r="A2499" s="64"/>
      <c r="D2499" s="56"/>
    </row>
    <row r="2500">
      <c r="A2500" s="64"/>
      <c r="D2500" s="56"/>
    </row>
    <row r="2501">
      <c r="A2501" s="64"/>
      <c r="D2501" s="56"/>
    </row>
    <row r="2502">
      <c r="A2502" s="64"/>
      <c r="D2502" s="56"/>
    </row>
    <row r="2503">
      <c r="A2503" s="64"/>
      <c r="D2503" s="56"/>
    </row>
    <row r="2504">
      <c r="A2504" s="64"/>
      <c r="D2504" s="56"/>
    </row>
    <row r="2505">
      <c r="A2505" s="64"/>
      <c r="D2505" s="56"/>
    </row>
    <row r="2506">
      <c r="A2506" s="64"/>
      <c r="D2506" s="56"/>
    </row>
    <row r="2507">
      <c r="A2507" s="64"/>
      <c r="D2507" s="56"/>
    </row>
    <row r="2508">
      <c r="A2508" s="64"/>
      <c r="D2508" s="56"/>
    </row>
    <row r="2509">
      <c r="A2509" s="64"/>
      <c r="D2509" s="56"/>
    </row>
    <row r="2510">
      <c r="A2510" s="64"/>
      <c r="D2510" s="56"/>
    </row>
    <row r="2511">
      <c r="A2511" s="64"/>
      <c r="D2511" s="56"/>
    </row>
    <row r="2512">
      <c r="A2512" s="64"/>
      <c r="D2512" s="56"/>
    </row>
    <row r="2513">
      <c r="A2513" s="64"/>
      <c r="D2513" s="56"/>
    </row>
    <row r="2514">
      <c r="A2514" s="64"/>
      <c r="D2514" s="56"/>
    </row>
    <row r="2515">
      <c r="A2515" s="64"/>
      <c r="D2515" s="56"/>
    </row>
    <row r="2516">
      <c r="A2516" s="64"/>
      <c r="D2516" s="56"/>
    </row>
    <row r="2517">
      <c r="A2517" s="64"/>
      <c r="D2517" s="56"/>
    </row>
    <row r="2518">
      <c r="A2518" s="64"/>
      <c r="D2518" s="56"/>
    </row>
    <row r="2519">
      <c r="A2519" s="64"/>
      <c r="D2519" s="56"/>
    </row>
    <row r="2520">
      <c r="A2520" s="64"/>
      <c r="D2520" s="56"/>
    </row>
    <row r="2521">
      <c r="A2521" s="64"/>
      <c r="D2521" s="56"/>
    </row>
    <row r="2522">
      <c r="A2522" s="64"/>
      <c r="D2522" s="56"/>
    </row>
    <row r="2523">
      <c r="A2523" s="64"/>
      <c r="D2523" s="56"/>
    </row>
    <row r="2524">
      <c r="A2524" s="64"/>
      <c r="D2524" s="56"/>
    </row>
    <row r="2525">
      <c r="A2525" s="64"/>
      <c r="D2525" s="56"/>
    </row>
    <row r="2526">
      <c r="A2526" s="64"/>
      <c r="D2526" s="56"/>
    </row>
    <row r="2527">
      <c r="A2527" s="64"/>
      <c r="D2527" s="56"/>
    </row>
    <row r="2528">
      <c r="A2528" s="64"/>
      <c r="D2528" s="56"/>
    </row>
    <row r="2529">
      <c r="A2529" s="64"/>
      <c r="D2529" s="56"/>
    </row>
    <row r="2530">
      <c r="A2530" s="64"/>
      <c r="D2530" s="56"/>
    </row>
    <row r="2531">
      <c r="A2531" s="64"/>
      <c r="D2531" s="56"/>
    </row>
    <row r="2532">
      <c r="A2532" s="64"/>
      <c r="D2532" s="56"/>
    </row>
    <row r="2533">
      <c r="A2533" s="64"/>
      <c r="D2533" s="62"/>
    </row>
    <row r="2534">
      <c r="A2534" s="64"/>
      <c r="D2534" s="56"/>
    </row>
    <row r="2535">
      <c r="A2535" s="64"/>
      <c r="D2535" s="56"/>
    </row>
    <row r="2536">
      <c r="A2536" s="64"/>
      <c r="D2536" s="56"/>
    </row>
    <row r="2537">
      <c r="A2537" s="64"/>
      <c r="D2537" s="56"/>
    </row>
    <row r="2538">
      <c r="A2538" s="64"/>
      <c r="D2538" s="56"/>
    </row>
    <row r="2539">
      <c r="A2539" s="64"/>
      <c r="D2539" s="56"/>
    </row>
    <row r="2540">
      <c r="A2540" s="64"/>
      <c r="D2540" s="56"/>
    </row>
    <row r="2541">
      <c r="A2541" s="64"/>
      <c r="D2541" s="56"/>
    </row>
    <row r="2542">
      <c r="A2542" s="64"/>
      <c r="D2542" s="56"/>
    </row>
    <row r="2543">
      <c r="A2543" s="64"/>
      <c r="D2543" s="56"/>
    </row>
    <row r="2544">
      <c r="A2544" s="64"/>
      <c r="D2544" s="56"/>
    </row>
    <row r="2545">
      <c r="A2545" s="64"/>
      <c r="D2545" s="56"/>
    </row>
    <row r="2546">
      <c r="A2546" s="64"/>
      <c r="D2546" s="56"/>
    </row>
    <row r="2547">
      <c r="A2547" s="64"/>
      <c r="D2547" s="56"/>
    </row>
    <row r="2548">
      <c r="A2548" s="64"/>
      <c r="D2548" s="56"/>
    </row>
    <row r="2549">
      <c r="A2549" s="64"/>
      <c r="D2549" s="56"/>
    </row>
    <row r="2550">
      <c r="A2550" s="64"/>
      <c r="D2550" s="56"/>
    </row>
    <row r="2551">
      <c r="A2551" s="64"/>
      <c r="D2551" s="56"/>
    </row>
    <row r="2552">
      <c r="A2552" s="64"/>
      <c r="D2552" s="56"/>
    </row>
    <row r="2553">
      <c r="A2553" s="64"/>
      <c r="D2553" s="56"/>
    </row>
    <row r="2554">
      <c r="A2554" s="64"/>
      <c r="D2554" s="56"/>
    </row>
    <row r="2555">
      <c r="A2555" s="64"/>
      <c r="D2555" s="56"/>
    </row>
    <row r="2556">
      <c r="A2556" s="64"/>
      <c r="D2556" s="56"/>
    </row>
    <row r="2557">
      <c r="A2557" s="64"/>
      <c r="D2557" s="56"/>
    </row>
    <row r="2558">
      <c r="A2558" s="64"/>
      <c r="D2558" s="56"/>
    </row>
    <row r="2559">
      <c r="A2559" s="64"/>
      <c r="D2559" s="56"/>
    </row>
    <row r="2560">
      <c r="A2560" s="64"/>
      <c r="D2560" s="56"/>
    </row>
    <row r="2561">
      <c r="A2561" s="64"/>
      <c r="D2561" s="56"/>
    </row>
    <row r="2562">
      <c r="A2562" s="64"/>
      <c r="D2562" s="56"/>
    </row>
    <row r="2563">
      <c r="A2563" s="64"/>
      <c r="D2563" s="56"/>
    </row>
    <row r="2564">
      <c r="A2564" s="64"/>
      <c r="D2564" s="56"/>
    </row>
    <row r="2565">
      <c r="A2565" s="64"/>
      <c r="D2565" s="56"/>
    </row>
    <row r="2566">
      <c r="A2566" s="64"/>
      <c r="D2566" s="56"/>
    </row>
    <row r="2567">
      <c r="A2567" s="64"/>
      <c r="D2567" s="56"/>
    </row>
    <row r="2568">
      <c r="A2568" s="64"/>
      <c r="D2568" s="56"/>
    </row>
    <row r="2569">
      <c r="A2569" s="64"/>
      <c r="D2569" s="56"/>
    </row>
    <row r="2570">
      <c r="A2570" s="64"/>
      <c r="D2570" s="56"/>
    </row>
    <row r="2571">
      <c r="A2571" s="64"/>
      <c r="D2571" s="56"/>
    </row>
    <row r="2572">
      <c r="A2572" s="64"/>
      <c r="D2572" s="56"/>
    </row>
    <row r="2573">
      <c r="A2573" s="64"/>
      <c r="D2573" s="56"/>
    </row>
    <row r="2574">
      <c r="A2574" s="64"/>
      <c r="D2574" s="56"/>
    </row>
    <row r="2575">
      <c r="A2575" s="64"/>
      <c r="D2575" s="56"/>
    </row>
    <row r="2576">
      <c r="A2576" s="64"/>
      <c r="D2576" s="56"/>
    </row>
    <row r="2577">
      <c r="A2577" s="64"/>
      <c r="D2577" s="56"/>
    </row>
    <row r="2578">
      <c r="A2578" s="64"/>
      <c r="D2578" s="56"/>
    </row>
    <row r="2579">
      <c r="A2579" s="64"/>
      <c r="D2579" s="56"/>
    </row>
    <row r="2580">
      <c r="A2580" s="64"/>
      <c r="D2580" s="56"/>
    </row>
    <row r="2581">
      <c r="A2581" s="64"/>
      <c r="D2581" s="56"/>
    </row>
    <row r="2582">
      <c r="A2582" s="64"/>
      <c r="D2582" s="56"/>
    </row>
    <row r="2583">
      <c r="A2583" s="64"/>
      <c r="D2583" s="56"/>
    </row>
    <row r="2584">
      <c r="A2584" s="64"/>
      <c r="D2584" s="56"/>
    </row>
    <row r="2585">
      <c r="A2585" s="64"/>
      <c r="D2585" s="56"/>
    </row>
    <row r="2586">
      <c r="A2586" s="64"/>
      <c r="D2586" s="56"/>
    </row>
    <row r="2587">
      <c r="A2587" s="64"/>
      <c r="D2587" s="56"/>
    </row>
    <row r="2588">
      <c r="A2588" s="64"/>
      <c r="D2588" s="56"/>
    </row>
    <row r="2589">
      <c r="A2589" s="64"/>
      <c r="D2589" s="56"/>
    </row>
    <row r="2590">
      <c r="A2590" s="64"/>
      <c r="D2590" s="56"/>
    </row>
    <row r="2591">
      <c r="A2591" s="64"/>
      <c r="D2591" s="56"/>
    </row>
    <row r="2592">
      <c r="A2592" s="64"/>
      <c r="D2592" s="56"/>
    </row>
    <row r="2593">
      <c r="A2593" s="64"/>
      <c r="D2593" s="56"/>
    </row>
    <row r="2594">
      <c r="A2594" s="64"/>
      <c r="D2594" s="56"/>
    </row>
    <row r="2595">
      <c r="A2595" s="64"/>
      <c r="D2595" s="56"/>
    </row>
    <row r="2596">
      <c r="A2596" s="64"/>
      <c r="D2596" s="56"/>
    </row>
    <row r="2597">
      <c r="A2597" s="64"/>
      <c r="D2597" s="56"/>
    </row>
    <row r="2598">
      <c r="A2598" s="64"/>
      <c r="D2598" s="56"/>
    </row>
    <row r="2599">
      <c r="A2599" s="64"/>
      <c r="D2599" s="56"/>
    </row>
    <row r="2600">
      <c r="A2600" s="64"/>
      <c r="D2600" s="56"/>
    </row>
    <row r="2601">
      <c r="A2601" s="64"/>
      <c r="D2601" s="56"/>
    </row>
    <row r="2602">
      <c r="A2602" s="64"/>
      <c r="D2602" s="56"/>
    </row>
    <row r="2603">
      <c r="A2603" s="64"/>
      <c r="D2603" s="56"/>
    </row>
    <row r="2604">
      <c r="A2604" s="64"/>
      <c r="D2604" s="56"/>
    </row>
    <row r="2605">
      <c r="A2605" s="64"/>
      <c r="D2605" s="56"/>
    </row>
    <row r="2606">
      <c r="A2606" s="64"/>
      <c r="D2606" s="56"/>
    </row>
    <row r="2607">
      <c r="A2607" s="64"/>
      <c r="D2607" s="56"/>
    </row>
    <row r="2608">
      <c r="A2608" s="64"/>
      <c r="D2608" s="56"/>
    </row>
    <row r="2609">
      <c r="A2609" s="64"/>
      <c r="D2609" s="56"/>
    </row>
    <row r="2610">
      <c r="A2610" s="64"/>
      <c r="D2610" s="56"/>
    </row>
    <row r="2611">
      <c r="A2611" s="64"/>
      <c r="D2611" s="56"/>
    </row>
    <row r="2612">
      <c r="A2612" s="64"/>
      <c r="D2612" s="56"/>
    </row>
    <row r="2613">
      <c r="A2613" s="64"/>
      <c r="D2613" s="56"/>
    </row>
    <row r="2614">
      <c r="A2614" s="64"/>
      <c r="D2614" s="56"/>
    </row>
    <row r="2615">
      <c r="A2615" s="64"/>
      <c r="D2615" s="56"/>
    </row>
    <row r="2616">
      <c r="A2616" s="64"/>
      <c r="D2616" s="56"/>
    </row>
    <row r="2617">
      <c r="A2617" s="64"/>
      <c r="D2617" s="56"/>
    </row>
    <row r="2618">
      <c r="A2618" s="64"/>
      <c r="D2618" s="56"/>
    </row>
    <row r="2619">
      <c r="A2619" s="64"/>
      <c r="D2619" s="56"/>
    </row>
    <row r="2620">
      <c r="A2620" s="64"/>
      <c r="D2620" s="56"/>
    </row>
    <row r="2621">
      <c r="A2621" s="64"/>
      <c r="D2621" s="56"/>
    </row>
    <row r="2622">
      <c r="A2622" s="64"/>
      <c r="D2622" s="56"/>
    </row>
    <row r="2623">
      <c r="A2623" s="64"/>
      <c r="D2623" s="56"/>
    </row>
    <row r="2624">
      <c r="A2624" s="64"/>
      <c r="D2624" s="56"/>
    </row>
    <row r="2625">
      <c r="A2625" s="64"/>
      <c r="D2625" s="56"/>
    </row>
    <row r="2626">
      <c r="A2626" s="64"/>
      <c r="D2626" s="56"/>
    </row>
    <row r="2627">
      <c r="A2627" s="64"/>
      <c r="D2627" s="56"/>
    </row>
    <row r="2628">
      <c r="A2628" s="64"/>
      <c r="D2628" s="56"/>
    </row>
    <row r="2629">
      <c r="A2629" s="64"/>
      <c r="D2629" s="56"/>
    </row>
    <row r="2630">
      <c r="A2630" s="64"/>
      <c r="D2630" s="56"/>
    </row>
    <row r="2631">
      <c r="A2631" s="64"/>
      <c r="D2631" s="56"/>
    </row>
    <row r="2632">
      <c r="A2632" s="64"/>
      <c r="D2632" s="56"/>
    </row>
    <row r="2633">
      <c r="A2633" s="64"/>
      <c r="D2633" s="56"/>
    </row>
    <row r="2634">
      <c r="A2634" s="64"/>
      <c r="D2634" s="56"/>
    </row>
    <row r="2635">
      <c r="A2635" s="64"/>
      <c r="D2635" s="56"/>
    </row>
    <row r="2636">
      <c r="A2636" s="64"/>
      <c r="D2636" s="56"/>
    </row>
    <row r="2637">
      <c r="A2637" s="64"/>
      <c r="D2637" s="56"/>
    </row>
    <row r="2638">
      <c r="A2638" s="64"/>
      <c r="D2638" s="56"/>
    </row>
    <row r="2639">
      <c r="A2639" s="64"/>
      <c r="D2639" s="56"/>
    </row>
    <row r="2640">
      <c r="A2640" s="64"/>
      <c r="D2640" s="56"/>
    </row>
    <row r="2641">
      <c r="A2641" s="64"/>
      <c r="D2641" s="56"/>
    </row>
    <row r="2642">
      <c r="A2642" s="64"/>
      <c r="D2642" s="56"/>
    </row>
    <row r="2643">
      <c r="A2643" s="64"/>
      <c r="D2643" s="56"/>
    </row>
    <row r="2644">
      <c r="A2644" s="64"/>
      <c r="D2644" s="56"/>
    </row>
    <row r="2645">
      <c r="A2645" s="64"/>
      <c r="D2645" s="56"/>
    </row>
    <row r="2646">
      <c r="A2646" s="64"/>
      <c r="D2646" s="56"/>
    </row>
    <row r="2647">
      <c r="A2647" s="64"/>
      <c r="D2647" s="56"/>
    </row>
    <row r="2648">
      <c r="A2648" s="64"/>
      <c r="D2648" s="56"/>
    </row>
    <row r="2649">
      <c r="A2649" s="64"/>
      <c r="D2649" s="56"/>
    </row>
    <row r="2650">
      <c r="A2650" s="64"/>
      <c r="D2650" s="56"/>
    </row>
    <row r="2651">
      <c r="A2651" s="64"/>
      <c r="D2651" s="56"/>
    </row>
    <row r="2652">
      <c r="A2652" s="64"/>
      <c r="D2652" s="56"/>
    </row>
    <row r="2653">
      <c r="A2653" s="64"/>
      <c r="D2653" s="56"/>
    </row>
    <row r="2654">
      <c r="A2654" s="64"/>
      <c r="D2654" s="56"/>
    </row>
    <row r="2655">
      <c r="A2655" s="64"/>
      <c r="D2655" s="56"/>
    </row>
    <row r="2656">
      <c r="A2656" s="64"/>
      <c r="D2656" s="56"/>
    </row>
    <row r="2657">
      <c r="A2657" s="64"/>
      <c r="D2657" s="56"/>
    </row>
    <row r="2658">
      <c r="A2658" s="64"/>
      <c r="D2658" s="56"/>
    </row>
    <row r="2659">
      <c r="A2659" s="64"/>
      <c r="D2659" s="56"/>
    </row>
    <row r="2660">
      <c r="A2660" s="64"/>
      <c r="D2660" s="56"/>
    </row>
    <row r="2661">
      <c r="A2661" s="64"/>
      <c r="D2661" s="56"/>
    </row>
    <row r="2662">
      <c r="A2662" s="64"/>
      <c r="D2662" s="56"/>
    </row>
    <row r="2663">
      <c r="A2663" s="64"/>
      <c r="D2663" s="56"/>
    </row>
    <row r="2664">
      <c r="A2664" s="64"/>
      <c r="D2664" s="56"/>
    </row>
    <row r="2665">
      <c r="A2665" s="64"/>
      <c r="D2665" s="56"/>
    </row>
    <row r="2666">
      <c r="A2666" s="64"/>
      <c r="D2666" s="56"/>
    </row>
    <row r="2667">
      <c r="A2667" s="64"/>
      <c r="D2667" s="56"/>
    </row>
    <row r="2668">
      <c r="A2668" s="64"/>
      <c r="D2668" s="56"/>
    </row>
    <row r="2669">
      <c r="A2669" s="64"/>
      <c r="D2669" s="56"/>
    </row>
    <row r="2670">
      <c r="A2670" s="64"/>
      <c r="D2670" s="56"/>
    </row>
    <row r="2671">
      <c r="A2671" s="64"/>
      <c r="D2671" s="56"/>
    </row>
    <row r="2672">
      <c r="A2672" s="64"/>
      <c r="D2672" s="56"/>
    </row>
    <row r="2673">
      <c r="A2673" s="64"/>
      <c r="D2673" s="56"/>
    </row>
    <row r="2674">
      <c r="A2674" s="64"/>
      <c r="D2674" s="56"/>
    </row>
    <row r="2675">
      <c r="A2675" s="64"/>
      <c r="D2675" s="56"/>
    </row>
    <row r="2676">
      <c r="A2676" s="64"/>
      <c r="D2676" s="56"/>
    </row>
    <row r="2677">
      <c r="A2677" s="64"/>
      <c r="D2677" s="56"/>
    </row>
    <row r="2678">
      <c r="A2678" s="64"/>
      <c r="D2678" s="56"/>
    </row>
    <row r="2679">
      <c r="A2679" s="64"/>
      <c r="D2679" s="56"/>
    </row>
    <row r="2680">
      <c r="A2680" s="64"/>
      <c r="D2680" s="56"/>
    </row>
    <row r="2681">
      <c r="A2681" s="64"/>
      <c r="D2681" s="56"/>
    </row>
    <row r="2682">
      <c r="A2682" s="64"/>
      <c r="D2682" s="56"/>
    </row>
    <row r="2683">
      <c r="A2683" s="64"/>
      <c r="D2683" s="56"/>
    </row>
    <row r="2684">
      <c r="A2684" s="64"/>
      <c r="D2684" s="56"/>
    </row>
    <row r="2685">
      <c r="A2685" s="64"/>
      <c r="D2685" s="56"/>
    </row>
    <row r="2686">
      <c r="A2686" s="64"/>
      <c r="D2686" s="56"/>
    </row>
    <row r="2687">
      <c r="A2687" s="64"/>
      <c r="D2687" s="56"/>
    </row>
    <row r="2688">
      <c r="A2688" s="64"/>
      <c r="D2688" s="56"/>
    </row>
    <row r="2689">
      <c r="A2689" s="64"/>
      <c r="D2689" s="56"/>
    </row>
    <row r="2690">
      <c r="A2690" s="64"/>
      <c r="D2690" s="56"/>
    </row>
    <row r="2691">
      <c r="A2691" s="64"/>
      <c r="D2691" s="56"/>
    </row>
    <row r="2692">
      <c r="A2692" s="64"/>
      <c r="D2692" s="56"/>
    </row>
    <row r="2693">
      <c r="A2693" s="64"/>
      <c r="D2693" s="56"/>
    </row>
    <row r="2694">
      <c r="A2694" s="64"/>
      <c r="D2694" s="56"/>
    </row>
    <row r="2695">
      <c r="A2695" s="64"/>
      <c r="D2695" s="56"/>
    </row>
    <row r="2696">
      <c r="A2696" s="64"/>
      <c r="D2696" s="56"/>
    </row>
    <row r="2697">
      <c r="A2697" s="64"/>
      <c r="D2697" s="56"/>
    </row>
    <row r="2698">
      <c r="A2698" s="64"/>
      <c r="D2698" s="56"/>
    </row>
    <row r="2699">
      <c r="A2699" s="64"/>
      <c r="D2699" s="56"/>
    </row>
    <row r="2700">
      <c r="A2700" s="64"/>
      <c r="D2700" s="56"/>
    </row>
    <row r="2701">
      <c r="A2701" s="64"/>
      <c r="D2701" s="56"/>
    </row>
    <row r="2702">
      <c r="A2702" s="64"/>
      <c r="D2702" s="56"/>
    </row>
    <row r="2703">
      <c r="A2703" s="64"/>
      <c r="D2703" s="56"/>
    </row>
    <row r="2704">
      <c r="A2704" s="64"/>
      <c r="D2704" s="56"/>
    </row>
    <row r="2705">
      <c r="A2705" s="64"/>
      <c r="D2705" s="56"/>
    </row>
    <row r="2706">
      <c r="A2706" s="64"/>
      <c r="D2706" s="56"/>
    </row>
    <row r="2707">
      <c r="A2707" s="64"/>
      <c r="D2707" s="56"/>
    </row>
    <row r="2708">
      <c r="A2708" s="64"/>
      <c r="D2708" s="56"/>
    </row>
    <row r="2709">
      <c r="A2709" s="64"/>
      <c r="D2709" s="56"/>
    </row>
    <row r="2710">
      <c r="A2710" s="64"/>
      <c r="D2710" s="56"/>
    </row>
    <row r="2711">
      <c r="A2711" s="64"/>
      <c r="D2711" s="56"/>
    </row>
    <row r="2712">
      <c r="A2712" s="64"/>
      <c r="D2712" s="56"/>
    </row>
    <row r="2713">
      <c r="A2713" s="64"/>
      <c r="D2713" s="56"/>
    </row>
    <row r="2714">
      <c r="A2714" s="64"/>
      <c r="D2714" s="56"/>
    </row>
    <row r="2715">
      <c r="A2715" s="64"/>
      <c r="D2715" s="56"/>
    </row>
    <row r="2716">
      <c r="A2716" s="64"/>
      <c r="D2716" s="56"/>
    </row>
    <row r="2717">
      <c r="A2717" s="64"/>
      <c r="D2717" s="56"/>
    </row>
    <row r="2718">
      <c r="A2718" s="64"/>
      <c r="D2718" s="56"/>
    </row>
    <row r="2719">
      <c r="A2719" s="64"/>
      <c r="D2719" s="56"/>
    </row>
    <row r="2720">
      <c r="A2720" s="64"/>
      <c r="D2720" s="56"/>
    </row>
    <row r="2721">
      <c r="A2721" s="64"/>
      <c r="D2721" s="56"/>
    </row>
    <row r="2722">
      <c r="A2722" s="64"/>
      <c r="D2722" s="56"/>
    </row>
    <row r="2723">
      <c r="A2723" s="64"/>
      <c r="D2723" s="56"/>
    </row>
    <row r="2724">
      <c r="A2724" s="64"/>
      <c r="D2724" s="56"/>
    </row>
    <row r="2725">
      <c r="A2725" s="64"/>
      <c r="D2725" s="56"/>
    </row>
    <row r="2726">
      <c r="A2726" s="64"/>
      <c r="D2726" s="56"/>
    </row>
    <row r="2727">
      <c r="A2727" s="64"/>
      <c r="D2727" s="56"/>
    </row>
    <row r="2728">
      <c r="A2728" s="64"/>
      <c r="D2728" s="56"/>
    </row>
    <row r="2729">
      <c r="A2729" s="64"/>
      <c r="D2729" s="56"/>
    </row>
    <row r="2730">
      <c r="A2730" s="64"/>
      <c r="D2730" s="56"/>
    </row>
    <row r="2731">
      <c r="A2731" s="64"/>
      <c r="D2731" s="56"/>
    </row>
    <row r="2732">
      <c r="A2732" s="64"/>
      <c r="D2732" s="56"/>
    </row>
    <row r="2733">
      <c r="A2733" s="64"/>
      <c r="D2733" s="56"/>
    </row>
    <row r="2734">
      <c r="A2734" s="64"/>
      <c r="D2734" s="56"/>
    </row>
    <row r="2735">
      <c r="A2735" s="64"/>
      <c r="D2735" s="56"/>
    </row>
    <row r="2736">
      <c r="A2736" s="64"/>
      <c r="D2736" s="56"/>
    </row>
    <row r="2737">
      <c r="A2737" s="64"/>
      <c r="D2737" s="56"/>
    </row>
    <row r="2738">
      <c r="A2738" s="64"/>
      <c r="D2738" s="56"/>
    </row>
    <row r="2739">
      <c r="A2739" s="64"/>
      <c r="D2739" s="56"/>
    </row>
    <row r="2740">
      <c r="A2740" s="64"/>
      <c r="D2740" s="56"/>
    </row>
    <row r="2741">
      <c r="A2741" s="64"/>
      <c r="D2741" s="56"/>
    </row>
    <row r="2742">
      <c r="A2742" s="64"/>
      <c r="D2742" s="62"/>
    </row>
    <row r="2743">
      <c r="A2743" s="64"/>
      <c r="D2743" s="56"/>
    </row>
    <row r="2744">
      <c r="A2744" s="64"/>
      <c r="D2744" s="56"/>
    </row>
    <row r="2745">
      <c r="A2745" s="64"/>
      <c r="D2745" s="56"/>
    </row>
    <row r="2746">
      <c r="A2746" s="64"/>
      <c r="D2746" s="56"/>
    </row>
    <row r="2747">
      <c r="A2747" s="64"/>
      <c r="D2747" s="62"/>
    </row>
    <row r="2748">
      <c r="A2748" s="64"/>
      <c r="D2748" s="56"/>
    </row>
    <row r="2749">
      <c r="A2749" s="64"/>
      <c r="D2749" s="62"/>
    </row>
    <row r="2750">
      <c r="A2750" s="64"/>
      <c r="D2750" s="62"/>
    </row>
    <row r="2751">
      <c r="A2751" s="64"/>
      <c r="D2751" s="56"/>
    </row>
    <row r="2752">
      <c r="A2752" s="64"/>
      <c r="D2752" s="56"/>
    </row>
    <row r="2753">
      <c r="A2753" s="64"/>
      <c r="D2753" s="56"/>
    </row>
    <row r="2754">
      <c r="A2754" s="64"/>
      <c r="D2754" s="56"/>
    </row>
    <row r="2755">
      <c r="A2755" s="64"/>
      <c r="D2755" s="56"/>
    </row>
    <row r="2756">
      <c r="A2756" s="64"/>
      <c r="D2756" s="56"/>
    </row>
    <row r="2757">
      <c r="A2757" s="64"/>
      <c r="D2757" s="56"/>
    </row>
    <row r="2758">
      <c r="A2758" s="64"/>
      <c r="D2758" s="56"/>
    </row>
    <row r="2759">
      <c r="A2759" s="64"/>
      <c r="D2759" s="56"/>
    </row>
    <row r="2760">
      <c r="A2760" s="64"/>
      <c r="D2760" s="56"/>
    </row>
    <row r="2761">
      <c r="A2761" s="64"/>
      <c r="D2761" s="56"/>
    </row>
    <row r="2762">
      <c r="A2762" s="64"/>
      <c r="D2762" s="56"/>
    </row>
    <row r="2763">
      <c r="A2763" s="64"/>
      <c r="D2763" s="56"/>
    </row>
    <row r="2764">
      <c r="A2764" s="64"/>
      <c r="D2764" s="56"/>
    </row>
    <row r="2765">
      <c r="A2765" s="64"/>
      <c r="D2765" s="56"/>
    </row>
    <row r="2766">
      <c r="A2766" s="64"/>
      <c r="D2766" s="56"/>
    </row>
    <row r="2767">
      <c r="A2767" s="64"/>
      <c r="D2767" s="56"/>
    </row>
    <row r="2768">
      <c r="A2768" s="64"/>
      <c r="D2768" s="56"/>
    </row>
    <row r="2769">
      <c r="A2769" s="64"/>
      <c r="D2769" s="56"/>
    </row>
    <row r="2770">
      <c r="A2770" s="64"/>
      <c r="D2770" s="56"/>
    </row>
    <row r="2771">
      <c r="A2771" s="64"/>
      <c r="D2771" s="56"/>
    </row>
    <row r="2772">
      <c r="A2772" s="64"/>
      <c r="D2772" s="56"/>
    </row>
    <row r="2773">
      <c r="A2773" s="64"/>
      <c r="D2773" s="56"/>
    </row>
    <row r="2774">
      <c r="A2774" s="66"/>
      <c r="D2774" s="56"/>
    </row>
    <row r="2775">
      <c r="A2775" s="66"/>
      <c r="D2775" s="56"/>
    </row>
    <row r="2776">
      <c r="A2776" s="66"/>
      <c r="D2776" s="56"/>
    </row>
    <row r="2777">
      <c r="A2777" s="66"/>
      <c r="D2777" s="62"/>
    </row>
    <row r="2778">
      <c r="A2778" s="66"/>
      <c r="D2778" s="56"/>
    </row>
    <row r="2779">
      <c r="A2779" s="66"/>
      <c r="D2779" s="56"/>
    </row>
    <row r="2780">
      <c r="A2780" s="66"/>
      <c r="D2780" s="56"/>
    </row>
    <row r="2781">
      <c r="A2781" s="66"/>
      <c r="D2781" s="56"/>
    </row>
    <row r="2782">
      <c r="A2782" s="66"/>
      <c r="D2782" s="56"/>
    </row>
    <row r="2783">
      <c r="A2783" s="66"/>
      <c r="D2783" s="56"/>
    </row>
    <row r="2784">
      <c r="A2784" s="66"/>
      <c r="D2784" s="56"/>
    </row>
    <row r="2785">
      <c r="A2785" s="66"/>
      <c r="D2785" s="56"/>
    </row>
    <row r="2786">
      <c r="A2786" s="66"/>
      <c r="D2786" s="56"/>
    </row>
    <row r="2787">
      <c r="A2787" s="66"/>
      <c r="D2787" s="56"/>
    </row>
    <row r="2788">
      <c r="A2788" s="66"/>
      <c r="D2788" s="56"/>
    </row>
    <row r="2789">
      <c r="A2789" s="66"/>
      <c r="D2789" s="56"/>
    </row>
    <row r="2790">
      <c r="A2790" s="66"/>
      <c r="D2790" s="56"/>
    </row>
    <row r="2791">
      <c r="A2791" s="66"/>
      <c r="D2791" s="56"/>
    </row>
    <row r="2792">
      <c r="A2792" s="66"/>
      <c r="D2792" s="56"/>
    </row>
    <row r="2793">
      <c r="A2793" s="66"/>
      <c r="D2793" s="56"/>
    </row>
    <row r="2794">
      <c r="A2794" s="66"/>
      <c r="D2794" s="56"/>
    </row>
    <row r="2795">
      <c r="A2795" s="66"/>
      <c r="D2795" s="56"/>
    </row>
    <row r="2796">
      <c r="A2796" s="66"/>
      <c r="D2796" s="56"/>
    </row>
    <row r="2797">
      <c r="A2797" s="66"/>
      <c r="D2797" s="62"/>
    </row>
    <row r="2798">
      <c r="A2798" s="66"/>
      <c r="D2798" s="62"/>
    </row>
    <row r="2799">
      <c r="A2799" s="66"/>
      <c r="D2799" s="56"/>
    </row>
    <row r="2800">
      <c r="A2800" s="66"/>
      <c r="D2800" s="56"/>
    </row>
    <row r="2801">
      <c r="A2801" s="66"/>
      <c r="D2801" s="56"/>
    </row>
    <row r="2802">
      <c r="A2802" s="66"/>
      <c r="D2802" s="56"/>
    </row>
    <row r="2803">
      <c r="A2803" s="66"/>
      <c r="D2803" s="56"/>
    </row>
    <row r="2804">
      <c r="A2804" s="66"/>
      <c r="D2804" s="56"/>
    </row>
    <row r="2805">
      <c r="A2805" s="66"/>
      <c r="D2805" s="56"/>
    </row>
    <row r="2806">
      <c r="A2806" s="66"/>
      <c r="D2806" s="56"/>
    </row>
    <row r="2807">
      <c r="A2807" s="66"/>
      <c r="D2807" s="56"/>
    </row>
    <row r="2808">
      <c r="A2808" s="66"/>
      <c r="D2808" s="56"/>
    </row>
    <row r="2809">
      <c r="A2809" s="66"/>
      <c r="D2809" s="56"/>
    </row>
    <row r="2810">
      <c r="A2810" s="66"/>
      <c r="D2810" s="62"/>
    </row>
    <row r="2811">
      <c r="A2811" s="66"/>
      <c r="D2811" s="56"/>
    </row>
    <row r="2812">
      <c r="A2812" s="66"/>
      <c r="D2812" s="56"/>
    </row>
    <row r="2813">
      <c r="A2813" s="66"/>
      <c r="D2813" s="56"/>
    </row>
    <row r="2814">
      <c r="A2814" s="66"/>
      <c r="D2814" s="56"/>
    </row>
    <row r="2815">
      <c r="A2815" s="66"/>
      <c r="D2815" s="62"/>
    </row>
    <row r="2816">
      <c r="A2816" s="66"/>
      <c r="D2816" s="56"/>
    </row>
    <row r="2817">
      <c r="A2817" s="66"/>
      <c r="D2817" s="56"/>
    </row>
    <row r="2818">
      <c r="A2818" s="66"/>
      <c r="D2818" s="56"/>
    </row>
    <row r="2819">
      <c r="A2819" s="66"/>
      <c r="D2819" s="56"/>
    </row>
    <row r="2820">
      <c r="A2820" s="66"/>
      <c r="D2820" s="56"/>
    </row>
    <row r="2821">
      <c r="A2821" s="66"/>
      <c r="D2821" s="56"/>
    </row>
    <row r="2822">
      <c r="A2822" s="66"/>
      <c r="D2822" s="56"/>
    </row>
    <row r="2823">
      <c r="A2823" s="66"/>
      <c r="D2823" s="56"/>
    </row>
    <row r="2824">
      <c r="A2824" s="66"/>
      <c r="D2824" s="56"/>
    </row>
    <row r="2825">
      <c r="A2825" s="66"/>
      <c r="D2825" s="56"/>
    </row>
    <row r="2826">
      <c r="A2826" s="66"/>
      <c r="D2826" s="56"/>
    </row>
    <row r="2827">
      <c r="A2827" s="66"/>
      <c r="D2827" s="56"/>
    </row>
    <row r="2828">
      <c r="A2828" s="66"/>
      <c r="D2828" s="56"/>
    </row>
    <row r="2829">
      <c r="A2829" s="66"/>
      <c r="D2829" s="62"/>
    </row>
    <row r="2830">
      <c r="A2830" s="66"/>
      <c r="D2830" s="56"/>
    </row>
    <row r="2831">
      <c r="A2831" s="66"/>
      <c r="D2831" s="56"/>
    </row>
    <row r="2832">
      <c r="A2832" s="66"/>
      <c r="D2832" s="56"/>
    </row>
    <row r="2833">
      <c r="A2833" s="66"/>
      <c r="D2833" s="56"/>
    </row>
    <row r="2834">
      <c r="A2834" s="66"/>
      <c r="D2834" s="62"/>
    </row>
    <row r="2835">
      <c r="A2835" s="66"/>
      <c r="D2835" s="56"/>
    </row>
    <row r="2836">
      <c r="A2836" s="66"/>
      <c r="D2836" s="56"/>
    </row>
    <row r="2837">
      <c r="A2837" s="66"/>
      <c r="D2837" s="56"/>
    </row>
    <row r="2838">
      <c r="A2838" s="66"/>
      <c r="D2838" s="56"/>
    </row>
    <row r="2839">
      <c r="A2839" s="66"/>
      <c r="D2839" s="56"/>
    </row>
    <row r="2840">
      <c r="A2840" s="66"/>
      <c r="D2840" s="56"/>
    </row>
    <row r="2841">
      <c r="A2841" s="66"/>
      <c r="D2841" s="56"/>
    </row>
    <row r="2842">
      <c r="A2842" s="66"/>
      <c r="D2842" s="56"/>
    </row>
    <row r="2843">
      <c r="A2843" s="66"/>
      <c r="D2843" s="56"/>
    </row>
    <row r="2844">
      <c r="A2844" s="66"/>
      <c r="D2844" s="56"/>
    </row>
    <row r="2845">
      <c r="A2845" s="66"/>
      <c r="D2845" s="56"/>
    </row>
    <row r="2846">
      <c r="A2846" s="66"/>
      <c r="D2846" s="56"/>
    </row>
    <row r="2847">
      <c r="A2847" s="66"/>
      <c r="D2847" s="56"/>
    </row>
    <row r="2848">
      <c r="A2848" s="66"/>
      <c r="D2848" s="56"/>
    </row>
    <row r="2849">
      <c r="A2849" s="66"/>
      <c r="D2849" s="56"/>
    </row>
    <row r="2850">
      <c r="A2850" s="66"/>
      <c r="D2850" s="56"/>
    </row>
    <row r="2851">
      <c r="A2851" s="66"/>
      <c r="D2851" s="56"/>
    </row>
    <row r="2852">
      <c r="A2852" s="66"/>
      <c r="D2852" s="56"/>
    </row>
    <row r="2853">
      <c r="A2853" s="66"/>
      <c r="D2853" s="56"/>
    </row>
    <row r="2854">
      <c r="A2854" s="66"/>
      <c r="D2854" s="56"/>
    </row>
    <row r="2855">
      <c r="A2855" s="66"/>
      <c r="D2855" s="56"/>
    </row>
    <row r="2856">
      <c r="A2856" s="66"/>
      <c r="D2856" s="56"/>
    </row>
    <row r="2857">
      <c r="A2857" s="66"/>
      <c r="D2857" s="56"/>
    </row>
    <row r="2858">
      <c r="A2858" s="66"/>
      <c r="D2858" s="56"/>
    </row>
    <row r="2859">
      <c r="A2859" s="66"/>
      <c r="D2859" s="56"/>
    </row>
    <row r="2860">
      <c r="A2860" s="66"/>
      <c r="D2860" s="56"/>
    </row>
    <row r="2861">
      <c r="A2861" s="66"/>
      <c r="D2861" s="56"/>
    </row>
    <row r="2862">
      <c r="A2862" s="66"/>
      <c r="D2862" s="62"/>
    </row>
    <row r="2863">
      <c r="A2863" s="66"/>
      <c r="D2863" s="56"/>
    </row>
    <row r="2864">
      <c r="A2864" s="66"/>
      <c r="D2864" s="56"/>
    </row>
    <row r="2865">
      <c r="A2865" s="66"/>
      <c r="D2865" s="56"/>
    </row>
    <row r="2866">
      <c r="A2866" s="66"/>
      <c r="D2866" s="56"/>
    </row>
    <row r="2867">
      <c r="A2867" s="66"/>
      <c r="D2867" s="56"/>
    </row>
    <row r="2868">
      <c r="A2868" s="66"/>
      <c r="D2868" s="56"/>
    </row>
    <row r="2869">
      <c r="A2869" s="66"/>
      <c r="D2869" s="56"/>
    </row>
    <row r="2870">
      <c r="A2870" s="66"/>
      <c r="D2870" s="56"/>
    </row>
    <row r="2871">
      <c r="A2871" s="66"/>
      <c r="D2871" s="56"/>
    </row>
    <row r="2872">
      <c r="A2872" s="66"/>
      <c r="D2872" s="56"/>
    </row>
    <row r="2873">
      <c r="A2873" s="66"/>
      <c r="D2873" s="56"/>
    </row>
    <row r="2874">
      <c r="A2874" s="66"/>
      <c r="D2874" s="56"/>
    </row>
    <row r="2875">
      <c r="A2875" s="66"/>
      <c r="D2875" s="56"/>
    </row>
    <row r="2876">
      <c r="A2876" s="66"/>
      <c r="D2876" s="56"/>
    </row>
    <row r="2877">
      <c r="A2877" s="66"/>
      <c r="D2877" s="56"/>
    </row>
    <row r="2878">
      <c r="A2878" s="66"/>
      <c r="D2878" s="56"/>
    </row>
    <row r="2879">
      <c r="A2879" s="66"/>
      <c r="D2879" s="56"/>
    </row>
    <row r="2880">
      <c r="A2880" s="66"/>
      <c r="D2880" s="56"/>
    </row>
    <row r="2881">
      <c r="A2881" s="66"/>
      <c r="D2881" s="56"/>
    </row>
    <row r="2882">
      <c r="A2882" s="66"/>
      <c r="D2882" s="56"/>
    </row>
    <row r="2883">
      <c r="A2883" s="66"/>
      <c r="D2883" s="56"/>
    </row>
    <row r="2884">
      <c r="A2884" s="66"/>
      <c r="D2884" s="56"/>
    </row>
    <row r="2885">
      <c r="A2885" s="66"/>
      <c r="D2885" s="56"/>
    </row>
    <row r="2886">
      <c r="A2886" s="66"/>
      <c r="D2886" s="56"/>
    </row>
    <row r="2887">
      <c r="A2887" s="66"/>
      <c r="D2887" s="56"/>
    </row>
    <row r="2888">
      <c r="A2888" s="66"/>
      <c r="D2888" s="56"/>
    </row>
    <row r="2889">
      <c r="A2889" s="66"/>
      <c r="D2889" s="56"/>
    </row>
    <row r="2890">
      <c r="A2890" s="66"/>
      <c r="D2890" s="56"/>
    </row>
    <row r="2891">
      <c r="A2891" s="66"/>
      <c r="D2891" s="56"/>
    </row>
    <row r="2892">
      <c r="A2892" s="66"/>
      <c r="D2892" s="56"/>
    </row>
    <row r="2893">
      <c r="A2893" s="66"/>
      <c r="D2893" s="56"/>
    </row>
    <row r="2894">
      <c r="A2894" s="66"/>
      <c r="D2894" s="62"/>
    </row>
    <row r="2895">
      <c r="A2895" s="66"/>
      <c r="D2895" s="56"/>
    </row>
    <row r="2896">
      <c r="A2896" s="66"/>
      <c r="D2896" s="56"/>
    </row>
    <row r="2897">
      <c r="A2897" s="66"/>
      <c r="D2897" s="62"/>
    </row>
    <row r="2898">
      <c r="A2898" s="66"/>
      <c r="D2898" s="56"/>
    </row>
    <row r="2899">
      <c r="A2899" s="66"/>
      <c r="D2899" s="56"/>
    </row>
    <row r="2900">
      <c r="A2900" s="66"/>
      <c r="D2900" s="56"/>
    </row>
    <row r="2901">
      <c r="A2901" s="66"/>
      <c r="D2901" s="56"/>
    </row>
    <row r="2902">
      <c r="A2902" s="66"/>
      <c r="D2902" s="56"/>
    </row>
    <row r="2903">
      <c r="A2903" s="66"/>
      <c r="D2903" s="56"/>
    </row>
    <row r="2904">
      <c r="A2904" s="66"/>
      <c r="D2904" s="56"/>
    </row>
    <row r="2905">
      <c r="A2905" s="66"/>
      <c r="D2905" s="56"/>
    </row>
    <row r="2906">
      <c r="A2906" s="66"/>
      <c r="D2906" s="56"/>
    </row>
    <row r="2907">
      <c r="A2907" s="66"/>
      <c r="D2907" s="56"/>
    </row>
    <row r="2908">
      <c r="A2908" s="66"/>
      <c r="D2908" s="56"/>
    </row>
    <row r="2909">
      <c r="A2909" s="66"/>
      <c r="D2909" s="56"/>
    </row>
    <row r="2910">
      <c r="A2910" s="66"/>
      <c r="D2910" s="56"/>
    </row>
    <row r="2911">
      <c r="A2911" s="66"/>
      <c r="D2911" s="56"/>
    </row>
    <row r="2912">
      <c r="A2912" s="66"/>
      <c r="D2912" s="56"/>
    </row>
    <row r="2913">
      <c r="A2913" s="66"/>
      <c r="D2913" s="56"/>
    </row>
    <row r="2914">
      <c r="A2914" s="66"/>
      <c r="D2914" s="56"/>
    </row>
    <row r="2915">
      <c r="A2915" s="66"/>
      <c r="D2915" s="56"/>
    </row>
    <row r="2916">
      <c r="A2916" s="66"/>
      <c r="D2916" s="62"/>
    </row>
    <row r="2917">
      <c r="A2917" s="66"/>
      <c r="D2917" s="56"/>
    </row>
    <row r="2918">
      <c r="A2918" s="66"/>
      <c r="D2918" s="56"/>
    </row>
    <row r="2919">
      <c r="A2919" s="66"/>
      <c r="D2919" s="56"/>
    </row>
    <row r="2920">
      <c r="A2920" s="66"/>
      <c r="D2920" s="56"/>
    </row>
    <row r="2921">
      <c r="A2921" s="66"/>
      <c r="D2921" s="56"/>
    </row>
    <row r="2922">
      <c r="A2922" s="66"/>
      <c r="D2922" s="56"/>
    </row>
    <row r="2923">
      <c r="A2923" s="66"/>
      <c r="D2923" s="56"/>
    </row>
    <row r="2924">
      <c r="A2924" s="66"/>
      <c r="D2924" s="56"/>
    </row>
    <row r="2925">
      <c r="A2925" s="66"/>
      <c r="D2925" s="56"/>
    </row>
    <row r="2926">
      <c r="A2926" s="66"/>
      <c r="D2926" s="56"/>
    </row>
    <row r="2927">
      <c r="A2927" s="66"/>
      <c r="D2927" s="56"/>
    </row>
    <row r="2928">
      <c r="A2928" s="66"/>
      <c r="D2928" s="56"/>
    </row>
    <row r="2929">
      <c r="A2929" s="66"/>
      <c r="D2929" s="56"/>
    </row>
    <row r="2930">
      <c r="A2930" s="66"/>
      <c r="D2930" s="56"/>
    </row>
    <row r="2931">
      <c r="A2931" s="66"/>
      <c r="D2931" s="56"/>
    </row>
    <row r="2932">
      <c r="A2932" s="66"/>
      <c r="D2932" s="56"/>
    </row>
    <row r="2933">
      <c r="A2933" s="66"/>
      <c r="D2933" s="56"/>
    </row>
    <row r="2934">
      <c r="A2934" s="66"/>
      <c r="D2934" s="56"/>
    </row>
    <row r="2935">
      <c r="A2935" s="66"/>
      <c r="D2935" s="56"/>
    </row>
    <row r="2936">
      <c r="A2936" s="66"/>
      <c r="D2936" s="56"/>
    </row>
    <row r="2937">
      <c r="A2937" s="66"/>
      <c r="D2937" s="56"/>
    </row>
    <row r="2938">
      <c r="A2938" s="66"/>
      <c r="D2938" s="56"/>
    </row>
    <row r="2939">
      <c r="A2939" s="67"/>
      <c r="D2939" s="56"/>
    </row>
    <row r="2940">
      <c r="A2940" s="67"/>
      <c r="D2940" s="56"/>
    </row>
    <row r="2941">
      <c r="A2941" s="67"/>
      <c r="D2941" s="56"/>
    </row>
    <row r="2942">
      <c r="A2942" s="67"/>
      <c r="D2942" s="56"/>
    </row>
    <row r="2943">
      <c r="A2943" s="67"/>
      <c r="D2943" s="56"/>
    </row>
    <row r="2944">
      <c r="A2944" s="67"/>
      <c r="D2944" s="56"/>
    </row>
    <row r="2945">
      <c r="A2945" s="67"/>
      <c r="D2945" s="56"/>
    </row>
    <row r="2946">
      <c r="A2946" s="67"/>
      <c r="D2946" s="56"/>
    </row>
    <row r="2947">
      <c r="A2947" s="67"/>
      <c r="D2947" s="56"/>
    </row>
    <row r="2948">
      <c r="A2948" s="67"/>
      <c r="D2948" s="56"/>
    </row>
    <row r="2949">
      <c r="A2949" s="67"/>
      <c r="D2949" s="56"/>
    </row>
    <row r="2950">
      <c r="A2950" s="67"/>
      <c r="D2950" s="56"/>
    </row>
    <row r="2951">
      <c r="A2951" s="67"/>
      <c r="D2951" s="56"/>
    </row>
    <row r="2952">
      <c r="A2952" s="67"/>
      <c r="D2952" s="56"/>
    </row>
    <row r="2953">
      <c r="A2953" s="67"/>
      <c r="D2953" s="56"/>
    </row>
    <row r="2954">
      <c r="A2954" s="67"/>
      <c r="D2954" s="56"/>
    </row>
    <row r="2955">
      <c r="A2955" s="67"/>
      <c r="D2955" s="56"/>
    </row>
    <row r="2956">
      <c r="A2956" s="67"/>
      <c r="D2956" s="56"/>
    </row>
    <row r="2957">
      <c r="A2957" s="67"/>
      <c r="D2957" s="56"/>
    </row>
    <row r="2958">
      <c r="A2958" s="67"/>
      <c r="D2958" s="56"/>
    </row>
    <row r="2959">
      <c r="A2959" s="67"/>
      <c r="D2959" s="56"/>
    </row>
    <row r="2960">
      <c r="A2960" s="67"/>
      <c r="D2960" s="56"/>
    </row>
    <row r="2961">
      <c r="A2961" s="67"/>
      <c r="D2961" s="56"/>
    </row>
    <row r="2962">
      <c r="A2962" s="67"/>
      <c r="D2962" s="56"/>
    </row>
    <row r="2963">
      <c r="A2963" s="67"/>
      <c r="D2963" s="56"/>
    </row>
    <row r="2964">
      <c r="A2964" s="67"/>
      <c r="D2964" s="56"/>
    </row>
    <row r="2965">
      <c r="A2965" s="67"/>
      <c r="D2965" s="56"/>
    </row>
    <row r="2966">
      <c r="A2966" s="67"/>
      <c r="D2966" s="56"/>
    </row>
    <row r="2967">
      <c r="A2967" s="67"/>
      <c r="D2967" s="56"/>
    </row>
    <row r="2968">
      <c r="A2968" s="67"/>
      <c r="D2968" s="56"/>
    </row>
    <row r="2969">
      <c r="A2969" s="67"/>
      <c r="D2969" s="56"/>
    </row>
    <row r="2970">
      <c r="A2970" s="67"/>
      <c r="D2970" s="56"/>
    </row>
    <row r="2971">
      <c r="A2971" s="67"/>
      <c r="D2971" s="56"/>
    </row>
    <row r="2972">
      <c r="A2972" s="67"/>
      <c r="D2972" s="56"/>
    </row>
    <row r="2973">
      <c r="A2973" s="67"/>
      <c r="D2973" s="56"/>
    </row>
    <row r="2974">
      <c r="A2974" s="67"/>
      <c r="D2974" s="56"/>
    </row>
    <row r="2975">
      <c r="A2975" s="67"/>
      <c r="D2975" s="56"/>
    </row>
    <row r="2976">
      <c r="A2976" s="67"/>
      <c r="D2976" s="56"/>
    </row>
    <row r="2977">
      <c r="A2977" s="67"/>
      <c r="D2977" s="56"/>
    </row>
    <row r="2978">
      <c r="A2978" s="67"/>
      <c r="D2978" s="56"/>
    </row>
    <row r="2979">
      <c r="A2979" s="67"/>
      <c r="D2979" s="56"/>
    </row>
    <row r="2980">
      <c r="A2980" s="67"/>
      <c r="D2980" s="56"/>
    </row>
    <row r="2981">
      <c r="A2981" s="67"/>
      <c r="D2981" s="56"/>
    </row>
    <row r="2982">
      <c r="A2982" s="67"/>
      <c r="D2982" s="56"/>
    </row>
    <row r="2983">
      <c r="A2983" s="67"/>
      <c r="D2983" s="56"/>
    </row>
    <row r="2984">
      <c r="A2984" s="67"/>
      <c r="D2984" s="56"/>
    </row>
    <row r="2985">
      <c r="A2985" s="67"/>
      <c r="D2985" s="56"/>
    </row>
    <row r="2986">
      <c r="A2986" s="67"/>
      <c r="D2986" s="56"/>
    </row>
    <row r="2987">
      <c r="A2987" s="67"/>
      <c r="D2987" s="56"/>
    </row>
    <row r="2988">
      <c r="A2988" s="67"/>
      <c r="D2988" s="56"/>
    </row>
    <row r="2989">
      <c r="A2989" s="67"/>
      <c r="D2989" s="56"/>
    </row>
    <row r="2990">
      <c r="A2990" s="67"/>
      <c r="D2990" s="56"/>
    </row>
    <row r="2991">
      <c r="A2991" s="67"/>
      <c r="D2991" s="56"/>
    </row>
    <row r="2992">
      <c r="A2992" s="67"/>
      <c r="D2992" s="56"/>
    </row>
    <row r="2993">
      <c r="A2993" s="67"/>
      <c r="D2993" s="56"/>
    </row>
    <row r="2994">
      <c r="A2994" s="67"/>
      <c r="D2994" s="56"/>
    </row>
    <row r="2995">
      <c r="A2995" s="67"/>
      <c r="D2995" s="56"/>
    </row>
    <row r="2996">
      <c r="A2996" s="67"/>
      <c r="D2996" s="56"/>
    </row>
    <row r="2997">
      <c r="A2997" s="67"/>
      <c r="D2997" s="56"/>
    </row>
    <row r="2998">
      <c r="A2998" s="67"/>
      <c r="D2998" s="56"/>
    </row>
    <row r="2999">
      <c r="A2999" s="67"/>
      <c r="D2999" s="56"/>
    </row>
    <row r="3000">
      <c r="A3000" s="67"/>
      <c r="D3000" s="56"/>
    </row>
    <row r="3001">
      <c r="A3001" s="67"/>
      <c r="D3001" s="56"/>
    </row>
    <row r="3002">
      <c r="A3002" s="67"/>
      <c r="D3002" s="56"/>
    </row>
    <row r="3003">
      <c r="A3003" s="67"/>
      <c r="D3003" s="56"/>
    </row>
    <row r="3004">
      <c r="A3004" s="67"/>
      <c r="D3004" s="56"/>
    </row>
    <row r="3005">
      <c r="A3005" s="67"/>
      <c r="D3005" s="56"/>
    </row>
    <row r="3006">
      <c r="A3006" s="67"/>
      <c r="D3006" s="56"/>
    </row>
    <row r="3007">
      <c r="A3007" s="67"/>
      <c r="D3007" s="56"/>
    </row>
    <row r="3008">
      <c r="A3008" s="67"/>
      <c r="D3008" s="56"/>
    </row>
    <row r="3009">
      <c r="A3009" s="67"/>
      <c r="D3009" s="56"/>
    </row>
    <row r="3010">
      <c r="A3010" s="67"/>
      <c r="D3010" s="62"/>
    </row>
    <row r="3011">
      <c r="A3011" s="67"/>
      <c r="D3011" s="56"/>
    </row>
    <row r="3012">
      <c r="A3012" s="67"/>
      <c r="D3012" s="56"/>
    </row>
    <row r="3013">
      <c r="A3013" s="67"/>
      <c r="D3013" s="56"/>
    </row>
    <row r="3014">
      <c r="A3014" s="67"/>
      <c r="D3014" s="56"/>
    </row>
    <row r="3015">
      <c r="A3015" s="67"/>
      <c r="D3015" s="56"/>
    </row>
    <row r="3016">
      <c r="A3016" s="67"/>
      <c r="D3016" s="56"/>
    </row>
    <row r="3017">
      <c r="A3017" s="67"/>
      <c r="D3017" s="56"/>
    </row>
    <row r="3018">
      <c r="A3018" s="67"/>
      <c r="D3018" s="56"/>
    </row>
    <row r="3019">
      <c r="A3019" s="67"/>
      <c r="D3019" s="56"/>
    </row>
    <row r="3020">
      <c r="A3020" s="67"/>
      <c r="D3020" s="56"/>
    </row>
    <row r="3021">
      <c r="A3021" s="67"/>
      <c r="D3021" s="56"/>
    </row>
    <row r="3022">
      <c r="A3022" s="67"/>
      <c r="D3022" s="56"/>
    </row>
    <row r="3023">
      <c r="A3023" s="67"/>
      <c r="D3023" s="56"/>
    </row>
    <row r="3024">
      <c r="A3024" s="67"/>
      <c r="D3024" s="56"/>
    </row>
    <row r="3025">
      <c r="A3025" s="67"/>
      <c r="D3025" s="56"/>
    </row>
    <row r="3026">
      <c r="A3026" s="67"/>
      <c r="D3026" s="56"/>
    </row>
    <row r="3027">
      <c r="A3027" s="67"/>
      <c r="D3027" s="56"/>
    </row>
    <row r="3028">
      <c r="A3028" s="67"/>
      <c r="D3028" s="56"/>
    </row>
    <row r="3029">
      <c r="A3029" s="67"/>
      <c r="D3029" s="56"/>
    </row>
    <row r="3030">
      <c r="A3030" s="67"/>
      <c r="D3030" s="56"/>
    </row>
    <row r="3031">
      <c r="A3031" s="67"/>
      <c r="D3031" s="56"/>
    </row>
    <row r="3032">
      <c r="A3032" s="67"/>
      <c r="D3032" s="56"/>
    </row>
    <row r="3033">
      <c r="A3033" s="67"/>
      <c r="D3033" s="56"/>
    </row>
    <row r="3034">
      <c r="A3034" s="67"/>
      <c r="D3034" s="56"/>
    </row>
    <row r="3035">
      <c r="A3035" s="67"/>
      <c r="D3035" s="56"/>
    </row>
    <row r="3036">
      <c r="A3036" s="67"/>
      <c r="D3036" s="56"/>
    </row>
    <row r="3037">
      <c r="A3037" s="67"/>
      <c r="D3037" s="56"/>
    </row>
    <row r="3038">
      <c r="A3038" s="67"/>
      <c r="D3038" s="56"/>
    </row>
    <row r="3039">
      <c r="A3039" s="67"/>
      <c r="D3039" s="56"/>
    </row>
    <row r="3040">
      <c r="A3040" s="67"/>
      <c r="D3040" s="56"/>
    </row>
    <row r="3041">
      <c r="A3041" s="67"/>
      <c r="D3041" s="56"/>
    </row>
    <row r="3042">
      <c r="A3042" s="67"/>
      <c r="D3042" s="56"/>
    </row>
    <row r="3043">
      <c r="A3043" s="67"/>
      <c r="D3043" s="56"/>
    </row>
    <row r="3044">
      <c r="A3044" s="67"/>
      <c r="D3044" s="56"/>
    </row>
    <row r="3045">
      <c r="A3045" s="67"/>
      <c r="D3045" s="56"/>
    </row>
    <row r="3046">
      <c r="A3046" s="67"/>
      <c r="D3046" s="56"/>
    </row>
    <row r="3047">
      <c r="A3047" s="67"/>
      <c r="D3047" s="56"/>
    </row>
    <row r="3048">
      <c r="A3048" s="67"/>
      <c r="D3048" s="56"/>
    </row>
    <row r="3049">
      <c r="A3049" s="67"/>
      <c r="D3049" s="56"/>
    </row>
    <row r="3050">
      <c r="A3050" s="67"/>
      <c r="D3050" s="56"/>
    </row>
    <row r="3051">
      <c r="A3051" s="67"/>
      <c r="D3051" s="56"/>
    </row>
    <row r="3052">
      <c r="A3052" s="67"/>
      <c r="D3052" s="56"/>
    </row>
    <row r="3053">
      <c r="A3053" s="67"/>
      <c r="D3053" s="56"/>
    </row>
    <row r="3054">
      <c r="A3054" s="67"/>
      <c r="D3054" s="56"/>
    </row>
    <row r="3055">
      <c r="A3055" s="67"/>
      <c r="D3055" s="62"/>
    </row>
    <row r="3056">
      <c r="A3056" s="67"/>
      <c r="D3056" s="56"/>
    </row>
    <row r="3057">
      <c r="A3057" s="67"/>
      <c r="D3057" s="56"/>
    </row>
    <row r="3058">
      <c r="A3058" s="67"/>
      <c r="D3058" s="56"/>
    </row>
    <row r="3059">
      <c r="A3059" s="67"/>
      <c r="D3059" s="56"/>
    </row>
    <row r="3060">
      <c r="A3060" s="67"/>
      <c r="D3060" s="56"/>
    </row>
    <row r="3061">
      <c r="A3061" s="67"/>
      <c r="D3061" s="56"/>
    </row>
    <row r="3062">
      <c r="A3062" s="67"/>
      <c r="D3062" s="56"/>
    </row>
    <row r="3063">
      <c r="A3063" s="67"/>
      <c r="D3063" s="56"/>
    </row>
    <row r="3064">
      <c r="A3064" s="67"/>
      <c r="D3064" s="56"/>
    </row>
    <row r="3065">
      <c r="A3065" s="67"/>
      <c r="D3065" s="56"/>
    </row>
    <row r="3066">
      <c r="A3066" s="67"/>
      <c r="D3066" s="56"/>
    </row>
    <row r="3067">
      <c r="A3067" s="67"/>
      <c r="D3067" s="56"/>
    </row>
    <row r="3068">
      <c r="A3068" s="67"/>
      <c r="D3068" s="56"/>
    </row>
    <row r="3069">
      <c r="A3069" s="67"/>
      <c r="D3069" s="56"/>
    </row>
    <row r="3070">
      <c r="A3070" s="67"/>
      <c r="D3070" s="56"/>
    </row>
    <row r="3071">
      <c r="A3071" s="67"/>
      <c r="D3071" s="56"/>
    </row>
    <row r="3072">
      <c r="A3072" s="67"/>
      <c r="D3072" s="56"/>
    </row>
    <row r="3073">
      <c r="A3073" s="67"/>
      <c r="D3073" s="56"/>
    </row>
    <row r="3074">
      <c r="A3074" s="67"/>
      <c r="D3074" s="56"/>
    </row>
    <row r="3075">
      <c r="A3075" s="67"/>
      <c r="D3075" s="56"/>
    </row>
    <row r="3076">
      <c r="A3076" s="67"/>
      <c r="D3076" s="56"/>
    </row>
    <row r="3077">
      <c r="A3077" s="67"/>
      <c r="D3077" s="56"/>
    </row>
    <row r="3078">
      <c r="A3078" s="67"/>
      <c r="D3078" s="56"/>
    </row>
    <row r="3079">
      <c r="A3079" s="67"/>
      <c r="D3079" s="56"/>
    </row>
    <row r="3080">
      <c r="A3080" s="67"/>
      <c r="D3080" s="56"/>
    </row>
    <row r="3081">
      <c r="A3081" s="67"/>
      <c r="D3081" s="56"/>
    </row>
    <row r="3082">
      <c r="A3082" s="67"/>
      <c r="D3082" s="56"/>
    </row>
    <row r="3083">
      <c r="A3083" s="67"/>
      <c r="D3083" s="56"/>
    </row>
    <row r="3084">
      <c r="A3084" s="67"/>
      <c r="D3084" s="56"/>
    </row>
    <row r="3085">
      <c r="A3085" s="67"/>
      <c r="D3085" s="56"/>
    </row>
    <row r="3086">
      <c r="A3086" s="67"/>
      <c r="D3086" s="56"/>
    </row>
    <row r="3087">
      <c r="A3087" s="67"/>
      <c r="D3087" s="56"/>
    </row>
    <row r="3088">
      <c r="A3088" s="67"/>
      <c r="D3088" s="56"/>
    </row>
    <row r="3089">
      <c r="A3089" s="67"/>
      <c r="D3089" s="56"/>
    </row>
    <row r="3090">
      <c r="A3090" s="67"/>
      <c r="D3090" s="56"/>
    </row>
    <row r="3091">
      <c r="A3091" s="67"/>
      <c r="D3091" s="56"/>
    </row>
    <row r="3092">
      <c r="A3092" s="67"/>
      <c r="D3092" s="56"/>
    </row>
    <row r="3093">
      <c r="A3093" s="67"/>
      <c r="D3093" s="56"/>
    </row>
    <row r="3094">
      <c r="A3094" s="67"/>
      <c r="D3094" s="56"/>
    </row>
    <row r="3095">
      <c r="A3095" s="67"/>
      <c r="D3095" s="56"/>
    </row>
    <row r="3096">
      <c r="A3096" s="67"/>
      <c r="D3096" s="56"/>
    </row>
    <row r="3097">
      <c r="A3097" s="67"/>
      <c r="D3097" s="56"/>
    </row>
    <row r="3098">
      <c r="A3098" s="67"/>
      <c r="D3098" s="56"/>
    </row>
    <row r="3099">
      <c r="A3099" s="67"/>
      <c r="D3099" s="56"/>
    </row>
    <row r="3100">
      <c r="A3100" s="67"/>
      <c r="D3100" s="56"/>
    </row>
    <row r="3101">
      <c r="A3101" s="67"/>
      <c r="D3101" s="56"/>
    </row>
    <row r="3102">
      <c r="A3102" s="67"/>
      <c r="D3102" s="56"/>
    </row>
    <row r="3103">
      <c r="A3103" s="67"/>
      <c r="D3103" s="56"/>
    </row>
    <row r="3104">
      <c r="A3104" s="67"/>
      <c r="D3104" s="56"/>
    </row>
    <row r="3105">
      <c r="A3105" s="67"/>
      <c r="D3105" s="56"/>
    </row>
    <row r="3106">
      <c r="A3106" s="67"/>
      <c r="D3106" s="56"/>
    </row>
    <row r="3107">
      <c r="A3107" s="67"/>
      <c r="D3107" s="56"/>
    </row>
    <row r="3108">
      <c r="A3108" s="67"/>
      <c r="D3108" s="56"/>
    </row>
    <row r="3109">
      <c r="A3109" s="67"/>
      <c r="D3109" s="56"/>
    </row>
    <row r="3110">
      <c r="A3110" s="67"/>
      <c r="D3110" s="56"/>
    </row>
    <row r="3111">
      <c r="A3111" s="67"/>
      <c r="D3111" s="56"/>
    </row>
    <row r="3112">
      <c r="A3112" s="67"/>
      <c r="D3112" s="56"/>
    </row>
    <row r="3113">
      <c r="A3113" s="67"/>
      <c r="D3113" s="56"/>
    </row>
    <row r="3114">
      <c r="A3114" s="67"/>
      <c r="D3114" s="56"/>
    </row>
    <row r="3115">
      <c r="A3115" s="67"/>
      <c r="D3115" s="56"/>
    </row>
    <row r="3116">
      <c r="A3116" s="67"/>
      <c r="D3116" s="56"/>
    </row>
    <row r="3117">
      <c r="A3117" s="67"/>
      <c r="D3117" s="56"/>
    </row>
    <row r="3118">
      <c r="A3118" s="67"/>
      <c r="D3118" s="56"/>
    </row>
    <row r="3119">
      <c r="A3119" s="67"/>
      <c r="D3119" s="56"/>
    </row>
    <row r="3120">
      <c r="A3120" s="67"/>
      <c r="D3120" s="56"/>
    </row>
    <row r="3121">
      <c r="A3121" s="67"/>
      <c r="D3121" s="56"/>
    </row>
    <row r="3122">
      <c r="A3122" s="67"/>
      <c r="D3122" s="56"/>
    </row>
    <row r="3123">
      <c r="A3123" s="67"/>
      <c r="D3123" s="56"/>
    </row>
    <row r="3124">
      <c r="A3124" s="67"/>
      <c r="D3124" s="56"/>
    </row>
    <row r="3125">
      <c r="A3125" s="67"/>
      <c r="D3125" s="56"/>
    </row>
    <row r="3126">
      <c r="A3126" s="67"/>
      <c r="D3126" s="56"/>
    </row>
    <row r="3127">
      <c r="A3127" s="67"/>
      <c r="D3127" s="56"/>
    </row>
    <row r="3128">
      <c r="A3128" s="67"/>
      <c r="D3128" s="56"/>
    </row>
    <row r="3129">
      <c r="A3129" s="67"/>
      <c r="D3129" s="56"/>
    </row>
    <row r="3130">
      <c r="A3130" s="67"/>
      <c r="D3130" s="56"/>
    </row>
    <row r="3131">
      <c r="A3131" s="67"/>
      <c r="D3131" s="56"/>
    </row>
    <row r="3132">
      <c r="A3132" s="67"/>
      <c r="D3132" s="56"/>
    </row>
    <row r="3133">
      <c r="A3133" s="67"/>
      <c r="D3133" s="56"/>
    </row>
    <row r="3134">
      <c r="A3134" s="67"/>
      <c r="D3134" s="56"/>
    </row>
    <row r="3135">
      <c r="A3135" s="67"/>
      <c r="D3135" s="56"/>
    </row>
    <row r="3136">
      <c r="A3136" s="67"/>
      <c r="D3136" s="56"/>
    </row>
    <row r="3137">
      <c r="A3137" s="67"/>
      <c r="D3137" s="56"/>
    </row>
    <row r="3138">
      <c r="A3138" s="67"/>
      <c r="D3138" s="56"/>
    </row>
    <row r="3139">
      <c r="A3139" s="67"/>
      <c r="D3139" s="56"/>
    </row>
    <row r="3140">
      <c r="A3140" s="67"/>
      <c r="D3140" s="56"/>
    </row>
    <row r="3141">
      <c r="A3141" s="67"/>
      <c r="D3141" s="56"/>
    </row>
    <row r="3142">
      <c r="A3142" s="67"/>
      <c r="D3142" s="56"/>
    </row>
    <row r="3143">
      <c r="A3143" s="67"/>
      <c r="D3143" s="56"/>
    </row>
    <row r="3144">
      <c r="A3144" s="67"/>
      <c r="D3144" s="56"/>
    </row>
    <row r="3145">
      <c r="A3145" s="67"/>
      <c r="D3145" s="56"/>
    </row>
    <row r="3146">
      <c r="A3146" s="67"/>
      <c r="D3146" s="56"/>
    </row>
    <row r="3147">
      <c r="A3147" s="67"/>
      <c r="D3147" s="56"/>
    </row>
    <row r="3148">
      <c r="A3148" s="67"/>
      <c r="D3148" s="56"/>
    </row>
    <row r="3149">
      <c r="A3149" s="67"/>
      <c r="D3149" s="56"/>
    </row>
    <row r="3150">
      <c r="A3150" s="67"/>
      <c r="D3150" s="56"/>
    </row>
    <row r="3151">
      <c r="A3151" s="67"/>
      <c r="D3151" s="56"/>
    </row>
    <row r="3152">
      <c r="A3152" s="67"/>
      <c r="D3152" s="56"/>
    </row>
    <row r="3153">
      <c r="A3153" s="67"/>
      <c r="D3153" s="56"/>
    </row>
    <row r="3154">
      <c r="A3154" s="67"/>
      <c r="D3154" s="56"/>
    </row>
    <row r="3155">
      <c r="A3155" s="67"/>
      <c r="D3155" s="56"/>
    </row>
    <row r="3156">
      <c r="A3156" s="67"/>
      <c r="D3156" s="56"/>
    </row>
    <row r="3157">
      <c r="A3157" s="67"/>
      <c r="D3157" s="56"/>
    </row>
    <row r="3158">
      <c r="A3158" s="67"/>
      <c r="D3158" s="56"/>
    </row>
    <row r="3159">
      <c r="A3159" s="67"/>
      <c r="D3159" s="56"/>
    </row>
    <row r="3160">
      <c r="A3160" s="67"/>
      <c r="D3160" s="56"/>
    </row>
    <row r="3161">
      <c r="A3161" s="67"/>
      <c r="D3161" s="56"/>
    </row>
    <row r="3162">
      <c r="A3162" s="67"/>
      <c r="D3162" s="56"/>
    </row>
    <row r="3163">
      <c r="A3163" s="67"/>
      <c r="D3163" s="56"/>
    </row>
    <row r="3164">
      <c r="A3164" s="67"/>
      <c r="D3164" s="56"/>
    </row>
    <row r="3165">
      <c r="A3165" s="67"/>
      <c r="D3165" s="56"/>
    </row>
    <row r="3166">
      <c r="A3166" s="67"/>
      <c r="D3166" s="56"/>
    </row>
    <row r="3167">
      <c r="A3167" s="67"/>
      <c r="D3167" s="56"/>
    </row>
    <row r="3168">
      <c r="A3168" s="67"/>
      <c r="D3168" s="56"/>
    </row>
    <row r="3169">
      <c r="A3169" s="67"/>
      <c r="D3169" s="56"/>
    </row>
    <row r="3170">
      <c r="A3170" s="67"/>
      <c r="D3170" s="56"/>
    </row>
    <row r="3171">
      <c r="A3171" s="67"/>
      <c r="D3171" s="56"/>
    </row>
    <row r="3172">
      <c r="A3172" s="67"/>
      <c r="D3172" s="56"/>
    </row>
    <row r="3173">
      <c r="A3173" s="67"/>
      <c r="D3173" s="56"/>
    </row>
    <row r="3174">
      <c r="A3174" s="67"/>
      <c r="D3174" s="56"/>
    </row>
    <row r="3175">
      <c r="A3175" s="67"/>
      <c r="D3175" s="56"/>
    </row>
    <row r="3176">
      <c r="A3176" s="67"/>
      <c r="D3176" s="56"/>
    </row>
    <row r="3177">
      <c r="A3177" s="67"/>
      <c r="D3177" s="56"/>
    </row>
    <row r="3178">
      <c r="A3178" s="67"/>
      <c r="D3178" s="56"/>
    </row>
    <row r="3179">
      <c r="A3179" s="67"/>
      <c r="D3179" s="56"/>
    </row>
    <row r="3180">
      <c r="A3180" s="67"/>
      <c r="D3180" s="56"/>
    </row>
    <row r="3181">
      <c r="A3181" s="67"/>
      <c r="D3181" s="56"/>
    </row>
    <row r="3182">
      <c r="A3182" s="67"/>
      <c r="D3182" s="56"/>
    </row>
    <row r="3183">
      <c r="A3183" s="67"/>
      <c r="D3183" s="56"/>
    </row>
    <row r="3184">
      <c r="A3184" s="67"/>
      <c r="D3184" s="56"/>
    </row>
    <row r="3185">
      <c r="A3185" s="67"/>
      <c r="D3185" s="56"/>
    </row>
    <row r="3186">
      <c r="A3186" s="67"/>
      <c r="D3186" s="56"/>
    </row>
    <row r="3187">
      <c r="A3187" s="67"/>
      <c r="D3187" s="56"/>
    </row>
    <row r="3188">
      <c r="A3188" s="67"/>
      <c r="D3188" s="56"/>
    </row>
    <row r="3189">
      <c r="A3189" s="67"/>
      <c r="D3189" s="56"/>
    </row>
    <row r="3190">
      <c r="A3190" s="67"/>
      <c r="D3190" s="56"/>
    </row>
    <row r="3191">
      <c r="A3191" s="67"/>
      <c r="D3191" s="56"/>
    </row>
    <row r="3192">
      <c r="A3192" s="67"/>
      <c r="D3192" s="56"/>
    </row>
    <row r="3193">
      <c r="A3193" s="67"/>
      <c r="D3193" s="56"/>
    </row>
    <row r="3194">
      <c r="A3194" s="67"/>
      <c r="D3194" s="56"/>
    </row>
    <row r="3195">
      <c r="A3195" s="67"/>
      <c r="D3195" s="56"/>
    </row>
    <row r="3196">
      <c r="A3196" s="67"/>
      <c r="D3196" s="56"/>
    </row>
    <row r="3197">
      <c r="A3197" s="67"/>
      <c r="D3197" s="56"/>
    </row>
    <row r="3198">
      <c r="A3198" s="67"/>
      <c r="D3198" s="56"/>
    </row>
    <row r="3199">
      <c r="A3199" s="67"/>
      <c r="D3199" s="56"/>
    </row>
    <row r="3200">
      <c r="A3200" s="67"/>
      <c r="D3200" s="56"/>
    </row>
    <row r="3201">
      <c r="A3201" s="67"/>
      <c r="D3201" s="56"/>
    </row>
    <row r="3202">
      <c r="A3202" s="67"/>
      <c r="D3202" s="56"/>
    </row>
    <row r="3203">
      <c r="A3203" s="67"/>
      <c r="D3203" s="56"/>
    </row>
    <row r="3204">
      <c r="A3204" s="67"/>
      <c r="D3204" s="56"/>
    </row>
    <row r="3205">
      <c r="A3205" s="67"/>
      <c r="D3205" s="56"/>
    </row>
    <row r="3206">
      <c r="A3206" s="67"/>
      <c r="D3206" s="56"/>
    </row>
    <row r="3207">
      <c r="A3207" s="67"/>
      <c r="D3207" s="56"/>
    </row>
    <row r="3208">
      <c r="A3208" s="67"/>
      <c r="D3208" s="56"/>
    </row>
    <row r="3209">
      <c r="A3209" s="67"/>
      <c r="D3209" s="56"/>
    </row>
    <row r="3210">
      <c r="A3210" s="67"/>
      <c r="D3210" s="56"/>
    </row>
    <row r="3211">
      <c r="A3211" s="67"/>
      <c r="D3211" s="56"/>
    </row>
    <row r="3212">
      <c r="A3212" s="67"/>
      <c r="D3212" s="56"/>
    </row>
    <row r="3213">
      <c r="A3213" s="67"/>
      <c r="D3213" s="56"/>
    </row>
    <row r="3214">
      <c r="A3214" s="67"/>
      <c r="D3214" s="56"/>
    </row>
    <row r="3215">
      <c r="A3215" s="67"/>
      <c r="D3215" s="56"/>
    </row>
    <row r="3216">
      <c r="A3216" s="67"/>
      <c r="D3216" s="56"/>
    </row>
    <row r="3217">
      <c r="A3217" s="67"/>
      <c r="D3217" s="56"/>
    </row>
    <row r="3218">
      <c r="A3218" s="67"/>
      <c r="D3218" s="56"/>
    </row>
    <row r="3219">
      <c r="A3219" s="67"/>
      <c r="D3219" s="56"/>
    </row>
    <row r="3220">
      <c r="A3220" s="67"/>
      <c r="D3220" s="56"/>
    </row>
    <row r="3221">
      <c r="A3221" s="67"/>
      <c r="D3221" s="62"/>
    </row>
    <row r="3222">
      <c r="A3222" s="67"/>
      <c r="D3222" s="62"/>
    </row>
    <row r="3223">
      <c r="A3223" s="67"/>
      <c r="D3223" s="62"/>
    </row>
    <row r="3224">
      <c r="A3224" s="67"/>
      <c r="D3224" s="56"/>
    </row>
    <row r="3225">
      <c r="A3225" s="67"/>
      <c r="D3225" s="56"/>
    </row>
    <row r="3226">
      <c r="A3226" s="67"/>
      <c r="D3226" s="56"/>
    </row>
    <row r="3227">
      <c r="A3227" s="67"/>
      <c r="D3227" s="56"/>
    </row>
    <row r="3228">
      <c r="A3228" s="67"/>
      <c r="D3228" s="56"/>
    </row>
    <row r="3229">
      <c r="A3229" s="67"/>
      <c r="D3229" s="56"/>
    </row>
    <row r="3230">
      <c r="A3230" s="67"/>
      <c r="D3230" s="56"/>
    </row>
    <row r="3231">
      <c r="A3231" s="67"/>
      <c r="D3231" s="56"/>
    </row>
    <row r="3232">
      <c r="A3232" s="67"/>
      <c r="D3232" s="56"/>
    </row>
    <row r="3233">
      <c r="A3233" s="67"/>
      <c r="D3233" s="56"/>
    </row>
    <row r="3234">
      <c r="A3234" s="67"/>
      <c r="D3234" s="56"/>
    </row>
    <row r="3235">
      <c r="A3235" s="67"/>
      <c r="D3235" s="56"/>
    </row>
    <row r="3236">
      <c r="A3236" s="67"/>
      <c r="D3236" s="56"/>
    </row>
    <row r="3237">
      <c r="A3237" s="67"/>
      <c r="D3237" s="56"/>
    </row>
    <row r="3238">
      <c r="A3238" s="67"/>
      <c r="D3238" s="56"/>
    </row>
    <row r="3239">
      <c r="A3239" s="67"/>
      <c r="D3239" s="56"/>
    </row>
    <row r="3240">
      <c r="A3240" s="67"/>
      <c r="D3240" s="56"/>
    </row>
    <row r="3241">
      <c r="A3241" s="67"/>
      <c r="D3241" s="56"/>
    </row>
    <row r="3242">
      <c r="A3242" s="68"/>
      <c r="D3242" s="56"/>
    </row>
    <row r="3243">
      <c r="A3243" s="68"/>
      <c r="D3243" s="56"/>
    </row>
    <row r="3244">
      <c r="A3244" s="68"/>
      <c r="D3244" s="56"/>
    </row>
    <row r="3245">
      <c r="A3245" s="68"/>
      <c r="D3245" s="56"/>
    </row>
    <row r="3246">
      <c r="A3246" s="68"/>
      <c r="D3246" s="56"/>
    </row>
    <row r="3247">
      <c r="A3247" s="68"/>
      <c r="D3247" s="56"/>
    </row>
    <row r="3248">
      <c r="A3248" s="68"/>
      <c r="D3248" s="56"/>
    </row>
    <row r="3249">
      <c r="A3249" s="68"/>
      <c r="D3249" s="56"/>
    </row>
    <row r="3250">
      <c r="A3250" s="68"/>
      <c r="D3250" s="56"/>
    </row>
    <row r="3251">
      <c r="A3251" s="68"/>
      <c r="D3251" s="56"/>
    </row>
    <row r="3252">
      <c r="A3252" s="68"/>
      <c r="D3252" s="56"/>
    </row>
    <row r="3253">
      <c r="A3253" s="68"/>
      <c r="D3253" s="56"/>
    </row>
    <row r="3254">
      <c r="A3254" s="68"/>
      <c r="D3254" s="56"/>
    </row>
    <row r="3255">
      <c r="A3255" s="68"/>
      <c r="D3255" s="56"/>
    </row>
    <row r="3256">
      <c r="A3256" s="68"/>
      <c r="D3256" s="56"/>
    </row>
    <row r="3257">
      <c r="A3257" s="68"/>
      <c r="D3257" s="56"/>
    </row>
    <row r="3258">
      <c r="A3258" s="68"/>
      <c r="D3258" s="56"/>
    </row>
    <row r="3259">
      <c r="A3259" s="68"/>
      <c r="D3259" s="56"/>
    </row>
    <row r="3260">
      <c r="A3260" s="68"/>
      <c r="D3260" s="56"/>
    </row>
    <row r="3261">
      <c r="A3261" s="68"/>
      <c r="D3261" s="56"/>
    </row>
    <row r="3262">
      <c r="A3262" s="68"/>
      <c r="D3262" s="56"/>
    </row>
    <row r="3263">
      <c r="A3263" s="68"/>
      <c r="D3263" s="56"/>
    </row>
    <row r="3264">
      <c r="A3264" s="68"/>
      <c r="D3264" s="56"/>
    </row>
    <row r="3265">
      <c r="A3265" s="68"/>
      <c r="D3265" s="56"/>
    </row>
    <row r="3266">
      <c r="A3266" s="68"/>
      <c r="D3266" s="56"/>
    </row>
    <row r="3267">
      <c r="A3267" s="68"/>
      <c r="D3267" s="56"/>
    </row>
    <row r="3268">
      <c r="A3268" s="68"/>
      <c r="D3268" s="56"/>
    </row>
    <row r="3269">
      <c r="A3269" s="68"/>
      <c r="D3269" s="56"/>
    </row>
    <row r="3270">
      <c r="A3270" s="68"/>
      <c r="D3270" s="56"/>
    </row>
    <row r="3271">
      <c r="A3271" s="68"/>
      <c r="D3271" s="56"/>
    </row>
    <row r="3272">
      <c r="A3272" s="68"/>
      <c r="D3272" s="56"/>
    </row>
    <row r="3273">
      <c r="A3273" s="68"/>
      <c r="D3273" s="56"/>
    </row>
    <row r="3274">
      <c r="A3274" s="68"/>
      <c r="D3274" s="56"/>
    </row>
    <row r="3275">
      <c r="A3275" s="68"/>
      <c r="D3275" s="56"/>
    </row>
    <row r="3276">
      <c r="A3276" s="68"/>
      <c r="D3276" s="56"/>
    </row>
    <row r="3277">
      <c r="A3277" s="68"/>
      <c r="D3277" s="62"/>
    </row>
    <row r="3278">
      <c r="A3278" s="68"/>
      <c r="D3278" s="56"/>
    </row>
    <row r="3279">
      <c r="A3279" s="68"/>
      <c r="D3279" s="56"/>
    </row>
    <row r="3280">
      <c r="A3280" s="68"/>
      <c r="D3280" s="56"/>
    </row>
    <row r="3281">
      <c r="A3281" s="68"/>
      <c r="D3281" s="56"/>
    </row>
    <row r="3282">
      <c r="A3282" s="68"/>
      <c r="D3282" s="56"/>
    </row>
    <row r="3283">
      <c r="A3283" s="68"/>
      <c r="D3283" s="56"/>
    </row>
    <row r="3284">
      <c r="A3284" s="68"/>
      <c r="D3284" s="56"/>
    </row>
    <row r="3285">
      <c r="A3285" s="68"/>
      <c r="D3285" s="56"/>
    </row>
    <row r="3286">
      <c r="A3286" s="68"/>
      <c r="D3286" s="56"/>
    </row>
    <row r="3287">
      <c r="A3287" s="68"/>
      <c r="D3287" s="56"/>
    </row>
    <row r="3288">
      <c r="A3288" s="68"/>
      <c r="D3288" s="56"/>
    </row>
    <row r="3289">
      <c r="A3289" s="68"/>
      <c r="D3289" s="56"/>
    </row>
    <row r="3290">
      <c r="A3290" s="68"/>
      <c r="D3290" s="56"/>
    </row>
    <row r="3291">
      <c r="A3291" s="68"/>
      <c r="D3291" s="56"/>
    </row>
    <row r="3292">
      <c r="A3292" s="68"/>
      <c r="D3292" s="56"/>
    </row>
    <row r="3293">
      <c r="A3293" s="68"/>
      <c r="D3293" s="56"/>
    </row>
    <row r="3294">
      <c r="A3294" s="68"/>
      <c r="D3294" s="56"/>
    </row>
    <row r="3295">
      <c r="A3295" s="68"/>
      <c r="D3295" s="56"/>
    </row>
    <row r="3296">
      <c r="A3296" s="68"/>
      <c r="D3296" s="56"/>
    </row>
    <row r="3297">
      <c r="A3297" s="68"/>
      <c r="D3297" s="56"/>
    </row>
    <row r="3298">
      <c r="A3298" s="68"/>
      <c r="D3298" s="56"/>
    </row>
    <row r="3299">
      <c r="A3299" s="68"/>
      <c r="D3299" s="56"/>
    </row>
    <row r="3300">
      <c r="A3300" s="68"/>
      <c r="D3300" s="56"/>
    </row>
    <row r="3301">
      <c r="A3301" s="68"/>
      <c r="D3301" s="56"/>
    </row>
    <row r="3302">
      <c r="A3302" s="68"/>
      <c r="D3302" s="56"/>
    </row>
    <row r="3303">
      <c r="A3303" s="68"/>
      <c r="D3303" s="56"/>
    </row>
    <row r="3304">
      <c r="A3304" s="68"/>
      <c r="D3304" s="56"/>
    </row>
    <row r="3305">
      <c r="A3305" s="68"/>
      <c r="D3305" s="56"/>
    </row>
    <row r="3306">
      <c r="A3306" s="68"/>
      <c r="D3306" s="56"/>
    </row>
    <row r="3307">
      <c r="A3307" s="68"/>
      <c r="D3307" s="56"/>
    </row>
    <row r="3308">
      <c r="A3308" s="64"/>
      <c r="D3308" s="56"/>
    </row>
    <row r="3309">
      <c r="A3309" s="64"/>
      <c r="D3309" s="56"/>
    </row>
    <row r="3310">
      <c r="A3310" s="64"/>
      <c r="D3310" s="56"/>
    </row>
    <row r="3311">
      <c r="A3311" s="64"/>
      <c r="D3311" s="56"/>
    </row>
    <row r="3312">
      <c r="A3312" s="64"/>
      <c r="D3312" s="56"/>
    </row>
    <row r="3313">
      <c r="A3313" s="64"/>
      <c r="D3313" s="56"/>
    </row>
    <row r="3314">
      <c r="A3314" s="64"/>
      <c r="D3314" s="56"/>
    </row>
    <row r="3315">
      <c r="A3315" s="64"/>
      <c r="D3315" s="56"/>
    </row>
    <row r="3316">
      <c r="A3316" s="64"/>
      <c r="D3316" s="56"/>
    </row>
    <row r="3317">
      <c r="A3317" s="64"/>
      <c r="D3317" s="56"/>
    </row>
    <row r="3318">
      <c r="A3318" s="64"/>
      <c r="D3318" s="56"/>
    </row>
    <row r="3319">
      <c r="A3319" s="64"/>
      <c r="D3319" s="56"/>
    </row>
    <row r="3320">
      <c r="A3320" s="64"/>
      <c r="D3320" s="56"/>
    </row>
    <row r="3321">
      <c r="A3321" s="64"/>
      <c r="D3321" s="56"/>
    </row>
    <row r="3322">
      <c r="A3322" s="64"/>
      <c r="D3322" s="56"/>
    </row>
    <row r="3323">
      <c r="A3323" s="64"/>
      <c r="D3323" s="56"/>
    </row>
    <row r="3324">
      <c r="A3324" s="64"/>
      <c r="D3324" s="62"/>
    </row>
    <row r="3325">
      <c r="A3325" s="64"/>
      <c r="D3325" s="56"/>
    </row>
    <row r="3326">
      <c r="A3326" s="64"/>
      <c r="D3326" s="56"/>
    </row>
    <row r="3327">
      <c r="A3327" s="64"/>
      <c r="D3327" s="56"/>
    </row>
    <row r="3328">
      <c r="A3328" s="64"/>
      <c r="D3328" s="56"/>
    </row>
    <row r="3329">
      <c r="A3329" s="64"/>
      <c r="D3329" s="56"/>
    </row>
    <row r="3330">
      <c r="A3330" s="64"/>
      <c r="D3330" s="56"/>
    </row>
    <row r="3331">
      <c r="A3331" s="64"/>
      <c r="D3331" s="56"/>
    </row>
    <row r="3332">
      <c r="A3332" s="64"/>
      <c r="D3332" s="56"/>
    </row>
    <row r="3333">
      <c r="A3333" s="64"/>
      <c r="D3333" s="56"/>
    </row>
    <row r="3334">
      <c r="A3334" s="64"/>
      <c r="D3334" s="56"/>
    </row>
    <row r="3335">
      <c r="A3335" s="64"/>
      <c r="D3335" s="56"/>
    </row>
    <row r="3336">
      <c r="A3336" s="64"/>
      <c r="D3336" s="56"/>
    </row>
    <row r="3337">
      <c r="A3337" s="64"/>
      <c r="D3337" s="56"/>
    </row>
    <row r="3338">
      <c r="A3338" s="64"/>
      <c r="D3338" s="56"/>
    </row>
    <row r="3339">
      <c r="A3339" s="64"/>
      <c r="D3339" s="56"/>
    </row>
    <row r="3340">
      <c r="A3340" s="64"/>
      <c r="D3340" s="56"/>
    </row>
    <row r="3341">
      <c r="A3341" s="64"/>
      <c r="D3341" s="56"/>
    </row>
    <row r="3342">
      <c r="A3342" s="64"/>
      <c r="D3342" s="56"/>
    </row>
    <row r="3343">
      <c r="A3343" s="64"/>
      <c r="D3343" s="56"/>
    </row>
    <row r="3344">
      <c r="A3344" s="64"/>
      <c r="D3344" s="56"/>
    </row>
    <row r="3345">
      <c r="A3345" s="64"/>
      <c r="D3345" s="56"/>
    </row>
    <row r="3346">
      <c r="A3346" s="64"/>
      <c r="D3346" s="56"/>
    </row>
    <row r="3347">
      <c r="A3347" s="64"/>
      <c r="D3347" s="56"/>
    </row>
    <row r="3348">
      <c r="A3348" s="64"/>
      <c r="D3348" s="56"/>
    </row>
    <row r="3349">
      <c r="A3349" s="64"/>
      <c r="D3349" s="56"/>
    </row>
    <row r="3350">
      <c r="A3350" s="64"/>
      <c r="D3350" s="56"/>
    </row>
    <row r="3351">
      <c r="A3351" s="64"/>
      <c r="D3351" s="56"/>
    </row>
    <row r="3352">
      <c r="A3352" s="64"/>
      <c r="D3352" s="56"/>
    </row>
    <row r="3353">
      <c r="A3353" s="64"/>
      <c r="D3353" s="56"/>
    </row>
    <row r="3354">
      <c r="A3354" s="64"/>
      <c r="D3354" s="56"/>
    </row>
    <row r="3355">
      <c r="A3355" s="64"/>
      <c r="D3355" s="56"/>
    </row>
    <row r="3356">
      <c r="A3356" s="64"/>
      <c r="D3356" s="56"/>
    </row>
    <row r="3357">
      <c r="A3357" s="64"/>
      <c r="D3357" s="56"/>
    </row>
    <row r="3358">
      <c r="A3358" s="64"/>
      <c r="D3358" s="56"/>
    </row>
    <row r="3359">
      <c r="A3359" s="64"/>
      <c r="D3359" s="56"/>
    </row>
    <row r="3360">
      <c r="A3360" s="64"/>
      <c r="D3360" s="56"/>
    </row>
    <row r="3361">
      <c r="A3361" s="64"/>
      <c r="D3361" s="56"/>
    </row>
    <row r="3362">
      <c r="A3362" s="64"/>
      <c r="D3362" s="56"/>
    </row>
    <row r="3363">
      <c r="A3363" s="64"/>
      <c r="D3363" s="56"/>
    </row>
    <row r="3364">
      <c r="A3364" s="64"/>
      <c r="D3364" s="56"/>
    </row>
    <row r="3365">
      <c r="A3365" s="64"/>
      <c r="D3365" s="56"/>
    </row>
    <row r="3366">
      <c r="A3366" s="64"/>
      <c r="D3366" s="56"/>
    </row>
    <row r="3367">
      <c r="A3367" s="64"/>
      <c r="D3367" s="56"/>
    </row>
    <row r="3368">
      <c r="A3368" s="64"/>
      <c r="D3368" s="56"/>
    </row>
    <row r="3369">
      <c r="A3369" s="64"/>
      <c r="D3369" s="56"/>
    </row>
    <row r="3370">
      <c r="A3370" s="64"/>
      <c r="D3370" s="56"/>
    </row>
    <row r="3371">
      <c r="A3371" s="64"/>
      <c r="D3371" s="56"/>
    </row>
    <row r="3372">
      <c r="A3372" s="64"/>
      <c r="D3372" s="56"/>
    </row>
    <row r="3373">
      <c r="A3373" s="64"/>
      <c r="D3373" s="56"/>
    </row>
    <row r="3374">
      <c r="A3374" s="64"/>
      <c r="D3374" s="56"/>
    </row>
    <row r="3375">
      <c r="A3375" s="64"/>
      <c r="D3375" s="56"/>
    </row>
    <row r="3376">
      <c r="A3376" s="64"/>
      <c r="D3376" s="56"/>
    </row>
    <row r="3377">
      <c r="A3377" s="64"/>
      <c r="D3377" s="56"/>
    </row>
    <row r="3378">
      <c r="A3378" s="64"/>
      <c r="D3378" s="56"/>
    </row>
    <row r="3379">
      <c r="A3379" s="64"/>
      <c r="D3379" s="56"/>
    </row>
    <row r="3380">
      <c r="A3380" s="64"/>
      <c r="D3380" s="56"/>
    </row>
    <row r="3381">
      <c r="A3381" s="64"/>
      <c r="D3381" s="56"/>
    </row>
    <row r="3382">
      <c r="A3382" s="64"/>
      <c r="D3382" s="56"/>
    </row>
    <row r="3383">
      <c r="A3383" s="64"/>
      <c r="D3383" s="56"/>
    </row>
    <row r="3384">
      <c r="A3384" s="64"/>
      <c r="D3384" s="56"/>
    </row>
    <row r="3385">
      <c r="A3385" s="64"/>
      <c r="D3385" s="56"/>
    </row>
    <row r="3386">
      <c r="A3386" s="64"/>
      <c r="D3386" s="56"/>
    </row>
    <row r="3387">
      <c r="A3387" s="64"/>
      <c r="D3387" s="56"/>
    </row>
    <row r="3388">
      <c r="A3388" s="64"/>
      <c r="D3388" s="56"/>
    </row>
    <row r="3389">
      <c r="A3389" s="64"/>
      <c r="D3389" s="56"/>
    </row>
    <row r="3390">
      <c r="A3390" s="64"/>
      <c r="D3390" s="56"/>
    </row>
    <row r="3391">
      <c r="A3391" s="64"/>
      <c r="D3391" s="56"/>
    </row>
    <row r="3392">
      <c r="A3392" s="64"/>
      <c r="D3392" s="56"/>
    </row>
    <row r="3393">
      <c r="A3393" s="64"/>
      <c r="D3393" s="56"/>
    </row>
    <row r="3394">
      <c r="A3394" s="64"/>
      <c r="D3394" s="56"/>
    </row>
    <row r="3395">
      <c r="A3395" s="64"/>
      <c r="D3395" s="56"/>
    </row>
    <row r="3396">
      <c r="A3396" s="64"/>
      <c r="D3396" s="56"/>
    </row>
    <row r="3397">
      <c r="A3397" s="64"/>
      <c r="D3397" s="56"/>
    </row>
    <row r="3398">
      <c r="A3398" s="64"/>
      <c r="D3398" s="56"/>
    </row>
    <row r="3399">
      <c r="A3399" s="64"/>
      <c r="D3399" s="56"/>
    </row>
    <row r="3400">
      <c r="A3400" s="64"/>
      <c r="D3400" s="56"/>
    </row>
    <row r="3401">
      <c r="A3401" s="64"/>
      <c r="D3401" s="56"/>
    </row>
    <row r="3402">
      <c r="A3402" s="64"/>
      <c r="D3402" s="56"/>
    </row>
    <row r="3403">
      <c r="A3403" s="64"/>
      <c r="D3403" s="56"/>
    </row>
    <row r="3404">
      <c r="A3404" s="64"/>
      <c r="D3404" s="56"/>
    </row>
    <row r="3405">
      <c r="A3405" s="64"/>
      <c r="D3405" s="62"/>
    </row>
    <row r="3406">
      <c r="A3406" s="64"/>
      <c r="D3406" s="62"/>
    </row>
    <row r="3407">
      <c r="A3407" s="64"/>
      <c r="D3407" s="62"/>
    </row>
    <row r="3408">
      <c r="A3408" s="64"/>
      <c r="D3408" s="56"/>
    </row>
    <row r="3409">
      <c r="A3409" s="64"/>
      <c r="D3409" s="56"/>
    </row>
    <row r="3410">
      <c r="A3410" s="64"/>
      <c r="D3410" s="56"/>
    </row>
    <row r="3411">
      <c r="A3411" s="64"/>
      <c r="D3411" s="56"/>
    </row>
    <row r="3412">
      <c r="A3412" s="64"/>
      <c r="D3412" s="56"/>
    </row>
    <row r="3413">
      <c r="A3413" s="64"/>
      <c r="D3413" s="56"/>
    </row>
    <row r="3414">
      <c r="A3414" s="64"/>
      <c r="D3414" s="56"/>
    </row>
    <row r="3415">
      <c r="A3415" s="64"/>
      <c r="D3415" s="56"/>
    </row>
    <row r="3416">
      <c r="A3416" s="64"/>
      <c r="D3416" s="56"/>
    </row>
    <row r="3417">
      <c r="A3417" s="64"/>
      <c r="D3417" s="56"/>
    </row>
    <row r="3418">
      <c r="A3418" s="64"/>
      <c r="D3418" s="56"/>
    </row>
    <row r="3419">
      <c r="A3419" s="64"/>
      <c r="D3419" s="56"/>
    </row>
    <row r="3420">
      <c r="A3420" s="64"/>
      <c r="D3420" s="56"/>
    </row>
    <row r="3421">
      <c r="A3421" s="64"/>
      <c r="D3421" s="56"/>
    </row>
    <row r="3422">
      <c r="A3422" s="64"/>
      <c r="D3422" s="56"/>
    </row>
    <row r="3423">
      <c r="A3423" s="64"/>
      <c r="D3423" s="56"/>
    </row>
    <row r="3424">
      <c r="A3424" s="64"/>
      <c r="D3424" s="56"/>
    </row>
    <row r="3425">
      <c r="A3425" s="64"/>
      <c r="D3425" s="56"/>
    </row>
    <row r="3426">
      <c r="A3426" s="64"/>
      <c r="D3426" s="56"/>
    </row>
    <row r="3427">
      <c r="A3427" s="64"/>
      <c r="D3427" s="56"/>
    </row>
    <row r="3428">
      <c r="A3428" s="64"/>
      <c r="D3428" s="56"/>
    </row>
    <row r="3429">
      <c r="A3429" s="64"/>
      <c r="D3429" s="56"/>
    </row>
    <row r="3430">
      <c r="A3430" s="64"/>
      <c r="D3430" s="56"/>
    </row>
    <row r="3431">
      <c r="A3431" s="64"/>
      <c r="D3431" s="56"/>
    </row>
    <row r="3432">
      <c r="A3432" s="64"/>
      <c r="D3432" s="56"/>
    </row>
    <row r="3433">
      <c r="A3433" s="64"/>
      <c r="D3433" s="56"/>
    </row>
    <row r="3434">
      <c r="A3434" s="64"/>
      <c r="D3434" s="56"/>
    </row>
    <row r="3435">
      <c r="A3435" s="64"/>
      <c r="D3435" s="56"/>
    </row>
    <row r="3436">
      <c r="A3436" s="64"/>
      <c r="D3436" s="56"/>
    </row>
    <row r="3437">
      <c r="A3437" s="64"/>
      <c r="D3437" s="56"/>
    </row>
    <row r="3438">
      <c r="A3438" s="66"/>
      <c r="D3438" s="56"/>
    </row>
    <row r="3439">
      <c r="A3439" s="66"/>
      <c r="D3439" s="56"/>
    </row>
    <row r="3440">
      <c r="A3440" s="66"/>
      <c r="D3440" s="56"/>
    </row>
    <row r="3441">
      <c r="A3441" s="66"/>
      <c r="D3441" s="56"/>
    </row>
    <row r="3442">
      <c r="A3442" s="66"/>
      <c r="D3442" s="56"/>
    </row>
    <row r="3443">
      <c r="A3443" s="66"/>
      <c r="D3443" s="56"/>
    </row>
    <row r="3444">
      <c r="A3444" s="66"/>
      <c r="D3444" s="56"/>
    </row>
    <row r="3445">
      <c r="A3445" s="66"/>
      <c r="D3445" s="56"/>
    </row>
    <row r="3446">
      <c r="A3446" s="66"/>
      <c r="D3446" s="56"/>
    </row>
    <row r="3447">
      <c r="A3447" s="66"/>
      <c r="D3447" s="56"/>
    </row>
    <row r="3448">
      <c r="A3448" s="66"/>
      <c r="D3448" s="56"/>
    </row>
    <row r="3449">
      <c r="A3449" s="66"/>
      <c r="D3449" s="56"/>
    </row>
    <row r="3450">
      <c r="A3450" s="66"/>
      <c r="D3450" s="56"/>
    </row>
    <row r="3451">
      <c r="A3451" s="66"/>
      <c r="D3451" s="56"/>
    </row>
    <row r="3452">
      <c r="A3452" s="66"/>
      <c r="D3452" s="56"/>
    </row>
    <row r="3453">
      <c r="A3453" s="66"/>
      <c r="D3453" s="56"/>
    </row>
    <row r="3454">
      <c r="A3454" s="66"/>
      <c r="D3454" s="56"/>
    </row>
    <row r="3455">
      <c r="A3455" s="66"/>
      <c r="D3455" s="56"/>
    </row>
    <row r="3456">
      <c r="A3456" s="66"/>
      <c r="D3456" s="56"/>
    </row>
    <row r="3457">
      <c r="A3457" s="66"/>
      <c r="D3457" s="56"/>
    </row>
    <row r="3458">
      <c r="A3458" s="66"/>
      <c r="D3458" s="56"/>
    </row>
    <row r="3459">
      <c r="A3459" s="66"/>
      <c r="D3459" s="56"/>
    </row>
    <row r="3460">
      <c r="A3460" s="66"/>
      <c r="D3460" s="56"/>
    </row>
    <row r="3461">
      <c r="A3461" s="64"/>
      <c r="D3461" s="56"/>
    </row>
    <row r="3462">
      <c r="A3462" s="64"/>
      <c r="D3462" s="62"/>
    </row>
    <row r="3463">
      <c r="A3463" s="64"/>
      <c r="D3463" s="56"/>
    </row>
    <row r="3464">
      <c r="A3464" s="64"/>
      <c r="D3464" s="56"/>
    </row>
    <row r="3465">
      <c r="A3465" s="64"/>
      <c r="D3465" s="56"/>
    </row>
    <row r="3466">
      <c r="A3466" s="64"/>
      <c r="D3466" s="56"/>
    </row>
    <row r="3467">
      <c r="A3467" s="64"/>
      <c r="D3467" s="56"/>
    </row>
    <row r="3468">
      <c r="A3468" s="64"/>
      <c r="D3468" s="56"/>
    </row>
    <row r="3469">
      <c r="A3469" s="64"/>
      <c r="D3469" s="56"/>
    </row>
    <row r="3470">
      <c r="A3470" s="64"/>
      <c r="D3470" s="56"/>
    </row>
    <row r="3471">
      <c r="A3471" s="64"/>
      <c r="D3471" s="56"/>
    </row>
    <row r="3472">
      <c r="A3472" s="64"/>
      <c r="D3472" s="56"/>
    </row>
    <row r="3473">
      <c r="A3473" s="64"/>
      <c r="D3473" s="56"/>
    </row>
    <row r="3474">
      <c r="A3474" s="64"/>
      <c r="D3474" s="56"/>
    </row>
    <row r="3475">
      <c r="A3475" s="64"/>
      <c r="D3475" s="56"/>
    </row>
    <row r="3476">
      <c r="A3476" s="64"/>
      <c r="D3476" s="56"/>
    </row>
    <row r="3477">
      <c r="A3477" s="64"/>
      <c r="D3477" s="56"/>
    </row>
    <row r="3478">
      <c r="A3478" s="64"/>
      <c r="D3478" s="56"/>
    </row>
    <row r="3479">
      <c r="A3479" s="64"/>
      <c r="D3479" s="56"/>
    </row>
    <row r="3480">
      <c r="A3480" s="64"/>
      <c r="D3480" s="56"/>
    </row>
    <row r="3481">
      <c r="A3481" s="64"/>
      <c r="D3481" s="56"/>
    </row>
    <row r="3482">
      <c r="A3482" s="64"/>
      <c r="D3482" s="56"/>
    </row>
    <row r="3483">
      <c r="A3483" s="64"/>
      <c r="D3483" s="56"/>
    </row>
    <row r="3484">
      <c r="A3484" s="64"/>
      <c r="D3484" s="56"/>
    </row>
    <row r="3485">
      <c r="A3485" s="66"/>
      <c r="D3485" s="56"/>
    </row>
    <row r="3486">
      <c r="A3486" s="66"/>
      <c r="D3486" s="56"/>
    </row>
    <row r="3487">
      <c r="A3487" s="66"/>
      <c r="D3487" s="56"/>
    </row>
    <row r="3488">
      <c r="A3488" s="66"/>
      <c r="D3488" s="56"/>
    </row>
    <row r="3489">
      <c r="A3489" s="66"/>
      <c r="D3489" s="56"/>
    </row>
    <row r="3490">
      <c r="A3490" s="64"/>
      <c r="D3490" s="56"/>
    </row>
    <row r="3491">
      <c r="A3491" s="64"/>
      <c r="D3491" s="56"/>
    </row>
    <row r="3492">
      <c r="A3492" s="64"/>
      <c r="D3492" s="56"/>
    </row>
    <row r="3493">
      <c r="A3493" s="64"/>
      <c r="D3493" s="56"/>
    </row>
    <row r="3494">
      <c r="A3494" s="64"/>
      <c r="D3494" s="56"/>
    </row>
    <row r="3495">
      <c r="A3495" s="64"/>
      <c r="D3495" s="56"/>
    </row>
    <row r="3496">
      <c r="A3496" s="64"/>
      <c r="D3496" s="56"/>
    </row>
    <row r="3497">
      <c r="A3497" s="64"/>
      <c r="D3497" s="56"/>
    </row>
    <row r="3498">
      <c r="A3498" s="64"/>
      <c r="D3498" s="56"/>
    </row>
    <row r="3499">
      <c r="A3499" s="64"/>
      <c r="D3499" s="56"/>
    </row>
    <row r="3500">
      <c r="A3500" s="64"/>
      <c r="D3500" s="56"/>
    </row>
    <row r="3501">
      <c r="A3501" s="64"/>
      <c r="D3501" s="56"/>
    </row>
    <row r="3502">
      <c r="A3502" s="64"/>
      <c r="D3502" s="56"/>
    </row>
    <row r="3503">
      <c r="A3503" s="64"/>
      <c r="D3503" s="56"/>
    </row>
    <row r="3504">
      <c r="A3504" s="64"/>
      <c r="D3504" s="56"/>
    </row>
    <row r="3505">
      <c r="A3505" s="66"/>
      <c r="D3505" s="56"/>
    </row>
    <row r="3506">
      <c r="A3506" s="66"/>
      <c r="D3506" s="56"/>
    </row>
    <row r="3507">
      <c r="A3507" s="66"/>
      <c r="D3507" s="56"/>
    </row>
    <row r="3508">
      <c r="A3508" s="66"/>
      <c r="D3508" s="56"/>
    </row>
    <row r="3509">
      <c r="A3509" s="66"/>
      <c r="D3509" s="56"/>
    </row>
    <row r="3510">
      <c r="A3510" s="66"/>
      <c r="D3510" s="56"/>
    </row>
    <row r="3511">
      <c r="A3511" s="66"/>
      <c r="D3511" s="62"/>
    </row>
    <row r="3512">
      <c r="A3512" s="66"/>
      <c r="D3512" s="56"/>
    </row>
    <row r="3513">
      <c r="A3513" s="66"/>
      <c r="D3513" s="56"/>
    </row>
    <row r="3514">
      <c r="A3514" s="66"/>
      <c r="D3514" s="56"/>
    </row>
    <row r="3515">
      <c r="A3515" s="64"/>
      <c r="D3515" s="56"/>
    </row>
    <row r="3516">
      <c r="A3516" s="64"/>
      <c r="D3516" s="56"/>
    </row>
    <row r="3517">
      <c r="A3517" s="64"/>
      <c r="D3517" s="56"/>
    </row>
    <row r="3518">
      <c r="A3518" s="64"/>
      <c r="D3518" s="56"/>
    </row>
    <row r="3519">
      <c r="A3519" s="64"/>
      <c r="D3519" s="62"/>
    </row>
    <row r="3520">
      <c r="A3520" s="64"/>
      <c r="D3520" s="56"/>
    </row>
    <row r="3521">
      <c r="A3521" s="64"/>
      <c r="D3521" s="56"/>
    </row>
    <row r="3522">
      <c r="A3522" s="64"/>
      <c r="D3522" s="56"/>
    </row>
    <row r="3523">
      <c r="A3523" s="64"/>
      <c r="D3523" s="56"/>
    </row>
    <row r="3524">
      <c r="A3524" s="66"/>
      <c r="D3524" s="62"/>
    </row>
    <row r="3525">
      <c r="A3525" s="66"/>
      <c r="D3525" s="56"/>
    </row>
    <row r="3526">
      <c r="A3526" s="66"/>
      <c r="D3526" s="63"/>
    </row>
    <row r="3527">
      <c r="A3527" s="66"/>
      <c r="D3527" s="63"/>
    </row>
    <row r="3528">
      <c r="A3528" s="66"/>
      <c r="D3528" s="63"/>
    </row>
    <row r="3529">
      <c r="A3529" s="66"/>
      <c r="D3529" s="63"/>
    </row>
    <row r="3530">
      <c r="A3530" s="66"/>
      <c r="D3530" s="63"/>
    </row>
    <row r="3531">
      <c r="A3531" s="66"/>
      <c r="D3531" s="63"/>
    </row>
    <row r="3532">
      <c r="A3532" s="64"/>
      <c r="D3532" s="63"/>
    </row>
    <row r="3533">
      <c r="A3533" s="64"/>
      <c r="D3533" s="63"/>
    </row>
    <row r="3534">
      <c r="A3534" s="64"/>
      <c r="D3534" s="63"/>
    </row>
    <row r="3535">
      <c r="A3535" s="64"/>
      <c r="D3535" s="63"/>
    </row>
    <row r="3536">
      <c r="A3536" s="64"/>
      <c r="D3536" s="63"/>
    </row>
    <row r="3537">
      <c r="A3537" s="66"/>
      <c r="D3537" s="63"/>
    </row>
    <row r="3538">
      <c r="A3538" s="64"/>
      <c r="D3538" s="63"/>
    </row>
    <row r="3539">
      <c r="A3539" s="64"/>
      <c r="D3539" s="63"/>
    </row>
    <row r="3540">
      <c r="A3540" s="64"/>
      <c r="D3540" s="63"/>
    </row>
    <row r="3541">
      <c r="A3541" s="64"/>
      <c r="D3541" s="63"/>
    </row>
    <row r="3542">
      <c r="A3542" s="64"/>
      <c r="D3542" s="63"/>
    </row>
    <row r="3543">
      <c r="A3543" s="64"/>
      <c r="D3543" s="63"/>
    </row>
    <row r="3544">
      <c r="A3544" s="64"/>
      <c r="D3544" s="63"/>
    </row>
    <row r="3545">
      <c r="A3545" s="64"/>
      <c r="D3545" s="63"/>
    </row>
    <row r="3546">
      <c r="A3546" s="64"/>
      <c r="D3546" s="63"/>
    </row>
    <row r="3547">
      <c r="A3547" s="64"/>
      <c r="D3547" s="63"/>
    </row>
    <row r="3548">
      <c r="A3548" s="64"/>
      <c r="D3548" s="63"/>
    </row>
    <row r="3549">
      <c r="D3549" s="63"/>
      <c r="F3549" s="70"/>
    </row>
    <row r="3550">
      <c r="D3550" s="63"/>
      <c r="F3550" s="70"/>
    </row>
    <row r="3551">
      <c r="D3551" s="63"/>
      <c r="F3551" s="70"/>
    </row>
    <row r="3552">
      <c r="D3552" s="63"/>
      <c r="F3552" s="70"/>
    </row>
    <row r="3553">
      <c r="D3553" s="63"/>
      <c r="F3553" s="70"/>
    </row>
    <row r="3554">
      <c r="D3554" s="63"/>
      <c r="F3554" s="70"/>
    </row>
    <row r="3555">
      <c r="D3555" s="63"/>
      <c r="F3555" s="70"/>
    </row>
    <row r="3556">
      <c r="D3556" s="63"/>
      <c r="F3556" s="70"/>
    </row>
    <row r="3557">
      <c r="D3557" s="63"/>
      <c r="F3557" s="70"/>
    </row>
    <row r="3558">
      <c r="D3558" s="63"/>
      <c r="F3558" s="70"/>
    </row>
    <row r="3559">
      <c r="D3559" s="63"/>
      <c r="F3559" s="70"/>
    </row>
    <row r="3560">
      <c r="D3560" s="63"/>
      <c r="F3560" s="70"/>
    </row>
    <row r="3561">
      <c r="D3561" s="63"/>
      <c r="F3561" s="70"/>
    </row>
    <row r="3562">
      <c r="D3562" s="63"/>
      <c r="F3562" s="70"/>
    </row>
    <row r="3563">
      <c r="D3563" s="63"/>
      <c r="F3563" s="70"/>
    </row>
    <row r="3564">
      <c r="D3564" s="63"/>
      <c r="F3564" s="66"/>
    </row>
    <row r="3565">
      <c r="D3565" s="63"/>
      <c r="F3565" s="66"/>
    </row>
    <row r="3566">
      <c r="D3566" s="63"/>
      <c r="F3566" s="66"/>
    </row>
    <row r="3567">
      <c r="D3567" s="63"/>
      <c r="F3567" s="66"/>
    </row>
    <row r="3568">
      <c r="D3568" s="63"/>
      <c r="F3568" s="66"/>
    </row>
    <row r="3569">
      <c r="D3569" s="63"/>
      <c r="F3569" s="66"/>
    </row>
    <row r="3570">
      <c r="D3570" s="63"/>
      <c r="F3570" s="66"/>
    </row>
    <row r="3571">
      <c r="D3571" s="63"/>
      <c r="F3571" s="66"/>
    </row>
    <row r="3572">
      <c r="D3572" s="63"/>
      <c r="F3572" s="66"/>
    </row>
    <row r="3573">
      <c r="D3573" s="63"/>
      <c r="F3573" s="66"/>
    </row>
    <row r="3574">
      <c r="D3574" s="63"/>
      <c r="F3574" s="66"/>
    </row>
    <row r="3575">
      <c r="D3575" s="63"/>
      <c r="F3575" s="66"/>
    </row>
    <row r="3576">
      <c r="D3576" s="63"/>
      <c r="F3576" s="64"/>
    </row>
    <row r="3577">
      <c r="D3577" s="63"/>
      <c r="F3577" s="64"/>
    </row>
    <row r="3578">
      <c r="D3578" s="63"/>
      <c r="F3578" s="64"/>
    </row>
    <row r="3579">
      <c r="D3579" s="63"/>
      <c r="F3579" s="64"/>
    </row>
    <row r="3580">
      <c r="D3580" s="63"/>
      <c r="F3580" s="64"/>
    </row>
    <row r="3581">
      <c r="D3581" s="63"/>
      <c r="F3581" s="64"/>
    </row>
    <row r="3582">
      <c r="D3582" s="63"/>
      <c r="F3582" s="64"/>
    </row>
    <row r="3583">
      <c r="D3583" s="63"/>
      <c r="F3583" s="64"/>
    </row>
    <row r="3584">
      <c r="D3584" s="63"/>
      <c r="F3584" s="64"/>
    </row>
    <row r="3585">
      <c r="D3585" s="63"/>
      <c r="F3585" s="64"/>
    </row>
    <row r="3586">
      <c r="D3586" s="63"/>
      <c r="F3586" s="64"/>
    </row>
    <row r="3587">
      <c r="D3587" s="63"/>
      <c r="F3587" s="64"/>
    </row>
    <row r="3588">
      <c r="D3588" s="63"/>
      <c r="F3588" s="64"/>
    </row>
    <row r="3589">
      <c r="D3589" s="63"/>
      <c r="F3589" s="64"/>
    </row>
    <row r="3590">
      <c r="D3590" s="63"/>
      <c r="F3590" s="64"/>
    </row>
    <row r="3591">
      <c r="D3591" s="63"/>
      <c r="F3591" s="64"/>
    </row>
    <row r="3592">
      <c r="D3592" s="63"/>
      <c r="F3592" s="64"/>
    </row>
    <row r="3593">
      <c r="D3593" s="63"/>
      <c r="F3593" s="64"/>
    </row>
    <row r="3594">
      <c r="D3594" s="63"/>
      <c r="F3594" s="64"/>
    </row>
    <row r="3595">
      <c r="D3595" s="63"/>
      <c r="F3595" s="64"/>
    </row>
    <row r="3596">
      <c r="D3596" s="63"/>
      <c r="F3596" s="64"/>
    </row>
    <row r="3597">
      <c r="D3597" s="63"/>
      <c r="F3597" s="64"/>
    </row>
    <row r="3598">
      <c r="D3598" s="63"/>
      <c r="F3598" s="64"/>
    </row>
    <row r="3599">
      <c r="D3599" s="63"/>
      <c r="F3599" s="64"/>
    </row>
    <row r="3600">
      <c r="D3600" s="63"/>
      <c r="F3600" s="66"/>
    </row>
    <row r="3601">
      <c r="D3601" s="63"/>
      <c r="F3601" s="66"/>
    </row>
    <row r="3602">
      <c r="D3602" s="63"/>
      <c r="F3602" s="66"/>
    </row>
    <row r="3603">
      <c r="D3603" s="63"/>
      <c r="F3603" s="66"/>
    </row>
    <row r="3604">
      <c r="D3604" s="63"/>
      <c r="F3604" s="66"/>
    </row>
    <row r="3605">
      <c r="D3605" s="63"/>
      <c r="F3605" s="64"/>
    </row>
    <row r="3606">
      <c r="D3606" s="63"/>
      <c r="F3606" s="64"/>
    </row>
    <row r="3607">
      <c r="D3607" s="63"/>
      <c r="F3607" s="64"/>
    </row>
    <row r="3608">
      <c r="D3608" s="63"/>
      <c r="F3608" s="64"/>
    </row>
    <row r="3609">
      <c r="D3609" s="63"/>
      <c r="F3609" s="64"/>
    </row>
    <row r="3610">
      <c r="D3610" s="63"/>
      <c r="F3610" s="64"/>
    </row>
    <row r="3611">
      <c r="D3611" s="63"/>
      <c r="F3611" s="64"/>
    </row>
    <row r="3612">
      <c r="D3612" s="63"/>
      <c r="F3612" s="64"/>
    </row>
    <row r="3613">
      <c r="D3613" s="63"/>
      <c r="F3613" s="64"/>
    </row>
    <row r="3614">
      <c r="D3614" s="63"/>
      <c r="F3614" s="64"/>
    </row>
    <row r="3615">
      <c r="D3615" s="63"/>
      <c r="F3615" s="64"/>
    </row>
    <row r="3616">
      <c r="D3616" s="63"/>
      <c r="F3616" s="64"/>
    </row>
    <row r="3617">
      <c r="D3617" s="63"/>
      <c r="F3617" s="64"/>
    </row>
    <row r="3618">
      <c r="D3618" s="63"/>
      <c r="F3618" s="64"/>
    </row>
    <row r="3619">
      <c r="D3619" s="63"/>
      <c r="F3619" s="64"/>
    </row>
    <row r="3620">
      <c r="D3620" s="63"/>
      <c r="F3620" s="66"/>
    </row>
    <row r="3621">
      <c r="D3621" s="63"/>
      <c r="F3621" s="66"/>
    </row>
    <row r="3622">
      <c r="D3622" s="63"/>
      <c r="F3622" s="66"/>
    </row>
    <row r="3623">
      <c r="D3623" s="63"/>
      <c r="F3623" s="66"/>
    </row>
    <row r="3624">
      <c r="D3624" s="63"/>
      <c r="F3624" s="66"/>
    </row>
    <row r="3625">
      <c r="D3625" s="63"/>
      <c r="F3625" s="66"/>
    </row>
    <row r="3626">
      <c r="D3626" s="63"/>
      <c r="F3626" s="66"/>
    </row>
    <row r="3627">
      <c r="D3627" s="63"/>
      <c r="F3627" s="66"/>
    </row>
    <row r="3628">
      <c r="D3628" s="63"/>
      <c r="F3628" s="66"/>
    </row>
    <row r="3629">
      <c r="D3629" s="63"/>
      <c r="F3629" s="66"/>
    </row>
    <row r="3630">
      <c r="D3630" s="63"/>
      <c r="F3630" s="64"/>
    </row>
    <row r="3631">
      <c r="D3631" s="63"/>
      <c r="F3631" s="64"/>
    </row>
    <row r="3632">
      <c r="D3632" s="63"/>
      <c r="F3632" s="64"/>
    </row>
    <row r="3633">
      <c r="D3633" s="63"/>
      <c r="F3633" s="64"/>
    </row>
    <row r="3634">
      <c r="D3634" s="63"/>
      <c r="F3634" s="64"/>
    </row>
    <row r="3635">
      <c r="D3635" s="63"/>
      <c r="F3635" s="64"/>
    </row>
    <row r="3636">
      <c r="D3636" s="63"/>
      <c r="F3636" s="64"/>
    </row>
    <row r="3637">
      <c r="D3637" s="63"/>
      <c r="F3637" s="64"/>
    </row>
    <row r="3638">
      <c r="D3638" s="63"/>
      <c r="F3638" s="64"/>
    </row>
    <row r="3639">
      <c r="D3639" s="63"/>
      <c r="F3639" s="66"/>
    </row>
    <row r="3640">
      <c r="D3640" s="63"/>
      <c r="F3640" s="66"/>
    </row>
    <row r="3641">
      <c r="D3641" s="63"/>
      <c r="F3641" s="66"/>
    </row>
    <row r="3642">
      <c r="D3642" s="63"/>
      <c r="F3642" s="66"/>
    </row>
    <row r="3643">
      <c r="D3643" s="63"/>
      <c r="F3643" s="66"/>
    </row>
    <row r="3644">
      <c r="D3644" s="63"/>
      <c r="F3644" s="66"/>
    </row>
    <row r="3645">
      <c r="D3645" s="63"/>
      <c r="F3645" s="66"/>
    </row>
    <row r="3646">
      <c r="D3646" s="63"/>
      <c r="F3646" s="66"/>
    </row>
    <row r="3647">
      <c r="D3647" s="63"/>
      <c r="F3647" s="64"/>
    </row>
    <row r="3648">
      <c r="D3648" s="63"/>
      <c r="F3648" s="64"/>
    </row>
    <row r="3649">
      <c r="D3649" s="63"/>
      <c r="F3649" s="64"/>
    </row>
    <row r="3650">
      <c r="D3650" s="63"/>
      <c r="F3650" s="64"/>
    </row>
    <row r="3651">
      <c r="D3651" s="63"/>
      <c r="F3651" s="64"/>
    </row>
    <row r="3652">
      <c r="D3652" s="63"/>
      <c r="F3652" s="66"/>
    </row>
    <row r="3653">
      <c r="D3653" s="63"/>
      <c r="F3653" s="64"/>
    </row>
    <row r="3654">
      <c r="D3654" s="63"/>
      <c r="F3654" s="64"/>
    </row>
    <row r="3655">
      <c r="D3655" s="63"/>
      <c r="F3655" s="64"/>
    </row>
    <row r="3656">
      <c r="D3656" s="63"/>
      <c r="F3656" s="64"/>
    </row>
    <row r="3657">
      <c r="D3657" s="63"/>
      <c r="F3657" s="64"/>
    </row>
    <row r="3658">
      <c r="D3658" s="63"/>
      <c r="F3658" s="64"/>
    </row>
    <row r="3659">
      <c r="D3659" s="63"/>
      <c r="F3659" s="64"/>
    </row>
    <row r="3660">
      <c r="D3660" s="63"/>
      <c r="F3660" s="64"/>
    </row>
    <row r="3661">
      <c r="D3661" s="63"/>
      <c r="F3661" s="64"/>
    </row>
    <row r="3662">
      <c r="D3662" s="63"/>
      <c r="F3662" s="64"/>
    </row>
    <row r="3663">
      <c r="D3663" s="63"/>
      <c r="F3663" s="64"/>
    </row>
    <row r="3664">
      <c r="D3664" s="63"/>
      <c r="F3664" s="64"/>
    </row>
    <row r="3665">
      <c r="D3665" s="63"/>
      <c r="F3665" s="64"/>
    </row>
    <row r="3666">
      <c r="D3666" s="63"/>
      <c r="F3666" s="71"/>
    </row>
    <row r="3667">
      <c r="D3667" s="63"/>
      <c r="F3667" s="71"/>
    </row>
    <row r="3668">
      <c r="D3668" s="63"/>
      <c r="F3668" s="71"/>
    </row>
    <row r="3669">
      <c r="D3669" s="63"/>
      <c r="F3669" s="71"/>
    </row>
    <row r="3670">
      <c r="D3670" s="63"/>
      <c r="F3670" s="71"/>
    </row>
    <row r="3671">
      <c r="D3671" s="63"/>
      <c r="F3671" s="71"/>
    </row>
    <row r="3672">
      <c r="D3672" s="63"/>
      <c r="F3672" s="71"/>
    </row>
    <row r="3673">
      <c r="D3673" s="63"/>
      <c r="F3673" s="71"/>
    </row>
    <row r="3674">
      <c r="D3674" s="63"/>
      <c r="F3674" s="71"/>
    </row>
    <row r="3675">
      <c r="D3675" s="63"/>
      <c r="F3675" s="71"/>
    </row>
    <row r="3676">
      <c r="D3676" s="63"/>
      <c r="F3676" s="71"/>
    </row>
    <row r="3677">
      <c r="D3677" s="63"/>
      <c r="F3677" s="71"/>
    </row>
    <row r="3678">
      <c r="D3678" s="63"/>
      <c r="F3678" s="71"/>
    </row>
    <row r="3679">
      <c r="D3679" s="63"/>
      <c r="F3679" s="71"/>
    </row>
    <row r="3680">
      <c r="D3680" s="63"/>
      <c r="F3680" s="71"/>
    </row>
    <row r="3681">
      <c r="D3681" s="63"/>
      <c r="F3681" s="71"/>
    </row>
    <row r="3682">
      <c r="D3682" s="63"/>
      <c r="F3682" s="71"/>
    </row>
    <row r="3683">
      <c r="D3683" s="63"/>
      <c r="F3683" s="71"/>
    </row>
    <row r="3684">
      <c r="D3684" s="63"/>
      <c r="F3684" s="71"/>
    </row>
    <row r="3685">
      <c r="D3685" s="63"/>
      <c r="F3685" s="71"/>
    </row>
    <row r="3686">
      <c r="D3686" s="63"/>
      <c r="F3686" s="71"/>
    </row>
    <row r="3687">
      <c r="D3687" s="63"/>
      <c r="F3687" s="71"/>
    </row>
    <row r="3688">
      <c r="D3688" s="63"/>
      <c r="F3688" s="71"/>
    </row>
    <row r="3689">
      <c r="D3689" s="63"/>
      <c r="F3689" s="71"/>
    </row>
    <row r="3690">
      <c r="D3690" s="63"/>
      <c r="F3690" s="71"/>
    </row>
    <row r="3691">
      <c r="D3691" s="63"/>
      <c r="F3691" s="71"/>
    </row>
    <row r="3692">
      <c r="D3692" s="63"/>
      <c r="F3692" s="71"/>
    </row>
    <row r="3693">
      <c r="D3693" s="63"/>
      <c r="F3693" s="71"/>
    </row>
    <row r="3694">
      <c r="D3694" s="63"/>
      <c r="F3694" s="71"/>
    </row>
    <row r="3695">
      <c r="D3695" s="63"/>
      <c r="F3695" s="71"/>
    </row>
    <row r="3696">
      <c r="D3696" s="63"/>
      <c r="F3696" s="71"/>
    </row>
    <row r="3697">
      <c r="D3697" s="63"/>
      <c r="F3697" s="71"/>
    </row>
    <row r="3698">
      <c r="D3698" s="63"/>
      <c r="F3698" s="71"/>
    </row>
    <row r="3699">
      <c r="D3699" s="63"/>
      <c r="F3699" s="71"/>
    </row>
    <row r="3700">
      <c r="D3700" s="63"/>
      <c r="F3700" s="71"/>
    </row>
    <row r="3701">
      <c r="D3701" s="63"/>
      <c r="F3701" s="71"/>
    </row>
    <row r="3702">
      <c r="D3702" s="63"/>
      <c r="F3702" s="71"/>
    </row>
    <row r="3703">
      <c r="D3703" s="63"/>
      <c r="F3703" s="71"/>
    </row>
    <row r="3704">
      <c r="D3704" s="63"/>
      <c r="F3704" s="71"/>
    </row>
  </sheetData>
  <autoFilter ref="$A$1:$J$1101"/>
  <hyperlinks>
    <hyperlink r:id="rId1" ref="D220"/>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38</v>
      </c>
      <c r="H1" s="51" t="s">
        <v>39</v>
      </c>
      <c r="I1" s="51" t="s">
        <v>40</v>
      </c>
      <c r="J1" s="51" t="s">
        <v>41</v>
      </c>
      <c r="K1" s="52" t="s">
        <v>42</v>
      </c>
      <c r="L1" s="53"/>
      <c r="M1" s="53"/>
      <c r="N1" s="53"/>
      <c r="O1" s="53"/>
      <c r="P1" s="53"/>
      <c r="Q1" s="53"/>
      <c r="R1" s="53"/>
      <c r="S1" s="53"/>
      <c r="T1" s="53"/>
      <c r="U1" s="53"/>
      <c r="V1" s="53"/>
      <c r="W1" s="53"/>
      <c r="X1" s="53"/>
      <c r="Y1" s="53"/>
      <c r="Z1" s="53"/>
    </row>
    <row r="2" ht="15.75" customHeight="1">
      <c r="A2" s="66">
        <v>45499.0</v>
      </c>
      <c r="B2" s="55" t="str">
        <f>HYPERLINK("https://jobright.ai/jobs/info/66a417d2728a53adc08477bd?utm_campaign=1063&amp;utm_source=sheet", "Apply")</f>
        <v>Apply</v>
      </c>
      <c r="C2" s="10" t="s">
        <v>17264</v>
      </c>
      <c r="D2" s="56" t="s">
        <v>17265</v>
      </c>
      <c r="E2" s="10" t="s">
        <v>45</v>
      </c>
      <c r="F2" s="10" t="s">
        <v>259</v>
      </c>
      <c r="G2" s="10" t="s">
        <v>159</v>
      </c>
      <c r="H2" s="10" t="s">
        <v>48</v>
      </c>
      <c r="J2" s="10" t="s">
        <v>17266</v>
      </c>
      <c r="K2" s="10" t="s">
        <v>42</v>
      </c>
    </row>
    <row r="3" ht="15.75" customHeight="1">
      <c r="A3" s="66">
        <v>45499.0</v>
      </c>
      <c r="B3" s="55" t="str">
        <f>HYPERLINK("https://jobright.ai/jobs/info/66a41901d228a914b82eaa8d?utm_campaign=1063&amp;utm_source=sheet", "Apply")</f>
        <v>Apply</v>
      </c>
      <c r="C3" s="10" t="s">
        <v>17267</v>
      </c>
      <c r="D3" s="56" t="s">
        <v>673</v>
      </c>
      <c r="E3" s="10" t="s">
        <v>65</v>
      </c>
      <c r="F3" s="10" t="s">
        <v>100</v>
      </c>
      <c r="G3" s="10" t="s">
        <v>674</v>
      </c>
      <c r="H3" s="10" t="s">
        <v>252</v>
      </c>
      <c r="I3" s="10" t="s">
        <v>521</v>
      </c>
      <c r="J3" s="10" t="s">
        <v>17268</v>
      </c>
      <c r="K3" s="10" t="s">
        <v>42</v>
      </c>
    </row>
    <row r="4" ht="15.75" customHeight="1">
      <c r="A4" s="66">
        <v>45499.0</v>
      </c>
      <c r="B4" s="55" t="str">
        <f>HYPERLINK("https://jobright.ai/jobs/info/66a41b1b813398a4a55cb520?utm_campaign=1063&amp;utm_source=sheet", "Apply")</f>
        <v>Apply</v>
      </c>
      <c r="C4" s="10" t="s">
        <v>17264</v>
      </c>
      <c r="D4" s="56" t="s">
        <v>17265</v>
      </c>
      <c r="E4" s="10" t="s">
        <v>45</v>
      </c>
      <c r="F4" s="10" t="s">
        <v>259</v>
      </c>
      <c r="G4" s="10" t="s">
        <v>442</v>
      </c>
      <c r="H4" s="10" t="s">
        <v>48</v>
      </c>
      <c r="J4" s="10" t="s">
        <v>17266</v>
      </c>
      <c r="K4" s="10" t="s">
        <v>42</v>
      </c>
    </row>
    <row r="5" ht="15.75" customHeight="1">
      <c r="A5" s="66">
        <v>45499.0</v>
      </c>
      <c r="B5" s="55" t="str">
        <f>HYPERLINK("https://jobright.ai/jobs/info/66a41b1b813398a4a55cb521?utm_campaign=1063&amp;utm_source=sheet", "Apply")</f>
        <v>Apply</v>
      </c>
      <c r="C5" s="10" t="s">
        <v>17264</v>
      </c>
      <c r="D5" s="56" t="s">
        <v>17265</v>
      </c>
      <c r="E5" s="10" t="s">
        <v>45</v>
      </c>
      <c r="F5" s="10" t="s">
        <v>259</v>
      </c>
      <c r="G5" s="10" t="s">
        <v>9476</v>
      </c>
      <c r="H5" s="10" t="s">
        <v>48</v>
      </c>
      <c r="J5" s="10" t="s">
        <v>17266</v>
      </c>
      <c r="K5" s="10" t="s">
        <v>42</v>
      </c>
    </row>
    <row r="6" ht="15.75" customHeight="1">
      <c r="A6" s="66">
        <v>45499.0</v>
      </c>
      <c r="B6" s="55" t="str">
        <f>HYPERLINK("https://jobright.ai/jobs/info/66a417d2728a53adc084781d?utm_campaign=1063&amp;utm_source=sheet", "Apply")</f>
        <v>Apply</v>
      </c>
      <c r="C6" s="10" t="s">
        <v>17264</v>
      </c>
      <c r="D6" s="56" t="s">
        <v>17265</v>
      </c>
      <c r="E6" s="10" t="s">
        <v>45</v>
      </c>
      <c r="F6" s="10" t="s">
        <v>259</v>
      </c>
      <c r="G6" s="10" t="s">
        <v>113</v>
      </c>
      <c r="H6" s="10" t="s">
        <v>48</v>
      </c>
      <c r="J6" s="10" t="s">
        <v>17266</v>
      </c>
      <c r="K6" s="10" t="s">
        <v>42</v>
      </c>
    </row>
    <row r="7" ht="15.75" customHeight="1">
      <c r="A7" s="66">
        <v>45499.0</v>
      </c>
      <c r="B7" s="55" t="str">
        <f>HYPERLINK("https://jobright.ai/jobs/info/66a41b1b813398a4a55cb523?utm_campaign=1063&amp;utm_source=sheet", "Apply")</f>
        <v>Apply</v>
      </c>
      <c r="C7" s="10" t="s">
        <v>17264</v>
      </c>
      <c r="D7" s="56" t="s">
        <v>17265</v>
      </c>
      <c r="E7" s="10" t="s">
        <v>45</v>
      </c>
      <c r="F7" s="10" t="s">
        <v>259</v>
      </c>
      <c r="G7" s="10" t="s">
        <v>144</v>
      </c>
      <c r="H7" s="10" t="s">
        <v>48</v>
      </c>
      <c r="J7" s="10" t="s">
        <v>17266</v>
      </c>
      <c r="K7" s="10" t="s">
        <v>42</v>
      </c>
    </row>
    <row r="8" ht="15.75" customHeight="1">
      <c r="A8" s="64">
        <v>45499.0</v>
      </c>
      <c r="B8" s="55" t="str">
        <f>HYPERLINK("https://jobright.ai/jobs/info/66a428e8fa09ee0c5722ab30?utm_campaign=1063&amp;utm_source=sheet", "Apply")</f>
        <v>Apply</v>
      </c>
      <c r="C8" s="10" t="s">
        <v>17269</v>
      </c>
      <c r="D8" s="56" t="s">
        <v>17270</v>
      </c>
      <c r="E8" s="10" t="s">
        <v>45</v>
      </c>
      <c r="F8" s="10" t="s">
        <v>11832</v>
      </c>
      <c r="G8" s="10" t="s">
        <v>442</v>
      </c>
      <c r="H8" s="10" t="s">
        <v>55</v>
      </c>
      <c r="J8" s="10" t="s">
        <v>17271</v>
      </c>
      <c r="K8" s="10" t="s">
        <v>42</v>
      </c>
    </row>
    <row r="9" ht="15.75" customHeight="1">
      <c r="A9" s="64">
        <v>45499.0</v>
      </c>
      <c r="B9" s="55" t="str">
        <f>HYPERLINK("https://jobright.ai/jobs/info/66a3f299b9f0fcec5c266ade?utm_campaign=1063&amp;utm_source=sheet", "Apply")</f>
        <v>Apply</v>
      </c>
      <c r="C9" s="10" t="s">
        <v>17264</v>
      </c>
      <c r="D9" s="56" t="s">
        <v>17265</v>
      </c>
      <c r="E9" s="10" t="s">
        <v>45</v>
      </c>
      <c r="F9" s="10" t="s">
        <v>259</v>
      </c>
      <c r="G9" s="10" t="s">
        <v>17272</v>
      </c>
      <c r="H9" s="10" t="s">
        <v>55</v>
      </c>
      <c r="J9" s="10" t="s">
        <v>17273</v>
      </c>
      <c r="K9" s="10" t="s">
        <v>42</v>
      </c>
    </row>
    <row r="10" ht="15.75" customHeight="1">
      <c r="A10" s="64">
        <v>45497.0</v>
      </c>
      <c r="B10" s="55" t="str">
        <f>HYPERLINK("https://jobright.ai/jobs/info/6677b7109c2d9fa5bf0874b1?utm_campaign=1063&amp;utm_source=sheet", "Apply")</f>
        <v>Apply</v>
      </c>
      <c r="C10" s="10" t="s">
        <v>17274</v>
      </c>
      <c r="D10" s="56" t="s">
        <v>2827</v>
      </c>
      <c r="E10" s="10" t="s">
        <v>65</v>
      </c>
      <c r="F10" s="10" t="s">
        <v>2828</v>
      </c>
      <c r="G10" s="10" t="s">
        <v>1007</v>
      </c>
      <c r="H10" s="10" t="s">
        <v>55</v>
      </c>
      <c r="I10" s="10" t="s">
        <v>17275</v>
      </c>
      <c r="J10" s="10" t="s">
        <v>17276</v>
      </c>
      <c r="K10" s="10" t="s">
        <v>42</v>
      </c>
    </row>
    <row r="11" ht="15.75" customHeight="1">
      <c r="A11" s="64">
        <v>45497.0</v>
      </c>
      <c r="B11" s="55" t="str">
        <f>HYPERLINK("https://jobright.ai/jobs/info/65d09173debe2e3888869570?utm_campaign=1063&amp;utm_source=sheet", "Apply")</f>
        <v>Apply</v>
      </c>
      <c r="C11" s="10" t="s">
        <v>17277</v>
      </c>
      <c r="D11" s="56" t="s">
        <v>2827</v>
      </c>
      <c r="E11" s="10" t="s">
        <v>65</v>
      </c>
      <c r="F11" s="10" t="s">
        <v>2828</v>
      </c>
      <c r="G11" s="10" t="s">
        <v>1007</v>
      </c>
      <c r="H11" s="10" t="s">
        <v>55</v>
      </c>
      <c r="I11" s="10" t="s">
        <v>17275</v>
      </c>
      <c r="J11" s="10" t="s">
        <v>17276</v>
      </c>
      <c r="K11" s="10" t="s">
        <v>42</v>
      </c>
    </row>
    <row r="12" ht="15.75" customHeight="1">
      <c r="A12" s="64">
        <v>45497.0</v>
      </c>
      <c r="B12" s="55" t="str">
        <f>HYPERLINK("https://jobright.ai/jobs/info/6677c2792b6ed5133f4440f8?utm_campaign=1063&amp;utm_source=sheet", "Apply")</f>
        <v>Apply</v>
      </c>
      <c r="C12" s="10" t="s">
        <v>17274</v>
      </c>
      <c r="D12" s="56" t="s">
        <v>2827</v>
      </c>
      <c r="E12" s="10" t="s">
        <v>65</v>
      </c>
      <c r="F12" s="10" t="s">
        <v>2828</v>
      </c>
      <c r="G12" s="10" t="s">
        <v>201</v>
      </c>
      <c r="H12" s="10" t="s">
        <v>55</v>
      </c>
      <c r="I12" s="10" t="s">
        <v>17275</v>
      </c>
      <c r="J12" s="10" t="s">
        <v>17276</v>
      </c>
      <c r="K12" s="10" t="s">
        <v>42</v>
      </c>
    </row>
    <row r="13" ht="15.75" customHeight="1">
      <c r="A13" s="64">
        <v>45497.0</v>
      </c>
      <c r="B13" s="55" t="str">
        <f>HYPERLINK("https://jobright.ai/jobs/info/6677c7f664f2e472ffd639d5?utm_campaign=1063&amp;utm_source=sheet", "Apply")</f>
        <v>Apply</v>
      </c>
      <c r="C13" s="10" t="s">
        <v>17274</v>
      </c>
      <c r="D13" s="56" t="s">
        <v>2827</v>
      </c>
      <c r="E13" s="10" t="s">
        <v>65</v>
      </c>
      <c r="F13" s="10" t="s">
        <v>2828</v>
      </c>
      <c r="G13" s="10" t="s">
        <v>144</v>
      </c>
      <c r="H13" s="10" t="s">
        <v>55</v>
      </c>
      <c r="I13" s="10" t="s">
        <v>17275</v>
      </c>
      <c r="J13" s="10" t="s">
        <v>17276</v>
      </c>
      <c r="K13" s="10" t="s">
        <v>42</v>
      </c>
    </row>
    <row r="14" ht="15.75" customHeight="1">
      <c r="A14" s="64">
        <v>45497.0</v>
      </c>
      <c r="B14" s="55" t="str">
        <f>HYPERLINK("https://jobright.ai/jobs/info/66a087d492fc950024d1d53c?utm_campaign=1063&amp;utm_source=sheet", "Apply")</f>
        <v>Apply</v>
      </c>
      <c r="C14" s="10" t="s">
        <v>17278</v>
      </c>
      <c r="D14" s="56" t="s">
        <v>17279</v>
      </c>
      <c r="E14" s="10" t="s">
        <v>65</v>
      </c>
      <c r="F14" s="10" t="s">
        <v>17280</v>
      </c>
      <c r="G14" s="10" t="s">
        <v>153</v>
      </c>
      <c r="H14" s="10" t="s">
        <v>55</v>
      </c>
      <c r="J14" s="10" t="s">
        <v>17281</v>
      </c>
      <c r="K14" s="10" t="s">
        <v>42</v>
      </c>
    </row>
    <row r="15" ht="15.75" customHeight="1">
      <c r="A15" s="64">
        <v>45496.0</v>
      </c>
      <c r="B15" s="55" t="str">
        <f>HYPERLINK("https://jobright.ai/jobs/info/669ff39c084bc2fa31e1a6a6?utm_campaign=1063&amp;utm_source=sheet", "Apply")</f>
        <v>Apply</v>
      </c>
      <c r="C15" s="10" t="s">
        <v>17282</v>
      </c>
      <c r="D15" s="56" t="s">
        <v>17283</v>
      </c>
      <c r="E15" s="10" t="s">
        <v>249</v>
      </c>
      <c r="F15" s="10" t="s">
        <v>17284</v>
      </c>
      <c r="G15" s="10" t="s">
        <v>251</v>
      </c>
      <c r="H15" s="10" t="s">
        <v>252</v>
      </c>
      <c r="J15" s="10" t="s">
        <v>17285</v>
      </c>
      <c r="K15" s="10" t="s">
        <v>42</v>
      </c>
    </row>
    <row r="16" ht="15.75" customHeight="1">
      <c r="A16" s="64">
        <v>45496.0</v>
      </c>
      <c r="B16" s="55" t="str">
        <f>HYPERLINK("https://jobright.ai/jobs/info/669fb9fca5eef26fc632827e?utm_campaign=1063&amp;utm_source=sheet", "Apply")</f>
        <v>Apply</v>
      </c>
      <c r="C16" s="10" t="s">
        <v>17286</v>
      </c>
      <c r="D16" s="56" t="s">
        <v>17287</v>
      </c>
      <c r="F16" s="10" t="s">
        <v>2454</v>
      </c>
      <c r="G16" s="10" t="s">
        <v>3277</v>
      </c>
      <c r="H16" s="10" t="s">
        <v>55</v>
      </c>
      <c r="J16" s="10" t="s">
        <v>17288</v>
      </c>
      <c r="K16" s="10" t="s">
        <v>42</v>
      </c>
    </row>
    <row r="17" ht="15.75" customHeight="1">
      <c r="A17" s="64">
        <v>45496.0</v>
      </c>
      <c r="B17" s="55" t="str">
        <f>HYPERLINK("https://jobright.ai/jobs/info/664b37e7feedefd13e6174fa?utm_campaign=1063&amp;utm_source=sheet", "Apply")</f>
        <v>Apply</v>
      </c>
      <c r="C17" s="10" t="s">
        <v>17289</v>
      </c>
      <c r="D17" s="56" t="s">
        <v>17290</v>
      </c>
      <c r="E17" s="10" t="s">
        <v>45</v>
      </c>
      <c r="F17" s="10" t="s">
        <v>534</v>
      </c>
      <c r="G17" s="10" t="s">
        <v>607</v>
      </c>
      <c r="H17" s="10" t="s">
        <v>55</v>
      </c>
      <c r="J17" s="10" t="s">
        <v>17291</v>
      </c>
      <c r="K17" s="10" t="s">
        <v>42</v>
      </c>
    </row>
    <row r="18" ht="15.75" customHeight="1">
      <c r="A18" s="64">
        <v>45495.0</v>
      </c>
      <c r="B18" s="55" t="str">
        <f>HYPERLINK("https://jobright.ai/jobs/info/669edcda0a1a20b818bda166?utm_campaign=1063&amp;utm_source=sheet", "Apply")</f>
        <v>Apply</v>
      </c>
      <c r="C18" s="10" t="s">
        <v>17292</v>
      </c>
      <c r="D18" s="56" t="s">
        <v>17293</v>
      </c>
      <c r="E18" s="10" t="s">
        <v>249</v>
      </c>
      <c r="F18" s="10" t="s">
        <v>13072</v>
      </c>
      <c r="G18" s="10" t="s">
        <v>152</v>
      </c>
      <c r="H18" s="10" t="s">
        <v>55</v>
      </c>
      <c r="J18" s="10" t="s">
        <v>17294</v>
      </c>
      <c r="K18" s="10" t="s">
        <v>42</v>
      </c>
    </row>
    <row r="19" ht="15.75" customHeight="1">
      <c r="A19" s="64">
        <v>45495.0</v>
      </c>
      <c r="B19" s="55" t="str">
        <f>HYPERLINK("https://jobright.ai/jobs/info/669eb803b1eb3005831f5e2f?utm_campaign=1063&amp;utm_source=sheet", "Apply")</f>
        <v>Apply</v>
      </c>
      <c r="C19" s="10" t="s">
        <v>17295</v>
      </c>
      <c r="D19" s="56" t="s">
        <v>1414</v>
      </c>
      <c r="E19" s="10" t="s">
        <v>45</v>
      </c>
      <c r="F19" s="10" t="s">
        <v>1415</v>
      </c>
      <c r="G19" s="10" t="s">
        <v>5030</v>
      </c>
      <c r="H19" s="10" t="s">
        <v>55</v>
      </c>
      <c r="J19" s="10" t="s">
        <v>17296</v>
      </c>
      <c r="K19" s="10" t="s">
        <v>42</v>
      </c>
    </row>
    <row r="20" ht="15.75" customHeight="1">
      <c r="A20" s="64">
        <v>45494.0</v>
      </c>
      <c r="B20" s="55" t="str">
        <f>HYPERLINK("https://jobright.ai/jobs/info/6644f2bd4e9161fa72d64d53?utm_campaign=1063&amp;utm_source=sheet", "Apply")</f>
        <v>Apply</v>
      </c>
      <c r="C20" s="10" t="s">
        <v>17297</v>
      </c>
      <c r="D20" s="56" t="s">
        <v>9588</v>
      </c>
      <c r="E20" s="10" t="s">
        <v>65</v>
      </c>
      <c r="F20" s="10" t="s">
        <v>722</v>
      </c>
      <c r="G20" s="10" t="s">
        <v>965</v>
      </c>
      <c r="H20" s="10" t="s">
        <v>55</v>
      </c>
      <c r="J20" s="10" t="s">
        <v>17298</v>
      </c>
      <c r="K20" s="10" t="s">
        <v>42</v>
      </c>
    </row>
    <row r="21" ht="15.75" customHeight="1">
      <c r="A21" s="64">
        <v>45494.0</v>
      </c>
      <c r="B21" s="55" t="str">
        <f>HYPERLINK("https://jobright.ai/jobs/info/6644f2bd4e9161fa72d64d50?utm_campaign=1063&amp;utm_source=sheet", "Apply")</f>
        <v>Apply</v>
      </c>
      <c r="C21" s="10" t="s">
        <v>17297</v>
      </c>
      <c r="D21" s="56" t="s">
        <v>9588</v>
      </c>
      <c r="E21" s="10" t="s">
        <v>65</v>
      </c>
      <c r="F21" s="10" t="s">
        <v>722</v>
      </c>
      <c r="G21" s="10" t="s">
        <v>1013</v>
      </c>
      <c r="H21" s="10" t="s">
        <v>55</v>
      </c>
      <c r="J21" s="10" t="s">
        <v>17298</v>
      </c>
      <c r="K21" s="10" t="s">
        <v>42</v>
      </c>
    </row>
    <row r="22" ht="15.75" customHeight="1">
      <c r="A22" s="64">
        <v>45494.0</v>
      </c>
      <c r="B22" s="55" t="str">
        <f>HYPERLINK("https://jobright.ai/jobs/info/6644e06fe734fcb9ce6d62a8?utm_campaign=1063&amp;utm_source=sheet", "Apply")</f>
        <v>Apply</v>
      </c>
      <c r="C22" s="10" t="s">
        <v>17297</v>
      </c>
      <c r="D22" s="56" t="s">
        <v>9588</v>
      </c>
      <c r="E22" s="10" t="s">
        <v>65</v>
      </c>
      <c r="F22" s="10" t="s">
        <v>722</v>
      </c>
      <c r="G22" s="10" t="s">
        <v>9732</v>
      </c>
      <c r="H22" s="10" t="s">
        <v>55</v>
      </c>
      <c r="J22" s="10" t="s">
        <v>17298</v>
      </c>
      <c r="K22" s="10" t="s">
        <v>42</v>
      </c>
    </row>
    <row r="23" ht="15.75" customHeight="1">
      <c r="A23" s="64">
        <v>45491.0</v>
      </c>
      <c r="B23" s="55" t="str">
        <f>HYPERLINK("https://jobright.ai/jobs/info/6699790904b47f05b9e2cbf1?utm_campaign=1063&amp;utm_source=sheet", "Apply")</f>
        <v>Apply</v>
      </c>
      <c r="C23" s="10" t="s">
        <v>17299</v>
      </c>
      <c r="D23" s="56" t="s">
        <v>17300</v>
      </c>
      <c r="E23" s="10" t="s">
        <v>276</v>
      </c>
      <c r="F23" s="10" t="s">
        <v>17301</v>
      </c>
      <c r="G23" s="10" t="s">
        <v>774</v>
      </c>
      <c r="H23" s="10" t="s">
        <v>55</v>
      </c>
      <c r="I23" s="10" t="s">
        <v>581</v>
      </c>
      <c r="J23" s="10" t="s">
        <v>17302</v>
      </c>
      <c r="K23" s="10" t="s">
        <v>42</v>
      </c>
    </row>
    <row r="24" ht="15.75" customHeight="1">
      <c r="A24" s="64">
        <v>45491.0</v>
      </c>
      <c r="B24" s="55" t="str">
        <f>HYPERLINK("https://jobright.ai/jobs/info/66a2593fe289cc1fdbedc182?utm_campaign=1063&amp;utm_source=sheet", "Apply")</f>
        <v>Apply</v>
      </c>
      <c r="C24" s="10" t="s">
        <v>17303</v>
      </c>
      <c r="D24" s="56" t="s">
        <v>17304</v>
      </c>
      <c r="E24" s="10" t="s">
        <v>249</v>
      </c>
      <c r="F24" s="10" t="s">
        <v>3594</v>
      </c>
      <c r="G24" s="10" t="s">
        <v>17305</v>
      </c>
      <c r="H24" s="10" t="s">
        <v>55</v>
      </c>
      <c r="J24" s="10" t="s">
        <v>17306</v>
      </c>
      <c r="K24" s="10" t="s">
        <v>42</v>
      </c>
    </row>
    <row r="25" ht="15.75" customHeight="1">
      <c r="A25" s="64">
        <v>45490.0</v>
      </c>
      <c r="B25" s="55" t="str">
        <f>HYPERLINK("https://jobright.ai/jobs/info/669e4694ca3e6aa92c888039?utm_campaign=1063&amp;utm_source=sheet", "Apply")</f>
        <v>Apply</v>
      </c>
      <c r="C25" s="10" t="s">
        <v>17307</v>
      </c>
      <c r="D25" s="56" t="s">
        <v>17308</v>
      </c>
      <c r="E25" s="10" t="s">
        <v>65</v>
      </c>
      <c r="F25" s="10" t="s">
        <v>17309</v>
      </c>
      <c r="G25" s="10" t="s">
        <v>661</v>
      </c>
      <c r="H25" s="10" t="s">
        <v>55</v>
      </c>
      <c r="I25" s="10" t="s">
        <v>4189</v>
      </c>
      <c r="J25" s="10" t="s">
        <v>17310</v>
      </c>
      <c r="K25" s="10" t="s">
        <v>42</v>
      </c>
    </row>
    <row r="26" ht="15.75" customHeight="1">
      <c r="A26" s="64">
        <v>45490.0</v>
      </c>
      <c r="B26" s="55" t="str">
        <f>HYPERLINK("https://jobright.ai/jobs/info/6698de2da067c0b813d42004?utm_campaign=1063&amp;utm_source=sheet", "Apply")</f>
        <v>Apply</v>
      </c>
      <c r="C26" s="10" t="s">
        <v>17311</v>
      </c>
      <c r="D26" s="56" t="s">
        <v>17312</v>
      </c>
      <c r="E26" s="10" t="s">
        <v>79</v>
      </c>
      <c r="F26" s="10" t="s">
        <v>17313</v>
      </c>
      <c r="G26" s="10" t="s">
        <v>845</v>
      </c>
      <c r="H26" s="10" t="s">
        <v>48</v>
      </c>
      <c r="I26" s="10" t="s">
        <v>17314</v>
      </c>
      <c r="J26" s="10" t="s">
        <v>17315</v>
      </c>
      <c r="K26" s="10" t="s">
        <v>42</v>
      </c>
    </row>
    <row r="27" ht="15.75" customHeight="1">
      <c r="A27" s="64">
        <v>45490.0</v>
      </c>
      <c r="B27" s="55" t="str">
        <f>HYPERLINK("https://jobright.ai/jobs/info/6697aa32ee7554243ee9e9b4?utm_campaign=1063&amp;utm_source=sheet", "Apply")</f>
        <v>Apply</v>
      </c>
      <c r="C27" s="10" t="s">
        <v>17316</v>
      </c>
      <c r="D27" s="56" t="s">
        <v>17317</v>
      </c>
      <c r="E27" s="10" t="s">
        <v>65</v>
      </c>
      <c r="F27" s="10" t="s">
        <v>7494</v>
      </c>
      <c r="G27" s="10" t="s">
        <v>251</v>
      </c>
      <c r="H27" s="10" t="s">
        <v>252</v>
      </c>
      <c r="J27" s="10" t="s">
        <v>17318</v>
      </c>
      <c r="K27" s="10" t="s">
        <v>42</v>
      </c>
    </row>
    <row r="28" ht="15.75" customHeight="1">
      <c r="A28" s="64">
        <v>45490.0</v>
      </c>
      <c r="B28" s="55" t="str">
        <f>HYPERLINK("https://jobright.ai/jobs/info/6697ae807a2f0aa23b8b6e8a?utm_campaign=1063&amp;utm_source=sheet", "Apply")</f>
        <v>Apply</v>
      </c>
      <c r="C28" s="10" t="s">
        <v>17319</v>
      </c>
      <c r="D28" s="56" t="s">
        <v>8351</v>
      </c>
      <c r="E28" s="10" t="s">
        <v>45</v>
      </c>
      <c r="F28" s="10" t="s">
        <v>8352</v>
      </c>
      <c r="G28" s="10" t="s">
        <v>8353</v>
      </c>
      <c r="H28" s="10" t="s">
        <v>55</v>
      </c>
      <c r="J28" s="10" t="s">
        <v>17320</v>
      </c>
      <c r="K28" s="10" t="s">
        <v>42</v>
      </c>
    </row>
    <row r="29" ht="15.75" customHeight="1">
      <c r="A29" s="64">
        <v>45489.0</v>
      </c>
      <c r="B29" s="55" t="str">
        <f>HYPERLINK("https://jobright.ai/jobs/info/66972013784b42e83677797e?utm_campaign=1063&amp;utm_source=sheet", "Apply")</f>
        <v>Apply</v>
      </c>
      <c r="C29" s="10" t="s">
        <v>17321</v>
      </c>
      <c r="D29" s="56" t="s">
        <v>2069</v>
      </c>
      <c r="E29" s="10" t="s">
        <v>65</v>
      </c>
      <c r="F29" s="10" t="s">
        <v>1663</v>
      </c>
      <c r="G29" s="10" t="s">
        <v>2070</v>
      </c>
      <c r="H29" s="10" t="s">
        <v>55</v>
      </c>
      <c r="I29" s="10" t="s">
        <v>11147</v>
      </c>
      <c r="J29" s="10" t="s">
        <v>17322</v>
      </c>
      <c r="K29" s="10" t="s">
        <v>42</v>
      </c>
    </row>
    <row r="30" ht="15.75" customHeight="1">
      <c r="A30" s="64">
        <v>45489.0</v>
      </c>
      <c r="B30" s="55" t="str">
        <f>HYPERLINK("https://jobright.ai/jobs/info/66968f054297919dbbc54543?utm_campaign=1063&amp;utm_source=sheet", "Apply")</f>
        <v>Apply</v>
      </c>
      <c r="C30" s="10" t="s">
        <v>17323</v>
      </c>
      <c r="D30" s="56" t="s">
        <v>17324</v>
      </c>
      <c r="E30" s="10" t="s">
        <v>79</v>
      </c>
      <c r="F30" s="10" t="s">
        <v>10</v>
      </c>
      <c r="G30" s="10" t="s">
        <v>139</v>
      </c>
      <c r="H30" s="10" t="s">
        <v>48</v>
      </c>
      <c r="J30" s="10" t="s">
        <v>17325</v>
      </c>
      <c r="K30" s="10" t="s">
        <v>42</v>
      </c>
    </row>
    <row r="31" ht="15.75" customHeight="1">
      <c r="A31" s="64">
        <v>45489.0</v>
      </c>
      <c r="B31" s="55" t="str">
        <f>HYPERLINK("https://jobright.ai/jobs/info/669888b55e79a0171110ad7f?utm_campaign=1063&amp;utm_source=sheet", "Apply")</f>
        <v>Apply</v>
      </c>
      <c r="C31" s="10" t="s">
        <v>17326</v>
      </c>
      <c r="D31" s="56" t="s">
        <v>17327</v>
      </c>
      <c r="E31" s="10" t="s">
        <v>79</v>
      </c>
      <c r="G31" s="10" t="s">
        <v>153</v>
      </c>
      <c r="H31" s="10" t="s">
        <v>55</v>
      </c>
      <c r="J31" s="10" t="s">
        <v>17328</v>
      </c>
      <c r="K31" s="10" t="s">
        <v>42</v>
      </c>
    </row>
    <row r="32" ht="15.75" customHeight="1">
      <c r="A32" s="64">
        <v>45487.0</v>
      </c>
      <c r="B32" s="55" t="str">
        <f>HYPERLINK("https://jobright.ai/jobs/info/66928b14b578d06e71906dcf?utm_campaign=1063&amp;utm_source=sheet", "Apply")</f>
        <v>Apply</v>
      </c>
      <c r="C32" s="10" t="s">
        <v>17329</v>
      </c>
      <c r="D32" s="58" t="s">
        <v>17330</v>
      </c>
      <c r="E32" s="10" t="s">
        <v>276</v>
      </c>
      <c r="F32" s="10" t="s">
        <v>1769</v>
      </c>
      <c r="G32" s="10" t="s">
        <v>251</v>
      </c>
      <c r="H32" s="10" t="s">
        <v>48</v>
      </c>
      <c r="I32" s="10" t="s">
        <v>6551</v>
      </c>
      <c r="J32" s="10" t="s">
        <v>17331</v>
      </c>
      <c r="K32" s="10" t="s">
        <v>42</v>
      </c>
    </row>
    <row r="33" ht="15.75" customHeight="1">
      <c r="A33" s="64">
        <v>45487.0</v>
      </c>
      <c r="B33" s="55" t="str">
        <f>HYPERLINK("https://jobright.ai/jobs/info/65e214bb2ef5b55aec79a364?utm_campaign=1063&amp;utm_source=sheet", "Apply")</f>
        <v>Apply</v>
      </c>
      <c r="C33" s="10" t="s">
        <v>17332</v>
      </c>
      <c r="D33" s="56" t="s">
        <v>9588</v>
      </c>
      <c r="E33" s="10" t="s">
        <v>65</v>
      </c>
      <c r="F33" s="10" t="s">
        <v>722</v>
      </c>
      <c r="G33" s="10" t="s">
        <v>434</v>
      </c>
      <c r="H33" s="10" t="s">
        <v>55</v>
      </c>
      <c r="J33" s="10" t="s">
        <v>17333</v>
      </c>
      <c r="K33" s="10" t="s">
        <v>42</v>
      </c>
    </row>
    <row r="34" ht="15.75" customHeight="1">
      <c r="A34" s="64">
        <v>45487.0</v>
      </c>
      <c r="B34" s="55" t="str">
        <f>HYPERLINK("https://jobright.ai/jobs/info/6677909e670dad8ec82ceede?utm_campaign=1063&amp;utm_source=sheet", "Apply")</f>
        <v>Apply</v>
      </c>
      <c r="C34" s="10" t="s">
        <v>17334</v>
      </c>
      <c r="D34" s="56" t="s">
        <v>9588</v>
      </c>
      <c r="E34" s="10" t="s">
        <v>65</v>
      </c>
      <c r="F34" s="10" t="s">
        <v>722</v>
      </c>
      <c r="G34" s="10" t="s">
        <v>9732</v>
      </c>
      <c r="H34" s="10" t="s">
        <v>55</v>
      </c>
      <c r="J34" s="10" t="s">
        <v>17335</v>
      </c>
      <c r="K34" s="10" t="s">
        <v>42</v>
      </c>
    </row>
    <row r="35" ht="15.75" customHeight="1">
      <c r="A35" s="64">
        <v>45487.0</v>
      </c>
      <c r="B35" s="55" t="str">
        <f>HYPERLINK("https://jobright.ai/jobs/info/66779436023ec2d026d3baee?utm_campaign=1063&amp;utm_source=sheet", "Apply")</f>
        <v>Apply</v>
      </c>
      <c r="C35" s="10" t="s">
        <v>17336</v>
      </c>
      <c r="D35" s="56" t="s">
        <v>9588</v>
      </c>
      <c r="E35" s="10" t="s">
        <v>65</v>
      </c>
      <c r="F35" s="10" t="s">
        <v>722</v>
      </c>
      <c r="G35" s="10" t="s">
        <v>113</v>
      </c>
      <c r="H35" s="10" t="s">
        <v>55</v>
      </c>
      <c r="J35" s="10" t="s">
        <v>17337</v>
      </c>
      <c r="K35" s="10" t="s">
        <v>42</v>
      </c>
    </row>
    <row r="36" ht="15.75" customHeight="1">
      <c r="A36" s="64">
        <v>45487.0</v>
      </c>
      <c r="B36" s="55" t="str">
        <f>HYPERLINK("https://jobright.ai/jobs/info/661f224b65661655b1081182?utm_campaign=1063&amp;utm_source=sheet", "Apply")</f>
        <v>Apply</v>
      </c>
      <c r="C36" s="10" t="s">
        <v>17334</v>
      </c>
      <c r="D36" s="56" t="s">
        <v>9588</v>
      </c>
      <c r="E36" s="10" t="s">
        <v>65</v>
      </c>
      <c r="F36" s="10" t="s">
        <v>722</v>
      </c>
      <c r="G36" s="10" t="s">
        <v>434</v>
      </c>
      <c r="H36" s="10" t="s">
        <v>55</v>
      </c>
      <c r="J36" s="10" t="s">
        <v>17335</v>
      </c>
      <c r="K36" s="10" t="s">
        <v>42</v>
      </c>
    </row>
    <row r="37" ht="15.75" customHeight="1">
      <c r="A37" s="64">
        <v>45487.0</v>
      </c>
      <c r="B37" s="55" t="str">
        <f>HYPERLINK("https://jobright.ai/jobs/info/6676b3eba2f49d4e236dcc53?utm_campaign=1063&amp;utm_source=sheet", "Apply")</f>
        <v>Apply</v>
      </c>
      <c r="C37" s="10" t="s">
        <v>17311</v>
      </c>
      <c r="D37" s="56" t="s">
        <v>17312</v>
      </c>
      <c r="E37" s="10" t="s">
        <v>79</v>
      </c>
      <c r="F37" s="10" t="s">
        <v>17313</v>
      </c>
      <c r="G37" s="10" t="s">
        <v>434</v>
      </c>
      <c r="H37" s="10" t="s">
        <v>48</v>
      </c>
      <c r="I37" s="10" t="s">
        <v>17314</v>
      </c>
      <c r="J37" s="10" t="s">
        <v>17315</v>
      </c>
      <c r="K37" s="10" t="s">
        <v>42</v>
      </c>
    </row>
    <row r="38" ht="15.75" customHeight="1">
      <c r="A38" s="64">
        <v>45487.0</v>
      </c>
      <c r="B38" s="55" t="str">
        <f>HYPERLINK("https://jobright.ai/jobs/info/667601c9f1b86992c3646789?utm_campaign=1063&amp;utm_source=sheet", "Apply")</f>
        <v>Apply</v>
      </c>
      <c r="C38" s="10" t="s">
        <v>17334</v>
      </c>
      <c r="D38" s="56" t="s">
        <v>9588</v>
      </c>
      <c r="E38" s="10" t="s">
        <v>65</v>
      </c>
      <c r="F38" s="10" t="s">
        <v>722</v>
      </c>
      <c r="G38" s="10" t="s">
        <v>113</v>
      </c>
      <c r="H38" s="10" t="s">
        <v>55</v>
      </c>
      <c r="J38" s="10" t="s">
        <v>17335</v>
      </c>
      <c r="K38" s="10" t="s">
        <v>42</v>
      </c>
    </row>
    <row r="39" ht="15.75" customHeight="1">
      <c r="A39" s="64">
        <v>45487.0</v>
      </c>
      <c r="B39" s="55" t="str">
        <f>HYPERLINK("https://jobright.ai/jobs/info/66893389fb707d632ba082dd?utm_campaign=1063&amp;utm_source=sheet", "Apply")</f>
        <v>Apply</v>
      </c>
      <c r="C39" s="10" t="s">
        <v>17338</v>
      </c>
      <c r="D39" s="56" t="s">
        <v>13732</v>
      </c>
      <c r="E39" s="10" t="s">
        <v>209</v>
      </c>
      <c r="F39" s="10" t="s">
        <v>13733</v>
      </c>
      <c r="G39" s="10" t="s">
        <v>11404</v>
      </c>
      <c r="H39" s="10" t="s">
        <v>55</v>
      </c>
      <c r="I39" s="10" t="s">
        <v>1984</v>
      </c>
      <c r="J39" s="10" t="s">
        <v>17339</v>
      </c>
      <c r="K39" s="10" t="s">
        <v>42</v>
      </c>
    </row>
    <row r="40" ht="15.75" customHeight="1">
      <c r="A40" s="64">
        <v>45487.0</v>
      </c>
      <c r="B40" s="55" t="str">
        <f>HYPERLINK("https://jobright.ai/jobs/info/667797d7417c3aa48b86f406?utm_campaign=1063&amp;utm_source=sheet", "Apply")</f>
        <v>Apply</v>
      </c>
      <c r="C40" s="10" t="s">
        <v>17340</v>
      </c>
      <c r="D40" s="56" t="s">
        <v>11681</v>
      </c>
      <c r="E40" s="10">
        <v>6815.0</v>
      </c>
      <c r="G40" s="10" t="s">
        <v>354</v>
      </c>
      <c r="H40" s="10" t="s">
        <v>55</v>
      </c>
      <c r="J40" s="10" t="s">
        <v>17341</v>
      </c>
      <c r="K40" s="10" t="s">
        <v>42</v>
      </c>
    </row>
    <row r="41" ht="15.75" customHeight="1">
      <c r="A41" s="64">
        <v>45487.0</v>
      </c>
      <c r="B41" s="55" t="str">
        <f>HYPERLINK("https://jobright.ai/jobs/info/65eb472aff2863e09d21038f?utm_campaign=1063&amp;utm_source=sheet", "Apply")</f>
        <v>Apply</v>
      </c>
      <c r="C41" s="10" t="s">
        <v>17342</v>
      </c>
      <c r="D41" s="56" t="s">
        <v>9588</v>
      </c>
      <c r="E41" s="10" t="s">
        <v>65</v>
      </c>
      <c r="F41" s="10" t="s">
        <v>722</v>
      </c>
      <c r="G41" s="10" t="s">
        <v>9732</v>
      </c>
      <c r="H41" s="10" t="s">
        <v>55</v>
      </c>
      <c r="J41" s="10" t="s">
        <v>17343</v>
      </c>
      <c r="K41" s="10" t="s">
        <v>42</v>
      </c>
    </row>
    <row r="42" ht="15.75" customHeight="1">
      <c r="A42" s="66">
        <v>45487.0</v>
      </c>
      <c r="B42" s="55" t="str">
        <f>HYPERLINK("https://jobright.ai/jobs/info/65eb472aff2863e09d210341?utm_campaign=1063&amp;utm_source=sheet", "Apply")</f>
        <v>Apply</v>
      </c>
      <c r="C42" s="10" t="s">
        <v>17342</v>
      </c>
      <c r="D42" s="56" t="s">
        <v>9588</v>
      </c>
      <c r="E42" s="10" t="s">
        <v>65</v>
      </c>
      <c r="F42" s="10" t="s">
        <v>722</v>
      </c>
      <c r="G42" s="10" t="s">
        <v>434</v>
      </c>
      <c r="H42" s="10" t="s">
        <v>55</v>
      </c>
      <c r="J42" s="10" t="s">
        <v>17343</v>
      </c>
      <c r="K42" s="10" t="s">
        <v>42</v>
      </c>
    </row>
    <row r="43" ht="15.75" customHeight="1">
      <c r="A43" s="66">
        <v>45487.0</v>
      </c>
      <c r="B43" s="55" t="str">
        <f>HYPERLINK("https://jobright.ai/jobs/info/661dbbae7aa4fe6669f90047?utm_campaign=1063&amp;utm_source=sheet", "Apply")</f>
        <v>Apply</v>
      </c>
      <c r="C43" s="10" t="s">
        <v>17336</v>
      </c>
      <c r="D43" s="56" t="s">
        <v>9588</v>
      </c>
      <c r="E43" s="10" t="s">
        <v>65</v>
      </c>
      <c r="F43" s="10" t="s">
        <v>722</v>
      </c>
      <c r="G43" s="10" t="s">
        <v>434</v>
      </c>
      <c r="H43" s="10" t="s">
        <v>55</v>
      </c>
      <c r="J43" s="10" t="s">
        <v>17337</v>
      </c>
      <c r="K43" s="10" t="s">
        <v>42</v>
      </c>
    </row>
    <row r="44" ht="15.75" customHeight="1">
      <c r="A44" s="67">
        <v>45487.0</v>
      </c>
      <c r="B44" s="55" t="str">
        <f>HYPERLINK("https://jobright.ai/jobs/info/661dbb517aa4fe6669f8f75d?utm_campaign=1063&amp;utm_source=sheet", "Apply")</f>
        <v>Apply</v>
      </c>
      <c r="C44" s="10" t="s">
        <v>17336</v>
      </c>
      <c r="D44" s="56" t="s">
        <v>9588</v>
      </c>
      <c r="E44" s="10" t="s">
        <v>65</v>
      </c>
      <c r="F44" s="10" t="s">
        <v>722</v>
      </c>
      <c r="G44" s="10" t="s">
        <v>9732</v>
      </c>
      <c r="H44" s="10" t="s">
        <v>55</v>
      </c>
      <c r="J44" s="10" t="s">
        <v>17337</v>
      </c>
      <c r="K44" s="10" t="s">
        <v>42</v>
      </c>
    </row>
    <row r="45" ht="15.75" customHeight="1">
      <c r="A45" s="67">
        <v>45486.0</v>
      </c>
      <c r="B45" s="55" t="str">
        <f>HYPERLINK("https://jobright.ai/jobs/info/6693c5c966c27a0b1075e453?utm_campaign=1063&amp;utm_source=sheet", "Apply")</f>
        <v>Apply</v>
      </c>
      <c r="C45" s="10" t="s">
        <v>17329</v>
      </c>
      <c r="D45" s="58" t="s">
        <v>17330</v>
      </c>
      <c r="E45" s="10" t="s">
        <v>276</v>
      </c>
      <c r="F45" s="10" t="s">
        <v>1769</v>
      </c>
      <c r="G45" s="10" t="s">
        <v>251</v>
      </c>
      <c r="H45" s="10" t="s">
        <v>48</v>
      </c>
      <c r="I45" s="10" t="s">
        <v>6551</v>
      </c>
      <c r="J45" s="10" t="s">
        <v>17331</v>
      </c>
      <c r="K45" s="10" t="s">
        <v>42</v>
      </c>
    </row>
    <row r="46" ht="15.75" customHeight="1">
      <c r="A46" s="67">
        <v>45486.0</v>
      </c>
      <c r="B46" s="55" t="str">
        <f>HYPERLINK("https://jobright.ai/jobs/info/6605fd87905a6cd2d20f0345?utm_campaign=1063&amp;utm_source=sheet", "Apply")</f>
        <v>Apply</v>
      </c>
      <c r="C46" s="10" t="s">
        <v>17344</v>
      </c>
      <c r="D46" s="56" t="s">
        <v>9588</v>
      </c>
      <c r="E46" s="10" t="s">
        <v>65</v>
      </c>
      <c r="F46" s="10" t="s">
        <v>722</v>
      </c>
      <c r="G46" s="10" t="s">
        <v>854</v>
      </c>
      <c r="H46" s="10" t="s">
        <v>55</v>
      </c>
      <c r="J46" s="10" t="s">
        <v>17345</v>
      </c>
      <c r="K46" s="10" t="s">
        <v>42</v>
      </c>
    </row>
    <row r="47" ht="15.75" customHeight="1">
      <c r="A47" s="67">
        <v>45486.0</v>
      </c>
      <c r="B47" s="55" t="str">
        <f>HYPERLINK("https://jobright.ai/jobs/info/6605fde8905a6cd2d20f0b3b?utm_campaign=1063&amp;utm_source=sheet", "Apply")</f>
        <v>Apply</v>
      </c>
      <c r="C47" s="10" t="s">
        <v>17344</v>
      </c>
      <c r="D47" s="56" t="s">
        <v>9588</v>
      </c>
      <c r="E47" s="10" t="s">
        <v>65</v>
      </c>
      <c r="F47" s="10" t="s">
        <v>722</v>
      </c>
      <c r="G47" s="10" t="s">
        <v>361</v>
      </c>
      <c r="H47" s="10" t="s">
        <v>55</v>
      </c>
      <c r="J47" s="10" t="s">
        <v>17345</v>
      </c>
      <c r="K47" s="10" t="s">
        <v>42</v>
      </c>
    </row>
    <row r="48" ht="15.75" customHeight="1">
      <c r="A48" s="67">
        <v>45486.0</v>
      </c>
      <c r="B48" s="55" t="str">
        <f>HYPERLINK("https://jobright.ai/jobs/info/65ef9fa8c947f63ccd7980ab?utm_campaign=1063&amp;utm_source=sheet", "Apply")</f>
        <v>Apply</v>
      </c>
      <c r="C48" s="10" t="s">
        <v>17346</v>
      </c>
      <c r="D48" s="56" t="s">
        <v>10097</v>
      </c>
      <c r="E48" s="10" t="s">
        <v>249</v>
      </c>
      <c r="F48" s="10" t="s">
        <v>1159</v>
      </c>
      <c r="G48" s="10" t="s">
        <v>843</v>
      </c>
      <c r="H48" s="10" t="s">
        <v>55</v>
      </c>
      <c r="J48" s="10" t="s">
        <v>17347</v>
      </c>
      <c r="K48" s="10" t="s">
        <v>42</v>
      </c>
    </row>
    <row r="49" ht="15.75" customHeight="1">
      <c r="A49" s="68">
        <v>45486.0</v>
      </c>
      <c r="B49" s="55" t="str">
        <f>HYPERLINK("https://jobright.ai/jobs/info/6606180d19ac91160370e0d0?utm_campaign=1063&amp;utm_source=sheet", "Apply")</f>
        <v>Apply</v>
      </c>
      <c r="C49" s="10" t="s">
        <v>17344</v>
      </c>
      <c r="D49" s="56" t="s">
        <v>9588</v>
      </c>
      <c r="E49" s="10" t="s">
        <v>65</v>
      </c>
      <c r="F49" s="10" t="s">
        <v>722</v>
      </c>
      <c r="G49" s="10" t="s">
        <v>1049</v>
      </c>
      <c r="H49" s="10" t="s">
        <v>55</v>
      </c>
      <c r="J49" s="10" t="s">
        <v>17345</v>
      </c>
      <c r="K49" s="10" t="s">
        <v>42</v>
      </c>
    </row>
    <row r="50" ht="15.75" customHeight="1">
      <c r="A50" s="68">
        <v>45486.0</v>
      </c>
      <c r="B50" s="55" t="str">
        <f>HYPERLINK("https://jobright.ai/jobs/info/6605fde8905a6cd2d20f0b3c?utm_campaign=1063&amp;utm_source=sheet", "Apply")</f>
        <v>Apply</v>
      </c>
      <c r="C50" s="10" t="s">
        <v>17344</v>
      </c>
      <c r="D50" s="56" t="s">
        <v>9588</v>
      </c>
      <c r="E50" s="10" t="s">
        <v>65</v>
      </c>
      <c r="F50" s="10" t="s">
        <v>722</v>
      </c>
      <c r="G50" s="10" t="s">
        <v>434</v>
      </c>
      <c r="H50" s="10" t="s">
        <v>55</v>
      </c>
      <c r="J50" s="10" t="s">
        <v>17345</v>
      </c>
      <c r="K50" s="10" t="s">
        <v>42</v>
      </c>
    </row>
    <row r="51" ht="15.75" customHeight="1">
      <c r="A51" s="64">
        <v>45486.0</v>
      </c>
      <c r="B51" s="55" t="str">
        <f>HYPERLINK("https://jobright.ai/jobs/info/667627a774a49bf8010a18be?utm_campaign=1063&amp;utm_source=sheet", "Apply")</f>
        <v>Apply</v>
      </c>
      <c r="C51" s="10" t="s">
        <v>17348</v>
      </c>
      <c r="D51" s="56" t="s">
        <v>10978</v>
      </c>
      <c r="E51" s="10" t="s">
        <v>45</v>
      </c>
      <c r="F51" s="10" t="s">
        <v>3594</v>
      </c>
      <c r="G51" s="10" t="s">
        <v>723</v>
      </c>
      <c r="H51" s="10" t="s">
        <v>55</v>
      </c>
      <c r="I51" s="10" t="s">
        <v>17349</v>
      </c>
      <c r="J51" s="10" t="s">
        <v>17350</v>
      </c>
      <c r="K51" s="10" t="s">
        <v>42</v>
      </c>
    </row>
    <row r="52" ht="15.75" customHeight="1">
      <c r="A52" s="64">
        <v>45482.0</v>
      </c>
      <c r="B52" s="55" t="str">
        <f>HYPERLINK("https://jobright.ai/jobs/info/6525f899cffc788a16329cdb?utm_campaign=1063&amp;utm_source=sheet", "Apply")</f>
        <v>Apply</v>
      </c>
      <c r="C52" s="10" t="s">
        <v>17351</v>
      </c>
      <c r="D52" s="56" t="s">
        <v>17352</v>
      </c>
      <c r="E52" s="10" t="s">
        <v>71</v>
      </c>
      <c r="F52" s="10" t="s">
        <v>17353</v>
      </c>
      <c r="G52" s="10" t="s">
        <v>6071</v>
      </c>
      <c r="H52" s="10" t="s">
        <v>48</v>
      </c>
      <c r="I52" s="10" t="s">
        <v>1189</v>
      </c>
      <c r="J52" s="10" t="s">
        <v>17354</v>
      </c>
      <c r="K52" s="10" t="s">
        <v>42</v>
      </c>
    </row>
    <row r="53" ht="15.75" customHeight="1">
      <c r="A53" s="66">
        <v>45477.0</v>
      </c>
      <c r="B53" s="55" t="str">
        <f>HYPERLINK("https://jobright.ai/jobs/info/6674412bbd65a761bf019a95?utm_campaign=1063&amp;utm_source=sheet", "Apply")</f>
        <v>Apply</v>
      </c>
      <c r="C53" s="10" t="s">
        <v>17355</v>
      </c>
      <c r="D53" s="56" t="s">
        <v>17356</v>
      </c>
      <c r="E53" s="10" t="s">
        <v>79</v>
      </c>
      <c r="F53" s="10" t="s">
        <v>10</v>
      </c>
      <c r="G53" s="10" t="s">
        <v>879</v>
      </c>
      <c r="H53" s="10" t="s">
        <v>55</v>
      </c>
      <c r="J53" s="10" t="s">
        <v>17357</v>
      </c>
      <c r="K53" s="10" t="s">
        <v>42</v>
      </c>
    </row>
    <row r="54" ht="15.75" customHeight="1">
      <c r="A54" s="64">
        <v>45475.0</v>
      </c>
      <c r="B54" s="55" t="str">
        <f>HYPERLINK("https://jobright.ai/jobs/info/66854a669799f1a00a244893?utm_campaign=1063&amp;utm_source=sheet", "Apply")</f>
        <v>Apply</v>
      </c>
      <c r="C54" s="10" t="s">
        <v>17338</v>
      </c>
      <c r="D54" s="56" t="s">
        <v>1178</v>
      </c>
      <c r="E54" s="10" t="s">
        <v>137</v>
      </c>
      <c r="F54" s="10" t="s">
        <v>1179</v>
      </c>
      <c r="G54" s="10" t="s">
        <v>11404</v>
      </c>
      <c r="H54" s="10" t="s">
        <v>55</v>
      </c>
      <c r="I54" s="10" t="s">
        <v>1984</v>
      </c>
      <c r="J54" s="10" t="s">
        <v>17358</v>
      </c>
      <c r="K54" s="10" t="s">
        <v>42</v>
      </c>
    </row>
    <row r="55" ht="15.75" customHeight="1">
      <c r="A55" s="64">
        <v>45474.0</v>
      </c>
      <c r="B55" s="55" t="str">
        <f>HYPERLINK("https://jobright.ai/jobs/info/6682f13856317a36d1ad8934?utm_campaign=1063&amp;utm_source=sheet", "Apply")</f>
        <v>Apply</v>
      </c>
      <c r="C55" s="10" t="s">
        <v>17319</v>
      </c>
      <c r="D55" s="56" t="s">
        <v>9072</v>
      </c>
      <c r="E55" s="10">
        <v>645.0</v>
      </c>
      <c r="G55" s="10" t="s">
        <v>8353</v>
      </c>
      <c r="H55" s="10" t="s">
        <v>55</v>
      </c>
      <c r="J55" s="10" t="s">
        <v>17320</v>
      </c>
      <c r="K55" s="10" t="s">
        <v>42</v>
      </c>
    </row>
    <row r="56" ht="15.75" customHeight="1">
      <c r="A56" s="64">
        <v>45473.0</v>
      </c>
      <c r="B56" s="55" t="str">
        <f>HYPERLINK("https://jobright.ai/jobs/info/6681d819049173fa673dd2fd?utm_campaign=1063&amp;utm_source=sheet", "Apply")</f>
        <v>Apply</v>
      </c>
      <c r="C56" s="10" t="s">
        <v>17359</v>
      </c>
      <c r="D56" s="56" t="s">
        <v>17360</v>
      </c>
      <c r="E56" s="10" t="s">
        <v>71</v>
      </c>
      <c r="F56" s="10" t="s">
        <v>17361</v>
      </c>
      <c r="G56" s="10" t="s">
        <v>1039</v>
      </c>
      <c r="H56" s="10" t="s">
        <v>48</v>
      </c>
      <c r="J56" s="10" t="s">
        <v>17362</v>
      </c>
      <c r="K56" s="10" t="s">
        <v>42</v>
      </c>
    </row>
    <row r="57" ht="15.75" customHeight="1">
      <c r="A57" s="66">
        <v>45473.0</v>
      </c>
      <c r="B57" s="55" t="str">
        <f>HYPERLINK("https://jobright.ai/jobs/info/6681d819049173fa673dd2fc?utm_campaign=1063&amp;utm_source=sheet", "Apply")</f>
        <v>Apply</v>
      </c>
      <c r="C57" s="10" t="s">
        <v>17359</v>
      </c>
      <c r="D57" s="56" t="s">
        <v>17360</v>
      </c>
      <c r="E57" s="10" t="s">
        <v>71</v>
      </c>
      <c r="F57" s="10" t="s">
        <v>17361</v>
      </c>
      <c r="G57" s="10" t="s">
        <v>948</v>
      </c>
      <c r="H57" s="10" t="s">
        <v>48</v>
      </c>
      <c r="J57" s="10" t="s">
        <v>17362</v>
      </c>
      <c r="K57" s="10" t="s">
        <v>42</v>
      </c>
    </row>
    <row r="58" ht="15.75" customHeight="1">
      <c r="A58" s="64">
        <v>45473.0</v>
      </c>
      <c r="B58" s="55" t="str">
        <f>HYPERLINK("https://jobright.ai/jobs/info/6681bc1e344ad833f9e042fb?utm_campaign=1063&amp;utm_source=sheet", "Apply")</f>
        <v>Apply</v>
      </c>
      <c r="C58" s="10" t="s">
        <v>17359</v>
      </c>
      <c r="D58" s="56" t="s">
        <v>17360</v>
      </c>
      <c r="E58" s="10" t="s">
        <v>71</v>
      </c>
      <c r="F58" s="10" t="s">
        <v>17361</v>
      </c>
      <c r="G58" s="10" t="s">
        <v>7690</v>
      </c>
      <c r="H58" s="10" t="s">
        <v>48</v>
      </c>
      <c r="J58" s="10" t="s">
        <v>17362</v>
      </c>
      <c r="K58" s="10" t="s">
        <v>42</v>
      </c>
    </row>
    <row r="59" ht="15.75" customHeight="1">
      <c r="A59" s="64">
        <v>45473.0</v>
      </c>
      <c r="B59" s="55" t="str">
        <f>HYPERLINK("https://jobright.ai/jobs/info/6681bc1e344ad833f9e042f9?utm_campaign=1063&amp;utm_source=sheet", "Apply")</f>
        <v>Apply</v>
      </c>
      <c r="C59" s="10" t="s">
        <v>17359</v>
      </c>
      <c r="D59" s="56" t="s">
        <v>17360</v>
      </c>
      <c r="E59" s="10" t="s">
        <v>71</v>
      </c>
      <c r="F59" s="10" t="s">
        <v>17361</v>
      </c>
      <c r="G59" s="10" t="s">
        <v>1035</v>
      </c>
      <c r="H59" s="10" t="s">
        <v>48</v>
      </c>
      <c r="J59" s="10" t="s">
        <v>17362</v>
      </c>
      <c r="K59" s="10" t="s">
        <v>42</v>
      </c>
    </row>
    <row r="60" ht="15.75" customHeight="1">
      <c r="A60" s="66">
        <v>45473.0</v>
      </c>
      <c r="B60" s="55" t="str">
        <f>HYPERLINK("https://jobright.ai/jobs/info/6681bc1e344ad833f9e042fa?utm_campaign=1063&amp;utm_source=sheet", "Apply")</f>
        <v>Apply</v>
      </c>
      <c r="C60" s="10" t="s">
        <v>17359</v>
      </c>
      <c r="D60" s="56" t="s">
        <v>17360</v>
      </c>
      <c r="E60" s="10" t="s">
        <v>71</v>
      </c>
      <c r="F60" s="10" t="s">
        <v>17361</v>
      </c>
      <c r="G60" s="10" t="s">
        <v>1020</v>
      </c>
      <c r="H60" s="10" t="s">
        <v>48</v>
      </c>
      <c r="J60" s="10" t="s">
        <v>17362</v>
      </c>
      <c r="K60" s="10" t="s">
        <v>42</v>
      </c>
    </row>
    <row r="61" ht="15.75" customHeight="1">
      <c r="A61" s="64">
        <v>45473.0</v>
      </c>
      <c r="B61" s="55" t="str">
        <f>HYPERLINK("https://jobright.ai/jobs/info/6681bc1e344ad833f9e04305?utm_campaign=1063&amp;utm_source=sheet", "Apply")</f>
        <v>Apply</v>
      </c>
      <c r="C61" s="10" t="s">
        <v>17359</v>
      </c>
      <c r="D61" s="56" t="s">
        <v>17360</v>
      </c>
      <c r="E61" s="10" t="s">
        <v>71</v>
      </c>
      <c r="F61" s="10" t="s">
        <v>17361</v>
      </c>
      <c r="G61" s="10" t="s">
        <v>859</v>
      </c>
      <c r="H61" s="10" t="s">
        <v>48</v>
      </c>
      <c r="J61" s="10" t="s">
        <v>17362</v>
      </c>
      <c r="K61" s="10" t="s">
        <v>42</v>
      </c>
    </row>
    <row r="62" ht="15.75" customHeight="1">
      <c r="A62" s="64">
        <v>45473.0</v>
      </c>
      <c r="B62" s="55" t="str">
        <f>HYPERLINK("https://jobright.ai/jobs/info/6681bc1e344ad833f9e042fe?utm_campaign=1063&amp;utm_source=sheet", "Apply")</f>
        <v>Apply</v>
      </c>
      <c r="C62" s="10" t="s">
        <v>17359</v>
      </c>
      <c r="D62" s="56" t="s">
        <v>17360</v>
      </c>
      <c r="E62" s="10" t="s">
        <v>71</v>
      </c>
      <c r="F62" s="10" t="s">
        <v>17361</v>
      </c>
      <c r="G62" s="10" t="s">
        <v>945</v>
      </c>
      <c r="H62" s="10" t="s">
        <v>48</v>
      </c>
      <c r="J62" s="10" t="s">
        <v>17362</v>
      </c>
      <c r="K62" s="10" t="s">
        <v>42</v>
      </c>
    </row>
    <row r="63" ht="15.75" customHeight="1">
      <c r="A63" s="66">
        <v>45473.0</v>
      </c>
      <c r="B63" s="55" t="str">
        <f>HYPERLINK("https://jobright.ai/jobs/info/6681bc1e344ad833f9e04303?utm_campaign=1063&amp;utm_source=sheet", "Apply")</f>
        <v>Apply</v>
      </c>
      <c r="C63" s="10" t="s">
        <v>17359</v>
      </c>
      <c r="D63" s="56" t="s">
        <v>17360</v>
      </c>
      <c r="E63" s="10" t="s">
        <v>71</v>
      </c>
      <c r="F63" s="10" t="s">
        <v>17361</v>
      </c>
      <c r="G63" s="10" t="s">
        <v>1027</v>
      </c>
      <c r="H63" s="10" t="s">
        <v>48</v>
      </c>
      <c r="J63" s="10" t="s">
        <v>17362</v>
      </c>
      <c r="K63" s="10" t="s">
        <v>42</v>
      </c>
    </row>
    <row r="64" ht="15.75" customHeight="1">
      <c r="A64" s="64">
        <v>45473.0</v>
      </c>
      <c r="B64" s="55" t="str">
        <f>HYPERLINK("https://jobright.ai/jobs/info/6681bc1e344ad833f9e04302?utm_campaign=1063&amp;utm_source=sheet", "Apply")</f>
        <v>Apply</v>
      </c>
      <c r="C64" s="10" t="s">
        <v>17359</v>
      </c>
      <c r="D64" s="56" t="s">
        <v>17360</v>
      </c>
      <c r="E64" s="10" t="s">
        <v>71</v>
      </c>
      <c r="F64" s="10" t="s">
        <v>17361</v>
      </c>
      <c r="G64" s="10" t="s">
        <v>988</v>
      </c>
      <c r="H64" s="10" t="s">
        <v>48</v>
      </c>
      <c r="J64" s="10" t="s">
        <v>17362</v>
      </c>
      <c r="K64" s="10" t="s">
        <v>42</v>
      </c>
    </row>
    <row r="65" ht="15.75" customHeight="1">
      <c r="A65" s="64">
        <v>45473.0</v>
      </c>
      <c r="B65" s="55" t="str">
        <f>HYPERLINK("https://jobright.ai/jobs/info/6681bc1e344ad833f9e04306?utm_campaign=1063&amp;utm_source=sheet", "Apply")</f>
        <v>Apply</v>
      </c>
      <c r="C65" s="10" t="s">
        <v>17359</v>
      </c>
      <c r="D65" s="56" t="s">
        <v>17360</v>
      </c>
      <c r="E65" s="10" t="s">
        <v>71</v>
      </c>
      <c r="F65" s="10" t="s">
        <v>17361</v>
      </c>
      <c r="G65" s="10" t="s">
        <v>819</v>
      </c>
      <c r="H65" s="10" t="s">
        <v>48</v>
      </c>
      <c r="J65" s="10" t="s">
        <v>17362</v>
      </c>
      <c r="K65" s="10" t="s">
        <v>42</v>
      </c>
    </row>
    <row r="66" ht="15.75" customHeight="1">
      <c r="A66" s="64">
        <v>45473.0</v>
      </c>
      <c r="B66" s="55" t="str">
        <f>HYPERLINK("https://jobright.ai/jobs/info/6681bc1e344ad833f9e04304?utm_campaign=1063&amp;utm_source=sheet", "Apply")</f>
        <v>Apply</v>
      </c>
      <c r="C66" s="10" t="s">
        <v>17359</v>
      </c>
      <c r="D66" s="56" t="s">
        <v>17360</v>
      </c>
      <c r="E66" s="10" t="s">
        <v>71</v>
      </c>
      <c r="F66" s="10" t="s">
        <v>17361</v>
      </c>
      <c r="G66" s="10" t="s">
        <v>826</v>
      </c>
      <c r="H66" s="10" t="s">
        <v>48</v>
      </c>
      <c r="J66" s="10" t="s">
        <v>17362</v>
      </c>
      <c r="K66" s="10" t="s">
        <v>42</v>
      </c>
    </row>
    <row r="67" ht="15.75" customHeight="1">
      <c r="A67" s="64">
        <v>45473.0</v>
      </c>
      <c r="B67" s="55" t="str">
        <f>HYPERLINK("https://jobright.ai/jobs/info/6681bc1e344ad833f9e042fd?utm_campaign=1063&amp;utm_source=sheet", "Apply")</f>
        <v>Apply</v>
      </c>
      <c r="C67" s="10" t="s">
        <v>17359</v>
      </c>
      <c r="D67" s="56" t="s">
        <v>17360</v>
      </c>
      <c r="E67" s="10" t="s">
        <v>71</v>
      </c>
      <c r="F67" s="10" t="s">
        <v>17361</v>
      </c>
      <c r="G67" s="10" t="s">
        <v>1013</v>
      </c>
      <c r="H67" s="10" t="s">
        <v>48</v>
      </c>
      <c r="J67" s="10" t="s">
        <v>17362</v>
      </c>
      <c r="K67" s="10" t="s">
        <v>42</v>
      </c>
    </row>
    <row r="68" ht="15.75" customHeight="1">
      <c r="A68" s="64">
        <v>45473.0</v>
      </c>
      <c r="B68" s="55" t="str">
        <f>HYPERLINK("https://jobright.ai/jobs/info/6681bc1e344ad833f9e042ff?utm_campaign=1063&amp;utm_source=sheet", "Apply")</f>
        <v>Apply</v>
      </c>
      <c r="C68" s="10" t="s">
        <v>17359</v>
      </c>
      <c r="D68" s="56" t="s">
        <v>17360</v>
      </c>
      <c r="E68" s="10" t="s">
        <v>71</v>
      </c>
      <c r="F68" s="10" t="s">
        <v>17361</v>
      </c>
      <c r="G68" s="10" t="s">
        <v>768</v>
      </c>
      <c r="H68" s="10" t="s">
        <v>48</v>
      </c>
      <c r="J68" s="10" t="s">
        <v>17362</v>
      </c>
      <c r="K68" s="10" t="s">
        <v>42</v>
      </c>
    </row>
    <row r="69" ht="15.75" customHeight="1">
      <c r="A69" s="64">
        <v>45473.0</v>
      </c>
      <c r="B69" s="55" t="str">
        <f>HYPERLINK("https://jobright.ai/jobs/info/6681bc1e344ad833f9e04307?utm_campaign=1063&amp;utm_source=sheet", "Apply")</f>
        <v>Apply</v>
      </c>
      <c r="C69" s="10" t="s">
        <v>17359</v>
      </c>
      <c r="D69" s="56" t="s">
        <v>17360</v>
      </c>
      <c r="E69" s="10" t="s">
        <v>71</v>
      </c>
      <c r="F69" s="10" t="s">
        <v>17361</v>
      </c>
      <c r="G69" s="10" t="s">
        <v>108</v>
      </c>
      <c r="H69" s="10" t="s">
        <v>48</v>
      </c>
      <c r="J69" s="10" t="s">
        <v>17362</v>
      </c>
      <c r="K69" s="10" t="s">
        <v>42</v>
      </c>
    </row>
    <row r="70" ht="15.75" customHeight="1">
      <c r="A70" s="64">
        <v>45473.0</v>
      </c>
      <c r="B70" s="55" t="str">
        <f>HYPERLINK("https://jobright.ai/jobs/info/6681bc1e344ad833f9e042fc?utm_campaign=1063&amp;utm_source=sheet", "Apply")</f>
        <v>Apply</v>
      </c>
      <c r="C70" s="10" t="s">
        <v>17359</v>
      </c>
      <c r="D70" s="56" t="s">
        <v>17360</v>
      </c>
      <c r="E70" s="10" t="s">
        <v>71</v>
      </c>
      <c r="F70" s="10" t="s">
        <v>17361</v>
      </c>
      <c r="G70" s="10" t="s">
        <v>1023</v>
      </c>
      <c r="H70" s="10" t="s">
        <v>48</v>
      </c>
      <c r="J70" s="10" t="s">
        <v>17362</v>
      </c>
      <c r="K70" s="10" t="s">
        <v>42</v>
      </c>
    </row>
    <row r="71" ht="15.75" customHeight="1">
      <c r="A71" s="64">
        <v>45473.0</v>
      </c>
      <c r="B71" s="55" t="str">
        <f>HYPERLINK("https://jobright.ai/jobs/info/6681bc1e344ad833f9e04301?utm_campaign=1063&amp;utm_source=sheet", "Apply")</f>
        <v>Apply</v>
      </c>
      <c r="C71" s="10" t="s">
        <v>17359</v>
      </c>
      <c r="D71" s="56" t="s">
        <v>17360</v>
      </c>
      <c r="E71" s="10" t="s">
        <v>71</v>
      </c>
      <c r="F71" s="10" t="s">
        <v>17361</v>
      </c>
      <c r="G71" s="10" t="s">
        <v>873</v>
      </c>
      <c r="H71" s="10" t="s">
        <v>48</v>
      </c>
      <c r="J71" s="10" t="s">
        <v>17362</v>
      </c>
      <c r="K71" s="10" t="s">
        <v>42</v>
      </c>
    </row>
    <row r="72" ht="15.75" customHeight="1">
      <c r="A72" s="64">
        <v>45473.0</v>
      </c>
      <c r="B72" s="55" t="str">
        <f>HYPERLINK("https://jobright.ai/jobs/info/6681bc1e344ad833f9e04300?utm_campaign=1063&amp;utm_source=sheet", "Apply")</f>
        <v>Apply</v>
      </c>
      <c r="C72" s="10" t="s">
        <v>17359</v>
      </c>
      <c r="D72" s="56" t="s">
        <v>17360</v>
      </c>
      <c r="E72" s="10" t="s">
        <v>71</v>
      </c>
      <c r="F72" s="10" t="s">
        <v>17361</v>
      </c>
      <c r="G72" s="10" t="s">
        <v>972</v>
      </c>
      <c r="H72" s="10" t="s">
        <v>48</v>
      </c>
      <c r="J72" s="10" t="s">
        <v>17362</v>
      </c>
      <c r="K72" s="10" t="s">
        <v>42</v>
      </c>
    </row>
    <row r="73" ht="15.75" customHeight="1">
      <c r="A73" s="64">
        <v>45473.0</v>
      </c>
      <c r="B73" s="55" t="str">
        <f>HYPERLINK("https://jobright.ai/jobs/info/6681bc1e344ad833f9e0430d?utm_campaign=1063&amp;utm_source=sheet", "Apply")</f>
        <v>Apply</v>
      </c>
      <c r="C73" s="10" t="s">
        <v>17359</v>
      </c>
      <c r="D73" s="56" t="s">
        <v>17360</v>
      </c>
      <c r="E73" s="10" t="s">
        <v>71</v>
      </c>
      <c r="F73" s="10" t="s">
        <v>17361</v>
      </c>
      <c r="G73" s="10" t="s">
        <v>165</v>
      </c>
      <c r="H73" s="10" t="s">
        <v>48</v>
      </c>
      <c r="J73" s="10" t="s">
        <v>17362</v>
      </c>
      <c r="K73" s="10" t="s">
        <v>42</v>
      </c>
    </row>
    <row r="74" ht="15.75" customHeight="1">
      <c r="A74" s="64">
        <v>45473.0</v>
      </c>
      <c r="B74" s="55" t="str">
        <f>HYPERLINK("https://jobright.ai/jobs/info/6681bc1e344ad833f9e04309?utm_campaign=1063&amp;utm_source=sheet", "Apply")</f>
        <v>Apply</v>
      </c>
      <c r="C74" s="10" t="s">
        <v>17359</v>
      </c>
      <c r="D74" s="56" t="s">
        <v>17360</v>
      </c>
      <c r="E74" s="10" t="s">
        <v>71</v>
      </c>
      <c r="F74" s="10" t="s">
        <v>17361</v>
      </c>
      <c r="G74" s="10" t="s">
        <v>942</v>
      </c>
      <c r="H74" s="10" t="s">
        <v>48</v>
      </c>
      <c r="J74" s="10" t="s">
        <v>17362</v>
      </c>
      <c r="K74" s="10" t="s">
        <v>42</v>
      </c>
    </row>
    <row r="75" ht="15.75" customHeight="1">
      <c r="A75" s="64">
        <v>45473.0</v>
      </c>
      <c r="B75" s="55" t="str">
        <f>HYPERLINK("https://jobright.ai/jobs/info/6681bc1e344ad833f9e0430a?utm_campaign=1063&amp;utm_source=sheet", "Apply")</f>
        <v>Apply</v>
      </c>
      <c r="C75" s="10" t="s">
        <v>17359</v>
      </c>
      <c r="D75" s="56" t="s">
        <v>17360</v>
      </c>
      <c r="E75" s="10" t="s">
        <v>71</v>
      </c>
      <c r="F75" s="10" t="s">
        <v>17361</v>
      </c>
      <c r="G75" s="10" t="s">
        <v>789</v>
      </c>
      <c r="H75" s="10" t="s">
        <v>48</v>
      </c>
      <c r="J75" s="10" t="s">
        <v>17362</v>
      </c>
      <c r="K75" s="10" t="s">
        <v>42</v>
      </c>
    </row>
    <row r="76" ht="15.75" customHeight="1">
      <c r="A76" s="64">
        <v>45473.0</v>
      </c>
      <c r="B76" s="55" t="str">
        <f>HYPERLINK("https://jobright.ai/jobs/info/6681bc1e344ad833f9e0430c?utm_campaign=1063&amp;utm_source=sheet", "Apply")</f>
        <v>Apply</v>
      </c>
      <c r="C76" s="10" t="s">
        <v>17359</v>
      </c>
      <c r="D76" s="56" t="s">
        <v>17360</v>
      </c>
      <c r="E76" s="10" t="s">
        <v>71</v>
      </c>
      <c r="F76" s="10" t="s">
        <v>17361</v>
      </c>
      <c r="G76" s="10" t="s">
        <v>1003</v>
      </c>
      <c r="H76" s="10" t="s">
        <v>48</v>
      </c>
      <c r="J76" s="10" t="s">
        <v>17362</v>
      </c>
      <c r="K76" s="10" t="s">
        <v>42</v>
      </c>
    </row>
    <row r="77" ht="15.75" customHeight="1">
      <c r="A77" s="64">
        <v>45473.0</v>
      </c>
      <c r="B77" s="55" t="str">
        <f>HYPERLINK("https://jobright.ai/jobs/info/6681bc1e344ad833f9e0430b?utm_campaign=1063&amp;utm_source=sheet", "Apply")</f>
        <v>Apply</v>
      </c>
      <c r="C77" s="10" t="s">
        <v>17359</v>
      </c>
      <c r="D77" s="56" t="s">
        <v>17360</v>
      </c>
      <c r="E77" s="10" t="s">
        <v>71</v>
      </c>
      <c r="F77" s="10" t="s">
        <v>17361</v>
      </c>
      <c r="G77" s="10" t="s">
        <v>893</v>
      </c>
      <c r="H77" s="10" t="s">
        <v>48</v>
      </c>
      <c r="J77" s="10" t="s">
        <v>17362</v>
      </c>
      <c r="K77" s="10" t="s">
        <v>42</v>
      </c>
    </row>
    <row r="78" ht="15.75" customHeight="1">
      <c r="A78" s="64">
        <v>45473.0</v>
      </c>
      <c r="B78" s="55" t="str">
        <f>HYPERLINK("https://jobright.ai/jobs/info/6681bc1e344ad833f9e04308?utm_campaign=1063&amp;utm_source=sheet", "Apply")</f>
        <v>Apply</v>
      </c>
      <c r="C78" s="10" t="s">
        <v>17359</v>
      </c>
      <c r="D78" s="56" t="s">
        <v>17360</v>
      </c>
      <c r="E78" s="10" t="s">
        <v>71</v>
      </c>
      <c r="F78" s="10" t="s">
        <v>17361</v>
      </c>
      <c r="G78" s="10" t="s">
        <v>810</v>
      </c>
      <c r="H78" s="10" t="s">
        <v>48</v>
      </c>
      <c r="J78" s="10" t="s">
        <v>17362</v>
      </c>
      <c r="K78" s="10" t="s">
        <v>42</v>
      </c>
    </row>
    <row r="79" ht="15.75" customHeight="1">
      <c r="A79" s="64">
        <v>45473.0</v>
      </c>
      <c r="B79" s="55" t="str">
        <f>HYPERLINK("https://jobright.ai/jobs/info/6681f3ec71707ef104247cc4?utm_campaign=1063&amp;utm_source=sheet", "Apply")</f>
        <v>Apply</v>
      </c>
      <c r="C79" s="10" t="s">
        <v>17359</v>
      </c>
      <c r="D79" s="56" t="s">
        <v>17360</v>
      </c>
      <c r="E79" s="10" t="s">
        <v>71</v>
      </c>
      <c r="F79" s="10" t="s">
        <v>17361</v>
      </c>
      <c r="G79" s="10" t="s">
        <v>949</v>
      </c>
      <c r="H79" s="10" t="s">
        <v>48</v>
      </c>
      <c r="J79" s="10" t="s">
        <v>17362</v>
      </c>
      <c r="K79" s="10" t="s">
        <v>42</v>
      </c>
    </row>
    <row r="80" ht="15.75" customHeight="1">
      <c r="A80" s="64">
        <v>45473.0</v>
      </c>
      <c r="B80" s="55" t="str">
        <f>HYPERLINK("https://jobright.ai/jobs/info/6681ca4d07c0ecf02ffcfcaa?utm_campaign=1063&amp;utm_source=sheet", "Apply")</f>
        <v>Apply</v>
      </c>
      <c r="C80" s="10" t="s">
        <v>17359</v>
      </c>
      <c r="D80" s="56" t="s">
        <v>17360</v>
      </c>
      <c r="E80" s="10" t="s">
        <v>71</v>
      </c>
      <c r="F80" s="10" t="s">
        <v>17361</v>
      </c>
      <c r="G80" s="10" t="s">
        <v>434</v>
      </c>
      <c r="H80" s="10" t="s">
        <v>48</v>
      </c>
      <c r="J80" s="10" t="s">
        <v>17362</v>
      </c>
      <c r="K80" s="10" t="s">
        <v>42</v>
      </c>
    </row>
    <row r="81" ht="15.75" customHeight="1">
      <c r="A81" s="64">
        <v>45473.0</v>
      </c>
      <c r="B81" s="55" t="str">
        <f>HYPERLINK("https://jobright.ai/jobs/info/6681ca4d07c0ecf02ffcfca9?utm_campaign=1063&amp;utm_source=sheet", "Apply")</f>
        <v>Apply</v>
      </c>
      <c r="C81" s="10" t="s">
        <v>17359</v>
      </c>
      <c r="D81" s="56" t="s">
        <v>17360</v>
      </c>
      <c r="E81" s="10" t="s">
        <v>71</v>
      </c>
      <c r="F81" s="10" t="s">
        <v>17361</v>
      </c>
      <c r="G81" s="10" t="s">
        <v>1024</v>
      </c>
      <c r="H81" s="10" t="s">
        <v>48</v>
      </c>
      <c r="J81" s="10" t="s">
        <v>17362</v>
      </c>
      <c r="K81" s="10" t="s">
        <v>42</v>
      </c>
    </row>
    <row r="82" ht="15.75" customHeight="1">
      <c r="A82" s="64">
        <v>45473.0</v>
      </c>
      <c r="B82" s="55" t="str">
        <f>HYPERLINK("https://jobright.ai/jobs/info/6681ca4d07c0ecf02ffcfcab?utm_campaign=1063&amp;utm_source=sheet", "Apply")</f>
        <v>Apply</v>
      </c>
      <c r="C82" s="10" t="s">
        <v>17359</v>
      </c>
      <c r="D82" s="56" t="s">
        <v>17360</v>
      </c>
      <c r="E82" s="10" t="s">
        <v>71</v>
      </c>
      <c r="F82" s="10" t="s">
        <v>17361</v>
      </c>
      <c r="G82" s="10" t="s">
        <v>1040</v>
      </c>
      <c r="H82" s="10" t="s">
        <v>48</v>
      </c>
      <c r="J82" s="10" t="s">
        <v>17362</v>
      </c>
      <c r="K82" s="10" t="s">
        <v>42</v>
      </c>
    </row>
    <row r="83" ht="15.75" customHeight="1">
      <c r="A83" s="64">
        <v>45473.0</v>
      </c>
      <c r="B83" s="55" t="str">
        <f>HYPERLINK("https://jobright.ai/jobs/info/6681ca4d07c0ecf02ffcfcac?utm_campaign=1063&amp;utm_source=sheet", "Apply")</f>
        <v>Apply</v>
      </c>
      <c r="C83" s="10" t="s">
        <v>17359</v>
      </c>
      <c r="D83" s="56" t="s">
        <v>17360</v>
      </c>
      <c r="E83" s="10" t="s">
        <v>71</v>
      </c>
      <c r="F83" s="10" t="s">
        <v>17361</v>
      </c>
      <c r="G83" s="10" t="s">
        <v>781</v>
      </c>
      <c r="H83" s="10" t="s">
        <v>48</v>
      </c>
      <c r="J83" s="10" t="s">
        <v>17362</v>
      </c>
      <c r="K83" s="10" t="s">
        <v>42</v>
      </c>
    </row>
    <row r="84" ht="15.75" customHeight="1">
      <c r="A84" s="64">
        <v>45473.0</v>
      </c>
      <c r="B84" s="55" t="str">
        <f>HYPERLINK("https://jobright.ai/jobs/info/6681ca4d07c0ecf02ffcfcad?utm_campaign=1063&amp;utm_source=sheet", "Apply")</f>
        <v>Apply</v>
      </c>
      <c r="C84" s="10" t="s">
        <v>17359</v>
      </c>
      <c r="D84" s="56" t="s">
        <v>17360</v>
      </c>
      <c r="E84" s="10" t="s">
        <v>71</v>
      </c>
      <c r="F84" s="10" t="s">
        <v>17361</v>
      </c>
      <c r="G84" s="10" t="s">
        <v>767</v>
      </c>
      <c r="H84" s="10" t="s">
        <v>48</v>
      </c>
      <c r="J84" s="10" t="s">
        <v>17362</v>
      </c>
      <c r="K84" s="10" t="s">
        <v>42</v>
      </c>
    </row>
    <row r="85" ht="15.75" customHeight="1">
      <c r="A85" s="64">
        <v>45473.0</v>
      </c>
      <c r="B85" s="55" t="str">
        <f>HYPERLINK("https://jobright.ai/jobs/info/6681c672cefd2910140188c5?utm_campaign=1063&amp;utm_source=sheet", "Apply")</f>
        <v>Apply</v>
      </c>
      <c r="C85" s="10" t="s">
        <v>17359</v>
      </c>
      <c r="D85" s="56" t="s">
        <v>17360</v>
      </c>
      <c r="E85" s="10" t="s">
        <v>71</v>
      </c>
      <c r="F85" s="10" t="s">
        <v>17361</v>
      </c>
      <c r="G85" s="10" t="s">
        <v>977</v>
      </c>
      <c r="H85" s="10" t="s">
        <v>48</v>
      </c>
      <c r="J85" s="10" t="s">
        <v>17362</v>
      </c>
      <c r="K85" s="10" t="s">
        <v>42</v>
      </c>
    </row>
    <row r="86" ht="15.75" customHeight="1">
      <c r="A86" s="64">
        <v>45473.0</v>
      </c>
      <c r="B86" s="55" t="str">
        <f>HYPERLINK("https://jobright.ai/jobs/info/6681c672cefd2910140188c7?utm_campaign=1063&amp;utm_source=sheet", "Apply")</f>
        <v>Apply</v>
      </c>
      <c r="C86" s="10" t="s">
        <v>17359</v>
      </c>
      <c r="D86" s="56" t="s">
        <v>17360</v>
      </c>
      <c r="E86" s="10" t="s">
        <v>71</v>
      </c>
      <c r="F86" s="10" t="s">
        <v>17361</v>
      </c>
      <c r="G86" s="10" t="s">
        <v>872</v>
      </c>
      <c r="H86" s="10" t="s">
        <v>48</v>
      </c>
      <c r="J86" s="10" t="s">
        <v>17362</v>
      </c>
      <c r="K86" s="10" t="s">
        <v>42</v>
      </c>
    </row>
    <row r="87" ht="15.75" customHeight="1">
      <c r="A87" s="64">
        <v>45473.0</v>
      </c>
      <c r="B87" s="55" t="str">
        <f>HYPERLINK("https://jobright.ai/jobs/info/6681c672cefd2910140188c6?utm_campaign=1063&amp;utm_source=sheet", "Apply")</f>
        <v>Apply</v>
      </c>
      <c r="C87" s="10" t="s">
        <v>17359</v>
      </c>
      <c r="D87" s="56" t="s">
        <v>17360</v>
      </c>
      <c r="E87" s="10" t="s">
        <v>71</v>
      </c>
      <c r="F87" s="10" t="s">
        <v>17361</v>
      </c>
      <c r="G87" s="10" t="s">
        <v>803</v>
      </c>
      <c r="H87" s="10" t="s">
        <v>48</v>
      </c>
      <c r="J87" s="10" t="s">
        <v>17362</v>
      </c>
      <c r="K87" s="10" t="s">
        <v>42</v>
      </c>
    </row>
    <row r="88" ht="15.75" customHeight="1">
      <c r="A88" s="64">
        <v>45473.0</v>
      </c>
      <c r="B88" s="55" t="str">
        <f>HYPERLINK("https://jobright.ai/jobs/info/6681c672cefd2910140188c8?utm_campaign=1063&amp;utm_source=sheet", "Apply")</f>
        <v>Apply</v>
      </c>
      <c r="C88" s="10" t="s">
        <v>17359</v>
      </c>
      <c r="D88" s="56" t="s">
        <v>17360</v>
      </c>
      <c r="E88" s="10" t="s">
        <v>71</v>
      </c>
      <c r="F88" s="10" t="s">
        <v>17361</v>
      </c>
      <c r="G88" s="10" t="s">
        <v>993</v>
      </c>
      <c r="H88" s="10" t="s">
        <v>48</v>
      </c>
      <c r="J88" s="10" t="s">
        <v>17362</v>
      </c>
      <c r="K88" s="10" t="s">
        <v>42</v>
      </c>
    </row>
    <row r="89" ht="15.75" customHeight="1">
      <c r="A89" s="64">
        <v>45473.0</v>
      </c>
      <c r="B89" s="55" t="str">
        <f>HYPERLINK("https://jobright.ai/jobs/info/6681c672cefd2910140188c9?utm_campaign=1063&amp;utm_source=sheet", "Apply")</f>
        <v>Apply</v>
      </c>
      <c r="C89" s="10" t="s">
        <v>17359</v>
      </c>
      <c r="D89" s="56" t="s">
        <v>17360</v>
      </c>
      <c r="E89" s="10" t="s">
        <v>71</v>
      </c>
      <c r="F89" s="10" t="s">
        <v>17361</v>
      </c>
      <c r="G89" s="10" t="s">
        <v>505</v>
      </c>
      <c r="H89" s="10" t="s">
        <v>48</v>
      </c>
      <c r="J89" s="10" t="s">
        <v>17362</v>
      </c>
      <c r="K89" s="10" t="s">
        <v>42</v>
      </c>
    </row>
    <row r="90" ht="15.75" customHeight="1">
      <c r="A90" s="64">
        <v>45473.0</v>
      </c>
      <c r="B90" s="55" t="str">
        <f>HYPERLINK("https://jobright.ai/jobs/info/6681c672cefd2910140188cb?utm_campaign=1063&amp;utm_source=sheet", "Apply")</f>
        <v>Apply</v>
      </c>
      <c r="C90" s="10" t="s">
        <v>17359</v>
      </c>
      <c r="D90" s="56" t="s">
        <v>17360</v>
      </c>
      <c r="E90" s="10" t="s">
        <v>71</v>
      </c>
      <c r="F90" s="10" t="s">
        <v>17361</v>
      </c>
      <c r="G90" s="10" t="s">
        <v>909</v>
      </c>
      <c r="H90" s="10" t="s">
        <v>48</v>
      </c>
      <c r="J90" s="10" t="s">
        <v>17362</v>
      </c>
      <c r="K90" s="10" t="s">
        <v>42</v>
      </c>
    </row>
    <row r="91" ht="15.75" customHeight="1">
      <c r="A91" s="64">
        <v>45473.0</v>
      </c>
      <c r="B91" s="55" t="str">
        <f>HYPERLINK("https://jobright.ai/jobs/info/6681c672cefd2910140188ca?utm_campaign=1063&amp;utm_source=sheet", "Apply")</f>
        <v>Apply</v>
      </c>
      <c r="C91" s="10" t="s">
        <v>17359</v>
      </c>
      <c r="D91" s="56" t="s">
        <v>17360</v>
      </c>
      <c r="E91" s="10" t="s">
        <v>71</v>
      </c>
      <c r="F91" s="10" t="s">
        <v>17361</v>
      </c>
      <c r="G91" s="10" t="s">
        <v>877</v>
      </c>
      <c r="H91" s="10" t="s">
        <v>48</v>
      </c>
      <c r="J91" s="10" t="s">
        <v>17362</v>
      </c>
      <c r="K91" s="10" t="s">
        <v>42</v>
      </c>
    </row>
    <row r="92" ht="15.75" customHeight="1">
      <c r="A92" s="64">
        <v>45473.0</v>
      </c>
      <c r="B92" s="55" t="str">
        <f>HYPERLINK("https://jobright.ai/jobs/info/6681c672cefd2910140188cc?utm_campaign=1063&amp;utm_source=sheet", "Apply")</f>
        <v>Apply</v>
      </c>
      <c r="C92" s="10" t="s">
        <v>17359</v>
      </c>
      <c r="D92" s="56" t="s">
        <v>17360</v>
      </c>
      <c r="E92" s="10" t="s">
        <v>71</v>
      </c>
      <c r="F92" s="10" t="s">
        <v>17361</v>
      </c>
      <c r="G92" s="10" t="s">
        <v>764</v>
      </c>
      <c r="H92" s="10" t="s">
        <v>48</v>
      </c>
      <c r="J92" s="10" t="s">
        <v>17362</v>
      </c>
      <c r="K92" s="10" t="s">
        <v>42</v>
      </c>
    </row>
    <row r="93" ht="15.75" customHeight="1">
      <c r="A93" s="64">
        <v>45473.0</v>
      </c>
      <c r="B93" s="55" t="str">
        <f>HYPERLINK("https://jobright.ai/jobs/info/6681c672cefd2910140188ce?utm_campaign=1063&amp;utm_source=sheet", "Apply")</f>
        <v>Apply</v>
      </c>
      <c r="C93" s="10" t="s">
        <v>17359</v>
      </c>
      <c r="D93" s="56" t="s">
        <v>17360</v>
      </c>
      <c r="E93" s="10" t="s">
        <v>71</v>
      </c>
      <c r="F93" s="10" t="s">
        <v>17361</v>
      </c>
      <c r="G93" s="10" t="s">
        <v>850</v>
      </c>
      <c r="H93" s="10" t="s">
        <v>48</v>
      </c>
      <c r="J93" s="10" t="s">
        <v>17362</v>
      </c>
      <c r="K93" s="10" t="s">
        <v>42</v>
      </c>
    </row>
    <row r="94" ht="15.75" customHeight="1">
      <c r="A94" s="64">
        <v>45473.0</v>
      </c>
      <c r="B94" s="55" t="str">
        <f>HYPERLINK("https://jobright.ai/jobs/info/6681c672cefd2910140188cd?utm_campaign=1063&amp;utm_source=sheet", "Apply")</f>
        <v>Apply</v>
      </c>
      <c r="C94" s="10" t="s">
        <v>17359</v>
      </c>
      <c r="D94" s="56" t="s">
        <v>17360</v>
      </c>
      <c r="E94" s="10" t="s">
        <v>71</v>
      </c>
      <c r="F94" s="10" t="s">
        <v>17361</v>
      </c>
      <c r="G94" s="10" t="s">
        <v>773</v>
      </c>
      <c r="H94" s="10" t="s">
        <v>48</v>
      </c>
      <c r="J94" s="10" t="s">
        <v>17362</v>
      </c>
      <c r="K94" s="10" t="s">
        <v>42</v>
      </c>
    </row>
    <row r="95" ht="15.75" customHeight="1">
      <c r="A95" s="64">
        <v>45473.0</v>
      </c>
      <c r="B95" s="55" t="str">
        <f>HYPERLINK("https://jobright.ai/jobs/info/6681b80a3a7b90a95b35819f?utm_campaign=1063&amp;utm_source=sheet", "Apply")</f>
        <v>Apply</v>
      </c>
      <c r="C95" s="10" t="s">
        <v>17359</v>
      </c>
      <c r="D95" s="56" t="s">
        <v>17360</v>
      </c>
      <c r="E95" s="10" t="s">
        <v>71</v>
      </c>
      <c r="F95" s="10" t="s">
        <v>17361</v>
      </c>
      <c r="G95" s="10" t="s">
        <v>914</v>
      </c>
      <c r="H95" s="10" t="s">
        <v>48</v>
      </c>
      <c r="J95" s="10" t="s">
        <v>17362</v>
      </c>
      <c r="K95" s="10" t="s">
        <v>42</v>
      </c>
    </row>
    <row r="96" ht="15.75" customHeight="1">
      <c r="A96" s="64">
        <v>45473.0</v>
      </c>
      <c r="B96" s="55" t="str">
        <f>HYPERLINK("https://jobright.ai/jobs/info/6681b80a3a7b90a95b3581a0?utm_campaign=1063&amp;utm_source=sheet", "Apply")</f>
        <v>Apply</v>
      </c>
      <c r="C96" s="10" t="s">
        <v>17359</v>
      </c>
      <c r="D96" s="56" t="s">
        <v>17360</v>
      </c>
      <c r="E96" s="10" t="s">
        <v>71</v>
      </c>
      <c r="F96" s="10" t="s">
        <v>17361</v>
      </c>
      <c r="G96" s="10" t="s">
        <v>1044</v>
      </c>
      <c r="H96" s="10" t="s">
        <v>48</v>
      </c>
      <c r="J96" s="10" t="s">
        <v>17362</v>
      </c>
      <c r="K96" s="10" t="s">
        <v>42</v>
      </c>
    </row>
    <row r="97" ht="15.75" customHeight="1">
      <c r="A97" s="64">
        <v>45473.0</v>
      </c>
      <c r="B97" s="55" t="str">
        <f>HYPERLINK("https://jobright.ai/jobs/info/6681b80a3a7b90a95b3581a2?utm_campaign=1063&amp;utm_source=sheet", "Apply")</f>
        <v>Apply</v>
      </c>
      <c r="C97" s="10" t="s">
        <v>17359</v>
      </c>
      <c r="D97" s="56" t="s">
        <v>17360</v>
      </c>
      <c r="E97" s="10" t="s">
        <v>71</v>
      </c>
      <c r="F97" s="10" t="s">
        <v>17361</v>
      </c>
      <c r="G97" s="10" t="s">
        <v>815</v>
      </c>
      <c r="H97" s="10" t="s">
        <v>48</v>
      </c>
      <c r="J97" s="10" t="s">
        <v>17362</v>
      </c>
      <c r="K97" s="10" t="s">
        <v>42</v>
      </c>
    </row>
    <row r="98" ht="15.75" customHeight="1">
      <c r="A98" s="64">
        <v>45473.0</v>
      </c>
      <c r="B98" s="55" t="str">
        <f>HYPERLINK("https://jobright.ai/jobs/info/6681b80a3a7b90a95b3581ae?utm_campaign=1063&amp;utm_source=sheet", "Apply")</f>
        <v>Apply</v>
      </c>
      <c r="C98" s="10" t="s">
        <v>17359</v>
      </c>
      <c r="D98" s="56" t="s">
        <v>17360</v>
      </c>
      <c r="E98" s="10" t="s">
        <v>71</v>
      </c>
      <c r="F98" s="10" t="s">
        <v>17361</v>
      </c>
      <c r="G98" s="10" t="s">
        <v>947</v>
      </c>
      <c r="H98" s="10" t="s">
        <v>48</v>
      </c>
      <c r="J98" s="10" t="s">
        <v>17362</v>
      </c>
      <c r="K98" s="10" t="s">
        <v>42</v>
      </c>
    </row>
    <row r="99" ht="15.75" customHeight="1">
      <c r="A99" s="64">
        <v>45473.0</v>
      </c>
      <c r="B99" s="55" t="str">
        <f>HYPERLINK("https://jobright.ai/jobs/info/6681b80a3a7b90a95b3581a5?utm_campaign=1063&amp;utm_source=sheet", "Apply")</f>
        <v>Apply</v>
      </c>
      <c r="C99" s="10" t="s">
        <v>17359</v>
      </c>
      <c r="D99" s="56" t="s">
        <v>17360</v>
      </c>
      <c r="E99" s="10" t="s">
        <v>71</v>
      </c>
      <c r="F99" s="10" t="s">
        <v>17361</v>
      </c>
      <c r="G99" s="10" t="s">
        <v>943</v>
      </c>
      <c r="H99" s="10" t="s">
        <v>48</v>
      </c>
      <c r="J99" s="10" t="s">
        <v>17362</v>
      </c>
      <c r="K99" s="10" t="s">
        <v>42</v>
      </c>
    </row>
    <row r="100" ht="15.75" customHeight="1">
      <c r="A100" s="64">
        <v>45473.0</v>
      </c>
      <c r="B100" s="55" t="str">
        <f>HYPERLINK("https://jobright.ai/jobs/info/6681b80a3a7b90a95b3581a7?utm_campaign=1063&amp;utm_source=sheet", "Apply")</f>
        <v>Apply</v>
      </c>
      <c r="C100" s="10" t="s">
        <v>17359</v>
      </c>
      <c r="D100" s="56" t="s">
        <v>17360</v>
      </c>
      <c r="E100" s="10" t="s">
        <v>71</v>
      </c>
      <c r="F100" s="10" t="s">
        <v>17361</v>
      </c>
      <c r="G100" s="10" t="s">
        <v>661</v>
      </c>
      <c r="H100" s="10" t="s">
        <v>48</v>
      </c>
      <c r="J100" s="10" t="s">
        <v>17362</v>
      </c>
      <c r="K100" s="10" t="s">
        <v>42</v>
      </c>
    </row>
    <row r="101" ht="15.75" customHeight="1">
      <c r="A101" s="64">
        <v>45473.0</v>
      </c>
      <c r="B101" s="55" t="str">
        <f>HYPERLINK("https://jobright.ai/jobs/info/6681b80a3a7b90a95b3581af?utm_campaign=1063&amp;utm_source=sheet", "Apply")</f>
        <v>Apply</v>
      </c>
      <c r="C101" s="10" t="s">
        <v>17359</v>
      </c>
      <c r="D101" s="56" t="s">
        <v>17360</v>
      </c>
      <c r="E101" s="10" t="s">
        <v>71</v>
      </c>
      <c r="F101" s="10" t="s">
        <v>17361</v>
      </c>
      <c r="G101" s="10" t="s">
        <v>843</v>
      </c>
      <c r="H101" s="10" t="s">
        <v>48</v>
      </c>
      <c r="J101" s="10" t="s">
        <v>17362</v>
      </c>
      <c r="K101" s="10" t="s">
        <v>42</v>
      </c>
    </row>
    <row r="102" ht="15.75" customHeight="1">
      <c r="A102" s="64">
        <v>45473.0</v>
      </c>
      <c r="B102" s="55" t="str">
        <f>HYPERLINK("https://jobright.ai/jobs/info/6681b80a3a7b90a95b3581b4?utm_campaign=1063&amp;utm_source=sheet", "Apply")</f>
        <v>Apply</v>
      </c>
      <c r="C102" s="10" t="s">
        <v>17359</v>
      </c>
      <c r="D102" s="56" t="s">
        <v>17360</v>
      </c>
      <c r="E102" s="10" t="s">
        <v>71</v>
      </c>
      <c r="F102" s="10" t="s">
        <v>17361</v>
      </c>
      <c r="G102" s="10" t="s">
        <v>835</v>
      </c>
      <c r="H102" s="10" t="s">
        <v>48</v>
      </c>
      <c r="J102" s="10" t="s">
        <v>17362</v>
      </c>
      <c r="K102" s="10" t="s">
        <v>42</v>
      </c>
    </row>
    <row r="103" ht="15.75" customHeight="1">
      <c r="A103" s="64">
        <v>45473.0</v>
      </c>
      <c r="B103" s="55" t="str">
        <f>HYPERLINK("https://jobright.ai/jobs/info/6681b80a3a7b90a95b3581a6?utm_campaign=1063&amp;utm_source=sheet", "Apply")</f>
        <v>Apply</v>
      </c>
      <c r="C103" s="10" t="s">
        <v>17359</v>
      </c>
      <c r="D103" s="56" t="s">
        <v>17360</v>
      </c>
      <c r="E103" s="10" t="s">
        <v>71</v>
      </c>
      <c r="F103" s="10" t="s">
        <v>17361</v>
      </c>
      <c r="G103" s="10" t="s">
        <v>1033</v>
      </c>
      <c r="H103" s="10" t="s">
        <v>48</v>
      </c>
      <c r="J103" s="10" t="s">
        <v>17362</v>
      </c>
      <c r="K103" s="10" t="s">
        <v>42</v>
      </c>
    </row>
    <row r="104" ht="15.75" customHeight="1">
      <c r="A104" s="64">
        <v>45473.0</v>
      </c>
      <c r="B104" s="55" t="str">
        <f>HYPERLINK("https://jobright.ai/jobs/info/6681b80a3a7b90a95b3581a4?utm_campaign=1063&amp;utm_source=sheet", "Apply")</f>
        <v>Apply</v>
      </c>
      <c r="C104" s="10" t="s">
        <v>17359</v>
      </c>
      <c r="D104" s="56" t="s">
        <v>17360</v>
      </c>
      <c r="E104" s="10" t="s">
        <v>71</v>
      </c>
      <c r="F104" s="10" t="s">
        <v>17361</v>
      </c>
      <c r="G104" s="10" t="s">
        <v>967</v>
      </c>
      <c r="H104" s="10" t="s">
        <v>48</v>
      </c>
      <c r="J104" s="10" t="s">
        <v>17362</v>
      </c>
      <c r="K104" s="10" t="s">
        <v>42</v>
      </c>
    </row>
    <row r="105" ht="15.75" customHeight="1">
      <c r="A105" s="64">
        <v>45473.0</v>
      </c>
      <c r="B105" s="55" t="str">
        <f>HYPERLINK("https://jobright.ai/jobs/info/6681b80a3a7b90a95b3581b3?utm_campaign=1063&amp;utm_source=sheet", "Apply")</f>
        <v>Apply</v>
      </c>
      <c r="C105" s="10" t="s">
        <v>17359</v>
      </c>
      <c r="D105" s="56" t="s">
        <v>17360</v>
      </c>
      <c r="E105" s="10" t="s">
        <v>71</v>
      </c>
      <c r="F105" s="10" t="s">
        <v>17361</v>
      </c>
      <c r="G105" s="10" t="s">
        <v>794</v>
      </c>
      <c r="H105" s="10" t="s">
        <v>48</v>
      </c>
      <c r="J105" s="10" t="s">
        <v>17362</v>
      </c>
      <c r="K105" s="10" t="s">
        <v>42</v>
      </c>
    </row>
    <row r="106" ht="15.75" customHeight="1">
      <c r="A106" s="64">
        <v>45473.0</v>
      </c>
      <c r="B106" s="55" t="str">
        <f>HYPERLINK("https://jobright.ai/jobs/info/6681b80a3a7b90a95b3581aa?utm_campaign=1063&amp;utm_source=sheet", "Apply")</f>
        <v>Apply</v>
      </c>
      <c r="C106" s="10" t="s">
        <v>17359</v>
      </c>
      <c r="D106" s="56" t="s">
        <v>17360</v>
      </c>
      <c r="E106" s="10" t="s">
        <v>71</v>
      </c>
      <c r="F106" s="10" t="s">
        <v>17361</v>
      </c>
      <c r="G106" s="10" t="s">
        <v>864</v>
      </c>
      <c r="H106" s="10" t="s">
        <v>48</v>
      </c>
      <c r="J106" s="10" t="s">
        <v>17362</v>
      </c>
      <c r="K106" s="10" t="s">
        <v>42</v>
      </c>
    </row>
    <row r="107" ht="15.75" customHeight="1">
      <c r="A107" s="64">
        <v>45473.0</v>
      </c>
      <c r="B107" s="55" t="str">
        <f>HYPERLINK("https://jobright.ai/jobs/info/6681b80a3a7b90a95b3581b1?utm_campaign=1063&amp;utm_source=sheet", "Apply")</f>
        <v>Apply</v>
      </c>
      <c r="C107" s="10" t="s">
        <v>17359</v>
      </c>
      <c r="D107" s="56" t="s">
        <v>17360</v>
      </c>
      <c r="E107" s="10" t="s">
        <v>71</v>
      </c>
      <c r="F107" s="10" t="s">
        <v>17361</v>
      </c>
      <c r="G107" s="10" t="s">
        <v>924</v>
      </c>
      <c r="H107" s="10" t="s">
        <v>48</v>
      </c>
      <c r="J107" s="10" t="s">
        <v>17362</v>
      </c>
      <c r="K107" s="10" t="s">
        <v>42</v>
      </c>
    </row>
    <row r="108" ht="15.75" customHeight="1">
      <c r="A108" s="64">
        <v>45473.0</v>
      </c>
      <c r="B108" s="55" t="str">
        <f>HYPERLINK("https://jobright.ai/jobs/info/6681b80a3a7b90a95b3581a3?utm_campaign=1063&amp;utm_source=sheet", "Apply")</f>
        <v>Apply</v>
      </c>
      <c r="C108" s="10" t="s">
        <v>17359</v>
      </c>
      <c r="D108" s="56" t="s">
        <v>17360</v>
      </c>
      <c r="E108" s="10" t="s">
        <v>71</v>
      </c>
      <c r="F108" s="10" t="s">
        <v>17361</v>
      </c>
      <c r="G108" s="10" t="s">
        <v>796</v>
      </c>
      <c r="H108" s="10" t="s">
        <v>48</v>
      </c>
      <c r="J108" s="10" t="s">
        <v>17362</v>
      </c>
      <c r="K108" s="10" t="s">
        <v>42</v>
      </c>
    </row>
    <row r="109" ht="15.75" customHeight="1">
      <c r="A109" s="64">
        <v>45473.0</v>
      </c>
      <c r="B109" s="55" t="str">
        <f>HYPERLINK("https://jobright.ai/jobs/info/6681b80a3a7b90a95b3581b0?utm_campaign=1063&amp;utm_source=sheet", "Apply")</f>
        <v>Apply</v>
      </c>
      <c r="C109" s="10" t="s">
        <v>17359</v>
      </c>
      <c r="D109" s="56" t="s">
        <v>17360</v>
      </c>
      <c r="E109" s="10" t="s">
        <v>71</v>
      </c>
      <c r="F109" s="10" t="s">
        <v>17361</v>
      </c>
      <c r="G109" s="10" t="s">
        <v>880</v>
      </c>
      <c r="H109" s="10" t="s">
        <v>48</v>
      </c>
      <c r="J109" s="10" t="s">
        <v>17362</v>
      </c>
      <c r="K109" s="10" t="s">
        <v>42</v>
      </c>
    </row>
    <row r="110" ht="15.75" customHeight="1">
      <c r="A110" s="64">
        <v>45473.0</v>
      </c>
      <c r="B110" s="55" t="str">
        <f>HYPERLINK("https://jobright.ai/jobs/info/6681b80a3a7b90a95b3581b2?utm_campaign=1063&amp;utm_source=sheet", "Apply")</f>
        <v>Apply</v>
      </c>
      <c r="C110" s="10" t="s">
        <v>17359</v>
      </c>
      <c r="D110" s="56" t="s">
        <v>17360</v>
      </c>
      <c r="E110" s="10" t="s">
        <v>71</v>
      </c>
      <c r="F110" s="10" t="s">
        <v>17361</v>
      </c>
      <c r="G110" s="10" t="s">
        <v>973</v>
      </c>
      <c r="H110" s="10" t="s">
        <v>48</v>
      </c>
      <c r="J110" s="10" t="s">
        <v>17362</v>
      </c>
      <c r="K110" s="10" t="s">
        <v>42</v>
      </c>
    </row>
    <row r="111" ht="15.75" customHeight="1">
      <c r="A111" s="64">
        <v>45473.0</v>
      </c>
      <c r="B111" s="55" t="str">
        <f>HYPERLINK("https://jobright.ai/jobs/info/6681b80a3a7b90a95b3581ac?utm_campaign=1063&amp;utm_source=sheet", "Apply")</f>
        <v>Apply</v>
      </c>
      <c r="C111" s="10" t="s">
        <v>17359</v>
      </c>
      <c r="D111" s="56" t="s">
        <v>17360</v>
      </c>
      <c r="E111" s="10" t="s">
        <v>71</v>
      </c>
      <c r="F111" s="10" t="s">
        <v>17361</v>
      </c>
      <c r="G111" s="10" t="s">
        <v>278</v>
      </c>
      <c r="H111" s="10" t="s">
        <v>48</v>
      </c>
      <c r="J111" s="10" t="s">
        <v>17362</v>
      </c>
      <c r="K111" s="10" t="s">
        <v>42</v>
      </c>
    </row>
    <row r="112" ht="15.75" customHeight="1">
      <c r="A112" s="64">
        <v>45473.0</v>
      </c>
      <c r="B112" s="55" t="str">
        <f>HYPERLINK("https://jobright.ai/jobs/info/6681b80a3a7b90a95b3581ad?utm_campaign=1063&amp;utm_source=sheet", "Apply")</f>
        <v>Apply</v>
      </c>
      <c r="C112" s="10" t="s">
        <v>17359</v>
      </c>
      <c r="D112" s="56" t="s">
        <v>17360</v>
      </c>
      <c r="E112" s="10" t="s">
        <v>71</v>
      </c>
      <c r="F112" s="10" t="s">
        <v>17361</v>
      </c>
      <c r="G112" s="10" t="s">
        <v>817</v>
      </c>
      <c r="H112" s="10" t="s">
        <v>48</v>
      </c>
      <c r="J112" s="10" t="s">
        <v>17362</v>
      </c>
      <c r="K112" s="10" t="s">
        <v>42</v>
      </c>
    </row>
    <row r="113" ht="15.75" customHeight="1">
      <c r="A113" s="64">
        <v>45473.0</v>
      </c>
      <c r="B113" s="55" t="str">
        <f>HYPERLINK("https://jobright.ai/jobs/info/6681b80a3a7b90a95b3581a9?utm_campaign=1063&amp;utm_source=sheet", "Apply")</f>
        <v>Apply</v>
      </c>
      <c r="C113" s="10" t="s">
        <v>17359</v>
      </c>
      <c r="D113" s="56" t="s">
        <v>17360</v>
      </c>
      <c r="E113" s="10" t="s">
        <v>71</v>
      </c>
      <c r="F113" s="10" t="s">
        <v>17361</v>
      </c>
      <c r="G113" s="10" t="s">
        <v>906</v>
      </c>
      <c r="H113" s="10" t="s">
        <v>48</v>
      </c>
      <c r="J113" s="10" t="s">
        <v>17362</v>
      </c>
      <c r="K113" s="10" t="s">
        <v>42</v>
      </c>
    </row>
    <row r="114" ht="15.75" customHeight="1">
      <c r="A114" s="64">
        <v>45473.0</v>
      </c>
      <c r="B114" s="55" t="str">
        <f>HYPERLINK("https://jobright.ai/jobs/info/6681b80a3a7b90a95b3581a8?utm_campaign=1063&amp;utm_source=sheet", "Apply")</f>
        <v>Apply</v>
      </c>
      <c r="C114" s="10" t="s">
        <v>17359</v>
      </c>
      <c r="D114" s="56" t="s">
        <v>17360</v>
      </c>
      <c r="E114" s="10" t="s">
        <v>71</v>
      </c>
      <c r="F114" s="10" t="s">
        <v>17361</v>
      </c>
      <c r="G114" s="10" t="s">
        <v>1046</v>
      </c>
      <c r="H114" s="10" t="s">
        <v>48</v>
      </c>
      <c r="J114" s="10" t="s">
        <v>17362</v>
      </c>
      <c r="K114" s="10" t="s">
        <v>42</v>
      </c>
    </row>
    <row r="115" ht="15.75" customHeight="1">
      <c r="A115" s="64">
        <v>45473.0</v>
      </c>
      <c r="B115" s="55" t="str">
        <f>HYPERLINK("https://jobright.ai/jobs/info/6681b80a3a7b90a95b3581b5?utm_campaign=1063&amp;utm_source=sheet", "Apply")</f>
        <v>Apply</v>
      </c>
      <c r="C115" s="10" t="s">
        <v>17359</v>
      </c>
      <c r="D115" s="56" t="s">
        <v>17360</v>
      </c>
      <c r="E115" s="10" t="s">
        <v>71</v>
      </c>
      <c r="F115" s="10" t="s">
        <v>17361</v>
      </c>
      <c r="G115" s="10" t="s">
        <v>391</v>
      </c>
      <c r="H115" s="10" t="s">
        <v>48</v>
      </c>
      <c r="J115" s="10" t="s">
        <v>17362</v>
      </c>
      <c r="K115" s="10" t="s">
        <v>42</v>
      </c>
    </row>
    <row r="116" ht="15.75" customHeight="1">
      <c r="A116" s="64">
        <v>45473.0</v>
      </c>
      <c r="B116" s="55" t="str">
        <f>HYPERLINK("https://jobright.ai/jobs/info/6681b80a3a7b90a95b3581c1?utm_campaign=1063&amp;utm_source=sheet", "Apply")</f>
        <v>Apply</v>
      </c>
      <c r="C116" s="10" t="s">
        <v>17359</v>
      </c>
      <c r="D116" s="56" t="s">
        <v>17360</v>
      </c>
      <c r="E116" s="10" t="s">
        <v>71</v>
      </c>
      <c r="F116" s="10" t="s">
        <v>17361</v>
      </c>
      <c r="G116" s="10" t="s">
        <v>106</v>
      </c>
      <c r="H116" s="10" t="s">
        <v>48</v>
      </c>
      <c r="J116" s="10" t="s">
        <v>17362</v>
      </c>
      <c r="K116" s="10" t="s">
        <v>42</v>
      </c>
    </row>
    <row r="117" ht="15.75" customHeight="1">
      <c r="A117" s="64">
        <v>45473.0</v>
      </c>
      <c r="B117" s="55" t="str">
        <f>HYPERLINK("https://jobright.ai/jobs/info/6681b80a3a7b90a95b3581b7?utm_campaign=1063&amp;utm_source=sheet", "Apply")</f>
        <v>Apply</v>
      </c>
      <c r="C117" s="10" t="s">
        <v>17359</v>
      </c>
      <c r="D117" s="56" t="s">
        <v>17360</v>
      </c>
      <c r="E117" s="10" t="s">
        <v>71</v>
      </c>
      <c r="F117" s="10" t="s">
        <v>17361</v>
      </c>
      <c r="G117" s="10" t="s">
        <v>879</v>
      </c>
      <c r="H117" s="10" t="s">
        <v>48</v>
      </c>
      <c r="J117" s="10" t="s">
        <v>17362</v>
      </c>
      <c r="K117" s="10" t="s">
        <v>42</v>
      </c>
    </row>
    <row r="118" ht="15.75" customHeight="1">
      <c r="A118" s="64">
        <v>45473.0</v>
      </c>
      <c r="B118" s="55" t="str">
        <f>HYPERLINK("https://jobright.ai/jobs/info/6681b80a3a7b90a95b3581c0?utm_campaign=1063&amp;utm_source=sheet", "Apply")</f>
        <v>Apply</v>
      </c>
      <c r="C118" s="10" t="s">
        <v>17359</v>
      </c>
      <c r="D118" s="56" t="s">
        <v>17360</v>
      </c>
      <c r="E118" s="10" t="s">
        <v>71</v>
      </c>
      <c r="F118" s="10" t="s">
        <v>17361</v>
      </c>
      <c r="G118" s="10" t="s">
        <v>991</v>
      </c>
      <c r="H118" s="10" t="s">
        <v>48</v>
      </c>
      <c r="J118" s="10" t="s">
        <v>17362</v>
      </c>
      <c r="K118" s="10" t="s">
        <v>42</v>
      </c>
    </row>
    <row r="119" ht="15.75" customHeight="1">
      <c r="A119" s="64">
        <v>45473.0</v>
      </c>
      <c r="B119" s="55" t="str">
        <f>HYPERLINK("https://jobright.ai/jobs/info/6681b80a3a7b90a95b3581bc?utm_campaign=1063&amp;utm_source=sheet", "Apply")</f>
        <v>Apply</v>
      </c>
      <c r="C119" s="10" t="s">
        <v>17359</v>
      </c>
      <c r="D119" s="56" t="s">
        <v>17360</v>
      </c>
      <c r="E119" s="10" t="s">
        <v>71</v>
      </c>
      <c r="F119" s="10" t="s">
        <v>17361</v>
      </c>
      <c r="G119" s="10" t="s">
        <v>853</v>
      </c>
      <c r="H119" s="10" t="s">
        <v>48</v>
      </c>
      <c r="J119" s="10" t="s">
        <v>17362</v>
      </c>
      <c r="K119" s="10" t="s">
        <v>42</v>
      </c>
    </row>
    <row r="120" ht="15.75" customHeight="1">
      <c r="A120" s="64">
        <v>45473.0</v>
      </c>
      <c r="B120" s="55" t="str">
        <f>HYPERLINK("https://jobright.ai/jobs/info/6681b80a3a7b90a95b3581b6?utm_campaign=1063&amp;utm_source=sheet", "Apply")</f>
        <v>Apply</v>
      </c>
      <c r="C120" s="10" t="s">
        <v>17359</v>
      </c>
      <c r="D120" s="56" t="s">
        <v>17360</v>
      </c>
      <c r="E120" s="10" t="s">
        <v>71</v>
      </c>
      <c r="F120" s="10" t="s">
        <v>17361</v>
      </c>
      <c r="G120" s="10" t="s">
        <v>806</v>
      </c>
      <c r="H120" s="10" t="s">
        <v>48</v>
      </c>
      <c r="J120" s="10" t="s">
        <v>17362</v>
      </c>
      <c r="K120" s="10" t="s">
        <v>42</v>
      </c>
    </row>
    <row r="121" ht="15.75" customHeight="1">
      <c r="A121" s="64">
        <v>45473.0</v>
      </c>
      <c r="B121" s="55" t="str">
        <f>HYPERLINK("https://jobright.ai/jobs/info/6681b80a3a7b90a95b3581bd?utm_campaign=1063&amp;utm_source=sheet", "Apply")</f>
        <v>Apply</v>
      </c>
      <c r="C121" s="10" t="s">
        <v>17359</v>
      </c>
      <c r="D121" s="56" t="s">
        <v>17360</v>
      </c>
      <c r="E121" s="10" t="s">
        <v>71</v>
      </c>
      <c r="F121" s="10" t="s">
        <v>17361</v>
      </c>
      <c r="G121" s="10" t="s">
        <v>919</v>
      </c>
      <c r="H121" s="10" t="s">
        <v>48</v>
      </c>
      <c r="J121" s="10" t="s">
        <v>17362</v>
      </c>
      <c r="K121" s="10" t="s">
        <v>42</v>
      </c>
    </row>
    <row r="122" ht="15.75" customHeight="1">
      <c r="A122" s="64">
        <v>45473.0</v>
      </c>
      <c r="B122" s="55" t="str">
        <f>HYPERLINK("https://jobright.ai/jobs/info/6681b80a3a7b90a95b3581b8?utm_campaign=1063&amp;utm_source=sheet", "Apply")</f>
        <v>Apply</v>
      </c>
      <c r="C122" s="10" t="s">
        <v>17359</v>
      </c>
      <c r="D122" s="56" t="s">
        <v>17360</v>
      </c>
      <c r="E122" s="10" t="s">
        <v>71</v>
      </c>
      <c r="F122" s="10" t="s">
        <v>17361</v>
      </c>
      <c r="G122" s="10" t="s">
        <v>805</v>
      </c>
      <c r="H122" s="10" t="s">
        <v>48</v>
      </c>
      <c r="J122" s="10" t="s">
        <v>17362</v>
      </c>
      <c r="K122" s="10" t="s">
        <v>42</v>
      </c>
    </row>
    <row r="123" ht="15.75" customHeight="1">
      <c r="A123" s="64">
        <v>45473.0</v>
      </c>
      <c r="B123" s="55" t="str">
        <f>HYPERLINK("https://jobright.ai/jobs/info/6681b80a3a7b90a95b3581ba?utm_campaign=1063&amp;utm_source=sheet", "Apply")</f>
        <v>Apply</v>
      </c>
      <c r="C123" s="10" t="s">
        <v>17359</v>
      </c>
      <c r="D123" s="56" t="s">
        <v>17360</v>
      </c>
      <c r="E123" s="10" t="s">
        <v>71</v>
      </c>
      <c r="F123" s="10" t="s">
        <v>17361</v>
      </c>
      <c r="G123" s="10" t="s">
        <v>814</v>
      </c>
      <c r="H123" s="10" t="s">
        <v>48</v>
      </c>
      <c r="J123" s="10" t="s">
        <v>17362</v>
      </c>
      <c r="K123" s="10" t="s">
        <v>42</v>
      </c>
    </row>
    <row r="124" ht="15.75" customHeight="1">
      <c r="A124" s="64">
        <v>45473.0</v>
      </c>
      <c r="B124" s="55" t="str">
        <f>HYPERLINK("https://jobright.ai/jobs/info/6681b80a3a7b90a95b3581c3?utm_campaign=1063&amp;utm_source=sheet", "Apply")</f>
        <v>Apply</v>
      </c>
      <c r="C124" s="10" t="s">
        <v>17359</v>
      </c>
      <c r="D124" s="56" t="s">
        <v>17360</v>
      </c>
      <c r="E124" s="10" t="s">
        <v>71</v>
      </c>
      <c r="F124" s="10" t="s">
        <v>17361</v>
      </c>
      <c r="G124" s="10" t="s">
        <v>798</v>
      </c>
      <c r="H124" s="10" t="s">
        <v>48</v>
      </c>
      <c r="J124" s="10" t="s">
        <v>17362</v>
      </c>
      <c r="K124" s="10" t="s">
        <v>42</v>
      </c>
    </row>
    <row r="125" ht="15.75" customHeight="1">
      <c r="A125" s="64">
        <v>45473.0</v>
      </c>
      <c r="B125" s="55" t="str">
        <f>HYPERLINK("https://jobright.ai/jobs/info/6681b80a3a7b90a95b3581b9?utm_campaign=1063&amp;utm_source=sheet", "Apply")</f>
        <v>Apply</v>
      </c>
      <c r="C125" s="10" t="s">
        <v>17359</v>
      </c>
      <c r="D125" s="56" t="s">
        <v>17360</v>
      </c>
      <c r="E125" s="10" t="s">
        <v>71</v>
      </c>
      <c r="F125" s="10" t="s">
        <v>17361</v>
      </c>
      <c r="G125" s="10" t="s">
        <v>971</v>
      </c>
      <c r="H125" s="10" t="s">
        <v>48</v>
      </c>
      <c r="J125" s="10" t="s">
        <v>17362</v>
      </c>
      <c r="K125" s="10" t="s">
        <v>42</v>
      </c>
    </row>
    <row r="126" ht="15.75" customHeight="1">
      <c r="A126" s="64">
        <v>45473.0</v>
      </c>
      <c r="B126" s="55" t="str">
        <f>HYPERLINK("https://jobright.ai/jobs/info/6681b80a3a7b90a95b3581be?utm_campaign=1063&amp;utm_source=sheet", "Apply")</f>
        <v>Apply</v>
      </c>
      <c r="C126" s="10" t="s">
        <v>17359</v>
      </c>
      <c r="D126" s="56" t="s">
        <v>17360</v>
      </c>
      <c r="E126" s="10" t="s">
        <v>71</v>
      </c>
      <c r="F126" s="10" t="s">
        <v>17361</v>
      </c>
      <c r="G126" s="10" t="s">
        <v>1011</v>
      </c>
      <c r="H126" s="10" t="s">
        <v>48</v>
      </c>
      <c r="J126" s="10" t="s">
        <v>17362</v>
      </c>
      <c r="K126" s="10" t="s">
        <v>42</v>
      </c>
    </row>
    <row r="127" ht="15.75" customHeight="1">
      <c r="A127" s="64">
        <v>45473.0</v>
      </c>
      <c r="B127" s="55" t="str">
        <f>HYPERLINK("https://jobright.ai/jobs/info/6681b80a3a7b90a95b3581c4?utm_campaign=1063&amp;utm_source=sheet", "Apply")</f>
        <v>Apply</v>
      </c>
      <c r="C127" s="10" t="s">
        <v>17359</v>
      </c>
      <c r="D127" s="56" t="s">
        <v>17360</v>
      </c>
      <c r="E127" s="10" t="s">
        <v>71</v>
      </c>
      <c r="F127" s="10" t="s">
        <v>17361</v>
      </c>
      <c r="G127" s="10" t="s">
        <v>1052</v>
      </c>
      <c r="H127" s="10" t="s">
        <v>48</v>
      </c>
      <c r="J127" s="10" t="s">
        <v>17362</v>
      </c>
      <c r="K127" s="10" t="s">
        <v>42</v>
      </c>
    </row>
    <row r="128" ht="15.75" customHeight="1">
      <c r="A128" s="64">
        <v>45473.0</v>
      </c>
      <c r="B128" s="55" t="str">
        <f>HYPERLINK("https://jobright.ai/jobs/info/6681b80a3a7b90a95b3581bb?utm_campaign=1063&amp;utm_source=sheet", "Apply")</f>
        <v>Apply</v>
      </c>
      <c r="C128" s="10" t="s">
        <v>17359</v>
      </c>
      <c r="D128" s="56" t="s">
        <v>17360</v>
      </c>
      <c r="E128" s="10" t="s">
        <v>71</v>
      </c>
      <c r="F128" s="10" t="s">
        <v>17361</v>
      </c>
      <c r="G128" s="10" t="s">
        <v>896</v>
      </c>
      <c r="H128" s="10" t="s">
        <v>48</v>
      </c>
      <c r="J128" s="10" t="s">
        <v>17362</v>
      </c>
      <c r="K128" s="10" t="s">
        <v>42</v>
      </c>
    </row>
    <row r="129" ht="15.75" customHeight="1">
      <c r="A129" s="64">
        <v>45473.0</v>
      </c>
      <c r="B129" s="55" t="str">
        <f>HYPERLINK("https://jobright.ai/jobs/info/6681b80a3a7b90a95b3581c5?utm_campaign=1063&amp;utm_source=sheet", "Apply")</f>
        <v>Apply</v>
      </c>
      <c r="C129" s="10" t="s">
        <v>17359</v>
      </c>
      <c r="D129" s="56" t="s">
        <v>17360</v>
      </c>
      <c r="E129" s="10" t="s">
        <v>71</v>
      </c>
      <c r="F129" s="10" t="s">
        <v>17361</v>
      </c>
      <c r="G129" s="10" t="s">
        <v>1004</v>
      </c>
      <c r="H129" s="10" t="s">
        <v>48</v>
      </c>
      <c r="J129" s="10" t="s">
        <v>17362</v>
      </c>
      <c r="K129" s="10" t="s">
        <v>42</v>
      </c>
    </row>
    <row r="130" ht="15.75" customHeight="1">
      <c r="A130" s="64">
        <v>45473.0</v>
      </c>
      <c r="B130" s="55" t="str">
        <f>HYPERLINK("https://jobright.ai/jobs/info/6681b80a3a7b90a95b3581bf?utm_campaign=1063&amp;utm_source=sheet", "Apply")</f>
        <v>Apply</v>
      </c>
      <c r="C130" s="10" t="s">
        <v>17359</v>
      </c>
      <c r="D130" s="56" t="s">
        <v>17360</v>
      </c>
      <c r="E130" s="10" t="s">
        <v>71</v>
      </c>
      <c r="F130" s="10" t="s">
        <v>17361</v>
      </c>
      <c r="G130" s="10" t="s">
        <v>982</v>
      </c>
      <c r="H130" s="10" t="s">
        <v>48</v>
      </c>
      <c r="J130" s="10" t="s">
        <v>17362</v>
      </c>
      <c r="K130" s="10" t="s">
        <v>42</v>
      </c>
    </row>
    <row r="131" ht="15.75" customHeight="1">
      <c r="A131" s="64">
        <v>45473.0</v>
      </c>
      <c r="B131" s="55" t="str">
        <f>HYPERLINK("https://jobright.ai/jobs/info/6681b80a3a7b90a95b3581c2?utm_campaign=1063&amp;utm_source=sheet", "Apply")</f>
        <v>Apply</v>
      </c>
      <c r="C131" s="10" t="s">
        <v>17359</v>
      </c>
      <c r="D131" s="56" t="s">
        <v>17360</v>
      </c>
      <c r="E131" s="10" t="s">
        <v>71</v>
      </c>
      <c r="F131" s="10" t="s">
        <v>17361</v>
      </c>
      <c r="G131" s="10" t="s">
        <v>139</v>
      </c>
      <c r="H131" s="10" t="s">
        <v>48</v>
      </c>
      <c r="J131" s="10" t="s">
        <v>17362</v>
      </c>
      <c r="K131" s="10" t="s">
        <v>42</v>
      </c>
    </row>
    <row r="132" ht="15.75" customHeight="1">
      <c r="A132" s="64">
        <v>45473.0</v>
      </c>
      <c r="B132" s="55" t="str">
        <f>HYPERLINK("https://jobright.ai/jobs/info/6681b80a3a7b90a95b3581c6?utm_campaign=1063&amp;utm_source=sheet", "Apply")</f>
        <v>Apply</v>
      </c>
      <c r="C132" s="10" t="s">
        <v>17359</v>
      </c>
      <c r="D132" s="56" t="s">
        <v>17360</v>
      </c>
      <c r="E132" s="10" t="s">
        <v>71</v>
      </c>
      <c r="F132" s="10" t="s">
        <v>17361</v>
      </c>
      <c r="G132" s="10" t="s">
        <v>1045</v>
      </c>
      <c r="H132" s="10" t="s">
        <v>48</v>
      </c>
      <c r="J132" s="10" t="s">
        <v>17362</v>
      </c>
      <c r="K132" s="10" t="s">
        <v>42</v>
      </c>
    </row>
    <row r="133" ht="15.75" customHeight="1">
      <c r="A133" s="64">
        <v>45473.0</v>
      </c>
      <c r="B133" s="55" t="str">
        <f>HYPERLINK("https://jobright.ai/jobs/info/6681d145c41f5e36684d5991?utm_campaign=1063&amp;utm_source=sheet", "Apply")</f>
        <v>Apply</v>
      </c>
      <c r="C133" s="10" t="s">
        <v>17359</v>
      </c>
      <c r="D133" s="56" t="s">
        <v>17360</v>
      </c>
      <c r="E133" s="10" t="s">
        <v>71</v>
      </c>
      <c r="F133" s="10" t="s">
        <v>17361</v>
      </c>
      <c r="G133" s="10" t="s">
        <v>969</v>
      </c>
      <c r="H133" s="10" t="s">
        <v>48</v>
      </c>
      <c r="J133" s="10" t="s">
        <v>17362</v>
      </c>
      <c r="K133" s="10" t="s">
        <v>42</v>
      </c>
    </row>
    <row r="134" ht="15.75" customHeight="1">
      <c r="A134" s="64">
        <v>45473.0</v>
      </c>
      <c r="B134" s="55" t="str">
        <f>HYPERLINK("https://jobright.ai/jobs/info/6681d145c41f5e36684d5994?utm_campaign=1063&amp;utm_source=sheet", "Apply")</f>
        <v>Apply</v>
      </c>
      <c r="C134" s="10" t="s">
        <v>17359</v>
      </c>
      <c r="D134" s="56" t="s">
        <v>17360</v>
      </c>
      <c r="E134" s="10" t="s">
        <v>71</v>
      </c>
      <c r="F134" s="10" t="s">
        <v>17361</v>
      </c>
      <c r="G134" s="10" t="s">
        <v>979</v>
      </c>
      <c r="H134" s="10" t="s">
        <v>48</v>
      </c>
      <c r="J134" s="10" t="s">
        <v>17362</v>
      </c>
      <c r="K134" s="10" t="s">
        <v>42</v>
      </c>
    </row>
    <row r="135" ht="15.75" customHeight="1">
      <c r="A135" s="64">
        <v>45473.0</v>
      </c>
      <c r="B135" s="55" t="str">
        <f>HYPERLINK("https://jobright.ai/jobs/info/6681d145c41f5e36684d5995?utm_campaign=1063&amp;utm_source=sheet", "Apply")</f>
        <v>Apply</v>
      </c>
      <c r="C135" s="10" t="s">
        <v>17359</v>
      </c>
      <c r="D135" s="56" t="s">
        <v>17360</v>
      </c>
      <c r="E135" s="10" t="s">
        <v>71</v>
      </c>
      <c r="F135" s="10" t="s">
        <v>17361</v>
      </c>
      <c r="G135" s="10" t="s">
        <v>928</v>
      </c>
      <c r="H135" s="10" t="s">
        <v>48</v>
      </c>
      <c r="J135" s="10" t="s">
        <v>17362</v>
      </c>
      <c r="K135" s="10" t="s">
        <v>42</v>
      </c>
    </row>
    <row r="136" ht="15.75" customHeight="1">
      <c r="A136" s="64">
        <v>45473.0</v>
      </c>
      <c r="B136" s="55" t="str">
        <f>HYPERLINK("https://jobright.ai/jobs/info/6681d145c41f5e36684d5996?utm_campaign=1063&amp;utm_source=sheet", "Apply")</f>
        <v>Apply</v>
      </c>
      <c r="C136" s="10" t="s">
        <v>17359</v>
      </c>
      <c r="D136" s="56" t="s">
        <v>17360</v>
      </c>
      <c r="E136" s="10" t="s">
        <v>71</v>
      </c>
      <c r="F136" s="10" t="s">
        <v>17361</v>
      </c>
      <c r="G136" s="10" t="s">
        <v>886</v>
      </c>
      <c r="H136" s="10" t="s">
        <v>48</v>
      </c>
      <c r="J136" s="10" t="s">
        <v>17362</v>
      </c>
      <c r="K136" s="10" t="s">
        <v>42</v>
      </c>
    </row>
    <row r="137" ht="15.75" customHeight="1">
      <c r="A137" s="64">
        <v>45473.0</v>
      </c>
      <c r="B137" s="55" t="str">
        <f>HYPERLINK("https://jobright.ai/jobs/info/6681e4a090f3c68b4124e68f?utm_campaign=1063&amp;utm_source=sheet", "Apply")</f>
        <v>Apply</v>
      </c>
      <c r="C137" s="10" t="s">
        <v>17359</v>
      </c>
      <c r="D137" s="56" t="s">
        <v>17360</v>
      </c>
      <c r="E137" s="10" t="s">
        <v>71</v>
      </c>
      <c r="F137" s="10" t="s">
        <v>17361</v>
      </c>
      <c r="G137" s="10" t="s">
        <v>405</v>
      </c>
      <c r="H137" s="10" t="s">
        <v>48</v>
      </c>
      <c r="J137" s="10" t="s">
        <v>17362</v>
      </c>
      <c r="K137" s="10" t="s">
        <v>42</v>
      </c>
    </row>
    <row r="138" ht="15.75" customHeight="1">
      <c r="A138" s="64">
        <v>45473.0</v>
      </c>
      <c r="B138" s="55" t="str">
        <f>HYPERLINK("https://jobright.ai/jobs/info/6681e4a090f3c68b4124e691?utm_campaign=1063&amp;utm_source=sheet", "Apply")</f>
        <v>Apply</v>
      </c>
      <c r="C138" s="10" t="s">
        <v>17359</v>
      </c>
      <c r="D138" s="56" t="s">
        <v>17360</v>
      </c>
      <c r="E138" s="10" t="s">
        <v>71</v>
      </c>
      <c r="F138" s="10" t="s">
        <v>17361</v>
      </c>
      <c r="G138" s="10" t="s">
        <v>809</v>
      </c>
      <c r="H138" s="10" t="s">
        <v>48</v>
      </c>
      <c r="J138" s="10" t="s">
        <v>17362</v>
      </c>
      <c r="K138" s="10" t="s">
        <v>42</v>
      </c>
    </row>
    <row r="139" ht="15.75" customHeight="1">
      <c r="A139" s="64">
        <v>45473.0</v>
      </c>
      <c r="B139" s="55" t="str">
        <f>HYPERLINK("https://jobright.ai/jobs/info/6681e4a090f3c68b4124e690?utm_campaign=1063&amp;utm_source=sheet", "Apply")</f>
        <v>Apply</v>
      </c>
      <c r="C139" s="10" t="s">
        <v>17359</v>
      </c>
      <c r="D139" s="56" t="s">
        <v>17360</v>
      </c>
      <c r="E139" s="10" t="s">
        <v>71</v>
      </c>
      <c r="F139" s="10" t="s">
        <v>17361</v>
      </c>
      <c r="G139" s="10" t="s">
        <v>964</v>
      </c>
      <c r="H139" s="10" t="s">
        <v>48</v>
      </c>
      <c r="J139" s="10" t="s">
        <v>17362</v>
      </c>
      <c r="K139" s="10" t="s">
        <v>42</v>
      </c>
    </row>
    <row r="140" ht="15.75" customHeight="1">
      <c r="A140" s="64">
        <v>45473.0</v>
      </c>
      <c r="B140" s="55" t="str">
        <f>HYPERLINK("https://jobright.ai/jobs/info/6681c672cefd291014018908?utm_campaign=1063&amp;utm_source=sheet", "Apply")</f>
        <v>Apply</v>
      </c>
      <c r="C140" s="10" t="s">
        <v>17359</v>
      </c>
      <c r="D140" s="56" t="s">
        <v>17360</v>
      </c>
      <c r="E140" s="10" t="s">
        <v>71</v>
      </c>
      <c r="F140" s="10" t="s">
        <v>17361</v>
      </c>
      <c r="G140" s="10" t="s">
        <v>944</v>
      </c>
      <c r="H140" s="10" t="s">
        <v>48</v>
      </c>
      <c r="J140" s="10" t="s">
        <v>17362</v>
      </c>
      <c r="K140" s="10" t="s">
        <v>42</v>
      </c>
    </row>
    <row r="141" ht="15.75" customHeight="1">
      <c r="A141" s="64">
        <v>45473.0</v>
      </c>
      <c r="B141" s="55" t="str">
        <f>HYPERLINK("https://jobright.ai/jobs/info/6681c672cefd29101401890a?utm_campaign=1063&amp;utm_source=sheet", "Apply")</f>
        <v>Apply</v>
      </c>
      <c r="C141" s="10" t="s">
        <v>17359</v>
      </c>
      <c r="D141" s="56" t="s">
        <v>17360</v>
      </c>
      <c r="E141" s="10" t="s">
        <v>71</v>
      </c>
      <c r="F141" s="10" t="s">
        <v>17361</v>
      </c>
      <c r="G141" s="10" t="s">
        <v>851</v>
      </c>
      <c r="H141" s="10" t="s">
        <v>48</v>
      </c>
      <c r="J141" s="10" t="s">
        <v>17362</v>
      </c>
      <c r="K141" s="10" t="s">
        <v>42</v>
      </c>
    </row>
    <row r="142" ht="15.75" customHeight="1">
      <c r="A142" s="64">
        <v>45473.0</v>
      </c>
      <c r="B142" s="55" t="str">
        <f>HYPERLINK("https://jobright.ai/jobs/info/6681c672cefd291014018909?utm_campaign=1063&amp;utm_source=sheet", "Apply")</f>
        <v>Apply</v>
      </c>
      <c r="C142" s="10" t="s">
        <v>17359</v>
      </c>
      <c r="D142" s="56" t="s">
        <v>17360</v>
      </c>
      <c r="E142" s="10" t="s">
        <v>71</v>
      </c>
      <c r="F142" s="10" t="s">
        <v>17361</v>
      </c>
      <c r="G142" s="10" t="s">
        <v>885</v>
      </c>
      <c r="H142" s="10" t="s">
        <v>48</v>
      </c>
      <c r="J142" s="10" t="s">
        <v>17362</v>
      </c>
      <c r="K142" s="10" t="s">
        <v>42</v>
      </c>
    </row>
    <row r="143" ht="15.75" customHeight="1">
      <c r="A143" s="64">
        <v>45473.0</v>
      </c>
      <c r="B143" s="55" t="str">
        <f>HYPERLINK("https://jobright.ai/jobs/info/6681c672cefd29101401890b?utm_campaign=1063&amp;utm_source=sheet", "Apply")</f>
        <v>Apply</v>
      </c>
      <c r="C143" s="10" t="s">
        <v>17359</v>
      </c>
      <c r="D143" s="56" t="s">
        <v>17360</v>
      </c>
      <c r="E143" s="10" t="s">
        <v>71</v>
      </c>
      <c r="F143" s="10" t="s">
        <v>17361</v>
      </c>
      <c r="G143" s="10" t="s">
        <v>848</v>
      </c>
      <c r="H143" s="10" t="s">
        <v>48</v>
      </c>
      <c r="J143" s="10" t="s">
        <v>17362</v>
      </c>
      <c r="K143" s="10" t="s">
        <v>42</v>
      </c>
    </row>
    <row r="144" ht="15.75" customHeight="1">
      <c r="A144" s="64">
        <v>45473.0</v>
      </c>
      <c r="B144" s="55" t="str">
        <f>HYPERLINK("https://jobright.ai/jobs/info/6681c672cefd291014018914?utm_campaign=1063&amp;utm_source=sheet", "Apply")</f>
        <v>Apply</v>
      </c>
      <c r="C144" s="10" t="s">
        <v>17359</v>
      </c>
      <c r="D144" s="56" t="s">
        <v>17360</v>
      </c>
      <c r="E144" s="10" t="s">
        <v>71</v>
      </c>
      <c r="F144" s="10" t="s">
        <v>17361</v>
      </c>
      <c r="G144" s="10" t="s">
        <v>668</v>
      </c>
      <c r="H144" s="10" t="s">
        <v>48</v>
      </c>
      <c r="J144" s="10" t="s">
        <v>17362</v>
      </c>
      <c r="K144" s="10" t="s">
        <v>42</v>
      </c>
    </row>
    <row r="145" ht="15.75" customHeight="1">
      <c r="A145" s="64">
        <v>45473.0</v>
      </c>
      <c r="B145" s="55" t="str">
        <f>HYPERLINK("https://jobright.ai/jobs/info/6681c672cefd29101401890e?utm_campaign=1063&amp;utm_source=sheet", "Apply")</f>
        <v>Apply</v>
      </c>
      <c r="C145" s="10" t="s">
        <v>17359</v>
      </c>
      <c r="D145" s="56" t="s">
        <v>17360</v>
      </c>
      <c r="E145" s="10" t="s">
        <v>71</v>
      </c>
      <c r="F145" s="10" t="s">
        <v>17361</v>
      </c>
      <c r="G145" s="10" t="s">
        <v>779</v>
      </c>
      <c r="H145" s="10" t="s">
        <v>48</v>
      </c>
      <c r="J145" s="10" t="s">
        <v>17362</v>
      </c>
      <c r="K145" s="10" t="s">
        <v>42</v>
      </c>
    </row>
    <row r="146" ht="15.75" customHeight="1">
      <c r="A146" s="64">
        <v>45473.0</v>
      </c>
      <c r="B146" s="55" t="str">
        <f>HYPERLINK("https://jobright.ai/jobs/info/6681c672cefd29101401890d?utm_campaign=1063&amp;utm_source=sheet", "Apply")</f>
        <v>Apply</v>
      </c>
      <c r="C146" s="10" t="s">
        <v>17359</v>
      </c>
      <c r="D146" s="56" t="s">
        <v>17360</v>
      </c>
      <c r="E146" s="10" t="s">
        <v>71</v>
      </c>
      <c r="F146" s="10" t="s">
        <v>17361</v>
      </c>
      <c r="G146" s="10" t="s">
        <v>785</v>
      </c>
      <c r="H146" s="10" t="s">
        <v>48</v>
      </c>
      <c r="J146" s="10" t="s">
        <v>17362</v>
      </c>
      <c r="K146" s="10" t="s">
        <v>42</v>
      </c>
    </row>
    <row r="147" ht="15.75" customHeight="1">
      <c r="A147" s="64">
        <v>45473.0</v>
      </c>
      <c r="B147" s="55" t="str">
        <f>HYPERLINK("https://jobright.ai/jobs/info/6681c672cefd291014018913?utm_campaign=1063&amp;utm_source=sheet", "Apply")</f>
        <v>Apply</v>
      </c>
      <c r="C147" s="10" t="s">
        <v>17359</v>
      </c>
      <c r="D147" s="56" t="s">
        <v>17360</v>
      </c>
      <c r="E147" s="10" t="s">
        <v>71</v>
      </c>
      <c r="F147" s="10" t="s">
        <v>17361</v>
      </c>
      <c r="G147" s="10" t="s">
        <v>766</v>
      </c>
      <c r="H147" s="10" t="s">
        <v>48</v>
      </c>
      <c r="J147" s="10" t="s">
        <v>17362</v>
      </c>
      <c r="K147" s="10" t="s">
        <v>42</v>
      </c>
    </row>
    <row r="148" ht="15.75" customHeight="1">
      <c r="A148" s="64">
        <v>45473.0</v>
      </c>
      <c r="B148" s="55" t="str">
        <f>HYPERLINK("https://jobright.ai/jobs/info/6681c672cefd29101401890f?utm_campaign=1063&amp;utm_source=sheet", "Apply")</f>
        <v>Apply</v>
      </c>
      <c r="C148" s="10" t="s">
        <v>17359</v>
      </c>
      <c r="D148" s="56" t="s">
        <v>17360</v>
      </c>
      <c r="E148" s="10" t="s">
        <v>71</v>
      </c>
      <c r="F148" s="10" t="s">
        <v>17361</v>
      </c>
      <c r="G148" s="10" t="s">
        <v>907</v>
      </c>
      <c r="H148" s="10" t="s">
        <v>48</v>
      </c>
      <c r="J148" s="10" t="s">
        <v>17362</v>
      </c>
      <c r="K148" s="10" t="s">
        <v>42</v>
      </c>
    </row>
    <row r="149" ht="15.75" customHeight="1">
      <c r="A149" s="64">
        <v>45473.0</v>
      </c>
      <c r="B149" s="55" t="str">
        <f>HYPERLINK("https://jobright.ai/jobs/info/6681c672cefd291014018912?utm_campaign=1063&amp;utm_source=sheet", "Apply")</f>
        <v>Apply</v>
      </c>
      <c r="C149" s="10" t="s">
        <v>17359</v>
      </c>
      <c r="D149" s="56" t="s">
        <v>17360</v>
      </c>
      <c r="E149" s="10" t="s">
        <v>71</v>
      </c>
      <c r="F149" s="10" t="s">
        <v>17361</v>
      </c>
      <c r="G149" s="10" t="s">
        <v>229</v>
      </c>
      <c r="H149" s="10" t="s">
        <v>48</v>
      </c>
      <c r="J149" s="10" t="s">
        <v>17362</v>
      </c>
      <c r="K149" s="10" t="s">
        <v>42</v>
      </c>
    </row>
    <row r="150" ht="15.75" customHeight="1">
      <c r="A150" s="64">
        <v>45473.0</v>
      </c>
      <c r="B150" s="55" t="str">
        <f>HYPERLINK("https://jobright.ai/jobs/info/6681c672cefd291014018916?utm_campaign=1063&amp;utm_source=sheet", "Apply")</f>
        <v>Apply</v>
      </c>
      <c r="C150" s="10" t="s">
        <v>17359</v>
      </c>
      <c r="D150" s="56" t="s">
        <v>17360</v>
      </c>
      <c r="E150" s="10" t="s">
        <v>71</v>
      </c>
      <c r="F150" s="10" t="s">
        <v>17361</v>
      </c>
      <c r="G150" s="10" t="s">
        <v>950</v>
      </c>
      <c r="H150" s="10" t="s">
        <v>48</v>
      </c>
      <c r="J150" s="10" t="s">
        <v>17362</v>
      </c>
      <c r="K150" s="10" t="s">
        <v>42</v>
      </c>
    </row>
    <row r="151" ht="15.75" customHeight="1">
      <c r="A151" s="64">
        <v>45473.0</v>
      </c>
      <c r="B151" s="55" t="str">
        <f>HYPERLINK("https://jobright.ai/jobs/info/6681c672cefd291014018910?utm_campaign=1063&amp;utm_source=sheet", "Apply")</f>
        <v>Apply</v>
      </c>
      <c r="C151" s="10" t="s">
        <v>17359</v>
      </c>
      <c r="D151" s="56" t="s">
        <v>17360</v>
      </c>
      <c r="E151" s="10" t="s">
        <v>71</v>
      </c>
      <c r="F151" s="10" t="s">
        <v>17361</v>
      </c>
      <c r="G151" s="10" t="s">
        <v>883</v>
      </c>
      <c r="H151" s="10" t="s">
        <v>48</v>
      </c>
      <c r="J151" s="10" t="s">
        <v>17362</v>
      </c>
      <c r="K151" s="10" t="s">
        <v>42</v>
      </c>
    </row>
    <row r="152" ht="15.75" customHeight="1">
      <c r="A152" s="64">
        <v>45473.0</v>
      </c>
      <c r="B152" s="55" t="str">
        <f>HYPERLINK("https://jobright.ai/jobs/info/6681c672cefd29101401890c?utm_campaign=1063&amp;utm_source=sheet", "Apply")</f>
        <v>Apply</v>
      </c>
      <c r="C152" s="10" t="s">
        <v>17359</v>
      </c>
      <c r="D152" s="56" t="s">
        <v>17360</v>
      </c>
      <c r="E152" s="10" t="s">
        <v>71</v>
      </c>
      <c r="F152" s="10" t="s">
        <v>17361</v>
      </c>
      <c r="G152" s="10" t="s">
        <v>951</v>
      </c>
      <c r="H152" s="10" t="s">
        <v>48</v>
      </c>
      <c r="J152" s="10" t="s">
        <v>17362</v>
      </c>
      <c r="K152" s="10" t="s">
        <v>42</v>
      </c>
    </row>
    <row r="153" ht="15.75" customHeight="1">
      <c r="A153" s="64">
        <v>45473.0</v>
      </c>
      <c r="B153" s="55" t="str">
        <f>HYPERLINK("https://jobright.ai/jobs/info/6681c672cefd291014018911?utm_campaign=1063&amp;utm_source=sheet", "Apply")</f>
        <v>Apply</v>
      </c>
      <c r="C153" s="10" t="s">
        <v>17359</v>
      </c>
      <c r="D153" s="56" t="s">
        <v>17360</v>
      </c>
      <c r="E153" s="10" t="s">
        <v>71</v>
      </c>
      <c r="F153" s="10" t="s">
        <v>17361</v>
      </c>
      <c r="G153" s="10" t="s">
        <v>832</v>
      </c>
      <c r="H153" s="10" t="s">
        <v>48</v>
      </c>
      <c r="J153" s="10" t="s">
        <v>17362</v>
      </c>
      <c r="K153" s="10" t="s">
        <v>42</v>
      </c>
    </row>
    <row r="154" ht="15.75" customHeight="1">
      <c r="A154" s="64">
        <v>45473.0</v>
      </c>
      <c r="B154" s="55" t="str">
        <f>HYPERLINK("https://jobright.ai/jobs/info/6681c672cefd291014018915?utm_campaign=1063&amp;utm_source=sheet", "Apply")</f>
        <v>Apply</v>
      </c>
      <c r="C154" s="10" t="s">
        <v>17359</v>
      </c>
      <c r="D154" s="56" t="s">
        <v>17360</v>
      </c>
      <c r="E154" s="10" t="s">
        <v>71</v>
      </c>
      <c r="F154" s="10" t="s">
        <v>17361</v>
      </c>
      <c r="G154" s="10" t="s">
        <v>937</v>
      </c>
      <c r="H154" s="10" t="s">
        <v>48</v>
      </c>
      <c r="J154" s="10" t="s">
        <v>17362</v>
      </c>
      <c r="K154" s="10" t="s">
        <v>42</v>
      </c>
    </row>
    <row r="155" ht="15.75" customHeight="1">
      <c r="A155" s="64">
        <v>45473.0</v>
      </c>
      <c r="B155" s="55" t="str">
        <f>HYPERLINK("https://jobright.ai/jobs/info/6681b70af2baaad53af9bbcb?utm_campaign=1063&amp;utm_source=sheet", "Apply")</f>
        <v>Apply</v>
      </c>
      <c r="C155" s="10" t="s">
        <v>17359</v>
      </c>
      <c r="D155" s="56" t="s">
        <v>17360</v>
      </c>
      <c r="E155" s="10" t="s">
        <v>71</v>
      </c>
      <c r="F155" s="10" t="s">
        <v>17361</v>
      </c>
      <c r="G155" s="10" t="s">
        <v>765</v>
      </c>
      <c r="H155" s="10" t="s">
        <v>48</v>
      </c>
      <c r="J155" s="10" t="s">
        <v>17362</v>
      </c>
      <c r="K155" s="10" t="s">
        <v>42</v>
      </c>
    </row>
    <row r="156" ht="15.75" customHeight="1">
      <c r="A156" s="64">
        <v>45473.0</v>
      </c>
      <c r="B156" s="55" t="str">
        <f>HYPERLINK("https://jobright.ai/jobs/info/6681b70af2baaad53af9bbce?utm_campaign=1063&amp;utm_source=sheet", "Apply")</f>
        <v>Apply</v>
      </c>
      <c r="C156" s="10" t="s">
        <v>17359</v>
      </c>
      <c r="D156" s="56" t="s">
        <v>17360</v>
      </c>
      <c r="E156" s="10" t="s">
        <v>71</v>
      </c>
      <c r="F156" s="10" t="s">
        <v>17361</v>
      </c>
      <c r="G156" s="10" t="s">
        <v>936</v>
      </c>
      <c r="H156" s="10" t="s">
        <v>48</v>
      </c>
      <c r="J156" s="10" t="s">
        <v>17362</v>
      </c>
      <c r="K156" s="10" t="s">
        <v>42</v>
      </c>
    </row>
    <row r="157" ht="15.75" customHeight="1">
      <c r="A157" s="64">
        <v>45473.0</v>
      </c>
      <c r="B157" s="55" t="str">
        <f>HYPERLINK("https://jobright.ai/jobs/info/6681b70af2baaad53af9bbcc?utm_campaign=1063&amp;utm_source=sheet", "Apply")</f>
        <v>Apply</v>
      </c>
      <c r="C157" s="10" t="s">
        <v>17359</v>
      </c>
      <c r="D157" s="56" t="s">
        <v>17360</v>
      </c>
      <c r="E157" s="10" t="s">
        <v>71</v>
      </c>
      <c r="F157" s="10" t="s">
        <v>17361</v>
      </c>
      <c r="G157" s="10" t="s">
        <v>1048</v>
      </c>
      <c r="H157" s="10" t="s">
        <v>48</v>
      </c>
      <c r="J157" s="10" t="s">
        <v>17362</v>
      </c>
      <c r="K157" s="10" t="s">
        <v>42</v>
      </c>
    </row>
    <row r="158" ht="15.75" customHeight="1">
      <c r="A158" s="64">
        <v>45473.0</v>
      </c>
      <c r="B158" s="55" t="str">
        <f>HYPERLINK("https://jobright.ai/jobs/info/6681b70af2baaad53af9bbcd?utm_campaign=1063&amp;utm_source=sheet", "Apply")</f>
        <v>Apply</v>
      </c>
      <c r="C158" s="10" t="s">
        <v>17359</v>
      </c>
      <c r="D158" s="56" t="s">
        <v>17360</v>
      </c>
      <c r="E158" s="10" t="s">
        <v>71</v>
      </c>
      <c r="F158" s="10" t="s">
        <v>17361</v>
      </c>
      <c r="G158" s="10" t="s">
        <v>818</v>
      </c>
      <c r="H158" s="10" t="s">
        <v>48</v>
      </c>
      <c r="J158" s="10" t="s">
        <v>17362</v>
      </c>
      <c r="K158" s="10" t="s">
        <v>42</v>
      </c>
    </row>
    <row r="159" ht="15.75" customHeight="1">
      <c r="A159" s="64">
        <v>45473.0</v>
      </c>
      <c r="B159" s="55" t="str">
        <f>HYPERLINK("https://jobright.ai/jobs/info/6681b70af2baaad53af9bbcf?utm_campaign=1063&amp;utm_source=sheet", "Apply")</f>
        <v>Apply</v>
      </c>
      <c r="C159" s="10" t="s">
        <v>17359</v>
      </c>
      <c r="D159" s="56" t="s">
        <v>17360</v>
      </c>
      <c r="E159" s="10" t="s">
        <v>71</v>
      </c>
      <c r="F159" s="10" t="s">
        <v>17361</v>
      </c>
      <c r="G159" s="10" t="s">
        <v>807</v>
      </c>
      <c r="H159" s="10" t="s">
        <v>48</v>
      </c>
      <c r="J159" s="10" t="s">
        <v>17362</v>
      </c>
      <c r="K159" s="10" t="s">
        <v>42</v>
      </c>
    </row>
    <row r="160" ht="15.75" customHeight="1">
      <c r="A160" s="64">
        <v>45473.0</v>
      </c>
      <c r="B160" s="55" t="str">
        <f>HYPERLINK("https://jobright.ai/jobs/info/6681b70af2baaad53af9bbd0?utm_campaign=1063&amp;utm_source=sheet", "Apply")</f>
        <v>Apply</v>
      </c>
      <c r="C160" s="10" t="s">
        <v>17359</v>
      </c>
      <c r="D160" s="56" t="s">
        <v>17360</v>
      </c>
      <c r="E160" s="10" t="s">
        <v>71</v>
      </c>
      <c r="F160" s="10" t="s">
        <v>17361</v>
      </c>
      <c r="G160" s="10" t="s">
        <v>761</v>
      </c>
      <c r="H160" s="10" t="s">
        <v>48</v>
      </c>
      <c r="J160" s="10" t="s">
        <v>17362</v>
      </c>
      <c r="K160" s="10" t="s">
        <v>42</v>
      </c>
    </row>
    <row r="161" ht="15.75" customHeight="1">
      <c r="A161" s="64">
        <v>45473.0</v>
      </c>
      <c r="B161" s="55" t="str">
        <f>HYPERLINK("https://jobright.ai/jobs/info/6681b70af2baaad53af9bbd1?utm_campaign=1063&amp;utm_source=sheet", "Apply")</f>
        <v>Apply</v>
      </c>
      <c r="C161" s="10" t="s">
        <v>17359</v>
      </c>
      <c r="D161" s="56" t="s">
        <v>17360</v>
      </c>
      <c r="E161" s="10" t="s">
        <v>71</v>
      </c>
      <c r="F161" s="10" t="s">
        <v>17361</v>
      </c>
      <c r="G161" s="10" t="s">
        <v>354</v>
      </c>
      <c r="H161" s="10" t="s">
        <v>48</v>
      </c>
      <c r="J161" s="10" t="s">
        <v>17362</v>
      </c>
      <c r="K161" s="10" t="s">
        <v>42</v>
      </c>
    </row>
    <row r="162" ht="15.75" customHeight="1">
      <c r="A162" s="64">
        <v>45473.0</v>
      </c>
      <c r="B162" s="55" t="str">
        <f>HYPERLINK("https://jobright.ai/jobs/info/6681b70af2baaad53af9bbd2?utm_campaign=1063&amp;utm_source=sheet", "Apply")</f>
        <v>Apply</v>
      </c>
      <c r="C162" s="10" t="s">
        <v>17359</v>
      </c>
      <c r="D162" s="56" t="s">
        <v>17360</v>
      </c>
      <c r="E162" s="10" t="s">
        <v>71</v>
      </c>
      <c r="F162" s="10" t="s">
        <v>17361</v>
      </c>
      <c r="G162" s="10" t="s">
        <v>1008</v>
      </c>
      <c r="H162" s="10" t="s">
        <v>48</v>
      </c>
      <c r="J162" s="10" t="s">
        <v>17362</v>
      </c>
      <c r="K162" s="10" t="s">
        <v>42</v>
      </c>
    </row>
    <row r="163" ht="15.75" customHeight="1">
      <c r="A163" s="64">
        <v>45473.0</v>
      </c>
      <c r="B163" s="55" t="str">
        <f>HYPERLINK("https://jobright.ai/jobs/info/6681b70af2baaad53af9bbd8?utm_campaign=1063&amp;utm_source=sheet", "Apply")</f>
        <v>Apply</v>
      </c>
      <c r="C163" s="10" t="s">
        <v>17359</v>
      </c>
      <c r="D163" s="56" t="s">
        <v>17360</v>
      </c>
      <c r="E163" s="10" t="s">
        <v>71</v>
      </c>
      <c r="F163" s="10" t="s">
        <v>17361</v>
      </c>
      <c r="G163" s="10" t="s">
        <v>958</v>
      </c>
      <c r="H163" s="10" t="s">
        <v>48</v>
      </c>
      <c r="J163" s="10" t="s">
        <v>17362</v>
      </c>
      <c r="K163" s="10" t="s">
        <v>42</v>
      </c>
    </row>
    <row r="164" ht="15.75" customHeight="1">
      <c r="A164" s="64">
        <v>45473.0</v>
      </c>
      <c r="B164" s="55" t="str">
        <f>HYPERLINK("https://jobright.ai/jobs/info/6681b70af2baaad53af9bbdc?utm_campaign=1063&amp;utm_source=sheet", "Apply")</f>
        <v>Apply</v>
      </c>
      <c r="C164" s="10" t="s">
        <v>17359</v>
      </c>
      <c r="D164" s="56" t="s">
        <v>17360</v>
      </c>
      <c r="E164" s="10" t="s">
        <v>71</v>
      </c>
      <c r="F164" s="10" t="s">
        <v>17361</v>
      </c>
      <c r="G164" s="10" t="s">
        <v>1005</v>
      </c>
      <c r="H164" s="10" t="s">
        <v>48</v>
      </c>
      <c r="J164" s="10" t="s">
        <v>17362</v>
      </c>
      <c r="K164" s="10" t="s">
        <v>42</v>
      </c>
    </row>
    <row r="165" ht="15.75" customHeight="1">
      <c r="A165" s="64">
        <v>45473.0</v>
      </c>
      <c r="B165" s="55" t="str">
        <f>HYPERLINK("https://jobright.ai/jobs/info/6681b70af2baaad53af9bbe3?utm_campaign=1063&amp;utm_source=sheet", "Apply")</f>
        <v>Apply</v>
      </c>
      <c r="C165" s="10" t="s">
        <v>17359</v>
      </c>
      <c r="D165" s="56" t="s">
        <v>17360</v>
      </c>
      <c r="E165" s="10" t="s">
        <v>71</v>
      </c>
      <c r="F165" s="10" t="s">
        <v>17361</v>
      </c>
      <c r="G165" s="10" t="s">
        <v>578</v>
      </c>
      <c r="H165" s="10" t="s">
        <v>48</v>
      </c>
      <c r="J165" s="10" t="s">
        <v>17362</v>
      </c>
      <c r="K165" s="10" t="s">
        <v>42</v>
      </c>
    </row>
    <row r="166" ht="15.75" customHeight="1">
      <c r="A166" s="64">
        <v>45473.0</v>
      </c>
      <c r="B166" s="55" t="str">
        <f>HYPERLINK("https://jobright.ai/jobs/info/6681b70af2baaad53af9bbd5?utm_campaign=1063&amp;utm_source=sheet", "Apply")</f>
        <v>Apply</v>
      </c>
      <c r="C166" s="10" t="s">
        <v>17359</v>
      </c>
      <c r="D166" s="56" t="s">
        <v>17360</v>
      </c>
      <c r="E166" s="10" t="s">
        <v>71</v>
      </c>
      <c r="F166" s="10" t="s">
        <v>17361</v>
      </c>
      <c r="G166" s="10" t="s">
        <v>901</v>
      </c>
      <c r="H166" s="10" t="s">
        <v>48</v>
      </c>
      <c r="J166" s="10" t="s">
        <v>17362</v>
      </c>
      <c r="K166" s="10" t="s">
        <v>42</v>
      </c>
    </row>
    <row r="167" ht="15.75" customHeight="1">
      <c r="A167" s="64">
        <v>45473.0</v>
      </c>
      <c r="B167" s="55" t="str">
        <f>HYPERLINK("https://jobright.ai/jobs/info/6681b70af2baaad53af9bbe2?utm_campaign=1063&amp;utm_source=sheet", "Apply")</f>
        <v>Apply</v>
      </c>
      <c r="C167" s="10" t="s">
        <v>17359</v>
      </c>
      <c r="D167" s="56" t="s">
        <v>17360</v>
      </c>
      <c r="E167" s="10" t="s">
        <v>71</v>
      </c>
      <c r="F167" s="10" t="s">
        <v>17361</v>
      </c>
      <c r="G167" s="10" t="s">
        <v>916</v>
      </c>
      <c r="H167" s="10" t="s">
        <v>48</v>
      </c>
      <c r="J167" s="10" t="s">
        <v>17362</v>
      </c>
      <c r="K167" s="10" t="s">
        <v>42</v>
      </c>
    </row>
    <row r="168" ht="15.75" customHeight="1">
      <c r="A168" s="64">
        <v>45473.0</v>
      </c>
      <c r="B168" s="55" t="str">
        <f>HYPERLINK("https://jobright.ai/jobs/info/6681b70af2baaad53af9bbd4?utm_campaign=1063&amp;utm_source=sheet", "Apply")</f>
        <v>Apply</v>
      </c>
      <c r="C168" s="10" t="s">
        <v>17359</v>
      </c>
      <c r="D168" s="56" t="s">
        <v>17360</v>
      </c>
      <c r="E168" s="10" t="s">
        <v>71</v>
      </c>
      <c r="F168" s="10" t="s">
        <v>17361</v>
      </c>
      <c r="G168" s="10" t="s">
        <v>833</v>
      </c>
      <c r="H168" s="10" t="s">
        <v>48</v>
      </c>
      <c r="J168" s="10" t="s">
        <v>17362</v>
      </c>
      <c r="K168" s="10" t="s">
        <v>42</v>
      </c>
    </row>
    <row r="169" ht="15.75" customHeight="1">
      <c r="A169" s="64">
        <v>45473.0</v>
      </c>
      <c r="B169" s="55" t="str">
        <f>HYPERLINK("https://jobright.ai/jobs/info/6681b70af2baaad53af9bbde?utm_campaign=1063&amp;utm_source=sheet", "Apply")</f>
        <v>Apply</v>
      </c>
      <c r="C169" s="10" t="s">
        <v>17359</v>
      </c>
      <c r="D169" s="56" t="s">
        <v>17360</v>
      </c>
      <c r="E169" s="10" t="s">
        <v>71</v>
      </c>
      <c r="F169" s="10" t="s">
        <v>17361</v>
      </c>
      <c r="G169" s="10" t="s">
        <v>1016</v>
      </c>
      <c r="H169" s="10" t="s">
        <v>48</v>
      </c>
      <c r="J169" s="10" t="s">
        <v>17362</v>
      </c>
      <c r="K169" s="10" t="s">
        <v>42</v>
      </c>
    </row>
    <row r="170" ht="15.75" customHeight="1">
      <c r="A170" s="64">
        <v>45473.0</v>
      </c>
      <c r="B170" s="55" t="str">
        <f>HYPERLINK("https://jobright.ai/jobs/info/6681b70af2baaad53af9bbe1?utm_campaign=1063&amp;utm_source=sheet", "Apply")</f>
        <v>Apply</v>
      </c>
      <c r="C170" s="10" t="s">
        <v>17359</v>
      </c>
      <c r="D170" s="56" t="s">
        <v>17360</v>
      </c>
      <c r="E170" s="10" t="s">
        <v>71</v>
      </c>
      <c r="F170" s="10" t="s">
        <v>17361</v>
      </c>
      <c r="G170" s="10" t="s">
        <v>892</v>
      </c>
      <c r="H170" s="10" t="s">
        <v>48</v>
      </c>
      <c r="J170" s="10" t="s">
        <v>17362</v>
      </c>
      <c r="K170" s="10" t="s">
        <v>42</v>
      </c>
    </row>
    <row r="171" ht="15.75" customHeight="1">
      <c r="A171" s="64">
        <v>45473.0</v>
      </c>
      <c r="B171" s="55" t="str">
        <f>HYPERLINK("https://jobright.ai/jobs/info/6681b70af2baaad53af9bbdf?utm_campaign=1063&amp;utm_source=sheet", "Apply")</f>
        <v>Apply</v>
      </c>
      <c r="C171" s="10" t="s">
        <v>17359</v>
      </c>
      <c r="D171" s="56" t="s">
        <v>17360</v>
      </c>
      <c r="E171" s="10" t="s">
        <v>71</v>
      </c>
      <c r="F171" s="10" t="s">
        <v>17361</v>
      </c>
      <c r="G171" s="10" t="s">
        <v>904</v>
      </c>
      <c r="H171" s="10" t="s">
        <v>48</v>
      </c>
      <c r="J171" s="10" t="s">
        <v>17362</v>
      </c>
      <c r="K171" s="10" t="s">
        <v>42</v>
      </c>
    </row>
    <row r="172" ht="15.75" customHeight="1">
      <c r="A172" s="64">
        <v>45473.0</v>
      </c>
      <c r="B172" s="55" t="str">
        <f>HYPERLINK("https://jobright.ai/jobs/info/6681b70af2baaad53af9bbdd?utm_campaign=1063&amp;utm_source=sheet", "Apply")</f>
        <v>Apply</v>
      </c>
      <c r="C172" s="10" t="s">
        <v>17359</v>
      </c>
      <c r="D172" s="56" t="s">
        <v>17360</v>
      </c>
      <c r="E172" s="10" t="s">
        <v>71</v>
      </c>
      <c r="F172" s="10" t="s">
        <v>17361</v>
      </c>
      <c r="G172" s="10" t="s">
        <v>837</v>
      </c>
      <c r="H172" s="10" t="s">
        <v>48</v>
      </c>
      <c r="J172" s="10" t="s">
        <v>17362</v>
      </c>
      <c r="K172" s="10" t="s">
        <v>42</v>
      </c>
    </row>
    <row r="173" ht="15.75" customHeight="1">
      <c r="A173" s="64">
        <v>45473.0</v>
      </c>
      <c r="B173" s="55" t="str">
        <f>HYPERLINK("https://jobright.ai/jobs/info/6681b70af2baaad53af9bbda?utm_campaign=1063&amp;utm_source=sheet", "Apply")</f>
        <v>Apply</v>
      </c>
      <c r="C173" s="10" t="s">
        <v>17359</v>
      </c>
      <c r="D173" s="56" t="s">
        <v>17360</v>
      </c>
      <c r="E173" s="10" t="s">
        <v>71</v>
      </c>
      <c r="F173" s="10" t="s">
        <v>17361</v>
      </c>
      <c r="G173" s="10" t="s">
        <v>933</v>
      </c>
      <c r="H173" s="10" t="s">
        <v>48</v>
      </c>
      <c r="J173" s="10" t="s">
        <v>17362</v>
      </c>
      <c r="K173" s="10" t="s">
        <v>42</v>
      </c>
    </row>
    <row r="174" ht="15.75" customHeight="1">
      <c r="A174" s="64">
        <v>45473.0</v>
      </c>
      <c r="B174" s="55" t="str">
        <f>HYPERLINK("https://jobright.ai/jobs/info/6681b70af2baaad53af9bbe0?utm_campaign=1063&amp;utm_source=sheet", "Apply")</f>
        <v>Apply</v>
      </c>
      <c r="C174" s="10" t="s">
        <v>17359</v>
      </c>
      <c r="D174" s="56" t="s">
        <v>17360</v>
      </c>
      <c r="E174" s="10" t="s">
        <v>71</v>
      </c>
      <c r="F174" s="10" t="s">
        <v>17361</v>
      </c>
      <c r="G174" s="10" t="s">
        <v>952</v>
      </c>
      <c r="H174" s="10" t="s">
        <v>48</v>
      </c>
      <c r="J174" s="10" t="s">
        <v>17362</v>
      </c>
      <c r="K174" s="10" t="s">
        <v>42</v>
      </c>
    </row>
    <row r="175" ht="15.75" customHeight="1">
      <c r="A175" s="64">
        <v>45473.0</v>
      </c>
      <c r="B175" s="55" t="str">
        <f>HYPERLINK("https://jobright.ai/jobs/info/6681b70af2baaad53af9bbdb?utm_campaign=1063&amp;utm_source=sheet", "Apply")</f>
        <v>Apply</v>
      </c>
      <c r="C175" s="10" t="s">
        <v>17359</v>
      </c>
      <c r="D175" s="56" t="s">
        <v>17360</v>
      </c>
      <c r="E175" s="10" t="s">
        <v>71</v>
      </c>
      <c r="F175" s="10" t="s">
        <v>17361</v>
      </c>
      <c r="G175" s="10" t="s">
        <v>1032</v>
      </c>
      <c r="H175" s="10" t="s">
        <v>48</v>
      </c>
      <c r="J175" s="10" t="s">
        <v>17362</v>
      </c>
      <c r="K175" s="10" t="s">
        <v>42</v>
      </c>
    </row>
    <row r="176" ht="15.75" customHeight="1">
      <c r="A176" s="64">
        <v>45473.0</v>
      </c>
      <c r="B176" s="55" t="str">
        <f>HYPERLINK("https://jobright.ai/jobs/info/6681b70af2baaad53af9bbd7?utm_campaign=1063&amp;utm_source=sheet", "Apply")</f>
        <v>Apply</v>
      </c>
      <c r="C176" s="10" t="s">
        <v>17359</v>
      </c>
      <c r="D176" s="56" t="s">
        <v>17360</v>
      </c>
      <c r="E176" s="10" t="s">
        <v>71</v>
      </c>
      <c r="F176" s="10" t="s">
        <v>17361</v>
      </c>
      <c r="G176" s="10" t="s">
        <v>920</v>
      </c>
      <c r="H176" s="10" t="s">
        <v>48</v>
      </c>
      <c r="J176" s="10" t="s">
        <v>17362</v>
      </c>
      <c r="K176" s="10" t="s">
        <v>42</v>
      </c>
    </row>
    <row r="177" ht="15.75" customHeight="1">
      <c r="A177" s="64">
        <v>45473.0</v>
      </c>
      <c r="B177" s="55" t="str">
        <f>HYPERLINK("https://jobright.ai/jobs/info/6681b70af2baaad53af9bbd9?utm_campaign=1063&amp;utm_source=sheet", "Apply")</f>
        <v>Apply</v>
      </c>
      <c r="C177" s="10" t="s">
        <v>17359</v>
      </c>
      <c r="D177" s="56" t="s">
        <v>17360</v>
      </c>
      <c r="E177" s="10" t="s">
        <v>71</v>
      </c>
      <c r="F177" s="10" t="s">
        <v>17361</v>
      </c>
      <c r="G177" s="10" t="s">
        <v>846</v>
      </c>
      <c r="H177" s="10" t="s">
        <v>48</v>
      </c>
      <c r="J177" s="10" t="s">
        <v>17362</v>
      </c>
      <c r="K177" s="10" t="s">
        <v>42</v>
      </c>
    </row>
    <row r="178" ht="15.75" customHeight="1">
      <c r="A178" s="64">
        <v>45473.0</v>
      </c>
      <c r="B178" s="55" t="str">
        <f>HYPERLINK("https://jobright.ai/jobs/info/6681b70af2baaad53af9bbd3?utm_campaign=1063&amp;utm_source=sheet", "Apply")</f>
        <v>Apply</v>
      </c>
      <c r="C178" s="10" t="s">
        <v>17359</v>
      </c>
      <c r="D178" s="56" t="s">
        <v>17360</v>
      </c>
      <c r="E178" s="10" t="s">
        <v>71</v>
      </c>
      <c r="F178" s="10" t="s">
        <v>17361</v>
      </c>
      <c r="G178" s="10" t="s">
        <v>867</v>
      </c>
      <c r="H178" s="10" t="s">
        <v>48</v>
      </c>
      <c r="J178" s="10" t="s">
        <v>17362</v>
      </c>
      <c r="K178" s="10" t="s">
        <v>42</v>
      </c>
    </row>
    <row r="179" ht="15.75" customHeight="1">
      <c r="A179" s="64">
        <v>45473.0</v>
      </c>
      <c r="B179" s="55" t="str">
        <f>HYPERLINK("https://jobright.ai/jobs/info/6681b70af2baaad53af9bbd6?utm_campaign=1063&amp;utm_source=sheet", "Apply")</f>
        <v>Apply</v>
      </c>
      <c r="C179" s="10" t="s">
        <v>17359</v>
      </c>
      <c r="D179" s="56" t="s">
        <v>17360</v>
      </c>
      <c r="E179" s="10" t="s">
        <v>71</v>
      </c>
      <c r="F179" s="10" t="s">
        <v>17361</v>
      </c>
      <c r="G179" s="10" t="s">
        <v>1037</v>
      </c>
      <c r="H179" s="10" t="s">
        <v>48</v>
      </c>
      <c r="J179" s="10" t="s">
        <v>17362</v>
      </c>
      <c r="K179" s="10" t="s">
        <v>42</v>
      </c>
    </row>
    <row r="180" ht="15.75" customHeight="1">
      <c r="A180" s="64">
        <v>45473.0</v>
      </c>
      <c r="B180" s="55" t="str">
        <f>HYPERLINK("https://jobright.ai/jobs/info/6681b70af2baaad53af9bbfa?utm_campaign=1063&amp;utm_source=sheet", "Apply")</f>
        <v>Apply</v>
      </c>
      <c r="C180" s="10" t="s">
        <v>17359</v>
      </c>
      <c r="D180" s="56" t="s">
        <v>17360</v>
      </c>
      <c r="E180" s="10" t="s">
        <v>71</v>
      </c>
      <c r="F180" s="10" t="s">
        <v>17361</v>
      </c>
      <c r="G180" s="10" t="s">
        <v>987</v>
      </c>
      <c r="H180" s="10" t="s">
        <v>48</v>
      </c>
      <c r="J180" s="10" t="s">
        <v>17362</v>
      </c>
      <c r="K180" s="10" t="s">
        <v>42</v>
      </c>
    </row>
    <row r="181" ht="15.75" customHeight="1">
      <c r="A181" s="64">
        <v>45473.0</v>
      </c>
      <c r="B181" s="55" t="str">
        <f>HYPERLINK("https://jobright.ai/jobs/info/6681b70af2baaad53af9bbf2?utm_campaign=1063&amp;utm_source=sheet", "Apply")</f>
        <v>Apply</v>
      </c>
      <c r="C181" s="10" t="s">
        <v>17359</v>
      </c>
      <c r="D181" s="56" t="s">
        <v>17360</v>
      </c>
      <c r="E181" s="10" t="s">
        <v>71</v>
      </c>
      <c r="F181" s="10" t="s">
        <v>17361</v>
      </c>
      <c r="G181" s="10" t="s">
        <v>131</v>
      </c>
      <c r="H181" s="10" t="s">
        <v>48</v>
      </c>
      <c r="J181" s="10" t="s">
        <v>17362</v>
      </c>
      <c r="K181" s="10" t="s">
        <v>42</v>
      </c>
    </row>
    <row r="182" ht="15.75" customHeight="1">
      <c r="A182" s="64">
        <v>45473.0</v>
      </c>
      <c r="B182" s="55" t="str">
        <f>HYPERLINK("https://jobright.ai/jobs/info/6681b70af2baaad53af9bbe9?utm_campaign=1063&amp;utm_source=sheet", "Apply")</f>
        <v>Apply</v>
      </c>
      <c r="C182" s="10" t="s">
        <v>17359</v>
      </c>
      <c r="D182" s="56" t="s">
        <v>17360</v>
      </c>
      <c r="E182" s="10" t="s">
        <v>71</v>
      </c>
      <c r="F182" s="10" t="s">
        <v>17361</v>
      </c>
      <c r="G182" s="10" t="s">
        <v>1050</v>
      </c>
      <c r="H182" s="10" t="s">
        <v>48</v>
      </c>
      <c r="J182" s="10" t="s">
        <v>17362</v>
      </c>
      <c r="K182" s="10" t="s">
        <v>42</v>
      </c>
    </row>
    <row r="183" ht="15.75" customHeight="1">
      <c r="A183" s="64">
        <v>45473.0</v>
      </c>
      <c r="B183" s="55" t="str">
        <f>HYPERLINK("https://jobright.ai/jobs/info/6681b70af2baaad53af9bbea?utm_campaign=1063&amp;utm_source=sheet", "Apply")</f>
        <v>Apply</v>
      </c>
      <c r="C183" s="10" t="s">
        <v>17359</v>
      </c>
      <c r="D183" s="56" t="s">
        <v>17360</v>
      </c>
      <c r="E183" s="10" t="s">
        <v>71</v>
      </c>
      <c r="F183" s="10" t="s">
        <v>17361</v>
      </c>
      <c r="G183" s="10" t="s">
        <v>271</v>
      </c>
      <c r="H183" s="10" t="s">
        <v>48</v>
      </c>
      <c r="J183" s="10" t="s">
        <v>17362</v>
      </c>
      <c r="K183" s="10" t="s">
        <v>42</v>
      </c>
    </row>
    <row r="184" ht="15.75" customHeight="1">
      <c r="A184" s="64">
        <v>45473.0</v>
      </c>
      <c r="B184" s="55" t="str">
        <f>HYPERLINK("https://jobright.ai/jobs/info/6681b70af2baaad53af9bbe6?utm_campaign=1063&amp;utm_source=sheet", "Apply")</f>
        <v>Apply</v>
      </c>
      <c r="C184" s="10" t="s">
        <v>17359</v>
      </c>
      <c r="D184" s="56" t="s">
        <v>17360</v>
      </c>
      <c r="E184" s="10" t="s">
        <v>71</v>
      </c>
      <c r="F184" s="10" t="s">
        <v>17361</v>
      </c>
      <c r="G184" s="10" t="s">
        <v>816</v>
      </c>
      <c r="H184" s="10" t="s">
        <v>48</v>
      </c>
      <c r="J184" s="10" t="s">
        <v>17362</v>
      </c>
      <c r="K184" s="10" t="s">
        <v>42</v>
      </c>
    </row>
    <row r="185" ht="15.75" customHeight="1">
      <c r="A185" s="64">
        <v>45473.0</v>
      </c>
      <c r="B185" s="55" t="str">
        <f>HYPERLINK("https://jobright.ai/jobs/info/6681b70af2baaad53af9bbf7?utm_campaign=1063&amp;utm_source=sheet", "Apply")</f>
        <v>Apply</v>
      </c>
      <c r="C185" s="10" t="s">
        <v>17359</v>
      </c>
      <c r="D185" s="56" t="s">
        <v>17360</v>
      </c>
      <c r="E185" s="10" t="s">
        <v>71</v>
      </c>
      <c r="F185" s="10" t="s">
        <v>17361</v>
      </c>
      <c r="G185" s="10" t="s">
        <v>953</v>
      </c>
      <c r="H185" s="10" t="s">
        <v>48</v>
      </c>
      <c r="J185" s="10" t="s">
        <v>17362</v>
      </c>
      <c r="K185" s="10" t="s">
        <v>42</v>
      </c>
    </row>
    <row r="186" ht="15.75" customHeight="1">
      <c r="A186" s="64">
        <v>45473.0</v>
      </c>
      <c r="B186" s="55" t="str">
        <f>HYPERLINK("https://jobright.ai/jobs/info/6681b70af2baaad53af9bbf9?utm_campaign=1063&amp;utm_source=sheet", "Apply")</f>
        <v>Apply</v>
      </c>
      <c r="C186" s="10" t="s">
        <v>17359</v>
      </c>
      <c r="D186" s="56" t="s">
        <v>17360</v>
      </c>
      <c r="E186" s="10" t="s">
        <v>71</v>
      </c>
      <c r="F186" s="10" t="s">
        <v>17361</v>
      </c>
      <c r="G186" s="10" t="s">
        <v>812</v>
      </c>
      <c r="H186" s="10" t="s">
        <v>48</v>
      </c>
      <c r="J186" s="10" t="s">
        <v>17362</v>
      </c>
      <c r="K186" s="10" t="s">
        <v>42</v>
      </c>
    </row>
    <row r="187" ht="15.75" customHeight="1">
      <c r="A187" s="64">
        <v>45473.0</v>
      </c>
      <c r="B187" s="55" t="str">
        <f>HYPERLINK("https://jobright.ai/jobs/info/6681b70af2baaad53af9bbfd?utm_campaign=1063&amp;utm_source=sheet", "Apply")</f>
        <v>Apply</v>
      </c>
      <c r="C187" s="10" t="s">
        <v>17359</v>
      </c>
      <c r="D187" s="56" t="s">
        <v>17360</v>
      </c>
      <c r="E187" s="10" t="s">
        <v>71</v>
      </c>
      <c r="F187" s="10" t="s">
        <v>17361</v>
      </c>
      <c r="G187" s="10" t="s">
        <v>1015</v>
      </c>
      <c r="H187" s="10" t="s">
        <v>48</v>
      </c>
      <c r="J187" s="10" t="s">
        <v>17362</v>
      </c>
      <c r="K187" s="10" t="s">
        <v>42</v>
      </c>
    </row>
    <row r="188" ht="15.75" customHeight="1">
      <c r="A188" s="64">
        <v>45473.0</v>
      </c>
      <c r="B188" s="55" t="str">
        <f>HYPERLINK("https://jobright.ai/jobs/info/6681b70af2baaad53af9bbe4?utm_campaign=1063&amp;utm_source=sheet", "Apply")</f>
        <v>Apply</v>
      </c>
      <c r="C188" s="10" t="s">
        <v>17359</v>
      </c>
      <c r="D188" s="56" t="s">
        <v>17360</v>
      </c>
      <c r="E188" s="10" t="s">
        <v>71</v>
      </c>
      <c r="F188" s="10" t="s">
        <v>17361</v>
      </c>
      <c r="G188" s="10" t="s">
        <v>117</v>
      </c>
      <c r="H188" s="10" t="s">
        <v>48</v>
      </c>
      <c r="J188" s="10" t="s">
        <v>17362</v>
      </c>
      <c r="K188" s="10" t="s">
        <v>42</v>
      </c>
    </row>
    <row r="189" ht="15.75" customHeight="1">
      <c r="A189" s="64">
        <v>45473.0</v>
      </c>
      <c r="B189" s="55" t="str">
        <f>HYPERLINK("https://jobright.ai/jobs/info/6681b70af2baaad53af9bbf0?utm_campaign=1063&amp;utm_source=sheet", "Apply")</f>
        <v>Apply</v>
      </c>
      <c r="C189" s="10" t="s">
        <v>17359</v>
      </c>
      <c r="D189" s="56" t="s">
        <v>17360</v>
      </c>
      <c r="E189" s="10" t="s">
        <v>71</v>
      </c>
      <c r="F189" s="10" t="s">
        <v>17361</v>
      </c>
      <c r="G189" s="10" t="s">
        <v>790</v>
      </c>
      <c r="H189" s="10" t="s">
        <v>48</v>
      </c>
      <c r="J189" s="10" t="s">
        <v>17362</v>
      </c>
      <c r="K189" s="10" t="s">
        <v>42</v>
      </c>
    </row>
    <row r="190" ht="15.75" customHeight="1">
      <c r="A190" s="64">
        <v>45473.0</v>
      </c>
      <c r="B190" s="55" t="str">
        <f>HYPERLINK("https://jobright.ai/jobs/info/6681b70af2baaad53af9bbf8?utm_campaign=1063&amp;utm_source=sheet", "Apply")</f>
        <v>Apply</v>
      </c>
      <c r="C190" s="10" t="s">
        <v>17359</v>
      </c>
      <c r="D190" s="56" t="s">
        <v>17360</v>
      </c>
      <c r="E190" s="10" t="s">
        <v>71</v>
      </c>
      <c r="F190" s="10" t="s">
        <v>17361</v>
      </c>
      <c r="G190" s="10" t="s">
        <v>905</v>
      </c>
      <c r="H190" s="10" t="s">
        <v>48</v>
      </c>
      <c r="J190" s="10" t="s">
        <v>17362</v>
      </c>
      <c r="K190" s="10" t="s">
        <v>42</v>
      </c>
    </row>
    <row r="191" ht="15.75" customHeight="1">
      <c r="A191" s="64">
        <v>45473.0</v>
      </c>
      <c r="B191" s="55" t="str">
        <f>HYPERLINK("https://jobright.ai/jobs/info/6681b70af2baaad53af9bbfb?utm_campaign=1063&amp;utm_source=sheet", "Apply")</f>
        <v>Apply</v>
      </c>
      <c r="C191" s="10" t="s">
        <v>17359</v>
      </c>
      <c r="D191" s="56" t="s">
        <v>17360</v>
      </c>
      <c r="E191" s="10" t="s">
        <v>71</v>
      </c>
      <c r="F191" s="10" t="s">
        <v>17361</v>
      </c>
      <c r="G191" s="10" t="s">
        <v>804</v>
      </c>
      <c r="H191" s="10" t="s">
        <v>48</v>
      </c>
      <c r="J191" s="10" t="s">
        <v>17362</v>
      </c>
      <c r="K191" s="10" t="s">
        <v>42</v>
      </c>
    </row>
    <row r="192" ht="15.75" customHeight="1">
      <c r="A192" s="64">
        <v>45473.0</v>
      </c>
      <c r="B192" s="55" t="str">
        <f>HYPERLINK("https://jobright.ai/jobs/info/6681b70af2baaad53af9bbe7?utm_campaign=1063&amp;utm_source=sheet", "Apply")</f>
        <v>Apply</v>
      </c>
      <c r="C192" s="10" t="s">
        <v>17359</v>
      </c>
      <c r="D192" s="56" t="s">
        <v>17360</v>
      </c>
      <c r="E192" s="10" t="s">
        <v>71</v>
      </c>
      <c r="F192" s="10" t="s">
        <v>17361</v>
      </c>
      <c r="G192" s="10" t="s">
        <v>910</v>
      </c>
      <c r="H192" s="10" t="s">
        <v>48</v>
      </c>
      <c r="J192" s="10" t="s">
        <v>17362</v>
      </c>
      <c r="K192" s="10" t="s">
        <v>42</v>
      </c>
    </row>
    <row r="193" ht="15.75" customHeight="1">
      <c r="A193" s="64">
        <v>45473.0</v>
      </c>
      <c r="B193" s="55" t="str">
        <f>HYPERLINK("https://jobright.ai/jobs/info/6681b70af2baaad53af9bbf4?utm_campaign=1063&amp;utm_source=sheet", "Apply")</f>
        <v>Apply</v>
      </c>
      <c r="C193" s="10" t="s">
        <v>17359</v>
      </c>
      <c r="D193" s="56" t="s">
        <v>17360</v>
      </c>
      <c r="E193" s="10" t="s">
        <v>71</v>
      </c>
      <c r="F193" s="10" t="s">
        <v>17361</v>
      </c>
      <c r="G193" s="10" t="s">
        <v>423</v>
      </c>
      <c r="H193" s="10" t="s">
        <v>48</v>
      </c>
      <c r="J193" s="10" t="s">
        <v>17362</v>
      </c>
      <c r="K193" s="10" t="s">
        <v>42</v>
      </c>
    </row>
    <row r="194" ht="15.75" customHeight="1">
      <c r="A194" s="64">
        <v>45473.0</v>
      </c>
      <c r="B194" s="55" t="str">
        <f>HYPERLINK("https://jobright.ai/jobs/info/6681b70af2baaad53af9bbff?utm_campaign=1063&amp;utm_source=sheet", "Apply")</f>
        <v>Apply</v>
      </c>
      <c r="C194" s="10" t="s">
        <v>17359</v>
      </c>
      <c r="D194" s="56" t="s">
        <v>17360</v>
      </c>
      <c r="E194" s="10" t="s">
        <v>71</v>
      </c>
      <c r="F194" s="10" t="s">
        <v>17361</v>
      </c>
      <c r="G194" s="10" t="s">
        <v>1017</v>
      </c>
      <c r="H194" s="10" t="s">
        <v>48</v>
      </c>
      <c r="J194" s="10" t="s">
        <v>17362</v>
      </c>
      <c r="K194" s="10" t="s">
        <v>42</v>
      </c>
    </row>
    <row r="195" ht="15.75" customHeight="1">
      <c r="A195" s="64">
        <v>45473.0</v>
      </c>
      <c r="B195" s="55" t="str">
        <f>HYPERLINK("https://jobright.ai/jobs/info/6681b70af2baaad53af9bbfe?utm_campaign=1063&amp;utm_source=sheet", "Apply")</f>
        <v>Apply</v>
      </c>
      <c r="C195" s="10" t="s">
        <v>17359</v>
      </c>
      <c r="D195" s="56" t="s">
        <v>17360</v>
      </c>
      <c r="E195" s="10" t="s">
        <v>71</v>
      </c>
      <c r="F195" s="10" t="s">
        <v>17361</v>
      </c>
      <c r="G195" s="10" t="s">
        <v>895</v>
      </c>
      <c r="H195" s="10" t="s">
        <v>48</v>
      </c>
      <c r="J195" s="10" t="s">
        <v>17362</v>
      </c>
      <c r="K195" s="10" t="s">
        <v>42</v>
      </c>
    </row>
    <row r="196" ht="15.75" customHeight="1">
      <c r="A196" s="64">
        <v>45473.0</v>
      </c>
      <c r="B196" s="55" t="str">
        <f>HYPERLINK("https://jobright.ai/jobs/info/6681b70af2baaad53af9bbf3?utm_campaign=1063&amp;utm_source=sheet", "Apply")</f>
        <v>Apply</v>
      </c>
      <c r="C196" s="10" t="s">
        <v>17359</v>
      </c>
      <c r="D196" s="56" t="s">
        <v>17360</v>
      </c>
      <c r="E196" s="10" t="s">
        <v>71</v>
      </c>
      <c r="F196" s="10" t="s">
        <v>17361</v>
      </c>
      <c r="G196" s="10" t="s">
        <v>923</v>
      </c>
      <c r="H196" s="10" t="s">
        <v>48</v>
      </c>
      <c r="J196" s="10" t="s">
        <v>17362</v>
      </c>
      <c r="K196" s="10" t="s">
        <v>42</v>
      </c>
    </row>
    <row r="197" ht="15.75" customHeight="1">
      <c r="A197" s="64">
        <v>45473.0</v>
      </c>
      <c r="B197" s="55" t="str">
        <f>HYPERLINK("https://jobright.ai/jobs/info/6681b70af2baaad53af9bbe8?utm_campaign=1063&amp;utm_source=sheet", "Apply")</f>
        <v>Apply</v>
      </c>
      <c r="C197" s="10" t="s">
        <v>17359</v>
      </c>
      <c r="D197" s="56" t="s">
        <v>17360</v>
      </c>
      <c r="E197" s="10" t="s">
        <v>71</v>
      </c>
      <c r="F197" s="10" t="s">
        <v>17361</v>
      </c>
      <c r="G197" s="10" t="s">
        <v>1031</v>
      </c>
      <c r="H197" s="10" t="s">
        <v>48</v>
      </c>
      <c r="J197" s="10" t="s">
        <v>17362</v>
      </c>
      <c r="K197" s="10" t="s">
        <v>42</v>
      </c>
    </row>
    <row r="198" ht="15.75" customHeight="1">
      <c r="A198" s="64">
        <v>45473.0</v>
      </c>
      <c r="B198" s="55" t="str">
        <f>HYPERLINK("https://jobright.ai/jobs/info/6681b70af2baaad53af9bbf6?utm_campaign=1063&amp;utm_source=sheet", "Apply")</f>
        <v>Apply</v>
      </c>
      <c r="C198" s="10" t="s">
        <v>17359</v>
      </c>
      <c r="D198" s="56" t="s">
        <v>17360</v>
      </c>
      <c r="E198" s="10" t="s">
        <v>71</v>
      </c>
      <c r="F198" s="10" t="s">
        <v>17361</v>
      </c>
      <c r="G198" s="10" t="s">
        <v>780</v>
      </c>
      <c r="H198" s="10" t="s">
        <v>48</v>
      </c>
      <c r="J198" s="10" t="s">
        <v>17362</v>
      </c>
      <c r="K198" s="10" t="s">
        <v>42</v>
      </c>
    </row>
    <row r="199" ht="15.75" customHeight="1">
      <c r="A199" s="64">
        <v>45473.0</v>
      </c>
      <c r="B199" s="55" t="str">
        <f>HYPERLINK("https://jobright.ai/jobs/info/6681b70af2baaad53af9bbed?utm_campaign=1063&amp;utm_source=sheet", "Apply")</f>
        <v>Apply</v>
      </c>
      <c r="C199" s="10" t="s">
        <v>17359</v>
      </c>
      <c r="D199" s="56" t="s">
        <v>17360</v>
      </c>
      <c r="E199" s="10" t="s">
        <v>71</v>
      </c>
      <c r="F199" s="10" t="s">
        <v>17361</v>
      </c>
      <c r="G199" s="10" t="s">
        <v>931</v>
      </c>
      <c r="H199" s="10" t="s">
        <v>48</v>
      </c>
      <c r="J199" s="10" t="s">
        <v>17362</v>
      </c>
      <c r="K199" s="10" t="s">
        <v>42</v>
      </c>
    </row>
    <row r="200" ht="15.75" customHeight="1">
      <c r="A200" s="64">
        <v>45473.0</v>
      </c>
      <c r="B200" s="55" t="str">
        <f>HYPERLINK("https://jobright.ai/jobs/info/6681b70af2baaad53af9bbf1?utm_campaign=1063&amp;utm_source=sheet", "Apply")</f>
        <v>Apply</v>
      </c>
      <c r="C200" s="10" t="s">
        <v>17359</v>
      </c>
      <c r="D200" s="56" t="s">
        <v>17360</v>
      </c>
      <c r="E200" s="10" t="s">
        <v>71</v>
      </c>
      <c r="F200" s="10" t="s">
        <v>17361</v>
      </c>
      <c r="G200" s="10" t="s">
        <v>778</v>
      </c>
      <c r="H200" s="10" t="s">
        <v>48</v>
      </c>
      <c r="J200" s="10" t="s">
        <v>17362</v>
      </c>
      <c r="K200" s="10" t="s">
        <v>42</v>
      </c>
    </row>
    <row r="201" ht="15.75" customHeight="1">
      <c r="A201" s="64">
        <v>45473.0</v>
      </c>
      <c r="B201" s="55" t="str">
        <f>HYPERLINK("https://jobright.ai/jobs/info/6681b70af2baaad53af9bbee?utm_campaign=1063&amp;utm_source=sheet", "Apply")</f>
        <v>Apply</v>
      </c>
      <c r="C201" s="10" t="s">
        <v>17359</v>
      </c>
      <c r="D201" s="56" t="s">
        <v>17360</v>
      </c>
      <c r="E201" s="10" t="s">
        <v>71</v>
      </c>
      <c r="F201" s="10" t="s">
        <v>17361</v>
      </c>
      <c r="G201" s="10" t="s">
        <v>922</v>
      </c>
      <c r="H201" s="10" t="s">
        <v>48</v>
      </c>
      <c r="J201" s="10" t="s">
        <v>17362</v>
      </c>
      <c r="K201" s="10" t="s">
        <v>42</v>
      </c>
    </row>
    <row r="202" ht="15.75" customHeight="1">
      <c r="A202" s="64">
        <v>45473.0</v>
      </c>
      <c r="B202" s="55" t="str">
        <f>HYPERLINK("https://jobright.ai/jobs/info/6681b70af2baaad53af9bbe5?utm_campaign=1063&amp;utm_source=sheet", "Apply")</f>
        <v>Apply</v>
      </c>
      <c r="C202" s="10" t="s">
        <v>17359</v>
      </c>
      <c r="D202" s="56" t="s">
        <v>17360</v>
      </c>
      <c r="E202" s="10" t="s">
        <v>71</v>
      </c>
      <c r="F202" s="10" t="s">
        <v>17361</v>
      </c>
      <c r="G202" s="10" t="s">
        <v>860</v>
      </c>
      <c r="H202" s="10" t="s">
        <v>48</v>
      </c>
      <c r="J202" s="10" t="s">
        <v>17362</v>
      </c>
      <c r="K202" s="10" t="s">
        <v>42</v>
      </c>
    </row>
    <row r="203" ht="15.75" customHeight="1">
      <c r="A203" s="64">
        <v>45473.0</v>
      </c>
      <c r="B203" s="55" t="str">
        <f>HYPERLINK("https://jobright.ai/jobs/info/6681b70af2baaad53af9bbec?utm_campaign=1063&amp;utm_source=sheet", "Apply")</f>
        <v>Apply</v>
      </c>
      <c r="C203" s="10" t="s">
        <v>17359</v>
      </c>
      <c r="D203" s="56" t="s">
        <v>17360</v>
      </c>
      <c r="E203" s="10" t="s">
        <v>71</v>
      </c>
      <c r="F203" s="10" t="s">
        <v>17361</v>
      </c>
      <c r="G203" s="10" t="s">
        <v>956</v>
      </c>
      <c r="H203" s="10" t="s">
        <v>48</v>
      </c>
      <c r="J203" s="10" t="s">
        <v>17362</v>
      </c>
      <c r="K203" s="10" t="s">
        <v>42</v>
      </c>
    </row>
    <row r="204" ht="15.75" customHeight="1">
      <c r="A204" s="64">
        <v>45473.0</v>
      </c>
      <c r="B204" s="55" t="str">
        <f>HYPERLINK("https://jobright.ai/jobs/info/6681b70af2baaad53af9bbef?utm_campaign=1063&amp;utm_source=sheet", "Apply")</f>
        <v>Apply</v>
      </c>
      <c r="C204" s="10" t="s">
        <v>17359</v>
      </c>
      <c r="D204" s="56" t="s">
        <v>17360</v>
      </c>
      <c r="E204" s="10" t="s">
        <v>71</v>
      </c>
      <c r="F204" s="10" t="s">
        <v>17361</v>
      </c>
      <c r="G204" s="10" t="s">
        <v>772</v>
      </c>
      <c r="H204" s="10" t="s">
        <v>48</v>
      </c>
      <c r="J204" s="10" t="s">
        <v>17362</v>
      </c>
      <c r="K204" s="10" t="s">
        <v>42</v>
      </c>
    </row>
    <row r="205" ht="15.75" customHeight="1">
      <c r="A205" s="64">
        <v>45473.0</v>
      </c>
      <c r="B205" s="55" t="str">
        <f>HYPERLINK("https://jobright.ai/jobs/info/6681b70af2baaad53af9bbf5?utm_campaign=1063&amp;utm_source=sheet", "Apply")</f>
        <v>Apply</v>
      </c>
      <c r="C205" s="10" t="s">
        <v>17359</v>
      </c>
      <c r="D205" s="56" t="s">
        <v>17360</v>
      </c>
      <c r="E205" s="10" t="s">
        <v>71</v>
      </c>
      <c r="F205" s="10" t="s">
        <v>17361</v>
      </c>
      <c r="G205" s="10" t="s">
        <v>963</v>
      </c>
      <c r="H205" s="10" t="s">
        <v>48</v>
      </c>
      <c r="J205" s="10" t="s">
        <v>17362</v>
      </c>
      <c r="K205" s="10" t="s">
        <v>42</v>
      </c>
    </row>
    <row r="206" ht="15.75" customHeight="1">
      <c r="A206" s="64">
        <v>45473.0</v>
      </c>
      <c r="B206" s="55" t="str">
        <f>HYPERLINK("https://jobright.ai/jobs/info/6681b70af2baaad53af9bbeb?utm_campaign=1063&amp;utm_source=sheet", "Apply")</f>
        <v>Apply</v>
      </c>
      <c r="C206" s="10" t="s">
        <v>17359</v>
      </c>
      <c r="D206" s="56" t="s">
        <v>17360</v>
      </c>
      <c r="E206" s="10" t="s">
        <v>71</v>
      </c>
      <c r="F206" s="10" t="s">
        <v>17361</v>
      </c>
      <c r="G206" s="10" t="s">
        <v>738</v>
      </c>
      <c r="H206" s="10" t="s">
        <v>48</v>
      </c>
      <c r="J206" s="10" t="s">
        <v>17362</v>
      </c>
      <c r="K206" s="10" t="s">
        <v>42</v>
      </c>
    </row>
    <row r="207" ht="15.75" customHeight="1">
      <c r="A207" s="64">
        <v>45473.0</v>
      </c>
      <c r="B207" s="55" t="str">
        <f>HYPERLINK("https://jobright.ai/jobs/info/6681b70af2baaad53af9bbfc?utm_campaign=1063&amp;utm_source=sheet", "Apply")</f>
        <v>Apply</v>
      </c>
      <c r="C207" s="10" t="s">
        <v>17359</v>
      </c>
      <c r="D207" s="56" t="s">
        <v>17360</v>
      </c>
      <c r="E207" s="10" t="s">
        <v>71</v>
      </c>
      <c r="F207" s="10" t="s">
        <v>17361</v>
      </c>
      <c r="G207" s="10" t="s">
        <v>1049</v>
      </c>
      <c r="H207" s="10" t="s">
        <v>48</v>
      </c>
      <c r="J207" s="10" t="s">
        <v>17362</v>
      </c>
      <c r="K207" s="10" t="s">
        <v>42</v>
      </c>
    </row>
    <row r="208" ht="15.75" customHeight="1">
      <c r="A208" s="64">
        <v>45473.0</v>
      </c>
      <c r="B208" s="55" t="str">
        <f>HYPERLINK("https://jobright.ai/jobs/info/6681b70af2baaad53af9bc02?utm_campaign=1063&amp;utm_source=sheet", "Apply")</f>
        <v>Apply</v>
      </c>
      <c r="C208" s="10" t="s">
        <v>17359</v>
      </c>
      <c r="D208" s="56" t="s">
        <v>17360</v>
      </c>
      <c r="E208" s="10" t="s">
        <v>71</v>
      </c>
      <c r="F208" s="10" t="s">
        <v>17361</v>
      </c>
      <c r="G208" s="10" t="s">
        <v>908</v>
      </c>
      <c r="H208" s="10" t="s">
        <v>48</v>
      </c>
      <c r="J208" s="10" t="s">
        <v>17362</v>
      </c>
      <c r="K208" s="10" t="s">
        <v>42</v>
      </c>
    </row>
    <row r="209" ht="15.75" customHeight="1">
      <c r="A209" s="64">
        <v>45473.0</v>
      </c>
      <c r="B209" s="55" t="str">
        <f>HYPERLINK("https://jobright.ai/jobs/info/6681b70af2baaad53af9bc06?utm_campaign=1063&amp;utm_source=sheet", "Apply")</f>
        <v>Apply</v>
      </c>
      <c r="C209" s="10" t="s">
        <v>17359</v>
      </c>
      <c r="D209" s="56" t="s">
        <v>17360</v>
      </c>
      <c r="E209" s="10" t="s">
        <v>71</v>
      </c>
      <c r="F209" s="10" t="s">
        <v>17361</v>
      </c>
      <c r="G209" s="10" t="s">
        <v>232</v>
      </c>
      <c r="H209" s="10" t="s">
        <v>48</v>
      </c>
      <c r="J209" s="10" t="s">
        <v>17362</v>
      </c>
      <c r="K209" s="10" t="s">
        <v>42</v>
      </c>
    </row>
    <row r="210" ht="15.75" customHeight="1">
      <c r="A210" s="64">
        <v>45473.0</v>
      </c>
      <c r="B210" s="55" t="str">
        <f>HYPERLINK("https://jobright.ai/jobs/info/6681b70af2baaad53af9bc05?utm_campaign=1063&amp;utm_source=sheet", "Apply")</f>
        <v>Apply</v>
      </c>
      <c r="C210" s="10" t="s">
        <v>17359</v>
      </c>
      <c r="D210" s="56" t="s">
        <v>17360</v>
      </c>
      <c r="E210" s="10" t="s">
        <v>71</v>
      </c>
      <c r="F210" s="10" t="s">
        <v>17361</v>
      </c>
      <c r="G210" s="10" t="s">
        <v>628</v>
      </c>
      <c r="H210" s="10" t="s">
        <v>48</v>
      </c>
      <c r="J210" s="10" t="s">
        <v>17362</v>
      </c>
      <c r="K210" s="10" t="s">
        <v>42</v>
      </c>
    </row>
    <row r="211" ht="15.75" customHeight="1">
      <c r="A211" s="64">
        <v>45473.0</v>
      </c>
      <c r="B211" s="55" t="str">
        <f>HYPERLINK("https://jobright.ai/jobs/info/6681b70af2baaad53af9bc00?utm_campaign=1063&amp;utm_source=sheet", "Apply")</f>
        <v>Apply</v>
      </c>
      <c r="C211" s="10" t="s">
        <v>17359</v>
      </c>
      <c r="D211" s="56" t="s">
        <v>17360</v>
      </c>
      <c r="E211" s="10" t="s">
        <v>71</v>
      </c>
      <c r="F211" s="10" t="s">
        <v>17361</v>
      </c>
      <c r="G211" s="10" t="s">
        <v>865</v>
      </c>
      <c r="H211" s="10" t="s">
        <v>48</v>
      </c>
      <c r="J211" s="10" t="s">
        <v>17362</v>
      </c>
      <c r="K211" s="10" t="s">
        <v>42</v>
      </c>
    </row>
    <row r="212" ht="15.75" customHeight="1">
      <c r="A212" s="64">
        <v>45473.0</v>
      </c>
      <c r="B212" s="55" t="str">
        <f>HYPERLINK("https://jobright.ai/jobs/info/6681b70af2baaad53af9bc04?utm_campaign=1063&amp;utm_source=sheet", "Apply")</f>
        <v>Apply</v>
      </c>
      <c r="C212" s="10" t="s">
        <v>17359</v>
      </c>
      <c r="D212" s="56" t="s">
        <v>17360</v>
      </c>
      <c r="E212" s="10" t="s">
        <v>71</v>
      </c>
      <c r="F212" s="10" t="s">
        <v>17361</v>
      </c>
      <c r="G212" s="10" t="s">
        <v>788</v>
      </c>
      <c r="H212" s="10" t="s">
        <v>48</v>
      </c>
      <c r="J212" s="10" t="s">
        <v>17362</v>
      </c>
      <c r="K212" s="10" t="s">
        <v>42</v>
      </c>
    </row>
    <row r="213" ht="15.75" customHeight="1">
      <c r="A213" s="64">
        <v>45473.0</v>
      </c>
      <c r="B213" s="55" t="str">
        <f>HYPERLINK("https://jobright.ai/jobs/info/6681b70af2baaad53af9bc08?utm_campaign=1063&amp;utm_source=sheet", "Apply")</f>
        <v>Apply</v>
      </c>
      <c r="C213" s="10" t="s">
        <v>17359</v>
      </c>
      <c r="D213" s="56" t="s">
        <v>17360</v>
      </c>
      <c r="E213" s="10" t="s">
        <v>71</v>
      </c>
      <c r="F213" s="10" t="s">
        <v>17361</v>
      </c>
      <c r="G213" s="10" t="s">
        <v>813</v>
      </c>
      <c r="H213" s="10" t="s">
        <v>48</v>
      </c>
      <c r="J213" s="10" t="s">
        <v>17362</v>
      </c>
      <c r="K213" s="10" t="s">
        <v>42</v>
      </c>
    </row>
    <row r="214" ht="15.75" customHeight="1">
      <c r="A214" s="64">
        <v>45473.0</v>
      </c>
      <c r="B214" s="55" t="str">
        <f>HYPERLINK("https://jobright.ai/jobs/info/6681b70af2baaad53af9bc03?utm_campaign=1063&amp;utm_source=sheet", "Apply")</f>
        <v>Apply</v>
      </c>
      <c r="C214" s="10" t="s">
        <v>17359</v>
      </c>
      <c r="D214" s="56" t="s">
        <v>17360</v>
      </c>
      <c r="E214" s="10" t="s">
        <v>71</v>
      </c>
      <c r="F214" s="10" t="s">
        <v>17361</v>
      </c>
      <c r="G214" s="10" t="s">
        <v>621</v>
      </c>
      <c r="H214" s="10" t="s">
        <v>48</v>
      </c>
      <c r="J214" s="10" t="s">
        <v>17362</v>
      </c>
      <c r="K214" s="10" t="s">
        <v>42</v>
      </c>
    </row>
    <row r="215" ht="15.75" customHeight="1">
      <c r="A215" s="64">
        <v>45473.0</v>
      </c>
      <c r="B215" s="55" t="str">
        <f>HYPERLINK("https://jobright.ai/jobs/info/6681b70af2baaad53af9bc01?utm_campaign=1063&amp;utm_source=sheet", "Apply")</f>
        <v>Apply</v>
      </c>
      <c r="C215" s="10" t="s">
        <v>17359</v>
      </c>
      <c r="D215" s="56" t="s">
        <v>17360</v>
      </c>
      <c r="E215" s="10" t="s">
        <v>71</v>
      </c>
      <c r="F215" s="10" t="s">
        <v>17361</v>
      </c>
      <c r="G215" s="10" t="s">
        <v>1019</v>
      </c>
      <c r="H215" s="10" t="s">
        <v>48</v>
      </c>
      <c r="J215" s="10" t="s">
        <v>17362</v>
      </c>
      <c r="K215" s="10" t="s">
        <v>42</v>
      </c>
    </row>
    <row r="216" ht="15.75" customHeight="1">
      <c r="A216" s="64">
        <v>45473.0</v>
      </c>
      <c r="B216" s="55" t="str">
        <f>HYPERLINK("https://jobright.ai/jobs/info/6681b70af2baaad53af9bc09?utm_campaign=1063&amp;utm_source=sheet", "Apply")</f>
        <v>Apply</v>
      </c>
      <c r="C216" s="10" t="s">
        <v>17359</v>
      </c>
      <c r="D216" s="56" t="s">
        <v>17360</v>
      </c>
      <c r="E216" s="10" t="s">
        <v>71</v>
      </c>
      <c r="F216" s="10" t="s">
        <v>17361</v>
      </c>
      <c r="G216" s="10" t="s">
        <v>1002</v>
      </c>
      <c r="H216" s="10" t="s">
        <v>48</v>
      </c>
      <c r="J216" s="10" t="s">
        <v>17362</v>
      </c>
      <c r="K216" s="10" t="s">
        <v>42</v>
      </c>
    </row>
    <row r="217" ht="15.75" customHeight="1">
      <c r="A217" s="64">
        <v>45473.0</v>
      </c>
      <c r="B217" s="55" t="str">
        <f>HYPERLINK("https://jobright.ai/jobs/info/6681b70af2baaad53af9bc0f?utm_campaign=1063&amp;utm_source=sheet", "Apply")</f>
        <v>Apply</v>
      </c>
      <c r="C217" s="10" t="s">
        <v>17359</v>
      </c>
      <c r="D217" s="56" t="s">
        <v>17360</v>
      </c>
      <c r="E217" s="10" t="s">
        <v>71</v>
      </c>
      <c r="F217" s="10" t="s">
        <v>17361</v>
      </c>
      <c r="G217" s="10" t="s">
        <v>1028</v>
      </c>
      <c r="H217" s="10" t="s">
        <v>48</v>
      </c>
      <c r="J217" s="10" t="s">
        <v>17362</v>
      </c>
      <c r="K217" s="10" t="s">
        <v>42</v>
      </c>
    </row>
    <row r="218" ht="15.75" customHeight="1">
      <c r="A218" s="64">
        <v>45473.0</v>
      </c>
      <c r="B218" s="55" t="str">
        <f>HYPERLINK("https://jobright.ai/jobs/info/6681b70af2baaad53af9bc12?utm_campaign=1063&amp;utm_source=sheet", "Apply")</f>
        <v>Apply</v>
      </c>
      <c r="C218" s="10" t="s">
        <v>17359</v>
      </c>
      <c r="D218" s="56" t="s">
        <v>17360</v>
      </c>
      <c r="E218" s="10" t="s">
        <v>71</v>
      </c>
      <c r="F218" s="10" t="s">
        <v>17361</v>
      </c>
      <c r="G218" s="10" t="s">
        <v>847</v>
      </c>
      <c r="H218" s="10" t="s">
        <v>48</v>
      </c>
      <c r="J218" s="10" t="s">
        <v>17362</v>
      </c>
      <c r="K218" s="10" t="s">
        <v>42</v>
      </c>
    </row>
    <row r="219" ht="15.75" customHeight="1">
      <c r="A219" s="64">
        <v>45473.0</v>
      </c>
      <c r="B219" s="55" t="str">
        <f>HYPERLINK("https://jobright.ai/jobs/info/6681b70af2baaad53af9bc0b?utm_campaign=1063&amp;utm_source=sheet", "Apply")</f>
        <v>Apply</v>
      </c>
      <c r="C219" s="10" t="s">
        <v>17359</v>
      </c>
      <c r="D219" s="56" t="s">
        <v>17360</v>
      </c>
      <c r="E219" s="10" t="s">
        <v>71</v>
      </c>
      <c r="F219" s="10" t="s">
        <v>17361</v>
      </c>
      <c r="G219" s="10" t="s">
        <v>245</v>
      </c>
      <c r="H219" s="10" t="s">
        <v>48</v>
      </c>
      <c r="J219" s="10" t="s">
        <v>17362</v>
      </c>
      <c r="K219" s="10" t="s">
        <v>42</v>
      </c>
    </row>
    <row r="220" ht="15.75" customHeight="1">
      <c r="A220" s="64">
        <v>45473.0</v>
      </c>
      <c r="B220" s="55" t="str">
        <f>HYPERLINK("https://jobright.ai/jobs/info/6681b70af2baaad53af9bc0c?utm_campaign=1063&amp;utm_source=sheet", "Apply")</f>
        <v>Apply</v>
      </c>
      <c r="C220" s="10" t="s">
        <v>17359</v>
      </c>
      <c r="D220" s="56" t="s">
        <v>17360</v>
      </c>
      <c r="E220" s="10" t="s">
        <v>71</v>
      </c>
      <c r="F220" s="10" t="s">
        <v>17361</v>
      </c>
      <c r="G220" s="10" t="s">
        <v>890</v>
      </c>
      <c r="H220" s="10" t="s">
        <v>48</v>
      </c>
      <c r="J220" s="10" t="s">
        <v>17362</v>
      </c>
      <c r="K220" s="10" t="s">
        <v>42</v>
      </c>
    </row>
    <row r="221" ht="15.75" customHeight="1">
      <c r="A221" s="64">
        <v>45473.0</v>
      </c>
      <c r="B221" s="55" t="str">
        <f>HYPERLINK("https://jobright.ai/jobs/info/6681b70af2baaad53af9bc0a?utm_campaign=1063&amp;utm_source=sheet", "Apply")</f>
        <v>Apply</v>
      </c>
      <c r="C221" s="10" t="s">
        <v>17359</v>
      </c>
      <c r="D221" s="56" t="s">
        <v>17360</v>
      </c>
      <c r="E221" s="10" t="s">
        <v>71</v>
      </c>
      <c r="F221" s="10" t="s">
        <v>17361</v>
      </c>
      <c r="G221" s="10" t="s">
        <v>1025</v>
      </c>
      <c r="H221" s="10" t="s">
        <v>48</v>
      </c>
      <c r="J221" s="10" t="s">
        <v>17362</v>
      </c>
      <c r="K221" s="10" t="s">
        <v>42</v>
      </c>
    </row>
    <row r="222" ht="15.75" customHeight="1">
      <c r="A222" s="64">
        <v>45473.0</v>
      </c>
      <c r="B222" s="55" t="str">
        <f>HYPERLINK("https://jobright.ai/jobs/info/6681b70af2baaad53af9bc10?utm_campaign=1063&amp;utm_source=sheet", "Apply")</f>
        <v>Apply</v>
      </c>
      <c r="C222" s="10" t="s">
        <v>17359</v>
      </c>
      <c r="D222" s="56" t="s">
        <v>17360</v>
      </c>
      <c r="E222" s="10" t="s">
        <v>71</v>
      </c>
      <c r="F222" s="10" t="s">
        <v>17361</v>
      </c>
      <c r="G222" s="10" t="s">
        <v>940</v>
      </c>
      <c r="H222" s="10" t="s">
        <v>48</v>
      </c>
      <c r="J222" s="10" t="s">
        <v>17362</v>
      </c>
      <c r="K222" s="10" t="s">
        <v>42</v>
      </c>
    </row>
    <row r="223" ht="15.75" customHeight="1">
      <c r="A223" s="64">
        <v>45473.0</v>
      </c>
      <c r="B223" s="55" t="str">
        <f>HYPERLINK("https://jobright.ai/jobs/info/6681b70af2baaad53af9bc0e?utm_campaign=1063&amp;utm_source=sheet", "Apply")</f>
        <v>Apply</v>
      </c>
      <c r="C223" s="10" t="s">
        <v>17359</v>
      </c>
      <c r="D223" s="56" t="s">
        <v>17360</v>
      </c>
      <c r="E223" s="10" t="s">
        <v>71</v>
      </c>
      <c r="F223" s="10" t="s">
        <v>17361</v>
      </c>
      <c r="G223" s="10" t="s">
        <v>1043</v>
      </c>
      <c r="H223" s="10" t="s">
        <v>48</v>
      </c>
      <c r="J223" s="10" t="s">
        <v>17362</v>
      </c>
      <c r="K223" s="10" t="s">
        <v>42</v>
      </c>
    </row>
    <row r="224" ht="15.75" customHeight="1">
      <c r="A224" s="64">
        <v>45473.0</v>
      </c>
      <c r="B224" s="55" t="str">
        <f>HYPERLINK("https://jobright.ai/jobs/info/6681b70af2baaad53af9bc11?utm_campaign=1063&amp;utm_source=sheet", "Apply")</f>
        <v>Apply</v>
      </c>
      <c r="C224" s="10" t="s">
        <v>17359</v>
      </c>
      <c r="D224" s="56" t="s">
        <v>17360</v>
      </c>
      <c r="E224" s="10" t="s">
        <v>71</v>
      </c>
      <c r="F224" s="10" t="s">
        <v>17361</v>
      </c>
      <c r="G224" s="10" t="s">
        <v>970</v>
      </c>
      <c r="H224" s="10" t="s">
        <v>48</v>
      </c>
      <c r="J224" s="10" t="s">
        <v>17362</v>
      </c>
      <c r="K224" s="10" t="s">
        <v>42</v>
      </c>
    </row>
    <row r="225" ht="15.75" customHeight="1">
      <c r="A225" s="64">
        <v>45473.0</v>
      </c>
      <c r="B225" s="55" t="str">
        <f>HYPERLINK("https://jobright.ai/jobs/info/6681cdbf92c2859d243aeede?utm_campaign=1063&amp;utm_source=sheet", "Apply")</f>
        <v>Apply</v>
      </c>
      <c r="C225" s="10" t="s">
        <v>17359</v>
      </c>
      <c r="D225" s="56" t="s">
        <v>17360</v>
      </c>
      <c r="E225" s="10" t="s">
        <v>71</v>
      </c>
      <c r="F225" s="10" t="s">
        <v>17361</v>
      </c>
      <c r="G225" s="10" t="s">
        <v>760</v>
      </c>
      <c r="H225" s="10" t="s">
        <v>48</v>
      </c>
      <c r="J225" s="10" t="s">
        <v>17362</v>
      </c>
      <c r="K225" s="10" t="s">
        <v>42</v>
      </c>
    </row>
    <row r="226" ht="15.75" customHeight="1">
      <c r="A226" s="64">
        <v>45473.0</v>
      </c>
      <c r="B226" s="55" t="str">
        <f>HYPERLINK("https://jobright.ai/jobs/info/6681d8f03769b4051db00b78?utm_campaign=1063&amp;utm_source=sheet", "Apply")</f>
        <v>Apply</v>
      </c>
      <c r="C226" s="10" t="s">
        <v>17359</v>
      </c>
      <c r="D226" s="56" t="s">
        <v>17360</v>
      </c>
      <c r="E226" s="10" t="s">
        <v>71</v>
      </c>
      <c r="F226" s="10" t="s">
        <v>17361</v>
      </c>
      <c r="G226" s="10" t="s">
        <v>899</v>
      </c>
      <c r="H226" s="10" t="s">
        <v>48</v>
      </c>
      <c r="J226" s="10" t="s">
        <v>17362</v>
      </c>
      <c r="K226" s="10" t="s">
        <v>42</v>
      </c>
    </row>
    <row r="227" ht="15.75" customHeight="1">
      <c r="A227" s="64">
        <v>45473.0</v>
      </c>
      <c r="B227" s="55" t="str">
        <f>HYPERLINK("https://jobright.ai/jobs/info/6681bfc07a4a73ce111e236f?utm_campaign=1063&amp;utm_source=sheet", "Apply")</f>
        <v>Apply</v>
      </c>
      <c r="C227" s="10" t="s">
        <v>17359</v>
      </c>
      <c r="D227" s="56" t="s">
        <v>17360</v>
      </c>
      <c r="E227" s="10" t="s">
        <v>71</v>
      </c>
      <c r="F227" s="10" t="s">
        <v>17361</v>
      </c>
      <c r="G227" s="10" t="s">
        <v>1006</v>
      </c>
      <c r="H227" s="10" t="s">
        <v>48</v>
      </c>
      <c r="J227" s="10" t="s">
        <v>17362</v>
      </c>
      <c r="K227" s="10" t="s">
        <v>42</v>
      </c>
    </row>
    <row r="228" ht="15.75" customHeight="1">
      <c r="A228" s="64">
        <v>45473.0</v>
      </c>
      <c r="B228" s="55" t="str">
        <f>HYPERLINK("https://jobright.ai/jobs/info/6681bfc07a4a73ce111e2372?utm_campaign=1063&amp;utm_source=sheet", "Apply")</f>
        <v>Apply</v>
      </c>
      <c r="C228" s="10" t="s">
        <v>17359</v>
      </c>
      <c r="D228" s="56" t="s">
        <v>17360</v>
      </c>
      <c r="E228" s="10" t="s">
        <v>71</v>
      </c>
      <c r="F228" s="10" t="s">
        <v>17361</v>
      </c>
      <c r="G228" s="10" t="s">
        <v>759</v>
      </c>
      <c r="H228" s="10" t="s">
        <v>48</v>
      </c>
      <c r="J228" s="10" t="s">
        <v>17362</v>
      </c>
      <c r="K228" s="10" t="s">
        <v>42</v>
      </c>
    </row>
    <row r="229" ht="15.75" customHeight="1">
      <c r="A229" s="64">
        <v>45473.0</v>
      </c>
      <c r="B229" s="55" t="str">
        <f>HYPERLINK("https://jobright.ai/jobs/info/6681bfc07a4a73ce111e2373?utm_campaign=1063&amp;utm_source=sheet", "Apply")</f>
        <v>Apply</v>
      </c>
      <c r="C229" s="10" t="s">
        <v>17359</v>
      </c>
      <c r="D229" s="56" t="s">
        <v>17360</v>
      </c>
      <c r="E229" s="10" t="s">
        <v>71</v>
      </c>
      <c r="F229" s="10" t="s">
        <v>17361</v>
      </c>
      <c r="G229" s="10" t="s">
        <v>959</v>
      </c>
      <c r="H229" s="10" t="s">
        <v>48</v>
      </c>
      <c r="J229" s="10" t="s">
        <v>17362</v>
      </c>
      <c r="K229" s="10" t="s">
        <v>42</v>
      </c>
    </row>
    <row r="230" ht="15.75" customHeight="1">
      <c r="A230" s="64">
        <v>45473.0</v>
      </c>
      <c r="B230" s="55" t="str">
        <f>HYPERLINK("https://jobright.ai/jobs/info/6681bfc07a4a73ce111e2374?utm_campaign=1063&amp;utm_source=sheet", "Apply")</f>
        <v>Apply</v>
      </c>
      <c r="C230" s="10" t="s">
        <v>17359</v>
      </c>
      <c r="D230" s="56" t="s">
        <v>17360</v>
      </c>
      <c r="E230" s="10" t="s">
        <v>71</v>
      </c>
      <c r="F230" s="10" t="s">
        <v>17361</v>
      </c>
      <c r="G230" s="10" t="s">
        <v>866</v>
      </c>
      <c r="H230" s="10" t="s">
        <v>48</v>
      </c>
      <c r="J230" s="10" t="s">
        <v>17362</v>
      </c>
      <c r="K230" s="10" t="s">
        <v>42</v>
      </c>
    </row>
    <row r="231" ht="15.75" customHeight="1">
      <c r="A231" s="64">
        <v>45473.0</v>
      </c>
      <c r="B231" s="55" t="str">
        <f>HYPERLINK("https://jobright.ai/jobs/info/6681bfc07a4a73ce111e2371?utm_campaign=1063&amp;utm_source=sheet", "Apply")</f>
        <v>Apply</v>
      </c>
      <c r="C231" s="10" t="s">
        <v>17359</v>
      </c>
      <c r="D231" s="56" t="s">
        <v>17360</v>
      </c>
      <c r="E231" s="10" t="s">
        <v>71</v>
      </c>
      <c r="F231" s="10" t="s">
        <v>17361</v>
      </c>
      <c r="G231" s="10" t="s">
        <v>984</v>
      </c>
      <c r="H231" s="10" t="s">
        <v>48</v>
      </c>
      <c r="J231" s="10" t="s">
        <v>17362</v>
      </c>
      <c r="K231" s="10" t="s">
        <v>42</v>
      </c>
    </row>
    <row r="232" ht="15.75" customHeight="1">
      <c r="A232" s="64">
        <v>45473.0</v>
      </c>
      <c r="B232" s="55" t="str">
        <f>HYPERLINK("https://jobright.ai/jobs/info/6681bfc07a4a73ce111e2370?utm_campaign=1063&amp;utm_source=sheet", "Apply")</f>
        <v>Apply</v>
      </c>
      <c r="C232" s="10" t="s">
        <v>17359</v>
      </c>
      <c r="D232" s="56" t="s">
        <v>17360</v>
      </c>
      <c r="E232" s="10" t="s">
        <v>71</v>
      </c>
      <c r="F232" s="10" t="s">
        <v>17361</v>
      </c>
      <c r="G232" s="10" t="s">
        <v>793</v>
      </c>
      <c r="H232" s="10" t="s">
        <v>48</v>
      </c>
      <c r="J232" s="10" t="s">
        <v>17362</v>
      </c>
      <c r="K232" s="10" t="s">
        <v>42</v>
      </c>
    </row>
    <row r="233" ht="15.75" customHeight="1">
      <c r="A233" s="64">
        <v>45473.0</v>
      </c>
      <c r="B233" s="55" t="str">
        <f>HYPERLINK("https://jobright.ai/jobs/info/6681bfc07a4a73ce111e2377?utm_campaign=1063&amp;utm_source=sheet", "Apply")</f>
        <v>Apply</v>
      </c>
      <c r="C233" s="10" t="s">
        <v>17359</v>
      </c>
      <c r="D233" s="56" t="s">
        <v>17360</v>
      </c>
      <c r="E233" s="10" t="s">
        <v>71</v>
      </c>
      <c r="F233" s="10" t="s">
        <v>17361</v>
      </c>
      <c r="G233" s="10" t="s">
        <v>1014</v>
      </c>
      <c r="H233" s="10" t="s">
        <v>48</v>
      </c>
      <c r="J233" s="10" t="s">
        <v>17362</v>
      </c>
      <c r="K233" s="10" t="s">
        <v>42</v>
      </c>
    </row>
    <row r="234" ht="15.75" customHeight="1">
      <c r="A234" s="64">
        <v>45473.0</v>
      </c>
      <c r="B234" s="55" t="str">
        <f>HYPERLINK("https://jobright.ai/jobs/info/6681bfc07a4a73ce111e2378?utm_campaign=1063&amp;utm_source=sheet", "Apply")</f>
        <v>Apply</v>
      </c>
      <c r="C234" s="10" t="s">
        <v>17359</v>
      </c>
      <c r="D234" s="56" t="s">
        <v>17360</v>
      </c>
      <c r="E234" s="10" t="s">
        <v>71</v>
      </c>
      <c r="F234" s="10" t="s">
        <v>17361</v>
      </c>
      <c r="G234" s="10" t="s">
        <v>572</v>
      </c>
      <c r="H234" s="10" t="s">
        <v>48</v>
      </c>
      <c r="J234" s="10" t="s">
        <v>17362</v>
      </c>
      <c r="K234" s="10" t="s">
        <v>42</v>
      </c>
    </row>
    <row r="235" ht="15.75" customHeight="1">
      <c r="A235" s="64">
        <v>45473.0</v>
      </c>
      <c r="B235" s="55" t="str">
        <f>HYPERLINK("https://jobright.ai/jobs/info/6681bfc07a4a73ce111e2376?utm_campaign=1063&amp;utm_source=sheet", "Apply")</f>
        <v>Apply</v>
      </c>
      <c r="C235" s="10" t="s">
        <v>17359</v>
      </c>
      <c r="D235" s="56" t="s">
        <v>17360</v>
      </c>
      <c r="E235" s="10" t="s">
        <v>71</v>
      </c>
      <c r="F235" s="10" t="s">
        <v>17361</v>
      </c>
      <c r="G235" s="10" t="s">
        <v>926</v>
      </c>
      <c r="H235" s="10" t="s">
        <v>48</v>
      </c>
      <c r="J235" s="10" t="s">
        <v>17362</v>
      </c>
      <c r="K235" s="10" t="s">
        <v>42</v>
      </c>
    </row>
    <row r="236" ht="15.75" customHeight="1">
      <c r="A236" s="64">
        <v>45473.0</v>
      </c>
      <c r="B236" s="55" t="str">
        <f>HYPERLINK("https://jobright.ai/jobs/info/6681bfc07a4a73ce111e237a?utm_campaign=1063&amp;utm_source=sheet", "Apply")</f>
        <v>Apply</v>
      </c>
      <c r="C236" s="10" t="s">
        <v>17359</v>
      </c>
      <c r="D236" s="56" t="s">
        <v>17360</v>
      </c>
      <c r="E236" s="10" t="s">
        <v>71</v>
      </c>
      <c r="F236" s="10" t="s">
        <v>17361</v>
      </c>
      <c r="G236" s="10" t="s">
        <v>167</v>
      </c>
      <c r="H236" s="10" t="s">
        <v>48</v>
      </c>
      <c r="J236" s="10" t="s">
        <v>17362</v>
      </c>
      <c r="K236" s="10" t="s">
        <v>42</v>
      </c>
    </row>
    <row r="237" ht="15.75" customHeight="1">
      <c r="A237" s="64">
        <v>45473.0</v>
      </c>
      <c r="B237" s="55" t="str">
        <f>HYPERLINK("https://jobright.ai/jobs/info/6681bfc07a4a73ce111e237b?utm_campaign=1063&amp;utm_source=sheet", "Apply")</f>
        <v>Apply</v>
      </c>
      <c r="C237" s="10" t="s">
        <v>17359</v>
      </c>
      <c r="D237" s="56" t="s">
        <v>17360</v>
      </c>
      <c r="E237" s="10" t="s">
        <v>71</v>
      </c>
      <c r="F237" s="10" t="s">
        <v>17361</v>
      </c>
      <c r="G237" s="10" t="s">
        <v>976</v>
      </c>
      <c r="H237" s="10" t="s">
        <v>48</v>
      </c>
      <c r="J237" s="10" t="s">
        <v>17362</v>
      </c>
      <c r="K237" s="10" t="s">
        <v>42</v>
      </c>
    </row>
    <row r="238" ht="15.75" customHeight="1">
      <c r="A238" s="64">
        <v>45473.0</v>
      </c>
      <c r="B238" s="55" t="str">
        <f>HYPERLINK("https://jobright.ai/jobs/info/6681bfc07a4a73ce111e2375?utm_campaign=1063&amp;utm_source=sheet", "Apply")</f>
        <v>Apply</v>
      </c>
      <c r="C238" s="10" t="s">
        <v>17359</v>
      </c>
      <c r="D238" s="56" t="s">
        <v>17360</v>
      </c>
      <c r="E238" s="10" t="s">
        <v>71</v>
      </c>
      <c r="F238" s="10" t="s">
        <v>17361</v>
      </c>
      <c r="G238" s="10" t="s">
        <v>884</v>
      </c>
      <c r="H238" s="10" t="s">
        <v>48</v>
      </c>
      <c r="J238" s="10" t="s">
        <v>17362</v>
      </c>
      <c r="K238" s="10" t="s">
        <v>42</v>
      </c>
    </row>
    <row r="239" ht="15.75" customHeight="1">
      <c r="A239" s="64">
        <v>45473.0</v>
      </c>
      <c r="B239" s="55" t="str">
        <f>HYPERLINK("https://jobright.ai/jobs/info/6681bfc07a4a73ce111e2379?utm_campaign=1063&amp;utm_source=sheet", "Apply")</f>
        <v>Apply</v>
      </c>
      <c r="C239" s="10" t="s">
        <v>17359</v>
      </c>
      <c r="D239" s="56" t="s">
        <v>17360</v>
      </c>
      <c r="E239" s="10" t="s">
        <v>71</v>
      </c>
      <c r="F239" s="10" t="s">
        <v>17361</v>
      </c>
      <c r="G239" s="10" t="s">
        <v>188</v>
      </c>
      <c r="H239" s="10" t="s">
        <v>48</v>
      </c>
      <c r="J239" s="10" t="s">
        <v>17362</v>
      </c>
      <c r="K239" s="10" t="s">
        <v>42</v>
      </c>
    </row>
    <row r="240" ht="15.75" customHeight="1">
      <c r="A240" s="64">
        <v>45473.0</v>
      </c>
      <c r="B240" s="55" t="str">
        <f>HYPERLINK("https://jobright.ai/jobs/info/6681bfc07a4a73ce111e237c?utm_campaign=1063&amp;utm_source=sheet", "Apply")</f>
        <v>Apply</v>
      </c>
      <c r="C240" s="10" t="s">
        <v>17359</v>
      </c>
      <c r="D240" s="56" t="s">
        <v>17360</v>
      </c>
      <c r="E240" s="10" t="s">
        <v>71</v>
      </c>
      <c r="F240" s="10" t="s">
        <v>17361</v>
      </c>
      <c r="G240" s="10" t="s">
        <v>965</v>
      </c>
      <c r="H240" s="10" t="s">
        <v>48</v>
      </c>
      <c r="J240" s="10" t="s">
        <v>17362</v>
      </c>
      <c r="K240" s="10" t="s">
        <v>42</v>
      </c>
    </row>
    <row r="241" ht="15.75" customHeight="1">
      <c r="A241" s="64">
        <v>45473.0</v>
      </c>
      <c r="B241" s="55" t="str">
        <f>HYPERLINK("https://jobright.ai/jobs/info/6681bfc07a4a73ce111e237d?utm_campaign=1063&amp;utm_source=sheet", "Apply")</f>
        <v>Apply</v>
      </c>
      <c r="C241" s="10" t="s">
        <v>17359</v>
      </c>
      <c r="D241" s="56" t="s">
        <v>17360</v>
      </c>
      <c r="E241" s="10" t="s">
        <v>71</v>
      </c>
      <c r="F241" s="10" t="s">
        <v>17361</v>
      </c>
      <c r="G241" s="10" t="s">
        <v>874</v>
      </c>
      <c r="H241" s="10" t="s">
        <v>48</v>
      </c>
      <c r="J241" s="10" t="s">
        <v>17362</v>
      </c>
      <c r="K241" s="10" t="s">
        <v>42</v>
      </c>
    </row>
    <row r="242" ht="15.75" customHeight="1">
      <c r="A242" s="64">
        <v>45473.0</v>
      </c>
      <c r="B242" s="55" t="str">
        <f>HYPERLINK("https://jobright.ai/jobs/info/6681bfc07a4a73ce111e237e?utm_campaign=1063&amp;utm_source=sheet", "Apply")</f>
        <v>Apply</v>
      </c>
      <c r="C242" s="10" t="s">
        <v>17359</v>
      </c>
      <c r="D242" s="56" t="s">
        <v>17360</v>
      </c>
      <c r="E242" s="10" t="s">
        <v>71</v>
      </c>
      <c r="F242" s="10" t="s">
        <v>17361</v>
      </c>
      <c r="G242" s="10" t="s">
        <v>1047</v>
      </c>
      <c r="H242" s="10" t="s">
        <v>48</v>
      </c>
      <c r="J242" s="10" t="s">
        <v>17362</v>
      </c>
      <c r="K242" s="10" t="s">
        <v>42</v>
      </c>
    </row>
    <row r="243" ht="15.75" customHeight="1">
      <c r="A243" s="64">
        <v>45473.0</v>
      </c>
      <c r="B243" s="55" t="str">
        <f>HYPERLINK("https://jobright.ai/jobs/info/6681bfc07a4a73ce111e237f?utm_campaign=1063&amp;utm_source=sheet", "Apply")</f>
        <v>Apply</v>
      </c>
      <c r="C243" s="10" t="s">
        <v>17359</v>
      </c>
      <c r="D243" s="56" t="s">
        <v>17360</v>
      </c>
      <c r="E243" s="10" t="s">
        <v>71</v>
      </c>
      <c r="F243" s="10" t="s">
        <v>17361</v>
      </c>
      <c r="G243" s="10" t="s">
        <v>791</v>
      </c>
      <c r="H243" s="10" t="s">
        <v>48</v>
      </c>
      <c r="J243" s="10" t="s">
        <v>17362</v>
      </c>
      <c r="K243" s="10" t="s">
        <v>42</v>
      </c>
    </row>
    <row r="244" ht="15.75" customHeight="1">
      <c r="A244" s="64">
        <v>45473.0</v>
      </c>
      <c r="B244" s="55" t="str">
        <f>HYPERLINK("https://jobright.ai/jobs/info/6681bfc07a4a73ce111e2380?utm_campaign=1063&amp;utm_source=sheet", "Apply")</f>
        <v>Apply</v>
      </c>
      <c r="C244" s="10" t="s">
        <v>17359</v>
      </c>
      <c r="D244" s="56" t="s">
        <v>17360</v>
      </c>
      <c r="E244" s="10" t="s">
        <v>71</v>
      </c>
      <c r="F244" s="10" t="s">
        <v>17361</v>
      </c>
      <c r="G244" s="10" t="s">
        <v>996</v>
      </c>
      <c r="H244" s="10" t="s">
        <v>48</v>
      </c>
      <c r="J244" s="10" t="s">
        <v>17362</v>
      </c>
      <c r="K244" s="10" t="s">
        <v>42</v>
      </c>
    </row>
    <row r="245" ht="15.75" customHeight="1">
      <c r="A245" s="64">
        <v>45473.0</v>
      </c>
      <c r="B245" s="55" t="str">
        <f>HYPERLINK("https://jobright.ai/jobs/info/6681bfc07a4a73ce111e2381?utm_campaign=1063&amp;utm_source=sheet", "Apply")</f>
        <v>Apply</v>
      </c>
      <c r="C245" s="10" t="s">
        <v>17359</v>
      </c>
      <c r="D245" s="56" t="s">
        <v>17360</v>
      </c>
      <c r="E245" s="10" t="s">
        <v>71</v>
      </c>
      <c r="F245" s="10" t="s">
        <v>17361</v>
      </c>
      <c r="G245" s="10" t="s">
        <v>801</v>
      </c>
      <c r="H245" s="10" t="s">
        <v>48</v>
      </c>
      <c r="J245" s="10" t="s">
        <v>17362</v>
      </c>
      <c r="K245" s="10" t="s">
        <v>42</v>
      </c>
    </row>
    <row r="246" ht="15.75" customHeight="1">
      <c r="A246" s="64">
        <v>45473.0</v>
      </c>
      <c r="B246" s="55" t="str">
        <f>HYPERLINK("https://jobright.ai/jobs/info/6681cdbf92c2859d243aeee4?utm_campaign=1063&amp;utm_source=sheet", "Apply")</f>
        <v>Apply</v>
      </c>
      <c r="C246" s="10" t="s">
        <v>17359</v>
      </c>
      <c r="D246" s="56" t="s">
        <v>17360</v>
      </c>
      <c r="E246" s="10" t="s">
        <v>71</v>
      </c>
      <c r="F246" s="10" t="s">
        <v>17361</v>
      </c>
      <c r="G246" s="10" t="s">
        <v>174</v>
      </c>
      <c r="H246" s="10" t="s">
        <v>48</v>
      </c>
      <c r="J246" s="10" t="s">
        <v>17362</v>
      </c>
      <c r="K246" s="10" t="s">
        <v>42</v>
      </c>
    </row>
    <row r="247" ht="15.75" customHeight="1">
      <c r="A247" s="64">
        <v>45473.0</v>
      </c>
      <c r="B247" s="55" t="str">
        <f>HYPERLINK("https://jobright.ai/jobs/info/6681cdbf92c2859d243aeee6?utm_campaign=1063&amp;utm_source=sheet", "Apply")</f>
        <v>Apply</v>
      </c>
      <c r="C247" s="10" t="s">
        <v>17359</v>
      </c>
      <c r="D247" s="56" t="s">
        <v>17360</v>
      </c>
      <c r="E247" s="10" t="s">
        <v>71</v>
      </c>
      <c r="F247" s="10" t="s">
        <v>17361</v>
      </c>
      <c r="G247" s="10" t="s">
        <v>825</v>
      </c>
      <c r="H247" s="10" t="s">
        <v>48</v>
      </c>
      <c r="J247" s="10" t="s">
        <v>17362</v>
      </c>
      <c r="K247" s="10" t="s">
        <v>42</v>
      </c>
    </row>
    <row r="248" ht="15.75" customHeight="1">
      <c r="A248" s="64">
        <v>45473.0</v>
      </c>
      <c r="B248" s="55" t="str">
        <f>HYPERLINK("https://jobright.ai/jobs/info/6681cdbf92c2859d243aeee8?utm_campaign=1063&amp;utm_source=sheet", "Apply")</f>
        <v>Apply</v>
      </c>
      <c r="C248" s="10" t="s">
        <v>17359</v>
      </c>
      <c r="D248" s="56" t="s">
        <v>17360</v>
      </c>
      <c r="E248" s="10" t="s">
        <v>71</v>
      </c>
      <c r="F248" s="10" t="s">
        <v>17361</v>
      </c>
      <c r="G248" s="10" t="s">
        <v>783</v>
      </c>
      <c r="H248" s="10" t="s">
        <v>48</v>
      </c>
      <c r="J248" s="10" t="s">
        <v>17362</v>
      </c>
      <c r="K248" s="10" t="s">
        <v>42</v>
      </c>
    </row>
    <row r="249" ht="15.75" customHeight="1">
      <c r="A249" s="64">
        <v>45473.0</v>
      </c>
      <c r="B249" s="55" t="str">
        <f>HYPERLINK("https://jobright.ai/jobs/info/6681cdbf92c2859d243aeee7?utm_campaign=1063&amp;utm_source=sheet", "Apply")</f>
        <v>Apply</v>
      </c>
      <c r="C249" s="10" t="s">
        <v>17359</v>
      </c>
      <c r="D249" s="56" t="s">
        <v>17360</v>
      </c>
      <c r="E249" s="10" t="s">
        <v>71</v>
      </c>
      <c r="F249" s="10" t="s">
        <v>17361</v>
      </c>
      <c r="G249" s="10" t="s">
        <v>902</v>
      </c>
      <c r="H249" s="10" t="s">
        <v>48</v>
      </c>
      <c r="J249" s="10" t="s">
        <v>17362</v>
      </c>
      <c r="K249" s="10" t="s">
        <v>42</v>
      </c>
    </row>
    <row r="250" ht="15.75" customHeight="1">
      <c r="A250" s="64">
        <v>45473.0</v>
      </c>
      <c r="B250" s="55" t="str">
        <f>HYPERLINK("https://jobright.ai/jobs/info/6681cdbf92c2859d243aeee5?utm_campaign=1063&amp;utm_source=sheet", "Apply")</f>
        <v>Apply</v>
      </c>
      <c r="C250" s="10" t="s">
        <v>17359</v>
      </c>
      <c r="D250" s="56" t="s">
        <v>17360</v>
      </c>
      <c r="E250" s="10" t="s">
        <v>71</v>
      </c>
      <c r="F250" s="10" t="s">
        <v>17361</v>
      </c>
      <c r="G250" s="10" t="s">
        <v>921</v>
      </c>
      <c r="H250" s="10" t="s">
        <v>48</v>
      </c>
      <c r="J250" s="10" t="s">
        <v>17362</v>
      </c>
      <c r="K250" s="10" t="s">
        <v>42</v>
      </c>
    </row>
    <row r="251" ht="15.75" customHeight="1">
      <c r="A251" s="64">
        <v>45473.0</v>
      </c>
      <c r="B251" s="55" t="str">
        <f>HYPERLINK("https://jobright.ai/jobs/info/6681e97aa9a39934fe4fc504?utm_campaign=1063&amp;utm_source=sheet", "Apply")</f>
        <v>Apply</v>
      </c>
      <c r="C251" s="10" t="s">
        <v>17359</v>
      </c>
      <c r="D251" s="56" t="s">
        <v>17360</v>
      </c>
      <c r="E251" s="10" t="s">
        <v>71</v>
      </c>
      <c r="F251" s="10" t="s">
        <v>17361</v>
      </c>
      <c r="G251" s="10" t="s">
        <v>73</v>
      </c>
      <c r="H251" s="10" t="s">
        <v>48</v>
      </c>
      <c r="J251" s="10" t="s">
        <v>17362</v>
      </c>
      <c r="K251" s="10" t="s">
        <v>42</v>
      </c>
    </row>
    <row r="252" ht="15.75" customHeight="1">
      <c r="A252" s="64">
        <v>45473.0</v>
      </c>
      <c r="B252" s="55" t="str">
        <f>HYPERLINK("https://jobright.ai/jobs/info/6681a974127400923c662126?utm_campaign=1063&amp;utm_source=sheet", "Apply")</f>
        <v>Apply</v>
      </c>
      <c r="C252" s="10" t="s">
        <v>17359</v>
      </c>
      <c r="D252" s="56" t="s">
        <v>17360</v>
      </c>
      <c r="E252" s="10" t="s">
        <v>71</v>
      </c>
      <c r="F252" s="10" t="s">
        <v>17361</v>
      </c>
      <c r="G252" s="10" t="s">
        <v>216</v>
      </c>
      <c r="H252" s="10" t="s">
        <v>48</v>
      </c>
      <c r="J252" s="10" t="s">
        <v>17362</v>
      </c>
      <c r="K252" s="10" t="s">
        <v>42</v>
      </c>
    </row>
    <row r="253" ht="15.75" customHeight="1">
      <c r="A253" s="64">
        <v>45473.0</v>
      </c>
      <c r="B253" s="55" t="str">
        <f>HYPERLINK("https://jobright.ai/jobs/info/6681a974127400923c662128?utm_campaign=1063&amp;utm_source=sheet", "Apply")</f>
        <v>Apply</v>
      </c>
      <c r="C253" s="10" t="s">
        <v>17359</v>
      </c>
      <c r="D253" s="56" t="s">
        <v>17360</v>
      </c>
      <c r="E253" s="10" t="s">
        <v>71</v>
      </c>
      <c r="F253" s="10" t="s">
        <v>17361</v>
      </c>
      <c r="G253" s="10" t="s">
        <v>836</v>
      </c>
      <c r="H253" s="10" t="s">
        <v>48</v>
      </c>
      <c r="J253" s="10" t="s">
        <v>17362</v>
      </c>
      <c r="K253" s="10" t="s">
        <v>42</v>
      </c>
    </row>
    <row r="254" ht="15.75" customHeight="1">
      <c r="A254" s="64">
        <v>45473.0</v>
      </c>
      <c r="B254" s="55" t="str">
        <f>HYPERLINK("https://jobright.ai/jobs/info/6681a974127400923c662125?utm_campaign=1063&amp;utm_source=sheet", "Apply")</f>
        <v>Apply</v>
      </c>
      <c r="C254" s="10" t="s">
        <v>17359</v>
      </c>
      <c r="D254" s="56" t="s">
        <v>17360</v>
      </c>
      <c r="E254" s="10" t="s">
        <v>71</v>
      </c>
      <c r="F254" s="10" t="s">
        <v>17361</v>
      </c>
      <c r="G254" s="10" t="s">
        <v>146</v>
      </c>
      <c r="H254" s="10" t="s">
        <v>48</v>
      </c>
      <c r="J254" s="10" t="s">
        <v>17362</v>
      </c>
      <c r="K254" s="10" t="s">
        <v>42</v>
      </c>
    </row>
    <row r="255" ht="15.75" customHeight="1">
      <c r="A255" s="64">
        <v>45473.0</v>
      </c>
      <c r="B255" s="55" t="str">
        <f>HYPERLINK("https://jobright.ai/jobs/info/6681a974127400923c662127?utm_campaign=1063&amp;utm_source=sheet", "Apply")</f>
        <v>Apply</v>
      </c>
      <c r="C255" s="10" t="s">
        <v>17359</v>
      </c>
      <c r="D255" s="56" t="s">
        <v>17360</v>
      </c>
      <c r="E255" s="10" t="s">
        <v>71</v>
      </c>
      <c r="F255" s="10" t="s">
        <v>17361</v>
      </c>
      <c r="G255" s="10" t="s">
        <v>871</v>
      </c>
      <c r="H255" s="10" t="s">
        <v>48</v>
      </c>
      <c r="J255" s="10" t="s">
        <v>17362</v>
      </c>
      <c r="K255" s="10" t="s">
        <v>42</v>
      </c>
    </row>
    <row r="256" ht="15.75" customHeight="1">
      <c r="A256" s="64">
        <v>45473.0</v>
      </c>
      <c r="B256" s="55" t="str">
        <f>HYPERLINK("https://jobright.ai/jobs/info/6681a974127400923c66212a?utm_campaign=1063&amp;utm_source=sheet", "Apply")</f>
        <v>Apply</v>
      </c>
      <c r="C256" s="10" t="s">
        <v>17359</v>
      </c>
      <c r="D256" s="56" t="s">
        <v>17360</v>
      </c>
      <c r="E256" s="10" t="s">
        <v>71</v>
      </c>
      <c r="F256" s="10" t="s">
        <v>17361</v>
      </c>
      <c r="G256" s="10" t="s">
        <v>898</v>
      </c>
      <c r="H256" s="10" t="s">
        <v>48</v>
      </c>
      <c r="J256" s="10" t="s">
        <v>17362</v>
      </c>
      <c r="K256" s="10" t="s">
        <v>42</v>
      </c>
    </row>
    <row r="257" ht="15.75" customHeight="1">
      <c r="A257" s="64">
        <v>45473.0</v>
      </c>
      <c r="B257" s="55" t="str">
        <f>HYPERLINK("https://jobright.ai/jobs/info/6681a974127400923c66212c?utm_campaign=1063&amp;utm_source=sheet", "Apply")</f>
        <v>Apply</v>
      </c>
      <c r="C257" s="10" t="s">
        <v>17359</v>
      </c>
      <c r="D257" s="56" t="s">
        <v>17360</v>
      </c>
      <c r="E257" s="10" t="s">
        <v>71</v>
      </c>
      <c r="F257" s="10" t="s">
        <v>17361</v>
      </c>
      <c r="G257" s="10" t="s">
        <v>411</v>
      </c>
      <c r="H257" s="10" t="s">
        <v>48</v>
      </c>
      <c r="J257" s="10" t="s">
        <v>17362</v>
      </c>
      <c r="K257" s="10" t="s">
        <v>42</v>
      </c>
    </row>
    <row r="258" ht="15.75" customHeight="1">
      <c r="A258" s="64">
        <v>45473.0</v>
      </c>
      <c r="B258" s="55" t="str">
        <f>HYPERLINK("https://jobright.ai/jobs/info/6681a974127400923c662129?utm_campaign=1063&amp;utm_source=sheet", "Apply")</f>
        <v>Apply</v>
      </c>
      <c r="C258" s="10" t="s">
        <v>17359</v>
      </c>
      <c r="D258" s="56" t="s">
        <v>17360</v>
      </c>
      <c r="E258" s="10" t="s">
        <v>71</v>
      </c>
      <c r="F258" s="10" t="s">
        <v>17361</v>
      </c>
      <c r="G258" s="10" t="s">
        <v>966</v>
      </c>
      <c r="H258" s="10" t="s">
        <v>48</v>
      </c>
      <c r="J258" s="10" t="s">
        <v>17362</v>
      </c>
      <c r="K258" s="10" t="s">
        <v>42</v>
      </c>
    </row>
    <row r="259" ht="15.75" customHeight="1">
      <c r="A259" s="64">
        <v>45473.0</v>
      </c>
      <c r="B259" s="55" t="str">
        <f>HYPERLINK("https://jobright.ai/jobs/info/6681a974127400923c66212b?utm_campaign=1063&amp;utm_source=sheet", "Apply")</f>
        <v>Apply</v>
      </c>
      <c r="C259" s="10" t="s">
        <v>17359</v>
      </c>
      <c r="D259" s="56" t="s">
        <v>17360</v>
      </c>
      <c r="E259" s="10" t="s">
        <v>71</v>
      </c>
      <c r="F259" s="10" t="s">
        <v>17361</v>
      </c>
      <c r="G259" s="10" t="s">
        <v>1000</v>
      </c>
      <c r="H259" s="10" t="s">
        <v>48</v>
      </c>
      <c r="J259" s="10" t="s">
        <v>17362</v>
      </c>
      <c r="K259" s="10" t="s">
        <v>42</v>
      </c>
    </row>
    <row r="260" ht="15.75" customHeight="1">
      <c r="A260" s="64">
        <v>45473.0</v>
      </c>
      <c r="B260" s="55" t="str">
        <f>HYPERLINK("https://jobright.ai/jobs/info/6681a974127400923c66212d?utm_campaign=1063&amp;utm_source=sheet", "Apply")</f>
        <v>Apply</v>
      </c>
      <c r="C260" s="10" t="s">
        <v>17359</v>
      </c>
      <c r="D260" s="56" t="s">
        <v>17360</v>
      </c>
      <c r="E260" s="10" t="s">
        <v>71</v>
      </c>
      <c r="F260" s="10" t="s">
        <v>17361</v>
      </c>
      <c r="G260" s="10" t="s">
        <v>86</v>
      </c>
      <c r="H260" s="10" t="s">
        <v>48</v>
      </c>
      <c r="J260" s="10" t="s">
        <v>17362</v>
      </c>
      <c r="K260" s="10" t="s">
        <v>42</v>
      </c>
    </row>
    <row r="261" ht="15.75" customHeight="1">
      <c r="A261" s="64">
        <v>45473.0</v>
      </c>
      <c r="B261" s="55" t="str">
        <f>HYPERLINK("https://jobright.ai/jobs/info/6681a974127400923c66212e?utm_campaign=1063&amp;utm_source=sheet", "Apply")</f>
        <v>Apply</v>
      </c>
      <c r="C261" s="10" t="s">
        <v>17359</v>
      </c>
      <c r="D261" s="56" t="s">
        <v>17360</v>
      </c>
      <c r="E261" s="10" t="s">
        <v>71</v>
      </c>
      <c r="F261" s="10" t="s">
        <v>17361</v>
      </c>
      <c r="G261" s="10" t="s">
        <v>941</v>
      </c>
      <c r="H261" s="10" t="s">
        <v>48</v>
      </c>
      <c r="J261" s="10" t="s">
        <v>17362</v>
      </c>
      <c r="K261" s="10" t="s">
        <v>42</v>
      </c>
    </row>
    <row r="262" ht="15.75" customHeight="1">
      <c r="A262" s="64">
        <v>45473.0</v>
      </c>
      <c r="B262" s="55" t="str">
        <f>HYPERLINK("https://jobright.ai/jobs/info/6681a974127400923c662130?utm_campaign=1063&amp;utm_source=sheet", "Apply")</f>
        <v>Apply</v>
      </c>
      <c r="C262" s="10" t="s">
        <v>17359</v>
      </c>
      <c r="D262" s="56" t="s">
        <v>17360</v>
      </c>
      <c r="E262" s="10" t="s">
        <v>71</v>
      </c>
      <c r="F262" s="10" t="s">
        <v>17361</v>
      </c>
      <c r="G262" s="10" t="s">
        <v>822</v>
      </c>
      <c r="H262" s="10" t="s">
        <v>48</v>
      </c>
      <c r="J262" s="10" t="s">
        <v>17362</v>
      </c>
      <c r="K262" s="10" t="s">
        <v>42</v>
      </c>
    </row>
    <row r="263" ht="15.75" customHeight="1">
      <c r="A263" s="64">
        <v>45473.0</v>
      </c>
      <c r="B263" s="55" t="str">
        <f>HYPERLINK("https://jobright.ai/jobs/info/6681a5a0e2513bb044b9d085?utm_campaign=1063&amp;utm_source=sheet", "Apply")</f>
        <v>Apply</v>
      </c>
      <c r="C263" s="10" t="s">
        <v>17359</v>
      </c>
      <c r="D263" s="56" t="s">
        <v>17360</v>
      </c>
      <c r="E263" s="10" t="s">
        <v>71</v>
      </c>
      <c r="F263" s="10" t="s">
        <v>17361</v>
      </c>
      <c r="G263" s="10" t="s">
        <v>870</v>
      </c>
      <c r="H263" s="10" t="s">
        <v>48</v>
      </c>
      <c r="J263" s="10" t="s">
        <v>17362</v>
      </c>
      <c r="K263" s="10" t="s">
        <v>42</v>
      </c>
    </row>
    <row r="264" ht="15.75" customHeight="1">
      <c r="A264" s="64">
        <v>45473.0</v>
      </c>
      <c r="B264" s="55" t="str">
        <f>HYPERLINK("https://jobright.ai/jobs/info/6681a974127400923c66212f?utm_campaign=1063&amp;utm_source=sheet", "Apply")</f>
        <v>Apply</v>
      </c>
      <c r="C264" s="10" t="s">
        <v>17359</v>
      </c>
      <c r="D264" s="56" t="s">
        <v>17360</v>
      </c>
      <c r="E264" s="10" t="s">
        <v>71</v>
      </c>
      <c r="F264" s="10" t="s">
        <v>17361</v>
      </c>
      <c r="G264" s="10" t="s">
        <v>891</v>
      </c>
      <c r="H264" s="10" t="s">
        <v>48</v>
      </c>
      <c r="J264" s="10" t="s">
        <v>17362</v>
      </c>
      <c r="K264" s="10" t="s">
        <v>42</v>
      </c>
    </row>
    <row r="265" ht="15.75" customHeight="1">
      <c r="A265" s="64">
        <v>45473.0</v>
      </c>
      <c r="B265" s="55" t="str">
        <f>HYPERLINK("https://jobright.ai/jobs/info/6681a5a0e2513bb044b9d086?utm_campaign=1063&amp;utm_source=sheet", "Apply")</f>
        <v>Apply</v>
      </c>
      <c r="C265" s="10" t="s">
        <v>17359</v>
      </c>
      <c r="D265" s="56" t="s">
        <v>17360</v>
      </c>
      <c r="E265" s="10" t="s">
        <v>71</v>
      </c>
      <c r="F265" s="10" t="s">
        <v>17361</v>
      </c>
      <c r="G265" s="10" t="s">
        <v>968</v>
      </c>
      <c r="H265" s="10" t="s">
        <v>48</v>
      </c>
      <c r="J265" s="10" t="s">
        <v>17362</v>
      </c>
      <c r="K265" s="10" t="s">
        <v>42</v>
      </c>
    </row>
    <row r="266" ht="15.75" customHeight="1">
      <c r="A266" s="64">
        <v>45473.0</v>
      </c>
      <c r="B266" s="55" t="str">
        <f>HYPERLINK("https://jobright.ai/jobs/info/6681a974127400923c662137?utm_campaign=1063&amp;utm_source=sheet", "Apply")</f>
        <v>Apply</v>
      </c>
      <c r="C266" s="10" t="s">
        <v>17359</v>
      </c>
      <c r="D266" s="56" t="s">
        <v>17360</v>
      </c>
      <c r="E266" s="10" t="s">
        <v>71</v>
      </c>
      <c r="F266" s="10" t="s">
        <v>17361</v>
      </c>
      <c r="G266" s="10" t="s">
        <v>800</v>
      </c>
      <c r="H266" s="10" t="s">
        <v>48</v>
      </c>
      <c r="J266" s="10" t="s">
        <v>17362</v>
      </c>
      <c r="K266" s="10" t="s">
        <v>42</v>
      </c>
    </row>
    <row r="267" ht="15.75" customHeight="1">
      <c r="A267" s="64">
        <v>45473.0</v>
      </c>
      <c r="B267" s="55" t="str">
        <f>HYPERLINK("https://jobright.ai/jobs/info/6681a5a0e2513bb044b9d088?utm_campaign=1063&amp;utm_source=sheet", "Apply")</f>
        <v>Apply</v>
      </c>
      <c r="C267" s="10" t="s">
        <v>17359</v>
      </c>
      <c r="D267" s="56" t="s">
        <v>17360</v>
      </c>
      <c r="E267" s="10" t="s">
        <v>71</v>
      </c>
      <c r="F267" s="10" t="s">
        <v>17361</v>
      </c>
      <c r="G267" s="10" t="s">
        <v>868</v>
      </c>
      <c r="H267" s="10" t="s">
        <v>48</v>
      </c>
      <c r="J267" s="10" t="s">
        <v>17362</v>
      </c>
      <c r="K267" s="10" t="s">
        <v>42</v>
      </c>
    </row>
    <row r="268" ht="15.75" customHeight="1">
      <c r="A268" s="64">
        <v>45473.0</v>
      </c>
      <c r="B268" s="55" t="str">
        <f>HYPERLINK("https://jobright.ai/jobs/info/6681a974127400923c662134?utm_campaign=1063&amp;utm_source=sheet", "Apply")</f>
        <v>Apply</v>
      </c>
      <c r="C268" s="10" t="s">
        <v>17359</v>
      </c>
      <c r="D268" s="56" t="s">
        <v>17360</v>
      </c>
      <c r="E268" s="10" t="s">
        <v>71</v>
      </c>
      <c r="F268" s="10" t="s">
        <v>17361</v>
      </c>
      <c r="G268" s="10" t="s">
        <v>995</v>
      </c>
      <c r="H268" s="10" t="s">
        <v>48</v>
      </c>
      <c r="J268" s="10" t="s">
        <v>17362</v>
      </c>
      <c r="K268" s="10" t="s">
        <v>42</v>
      </c>
    </row>
    <row r="269" ht="15.75" customHeight="1">
      <c r="A269" s="64">
        <v>45473.0</v>
      </c>
      <c r="B269" s="55" t="str">
        <f>HYPERLINK("https://jobright.ai/jobs/info/6681a5a0e2513bb044b9d087?utm_campaign=1063&amp;utm_source=sheet", "Apply")</f>
        <v>Apply</v>
      </c>
      <c r="C269" s="10" t="s">
        <v>17359</v>
      </c>
      <c r="D269" s="56" t="s">
        <v>17360</v>
      </c>
      <c r="E269" s="10" t="s">
        <v>71</v>
      </c>
      <c r="F269" s="10" t="s">
        <v>17361</v>
      </c>
      <c r="G269" s="10" t="s">
        <v>1007</v>
      </c>
      <c r="H269" s="10" t="s">
        <v>48</v>
      </c>
      <c r="J269" s="10" t="s">
        <v>17362</v>
      </c>
      <c r="K269" s="10" t="s">
        <v>42</v>
      </c>
    </row>
    <row r="270" ht="15.75" customHeight="1">
      <c r="A270" s="64">
        <v>45473.0</v>
      </c>
      <c r="B270" s="55" t="str">
        <f>HYPERLINK("https://jobright.ai/jobs/info/6681a974127400923c662133?utm_campaign=1063&amp;utm_source=sheet", "Apply")</f>
        <v>Apply</v>
      </c>
      <c r="C270" s="10" t="s">
        <v>17359</v>
      </c>
      <c r="D270" s="56" t="s">
        <v>17360</v>
      </c>
      <c r="E270" s="10" t="s">
        <v>71</v>
      </c>
      <c r="F270" s="10" t="s">
        <v>17361</v>
      </c>
      <c r="G270" s="10" t="s">
        <v>776</v>
      </c>
      <c r="H270" s="10" t="s">
        <v>48</v>
      </c>
      <c r="J270" s="10" t="s">
        <v>17362</v>
      </c>
      <c r="K270" s="10" t="s">
        <v>42</v>
      </c>
    </row>
    <row r="271" ht="15.75" customHeight="1">
      <c r="A271" s="64">
        <v>45473.0</v>
      </c>
      <c r="B271" s="55" t="str">
        <f>HYPERLINK("https://jobright.ai/jobs/info/6681a974127400923c662136?utm_campaign=1063&amp;utm_source=sheet", "Apply")</f>
        <v>Apply</v>
      </c>
      <c r="C271" s="10" t="s">
        <v>17359</v>
      </c>
      <c r="D271" s="56" t="s">
        <v>17360</v>
      </c>
      <c r="E271" s="10" t="s">
        <v>71</v>
      </c>
      <c r="F271" s="10" t="s">
        <v>17361</v>
      </c>
      <c r="G271" s="10" t="s">
        <v>961</v>
      </c>
      <c r="H271" s="10" t="s">
        <v>48</v>
      </c>
      <c r="J271" s="10" t="s">
        <v>17362</v>
      </c>
      <c r="K271" s="10" t="s">
        <v>42</v>
      </c>
    </row>
    <row r="272" ht="15.75" customHeight="1">
      <c r="A272" s="64">
        <v>45473.0</v>
      </c>
      <c r="B272" s="55" t="str">
        <f>HYPERLINK("https://jobright.ai/jobs/info/6681a974127400923c662131?utm_campaign=1063&amp;utm_source=sheet", "Apply")</f>
        <v>Apply</v>
      </c>
      <c r="C272" s="10" t="s">
        <v>17359</v>
      </c>
      <c r="D272" s="56" t="s">
        <v>17360</v>
      </c>
      <c r="E272" s="10" t="s">
        <v>71</v>
      </c>
      <c r="F272" s="10" t="s">
        <v>17361</v>
      </c>
      <c r="G272" s="10" t="s">
        <v>998</v>
      </c>
      <c r="H272" s="10" t="s">
        <v>48</v>
      </c>
      <c r="J272" s="10" t="s">
        <v>17362</v>
      </c>
      <c r="K272" s="10" t="s">
        <v>42</v>
      </c>
    </row>
    <row r="273" ht="15.75" customHeight="1">
      <c r="A273" s="64">
        <v>45473.0</v>
      </c>
      <c r="B273" s="55" t="str">
        <f>HYPERLINK("https://jobright.ai/jobs/info/6681a974127400923c662135?utm_campaign=1063&amp;utm_source=sheet", "Apply")</f>
        <v>Apply</v>
      </c>
      <c r="C273" s="10" t="s">
        <v>17359</v>
      </c>
      <c r="D273" s="56" t="s">
        <v>17360</v>
      </c>
      <c r="E273" s="10" t="s">
        <v>71</v>
      </c>
      <c r="F273" s="10" t="s">
        <v>17361</v>
      </c>
      <c r="G273" s="10" t="s">
        <v>992</v>
      </c>
      <c r="H273" s="10" t="s">
        <v>48</v>
      </c>
      <c r="J273" s="10" t="s">
        <v>17362</v>
      </c>
      <c r="K273" s="10" t="s">
        <v>42</v>
      </c>
    </row>
    <row r="274" ht="15.75" customHeight="1">
      <c r="A274" s="64">
        <v>45473.0</v>
      </c>
      <c r="B274" s="55" t="str">
        <f>HYPERLINK("https://jobright.ai/jobs/info/6681a974127400923c662132?utm_campaign=1063&amp;utm_source=sheet", "Apply")</f>
        <v>Apply</v>
      </c>
      <c r="C274" s="10" t="s">
        <v>17359</v>
      </c>
      <c r="D274" s="56" t="s">
        <v>17360</v>
      </c>
      <c r="E274" s="10" t="s">
        <v>71</v>
      </c>
      <c r="F274" s="10" t="s">
        <v>17361</v>
      </c>
      <c r="G274" s="10" t="s">
        <v>786</v>
      </c>
      <c r="H274" s="10" t="s">
        <v>48</v>
      </c>
      <c r="J274" s="10" t="s">
        <v>17362</v>
      </c>
      <c r="K274" s="10" t="s">
        <v>42</v>
      </c>
    </row>
    <row r="275" ht="15.75" customHeight="1">
      <c r="A275" s="64">
        <v>45473.0</v>
      </c>
      <c r="B275" s="55" t="str">
        <f>HYPERLINK("https://jobright.ai/jobs/info/6681a974127400923c662138?utm_campaign=1063&amp;utm_source=sheet", "Apply")</f>
        <v>Apply</v>
      </c>
      <c r="C275" s="10" t="s">
        <v>17359</v>
      </c>
      <c r="D275" s="56" t="s">
        <v>17360</v>
      </c>
      <c r="E275" s="10" t="s">
        <v>71</v>
      </c>
      <c r="F275" s="10" t="s">
        <v>17361</v>
      </c>
      <c r="G275" s="10" t="s">
        <v>762</v>
      </c>
      <c r="H275" s="10" t="s">
        <v>48</v>
      </c>
      <c r="J275" s="10" t="s">
        <v>17362</v>
      </c>
      <c r="K275" s="10" t="s">
        <v>42</v>
      </c>
    </row>
    <row r="276" ht="15.75" customHeight="1">
      <c r="A276" s="64">
        <v>45473.0</v>
      </c>
      <c r="B276" s="55" t="str">
        <f>HYPERLINK("https://jobright.ai/jobs/info/6681a974127400923c66213a?utm_campaign=1063&amp;utm_source=sheet", "Apply")</f>
        <v>Apply</v>
      </c>
      <c r="C276" s="10" t="s">
        <v>17359</v>
      </c>
      <c r="D276" s="56" t="s">
        <v>17360</v>
      </c>
      <c r="E276" s="10" t="s">
        <v>71</v>
      </c>
      <c r="F276" s="10" t="s">
        <v>17361</v>
      </c>
      <c r="G276" s="10" t="s">
        <v>946</v>
      </c>
      <c r="H276" s="10" t="s">
        <v>48</v>
      </c>
      <c r="J276" s="10" t="s">
        <v>17362</v>
      </c>
      <c r="K276" s="10" t="s">
        <v>42</v>
      </c>
    </row>
    <row r="277" ht="15.75" customHeight="1">
      <c r="A277" s="64">
        <v>45473.0</v>
      </c>
      <c r="B277" s="55" t="str">
        <f>HYPERLINK("https://jobright.ai/jobs/info/6681a974127400923c662139?utm_campaign=1063&amp;utm_source=sheet", "Apply")</f>
        <v>Apply</v>
      </c>
      <c r="C277" s="10" t="s">
        <v>17359</v>
      </c>
      <c r="D277" s="56" t="s">
        <v>17360</v>
      </c>
      <c r="E277" s="10" t="s">
        <v>71</v>
      </c>
      <c r="F277" s="10" t="s">
        <v>17361</v>
      </c>
      <c r="G277" s="10" t="s">
        <v>983</v>
      </c>
      <c r="H277" s="10" t="s">
        <v>48</v>
      </c>
      <c r="J277" s="10" t="s">
        <v>17362</v>
      </c>
      <c r="K277" s="10" t="s">
        <v>42</v>
      </c>
    </row>
    <row r="278" ht="15.75" customHeight="1">
      <c r="A278" s="64">
        <v>45473.0</v>
      </c>
      <c r="B278" s="55" t="str">
        <f>HYPERLINK("https://jobright.ai/jobs/info/6681adcef81a97b0515c47c6?utm_campaign=1063&amp;utm_source=sheet", "Apply")</f>
        <v>Apply</v>
      </c>
      <c r="C278" s="10" t="s">
        <v>17359</v>
      </c>
      <c r="D278" s="56" t="s">
        <v>17360</v>
      </c>
      <c r="E278" s="10" t="s">
        <v>71</v>
      </c>
      <c r="F278" s="10" t="s">
        <v>17361</v>
      </c>
      <c r="G278" s="10" t="s">
        <v>954</v>
      </c>
      <c r="H278" s="10" t="s">
        <v>48</v>
      </c>
      <c r="J278" s="10" t="s">
        <v>17362</v>
      </c>
      <c r="K278" s="10" t="s">
        <v>42</v>
      </c>
    </row>
    <row r="279" ht="15.75" customHeight="1">
      <c r="A279" s="64">
        <v>45473.0</v>
      </c>
      <c r="B279" s="55" t="str">
        <f>HYPERLINK("https://jobright.ai/jobs/info/6681adcef81a97b0515c4801?utm_campaign=1063&amp;utm_source=sheet", "Apply")</f>
        <v>Apply</v>
      </c>
      <c r="C279" s="10" t="s">
        <v>17359</v>
      </c>
      <c r="D279" s="56" t="s">
        <v>17360</v>
      </c>
      <c r="E279" s="10" t="s">
        <v>71</v>
      </c>
      <c r="F279" s="10" t="s">
        <v>17361</v>
      </c>
      <c r="G279" s="10" t="s">
        <v>930</v>
      </c>
      <c r="H279" s="10" t="s">
        <v>48</v>
      </c>
      <c r="J279" s="10" t="s">
        <v>17362</v>
      </c>
      <c r="K279" s="10" t="s">
        <v>42</v>
      </c>
    </row>
    <row r="280" ht="15.75" customHeight="1">
      <c r="A280" s="64">
        <v>45473.0</v>
      </c>
      <c r="B280" s="55" t="str">
        <f>HYPERLINK("https://jobright.ai/jobs/info/6681adcef81a97b0515c4802?utm_campaign=1063&amp;utm_source=sheet", "Apply")</f>
        <v>Apply</v>
      </c>
      <c r="C280" s="10" t="s">
        <v>17359</v>
      </c>
      <c r="D280" s="56" t="s">
        <v>17360</v>
      </c>
      <c r="E280" s="10" t="s">
        <v>71</v>
      </c>
      <c r="F280" s="10" t="s">
        <v>17361</v>
      </c>
      <c r="G280" s="10" t="s">
        <v>802</v>
      </c>
      <c r="H280" s="10" t="s">
        <v>48</v>
      </c>
      <c r="J280" s="10" t="s">
        <v>17362</v>
      </c>
      <c r="K280" s="10" t="s">
        <v>42</v>
      </c>
    </row>
    <row r="281" ht="15.75" customHeight="1">
      <c r="A281" s="64">
        <v>45473.0</v>
      </c>
      <c r="B281" s="55" t="str">
        <f>HYPERLINK("https://jobright.ai/jobs/info/6681adcef81a97b0515c4800?utm_campaign=1063&amp;utm_source=sheet", "Apply")</f>
        <v>Apply</v>
      </c>
      <c r="C281" s="10" t="s">
        <v>17359</v>
      </c>
      <c r="D281" s="56" t="s">
        <v>17360</v>
      </c>
      <c r="E281" s="10" t="s">
        <v>71</v>
      </c>
      <c r="F281" s="10" t="s">
        <v>17361</v>
      </c>
      <c r="G281" s="10" t="s">
        <v>918</v>
      </c>
      <c r="H281" s="10" t="s">
        <v>48</v>
      </c>
      <c r="J281" s="10" t="s">
        <v>17362</v>
      </c>
      <c r="K281" s="10" t="s">
        <v>42</v>
      </c>
    </row>
    <row r="282" ht="15.75" customHeight="1">
      <c r="A282" s="64">
        <v>45473.0</v>
      </c>
      <c r="B282" s="55" t="str">
        <f>HYPERLINK("https://jobright.ai/jobs/info/6681adcef81a97b0515c47f6?utm_campaign=1063&amp;utm_source=sheet", "Apply")</f>
        <v>Apply</v>
      </c>
      <c r="C282" s="10" t="s">
        <v>17359</v>
      </c>
      <c r="D282" s="56" t="s">
        <v>17360</v>
      </c>
      <c r="E282" s="10" t="s">
        <v>71</v>
      </c>
      <c r="F282" s="10" t="s">
        <v>17361</v>
      </c>
      <c r="G282" s="10" t="s">
        <v>957</v>
      </c>
      <c r="H282" s="10" t="s">
        <v>48</v>
      </c>
      <c r="J282" s="10" t="s">
        <v>17362</v>
      </c>
      <c r="K282" s="10" t="s">
        <v>42</v>
      </c>
    </row>
    <row r="283" ht="15.75" customHeight="1">
      <c r="A283" s="64">
        <v>45473.0</v>
      </c>
      <c r="B283" s="55" t="str">
        <f>HYPERLINK("https://jobright.ai/jobs/info/6681adcef81a97b0515c47f8?utm_campaign=1063&amp;utm_source=sheet", "Apply")</f>
        <v>Apply</v>
      </c>
      <c r="C283" s="10" t="s">
        <v>17359</v>
      </c>
      <c r="D283" s="56" t="s">
        <v>17360</v>
      </c>
      <c r="E283" s="10" t="s">
        <v>71</v>
      </c>
      <c r="F283" s="10" t="s">
        <v>17361</v>
      </c>
      <c r="G283" s="10" t="s">
        <v>887</v>
      </c>
      <c r="H283" s="10" t="s">
        <v>48</v>
      </c>
      <c r="J283" s="10" t="s">
        <v>17362</v>
      </c>
      <c r="K283" s="10" t="s">
        <v>42</v>
      </c>
    </row>
    <row r="284" ht="15.75" customHeight="1">
      <c r="A284" s="64">
        <v>45473.0</v>
      </c>
      <c r="B284" s="55" t="str">
        <f>HYPERLINK("https://jobright.ai/jobs/info/6681adcef81a97b0515c47f7?utm_campaign=1063&amp;utm_source=sheet", "Apply")</f>
        <v>Apply</v>
      </c>
      <c r="C284" s="10" t="s">
        <v>17359</v>
      </c>
      <c r="D284" s="56" t="s">
        <v>17360</v>
      </c>
      <c r="E284" s="10" t="s">
        <v>71</v>
      </c>
      <c r="F284" s="10" t="s">
        <v>17361</v>
      </c>
      <c r="G284" s="10" t="s">
        <v>925</v>
      </c>
      <c r="H284" s="10" t="s">
        <v>48</v>
      </c>
      <c r="J284" s="10" t="s">
        <v>17362</v>
      </c>
      <c r="K284" s="10" t="s">
        <v>42</v>
      </c>
    </row>
    <row r="285" ht="15.75" customHeight="1">
      <c r="A285" s="64">
        <v>45473.0</v>
      </c>
      <c r="B285" s="55" t="str">
        <f>HYPERLINK("https://jobright.ai/jobs/info/6681adcef81a97b0515c47fa?utm_campaign=1063&amp;utm_source=sheet", "Apply")</f>
        <v>Apply</v>
      </c>
      <c r="C285" s="10" t="s">
        <v>17359</v>
      </c>
      <c r="D285" s="56" t="s">
        <v>17360</v>
      </c>
      <c r="E285" s="10" t="s">
        <v>71</v>
      </c>
      <c r="F285" s="10" t="s">
        <v>17361</v>
      </c>
      <c r="G285" s="10" t="s">
        <v>889</v>
      </c>
      <c r="H285" s="10" t="s">
        <v>48</v>
      </c>
      <c r="J285" s="10" t="s">
        <v>17362</v>
      </c>
      <c r="K285" s="10" t="s">
        <v>42</v>
      </c>
    </row>
    <row r="286" ht="15.75" customHeight="1">
      <c r="A286" s="64">
        <v>45473.0</v>
      </c>
      <c r="B286" s="55" t="str">
        <f>HYPERLINK("https://jobright.ai/jobs/info/6681adcef81a97b0515c47ff?utm_campaign=1063&amp;utm_source=sheet", "Apply")</f>
        <v>Apply</v>
      </c>
      <c r="C286" s="10" t="s">
        <v>17359</v>
      </c>
      <c r="D286" s="56" t="s">
        <v>17360</v>
      </c>
      <c r="E286" s="10" t="s">
        <v>71</v>
      </c>
      <c r="F286" s="10" t="s">
        <v>17361</v>
      </c>
      <c r="G286" s="10" t="s">
        <v>1001</v>
      </c>
      <c r="H286" s="10" t="s">
        <v>48</v>
      </c>
      <c r="J286" s="10" t="s">
        <v>17362</v>
      </c>
      <c r="K286" s="10" t="s">
        <v>42</v>
      </c>
    </row>
    <row r="287" ht="15.75" customHeight="1">
      <c r="A287" s="64">
        <v>45473.0</v>
      </c>
      <c r="B287" s="55" t="str">
        <f>HYPERLINK("https://jobright.ai/jobs/info/6681adcef81a97b0515c47f9?utm_campaign=1063&amp;utm_source=sheet", "Apply")</f>
        <v>Apply</v>
      </c>
      <c r="C287" s="10" t="s">
        <v>17359</v>
      </c>
      <c r="D287" s="56" t="s">
        <v>17360</v>
      </c>
      <c r="E287" s="10" t="s">
        <v>71</v>
      </c>
      <c r="F287" s="10" t="s">
        <v>17361</v>
      </c>
      <c r="G287" s="10" t="s">
        <v>913</v>
      </c>
      <c r="H287" s="10" t="s">
        <v>48</v>
      </c>
      <c r="J287" s="10" t="s">
        <v>17362</v>
      </c>
      <c r="K287" s="10" t="s">
        <v>42</v>
      </c>
    </row>
    <row r="288" ht="15.75" customHeight="1">
      <c r="A288" s="64">
        <v>45473.0</v>
      </c>
      <c r="B288" s="55" t="str">
        <f>HYPERLINK("https://jobright.ai/jobs/info/6681adcef81a97b0515c47fc?utm_campaign=1063&amp;utm_source=sheet", "Apply")</f>
        <v>Apply</v>
      </c>
      <c r="C288" s="10" t="s">
        <v>17359</v>
      </c>
      <c r="D288" s="56" t="s">
        <v>17360</v>
      </c>
      <c r="E288" s="10" t="s">
        <v>71</v>
      </c>
      <c r="F288" s="10" t="s">
        <v>17361</v>
      </c>
      <c r="G288" s="10" t="s">
        <v>932</v>
      </c>
      <c r="H288" s="10" t="s">
        <v>48</v>
      </c>
      <c r="J288" s="10" t="s">
        <v>17362</v>
      </c>
      <c r="K288" s="10" t="s">
        <v>42</v>
      </c>
    </row>
    <row r="289" ht="15.75" customHeight="1">
      <c r="A289" s="64">
        <v>45473.0</v>
      </c>
      <c r="B289" s="55" t="str">
        <f>HYPERLINK("https://jobright.ai/jobs/info/6681adcef81a97b0515c47fb?utm_campaign=1063&amp;utm_source=sheet", "Apply")</f>
        <v>Apply</v>
      </c>
      <c r="C289" s="10" t="s">
        <v>17359</v>
      </c>
      <c r="D289" s="56" t="s">
        <v>17360</v>
      </c>
      <c r="E289" s="10" t="s">
        <v>71</v>
      </c>
      <c r="F289" s="10" t="s">
        <v>17361</v>
      </c>
      <c r="G289" s="10" t="s">
        <v>840</v>
      </c>
      <c r="H289" s="10" t="s">
        <v>48</v>
      </c>
      <c r="J289" s="10" t="s">
        <v>17362</v>
      </c>
      <c r="K289" s="10" t="s">
        <v>42</v>
      </c>
    </row>
    <row r="290" ht="15.75" customHeight="1">
      <c r="A290" s="64">
        <v>45473.0</v>
      </c>
      <c r="B290" s="55" t="str">
        <f>HYPERLINK("https://jobright.ai/jobs/info/6681adcef81a97b0515c47fe?utm_campaign=1063&amp;utm_source=sheet", "Apply")</f>
        <v>Apply</v>
      </c>
      <c r="C290" s="10" t="s">
        <v>17359</v>
      </c>
      <c r="D290" s="56" t="s">
        <v>17360</v>
      </c>
      <c r="E290" s="10" t="s">
        <v>71</v>
      </c>
      <c r="F290" s="10" t="s">
        <v>17361</v>
      </c>
      <c r="G290" s="10" t="s">
        <v>797</v>
      </c>
      <c r="H290" s="10" t="s">
        <v>48</v>
      </c>
      <c r="J290" s="10" t="s">
        <v>17362</v>
      </c>
      <c r="K290" s="10" t="s">
        <v>42</v>
      </c>
    </row>
    <row r="291" ht="15.75" customHeight="1">
      <c r="A291" s="64">
        <v>45473.0</v>
      </c>
      <c r="B291" s="55" t="str">
        <f>HYPERLINK("https://jobright.ai/jobs/info/6681adcef81a97b0515c4803?utm_campaign=1063&amp;utm_source=sheet", "Apply")</f>
        <v>Apply</v>
      </c>
      <c r="C291" s="10" t="s">
        <v>17359</v>
      </c>
      <c r="D291" s="56" t="s">
        <v>17360</v>
      </c>
      <c r="E291" s="10" t="s">
        <v>71</v>
      </c>
      <c r="F291" s="10" t="s">
        <v>17361</v>
      </c>
      <c r="G291" s="10" t="s">
        <v>777</v>
      </c>
      <c r="H291" s="10" t="s">
        <v>48</v>
      </c>
      <c r="J291" s="10" t="s">
        <v>17362</v>
      </c>
      <c r="K291" s="10" t="s">
        <v>42</v>
      </c>
    </row>
    <row r="292" ht="15.75" customHeight="1">
      <c r="A292" s="64">
        <v>45473.0</v>
      </c>
      <c r="B292" s="55" t="str">
        <f>HYPERLINK("https://jobright.ai/jobs/info/6681adcef81a97b0515c47fd?utm_campaign=1063&amp;utm_source=sheet", "Apply")</f>
        <v>Apply</v>
      </c>
      <c r="C292" s="10" t="s">
        <v>17359</v>
      </c>
      <c r="D292" s="56" t="s">
        <v>17360</v>
      </c>
      <c r="E292" s="10" t="s">
        <v>71</v>
      </c>
      <c r="F292" s="10" t="s">
        <v>17361</v>
      </c>
      <c r="G292" s="10" t="s">
        <v>153</v>
      </c>
      <c r="H292" s="10" t="s">
        <v>48</v>
      </c>
      <c r="J292" s="10" t="s">
        <v>17362</v>
      </c>
      <c r="K292" s="10" t="s">
        <v>42</v>
      </c>
    </row>
    <row r="293" ht="15.75" customHeight="1">
      <c r="A293" s="64">
        <v>45473.0</v>
      </c>
      <c r="B293" s="55" t="str">
        <f>HYPERLINK("https://jobright.ai/jobs/info/6681adcef81a97b0515c480b?utm_campaign=1063&amp;utm_source=sheet", "Apply")</f>
        <v>Apply</v>
      </c>
      <c r="C293" s="10" t="s">
        <v>17359</v>
      </c>
      <c r="D293" s="56" t="s">
        <v>17360</v>
      </c>
      <c r="E293" s="10" t="s">
        <v>71</v>
      </c>
      <c r="F293" s="10" t="s">
        <v>17361</v>
      </c>
      <c r="G293" s="10" t="s">
        <v>775</v>
      </c>
      <c r="H293" s="10" t="s">
        <v>48</v>
      </c>
      <c r="J293" s="10" t="s">
        <v>17362</v>
      </c>
      <c r="K293" s="10" t="s">
        <v>42</v>
      </c>
    </row>
    <row r="294" ht="15.75" customHeight="1">
      <c r="A294" s="64">
        <v>45473.0</v>
      </c>
      <c r="B294" s="55" t="str">
        <f>HYPERLINK("https://jobright.ai/jobs/info/6681adcef81a97b0515c4808?utm_campaign=1063&amp;utm_source=sheet", "Apply")</f>
        <v>Apply</v>
      </c>
      <c r="C294" s="10" t="s">
        <v>17359</v>
      </c>
      <c r="D294" s="56" t="s">
        <v>17360</v>
      </c>
      <c r="E294" s="10" t="s">
        <v>71</v>
      </c>
      <c r="F294" s="10" t="s">
        <v>17361</v>
      </c>
      <c r="G294" s="10" t="s">
        <v>986</v>
      </c>
      <c r="H294" s="10" t="s">
        <v>48</v>
      </c>
      <c r="J294" s="10" t="s">
        <v>17362</v>
      </c>
      <c r="K294" s="10" t="s">
        <v>42</v>
      </c>
    </row>
    <row r="295" ht="15.75" customHeight="1">
      <c r="A295" s="64">
        <v>45473.0</v>
      </c>
      <c r="B295" s="55" t="str">
        <f>HYPERLINK("https://jobright.ai/jobs/info/6681adcef81a97b0515c480f?utm_campaign=1063&amp;utm_source=sheet", "Apply")</f>
        <v>Apply</v>
      </c>
      <c r="C295" s="10" t="s">
        <v>17359</v>
      </c>
      <c r="D295" s="56" t="s">
        <v>17360</v>
      </c>
      <c r="E295" s="10" t="s">
        <v>71</v>
      </c>
      <c r="F295" s="10" t="s">
        <v>17361</v>
      </c>
      <c r="G295" s="10" t="s">
        <v>857</v>
      </c>
      <c r="H295" s="10" t="s">
        <v>48</v>
      </c>
      <c r="J295" s="10" t="s">
        <v>17362</v>
      </c>
      <c r="K295" s="10" t="s">
        <v>42</v>
      </c>
    </row>
    <row r="296" ht="15.75" customHeight="1">
      <c r="A296" s="64">
        <v>45473.0</v>
      </c>
      <c r="B296" s="55" t="str">
        <f>HYPERLINK("https://jobright.ai/jobs/info/6681adcef81a97b0515c4812?utm_campaign=1063&amp;utm_source=sheet", "Apply")</f>
        <v>Apply</v>
      </c>
      <c r="C296" s="10" t="s">
        <v>17359</v>
      </c>
      <c r="D296" s="56" t="s">
        <v>17360</v>
      </c>
      <c r="E296" s="10" t="s">
        <v>71</v>
      </c>
      <c r="F296" s="10" t="s">
        <v>17361</v>
      </c>
      <c r="G296" s="10" t="s">
        <v>821</v>
      </c>
      <c r="H296" s="10" t="s">
        <v>48</v>
      </c>
      <c r="J296" s="10" t="s">
        <v>17362</v>
      </c>
      <c r="K296" s="10" t="s">
        <v>42</v>
      </c>
    </row>
    <row r="297" ht="15.75" customHeight="1">
      <c r="A297" s="64">
        <v>45473.0</v>
      </c>
      <c r="B297" s="55" t="str">
        <f>HYPERLINK("https://jobright.ai/jobs/info/6681adcef81a97b0515c480a?utm_campaign=1063&amp;utm_source=sheet", "Apply")</f>
        <v>Apply</v>
      </c>
      <c r="C297" s="10" t="s">
        <v>17359</v>
      </c>
      <c r="D297" s="56" t="s">
        <v>17360</v>
      </c>
      <c r="E297" s="10" t="s">
        <v>71</v>
      </c>
      <c r="F297" s="10" t="s">
        <v>17361</v>
      </c>
      <c r="G297" s="10" t="s">
        <v>875</v>
      </c>
      <c r="H297" s="10" t="s">
        <v>48</v>
      </c>
      <c r="J297" s="10" t="s">
        <v>17362</v>
      </c>
      <c r="K297" s="10" t="s">
        <v>42</v>
      </c>
    </row>
    <row r="298" ht="15.75" customHeight="1">
      <c r="A298" s="64">
        <v>45473.0</v>
      </c>
      <c r="B298" s="55" t="str">
        <f>HYPERLINK("https://jobright.ai/jobs/info/6681adcef81a97b0515c4805?utm_campaign=1063&amp;utm_source=sheet", "Apply")</f>
        <v>Apply</v>
      </c>
      <c r="C298" s="10" t="s">
        <v>17359</v>
      </c>
      <c r="D298" s="56" t="s">
        <v>17360</v>
      </c>
      <c r="E298" s="10" t="s">
        <v>71</v>
      </c>
      <c r="F298" s="10" t="s">
        <v>17361</v>
      </c>
      <c r="G298" s="10" t="s">
        <v>799</v>
      </c>
      <c r="H298" s="10" t="s">
        <v>48</v>
      </c>
      <c r="J298" s="10" t="s">
        <v>17362</v>
      </c>
      <c r="K298" s="10" t="s">
        <v>42</v>
      </c>
    </row>
    <row r="299" ht="15.75" customHeight="1">
      <c r="A299" s="64">
        <v>45473.0</v>
      </c>
      <c r="B299" s="55" t="str">
        <f>HYPERLINK("https://jobright.ai/jobs/info/6681adcef81a97b0515c4806?utm_campaign=1063&amp;utm_source=sheet", "Apply")</f>
        <v>Apply</v>
      </c>
      <c r="C299" s="10" t="s">
        <v>17359</v>
      </c>
      <c r="D299" s="56" t="s">
        <v>17360</v>
      </c>
      <c r="E299" s="10" t="s">
        <v>71</v>
      </c>
      <c r="F299" s="10" t="s">
        <v>17361</v>
      </c>
      <c r="G299" s="10" t="s">
        <v>863</v>
      </c>
      <c r="H299" s="10" t="s">
        <v>48</v>
      </c>
      <c r="J299" s="10" t="s">
        <v>17362</v>
      </c>
      <c r="K299" s="10" t="s">
        <v>42</v>
      </c>
    </row>
    <row r="300" ht="15.75" customHeight="1">
      <c r="A300" s="64">
        <v>45473.0</v>
      </c>
      <c r="B300" s="55" t="str">
        <f>HYPERLINK("https://jobright.ai/jobs/info/6681adcef81a97b0515c4804?utm_campaign=1063&amp;utm_source=sheet", "Apply")</f>
        <v>Apply</v>
      </c>
      <c r="C300" s="10" t="s">
        <v>17359</v>
      </c>
      <c r="D300" s="56" t="s">
        <v>17360</v>
      </c>
      <c r="E300" s="10" t="s">
        <v>71</v>
      </c>
      <c r="F300" s="10" t="s">
        <v>17361</v>
      </c>
      <c r="G300" s="10" t="s">
        <v>999</v>
      </c>
      <c r="H300" s="10" t="s">
        <v>48</v>
      </c>
      <c r="J300" s="10" t="s">
        <v>17362</v>
      </c>
      <c r="K300" s="10" t="s">
        <v>42</v>
      </c>
    </row>
    <row r="301" ht="15.75" customHeight="1">
      <c r="A301" s="64">
        <v>45473.0</v>
      </c>
      <c r="B301" s="55" t="str">
        <f>HYPERLINK("https://jobright.ai/jobs/info/6681adcef81a97b0515c480c?utm_campaign=1063&amp;utm_source=sheet", "Apply")</f>
        <v>Apply</v>
      </c>
      <c r="C301" s="10" t="s">
        <v>17359</v>
      </c>
      <c r="D301" s="56" t="s">
        <v>17360</v>
      </c>
      <c r="E301" s="10" t="s">
        <v>71</v>
      </c>
      <c r="F301" s="10" t="s">
        <v>17361</v>
      </c>
      <c r="G301" s="10" t="s">
        <v>795</v>
      </c>
      <c r="H301" s="10" t="s">
        <v>48</v>
      </c>
      <c r="J301" s="10" t="s">
        <v>17362</v>
      </c>
      <c r="K301" s="10" t="s">
        <v>42</v>
      </c>
    </row>
    <row r="302" ht="15.75" customHeight="1">
      <c r="A302" s="64">
        <v>45473.0</v>
      </c>
      <c r="B302" s="55" t="str">
        <f>HYPERLINK("https://jobright.ai/jobs/info/6681adcef81a97b0515c4809?utm_campaign=1063&amp;utm_source=sheet", "Apply")</f>
        <v>Apply</v>
      </c>
      <c r="C302" s="10" t="s">
        <v>17359</v>
      </c>
      <c r="D302" s="56" t="s">
        <v>17360</v>
      </c>
      <c r="E302" s="10" t="s">
        <v>71</v>
      </c>
      <c r="F302" s="10" t="s">
        <v>17361</v>
      </c>
      <c r="G302" s="10" t="s">
        <v>994</v>
      </c>
      <c r="H302" s="10" t="s">
        <v>48</v>
      </c>
      <c r="J302" s="10" t="s">
        <v>17362</v>
      </c>
      <c r="K302" s="10" t="s">
        <v>42</v>
      </c>
    </row>
    <row r="303" ht="15.75" customHeight="1">
      <c r="A303" s="64">
        <v>45473.0</v>
      </c>
      <c r="B303" s="55" t="str">
        <f>HYPERLINK("https://jobright.ai/jobs/info/6681adcef81a97b0515c4811?utm_campaign=1063&amp;utm_source=sheet", "Apply")</f>
        <v>Apply</v>
      </c>
      <c r="C303" s="10" t="s">
        <v>17359</v>
      </c>
      <c r="D303" s="56" t="s">
        <v>17360</v>
      </c>
      <c r="E303" s="10" t="s">
        <v>71</v>
      </c>
      <c r="F303" s="10" t="s">
        <v>17361</v>
      </c>
      <c r="G303" s="10" t="s">
        <v>113</v>
      </c>
      <c r="H303" s="10" t="s">
        <v>48</v>
      </c>
      <c r="J303" s="10" t="s">
        <v>17362</v>
      </c>
      <c r="K303" s="10" t="s">
        <v>42</v>
      </c>
    </row>
    <row r="304" ht="15.75" customHeight="1">
      <c r="A304" s="64">
        <v>45473.0</v>
      </c>
      <c r="B304" s="55" t="str">
        <f>HYPERLINK("https://jobright.ai/jobs/info/6681adcef81a97b0515c480d?utm_campaign=1063&amp;utm_source=sheet", "Apply")</f>
        <v>Apply</v>
      </c>
      <c r="C304" s="10" t="s">
        <v>17359</v>
      </c>
      <c r="D304" s="56" t="s">
        <v>17360</v>
      </c>
      <c r="E304" s="10" t="s">
        <v>71</v>
      </c>
      <c r="F304" s="10" t="s">
        <v>17361</v>
      </c>
      <c r="G304" s="10" t="s">
        <v>876</v>
      </c>
      <c r="H304" s="10" t="s">
        <v>48</v>
      </c>
      <c r="J304" s="10" t="s">
        <v>17362</v>
      </c>
      <c r="K304" s="10" t="s">
        <v>42</v>
      </c>
    </row>
    <row r="305" ht="15.75" customHeight="1">
      <c r="A305" s="64">
        <v>45473.0</v>
      </c>
      <c r="B305" s="55" t="str">
        <f>HYPERLINK("https://jobright.ai/jobs/info/6681adcef81a97b0515c480e?utm_campaign=1063&amp;utm_source=sheet", "Apply")</f>
        <v>Apply</v>
      </c>
      <c r="C305" s="10" t="s">
        <v>17359</v>
      </c>
      <c r="D305" s="56" t="s">
        <v>17360</v>
      </c>
      <c r="E305" s="10" t="s">
        <v>71</v>
      </c>
      <c r="F305" s="10" t="s">
        <v>17361</v>
      </c>
      <c r="G305" s="10" t="s">
        <v>168</v>
      </c>
      <c r="H305" s="10" t="s">
        <v>48</v>
      </c>
      <c r="J305" s="10" t="s">
        <v>17362</v>
      </c>
      <c r="K305" s="10" t="s">
        <v>42</v>
      </c>
    </row>
    <row r="306" ht="15.75" customHeight="1">
      <c r="A306" s="64">
        <v>45473.0</v>
      </c>
      <c r="B306" s="55" t="str">
        <f>HYPERLINK("https://jobright.ai/jobs/info/6681adcef81a97b0515c4807?utm_campaign=1063&amp;utm_source=sheet", "Apply")</f>
        <v>Apply</v>
      </c>
      <c r="C306" s="10" t="s">
        <v>17359</v>
      </c>
      <c r="D306" s="56" t="s">
        <v>17360</v>
      </c>
      <c r="E306" s="10" t="s">
        <v>71</v>
      </c>
      <c r="F306" s="10" t="s">
        <v>17361</v>
      </c>
      <c r="G306" s="10" t="s">
        <v>1010</v>
      </c>
      <c r="H306" s="10" t="s">
        <v>48</v>
      </c>
      <c r="J306" s="10" t="s">
        <v>17362</v>
      </c>
      <c r="K306" s="10" t="s">
        <v>42</v>
      </c>
    </row>
    <row r="307" ht="15.75" customHeight="1">
      <c r="A307" s="64">
        <v>45473.0</v>
      </c>
      <c r="B307" s="55" t="str">
        <f>HYPERLINK("https://jobright.ai/jobs/info/6681adcef81a97b0515c481c?utm_campaign=1063&amp;utm_source=sheet", "Apply")</f>
        <v>Apply</v>
      </c>
      <c r="C307" s="10" t="s">
        <v>17359</v>
      </c>
      <c r="D307" s="56" t="s">
        <v>17360</v>
      </c>
      <c r="E307" s="10" t="s">
        <v>71</v>
      </c>
      <c r="F307" s="10" t="s">
        <v>17361</v>
      </c>
      <c r="G307" s="10" t="s">
        <v>1041</v>
      </c>
      <c r="H307" s="10" t="s">
        <v>48</v>
      </c>
      <c r="J307" s="10" t="s">
        <v>17362</v>
      </c>
      <c r="K307" s="10" t="s">
        <v>42</v>
      </c>
    </row>
    <row r="308" ht="15.75" customHeight="1">
      <c r="A308" s="64">
        <v>45473.0</v>
      </c>
      <c r="B308" s="55" t="str">
        <f>HYPERLINK("https://jobright.ai/jobs/info/6681adcef81a97b0515c4819?utm_campaign=1063&amp;utm_source=sheet", "Apply")</f>
        <v>Apply</v>
      </c>
      <c r="C308" s="10" t="s">
        <v>17359</v>
      </c>
      <c r="D308" s="56" t="s">
        <v>17360</v>
      </c>
      <c r="E308" s="10" t="s">
        <v>71</v>
      </c>
      <c r="F308" s="10" t="s">
        <v>17361</v>
      </c>
      <c r="G308" s="10" t="s">
        <v>878</v>
      </c>
      <c r="H308" s="10" t="s">
        <v>48</v>
      </c>
      <c r="J308" s="10" t="s">
        <v>17362</v>
      </c>
      <c r="K308" s="10" t="s">
        <v>42</v>
      </c>
    </row>
    <row r="309" ht="15.75" customHeight="1">
      <c r="A309" s="64">
        <v>45473.0</v>
      </c>
      <c r="B309" s="55" t="str">
        <f>HYPERLINK("https://jobright.ai/jobs/info/6681adcef81a97b0515c4815?utm_campaign=1063&amp;utm_source=sheet", "Apply")</f>
        <v>Apply</v>
      </c>
      <c r="C309" s="10" t="s">
        <v>17359</v>
      </c>
      <c r="D309" s="56" t="s">
        <v>17360</v>
      </c>
      <c r="E309" s="10" t="s">
        <v>71</v>
      </c>
      <c r="F309" s="10" t="s">
        <v>17361</v>
      </c>
      <c r="G309" s="10" t="s">
        <v>605</v>
      </c>
      <c r="H309" s="10" t="s">
        <v>48</v>
      </c>
      <c r="J309" s="10" t="s">
        <v>17362</v>
      </c>
      <c r="K309" s="10" t="s">
        <v>42</v>
      </c>
    </row>
    <row r="310" ht="15.75" customHeight="1">
      <c r="A310" s="64">
        <v>45473.0</v>
      </c>
      <c r="B310" s="55" t="str">
        <f>HYPERLINK("https://jobright.ai/jobs/info/6681adcef81a97b0515c481e?utm_campaign=1063&amp;utm_source=sheet", "Apply")</f>
        <v>Apply</v>
      </c>
      <c r="C310" s="10" t="s">
        <v>17359</v>
      </c>
      <c r="D310" s="56" t="s">
        <v>17360</v>
      </c>
      <c r="E310" s="10" t="s">
        <v>71</v>
      </c>
      <c r="F310" s="10" t="s">
        <v>17361</v>
      </c>
      <c r="G310" s="10" t="s">
        <v>1022</v>
      </c>
      <c r="H310" s="10" t="s">
        <v>48</v>
      </c>
      <c r="J310" s="10" t="s">
        <v>17362</v>
      </c>
      <c r="K310" s="10" t="s">
        <v>42</v>
      </c>
    </row>
    <row r="311" ht="15.75" customHeight="1">
      <c r="A311" s="64">
        <v>45473.0</v>
      </c>
      <c r="B311" s="55" t="str">
        <f>HYPERLINK("https://jobright.ai/jobs/info/6681adcef81a97b0515c4814?utm_campaign=1063&amp;utm_source=sheet", "Apply")</f>
        <v>Apply</v>
      </c>
      <c r="C311" s="10" t="s">
        <v>17359</v>
      </c>
      <c r="D311" s="56" t="s">
        <v>17360</v>
      </c>
      <c r="E311" s="10" t="s">
        <v>71</v>
      </c>
      <c r="F311" s="10" t="s">
        <v>17361</v>
      </c>
      <c r="G311" s="10" t="s">
        <v>1029</v>
      </c>
      <c r="H311" s="10" t="s">
        <v>48</v>
      </c>
      <c r="J311" s="10" t="s">
        <v>17362</v>
      </c>
      <c r="K311" s="10" t="s">
        <v>42</v>
      </c>
    </row>
    <row r="312" ht="15.75" customHeight="1">
      <c r="A312" s="64">
        <v>45473.0</v>
      </c>
      <c r="B312" s="55" t="str">
        <f>HYPERLINK("https://jobright.ai/jobs/info/6681adcef81a97b0515c4817?utm_campaign=1063&amp;utm_source=sheet", "Apply")</f>
        <v>Apply</v>
      </c>
      <c r="C312" s="10" t="s">
        <v>17359</v>
      </c>
      <c r="D312" s="56" t="s">
        <v>17360</v>
      </c>
      <c r="E312" s="10" t="s">
        <v>71</v>
      </c>
      <c r="F312" s="10" t="s">
        <v>17361</v>
      </c>
      <c r="G312" s="10" t="s">
        <v>824</v>
      </c>
      <c r="H312" s="10" t="s">
        <v>48</v>
      </c>
      <c r="J312" s="10" t="s">
        <v>17362</v>
      </c>
      <c r="K312" s="10" t="s">
        <v>42</v>
      </c>
    </row>
    <row r="313" ht="15.75" customHeight="1">
      <c r="A313" s="64">
        <v>45473.0</v>
      </c>
      <c r="B313" s="55" t="str">
        <f>HYPERLINK("https://jobright.ai/jobs/info/6681adcef81a97b0515c481d?utm_campaign=1063&amp;utm_source=sheet", "Apply")</f>
        <v>Apply</v>
      </c>
      <c r="C313" s="10" t="s">
        <v>17359</v>
      </c>
      <c r="D313" s="56" t="s">
        <v>17360</v>
      </c>
      <c r="E313" s="10" t="s">
        <v>71</v>
      </c>
      <c r="F313" s="10" t="s">
        <v>17361</v>
      </c>
      <c r="G313" s="10" t="s">
        <v>1030</v>
      </c>
      <c r="H313" s="10" t="s">
        <v>48</v>
      </c>
      <c r="J313" s="10" t="s">
        <v>17362</v>
      </c>
      <c r="K313" s="10" t="s">
        <v>42</v>
      </c>
    </row>
    <row r="314" ht="15.75" customHeight="1">
      <c r="A314" s="64">
        <v>45473.0</v>
      </c>
      <c r="B314" s="55" t="str">
        <f>HYPERLINK("https://jobright.ai/jobs/info/6681adcef81a97b0515c481b?utm_campaign=1063&amp;utm_source=sheet", "Apply")</f>
        <v>Apply</v>
      </c>
      <c r="C314" s="10" t="s">
        <v>17359</v>
      </c>
      <c r="D314" s="56" t="s">
        <v>17360</v>
      </c>
      <c r="E314" s="10" t="s">
        <v>71</v>
      </c>
      <c r="F314" s="10" t="s">
        <v>17361</v>
      </c>
      <c r="G314" s="10" t="s">
        <v>844</v>
      </c>
      <c r="H314" s="10" t="s">
        <v>48</v>
      </c>
      <c r="J314" s="10" t="s">
        <v>17362</v>
      </c>
      <c r="K314" s="10" t="s">
        <v>42</v>
      </c>
    </row>
    <row r="315" ht="15.75" customHeight="1">
      <c r="A315" s="64">
        <v>45473.0</v>
      </c>
      <c r="B315" s="55" t="str">
        <f>HYPERLINK("https://jobright.ai/jobs/info/6681adcef81a97b0515c4820?utm_campaign=1063&amp;utm_source=sheet", "Apply")</f>
        <v>Apply</v>
      </c>
      <c r="C315" s="10" t="s">
        <v>17359</v>
      </c>
      <c r="D315" s="56" t="s">
        <v>17360</v>
      </c>
      <c r="E315" s="10" t="s">
        <v>71</v>
      </c>
      <c r="F315" s="10" t="s">
        <v>17361</v>
      </c>
      <c r="G315" s="10" t="s">
        <v>152</v>
      </c>
      <c r="H315" s="10" t="s">
        <v>48</v>
      </c>
      <c r="J315" s="10" t="s">
        <v>17362</v>
      </c>
      <c r="K315" s="10" t="s">
        <v>42</v>
      </c>
    </row>
    <row r="316" ht="15.75" customHeight="1">
      <c r="A316" s="64">
        <v>45473.0</v>
      </c>
      <c r="B316" s="55" t="str">
        <f>HYPERLINK("https://jobright.ai/jobs/info/6681adcef81a97b0515c481a?utm_campaign=1063&amp;utm_source=sheet", "Apply")</f>
        <v>Apply</v>
      </c>
      <c r="C316" s="10" t="s">
        <v>17359</v>
      </c>
      <c r="D316" s="56" t="s">
        <v>17360</v>
      </c>
      <c r="E316" s="10" t="s">
        <v>71</v>
      </c>
      <c r="F316" s="10" t="s">
        <v>17361</v>
      </c>
      <c r="G316" s="10" t="s">
        <v>708</v>
      </c>
      <c r="H316" s="10" t="s">
        <v>48</v>
      </c>
      <c r="J316" s="10" t="s">
        <v>17362</v>
      </c>
      <c r="K316" s="10" t="s">
        <v>42</v>
      </c>
    </row>
    <row r="317" ht="15.75" customHeight="1">
      <c r="A317" s="64">
        <v>45473.0</v>
      </c>
      <c r="B317" s="55" t="str">
        <f>HYPERLINK("https://jobright.ai/jobs/info/6681adcef81a97b0515c481f?utm_campaign=1063&amp;utm_source=sheet", "Apply")</f>
        <v>Apply</v>
      </c>
      <c r="C317" s="10" t="s">
        <v>17359</v>
      </c>
      <c r="D317" s="56" t="s">
        <v>17360</v>
      </c>
      <c r="E317" s="10" t="s">
        <v>71</v>
      </c>
      <c r="F317" s="10" t="s">
        <v>17361</v>
      </c>
      <c r="G317" s="10" t="s">
        <v>955</v>
      </c>
      <c r="H317" s="10" t="s">
        <v>48</v>
      </c>
      <c r="J317" s="10" t="s">
        <v>17362</v>
      </c>
      <c r="K317" s="10" t="s">
        <v>42</v>
      </c>
    </row>
    <row r="318" ht="15.75" customHeight="1">
      <c r="A318" s="64">
        <v>45473.0</v>
      </c>
      <c r="B318" s="55" t="str">
        <f>HYPERLINK("https://jobright.ai/jobs/info/6681adcef81a97b0515c4816?utm_campaign=1063&amp;utm_source=sheet", "Apply")</f>
        <v>Apply</v>
      </c>
      <c r="C318" s="10" t="s">
        <v>17359</v>
      </c>
      <c r="D318" s="56" t="s">
        <v>17360</v>
      </c>
      <c r="E318" s="10" t="s">
        <v>71</v>
      </c>
      <c r="F318" s="10" t="s">
        <v>17361</v>
      </c>
      <c r="G318" s="10" t="s">
        <v>841</v>
      </c>
      <c r="H318" s="10" t="s">
        <v>48</v>
      </c>
      <c r="J318" s="10" t="s">
        <v>17362</v>
      </c>
      <c r="K318" s="10" t="s">
        <v>42</v>
      </c>
    </row>
    <row r="319" ht="15.75" customHeight="1">
      <c r="A319" s="64">
        <v>45473.0</v>
      </c>
      <c r="B319" s="55" t="str">
        <f>HYPERLINK("https://jobright.ai/jobs/info/6681adcef81a97b0515c4813?utm_campaign=1063&amp;utm_source=sheet", "Apply")</f>
        <v>Apply</v>
      </c>
      <c r="C319" s="10" t="s">
        <v>17359</v>
      </c>
      <c r="D319" s="56" t="s">
        <v>17360</v>
      </c>
      <c r="E319" s="10" t="s">
        <v>71</v>
      </c>
      <c r="F319" s="10" t="s">
        <v>17361</v>
      </c>
      <c r="G319" s="10" t="s">
        <v>787</v>
      </c>
      <c r="H319" s="10" t="s">
        <v>48</v>
      </c>
      <c r="J319" s="10" t="s">
        <v>17362</v>
      </c>
      <c r="K319" s="10" t="s">
        <v>42</v>
      </c>
    </row>
    <row r="320" ht="15.75" customHeight="1">
      <c r="A320" s="64">
        <v>45473.0</v>
      </c>
      <c r="B320" s="55" t="str">
        <f>HYPERLINK("https://jobright.ai/jobs/info/6681adcef81a97b0515c4818?utm_campaign=1063&amp;utm_source=sheet", "Apply")</f>
        <v>Apply</v>
      </c>
      <c r="C320" s="10" t="s">
        <v>17359</v>
      </c>
      <c r="D320" s="56" t="s">
        <v>17360</v>
      </c>
      <c r="E320" s="10" t="s">
        <v>71</v>
      </c>
      <c r="F320" s="10" t="s">
        <v>17361</v>
      </c>
      <c r="G320" s="10" t="s">
        <v>997</v>
      </c>
      <c r="H320" s="10" t="s">
        <v>48</v>
      </c>
      <c r="J320" s="10" t="s">
        <v>17362</v>
      </c>
      <c r="K320" s="10" t="s">
        <v>42</v>
      </c>
    </row>
    <row r="321" ht="15.75" customHeight="1">
      <c r="A321" s="64">
        <v>45473.0</v>
      </c>
      <c r="B321" s="55" t="str">
        <f>HYPERLINK("https://jobright.ai/jobs/info/6681adcef81a97b0515c4821?utm_campaign=1063&amp;utm_source=sheet", "Apply")</f>
        <v>Apply</v>
      </c>
      <c r="C321" s="10" t="s">
        <v>17359</v>
      </c>
      <c r="D321" s="56" t="s">
        <v>17360</v>
      </c>
      <c r="E321" s="10" t="s">
        <v>71</v>
      </c>
      <c r="F321" s="10" t="s">
        <v>17361</v>
      </c>
      <c r="G321" s="10" t="s">
        <v>894</v>
      </c>
      <c r="H321" s="10" t="s">
        <v>48</v>
      </c>
      <c r="J321" s="10" t="s">
        <v>17362</v>
      </c>
      <c r="K321" s="10" t="s">
        <v>42</v>
      </c>
    </row>
    <row r="322" ht="15.75" customHeight="1">
      <c r="A322" s="64">
        <v>45473.0</v>
      </c>
      <c r="B322" s="55" t="str">
        <f>HYPERLINK("https://jobright.ai/jobs/info/6681b1bfa8ba421aa220fe3e?utm_campaign=1063&amp;utm_source=sheet", "Apply")</f>
        <v>Apply</v>
      </c>
      <c r="C322" s="10" t="s">
        <v>17359</v>
      </c>
      <c r="D322" s="56" t="s">
        <v>17360</v>
      </c>
      <c r="E322" s="10" t="s">
        <v>71</v>
      </c>
      <c r="F322" s="10" t="s">
        <v>17361</v>
      </c>
      <c r="G322" s="10" t="s">
        <v>915</v>
      </c>
      <c r="H322" s="10" t="s">
        <v>48</v>
      </c>
      <c r="J322" s="10" t="s">
        <v>17362</v>
      </c>
      <c r="K322" s="10" t="s">
        <v>42</v>
      </c>
    </row>
    <row r="323" ht="15.75" customHeight="1">
      <c r="A323" s="64">
        <v>45473.0</v>
      </c>
      <c r="B323" s="55" t="str">
        <f>HYPERLINK("https://jobright.ai/jobs/info/6681b1bfa8ba421aa220fe41?utm_campaign=1063&amp;utm_source=sheet", "Apply")</f>
        <v>Apply</v>
      </c>
      <c r="C323" s="10" t="s">
        <v>17359</v>
      </c>
      <c r="D323" s="56" t="s">
        <v>17360</v>
      </c>
      <c r="E323" s="10" t="s">
        <v>71</v>
      </c>
      <c r="F323" s="10" t="s">
        <v>17361</v>
      </c>
      <c r="G323" s="10" t="s">
        <v>757</v>
      </c>
      <c r="H323" s="10" t="s">
        <v>48</v>
      </c>
      <c r="J323" s="10" t="s">
        <v>17362</v>
      </c>
      <c r="K323" s="10" t="s">
        <v>42</v>
      </c>
    </row>
    <row r="324" ht="15.75" customHeight="1">
      <c r="A324" s="64">
        <v>45473.0</v>
      </c>
      <c r="B324" s="55" t="str">
        <f>HYPERLINK("https://jobright.ai/jobs/info/6681b1bfa8ba421aa220fe40?utm_campaign=1063&amp;utm_source=sheet", "Apply")</f>
        <v>Apply</v>
      </c>
      <c r="C324" s="10" t="s">
        <v>17359</v>
      </c>
      <c r="D324" s="56" t="s">
        <v>17360</v>
      </c>
      <c r="E324" s="10" t="s">
        <v>71</v>
      </c>
      <c r="F324" s="10" t="s">
        <v>17361</v>
      </c>
      <c r="G324" s="10" t="s">
        <v>96</v>
      </c>
      <c r="H324" s="10" t="s">
        <v>48</v>
      </c>
      <c r="J324" s="10" t="s">
        <v>17362</v>
      </c>
      <c r="K324" s="10" t="s">
        <v>42</v>
      </c>
    </row>
    <row r="325" ht="15.75" customHeight="1">
      <c r="A325" s="64">
        <v>45473.0</v>
      </c>
      <c r="B325" s="55" t="str">
        <f>HYPERLINK("https://jobright.ai/jobs/info/6681b1bfa8ba421aa220fe45?utm_campaign=1063&amp;utm_source=sheet", "Apply")</f>
        <v>Apply</v>
      </c>
      <c r="C325" s="10" t="s">
        <v>17359</v>
      </c>
      <c r="D325" s="56" t="s">
        <v>17360</v>
      </c>
      <c r="E325" s="10" t="s">
        <v>71</v>
      </c>
      <c r="F325" s="10" t="s">
        <v>17361</v>
      </c>
      <c r="G325" s="10" t="s">
        <v>856</v>
      </c>
      <c r="H325" s="10" t="s">
        <v>48</v>
      </c>
      <c r="J325" s="10" t="s">
        <v>17362</v>
      </c>
      <c r="K325" s="10" t="s">
        <v>42</v>
      </c>
    </row>
    <row r="326" ht="15.75" customHeight="1">
      <c r="A326" s="64">
        <v>45473.0</v>
      </c>
      <c r="B326" s="55" t="str">
        <f>HYPERLINK("https://jobright.ai/jobs/info/6681b1bfa8ba421aa220fe3f?utm_campaign=1063&amp;utm_source=sheet", "Apply")</f>
        <v>Apply</v>
      </c>
      <c r="C326" s="10" t="s">
        <v>17359</v>
      </c>
      <c r="D326" s="56" t="s">
        <v>17360</v>
      </c>
      <c r="E326" s="10" t="s">
        <v>71</v>
      </c>
      <c r="F326" s="10" t="s">
        <v>17361</v>
      </c>
      <c r="G326" s="10" t="s">
        <v>960</v>
      </c>
      <c r="H326" s="10" t="s">
        <v>48</v>
      </c>
      <c r="J326" s="10" t="s">
        <v>17362</v>
      </c>
      <c r="K326" s="10" t="s">
        <v>42</v>
      </c>
    </row>
    <row r="327" ht="15.75" customHeight="1">
      <c r="A327" s="64">
        <v>45473.0</v>
      </c>
      <c r="B327" s="55" t="str">
        <f>HYPERLINK("https://jobright.ai/jobs/info/6681b1bfa8ba421aa220fe46?utm_campaign=1063&amp;utm_source=sheet", "Apply")</f>
        <v>Apply</v>
      </c>
      <c r="C327" s="10" t="s">
        <v>17359</v>
      </c>
      <c r="D327" s="56" t="s">
        <v>17360</v>
      </c>
      <c r="E327" s="10" t="s">
        <v>71</v>
      </c>
      <c r="F327" s="10" t="s">
        <v>17361</v>
      </c>
      <c r="G327" s="10" t="s">
        <v>917</v>
      </c>
      <c r="H327" s="10" t="s">
        <v>48</v>
      </c>
      <c r="J327" s="10" t="s">
        <v>17362</v>
      </c>
      <c r="K327" s="10" t="s">
        <v>42</v>
      </c>
    </row>
    <row r="328" ht="15.75" customHeight="1">
      <c r="A328" s="64">
        <v>45473.0</v>
      </c>
      <c r="B328" s="55" t="str">
        <f>HYPERLINK("https://jobright.ai/jobs/info/6681b1bfa8ba421aa220fe42?utm_campaign=1063&amp;utm_source=sheet", "Apply")</f>
        <v>Apply</v>
      </c>
      <c r="C328" s="10" t="s">
        <v>17359</v>
      </c>
      <c r="D328" s="56" t="s">
        <v>17360</v>
      </c>
      <c r="E328" s="10" t="s">
        <v>71</v>
      </c>
      <c r="F328" s="10" t="s">
        <v>17361</v>
      </c>
      <c r="G328" s="10" t="s">
        <v>763</v>
      </c>
      <c r="H328" s="10" t="s">
        <v>48</v>
      </c>
      <c r="J328" s="10" t="s">
        <v>17362</v>
      </c>
      <c r="K328" s="10" t="s">
        <v>42</v>
      </c>
    </row>
    <row r="329" ht="15.75" customHeight="1">
      <c r="A329" s="64">
        <v>45473.0</v>
      </c>
      <c r="B329" s="55" t="str">
        <f>HYPERLINK("https://jobright.ai/jobs/info/6681b1bfa8ba421aa220fe44?utm_campaign=1063&amp;utm_source=sheet", "Apply")</f>
        <v>Apply</v>
      </c>
      <c r="C329" s="10" t="s">
        <v>17359</v>
      </c>
      <c r="D329" s="56" t="s">
        <v>17360</v>
      </c>
      <c r="E329" s="10" t="s">
        <v>71</v>
      </c>
      <c r="F329" s="10" t="s">
        <v>17361</v>
      </c>
      <c r="G329" s="10" t="s">
        <v>869</v>
      </c>
      <c r="H329" s="10" t="s">
        <v>48</v>
      </c>
      <c r="J329" s="10" t="s">
        <v>17362</v>
      </c>
      <c r="K329" s="10" t="s">
        <v>42</v>
      </c>
    </row>
    <row r="330" ht="15.75" customHeight="1">
      <c r="A330" s="64">
        <v>45473.0</v>
      </c>
      <c r="B330" s="55" t="str">
        <f>HYPERLINK("https://jobright.ai/jobs/info/6681b1bfa8ba421aa220fe4c?utm_campaign=1063&amp;utm_source=sheet", "Apply")</f>
        <v>Apply</v>
      </c>
      <c r="C330" s="10" t="s">
        <v>17359</v>
      </c>
      <c r="D330" s="56" t="s">
        <v>17360</v>
      </c>
      <c r="E330" s="10" t="s">
        <v>71</v>
      </c>
      <c r="F330" s="10" t="s">
        <v>17361</v>
      </c>
      <c r="G330" s="10" t="s">
        <v>313</v>
      </c>
      <c r="H330" s="10" t="s">
        <v>48</v>
      </c>
      <c r="J330" s="10" t="s">
        <v>17362</v>
      </c>
      <c r="K330" s="10" t="s">
        <v>42</v>
      </c>
    </row>
    <row r="331" ht="15.75" customHeight="1">
      <c r="A331" s="64">
        <v>45473.0</v>
      </c>
      <c r="B331" s="55" t="str">
        <f>HYPERLINK("https://jobright.ai/jobs/info/6681b1bfa8ba421aa220fe4d?utm_campaign=1063&amp;utm_source=sheet", "Apply")</f>
        <v>Apply</v>
      </c>
      <c r="C331" s="10" t="s">
        <v>17359</v>
      </c>
      <c r="D331" s="56" t="s">
        <v>17360</v>
      </c>
      <c r="E331" s="10" t="s">
        <v>71</v>
      </c>
      <c r="F331" s="10" t="s">
        <v>17361</v>
      </c>
      <c r="G331" s="10" t="s">
        <v>609</v>
      </c>
      <c r="H331" s="10" t="s">
        <v>48</v>
      </c>
      <c r="J331" s="10" t="s">
        <v>17362</v>
      </c>
      <c r="K331" s="10" t="s">
        <v>42</v>
      </c>
    </row>
    <row r="332" ht="15.75" customHeight="1">
      <c r="A332" s="64">
        <v>45473.0</v>
      </c>
      <c r="B332" s="55" t="str">
        <f>HYPERLINK("https://jobright.ai/jobs/info/6681b1bfa8ba421aa220fe4b?utm_campaign=1063&amp;utm_source=sheet", "Apply")</f>
        <v>Apply</v>
      </c>
      <c r="C332" s="10" t="s">
        <v>17359</v>
      </c>
      <c r="D332" s="56" t="s">
        <v>17360</v>
      </c>
      <c r="E332" s="10" t="s">
        <v>71</v>
      </c>
      <c r="F332" s="10" t="s">
        <v>17361</v>
      </c>
      <c r="G332" s="10" t="s">
        <v>834</v>
      </c>
      <c r="H332" s="10" t="s">
        <v>48</v>
      </c>
      <c r="J332" s="10" t="s">
        <v>17362</v>
      </c>
      <c r="K332" s="10" t="s">
        <v>42</v>
      </c>
    </row>
    <row r="333" ht="15.75" customHeight="1">
      <c r="A333" s="64">
        <v>45473.0</v>
      </c>
      <c r="B333" s="55" t="str">
        <f>HYPERLINK("https://jobright.ai/jobs/info/6681b1bfa8ba421aa220fe4a?utm_campaign=1063&amp;utm_source=sheet", "Apply")</f>
        <v>Apply</v>
      </c>
      <c r="C333" s="10" t="s">
        <v>17359</v>
      </c>
      <c r="D333" s="56" t="s">
        <v>17360</v>
      </c>
      <c r="E333" s="10" t="s">
        <v>71</v>
      </c>
      <c r="F333" s="10" t="s">
        <v>17361</v>
      </c>
      <c r="G333" s="10" t="s">
        <v>989</v>
      </c>
      <c r="H333" s="10" t="s">
        <v>48</v>
      </c>
      <c r="J333" s="10" t="s">
        <v>17362</v>
      </c>
      <c r="K333" s="10" t="s">
        <v>42</v>
      </c>
    </row>
    <row r="334" ht="15.75" customHeight="1">
      <c r="A334" s="64">
        <v>45473.0</v>
      </c>
      <c r="B334" s="55" t="str">
        <f>HYPERLINK("https://jobright.ai/jobs/info/6681b1bfa8ba421aa220fe48?utm_campaign=1063&amp;utm_source=sheet", "Apply")</f>
        <v>Apply</v>
      </c>
      <c r="C334" s="10" t="s">
        <v>17359</v>
      </c>
      <c r="D334" s="56" t="s">
        <v>17360</v>
      </c>
      <c r="E334" s="10" t="s">
        <v>71</v>
      </c>
      <c r="F334" s="10" t="s">
        <v>17361</v>
      </c>
      <c r="G334" s="10" t="s">
        <v>838</v>
      </c>
      <c r="H334" s="10" t="s">
        <v>48</v>
      </c>
      <c r="J334" s="10" t="s">
        <v>17362</v>
      </c>
      <c r="K334" s="10" t="s">
        <v>42</v>
      </c>
    </row>
    <row r="335" ht="15.75" customHeight="1">
      <c r="A335" s="64">
        <v>45473.0</v>
      </c>
      <c r="B335" s="55" t="str">
        <f>HYPERLINK("https://jobright.ai/jobs/info/6681b1bfa8ba421aa220fe4e?utm_campaign=1063&amp;utm_source=sheet", "Apply")</f>
        <v>Apply</v>
      </c>
      <c r="C335" s="10" t="s">
        <v>17359</v>
      </c>
      <c r="D335" s="56" t="s">
        <v>17360</v>
      </c>
      <c r="E335" s="10" t="s">
        <v>71</v>
      </c>
      <c r="F335" s="10" t="s">
        <v>17361</v>
      </c>
      <c r="G335" s="10" t="s">
        <v>990</v>
      </c>
      <c r="H335" s="10" t="s">
        <v>48</v>
      </c>
      <c r="J335" s="10" t="s">
        <v>17362</v>
      </c>
      <c r="K335" s="10" t="s">
        <v>42</v>
      </c>
    </row>
    <row r="336" ht="15.75" customHeight="1">
      <c r="A336" s="64">
        <v>45473.0</v>
      </c>
      <c r="B336" s="55" t="str">
        <f>HYPERLINK("https://jobright.ai/jobs/info/6681b1bfa8ba421aa220fe49?utm_campaign=1063&amp;utm_source=sheet", "Apply")</f>
        <v>Apply</v>
      </c>
      <c r="C336" s="10" t="s">
        <v>17359</v>
      </c>
      <c r="D336" s="56" t="s">
        <v>17360</v>
      </c>
      <c r="E336" s="10" t="s">
        <v>71</v>
      </c>
      <c r="F336" s="10" t="s">
        <v>17361</v>
      </c>
      <c r="G336" s="10" t="s">
        <v>935</v>
      </c>
      <c r="H336" s="10" t="s">
        <v>48</v>
      </c>
      <c r="J336" s="10" t="s">
        <v>17362</v>
      </c>
      <c r="K336" s="10" t="s">
        <v>42</v>
      </c>
    </row>
    <row r="337" ht="15.75" customHeight="1">
      <c r="A337" s="64">
        <v>45473.0</v>
      </c>
      <c r="B337" s="55" t="str">
        <f>HYPERLINK("https://jobright.ai/jobs/info/6681b1bfa8ba421aa220fe47?utm_campaign=1063&amp;utm_source=sheet", "Apply")</f>
        <v>Apply</v>
      </c>
      <c r="C337" s="10" t="s">
        <v>17359</v>
      </c>
      <c r="D337" s="56" t="s">
        <v>17360</v>
      </c>
      <c r="E337" s="10" t="s">
        <v>71</v>
      </c>
      <c r="F337" s="10" t="s">
        <v>17361</v>
      </c>
      <c r="G337" s="10" t="s">
        <v>842</v>
      </c>
      <c r="H337" s="10" t="s">
        <v>48</v>
      </c>
      <c r="J337" s="10" t="s">
        <v>17362</v>
      </c>
      <c r="K337" s="10" t="s">
        <v>42</v>
      </c>
    </row>
    <row r="338" ht="15.75" customHeight="1">
      <c r="A338" s="64">
        <v>45473.0</v>
      </c>
      <c r="B338" s="55" t="str">
        <f>HYPERLINK("https://jobright.ai/jobs/info/6681a974127400923c6621a8?utm_campaign=1063&amp;utm_source=sheet", "Apply")</f>
        <v>Apply</v>
      </c>
      <c r="C338" s="10" t="s">
        <v>17359</v>
      </c>
      <c r="D338" s="56" t="s">
        <v>17360</v>
      </c>
      <c r="E338" s="10" t="s">
        <v>71</v>
      </c>
      <c r="F338" s="10" t="s">
        <v>17361</v>
      </c>
      <c r="G338" s="10" t="s">
        <v>607</v>
      </c>
      <c r="H338" s="10" t="s">
        <v>48</v>
      </c>
      <c r="J338" s="10" t="s">
        <v>17362</v>
      </c>
      <c r="K338" s="10" t="s">
        <v>42</v>
      </c>
    </row>
    <row r="339" ht="15.75" customHeight="1">
      <c r="A339" s="64">
        <v>45473.0</v>
      </c>
      <c r="B339" s="55" t="str">
        <f>HYPERLINK("https://jobright.ai/jobs/info/6681a974127400923c6621a9?utm_campaign=1063&amp;utm_source=sheet", "Apply")</f>
        <v>Apply</v>
      </c>
      <c r="C339" s="10" t="s">
        <v>17359</v>
      </c>
      <c r="D339" s="56" t="s">
        <v>17360</v>
      </c>
      <c r="E339" s="10" t="s">
        <v>71</v>
      </c>
      <c r="F339" s="10" t="s">
        <v>17361</v>
      </c>
      <c r="G339" s="10" t="s">
        <v>981</v>
      </c>
      <c r="H339" s="10" t="s">
        <v>48</v>
      </c>
      <c r="J339" s="10" t="s">
        <v>17362</v>
      </c>
      <c r="K339" s="10" t="s">
        <v>42</v>
      </c>
    </row>
    <row r="340" ht="15.75" customHeight="1">
      <c r="A340" s="64">
        <v>45473.0</v>
      </c>
      <c r="B340" s="55" t="str">
        <f>HYPERLINK("https://jobright.ai/jobs/info/6681a974127400923c6621a7?utm_campaign=1063&amp;utm_source=sheet", "Apply")</f>
        <v>Apply</v>
      </c>
      <c r="C340" s="10" t="s">
        <v>17359</v>
      </c>
      <c r="D340" s="56" t="s">
        <v>17360</v>
      </c>
      <c r="E340" s="10" t="s">
        <v>71</v>
      </c>
      <c r="F340" s="10" t="s">
        <v>17361</v>
      </c>
      <c r="G340" s="10" t="s">
        <v>830</v>
      </c>
      <c r="H340" s="10" t="s">
        <v>48</v>
      </c>
      <c r="J340" s="10" t="s">
        <v>17362</v>
      </c>
      <c r="K340" s="10" t="s">
        <v>42</v>
      </c>
    </row>
    <row r="341" ht="15.75" customHeight="1">
      <c r="A341" s="64">
        <v>45473.0</v>
      </c>
      <c r="B341" s="55" t="str">
        <f>HYPERLINK("https://jobright.ai/jobs/info/6681a974127400923c6621ae?utm_campaign=1063&amp;utm_source=sheet", "Apply")</f>
        <v>Apply</v>
      </c>
      <c r="C341" s="10" t="s">
        <v>17359</v>
      </c>
      <c r="D341" s="56" t="s">
        <v>17360</v>
      </c>
      <c r="E341" s="10" t="s">
        <v>71</v>
      </c>
      <c r="F341" s="10" t="s">
        <v>17361</v>
      </c>
      <c r="G341" s="10" t="s">
        <v>858</v>
      </c>
      <c r="H341" s="10" t="s">
        <v>48</v>
      </c>
      <c r="J341" s="10" t="s">
        <v>17362</v>
      </c>
      <c r="K341" s="10" t="s">
        <v>42</v>
      </c>
    </row>
    <row r="342" ht="15.75" customHeight="1">
      <c r="A342" s="64">
        <v>45473.0</v>
      </c>
      <c r="B342" s="55" t="str">
        <f>HYPERLINK("https://jobright.ai/jobs/info/6681a974127400923c6621b3?utm_campaign=1063&amp;utm_source=sheet", "Apply")</f>
        <v>Apply</v>
      </c>
      <c r="C342" s="10" t="s">
        <v>17359</v>
      </c>
      <c r="D342" s="56" t="s">
        <v>17360</v>
      </c>
      <c r="E342" s="10" t="s">
        <v>71</v>
      </c>
      <c r="F342" s="10" t="s">
        <v>17361</v>
      </c>
      <c r="G342" s="10" t="s">
        <v>829</v>
      </c>
      <c r="H342" s="10" t="s">
        <v>48</v>
      </c>
      <c r="J342" s="10" t="s">
        <v>17362</v>
      </c>
      <c r="K342" s="10" t="s">
        <v>42</v>
      </c>
    </row>
    <row r="343" ht="15.75" customHeight="1">
      <c r="A343" s="64">
        <v>45473.0</v>
      </c>
      <c r="B343" s="55" t="str">
        <f>HYPERLINK("https://jobright.ai/jobs/info/6681a974127400923c6621b4?utm_campaign=1063&amp;utm_source=sheet", "Apply")</f>
        <v>Apply</v>
      </c>
      <c r="C343" s="10" t="s">
        <v>17359</v>
      </c>
      <c r="D343" s="56" t="s">
        <v>17360</v>
      </c>
      <c r="E343" s="10" t="s">
        <v>71</v>
      </c>
      <c r="F343" s="10" t="s">
        <v>17361</v>
      </c>
      <c r="G343" s="10" t="s">
        <v>927</v>
      </c>
      <c r="H343" s="10" t="s">
        <v>48</v>
      </c>
      <c r="J343" s="10" t="s">
        <v>17362</v>
      </c>
      <c r="K343" s="10" t="s">
        <v>42</v>
      </c>
    </row>
    <row r="344" ht="15.75" customHeight="1">
      <c r="A344" s="64">
        <v>45473.0</v>
      </c>
      <c r="B344" s="55" t="str">
        <f>HYPERLINK("https://jobright.ai/jobs/info/6681a974127400923c6621b2?utm_campaign=1063&amp;utm_source=sheet", "Apply")</f>
        <v>Apply</v>
      </c>
      <c r="C344" s="10" t="s">
        <v>17359</v>
      </c>
      <c r="D344" s="56" t="s">
        <v>17360</v>
      </c>
      <c r="E344" s="10" t="s">
        <v>71</v>
      </c>
      <c r="F344" s="10" t="s">
        <v>17361</v>
      </c>
      <c r="G344" s="10" t="s">
        <v>1009</v>
      </c>
      <c r="H344" s="10" t="s">
        <v>48</v>
      </c>
      <c r="J344" s="10" t="s">
        <v>17362</v>
      </c>
      <c r="K344" s="10" t="s">
        <v>42</v>
      </c>
    </row>
    <row r="345" ht="15.75" customHeight="1">
      <c r="A345" s="64">
        <v>45473.0</v>
      </c>
      <c r="B345" s="55" t="str">
        <f>HYPERLINK("https://jobright.ai/jobs/info/6681a974127400923c6621af?utm_campaign=1063&amp;utm_source=sheet", "Apply")</f>
        <v>Apply</v>
      </c>
      <c r="C345" s="10" t="s">
        <v>17359</v>
      </c>
      <c r="D345" s="56" t="s">
        <v>17360</v>
      </c>
      <c r="E345" s="10" t="s">
        <v>71</v>
      </c>
      <c r="F345" s="10" t="s">
        <v>17361</v>
      </c>
      <c r="G345" s="10" t="s">
        <v>827</v>
      </c>
      <c r="H345" s="10" t="s">
        <v>48</v>
      </c>
      <c r="J345" s="10" t="s">
        <v>17362</v>
      </c>
      <c r="K345" s="10" t="s">
        <v>42</v>
      </c>
    </row>
    <row r="346" ht="15.75" customHeight="1">
      <c r="A346" s="64">
        <v>45473.0</v>
      </c>
      <c r="B346" s="55" t="str">
        <f>HYPERLINK("https://jobright.ai/jobs/info/6681a974127400923c6621ac?utm_campaign=1063&amp;utm_source=sheet", "Apply")</f>
        <v>Apply</v>
      </c>
      <c r="C346" s="10" t="s">
        <v>17359</v>
      </c>
      <c r="D346" s="56" t="s">
        <v>17360</v>
      </c>
      <c r="E346" s="10" t="s">
        <v>71</v>
      </c>
      <c r="F346" s="10" t="s">
        <v>17361</v>
      </c>
      <c r="G346" s="10" t="s">
        <v>974</v>
      </c>
      <c r="H346" s="10" t="s">
        <v>48</v>
      </c>
      <c r="J346" s="10" t="s">
        <v>17362</v>
      </c>
      <c r="K346" s="10" t="s">
        <v>42</v>
      </c>
    </row>
    <row r="347" ht="15.75" customHeight="1">
      <c r="A347" s="64">
        <v>45473.0</v>
      </c>
      <c r="B347" s="55" t="str">
        <f>HYPERLINK("https://jobright.ai/jobs/info/6681a974127400923c6621b0?utm_campaign=1063&amp;utm_source=sheet", "Apply")</f>
        <v>Apply</v>
      </c>
      <c r="C347" s="10" t="s">
        <v>17359</v>
      </c>
      <c r="D347" s="56" t="s">
        <v>17360</v>
      </c>
      <c r="E347" s="10" t="s">
        <v>71</v>
      </c>
      <c r="F347" s="10" t="s">
        <v>17361</v>
      </c>
      <c r="G347" s="10" t="s">
        <v>938</v>
      </c>
      <c r="H347" s="10" t="s">
        <v>48</v>
      </c>
      <c r="J347" s="10" t="s">
        <v>17362</v>
      </c>
      <c r="K347" s="10" t="s">
        <v>42</v>
      </c>
    </row>
    <row r="348" ht="15.75" customHeight="1">
      <c r="A348" s="64">
        <v>45473.0</v>
      </c>
      <c r="B348" s="55" t="str">
        <f>HYPERLINK("https://jobright.ai/jobs/info/6681a974127400923c6621ab?utm_campaign=1063&amp;utm_source=sheet", "Apply")</f>
        <v>Apply</v>
      </c>
      <c r="C348" s="10" t="s">
        <v>17359</v>
      </c>
      <c r="D348" s="56" t="s">
        <v>17360</v>
      </c>
      <c r="E348" s="10" t="s">
        <v>71</v>
      </c>
      <c r="F348" s="10" t="s">
        <v>17361</v>
      </c>
      <c r="G348" s="10" t="s">
        <v>784</v>
      </c>
      <c r="H348" s="10" t="s">
        <v>48</v>
      </c>
      <c r="J348" s="10" t="s">
        <v>17362</v>
      </c>
      <c r="K348" s="10" t="s">
        <v>42</v>
      </c>
    </row>
    <row r="349" ht="15.75" customHeight="1">
      <c r="A349" s="64">
        <v>45473.0</v>
      </c>
      <c r="B349" s="55" t="str">
        <f>HYPERLINK("https://jobright.ai/jobs/info/6681a974127400923c6621aa?utm_campaign=1063&amp;utm_source=sheet", "Apply")</f>
        <v>Apply</v>
      </c>
      <c r="C349" s="10" t="s">
        <v>17359</v>
      </c>
      <c r="D349" s="56" t="s">
        <v>17360</v>
      </c>
      <c r="E349" s="10" t="s">
        <v>71</v>
      </c>
      <c r="F349" s="10" t="s">
        <v>17361</v>
      </c>
      <c r="G349" s="10" t="s">
        <v>985</v>
      </c>
      <c r="H349" s="10" t="s">
        <v>48</v>
      </c>
      <c r="J349" s="10" t="s">
        <v>17362</v>
      </c>
      <c r="K349" s="10" t="s">
        <v>42</v>
      </c>
    </row>
    <row r="350" ht="15.75" customHeight="1">
      <c r="A350" s="64">
        <v>45473.0</v>
      </c>
      <c r="B350" s="55" t="str">
        <f>HYPERLINK("https://jobright.ai/jobs/info/6681a974127400923c6621b1?utm_campaign=1063&amp;utm_source=sheet", "Apply")</f>
        <v>Apply</v>
      </c>
      <c r="C350" s="10" t="s">
        <v>17359</v>
      </c>
      <c r="D350" s="56" t="s">
        <v>17360</v>
      </c>
      <c r="E350" s="10" t="s">
        <v>71</v>
      </c>
      <c r="F350" s="10" t="s">
        <v>17361</v>
      </c>
      <c r="G350" s="10" t="s">
        <v>882</v>
      </c>
      <c r="H350" s="10" t="s">
        <v>48</v>
      </c>
      <c r="J350" s="10" t="s">
        <v>17362</v>
      </c>
      <c r="K350" s="10" t="s">
        <v>42</v>
      </c>
    </row>
    <row r="351" ht="15.75" customHeight="1">
      <c r="A351" s="64">
        <v>45473.0</v>
      </c>
      <c r="B351" s="55" t="str">
        <f>HYPERLINK("https://jobright.ai/jobs/info/6681a974127400923c6621b5?utm_campaign=1063&amp;utm_source=sheet", "Apply")</f>
        <v>Apply</v>
      </c>
      <c r="C351" s="10" t="s">
        <v>17359</v>
      </c>
      <c r="D351" s="56" t="s">
        <v>17360</v>
      </c>
      <c r="E351" s="10" t="s">
        <v>71</v>
      </c>
      <c r="F351" s="10" t="s">
        <v>17361</v>
      </c>
      <c r="G351" s="10" t="s">
        <v>1051</v>
      </c>
      <c r="H351" s="10" t="s">
        <v>48</v>
      </c>
      <c r="J351" s="10" t="s">
        <v>17362</v>
      </c>
      <c r="K351" s="10" t="s">
        <v>42</v>
      </c>
    </row>
    <row r="352" ht="15.75" customHeight="1">
      <c r="A352" s="64">
        <v>45473.0</v>
      </c>
      <c r="B352" s="55" t="str">
        <f>HYPERLINK("https://jobright.ai/jobs/info/6681a5a0e2513bb044b9d08d?utm_campaign=1063&amp;utm_source=sheet", "Apply")</f>
        <v>Apply</v>
      </c>
      <c r="C352" s="10" t="s">
        <v>17359</v>
      </c>
      <c r="D352" s="56" t="s">
        <v>17360</v>
      </c>
      <c r="E352" s="10" t="s">
        <v>71</v>
      </c>
      <c r="F352" s="10" t="s">
        <v>17361</v>
      </c>
      <c r="G352" s="10" t="s">
        <v>978</v>
      </c>
      <c r="H352" s="10" t="s">
        <v>48</v>
      </c>
      <c r="J352" s="10" t="s">
        <v>17362</v>
      </c>
      <c r="K352" s="10" t="s">
        <v>42</v>
      </c>
    </row>
    <row r="353" ht="15.75" customHeight="1">
      <c r="A353" s="64">
        <v>45473.0</v>
      </c>
      <c r="B353" s="55" t="str">
        <f>HYPERLINK("https://jobright.ai/jobs/info/6681a5a0e2513bb044b9d08c?utm_campaign=1063&amp;utm_source=sheet", "Apply")</f>
        <v>Apply</v>
      </c>
      <c r="C353" s="10" t="s">
        <v>17359</v>
      </c>
      <c r="D353" s="56" t="s">
        <v>17360</v>
      </c>
      <c r="E353" s="10" t="s">
        <v>71</v>
      </c>
      <c r="F353" s="10" t="s">
        <v>17361</v>
      </c>
      <c r="G353" s="10" t="s">
        <v>912</v>
      </c>
      <c r="H353" s="10" t="s">
        <v>48</v>
      </c>
      <c r="J353" s="10" t="s">
        <v>17362</v>
      </c>
      <c r="K353" s="10" t="s">
        <v>42</v>
      </c>
    </row>
    <row r="354" ht="15.75" customHeight="1">
      <c r="A354" s="64">
        <v>45473.0</v>
      </c>
      <c r="B354" s="55" t="str">
        <f>HYPERLINK("https://jobright.ai/jobs/info/6681a974127400923c6621b7?utm_campaign=1063&amp;utm_source=sheet", "Apply")</f>
        <v>Apply</v>
      </c>
      <c r="C354" s="10" t="s">
        <v>17359</v>
      </c>
      <c r="D354" s="56" t="s">
        <v>17360</v>
      </c>
      <c r="E354" s="10" t="s">
        <v>71</v>
      </c>
      <c r="F354" s="10" t="s">
        <v>17361</v>
      </c>
      <c r="G354" s="10" t="s">
        <v>820</v>
      </c>
      <c r="H354" s="10" t="s">
        <v>48</v>
      </c>
      <c r="J354" s="10" t="s">
        <v>17362</v>
      </c>
      <c r="K354" s="10" t="s">
        <v>42</v>
      </c>
    </row>
    <row r="355" ht="15.75" customHeight="1">
      <c r="A355" s="64">
        <v>45473.0</v>
      </c>
      <c r="B355" s="55" t="str">
        <f>HYPERLINK("https://jobright.ai/jobs/info/6681a974127400923c6621b6?utm_campaign=1063&amp;utm_source=sheet", "Apply")</f>
        <v>Apply</v>
      </c>
      <c r="C355" s="10" t="s">
        <v>17359</v>
      </c>
      <c r="D355" s="56" t="s">
        <v>17360</v>
      </c>
      <c r="E355" s="10" t="s">
        <v>71</v>
      </c>
      <c r="F355" s="10" t="s">
        <v>17361</v>
      </c>
      <c r="G355" s="10" t="s">
        <v>1042</v>
      </c>
      <c r="H355" s="10" t="s">
        <v>48</v>
      </c>
      <c r="J355" s="10" t="s">
        <v>17362</v>
      </c>
      <c r="K355" s="10" t="s">
        <v>42</v>
      </c>
    </row>
    <row r="356" ht="15.75" customHeight="1">
      <c r="A356" s="64">
        <v>45473.0</v>
      </c>
      <c r="B356" s="55" t="str">
        <f>HYPERLINK("https://jobright.ai/jobs/info/6681a5a0e2513bb044b9d08e?utm_campaign=1063&amp;utm_source=sheet", "Apply")</f>
        <v>Apply</v>
      </c>
      <c r="C356" s="10" t="s">
        <v>17359</v>
      </c>
      <c r="D356" s="56" t="s">
        <v>17360</v>
      </c>
      <c r="E356" s="10" t="s">
        <v>71</v>
      </c>
      <c r="F356" s="10" t="s">
        <v>17361</v>
      </c>
      <c r="G356" s="10" t="s">
        <v>154</v>
      </c>
      <c r="H356" s="10" t="s">
        <v>48</v>
      </c>
      <c r="J356" s="10" t="s">
        <v>17362</v>
      </c>
      <c r="K356" s="10" t="s">
        <v>42</v>
      </c>
    </row>
    <row r="357" ht="15.75" customHeight="1">
      <c r="A357" s="64">
        <v>45473.0</v>
      </c>
      <c r="B357" s="55" t="str">
        <f>HYPERLINK("https://jobright.ai/jobs/info/6681a974127400923c6621bc?utm_campaign=1063&amp;utm_source=sheet", "Apply")</f>
        <v>Apply</v>
      </c>
      <c r="C357" s="10" t="s">
        <v>17359</v>
      </c>
      <c r="D357" s="56" t="s">
        <v>17360</v>
      </c>
      <c r="E357" s="10" t="s">
        <v>71</v>
      </c>
      <c r="F357" s="10" t="s">
        <v>17361</v>
      </c>
      <c r="G357" s="10" t="s">
        <v>854</v>
      </c>
      <c r="H357" s="10" t="s">
        <v>48</v>
      </c>
      <c r="J357" s="10" t="s">
        <v>17362</v>
      </c>
      <c r="K357" s="10" t="s">
        <v>42</v>
      </c>
    </row>
    <row r="358" ht="15.75" customHeight="1">
      <c r="A358" s="64">
        <v>45473.0</v>
      </c>
      <c r="B358" s="55" t="str">
        <f>HYPERLINK("https://jobright.ai/jobs/info/6681a974127400923c6621b8?utm_campaign=1063&amp;utm_source=sheet", "Apply")</f>
        <v>Apply</v>
      </c>
      <c r="C358" s="10" t="s">
        <v>17359</v>
      </c>
      <c r="D358" s="56" t="s">
        <v>17360</v>
      </c>
      <c r="E358" s="10" t="s">
        <v>71</v>
      </c>
      <c r="F358" s="10" t="s">
        <v>17361</v>
      </c>
      <c r="G358" s="10" t="s">
        <v>831</v>
      </c>
      <c r="H358" s="10" t="s">
        <v>48</v>
      </c>
      <c r="J358" s="10" t="s">
        <v>17362</v>
      </c>
      <c r="K358" s="10" t="s">
        <v>42</v>
      </c>
    </row>
    <row r="359" ht="15.75" customHeight="1">
      <c r="A359" s="64">
        <v>45473.0</v>
      </c>
      <c r="B359" s="55" t="str">
        <f>HYPERLINK("https://jobright.ai/jobs/info/6681a5a0e2513bb044b9d090?utm_campaign=1063&amp;utm_source=sheet", "Apply")</f>
        <v>Apply</v>
      </c>
      <c r="C359" s="10" t="s">
        <v>17359</v>
      </c>
      <c r="D359" s="56" t="s">
        <v>17360</v>
      </c>
      <c r="E359" s="10" t="s">
        <v>71</v>
      </c>
      <c r="F359" s="10" t="s">
        <v>17361</v>
      </c>
      <c r="G359" s="10" t="s">
        <v>852</v>
      </c>
      <c r="H359" s="10" t="s">
        <v>48</v>
      </c>
      <c r="J359" s="10" t="s">
        <v>17362</v>
      </c>
      <c r="K359" s="10" t="s">
        <v>42</v>
      </c>
    </row>
    <row r="360" ht="15.75" customHeight="1">
      <c r="A360" s="64">
        <v>45473.0</v>
      </c>
      <c r="B360" s="55" t="str">
        <f>HYPERLINK("https://jobright.ai/jobs/info/6681a974127400923c6621bb?utm_campaign=1063&amp;utm_source=sheet", "Apply")</f>
        <v>Apply</v>
      </c>
      <c r="C360" s="10" t="s">
        <v>17359</v>
      </c>
      <c r="D360" s="56" t="s">
        <v>17360</v>
      </c>
      <c r="E360" s="10" t="s">
        <v>71</v>
      </c>
      <c r="F360" s="10" t="s">
        <v>17361</v>
      </c>
      <c r="G360" s="10" t="s">
        <v>903</v>
      </c>
      <c r="H360" s="10" t="s">
        <v>48</v>
      </c>
      <c r="J360" s="10" t="s">
        <v>17362</v>
      </c>
      <c r="K360" s="10" t="s">
        <v>42</v>
      </c>
    </row>
    <row r="361" ht="15.75" customHeight="1">
      <c r="A361" s="64">
        <v>45473.0</v>
      </c>
      <c r="B361" s="55" t="str">
        <f>HYPERLINK("https://jobright.ai/jobs/info/6681a974127400923c6621b9?utm_campaign=1063&amp;utm_source=sheet", "Apply")</f>
        <v>Apply</v>
      </c>
      <c r="C361" s="10" t="s">
        <v>17359</v>
      </c>
      <c r="D361" s="56" t="s">
        <v>17360</v>
      </c>
      <c r="E361" s="10" t="s">
        <v>71</v>
      </c>
      <c r="F361" s="10" t="s">
        <v>17361</v>
      </c>
      <c r="G361" s="10" t="s">
        <v>828</v>
      </c>
      <c r="H361" s="10" t="s">
        <v>48</v>
      </c>
      <c r="J361" s="10" t="s">
        <v>17362</v>
      </c>
      <c r="K361" s="10" t="s">
        <v>42</v>
      </c>
    </row>
    <row r="362" ht="15.75" customHeight="1">
      <c r="A362" s="64">
        <v>45473.0</v>
      </c>
      <c r="B362" s="55" t="str">
        <f>HYPERLINK("https://jobright.ai/jobs/info/6681a974127400923c6621ba?utm_campaign=1063&amp;utm_source=sheet", "Apply")</f>
        <v>Apply</v>
      </c>
      <c r="C362" s="10" t="s">
        <v>17359</v>
      </c>
      <c r="D362" s="56" t="s">
        <v>17360</v>
      </c>
      <c r="E362" s="10" t="s">
        <v>71</v>
      </c>
      <c r="F362" s="10" t="s">
        <v>17361</v>
      </c>
      <c r="G362" s="10" t="s">
        <v>939</v>
      </c>
      <c r="H362" s="10" t="s">
        <v>48</v>
      </c>
      <c r="J362" s="10" t="s">
        <v>17362</v>
      </c>
      <c r="K362" s="10" t="s">
        <v>42</v>
      </c>
    </row>
    <row r="363" ht="15.75" customHeight="1">
      <c r="A363" s="64">
        <v>45473.0</v>
      </c>
      <c r="B363" s="55" t="str">
        <f>HYPERLINK("https://jobright.ai/jobs/info/6681a5a0e2513bb044b9d08f?utm_campaign=1063&amp;utm_source=sheet", "Apply")</f>
        <v>Apply</v>
      </c>
      <c r="C363" s="10" t="s">
        <v>17359</v>
      </c>
      <c r="D363" s="56" t="s">
        <v>17360</v>
      </c>
      <c r="E363" s="10" t="s">
        <v>71</v>
      </c>
      <c r="F363" s="10" t="s">
        <v>17361</v>
      </c>
      <c r="G363" s="10" t="s">
        <v>792</v>
      </c>
      <c r="H363" s="10" t="s">
        <v>48</v>
      </c>
      <c r="J363" s="10" t="s">
        <v>17362</v>
      </c>
      <c r="K363" s="10" t="s">
        <v>42</v>
      </c>
    </row>
    <row r="364" ht="15.75" customHeight="1">
      <c r="A364" s="64">
        <v>45473.0</v>
      </c>
      <c r="B364" s="55" t="str">
        <f>HYPERLINK("https://jobright.ai/jobs/info/6681a974127400923c6621bd?utm_campaign=1063&amp;utm_source=sheet", "Apply")</f>
        <v>Apply</v>
      </c>
      <c r="C364" s="10" t="s">
        <v>17359</v>
      </c>
      <c r="D364" s="56" t="s">
        <v>17360</v>
      </c>
      <c r="E364" s="10" t="s">
        <v>71</v>
      </c>
      <c r="F364" s="10" t="s">
        <v>17361</v>
      </c>
      <c r="G364" s="10" t="s">
        <v>782</v>
      </c>
      <c r="H364" s="10" t="s">
        <v>48</v>
      </c>
      <c r="J364" s="10" t="s">
        <v>17362</v>
      </c>
      <c r="K364" s="10" t="s">
        <v>42</v>
      </c>
    </row>
    <row r="365" ht="15.75" customHeight="1">
      <c r="A365" s="64">
        <v>45473.0</v>
      </c>
      <c r="B365" s="55" t="str">
        <f>HYPERLINK("https://jobright.ai/jobs/info/6681a974127400923c6621c3?utm_campaign=1063&amp;utm_source=sheet", "Apply")</f>
        <v>Apply</v>
      </c>
      <c r="C365" s="10" t="s">
        <v>17359</v>
      </c>
      <c r="D365" s="56" t="s">
        <v>17360</v>
      </c>
      <c r="E365" s="10" t="s">
        <v>71</v>
      </c>
      <c r="F365" s="10" t="s">
        <v>17361</v>
      </c>
      <c r="G365" s="10" t="s">
        <v>929</v>
      </c>
      <c r="H365" s="10" t="s">
        <v>48</v>
      </c>
      <c r="J365" s="10" t="s">
        <v>17362</v>
      </c>
      <c r="K365" s="10" t="s">
        <v>42</v>
      </c>
    </row>
    <row r="366" ht="15.75" customHeight="1">
      <c r="A366" s="64">
        <v>45473.0</v>
      </c>
      <c r="B366" s="55" t="str">
        <f>HYPERLINK("https://jobright.ai/jobs/info/6681a974127400923c6621be?utm_campaign=1063&amp;utm_source=sheet", "Apply")</f>
        <v>Apply</v>
      </c>
      <c r="C366" s="10" t="s">
        <v>17359</v>
      </c>
      <c r="D366" s="56" t="s">
        <v>17360</v>
      </c>
      <c r="E366" s="10" t="s">
        <v>71</v>
      </c>
      <c r="F366" s="10" t="s">
        <v>17361</v>
      </c>
      <c r="G366" s="10" t="s">
        <v>900</v>
      </c>
      <c r="H366" s="10" t="s">
        <v>48</v>
      </c>
      <c r="J366" s="10" t="s">
        <v>17362</v>
      </c>
      <c r="K366" s="10" t="s">
        <v>42</v>
      </c>
    </row>
    <row r="367" ht="15.75" customHeight="1">
      <c r="A367" s="64">
        <v>45473.0</v>
      </c>
      <c r="B367" s="55" t="str">
        <f>HYPERLINK("https://jobright.ai/jobs/info/6681a974127400923c6621c2?utm_campaign=1063&amp;utm_source=sheet", "Apply")</f>
        <v>Apply</v>
      </c>
      <c r="C367" s="10" t="s">
        <v>17359</v>
      </c>
      <c r="D367" s="56" t="s">
        <v>17360</v>
      </c>
      <c r="E367" s="10" t="s">
        <v>71</v>
      </c>
      <c r="F367" s="10" t="s">
        <v>17361</v>
      </c>
      <c r="G367" s="10" t="s">
        <v>1026</v>
      </c>
      <c r="H367" s="10" t="s">
        <v>48</v>
      </c>
      <c r="J367" s="10" t="s">
        <v>17362</v>
      </c>
      <c r="K367" s="10" t="s">
        <v>42</v>
      </c>
    </row>
    <row r="368" ht="15.75" customHeight="1">
      <c r="A368" s="64">
        <v>45473.0</v>
      </c>
      <c r="B368" s="55" t="str">
        <f>HYPERLINK("https://jobright.ai/jobs/info/6681a974127400923c6621bf?utm_campaign=1063&amp;utm_source=sheet", "Apply")</f>
        <v>Apply</v>
      </c>
      <c r="C368" s="10" t="s">
        <v>17359</v>
      </c>
      <c r="D368" s="56" t="s">
        <v>17360</v>
      </c>
      <c r="E368" s="10" t="s">
        <v>71</v>
      </c>
      <c r="F368" s="10" t="s">
        <v>17361</v>
      </c>
      <c r="G368" s="10" t="s">
        <v>1034</v>
      </c>
      <c r="H368" s="10" t="s">
        <v>48</v>
      </c>
      <c r="J368" s="10" t="s">
        <v>17362</v>
      </c>
      <c r="K368" s="10" t="s">
        <v>42</v>
      </c>
    </row>
    <row r="369" ht="15.75" customHeight="1">
      <c r="A369" s="64">
        <v>45473.0</v>
      </c>
      <c r="B369" s="55" t="str">
        <f>HYPERLINK("https://jobright.ai/jobs/info/6681a974127400923c6621c1?utm_campaign=1063&amp;utm_source=sheet", "Apply")</f>
        <v>Apply</v>
      </c>
      <c r="C369" s="10" t="s">
        <v>17359</v>
      </c>
      <c r="D369" s="56" t="s">
        <v>17360</v>
      </c>
      <c r="E369" s="10" t="s">
        <v>71</v>
      </c>
      <c r="F369" s="10" t="s">
        <v>17361</v>
      </c>
      <c r="G369" s="10" t="s">
        <v>808</v>
      </c>
      <c r="H369" s="10" t="s">
        <v>48</v>
      </c>
      <c r="J369" s="10" t="s">
        <v>17362</v>
      </c>
      <c r="K369" s="10" t="s">
        <v>42</v>
      </c>
    </row>
    <row r="370" ht="15.75" customHeight="1">
      <c r="A370" s="64">
        <v>45473.0</v>
      </c>
      <c r="B370" s="55" t="str">
        <f>HYPERLINK("https://jobright.ai/jobs/info/6681a974127400923c6621c0?utm_campaign=1063&amp;utm_source=sheet", "Apply")</f>
        <v>Apply</v>
      </c>
      <c r="C370" s="10" t="s">
        <v>17359</v>
      </c>
      <c r="D370" s="56" t="s">
        <v>17360</v>
      </c>
      <c r="E370" s="10" t="s">
        <v>71</v>
      </c>
      <c r="F370" s="10" t="s">
        <v>17361</v>
      </c>
      <c r="G370" s="10" t="s">
        <v>861</v>
      </c>
      <c r="H370" s="10" t="s">
        <v>48</v>
      </c>
      <c r="J370" s="10" t="s">
        <v>17362</v>
      </c>
      <c r="K370" s="10" t="s">
        <v>42</v>
      </c>
    </row>
    <row r="371" ht="15.75" customHeight="1">
      <c r="A371" s="64">
        <v>45473.0</v>
      </c>
      <c r="B371" s="55" t="str">
        <f>HYPERLINK("https://jobright.ai/jobs/info/6681a5a0e2513bb044b9d091?utm_campaign=1063&amp;utm_source=sheet", "Apply")</f>
        <v>Apply</v>
      </c>
      <c r="C371" s="10" t="s">
        <v>17359</v>
      </c>
      <c r="D371" s="56" t="s">
        <v>17360</v>
      </c>
      <c r="E371" s="10" t="s">
        <v>71</v>
      </c>
      <c r="F371" s="10" t="s">
        <v>17361</v>
      </c>
      <c r="G371" s="10" t="s">
        <v>862</v>
      </c>
      <c r="H371" s="10" t="s">
        <v>48</v>
      </c>
      <c r="J371" s="10" t="s">
        <v>17362</v>
      </c>
      <c r="K371" s="10" t="s">
        <v>42</v>
      </c>
    </row>
    <row r="372" ht="15.75" customHeight="1">
      <c r="A372" s="64">
        <v>45473.0</v>
      </c>
      <c r="B372" s="55" t="str">
        <f>HYPERLINK("https://jobright.ai/jobs/info/6681a974127400923c6621c4?utm_campaign=1063&amp;utm_source=sheet", "Apply")</f>
        <v>Apply</v>
      </c>
      <c r="C372" s="10" t="s">
        <v>17359</v>
      </c>
      <c r="D372" s="56" t="s">
        <v>17360</v>
      </c>
      <c r="E372" s="10" t="s">
        <v>71</v>
      </c>
      <c r="F372" s="10" t="s">
        <v>17361</v>
      </c>
      <c r="G372" s="10" t="s">
        <v>1018</v>
      </c>
      <c r="H372" s="10" t="s">
        <v>48</v>
      </c>
      <c r="J372" s="10" t="s">
        <v>17362</v>
      </c>
      <c r="K372" s="10" t="s">
        <v>42</v>
      </c>
    </row>
    <row r="373" ht="15.75" customHeight="1">
      <c r="A373" s="64">
        <v>45473.0</v>
      </c>
      <c r="B373" s="55" t="str">
        <f>HYPERLINK("https://jobright.ai/jobs/info/6681a974127400923c6621cb?utm_campaign=1063&amp;utm_source=sheet", "Apply")</f>
        <v>Apply</v>
      </c>
      <c r="C373" s="10" t="s">
        <v>17359</v>
      </c>
      <c r="D373" s="56" t="s">
        <v>17360</v>
      </c>
      <c r="E373" s="10" t="s">
        <v>71</v>
      </c>
      <c r="F373" s="10" t="s">
        <v>17361</v>
      </c>
      <c r="G373" s="10" t="s">
        <v>823</v>
      </c>
      <c r="H373" s="10" t="s">
        <v>48</v>
      </c>
      <c r="J373" s="10" t="s">
        <v>17362</v>
      </c>
      <c r="K373" s="10" t="s">
        <v>42</v>
      </c>
    </row>
    <row r="374" ht="15.75" customHeight="1">
      <c r="A374" s="64">
        <v>45473.0</v>
      </c>
      <c r="B374" s="55" t="str">
        <f>HYPERLINK("https://jobright.ai/jobs/info/6681a974127400923c6621c9?utm_campaign=1063&amp;utm_source=sheet", "Apply")</f>
        <v>Apply</v>
      </c>
      <c r="C374" s="10" t="s">
        <v>17359</v>
      </c>
      <c r="D374" s="56" t="s">
        <v>17360</v>
      </c>
      <c r="E374" s="10" t="s">
        <v>71</v>
      </c>
      <c r="F374" s="10" t="s">
        <v>17361</v>
      </c>
      <c r="G374" s="10" t="s">
        <v>361</v>
      </c>
      <c r="H374" s="10" t="s">
        <v>48</v>
      </c>
      <c r="J374" s="10" t="s">
        <v>17362</v>
      </c>
      <c r="K374" s="10" t="s">
        <v>42</v>
      </c>
    </row>
    <row r="375" ht="15.75" customHeight="1">
      <c r="A375" s="64">
        <v>45473.0</v>
      </c>
      <c r="B375" s="55" t="str">
        <f>HYPERLINK("https://jobright.ai/jobs/info/6681a974127400923c6621c5?utm_campaign=1063&amp;utm_source=sheet", "Apply")</f>
        <v>Apply</v>
      </c>
      <c r="C375" s="10" t="s">
        <v>17359</v>
      </c>
      <c r="D375" s="56" t="s">
        <v>17360</v>
      </c>
      <c r="E375" s="10" t="s">
        <v>71</v>
      </c>
      <c r="F375" s="10" t="s">
        <v>17361</v>
      </c>
      <c r="G375" s="10" t="s">
        <v>975</v>
      </c>
      <c r="H375" s="10" t="s">
        <v>48</v>
      </c>
      <c r="J375" s="10" t="s">
        <v>17362</v>
      </c>
      <c r="K375" s="10" t="s">
        <v>42</v>
      </c>
    </row>
    <row r="376" ht="15.75" customHeight="1">
      <c r="A376" s="64">
        <v>45473.0</v>
      </c>
      <c r="B376" s="55" t="str">
        <f>HYPERLINK("https://jobright.ai/jobs/info/6681a974127400923c6621c7?utm_campaign=1063&amp;utm_source=sheet", "Apply")</f>
        <v>Apply</v>
      </c>
      <c r="C376" s="10" t="s">
        <v>17359</v>
      </c>
      <c r="D376" s="56" t="s">
        <v>17360</v>
      </c>
      <c r="E376" s="10" t="s">
        <v>71</v>
      </c>
      <c r="F376" s="10" t="s">
        <v>17361</v>
      </c>
      <c r="G376" s="10" t="s">
        <v>881</v>
      </c>
      <c r="H376" s="10" t="s">
        <v>48</v>
      </c>
      <c r="J376" s="10" t="s">
        <v>17362</v>
      </c>
      <c r="K376" s="10" t="s">
        <v>42</v>
      </c>
    </row>
    <row r="377" ht="15.75" customHeight="1">
      <c r="A377" s="64">
        <v>45473.0</v>
      </c>
      <c r="B377" s="55" t="str">
        <f>HYPERLINK("https://jobright.ai/jobs/info/6681a974127400923c6621ca?utm_campaign=1063&amp;utm_source=sheet", "Apply")</f>
        <v>Apply</v>
      </c>
      <c r="C377" s="10" t="s">
        <v>17359</v>
      </c>
      <c r="D377" s="56" t="s">
        <v>17360</v>
      </c>
      <c r="E377" s="10" t="s">
        <v>71</v>
      </c>
      <c r="F377" s="10" t="s">
        <v>17361</v>
      </c>
      <c r="G377" s="10" t="s">
        <v>849</v>
      </c>
      <c r="H377" s="10" t="s">
        <v>48</v>
      </c>
      <c r="J377" s="10" t="s">
        <v>17362</v>
      </c>
      <c r="K377" s="10" t="s">
        <v>42</v>
      </c>
    </row>
    <row r="378" ht="15.75" customHeight="1">
      <c r="A378" s="64">
        <v>45473.0</v>
      </c>
      <c r="B378" s="55" t="str">
        <f>HYPERLINK("https://jobright.ai/jobs/info/6681a974127400923c6621c8?utm_campaign=1063&amp;utm_source=sheet", "Apply")</f>
        <v>Apply</v>
      </c>
      <c r="C378" s="10" t="s">
        <v>17359</v>
      </c>
      <c r="D378" s="56" t="s">
        <v>17360</v>
      </c>
      <c r="E378" s="10" t="s">
        <v>71</v>
      </c>
      <c r="F378" s="10" t="s">
        <v>17361</v>
      </c>
      <c r="G378" s="10" t="s">
        <v>962</v>
      </c>
      <c r="H378" s="10" t="s">
        <v>48</v>
      </c>
      <c r="J378" s="10" t="s">
        <v>17362</v>
      </c>
      <c r="K378" s="10" t="s">
        <v>42</v>
      </c>
    </row>
    <row r="379" ht="15.75" customHeight="1">
      <c r="A379" s="64">
        <v>45473.0</v>
      </c>
      <c r="B379" s="55" t="str">
        <f>HYPERLINK("https://jobright.ai/jobs/info/6681a974127400923c6621c6?utm_campaign=1063&amp;utm_source=sheet", "Apply")</f>
        <v>Apply</v>
      </c>
      <c r="C379" s="10" t="s">
        <v>17359</v>
      </c>
      <c r="D379" s="56" t="s">
        <v>17360</v>
      </c>
      <c r="E379" s="10" t="s">
        <v>71</v>
      </c>
      <c r="F379" s="10" t="s">
        <v>17361</v>
      </c>
      <c r="G379" s="10" t="s">
        <v>1012</v>
      </c>
      <c r="H379" s="10" t="s">
        <v>48</v>
      </c>
      <c r="J379" s="10" t="s">
        <v>17362</v>
      </c>
      <c r="K379" s="10" t="s">
        <v>42</v>
      </c>
    </row>
    <row r="380" ht="15.75" customHeight="1">
      <c r="A380" s="64">
        <v>45473.0</v>
      </c>
      <c r="B380" s="55" t="str">
        <f>HYPERLINK("https://jobright.ai/jobs/info/6681add5f81a97b0515c48b3?utm_campaign=1063&amp;utm_source=sheet", "Apply")</f>
        <v>Apply</v>
      </c>
      <c r="C380" s="10" t="s">
        <v>17359</v>
      </c>
      <c r="D380" s="56" t="s">
        <v>17360</v>
      </c>
      <c r="E380" s="10" t="s">
        <v>71</v>
      </c>
      <c r="F380" s="10" t="s">
        <v>17361</v>
      </c>
      <c r="G380" s="10" t="s">
        <v>897</v>
      </c>
      <c r="H380" s="10" t="s">
        <v>48</v>
      </c>
      <c r="J380" s="10" t="s">
        <v>17362</v>
      </c>
      <c r="K380" s="10" t="s">
        <v>42</v>
      </c>
    </row>
    <row r="381" ht="15.75" customHeight="1">
      <c r="A381" s="64">
        <v>45473.0</v>
      </c>
      <c r="B381" s="55" t="str">
        <f>HYPERLINK("https://jobright.ai/jobs/info/6681add5f81a97b0515c48b4?utm_campaign=1063&amp;utm_source=sheet", "Apply")</f>
        <v>Apply</v>
      </c>
      <c r="C381" s="10" t="s">
        <v>17359</v>
      </c>
      <c r="D381" s="56" t="s">
        <v>17360</v>
      </c>
      <c r="E381" s="10" t="s">
        <v>71</v>
      </c>
      <c r="F381" s="10" t="s">
        <v>17361</v>
      </c>
      <c r="G381" s="10" t="s">
        <v>1036</v>
      </c>
      <c r="H381" s="10" t="s">
        <v>48</v>
      </c>
      <c r="J381" s="10" t="s">
        <v>17362</v>
      </c>
      <c r="K381" s="10" t="s">
        <v>42</v>
      </c>
    </row>
    <row r="382" ht="15.75" customHeight="1">
      <c r="A382" s="64">
        <v>45473.0</v>
      </c>
      <c r="B382" s="55" t="str">
        <f>HYPERLINK("https://jobright.ai/jobs/info/6681add5f81a97b0515c48b5?utm_campaign=1063&amp;utm_source=sheet", "Apply")</f>
        <v>Apply</v>
      </c>
      <c r="C382" s="10" t="s">
        <v>17359</v>
      </c>
      <c r="D382" s="56" t="s">
        <v>17360</v>
      </c>
      <c r="E382" s="10" t="s">
        <v>71</v>
      </c>
      <c r="F382" s="10" t="s">
        <v>17361</v>
      </c>
      <c r="G382" s="10" t="s">
        <v>980</v>
      </c>
      <c r="H382" s="10" t="s">
        <v>48</v>
      </c>
      <c r="J382" s="10" t="s">
        <v>17362</v>
      </c>
      <c r="K382" s="10" t="s">
        <v>42</v>
      </c>
    </row>
    <row r="383" ht="15.75" customHeight="1">
      <c r="A383" s="64">
        <v>45473.0</v>
      </c>
      <c r="B383" s="55" t="str">
        <f>HYPERLINK("https://jobright.ai/jobs/info/6681add5f81a97b0515c48b7?utm_campaign=1063&amp;utm_source=sheet", "Apply")</f>
        <v>Apply</v>
      </c>
      <c r="C383" s="10" t="s">
        <v>17359</v>
      </c>
      <c r="D383" s="56" t="s">
        <v>17360</v>
      </c>
      <c r="E383" s="10" t="s">
        <v>71</v>
      </c>
      <c r="F383" s="10" t="s">
        <v>17361</v>
      </c>
      <c r="G383" s="10" t="s">
        <v>811</v>
      </c>
      <c r="H383" s="10" t="s">
        <v>48</v>
      </c>
      <c r="J383" s="10" t="s">
        <v>17362</v>
      </c>
      <c r="K383" s="10" t="s">
        <v>42</v>
      </c>
    </row>
    <row r="384" ht="15.75" customHeight="1">
      <c r="A384" s="64">
        <v>45473.0</v>
      </c>
      <c r="B384" s="55" t="str">
        <f>HYPERLINK("https://jobright.ai/jobs/info/6681add5f81a97b0515c48b8?utm_campaign=1063&amp;utm_source=sheet", "Apply")</f>
        <v>Apply</v>
      </c>
      <c r="C384" s="10" t="s">
        <v>17359</v>
      </c>
      <c r="D384" s="56" t="s">
        <v>17360</v>
      </c>
      <c r="E384" s="10" t="s">
        <v>71</v>
      </c>
      <c r="F384" s="10" t="s">
        <v>17361</v>
      </c>
      <c r="G384" s="10" t="s">
        <v>888</v>
      </c>
      <c r="H384" s="10" t="s">
        <v>48</v>
      </c>
      <c r="J384" s="10" t="s">
        <v>17362</v>
      </c>
      <c r="K384" s="10" t="s">
        <v>42</v>
      </c>
    </row>
    <row r="385" ht="15.75" customHeight="1">
      <c r="A385" s="64">
        <v>45473.0</v>
      </c>
      <c r="B385" s="55" t="str">
        <f>HYPERLINK("https://jobright.ai/jobs/info/6681add5f81a97b0515c48b6?utm_campaign=1063&amp;utm_source=sheet", "Apply")</f>
        <v>Apply</v>
      </c>
      <c r="C385" s="10" t="s">
        <v>17359</v>
      </c>
      <c r="D385" s="56" t="s">
        <v>17360</v>
      </c>
      <c r="E385" s="10" t="s">
        <v>71</v>
      </c>
      <c r="F385" s="10" t="s">
        <v>17361</v>
      </c>
      <c r="G385" s="10" t="s">
        <v>1038</v>
      </c>
      <c r="H385" s="10" t="s">
        <v>48</v>
      </c>
      <c r="J385" s="10" t="s">
        <v>17362</v>
      </c>
      <c r="K385" s="10" t="s">
        <v>42</v>
      </c>
    </row>
    <row r="386" ht="15.75" customHeight="1">
      <c r="A386" s="64">
        <v>45473.0</v>
      </c>
      <c r="B386" s="55" t="str">
        <f>HYPERLINK("https://jobright.ai/jobs/info/6681add5f81a97b0515c48b9?utm_campaign=1063&amp;utm_source=sheet", "Apply")</f>
        <v>Apply</v>
      </c>
      <c r="C386" s="10" t="s">
        <v>17359</v>
      </c>
      <c r="D386" s="56" t="s">
        <v>17360</v>
      </c>
      <c r="E386" s="10" t="s">
        <v>71</v>
      </c>
      <c r="F386" s="10" t="s">
        <v>17361</v>
      </c>
      <c r="G386" s="10" t="s">
        <v>934</v>
      </c>
      <c r="H386" s="10" t="s">
        <v>48</v>
      </c>
      <c r="J386" s="10" t="s">
        <v>17362</v>
      </c>
      <c r="K386" s="10" t="s">
        <v>42</v>
      </c>
    </row>
    <row r="387" ht="15.75" customHeight="1">
      <c r="A387" s="64">
        <v>45472.0</v>
      </c>
      <c r="B387" s="55" t="str">
        <f>HYPERLINK("https://jobright.ai/jobs/info/6680022a81383b3906b31a3d?utm_campaign=1063&amp;utm_source=sheet", "Apply")</f>
        <v>Apply</v>
      </c>
      <c r="C387" s="10" t="s">
        <v>17363</v>
      </c>
      <c r="D387" s="56" t="s">
        <v>17364</v>
      </c>
      <c r="E387" s="10" t="s">
        <v>65</v>
      </c>
      <c r="F387" s="10" t="s">
        <v>4921</v>
      </c>
      <c r="G387" s="10" t="s">
        <v>914</v>
      </c>
      <c r="H387" s="10" t="s">
        <v>48</v>
      </c>
      <c r="J387" s="10" t="s">
        <v>17365</v>
      </c>
      <c r="K387" s="10" t="s">
        <v>42</v>
      </c>
    </row>
    <row r="388" ht="15.75" customHeight="1">
      <c r="A388" s="64">
        <v>45472.0</v>
      </c>
      <c r="B388" s="55" t="str">
        <f>HYPERLINK("https://jobright.ai/jobs/info/6674593aec688fb28a95c0fe?utm_campaign=1063&amp;utm_source=sheet", "Apply")</f>
        <v>Apply</v>
      </c>
      <c r="C388" s="10" t="s">
        <v>17363</v>
      </c>
      <c r="D388" s="56" t="s">
        <v>17364</v>
      </c>
      <c r="E388" s="10" t="s">
        <v>65</v>
      </c>
      <c r="F388" s="10" t="s">
        <v>4921</v>
      </c>
      <c r="G388" s="10" t="s">
        <v>914</v>
      </c>
      <c r="H388" s="10" t="s">
        <v>55</v>
      </c>
      <c r="J388" s="10" t="s">
        <v>17365</v>
      </c>
      <c r="K388" s="10" t="s">
        <v>42</v>
      </c>
    </row>
    <row r="389" ht="15.75" customHeight="1">
      <c r="A389" s="64">
        <v>45471.0</v>
      </c>
      <c r="B389" s="55" t="str">
        <f>HYPERLINK("https://jobright.ai/jobs/info/6680de2e7cc102559adda47d?utm_campaign=1063&amp;utm_source=sheet", "Apply")</f>
        <v>Apply</v>
      </c>
      <c r="C389" s="10" t="s">
        <v>17366</v>
      </c>
      <c r="D389" s="56" t="s">
        <v>17367</v>
      </c>
      <c r="E389" s="10" t="s">
        <v>45</v>
      </c>
      <c r="G389" s="10" t="s">
        <v>139</v>
      </c>
      <c r="H389" s="10" t="s">
        <v>55</v>
      </c>
      <c r="J389" s="10" t="s">
        <v>17368</v>
      </c>
      <c r="K389" s="10" t="s">
        <v>42</v>
      </c>
    </row>
    <row r="390" ht="15.75" customHeight="1">
      <c r="A390" s="64">
        <v>45471.0</v>
      </c>
      <c r="B390" s="55" t="str">
        <f>HYPERLINK("https://jobright.ai/jobs/info/6680de2e7cc102559adda4ee?utm_campaign=1063&amp;utm_source=sheet", "Apply")</f>
        <v>Apply</v>
      </c>
      <c r="C390" s="10" t="s">
        <v>17369</v>
      </c>
      <c r="D390" s="56" t="s">
        <v>17367</v>
      </c>
      <c r="E390" s="10" t="s">
        <v>45</v>
      </c>
      <c r="G390" s="10" t="s">
        <v>139</v>
      </c>
      <c r="H390" s="10" t="s">
        <v>55</v>
      </c>
      <c r="J390" s="10" t="s">
        <v>17370</v>
      </c>
      <c r="K390" s="10" t="s">
        <v>42</v>
      </c>
    </row>
    <row r="391" ht="15.75" customHeight="1">
      <c r="A391" s="64">
        <v>45470.0</v>
      </c>
      <c r="B391" s="55" t="str">
        <f>HYPERLINK("https://jobright.ai/jobs/info/667dbd2fae1eddb4e04e2cca?utm_campaign=1063&amp;utm_source=sheet", "Apply")</f>
        <v>Apply</v>
      </c>
      <c r="C391" s="10" t="s">
        <v>17371</v>
      </c>
      <c r="D391" s="56" t="s">
        <v>17372</v>
      </c>
      <c r="E391" s="10" t="s">
        <v>79</v>
      </c>
      <c r="G391" s="10" t="s">
        <v>17373</v>
      </c>
      <c r="H391" s="10" t="s">
        <v>55</v>
      </c>
      <c r="J391" s="10" t="s">
        <v>17374</v>
      </c>
      <c r="K391" s="10" t="s">
        <v>42</v>
      </c>
    </row>
    <row r="392" ht="15.75" customHeight="1">
      <c r="A392" s="64">
        <v>45469.0</v>
      </c>
      <c r="B392" s="55" t="str">
        <f>HYPERLINK("https://jobright.ai/jobs/info/667ca2f67b6b9db4746b16d1?utm_campaign=1063&amp;utm_source=sheet", "Apply")</f>
        <v>Apply</v>
      </c>
      <c r="C392" s="10" t="s">
        <v>17375</v>
      </c>
      <c r="D392" s="56" t="s">
        <v>1794</v>
      </c>
      <c r="E392" s="10" t="s">
        <v>65</v>
      </c>
      <c r="F392" s="10" t="s">
        <v>1795</v>
      </c>
      <c r="G392" s="10" t="s">
        <v>1796</v>
      </c>
      <c r="H392" s="10" t="s">
        <v>55</v>
      </c>
      <c r="I392" s="10" t="s">
        <v>11533</v>
      </c>
      <c r="J392" s="10" t="s">
        <v>17376</v>
      </c>
      <c r="K392" s="10" t="s">
        <v>42</v>
      </c>
    </row>
    <row r="393" ht="15.75" customHeight="1">
      <c r="A393" s="64">
        <v>45469.0</v>
      </c>
      <c r="B393" s="55" t="str">
        <f>HYPERLINK("https://jobright.ai/jobs/info/667ca3007b6b9db4746b174a?utm_campaign=1063&amp;utm_source=sheet", "Apply")</f>
        <v>Apply</v>
      </c>
      <c r="C393" s="10" t="s">
        <v>17377</v>
      </c>
      <c r="D393" s="56" t="s">
        <v>1794</v>
      </c>
      <c r="E393" s="10" t="s">
        <v>65</v>
      </c>
      <c r="F393" s="10" t="s">
        <v>1795</v>
      </c>
      <c r="G393" s="10" t="s">
        <v>1796</v>
      </c>
      <c r="H393" s="10" t="s">
        <v>55</v>
      </c>
      <c r="I393" s="10" t="s">
        <v>4117</v>
      </c>
      <c r="J393" s="10" t="s">
        <v>17378</v>
      </c>
      <c r="K393" s="10" t="s">
        <v>42</v>
      </c>
    </row>
    <row r="394" ht="15.75" customHeight="1">
      <c r="A394" s="64">
        <v>45465.0</v>
      </c>
      <c r="B394" s="55" t="str">
        <f>HYPERLINK("https://jobright.ai/jobs/info/667aaa9aa579680bce918a7e?utm_campaign=1063&amp;utm_source=sheet", "Apply")</f>
        <v>Apply</v>
      </c>
      <c r="C394" s="10" t="s">
        <v>17379</v>
      </c>
      <c r="D394" s="56" t="s">
        <v>17380</v>
      </c>
      <c r="E394" s="10" t="s">
        <v>79</v>
      </c>
      <c r="F394" s="10" t="s">
        <v>10</v>
      </c>
      <c r="G394" s="10" t="s">
        <v>836</v>
      </c>
      <c r="H394" s="10" t="s">
        <v>55</v>
      </c>
      <c r="J394" s="10" t="s">
        <v>17381</v>
      </c>
      <c r="K394" s="10" t="s">
        <v>42</v>
      </c>
    </row>
    <row r="395" ht="15.75" customHeight="1">
      <c r="A395" s="64">
        <v>45458.0</v>
      </c>
      <c r="B395" s="55" t="str">
        <f>HYPERLINK("https://jobright.ai/jobs/info/6677b7d89c2d9fa5bf088220?utm_campaign=1063&amp;utm_source=sheet", "Apply")</f>
        <v>Apply</v>
      </c>
      <c r="C395" s="10" t="s">
        <v>17382</v>
      </c>
      <c r="D395" s="56" t="s">
        <v>2069</v>
      </c>
      <c r="E395" s="10" t="s">
        <v>65</v>
      </c>
      <c r="F395" s="10" t="s">
        <v>1663</v>
      </c>
      <c r="G395" s="10" t="s">
        <v>2070</v>
      </c>
      <c r="H395" s="10" t="s">
        <v>55</v>
      </c>
      <c r="I395" s="10" t="s">
        <v>15312</v>
      </c>
      <c r="J395" s="10" t="s">
        <v>17383</v>
      </c>
      <c r="K395" s="10" t="s">
        <v>42</v>
      </c>
    </row>
    <row r="396" ht="15.75" customHeight="1">
      <c r="A396" s="64">
        <v>45453.0</v>
      </c>
      <c r="B396" s="55" t="str">
        <f>HYPERLINK("https://jobright.ai/jobs/info/6667ccfa0e75e6484ca3ed0e?utm_campaign=1063&amp;utm_source=sheet", "Apply")</f>
        <v>Apply</v>
      </c>
      <c r="C396" s="10" t="s">
        <v>17384</v>
      </c>
      <c r="D396" s="56" t="s">
        <v>1496</v>
      </c>
      <c r="E396" s="10" t="s">
        <v>45</v>
      </c>
      <c r="F396" s="10" t="s">
        <v>1497</v>
      </c>
      <c r="G396" s="10" t="s">
        <v>1455</v>
      </c>
      <c r="H396" s="10" t="s">
        <v>55</v>
      </c>
      <c r="J396" s="10" t="s">
        <v>17385</v>
      </c>
      <c r="K396" s="10" t="s">
        <v>42</v>
      </c>
    </row>
    <row r="397" ht="15.75" customHeight="1">
      <c r="A397" s="64">
        <v>45450.0</v>
      </c>
      <c r="B397" s="55" t="str">
        <f>HYPERLINK("https://jobright.ai/jobs/info/6667d28b0e75e6484ca3fd4c?utm_campaign=1063&amp;utm_source=sheet", "Apply")</f>
        <v>Apply</v>
      </c>
      <c r="C397" s="10" t="s">
        <v>17386</v>
      </c>
      <c r="D397" s="56" t="s">
        <v>1414</v>
      </c>
      <c r="E397" s="10" t="s">
        <v>45</v>
      </c>
      <c r="F397" s="10" t="s">
        <v>1415</v>
      </c>
      <c r="G397" s="10" t="s">
        <v>5030</v>
      </c>
      <c r="H397" s="10" t="s">
        <v>55</v>
      </c>
      <c r="J397" s="10" t="s">
        <v>17387</v>
      </c>
      <c r="K397" s="10" t="s">
        <v>42</v>
      </c>
    </row>
    <row r="398" ht="15.75" customHeight="1">
      <c r="A398" s="64">
        <v>45449.0</v>
      </c>
      <c r="B398" s="55" t="str">
        <f>HYPERLINK("https://jobright.ai/jobs/info/6661fce4eca34b2833349581?utm_campaign=1063&amp;utm_source=sheet", "Apply")</f>
        <v>Apply</v>
      </c>
      <c r="C398" s="10" t="s">
        <v>17388</v>
      </c>
      <c r="D398" s="56" t="s">
        <v>1662</v>
      </c>
      <c r="E398" s="10" t="s">
        <v>209</v>
      </c>
      <c r="F398" s="10" t="s">
        <v>1663</v>
      </c>
      <c r="G398" s="10" t="s">
        <v>167</v>
      </c>
      <c r="H398" s="10" t="s">
        <v>55</v>
      </c>
      <c r="I398" s="10" t="s">
        <v>17389</v>
      </c>
      <c r="J398" s="10" t="s">
        <v>17390</v>
      </c>
      <c r="K398" s="10" t="s">
        <v>42</v>
      </c>
    </row>
    <row r="399" ht="15.75" customHeight="1">
      <c r="A399" s="64">
        <v>45447.0</v>
      </c>
      <c r="B399" s="55" t="str">
        <f>HYPERLINK("https://jobright.ai/jobs/info/6668118fd19f25c2c7cd1e1b?utm_campaign=1063&amp;utm_source=sheet", "Apply")</f>
        <v>Apply</v>
      </c>
      <c r="C399" s="10" t="s">
        <v>17391</v>
      </c>
      <c r="D399" s="56" t="s">
        <v>1496</v>
      </c>
      <c r="E399" s="10" t="s">
        <v>45</v>
      </c>
      <c r="F399" s="10" t="s">
        <v>1497</v>
      </c>
      <c r="G399" s="10" t="s">
        <v>12374</v>
      </c>
      <c r="H399" s="10" t="s">
        <v>55</v>
      </c>
      <c r="J399" s="10" t="s">
        <v>17392</v>
      </c>
      <c r="K399" s="10" t="s">
        <v>42</v>
      </c>
    </row>
    <row r="400" ht="15.75" customHeight="1">
      <c r="A400" s="64">
        <v>45446.0</v>
      </c>
      <c r="B400" s="55" t="str">
        <f>HYPERLINK("https://jobright.ai/jobs/info/66600414f794dc145cb1a780?utm_campaign=1063&amp;utm_source=sheet", "Apply")</f>
        <v>Apply</v>
      </c>
      <c r="C400" s="10" t="s">
        <v>17393</v>
      </c>
      <c r="D400" s="56" t="s">
        <v>17394</v>
      </c>
      <c r="E400" s="10" t="s">
        <v>249</v>
      </c>
      <c r="G400" s="10" t="s">
        <v>994</v>
      </c>
      <c r="H400" s="10" t="s">
        <v>55</v>
      </c>
      <c r="J400" s="10" t="s">
        <v>17395</v>
      </c>
      <c r="K400" s="10" t="s">
        <v>42</v>
      </c>
    </row>
    <row r="401" ht="15.75" customHeight="1">
      <c r="A401" s="64">
        <v>45446.0</v>
      </c>
      <c r="B401" s="55" t="str">
        <f>HYPERLINK("https://jobright.ai/jobs/info/66682e3c9d7e47024a7801d0?utm_campaign=1063&amp;utm_source=sheet", "Apply")</f>
        <v>Apply</v>
      </c>
      <c r="C401" s="10" t="s">
        <v>17396</v>
      </c>
      <c r="D401" s="56" t="s">
        <v>1496</v>
      </c>
      <c r="E401" s="10" t="s">
        <v>45</v>
      </c>
      <c r="F401" s="10" t="s">
        <v>1497</v>
      </c>
      <c r="G401" s="10" t="s">
        <v>15773</v>
      </c>
      <c r="H401" s="10" t="s">
        <v>55</v>
      </c>
      <c r="I401" s="10" t="s">
        <v>17397</v>
      </c>
      <c r="J401" s="10" t="s">
        <v>17398</v>
      </c>
      <c r="K401" s="10" t="s">
        <v>42</v>
      </c>
    </row>
    <row r="402" ht="15.75" customHeight="1">
      <c r="A402" s="64">
        <v>45446.0</v>
      </c>
      <c r="B402" s="55" t="str">
        <f>HYPERLINK("https://jobright.ai/jobs/info/66682da99d7e47024a780018?utm_campaign=1063&amp;utm_source=sheet", "Apply")</f>
        <v>Apply</v>
      </c>
      <c r="C402" s="10" t="s">
        <v>17399</v>
      </c>
      <c r="D402" s="56" t="s">
        <v>1414</v>
      </c>
      <c r="E402" s="10" t="s">
        <v>45</v>
      </c>
      <c r="F402" s="10" t="s">
        <v>1415</v>
      </c>
      <c r="G402" s="10" t="s">
        <v>1533</v>
      </c>
      <c r="H402" s="10" t="s">
        <v>55</v>
      </c>
      <c r="J402" s="10" t="s">
        <v>17400</v>
      </c>
      <c r="K402" s="10" t="s">
        <v>42</v>
      </c>
    </row>
    <row r="403" ht="15.75" customHeight="1">
      <c r="A403" s="64">
        <v>45443.0</v>
      </c>
      <c r="B403" s="55" t="str">
        <f>HYPERLINK("https://jobright.ai/jobs/info/66685cfab3577e6d5da7a6d9?utm_campaign=1063&amp;utm_source=sheet", "Apply")</f>
        <v>Apply</v>
      </c>
      <c r="C403" s="10" t="s">
        <v>17401</v>
      </c>
      <c r="D403" s="56" t="s">
        <v>1488</v>
      </c>
      <c r="E403" s="10" t="s">
        <v>45</v>
      </c>
      <c r="F403" s="10" t="s">
        <v>1489</v>
      </c>
      <c r="G403" s="10" t="s">
        <v>2275</v>
      </c>
      <c r="H403" s="10" t="s">
        <v>55</v>
      </c>
      <c r="J403" s="10" t="s">
        <v>17402</v>
      </c>
      <c r="K403" s="10" t="s">
        <v>42</v>
      </c>
    </row>
    <row r="404" ht="15.75" customHeight="1">
      <c r="A404" s="64">
        <v>45440.0</v>
      </c>
      <c r="B404" s="55" t="str">
        <f>HYPERLINK("https://jobright.ai/jobs/info/6668830cf8309f8de12c54de?utm_campaign=1063&amp;utm_source=sheet", "Apply")</f>
        <v>Apply</v>
      </c>
      <c r="C404" s="10" t="s">
        <v>17403</v>
      </c>
      <c r="D404" s="56" t="s">
        <v>17404</v>
      </c>
      <c r="E404" s="10" t="s">
        <v>45</v>
      </c>
      <c r="F404" s="10" t="s">
        <v>17405</v>
      </c>
      <c r="G404" s="10" t="s">
        <v>12333</v>
      </c>
      <c r="H404" s="10" t="s">
        <v>55</v>
      </c>
      <c r="J404" s="10" t="s">
        <v>17406</v>
      </c>
      <c r="K404" s="10" t="s">
        <v>42</v>
      </c>
    </row>
    <row r="405" ht="15.75" customHeight="1">
      <c r="A405" s="66">
        <v>45439.0</v>
      </c>
      <c r="B405" s="55" t="str">
        <f>HYPERLINK("https://jobright.ai/jobs/info/667c32999f00ed44e1dd3b1e?utm_campaign=1063&amp;utm_source=sheet", "Apply")</f>
        <v>Apply</v>
      </c>
      <c r="C405" s="10" t="s">
        <v>17407</v>
      </c>
      <c r="D405" s="56" t="s">
        <v>17408</v>
      </c>
      <c r="E405" s="10" t="s">
        <v>276</v>
      </c>
      <c r="F405" s="10" t="s">
        <v>17409</v>
      </c>
      <c r="G405" s="10" t="s">
        <v>914</v>
      </c>
      <c r="H405" s="10" t="s">
        <v>55</v>
      </c>
      <c r="J405" s="10" t="s">
        <v>17410</v>
      </c>
      <c r="K405" s="10" t="s">
        <v>42</v>
      </c>
    </row>
    <row r="406" ht="15.75" customHeight="1">
      <c r="A406" s="66">
        <v>45435.0</v>
      </c>
      <c r="B406" s="55" t="str">
        <f>HYPERLINK("https://jobright.ai/jobs/info/6677e1ec783a239da84179c0?utm_campaign=1063&amp;utm_source=sheet", "Apply")</f>
        <v>Apply</v>
      </c>
      <c r="C406" s="10" t="s">
        <v>17411</v>
      </c>
      <c r="D406" s="56" t="s">
        <v>17412</v>
      </c>
      <c r="E406" s="10" t="s">
        <v>137</v>
      </c>
      <c r="F406" s="10" t="s">
        <v>17413</v>
      </c>
      <c r="G406" s="10" t="s">
        <v>740</v>
      </c>
      <c r="H406" s="10" t="s">
        <v>55</v>
      </c>
      <c r="J406" s="10" t="s">
        <v>17414</v>
      </c>
      <c r="K406" s="10" t="s">
        <v>42</v>
      </c>
    </row>
    <row r="407" ht="15.75" customHeight="1">
      <c r="A407" s="66">
        <v>45433.0</v>
      </c>
      <c r="B407" s="55" t="str">
        <f>HYPERLINK("https://jobright.ai/jobs/info/666917c3ef71c96a7fcbc590?utm_campaign=1063&amp;utm_source=sheet", "Apply")</f>
        <v>Apply</v>
      </c>
      <c r="C407" s="10" t="s">
        <v>17415</v>
      </c>
      <c r="D407" s="56" t="s">
        <v>1496</v>
      </c>
      <c r="E407" s="10" t="s">
        <v>45</v>
      </c>
      <c r="F407" s="10" t="s">
        <v>1497</v>
      </c>
      <c r="G407" s="10" t="s">
        <v>1460</v>
      </c>
      <c r="H407" s="10" t="s">
        <v>55</v>
      </c>
      <c r="J407" s="10" t="s">
        <v>17416</v>
      </c>
      <c r="K407" s="10" t="s">
        <v>42</v>
      </c>
    </row>
    <row r="408" ht="15.75" customHeight="1">
      <c r="A408" s="66">
        <v>45430.0</v>
      </c>
      <c r="B408" s="55" t="str">
        <f>HYPERLINK("https://jobright.ai/jobs/info/66701f2d4ebe061c234403da?utm_campaign=1063&amp;utm_source=sheet", "Apply")</f>
        <v>Apply</v>
      </c>
      <c r="C408" s="10" t="s">
        <v>17407</v>
      </c>
      <c r="D408" s="56" t="s">
        <v>17408</v>
      </c>
      <c r="E408" s="10" t="s">
        <v>276</v>
      </c>
      <c r="F408" s="10" t="s">
        <v>17409</v>
      </c>
      <c r="G408" s="10" t="s">
        <v>13689</v>
      </c>
      <c r="H408" s="10" t="s">
        <v>55</v>
      </c>
      <c r="J408" s="10" t="s">
        <v>17410</v>
      </c>
      <c r="K408" s="10" t="s">
        <v>42</v>
      </c>
    </row>
    <row r="409" ht="15.75" customHeight="1">
      <c r="A409" s="67">
        <v>45429.0</v>
      </c>
      <c r="B409" s="55" t="str">
        <f>HYPERLINK("https://jobright.ai/jobs/info/6669184fef71c96a7fcbce5e?utm_campaign=1063&amp;utm_source=sheet", "Apply")</f>
        <v>Apply</v>
      </c>
      <c r="C409" s="10" t="s">
        <v>17417</v>
      </c>
      <c r="D409" s="56" t="s">
        <v>1496</v>
      </c>
      <c r="E409" s="10" t="s">
        <v>45</v>
      </c>
      <c r="F409" s="10" t="s">
        <v>1497</v>
      </c>
      <c r="G409" s="10" t="s">
        <v>1460</v>
      </c>
      <c r="H409" s="10" t="s">
        <v>55</v>
      </c>
      <c r="J409" s="10" t="s">
        <v>17418</v>
      </c>
      <c r="K409" s="10" t="s">
        <v>42</v>
      </c>
    </row>
    <row r="410" ht="15.75" customHeight="1">
      <c r="A410" s="67">
        <v>45427.0</v>
      </c>
      <c r="B410" s="55" t="str">
        <f>HYPERLINK("https://jobright.ai/jobs/info/66451e28bc6f48db55cbdbf4?utm_campaign=1063&amp;utm_source=sheet", "Apply")</f>
        <v>Apply</v>
      </c>
      <c r="C410" s="10" t="s">
        <v>17407</v>
      </c>
      <c r="D410" s="56" t="s">
        <v>17408</v>
      </c>
      <c r="E410" s="10" t="s">
        <v>276</v>
      </c>
      <c r="F410" s="10" t="s">
        <v>17409</v>
      </c>
      <c r="G410" s="10" t="s">
        <v>10999</v>
      </c>
      <c r="H410" s="10" t="s">
        <v>55</v>
      </c>
      <c r="J410" s="10" t="s">
        <v>17410</v>
      </c>
      <c r="K410" s="10" t="s">
        <v>42</v>
      </c>
    </row>
    <row r="411" ht="15.75" customHeight="1">
      <c r="A411" s="67">
        <v>45426.0</v>
      </c>
      <c r="B411" s="55" t="str">
        <f>HYPERLINK("https://jobright.ai/jobs/info/666920b1c327d9911b6d5217?utm_campaign=1063&amp;utm_source=sheet", "Apply")</f>
        <v>Apply</v>
      </c>
      <c r="C411" s="10" t="s">
        <v>17419</v>
      </c>
      <c r="D411" s="56" t="s">
        <v>1488</v>
      </c>
      <c r="E411" s="10" t="s">
        <v>45</v>
      </c>
      <c r="F411" s="10" t="s">
        <v>1489</v>
      </c>
      <c r="G411" s="10" t="s">
        <v>17213</v>
      </c>
      <c r="H411" s="10" t="s">
        <v>55</v>
      </c>
      <c r="J411" s="10" t="s">
        <v>17420</v>
      </c>
      <c r="K411" s="10" t="s">
        <v>42</v>
      </c>
    </row>
    <row r="412" ht="15.75" customHeight="1">
      <c r="A412" s="67">
        <v>45415.0</v>
      </c>
      <c r="B412" s="55" t="str">
        <f>HYPERLINK("https://jobright.ai/jobs/info/66693ff78f0265d34931b232?utm_campaign=1063&amp;utm_source=sheet", "Apply")</f>
        <v>Apply</v>
      </c>
      <c r="C412" s="10" t="s">
        <v>17421</v>
      </c>
      <c r="D412" s="56" t="s">
        <v>1496</v>
      </c>
      <c r="E412" s="10" t="s">
        <v>45</v>
      </c>
      <c r="F412" s="10" t="s">
        <v>1497</v>
      </c>
      <c r="G412" s="10" t="s">
        <v>17422</v>
      </c>
      <c r="H412" s="10" t="s">
        <v>55</v>
      </c>
      <c r="J412" s="10" t="s">
        <v>17423</v>
      </c>
      <c r="K412" s="10" t="s">
        <v>42</v>
      </c>
    </row>
    <row r="413" ht="15.75" customHeight="1">
      <c r="A413" s="67">
        <v>45415.0</v>
      </c>
      <c r="B413" s="55" t="str">
        <f>HYPERLINK("https://jobright.ai/jobs/info/66693fe68f0265d34931b160?utm_campaign=1063&amp;utm_source=sheet", "Apply")</f>
        <v>Apply</v>
      </c>
      <c r="C413" s="10" t="s">
        <v>17424</v>
      </c>
      <c r="D413" s="56" t="s">
        <v>17404</v>
      </c>
      <c r="E413" s="10" t="s">
        <v>45</v>
      </c>
      <c r="F413" s="10" t="s">
        <v>17405</v>
      </c>
      <c r="G413" s="10" t="s">
        <v>12333</v>
      </c>
      <c r="H413" s="10" t="s">
        <v>55</v>
      </c>
      <c r="J413" s="10" t="s">
        <v>17425</v>
      </c>
      <c r="K413" s="10" t="s">
        <v>42</v>
      </c>
    </row>
    <row r="414" ht="15.75" customHeight="1">
      <c r="A414" s="67">
        <v>45415.0</v>
      </c>
      <c r="B414" s="55" t="str">
        <f>HYPERLINK("https://jobright.ai/jobs/info/666940058f0265d34931b275?utm_campaign=1063&amp;utm_source=sheet", "Apply")</f>
        <v>Apply</v>
      </c>
      <c r="C414" s="10" t="s">
        <v>17426</v>
      </c>
      <c r="D414" s="56" t="s">
        <v>9403</v>
      </c>
      <c r="E414" s="10" t="s">
        <v>45</v>
      </c>
      <c r="F414" s="10" t="s">
        <v>722</v>
      </c>
      <c r="G414" s="10" t="s">
        <v>12333</v>
      </c>
      <c r="H414" s="10" t="s">
        <v>55</v>
      </c>
      <c r="J414" s="10" t="s">
        <v>17427</v>
      </c>
      <c r="K414" s="10" t="s">
        <v>42</v>
      </c>
    </row>
    <row r="415">
      <c r="A415" s="67"/>
      <c r="D415" s="56"/>
    </row>
    <row r="416">
      <c r="A416" s="67"/>
      <c r="D416" s="56"/>
    </row>
    <row r="417">
      <c r="A417" s="68"/>
      <c r="D417" s="56"/>
    </row>
    <row r="418">
      <c r="A418" s="68"/>
      <c r="D418" s="56"/>
    </row>
    <row r="419">
      <c r="A419" s="67"/>
      <c r="D419" s="56"/>
    </row>
    <row r="420">
      <c r="A420" s="68"/>
      <c r="D420" s="56"/>
    </row>
    <row r="421">
      <c r="A421" s="68"/>
      <c r="D421" s="56"/>
    </row>
    <row r="422">
      <c r="A422" s="68"/>
      <c r="D422" s="56"/>
    </row>
    <row r="423">
      <c r="A423" s="68"/>
      <c r="D423" s="56"/>
    </row>
    <row r="424">
      <c r="A424" s="68"/>
      <c r="D424" s="56"/>
    </row>
    <row r="425">
      <c r="D425" s="63"/>
    </row>
    <row r="426">
      <c r="D426" s="63"/>
    </row>
    <row r="427">
      <c r="D427" s="63"/>
    </row>
    <row r="428">
      <c r="D428" s="63"/>
    </row>
    <row r="429">
      <c r="D429" s="63"/>
    </row>
    <row r="430">
      <c r="D430" s="63"/>
    </row>
    <row r="431">
      <c r="D431" s="63"/>
    </row>
    <row r="432">
      <c r="D432" s="63"/>
    </row>
    <row r="433">
      <c r="D433" s="63"/>
    </row>
    <row r="434">
      <c r="D434" s="63"/>
    </row>
    <row r="435">
      <c r="D435" s="63"/>
    </row>
    <row r="436">
      <c r="D436" s="63"/>
    </row>
    <row r="437">
      <c r="D437" s="63"/>
    </row>
    <row r="438">
      <c r="D438" s="63"/>
    </row>
    <row r="439">
      <c r="D439" s="63"/>
    </row>
    <row r="440">
      <c r="D440" s="63"/>
    </row>
    <row r="441">
      <c r="D441" s="63"/>
    </row>
    <row r="442">
      <c r="D442" s="63"/>
    </row>
    <row r="443">
      <c r="D443" s="63"/>
    </row>
    <row r="444">
      <c r="D444" s="63"/>
    </row>
    <row r="445">
      <c r="D445" s="63"/>
    </row>
    <row r="446">
      <c r="D446" s="63"/>
    </row>
    <row r="447">
      <c r="D447" s="63"/>
    </row>
    <row r="448">
      <c r="D448" s="63"/>
    </row>
    <row r="449">
      <c r="D449" s="63"/>
    </row>
    <row r="450">
      <c r="D450" s="63"/>
    </row>
    <row r="451">
      <c r="D451" s="63"/>
    </row>
    <row r="452">
      <c r="D452" s="63"/>
    </row>
    <row r="453">
      <c r="D453" s="63"/>
    </row>
    <row r="454">
      <c r="D454" s="63"/>
    </row>
    <row r="455">
      <c r="D455" s="63"/>
    </row>
    <row r="456">
      <c r="D456" s="63"/>
    </row>
    <row r="457">
      <c r="D457" s="63"/>
    </row>
    <row r="458">
      <c r="D458" s="63"/>
    </row>
    <row r="459">
      <c r="D459" s="63"/>
    </row>
    <row r="460">
      <c r="D460" s="63"/>
    </row>
    <row r="461">
      <c r="D461" s="63"/>
    </row>
    <row r="462">
      <c r="D462" s="63"/>
    </row>
    <row r="463">
      <c r="D463" s="63"/>
    </row>
    <row r="464">
      <c r="D464" s="63"/>
    </row>
    <row r="465">
      <c r="D465" s="63"/>
    </row>
    <row r="466">
      <c r="D466" s="63"/>
    </row>
    <row r="467">
      <c r="D467" s="63"/>
    </row>
    <row r="468">
      <c r="D468" s="63"/>
    </row>
    <row r="469">
      <c r="D469" s="63"/>
    </row>
    <row r="470">
      <c r="D470" s="63"/>
    </row>
    <row r="471">
      <c r="D471" s="63"/>
    </row>
    <row r="472">
      <c r="D472" s="63"/>
    </row>
    <row r="473">
      <c r="D473" s="63"/>
    </row>
    <row r="474">
      <c r="D474" s="63"/>
    </row>
    <row r="475">
      <c r="D475" s="63"/>
    </row>
    <row r="476">
      <c r="D476" s="63"/>
    </row>
    <row r="477">
      <c r="D477" s="63"/>
    </row>
    <row r="478">
      <c r="D478" s="63"/>
    </row>
    <row r="479">
      <c r="D479" s="63"/>
    </row>
    <row r="480">
      <c r="D480" s="63"/>
    </row>
    <row r="481">
      <c r="D481" s="63"/>
    </row>
    <row r="482">
      <c r="D482" s="63"/>
    </row>
    <row r="483">
      <c r="D483" s="63"/>
    </row>
    <row r="484">
      <c r="D484" s="63"/>
    </row>
    <row r="485">
      <c r="D485" s="63"/>
    </row>
    <row r="486">
      <c r="D486" s="63"/>
    </row>
    <row r="487">
      <c r="D487" s="63"/>
    </row>
    <row r="488">
      <c r="D488" s="63"/>
    </row>
    <row r="489">
      <c r="D489" s="63"/>
    </row>
    <row r="490">
      <c r="D490" s="63"/>
    </row>
    <row r="491">
      <c r="D491" s="63"/>
    </row>
    <row r="492">
      <c r="D492" s="63"/>
    </row>
    <row r="493">
      <c r="D493" s="63"/>
    </row>
    <row r="494">
      <c r="D494" s="63"/>
    </row>
    <row r="495">
      <c r="D495" s="63"/>
    </row>
    <row r="496">
      <c r="D496" s="63"/>
    </row>
    <row r="497">
      <c r="D497" s="63"/>
    </row>
    <row r="498">
      <c r="D498" s="63"/>
    </row>
    <row r="499">
      <c r="D499" s="63"/>
    </row>
    <row r="500">
      <c r="D500" s="63"/>
    </row>
    <row r="501">
      <c r="D501" s="63"/>
    </row>
    <row r="502">
      <c r="D502" s="63"/>
    </row>
    <row r="503">
      <c r="D503" s="63"/>
    </row>
    <row r="504">
      <c r="D504" s="63"/>
    </row>
    <row r="505">
      <c r="D505" s="63"/>
    </row>
    <row r="506">
      <c r="D506" s="63"/>
    </row>
    <row r="507">
      <c r="D507" s="63"/>
    </row>
    <row r="508">
      <c r="D508" s="63"/>
    </row>
    <row r="509">
      <c r="D509" s="63"/>
    </row>
    <row r="510">
      <c r="D510" s="63"/>
    </row>
    <row r="511">
      <c r="D511" s="63"/>
    </row>
    <row r="512">
      <c r="D512" s="63"/>
    </row>
    <row r="513">
      <c r="D513" s="63"/>
    </row>
    <row r="514">
      <c r="D514" s="63"/>
    </row>
    <row r="515">
      <c r="D515" s="63"/>
    </row>
    <row r="516">
      <c r="D516" s="63"/>
    </row>
    <row r="517">
      <c r="D517" s="63"/>
    </row>
    <row r="518">
      <c r="D518" s="63"/>
    </row>
    <row r="519">
      <c r="D519" s="63"/>
    </row>
    <row r="520">
      <c r="D520" s="63"/>
    </row>
    <row r="521">
      <c r="D521" s="63"/>
    </row>
    <row r="522">
      <c r="D522" s="63"/>
    </row>
    <row r="523">
      <c r="D523" s="63"/>
    </row>
    <row r="524">
      <c r="D524" s="63"/>
    </row>
    <row r="525">
      <c r="D525" s="63"/>
    </row>
    <row r="526">
      <c r="D526" s="63"/>
    </row>
    <row r="527">
      <c r="D527" s="63"/>
    </row>
    <row r="528">
      <c r="D528" s="63"/>
    </row>
    <row r="529">
      <c r="D529" s="63"/>
    </row>
    <row r="530">
      <c r="D530" s="63"/>
    </row>
    <row r="531">
      <c r="D531" s="63"/>
    </row>
    <row r="532">
      <c r="D532" s="63"/>
    </row>
    <row r="533">
      <c r="D533" s="63"/>
    </row>
    <row r="534">
      <c r="D534" s="63"/>
    </row>
    <row r="535">
      <c r="D535" s="63"/>
    </row>
    <row r="536">
      <c r="D536" s="63"/>
    </row>
    <row r="537">
      <c r="D537" s="63"/>
    </row>
    <row r="538">
      <c r="D538" s="63"/>
    </row>
    <row r="539">
      <c r="D539" s="63"/>
    </row>
    <row r="540">
      <c r="D540" s="63"/>
    </row>
    <row r="541">
      <c r="D541" s="63"/>
    </row>
    <row r="542">
      <c r="D542" s="63"/>
    </row>
    <row r="543">
      <c r="D543" s="63"/>
    </row>
    <row r="544">
      <c r="D544" s="63"/>
    </row>
    <row r="545">
      <c r="D545" s="63"/>
    </row>
    <row r="546">
      <c r="D546" s="63"/>
    </row>
    <row r="547">
      <c r="D547" s="63"/>
    </row>
    <row r="548">
      <c r="D548" s="63"/>
    </row>
    <row r="549">
      <c r="D549" s="63"/>
    </row>
    <row r="550">
      <c r="D550" s="63"/>
    </row>
    <row r="551">
      <c r="D551" s="63"/>
    </row>
    <row r="552">
      <c r="D552" s="63"/>
    </row>
    <row r="553">
      <c r="D553" s="63"/>
    </row>
    <row r="554">
      <c r="D554" s="63"/>
    </row>
    <row r="555">
      <c r="D555" s="63"/>
    </row>
    <row r="556">
      <c r="D556" s="63"/>
    </row>
    <row r="557">
      <c r="D557" s="63"/>
    </row>
    <row r="558">
      <c r="D558" s="63"/>
    </row>
    <row r="559">
      <c r="D559" s="63"/>
    </row>
    <row r="560">
      <c r="D560" s="63"/>
    </row>
    <row r="561">
      <c r="D561" s="63"/>
    </row>
    <row r="562">
      <c r="D562" s="63"/>
    </row>
    <row r="563">
      <c r="D563" s="63"/>
    </row>
    <row r="564">
      <c r="D564" s="63"/>
    </row>
    <row r="565">
      <c r="D565" s="63"/>
    </row>
    <row r="566">
      <c r="D566" s="63"/>
    </row>
    <row r="567">
      <c r="D567" s="63"/>
    </row>
    <row r="568">
      <c r="D568" s="63"/>
    </row>
    <row r="569">
      <c r="D569" s="63"/>
    </row>
    <row r="570">
      <c r="D570" s="63"/>
    </row>
    <row r="571">
      <c r="D571" s="63"/>
    </row>
    <row r="572">
      <c r="D572" s="63"/>
    </row>
    <row r="573">
      <c r="D573" s="63"/>
    </row>
    <row r="574">
      <c r="D574" s="63"/>
    </row>
    <row r="575">
      <c r="D575" s="63"/>
    </row>
    <row r="576">
      <c r="D576" s="63"/>
    </row>
    <row r="577">
      <c r="D577" s="63"/>
    </row>
    <row r="578">
      <c r="D578" s="63"/>
    </row>
    <row r="579">
      <c r="D579" s="63"/>
    </row>
    <row r="580">
      <c r="D580" s="63"/>
    </row>
    <row r="581">
      <c r="D581" s="63"/>
    </row>
    <row r="582">
      <c r="D582" s="63"/>
    </row>
    <row r="583">
      <c r="D583" s="63"/>
    </row>
    <row r="584">
      <c r="D584" s="63"/>
    </row>
    <row r="585">
      <c r="D585" s="63"/>
    </row>
    <row r="586">
      <c r="D586" s="63"/>
    </row>
    <row r="587">
      <c r="D587" s="63"/>
    </row>
    <row r="588">
      <c r="D588" s="63"/>
    </row>
    <row r="589">
      <c r="D589" s="63"/>
    </row>
    <row r="590">
      <c r="D590" s="63"/>
    </row>
    <row r="591">
      <c r="D591" s="63"/>
    </row>
    <row r="592">
      <c r="D592" s="63"/>
    </row>
    <row r="593">
      <c r="D593" s="63"/>
    </row>
    <row r="594">
      <c r="D594" s="63"/>
    </row>
    <row r="595">
      <c r="D595" s="63"/>
    </row>
    <row r="596">
      <c r="D596" s="63"/>
    </row>
    <row r="597">
      <c r="D597" s="63"/>
    </row>
    <row r="598">
      <c r="D598" s="63"/>
    </row>
    <row r="599">
      <c r="D599" s="63"/>
    </row>
    <row r="600">
      <c r="D600" s="63"/>
    </row>
    <row r="601">
      <c r="D601" s="63"/>
    </row>
    <row r="602">
      <c r="D602" s="63"/>
    </row>
    <row r="603">
      <c r="D603" s="63"/>
    </row>
    <row r="604">
      <c r="D604" s="63"/>
    </row>
    <row r="605">
      <c r="D605" s="63"/>
    </row>
    <row r="606">
      <c r="D606" s="63"/>
    </row>
    <row r="607">
      <c r="D607" s="63"/>
    </row>
    <row r="608">
      <c r="D608" s="63"/>
    </row>
    <row r="609">
      <c r="D609" s="63"/>
    </row>
    <row r="610">
      <c r="D610" s="63"/>
    </row>
    <row r="611">
      <c r="D611" s="63"/>
    </row>
    <row r="612">
      <c r="D612" s="63"/>
    </row>
    <row r="613">
      <c r="D613" s="63"/>
    </row>
    <row r="614">
      <c r="D614" s="63"/>
    </row>
    <row r="615">
      <c r="D615" s="63"/>
    </row>
    <row r="616">
      <c r="D616" s="63"/>
    </row>
    <row r="617">
      <c r="D617" s="63"/>
    </row>
    <row r="618">
      <c r="D618" s="63"/>
    </row>
    <row r="619">
      <c r="D619" s="63"/>
    </row>
    <row r="620">
      <c r="D620" s="63"/>
    </row>
    <row r="621">
      <c r="D621" s="63"/>
    </row>
    <row r="622">
      <c r="D622" s="63"/>
    </row>
    <row r="623">
      <c r="D623" s="63"/>
    </row>
    <row r="624">
      <c r="D624" s="63"/>
    </row>
    <row r="625">
      <c r="D625" s="63"/>
    </row>
    <row r="626">
      <c r="D626" s="63"/>
    </row>
    <row r="627">
      <c r="D627" s="63"/>
    </row>
    <row r="628">
      <c r="D628" s="63"/>
    </row>
    <row r="629">
      <c r="D629" s="63"/>
    </row>
    <row r="630">
      <c r="D630" s="63"/>
    </row>
    <row r="631">
      <c r="D631" s="63"/>
    </row>
    <row r="632">
      <c r="D632" s="63"/>
    </row>
    <row r="633">
      <c r="D633" s="63"/>
    </row>
    <row r="634">
      <c r="D634" s="63"/>
    </row>
    <row r="635">
      <c r="D635" s="63"/>
    </row>
    <row r="636">
      <c r="D636" s="63"/>
    </row>
    <row r="637">
      <c r="D637" s="63"/>
    </row>
    <row r="638">
      <c r="D638" s="63"/>
    </row>
    <row r="639">
      <c r="D639" s="63"/>
    </row>
    <row r="640">
      <c r="D640" s="63"/>
    </row>
    <row r="641">
      <c r="D641" s="63"/>
    </row>
    <row r="642">
      <c r="D642" s="63"/>
    </row>
    <row r="643">
      <c r="D643" s="63"/>
    </row>
    <row r="644">
      <c r="D644" s="63"/>
    </row>
    <row r="645">
      <c r="D645" s="63"/>
    </row>
    <row r="646">
      <c r="D646" s="63"/>
    </row>
    <row r="647">
      <c r="D647" s="63"/>
    </row>
    <row r="648">
      <c r="D648" s="63"/>
    </row>
    <row r="649">
      <c r="D649" s="63"/>
    </row>
    <row r="650">
      <c r="D650" s="63"/>
    </row>
    <row r="651">
      <c r="D651" s="63"/>
    </row>
    <row r="652">
      <c r="D652" s="63"/>
    </row>
    <row r="653">
      <c r="D653" s="63"/>
    </row>
    <row r="654">
      <c r="D654" s="63"/>
    </row>
    <row r="655">
      <c r="D655" s="63"/>
    </row>
    <row r="656">
      <c r="D656" s="63"/>
    </row>
    <row r="657">
      <c r="D657" s="63"/>
    </row>
    <row r="658">
      <c r="D658" s="63"/>
    </row>
    <row r="659">
      <c r="D659" s="63"/>
    </row>
    <row r="660">
      <c r="D660" s="63"/>
    </row>
    <row r="661">
      <c r="D661" s="63"/>
    </row>
    <row r="662">
      <c r="D662" s="63"/>
    </row>
    <row r="663">
      <c r="D663" s="63"/>
    </row>
    <row r="664">
      <c r="D664" s="63"/>
    </row>
    <row r="665">
      <c r="D665" s="63"/>
    </row>
    <row r="666">
      <c r="D666" s="63"/>
    </row>
    <row r="667">
      <c r="D667" s="63"/>
    </row>
    <row r="668">
      <c r="D668" s="63"/>
    </row>
    <row r="669">
      <c r="D669" s="63"/>
    </row>
    <row r="670">
      <c r="D670" s="63"/>
    </row>
    <row r="671">
      <c r="D671" s="63"/>
    </row>
    <row r="672">
      <c r="D672" s="63"/>
    </row>
    <row r="673">
      <c r="D673" s="63"/>
    </row>
    <row r="674">
      <c r="D674" s="63"/>
    </row>
    <row r="675">
      <c r="D675" s="63"/>
    </row>
    <row r="676">
      <c r="D676" s="63"/>
    </row>
    <row r="677">
      <c r="D677" s="63"/>
    </row>
    <row r="678">
      <c r="D678" s="63"/>
    </row>
    <row r="679">
      <c r="D679" s="63"/>
    </row>
    <row r="680">
      <c r="D680" s="63"/>
    </row>
    <row r="681">
      <c r="D681" s="63"/>
    </row>
    <row r="682">
      <c r="D682" s="63"/>
    </row>
    <row r="683">
      <c r="D683" s="63"/>
    </row>
    <row r="684">
      <c r="D684" s="63"/>
    </row>
    <row r="685">
      <c r="D685" s="63"/>
    </row>
    <row r="686">
      <c r="D686" s="63"/>
    </row>
    <row r="687">
      <c r="D687" s="63"/>
    </row>
    <row r="688">
      <c r="D688" s="63"/>
    </row>
    <row r="689">
      <c r="D689" s="63"/>
    </row>
    <row r="690">
      <c r="D690" s="63"/>
    </row>
    <row r="691">
      <c r="D691" s="63"/>
    </row>
    <row r="692">
      <c r="D692" s="63"/>
    </row>
    <row r="693">
      <c r="D693" s="63"/>
    </row>
    <row r="694">
      <c r="D694" s="63"/>
    </row>
    <row r="695">
      <c r="D695" s="63"/>
    </row>
    <row r="696">
      <c r="D696" s="63"/>
    </row>
    <row r="697">
      <c r="D697" s="63"/>
    </row>
    <row r="698">
      <c r="D698" s="63"/>
    </row>
    <row r="699">
      <c r="D699" s="63"/>
    </row>
    <row r="700">
      <c r="D700" s="63"/>
    </row>
    <row r="701">
      <c r="D701" s="63"/>
    </row>
    <row r="702">
      <c r="D702" s="63"/>
    </row>
    <row r="703">
      <c r="D703" s="63"/>
    </row>
    <row r="704">
      <c r="D704" s="63"/>
    </row>
    <row r="705">
      <c r="D705" s="63"/>
    </row>
    <row r="706">
      <c r="D706" s="63"/>
    </row>
    <row r="707">
      <c r="D707" s="63"/>
    </row>
    <row r="708">
      <c r="D708" s="63"/>
    </row>
    <row r="709">
      <c r="D709" s="63"/>
    </row>
    <row r="710">
      <c r="D710" s="63"/>
    </row>
    <row r="711">
      <c r="D711" s="63"/>
    </row>
    <row r="712">
      <c r="D712" s="63"/>
    </row>
    <row r="713">
      <c r="D713" s="63"/>
    </row>
    <row r="714">
      <c r="D714" s="63"/>
    </row>
    <row r="715">
      <c r="D715" s="63"/>
    </row>
    <row r="716">
      <c r="D716" s="63"/>
    </row>
    <row r="717">
      <c r="D717" s="63"/>
    </row>
    <row r="718">
      <c r="D718" s="63"/>
    </row>
    <row r="719">
      <c r="D719" s="63"/>
    </row>
    <row r="720">
      <c r="D720" s="63"/>
    </row>
    <row r="721">
      <c r="D721" s="63"/>
    </row>
    <row r="722">
      <c r="D722" s="63"/>
    </row>
    <row r="723">
      <c r="D723" s="63"/>
    </row>
    <row r="724">
      <c r="D724" s="63"/>
    </row>
    <row r="725">
      <c r="D725" s="63"/>
    </row>
    <row r="726">
      <c r="D726" s="63"/>
    </row>
    <row r="727">
      <c r="D727" s="63"/>
    </row>
    <row r="728">
      <c r="D728" s="63"/>
    </row>
    <row r="729">
      <c r="D729" s="63"/>
    </row>
    <row r="730">
      <c r="D730" s="63"/>
    </row>
    <row r="731">
      <c r="D731" s="63"/>
    </row>
    <row r="732">
      <c r="D732" s="63"/>
    </row>
    <row r="733">
      <c r="D733" s="63"/>
    </row>
    <row r="734">
      <c r="D734" s="63"/>
    </row>
    <row r="735">
      <c r="D735" s="63"/>
    </row>
    <row r="736">
      <c r="D736" s="63"/>
    </row>
    <row r="737">
      <c r="D737" s="63"/>
    </row>
    <row r="738">
      <c r="D738" s="63"/>
    </row>
    <row r="739">
      <c r="D739" s="63"/>
    </row>
    <row r="740">
      <c r="D740" s="63"/>
    </row>
    <row r="741">
      <c r="D741" s="63"/>
    </row>
    <row r="742">
      <c r="D742" s="63"/>
    </row>
    <row r="743">
      <c r="D743" s="63"/>
    </row>
    <row r="744">
      <c r="D744" s="63"/>
    </row>
    <row r="745">
      <c r="D745" s="63"/>
    </row>
    <row r="746">
      <c r="D746" s="63"/>
    </row>
    <row r="747">
      <c r="D747" s="63"/>
    </row>
    <row r="748">
      <c r="D748" s="63"/>
    </row>
    <row r="749">
      <c r="D749" s="63"/>
    </row>
    <row r="750">
      <c r="D750" s="63"/>
    </row>
    <row r="751">
      <c r="D751" s="63"/>
    </row>
    <row r="752">
      <c r="D752" s="63"/>
    </row>
    <row r="753">
      <c r="D753" s="63"/>
    </row>
    <row r="754">
      <c r="D754" s="63"/>
    </row>
    <row r="755">
      <c r="D755" s="63"/>
    </row>
    <row r="756">
      <c r="D756" s="63"/>
    </row>
    <row r="757">
      <c r="D757" s="63"/>
    </row>
    <row r="758">
      <c r="D758" s="63"/>
    </row>
    <row r="759">
      <c r="D759" s="63"/>
    </row>
    <row r="760">
      <c r="D760" s="63"/>
    </row>
    <row r="761">
      <c r="D761" s="63"/>
    </row>
    <row r="762">
      <c r="D762" s="63"/>
    </row>
    <row r="763">
      <c r="D763" s="63"/>
    </row>
    <row r="764">
      <c r="D764" s="63"/>
    </row>
    <row r="765">
      <c r="D765" s="63"/>
    </row>
    <row r="766">
      <c r="D766" s="63"/>
    </row>
    <row r="767">
      <c r="D767" s="63"/>
    </row>
    <row r="768">
      <c r="D768" s="63"/>
    </row>
    <row r="769">
      <c r="D769" s="63"/>
    </row>
    <row r="770">
      <c r="D770" s="63"/>
    </row>
    <row r="771">
      <c r="D771" s="63"/>
    </row>
    <row r="772">
      <c r="D772" s="63"/>
    </row>
    <row r="773">
      <c r="D773" s="63"/>
    </row>
    <row r="774">
      <c r="D774" s="63"/>
    </row>
    <row r="775">
      <c r="D775" s="63"/>
    </row>
    <row r="776">
      <c r="D776" s="63"/>
    </row>
    <row r="777">
      <c r="D777" s="63"/>
    </row>
    <row r="778">
      <c r="D778" s="63"/>
    </row>
    <row r="779">
      <c r="D779" s="63"/>
    </row>
    <row r="780">
      <c r="D780" s="63"/>
    </row>
    <row r="781">
      <c r="D781" s="63"/>
    </row>
    <row r="782">
      <c r="D782" s="63"/>
    </row>
    <row r="783">
      <c r="D783" s="63"/>
    </row>
    <row r="784">
      <c r="D784" s="63"/>
    </row>
    <row r="785">
      <c r="D785" s="63"/>
    </row>
    <row r="786">
      <c r="D786" s="63"/>
    </row>
    <row r="787">
      <c r="D787" s="63"/>
    </row>
    <row r="788">
      <c r="D788" s="63"/>
    </row>
    <row r="789">
      <c r="D789" s="63"/>
    </row>
    <row r="790">
      <c r="D790" s="63"/>
    </row>
    <row r="791">
      <c r="D791" s="63"/>
    </row>
    <row r="792">
      <c r="D792" s="63"/>
    </row>
    <row r="793">
      <c r="D793" s="63"/>
    </row>
    <row r="794">
      <c r="D794" s="63"/>
    </row>
    <row r="795">
      <c r="D795" s="63"/>
    </row>
    <row r="796">
      <c r="D796" s="63"/>
    </row>
    <row r="797">
      <c r="D797" s="63"/>
    </row>
    <row r="798">
      <c r="D798" s="63"/>
    </row>
    <row r="799">
      <c r="D799" s="63"/>
    </row>
    <row r="800">
      <c r="D800" s="63"/>
    </row>
    <row r="801">
      <c r="D801" s="63"/>
    </row>
    <row r="802">
      <c r="D802" s="63"/>
    </row>
    <row r="803">
      <c r="D803" s="63"/>
    </row>
    <row r="804">
      <c r="D804" s="63"/>
    </row>
    <row r="805">
      <c r="D805" s="63"/>
    </row>
    <row r="806">
      <c r="D806" s="63"/>
    </row>
    <row r="807">
      <c r="D807" s="63"/>
    </row>
    <row r="808">
      <c r="D808" s="63"/>
    </row>
    <row r="809">
      <c r="D809" s="63"/>
    </row>
    <row r="810">
      <c r="D810" s="63"/>
    </row>
    <row r="811">
      <c r="D811" s="63"/>
    </row>
    <row r="812">
      <c r="D812" s="63"/>
    </row>
    <row r="813">
      <c r="D813" s="63"/>
    </row>
    <row r="814">
      <c r="D814" s="63"/>
    </row>
    <row r="815">
      <c r="D815" s="63"/>
    </row>
    <row r="816">
      <c r="D816" s="63"/>
    </row>
    <row r="817">
      <c r="D817" s="63"/>
    </row>
    <row r="818">
      <c r="D818" s="63"/>
    </row>
    <row r="819">
      <c r="D819" s="63"/>
    </row>
    <row r="820">
      <c r="D820" s="63"/>
    </row>
    <row r="821">
      <c r="D821" s="63"/>
    </row>
    <row r="822">
      <c r="D822" s="63"/>
    </row>
    <row r="823">
      <c r="D823" s="63"/>
    </row>
    <row r="824">
      <c r="D824" s="63"/>
    </row>
    <row r="825">
      <c r="D825" s="63"/>
    </row>
    <row r="826">
      <c r="D826" s="63"/>
    </row>
    <row r="827">
      <c r="D827" s="63"/>
    </row>
    <row r="828">
      <c r="D828" s="63"/>
    </row>
    <row r="829">
      <c r="D829" s="63"/>
    </row>
    <row r="830">
      <c r="D830" s="63"/>
    </row>
    <row r="831">
      <c r="D831" s="63"/>
    </row>
    <row r="832">
      <c r="D832" s="63"/>
    </row>
    <row r="833">
      <c r="D833" s="63"/>
    </row>
    <row r="834">
      <c r="D834" s="63"/>
    </row>
    <row r="835">
      <c r="D835" s="63"/>
    </row>
    <row r="836">
      <c r="D836" s="63"/>
    </row>
    <row r="837">
      <c r="D837" s="63"/>
    </row>
    <row r="838">
      <c r="D838" s="63"/>
    </row>
    <row r="839">
      <c r="D839" s="63"/>
    </row>
    <row r="840">
      <c r="D840" s="63"/>
    </row>
    <row r="841">
      <c r="D841" s="63"/>
    </row>
    <row r="842">
      <c r="D842" s="63"/>
    </row>
    <row r="843">
      <c r="D843" s="63"/>
    </row>
    <row r="844">
      <c r="D844" s="63"/>
    </row>
    <row r="845">
      <c r="D845" s="63"/>
    </row>
    <row r="846">
      <c r="D846" s="63"/>
    </row>
    <row r="847">
      <c r="D847" s="63"/>
    </row>
    <row r="848">
      <c r="D848" s="63"/>
    </row>
    <row r="849">
      <c r="D849" s="63"/>
    </row>
    <row r="850">
      <c r="D850" s="63"/>
    </row>
    <row r="851">
      <c r="D851" s="63"/>
    </row>
    <row r="852">
      <c r="D852" s="63"/>
    </row>
    <row r="853">
      <c r="D853" s="63"/>
    </row>
    <row r="854">
      <c r="D854" s="63"/>
    </row>
    <row r="855">
      <c r="D855" s="63"/>
    </row>
    <row r="856">
      <c r="D856" s="63"/>
    </row>
    <row r="857">
      <c r="D857" s="63"/>
    </row>
    <row r="858">
      <c r="D858" s="63"/>
    </row>
    <row r="859">
      <c r="D859" s="63"/>
    </row>
    <row r="860">
      <c r="D860" s="63"/>
    </row>
    <row r="861">
      <c r="D861" s="63"/>
    </row>
    <row r="862">
      <c r="D862" s="63"/>
    </row>
    <row r="863">
      <c r="D863" s="63"/>
    </row>
    <row r="864">
      <c r="D864" s="63"/>
    </row>
    <row r="865">
      <c r="D865" s="63"/>
    </row>
    <row r="866">
      <c r="D866" s="63"/>
    </row>
    <row r="867">
      <c r="D867" s="63"/>
    </row>
    <row r="868">
      <c r="D868" s="63"/>
    </row>
    <row r="869">
      <c r="D869" s="63"/>
    </row>
    <row r="870">
      <c r="D870" s="63"/>
    </row>
    <row r="871">
      <c r="D871" s="63"/>
    </row>
    <row r="872">
      <c r="D872" s="63"/>
    </row>
    <row r="873">
      <c r="D873" s="63"/>
    </row>
    <row r="874">
      <c r="D874" s="63"/>
    </row>
    <row r="875">
      <c r="D875" s="63"/>
    </row>
    <row r="876">
      <c r="D876" s="63"/>
    </row>
    <row r="877">
      <c r="D877" s="63"/>
    </row>
    <row r="878">
      <c r="D878" s="63"/>
    </row>
    <row r="879">
      <c r="D879" s="63"/>
    </row>
    <row r="880">
      <c r="D880" s="63"/>
    </row>
    <row r="881">
      <c r="D881" s="63"/>
    </row>
    <row r="882">
      <c r="D882" s="63"/>
    </row>
    <row r="883">
      <c r="D883" s="63"/>
    </row>
    <row r="884">
      <c r="D884" s="63"/>
    </row>
    <row r="885">
      <c r="D885" s="63"/>
    </row>
    <row r="886">
      <c r="D886" s="63"/>
    </row>
    <row r="887">
      <c r="D887" s="63"/>
    </row>
    <row r="888">
      <c r="D888" s="63"/>
    </row>
    <row r="889">
      <c r="D889" s="63"/>
    </row>
    <row r="890">
      <c r="D890" s="63"/>
    </row>
    <row r="891">
      <c r="D891" s="63"/>
    </row>
    <row r="892">
      <c r="D892" s="63"/>
    </row>
    <row r="893">
      <c r="D893" s="63"/>
    </row>
    <row r="894">
      <c r="D894" s="63"/>
    </row>
    <row r="895">
      <c r="D895" s="63"/>
    </row>
    <row r="896">
      <c r="D896" s="63"/>
    </row>
    <row r="897">
      <c r="D897" s="63"/>
    </row>
    <row r="898">
      <c r="D898" s="63"/>
    </row>
    <row r="899">
      <c r="D899" s="63"/>
    </row>
    <row r="900">
      <c r="D900" s="63"/>
    </row>
    <row r="901">
      <c r="D901" s="63"/>
    </row>
    <row r="902">
      <c r="D902" s="63"/>
    </row>
    <row r="903">
      <c r="D903" s="63"/>
    </row>
    <row r="904">
      <c r="D904" s="63"/>
    </row>
    <row r="905">
      <c r="D905" s="63"/>
    </row>
    <row r="906">
      <c r="D906" s="63"/>
    </row>
    <row r="907">
      <c r="D907" s="63"/>
    </row>
    <row r="908">
      <c r="D908" s="63"/>
    </row>
    <row r="909">
      <c r="D909" s="63"/>
    </row>
    <row r="910">
      <c r="D910" s="63"/>
    </row>
    <row r="911">
      <c r="D911" s="63"/>
    </row>
    <row r="912">
      <c r="D912" s="63"/>
    </row>
    <row r="913">
      <c r="D913" s="63"/>
    </row>
    <row r="914">
      <c r="D914" s="63"/>
    </row>
    <row r="915">
      <c r="D915" s="63"/>
    </row>
    <row r="916">
      <c r="D916" s="63"/>
    </row>
    <row r="917">
      <c r="D917" s="63"/>
    </row>
    <row r="918">
      <c r="D918" s="63"/>
    </row>
    <row r="919">
      <c r="D919" s="63"/>
    </row>
    <row r="920">
      <c r="D920" s="63"/>
    </row>
    <row r="921">
      <c r="D921" s="63"/>
    </row>
    <row r="922">
      <c r="D922" s="63"/>
    </row>
    <row r="923">
      <c r="D923" s="63"/>
    </row>
    <row r="924">
      <c r="D924" s="63"/>
    </row>
    <row r="925">
      <c r="D925" s="63"/>
    </row>
    <row r="926">
      <c r="D926" s="63"/>
    </row>
    <row r="927">
      <c r="D927" s="63"/>
    </row>
    <row r="928">
      <c r="D928" s="63"/>
    </row>
    <row r="929">
      <c r="D929" s="63"/>
    </row>
    <row r="930">
      <c r="D930" s="63"/>
    </row>
    <row r="931">
      <c r="D931" s="63"/>
    </row>
    <row r="932">
      <c r="D932" s="63"/>
    </row>
    <row r="933">
      <c r="D933" s="63"/>
    </row>
    <row r="934">
      <c r="D934" s="63"/>
    </row>
    <row r="935">
      <c r="D935" s="63"/>
    </row>
    <row r="936">
      <c r="D936" s="63"/>
    </row>
    <row r="937">
      <c r="D937" s="63"/>
    </row>
    <row r="938">
      <c r="D938" s="63"/>
    </row>
    <row r="939">
      <c r="D939" s="63"/>
    </row>
    <row r="940">
      <c r="D940" s="63"/>
    </row>
    <row r="941">
      <c r="D941" s="63"/>
    </row>
    <row r="942">
      <c r="D942" s="63"/>
    </row>
    <row r="943">
      <c r="D943" s="63"/>
    </row>
    <row r="944">
      <c r="D944" s="63"/>
    </row>
    <row r="945">
      <c r="D945" s="63"/>
    </row>
    <row r="946">
      <c r="D946" s="63"/>
    </row>
    <row r="947">
      <c r="D947" s="63"/>
    </row>
    <row r="948">
      <c r="D948" s="63"/>
    </row>
    <row r="949">
      <c r="D949" s="63"/>
    </row>
    <row r="950">
      <c r="D950" s="63"/>
    </row>
    <row r="951">
      <c r="D951" s="63"/>
    </row>
    <row r="952">
      <c r="D952" s="63"/>
    </row>
    <row r="953">
      <c r="D953" s="63"/>
    </row>
    <row r="954">
      <c r="D954" s="63"/>
    </row>
    <row r="955">
      <c r="D955" s="63"/>
    </row>
    <row r="956">
      <c r="D956" s="63"/>
    </row>
    <row r="957">
      <c r="D957" s="63"/>
    </row>
    <row r="958">
      <c r="D958" s="63"/>
    </row>
    <row r="959">
      <c r="D959" s="63"/>
    </row>
    <row r="960">
      <c r="D960" s="63"/>
    </row>
    <row r="961">
      <c r="D961" s="63"/>
    </row>
    <row r="962">
      <c r="D962" s="63"/>
    </row>
    <row r="963">
      <c r="D963" s="63"/>
    </row>
    <row r="964">
      <c r="D964" s="63"/>
    </row>
    <row r="965">
      <c r="D965" s="63"/>
    </row>
    <row r="966">
      <c r="D966" s="63"/>
    </row>
    <row r="967">
      <c r="D967" s="63"/>
    </row>
    <row r="968">
      <c r="D968" s="63"/>
    </row>
    <row r="969">
      <c r="D969" s="63"/>
    </row>
    <row r="970">
      <c r="D970" s="63"/>
    </row>
    <row r="971">
      <c r="D971" s="63"/>
    </row>
    <row r="972">
      <c r="D972" s="63"/>
    </row>
    <row r="973">
      <c r="D973" s="63"/>
    </row>
    <row r="974">
      <c r="D974" s="63"/>
    </row>
    <row r="975">
      <c r="D975" s="63"/>
    </row>
    <row r="976">
      <c r="D976" s="63"/>
    </row>
    <row r="977">
      <c r="D977" s="63"/>
    </row>
    <row r="978">
      <c r="D978" s="63"/>
    </row>
    <row r="979">
      <c r="D979" s="63"/>
    </row>
    <row r="980">
      <c r="D980" s="63"/>
    </row>
    <row r="981">
      <c r="D981" s="63"/>
    </row>
    <row r="982">
      <c r="D982" s="63"/>
    </row>
    <row r="983">
      <c r="D983" s="63"/>
    </row>
    <row r="984">
      <c r="D984" s="63"/>
    </row>
    <row r="985">
      <c r="D985" s="63"/>
    </row>
    <row r="986">
      <c r="D986" s="63"/>
    </row>
    <row r="987">
      <c r="D987" s="63"/>
    </row>
    <row r="988">
      <c r="D988" s="63"/>
    </row>
    <row r="989">
      <c r="D989" s="63"/>
    </row>
    <row r="990">
      <c r="D990" s="63"/>
    </row>
    <row r="991">
      <c r="D991" s="63"/>
    </row>
    <row r="992">
      <c r="D992" s="63"/>
    </row>
    <row r="993">
      <c r="D993" s="63"/>
    </row>
    <row r="994">
      <c r="D994" s="63"/>
    </row>
    <row r="995">
      <c r="D995" s="63"/>
    </row>
    <row r="996">
      <c r="D996" s="63"/>
    </row>
    <row r="997">
      <c r="D997" s="63"/>
    </row>
    <row r="998">
      <c r="D998" s="63"/>
    </row>
    <row r="999">
      <c r="D999" s="63"/>
    </row>
    <row r="1000">
      <c r="D1000" s="63"/>
    </row>
  </sheetData>
  <autoFilter ref="$A$1:$I$408"/>
  <hyperlinks>
    <hyperlink r:id="rId1" ref="D32"/>
    <hyperlink r:id="rId2" ref="D45"/>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6">
        <v>45500.0</v>
      </c>
      <c r="B2" s="55" t="str">
        <f>HYPERLINK("https://jobright.ai/jobs/info/66a46a443d73b8ffff0c4195?utm_campaign=1054&amp;utm_source=sheet", "Apply")</f>
        <v>Apply</v>
      </c>
      <c r="C2" s="10" t="s">
        <v>17428</v>
      </c>
      <c r="D2" s="56" t="s">
        <v>1650</v>
      </c>
      <c r="E2" s="10" t="s">
        <v>209</v>
      </c>
      <c r="F2" s="10" t="s">
        <v>1243</v>
      </c>
      <c r="G2" s="10" t="s">
        <v>17429</v>
      </c>
      <c r="H2" s="10" t="s">
        <v>12519</v>
      </c>
      <c r="I2" s="10" t="s">
        <v>48</v>
      </c>
      <c r="K2" s="10" t="s">
        <v>17430</v>
      </c>
      <c r="L2" s="10" t="s">
        <v>42</v>
      </c>
    </row>
    <row r="3" ht="15.75" customHeight="1">
      <c r="A3" s="66">
        <v>45500.0</v>
      </c>
      <c r="B3" s="55" t="str">
        <f>HYPERLINK("https://jobright.ai/jobs/info/66a46a443d73b8ffff0c419a?utm_campaign=1054&amp;utm_source=sheet", "Apply")</f>
        <v>Apply</v>
      </c>
      <c r="C3" s="10" t="s">
        <v>17431</v>
      </c>
      <c r="D3" s="56" t="s">
        <v>1650</v>
      </c>
      <c r="E3" s="10" t="s">
        <v>209</v>
      </c>
      <c r="F3" s="10" t="s">
        <v>1243</v>
      </c>
      <c r="G3" s="10" t="s">
        <v>17432</v>
      </c>
      <c r="H3" s="10" t="s">
        <v>434</v>
      </c>
      <c r="I3" s="10" t="s">
        <v>48</v>
      </c>
      <c r="K3" s="10" t="s">
        <v>17433</v>
      </c>
      <c r="L3" s="10" t="s">
        <v>42</v>
      </c>
    </row>
    <row r="4" ht="15.75" customHeight="1">
      <c r="A4" s="66">
        <v>45499.0</v>
      </c>
      <c r="B4" s="55" t="str">
        <f>HYPERLINK("https://jobright.ai/jobs/info/66a43ca437b6e8b5afd1c135?utm_campaign=1054&amp;utm_source=sheet", "Apply")</f>
        <v>Apply</v>
      </c>
      <c r="C4" s="10" t="s">
        <v>17434</v>
      </c>
      <c r="D4" s="56" t="s">
        <v>17435</v>
      </c>
      <c r="E4" s="10" t="s">
        <v>249</v>
      </c>
      <c r="F4" s="10" t="s">
        <v>591</v>
      </c>
      <c r="G4" s="10" t="s">
        <v>17429</v>
      </c>
      <c r="H4" s="10" t="s">
        <v>952</v>
      </c>
      <c r="I4" s="10" t="s">
        <v>55</v>
      </c>
      <c r="K4" s="10" t="s">
        <v>17436</v>
      </c>
      <c r="L4" s="10" t="s">
        <v>42</v>
      </c>
    </row>
    <row r="5" ht="15.75" customHeight="1">
      <c r="A5" s="66">
        <v>45499.0</v>
      </c>
      <c r="B5" s="55" t="str">
        <f>HYPERLINK("https://jobright.ai/jobs/info/66a429976ddedef67926e613?utm_campaign=1054&amp;utm_source=sheet", "Apply")</f>
        <v>Apply</v>
      </c>
      <c r="C5" s="10" t="s">
        <v>17437</v>
      </c>
      <c r="D5" s="56" t="s">
        <v>17438</v>
      </c>
      <c r="E5" s="59">
        <v>45301.0</v>
      </c>
      <c r="F5" s="10" t="s">
        <v>200</v>
      </c>
      <c r="G5" s="10" t="s">
        <v>17429</v>
      </c>
      <c r="H5" s="10" t="s">
        <v>251</v>
      </c>
      <c r="I5" s="10" t="s">
        <v>252</v>
      </c>
      <c r="J5" s="10" t="s">
        <v>1409</v>
      </c>
      <c r="K5" s="10" t="s">
        <v>17439</v>
      </c>
      <c r="L5" s="10" t="s">
        <v>42</v>
      </c>
    </row>
    <row r="6" ht="15.75" customHeight="1">
      <c r="A6" s="66">
        <v>45499.0</v>
      </c>
      <c r="B6" s="55" t="str">
        <f>HYPERLINK("https://jobright.ai/jobs/info/66a4133392c15a63eb8105d9?utm_campaign=1054&amp;utm_source=sheet", "Apply")</f>
        <v>Apply</v>
      </c>
      <c r="C6" s="10" t="s">
        <v>17440</v>
      </c>
      <c r="D6" s="56" t="s">
        <v>302</v>
      </c>
      <c r="E6" s="10" t="s">
        <v>79</v>
      </c>
      <c r="F6" s="10" t="s">
        <v>303</v>
      </c>
      <c r="G6" s="10" t="s">
        <v>17429</v>
      </c>
      <c r="H6" s="10" t="s">
        <v>167</v>
      </c>
      <c r="I6" s="10" t="s">
        <v>55</v>
      </c>
      <c r="K6" s="10" t="s">
        <v>17441</v>
      </c>
      <c r="L6" s="10" t="s">
        <v>42</v>
      </c>
    </row>
    <row r="7" ht="15.75" customHeight="1">
      <c r="A7" s="66">
        <v>45499.0</v>
      </c>
      <c r="B7" s="55" t="str">
        <f>HYPERLINK("https://jobright.ai/jobs/info/66a41720e30efe1dc24e68da?utm_campaign=1054&amp;utm_source=sheet", "Apply")</f>
        <v>Apply</v>
      </c>
      <c r="C7" s="10" t="s">
        <v>17442</v>
      </c>
      <c r="D7" s="56" t="s">
        <v>12724</v>
      </c>
      <c r="E7" s="10" t="s">
        <v>71</v>
      </c>
      <c r="F7" s="10" t="s">
        <v>12725</v>
      </c>
      <c r="G7" s="10" t="s">
        <v>17429</v>
      </c>
      <c r="H7" s="10" t="s">
        <v>794</v>
      </c>
      <c r="I7" s="10" t="s">
        <v>48</v>
      </c>
      <c r="J7" s="10" t="s">
        <v>1960</v>
      </c>
      <c r="K7" s="10" t="s">
        <v>17443</v>
      </c>
      <c r="L7" s="10" t="s">
        <v>42</v>
      </c>
    </row>
    <row r="8" ht="15.75" customHeight="1">
      <c r="A8" s="66">
        <v>45499.0</v>
      </c>
      <c r="B8" s="55" t="str">
        <f>HYPERLINK("https://jobright.ai/jobs/info/66a3fd65d61cea1521a46e42?utm_campaign=1054&amp;utm_source=sheet", "Apply")</f>
        <v>Apply</v>
      </c>
      <c r="C8" s="10" t="s">
        <v>17444</v>
      </c>
      <c r="D8" s="56" t="s">
        <v>17445</v>
      </c>
      <c r="E8" s="10" t="s">
        <v>209</v>
      </c>
      <c r="F8" s="10" t="s">
        <v>1833</v>
      </c>
      <c r="G8" s="10" t="s">
        <v>17432</v>
      </c>
      <c r="H8" s="10" t="s">
        <v>17446</v>
      </c>
      <c r="I8" s="10" t="s">
        <v>55</v>
      </c>
      <c r="J8" s="10" t="s">
        <v>17447</v>
      </c>
      <c r="K8" s="10" t="s">
        <v>17448</v>
      </c>
      <c r="L8" s="10" t="s">
        <v>42</v>
      </c>
    </row>
    <row r="9" ht="15.75" customHeight="1">
      <c r="A9" s="66">
        <v>45499.0</v>
      </c>
      <c r="B9" s="55" t="str">
        <f>HYPERLINK("https://jobright.ai/jobs/info/66a3ef3387fb29a0df318e40?utm_campaign=1054&amp;utm_source=sheet", "Apply")</f>
        <v>Apply</v>
      </c>
      <c r="C9" s="10" t="s">
        <v>17449</v>
      </c>
      <c r="D9" s="56" t="s">
        <v>17450</v>
      </c>
      <c r="E9" s="59">
        <v>45301.0</v>
      </c>
      <c r="F9" s="10" t="s">
        <v>17451</v>
      </c>
      <c r="G9" s="10" t="s">
        <v>17432</v>
      </c>
      <c r="H9" s="10" t="s">
        <v>12731</v>
      </c>
      <c r="I9" s="10" t="s">
        <v>55</v>
      </c>
      <c r="J9" s="10" t="s">
        <v>17452</v>
      </c>
      <c r="K9" s="10" t="s">
        <v>17453</v>
      </c>
      <c r="L9" s="10" t="s">
        <v>42</v>
      </c>
    </row>
    <row r="10" ht="15.75" customHeight="1">
      <c r="A10" s="66">
        <v>45499.0</v>
      </c>
      <c r="B10" s="55" t="str">
        <f>HYPERLINK("https://jobright.ai/jobs/info/66a3f4d25fcbfa8457ce12ca?utm_campaign=1054&amp;utm_source=sheet", "Apply")</f>
        <v>Apply</v>
      </c>
      <c r="C10" s="10" t="s">
        <v>17454</v>
      </c>
      <c r="D10" s="56" t="s">
        <v>17455</v>
      </c>
      <c r="E10" s="10" t="s">
        <v>71</v>
      </c>
      <c r="F10" s="10" t="s">
        <v>1506</v>
      </c>
      <c r="G10" s="10" t="s">
        <v>17432</v>
      </c>
      <c r="H10" s="10" t="s">
        <v>628</v>
      </c>
      <c r="I10" s="10" t="s">
        <v>55</v>
      </c>
      <c r="J10" s="10" t="s">
        <v>1984</v>
      </c>
      <c r="K10" s="10" t="s">
        <v>17456</v>
      </c>
      <c r="L10" s="10" t="s">
        <v>42</v>
      </c>
    </row>
    <row r="11" ht="15.75" customHeight="1">
      <c r="A11" s="66">
        <v>45499.0</v>
      </c>
      <c r="B11" s="55" t="str">
        <f>HYPERLINK("https://jobright.ai/jobs/info/66a3ef4687fb29a0df318fd9?utm_campaign=1054&amp;utm_source=sheet", "Apply")</f>
        <v>Apply</v>
      </c>
      <c r="C11" s="10" t="s">
        <v>17457</v>
      </c>
      <c r="D11" s="56" t="s">
        <v>17458</v>
      </c>
      <c r="E11" s="10" t="s">
        <v>79</v>
      </c>
      <c r="F11" s="10" t="s">
        <v>17459</v>
      </c>
      <c r="G11" s="10" t="s">
        <v>17429</v>
      </c>
      <c r="H11" s="10" t="s">
        <v>1254</v>
      </c>
      <c r="I11" s="10" t="s">
        <v>55</v>
      </c>
      <c r="J11" s="10" t="s">
        <v>1960</v>
      </c>
      <c r="K11" s="10" t="s">
        <v>17460</v>
      </c>
      <c r="L11" s="10" t="s">
        <v>42</v>
      </c>
    </row>
    <row r="12" ht="15.75" customHeight="1">
      <c r="A12" s="66">
        <v>45499.0</v>
      </c>
      <c r="B12" s="55" t="str">
        <f>HYPERLINK("https://jobright.ai/jobs/info/66a3f909c344e12ad5440d3f?utm_campaign=1054&amp;utm_source=sheet", "Apply")</f>
        <v>Apply</v>
      </c>
      <c r="C12" s="10" t="s">
        <v>17461</v>
      </c>
      <c r="D12" s="56" t="s">
        <v>17462</v>
      </c>
      <c r="E12" s="10" t="s">
        <v>65</v>
      </c>
      <c r="F12" s="10" t="s">
        <v>17463</v>
      </c>
      <c r="G12" s="10" t="s">
        <v>17429</v>
      </c>
      <c r="H12" s="10" t="s">
        <v>434</v>
      </c>
      <c r="I12" s="10" t="s">
        <v>48</v>
      </c>
      <c r="K12" s="10" t="s">
        <v>17464</v>
      </c>
      <c r="L12" s="10" t="s">
        <v>42</v>
      </c>
    </row>
    <row r="13" ht="15.75" customHeight="1">
      <c r="A13" s="66">
        <v>45499.0</v>
      </c>
      <c r="B13" s="55" t="str">
        <f>HYPERLINK("https://jobright.ai/jobs/info/66a3e89db020465e7d35d165?utm_campaign=1054&amp;utm_source=sheet", "Apply")</f>
        <v>Apply</v>
      </c>
      <c r="C13" s="10" t="s">
        <v>17465</v>
      </c>
      <c r="D13" s="56" t="s">
        <v>9508</v>
      </c>
      <c r="E13" s="10" t="s">
        <v>79</v>
      </c>
      <c r="F13" s="10" t="s">
        <v>9509</v>
      </c>
      <c r="G13" s="10" t="s">
        <v>17429</v>
      </c>
      <c r="H13" s="10" t="s">
        <v>170</v>
      </c>
      <c r="I13" s="10" t="s">
        <v>48</v>
      </c>
      <c r="K13" s="10" t="s">
        <v>17466</v>
      </c>
      <c r="L13" s="10" t="s">
        <v>42</v>
      </c>
    </row>
    <row r="14" ht="15.75" customHeight="1">
      <c r="A14" s="66">
        <v>45499.0</v>
      </c>
      <c r="B14" s="55" t="str">
        <f>HYPERLINK("https://jobright.ai/jobs/info/66a3f4da5fcbfa8457ce139d?utm_campaign=1054&amp;utm_source=sheet", "Apply")</f>
        <v>Apply</v>
      </c>
      <c r="C14" s="10" t="s">
        <v>17467</v>
      </c>
      <c r="D14" s="56" t="s">
        <v>17468</v>
      </c>
      <c r="E14" s="10" t="s">
        <v>209</v>
      </c>
      <c r="F14" s="10" t="s">
        <v>17469</v>
      </c>
      <c r="G14" s="10" t="s">
        <v>17470</v>
      </c>
      <c r="H14" s="10" t="s">
        <v>11767</v>
      </c>
      <c r="I14" s="10" t="s">
        <v>55</v>
      </c>
      <c r="K14" s="10" t="s">
        <v>17471</v>
      </c>
      <c r="L14" s="10" t="s">
        <v>42</v>
      </c>
    </row>
    <row r="15" ht="15.75" customHeight="1">
      <c r="A15" s="66">
        <v>45499.0</v>
      </c>
      <c r="B15" s="55" t="str">
        <f>HYPERLINK("https://jobright.ai/jobs/info/66a41732e30efe1dc24e6a6b?utm_campaign=1054&amp;utm_source=sheet", "Apply")</f>
        <v>Apply</v>
      </c>
      <c r="C15" s="10" t="s">
        <v>17472</v>
      </c>
      <c r="D15" s="56" t="s">
        <v>9508</v>
      </c>
      <c r="E15" s="10" t="s">
        <v>79</v>
      </c>
      <c r="F15" s="10" t="s">
        <v>9509</v>
      </c>
      <c r="G15" s="10" t="s">
        <v>17429</v>
      </c>
      <c r="H15" s="10" t="s">
        <v>170</v>
      </c>
      <c r="I15" s="10" t="s">
        <v>48</v>
      </c>
      <c r="K15" s="10" t="s">
        <v>17473</v>
      </c>
      <c r="L15" s="10" t="s">
        <v>42</v>
      </c>
    </row>
    <row r="16" ht="15.75" customHeight="1">
      <c r="A16" s="66">
        <v>45499.0</v>
      </c>
      <c r="B16" s="55" t="str">
        <f>HYPERLINK("https://jobright.ai/jobs/info/66a3da8d9f1d4690f1a40944?utm_campaign=1054&amp;utm_source=sheet", "Apply")</f>
        <v>Apply</v>
      </c>
      <c r="C16" s="10" t="s">
        <v>17474</v>
      </c>
      <c r="D16" s="56" t="s">
        <v>2548</v>
      </c>
      <c r="E16" s="10" t="s">
        <v>45</v>
      </c>
      <c r="F16" s="10" t="s">
        <v>2549</v>
      </c>
      <c r="G16" s="10" t="s">
        <v>17429</v>
      </c>
      <c r="H16" s="10" t="s">
        <v>2550</v>
      </c>
      <c r="I16" s="10" t="s">
        <v>55</v>
      </c>
      <c r="K16" s="10" t="s">
        <v>17475</v>
      </c>
      <c r="L16" s="10" t="s">
        <v>42</v>
      </c>
    </row>
    <row r="17" ht="15.75" customHeight="1">
      <c r="A17" s="66">
        <v>45499.0</v>
      </c>
      <c r="B17" s="55" t="str">
        <f>HYPERLINK("https://jobright.ai/jobs/info/66a3d2e9d7fee676c8404651?utm_campaign=1054&amp;utm_source=sheet", "Apply")</f>
        <v>Apply</v>
      </c>
      <c r="C17" s="10" t="s">
        <v>17434</v>
      </c>
      <c r="D17" s="56" t="s">
        <v>3231</v>
      </c>
      <c r="E17" s="10" t="s">
        <v>276</v>
      </c>
      <c r="F17" s="10" t="s">
        <v>2554</v>
      </c>
      <c r="G17" s="10" t="s">
        <v>17429</v>
      </c>
      <c r="H17" s="10" t="s">
        <v>4420</v>
      </c>
      <c r="I17" s="10" t="s">
        <v>55</v>
      </c>
      <c r="K17" s="10" t="s">
        <v>17476</v>
      </c>
      <c r="L17" s="10" t="s">
        <v>42</v>
      </c>
    </row>
    <row r="18" ht="15.75" customHeight="1">
      <c r="A18" s="66">
        <v>45499.0</v>
      </c>
      <c r="B18" s="55" t="str">
        <f>HYPERLINK("https://jobright.ai/jobs/info/66a3c9ac55a005da42ef4e63?utm_campaign=1054&amp;utm_source=sheet", "Apply")</f>
        <v>Apply</v>
      </c>
      <c r="C18" s="10" t="s">
        <v>17457</v>
      </c>
      <c r="D18" s="56" t="s">
        <v>17477</v>
      </c>
      <c r="E18" s="10" t="s">
        <v>71</v>
      </c>
      <c r="F18" s="10" t="s">
        <v>17478</v>
      </c>
      <c r="G18" s="10" t="s">
        <v>17429</v>
      </c>
      <c r="H18" s="10" t="s">
        <v>96</v>
      </c>
      <c r="I18" s="10" t="s">
        <v>48</v>
      </c>
      <c r="J18" s="10" t="s">
        <v>1960</v>
      </c>
      <c r="K18" s="10" t="s">
        <v>17460</v>
      </c>
      <c r="L18" s="10" t="s">
        <v>42</v>
      </c>
    </row>
    <row r="19" ht="15.75" customHeight="1">
      <c r="A19" s="66">
        <v>45499.0</v>
      </c>
      <c r="B19" s="55" t="str">
        <f>HYPERLINK("https://jobright.ai/jobs/info/66a3c9ac55a005da42ef4e7d?utm_campaign=1054&amp;utm_source=sheet", "Apply")</f>
        <v>Apply</v>
      </c>
      <c r="C19" s="10" t="s">
        <v>17457</v>
      </c>
      <c r="D19" s="56" t="s">
        <v>17479</v>
      </c>
      <c r="E19" s="10">
        <v>2291.0</v>
      </c>
      <c r="G19" s="10" t="s">
        <v>17429</v>
      </c>
      <c r="H19" s="10" t="s">
        <v>96</v>
      </c>
      <c r="I19" s="10" t="s">
        <v>48</v>
      </c>
      <c r="J19" s="10" t="s">
        <v>1960</v>
      </c>
      <c r="K19" s="10" t="s">
        <v>17460</v>
      </c>
      <c r="L19" s="10" t="s">
        <v>42</v>
      </c>
    </row>
    <row r="20" ht="15.75" customHeight="1">
      <c r="A20" s="66">
        <v>45499.0</v>
      </c>
      <c r="B20" s="55" t="str">
        <f>HYPERLINK("https://jobright.ai/jobs/info/66759f1186a9490f868ba7ca?utm_campaign=1054&amp;utm_source=sheet", "Apply")</f>
        <v>Apply</v>
      </c>
      <c r="C20" s="10" t="s">
        <v>17480</v>
      </c>
      <c r="D20" s="56" t="s">
        <v>17481</v>
      </c>
      <c r="E20" s="10" t="s">
        <v>79</v>
      </c>
      <c r="F20" s="10" t="s">
        <v>1801</v>
      </c>
      <c r="G20" s="10" t="s">
        <v>17432</v>
      </c>
      <c r="H20" s="10" t="s">
        <v>17482</v>
      </c>
      <c r="I20" s="10" t="s">
        <v>55</v>
      </c>
      <c r="K20" s="10" t="s">
        <v>17483</v>
      </c>
      <c r="L20" s="10" t="s">
        <v>42</v>
      </c>
    </row>
    <row r="21" ht="15.75" customHeight="1">
      <c r="A21" s="66">
        <v>45499.0</v>
      </c>
      <c r="B21" s="55" t="str">
        <f>HYPERLINK("https://jobright.ai/jobs/info/6625563505135b90cc7ecadf?utm_campaign=1054&amp;utm_source=sheet", "Apply")</f>
        <v>Apply</v>
      </c>
      <c r="C21" s="10" t="s">
        <v>17484</v>
      </c>
      <c r="D21" s="56" t="s">
        <v>1780</v>
      </c>
      <c r="E21" s="10" t="s">
        <v>45</v>
      </c>
      <c r="F21" s="10" t="s">
        <v>1781</v>
      </c>
      <c r="G21" s="10" t="s">
        <v>17429</v>
      </c>
      <c r="H21" s="10" t="s">
        <v>153</v>
      </c>
      <c r="I21" s="10" t="s">
        <v>55</v>
      </c>
      <c r="K21" s="10" t="s">
        <v>17485</v>
      </c>
      <c r="L21" s="10" t="s">
        <v>42</v>
      </c>
    </row>
    <row r="22" ht="15.75" customHeight="1">
      <c r="A22" s="66">
        <v>45499.0</v>
      </c>
      <c r="B22" s="55" t="str">
        <f>HYPERLINK("https://jobright.ai/jobs/info/66867a056360097fa699e921?utm_campaign=1054&amp;utm_source=sheet", "Apply")</f>
        <v>Apply</v>
      </c>
      <c r="C22" s="10" t="s">
        <v>17486</v>
      </c>
      <c r="D22" s="56" t="s">
        <v>17487</v>
      </c>
      <c r="F22" s="10" t="s">
        <v>17488</v>
      </c>
      <c r="G22" s="10" t="s">
        <v>17429</v>
      </c>
      <c r="H22" s="10" t="s">
        <v>17489</v>
      </c>
      <c r="I22" s="10" t="s">
        <v>55</v>
      </c>
      <c r="L22" s="10" t="s">
        <v>42</v>
      </c>
    </row>
    <row r="23" ht="15.75" customHeight="1">
      <c r="A23" s="66">
        <v>45499.0</v>
      </c>
      <c r="B23" s="55" t="str">
        <f>HYPERLINK("https://jobright.ai/jobs/info/6528cb60f6faf5c95e6e293b?utm_campaign=1054&amp;utm_source=sheet", "Apply")</f>
        <v>Apply</v>
      </c>
      <c r="C23" s="10" t="s">
        <v>17490</v>
      </c>
      <c r="D23" s="56" t="s">
        <v>6050</v>
      </c>
      <c r="E23" s="10" t="s">
        <v>65</v>
      </c>
      <c r="F23" s="10" t="s">
        <v>2850</v>
      </c>
      <c r="G23" s="10" t="s">
        <v>17429</v>
      </c>
      <c r="H23" s="10" t="s">
        <v>6051</v>
      </c>
      <c r="I23" s="10" t="s">
        <v>55</v>
      </c>
      <c r="K23" s="10" t="s">
        <v>17491</v>
      </c>
      <c r="L23" s="10" t="s">
        <v>42</v>
      </c>
    </row>
    <row r="24" ht="15.75" customHeight="1">
      <c r="A24" s="66">
        <v>45499.0</v>
      </c>
      <c r="B24" s="55" t="str">
        <f>HYPERLINK("https://jobright.ai/jobs/info/66758ad2e9630e29ff21474f?utm_campaign=1054&amp;utm_source=sheet", "Apply")</f>
        <v>Apply</v>
      </c>
      <c r="C24" s="10" t="s">
        <v>17492</v>
      </c>
      <c r="D24" s="56" t="s">
        <v>17493</v>
      </c>
      <c r="E24" s="10" t="s">
        <v>65</v>
      </c>
      <c r="F24" s="10" t="s">
        <v>17494</v>
      </c>
      <c r="G24" s="10" t="s">
        <v>17432</v>
      </c>
      <c r="H24" s="10" t="s">
        <v>1212</v>
      </c>
      <c r="I24" s="10" t="s">
        <v>55</v>
      </c>
      <c r="K24" s="10" t="s">
        <v>17495</v>
      </c>
      <c r="L24" s="10" t="s">
        <v>42</v>
      </c>
    </row>
    <row r="25" ht="15.75" customHeight="1">
      <c r="A25" s="66">
        <v>45499.0</v>
      </c>
      <c r="B25" s="55" t="str">
        <f>HYPERLINK("https://jobright.ai/jobs/info/66a3770bb6a2e4555024ac37?utm_campaign=1054&amp;utm_source=sheet", "Apply")</f>
        <v>Apply</v>
      </c>
      <c r="C25" s="10" t="s">
        <v>17496</v>
      </c>
      <c r="D25" s="56" t="s">
        <v>17497</v>
      </c>
      <c r="E25" s="10" t="s">
        <v>45</v>
      </c>
      <c r="F25" s="10" t="s">
        <v>15442</v>
      </c>
      <c r="G25" s="10" t="s">
        <v>17429</v>
      </c>
      <c r="H25" s="10" t="s">
        <v>688</v>
      </c>
      <c r="I25" s="10" t="s">
        <v>55</v>
      </c>
      <c r="J25" s="10" t="s">
        <v>1409</v>
      </c>
      <c r="K25" s="10" t="s">
        <v>17498</v>
      </c>
      <c r="L25" s="10" t="s">
        <v>42</v>
      </c>
    </row>
    <row r="26" ht="15.75" customHeight="1">
      <c r="A26" s="66">
        <v>45499.0</v>
      </c>
      <c r="B26" s="55" t="str">
        <f>HYPERLINK("https://jobright.ai/jobs/info/66a35a92945e5cec6b8f79c3?utm_campaign=1054&amp;utm_source=sheet", "Apply")</f>
        <v>Apply</v>
      </c>
      <c r="C26" s="10" t="s">
        <v>17499</v>
      </c>
      <c r="D26" s="56" t="s">
        <v>17497</v>
      </c>
      <c r="E26" s="10" t="s">
        <v>45</v>
      </c>
      <c r="F26" s="10" t="s">
        <v>15442</v>
      </c>
      <c r="G26" s="10" t="s">
        <v>17432</v>
      </c>
      <c r="H26" s="10" t="s">
        <v>688</v>
      </c>
      <c r="I26" s="10" t="s">
        <v>48</v>
      </c>
      <c r="K26" s="10" t="s">
        <v>17500</v>
      </c>
      <c r="L26" s="10" t="s">
        <v>42</v>
      </c>
    </row>
    <row r="27" ht="15.75" customHeight="1">
      <c r="A27" s="66">
        <v>45499.0</v>
      </c>
      <c r="B27" s="55" t="str">
        <f>HYPERLINK("https://jobright.ai/jobs/info/669aa0e21550284ce029340e?utm_campaign=1054&amp;utm_source=sheet", "Apply")</f>
        <v>Apply</v>
      </c>
      <c r="C27" s="10" t="s">
        <v>17501</v>
      </c>
      <c r="D27" s="56" t="s">
        <v>7944</v>
      </c>
      <c r="E27" s="10" t="s">
        <v>45</v>
      </c>
      <c r="F27" s="10" t="s">
        <v>3403</v>
      </c>
      <c r="G27" s="10" t="s">
        <v>17429</v>
      </c>
      <c r="H27" s="10" t="s">
        <v>17502</v>
      </c>
      <c r="I27" s="10" t="s">
        <v>55</v>
      </c>
      <c r="K27" s="10" t="s">
        <v>17503</v>
      </c>
      <c r="L27" s="10" t="s">
        <v>42</v>
      </c>
    </row>
    <row r="28" ht="15.75" customHeight="1">
      <c r="A28" s="66">
        <v>45499.0</v>
      </c>
      <c r="B28" s="55" t="str">
        <f>HYPERLINK("https://jobright.ai/jobs/info/66a31117a876354708d31d9a?utm_campaign=1054&amp;utm_source=sheet", "Apply")</f>
        <v>Apply</v>
      </c>
      <c r="C28" s="10" t="s">
        <v>17457</v>
      </c>
      <c r="D28" s="56" t="s">
        <v>17504</v>
      </c>
      <c r="E28" s="10" t="s">
        <v>79</v>
      </c>
      <c r="F28" s="10" t="s">
        <v>2824</v>
      </c>
      <c r="G28" s="10" t="s">
        <v>17429</v>
      </c>
      <c r="H28" s="10" t="s">
        <v>17505</v>
      </c>
      <c r="I28" s="10" t="s">
        <v>55</v>
      </c>
      <c r="J28" s="10" t="s">
        <v>9980</v>
      </c>
      <c r="K28" s="10" t="s">
        <v>17506</v>
      </c>
      <c r="L28" s="10" t="s">
        <v>42</v>
      </c>
    </row>
    <row r="29" ht="15.75" customHeight="1">
      <c r="A29" s="66">
        <v>45499.0</v>
      </c>
      <c r="B29" s="55" t="str">
        <f>HYPERLINK("https://jobright.ai/jobs/info/66a40dc1dfc0dce261462150?utm_campaign=1054&amp;utm_source=sheet", "Apply")</f>
        <v>Apply</v>
      </c>
      <c r="C29" s="10" t="s">
        <v>17507</v>
      </c>
      <c r="D29" s="56" t="s">
        <v>17508</v>
      </c>
      <c r="E29" s="10">
        <v>386.0</v>
      </c>
      <c r="G29" s="10" t="s">
        <v>17429</v>
      </c>
      <c r="H29" s="10" t="s">
        <v>17509</v>
      </c>
      <c r="I29" s="10" t="s">
        <v>55</v>
      </c>
      <c r="K29" s="10" t="s">
        <v>17510</v>
      </c>
      <c r="L29" s="10" t="s">
        <v>42</v>
      </c>
    </row>
    <row r="30" ht="15.75" customHeight="1">
      <c r="A30" s="66">
        <v>45499.0</v>
      </c>
      <c r="B30" s="55" t="str">
        <f>HYPERLINK("https://jobright.ai/jobs/info/66a442d8408fbcb850a86de8?utm_campaign=1054&amp;utm_source=sheet", "Apply")</f>
        <v>Apply</v>
      </c>
      <c r="C30" s="10" t="s">
        <v>17511</v>
      </c>
      <c r="D30" s="56" t="s">
        <v>17512</v>
      </c>
      <c r="E30" s="10" t="s">
        <v>45</v>
      </c>
      <c r="F30" s="10" t="s">
        <v>259</v>
      </c>
      <c r="G30" s="10" t="s">
        <v>17429</v>
      </c>
      <c r="H30" s="10" t="s">
        <v>73</v>
      </c>
      <c r="I30" s="10" t="s">
        <v>55</v>
      </c>
      <c r="K30" s="10" t="s">
        <v>17513</v>
      </c>
      <c r="L30" s="10" t="s">
        <v>42</v>
      </c>
    </row>
    <row r="31" ht="15.75" customHeight="1">
      <c r="A31" s="66">
        <v>45499.0</v>
      </c>
      <c r="B31" s="55" t="str">
        <f>HYPERLINK("https://jobright.ai/jobs/info/66a442d8408fbcb850a86e16?utm_campaign=1054&amp;utm_source=sheet", "Apply")</f>
        <v>Apply</v>
      </c>
      <c r="C31" s="10" t="s">
        <v>17511</v>
      </c>
      <c r="D31" s="56" t="s">
        <v>17512</v>
      </c>
      <c r="E31" s="10" t="s">
        <v>45</v>
      </c>
      <c r="F31" s="10" t="s">
        <v>259</v>
      </c>
      <c r="G31" s="10" t="s">
        <v>17429</v>
      </c>
      <c r="H31" s="10" t="s">
        <v>965</v>
      </c>
      <c r="I31" s="10" t="s">
        <v>55</v>
      </c>
      <c r="K31" s="10" t="s">
        <v>17513</v>
      </c>
      <c r="L31" s="10" t="s">
        <v>42</v>
      </c>
    </row>
    <row r="32" ht="15.75" customHeight="1">
      <c r="A32" s="66">
        <v>45499.0</v>
      </c>
      <c r="B32" s="55" t="str">
        <f>HYPERLINK("https://jobright.ai/jobs/info/66a30d0bc4c90e7837b86f26?utm_campaign=1054&amp;utm_source=sheet", "Apply")</f>
        <v>Apply</v>
      </c>
      <c r="C32" s="10" t="s">
        <v>17514</v>
      </c>
      <c r="D32" s="56" t="s">
        <v>17515</v>
      </c>
      <c r="E32" s="10" t="s">
        <v>249</v>
      </c>
      <c r="F32" s="10" t="s">
        <v>17516</v>
      </c>
      <c r="G32" s="10" t="s">
        <v>17470</v>
      </c>
      <c r="H32" s="10" t="s">
        <v>442</v>
      </c>
      <c r="I32" s="10" t="s">
        <v>55</v>
      </c>
      <c r="K32" s="10" t="s">
        <v>15994</v>
      </c>
      <c r="L32" s="10" t="s">
        <v>42</v>
      </c>
    </row>
    <row r="33" ht="15.75" customHeight="1">
      <c r="A33" s="66">
        <v>45499.0</v>
      </c>
      <c r="B33" s="55" t="str">
        <f>HYPERLINK("https://jobright.ai/jobs/info/66a3e88bb020465e7d35cfa8?utm_campaign=1054&amp;utm_source=sheet", "Apply")</f>
        <v>Apply</v>
      </c>
      <c r="C33" s="10" t="s">
        <v>17517</v>
      </c>
      <c r="D33" s="56" t="s">
        <v>17518</v>
      </c>
      <c r="E33" s="10" t="s">
        <v>45</v>
      </c>
      <c r="F33" s="10" t="s">
        <v>2319</v>
      </c>
      <c r="G33" s="10" t="s">
        <v>17429</v>
      </c>
      <c r="H33" s="10" t="s">
        <v>575</v>
      </c>
      <c r="I33" s="10" t="s">
        <v>55</v>
      </c>
      <c r="J33" s="10" t="s">
        <v>1409</v>
      </c>
      <c r="K33" s="10" t="s">
        <v>17519</v>
      </c>
      <c r="L33" s="10" t="s">
        <v>42</v>
      </c>
    </row>
    <row r="34" ht="15.75" customHeight="1">
      <c r="A34" s="66">
        <v>45499.0</v>
      </c>
      <c r="B34" s="55" t="str">
        <f>HYPERLINK("https://jobright.ai/jobs/info/66a43d5c0644a5a86c6e82b6?utm_campaign=1054&amp;utm_source=sheet", "Apply")</f>
        <v>Apply</v>
      </c>
      <c r="C34" s="10" t="s">
        <v>17520</v>
      </c>
      <c r="D34" s="56" t="s">
        <v>17521</v>
      </c>
      <c r="E34" s="10" t="s">
        <v>65</v>
      </c>
      <c r="F34" s="10" t="s">
        <v>1312</v>
      </c>
      <c r="G34" s="10" t="s">
        <v>17432</v>
      </c>
      <c r="H34" s="10" t="s">
        <v>17522</v>
      </c>
      <c r="I34" s="10" t="s">
        <v>48</v>
      </c>
      <c r="K34" s="10" t="s">
        <v>17523</v>
      </c>
      <c r="L34" s="10" t="s">
        <v>42</v>
      </c>
    </row>
    <row r="35" ht="15.75" customHeight="1">
      <c r="A35" s="66">
        <v>45499.0</v>
      </c>
      <c r="B35" s="55" t="str">
        <f>HYPERLINK("https://jobright.ai/jobs/info/66a3fd82d61cea1521a470e5?utm_campaign=1054&amp;utm_source=sheet", "Apply")</f>
        <v>Apply</v>
      </c>
      <c r="C35" s="10" t="s">
        <v>17524</v>
      </c>
      <c r="D35" s="56" t="s">
        <v>17525</v>
      </c>
      <c r="E35" s="10" t="s">
        <v>276</v>
      </c>
      <c r="F35" s="10" t="s">
        <v>17526</v>
      </c>
      <c r="G35" s="10" t="s">
        <v>17432</v>
      </c>
      <c r="H35" s="10" t="s">
        <v>17527</v>
      </c>
      <c r="I35" s="10" t="s">
        <v>55</v>
      </c>
      <c r="J35" s="10" t="s">
        <v>1409</v>
      </c>
      <c r="K35" s="10" t="s">
        <v>17528</v>
      </c>
      <c r="L35" s="10" t="s">
        <v>42</v>
      </c>
    </row>
    <row r="36" ht="15.75" customHeight="1">
      <c r="A36" s="66">
        <v>45499.0</v>
      </c>
      <c r="B36" s="55" t="str">
        <f>HYPERLINK("https://jobright.ai/jobs/info/66a3a818beefa7511a0d9482?utm_campaign=1054&amp;utm_source=sheet", "Apply")</f>
        <v>Apply</v>
      </c>
      <c r="C36" s="10" t="s">
        <v>17511</v>
      </c>
      <c r="D36" s="56" t="s">
        <v>17512</v>
      </c>
      <c r="E36" s="10" t="s">
        <v>45</v>
      </c>
      <c r="F36" s="10" t="s">
        <v>259</v>
      </c>
      <c r="G36" s="10" t="s">
        <v>17429</v>
      </c>
      <c r="H36" s="10" t="s">
        <v>17529</v>
      </c>
      <c r="I36" s="10" t="s">
        <v>55</v>
      </c>
      <c r="K36" s="10" t="s">
        <v>17513</v>
      </c>
      <c r="L36" s="10" t="s">
        <v>42</v>
      </c>
    </row>
    <row r="37" ht="15.75" customHeight="1">
      <c r="A37" s="66">
        <v>45498.0</v>
      </c>
      <c r="B37" s="55" t="str">
        <f>HYPERLINK("https://jobright.ai/jobs/info/66a2e2e6621b00551f36262c?utm_campaign=1054&amp;utm_source=sheet", "Apply")</f>
        <v>Apply</v>
      </c>
      <c r="C37" s="10" t="s">
        <v>17530</v>
      </c>
      <c r="D37" s="56" t="s">
        <v>17531</v>
      </c>
      <c r="E37" s="10" t="s">
        <v>249</v>
      </c>
      <c r="F37" s="10" t="s">
        <v>1376</v>
      </c>
      <c r="G37" s="10" t="s">
        <v>17429</v>
      </c>
      <c r="H37" s="10" t="s">
        <v>5885</v>
      </c>
      <c r="I37" s="10" t="s">
        <v>48</v>
      </c>
      <c r="J37" s="10" t="s">
        <v>9551</v>
      </c>
      <c r="K37" s="10" t="s">
        <v>17532</v>
      </c>
      <c r="L37" s="10" t="s">
        <v>42</v>
      </c>
    </row>
    <row r="38" ht="15.75" customHeight="1">
      <c r="A38" s="66">
        <v>45498.0</v>
      </c>
      <c r="B38" s="55" t="str">
        <f>HYPERLINK("https://jobright.ai/jobs/info/667dac79a59aa08a6b4d3e10?utm_campaign=1054&amp;utm_source=sheet", "Apply")</f>
        <v>Apply</v>
      </c>
      <c r="C38" s="10" t="s">
        <v>17472</v>
      </c>
      <c r="D38" s="56" t="s">
        <v>9508</v>
      </c>
      <c r="E38" s="10" t="s">
        <v>79</v>
      </c>
      <c r="F38" s="10" t="s">
        <v>9509</v>
      </c>
      <c r="G38" s="10" t="s">
        <v>17429</v>
      </c>
      <c r="H38" s="10" t="s">
        <v>170</v>
      </c>
      <c r="I38" s="10" t="s">
        <v>55</v>
      </c>
      <c r="K38" s="10" t="s">
        <v>17533</v>
      </c>
      <c r="L38" s="10" t="s">
        <v>42</v>
      </c>
    </row>
    <row r="39" ht="15.75" customHeight="1">
      <c r="A39" s="66">
        <v>45498.0</v>
      </c>
      <c r="B39" s="55" t="str">
        <f>HYPERLINK("https://jobright.ai/jobs/info/6695b54bce96cead8e705ce0?utm_campaign=1054&amp;utm_source=sheet", "Apply")</f>
        <v>Apply</v>
      </c>
      <c r="C39" s="10" t="s">
        <v>17534</v>
      </c>
      <c r="D39" s="56" t="s">
        <v>1576</v>
      </c>
      <c r="E39" s="10" t="s">
        <v>45</v>
      </c>
      <c r="F39" s="10" t="s">
        <v>1577</v>
      </c>
      <c r="G39" s="10" t="s">
        <v>17429</v>
      </c>
      <c r="H39" s="10" t="s">
        <v>17535</v>
      </c>
      <c r="I39" s="10" t="s">
        <v>55</v>
      </c>
      <c r="J39" s="10" t="s">
        <v>1579</v>
      </c>
      <c r="K39" s="10" t="s">
        <v>17536</v>
      </c>
      <c r="L39" s="10" t="s">
        <v>42</v>
      </c>
    </row>
    <row r="40" ht="15.75" customHeight="1">
      <c r="A40" s="66">
        <v>45498.0</v>
      </c>
      <c r="B40" s="55" t="str">
        <f>HYPERLINK("https://jobright.ai/jobs/info/66a2ecbb367ed95d6cc289e1?utm_campaign=1054&amp;utm_source=sheet", "Apply")</f>
        <v>Apply</v>
      </c>
      <c r="C40" s="10" t="s">
        <v>17474</v>
      </c>
      <c r="D40" s="56" t="s">
        <v>2548</v>
      </c>
      <c r="E40" s="10" t="s">
        <v>45</v>
      </c>
      <c r="F40" s="10" t="s">
        <v>2549</v>
      </c>
      <c r="G40" s="10" t="s">
        <v>17429</v>
      </c>
      <c r="H40" s="10" t="s">
        <v>628</v>
      </c>
      <c r="I40" s="10" t="s">
        <v>55</v>
      </c>
      <c r="K40" s="10" t="s">
        <v>17475</v>
      </c>
      <c r="L40" s="10" t="s">
        <v>42</v>
      </c>
    </row>
    <row r="41" ht="15.75" customHeight="1">
      <c r="A41" s="66">
        <v>45498.0</v>
      </c>
      <c r="B41" s="55" t="str">
        <f>HYPERLINK("https://jobright.ai/jobs/info/66a2e30c621b00551f3629d2?utm_campaign=1054&amp;utm_source=sheet", "Apply")</f>
        <v>Apply</v>
      </c>
      <c r="C41" s="10" t="s">
        <v>17472</v>
      </c>
      <c r="D41" s="56" t="s">
        <v>9508</v>
      </c>
      <c r="E41" s="10" t="s">
        <v>79</v>
      </c>
      <c r="F41" s="10" t="s">
        <v>9509</v>
      </c>
      <c r="G41" s="10" t="s">
        <v>17429</v>
      </c>
      <c r="H41" s="10" t="s">
        <v>170</v>
      </c>
      <c r="I41" s="10" t="s">
        <v>48</v>
      </c>
      <c r="K41" s="10" t="s">
        <v>17473</v>
      </c>
      <c r="L41" s="10" t="s">
        <v>42</v>
      </c>
    </row>
    <row r="42" ht="15.75" customHeight="1">
      <c r="A42" s="66">
        <v>45498.0</v>
      </c>
      <c r="B42" s="55" t="str">
        <f>HYPERLINK("https://jobright.ai/jobs/info/66a3ca1d55a005da42ef5847?utm_campaign=1054&amp;utm_source=sheet", "Apply")</f>
        <v>Apply</v>
      </c>
      <c r="C42" s="10" t="s">
        <v>17537</v>
      </c>
      <c r="D42" s="56" t="s">
        <v>12980</v>
      </c>
      <c r="E42" s="10" t="s">
        <v>79</v>
      </c>
      <c r="F42" s="10" t="s">
        <v>12981</v>
      </c>
      <c r="G42" s="10" t="s">
        <v>17429</v>
      </c>
      <c r="H42" s="10" t="s">
        <v>605</v>
      </c>
      <c r="I42" s="10" t="s">
        <v>55</v>
      </c>
      <c r="K42" s="10" t="s">
        <v>17538</v>
      </c>
      <c r="L42" s="10" t="s">
        <v>42</v>
      </c>
    </row>
    <row r="43" ht="15.75" customHeight="1">
      <c r="A43" s="66">
        <v>45498.0</v>
      </c>
      <c r="B43" s="55" t="str">
        <f>HYPERLINK("https://jobright.ai/jobs/info/66a3ca1d55a005da42ef584e?utm_campaign=1054&amp;utm_source=sheet", "Apply")</f>
        <v>Apply</v>
      </c>
      <c r="C43" s="10" t="s">
        <v>17465</v>
      </c>
      <c r="D43" s="56" t="s">
        <v>9508</v>
      </c>
      <c r="E43" s="10" t="s">
        <v>79</v>
      </c>
      <c r="F43" s="10" t="s">
        <v>9509</v>
      </c>
      <c r="G43" s="10" t="s">
        <v>17429</v>
      </c>
      <c r="H43" s="10" t="s">
        <v>170</v>
      </c>
      <c r="I43" s="10" t="s">
        <v>55</v>
      </c>
      <c r="K43" s="10" t="s">
        <v>17466</v>
      </c>
      <c r="L43" s="10" t="s">
        <v>42</v>
      </c>
    </row>
    <row r="44" ht="15.75" customHeight="1">
      <c r="A44" s="66">
        <v>45498.0</v>
      </c>
      <c r="B44" s="55" t="str">
        <f>HYPERLINK("https://jobright.ai/jobs/info/66a2c4c33b534eca8d58b54a?utm_campaign=1054&amp;utm_source=sheet", "Apply")</f>
        <v>Apply</v>
      </c>
      <c r="C44" s="10" t="s">
        <v>17465</v>
      </c>
      <c r="D44" s="56" t="s">
        <v>9508</v>
      </c>
      <c r="E44" s="10" t="s">
        <v>79</v>
      </c>
      <c r="F44" s="10" t="s">
        <v>9509</v>
      </c>
      <c r="G44" s="10" t="s">
        <v>17429</v>
      </c>
      <c r="H44" s="10" t="s">
        <v>170</v>
      </c>
      <c r="I44" s="10" t="s">
        <v>48</v>
      </c>
      <c r="K44" s="10" t="s">
        <v>17466</v>
      </c>
      <c r="L44" s="10" t="s">
        <v>42</v>
      </c>
    </row>
    <row r="45" ht="15.75" customHeight="1">
      <c r="A45" s="66">
        <v>45498.0</v>
      </c>
      <c r="B45" s="55" t="str">
        <f>HYPERLINK("https://jobright.ai/jobs/info/66a2a59a9bbfb77b02eb40ba?utm_campaign=1054&amp;utm_source=sheet", "Apply")</f>
        <v>Apply</v>
      </c>
      <c r="C45" s="10" t="s">
        <v>17434</v>
      </c>
      <c r="D45" s="56" t="s">
        <v>17539</v>
      </c>
      <c r="E45" s="10" t="s">
        <v>137</v>
      </c>
      <c r="F45" s="10" t="s">
        <v>17540</v>
      </c>
      <c r="G45" s="10" t="s">
        <v>17429</v>
      </c>
      <c r="H45" s="10" t="s">
        <v>3674</v>
      </c>
      <c r="I45" s="10" t="s">
        <v>55</v>
      </c>
      <c r="K45" s="10" t="s">
        <v>17541</v>
      </c>
      <c r="L45" s="10" t="s">
        <v>42</v>
      </c>
    </row>
    <row r="46" ht="15.75" customHeight="1">
      <c r="A46" s="66">
        <v>45498.0</v>
      </c>
      <c r="B46" s="55" t="str">
        <f>HYPERLINK("https://jobright.ai/jobs/info/66a35752b1561ee63493e782?utm_campaign=1054&amp;utm_source=sheet", "Apply")</f>
        <v>Apply</v>
      </c>
      <c r="C46" s="10" t="s">
        <v>17542</v>
      </c>
      <c r="D46" s="56" t="s">
        <v>3123</v>
      </c>
      <c r="E46" s="10" t="s">
        <v>249</v>
      </c>
      <c r="F46" s="10" t="s">
        <v>3124</v>
      </c>
      <c r="G46" s="10" t="s">
        <v>17470</v>
      </c>
      <c r="H46" s="10" t="s">
        <v>917</v>
      </c>
      <c r="I46" s="10" t="s">
        <v>55</v>
      </c>
      <c r="J46" s="10" t="s">
        <v>10706</v>
      </c>
      <c r="K46" s="10" t="s">
        <v>17543</v>
      </c>
      <c r="L46" s="10" t="s">
        <v>42</v>
      </c>
    </row>
    <row r="47" ht="15.75" customHeight="1">
      <c r="A47" s="66">
        <v>45498.0</v>
      </c>
      <c r="B47" s="55" t="str">
        <f>HYPERLINK("https://jobright.ai/jobs/info/669ff05fb07d98e4c0374eb5?utm_campaign=1054&amp;utm_source=sheet", "Apply")</f>
        <v>Apply</v>
      </c>
      <c r="C47" s="10" t="s">
        <v>17544</v>
      </c>
      <c r="D47" s="56" t="s">
        <v>2206</v>
      </c>
      <c r="E47" s="10" t="s">
        <v>45</v>
      </c>
      <c r="F47" s="10" t="s">
        <v>2207</v>
      </c>
      <c r="G47" s="10" t="s">
        <v>17429</v>
      </c>
      <c r="H47" s="10" t="s">
        <v>3056</v>
      </c>
      <c r="I47" s="10" t="s">
        <v>48</v>
      </c>
      <c r="K47" s="10" t="s">
        <v>17545</v>
      </c>
      <c r="L47" s="10" t="s">
        <v>42</v>
      </c>
    </row>
    <row r="48" ht="15.75" customHeight="1">
      <c r="A48" s="66">
        <v>45498.0</v>
      </c>
      <c r="B48" s="55" t="str">
        <f>HYPERLINK("https://jobright.ai/jobs/info/66a29cffaac12ae5af2e1a5b?utm_campaign=1054&amp;utm_source=sheet", "Apply")</f>
        <v>Apply</v>
      </c>
      <c r="C48" s="10" t="s">
        <v>17546</v>
      </c>
      <c r="D48" s="56" t="s">
        <v>17547</v>
      </c>
      <c r="E48" s="10" t="s">
        <v>65</v>
      </c>
      <c r="F48" s="10" t="s">
        <v>17548</v>
      </c>
      <c r="G48" s="10" t="s">
        <v>17432</v>
      </c>
      <c r="H48" s="10" t="s">
        <v>994</v>
      </c>
      <c r="I48" s="10" t="s">
        <v>55</v>
      </c>
      <c r="J48" s="10" t="s">
        <v>1984</v>
      </c>
      <c r="K48" s="10" t="s">
        <v>17549</v>
      </c>
      <c r="L48" s="10" t="s">
        <v>42</v>
      </c>
    </row>
    <row r="49" ht="15.75" customHeight="1">
      <c r="A49" s="66">
        <v>45498.0</v>
      </c>
      <c r="B49" s="55" t="str">
        <f>HYPERLINK("https://jobright.ai/jobs/info/66a29ad9d7325c2ceef6c0ca?utm_campaign=1054&amp;utm_source=sheet", "Apply")</f>
        <v>Apply</v>
      </c>
      <c r="C49" s="10" t="s">
        <v>17550</v>
      </c>
      <c r="D49" s="56" t="s">
        <v>3409</v>
      </c>
      <c r="E49" s="10" t="s">
        <v>65</v>
      </c>
      <c r="F49" s="10" t="s">
        <v>3410</v>
      </c>
      <c r="G49" s="10" t="s">
        <v>17432</v>
      </c>
      <c r="H49" s="10" t="s">
        <v>711</v>
      </c>
      <c r="I49" s="10" t="s">
        <v>55</v>
      </c>
      <c r="K49" s="10" t="s">
        <v>17551</v>
      </c>
      <c r="L49" s="10" t="s">
        <v>42</v>
      </c>
    </row>
    <row r="50" ht="15.75" customHeight="1">
      <c r="A50" s="66">
        <v>45498.0</v>
      </c>
      <c r="B50" s="55" t="str">
        <f>HYPERLINK("https://jobright.ai/jobs/info/66a29933d090d41dcbafd5b7?utm_campaign=1054&amp;utm_source=sheet", "Apply")</f>
        <v>Apply</v>
      </c>
      <c r="C50" s="10" t="s">
        <v>17457</v>
      </c>
      <c r="D50" s="56" t="s">
        <v>17552</v>
      </c>
      <c r="E50" s="10" t="s">
        <v>45</v>
      </c>
      <c r="F50" s="10" t="s">
        <v>1274</v>
      </c>
      <c r="G50" s="10" t="s">
        <v>17429</v>
      </c>
      <c r="H50" s="10" t="s">
        <v>17553</v>
      </c>
      <c r="I50" s="10" t="s">
        <v>55</v>
      </c>
      <c r="K50" s="10" t="s">
        <v>17554</v>
      </c>
      <c r="L50" s="10" t="s">
        <v>42</v>
      </c>
    </row>
    <row r="51" ht="15.75" customHeight="1">
      <c r="A51" s="66">
        <v>45498.0</v>
      </c>
      <c r="B51" s="55" t="str">
        <f>HYPERLINK("https://jobright.ai/jobs/info/66a2836feba8f49c259e047c?utm_campaign=1054&amp;utm_source=sheet", "Apply")</f>
        <v>Apply</v>
      </c>
      <c r="C51" s="10" t="s">
        <v>17555</v>
      </c>
      <c r="D51" s="56" t="s">
        <v>10169</v>
      </c>
      <c r="E51" s="10" t="s">
        <v>45</v>
      </c>
      <c r="F51" s="10" t="s">
        <v>10170</v>
      </c>
      <c r="G51" s="10" t="s">
        <v>17429</v>
      </c>
      <c r="H51" s="10" t="s">
        <v>1033</v>
      </c>
      <c r="I51" s="10" t="s">
        <v>55</v>
      </c>
      <c r="J51" s="10" t="s">
        <v>1409</v>
      </c>
      <c r="K51" s="10" t="s">
        <v>17556</v>
      </c>
      <c r="L51" s="10" t="s">
        <v>42</v>
      </c>
    </row>
    <row r="52" ht="15.75" customHeight="1">
      <c r="A52" s="66">
        <v>45498.0</v>
      </c>
      <c r="B52" s="55" t="str">
        <f>HYPERLINK("https://jobright.ai/jobs/info/66a2836feba8f49c259e0485?utm_campaign=1054&amp;utm_source=sheet", "Apply")</f>
        <v>Apply</v>
      </c>
      <c r="C52" s="10" t="s">
        <v>17557</v>
      </c>
      <c r="D52" s="56" t="s">
        <v>10169</v>
      </c>
      <c r="E52" s="10" t="s">
        <v>45</v>
      </c>
      <c r="F52" s="10" t="s">
        <v>10170</v>
      </c>
      <c r="G52" s="10" t="s">
        <v>17429</v>
      </c>
      <c r="H52" s="10" t="s">
        <v>2988</v>
      </c>
      <c r="I52" s="10" t="s">
        <v>55</v>
      </c>
      <c r="J52" s="10" t="s">
        <v>1409</v>
      </c>
      <c r="K52" s="10" t="s">
        <v>17556</v>
      </c>
      <c r="L52" s="10" t="s">
        <v>42</v>
      </c>
    </row>
    <row r="53" ht="15.75" customHeight="1">
      <c r="A53" s="66">
        <v>45498.0</v>
      </c>
      <c r="B53" s="55" t="str">
        <f>HYPERLINK("https://jobright.ai/jobs/info/66a287c831bab1b5572d502b?utm_campaign=1054&amp;utm_source=sheet", "Apply")</f>
        <v>Apply</v>
      </c>
      <c r="C53" s="10" t="s">
        <v>17558</v>
      </c>
      <c r="D53" s="56" t="s">
        <v>17559</v>
      </c>
      <c r="G53" s="10" t="s">
        <v>17432</v>
      </c>
      <c r="H53" s="10" t="s">
        <v>939</v>
      </c>
      <c r="I53" s="10" t="s">
        <v>55</v>
      </c>
      <c r="K53" s="10" t="s">
        <v>17560</v>
      </c>
      <c r="L53" s="10" t="s">
        <v>42</v>
      </c>
    </row>
    <row r="54" ht="15.75" customHeight="1">
      <c r="A54" s="66">
        <v>45498.0</v>
      </c>
      <c r="B54" s="55" t="str">
        <f>HYPERLINK("https://jobright.ai/jobs/info/66993b239da91113a5fcfe63?utm_campaign=1054&amp;utm_source=sheet", "Apply")</f>
        <v>Apply</v>
      </c>
      <c r="C54" s="10" t="s">
        <v>17561</v>
      </c>
      <c r="D54" s="56" t="s">
        <v>17562</v>
      </c>
      <c r="E54" s="10" t="s">
        <v>45</v>
      </c>
      <c r="F54" s="10" t="s">
        <v>731</v>
      </c>
      <c r="G54" s="10" t="s">
        <v>17432</v>
      </c>
      <c r="H54" s="10" t="s">
        <v>73</v>
      </c>
      <c r="I54" s="10" t="s">
        <v>48</v>
      </c>
      <c r="K54" s="10" t="s">
        <v>17563</v>
      </c>
      <c r="L54" s="10" t="s">
        <v>42</v>
      </c>
    </row>
    <row r="55" ht="15.75" customHeight="1">
      <c r="A55" s="66">
        <v>45498.0</v>
      </c>
      <c r="B55" s="55" t="str">
        <f>HYPERLINK("https://jobright.ai/jobs/info/66a275fd5e239676a832ab11?utm_campaign=1054&amp;utm_source=sheet", "Apply")</f>
        <v>Apply</v>
      </c>
      <c r="C55" s="10" t="s">
        <v>17564</v>
      </c>
      <c r="D55" s="56" t="s">
        <v>13522</v>
      </c>
      <c r="E55" s="10" t="s">
        <v>45</v>
      </c>
      <c r="F55" s="10" t="s">
        <v>3124</v>
      </c>
      <c r="G55" s="10" t="s">
        <v>17470</v>
      </c>
      <c r="H55" s="10" t="s">
        <v>6506</v>
      </c>
      <c r="I55" s="10" t="s">
        <v>55</v>
      </c>
      <c r="K55" s="10" t="s">
        <v>17565</v>
      </c>
      <c r="L55" s="10" t="s">
        <v>42</v>
      </c>
    </row>
    <row r="56" ht="15.75" customHeight="1">
      <c r="A56" s="66">
        <v>45498.0</v>
      </c>
      <c r="B56" s="55" t="str">
        <f>HYPERLINK("https://jobright.ai/jobs/info/66a3e1b7fa1e56eccb8f593e?utm_campaign=1054&amp;utm_source=sheet", "Apply")</f>
        <v>Apply</v>
      </c>
      <c r="C56" s="10" t="s">
        <v>17566</v>
      </c>
      <c r="D56" s="56" t="s">
        <v>3669</v>
      </c>
      <c r="E56" s="10" t="s">
        <v>65</v>
      </c>
      <c r="F56" s="10" t="s">
        <v>3670</v>
      </c>
      <c r="G56" s="10" t="s">
        <v>17429</v>
      </c>
      <c r="H56" s="10" t="s">
        <v>170</v>
      </c>
      <c r="I56" s="10" t="s">
        <v>55</v>
      </c>
      <c r="J56" s="10" t="s">
        <v>3671</v>
      </c>
      <c r="K56" s="10" t="s">
        <v>17567</v>
      </c>
      <c r="L56" s="10" t="s">
        <v>42</v>
      </c>
    </row>
    <row r="57" ht="15.75" customHeight="1">
      <c r="A57" s="66">
        <v>45498.0</v>
      </c>
      <c r="B57" s="55" t="str">
        <f>HYPERLINK("https://jobright.ai/jobs/info/66a3e1c2fa1e56eccb8f5a1d?utm_campaign=1054&amp;utm_source=sheet", "Apply")</f>
        <v>Apply</v>
      </c>
      <c r="C57" s="10" t="s">
        <v>17566</v>
      </c>
      <c r="D57" s="56" t="s">
        <v>3669</v>
      </c>
      <c r="E57" s="10" t="s">
        <v>65</v>
      </c>
      <c r="F57" s="10" t="s">
        <v>3670</v>
      </c>
      <c r="G57" s="10" t="s">
        <v>17429</v>
      </c>
      <c r="H57" s="10" t="s">
        <v>113</v>
      </c>
      <c r="I57" s="10" t="s">
        <v>55</v>
      </c>
      <c r="J57" s="10" t="s">
        <v>3671</v>
      </c>
      <c r="K57" s="10" t="s">
        <v>17567</v>
      </c>
      <c r="L57" s="10" t="s">
        <v>42</v>
      </c>
    </row>
    <row r="58" ht="15.75" customHeight="1">
      <c r="A58" s="66">
        <v>45498.0</v>
      </c>
      <c r="B58" s="55" t="str">
        <f>HYPERLINK("https://jobright.ai/jobs/info/66853cdd51490bb96318f564?utm_campaign=1054&amp;utm_source=sheet", "Apply")</f>
        <v>Apply</v>
      </c>
      <c r="C58" s="10" t="s">
        <v>17568</v>
      </c>
      <c r="D58" s="56" t="s">
        <v>7357</v>
      </c>
      <c r="E58" s="10" t="s">
        <v>45</v>
      </c>
      <c r="F58" s="10" t="s">
        <v>665</v>
      </c>
      <c r="G58" s="10" t="s">
        <v>17432</v>
      </c>
      <c r="H58" s="10" t="s">
        <v>96</v>
      </c>
      <c r="I58" s="10" t="s">
        <v>55</v>
      </c>
      <c r="L58" s="10" t="s">
        <v>42</v>
      </c>
    </row>
    <row r="59" ht="15.75" customHeight="1">
      <c r="A59" s="66">
        <v>45498.0</v>
      </c>
      <c r="B59" s="55" t="str">
        <f>HYPERLINK("https://jobright.ai/jobs/info/6686276519c3e9af76ad59fd?utm_campaign=1054&amp;utm_source=sheet", "Apply")</f>
        <v>Apply</v>
      </c>
      <c r="C59" s="10" t="s">
        <v>17569</v>
      </c>
      <c r="D59" s="56" t="s">
        <v>1631</v>
      </c>
      <c r="E59" s="10" t="s">
        <v>45</v>
      </c>
      <c r="F59" s="10" t="s">
        <v>1632</v>
      </c>
      <c r="G59" s="10" t="s">
        <v>17429</v>
      </c>
      <c r="H59" s="10" t="s">
        <v>354</v>
      </c>
      <c r="I59" s="10" t="s">
        <v>55</v>
      </c>
      <c r="K59" s="10" t="s">
        <v>17570</v>
      </c>
      <c r="L59" s="10" t="s">
        <v>42</v>
      </c>
    </row>
    <row r="60" ht="15.75" customHeight="1">
      <c r="A60" s="66">
        <v>45498.0</v>
      </c>
      <c r="B60" s="55" t="str">
        <f>HYPERLINK("https://jobright.ai/jobs/info/6685f061188ab17c33cd7e5a?utm_campaign=1054&amp;utm_source=sheet", "Apply")</f>
        <v>Apply</v>
      </c>
      <c r="C60" s="10" t="s">
        <v>17571</v>
      </c>
      <c r="D60" s="56" t="s">
        <v>6084</v>
      </c>
      <c r="E60" s="10" t="s">
        <v>45</v>
      </c>
      <c r="F60" s="10" t="s">
        <v>6085</v>
      </c>
      <c r="G60" s="10" t="s">
        <v>17429</v>
      </c>
      <c r="H60" s="10" t="s">
        <v>6086</v>
      </c>
      <c r="I60" s="10" t="s">
        <v>55</v>
      </c>
      <c r="K60" s="10" t="s">
        <v>17572</v>
      </c>
      <c r="L60" s="10" t="s">
        <v>42</v>
      </c>
    </row>
    <row r="61" ht="15.75" customHeight="1">
      <c r="A61" s="66">
        <v>45498.0</v>
      </c>
      <c r="B61" s="55" t="str">
        <f>HYPERLINK("https://jobright.ai/jobs/info/668591fae861c76931c96af7?utm_campaign=1054&amp;utm_source=sheet", "Apply")</f>
        <v>Apply</v>
      </c>
      <c r="C61" s="10" t="s">
        <v>17573</v>
      </c>
      <c r="D61" s="56" t="s">
        <v>3519</v>
      </c>
      <c r="E61" s="10" t="s">
        <v>65</v>
      </c>
      <c r="F61" s="10" t="s">
        <v>1415</v>
      </c>
      <c r="G61" s="10" t="s">
        <v>17432</v>
      </c>
      <c r="H61" s="10" t="s">
        <v>505</v>
      </c>
      <c r="I61" s="10" t="s">
        <v>48</v>
      </c>
      <c r="K61" s="10" t="s">
        <v>17574</v>
      </c>
      <c r="L61" s="10" t="s">
        <v>42</v>
      </c>
    </row>
    <row r="62" ht="15.75" customHeight="1">
      <c r="A62" s="66">
        <v>45498.0</v>
      </c>
      <c r="B62" s="55" t="str">
        <f>HYPERLINK("https://jobright.ai/jobs/info/66a1db7b4a1c47d6614d89f0?utm_campaign=1054&amp;utm_source=sheet", "Apply")</f>
        <v>Apply</v>
      </c>
      <c r="C62" s="10" t="s">
        <v>17575</v>
      </c>
      <c r="D62" s="56" t="s">
        <v>258</v>
      </c>
      <c r="E62" s="10" t="s">
        <v>45</v>
      </c>
      <c r="F62" s="10" t="s">
        <v>259</v>
      </c>
      <c r="G62" s="10" t="s">
        <v>17470</v>
      </c>
      <c r="H62" s="10" t="s">
        <v>1032</v>
      </c>
      <c r="I62" s="10" t="s">
        <v>55</v>
      </c>
      <c r="J62" s="10" t="s">
        <v>2742</v>
      </c>
      <c r="K62" s="10" t="s">
        <v>17576</v>
      </c>
      <c r="L62" s="10" t="s">
        <v>42</v>
      </c>
    </row>
    <row r="63" ht="15.75" customHeight="1">
      <c r="A63" s="66">
        <v>45498.0</v>
      </c>
      <c r="B63" s="55" t="str">
        <f>HYPERLINK("https://jobright.ai/jobs/info/66a1db7b4a1c47d6614d89ef?utm_campaign=1054&amp;utm_source=sheet", "Apply")</f>
        <v>Apply</v>
      </c>
      <c r="C63" s="10" t="s">
        <v>17577</v>
      </c>
      <c r="D63" s="56" t="s">
        <v>258</v>
      </c>
      <c r="E63" s="10" t="s">
        <v>45</v>
      </c>
      <c r="F63" s="10" t="s">
        <v>259</v>
      </c>
      <c r="G63" s="10" t="s">
        <v>17470</v>
      </c>
      <c r="H63" s="10" t="s">
        <v>765</v>
      </c>
      <c r="I63" s="10" t="s">
        <v>55</v>
      </c>
      <c r="J63" s="10" t="s">
        <v>2742</v>
      </c>
      <c r="K63" s="10" t="s">
        <v>17576</v>
      </c>
      <c r="L63" s="10" t="s">
        <v>42</v>
      </c>
    </row>
    <row r="64" ht="15.75" customHeight="1">
      <c r="A64" s="66">
        <v>45498.0</v>
      </c>
      <c r="B64" s="55" t="str">
        <f>HYPERLINK("https://jobright.ai/jobs/info/66a1db7b4a1c47d6614d89f1?utm_campaign=1054&amp;utm_source=sheet", "Apply")</f>
        <v>Apply</v>
      </c>
      <c r="C64" s="10" t="s">
        <v>17578</v>
      </c>
      <c r="D64" s="56" t="s">
        <v>258</v>
      </c>
      <c r="E64" s="10" t="s">
        <v>45</v>
      </c>
      <c r="F64" s="10" t="s">
        <v>259</v>
      </c>
      <c r="G64" s="10" t="s">
        <v>17470</v>
      </c>
      <c r="H64" s="10" t="s">
        <v>146</v>
      </c>
      <c r="I64" s="10" t="s">
        <v>55</v>
      </c>
      <c r="J64" s="10" t="s">
        <v>2742</v>
      </c>
      <c r="K64" s="10" t="s">
        <v>17576</v>
      </c>
      <c r="L64" s="10" t="s">
        <v>42</v>
      </c>
    </row>
    <row r="65" ht="15.75" customHeight="1">
      <c r="A65" s="66">
        <v>45498.0</v>
      </c>
      <c r="B65" s="55" t="str">
        <f>HYPERLINK("https://jobright.ai/jobs/info/66a1db7b4a1c47d6614d89f3?utm_campaign=1054&amp;utm_source=sheet", "Apply")</f>
        <v>Apply</v>
      </c>
      <c r="C65" s="10" t="s">
        <v>17579</v>
      </c>
      <c r="D65" s="56" t="s">
        <v>258</v>
      </c>
      <c r="E65" s="10" t="s">
        <v>45</v>
      </c>
      <c r="F65" s="10" t="s">
        <v>259</v>
      </c>
      <c r="G65" s="10" t="s">
        <v>17470</v>
      </c>
      <c r="H65" s="10" t="s">
        <v>17580</v>
      </c>
      <c r="I65" s="10" t="s">
        <v>55</v>
      </c>
      <c r="J65" s="10" t="s">
        <v>2742</v>
      </c>
      <c r="K65" s="10" t="s">
        <v>17576</v>
      </c>
      <c r="L65" s="10" t="s">
        <v>42</v>
      </c>
    </row>
    <row r="66" ht="15.75" customHeight="1">
      <c r="A66" s="66">
        <v>45498.0</v>
      </c>
      <c r="B66" s="55" t="str">
        <f>HYPERLINK("https://jobright.ai/jobs/info/66a1db7b4a1c47d6614d89f7?utm_campaign=1054&amp;utm_source=sheet", "Apply")</f>
        <v>Apply</v>
      </c>
      <c r="C66" s="10" t="s">
        <v>17581</v>
      </c>
      <c r="D66" s="56" t="s">
        <v>258</v>
      </c>
      <c r="E66" s="10" t="s">
        <v>45</v>
      </c>
      <c r="F66" s="10" t="s">
        <v>259</v>
      </c>
      <c r="G66" s="10" t="s">
        <v>17470</v>
      </c>
      <c r="H66" s="10" t="s">
        <v>167</v>
      </c>
      <c r="I66" s="10" t="s">
        <v>55</v>
      </c>
      <c r="J66" s="10" t="s">
        <v>2742</v>
      </c>
      <c r="K66" s="10" t="s">
        <v>17576</v>
      </c>
      <c r="L66" s="10" t="s">
        <v>42</v>
      </c>
    </row>
    <row r="67" ht="15.75" customHeight="1">
      <c r="A67" s="66">
        <v>45498.0</v>
      </c>
      <c r="B67" s="55" t="str">
        <f>HYPERLINK("https://jobright.ai/jobs/info/66a1d8d2921f2f675f88645b?utm_campaign=1054&amp;utm_source=sheet", "Apply")</f>
        <v>Apply</v>
      </c>
      <c r="C67" s="10" t="s">
        <v>17582</v>
      </c>
      <c r="D67" s="56" t="s">
        <v>2721</v>
      </c>
      <c r="E67" s="10" t="s">
        <v>45</v>
      </c>
      <c r="F67" s="10" t="s">
        <v>2722</v>
      </c>
      <c r="G67" s="10" t="s">
        <v>17432</v>
      </c>
      <c r="H67" s="10" t="s">
        <v>313</v>
      </c>
      <c r="I67" s="10" t="s">
        <v>48</v>
      </c>
      <c r="J67" s="10" t="s">
        <v>10306</v>
      </c>
      <c r="K67" s="10" t="s">
        <v>17583</v>
      </c>
      <c r="L67" s="10" t="s">
        <v>42</v>
      </c>
    </row>
    <row r="68" ht="15.75" customHeight="1">
      <c r="A68" s="66">
        <v>45498.0</v>
      </c>
      <c r="B68" s="55" t="str">
        <f>HYPERLINK("https://jobright.ai/jobs/info/669addce1ba6433041419a9e?utm_campaign=1054&amp;utm_source=sheet", "Apply")</f>
        <v>Apply</v>
      </c>
      <c r="C68" s="10" t="s">
        <v>17584</v>
      </c>
      <c r="D68" s="56" t="s">
        <v>1650</v>
      </c>
      <c r="E68" s="10" t="s">
        <v>209</v>
      </c>
      <c r="F68" s="10" t="s">
        <v>1243</v>
      </c>
      <c r="G68" s="10" t="s">
        <v>17429</v>
      </c>
      <c r="H68" s="10" t="s">
        <v>896</v>
      </c>
      <c r="I68" s="10" t="s">
        <v>48</v>
      </c>
      <c r="K68" s="10" t="s">
        <v>17585</v>
      </c>
      <c r="L68" s="10" t="s">
        <v>42</v>
      </c>
    </row>
    <row r="69" ht="15.75" customHeight="1">
      <c r="A69" s="66">
        <v>45498.0</v>
      </c>
      <c r="B69" s="55" t="str">
        <f>HYPERLINK("https://jobright.ai/jobs/info/66a2cbf6327455bc297b1508?utm_campaign=1054&amp;utm_source=sheet", "Apply")</f>
        <v>Apply</v>
      </c>
      <c r="C69" s="10" t="s">
        <v>17434</v>
      </c>
      <c r="D69" s="56" t="s">
        <v>17586</v>
      </c>
      <c r="E69" s="10" t="s">
        <v>249</v>
      </c>
      <c r="F69" s="10" t="s">
        <v>4323</v>
      </c>
      <c r="G69" s="10" t="s">
        <v>17429</v>
      </c>
      <c r="H69" s="10" t="s">
        <v>636</v>
      </c>
      <c r="I69" s="10" t="s">
        <v>55</v>
      </c>
      <c r="K69" s="10" t="s">
        <v>17587</v>
      </c>
      <c r="L69" s="10" t="s">
        <v>42</v>
      </c>
    </row>
    <row r="70" ht="15.75" customHeight="1">
      <c r="A70" s="66">
        <v>45498.0</v>
      </c>
      <c r="B70" s="55" t="str">
        <f>HYPERLINK("https://jobright.ai/jobs/info/66a292fadce5676bbece00d5?utm_campaign=1054&amp;utm_source=sheet", "Apply")</f>
        <v>Apply</v>
      </c>
      <c r="C70" s="10" t="s">
        <v>17588</v>
      </c>
      <c r="D70" s="56" t="s">
        <v>17589</v>
      </c>
      <c r="E70" s="10" t="s">
        <v>276</v>
      </c>
      <c r="F70" s="10" t="s">
        <v>3004</v>
      </c>
      <c r="G70" s="10" t="s">
        <v>17429</v>
      </c>
      <c r="H70" s="10" t="s">
        <v>17590</v>
      </c>
      <c r="I70" s="10" t="s">
        <v>55</v>
      </c>
      <c r="K70" s="10" t="s">
        <v>17591</v>
      </c>
      <c r="L70" s="10" t="s">
        <v>42</v>
      </c>
    </row>
    <row r="71" ht="15.75" customHeight="1">
      <c r="A71" s="66">
        <v>45497.0</v>
      </c>
      <c r="B71" s="55" t="str">
        <f>HYPERLINK("https://jobright.ai/jobs/info/66a191873191cdd15ad3fa24?utm_campaign=1054&amp;utm_source=sheet", "Apply")</f>
        <v>Apply</v>
      </c>
      <c r="C71" s="10" t="s">
        <v>17592</v>
      </c>
      <c r="D71" s="56" t="s">
        <v>7944</v>
      </c>
      <c r="E71" s="10" t="s">
        <v>45</v>
      </c>
      <c r="F71" s="10" t="s">
        <v>3403</v>
      </c>
      <c r="G71" s="10" t="s">
        <v>17429</v>
      </c>
      <c r="H71" s="10" t="s">
        <v>429</v>
      </c>
      <c r="I71" s="10" t="s">
        <v>55</v>
      </c>
      <c r="K71" s="10" t="s">
        <v>17593</v>
      </c>
      <c r="L71" s="10" t="s">
        <v>42</v>
      </c>
    </row>
    <row r="72" ht="15.75" customHeight="1">
      <c r="A72" s="66">
        <v>45497.0</v>
      </c>
      <c r="B72" s="55" t="str">
        <f>HYPERLINK("https://jobright.ai/jobs/info/66a194197c2a83b26eb62236?utm_campaign=1054&amp;utm_source=sheet", "Apply")</f>
        <v>Apply</v>
      </c>
      <c r="C72" s="10" t="s">
        <v>17594</v>
      </c>
      <c r="D72" s="56" t="s">
        <v>2522</v>
      </c>
      <c r="E72" s="10" t="s">
        <v>45</v>
      </c>
      <c r="F72" s="10" t="s">
        <v>1564</v>
      </c>
      <c r="G72" s="10" t="s">
        <v>17429</v>
      </c>
      <c r="H72" s="10" t="s">
        <v>442</v>
      </c>
      <c r="I72" s="10" t="s">
        <v>48</v>
      </c>
      <c r="J72" s="10" t="s">
        <v>2523</v>
      </c>
      <c r="K72" s="10" t="s">
        <v>17595</v>
      </c>
      <c r="L72" s="10" t="s">
        <v>42</v>
      </c>
    </row>
    <row r="73" ht="15.75" customHeight="1">
      <c r="A73" s="66">
        <v>45497.0</v>
      </c>
      <c r="B73" s="55" t="str">
        <f>HYPERLINK("https://jobright.ai/jobs/info/66a180ac137a029884e5aa30?utm_campaign=1054&amp;utm_source=sheet", "Apply")</f>
        <v>Apply</v>
      </c>
      <c r="C73" s="10" t="s">
        <v>17596</v>
      </c>
      <c r="D73" s="56" t="s">
        <v>17597</v>
      </c>
      <c r="E73" s="10">
        <v>456.0</v>
      </c>
      <c r="G73" s="10" t="s">
        <v>17429</v>
      </c>
      <c r="H73" s="10" t="s">
        <v>965</v>
      </c>
      <c r="I73" s="10" t="s">
        <v>55</v>
      </c>
      <c r="J73" s="10" t="s">
        <v>4496</v>
      </c>
      <c r="K73" s="10" t="s">
        <v>17598</v>
      </c>
      <c r="L73" s="10" t="s">
        <v>42</v>
      </c>
    </row>
    <row r="74" ht="15.75" customHeight="1">
      <c r="A74" s="66">
        <v>45497.0</v>
      </c>
      <c r="B74" s="55" t="str">
        <f>HYPERLINK("https://jobright.ai/jobs/info/665917eee3ecf9e1b0661bf6?utm_campaign=1054&amp;utm_source=sheet", "Apply")</f>
        <v>Apply</v>
      </c>
      <c r="C74" s="10" t="s">
        <v>17599</v>
      </c>
      <c r="D74" s="56" t="s">
        <v>3669</v>
      </c>
      <c r="E74" s="10" t="s">
        <v>65</v>
      </c>
      <c r="F74" s="10" t="s">
        <v>3670</v>
      </c>
      <c r="G74" s="10" t="s">
        <v>17470</v>
      </c>
      <c r="H74" s="10" t="s">
        <v>1260</v>
      </c>
      <c r="I74" s="10" t="s">
        <v>55</v>
      </c>
      <c r="J74" s="10" t="s">
        <v>3671</v>
      </c>
      <c r="K74" s="10" t="s">
        <v>17600</v>
      </c>
      <c r="L74" s="10" t="s">
        <v>42</v>
      </c>
    </row>
    <row r="75" ht="15.75" customHeight="1">
      <c r="A75" s="66">
        <v>45497.0</v>
      </c>
      <c r="B75" s="55" t="str">
        <f>HYPERLINK("https://jobright.ai/jobs/info/66a1e5e7496d539137aa5936?utm_campaign=1054&amp;utm_source=sheet", "Apply")</f>
        <v>Apply</v>
      </c>
      <c r="C75" s="10" t="s">
        <v>17601</v>
      </c>
      <c r="D75" s="56" t="s">
        <v>17602</v>
      </c>
      <c r="E75" s="10" t="s">
        <v>65</v>
      </c>
      <c r="F75" s="10" t="s">
        <v>2554</v>
      </c>
      <c r="G75" s="10" t="s">
        <v>17429</v>
      </c>
      <c r="H75" s="10" t="s">
        <v>438</v>
      </c>
      <c r="I75" s="10" t="s">
        <v>55</v>
      </c>
      <c r="K75" s="10" t="s">
        <v>17603</v>
      </c>
      <c r="L75" s="10" t="s">
        <v>42</v>
      </c>
    </row>
    <row r="76" ht="15.75" customHeight="1">
      <c r="A76" s="66">
        <v>45497.0</v>
      </c>
      <c r="B76" s="55" t="str">
        <f>HYPERLINK("https://jobright.ai/jobs/info/667ec26554cf07d22d22878c?utm_campaign=1054&amp;utm_source=sheet", "Apply")</f>
        <v>Apply</v>
      </c>
      <c r="C76" s="10" t="s">
        <v>17604</v>
      </c>
      <c r="D76" s="56" t="s">
        <v>17605</v>
      </c>
      <c r="E76" s="10" t="s">
        <v>276</v>
      </c>
      <c r="F76" s="10" t="s">
        <v>17606</v>
      </c>
      <c r="G76" s="10" t="s">
        <v>17432</v>
      </c>
      <c r="H76" s="10" t="s">
        <v>947</v>
      </c>
      <c r="I76" s="10" t="s">
        <v>55</v>
      </c>
      <c r="J76" s="10" t="s">
        <v>4568</v>
      </c>
      <c r="L76" s="10" t="s">
        <v>42</v>
      </c>
    </row>
    <row r="77" ht="15.75" customHeight="1">
      <c r="A77" s="66">
        <v>45497.0</v>
      </c>
      <c r="B77" s="55" t="str">
        <f>HYPERLINK("https://jobright.ai/jobs/info/66a184dfe6f51d676c026d71?utm_campaign=1054&amp;utm_source=sheet", "Apply")</f>
        <v>Apply</v>
      </c>
      <c r="C77" s="10" t="s">
        <v>17607</v>
      </c>
      <c r="D77" s="56" t="s">
        <v>17608</v>
      </c>
      <c r="E77" s="10">
        <v>14.0</v>
      </c>
      <c r="G77" s="10" t="s">
        <v>17470</v>
      </c>
      <c r="H77" s="10" t="s">
        <v>937</v>
      </c>
      <c r="I77" s="10" t="s">
        <v>55</v>
      </c>
      <c r="K77" s="10" t="s">
        <v>17609</v>
      </c>
      <c r="L77" s="10" t="s">
        <v>42</v>
      </c>
    </row>
    <row r="78" ht="15.75" customHeight="1">
      <c r="A78" s="66">
        <v>45497.0</v>
      </c>
      <c r="B78" s="55" t="str">
        <f>HYPERLINK("https://jobright.ai/jobs/info/66a1721b5c9c5c51b4894ea0?utm_campaign=1054&amp;utm_source=sheet", "Apply")</f>
        <v>Apply</v>
      </c>
      <c r="C78" s="10" t="s">
        <v>17607</v>
      </c>
      <c r="D78" s="56" t="s">
        <v>17608</v>
      </c>
      <c r="E78" s="10">
        <v>14.0</v>
      </c>
      <c r="G78" s="10" t="s">
        <v>17470</v>
      </c>
      <c r="H78" s="10" t="s">
        <v>17610</v>
      </c>
      <c r="I78" s="10" t="s">
        <v>55</v>
      </c>
      <c r="K78" s="10" t="s">
        <v>17609</v>
      </c>
      <c r="L78" s="10" t="s">
        <v>42</v>
      </c>
    </row>
    <row r="79" ht="15.75" customHeight="1">
      <c r="A79" s="66">
        <v>45497.0</v>
      </c>
      <c r="B79" s="55" t="str">
        <f>HYPERLINK("https://jobright.ai/jobs/info/66a1604fe2be5c244a65619e?utm_campaign=1054&amp;utm_source=sheet", "Apply")</f>
        <v>Apply</v>
      </c>
      <c r="C79" s="10" t="s">
        <v>17607</v>
      </c>
      <c r="D79" s="56" t="s">
        <v>17608</v>
      </c>
      <c r="E79" s="10">
        <v>14.0</v>
      </c>
      <c r="G79" s="10" t="s">
        <v>17470</v>
      </c>
      <c r="H79" s="10" t="s">
        <v>17611</v>
      </c>
      <c r="I79" s="10" t="s">
        <v>55</v>
      </c>
      <c r="K79" s="10" t="s">
        <v>17609</v>
      </c>
      <c r="L79" s="10" t="s">
        <v>42</v>
      </c>
    </row>
    <row r="80" ht="15.75" customHeight="1">
      <c r="A80" s="66">
        <v>45497.0</v>
      </c>
      <c r="B80" s="55" t="str">
        <f>HYPERLINK("https://jobright.ai/jobs/info/66a1b13c360807c227c24cfb?utm_campaign=1054&amp;utm_source=sheet", "Apply")</f>
        <v>Apply</v>
      </c>
      <c r="C80" s="10" t="s">
        <v>17607</v>
      </c>
      <c r="D80" s="56" t="s">
        <v>17608</v>
      </c>
      <c r="E80" s="10">
        <v>14.0</v>
      </c>
      <c r="G80" s="10" t="s">
        <v>17470</v>
      </c>
      <c r="H80" s="10" t="s">
        <v>17612</v>
      </c>
      <c r="I80" s="10" t="s">
        <v>55</v>
      </c>
      <c r="K80" s="10" t="s">
        <v>17609</v>
      </c>
      <c r="L80" s="10" t="s">
        <v>42</v>
      </c>
    </row>
    <row r="81" ht="15.75" customHeight="1">
      <c r="A81" s="66">
        <v>45497.0</v>
      </c>
      <c r="B81" s="55" t="str">
        <f>HYPERLINK("https://jobright.ai/jobs/info/66a15b8e85a92c36a39a301e?utm_campaign=1054&amp;utm_source=sheet", "Apply")</f>
        <v>Apply</v>
      </c>
      <c r="C81" s="10" t="s">
        <v>17607</v>
      </c>
      <c r="D81" s="56" t="s">
        <v>17608</v>
      </c>
      <c r="E81" s="10">
        <v>14.0</v>
      </c>
      <c r="G81" s="10" t="s">
        <v>17470</v>
      </c>
      <c r="H81" s="10" t="s">
        <v>17613</v>
      </c>
      <c r="I81" s="10" t="s">
        <v>55</v>
      </c>
      <c r="K81" s="10" t="s">
        <v>17609</v>
      </c>
      <c r="L81" s="10" t="s">
        <v>42</v>
      </c>
    </row>
    <row r="82" ht="15.75" customHeight="1">
      <c r="A82" s="66">
        <v>45497.0</v>
      </c>
      <c r="B82" s="55" t="str">
        <f>HYPERLINK("https://jobright.ai/jobs/info/66a15b8e85a92c36a39a3020?utm_campaign=1054&amp;utm_source=sheet", "Apply")</f>
        <v>Apply</v>
      </c>
      <c r="C82" s="10" t="s">
        <v>17607</v>
      </c>
      <c r="D82" s="56" t="s">
        <v>17608</v>
      </c>
      <c r="E82" s="10">
        <v>14.0</v>
      </c>
      <c r="G82" s="10" t="s">
        <v>17470</v>
      </c>
      <c r="H82" s="10" t="s">
        <v>17614</v>
      </c>
      <c r="I82" s="10" t="s">
        <v>55</v>
      </c>
      <c r="K82" s="10" t="s">
        <v>17609</v>
      </c>
      <c r="L82" s="10" t="s">
        <v>42</v>
      </c>
    </row>
    <row r="83" ht="15.75" customHeight="1">
      <c r="A83" s="66">
        <v>45497.0</v>
      </c>
      <c r="B83" s="55" t="str">
        <f>HYPERLINK("https://jobright.ai/jobs/info/66a148e753ccbd09bfe38030?utm_campaign=1054&amp;utm_source=sheet", "Apply")</f>
        <v>Apply</v>
      </c>
      <c r="C83" s="10" t="s">
        <v>17615</v>
      </c>
      <c r="D83" s="56" t="s">
        <v>17616</v>
      </c>
      <c r="E83" s="10" t="s">
        <v>137</v>
      </c>
      <c r="F83" s="10" t="s">
        <v>6872</v>
      </c>
      <c r="G83" s="10" t="s">
        <v>17432</v>
      </c>
      <c r="H83" s="10" t="s">
        <v>96</v>
      </c>
      <c r="I83" s="10" t="s">
        <v>48</v>
      </c>
      <c r="J83" s="10" t="s">
        <v>1960</v>
      </c>
      <c r="K83" s="10" t="s">
        <v>17617</v>
      </c>
      <c r="L83" s="10" t="s">
        <v>42</v>
      </c>
    </row>
    <row r="84" ht="15.75" customHeight="1">
      <c r="A84" s="66">
        <v>45497.0</v>
      </c>
      <c r="B84" s="55" t="str">
        <f>HYPERLINK("https://jobright.ai/jobs/info/66a1436f59051cfbf53a7d7c?utm_campaign=1054&amp;utm_source=sheet", "Apply")</f>
        <v>Apply</v>
      </c>
      <c r="C84" s="10" t="s">
        <v>17434</v>
      </c>
      <c r="D84" s="56" t="s">
        <v>17618</v>
      </c>
      <c r="E84" s="10">
        <v>246.0</v>
      </c>
      <c r="G84" s="10" t="s">
        <v>17432</v>
      </c>
      <c r="H84" s="10" t="s">
        <v>251</v>
      </c>
      <c r="I84" s="10" t="s">
        <v>252</v>
      </c>
      <c r="K84" s="10" t="s">
        <v>17619</v>
      </c>
      <c r="L84" s="10" t="s">
        <v>42</v>
      </c>
    </row>
    <row r="85" ht="15.75" customHeight="1">
      <c r="A85" s="66">
        <v>45497.0</v>
      </c>
      <c r="B85" s="55" t="str">
        <f>HYPERLINK("https://jobright.ai/jobs/info/66846a187454c84ac54de6cd?utm_campaign=1054&amp;utm_source=sheet", "Apply")</f>
        <v>Apply</v>
      </c>
      <c r="C85" s="10" t="s">
        <v>17620</v>
      </c>
      <c r="D85" s="56" t="s">
        <v>16705</v>
      </c>
      <c r="E85" s="10" t="s">
        <v>276</v>
      </c>
      <c r="F85" s="10" t="s">
        <v>1065</v>
      </c>
      <c r="G85" s="10" t="s">
        <v>17432</v>
      </c>
      <c r="H85" s="10" t="s">
        <v>1033</v>
      </c>
      <c r="I85" s="10" t="s">
        <v>55</v>
      </c>
      <c r="J85" s="10" t="s">
        <v>3651</v>
      </c>
      <c r="K85" s="10" t="s">
        <v>17621</v>
      </c>
      <c r="L85" s="10" t="s">
        <v>42</v>
      </c>
    </row>
    <row r="86" ht="15.75" customHeight="1">
      <c r="A86" s="66">
        <v>45497.0</v>
      </c>
      <c r="B86" s="55" t="str">
        <f>HYPERLINK("https://jobright.ai/jobs/info/66a14648455c20085ada57ad?utm_campaign=1054&amp;utm_source=sheet", "Apply")</f>
        <v>Apply</v>
      </c>
      <c r="C86" s="10" t="s">
        <v>17622</v>
      </c>
      <c r="D86" s="56" t="s">
        <v>1780</v>
      </c>
      <c r="E86" s="10" t="s">
        <v>45</v>
      </c>
      <c r="F86" s="10" t="s">
        <v>1781</v>
      </c>
      <c r="G86" s="10" t="s">
        <v>17429</v>
      </c>
      <c r="H86" s="10" t="s">
        <v>153</v>
      </c>
      <c r="I86" s="10" t="s">
        <v>55</v>
      </c>
      <c r="K86" s="10" t="s">
        <v>17623</v>
      </c>
      <c r="L86" s="10" t="s">
        <v>42</v>
      </c>
    </row>
    <row r="87" ht="15.75" customHeight="1">
      <c r="A87" s="66">
        <v>45497.0</v>
      </c>
      <c r="B87" s="55" t="str">
        <f>HYPERLINK("https://jobright.ai/jobs/info/66a1749eedfe0a13ffb3ca5a?utm_campaign=1054&amp;utm_source=sheet", "Apply")</f>
        <v>Apply</v>
      </c>
      <c r="C87" s="10" t="s">
        <v>17624</v>
      </c>
      <c r="D87" s="56" t="s">
        <v>17625</v>
      </c>
      <c r="E87" s="10" t="s">
        <v>249</v>
      </c>
      <c r="F87" s="10" t="s">
        <v>17626</v>
      </c>
      <c r="G87" s="10" t="s">
        <v>17429</v>
      </c>
      <c r="H87" s="10" t="s">
        <v>863</v>
      </c>
      <c r="I87" s="10" t="s">
        <v>55</v>
      </c>
      <c r="K87" s="10" t="s">
        <v>17627</v>
      </c>
      <c r="L87" s="10" t="s">
        <v>42</v>
      </c>
    </row>
    <row r="88" ht="15.75" customHeight="1">
      <c r="A88" s="66">
        <v>45497.0</v>
      </c>
      <c r="B88" s="55" t="str">
        <f>HYPERLINK("https://jobright.ai/jobs/info/668dfe34e222ef0ee5977af8?utm_campaign=1054&amp;utm_source=sheet", "Apply")</f>
        <v>Apply</v>
      </c>
      <c r="C88" s="10" t="s">
        <v>17457</v>
      </c>
      <c r="D88" s="56" t="s">
        <v>17628</v>
      </c>
      <c r="E88" s="10" t="s">
        <v>276</v>
      </c>
      <c r="F88" s="10" t="s">
        <v>1587</v>
      </c>
      <c r="G88" s="10" t="s">
        <v>17429</v>
      </c>
      <c r="H88" s="10" t="s">
        <v>791</v>
      </c>
      <c r="I88" s="10" t="s">
        <v>55</v>
      </c>
      <c r="K88" s="10" t="s">
        <v>17629</v>
      </c>
      <c r="L88" s="10" t="s">
        <v>42</v>
      </c>
    </row>
    <row r="89" ht="15.75" customHeight="1">
      <c r="A89" s="66">
        <v>45497.0</v>
      </c>
      <c r="B89" s="55" t="str">
        <f>HYPERLINK("https://jobright.ai/jobs/info/6677bd9727c0e726e8f4ee4a?utm_campaign=1054&amp;utm_source=sheet", "Apply")</f>
        <v>Apply</v>
      </c>
      <c r="C89" s="10" t="s">
        <v>17630</v>
      </c>
      <c r="D89" s="56" t="s">
        <v>17631</v>
      </c>
      <c r="E89" s="10" t="s">
        <v>209</v>
      </c>
      <c r="F89" s="10" t="s">
        <v>17632</v>
      </c>
      <c r="G89" s="10" t="s">
        <v>17432</v>
      </c>
      <c r="H89" s="10" t="s">
        <v>16720</v>
      </c>
      <c r="I89" s="10" t="s">
        <v>55</v>
      </c>
      <c r="K89" s="10" t="s">
        <v>17633</v>
      </c>
      <c r="L89" s="10" t="s">
        <v>42</v>
      </c>
    </row>
    <row r="90" ht="15.75" customHeight="1">
      <c r="A90" s="66">
        <v>45497.0</v>
      </c>
      <c r="B90" s="55" t="str">
        <f>HYPERLINK("https://jobright.ai/jobs/info/6684acb9cd3f9c6e54b7636c?utm_campaign=1054&amp;utm_source=sheet", "Apply")</f>
        <v>Apply</v>
      </c>
      <c r="C90" s="10" t="s">
        <v>17457</v>
      </c>
      <c r="D90" s="56" t="s">
        <v>5395</v>
      </c>
      <c r="E90" s="10" t="s">
        <v>45</v>
      </c>
      <c r="F90" s="10" t="s">
        <v>428</v>
      </c>
      <c r="G90" s="10" t="s">
        <v>17429</v>
      </c>
      <c r="H90" s="10" t="s">
        <v>1021</v>
      </c>
      <c r="I90" s="10" t="s">
        <v>55</v>
      </c>
      <c r="K90" s="10" t="s">
        <v>17634</v>
      </c>
      <c r="L90" s="10" t="s">
        <v>42</v>
      </c>
    </row>
    <row r="91" ht="15.75" customHeight="1">
      <c r="A91" s="66">
        <v>45497.0</v>
      </c>
      <c r="B91" s="55" t="str">
        <f>HYPERLINK("https://jobright.ai/jobs/info/66842fc9fb29648f2cae369a?utm_campaign=1054&amp;utm_source=sheet", "Apply")</f>
        <v>Apply</v>
      </c>
      <c r="C91" s="10" t="s">
        <v>17635</v>
      </c>
      <c r="D91" s="56" t="s">
        <v>263</v>
      </c>
      <c r="E91" s="10" t="s">
        <v>45</v>
      </c>
      <c r="F91" s="10" t="s">
        <v>264</v>
      </c>
      <c r="G91" s="10" t="s">
        <v>17429</v>
      </c>
      <c r="H91" s="10" t="s">
        <v>17636</v>
      </c>
      <c r="I91" s="10" t="s">
        <v>55</v>
      </c>
      <c r="J91" s="10" t="s">
        <v>3132</v>
      </c>
      <c r="K91" s="10" t="s">
        <v>17637</v>
      </c>
      <c r="L91" s="10" t="s">
        <v>42</v>
      </c>
    </row>
    <row r="92" ht="15.75" customHeight="1">
      <c r="A92" s="66">
        <v>45497.0</v>
      </c>
      <c r="B92" s="55" t="str">
        <f>HYPERLINK("https://jobright.ai/jobs/info/668489b42ca14dafe69a19da?utm_campaign=1054&amp;utm_source=sheet", "Apply")</f>
        <v>Apply</v>
      </c>
      <c r="C92" s="10" t="s">
        <v>17638</v>
      </c>
      <c r="D92" s="56" t="s">
        <v>17639</v>
      </c>
      <c r="E92" s="10" t="s">
        <v>65</v>
      </c>
      <c r="G92" s="10" t="s">
        <v>17429</v>
      </c>
      <c r="H92" s="10" t="s">
        <v>572</v>
      </c>
      <c r="I92" s="10" t="s">
        <v>48</v>
      </c>
      <c r="K92" s="10" t="s">
        <v>17640</v>
      </c>
      <c r="L92" s="10" t="s">
        <v>42</v>
      </c>
    </row>
    <row r="93" ht="15.75" customHeight="1">
      <c r="A93" s="66">
        <v>45497.0</v>
      </c>
      <c r="B93" s="55" t="str">
        <f>HYPERLINK("https://jobright.ai/jobs/info/66a1467168fdc09d476c7c9a?utm_campaign=1054&amp;utm_source=sheet", "Apply")</f>
        <v>Apply</v>
      </c>
      <c r="C93" s="10" t="s">
        <v>17641</v>
      </c>
      <c r="D93" s="56" t="s">
        <v>17642</v>
      </c>
      <c r="E93" s="10" t="s">
        <v>79</v>
      </c>
      <c r="F93" s="10" t="s">
        <v>5210</v>
      </c>
      <c r="G93" s="10" t="s">
        <v>17429</v>
      </c>
      <c r="H93" s="10" t="s">
        <v>3968</v>
      </c>
      <c r="I93" s="10" t="s">
        <v>55</v>
      </c>
      <c r="K93" s="10" t="s">
        <v>17643</v>
      </c>
      <c r="L93" s="10" t="s">
        <v>42</v>
      </c>
    </row>
    <row r="94" ht="15.75" customHeight="1">
      <c r="A94" s="66">
        <v>45497.0</v>
      </c>
      <c r="B94" s="55" t="str">
        <f>HYPERLINK("https://jobright.ai/jobs/info/6679552f39ca2f81c4370373?utm_campaign=1054&amp;utm_source=sheet", "Apply")</f>
        <v>Apply</v>
      </c>
      <c r="C94" s="10" t="s">
        <v>17644</v>
      </c>
      <c r="D94" s="56" t="s">
        <v>17645</v>
      </c>
      <c r="E94" s="10" t="s">
        <v>249</v>
      </c>
      <c r="F94" s="10" t="s">
        <v>4300</v>
      </c>
      <c r="G94" s="10" t="s">
        <v>17432</v>
      </c>
      <c r="H94" s="10" t="s">
        <v>17646</v>
      </c>
      <c r="I94" s="10" t="s">
        <v>55</v>
      </c>
      <c r="K94" s="10" t="s">
        <v>17647</v>
      </c>
      <c r="L94" s="10" t="s">
        <v>42</v>
      </c>
    </row>
    <row r="95" ht="15.75" customHeight="1">
      <c r="A95" s="66">
        <v>45497.0</v>
      </c>
      <c r="B95" s="55" t="str">
        <f>HYPERLINK("https://jobright.ai/jobs/info/66a0a4810b28448f13ff9c98?utm_campaign=1054&amp;utm_source=sheet", "Apply")</f>
        <v>Apply</v>
      </c>
      <c r="C95" s="10" t="s">
        <v>17644</v>
      </c>
      <c r="D95" s="56" t="s">
        <v>17645</v>
      </c>
      <c r="E95" s="10" t="s">
        <v>249</v>
      </c>
      <c r="F95" s="10" t="s">
        <v>4300</v>
      </c>
      <c r="G95" s="10" t="s">
        <v>17432</v>
      </c>
      <c r="H95" s="10" t="s">
        <v>17646</v>
      </c>
      <c r="I95" s="10" t="s">
        <v>48</v>
      </c>
      <c r="K95" s="10" t="s">
        <v>17648</v>
      </c>
      <c r="L95" s="10" t="s">
        <v>42</v>
      </c>
    </row>
    <row r="96" ht="15.75" customHeight="1">
      <c r="A96" s="66">
        <v>45497.0</v>
      </c>
      <c r="B96" s="55" t="str">
        <f>HYPERLINK("https://jobright.ai/jobs/info/66a03fc34138bf13e1d7513d?utm_campaign=1054&amp;utm_source=sheet", "Apply")</f>
        <v>Apply</v>
      </c>
      <c r="C96" s="10" t="s">
        <v>17649</v>
      </c>
      <c r="D96" s="56" t="s">
        <v>14116</v>
      </c>
      <c r="E96" s="10" t="s">
        <v>45</v>
      </c>
      <c r="F96" s="10" t="s">
        <v>14117</v>
      </c>
      <c r="G96" s="10" t="s">
        <v>17470</v>
      </c>
      <c r="H96" s="10" t="s">
        <v>96</v>
      </c>
      <c r="I96" s="10" t="s">
        <v>55</v>
      </c>
      <c r="J96" s="10" t="s">
        <v>1960</v>
      </c>
      <c r="K96" s="10" t="s">
        <v>17650</v>
      </c>
      <c r="L96" s="10" t="s">
        <v>42</v>
      </c>
    </row>
    <row r="97" ht="15.75" customHeight="1">
      <c r="A97" s="66">
        <v>45497.0</v>
      </c>
      <c r="B97" s="55" t="str">
        <f>HYPERLINK("https://jobright.ai/jobs/info/66a09c1332a85301d982aac1?utm_campaign=1054&amp;utm_source=sheet", "Apply")</f>
        <v>Apply</v>
      </c>
      <c r="C97" s="10" t="s">
        <v>17651</v>
      </c>
      <c r="D97" s="56" t="s">
        <v>1178</v>
      </c>
      <c r="E97" s="10" t="s">
        <v>137</v>
      </c>
      <c r="F97" s="10" t="s">
        <v>1179</v>
      </c>
      <c r="G97" s="10" t="s">
        <v>17429</v>
      </c>
      <c r="H97" s="10" t="s">
        <v>144</v>
      </c>
      <c r="I97" s="10" t="s">
        <v>48</v>
      </c>
      <c r="K97" s="10" t="s">
        <v>17652</v>
      </c>
      <c r="L97" s="10" t="s">
        <v>42</v>
      </c>
    </row>
    <row r="98" ht="15.75" customHeight="1">
      <c r="A98" s="66">
        <v>45497.0</v>
      </c>
      <c r="B98" s="55" t="str">
        <f>HYPERLINK("https://jobright.ai/jobs/info/66a0791df493ff248a60327b?utm_campaign=1054&amp;utm_source=sheet", "Apply")</f>
        <v>Apply</v>
      </c>
      <c r="C98" s="10" t="s">
        <v>17653</v>
      </c>
      <c r="D98" s="56" t="s">
        <v>1650</v>
      </c>
      <c r="E98" s="10" t="s">
        <v>209</v>
      </c>
      <c r="F98" s="10" t="s">
        <v>1243</v>
      </c>
      <c r="G98" s="10" t="s">
        <v>17470</v>
      </c>
      <c r="H98" s="10" t="s">
        <v>245</v>
      </c>
      <c r="I98" s="10" t="s">
        <v>48</v>
      </c>
      <c r="K98" s="10" t="s">
        <v>17654</v>
      </c>
      <c r="L98" s="10" t="s">
        <v>42</v>
      </c>
    </row>
    <row r="99" ht="15.75" customHeight="1">
      <c r="A99" s="66">
        <v>45497.0</v>
      </c>
      <c r="B99" s="55" t="str">
        <f>HYPERLINK("https://jobright.ai/jobs/info/66a06f6b9c54df228f85e268?utm_campaign=1054&amp;utm_source=sheet", "Apply")</f>
        <v>Apply</v>
      </c>
      <c r="C99" s="10" t="s">
        <v>17655</v>
      </c>
      <c r="D99" s="56" t="s">
        <v>17656</v>
      </c>
      <c r="E99" s="10" t="s">
        <v>71</v>
      </c>
      <c r="F99" s="10" t="s">
        <v>17657</v>
      </c>
      <c r="G99" s="10" t="s">
        <v>17432</v>
      </c>
      <c r="H99" s="10" t="s">
        <v>251</v>
      </c>
      <c r="I99" s="10" t="s">
        <v>252</v>
      </c>
      <c r="J99" s="10" t="s">
        <v>1906</v>
      </c>
      <c r="K99" s="10" t="s">
        <v>17658</v>
      </c>
      <c r="L99" s="10" t="s">
        <v>42</v>
      </c>
    </row>
    <row r="100" ht="15.75" customHeight="1">
      <c r="A100" s="66">
        <v>45496.0</v>
      </c>
      <c r="B100" s="55" t="str">
        <f>HYPERLINK("https://jobright.ai/jobs/info/66a022e546b8641105c98b0a?utm_campaign=1054&amp;utm_source=sheet", "Apply")</f>
        <v>Apply</v>
      </c>
      <c r="C100" s="10" t="s">
        <v>17659</v>
      </c>
      <c r="D100" s="56" t="s">
        <v>1650</v>
      </c>
      <c r="E100" s="10" t="s">
        <v>209</v>
      </c>
      <c r="F100" s="10" t="s">
        <v>1243</v>
      </c>
      <c r="G100" s="10" t="s">
        <v>17470</v>
      </c>
      <c r="H100" s="10" t="s">
        <v>896</v>
      </c>
      <c r="I100" s="10" t="s">
        <v>48</v>
      </c>
      <c r="K100" s="10" t="s">
        <v>17585</v>
      </c>
      <c r="L100" s="10" t="s">
        <v>42</v>
      </c>
    </row>
    <row r="101" ht="15.75" customHeight="1">
      <c r="A101" s="66">
        <v>45496.0</v>
      </c>
      <c r="B101" s="55" t="str">
        <f>HYPERLINK("https://jobright.ai/jobs/info/66a022ee46b8641105c98c29?utm_campaign=1054&amp;utm_source=sheet", "Apply")</f>
        <v>Apply</v>
      </c>
      <c r="C101" s="10" t="s">
        <v>17660</v>
      </c>
      <c r="D101" s="56" t="s">
        <v>3905</v>
      </c>
      <c r="E101" s="10" t="s">
        <v>79</v>
      </c>
      <c r="F101" s="10" t="s">
        <v>3906</v>
      </c>
      <c r="G101" s="10" t="s">
        <v>17429</v>
      </c>
      <c r="H101" s="10" t="s">
        <v>96</v>
      </c>
      <c r="I101" s="10" t="s">
        <v>55</v>
      </c>
      <c r="J101" s="10" t="s">
        <v>3907</v>
      </c>
      <c r="K101" s="10" t="s">
        <v>17661</v>
      </c>
      <c r="L101" s="10" t="s">
        <v>42</v>
      </c>
    </row>
    <row r="102" ht="15.75" customHeight="1">
      <c r="A102" s="66">
        <v>45496.0</v>
      </c>
      <c r="B102" s="55" t="str">
        <f>HYPERLINK("https://jobright.ai/jobs/info/66a00145a4a9d243b7e56836?utm_campaign=1054&amp;utm_source=sheet", "Apply")</f>
        <v>Apply</v>
      </c>
      <c r="C102" s="10" t="s">
        <v>17662</v>
      </c>
      <c r="D102" s="56" t="s">
        <v>17663</v>
      </c>
      <c r="E102" s="10">
        <v>4.0</v>
      </c>
      <c r="G102" s="10" t="s">
        <v>17432</v>
      </c>
      <c r="H102" s="10" t="s">
        <v>740</v>
      </c>
      <c r="I102" s="10" t="s">
        <v>55</v>
      </c>
      <c r="K102" s="10" t="s">
        <v>17664</v>
      </c>
      <c r="L102" s="10" t="s">
        <v>42</v>
      </c>
    </row>
    <row r="103" ht="15.75" customHeight="1">
      <c r="A103" s="66">
        <v>45496.0</v>
      </c>
      <c r="B103" s="55" t="str">
        <f>HYPERLINK("https://jobright.ai/jobs/info/669ff96b88333dda24b997a3?utm_campaign=1054&amp;utm_source=sheet", "Apply")</f>
        <v>Apply</v>
      </c>
      <c r="C103" s="10" t="s">
        <v>17665</v>
      </c>
      <c r="D103" s="56" t="s">
        <v>99</v>
      </c>
      <c r="E103" s="10" t="s">
        <v>45</v>
      </c>
      <c r="F103" s="10" t="s">
        <v>100</v>
      </c>
      <c r="G103" s="10" t="s">
        <v>17429</v>
      </c>
      <c r="H103" s="10" t="s">
        <v>165</v>
      </c>
      <c r="I103" s="10" t="s">
        <v>55</v>
      </c>
      <c r="K103" s="10" t="s">
        <v>17666</v>
      </c>
      <c r="L103" s="10" t="s">
        <v>42</v>
      </c>
    </row>
    <row r="104" ht="15.75" customHeight="1">
      <c r="A104" s="66">
        <v>45496.0</v>
      </c>
      <c r="B104" s="55" t="str">
        <f>HYPERLINK("https://jobright.ai/jobs/info/669ff071b07d98e4c0374fd0?utm_campaign=1054&amp;utm_source=sheet", "Apply")</f>
        <v>Apply</v>
      </c>
      <c r="C104" s="10" t="s">
        <v>17667</v>
      </c>
      <c r="D104" s="56" t="s">
        <v>10169</v>
      </c>
      <c r="E104" s="10" t="s">
        <v>45</v>
      </c>
      <c r="F104" s="10" t="s">
        <v>10170</v>
      </c>
      <c r="G104" s="10" t="s">
        <v>17429</v>
      </c>
      <c r="H104" s="10" t="s">
        <v>17668</v>
      </c>
      <c r="I104" s="10" t="s">
        <v>55</v>
      </c>
      <c r="J104" s="10" t="s">
        <v>366</v>
      </c>
      <c r="K104" s="10" t="s">
        <v>17669</v>
      </c>
      <c r="L104" s="10" t="s">
        <v>42</v>
      </c>
    </row>
    <row r="105" ht="15.75" customHeight="1">
      <c r="A105" s="66">
        <v>45496.0</v>
      </c>
      <c r="B105" s="55" t="str">
        <f>HYPERLINK("https://jobright.ai/jobs/info/669ff071b07d98e4c0374fd2?utm_campaign=1054&amp;utm_source=sheet", "Apply")</f>
        <v>Apply</v>
      </c>
      <c r="C105" s="10" t="s">
        <v>17670</v>
      </c>
      <c r="D105" s="56" t="s">
        <v>10169</v>
      </c>
      <c r="E105" s="10" t="s">
        <v>45</v>
      </c>
      <c r="F105" s="10" t="s">
        <v>10170</v>
      </c>
      <c r="G105" s="10" t="s">
        <v>17429</v>
      </c>
      <c r="H105" s="10" t="s">
        <v>17671</v>
      </c>
      <c r="I105" s="10" t="s">
        <v>55</v>
      </c>
      <c r="J105" s="10" t="s">
        <v>366</v>
      </c>
      <c r="K105" s="10" t="s">
        <v>17669</v>
      </c>
      <c r="L105" s="10" t="s">
        <v>42</v>
      </c>
    </row>
    <row r="106" ht="15.75" customHeight="1">
      <c r="A106" s="66">
        <v>45496.0</v>
      </c>
      <c r="B106" s="55" t="str">
        <f>HYPERLINK("https://jobright.ai/jobs/info/669ffc0f412b679d59f3ed1d?utm_campaign=1054&amp;utm_source=sheet", "Apply")</f>
        <v>Apply</v>
      </c>
      <c r="C106" s="10" t="s">
        <v>17672</v>
      </c>
      <c r="D106" s="56" t="s">
        <v>10169</v>
      </c>
      <c r="E106" s="10" t="s">
        <v>45</v>
      </c>
      <c r="F106" s="10" t="s">
        <v>10170</v>
      </c>
      <c r="G106" s="10" t="s">
        <v>17429</v>
      </c>
      <c r="H106" s="10" t="s">
        <v>17673</v>
      </c>
      <c r="I106" s="10" t="s">
        <v>55</v>
      </c>
      <c r="J106" s="10" t="s">
        <v>366</v>
      </c>
      <c r="K106" s="10" t="s">
        <v>17669</v>
      </c>
      <c r="L106" s="10" t="s">
        <v>42</v>
      </c>
    </row>
    <row r="107" ht="15.75" customHeight="1">
      <c r="A107" s="66">
        <v>45496.0</v>
      </c>
      <c r="B107" s="55" t="str">
        <f>HYPERLINK("https://jobright.ai/jobs/info/669fe8c2e7a91c490018ade8?utm_campaign=1054&amp;utm_source=sheet", "Apply")</f>
        <v>Apply</v>
      </c>
      <c r="C107" s="10" t="s">
        <v>17674</v>
      </c>
      <c r="D107" s="56" t="s">
        <v>363</v>
      </c>
      <c r="E107" s="10" t="s">
        <v>209</v>
      </c>
      <c r="F107" s="10" t="s">
        <v>364</v>
      </c>
      <c r="G107" s="10" t="s">
        <v>17432</v>
      </c>
      <c r="H107" s="10" t="s">
        <v>365</v>
      </c>
      <c r="I107" s="10" t="s">
        <v>55</v>
      </c>
      <c r="J107" s="10" t="s">
        <v>366</v>
      </c>
      <c r="K107" s="10" t="s">
        <v>17675</v>
      </c>
      <c r="L107" s="10" t="s">
        <v>42</v>
      </c>
    </row>
    <row r="108" ht="15.75" customHeight="1">
      <c r="A108" s="66">
        <v>45496.0</v>
      </c>
      <c r="B108" s="55" t="str">
        <f>HYPERLINK("https://jobright.ai/jobs/info/6699e006bfc27dbfc3d424f5?utm_campaign=1054&amp;utm_source=sheet", "Apply")</f>
        <v>Apply</v>
      </c>
      <c r="C108" s="10" t="s">
        <v>17676</v>
      </c>
      <c r="D108" s="56" t="s">
        <v>1650</v>
      </c>
      <c r="E108" s="10" t="s">
        <v>209</v>
      </c>
      <c r="F108" s="10" t="s">
        <v>1243</v>
      </c>
      <c r="G108" s="10" t="s">
        <v>17429</v>
      </c>
      <c r="H108" s="10" t="s">
        <v>833</v>
      </c>
      <c r="I108" s="10" t="s">
        <v>48</v>
      </c>
      <c r="K108" s="10" t="s">
        <v>17677</v>
      </c>
      <c r="L108" s="10" t="s">
        <v>42</v>
      </c>
    </row>
    <row r="109" ht="15.75" customHeight="1">
      <c r="A109" s="66">
        <v>45496.0</v>
      </c>
      <c r="B109" s="55" t="str">
        <f>HYPERLINK("https://jobright.ai/jobs/info/669faf50777af561fd131061?utm_campaign=1054&amp;utm_source=sheet", "Apply")</f>
        <v>Apply</v>
      </c>
      <c r="C109" s="10" t="s">
        <v>17678</v>
      </c>
      <c r="D109" s="56" t="s">
        <v>369</v>
      </c>
      <c r="E109" s="10" t="s">
        <v>249</v>
      </c>
      <c r="F109" s="10" t="s">
        <v>370</v>
      </c>
      <c r="G109" s="10" t="s">
        <v>17429</v>
      </c>
      <c r="H109" s="10" t="s">
        <v>371</v>
      </c>
      <c r="I109" s="10" t="s">
        <v>55</v>
      </c>
      <c r="K109" s="10" t="s">
        <v>17679</v>
      </c>
      <c r="L109" s="10" t="s">
        <v>42</v>
      </c>
    </row>
    <row r="110" ht="15.75" customHeight="1">
      <c r="A110" s="66">
        <v>45496.0</v>
      </c>
      <c r="B110" s="55" t="str">
        <f>HYPERLINK("https://jobright.ai/jobs/info/669fb0c441059339a39c0de5?utm_campaign=1054&amp;utm_source=sheet", "Apply")</f>
        <v>Apply</v>
      </c>
      <c r="C110" s="10" t="s">
        <v>17457</v>
      </c>
      <c r="D110" s="56" t="s">
        <v>17680</v>
      </c>
      <c r="E110" s="10" t="s">
        <v>249</v>
      </c>
      <c r="F110" s="10" t="s">
        <v>17681</v>
      </c>
      <c r="G110" s="10" t="s">
        <v>17429</v>
      </c>
      <c r="H110" s="10" t="s">
        <v>17682</v>
      </c>
      <c r="I110" s="10" t="s">
        <v>55</v>
      </c>
      <c r="K110" s="10" t="s">
        <v>17683</v>
      </c>
      <c r="L110" s="10" t="s">
        <v>42</v>
      </c>
    </row>
    <row r="111" ht="15.75" customHeight="1">
      <c r="A111" s="66">
        <v>45496.0</v>
      </c>
      <c r="B111" s="55" t="str">
        <f>HYPERLINK("https://jobright.ai/jobs/info/66a0f2b751ad24e42536c451?utm_campaign=1054&amp;utm_source=sheet", "Apply")</f>
        <v>Apply</v>
      </c>
      <c r="C111" s="10" t="s">
        <v>17684</v>
      </c>
      <c r="D111" s="56" t="s">
        <v>13294</v>
      </c>
      <c r="E111" s="10" t="s">
        <v>276</v>
      </c>
      <c r="F111" s="10" t="s">
        <v>1893</v>
      </c>
      <c r="G111" s="10" t="s">
        <v>17429</v>
      </c>
      <c r="H111" s="10" t="s">
        <v>605</v>
      </c>
      <c r="I111" s="10" t="s">
        <v>55</v>
      </c>
      <c r="K111" s="10" t="s">
        <v>17685</v>
      </c>
      <c r="L111" s="10" t="s">
        <v>42</v>
      </c>
    </row>
    <row r="112" ht="15.75" customHeight="1">
      <c r="A112" s="66">
        <v>45496.0</v>
      </c>
      <c r="B112" s="55" t="str">
        <f>HYPERLINK("https://jobright.ai/jobs/info/669fa8a8ef9053e1471db49d?utm_campaign=1054&amp;utm_source=sheet", "Apply")</f>
        <v>Apply</v>
      </c>
      <c r="C112" s="10" t="s">
        <v>17686</v>
      </c>
      <c r="D112" s="56" t="s">
        <v>17687</v>
      </c>
      <c r="E112" s="10" t="s">
        <v>276</v>
      </c>
      <c r="F112" s="10" t="s">
        <v>17688</v>
      </c>
      <c r="G112" s="10" t="s">
        <v>17429</v>
      </c>
      <c r="H112" s="10" t="s">
        <v>1319</v>
      </c>
      <c r="I112" s="10" t="s">
        <v>55</v>
      </c>
      <c r="K112" s="10" t="s">
        <v>17689</v>
      </c>
      <c r="L112" s="10" t="s">
        <v>42</v>
      </c>
    </row>
    <row r="113" ht="15.75" customHeight="1">
      <c r="A113" s="66">
        <v>45496.0</v>
      </c>
      <c r="B113" s="55" t="str">
        <f>HYPERLINK("https://jobright.ai/jobs/info/6671a65622e3d37ee931189f?utm_campaign=1054&amp;utm_source=sheet", "Apply")</f>
        <v>Apply</v>
      </c>
      <c r="C113" s="10" t="s">
        <v>17690</v>
      </c>
      <c r="D113" s="56" t="s">
        <v>17691</v>
      </c>
      <c r="E113" s="10" t="s">
        <v>276</v>
      </c>
      <c r="F113" s="10" t="s">
        <v>17692</v>
      </c>
      <c r="G113" s="10" t="s">
        <v>17429</v>
      </c>
      <c r="H113" s="10" t="s">
        <v>159</v>
      </c>
      <c r="I113" s="10" t="s">
        <v>55</v>
      </c>
      <c r="K113" s="10" t="s">
        <v>17693</v>
      </c>
      <c r="L113" s="10" t="s">
        <v>42</v>
      </c>
    </row>
    <row r="114" ht="15.75" customHeight="1">
      <c r="A114" s="66">
        <v>45496.0</v>
      </c>
      <c r="B114" s="55" t="str">
        <f>HYPERLINK("https://jobright.ai/jobs/info/667191b341fc2f1363fdf812?utm_campaign=1054&amp;utm_source=sheet", "Apply")</f>
        <v>Apply</v>
      </c>
      <c r="C114" s="10" t="s">
        <v>17694</v>
      </c>
      <c r="D114" s="56" t="s">
        <v>17691</v>
      </c>
      <c r="E114" s="10" t="s">
        <v>276</v>
      </c>
      <c r="F114" s="10" t="s">
        <v>17692</v>
      </c>
      <c r="G114" s="10" t="s">
        <v>17432</v>
      </c>
      <c r="H114" s="10" t="s">
        <v>832</v>
      </c>
      <c r="I114" s="10" t="s">
        <v>55</v>
      </c>
      <c r="K114" s="10" t="s">
        <v>17695</v>
      </c>
      <c r="L114" s="10" t="s">
        <v>42</v>
      </c>
    </row>
    <row r="115" ht="15.75" customHeight="1">
      <c r="A115" s="66">
        <v>45496.0</v>
      </c>
      <c r="B115" s="55" t="str">
        <f>HYPERLINK("https://jobright.ai/jobs/info/65f6159991ae3fac0f5ea076?utm_campaign=1054&amp;utm_source=sheet", "Apply")</f>
        <v>Apply</v>
      </c>
      <c r="C115" s="10" t="s">
        <v>17434</v>
      </c>
      <c r="D115" s="56" t="s">
        <v>2717</v>
      </c>
      <c r="E115" s="10" t="s">
        <v>65</v>
      </c>
      <c r="F115" s="10" t="s">
        <v>2718</v>
      </c>
      <c r="G115" s="10" t="s">
        <v>17429</v>
      </c>
      <c r="H115" s="10" t="s">
        <v>3022</v>
      </c>
      <c r="I115" s="10" t="s">
        <v>55</v>
      </c>
      <c r="J115" s="10" t="s">
        <v>1189</v>
      </c>
      <c r="K115" s="10" t="s">
        <v>17696</v>
      </c>
      <c r="L115" s="10" t="s">
        <v>42</v>
      </c>
    </row>
    <row r="116" ht="15.75" customHeight="1">
      <c r="A116" s="66">
        <v>45496.0</v>
      </c>
      <c r="B116" s="55" t="str">
        <f>HYPERLINK("https://jobright.ai/jobs/info/6671ac54a068d83e65cbbdd0?utm_campaign=1054&amp;utm_source=sheet", "Apply")</f>
        <v>Apply</v>
      </c>
      <c r="C116" s="10" t="s">
        <v>17697</v>
      </c>
      <c r="D116" s="56" t="s">
        <v>17691</v>
      </c>
      <c r="E116" s="10" t="s">
        <v>276</v>
      </c>
      <c r="F116" s="10" t="s">
        <v>17692</v>
      </c>
      <c r="G116" s="10" t="s">
        <v>17432</v>
      </c>
      <c r="H116" s="10" t="s">
        <v>894</v>
      </c>
      <c r="I116" s="10" t="s">
        <v>55</v>
      </c>
      <c r="K116" s="10" t="s">
        <v>17698</v>
      </c>
      <c r="L116" s="10" t="s">
        <v>42</v>
      </c>
    </row>
    <row r="117" ht="15.75" customHeight="1">
      <c r="A117" s="66">
        <v>45496.0</v>
      </c>
      <c r="B117" s="55" t="str">
        <f>HYPERLINK("https://jobright.ai/jobs/info/6671ac54a068d83e65cbbdb4?utm_campaign=1054&amp;utm_source=sheet", "Apply")</f>
        <v>Apply</v>
      </c>
      <c r="C117" s="10" t="s">
        <v>17699</v>
      </c>
      <c r="D117" s="56" t="s">
        <v>17691</v>
      </c>
      <c r="E117" s="10" t="s">
        <v>276</v>
      </c>
      <c r="F117" s="10" t="s">
        <v>17692</v>
      </c>
      <c r="G117" s="10" t="s">
        <v>17429</v>
      </c>
      <c r="H117" s="10" t="s">
        <v>832</v>
      </c>
      <c r="I117" s="10" t="s">
        <v>55</v>
      </c>
      <c r="K117" s="10" t="s">
        <v>17700</v>
      </c>
      <c r="L117" s="10" t="s">
        <v>42</v>
      </c>
    </row>
    <row r="118" ht="15.75" customHeight="1">
      <c r="A118" s="66">
        <v>45496.0</v>
      </c>
      <c r="B118" s="55" t="str">
        <f>HYPERLINK("https://jobright.ai/jobs/info/6699816886a11b09c0350fde?utm_campaign=1054&amp;utm_source=sheet", "Apply")</f>
        <v>Apply</v>
      </c>
      <c r="C118" s="10" t="s">
        <v>17701</v>
      </c>
      <c r="D118" s="56" t="s">
        <v>17702</v>
      </c>
      <c r="E118" s="10" t="s">
        <v>45</v>
      </c>
      <c r="F118" s="10" t="s">
        <v>2409</v>
      </c>
      <c r="G118" s="10" t="s">
        <v>17432</v>
      </c>
      <c r="H118" s="10" t="s">
        <v>17703</v>
      </c>
      <c r="I118" s="10" t="s">
        <v>55</v>
      </c>
      <c r="K118" s="10" t="s">
        <v>17704</v>
      </c>
      <c r="L118" s="10" t="s">
        <v>42</v>
      </c>
    </row>
    <row r="119" ht="15.75" customHeight="1">
      <c r="A119" s="66">
        <v>45496.0</v>
      </c>
      <c r="B119" s="55" t="str">
        <f>HYPERLINK("https://jobright.ai/jobs/info/669ebb7220640de33b233b77?utm_campaign=1054&amp;utm_source=sheet", "Apply")</f>
        <v>Apply</v>
      </c>
      <c r="C119" s="10" t="s">
        <v>17705</v>
      </c>
      <c r="D119" s="56" t="s">
        <v>17706</v>
      </c>
      <c r="E119" s="10" t="s">
        <v>79</v>
      </c>
      <c r="F119" s="10" t="s">
        <v>17003</v>
      </c>
      <c r="G119" s="10" t="s">
        <v>17429</v>
      </c>
      <c r="H119" s="10" t="s">
        <v>923</v>
      </c>
      <c r="I119" s="10" t="s">
        <v>55</v>
      </c>
      <c r="K119" s="10" t="s">
        <v>17707</v>
      </c>
      <c r="L119" s="10" t="s">
        <v>42</v>
      </c>
    </row>
    <row r="120" ht="15.75" customHeight="1">
      <c r="A120" s="66">
        <v>45496.0</v>
      </c>
      <c r="B120" s="55" t="str">
        <f>HYPERLINK("https://jobright.ai/jobs/info/6695ad54558c652286483565?utm_campaign=1054&amp;utm_source=sheet", "Apply")</f>
        <v>Apply</v>
      </c>
      <c r="C120" s="10" t="s">
        <v>17708</v>
      </c>
      <c r="D120" s="56" t="s">
        <v>17709</v>
      </c>
      <c r="E120" s="10" t="s">
        <v>65</v>
      </c>
      <c r="F120" s="10" t="s">
        <v>1202</v>
      </c>
      <c r="G120" s="10" t="s">
        <v>17429</v>
      </c>
      <c r="H120" s="10" t="s">
        <v>434</v>
      </c>
      <c r="I120" s="10" t="s">
        <v>55</v>
      </c>
      <c r="J120" s="10" t="s">
        <v>17710</v>
      </c>
      <c r="K120" s="10" t="s">
        <v>17711</v>
      </c>
      <c r="L120" s="10" t="s">
        <v>42</v>
      </c>
    </row>
    <row r="121" ht="15.75" customHeight="1">
      <c r="A121" s="66">
        <v>45496.0</v>
      </c>
      <c r="B121" s="55" t="str">
        <f>HYPERLINK("https://jobright.ai/jobs/info/669f09a3143434b9b84ee2fc?utm_campaign=1054&amp;utm_source=sheet", "Apply")</f>
        <v>Apply</v>
      </c>
      <c r="C121" s="10" t="s">
        <v>17712</v>
      </c>
      <c r="D121" s="56" t="s">
        <v>10244</v>
      </c>
      <c r="E121" s="10" t="s">
        <v>45</v>
      </c>
      <c r="G121" s="10" t="s">
        <v>17429</v>
      </c>
      <c r="H121" s="10" t="s">
        <v>73</v>
      </c>
      <c r="I121" s="10" t="s">
        <v>55</v>
      </c>
      <c r="J121" s="10" t="s">
        <v>4117</v>
      </c>
      <c r="K121" s="10" t="s">
        <v>17713</v>
      </c>
      <c r="L121" s="10" t="s">
        <v>42</v>
      </c>
    </row>
    <row r="122" ht="15.75" customHeight="1">
      <c r="A122" s="66">
        <v>45496.0</v>
      </c>
      <c r="B122" s="55" t="str">
        <f>HYPERLINK("https://jobright.ai/jobs/info/66a061c3b084e078f45fcdcc?utm_campaign=1054&amp;utm_source=sheet", "Apply")</f>
        <v>Apply</v>
      </c>
      <c r="C122" s="10" t="s">
        <v>17714</v>
      </c>
      <c r="D122" s="56" t="s">
        <v>1227</v>
      </c>
      <c r="E122" s="10" t="s">
        <v>45</v>
      </c>
      <c r="F122" s="10" t="s">
        <v>259</v>
      </c>
      <c r="G122" s="10" t="s">
        <v>17429</v>
      </c>
      <c r="H122" s="10" t="s">
        <v>1228</v>
      </c>
      <c r="I122" s="10" t="s">
        <v>55</v>
      </c>
      <c r="K122" s="10" t="s">
        <v>17715</v>
      </c>
      <c r="L122" s="10" t="s">
        <v>42</v>
      </c>
    </row>
    <row r="123" ht="15.75" customHeight="1">
      <c r="A123" s="66">
        <v>45495.0</v>
      </c>
      <c r="B123" s="55" t="str">
        <f>HYPERLINK("https://jobright.ai/jobs/info/66975191a25c567e77ffc1f4?utm_campaign=1054&amp;utm_source=sheet", "Apply")</f>
        <v>Apply</v>
      </c>
      <c r="C123" s="10" t="s">
        <v>17716</v>
      </c>
      <c r="D123" s="56" t="s">
        <v>17717</v>
      </c>
      <c r="E123" s="10" t="s">
        <v>45</v>
      </c>
      <c r="F123" s="10" t="s">
        <v>4000</v>
      </c>
      <c r="G123" s="10" t="s">
        <v>17429</v>
      </c>
      <c r="H123" s="10" t="s">
        <v>434</v>
      </c>
      <c r="I123" s="10" t="s">
        <v>48</v>
      </c>
      <c r="J123" s="10" t="s">
        <v>17718</v>
      </c>
      <c r="K123" s="10" t="s">
        <v>17719</v>
      </c>
      <c r="L123" s="10" t="s">
        <v>42</v>
      </c>
    </row>
    <row r="124" ht="15.75" customHeight="1">
      <c r="A124" s="66">
        <v>45495.0</v>
      </c>
      <c r="B124" s="55" t="str">
        <f>HYPERLINK("https://jobright.ai/jobs/info/669ef9d4b94be4d6362b0408?utm_campaign=1054&amp;utm_source=sheet", "Apply")</f>
        <v>Apply</v>
      </c>
      <c r="C124" s="10" t="s">
        <v>17434</v>
      </c>
      <c r="D124" s="56" t="s">
        <v>17720</v>
      </c>
      <c r="E124" s="10" t="s">
        <v>249</v>
      </c>
      <c r="F124" s="10" t="s">
        <v>17721</v>
      </c>
      <c r="G124" s="10" t="s">
        <v>17429</v>
      </c>
      <c r="H124" s="10" t="s">
        <v>661</v>
      </c>
      <c r="I124" s="10" t="s">
        <v>55</v>
      </c>
      <c r="J124" s="10" t="s">
        <v>17722</v>
      </c>
      <c r="K124" s="10" t="s">
        <v>17723</v>
      </c>
      <c r="L124" s="10" t="s">
        <v>42</v>
      </c>
    </row>
    <row r="125" ht="15.75" customHeight="1">
      <c r="A125" s="66">
        <v>45495.0</v>
      </c>
      <c r="B125" s="55" t="str">
        <f>HYPERLINK("https://jobright.ai/jobs/info/669ef06eaf1a2711e790003f?utm_campaign=1054&amp;utm_source=sheet", "Apply")</f>
        <v>Apply</v>
      </c>
      <c r="C125" s="10" t="s">
        <v>17724</v>
      </c>
      <c r="D125" s="56" t="s">
        <v>17725</v>
      </c>
      <c r="E125" s="10" t="s">
        <v>276</v>
      </c>
      <c r="F125" s="10" t="s">
        <v>6645</v>
      </c>
      <c r="G125" s="10" t="s">
        <v>17429</v>
      </c>
      <c r="H125" s="10" t="s">
        <v>788</v>
      </c>
      <c r="I125" s="10" t="s">
        <v>55</v>
      </c>
      <c r="K125" s="10" t="s">
        <v>17726</v>
      </c>
      <c r="L125" s="10" t="s">
        <v>42</v>
      </c>
    </row>
    <row r="126" ht="15.75" customHeight="1">
      <c r="A126" s="66">
        <v>45495.0</v>
      </c>
      <c r="B126" s="55" t="str">
        <f>HYPERLINK("https://jobright.ai/jobs/info/669eee38c0eecbb96d07980f?utm_campaign=1054&amp;utm_source=sheet", "Apply")</f>
        <v>Apply</v>
      </c>
      <c r="C126" s="10" t="s">
        <v>17727</v>
      </c>
      <c r="D126" s="56" t="s">
        <v>3948</v>
      </c>
      <c r="E126" s="10" t="s">
        <v>45</v>
      </c>
      <c r="F126" s="10" t="s">
        <v>3949</v>
      </c>
      <c r="G126" s="10" t="s">
        <v>17429</v>
      </c>
      <c r="H126" s="10" t="s">
        <v>12881</v>
      </c>
      <c r="I126" s="10" t="s">
        <v>55</v>
      </c>
      <c r="K126" s="10" t="s">
        <v>17728</v>
      </c>
      <c r="L126" s="10" t="s">
        <v>42</v>
      </c>
    </row>
    <row r="127" ht="15.75" customHeight="1">
      <c r="A127" s="66">
        <v>45495.0</v>
      </c>
      <c r="B127" s="55" t="str">
        <f>HYPERLINK("https://jobright.ai/jobs/info/669eee40c0eecbb96d0798a6?utm_campaign=1054&amp;utm_source=sheet", "Apply")</f>
        <v>Apply</v>
      </c>
      <c r="C127" s="10" t="s">
        <v>17457</v>
      </c>
      <c r="D127" s="56" t="s">
        <v>17729</v>
      </c>
      <c r="E127" s="10" t="s">
        <v>209</v>
      </c>
      <c r="F127" s="10" t="s">
        <v>4671</v>
      </c>
      <c r="G127" s="10" t="s">
        <v>17429</v>
      </c>
      <c r="H127" s="10" t="s">
        <v>1032</v>
      </c>
      <c r="I127" s="10" t="s">
        <v>55</v>
      </c>
      <c r="K127" s="10" t="s">
        <v>17730</v>
      </c>
      <c r="L127" s="10" t="s">
        <v>42</v>
      </c>
    </row>
    <row r="128" ht="15.75" customHeight="1">
      <c r="A128" s="66">
        <v>45495.0</v>
      </c>
      <c r="B128" s="55" t="str">
        <f>HYPERLINK("https://jobright.ai/jobs/info/669ee05f6d37918f3bac8535?utm_campaign=1054&amp;utm_source=sheet", "Apply")</f>
        <v>Apply</v>
      </c>
      <c r="C128" s="10" t="s">
        <v>17731</v>
      </c>
      <c r="D128" s="56" t="s">
        <v>12683</v>
      </c>
      <c r="E128" s="10" t="s">
        <v>137</v>
      </c>
      <c r="F128" s="10" t="s">
        <v>12684</v>
      </c>
      <c r="G128" s="10" t="s">
        <v>17432</v>
      </c>
      <c r="H128" s="10" t="s">
        <v>411</v>
      </c>
      <c r="I128" s="10" t="s">
        <v>55</v>
      </c>
      <c r="K128" s="10" t="s">
        <v>17732</v>
      </c>
      <c r="L128" s="10" t="s">
        <v>42</v>
      </c>
    </row>
    <row r="129" ht="15.75" customHeight="1">
      <c r="A129" s="66">
        <v>45495.0</v>
      </c>
      <c r="B129" s="55" t="str">
        <f>HYPERLINK("https://jobright.ai/jobs/info/669ec96ccf7be0baa181e059?utm_campaign=1054&amp;utm_source=sheet", "Apply")</f>
        <v>Apply</v>
      </c>
      <c r="C129" s="10" t="s">
        <v>17733</v>
      </c>
      <c r="D129" s="56" t="s">
        <v>10948</v>
      </c>
      <c r="E129" s="10" t="s">
        <v>249</v>
      </c>
      <c r="F129" s="10" t="s">
        <v>5585</v>
      </c>
      <c r="G129" s="10" t="s">
        <v>17432</v>
      </c>
      <c r="H129" s="10" t="s">
        <v>10949</v>
      </c>
      <c r="I129" s="10" t="s">
        <v>55</v>
      </c>
      <c r="K129" s="10" t="s">
        <v>17734</v>
      </c>
      <c r="L129" s="10" t="s">
        <v>42</v>
      </c>
    </row>
    <row r="130" ht="15.75" customHeight="1">
      <c r="A130" s="66">
        <v>45495.0</v>
      </c>
      <c r="B130" s="55" t="str">
        <f>HYPERLINK("https://jobright.ai/jobs/info/669ece5070bef644cfa14f13?utm_campaign=1054&amp;utm_source=sheet", "Apply")</f>
        <v>Apply</v>
      </c>
      <c r="C130" s="10" t="s">
        <v>17735</v>
      </c>
      <c r="D130" s="56" t="s">
        <v>17736</v>
      </c>
      <c r="E130" s="10" t="s">
        <v>71</v>
      </c>
      <c r="F130" s="10" t="s">
        <v>17737</v>
      </c>
      <c r="G130" s="10" t="s">
        <v>17429</v>
      </c>
      <c r="H130" s="10" t="s">
        <v>898</v>
      </c>
      <c r="I130" s="10" t="s">
        <v>55</v>
      </c>
      <c r="K130" s="10" t="s">
        <v>17738</v>
      </c>
      <c r="L130" s="10" t="s">
        <v>42</v>
      </c>
    </row>
    <row r="131" ht="15.75" customHeight="1">
      <c r="A131" s="66">
        <v>45495.0</v>
      </c>
      <c r="B131" s="55" t="str">
        <f>HYPERLINK("https://jobright.ai/jobs/info/669ea4a9cb385ea2e3bd070a?utm_campaign=1054&amp;utm_source=sheet", "Apply")</f>
        <v>Apply</v>
      </c>
      <c r="C131" s="10" t="s">
        <v>17434</v>
      </c>
      <c r="D131" s="56" t="s">
        <v>17739</v>
      </c>
      <c r="E131" s="10" t="s">
        <v>71</v>
      </c>
      <c r="F131" s="10" t="s">
        <v>17740</v>
      </c>
      <c r="G131" s="10" t="s">
        <v>17429</v>
      </c>
      <c r="H131" s="10" t="s">
        <v>251</v>
      </c>
      <c r="I131" s="10" t="s">
        <v>252</v>
      </c>
      <c r="K131" s="10" t="s">
        <v>17741</v>
      </c>
      <c r="L131" s="10" t="s">
        <v>42</v>
      </c>
    </row>
    <row r="132" ht="15.75" customHeight="1">
      <c r="A132" s="66">
        <v>45495.0</v>
      </c>
      <c r="B132" s="55" t="str">
        <f>HYPERLINK("https://jobright.ai/jobs/info/669e9f4844b20b6f3bc671f1?utm_campaign=1054&amp;utm_source=sheet", "Apply")</f>
        <v>Apply</v>
      </c>
      <c r="C132" s="10" t="s">
        <v>17742</v>
      </c>
      <c r="D132" s="56" t="s">
        <v>17743</v>
      </c>
      <c r="E132" s="10" t="s">
        <v>137</v>
      </c>
      <c r="F132" s="10" t="s">
        <v>1243</v>
      </c>
      <c r="G132" s="10" t="s">
        <v>17432</v>
      </c>
      <c r="H132" s="10" t="s">
        <v>346</v>
      </c>
      <c r="I132" s="10" t="s">
        <v>55</v>
      </c>
      <c r="J132" s="10" t="s">
        <v>1797</v>
      </c>
      <c r="K132" s="10" t="s">
        <v>17744</v>
      </c>
      <c r="L132" s="10" t="s">
        <v>42</v>
      </c>
    </row>
    <row r="133" ht="15.75" customHeight="1">
      <c r="A133" s="66">
        <v>45495.0</v>
      </c>
      <c r="B133" s="55" t="str">
        <f>HYPERLINK("https://jobright.ai/jobs/info/669e9aaa3d28756ea8e0f0c3?utm_campaign=1054&amp;utm_source=sheet", "Apply")</f>
        <v>Apply</v>
      </c>
      <c r="C133" s="10" t="s">
        <v>17745</v>
      </c>
      <c r="D133" s="56" t="s">
        <v>17746</v>
      </c>
      <c r="E133" s="10" t="s">
        <v>45</v>
      </c>
      <c r="F133" s="10" t="s">
        <v>17747</v>
      </c>
      <c r="G133" s="10" t="s">
        <v>17429</v>
      </c>
      <c r="H133" s="10" t="s">
        <v>14480</v>
      </c>
      <c r="I133" s="10" t="s">
        <v>55</v>
      </c>
      <c r="J133" s="10" t="s">
        <v>1761</v>
      </c>
      <c r="K133" s="10" t="s">
        <v>17748</v>
      </c>
      <c r="L133" s="10" t="s">
        <v>42</v>
      </c>
    </row>
    <row r="134" ht="15.75" customHeight="1">
      <c r="A134" s="66">
        <v>45495.0</v>
      </c>
      <c r="B134" s="55" t="str">
        <f>HYPERLINK("https://jobright.ai/jobs/info/669e9dd12291fa4c9cdd5241?utm_campaign=1054&amp;utm_source=sheet", "Apply")</f>
        <v>Apply</v>
      </c>
      <c r="C134" s="10" t="s">
        <v>17749</v>
      </c>
      <c r="D134" s="56" t="s">
        <v>17750</v>
      </c>
      <c r="E134" s="10" t="s">
        <v>249</v>
      </c>
      <c r="F134" s="10" t="s">
        <v>17751</v>
      </c>
      <c r="G134" s="10" t="s">
        <v>17432</v>
      </c>
      <c r="H134" s="10" t="s">
        <v>17752</v>
      </c>
      <c r="I134" s="10" t="s">
        <v>55</v>
      </c>
      <c r="K134" s="10" t="s">
        <v>17753</v>
      </c>
      <c r="L134" s="10" t="s">
        <v>42</v>
      </c>
    </row>
    <row r="135" ht="15.75" customHeight="1">
      <c r="A135" s="66">
        <v>45495.0</v>
      </c>
      <c r="B135" s="55" t="str">
        <f>HYPERLINK("https://jobright.ai/jobs/info/669fcde99720391081d1964a?utm_campaign=1054&amp;utm_source=sheet", "Apply")</f>
        <v>Apply</v>
      </c>
      <c r="C135" s="10" t="s">
        <v>17754</v>
      </c>
      <c r="D135" s="56" t="s">
        <v>17755</v>
      </c>
      <c r="E135" s="10" t="s">
        <v>65</v>
      </c>
      <c r="F135" s="10" t="s">
        <v>2617</v>
      </c>
      <c r="G135" s="10" t="s">
        <v>17432</v>
      </c>
      <c r="H135" s="10" t="s">
        <v>17756</v>
      </c>
      <c r="I135" s="10" t="s">
        <v>55</v>
      </c>
      <c r="K135" s="10" t="s">
        <v>17757</v>
      </c>
      <c r="L135" s="10" t="s">
        <v>42</v>
      </c>
    </row>
    <row r="136" ht="15.75" customHeight="1">
      <c r="A136" s="66">
        <v>45495.0</v>
      </c>
      <c r="B136" s="55" t="str">
        <f>HYPERLINK("https://jobright.ai/jobs/info/669e45c389c2dcd5697b5cf4?utm_campaign=1054&amp;utm_source=sheet", "Apply")</f>
        <v>Apply</v>
      </c>
      <c r="C136" s="10" t="s">
        <v>17457</v>
      </c>
      <c r="D136" s="56" t="s">
        <v>2269</v>
      </c>
      <c r="E136" s="10" t="s">
        <v>45</v>
      </c>
      <c r="F136" s="10" t="s">
        <v>665</v>
      </c>
      <c r="G136" s="10" t="s">
        <v>17429</v>
      </c>
      <c r="H136" s="10" t="s">
        <v>1198</v>
      </c>
      <c r="I136" s="10" t="s">
        <v>55</v>
      </c>
      <c r="K136" s="10" t="s">
        <v>17758</v>
      </c>
      <c r="L136" s="10" t="s">
        <v>42</v>
      </c>
    </row>
    <row r="137" ht="15.75" customHeight="1">
      <c r="A137" s="66">
        <v>45495.0</v>
      </c>
      <c r="B137" s="55" t="str">
        <f>HYPERLINK("https://jobright.ai/jobs/info/668fdc83b7836da1097c3bbe?utm_campaign=1054&amp;utm_source=sheet", "Apply")</f>
        <v>Apply</v>
      </c>
      <c r="C137" s="10" t="s">
        <v>17759</v>
      </c>
      <c r="D137" s="56" t="s">
        <v>9791</v>
      </c>
      <c r="E137" s="10" t="s">
        <v>65</v>
      </c>
      <c r="F137" s="10" t="s">
        <v>3811</v>
      </c>
      <c r="G137" s="10" t="s">
        <v>17429</v>
      </c>
      <c r="H137" s="10" t="s">
        <v>896</v>
      </c>
      <c r="I137" s="10" t="s">
        <v>55</v>
      </c>
      <c r="K137" s="10" t="s">
        <v>17760</v>
      </c>
      <c r="L137" s="10" t="s">
        <v>42</v>
      </c>
    </row>
    <row r="138" ht="15.75" customHeight="1">
      <c r="A138" s="66">
        <v>45494.0</v>
      </c>
      <c r="B138" s="55" t="str">
        <f>HYPERLINK("https://jobright.ai/jobs/info/669dd0f33f074f7668a577cb?utm_campaign=1054&amp;utm_source=sheet", "Apply")</f>
        <v>Apply</v>
      </c>
      <c r="C138" s="10" t="s">
        <v>17761</v>
      </c>
      <c r="D138" s="56" t="s">
        <v>8698</v>
      </c>
      <c r="E138" s="10" t="s">
        <v>249</v>
      </c>
      <c r="F138" s="10" t="s">
        <v>3180</v>
      </c>
      <c r="G138" s="10" t="s">
        <v>17429</v>
      </c>
      <c r="H138" s="10" t="s">
        <v>47</v>
      </c>
      <c r="I138" s="10" t="s">
        <v>55</v>
      </c>
      <c r="K138" s="10" t="s">
        <v>17762</v>
      </c>
      <c r="L138" s="10" t="s">
        <v>42</v>
      </c>
    </row>
    <row r="139" ht="15.75" customHeight="1">
      <c r="A139" s="66">
        <v>45494.0</v>
      </c>
      <c r="B139" s="55" t="str">
        <f>HYPERLINK("https://jobright.ai/jobs/info/6675ba12044b6b83ef0d3a72?utm_campaign=1054&amp;utm_source=sheet", "Apply")</f>
        <v>Apply</v>
      </c>
      <c r="C139" s="10" t="s">
        <v>17763</v>
      </c>
      <c r="D139" s="56" t="s">
        <v>6443</v>
      </c>
      <c r="E139" s="10" t="s">
        <v>45</v>
      </c>
      <c r="F139" s="10" t="s">
        <v>5632</v>
      </c>
      <c r="G139" s="10" t="s">
        <v>17432</v>
      </c>
      <c r="H139" s="10" t="s">
        <v>17764</v>
      </c>
      <c r="I139" s="10" t="s">
        <v>55</v>
      </c>
      <c r="K139" s="10" t="s">
        <v>17765</v>
      </c>
      <c r="L139" s="10" t="s">
        <v>42</v>
      </c>
    </row>
    <row r="140" ht="15.75" customHeight="1">
      <c r="A140" s="66">
        <v>45494.0</v>
      </c>
      <c r="B140" s="55" t="str">
        <f>HYPERLINK("https://jobright.ai/jobs/info/669d53b033ddfcee6c512933?utm_campaign=1054&amp;utm_source=sheet", "Apply")</f>
        <v>Apply</v>
      </c>
      <c r="C140" s="10" t="s">
        <v>17754</v>
      </c>
      <c r="D140" s="56" t="s">
        <v>17766</v>
      </c>
      <c r="E140" s="10" t="s">
        <v>249</v>
      </c>
      <c r="F140" s="10" t="s">
        <v>6340</v>
      </c>
      <c r="G140" s="10" t="s">
        <v>17432</v>
      </c>
      <c r="H140" s="10" t="s">
        <v>17767</v>
      </c>
      <c r="I140" s="10" t="s">
        <v>48</v>
      </c>
      <c r="K140" s="10" t="s">
        <v>17768</v>
      </c>
      <c r="L140" s="10" t="s">
        <v>42</v>
      </c>
    </row>
    <row r="141" ht="15.75" customHeight="1">
      <c r="A141" s="66">
        <v>45494.0</v>
      </c>
      <c r="B141" s="55" t="str">
        <f>HYPERLINK("https://jobright.ai/jobs/info/6677cd7f74ec1a95a89af49f?utm_campaign=1054&amp;utm_source=sheet", "Apply")</f>
        <v>Apply</v>
      </c>
      <c r="C141" s="10" t="s">
        <v>17769</v>
      </c>
      <c r="D141" s="56" t="s">
        <v>17770</v>
      </c>
      <c r="E141" s="10" t="s">
        <v>65</v>
      </c>
      <c r="F141" s="10" t="s">
        <v>11154</v>
      </c>
      <c r="G141" s="10" t="s">
        <v>17432</v>
      </c>
      <c r="H141" s="10" t="s">
        <v>1994</v>
      </c>
      <c r="I141" s="10" t="s">
        <v>55</v>
      </c>
      <c r="J141" s="10" t="s">
        <v>17771</v>
      </c>
      <c r="K141" s="10" t="s">
        <v>17772</v>
      </c>
      <c r="L141" s="10" t="s">
        <v>42</v>
      </c>
    </row>
    <row r="142" ht="15.75" customHeight="1">
      <c r="A142" s="66">
        <v>45494.0</v>
      </c>
      <c r="B142" s="55" t="str">
        <f>HYPERLINK("https://jobright.ai/jobs/info/669d7e189e71231a50a989fa?utm_campaign=1054&amp;utm_source=sheet", "Apply")</f>
        <v>Apply</v>
      </c>
      <c r="C142" s="10" t="s">
        <v>17773</v>
      </c>
      <c r="D142" s="56" t="s">
        <v>17774</v>
      </c>
      <c r="E142" s="10">
        <v>132.0</v>
      </c>
      <c r="G142" s="10" t="s">
        <v>17432</v>
      </c>
      <c r="H142" s="10" t="s">
        <v>3847</v>
      </c>
      <c r="I142" s="10" t="s">
        <v>48</v>
      </c>
      <c r="K142" s="10" t="s">
        <v>17775</v>
      </c>
      <c r="L142" s="10" t="s">
        <v>42</v>
      </c>
    </row>
    <row r="143" ht="15.75" customHeight="1">
      <c r="A143" s="66">
        <v>45494.0</v>
      </c>
      <c r="B143" s="55" t="str">
        <f>HYPERLINK("https://jobright.ai/jobs/info/66a26fed75dfeeec4e614e6e?utm_campaign=1054&amp;utm_source=sheet", "Apply")</f>
        <v>Apply</v>
      </c>
      <c r="C143" s="10" t="s">
        <v>17457</v>
      </c>
      <c r="D143" s="56" t="s">
        <v>11564</v>
      </c>
      <c r="E143" s="10" t="s">
        <v>45</v>
      </c>
      <c r="F143" s="10" t="s">
        <v>11565</v>
      </c>
      <c r="G143" s="10" t="s">
        <v>17429</v>
      </c>
      <c r="H143" s="10" t="s">
        <v>636</v>
      </c>
      <c r="I143" s="10" t="s">
        <v>55</v>
      </c>
      <c r="K143" s="10" t="s">
        <v>17776</v>
      </c>
      <c r="L143" s="10" t="s">
        <v>42</v>
      </c>
    </row>
    <row r="144" ht="15.75" customHeight="1">
      <c r="A144" s="66">
        <v>45494.0</v>
      </c>
      <c r="B144" s="55" t="str">
        <f>HYPERLINK("https://jobright.ai/jobs/info/66a0e5b2b73fe09fb9e67aa2?utm_campaign=1054&amp;utm_source=sheet", "Apply")</f>
        <v>Apply</v>
      </c>
      <c r="C144" s="10" t="s">
        <v>17777</v>
      </c>
      <c r="D144" s="56" t="s">
        <v>17778</v>
      </c>
      <c r="E144" s="10" t="s">
        <v>79</v>
      </c>
      <c r="F144" s="10" t="s">
        <v>3149</v>
      </c>
      <c r="G144" s="10" t="s">
        <v>17429</v>
      </c>
      <c r="H144" s="10" t="s">
        <v>1097</v>
      </c>
      <c r="I144" s="10" t="s">
        <v>55</v>
      </c>
      <c r="K144" s="10" t="s">
        <v>17779</v>
      </c>
      <c r="L144" s="10" t="s">
        <v>42</v>
      </c>
    </row>
    <row r="145" ht="15.75" customHeight="1">
      <c r="A145" s="66">
        <v>45494.0</v>
      </c>
      <c r="B145" s="55" t="str">
        <f>HYPERLINK("https://jobright.ai/jobs/info/6676b8a4022d43fb7b68958b?utm_campaign=1054&amp;utm_source=sheet", "Apply")</f>
        <v>Apply</v>
      </c>
      <c r="C145" s="10" t="s">
        <v>17769</v>
      </c>
      <c r="D145" s="56" t="s">
        <v>17770</v>
      </c>
      <c r="E145" s="10" t="s">
        <v>65</v>
      </c>
      <c r="F145" s="10" t="s">
        <v>11154</v>
      </c>
      <c r="G145" s="10" t="s">
        <v>17432</v>
      </c>
      <c r="H145" s="10" t="s">
        <v>165</v>
      </c>
      <c r="I145" s="10" t="s">
        <v>55</v>
      </c>
      <c r="J145" s="10" t="s">
        <v>17771</v>
      </c>
      <c r="K145" s="10" t="s">
        <v>17772</v>
      </c>
      <c r="L145" s="10" t="s">
        <v>42</v>
      </c>
    </row>
    <row r="146" ht="15.75" customHeight="1">
      <c r="A146" s="66">
        <v>45494.0</v>
      </c>
      <c r="B146" s="55" t="str">
        <f>HYPERLINK("https://jobright.ai/jobs/info/66a23288e578354a2d21575b?utm_campaign=1054&amp;utm_source=sheet", "Apply")</f>
        <v>Apply</v>
      </c>
      <c r="C146" s="10" t="s">
        <v>17780</v>
      </c>
      <c r="D146" s="56" t="s">
        <v>11564</v>
      </c>
      <c r="E146" s="10" t="s">
        <v>45</v>
      </c>
      <c r="F146" s="10" t="s">
        <v>11565</v>
      </c>
      <c r="G146" s="10" t="s">
        <v>17429</v>
      </c>
      <c r="H146" s="10" t="s">
        <v>636</v>
      </c>
      <c r="I146" s="10" t="s">
        <v>55</v>
      </c>
      <c r="K146" s="10" t="s">
        <v>17781</v>
      </c>
      <c r="L146" s="10" t="s">
        <v>42</v>
      </c>
    </row>
    <row r="147" ht="15.75" customHeight="1">
      <c r="A147" s="66">
        <v>45494.0</v>
      </c>
      <c r="B147" s="55" t="str">
        <f>HYPERLINK("https://jobright.ai/jobs/info/6676b899022d43fb7b689544?utm_campaign=1054&amp;utm_source=sheet", "Apply")</f>
        <v>Apply</v>
      </c>
      <c r="C147" s="10" t="s">
        <v>17769</v>
      </c>
      <c r="D147" s="56" t="s">
        <v>17770</v>
      </c>
      <c r="E147" s="10" t="s">
        <v>65</v>
      </c>
      <c r="F147" s="10" t="s">
        <v>11154</v>
      </c>
      <c r="G147" s="10" t="s">
        <v>17432</v>
      </c>
      <c r="H147" s="10" t="s">
        <v>994</v>
      </c>
      <c r="I147" s="10" t="s">
        <v>55</v>
      </c>
      <c r="J147" s="10" t="s">
        <v>17771</v>
      </c>
      <c r="K147" s="10" t="s">
        <v>17772</v>
      </c>
      <c r="L147" s="10" t="s">
        <v>42</v>
      </c>
    </row>
    <row r="148" ht="15.75" customHeight="1">
      <c r="A148" s="66">
        <v>45494.0</v>
      </c>
      <c r="B148" s="55" t="str">
        <f>HYPERLINK("https://jobright.ai/jobs/info/66a0de6428125a716783e44c?utm_campaign=1054&amp;utm_source=sheet", "Apply")</f>
        <v>Apply</v>
      </c>
      <c r="C148" s="10" t="s">
        <v>17777</v>
      </c>
      <c r="D148" s="56" t="s">
        <v>17778</v>
      </c>
      <c r="E148" s="10" t="s">
        <v>79</v>
      </c>
      <c r="F148" s="10" t="s">
        <v>3149</v>
      </c>
      <c r="G148" s="10" t="s">
        <v>17429</v>
      </c>
      <c r="H148" s="10" t="s">
        <v>965</v>
      </c>
      <c r="I148" s="10" t="s">
        <v>55</v>
      </c>
      <c r="K148" s="10" t="s">
        <v>17779</v>
      </c>
      <c r="L148" s="10" t="s">
        <v>42</v>
      </c>
    </row>
    <row r="149" ht="15.75" customHeight="1">
      <c r="A149" s="66">
        <v>45494.0</v>
      </c>
      <c r="B149" s="55" t="str">
        <f>HYPERLINK("https://jobright.ai/jobs/info/66452700089dfb7463bc3f53?utm_campaign=1054&amp;utm_source=sheet", "Apply")</f>
        <v>Apply</v>
      </c>
      <c r="C149" s="10" t="s">
        <v>17769</v>
      </c>
      <c r="D149" s="56" t="s">
        <v>17770</v>
      </c>
      <c r="E149" s="10" t="s">
        <v>65</v>
      </c>
      <c r="F149" s="10" t="s">
        <v>11154</v>
      </c>
      <c r="G149" s="10" t="s">
        <v>17432</v>
      </c>
      <c r="H149" s="10" t="s">
        <v>1254</v>
      </c>
      <c r="I149" s="10" t="s">
        <v>55</v>
      </c>
      <c r="J149" s="10" t="s">
        <v>17771</v>
      </c>
      <c r="K149" s="10" t="s">
        <v>17772</v>
      </c>
      <c r="L149" s="10" t="s">
        <v>42</v>
      </c>
    </row>
    <row r="150" ht="15.75" customHeight="1">
      <c r="A150" s="66">
        <v>45494.0</v>
      </c>
      <c r="B150" s="55" t="str">
        <f>HYPERLINK("https://jobright.ai/jobs/info/6677cd3e74ec1a95a89aefb3?utm_campaign=1054&amp;utm_source=sheet", "Apply")</f>
        <v>Apply</v>
      </c>
      <c r="C150" s="10" t="s">
        <v>17769</v>
      </c>
      <c r="D150" s="56" t="s">
        <v>17770</v>
      </c>
      <c r="E150" s="10" t="s">
        <v>65</v>
      </c>
      <c r="F150" s="10" t="s">
        <v>11154</v>
      </c>
      <c r="G150" s="10" t="s">
        <v>17432</v>
      </c>
      <c r="H150" s="10" t="s">
        <v>144</v>
      </c>
      <c r="I150" s="10" t="s">
        <v>55</v>
      </c>
      <c r="J150" s="10" t="s">
        <v>17771</v>
      </c>
      <c r="K150" s="10" t="s">
        <v>17772</v>
      </c>
      <c r="L150" s="10" t="s">
        <v>42</v>
      </c>
    </row>
    <row r="151" ht="15.75" customHeight="1">
      <c r="A151" s="66">
        <v>45494.0</v>
      </c>
      <c r="B151" s="55" t="str">
        <f>HYPERLINK("https://jobright.ai/jobs/info/6677d7e65793f82273cb4555?utm_campaign=1054&amp;utm_source=sheet", "Apply")</f>
        <v>Apply</v>
      </c>
      <c r="C151" s="10" t="s">
        <v>17769</v>
      </c>
      <c r="D151" s="56" t="s">
        <v>17770</v>
      </c>
      <c r="E151" s="10" t="s">
        <v>65</v>
      </c>
      <c r="F151" s="10" t="s">
        <v>11154</v>
      </c>
      <c r="G151" s="10" t="s">
        <v>17432</v>
      </c>
      <c r="H151" s="10" t="s">
        <v>9748</v>
      </c>
      <c r="I151" s="10" t="s">
        <v>55</v>
      </c>
      <c r="J151" s="10" t="s">
        <v>17771</v>
      </c>
      <c r="K151" s="10" t="s">
        <v>17772</v>
      </c>
      <c r="L151" s="10" t="s">
        <v>42</v>
      </c>
    </row>
    <row r="152" ht="15.75" customHeight="1">
      <c r="A152" s="64">
        <v>45494.0</v>
      </c>
      <c r="B152" s="55" t="str">
        <f>HYPERLINK("https://jobright.ai/jobs/info/6647f04ae483852539d90504?utm_campaign=1054&amp;utm_source=sheet", "Apply")</f>
        <v>Apply</v>
      </c>
      <c r="C152" s="10" t="s">
        <v>17782</v>
      </c>
      <c r="D152" s="56" t="s">
        <v>17783</v>
      </c>
      <c r="E152" s="10" t="s">
        <v>65</v>
      </c>
      <c r="F152" s="10" t="s">
        <v>17784</v>
      </c>
      <c r="G152" s="10" t="s">
        <v>17432</v>
      </c>
      <c r="H152" s="10" t="s">
        <v>144</v>
      </c>
      <c r="I152" s="10" t="s">
        <v>55</v>
      </c>
      <c r="J152" s="10" t="s">
        <v>17785</v>
      </c>
      <c r="K152" s="10" t="s">
        <v>17786</v>
      </c>
      <c r="L152" s="10" t="s">
        <v>42</v>
      </c>
    </row>
    <row r="153" ht="15.75" customHeight="1">
      <c r="A153" s="64">
        <v>45494.0</v>
      </c>
      <c r="B153" s="55" t="str">
        <f>HYPERLINK("https://jobright.ai/jobs/info/6677cc7a74ec1a95a89ae2f4?utm_campaign=1054&amp;utm_source=sheet", "Apply")</f>
        <v>Apply</v>
      </c>
      <c r="C153" s="10" t="s">
        <v>17769</v>
      </c>
      <c r="D153" s="56" t="s">
        <v>17770</v>
      </c>
      <c r="E153" s="10" t="s">
        <v>65</v>
      </c>
      <c r="F153" s="10" t="s">
        <v>11154</v>
      </c>
      <c r="G153" s="10" t="s">
        <v>17432</v>
      </c>
      <c r="H153" s="10" t="s">
        <v>170</v>
      </c>
      <c r="I153" s="10" t="s">
        <v>55</v>
      </c>
      <c r="J153" s="10" t="s">
        <v>17771</v>
      </c>
      <c r="K153" s="10" t="s">
        <v>17772</v>
      </c>
      <c r="L153" s="10" t="s">
        <v>42</v>
      </c>
    </row>
    <row r="154" ht="15.75" customHeight="1">
      <c r="A154" s="64">
        <v>45494.0</v>
      </c>
      <c r="B154" s="55" t="str">
        <f>HYPERLINK("https://jobright.ai/jobs/info/6677d6e45793f82273cb33b4?utm_campaign=1054&amp;utm_source=sheet", "Apply")</f>
        <v>Apply</v>
      </c>
      <c r="C154" s="10" t="s">
        <v>17769</v>
      </c>
      <c r="D154" s="56" t="s">
        <v>17770</v>
      </c>
      <c r="E154" s="10" t="s">
        <v>65</v>
      </c>
      <c r="F154" s="10" t="s">
        <v>11154</v>
      </c>
      <c r="G154" s="10" t="s">
        <v>17432</v>
      </c>
      <c r="H154" s="10" t="s">
        <v>152</v>
      </c>
      <c r="I154" s="10" t="s">
        <v>55</v>
      </c>
      <c r="J154" s="10" t="s">
        <v>17771</v>
      </c>
      <c r="K154" s="10" t="s">
        <v>17772</v>
      </c>
      <c r="L154" s="10" t="s">
        <v>42</v>
      </c>
    </row>
    <row r="155" ht="15.75" customHeight="1">
      <c r="A155" s="64">
        <v>45494.0</v>
      </c>
      <c r="B155" s="55" t="str">
        <f>HYPERLINK("https://jobright.ai/jobs/info/6679784822283fc0c73387e7?utm_campaign=1054&amp;utm_source=sheet", "Apply")</f>
        <v>Apply</v>
      </c>
      <c r="C155" s="10" t="s">
        <v>17769</v>
      </c>
      <c r="D155" s="56" t="s">
        <v>17770</v>
      </c>
      <c r="E155" s="10" t="s">
        <v>65</v>
      </c>
      <c r="F155" s="10" t="s">
        <v>11154</v>
      </c>
      <c r="G155" s="10" t="s">
        <v>17432</v>
      </c>
      <c r="H155" s="10" t="s">
        <v>131</v>
      </c>
      <c r="I155" s="10" t="s">
        <v>55</v>
      </c>
      <c r="J155" s="10" t="s">
        <v>17771</v>
      </c>
      <c r="K155" s="10" t="s">
        <v>17772</v>
      </c>
      <c r="L155" s="10" t="s">
        <v>42</v>
      </c>
    </row>
    <row r="156" ht="15.75" customHeight="1">
      <c r="A156" s="64">
        <v>45494.0</v>
      </c>
      <c r="B156" s="55" t="str">
        <f>HYPERLINK("https://jobright.ai/jobs/info/66465498420472106268db78?utm_campaign=1054&amp;utm_source=sheet", "Apply")</f>
        <v>Apply</v>
      </c>
      <c r="C156" s="10" t="s">
        <v>17787</v>
      </c>
      <c r="D156" s="56" t="s">
        <v>3337</v>
      </c>
      <c r="E156" s="10" t="s">
        <v>209</v>
      </c>
      <c r="F156" s="10" t="s">
        <v>2828</v>
      </c>
      <c r="G156" s="10" t="s">
        <v>17470</v>
      </c>
      <c r="H156" s="10" t="s">
        <v>17788</v>
      </c>
      <c r="I156" s="10" t="s">
        <v>55</v>
      </c>
      <c r="J156" s="10" t="s">
        <v>15911</v>
      </c>
      <c r="K156" s="10" t="s">
        <v>17789</v>
      </c>
      <c r="L156" s="10" t="s">
        <v>42</v>
      </c>
    </row>
    <row r="157" ht="15.75" customHeight="1">
      <c r="A157" s="64">
        <v>45493.0</v>
      </c>
      <c r="B157" s="55" t="str">
        <f>HYPERLINK("https://jobright.ai/jobs/info/669cc31f52c68bb79aaf58ac?utm_campaign=1054&amp;utm_source=sheet", "Apply")</f>
        <v>Apply</v>
      </c>
      <c r="C157" s="10" t="s">
        <v>17790</v>
      </c>
      <c r="D157" s="56" t="s">
        <v>99</v>
      </c>
      <c r="E157" s="10" t="s">
        <v>45</v>
      </c>
      <c r="F157" s="10" t="s">
        <v>100</v>
      </c>
      <c r="G157" s="10" t="s">
        <v>17429</v>
      </c>
      <c r="H157" s="10" t="s">
        <v>740</v>
      </c>
      <c r="I157" s="10" t="s">
        <v>55</v>
      </c>
      <c r="K157" s="10" t="s">
        <v>17791</v>
      </c>
      <c r="L157" s="10" t="s">
        <v>42</v>
      </c>
    </row>
    <row r="158" ht="15.75" customHeight="1">
      <c r="A158" s="64">
        <v>45493.0</v>
      </c>
      <c r="B158" s="55" t="str">
        <f>HYPERLINK("https://jobright.ai/jobs/info/669c54d0028c1d416db0507e?utm_campaign=1054&amp;utm_source=sheet", "Apply")</f>
        <v>Apply</v>
      </c>
      <c r="C158" s="10" t="s">
        <v>17792</v>
      </c>
      <c r="D158" s="56" t="s">
        <v>17793</v>
      </c>
      <c r="E158" s="10">
        <v>12300.0</v>
      </c>
      <c r="G158" s="10" t="s">
        <v>17429</v>
      </c>
      <c r="H158" s="10" t="s">
        <v>849</v>
      </c>
      <c r="I158" s="10" t="s">
        <v>55</v>
      </c>
      <c r="K158" s="10" t="s">
        <v>17794</v>
      </c>
      <c r="L158" s="10" t="s">
        <v>42</v>
      </c>
    </row>
    <row r="159" ht="15.75" customHeight="1">
      <c r="A159" s="64">
        <v>45493.0</v>
      </c>
      <c r="B159" s="55" t="str">
        <f>HYPERLINK("https://jobright.ai/jobs/info/66421cf970937fa3afb48dcc?utm_campaign=1054&amp;utm_source=sheet", "Apply")</f>
        <v>Apply</v>
      </c>
      <c r="C159" s="10" t="s">
        <v>17795</v>
      </c>
      <c r="D159" s="56" t="s">
        <v>8233</v>
      </c>
      <c r="E159" s="10">
        <v>8937.0</v>
      </c>
      <c r="G159" s="10" t="s">
        <v>17432</v>
      </c>
      <c r="H159" s="10" t="s">
        <v>117</v>
      </c>
      <c r="I159" s="10" t="s">
        <v>55</v>
      </c>
      <c r="K159" s="10" t="s">
        <v>17796</v>
      </c>
      <c r="L159" s="10" t="s">
        <v>42</v>
      </c>
    </row>
    <row r="160" ht="15.75" customHeight="1">
      <c r="A160" s="64">
        <v>45493.0</v>
      </c>
      <c r="B160" s="55" t="str">
        <f>HYPERLINK("https://jobright.ai/jobs/info/669e5e2676c6144940234a70?utm_campaign=1054&amp;utm_source=sheet", "Apply")</f>
        <v>Apply</v>
      </c>
      <c r="C160" s="10" t="s">
        <v>17472</v>
      </c>
      <c r="D160" s="56" t="s">
        <v>17797</v>
      </c>
      <c r="E160" s="10" t="s">
        <v>65</v>
      </c>
      <c r="F160" s="10" t="s">
        <v>1234</v>
      </c>
      <c r="G160" s="10" t="s">
        <v>17429</v>
      </c>
      <c r="H160" s="10" t="s">
        <v>855</v>
      </c>
      <c r="I160" s="10" t="s">
        <v>55</v>
      </c>
      <c r="J160" s="10" t="s">
        <v>1984</v>
      </c>
      <c r="K160" s="10" t="s">
        <v>17798</v>
      </c>
      <c r="L160" s="10" t="s">
        <v>42</v>
      </c>
    </row>
    <row r="161" ht="15.75" customHeight="1">
      <c r="A161" s="64">
        <v>45493.0</v>
      </c>
      <c r="B161" s="55" t="str">
        <f>HYPERLINK("https://jobright.ai/jobs/info/667cf4f3bfcdafe412391360?utm_campaign=1054&amp;utm_source=sheet", "Apply")</f>
        <v>Apply</v>
      </c>
      <c r="C161" s="10" t="s">
        <v>17434</v>
      </c>
      <c r="D161" s="56" t="s">
        <v>17799</v>
      </c>
      <c r="E161" s="10" t="s">
        <v>65</v>
      </c>
      <c r="F161" s="10" t="s">
        <v>2617</v>
      </c>
      <c r="G161" s="10" t="s">
        <v>17429</v>
      </c>
      <c r="H161" s="10" t="s">
        <v>765</v>
      </c>
      <c r="I161" s="10" t="s">
        <v>55</v>
      </c>
      <c r="K161" s="10" t="s">
        <v>17800</v>
      </c>
      <c r="L161" s="10" t="s">
        <v>42</v>
      </c>
    </row>
    <row r="162" ht="15.75" customHeight="1">
      <c r="A162" s="64">
        <v>45493.0</v>
      </c>
      <c r="B162" s="55" t="str">
        <f>HYPERLINK("https://jobright.ai/jobs/info/6675e606002960a5a8d1ac9a?utm_campaign=1054&amp;utm_source=sheet", "Apply")</f>
        <v>Apply</v>
      </c>
      <c r="C162" s="10" t="s">
        <v>17769</v>
      </c>
      <c r="D162" s="56" t="s">
        <v>17770</v>
      </c>
      <c r="E162" s="10" t="s">
        <v>65</v>
      </c>
      <c r="F162" s="10" t="s">
        <v>11154</v>
      </c>
      <c r="G162" s="10" t="s">
        <v>17432</v>
      </c>
      <c r="H162" s="10" t="s">
        <v>365</v>
      </c>
      <c r="I162" s="10" t="s">
        <v>55</v>
      </c>
      <c r="J162" s="10" t="s">
        <v>17771</v>
      </c>
      <c r="K162" s="10" t="s">
        <v>17772</v>
      </c>
      <c r="L162" s="10" t="s">
        <v>42</v>
      </c>
    </row>
    <row r="163" ht="15.75" customHeight="1">
      <c r="A163" s="64">
        <v>45493.0</v>
      </c>
      <c r="B163" s="55" t="str">
        <f>HYPERLINK("https://jobright.ai/jobs/info/667ed5f5f58237ff4d169328?utm_campaign=1054&amp;utm_source=sheet", "Apply")</f>
        <v>Apply</v>
      </c>
      <c r="C163" s="10" t="s">
        <v>17801</v>
      </c>
      <c r="D163" s="56" t="s">
        <v>17802</v>
      </c>
      <c r="E163" s="10" t="s">
        <v>65</v>
      </c>
      <c r="F163" s="10" t="s">
        <v>665</v>
      </c>
      <c r="G163" s="10" t="s">
        <v>17432</v>
      </c>
      <c r="H163" s="10" t="s">
        <v>96</v>
      </c>
      <c r="I163" s="10" t="s">
        <v>55</v>
      </c>
      <c r="J163" s="10" t="s">
        <v>509</v>
      </c>
      <c r="K163" s="10" t="s">
        <v>17803</v>
      </c>
      <c r="L163" s="10" t="s">
        <v>42</v>
      </c>
    </row>
    <row r="164" ht="15.75" customHeight="1">
      <c r="A164" s="64">
        <v>45493.0</v>
      </c>
      <c r="B164" s="55" t="str">
        <f>HYPERLINK("https://jobright.ai/jobs/info/669baf33b5f4555ed3b42196?utm_campaign=1054&amp;utm_source=sheet", "Apply")</f>
        <v>Apply</v>
      </c>
      <c r="C164" s="10" t="s">
        <v>17434</v>
      </c>
      <c r="D164" s="56" t="s">
        <v>17804</v>
      </c>
      <c r="E164" s="10" t="s">
        <v>45</v>
      </c>
      <c r="F164" s="10" t="s">
        <v>1266</v>
      </c>
      <c r="G164" s="10" t="s">
        <v>17429</v>
      </c>
      <c r="H164" s="10" t="s">
        <v>525</v>
      </c>
      <c r="I164" s="10" t="s">
        <v>55</v>
      </c>
      <c r="K164" s="10" t="s">
        <v>17805</v>
      </c>
      <c r="L164" s="10" t="s">
        <v>42</v>
      </c>
    </row>
    <row r="165" ht="15.75" customHeight="1">
      <c r="A165" s="64">
        <v>45493.0</v>
      </c>
      <c r="B165" s="55" t="str">
        <f>HYPERLINK("https://jobright.ai/jobs/info/669b1b84a021cbc88ae8d4f9?utm_campaign=1054&amp;utm_source=sheet", "Apply")</f>
        <v>Apply</v>
      </c>
      <c r="C165" s="10" t="s">
        <v>17806</v>
      </c>
      <c r="D165" s="56" t="s">
        <v>17807</v>
      </c>
      <c r="E165" s="10" t="s">
        <v>45</v>
      </c>
      <c r="F165" s="10" t="s">
        <v>17808</v>
      </c>
      <c r="G165" s="10" t="s">
        <v>17429</v>
      </c>
      <c r="H165" s="10" t="s">
        <v>17809</v>
      </c>
      <c r="I165" s="10" t="s">
        <v>55</v>
      </c>
      <c r="J165" s="10" t="s">
        <v>4117</v>
      </c>
      <c r="K165" s="10" t="s">
        <v>17810</v>
      </c>
      <c r="L165" s="10" t="s">
        <v>42</v>
      </c>
    </row>
    <row r="166" ht="15.75" customHeight="1">
      <c r="A166" s="64">
        <v>45492.0</v>
      </c>
      <c r="B166" s="55" t="str">
        <f>HYPERLINK("https://jobright.ai/jobs/info/6695bab2fedb4d01c908c851?utm_campaign=1054&amp;utm_source=sheet", "Apply")</f>
        <v>Apply</v>
      </c>
      <c r="C166" s="10" t="s">
        <v>17811</v>
      </c>
      <c r="D166" s="56" t="s">
        <v>17812</v>
      </c>
      <c r="E166" s="10" t="s">
        <v>209</v>
      </c>
      <c r="F166" s="10" t="s">
        <v>17813</v>
      </c>
      <c r="G166" s="10" t="s">
        <v>17429</v>
      </c>
      <c r="H166" s="10" t="s">
        <v>17814</v>
      </c>
      <c r="I166" s="10" t="s">
        <v>55</v>
      </c>
      <c r="J166" s="10" t="s">
        <v>3651</v>
      </c>
      <c r="K166" s="10" t="s">
        <v>17815</v>
      </c>
      <c r="L166" s="10" t="s">
        <v>42</v>
      </c>
    </row>
    <row r="167" ht="15.75" customHeight="1">
      <c r="A167" s="64">
        <v>45492.0</v>
      </c>
      <c r="B167" s="55" t="str">
        <f>HYPERLINK("https://jobright.ai/jobs/info/669a9b6f1c65fab8943f97bc?utm_campaign=1054&amp;utm_source=sheet", "Apply")</f>
        <v>Apply</v>
      </c>
      <c r="C167" s="10" t="s">
        <v>17816</v>
      </c>
      <c r="D167" s="56" t="s">
        <v>17817</v>
      </c>
      <c r="E167" s="10">
        <v>33266.0</v>
      </c>
      <c r="G167" s="10" t="s">
        <v>17432</v>
      </c>
      <c r="H167" s="10" t="s">
        <v>11767</v>
      </c>
      <c r="I167" s="10" t="s">
        <v>55</v>
      </c>
      <c r="K167" s="10" t="s">
        <v>17818</v>
      </c>
      <c r="L167" s="10" t="s">
        <v>42</v>
      </c>
    </row>
    <row r="168" ht="15.75" customHeight="1">
      <c r="A168" s="64">
        <v>45492.0</v>
      </c>
      <c r="B168" s="55" t="str">
        <f>HYPERLINK("https://jobright.ai/jobs/info/669a98713b9ef773a69062af?utm_campaign=1054&amp;utm_source=sheet", "Apply")</f>
        <v>Apply</v>
      </c>
      <c r="C168" s="10" t="s">
        <v>17819</v>
      </c>
      <c r="D168" s="56" t="s">
        <v>9821</v>
      </c>
      <c r="E168" s="10" t="s">
        <v>45</v>
      </c>
      <c r="F168" s="10" t="s">
        <v>3594</v>
      </c>
      <c r="G168" s="10" t="s">
        <v>17432</v>
      </c>
      <c r="H168" s="10" t="s">
        <v>17820</v>
      </c>
      <c r="I168" s="10" t="s">
        <v>48</v>
      </c>
      <c r="J168" s="10" t="s">
        <v>17821</v>
      </c>
      <c r="K168" s="10" t="s">
        <v>17822</v>
      </c>
      <c r="L168" s="10" t="s">
        <v>42</v>
      </c>
    </row>
    <row r="169" ht="15.75" customHeight="1">
      <c r="A169" s="64">
        <v>45492.0</v>
      </c>
      <c r="B169" s="55" t="str">
        <f>HYPERLINK("https://jobright.ai/jobs/info/669a9e2b0b2ceb58a01ceb71?utm_campaign=1054&amp;utm_source=sheet", "Apply")</f>
        <v>Apply</v>
      </c>
      <c r="C169" s="10" t="s">
        <v>17434</v>
      </c>
      <c r="D169" s="56" t="s">
        <v>15243</v>
      </c>
      <c r="E169" s="59">
        <v>45301.0</v>
      </c>
      <c r="F169" s="10" t="s">
        <v>1893</v>
      </c>
      <c r="G169" s="10" t="s">
        <v>17429</v>
      </c>
      <c r="H169" s="10" t="s">
        <v>16710</v>
      </c>
      <c r="I169" s="10" t="s">
        <v>55</v>
      </c>
      <c r="K169" s="10" t="s">
        <v>17823</v>
      </c>
      <c r="L169" s="10" t="s">
        <v>42</v>
      </c>
    </row>
    <row r="170" ht="15.75" customHeight="1">
      <c r="A170" s="64">
        <v>45492.0</v>
      </c>
      <c r="B170" s="55" t="str">
        <f>HYPERLINK("https://jobright.ai/jobs/info/66a260c397a3a7c64f0cc7c4?utm_campaign=1054&amp;utm_source=sheet", "Apply")</f>
        <v>Apply</v>
      </c>
      <c r="C170" s="10" t="s">
        <v>17824</v>
      </c>
      <c r="D170" s="56" t="s">
        <v>17825</v>
      </c>
      <c r="E170" s="10" t="s">
        <v>79</v>
      </c>
      <c r="F170" s="10" t="s">
        <v>17826</v>
      </c>
      <c r="G170" s="10" t="s">
        <v>17429</v>
      </c>
      <c r="H170" s="10" t="s">
        <v>411</v>
      </c>
      <c r="I170" s="10" t="s">
        <v>55</v>
      </c>
      <c r="J170" s="10" t="s">
        <v>1761</v>
      </c>
      <c r="K170" s="10" t="s">
        <v>17827</v>
      </c>
      <c r="L170" s="10" t="s">
        <v>42</v>
      </c>
    </row>
    <row r="171" ht="15.75" customHeight="1">
      <c r="A171" s="64">
        <v>45492.0</v>
      </c>
      <c r="B171" s="55" t="str">
        <f>HYPERLINK("https://jobright.ai/jobs/info/66a25491c0e679b90829c104?utm_campaign=1054&amp;utm_source=sheet", "Apply")</f>
        <v>Apply</v>
      </c>
      <c r="C171" s="10" t="s">
        <v>17434</v>
      </c>
      <c r="D171" s="56" t="s">
        <v>17828</v>
      </c>
      <c r="E171" s="10" t="s">
        <v>137</v>
      </c>
      <c r="F171" s="10" t="s">
        <v>17829</v>
      </c>
      <c r="G171" s="10" t="s">
        <v>17429</v>
      </c>
      <c r="H171" s="10" t="s">
        <v>17830</v>
      </c>
      <c r="I171" s="10" t="s">
        <v>55</v>
      </c>
      <c r="K171" s="10" t="s">
        <v>17831</v>
      </c>
      <c r="L171" s="10" t="s">
        <v>42</v>
      </c>
    </row>
    <row r="172" ht="15.75" customHeight="1">
      <c r="A172" s="64">
        <v>45492.0</v>
      </c>
      <c r="B172" s="55" t="str">
        <f>HYPERLINK("https://jobright.ai/jobs/info/6660aed9185fa10b25d83319?utm_campaign=1054&amp;utm_source=sheet", "Apply")</f>
        <v>Apply</v>
      </c>
      <c r="C172" s="10" t="s">
        <v>17832</v>
      </c>
      <c r="D172" s="56" t="s">
        <v>10369</v>
      </c>
      <c r="E172" s="10" t="s">
        <v>249</v>
      </c>
      <c r="F172" s="10" t="s">
        <v>10370</v>
      </c>
      <c r="G172" s="10" t="s">
        <v>17429</v>
      </c>
      <c r="H172" s="10" t="s">
        <v>977</v>
      </c>
      <c r="I172" s="10" t="s">
        <v>48</v>
      </c>
      <c r="K172" s="10" t="s">
        <v>17833</v>
      </c>
      <c r="L172" s="10" t="s">
        <v>42</v>
      </c>
    </row>
    <row r="173" ht="15.75" customHeight="1">
      <c r="A173" s="64">
        <v>45492.0</v>
      </c>
      <c r="B173" s="55" t="str">
        <f>HYPERLINK("https://jobright.ai/jobs/info/6677d23797271e26801e2982?utm_campaign=1054&amp;utm_source=sheet", "Apply")</f>
        <v>Apply</v>
      </c>
      <c r="C173" s="10" t="s">
        <v>17834</v>
      </c>
      <c r="D173" s="56" t="s">
        <v>17631</v>
      </c>
      <c r="E173" s="10" t="s">
        <v>209</v>
      </c>
      <c r="F173" s="10" t="s">
        <v>17632</v>
      </c>
      <c r="G173" s="10" t="s">
        <v>17432</v>
      </c>
      <c r="H173" s="10" t="s">
        <v>16720</v>
      </c>
      <c r="I173" s="10" t="s">
        <v>55</v>
      </c>
      <c r="K173" s="10" t="s">
        <v>17835</v>
      </c>
      <c r="L173" s="10" t="s">
        <v>42</v>
      </c>
    </row>
    <row r="174" ht="15.75" customHeight="1">
      <c r="A174" s="64">
        <v>45492.0</v>
      </c>
      <c r="B174" s="55" t="str">
        <f>HYPERLINK("https://jobright.ai/jobs/info/66609990281af5b1d64a6b90?utm_campaign=1054&amp;utm_source=sheet", "Apply")</f>
        <v>Apply</v>
      </c>
      <c r="C174" s="10" t="s">
        <v>17836</v>
      </c>
      <c r="D174" s="56" t="s">
        <v>17837</v>
      </c>
      <c r="E174" s="10" t="s">
        <v>65</v>
      </c>
      <c r="F174" s="10" t="s">
        <v>2926</v>
      </c>
      <c r="G174" s="10" t="s">
        <v>17432</v>
      </c>
      <c r="H174" s="10" t="s">
        <v>7906</v>
      </c>
      <c r="I174" s="10" t="s">
        <v>252</v>
      </c>
      <c r="K174" s="10" t="s">
        <v>17838</v>
      </c>
      <c r="L174" s="10" t="s">
        <v>42</v>
      </c>
    </row>
    <row r="175" ht="15.75" customHeight="1">
      <c r="A175" s="64">
        <v>45492.0</v>
      </c>
      <c r="B175" s="55" t="str">
        <f>HYPERLINK("https://jobright.ai/jobs/info/669175c88a86121fc080d876?utm_campaign=1054&amp;utm_source=sheet", "Apply")</f>
        <v>Apply</v>
      </c>
      <c r="C175" s="10" t="s">
        <v>17839</v>
      </c>
      <c r="D175" s="56" t="s">
        <v>17840</v>
      </c>
      <c r="E175" s="10" t="s">
        <v>209</v>
      </c>
      <c r="F175" s="10" t="s">
        <v>3684</v>
      </c>
      <c r="G175" s="10" t="s">
        <v>17432</v>
      </c>
      <c r="H175" s="10" t="s">
        <v>165</v>
      </c>
      <c r="I175" s="10" t="s">
        <v>55</v>
      </c>
      <c r="J175" s="10" t="s">
        <v>17841</v>
      </c>
      <c r="K175" s="10" t="s">
        <v>17842</v>
      </c>
      <c r="L175" s="10" t="s">
        <v>42</v>
      </c>
    </row>
    <row r="176" ht="15.75" customHeight="1">
      <c r="A176" s="64">
        <v>45492.0</v>
      </c>
      <c r="B176" s="55" t="str">
        <f>HYPERLINK("https://jobright.ai/jobs/info/669a2077cb91786c1b388d77?utm_campaign=1054&amp;utm_source=sheet", "Apply")</f>
        <v>Apply</v>
      </c>
      <c r="C176" s="10" t="s">
        <v>17843</v>
      </c>
      <c r="D176" s="56" t="s">
        <v>9865</v>
      </c>
      <c r="E176" s="10" t="s">
        <v>137</v>
      </c>
      <c r="F176" s="10" t="s">
        <v>9866</v>
      </c>
      <c r="G176" s="10" t="s">
        <v>17432</v>
      </c>
      <c r="H176" s="10" t="s">
        <v>165</v>
      </c>
      <c r="I176" s="10" t="s">
        <v>48</v>
      </c>
      <c r="K176" s="10" t="s">
        <v>17844</v>
      </c>
      <c r="L176" s="10" t="s">
        <v>42</v>
      </c>
    </row>
    <row r="177" ht="15.75" customHeight="1">
      <c r="A177" s="64">
        <v>45492.0</v>
      </c>
      <c r="B177" s="55" t="str">
        <f>HYPERLINK("https://jobright.ai/jobs/info/6699c680ba0fc51ed3e0258c?utm_campaign=1054&amp;utm_source=sheet", "Apply")</f>
        <v>Apply</v>
      </c>
      <c r="C177" s="10" t="s">
        <v>17434</v>
      </c>
      <c r="D177" s="56" t="s">
        <v>17845</v>
      </c>
      <c r="E177" s="10" t="s">
        <v>249</v>
      </c>
      <c r="F177" s="10" t="s">
        <v>17846</v>
      </c>
      <c r="G177" s="10" t="s">
        <v>17429</v>
      </c>
      <c r="H177" s="10" t="s">
        <v>17847</v>
      </c>
      <c r="I177" s="10" t="s">
        <v>55</v>
      </c>
      <c r="J177" s="10" t="s">
        <v>17848</v>
      </c>
      <c r="K177" s="10" t="s">
        <v>17849</v>
      </c>
      <c r="L177" s="10" t="s">
        <v>42</v>
      </c>
    </row>
    <row r="178" ht="15.75" customHeight="1">
      <c r="A178" s="64">
        <v>45492.0</v>
      </c>
      <c r="B178" s="55" t="str">
        <f>HYPERLINK("https://jobright.ai/jobs/info/669a5a2035fab870f631ef09?utm_campaign=1054&amp;utm_source=sheet", "Apply")</f>
        <v>Apply</v>
      </c>
      <c r="C178" s="10" t="s">
        <v>17754</v>
      </c>
      <c r="D178" s="56" t="s">
        <v>17850</v>
      </c>
      <c r="E178" s="10" t="s">
        <v>71</v>
      </c>
      <c r="F178" s="10" t="s">
        <v>9747</v>
      </c>
      <c r="G178" s="10" t="s">
        <v>17432</v>
      </c>
      <c r="H178" s="10" t="s">
        <v>10669</v>
      </c>
      <c r="I178" s="10" t="s">
        <v>55</v>
      </c>
      <c r="J178" s="10" t="s">
        <v>1797</v>
      </c>
      <c r="K178" s="10" t="s">
        <v>17851</v>
      </c>
      <c r="L178" s="10" t="s">
        <v>42</v>
      </c>
    </row>
    <row r="179" ht="15.75" customHeight="1">
      <c r="A179" s="64">
        <v>45492.0</v>
      </c>
      <c r="B179" s="55" t="str">
        <f>HYPERLINK("https://jobright.ai/jobs/info/669ace18ff11284463c60643?utm_campaign=1054&amp;utm_source=sheet", "Apply")</f>
        <v>Apply</v>
      </c>
      <c r="C179" s="10" t="s">
        <v>17792</v>
      </c>
      <c r="D179" s="56" t="s">
        <v>17793</v>
      </c>
      <c r="E179" s="10">
        <v>12300.0</v>
      </c>
      <c r="G179" s="10" t="s">
        <v>17429</v>
      </c>
      <c r="H179" s="10" t="s">
        <v>17852</v>
      </c>
      <c r="I179" s="10" t="s">
        <v>55</v>
      </c>
      <c r="K179" s="10" t="s">
        <v>17794</v>
      </c>
      <c r="L179" s="10" t="s">
        <v>42</v>
      </c>
    </row>
    <row r="180" ht="15.75" customHeight="1">
      <c r="A180" s="64">
        <v>45492.0</v>
      </c>
      <c r="B180" s="55" t="str">
        <f>HYPERLINK("https://jobright.ai/jobs/info/669aadffa0085fff770a7bb2?utm_campaign=1054&amp;utm_source=sheet", "Apply")</f>
        <v>Apply</v>
      </c>
      <c r="C180" s="10" t="s">
        <v>17651</v>
      </c>
      <c r="D180" s="56" t="s">
        <v>17521</v>
      </c>
      <c r="E180" s="10" t="s">
        <v>65</v>
      </c>
      <c r="F180" s="10" t="s">
        <v>1312</v>
      </c>
      <c r="G180" s="10" t="s">
        <v>17429</v>
      </c>
      <c r="H180" s="10" t="s">
        <v>17853</v>
      </c>
      <c r="I180" s="10" t="s">
        <v>48</v>
      </c>
      <c r="K180" s="10" t="s">
        <v>17854</v>
      </c>
      <c r="L180" s="10" t="s">
        <v>42</v>
      </c>
    </row>
    <row r="181" ht="15.75" customHeight="1">
      <c r="A181" s="64">
        <v>45491.0</v>
      </c>
      <c r="B181" s="55" t="str">
        <f>HYPERLINK("https://jobright.ai/jobs/info/6699b77ca88c5ef0817a609b?utm_campaign=1054&amp;utm_source=sheet", "Apply")</f>
        <v>Apply</v>
      </c>
      <c r="C181" s="10" t="s">
        <v>17855</v>
      </c>
      <c r="D181" s="56" t="s">
        <v>17804</v>
      </c>
      <c r="E181" s="10" t="s">
        <v>45</v>
      </c>
      <c r="F181" s="10" t="s">
        <v>1266</v>
      </c>
      <c r="G181" s="10" t="s">
        <v>17429</v>
      </c>
      <c r="H181" s="10" t="s">
        <v>16675</v>
      </c>
      <c r="I181" s="10" t="s">
        <v>55</v>
      </c>
      <c r="K181" s="10" t="s">
        <v>17805</v>
      </c>
      <c r="L181" s="10" t="s">
        <v>42</v>
      </c>
    </row>
    <row r="182" ht="15.75" customHeight="1">
      <c r="A182" s="64">
        <v>45491.0</v>
      </c>
      <c r="B182" s="55" t="str">
        <f>HYPERLINK("https://jobright.ai/jobs/info/669992efeaece15dc98ab854?utm_campaign=1054&amp;utm_source=sheet", "Apply")</f>
        <v>Apply</v>
      </c>
      <c r="C182" s="10" t="s">
        <v>17856</v>
      </c>
      <c r="D182" s="56" t="s">
        <v>17857</v>
      </c>
      <c r="E182" s="10" t="s">
        <v>45</v>
      </c>
      <c r="F182" s="10" t="s">
        <v>9101</v>
      </c>
      <c r="G182" s="10" t="s">
        <v>17432</v>
      </c>
      <c r="H182" s="10" t="s">
        <v>423</v>
      </c>
      <c r="I182" s="10" t="s">
        <v>48</v>
      </c>
      <c r="J182" s="10" t="s">
        <v>17858</v>
      </c>
      <c r="K182" s="10" t="s">
        <v>17859</v>
      </c>
      <c r="L182" s="10" t="s">
        <v>42</v>
      </c>
    </row>
    <row r="183" ht="15.75" customHeight="1">
      <c r="A183" s="64">
        <v>45491.0</v>
      </c>
      <c r="B183" s="55" t="str">
        <f>HYPERLINK("https://jobright.ai/jobs/info/66959b86a70b2fb207aed76f?utm_campaign=1054&amp;utm_source=sheet", "Apply")</f>
        <v>Apply</v>
      </c>
      <c r="C183" s="10" t="s">
        <v>17860</v>
      </c>
      <c r="D183" s="56" t="s">
        <v>1650</v>
      </c>
      <c r="E183" s="10" t="s">
        <v>209</v>
      </c>
      <c r="F183" s="10" t="s">
        <v>1243</v>
      </c>
      <c r="G183" s="10" t="s">
        <v>17429</v>
      </c>
      <c r="H183" s="10" t="s">
        <v>994</v>
      </c>
      <c r="I183" s="10" t="s">
        <v>48</v>
      </c>
      <c r="K183" s="10" t="s">
        <v>17861</v>
      </c>
      <c r="L183" s="10" t="s">
        <v>42</v>
      </c>
    </row>
    <row r="184" ht="15.75" customHeight="1">
      <c r="A184" s="64">
        <v>45491.0</v>
      </c>
      <c r="B184" s="55" t="str">
        <f>HYPERLINK("https://jobright.ai/jobs/info/665922b7dc30f127d7d723f2?utm_campaign=1054&amp;utm_source=sheet", "Apply")</f>
        <v>Apply</v>
      </c>
      <c r="C184" s="10" t="s">
        <v>17599</v>
      </c>
      <c r="D184" s="56" t="s">
        <v>3669</v>
      </c>
      <c r="E184" s="10" t="s">
        <v>65</v>
      </c>
      <c r="F184" s="10" t="s">
        <v>3670</v>
      </c>
      <c r="G184" s="10" t="s">
        <v>17470</v>
      </c>
      <c r="H184" s="10" t="s">
        <v>144</v>
      </c>
      <c r="I184" s="10" t="s">
        <v>55</v>
      </c>
      <c r="J184" s="10" t="s">
        <v>3671</v>
      </c>
      <c r="K184" s="10" t="s">
        <v>17600</v>
      </c>
      <c r="L184" s="10" t="s">
        <v>42</v>
      </c>
    </row>
    <row r="185" ht="15.75" customHeight="1">
      <c r="A185" s="64">
        <v>45491.0</v>
      </c>
      <c r="B185" s="55" t="str">
        <f>HYPERLINK("https://jobright.ai/jobs/info/669959bda1e1babc4c7bf581?utm_campaign=1054&amp;utm_source=sheet", "Apply")</f>
        <v>Apply</v>
      </c>
      <c r="C185" s="10" t="s">
        <v>17862</v>
      </c>
      <c r="D185" s="56" t="s">
        <v>17863</v>
      </c>
      <c r="E185" s="10">
        <v>305.0</v>
      </c>
      <c r="G185" s="10" t="s">
        <v>17429</v>
      </c>
      <c r="H185" s="10" t="s">
        <v>17864</v>
      </c>
      <c r="I185" s="10" t="s">
        <v>55</v>
      </c>
      <c r="J185" s="10" t="s">
        <v>3544</v>
      </c>
      <c r="K185" s="10" t="s">
        <v>17865</v>
      </c>
      <c r="L185" s="10" t="s">
        <v>42</v>
      </c>
    </row>
    <row r="186" ht="15.75" customHeight="1">
      <c r="A186" s="64">
        <v>45491.0</v>
      </c>
      <c r="B186" s="55" t="str">
        <f>HYPERLINK("https://jobright.ai/jobs/info/66761ae8127b183117fe856f?utm_campaign=1054&amp;utm_source=sheet", "Apply")</f>
        <v>Apply</v>
      </c>
      <c r="C186" s="10" t="s">
        <v>17866</v>
      </c>
      <c r="D186" s="56" t="s">
        <v>17867</v>
      </c>
      <c r="E186" s="10" t="s">
        <v>79</v>
      </c>
      <c r="F186" s="10" t="s">
        <v>1587</v>
      </c>
      <c r="G186" s="10" t="s">
        <v>17429</v>
      </c>
      <c r="H186" s="10" t="s">
        <v>153</v>
      </c>
      <c r="I186" s="10" t="s">
        <v>55</v>
      </c>
      <c r="K186" s="10" t="s">
        <v>17868</v>
      </c>
      <c r="L186" s="10" t="s">
        <v>42</v>
      </c>
    </row>
    <row r="187" ht="15.75" customHeight="1">
      <c r="A187" s="64">
        <v>45491.0</v>
      </c>
      <c r="B187" s="55" t="str">
        <f>HYPERLINK("https://jobright.ai/jobs/info/66994a10788ef9279e8e8d0a?utm_campaign=1054&amp;utm_source=sheet", "Apply")</f>
        <v>Apply</v>
      </c>
      <c r="C187" s="10" t="s">
        <v>17869</v>
      </c>
      <c r="D187" s="56" t="s">
        <v>17870</v>
      </c>
      <c r="E187" s="10" t="s">
        <v>45</v>
      </c>
      <c r="F187" s="10" t="s">
        <v>665</v>
      </c>
      <c r="G187" s="10" t="s">
        <v>17432</v>
      </c>
      <c r="H187" s="10" t="s">
        <v>251</v>
      </c>
      <c r="I187" s="10" t="s">
        <v>252</v>
      </c>
      <c r="J187" s="10" t="s">
        <v>17871</v>
      </c>
      <c r="K187" s="10" t="s">
        <v>17872</v>
      </c>
      <c r="L187" s="10" t="s">
        <v>42</v>
      </c>
    </row>
    <row r="188" ht="15.75" customHeight="1">
      <c r="A188" s="64">
        <v>45491.0</v>
      </c>
      <c r="B188" s="55" t="str">
        <f>HYPERLINK("https://jobright.ai/jobs/info/66910b0bd91291d9c9d42bd8?utm_campaign=1054&amp;utm_source=sheet", "Apply")</f>
        <v>Apply</v>
      </c>
      <c r="C188" s="10" t="s">
        <v>17839</v>
      </c>
      <c r="D188" s="56" t="s">
        <v>17840</v>
      </c>
      <c r="E188" s="10" t="s">
        <v>209</v>
      </c>
      <c r="F188" s="10" t="s">
        <v>3684</v>
      </c>
      <c r="G188" s="10" t="s">
        <v>17432</v>
      </c>
      <c r="H188" s="10" t="s">
        <v>96</v>
      </c>
      <c r="I188" s="10" t="s">
        <v>55</v>
      </c>
      <c r="J188" s="10" t="s">
        <v>17841</v>
      </c>
      <c r="K188" s="10" t="s">
        <v>17842</v>
      </c>
      <c r="L188" s="10" t="s">
        <v>42</v>
      </c>
    </row>
    <row r="189" ht="15.75" customHeight="1">
      <c r="A189" s="64">
        <v>45491.0</v>
      </c>
      <c r="B189" s="55" t="str">
        <f>HYPERLINK("https://jobright.ai/jobs/info/66a271373df81825d043a318?utm_campaign=1054&amp;utm_source=sheet", "Apply")</f>
        <v>Apply</v>
      </c>
      <c r="C189" s="10" t="s">
        <v>17457</v>
      </c>
      <c r="D189" s="56" t="s">
        <v>17873</v>
      </c>
      <c r="E189" s="10" t="s">
        <v>45</v>
      </c>
      <c r="F189" s="10" t="s">
        <v>5632</v>
      </c>
      <c r="G189" s="10" t="s">
        <v>17429</v>
      </c>
      <c r="H189" s="10" t="s">
        <v>1013</v>
      </c>
      <c r="I189" s="10" t="s">
        <v>55</v>
      </c>
      <c r="K189" s="10" t="s">
        <v>17874</v>
      </c>
      <c r="L189" s="10" t="s">
        <v>42</v>
      </c>
    </row>
    <row r="190" ht="15.75" customHeight="1">
      <c r="A190" s="64">
        <v>45491.0</v>
      </c>
      <c r="B190" s="55" t="str">
        <f>HYPERLINK("https://jobright.ai/jobs/info/66a26a5a8d694daaf8c0cd86?utm_campaign=1054&amp;utm_source=sheet", "Apply")</f>
        <v>Apply</v>
      </c>
      <c r="C190" s="10" t="s">
        <v>17434</v>
      </c>
      <c r="D190" s="56" t="s">
        <v>17875</v>
      </c>
      <c r="E190" s="10" t="s">
        <v>249</v>
      </c>
      <c r="F190" s="10" t="s">
        <v>8762</v>
      </c>
      <c r="G190" s="10" t="s">
        <v>17429</v>
      </c>
      <c r="H190" s="10" t="s">
        <v>17876</v>
      </c>
      <c r="I190" s="10" t="s">
        <v>55</v>
      </c>
      <c r="K190" s="10" t="s">
        <v>17877</v>
      </c>
      <c r="L190" s="10" t="s">
        <v>42</v>
      </c>
    </row>
    <row r="191" ht="15.75" customHeight="1">
      <c r="A191" s="64">
        <v>45491.0</v>
      </c>
      <c r="B191" s="55" t="str">
        <f>HYPERLINK("https://jobright.ai/jobs/info/66a26a3d8d694daaf8c0cba5?utm_campaign=1054&amp;utm_source=sheet", "Apply")</f>
        <v>Apply</v>
      </c>
      <c r="C191" s="10" t="s">
        <v>17472</v>
      </c>
      <c r="D191" s="56" t="s">
        <v>14623</v>
      </c>
      <c r="E191" s="10" t="s">
        <v>276</v>
      </c>
      <c r="F191" s="10" t="s">
        <v>1485</v>
      </c>
      <c r="G191" s="10" t="s">
        <v>17429</v>
      </c>
      <c r="H191" s="10" t="s">
        <v>1172</v>
      </c>
      <c r="I191" s="10" t="s">
        <v>55</v>
      </c>
      <c r="J191" s="10" t="s">
        <v>14624</v>
      </c>
      <c r="K191" s="10" t="s">
        <v>17878</v>
      </c>
      <c r="L191" s="10" t="s">
        <v>42</v>
      </c>
    </row>
    <row r="192" ht="15.75" customHeight="1">
      <c r="A192" s="64">
        <v>45491.0</v>
      </c>
      <c r="B192" s="55" t="str">
        <f>HYPERLINK("https://jobright.ai/jobs/info/66a260e197a3a7c64f0cca47?utm_campaign=1054&amp;utm_source=sheet", "Apply")</f>
        <v>Apply</v>
      </c>
      <c r="C192" s="10" t="s">
        <v>17879</v>
      </c>
      <c r="D192" s="56" t="s">
        <v>17880</v>
      </c>
      <c r="E192" s="10" t="s">
        <v>65</v>
      </c>
      <c r="F192" s="10" t="s">
        <v>1922</v>
      </c>
      <c r="G192" s="10" t="s">
        <v>17432</v>
      </c>
      <c r="H192" s="10" t="s">
        <v>170</v>
      </c>
      <c r="I192" s="10" t="s">
        <v>48</v>
      </c>
      <c r="J192" s="10" t="s">
        <v>17881</v>
      </c>
      <c r="K192" s="10" t="s">
        <v>17882</v>
      </c>
      <c r="L192" s="10" t="s">
        <v>42</v>
      </c>
    </row>
    <row r="193" ht="15.75" customHeight="1">
      <c r="A193" s="64">
        <v>45491.0</v>
      </c>
      <c r="B193" s="55" t="str">
        <f>HYPERLINK("https://jobright.ai/jobs/info/66a23e01591ddbc27da15c7e?utm_campaign=1054&amp;utm_source=sheet", "Apply")</f>
        <v>Apply</v>
      </c>
      <c r="C193" s="10" t="s">
        <v>17883</v>
      </c>
      <c r="D193" s="56" t="s">
        <v>17884</v>
      </c>
      <c r="E193" s="10" t="s">
        <v>249</v>
      </c>
      <c r="F193" s="10" t="s">
        <v>11154</v>
      </c>
      <c r="G193" s="10" t="s">
        <v>17429</v>
      </c>
      <c r="H193" s="10" t="s">
        <v>170</v>
      </c>
      <c r="I193" s="10" t="s">
        <v>48</v>
      </c>
      <c r="J193" s="10" t="s">
        <v>3979</v>
      </c>
      <c r="K193" s="10" t="s">
        <v>17885</v>
      </c>
      <c r="L193" s="10" t="s">
        <v>42</v>
      </c>
    </row>
    <row r="194" ht="15.75" customHeight="1">
      <c r="A194" s="64">
        <v>45491.0</v>
      </c>
      <c r="B194" s="55" t="str">
        <f>HYPERLINK("https://jobright.ai/jobs/info/669a4fa52885e142e98dec0b?utm_campaign=1054&amp;utm_source=sheet", "Apply")</f>
        <v>Apply</v>
      </c>
      <c r="C194" s="10" t="s">
        <v>17886</v>
      </c>
      <c r="D194" s="56" t="s">
        <v>6658</v>
      </c>
      <c r="E194" s="10" t="s">
        <v>65</v>
      </c>
      <c r="F194" s="10" t="s">
        <v>6659</v>
      </c>
      <c r="G194" s="10" t="s">
        <v>17429</v>
      </c>
      <c r="H194" s="10" t="s">
        <v>957</v>
      </c>
      <c r="I194" s="10" t="s">
        <v>55</v>
      </c>
      <c r="J194" s="10" t="s">
        <v>17887</v>
      </c>
      <c r="K194" s="10" t="s">
        <v>17888</v>
      </c>
      <c r="L194" s="10" t="s">
        <v>42</v>
      </c>
    </row>
    <row r="195" ht="15.75" customHeight="1">
      <c r="A195" s="64">
        <v>45491.0</v>
      </c>
      <c r="B195" s="55" t="str">
        <f>HYPERLINK("https://jobright.ai/jobs/info/6675ac716d8340c59f8e4c2d?utm_campaign=1054&amp;utm_source=sheet", "Apply")</f>
        <v>Apply</v>
      </c>
      <c r="C195" s="10" t="s">
        <v>17889</v>
      </c>
      <c r="D195" s="56" t="s">
        <v>17890</v>
      </c>
      <c r="E195" s="10" t="s">
        <v>249</v>
      </c>
      <c r="F195" s="10" t="s">
        <v>3594</v>
      </c>
      <c r="G195" s="10" t="s">
        <v>17429</v>
      </c>
      <c r="H195" s="10" t="s">
        <v>165</v>
      </c>
      <c r="I195" s="10" t="s">
        <v>55</v>
      </c>
      <c r="J195" s="10" t="s">
        <v>17891</v>
      </c>
      <c r="K195" s="10" t="s">
        <v>17892</v>
      </c>
      <c r="L195" s="10" t="s">
        <v>42</v>
      </c>
    </row>
    <row r="196" ht="15.75" customHeight="1">
      <c r="A196" s="64">
        <v>45491.0</v>
      </c>
      <c r="B196" s="55" t="str">
        <f>HYPERLINK("https://jobright.ai/jobs/info/667cbc786c03d6aa6d804eda?utm_campaign=1054&amp;utm_source=sheet", "Apply")</f>
        <v>Apply</v>
      </c>
      <c r="C196" s="10" t="s">
        <v>17434</v>
      </c>
      <c r="D196" s="56" t="s">
        <v>17893</v>
      </c>
      <c r="E196" s="10" t="s">
        <v>65</v>
      </c>
      <c r="F196" s="10" t="s">
        <v>6645</v>
      </c>
      <c r="G196" s="10" t="s">
        <v>17429</v>
      </c>
      <c r="H196" s="10" t="s">
        <v>17894</v>
      </c>
      <c r="I196" s="10" t="s">
        <v>55</v>
      </c>
      <c r="K196" s="10" t="s">
        <v>17895</v>
      </c>
      <c r="L196" s="10" t="s">
        <v>42</v>
      </c>
    </row>
    <row r="197" ht="15.75" customHeight="1">
      <c r="A197" s="64">
        <v>45491.0</v>
      </c>
      <c r="B197" s="55" t="str">
        <f>HYPERLINK("https://jobright.ai/jobs/info/6698942ca815047e6f29cc02?utm_campaign=1054&amp;utm_source=sheet", "Apply")</f>
        <v>Apply</v>
      </c>
      <c r="C197" s="10" t="s">
        <v>17896</v>
      </c>
      <c r="D197" s="56" t="s">
        <v>17897</v>
      </c>
      <c r="E197" s="10" t="s">
        <v>79</v>
      </c>
      <c r="F197" s="10" t="s">
        <v>17898</v>
      </c>
      <c r="G197" s="10" t="s">
        <v>17429</v>
      </c>
      <c r="H197" s="10" t="s">
        <v>6071</v>
      </c>
      <c r="I197" s="10" t="s">
        <v>55</v>
      </c>
      <c r="K197" s="10" t="s">
        <v>17899</v>
      </c>
      <c r="L197" s="10" t="s">
        <v>42</v>
      </c>
    </row>
    <row r="198" ht="15.75" customHeight="1">
      <c r="A198" s="64">
        <v>45491.0</v>
      </c>
      <c r="B198" s="55" t="str">
        <f>HYPERLINK("https://jobright.ai/jobs/info/66995068fe6d069c7caa9ec4?utm_campaign=1054&amp;utm_source=sheet", "Apply")</f>
        <v>Apply</v>
      </c>
      <c r="C198" s="10" t="s">
        <v>17434</v>
      </c>
      <c r="D198" s="56" t="s">
        <v>17900</v>
      </c>
      <c r="E198" s="10" t="s">
        <v>249</v>
      </c>
      <c r="F198" s="10" t="s">
        <v>10</v>
      </c>
      <c r="G198" s="10" t="s">
        <v>17429</v>
      </c>
      <c r="H198" s="10" t="s">
        <v>17901</v>
      </c>
      <c r="I198" s="10" t="s">
        <v>55</v>
      </c>
      <c r="J198" s="10" t="s">
        <v>2217</v>
      </c>
      <c r="K198" s="10" t="s">
        <v>17902</v>
      </c>
      <c r="L198" s="10" t="s">
        <v>42</v>
      </c>
    </row>
    <row r="199" ht="15.75" customHeight="1">
      <c r="A199" s="64">
        <v>45491.0</v>
      </c>
      <c r="B199" s="55" t="str">
        <f>HYPERLINK("https://jobright.ai/jobs/info/66996b7262e363181a8c770f?utm_campaign=1054&amp;utm_source=sheet", "Apply")</f>
        <v>Apply</v>
      </c>
      <c r="C199" s="10" t="s">
        <v>17903</v>
      </c>
      <c r="D199" s="56" t="s">
        <v>17904</v>
      </c>
      <c r="G199" s="10" t="s">
        <v>17429</v>
      </c>
      <c r="H199" s="10" t="s">
        <v>17905</v>
      </c>
      <c r="I199" s="10" t="s">
        <v>48</v>
      </c>
      <c r="K199" s="10" t="s">
        <v>17906</v>
      </c>
      <c r="L199" s="10" t="s">
        <v>42</v>
      </c>
    </row>
    <row r="200" ht="15.75" customHeight="1">
      <c r="A200" s="64">
        <v>45490.0</v>
      </c>
      <c r="B200" s="55" t="str">
        <f>HYPERLINK("https://jobright.ai/jobs/info/66986aa6bdca330e79ce190f?utm_campaign=1054&amp;utm_source=sheet", "Apply")</f>
        <v>Apply</v>
      </c>
      <c r="C200" s="10" t="s">
        <v>17907</v>
      </c>
      <c r="D200" s="56" t="s">
        <v>17908</v>
      </c>
      <c r="E200" s="10" t="s">
        <v>65</v>
      </c>
      <c r="F200" s="10" t="s">
        <v>1234</v>
      </c>
      <c r="G200" s="10" t="s">
        <v>17432</v>
      </c>
      <c r="H200" s="10" t="s">
        <v>131</v>
      </c>
      <c r="I200" s="10" t="s">
        <v>55</v>
      </c>
      <c r="J200" s="10" t="s">
        <v>17909</v>
      </c>
      <c r="K200" s="10" t="s">
        <v>17910</v>
      </c>
      <c r="L200" s="10" t="s">
        <v>42</v>
      </c>
    </row>
    <row r="201" ht="15.75" customHeight="1">
      <c r="A201" s="64">
        <v>45490.0</v>
      </c>
      <c r="B201" s="55" t="str">
        <f>HYPERLINK("https://jobright.ai/jobs/info/66904d41f7b84ac91aab617b?utm_campaign=1054&amp;utm_source=sheet", "Apply")</f>
        <v>Apply</v>
      </c>
      <c r="C201" s="10" t="s">
        <v>17911</v>
      </c>
      <c r="D201" s="56" t="s">
        <v>17912</v>
      </c>
      <c r="E201" s="10" t="s">
        <v>45</v>
      </c>
      <c r="F201" s="10" t="s">
        <v>14155</v>
      </c>
      <c r="G201" s="10" t="s">
        <v>17470</v>
      </c>
      <c r="H201" s="10" t="s">
        <v>152</v>
      </c>
      <c r="I201" s="10" t="s">
        <v>55</v>
      </c>
      <c r="L201" s="10" t="s">
        <v>42</v>
      </c>
    </row>
    <row r="202" ht="15.75" customHeight="1">
      <c r="A202" s="64">
        <v>45490.0</v>
      </c>
      <c r="B202" s="55" t="str">
        <f>HYPERLINK("https://jobright.ai/jobs/info/66985194fad1cebfe32922ad?utm_campaign=1054&amp;utm_source=sheet", "Apply")</f>
        <v>Apply</v>
      </c>
      <c r="C202" s="10" t="s">
        <v>17913</v>
      </c>
      <c r="D202" s="56" t="s">
        <v>17840</v>
      </c>
      <c r="E202" s="10" t="s">
        <v>209</v>
      </c>
      <c r="F202" s="10" t="s">
        <v>3684</v>
      </c>
      <c r="G202" s="10" t="s">
        <v>17432</v>
      </c>
      <c r="H202" s="10" t="s">
        <v>165</v>
      </c>
      <c r="I202" s="10" t="s">
        <v>48</v>
      </c>
      <c r="J202" s="10" t="s">
        <v>17841</v>
      </c>
      <c r="K202" s="10" t="s">
        <v>17842</v>
      </c>
      <c r="L202" s="10" t="s">
        <v>42</v>
      </c>
    </row>
    <row r="203" ht="15.75" customHeight="1">
      <c r="A203" s="64">
        <v>45490.0</v>
      </c>
      <c r="B203" s="55" t="str">
        <f>HYPERLINK("https://jobright.ai/jobs/info/66984e7355864e15dfcb6496?utm_campaign=1054&amp;utm_source=sheet", "Apply")</f>
        <v>Apply</v>
      </c>
      <c r="C203" s="10" t="s">
        <v>17914</v>
      </c>
      <c r="D203" s="56" t="s">
        <v>17840</v>
      </c>
      <c r="E203" s="10" t="s">
        <v>209</v>
      </c>
      <c r="F203" s="10" t="s">
        <v>3684</v>
      </c>
      <c r="G203" s="10" t="s">
        <v>17429</v>
      </c>
      <c r="H203" s="10" t="s">
        <v>96</v>
      </c>
      <c r="I203" s="10" t="s">
        <v>48</v>
      </c>
      <c r="J203" s="10" t="s">
        <v>17841</v>
      </c>
      <c r="K203" s="10" t="s">
        <v>17842</v>
      </c>
      <c r="L203" s="10" t="s">
        <v>42</v>
      </c>
    </row>
    <row r="204" ht="15.75" customHeight="1">
      <c r="A204" s="64">
        <v>45490.0</v>
      </c>
      <c r="B204" s="55" t="str">
        <f>HYPERLINK("https://jobright.ai/jobs/info/66984e7e55864e15dfcb65a6?utm_campaign=1054&amp;utm_source=sheet", "Apply")</f>
        <v>Apply</v>
      </c>
      <c r="C204" s="10" t="s">
        <v>17913</v>
      </c>
      <c r="D204" s="56" t="s">
        <v>17840</v>
      </c>
      <c r="E204" s="10" t="s">
        <v>209</v>
      </c>
      <c r="F204" s="10" t="s">
        <v>3684</v>
      </c>
      <c r="G204" s="10" t="s">
        <v>17432</v>
      </c>
      <c r="H204" s="10" t="s">
        <v>96</v>
      </c>
      <c r="I204" s="10" t="s">
        <v>48</v>
      </c>
      <c r="J204" s="10" t="s">
        <v>17841</v>
      </c>
      <c r="K204" s="10" t="s">
        <v>17842</v>
      </c>
      <c r="L204" s="10" t="s">
        <v>42</v>
      </c>
    </row>
    <row r="205" ht="15.75" customHeight="1">
      <c r="A205" s="64">
        <v>45490.0</v>
      </c>
      <c r="B205" s="55" t="str">
        <f>HYPERLINK("https://jobright.ai/jobs/info/66984e7e55864e15dfcb65a7?utm_campaign=1054&amp;utm_source=sheet", "Apply")</f>
        <v>Apply</v>
      </c>
      <c r="C205" s="10" t="s">
        <v>17914</v>
      </c>
      <c r="D205" s="56" t="s">
        <v>17840</v>
      </c>
      <c r="E205" s="10" t="s">
        <v>209</v>
      </c>
      <c r="F205" s="10" t="s">
        <v>3684</v>
      </c>
      <c r="G205" s="10" t="s">
        <v>17429</v>
      </c>
      <c r="H205" s="10" t="s">
        <v>165</v>
      </c>
      <c r="I205" s="10" t="s">
        <v>48</v>
      </c>
      <c r="J205" s="10" t="s">
        <v>17841</v>
      </c>
      <c r="K205" s="10" t="s">
        <v>17842</v>
      </c>
      <c r="L205" s="10" t="s">
        <v>42</v>
      </c>
    </row>
    <row r="206" ht="15.75" customHeight="1">
      <c r="A206" s="64">
        <v>45490.0</v>
      </c>
      <c r="B206" s="55" t="str">
        <f>HYPERLINK("https://jobright.ai/jobs/info/6698417819b3a20daf3b90cb?utm_campaign=1054&amp;utm_source=sheet", "Apply")</f>
        <v>Apply</v>
      </c>
      <c r="C206" s="10" t="s">
        <v>17915</v>
      </c>
      <c r="D206" s="56" t="s">
        <v>17916</v>
      </c>
      <c r="E206" s="10">
        <v>1786.0</v>
      </c>
      <c r="G206" s="10" t="s">
        <v>17429</v>
      </c>
      <c r="H206" s="10" t="s">
        <v>153</v>
      </c>
      <c r="I206" s="10" t="s">
        <v>48</v>
      </c>
      <c r="J206" s="10" t="s">
        <v>1409</v>
      </c>
      <c r="K206" s="10" t="s">
        <v>17917</v>
      </c>
      <c r="L206" s="10" t="s">
        <v>42</v>
      </c>
    </row>
    <row r="207" ht="15.75" customHeight="1">
      <c r="A207" s="64">
        <v>45490.0</v>
      </c>
      <c r="B207" s="55" t="str">
        <f>HYPERLINK("https://jobright.ai/jobs/info/66984885bd2796cba11490c7?utm_campaign=1054&amp;utm_source=sheet", "Apply")</f>
        <v>Apply</v>
      </c>
      <c r="C207" s="10" t="s">
        <v>17918</v>
      </c>
      <c r="D207" s="56" t="s">
        <v>10341</v>
      </c>
      <c r="E207" s="10" t="s">
        <v>65</v>
      </c>
      <c r="F207" s="10" t="s">
        <v>1601</v>
      </c>
      <c r="G207" s="10" t="s">
        <v>17432</v>
      </c>
      <c r="H207" s="10" t="s">
        <v>442</v>
      </c>
      <c r="I207" s="10" t="s">
        <v>48</v>
      </c>
      <c r="K207" s="10" t="s">
        <v>17919</v>
      </c>
      <c r="L207" s="10" t="s">
        <v>42</v>
      </c>
    </row>
    <row r="208" ht="15.75" customHeight="1">
      <c r="A208" s="64">
        <v>45490.0</v>
      </c>
      <c r="B208" s="55" t="str">
        <f>HYPERLINK("https://jobright.ai/jobs/info/6698ef599976c90946153596?utm_campaign=1054&amp;utm_source=sheet", "Apply")</f>
        <v>Apply</v>
      </c>
      <c r="C208" s="10" t="s">
        <v>17920</v>
      </c>
      <c r="D208" s="56" t="s">
        <v>17921</v>
      </c>
      <c r="E208" s="10" t="s">
        <v>209</v>
      </c>
      <c r="F208" s="10" t="s">
        <v>2409</v>
      </c>
      <c r="G208" s="10" t="s">
        <v>17429</v>
      </c>
      <c r="H208" s="10" t="s">
        <v>17922</v>
      </c>
      <c r="I208" s="10" t="s">
        <v>55</v>
      </c>
      <c r="K208" s="10" t="s">
        <v>17923</v>
      </c>
      <c r="L208" s="10" t="s">
        <v>42</v>
      </c>
    </row>
    <row r="209" ht="15.75" customHeight="1">
      <c r="A209" s="64">
        <v>45490.0</v>
      </c>
      <c r="B209" s="55" t="str">
        <f>HYPERLINK("https://jobright.ai/jobs/info/669834b142f8a0cca17e1605?utm_campaign=1054&amp;utm_source=sheet", "Apply")</f>
        <v>Apply</v>
      </c>
      <c r="C209" s="10" t="s">
        <v>17924</v>
      </c>
      <c r="D209" s="56" t="s">
        <v>17925</v>
      </c>
      <c r="E209" s="10" t="s">
        <v>65</v>
      </c>
      <c r="F209" s="10" t="s">
        <v>4017</v>
      </c>
      <c r="G209" s="10" t="s">
        <v>17429</v>
      </c>
      <c r="H209" s="10" t="s">
        <v>165</v>
      </c>
      <c r="I209" s="10" t="s">
        <v>48</v>
      </c>
      <c r="J209" s="10" t="s">
        <v>2450</v>
      </c>
      <c r="K209" s="10" t="s">
        <v>17926</v>
      </c>
      <c r="L209" s="10" t="s">
        <v>42</v>
      </c>
    </row>
    <row r="210" ht="15.75" customHeight="1">
      <c r="A210" s="64">
        <v>45490.0</v>
      </c>
      <c r="B210" s="55" t="str">
        <f>HYPERLINK("https://jobright.ai/jobs/info/669837be13232b70689ad5ea?utm_campaign=1054&amp;utm_source=sheet", "Apply")</f>
        <v>Apply</v>
      </c>
      <c r="C210" s="10" t="s">
        <v>17927</v>
      </c>
      <c r="D210" s="56" t="s">
        <v>17928</v>
      </c>
      <c r="E210" s="10" t="s">
        <v>209</v>
      </c>
      <c r="F210" s="10" t="s">
        <v>14235</v>
      </c>
      <c r="G210" s="10" t="s">
        <v>17429</v>
      </c>
      <c r="H210" s="10" t="s">
        <v>17929</v>
      </c>
      <c r="I210" s="10" t="s">
        <v>55</v>
      </c>
      <c r="J210" s="10" t="s">
        <v>17930</v>
      </c>
      <c r="K210" s="10" t="s">
        <v>17931</v>
      </c>
      <c r="L210" s="10" t="s">
        <v>42</v>
      </c>
    </row>
    <row r="211" ht="15.75" customHeight="1">
      <c r="A211" s="64">
        <v>45490.0</v>
      </c>
      <c r="B211" s="55" t="str">
        <f>HYPERLINK("https://jobright.ai/jobs/info/66983ceb3fd096c6a4d60269?utm_campaign=1054&amp;utm_source=sheet", "Apply")</f>
        <v>Apply</v>
      </c>
      <c r="C211" s="10" t="s">
        <v>17457</v>
      </c>
      <c r="D211" s="56" t="s">
        <v>6114</v>
      </c>
      <c r="E211" s="10" t="s">
        <v>209</v>
      </c>
      <c r="F211" s="10" t="s">
        <v>615</v>
      </c>
      <c r="G211" s="10" t="s">
        <v>17429</v>
      </c>
      <c r="H211" s="10" t="s">
        <v>13894</v>
      </c>
      <c r="I211" s="10" t="s">
        <v>55</v>
      </c>
      <c r="J211" s="10" t="s">
        <v>1244</v>
      </c>
      <c r="K211" s="10" t="s">
        <v>17932</v>
      </c>
      <c r="L211" s="10" t="s">
        <v>42</v>
      </c>
    </row>
    <row r="212" ht="15.75" customHeight="1">
      <c r="A212" s="64">
        <v>45490.0</v>
      </c>
      <c r="B212" s="55" t="str">
        <f>HYPERLINK("https://jobright.ai/jobs/info/66983ceb3fd096c6a4d602d6?utm_campaign=1054&amp;utm_source=sheet", "Apply")</f>
        <v>Apply</v>
      </c>
      <c r="C212" s="10" t="s">
        <v>17933</v>
      </c>
      <c r="D212" s="56" t="s">
        <v>10341</v>
      </c>
      <c r="E212" s="10" t="s">
        <v>65</v>
      </c>
      <c r="F212" s="10" t="s">
        <v>1601</v>
      </c>
      <c r="G212" s="10" t="s">
        <v>17429</v>
      </c>
      <c r="H212" s="10" t="s">
        <v>442</v>
      </c>
      <c r="I212" s="10" t="s">
        <v>48</v>
      </c>
      <c r="K212" s="10" t="s">
        <v>17934</v>
      </c>
      <c r="L212" s="10" t="s">
        <v>42</v>
      </c>
    </row>
    <row r="213" ht="15.75" customHeight="1">
      <c r="A213" s="64">
        <v>45490.0</v>
      </c>
      <c r="B213" s="55" t="str">
        <f>HYPERLINK("https://jobright.ai/jobs/info/669837be13232b70689ad684?utm_campaign=1054&amp;utm_source=sheet", "Apply")</f>
        <v>Apply</v>
      </c>
      <c r="C213" s="10" t="s">
        <v>17434</v>
      </c>
      <c r="D213" s="56" t="s">
        <v>17935</v>
      </c>
      <c r="E213" s="10" t="s">
        <v>249</v>
      </c>
      <c r="F213" s="10" t="s">
        <v>17936</v>
      </c>
      <c r="G213" s="10" t="s">
        <v>17429</v>
      </c>
      <c r="H213" s="10" t="s">
        <v>17937</v>
      </c>
      <c r="I213" s="10" t="s">
        <v>55</v>
      </c>
      <c r="J213" s="10" t="s">
        <v>17938</v>
      </c>
      <c r="K213" s="10" t="s">
        <v>17939</v>
      </c>
      <c r="L213" s="10" t="s">
        <v>42</v>
      </c>
    </row>
    <row r="214" ht="15.75" customHeight="1">
      <c r="A214" s="64">
        <v>45490.0</v>
      </c>
      <c r="B214" s="55" t="str">
        <f>HYPERLINK("https://jobright.ai/jobs/info/6698111440aa8b043959f0b5?utm_campaign=1054&amp;utm_source=sheet", "Apply")</f>
        <v>Apply</v>
      </c>
      <c r="C214" s="10" t="s">
        <v>17434</v>
      </c>
      <c r="D214" s="56" t="s">
        <v>17940</v>
      </c>
      <c r="E214" s="10" t="s">
        <v>79</v>
      </c>
      <c r="F214" s="10" t="s">
        <v>2588</v>
      </c>
      <c r="G214" s="10" t="s">
        <v>17429</v>
      </c>
      <c r="H214" s="10" t="s">
        <v>167</v>
      </c>
      <c r="I214" s="10" t="s">
        <v>48</v>
      </c>
      <c r="K214" s="10" t="s">
        <v>17941</v>
      </c>
      <c r="L214" s="10" t="s">
        <v>42</v>
      </c>
    </row>
    <row r="215" ht="15.75" customHeight="1">
      <c r="A215" s="64">
        <v>45490.0</v>
      </c>
      <c r="B215" s="55" t="str">
        <f>HYPERLINK("https://jobright.ai/jobs/info/6697feead087a5f02f46af29?utm_campaign=1054&amp;utm_source=sheet", "Apply")</f>
        <v>Apply</v>
      </c>
      <c r="C215" s="10" t="s">
        <v>17942</v>
      </c>
      <c r="D215" s="56" t="s">
        <v>2493</v>
      </c>
      <c r="E215" s="10" t="s">
        <v>45</v>
      </c>
      <c r="F215" s="10" t="s">
        <v>2494</v>
      </c>
      <c r="G215" s="10" t="s">
        <v>17429</v>
      </c>
      <c r="H215" s="10" t="s">
        <v>936</v>
      </c>
      <c r="I215" s="10" t="s">
        <v>55</v>
      </c>
      <c r="K215" s="10" t="s">
        <v>17943</v>
      </c>
      <c r="L215" s="10" t="s">
        <v>42</v>
      </c>
    </row>
    <row r="216" ht="15.75" customHeight="1">
      <c r="A216" s="64">
        <v>45490.0</v>
      </c>
      <c r="B216" s="55" t="str">
        <f>HYPERLINK("https://jobright.ai/jobs/info/6691b43acdd4fd0eb3caecc6?utm_campaign=1054&amp;utm_source=sheet", "Apply")</f>
        <v>Apply</v>
      </c>
      <c r="C216" s="10" t="s">
        <v>17944</v>
      </c>
      <c r="D216" s="56" t="s">
        <v>1650</v>
      </c>
      <c r="E216" s="10" t="s">
        <v>209</v>
      </c>
      <c r="F216" s="10" t="s">
        <v>1243</v>
      </c>
      <c r="G216" s="10" t="s">
        <v>17432</v>
      </c>
      <c r="H216" s="10" t="s">
        <v>923</v>
      </c>
      <c r="I216" s="10" t="s">
        <v>48</v>
      </c>
      <c r="K216" s="10" t="s">
        <v>17945</v>
      </c>
      <c r="L216" s="10" t="s">
        <v>42</v>
      </c>
    </row>
    <row r="217" ht="15.75" customHeight="1">
      <c r="A217" s="64">
        <v>45490.0</v>
      </c>
      <c r="B217" s="55" t="str">
        <f>HYPERLINK("https://jobright.ai/jobs/info/669fc3675fc481811c0e641a?utm_campaign=1054&amp;utm_source=sheet", "Apply")</f>
        <v>Apply</v>
      </c>
      <c r="C217" s="10" t="s">
        <v>17777</v>
      </c>
      <c r="D217" s="56" t="s">
        <v>17778</v>
      </c>
      <c r="E217" s="10" t="s">
        <v>79</v>
      </c>
      <c r="F217" s="10" t="s">
        <v>3149</v>
      </c>
      <c r="G217" s="10" t="s">
        <v>17429</v>
      </c>
      <c r="H217" s="10" t="s">
        <v>2550</v>
      </c>
      <c r="I217" s="10" t="s">
        <v>55</v>
      </c>
      <c r="K217" s="10" t="s">
        <v>17779</v>
      </c>
      <c r="L217" s="10" t="s">
        <v>42</v>
      </c>
    </row>
    <row r="218" ht="15.75" customHeight="1">
      <c r="A218" s="64">
        <v>45490.0</v>
      </c>
      <c r="B218" s="55" t="str">
        <f>HYPERLINK("https://jobright.ai/jobs/info/6697ddb5c1957b47ad533de4?utm_campaign=1054&amp;utm_source=sheet", "Apply")</f>
        <v>Apply</v>
      </c>
      <c r="C218" s="10" t="s">
        <v>17946</v>
      </c>
      <c r="D218" s="56" t="s">
        <v>17947</v>
      </c>
      <c r="G218" s="10" t="s">
        <v>17429</v>
      </c>
      <c r="H218" s="10" t="s">
        <v>1032</v>
      </c>
      <c r="I218" s="10" t="s">
        <v>55</v>
      </c>
      <c r="K218" s="10" t="s">
        <v>17948</v>
      </c>
      <c r="L218" s="10" t="s">
        <v>42</v>
      </c>
    </row>
    <row r="219" ht="15.75" customHeight="1">
      <c r="A219" s="64">
        <v>45490.0</v>
      </c>
      <c r="B219" s="55" t="str">
        <f>HYPERLINK("https://jobright.ai/jobs/info/667b596246c6f972c505d7cb?utm_campaign=1054&amp;utm_source=sheet", "Apply")</f>
        <v>Apply</v>
      </c>
      <c r="C219" s="10" t="s">
        <v>17949</v>
      </c>
      <c r="D219" s="56" t="s">
        <v>17950</v>
      </c>
      <c r="E219" s="10" t="s">
        <v>249</v>
      </c>
      <c r="F219" s="10" t="s">
        <v>7058</v>
      </c>
      <c r="G219" s="10" t="s">
        <v>17432</v>
      </c>
      <c r="H219" s="10" t="s">
        <v>5337</v>
      </c>
      <c r="I219" s="10" t="s">
        <v>55</v>
      </c>
      <c r="K219" s="10" t="s">
        <v>17951</v>
      </c>
      <c r="L219" s="10" t="s">
        <v>42</v>
      </c>
    </row>
    <row r="220" ht="15.75" customHeight="1">
      <c r="A220" s="64">
        <v>45490.0</v>
      </c>
      <c r="B220" s="55" t="str">
        <f>HYPERLINK("https://jobright.ai/jobs/info/660349c981e1efe34539bb39?utm_campaign=1054&amp;utm_source=sheet", "Apply")</f>
        <v>Apply</v>
      </c>
      <c r="C220" s="10" t="s">
        <v>17952</v>
      </c>
      <c r="D220" s="56" t="s">
        <v>17953</v>
      </c>
      <c r="E220" s="10" t="s">
        <v>65</v>
      </c>
      <c r="F220" s="10" t="s">
        <v>17954</v>
      </c>
      <c r="G220" s="10" t="s">
        <v>17429</v>
      </c>
      <c r="H220" s="10" t="s">
        <v>610</v>
      </c>
      <c r="I220" s="10" t="s">
        <v>55</v>
      </c>
      <c r="K220" s="10" t="s">
        <v>17955</v>
      </c>
      <c r="L220" s="10" t="s">
        <v>42</v>
      </c>
    </row>
    <row r="221" ht="15.75" customHeight="1">
      <c r="A221" s="64">
        <v>45490.0</v>
      </c>
      <c r="B221" s="55" t="str">
        <f>HYPERLINK("https://jobright.ai/jobs/info/664def3fcf7bdc8f73b3bd9c?utm_campaign=1054&amp;utm_source=sheet", "Apply")</f>
        <v>Apply</v>
      </c>
      <c r="C221" s="10" t="s">
        <v>17956</v>
      </c>
      <c r="D221" s="56" t="s">
        <v>17957</v>
      </c>
      <c r="E221" s="10" t="s">
        <v>71</v>
      </c>
      <c r="F221" s="10" t="s">
        <v>1564</v>
      </c>
      <c r="G221" s="10" t="s">
        <v>17432</v>
      </c>
      <c r="H221" s="10" t="s">
        <v>832</v>
      </c>
      <c r="I221" s="10" t="s">
        <v>55</v>
      </c>
      <c r="K221" s="10" t="s">
        <v>17958</v>
      </c>
      <c r="L221" s="10" t="s">
        <v>42</v>
      </c>
    </row>
    <row r="222" ht="15.75" customHeight="1">
      <c r="A222" s="64">
        <v>45490.0</v>
      </c>
      <c r="B222" s="55" t="str">
        <f>HYPERLINK("https://jobright.ai/jobs/info/660349c981e1efe34539bb3f?utm_campaign=1054&amp;utm_source=sheet", "Apply")</f>
        <v>Apply</v>
      </c>
      <c r="C222" s="10" t="s">
        <v>17952</v>
      </c>
      <c r="D222" s="56" t="s">
        <v>17953</v>
      </c>
      <c r="E222" s="10" t="s">
        <v>65</v>
      </c>
      <c r="F222" s="10" t="s">
        <v>17954</v>
      </c>
      <c r="G222" s="10" t="s">
        <v>17429</v>
      </c>
      <c r="H222" s="10" t="s">
        <v>3266</v>
      </c>
      <c r="I222" s="10" t="s">
        <v>55</v>
      </c>
      <c r="K222" s="10" t="s">
        <v>17955</v>
      </c>
      <c r="L222" s="10" t="s">
        <v>42</v>
      </c>
    </row>
    <row r="223" ht="15.75" customHeight="1">
      <c r="A223" s="64">
        <v>45490.0</v>
      </c>
      <c r="B223" s="55" t="str">
        <f>HYPERLINK("https://jobright.ai/jobs/info/6656fd51370b79848db90a21?utm_campaign=1054&amp;utm_source=sheet", "Apply")</f>
        <v>Apply</v>
      </c>
      <c r="C223" s="10" t="s">
        <v>17959</v>
      </c>
      <c r="D223" s="56" t="s">
        <v>17960</v>
      </c>
      <c r="G223" s="10" t="s">
        <v>17429</v>
      </c>
      <c r="H223" s="10" t="s">
        <v>17961</v>
      </c>
      <c r="I223" s="10" t="s">
        <v>55</v>
      </c>
      <c r="K223" s="10" t="s">
        <v>17962</v>
      </c>
      <c r="L223" s="10" t="s">
        <v>42</v>
      </c>
    </row>
    <row r="224" ht="15.75" customHeight="1">
      <c r="A224" s="64">
        <v>45490.0</v>
      </c>
      <c r="B224" s="55" t="str">
        <f>HYPERLINK("https://jobright.ai/jobs/info/6675b060242bc4c930f29ca5?utm_campaign=1054&amp;utm_source=sheet", "Apply")</f>
        <v>Apply</v>
      </c>
      <c r="C224" s="10" t="s">
        <v>17963</v>
      </c>
      <c r="D224" s="56" t="s">
        <v>17964</v>
      </c>
      <c r="E224" s="10">
        <v>2182.0</v>
      </c>
      <c r="G224" s="10" t="s">
        <v>17432</v>
      </c>
      <c r="H224" s="10" t="s">
        <v>131</v>
      </c>
      <c r="I224" s="10" t="s">
        <v>55</v>
      </c>
      <c r="J224" s="10" t="s">
        <v>3671</v>
      </c>
      <c r="K224" s="10" t="s">
        <v>17965</v>
      </c>
      <c r="L224" s="10" t="s">
        <v>42</v>
      </c>
    </row>
    <row r="225" ht="15.75" customHeight="1">
      <c r="A225" s="64">
        <v>45490.0</v>
      </c>
      <c r="B225" s="55" t="str">
        <f>HYPERLINK("https://jobright.ai/jobs/info/667b40ec6c645d774025fa12?utm_campaign=1054&amp;utm_source=sheet", "Apply")</f>
        <v>Apply</v>
      </c>
      <c r="C225" s="10" t="s">
        <v>17966</v>
      </c>
      <c r="D225" s="56" t="s">
        <v>14148</v>
      </c>
      <c r="E225" s="10" t="s">
        <v>65</v>
      </c>
      <c r="F225" s="10" t="s">
        <v>14149</v>
      </c>
      <c r="G225" s="10" t="s">
        <v>17429</v>
      </c>
      <c r="H225" s="10" t="s">
        <v>859</v>
      </c>
      <c r="I225" s="10" t="s">
        <v>55</v>
      </c>
      <c r="K225" s="10" t="s">
        <v>17967</v>
      </c>
      <c r="L225" s="10" t="s">
        <v>42</v>
      </c>
    </row>
    <row r="226" ht="15.75" customHeight="1">
      <c r="A226" s="64">
        <v>45490.0</v>
      </c>
      <c r="B226" s="55" t="str">
        <f>HYPERLINK("https://jobright.ai/jobs/info/66561c0daeb54c2aad038d6e?utm_campaign=1054&amp;utm_source=sheet", "Apply")</f>
        <v>Apply</v>
      </c>
      <c r="C226" s="10" t="s">
        <v>17457</v>
      </c>
      <c r="D226" s="56" t="s">
        <v>17968</v>
      </c>
      <c r="E226" s="10" t="s">
        <v>65</v>
      </c>
      <c r="F226" s="10" t="s">
        <v>7068</v>
      </c>
      <c r="G226" s="10" t="s">
        <v>17429</v>
      </c>
      <c r="H226" s="10" t="s">
        <v>4852</v>
      </c>
      <c r="I226" s="10" t="s">
        <v>55</v>
      </c>
      <c r="K226" s="10" t="s">
        <v>17969</v>
      </c>
      <c r="L226" s="10" t="s">
        <v>42</v>
      </c>
    </row>
    <row r="227" ht="15.75" customHeight="1">
      <c r="A227" s="64">
        <v>45490.0</v>
      </c>
      <c r="B227" s="55" t="str">
        <f>HYPERLINK("https://jobright.ai/jobs/info/665e0c93bc5368a3b89e7652?utm_campaign=1054&amp;utm_source=sheet", "Apply")</f>
        <v>Apply</v>
      </c>
      <c r="C227" s="10" t="s">
        <v>14424</v>
      </c>
      <c r="D227" s="56" t="s">
        <v>10169</v>
      </c>
      <c r="E227" s="10" t="s">
        <v>45</v>
      </c>
      <c r="F227" s="10" t="s">
        <v>10170</v>
      </c>
      <c r="G227" s="10" t="s">
        <v>17429</v>
      </c>
      <c r="H227" s="10" t="s">
        <v>299</v>
      </c>
      <c r="I227" s="10" t="s">
        <v>55</v>
      </c>
      <c r="J227" s="10" t="s">
        <v>1984</v>
      </c>
      <c r="K227" s="10" t="s">
        <v>17970</v>
      </c>
      <c r="L227" s="10" t="s">
        <v>42</v>
      </c>
    </row>
    <row r="228" ht="15.75" customHeight="1">
      <c r="A228" s="64">
        <v>45490.0</v>
      </c>
      <c r="B228" s="55" t="str">
        <f>HYPERLINK("https://jobright.ai/jobs/info/66974437a9b40b9c1f1e8107?utm_campaign=1054&amp;utm_source=sheet", "Apply")</f>
        <v>Apply</v>
      </c>
      <c r="C228" s="10" t="s">
        <v>17971</v>
      </c>
      <c r="D228" s="56" t="s">
        <v>17972</v>
      </c>
      <c r="E228" s="10" t="s">
        <v>65</v>
      </c>
      <c r="F228" s="10" t="s">
        <v>5878</v>
      </c>
      <c r="G228" s="10" t="s">
        <v>17429</v>
      </c>
      <c r="H228" s="10" t="s">
        <v>723</v>
      </c>
      <c r="I228" s="10" t="s">
        <v>55</v>
      </c>
      <c r="J228" s="10" t="s">
        <v>4189</v>
      </c>
      <c r="K228" s="10" t="s">
        <v>17973</v>
      </c>
      <c r="L228" s="10" t="s">
        <v>42</v>
      </c>
    </row>
    <row r="229" ht="15.75" customHeight="1">
      <c r="A229" s="64">
        <v>45490.0</v>
      </c>
      <c r="B229" s="55" t="str">
        <f>HYPERLINK("https://jobright.ai/jobs/info/669a198c175f416de2aaa0a2?utm_campaign=1054&amp;utm_source=sheet", "Apply")</f>
        <v>Apply</v>
      </c>
      <c r="C229" s="10" t="s">
        <v>17974</v>
      </c>
      <c r="D229" s="56" t="s">
        <v>17975</v>
      </c>
      <c r="E229" s="10" t="s">
        <v>65</v>
      </c>
      <c r="F229" s="10" t="s">
        <v>1234</v>
      </c>
      <c r="G229" s="10" t="s">
        <v>17429</v>
      </c>
      <c r="H229" s="10" t="s">
        <v>216</v>
      </c>
      <c r="I229" s="10" t="s">
        <v>55</v>
      </c>
      <c r="J229" s="10" t="s">
        <v>17976</v>
      </c>
      <c r="K229" s="10" t="s">
        <v>17977</v>
      </c>
      <c r="L229" s="10" t="s">
        <v>42</v>
      </c>
    </row>
    <row r="230" ht="15.75" customHeight="1">
      <c r="A230" s="64">
        <v>45490.0</v>
      </c>
      <c r="B230" s="55" t="str">
        <f>HYPERLINK("https://jobright.ai/jobs/info/66979b9ffafc80d91285c8e1?utm_campaign=1054&amp;utm_source=sheet", "Apply")</f>
        <v>Apply</v>
      </c>
      <c r="C230" s="10" t="s">
        <v>17978</v>
      </c>
      <c r="D230" s="56" t="s">
        <v>17979</v>
      </c>
      <c r="E230" s="10" t="s">
        <v>65</v>
      </c>
      <c r="F230" s="10" t="s">
        <v>17980</v>
      </c>
      <c r="G230" s="10" t="s">
        <v>17429</v>
      </c>
      <c r="H230" s="10" t="s">
        <v>245</v>
      </c>
      <c r="I230" s="10" t="s">
        <v>55</v>
      </c>
      <c r="K230" s="10" t="s">
        <v>17981</v>
      </c>
      <c r="L230" s="10" t="s">
        <v>42</v>
      </c>
    </row>
    <row r="231" ht="15.75" customHeight="1">
      <c r="A231" s="64">
        <v>45490.0</v>
      </c>
      <c r="B231" s="55" t="str">
        <f>HYPERLINK("https://jobright.ai/jobs/info/66974437a9b40b9c1f1e8143?utm_campaign=1054&amp;utm_source=sheet", "Apply")</f>
        <v>Apply</v>
      </c>
      <c r="C231" s="10" t="s">
        <v>17982</v>
      </c>
      <c r="D231" s="56" t="s">
        <v>17983</v>
      </c>
      <c r="E231" s="10" t="s">
        <v>65</v>
      </c>
      <c r="F231" s="10" t="s">
        <v>1184</v>
      </c>
      <c r="G231" s="10" t="s">
        <v>17429</v>
      </c>
      <c r="H231" s="10" t="s">
        <v>779</v>
      </c>
      <c r="I231" s="10" t="s">
        <v>55</v>
      </c>
      <c r="K231" s="10" t="s">
        <v>17984</v>
      </c>
      <c r="L231" s="10" t="s">
        <v>42</v>
      </c>
    </row>
    <row r="232" ht="15.75" customHeight="1">
      <c r="A232" s="64">
        <v>45490.0</v>
      </c>
      <c r="B232" s="55" t="str">
        <f>HYPERLINK("https://jobright.ai/jobs/info/6697358f55f25cd12fe91964?utm_campaign=1054&amp;utm_source=sheet", "Apply")</f>
        <v>Apply</v>
      </c>
      <c r="C232" s="10" t="s">
        <v>17985</v>
      </c>
      <c r="D232" s="56" t="s">
        <v>1857</v>
      </c>
      <c r="E232" s="10" t="s">
        <v>65</v>
      </c>
      <c r="F232" s="10" t="s">
        <v>660</v>
      </c>
      <c r="G232" s="10" t="s">
        <v>17429</v>
      </c>
      <c r="H232" s="10" t="s">
        <v>167</v>
      </c>
      <c r="I232" s="10" t="s">
        <v>55</v>
      </c>
      <c r="K232" s="10" t="s">
        <v>17986</v>
      </c>
      <c r="L232" s="10" t="s">
        <v>42</v>
      </c>
    </row>
    <row r="233" ht="15.75" customHeight="1">
      <c r="A233" s="64">
        <v>45490.0</v>
      </c>
      <c r="B233" s="55" t="str">
        <f>HYPERLINK("https://jobright.ai/jobs/info/6697258c686c9fc6c872c37f?utm_campaign=1054&amp;utm_source=sheet", "Apply")</f>
        <v>Apply</v>
      </c>
      <c r="C233" s="10" t="s">
        <v>17434</v>
      </c>
      <c r="D233" s="56" t="s">
        <v>17987</v>
      </c>
      <c r="E233" s="10" t="s">
        <v>249</v>
      </c>
      <c r="F233" s="10" t="s">
        <v>17988</v>
      </c>
      <c r="G233" s="10" t="s">
        <v>17429</v>
      </c>
      <c r="H233" s="10" t="s">
        <v>12519</v>
      </c>
      <c r="I233" s="10" t="s">
        <v>55</v>
      </c>
      <c r="K233" s="10" t="s">
        <v>17989</v>
      </c>
      <c r="L233" s="10" t="s">
        <v>42</v>
      </c>
    </row>
    <row r="234" ht="15.75" customHeight="1">
      <c r="A234" s="64">
        <v>45490.0</v>
      </c>
      <c r="B234" s="55" t="str">
        <f>HYPERLINK("https://jobright.ai/jobs/info/66972287f11ecbc261d91083?utm_campaign=1054&amp;utm_source=sheet", "Apply")</f>
        <v>Apply</v>
      </c>
      <c r="C234" s="10" t="s">
        <v>17990</v>
      </c>
      <c r="D234" s="56" t="s">
        <v>17991</v>
      </c>
      <c r="G234" s="10" t="s">
        <v>17432</v>
      </c>
      <c r="H234" s="10" t="s">
        <v>835</v>
      </c>
      <c r="I234" s="10" t="s">
        <v>55</v>
      </c>
      <c r="J234" s="10" t="s">
        <v>17992</v>
      </c>
      <c r="K234" s="10" t="s">
        <v>17993</v>
      </c>
      <c r="L234" s="10" t="s">
        <v>42</v>
      </c>
    </row>
    <row r="235" ht="15.75" customHeight="1">
      <c r="A235" s="64">
        <v>45490.0</v>
      </c>
      <c r="B235" s="55" t="str">
        <f>HYPERLINK("https://jobright.ai/jobs/info/6698159f985ad1f4f21e80dd?utm_campaign=1054&amp;utm_source=sheet", "Apply")</f>
        <v>Apply</v>
      </c>
      <c r="C235" s="10" t="s">
        <v>17915</v>
      </c>
      <c r="D235" s="56" t="s">
        <v>17916</v>
      </c>
      <c r="E235" s="10">
        <v>1786.0</v>
      </c>
      <c r="G235" s="10" t="s">
        <v>17429</v>
      </c>
      <c r="H235" s="10" t="s">
        <v>1188</v>
      </c>
      <c r="I235" s="10" t="s">
        <v>55</v>
      </c>
      <c r="K235" s="10" t="s">
        <v>17994</v>
      </c>
      <c r="L235" s="10" t="s">
        <v>42</v>
      </c>
    </row>
    <row r="236" ht="15.75" customHeight="1">
      <c r="A236" s="64">
        <v>45490.0</v>
      </c>
      <c r="B236" s="55" t="str">
        <f>HYPERLINK("https://jobright.ai/jobs/info/6698b727129c9fea5046804f?utm_campaign=1054&amp;utm_source=sheet", "Apply")</f>
        <v>Apply</v>
      </c>
      <c r="C236" s="10" t="s">
        <v>17674</v>
      </c>
      <c r="D236" s="56" t="s">
        <v>363</v>
      </c>
      <c r="E236" s="10" t="s">
        <v>209</v>
      </c>
      <c r="F236" s="10" t="s">
        <v>364</v>
      </c>
      <c r="G236" s="10" t="s">
        <v>17432</v>
      </c>
      <c r="H236" s="10" t="s">
        <v>511</v>
      </c>
      <c r="I236" s="10" t="s">
        <v>48</v>
      </c>
      <c r="J236" s="10" t="s">
        <v>366</v>
      </c>
      <c r="K236" s="10" t="s">
        <v>17675</v>
      </c>
      <c r="L236" s="10" t="s">
        <v>42</v>
      </c>
    </row>
    <row r="237" ht="15.75" customHeight="1">
      <c r="A237" s="64">
        <v>45490.0</v>
      </c>
      <c r="B237" s="55" t="str">
        <f>HYPERLINK("https://jobright.ai/jobs/info/6698762804aede6d38978578?utm_campaign=1054&amp;utm_source=sheet", "Apply")</f>
        <v>Apply</v>
      </c>
      <c r="C237" s="10" t="s">
        <v>17995</v>
      </c>
      <c r="D237" s="56" t="s">
        <v>7357</v>
      </c>
      <c r="E237" s="10" t="s">
        <v>45</v>
      </c>
      <c r="F237" s="10" t="s">
        <v>665</v>
      </c>
      <c r="G237" s="10" t="s">
        <v>17432</v>
      </c>
      <c r="H237" s="10" t="s">
        <v>17996</v>
      </c>
      <c r="I237" s="10" t="s">
        <v>55</v>
      </c>
      <c r="K237" s="10" t="s">
        <v>17997</v>
      </c>
      <c r="L237" s="10" t="s">
        <v>42</v>
      </c>
    </row>
    <row r="238" ht="15.75" customHeight="1">
      <c r="A238" s="64">
        <v>45489.0</v>
      </c>
      <c r="B238" s="55" t="str">
        <f>HYPERLINK("https://jobright.ai/jobs/info/669703c302c012c979e0635d?utm_campaign=1054&amp;utm_source=sheet", "Apply")</f>
        <v>Apply</v>
      </c>
      <c r="C238" s="10" t="s">
        <v>17434</v>
      </c>
      <c r="D238" s="56" t="s">
        <v>1863</v>
      </c>
      <c r="E238" s="10" t="s">
        <v>249</v>
      </c>
      <c r="F238" s="10" t="s">
        <v>1864</v>
      </c>
      <c r="G238" s="10" t="s">
        <v>17429</v>
      </c>
      <c r="H238" s="10" t="s">
        <v>1865</v>
      </c>
      <c r="I238" s="10" t="s">
        <v>55</v>
      </c>
      <c r="K238" s="10" t="s">
        <v>17998</v>
      </c>
      <c r="L238" s="10" t="s">
        <v>42</v>
      </c>
    </row>
    <row r="239" ht="15.75" customHeight="1">
      <c r="A239" s="64">
        <v>45489.0</v>
      </c>
      <c r="B239" s="55" t="str">
        <f>HYPERLINK("https://jobright.ai/jobs/info/66915c502d2c286f89de10a2?utm_campaign=1054&amp;utm_source=sheet", "Apply")</f>
        <v>Apply</v>
      </c>
      <c r="C239" s="10" t="s">
        <v>17999</v>
      </c>
      <c r="D239" s="56" t="s">
        <v>1650</v>
      </c>
      <c r="E239" s="10" t="s">
        <v>209</v>
      </c>
      <c r="F239" s="10" t="s">
        <v>1243</v>
      </c>
      <c r="G239" s="10" t="s">
        <v>17429</v>
      </c>
      <c r="H239" s="10" t="s">
        <v>835</v>
      </c>
      <c r="I239" s="10" t="s">
        <v>48</v>
      </c>
      <c r="K239" s="10" t="s">
        <v>18000</v>
      </c>
      <c r="L239" s="10" t="s">
        <v>42</v>
      </c>
    </row>
    <row r="240" ht="15.75" customHeight="1">
      <c r="A240" s="64">
        <v>45489.0</v>
      </c>
      <c r="B240" s="55" t="str">
        <f>HYPERLINK("https://jobright.ai/jobs/info/6696f42b8fdcab953eb0a7f5?utm_campaign=1054&amp;utm_source=sheet", "Apply")</f>
        <v>Apply</v>
      </c>
      <c r="C240" s="10" t="s">
        <v>18001</v>
      </c>
      <c r="D240" s="56" t="s">
        <v>4295</v>
      </c>
      <c r="E240" s="10" t="s">
        <v>45</v>
      </c>
      <c r="F240" s="10" t="s">
        <v>4296</v>
      </c>
      <c r="G240" s="10" t="s">
        <v>17429</v>
      </c>
      <c r="H240" s="10" t="s">
        <v>598</v>
      </c>
      <c r="I240" s="10" t="s">
        <v>55</v>
      </c>
      <c r="K240" s="10" t="s">
        <v>18002</v>
      </c>
      <c r="L240" s="10" t="s">
        <v>42</v>
      </c>
    </row>
    <row r="241" ht="15.75" customHeight="1">
      <c r="A241" s="64">
        <v>45489.0</v>
      </c>
      <c r="B241" s="55" t="str">
        <f>HYPERLINK("https://jobright.ai/jobs/info/669d440d94b7be8cf3829975?utm_campaign=1054&amp;utm_source=sheet", "Apply")</f>
        <v>Apply</v>
      </c>
      <c r="C241" s="10" t="s">
        <v>18003</v>
      </c>
      <c r="D241" s="56" t="s">
        <v>18004</v>
      </c>
      <c r="E241" s="10" t="s">
        <v>276</v>
      </c>
      <c r="F241" s="10" t="s">
        <v>18005</v>
      </c>
      <c r="G241" s="10" t="s">
        <v>17429</v>
      </c>
      <c r="H241" s="10" t="s">
        <v>965</v>
      </c>
      <c r="I241" s="10" t="s">
        <v>48</v>
      </c>
      <c r="K241" s="10" t="s">
        <v>18006</v>
      </c>
      <c r="L241" s="10" t="s">
        <v>42</v>
      </c>
    </row>
    <row r="242" ht="15.75" customHeight="1">
      <c r="A242" s="64">
        <v>45489.0</v>
      </c>
      <c r="B242" s="55" t="str">
        <f>HYPERLINK("https://jobright.ai/jobs/info/6696a3a41816fd44c1797e2a?utm_campaign=1054&amp;utm_source=sheet", "Apply")</f>
        <v>Apply</v>
      </c>
      <c r="C242" s="10" t="s">
        <v>18007</v>
      </c>
      <c r="D242" s="56" t="s">
        <v>13553</v>
      </c>
      <c r="E242" s="10" t="s">
        <v>65</v>
      </c>
      <c r="F242" s="10" t="s">
        <v>12539</v>
      </c>
      <c r="G242" s="10" t="s">
        <v>17429</v>
      </c>
      <c r="H242" s="10" t="s">
        <v>1008</v>
      </c>
      <c r="I242" s="10" t="s">
        <v>55</v>
      </c>
      <c r="K242" s="10" t="s">
        <v>18008</v>
      </c>
      <c r="L242" s="10" t="s">
        <v>42</v>
      </c>
    </row>
    <row r="243" ht="15.75" customHeight="1">
      <c r="A243" s="64">
        <v>45489.0</v>
      </c>
      <c r="B243" s="55" t="str">
        <f>HYPERLINK("https://jobright.ai/jobs/info/6690b3cb77cd5c0d31df8a1c?utm_campaign=1054&amp;utm_source=sheet", "Apply")</f>
        <v>Apply</v>
      </c>
      <c r="C243" s="10" t="s">
        <v>17501</v>
      </c>
      <c r="D243" s="56" t="s">
        <v>7944</v>
      </c>
      <c r="E243" s="10" t="s">
        <v>45</v>
      </c>
      <c r="F243" s="10" t="s">
        <v>3403</v>
      </c>
      <c r="G243" s="10" t="s">
        <v>17429</v>
      </c>
      <c r="H243" s="10" t="s">
        <v>18009</v>
      </c>
      <c r="I243" s="10" t="s">
        <v>55</v>
      </c>
      <c r="K243" s="10" t="s">
        <v>18010</v>
      </c>
      <c r="L243" s="10" t="s">
        <v>42</v>
      </c>
    </row>
    <row r="244" ht="15.75" customHeight="1">
      <c r="A244" s="64">
        <v>45489.0</v>
      </c>
      <c r="B244" s="55" t="str">
        <f>HYPERLINK("https://jobright.ai/jobs/info/667a4da85afaca18482a15c5?utm_campaign=1054&amp;utm_source=sheet", "Apply")</f>
        <v>Apply</v>
      </c>
      <c r="C244" s="10" t="s">
        <v>18011</v>
      </c>
      <c r="D244" s="56" t="s">
        <v>308</v>
      </c>
      <c r="E244" s="10" t="s">
        <v>45</v>
      </c>
      <c r="F244" s="10" t="s">
        <v>239</v>
      </c>
      <c r="G244" s="10" t="s">
        <v>17429</v>
      </c>
      <c r="H244" s="10" t="s">
        <v>5286</v>
      </c>
      <c r="I244" s="10" t="s">
        <v>48</v>
      </c>
      <c r="K244" s="10" t="s">
        <v>18012</v>
      </c>
      <c r="L244" s="10" t="s">
        <v>42</v>
      </c>
    </row>
    <row r="245" ht="15.75" customHeight="1">
      <c r="A245" s="64">
        <v>45489.0</v>
      </c>
      <c r="B245" s="55" t="str">
        <f>HYPERLINK("https://jobright.ai/jobs/info/669647826eb71b21fb140b50?utm_campaign=1054&amp;utm_source=sheet", "Apply")</f>
        <v>Apply</v>
      </c>
      <c r="C245" s="10" t="s">
        <v>18013</v>
      </c>
      <c r="D245" s="56" t="s">
        <v>1846</v>
      </c>
      <c r="E245" s="10" t="s">
        <v>45</v>
      </c>
      <c r="F245" s="10" t="s">
        <v>1485</v>
      </c>
      <c r="G245" s="10" t="s">
        <v>17429</v>
      </c>
      <c r="H245" s="10" t="s">
        <v>154</v>
      </c>
      <c r="I245" s="10" t="s">
        <v>55</v>
      </c>
      <c r="K245" s="10" t="s">
        <v>5365</v>
      </c>
      <c r="L245" s="10" t="s">
        <v>42</v>
      </c>
    </row>
    <row r="246" ht="15.75" customHeight="1">
      <c r="A246" s="64">
        <v>45489.0</v>
      </c>
      <c r="B246" s="55" t="str">
        <f>HYPERLINK("https://jobright.ai/jobs/info/667a1201108d243bbb141696?utm_campaign=1054&amp;utm_source=sheet", "Apply")</f>
        <v>Apply</v>
      </c>
      <c r="C246" s="10" t="s">
        <v>18014</v>
      </c>
      <c r="D246" s="56" t="s">
        <v>18015</v>
      </c>
      <c r="E246" s="10" t="s">
        <v>65</v>
      </c>
      <c r="F246" s="10" t="s">
        <v>16180</v>
      </c>
      <c r="G246" s="10" t="s">
        <v>17429</v>
      </c>
      <c r="H246" s="10" t="s">
        <v>1254</v>
      </c>
      <c r="I246" s="10" t="s">
        <v>55</v>
      </c>
      <c r="J246" s="10" t="s">
        <v>1984</v>
      </c>
      <c r="K246" s="10" t="s">
        <v>18016</v>
      </c>
      <c r="L246" s="10" t="s">
        <v>42</v>
      </c>
    </row>
    <row r="247" ht="15.75" customHeight="1">
      <c r="A247" s="64">
        <v>45489.0</v>
      </c>
      <c r="B247" s="55" t="str">
        <f>HYPERLINK("https://jobright.ai/jobs/info/669623be15a81b337d3dd068?utm_campaign=1054&amp;utm_source=sheet", "Apply")</f>
        <v>Apply</v>
      </c>
      <c r="C247" s="10" t="s">
        <v>17434</v>
      </c>
      <c r="D247" s="56" t="s">
        <v>18017</v>
      </c>
      <c r="E247" s="10" t="s">
        <v>65</v>
      </c>
      <c r="F247" s="10" t="s">
        <v>3898</v>
      </c>
      <c r="G247" s="10" t="s">
        <v>17429</v>
      </c>
      <c r="H247" s="10" t="s">
        <v>18018</v>
      </c>
      <c r="I247" s="10" t="s">
        <v>55</v>
      </c>
      <c r="K247" s="10" t="s">
        <v>18019</v>
      </c>
      <c r="L247" s="10" t="s">
        <v>42</v>
      </c>
    </row>
    <row r="248" ht="15.75" customHeight="1">
      <c r="A248" s="64">
        <v>45489.0</v>
      </c>
      <c r="B248" s="55" t="str">
        <f>HYPERLINK("https://jobright.ai/jobs/info/6698b8f17639b3b6fe9212a3?utm_campaign=1054&amp;utm_source=sheet", "Apply")</f>
        <v>Apply</v>
      </c>
      <c r="C248" s="10" t="s">
        <v>17434</v>
      </c>
      <c r="D248" s="56" t="s">
        <v>18020</v>
      </c>
      <c r="E248" s="10" t="s">
        <v>249</v>
      </c>
      <c r="F248" s="10" t="s">
        <v>1506</v>
      </c>
      <c r="G248" s="10" t="s">
        <v>17429</v>
      </c>
      <c r="H248" s="10" t="s">
        <v>18021</v>
      </c>
      <c r="I248" s="10" t="s">
        <v>55</v>
      </c>
      <c r="K248" s="10" t="s">
        <v>18022</v>
      </c>
      <c r="L248" s="10" t="s">
        <v>42</v>
      </c>
    </row>
    <row r="249" ht="15.75" customHeight="1">
      <c r="A249" s="64">
        <v>45489.0</v>
      </c>
      <c r="B249" s="55" t="str">
        <f>HYPERLINK("https://jobright.ai/jobs/info/6695e6fc8d2977e4b2ac0deb?utm_campaign=1054&amp;utm_source=sheet", "Apply")</f>
        <v>Apply</v>
      </c>
      <c r="C249" s="10" t="s">
        <v>18023</v>
      </c>
      <c r="D249" s="56" t="s">
        <v>18024</v>
      </c>
      <c r="E249" s="10" t="s">
        <v>65</v>
      </c>
      <c r="F249" s="10" t="s">
        <v>4000</v>
      </c>
      <c r="G249" s="10" t="s">
        <v>17432</v>
      </c>
      <c r="H249" s="10" t="s">
        <v>165</v>
      </c>
      <c r="I249" s="10" t="s">
        <v>48</v>
      </c>
      <c r="J249" s="10" t="s">
        <v>18025</v>
      </c>
      <c r="K249" s="10" t="s">
        <v>18026</v>
      </c>
      <c r="L249" s="10" t="s">
        <v>42</v>
      </c>
    </row>
    <row r="250" ht="15.75" customHeight="1">
      <c r="A250" s="64">
        <v>45489.0</v>
      </c>
      <c r="B250" s="55" t="str">
        <f>HYPERLINK("https://jobright.ai/jobs/info/6696ee7a131daa9222d40f8d?utm_campaign=1054&amp;utm_source=sheet", "Apply")</f>
        <v>Apply</v>
      </c>
      <c r="C250" s="10" t="s">
        <v>18027</v>
      </c>
      <c r="D250" s="56" t="s">
        <v>18028</v>
      </c>
      <c r="E250" s="10" t="s">
        <v>65</v>
      </c>
      <c r="F250" s="10" t="s">
        <v>15703</v>
      </c>
      <c r="G250" s="10" t="s">
        <v>17432</v>
      </c>
      <c r="H250" s="10" t="s">
        <v>106</v>
      </c>
      <c r="I250" s="10" t="s">
        <v>55</v>
      </c>
      <c r="K250" s="10" t="s">
        <v>18029</v>
      </c>
      <c r="L250" s="10" t="s">
        <v>42</v>
      </c>
    </row>
    <row r="251" ht="15.75" customHeight="1">
      <c r="A251" s="64">
        <v>45489.0</v>
      </c>
      <c r="B251" s="55" t="str">
        <f>HYPERLINK("https://jobright.ai/jobs/info/6696c216ea9dc45fc4892574?utm_campaign=1054&amp;utm_source=sheet", "Apply")</f>
        <v>Apply</v>
      </c>
      <c r="C251" s="10" t="s">
        <v>18030</v>
      </c>
      <c r="D251" s="56" t="s">
        <v>11792</v>
      </c>
      <c r="E251" s="10" t="s">
        <v>65</v>
      </c>
      <c r="F251" s="10" t="s">
        <v>7857</v>
      </c>
      <c r="G251" s="10" t="s">
        <v>17429</v>
      </c>
      <c r="H251" s="10" t="s">
        <v>819</v>
      </c>
      <c r="I251" s="10" t="s">
        <v>55</v>
      </c>
      <c r="K251" s="10" t="s">
        <v>18031</v>
      </c>
      <c r="L251" s="10" t="s">
        <v>42</v>
      </c>
    </row>
    <row r="252" ht="15.75" customHeight="1">
      <c r="A252" s="64">
        <v>45489.0</v>
      </c>
      <c r="B252" s="55" t="str">
        <f>HYPERLINK("https://jobright.ai/jobs/info/66971b8799bcf5f917b74901?utm_campaign=1054&amp;utm_source=sheet", "Apply")</f>
        <v>Apply</v>
      </c>
      <c r="C252" s="10" t="s">
        <v>17716</v>
      </c>
      <c r="D252" s="56" t="s">
        <v>17717</v>
      </c>
      <c r="E252" s="10" t="s">
        <v>45</v>
      </c>
      <c r="F252" s="10" t="s">
        <v>4000</v>
      </c>
      <c r="G252" s="10" t="s">
        <v>17429</v>
      </c>
      <c r="H252" s="10" t="s">
        <v>18032</v>
      </c>
      <c r="I252" s="10" t="s">
        <v>48</v>
      </c>
      <c r="J252" s="10" t="s">
        <v>17718</v>
      </c>
      <c r="K252" s="10" t="s">
        <v>17719</v>
      </c>
      <c r="L252" s="10" t="s">
        <v>42</v>
      </c>
    </row>
    <row r="253" ht="15.75" customHeight="1">
      <c r="A253" s="64">
        <v>45488.0</v>
      </c>
      <c r="B253" s="55" t="str">
        <f>HYPERLINK("https://jobright.ai/jobs/info/6695bdeb57849631a44cf15f?utm_campaign=1054&amp;utm_source=sheet", "Apply")</f>
        <v>Apply</v>
      </c>
      <c r="C253" s="10" t="s">
        <v>17434</v>
      </c>
      <c r="D253" s="56" t="s">
        <v>17804</v>
      </c>
      <c r="E253" s="10" t="s">
        <v>45</v>
      </c>
      <c r="F253" s="10" t="s">
        <v>1266</v>
      </c>
      <c r="G253" s="10" t="s">
        <v>17429</v>
      </c>
      <c r="H253" s="10" t="s">
        <v>525</v>
      </c>
      <c r="I253" s="10" t="s">
        <v>55</v>
      </c>
      <c r="K253" s="10" t="s">
        <v>17805</v>
      </c>
      <c r="L253" s="10" t="s">
        <v>42</v>
      </c>
    </row>
    <row r="254" ht="15.75" customHeight="1">
      <c r="A254" s="64">
        <v>45488.0</v>
      </c>
      <c r="B254" s="55" t="str">
        <f>HYPERLINK("https://jobright.ai/jobs/info/6691c77455fdc8d51c7e4450?utm_campaign=1054&amp;utm_source=sheet", "Apply")</f>
        <v>Apply</v>
      </c>
      <c r="C254" s="10" t="s">
        <v>18033</v>
      </c>
      <c r="D254" s="56" t="s">
        <v>1966</v>
      </c>
      <c r="E254" s="10">
        <v>1209.0</v>
      </c>
      <c r="G254" s="10" t="s">
        <v>17429</v>
      </c>
      <c r="H254" s="10" t="s">
        <v>96</v>
      </c>
      <c r="I254" s="10" t="s">
        <v>55</v>
      </c>
      <c r="J254" s="10" t="s">
        <v>1967</v>
      </c>
      <c r="K254" s="10" t="s">
        <v>18034</v>
      </c>
      <c r="L254" s="10" t="s">
        <v>42</v>
      </c>
    </row>
    <row r="255" ht="15.75" customHeight="1">
      <c r="A255" s="64">
        <v>45488.0</v>
      </c>
      <c r="B255" s="55" t="str">
        <f>HYPERLINK("https://jobright.ai/jobs/info/669167739b38d79c844823f2?utm_campaign=1054&amp;utm_source=sheet", "Apply")</f>
        <v>Apply</v>
      </c>
      <c r="C255" s="10" t="s">
        <v>18035</v>
      </c>
      <c r="D255" s="56" t="s">
        <v>18036</v>
      </c>
      <c r="E255" s="10" t="s">
        <v>249</v>
      </c>
      <c r="F255" s="10" t="s">
        <v>2409</v>
      </c>
      <c r="G255" s="10" t="s">
        <v>17470</v>
      </c>
      <c r="H255" s="10" t="s">
        <v>723</v>
      </c>
      <c r="I255" s="10" t="s">
        <v>55</v>
      </c>
      <c r="K255" s="10" t="s">
        <v>18037</v>
      </c>
      <c r="L255" s="10" t="s">
        <v>42</v>
      </c>
    </row>
    <row r="256" ht="15.75" customHeight="1">
      <c r="A256" s="64">
        <v>45488.0</v>
      </c>
      <c r="B256" s="55" t="str">
        <f>HYPERLINK("https://jobright.ai/jobs/info/66959eabdad8e1c87cfdb7a8?utm_campaign=1054&amp;utm_source=sheet", "Apply")</f>
        <v>Apply</v>
      </c>
      <c r="C256" s="10" t="s">
        <v>18038</v>
      </c>
      <c r="D256" s="56" t="s">
        <v>18039</v>
      </c>
      <c r="E256" s="10" t="s">
        <v>249</v>
      </c>
      <c r="F256" s="10" t="s">
        <v>18040</v>
      </c>
      <c r="G256" s="10" t="s">
        <v>17429</v>
      </c>
      <c r="H256" s="10" t="s">
        <v>18041</v>
      </c>
      <c r="I256" s="10" t="s">
        <v>48</v>
      </c>
      <c r="K256" s="10" t="s">
        <v>18042</v>
      </c>
      <c r="L256" s="10" t="s">
        <v>42</v>
      </c>
    </row>
    <row r="257" ht="15.75" customHeight="1">
      <c r="A257" s="64">
        <v>45488.0</v>
      </c>
      <c r="B257" s="55" t="str">
        <f>HYPERLINK("https://jobright.ai/jobs/info/66955b091c130559cedb647a?utm_campaign=1054&amp;utm_source=sheet", "Apply")</f>
        <v>Apply</v>
      </c>
      <c r="C257" s="10" t="s">
        <v>17434</v>
      </c>
      <c r="D257" s="56" t="s">
        <v>18043</v>
      </c>
      <c r="E257" s="10" t="s">
        <v>45</v>
      </c>
      <c r="F257" s="10" t="s">
        <v>18044</v>
      </c>
      <c r="G257" s="10" t="s">
        <v>17429</v>
      </c>
      <c r="H257" s="10" t="s">
        <v>18045</v>
      </c>
      <c r="I257" s="10" t="s">
        <v>55</v>
      </c>
      <c r="K257" s="10" t="s">
        <v>18046</v>
      </c>
      <c r="L257" s="10" t="s">
        <v>42</v>
      </c>
    </row>
    <row r="258" ht="15.75" customHeight="1">
      <c r="A258" s="64">
        <v>45488.0</v>
      </c>
      <c r="B258" s="55" t="str">
        <f>HYPERLINK("https://jobright.ai/jobs/info/66975f9c48e5c34d96cb0e6d?utm_campaign=1054&amp;utm_source=sheet", "Apply")</f>
        <v>Apply</v>
      </c>
      <c r="C258" s="10" t="s">
        <v>18047</v>
      </c>
      <c r="D258" s="56" t="s">
        <v>18048</v>
      </c>
      <c r="E258" s="10" t="s">
        <v>79</v>
      </c>
      <c r="F258" s="10" t="s">
        <v>18049</v>
      </c>
      <c r="G258" s="10" t="s">
        <v>17432</v>
      </c>
      <c r="H258" s="10" t="s">
        <v>18050</v>
      </c>
      <c r="I258" s="10" t="s">
        <v>55</v>
      </c>
      <c r="K258" s="10" t="s">
        <v>18051</v>
      </c>
      <c r="L258" s="10" t="s">
        <v>42</v>
      </c>
    </row>
    <row r="259" ht="15.75" customHeight="1">
      <c r="A259" s="64">
        <v>45488.0</v>
      </c>
      <c r="B259" s="55" t="str">
        <f>HYPERLINK("https://jobright.ai/jobs/info/66948cc39b439772614e02ad?utm_campaign=1054&amp;utm_source=sheet", "Apply")</f>
        <v>Apply</v>
      </c>
      <c r="C259" s="10" t="s">
        <v>18052</v>
      </c>
      <c r="D259" s="56" t="s">
        <v>1955</v>
      </c>
      <c r="E259" s="10" t="s">
        <v>45</v>
      </c>
      <c r="F259" s="10" t="s">
        <v>1234</v>
      </c>
      <c r="G259" s="10" t="s">
        <v>17429</v>
      </c>
      <c r="H259" s="10" t="s">
        <v>139</v>
      </c>
      <c r="I259" s="10" t="s">
        <v>55</v>
      </c>
      <c r="J259" s="10" t="s">
        <v>3651</v>
      </c>
      <c r="K259" s="10" t="s">
        <v>18053</v>
      </c>
      <c r="L259" s="10" t="s">
        <v>42</v>
      </c>
    </row>
    <row r="260" ht="15.75" customHeight="1">
      <c r="A260" s="64">
        <v>45487.0</v>
      </c>
      <c r="B260" s="55" t="str">
        <f>HYPERLINK("https://jobright.ai/jobs/info/669d0c8d9a5037d44da6fe42?utm_campaign=1054&amp;utm_source=sheet", "Apply")</f>
        <v>Apply</v>
      </c>
      <c r="C260" s="10" t="s">
        <v>17434</v>
      </c>
      <c r="D260" s="56" t="s">
        <v>2493</v>
      </c>
      <c r="E260" s="10" t="s">
        <v>45</v>
      </c>
      <c r="F260" s="10" t="s">
        <v>2494</v>
      </c>
      <c r="G260" s="10" t="s">
        <v>17429</v>
      </c>
      <c r="H260" s="10" t="s">
        <v>578</v>
      </c>
      <c r="I260" s="10" t="s">
        <v>55</v>
      </c>
      <c r="K260" s="10" t="s">
        <v>18054</v>
      </c>
      <c r="L260" s="10" t="s">
        <v>42</v>
      </c>
    </row>
    <row r="261" ht="15.75" customHeight="1">
      <c r="A261" s="64">
        <v>45487.0</v>
      </c>
      <c r="B261" s="55" t="str">
        <f>HYPERLINK("https://jobright.ai/jobs/info/6676cf6d131cc9dd67df313b?utm_campaign=1054&amp;utm_source=sheet", "Apply")</f>
        <v>Apply</v>
      </c>
      <c r="C261" s="10" t="s">
        <v>18055</v>
      </c>
      <c r="D261" s="56" t="s">
        <v>17964</v>
      </c>
      <c r="E261" s="10">
        <v>2182.0</v>
      </c>
      <c r="G261" s="10" t="s">
        <v>17432</v>
      </c>
      <c r="H261" s="10" t="s">
        <v>131</v>
      </c>
      <c r="I261" s="10" t="s">
        <v>55</v>
      </c>
      <c r="J261" s="10" t="s">
        <v>3671</v>
      </c>
      <c r="K261" s="10" t="s">
        <v>18056</v>
      </c>
      <c r="L261" s="10" t="s">
        <v>42</v>
      </c>
    </row>
    <row r="262" ht="15.75" customHeight="1">
      <c r="A262" s="64">
        <v>45487.0</v>
      </c>
      <c r="B262" s="55" t="str">
        <f>HYPERLINK("https://jobright.ai/jobs/info/66796cbe3f452d31d55f869a?utm_campaign=1054&amp;utm_source=sheet", "Apply")</f>
        <v>Apply</v>
      </c>
      <c r="C262" s="10" t="s">
        <v>18057</v>
      </c>
      <c r="D262" s="56" t="s">
        <v>730</v>
      </c>
      <c r="E262" s="10" t="s">
        <v>45</v>
      </c>
      <c r="F262" s="10" t="s">
        <v>731</v>
      </c>
      <c r="G262" s="10" t="s">
        <v>17429</v>
      </c>
      <c r="H262" s="10" t="s">
        <v>154</v>
      </c>
      <c r="I262" s="10" t="s">
        <v>55</v>
      </c>
      <c r="K262" s="10" t="s">
        <v>18058</v>
      </c>
      <c r="L262" s="10" t="s">
        <v>42</v>
      </c>
    </row>
    <row r="263" ht="15.75" customHeight="1">
      <c r="A263" s="64">
        <v>45487.0</v>
      </c>
      <c r="B263" s="55" t="str">
        <f>HYPERLINK("https://jobright.ai/jobs/info/6679734f8f20c6df6b899ba0?utm_campaign=1054&amp;utm_source=sheet", "Apply")</f>
        <v>Apply</v>
      </c>
      <c r="C263" s="10" t="s">
        <v>18057</v>
      </c>
      <c r="D263" s="56" t="s">
        <v>730</v>
      </c>
      <c r="E263" s="10" t="s">
        <v>45</v>
      </c>
      <c r="F263" s="10" t="s">
        <v>731</v>
      </c>
      <c r="G263" s="10" t="s">
        <v>17429</v>
      </c>
      <c r="H263" s="10" t="s">
        <v>96</v>
      </c>
      <c r="I263" s="10" t="s">
        <v>55</v>
      </c>
      <c r="K263" s="10" t="s">
        <v>18058</v>
      </c>
      <c r="L263" s="10" t="s">
        <v>42</v>
      </c>
    </row>
    <row r="264" ht="15.75" customHeight="1">
      <c r="A264" s="64">
        <v>45487.0</v>
      </c>
      <c r="B264" s="55" t="str">
        <f>HYPERLINK("https://jobright.ai/jobs/info/663e969b8ba78acd7e465958?utm_campaign=1054&amp;utm_source=sheet", "Apply")</f>
        <v>Apply</v>
      </c>
      <c r="C264" s="10" t="s">
        <v>18059</v>
      </c>
      <c r="D264" s="56" t="s">
        <v>18060</v>
      </c>
      <c r="E264" s="10" t="s">
        <v>45</v>
      </c>
      <c r="F264" s="10" t="s">
        <v>9573</v>
      </c>
      <c r="G264" s="10" t="s">
        <v>17432</v>
      </c>
      <c r="H264" s="10" t="s">
        <v>965</v>
      </c>
      <c r="I264" s="10" t="s">
        <v>55</v>
      </c>
      <c r="K264" s="10" t="s">
        <v>18061</v>
      </c>
      <c r="L264" s="10" t="s">
        <v>42</v>
      </c>
    </row>
    <row r="265" ht="15.75" customHeight="1">
      <c r="A265" s="64">
        <v>45487.0</v>
      </c>
      <c r="B265" s="55" t="str">
        <f>HYPERLINK("https://jobright.ai/jobs/info/665b134860515a1092af7c3e?utm_campaign=1054&amp;utm_source=sheet", "Apply")</f>
        <v>Apply</v>
      </c>
      <c r="C265" s="10" t="s">
        <v>18062</v>
      </c>
      <c r="D265" s="56" t="s">
        <v>730</v>
      </c>
      <c r="E265" s="10" t="s">
        <v>45</v>
      </c>
      <c r="F265" s="10" t="s">
        <v>731</v>
      </c>
      <c r="G265" s="10" t="s">
        <v>17429</v>
      </c>
      <c r="H265" s="10" t="s">
        <v>96</v>
      </c>
      <c r="I265" s="10" t="s">
        <v>55</v>
      </c>
      <c r="K265" s="10" t="s">
        <v>18063</v>
      </c>
      <c r="L265" s="10" t="s">
        <v>42</v>
      </c>
    </row>
    <row r="266" ht="15.75" customHeight="1">
      <c r="A266" s="64">
        <v>45487.0</v>
      </c>
      <c r="B266" s="55" t="str">
        <f>HYPERLINK("https://jobright.ai/jobs/info/6656510b926de59b073325a4?utm_campaign=1054&amp;utm_source=sheet", "Apply")</f>
        <v>Apply</v>
      </c>
      <c r="C266" s="10" t="s">
        <v>18064</v>
      </c>
      <c r="D266" s="56" t="s">
        <v>528</v>
      </c>
      <c r="E266" s="10" t="s">
        <v>65</v>
      </c>
      <c r="F266" s="10" t="s">
        <v>529</v>
      </c>
      <c r="G266" s="10" t="s">
        <v>17429</v>
      </c>
      <c r="H266" s="10" t="s">
        <v>530</v>
      </c>
      <c r="I266" s="10" t="s">
        <v>55</v>
      </c>
      <c r="K266" s="10" t="s">
        <v>18065</v>
      </c>
      <c r="L266" s="10" t="s">
        <v>42</v>
      </c>
    </row>
    <row r="267" ht="15.75" customHeight="1">
      <c r="A267" s="64">
        <v>45487.0</v>
      </c>
      <c r="B267" s="55" t="str">
        <f>HYPERLINK("https://jobright.ai/jobs/info/6676cf19131cc9dd67df2bea?utm_campaign=1054&amp;utm_source=sheet", "Apply")</f>
        <v>Apply</v>
      </c>
      <c r="C267" s="10" t="s">
        <v>18066</v>
      </c>
      <c r="D267" s="56" t="s">
        <v>17964</v>
      </c>
      <c r="E267" s="10">
        <v>2182.0</v>
      </c>
      <c r="G267" s="10" t="s">
        <v>17432</v>
      </c>
      <c r="H267" s="10" t="s">
        <v>96</v>
      </c>
      <c r="I267" s="10" t="s">
        <v>55</v>
      </c>
      <c r="J267" s="10" t="s">
        <v>3671</v>
      </c>
      <c r="K267" s="10" t="s">
        <v>18067</v>
      </c>
      <c r="L267" s="10" t="s">
        <v>42</v>
      </c>
    </row>
    <row r="268" ht="15.75" customHeight="1">
      <c r="A268" s="64">
        <v>45487.0</v>
      </c>
      <c r="B268" s="55" t="str">
        <f>HYPERLINK("https://jobright.ai/jobs/info/6675ef833f0763b7548cfab3?utm_campaign=1054&amp;utm_source=sheet", "Apply")</f>
        <v>Apply</v>
      </c>
      <c r="C268" s="10" t="s">
        <v>18068</v>
      </c>
      <c r="D268" s="56" t="s">
        <v>17964</v>
      </c>
      <c r="E268" s="10">
        <v>2182.0</v>
      </c>
      <c r="G268" s="10" t="s">
        <v>17429</v>
      </c>
      <c r="H268" s="10" t="s">
        <v>10017</v>
      </c>
      <c r="I268" s="10" t="s">
        <v>55</v>
      </c>
      <c r="J268" s="10" t="s">
        <v>3671</v>
      </c>
      <c r="K268" s="10" t="s">
        <v>18069</v>
      </c>
      <c r="L268" s="10" t="s">
        <v>42</v>
      </c>
    </row>
    <row r="269" ht="15.75" customHeight="1">
      <c r="A269" s="64">
        <v>45487.0</v>
      </c>
      <c r="B269" s="55" t="str">
        <f>HYPERLINK("https://jobright.ai/jobs/info/668019162df025f802b9cc03?utm_campaign=1054&amp;utm_source=sheet", "Apply")</f>
        <v>Apply</v>
      </c>
      <c r="C269" s="10" t="s">
        <v>18070</v>
      </c>
      <c r="D269" s="56" t="s">
        <v>11300</v>
      </c>
      <c r="E269" s="10" t="s">
        <v>65</v>
      </c>
      <c r="F269" s="10" t="s">
        <v>534</v>
      </c>
      <c r="G269" s="10" t="s">
        <v>17429</v>
      </c>
      <c r="H269" s="10" t="s">
        <v>18071</v>
      </c>
      <c r="I269" s="10" t="s">
        <v>55</v>
      </c>
      <c r="K269" s="10" t="s">
        <v>11301</v>
      </c>
      <c r="L269" s="10" t="s">
        <v>42</v>
      </c>
    </row>
    <row r="270" ht="15.75" customHeight="1">
      <c r="A270" s="64">
        <v>45487.0</v>
      </c>
      <c r="B270" s="55" t="str">
        <f>HYPERLINK("https://jobright.ai/jobs/info/6675b07e242bc4c930f29ef6?utm_campaign=1054&amp;utm_source=sheet", "Apply")</f>
        <v>Apply</v>
      </c>
      <c r="C270" s="10" t="s">
        <v>18072</v>
      </c>
      <c r="D270" s="56" t="s">
        <v>17964</v>
      </c>
      <c r="E270" s="10">
        <v>2182.0</v>
      </c>
      <c r="G270" s="10" t="s">
        <v>17432</v>
      </c>
      <c r="H270" s="10" t="s">
        <v>10017</v>
      </c>
      <c r="I270" s="10" t="s">
        <v>55</v>
      </c>
      <c r="J270" s="10" t="s">
        <v>3671</v>
      </c>
      <c r="K270" s="10" t="s">
        <v>17965</v>
      </c>
      <c r="L270" s="10" t="s">
        <v>42</v>
      </c>
    </row>
    <row r="271" ht="15.75" customHeight="1">
      <c r="A271" s="64">
        <v>45487.0</v>
      </c>
      <c r="B271" s="55" t="str">
        <f>HYPERLINK("https://jobright.ai/jobs/info/6677977b417c3aa48b86ed58?utm_campaign=1054&amp;utm_source=sheet", "Apply")</f>
        <v>Apply</v>
      </c>
      <c r="C271" s="10" t="s">
        <v>18073</v>
      </c>
      <c r="D271" s="56" t="s">
        <v>17964</v>
      </c>
      <c r="E271" s="10">
        <v>2182.0</v>
      </c>
      <c r="G271" s="10" t="s">
        <v>17429</v>
      </c>
      <c r="H271" s="10" t="s">
        <v>139</v>
      </c>
      <c r="I271" s="10" t="s">
        <v>55</v>
      </c>
      <c r="J271" s="10" t="s">
        <v>3671</v>
      </c>
      <c r="K271" s="10" t="s">
        <v>18069</v>
      </c>
      <c r="L271" s="10" t="s">
        <v>42</v>
      </c>
    </row>
    <row r="272" ht="15.75" customHeight="1">
      <c r="A272" s="64">
        <v>45487.0</v>
      </c>
      <c r="B272" s="55" t="str">
        <f>HYPERLINK("https://jobright.ai/jobs/info/6679735b8f20c6df6b899c36?utm_campaign=1054&amp;utm_source=sheet", "Apply")</f>
        <v>Apply</v>
      </c>
      <c r="C272" s="10" t="s">
        <v>18062</v>
      </c>
      <c r="D272" s="56" t="s">
        <v>730</v>
      </c>
      <c r="E272" s="10" t="s">
        <v>45</v>
      </c>
      <c r="F272" s="10" t="s">
        <v>731</v>
      </c>
      <c r="G272" s="10" t="s">
        <v>17429</v>
      </c>
      <c r="H272" s="10" t="s">
        <v>154</v>
      </c>
      <c r="I272" s="10" t="s">
        <v>55</v>
      </c>
      <c r="K272" s="10" t="s">
        <v>18063</v>
      </c>
      <c r="L272" s="10" t="s">
        <v>42</v>
      </c>
    </row>
    <row r="273" ht="15.75" customHeight="1">
      <c r="A273" s="64">
        <v>45487.0</v>
      </c>
      <c r="B273" s="55" t="str">
        <f>HYPERLINK("https://jobright.ai/jobs/info/662525c826be042c7fa05e49?utm_campaign=1054&amp;utm_source=sheet", "Apply")</f>
        <v>Apply</v>
      </c>
      <c r="C273" s="10" t="s">
        <v>18074</v>
      </c>
      <c r="D273" s="56" t="s">
        <v>18075</v>
      </c>
      <c r="E273" s="10">
        <v>39824.0</v>
      </c>
      <c r="G273" s="10" t="s">
        <v>17429</v>
      </c>
      <c r="H273" s="10" t="s">
        <v>819</v>
      </c>
      <c r="I273" s="10" t="s">
        <v>55</v>
      </c>
      <c r="K273" s="10" t="s">
        <v>18076</v>
      </c>
      <c r="L273" s="10" t="s">
        <v>42</v>
      </c>
    </row>
    <row r="274" ht="15.75" customHeight="1">
      <c r="A274" s="64">
        <v>45487.0</v>
      </c>
      <c r="B274" s="55" t="str">
        <f>HYPERLINK("https://jobright.ai/jobs/info/665a604c2bca61e40050c9ce?utm_campaign=1054&amp;utm_source=sheet", "Apply")</f>
        <v>Apply</v>
      </c>
      <c r="C274" s="10" t="s">
        <v>18077</v>
      </c>
      <c r="D274" s="56" t="s">
        <v>18078</v>
      </c>
      <c r="E274" s="59">
        <v>45301.0</v>
      </c>
      <c r="F274" s="10" t="s">
        <v>5632</v>
      </c>
      <c r="G274" s="10" t="s">
        <v>17432</v>
      </c>
      <c r="H274" s="10" t="s">
        <v>965</v>
      </c>
      <c r="I274" s="10" t="s">
        <v>55</v>
      </c>
      <c r="K274" s="10" t="s">
        <v>18079</v>
      </c>
      <c r="L274" s="10" t="s">
        <v>42</v>
      </c>
    </row>
    <row r="275" ht="15.75" customHeight="1">
      <c r="A275" s="64">
        <v>45486.0</v>
      </c>
      <c r="B275" s="55" t="str">
        <f>HYPERLINK("https://jobright.ai/jobs/info/6676d48d1d12b08259382914?utm_campaign=1054&amp;utm_source=sheet", "Apply")</f>
        <v>Apply</v>
      </c>
      <c r="C275" s="10" t="s">
        <v>18080</v>
      </c>
      <c r="D275" s="56" t="s">
        <v>1064</v>
      </c>
      <c r="E275" s="10" t="s">
        <v>65</v>
      </c>
      <c r="F275" s="10" t="s">
        <v>1065</v>
      </c>
      <c r="G275" s="10" t="s">
        <v>17432</v>
      </c>
      <c r="H275" s="10" t="s">
        <v>952</v>
      </c>
      <c r="I275" s="10" t="s">
        <v>55</v>
      </c>
      <c r="K275" s="10" t="s">
        <v>18081</v>
      </c>
      <c r="L275" s="10" t="s">
        <v>42</v>
      </c>
    </row>
    <row r="276" ht="15.75" customHeight="1">
      <c r="A276" s="64">
        <v>45486.0</v>
      </c>
      <c r="B276" s="55" t="str">
        <f>HYPERLINK("https://jobright.ai/jobs/info/65a7963f6f4ecd27cf3f9a88?utm_campaign=1054&amp;utm_source=sheet", "Apply")</f>
        <v>Apply</v>
      </c>
      <c r="C276" s="10" t="s">
        <v>18082</v>
      </c>
      <c r="D276" s="56" t="s">
        <v>18083</v>
      </c>
      <c r="E276" s="10" t="s">
        <v>249</v>
      </c>
      <c r="F276" s="10" t="s">
        <v>18084</v>
      </c>
      <c r="G276" s="10" t="s">
        <v>17432</v>
      </c>
      <c r="H276" s="10" t="s">
        <v>698</v>
      </c>
      <c r="I276" s="10" t="s">
        <v>55</v>
      </c>
      <c r="J276" s="10" t="s">
        <v>18085</v>
      </c>
      <c r="K276" s="10" t="s">
        <v>18086</v>
      </c>
      <c r="L276" s="10" t="s">
        <v>42</v>
      </c>
    </row>
    <row r="277" ht="15.75" customHeight="1">
      <c r="A277" s="64">
        <v>45486.0</v>
      </c>
      <c r="B277" s="55" t="str">
        <f>HYPERLINK("https://jobright.ai/jobs/info/664e2b40fd06ab529d525914?utm_campaign=1054&amp;utm_source=sheet", "Apply")</f>
        <v>Apply</v>
      </c>
      <c r="C277" s="10" t="s">
        <v>18087</v>
      </c>
      <c r="D277" s="56" t="s">
        <v>4526</v>
      </c>
      <c r="E277" s="10" t="s">
        <v>209</v>
      </c>
      <c r="F277" s="10" t="s">
        <v>3124</v>
      </c>
      <c r="G277" s="10" t="s">
        <v>17432</v>
      </c>
      <c r="H277" s="10" t="s">
        <v>8314</v>
      </c>
      <c r="I277" s="10" t="s">
        <v>48</v>
      </c>
      <c r="J277" s="10" t="s">
        <v>17891</v>
      </c>
      <c r="K277" s="10" t="s">
        <v>18088</v>
      </c>
      <c r="L277" s="10" t="s">
        <v>42</v>
      </c>
    </row>
    <row r="278" ht="15.75" customHeight="1">
      <c r="A278" s="64">
        <v>45486.0</v>
      </c>
      <c r="B278" s="55" t="str">
        <f>HYPERLINK("https://jobright.ai/jobs/info/660da5cc5c72843175806651?utm_campaign=1054&amp;utm_source=sheet", "Apply")</f>
        <v>Apply</v>
      </c>
      <c r="C278" s="10" t="s">
        <v>17782</v>
      </c>
      <c r="D278" s="56" t="s">
        <v>17783</v>
      </c>
      <c r="E278" s="10" t="s">
        <v>65</v>
      </c>
      <c r="F278" s="10" t="s">
        <v>17784</v>
      </c>
      <c r="G278" s="10" t="s">
        <v>17432</v>
      </c>
      <c r="H278" s="10" t="s">
        <v>1254</v>
      </c>
      <c r="I278" s="10" t="s">
        <v>55</v>
      </c>
      <c r="J278" s="10" t="s">
        <v>18089</v>
      </c>
      <c r="K278" s="10" t="s">
        <v>17786</v>
      </c>
      <c r="L278" s="10" t="s">
        <v>42</v>
      </c>
    </row>
    <row r="279" ht="15.75" customHeight="1">
      <c r="A279" s="64">
        <v>45486.0</v>
      </c>
      <c r="B279" s="55" t="str">
        <f>HYPERLINK("https://jobright.ai/jobs/info/66927d26f150b8623e1215a1?utm_campaign=1054&amp;utm_source=sheet", "Apply")</f>
        <v>Apply</v>
      </c>
      <c r="C279" s="10" t="s">
        <v>18090</v>
      </c>
      <c r="D279" s="56" t="s">
        <v>17317</v>
      </c>
      <c r="E279" s="10" t="s">
        <v>65</v>
      </c>
      <c r="F279" s="10" t="s">
        <v>7494</v>
      </c>
      <c r="G279" s="10" t="s">
        <v>17429</v>
      </c>
      <c r="H279" s="10" t="s">
        <v>251</v>
      </c>
      <c r="I279" s="10" t="s">
        <v>252</v>
      </c>
      <c r="K279" s="10" t="s">
        <v>18091</v>
      </c>
      <c r="L279" s="10" t="s">
        <v>42</v>
      </c>
    </row>
    <row r="280" ht="15.75" customHeight="1">
      <c r="A280" s="64">
        <v>45486.0</v>
      </c>
      <c r="B280" s="55" t="str">
        <f>HYPERLINK("https://jobright.ai/jobs/info/6677066facb63b6016fb09b6?utm_campaign=1054&amp;utm_source=sheet", "Apply")</f>
        <v>Apply</v>
      </c>
      <c r="C280" s="10" t="s">
        <v>18092</v>
      </c>
      <c r="D280" s="56" t="s">
        <v>18093</v>
      </c>
      <c r="E280" s="10" t="s">
        <v>79</v>
      </c>
      <c r="F280" s="10" t="s">
        <v>2758</v>
      </c>
      <c r="G280" s="10" t="s">
        <v>17432</v>
      </c>
      <c r="H280" s="10" t="s">
        <v>144</v>
      </c>
      <c r="I280" s="10" t="s">
        <v>55</v>
      </c>
      <c r="K280" s="10" t="s">
        <v>18094</v>
      </c>
      <c r="L280" s="10" t="s">
        <v>42</v>
      </c>
    </row>
    <row r="281" ht="15.75" customHeight="1">
      <c r="A281" s="64">
        <v>45486.0</v>
      </c>
      <c r="B281" s="55" t="str">
        <f>HYPERLINK("https://jobright.ai/jobs/info/6677066facb63b6016fb0a41?utm_campaign=1054&amp;utm_source=sheet", "Apply")</f>
        <v>Apply</v>
      </c>
      <c r="C281" s="10" t="s">
        <v>18095</v>
      </c>
      <c r="D281" s="56" t="s">
        <v>18096</v>
      </c>
      <c r="E281" s="10" t="s">
        <v>137</v>
      </c>
      <c r="F281" s="10" t="s">
        <v>2758</v>
      </c>
      <c r="G281" s="10" t="s">
        <v>17432</v>
      </c>
      <c r="H281" s="10" t="s">
        <v>251</v>
      </c>
      <c r="I281" s="10" t="s">
        <v>252</v>
      </c>
      <c r="L281" s="10" t="s">
        <v>42</v>
      </c>
    </row>
    <row r="282" ht="15.75" customHeight="1">
      <c r="A282" s="64">
        <v>45485.0</v>
      </c>
      <c r="B282" s="55" t="str">
        <f>HYPERLINK("https://jobright.ai/jobs/info/6691c9b9cf3c8abe59ab6626?utm_campaign=1054&amp;utm_source=sheet", "Apply")</f>
        <v>Apply</v>
      </c>
      <c r="C282" s="10" t="s">
        <v>18097</v>
      </c>
      <c r="D282" s="56" t="s">
        <v>18098</v>
      </c>
      <c r="E282" s="10" t="s">
        <v>79</v>
      </c>
      <c r="F282" s="10" t="s">
        <v>10337</v>
      </c>
      <c r="G282" s="10" t="s">
        <v>17429</v>
      </c>
      <c r="H282" s="10" t="s">
        <v>96</v>
      </c>
      <c r="I282" s="10" t="s">
        <v>55</v>
      </c>
      <c r="J282" s="10" t="s">
        <v>3979</v>
      </c>
      <c r="K282" s="10" t="s">
        <v>18099</v>
      </c>
      <c r="L282" s="10" t="s">
        <v>42</v>
      </c>
    </row>
    <row r="283" ht="15.75" customHeight="1">
      <c r="A283" s="64">
        <v>45485.0</v>
      </c>
      <c r="B283" s="55" t="str">
        <f>HYPERLINK("https://jobright.ai/jobs/info/668fdaf822cfeb6ebf476106?utm_campaign=1054&amp;utm_source=sheet", "Apply")</f>
        <v>Apply</v>
      </c>
      <c r="C283" s="10" t="s">
        <v>18100</v>
      </c>
      <c r="D283" s="56" t="s">
        <v>1650</v>
      </c>
      <c r="E283" s="10" t="s">
        <v>209</v>
      </c>
      <c r="F283" s="10" t="s">
        <v>1243</v>
      </c>
      <c r="G283" s="10" t="s">
        <v>17429</v>
      </c>
      <c r="H283" s="10" t="s">
        <v>153</v>
      </c>
      <c r="I283" s="10" t="s">
        <v>55</v>
      </c>
      <c r="K283" s="10" t="s">
        <v>18101</v>
      </c>
      <c r="L283" s="10" t="s">
        <v>42</v>
      </c>
    </row>
    <row r="284" ht="15.75" customHeight="1">
      <c r="A284" s="64">
        <v>45485.0</v>
      </c>
      <c r="B284" s="55" t="str">
        <f>HYPERLINK("https://jobright.ai/jobs/info/668deb966da13c2496823e57?utm_campaign=1054&amp;utm_source=sheet", "Apply")</f>
        <v>Apply</v>
      </c>
      <c r="C284" s="10" t="s">
        <v>18102</v>
      </c>
      <c r="D284" s="56" t="s">
        <v>1650</v>
      </c>
      <c r="E284" s="10" t="s">
        <v>209</v>
      </c>
      <c r="F284" s="10" t="s">
        <v>1243</v>
      </c>
      <c r="G284" s="10" t="s">
        <v>17429</v>
      </c>
      <c r="H284" s="10" t="s">
        <v>153</v>
      </c>
      <c r="I284" s="10" t="s">
        <v>55</v>
      </c>
      <c r="K284" s="10" t="s">
        <v>18103</v>
      </c>
      <c r="L284" s="10" t="s">
        <v>42</v>
      </c>
    </row>
    <row r="285" ht="15.75" customHeight="1">
      <c r="A285" s="64">
        <v>45485.0</v>
      </c>
      <c r="B285" s="55" t="str">
        <f>HYPERLINK("https://jobright.ai/jobs/info/6691a9795e5623ebe1a39d99?utm_campaign=1054&amp;utm_source=sheet", "Apply")</f>
        <v>Apply</v>
      </c>
      <c r="C285" s="10" t="s">
        <v>17434</v>
      </c>
      <c r="D285" s="56" t="s">
        <v>18104</v>
      </c>
      <c r="E285" s="10" t="s">
        <v>65</v>
      </c>
      <c r="F285" s="10" t="s">
        <v>3770</v>
      </c>
      <c r="G285" s="10" t="s">
        <v>17429</v>
      </c>
      <c r="H285" s="10" t="s">
        <v>354</v>
      </c>
      <c r="I285" s="10" t="s">
        <v>55</v>
      </c>
      <c r="K285" s="10" t="s">
        <v>18105</v>
      </c>
      <c r="L285" s="10" t="s">
        <v>42</v>
      </c>
    </row>
    <row r="286" ht="15.75" customHeight="1">
      <c r="A286" s="64">
        <v>45485.0</v>
      </c>
      <c r="B286" s="55" t="str">
        <f>HYPERLINK("https://jobright.ai/jobs/info/6691ad04f75851e2436d55d1?utm_campaign=1054&amp;utm_source=sheet", "Apply")</f>
        <v>Apply</v>
      </c>
      <c r="C286" s="10" t="s">
        <v>17434</v>
      </c>
      <c r="D286" s="56" t="s">
        <v>18106</v>
      </c>
      <c r="E286" s="10" t="s">
        <v>65</v>
      </c>
      <c r="F286" s="10" t="s">
        <v>18107</v>
      </c>
      <c r="G286" s="10" t="s">
        <v>17429</v>
      </c>
      <c r="H286" s="10" t="s">
        <v>17162</v>
      </c>
      <c r="I286" s="10" t="s">
        <v>55</v>
      </c>
      <c r="J286" s="10" t="s">
        <v>1409</v>
      </c>
      <c r="K286" s="10" t="s">
        <v>18108</v>
      </c>
      <c r="L286" s="10" t="s">
        <v>42</v>
      </c>
    </row>
    <row r="287" ht="15.75" customHeight="1">
      <c r="A287" s="64">
        <v>45485.0</v>
      </c>
      <c r="B287" s="55" t="str">
        <f>HYPERLINK("https://jobright.ai/jobs/info/669a77cba898614b42f9d782?utm_campaign=1054&amp;utm_source=sheet", "Apply")</f>
        <v>Apply</v>
      </c>
      <c r="C287" s="10" t="s">
        <v>17434</v>
      </c>
      <c r="D287" s="56" t="s">
        <v>18109</v>
      </c>
      <c r="E287" s="10" t="s">
        <v>71</v>
      </c>
      <c r="F287" s="10" t="s">
        <v>1234</v>
      </c>
      <c r="G287" s="10" t="s">
        <v>17429</v>
      </c>
      <c r="H287" s="10" t="s">
        <v>165</v>
      </c>
      <c r="I287" s="10" t="s">
        <v>55</v>
      </c>
      <c r="J287" s="10" t="s">
        <v>16529</v>
      </c>
      <c r="K287" s="10" t="s">
        <v>18110</v>
      </c>
      <c r="L287" s="10" t="s">
        <v>42</v>
      </c>
    </row>
    <row r="288" ht="15.75" customHeight="1">
      <c r="A288" s="64">
        <v>45485.0</v>
      </c>
      <c r="B288" s="55" t="str">
        <f>HYPERLINK("https://jobright.ai/jobs/info/669a56191d5bb2bbf78ac8d3?utm_campaign=1054&amp;utm_source=sheet", "Apply")</f>
        <v>Apply</v>
      </c>
      <c r="C288" s="10" t="s">
        <v>18014</v>
      </c>
      <c r="D288" s="56" t="s">
        <v>5165</v>
      </c>
      <c r="E288" s="10" t="s">
        <v>209</v>
      </c>
      <c r="F288" s="10" t="s">
        <v>5166</v>
      </c>
      <c r="G288" s="10" t="s">
        <v>17429</v>
      </c>
      <c r="H288" s="10" t="s">
        <v>18111</v>
      </c>
      <c r="I288" s="10" t="s">
        <v>55</v>
      </c>
      <c r="K288" s="10" t="s">
        <v>18112</v>
      </c>
      <c r="L288" s="10" t="s">
        <v>42</v>
      </c>
    </row>
    <row r="289" ht="15.75" customHeight="1">
      <c r="A289" s="64">
        <v>45485.0</v>
      </c>
      <c r="B289" s="55" t="str">
        <f>HYPERLINK("https://jobright.ai/jobs/info/6691281c21a44898a745278c?utm_campaign=1054&amp;utm_source=sheet", "Apply")</f>
        <v>Apply</v>
      </c>
      <c r="C289" s="10" t="s">
        <v>18113</v>
      </c>
      <c r="D289" s="56" t="s">
        <v>17840</v>
      </c>
      <c r="E289" s="10" t="s">
        <v>209</v>
      </c>
      <c r="F289" s="10" t="s">
        <v>3684</v>
      </c>
      <c r="G289" s="10" t="s">
        <v>17432</v>
      </c>
      <c r="H289" s="10" t="s">
        <v>607</v>
      </c>
      <c r="I289" s="10" t="s">
        <v>48</v>
      </c>
      <c r="K289" s="10" t="s">
        <v>17842</v>
      </c>
      <c r="L289" s="10" t="s">
        <v>42</v>
      </c>
    </row>
    <row r="290" ht="15.75" customHeight="1">
      <c r="A290" s="64">
        <v>45485.0</v>
      </c>
      <c r="B290" s="55" t="str">
        <f>HYPERLINK("https://jobright.ai/jobs/info/6691281c21a44898a745278d?utm_campaign=1054&amp;utm_source=sheet", "Apply")</f>
        <v>Apply</v>
      </c>
      <c r="C290" s="10" t="s">
        <v>18114</v>
      </c>
      <c r="D290" s="56" t="s">
        <v>17840</v>
      </c>
      <c r="E290" s="10" t="s">
        <v>209</v>
      </c>
      <c r="F290" s="10" t="s">
        <v>3684</v>
      </c>
      <c r="G290" s="10" t="s">
        <v>17432</v>
      </c>
      <c r="H290" s="10" t="s">
        <v>607</v>
      </c>
      <c r="I290" s="10" t="s">
        <v>48</v>
      </c>
      <c r="K290" s="10" t="s">
        <v>17842</v>
      </c>
      <c r="L290" s="10" t="s">
        <v>42</v>
      </c>
    </row>
    <row r="291" ht="15.75" customHeight="1">
      <c r="A291" s="64">
        <v>45485.0</v>
      </c>
      <c r="B291" s="55" t="str">
        <f>HYPERLINK("https://jobright.ai/jobs/info/669126577d1fb6fcf3ecb318?utm_campaign=1054&amp;utm_source=sheet", "Apply")</f>
        <v>Apply</v>
      </c>
      <c r="C291" s="10" t="s">
        <v>18113</v>
      </c>
      <c r="D291" s="56" t="s">
        <v>17840</v>
      </c>
      <c r="E291" s="10" t="s">
        <v>209</v>
      </c>
      <c r="F291" s="10" t="s">
        <v>3684</v>
      </c>
      <c r="G291" s="10" t="s">
        <v>17432</v>
      </c>
      <c r="H291" s="10" t="s">
        <v>165</v>
      </c>
      <c r="I291" s="10" t="s">
        <v>48</v>
      </c>
      <c r="K291" s="10" t="s">
        <v>17842</v>
      </c>
      <c r="L291" s="10" t="s">
        <v>42</v>
      </c>
    </row>
    <row r="292" ht="15.75" customHeight="1">
      <c r="A292" s="64">
        <v>45485.0</v>
      </c>
      <c r="B292" s="55" t="str">
        <f>HYPERLINK("https://jobright.ai/jobs/info/669126577d1fb6fcf3ecb336?utm_campaign=1054&amp;utm_source=sheet", "Apply")</f>
        <v>Apply</v>
      </c>
      <c r="C292" s="10" t="s">
        <v>18113</v>
      </c>
      <c r="D292" s="56" t="s">
        <v>17840</v>
      </c>
      <c r="E292" s="10" t="s">
        <v>209</v>
      </c>
      <c r="F292" s="10" t="s">
        <v>3684</v>
      </c>
      <c r="G292" s="10" t="s">
        <v>17432</v>
      </c>
      <c r="H292" s="10" t="s">
        <v>139</v>
      </c>
      <c r="I292" s="10" t="s">
        <v>48</v>
      </c>
      <c r="K292" s="10" t="s">
        <v>17842</v>
      </c>
      <c r="L292" s="10" t="s">
        <v>42</v>
      </c>
    </row>
    <row r="293" ht="15.75" customHeight="1">
      <c r="A293" s="64">
        <v>45485.0</v>
      </c>
      <c r="B293" s="55" t="str">
        <f>HYPERLINK("https://jobright.ai/jobs/info/6691342ae07fc9931619cd11?utm_campaign=1054&amp;utm_source=sheet", "Apply")</f>
        <v>Apply</v>
      </c>
      <c r="C293" s="10" t="s">
        <v>18115</v>
      </c>
      <c r="D293" s="56" t="s">
        <v>17840</v>
      </c>
      <c r="E293" s="10" t="s">
        <v>209</v>
      </c>
      <c r="F293" s="10" t="s">
        <v>3684</v>
      </c>
      <c r="G293" s="10" t="s">
        <v>17432</v>
      </c>
      <c r="H293" s="10" t="s">
        <v>607</v>
      </c>
      <c r="I293" s="10" t="s">
        <v>48</v>
      </c>
      <c r="K293" s="10" t="s">
        <v>17842</v>
      </c>
      <c r="L293" s="10" t="s">
        <v>42</v>
      </c>
    </row>
    <row r="294" ht="15.75" customHeight="1">
      <c r="A294" s="64">
        <v>45485.0</v>
      </c>
      <c r="B294" s="55" t="str">
        <f>HYPERLINK("https://jobright.ai/jobs/info/6691342ae07fc9931619cd27?utm_campaign=1054&amp;utm_source=sheet", "Apply")</f>
        <v>Apply</v>
      </c>
      <c r="C294" s="10" t="s">
        <v>18116</v>
      </c>
      <c r="D294" s="56" t="s">
        <v>17840</v>
      </c>
      <c r="E294" s="10" t="s">
        <v>209</v>
      </c>
      <c r="F294" s="10" t="s">
        <v>3684</v>
      </c>
      <c r="G294" s="10" t="s">
        <v>17432</v>
      </c>
      <c r="H294" s="10" t="s">
        <v>165</v>
      </c>
      <c r="I294" s="10" t="s">
        <v>48</v>
      </c>
      <c r="K294" s="10" t="s">
        <v>17842</v>
      </c>
      <c r="L294" s="10" t="s">
        <v>42</v>
      </c>
    </row>
    <row r="295" ht="15.75" customHeight="1">
      <c r="A295" s="64">
        <v>45485.0</v>
      </c>
      <c r="B295" s="55" t="str">
        <f>HYPERLINK("https://jobright.ai/jobs/info/66910b0bd91291d9c9d42c2c?utm_campaign=1054&amp;utm_source=sheet", "Apply")</f>
        <v>Apply</v>
      </c>
      <c r="C295" s="10" t="s">
        <v>18117</v>
      </c>
      <c r="D295" s="56" t="s">
        <v>17840</v>
      </c>
      <c r="E295" s="10" t="s">
        <v>209</v>
      </c>
      <c r="F295" s="10" t="s">
        <v>3684</v>
      </c>
      <c r="G295" s="10" t="s">
        <v>17429</v>
      </c>
      <c r="H295" s="10" t="s">
        <v>96</v>
      </c>
      <c r="I295" s="10" t="s">
        <v>48</v>
      </c>
      <c r="K295" s="10" t="s">
        <v>17842</v>
      </c>
      <c r="L295" s="10" t="s">
        <v>42</v>
      </c>
    </row>
    <row r="296" ht="15.75" customHeight="1">
      <c r="A296" s="64">
        <v>45485.0</v>
      </c>
      <c r="B296" s="55" t="str">
        <f>HYPERLINK("https://jobright.ai/jobs/info/66910b0bd91291d9c9d42be7?utm_campaign=1054&amp;utm_source=sheet", "Apply")</f>
        <v>Apply</v>
      </c>
      <c r="C296" s="10" t="s">
        <v>18117</v>
      </c>
      <c r="D296" s="56" t="s">
        <v>17840</v>
      </c>
      <c r="E296" s="10" t="s">
        <v>209</v>
      </c>
      <c r="F296" s="10" t="s">
        <v>3684</v>
      </c>
      <c r="G296" s="10" t="s">
        <v>17429</v>
      </c>
      <c r="H296" s="10" t="s">
        <v>165</v>
      </c>
      <c r="I296" s="10" t="s">
        <v>48</v>
      </c>
      <c r="K296" s="10" t="s">
        <v>17842</v>
      </c>
      <c r="L296" s="10" t="s">
        <v>42</v>
      </c>
    </row>
    <row r="297" ht="15.75" customHeight="1">
      <c r="A297" s="64">
        <v>45485.0</v>
      </c>
      <c r="B297" s="55" t="str">
        <f>HYPERLINK("https://jobright.ai/jobs/info/66910b0bd91291d9c9d42c02?utm_campaign=1054&amp;utm_source=sheet", "Apply")</f>
        <v>Apply</v>
      </c>
      <c r="C297" s="10" t="s">
        <v>18114</v>
      </c>
      <c r="D297" s="56" t="s">
        <v>17840</v>
      </c>
      <c r="E297" s="10" t="s">
        <v>209</v>
      </c>
      <c r="F297" s="10" t="s">
        <v>3684</v>
      </c>
      <c r="G297" s="10" t="s">
        <v>17432</v>
      </c>
      <c r="H297" s="10" t="s">
        <v>165</v>
      </c>
      <c r="I297" s="10" t="s">
        <v>48</v>
      </c>
      <c r="K297" s="10" t="s">
        <v>17842</v>
      </c>
      <c r="L297" s="10" t="s">
        <v>42</v>
      </c>
    </row>
    <row r="298" ht="15.75" customHeight="1">
      <c r="A298" s="64">
        <v>45485.0</v>
      </c>
      <c r="B298" s="55" t="str">
        <f>HYPERLINK("https://jobright.ai/jobs/info/66910fd22bb68a6da1e426a7?utm_campaign=1054&amp;utm_source=sheet", "Apply")</f>
        <v>Apply</v>
      </c>
      <c r="C298" s="10" t="s">
        <v>18118</v>
      </c>
      <c r="D298" s="56" t="s">
        <v>17840</v>
      </c>
      <c r="E298" s="10" t="s">
        <v>209</v>
      </c>
      <c r="F298" s="10" t="s">
        <v>3684</v>
      </c>
      <c r="G298" s="10" t="s">
        <v>17432</v>
      </c>
      <c r="H298" s="10" t="s">
        <v>165</v>
      </c>
      <c r="I298" s="10" t="s">
        <v>48</v>
      </c>
      <c r="K298" s="10" t="s">
        <v>17842</v>
      </c>
      <c r="L298" s="10" t="s">
        <v>42</v>
      </c>
    </row>
    <row r="299" ht="15.75" customHeight="1">
      <c r="A299" s="64">
        <v>45485.0</v>
      </c>
      <c r="B299" s="55" t="str">
        <f>HYPERLINK("https://jobright.ai/jobs/info/66910fd22bb68a6da1e426e4?utm_campaign=1054&amp;utm_source=sheet", "Apply")</f>
        <v>Apply</v>
      </c>
      <c r="C299" s="10" t="s">
        <v>18116</v>
      </c>
      <c r="D299" s="56" t="s">
        <v>17840</v>
      </c>
      <c r="E299" s="10" t="s">
        <v>209</v>
      </c>
      <c r="F299" s="10" t="s">
        <v>3684</v>
      </c>
      <c r="G299" s="10" t="s">
        <v>17432</v>
      </c>
      <c r="H299" s="10" t="s">
        <v>96</v>
      </c>
      <c r="I299" s="10" t="s">
        <v>48</v>
      </c>
      <c r="K299" s="10" t="s">
        <v>17842</v>
      </c>
      <c r="L299" s="10" t="s">
        <v>42</v>
      </c>
    </row>
    <row r="300" ht="15.75" customHeight="1">
      <c r="A300" s="64">
        <v>45485.0</v>
      </c>
      <c r="B300" s="55" t="str">
        <f>HYPERLINK("https://jobright.ai/jobs/info/667561d242bae55a9582833e?utm_campaign=1054&amp;utm_source=sheet", "Apply")</f>
        <v>Apply</v>
      </c>
      <c r="C300" s="10" t="s">
        <v>17434</v>
      </c>
      <c r="D300" s="56" t="s">
        <v>6129</v>
      </c>
      <c r="E300" s="10" t="s">
        <v>45</v>
      </c>
      <c r="F300" s="10" t="s">
        <v>6130</v>
      </c>
      <c r="G300" s="10" t="s">
        <v>17429</v>
      </c>
      <c r="H300" s="10" t="s">
        <v>18119</v>
      </c>
      <c r="I300" s="10" t="s">
        <v>48</v>
      </c>
      <c r="K300" s="10" t="s">
        <v>18120</v>
      </c>
      <c r="L300" s="10" t="s">
        <v>42</v>
      </c>
    </row>
    <row r="301" ht="15.75" customHeight="1">
      <c r="A301" s="64">
        <v>45485.0</v>
      </c>
      <c r="B301" s="55" t="str">
        <f>HYPERLINK("https://jobright.ai/jobs/info/6674e269fcd8d0122060ebbf?utm_campaign=1054&amp;utm_source=sheet", "Apply")</f>
        <v>Apply</v>
      </c>
      <c r="C301" s="10" t="s">
        <v>18121</v>
      </c>
      <c r="D301" s="56" t="s">
        <v>18122</v>
      </c>
      <c r="E301" s="10" t="s">
        <v>45</v>
      </c>
      <c r="F301" s="10" t="s">
        <v>18123</v>
      </c>
      <c r="G301" s="10" t="s">
        <v>17429</v>
      </c>
      <c r="H301" s="10" t="s">
        <v>2905</v>
      </c>
      <c r="I301" s="10" t="s">
        <v>55</v>
      </c>
      <c r="K301" s="10" t="s">
        <v>18124</v>
      </c>
      <c r="L301" s="10" t="s">
        <v>42</v>
      </c>
    </row>
    <row r="302" ht="15.75" customHeight="1">
      <c r="A302" s="64">
        <v>45485.0</v>
      </c>
      <c r="B302" s="55" t="str">
        <f>HYPERLINK("https://jobright.ai/jobs/info/667533cc05d33980f8652ea6?utm_campaign=1054&amp;utm_source=sheet", "Apply")</f>
        <v>Apply</v>
      </c>
      <c r="C302" s="10" t="s">
        <v>18125</v>
      </c>
      <c r="D302" s="56" t="s">
        <v>10219</v>
      </c>
      <c r="E302" s="10" t="s">
        <v>79</v>
      </c>
      <c r="G302" s="10" t="s">
        <v>17429</v>
      </c>
      <c r="H302" s="10" t="s">
        <v>628</v>
      </c>
      <c r="I302" s="10" t="s">
        <v>48</v>
      </c>
      <c r="K302" s="10" t="s">
        <v>18126</v>
      </c>
      <c r="L302" s="10" t="s">
        <v>42</v>
      </c>
    </row>
    <row r="303" ht="15.75" customHeight="1">
      <c r="A303" s="64">
        <v>45485.0</v>
      </c>
      <c r="B303" s="55" t="str">
        <f>HYPERLINK("https://jobright.ai/jobs/info/6674e27efcd8d0122060edeb?utm_campaign=1054&amp;utm_source=sheet", "Apply")</f>
        <v>Apply</v>
      </c>
      <c r="C303" s="10" t="s">
        <v>18121</v>
      </c>
      <c r="D303" s="56" t="s">
        <v>18122</v>
      </c>
      <c r="E303" s="10" t="s">
        <v>45</v>
      </c>
      <c r="F303" s="10" t="s">
        <v>18123</v>
      </c>
      <c r="G303" s="10" t="s">
        <v>17429</v>
      </c>
      <c r="H303" s="10" t="s">
        <v>994</v>
      </c>
      <c r="I303" s="10" t="s">
        <v>55</v>
      </c>
      <c r="K303" s="10" t="s">
        <v>18124</v>
      </c>
      <c r="L303" s="10" t="s">
        <v>42</v>
      </c>
    </row>
    <row r="304" ht="15.75" customHeight="1">
      <c r="A304" s="64">
        <v>45485.0</v>
      </c>
      <c r="B304" s="55" t="str">
        <f>HYPERLINK("https://jobright.ai/jobs/info/6674fffc38794d4dc1cac007?utm_campaign=1054&amp;utm_source=sheet", "Apply")</f>
        <v>Apply</v>
      </c>
      <c r="C304" s="10" t="s">
        <v>18121</v>
      </c>
      <c r="D304" s="56" t="s">
        <v>18122</v>
      </c>
      <c r="E304" s="10" t="s">
        <v>45</v>
      </c>
      <c r="F304" s="10" t="s">
        <v>18123</v>
      </c>
      <c r="G304" s="10" t="s">
        <v>17429</v>
      </c>
      <c r="H304" s="10" t="s">
        <v>165</v>
      </c>
      <c r="I304" s="10" t="s">
        <v>55</v>
      </c>
      <c r="K304" s="10" t="s">
        <v>18124</v>
      </c>
      <c r="L304" s="10" t="s">
        <v>42</v>
      </c>
    </row>
    <row r="305" ht="15.75" customHeight="1">
      <c r="A305" s="64">
        <v>45485.0</v>
      </c>
      <c r="B305" s="55" t="str">
        <f>HYPERLINK("https://jobright.ai/jobs/info/66751b471345ca9e335e72dd?utm_campaign=1054&amp;utm_source=sheet", "Apply")</f>
        <v>Apply</v>
      </c>
      <c r="C305" s="10" t="s">
        <v>18121</v>
      </c>
      <c r="D305" s="56" t="s">
        <v>18122</v>
      </c>
      <c r="E305" s="10" t="s">
        <v>45</v>
      </c>
      <c r="F305" s="10" t="s">
        <v>18123</v>
      </c>
      <c r="G305" s="10" t="s">
        <v>17429</v>
      </c>
      <c r="H305" s="10" t="s">
        <v>113</v>
      </c>
      <c r="I305" s="10" t="s">
        <v>55</v>
      </c>
      <c r="K305" s="10" t="s">
        <v>18124</v>
      </c>
      <c r="L305" s="10" t="s">
        <v>42</v>
      </c>
    </row>
    <row r="306" ht="15.75" customHeight="1">
      <c r="A306" s="64">
        <v>45485.0</v>
      </c>
      <c r="B306" s="55" t="str">
        <f>HYPERLINK("https://jobright.ai/jobs/info/668e3ef8440fe6927bebb08b?utm_campaign=1054&amp;utm_source=sheet", "Apply")</f>
        <v>Apply</v>
      </c>
      <c r="C306" s="10" t="s">
        <v>18127</v>
      </c>
      <c r="D306" s="56" t="s">
        <v>7047</v>
      </c>
      <c r="E306" s="10" t="s">
        <v>65</v>
      </c>
      <c r="F306" s="10" t="s">
        <v>5048</v>
      </c>
      <c r="G306" s="10" t="s">
        <v>17429</v>
      </c>
      <c r="H306" s="10" t="s">
        <v>7048</v>
      </c>
      <c r="I306" s="10" t="s">
        <v>55</v>
      </c>
      <c r="K306" s="10" t="s">
        <v>18128</v>
      </c>
      <c r="L306" s="10" t="s">
        <v>42</v>
      </c>
    </row>
    <row r="307" ht="15.75" customHeight="1">
      <c r="A307" s="64">
        <v>45485.0</v>
      </c>
      <c r="B307" s="55" t="str">
        <f>HYPERLINK("https://jobright.ai/jobs/info/6690c98250a8322cf99b909d?utm_campaign=1054&amp;utm_source=sheet", "Apply")</f>
        <v>Apply</v>
      </c>
      <c r="C307" s="10" t="s">
        <v>17457</v>
      </c>
      <c r="D307" s="56" t="s">
        <v>15454</v>
      </c>
      <c r="E307" s="10" t="s">
        <v>276</v>
      </c>
      <c r="F307" s="10" t="s">
        <v>13089</v>
      </c>
      <c r="G307" s="10" t="s">
        <v>17429</v>
      </c>
      <c r="H307" s="10" t="s">
        <v>12519</v>
      </c>
      <c r="I307" s="10" t="s">
        <v>55</v>
      </c>
      <c r="K307" s="10" t="s">
        <v>18129</v>
      </c>
      <c r="L307" s="10" t="s">
        <v>42</v>
      </c>
    </row>
    <row r="308" ht="15.75" customHeight="1">
      <c r="A308" s="64">
        <v>45485.0</v>
      </c>
      <c r="B308" s="55" t="str">
        <f>HYPERLINK("https://jobright.ai/jobs/info/6690e52417d057c6cd55ce0f?utm_campaign=1054&amp;utm_source=sheet", "Apply")</f>
        <v>Apply</v>
      </c>
      <c r="C308" s="10" t="s">
        <v>18113</v>
      </c>
      <c r="D308" s="56" t="s">
        <v>17840</v>
      </c>
      <c r="E308" s="10" t="s">
        <v>209</v>
      </c>
      <c r="F308" s="10" t="s">
        <v>3684</v>
      </c>
      <c r="G308" s="10" t="s">
        <v>17432</v>
      </c>
      <c r="H308" s="10" t="s">
        <v>18130</v>
      </c>
      <c r="I308" s="10" t="s">
        <v>48</v>
      </c>
      <c r="K308" s="10" t="s">
        <v>17842</v>
      </c>
      <c r="L308" s="10" t="s">
        <v>42</v>
      </c>
    </row>
    <row r="309" ht="15.75" customHeight="1">
      <c r="A309" s="64">
        <v>45485.0</v>
      </c>
      <c r="B309" s="55" t="str">
        <f>HYPERLINK("https://jobright.ai/jobs/info/6690e52417d057c6cd55ce26?utm_campaign=1054&amp;utm_source=sheet", "Apply")</f>
        <v>Apply</v>
      </c>
      <c r="C309" s="10" t="s">
        <v>18116</v>
      </c>
      <c r="D309" s="56" t="s">
        <v>17840</v>
      </c>
      <c r="E309" s="10" t="s">
        <v>209</v>
      </c>
      <c r="F309" s="10" t="s">
        <v>3684</v>
      </c>
      <c r="G309" s="10" t="s">
        <v>17432</v>
      </c>
      <c r="H309" s="10" t="s">
        <v>18131</v>
      </c>
      <c r="I309" s="10" t="s">
        <v>48</v>
      </c>
      <c r="K309" s="10" t="s">
        <v>17842</v>
      </c>
      <c r="L309" s="10" t="s">
        <v>42</v>
      </c>
    </row>
    <row r="310" ht="15.75" customHeight="1">
      <c r="A310" s="64">
        <v>45485.0</v>
      </c>
      <c r="B310" s="55" t="str">
        <f>HYPERLINK("https://jobright.ai/jobs/info/6690e52417d057c6cd55ce2c?utm_campaign=1054&amp;utm_source=sheet", "Apply")</f>
        <v>Apply</v>
      </c>
      <c r="C310" s="10" t="s">
        <v>18132</v>
      </c>
      <c r="D310" s="56" t="s">
        <v>17840</v>
      </c>
      <c r="E310" s="10" t="s">
        <v>209</v>
      </c>
      <c r="F310" s="10" t="s">
        <v>3684</v>
      </c>
      <c r="G310" s="10" t="s">
        <v>17429</v>
      </c>
      <c r="H310" s="10" t="s">
        <v>18131</v>
      </c>
      <c r="I310" s="10" t="s">
        <v>48</v>
      </c>
      <c r="K310" s="10" t="s">
        <v>17842</v>
      </c>
      <c r="L310" s="10" t="s">
        <v>42</v>
      </c>
    </row>
    <row r="311" ht="15.75" customHeight="1">
      <c r="A311" s="64">
        <v>45485.0</v>
      </c>
      <c r="B311" s="55" t="str">
        <f>HYPERLINK("https://jobright.ai/jobs/info/6690e52417d057c6cd55ce14?utm_campaign=1054&amp;utm_source=sheet", "Apply")</f>
        <v>Apply</v>
      </c>
      <c r="C311" s="10" t="s">
        <v>18114</v>
      </c>
      <c r="D311" s="56" t="s">
        <v>17840</v>
      </c>
      <c r="E311" s="10" t="s">
        <v>209</v>
      </c>
      <c r="F311" s="10" t="s">
        <v>3684</v>
      </c>
      <c r="G311" s="10" t="s">
        <v>17432</v>
      </c>
      <c r="H311" s="10" t="s">
        <v>18130</v>
      </c>
      <c r="I311" s="10" t="s">
        <v>48</v>
      </c>
      <c r="K311" s="10" t="s">
        <v>17842</v>
      </c>
      <c r="L311" s="10" t="s">
        <v>42</v>
      </c>
    </row>
    <row r="312" ht="15.75" customHeight="1">
      <c r="A312" s="64">
        <v>45484.0</v>
      </c>
      <c r="B312" s="55" t="str">
        <f>HYPERLINK("https://jobright.ai/jobs/info/6690a7b144ba5bf941b3504b?utm_campaign=1054&amp;utm_source=sheet", "Apply")</f>
        <v>Apply</v>
      </c>
      <c r="C312" s="10" t="s">
        <v>18133</v>
      </c>
      <c r="D312" s="56" t="s">
        <v>18134</v>
      </c>
      <c r="E312" s="10" t="s">
        <v>45</v>
      </c>
      <c r="F312" s="10" t="s">
        <v>12981</v>
      </c>
      <c r="G312" s="10" t="s">
        <v>17429</v>
      </c>
      <c r="H312" s="10" t="s">
        <v>661</v>
      </c>
      <c r="I312" s="10" t="s">
        <v>48</v>
      </c>
      <c r="K312" s="10" t="s">
        <v>18135</v>
      </c>
      <c r="L312" s="10" t="s">
        <v>42</v>
      </c>
    </row>
    <row r="313" ht="15.75" customHeight="1">
      <c r="A313" s="64">
        <v>45484.0</v>
      </c>
      <c r="B313" s="55" t="str">
        <f>HYPERLINK("https://jobright.ai/jobs/info/6690aefb82892b382ec225e5?utm_campaign=1054&amp;utm_source=sheet", "Apply")</f>
        <v>Apply</v>
      </c>
      <c r="C313" s="10" t="s">
        <v>18136</v>
      </c>
      <c r="D313" s="56" t="s">
        <v>44</v>
      </c>
      <c r="E313" s="10" t="s">
        <v>45</v>
      </c>
      <c r="F313" s="10" t="s">
        <v>46</v>
      </c>
      <c r="G313" s="10" t="s">
        <v>17429</v>
      </c>
      <c r="H313" s="10" t="s">
        <v>374</v>
      </c>
      <c r="I313" s="10" t="s">
        <v>48</v>
      </c>
      <c r="J313" s="10" t="s">
        <v>12566</v>
      </c>
      <c r="K313" s="10" t="s">
        <v>18137</v>
      </c>
      <c r="L313" s="10" t="s">
        <v>42</v>
      </c>
    </row>
    <row r="314" ht="15.75" customHeight="1">
      <c r="A314" s="64">
        <v>45484.0</v>
      </c>
      <c r="B314" s="55" t="str">
        <f>HYPERLINK("https://jobright.ai/jobs/info/668d0285e468a2b5f1369147?utm_campaign=1054&amp;utm_source=sheet", "Apply")</f>
        <v>Apply</v>
      </c>
      <c r="C314" s="10" t="s">
        <v>18138</v>
      </c>
      <c r="D314" s="56" t="s">
        <v>1650</v>
      </c>
      <c r="E314" s="10" t="s">
        <v>209</v>
      </c>
      <c r="F314" s="10" t="s">
        <v>1243</v>
      </c>
      <c r="G314" s="10" t="s">
        <v>17429</v>
      </c>
      <c r="H314" s="10" t="s">
        <v>106</v>
      </c>
      <c r="I314" s="10" t="s">
        <v>55</v>
      </c>
      <c r="K314" s="10" t="s">
        <v>18139</v>
      </c>
      <c r="L314" s="10" t="s">
        <v>42</v>
      </c>
    </row>
    <row r="315" ht="15.75" customHeight="1">
      <c r="A315" s="64">
        <v>45484.0</v>
      </c>
      <c r="B315" s="55" t="str">
        <f>HYPERLINK("https://jobright.ai/jobs/info/6688d26b10f0f5efef8fcc46?utm_campaign=1054&amp;utm_source=sheet", "Apply")</f>
        <v>Apply</v>
      </c>
      <c r="C315" s="10" t="s">
        <v>1891</v>
      </c>
      <c r="D315" s="56" t="s">
        <v>1892</v>
      </c>
      <c r="E315" s="10" t="s">
        <v>45</v>
      </c>
      <c r="F315" s="10" t="s">
        <v>1893</v>
      </c>
      <c r="G315" s="10" t="s">
        <v>17432</v>
      </c>
      <c r="H315" s="10" t="s">
        <v>96</v>
      </c>
      <c r="I315" s="10" t="s">
        <v>55</v>
      </c>
      <c r="J315" s="10" t="s">
        <v>581</v>
      </c>
      <c r="K315" s="10" t="s">
        <v>18140</v>
      </c>
      <c r="L315" s="10" t="s">
        <v>42</v>
      </c>
    </row>
    <row r="316" ht="15.75" customHeight="1">
      <c r="A316" s="64">
        <v>45484.0</v>
      </c>
      <c r="B316" s="55" t="str">
        <f>HYPERLINK("https://jobright.ai/jobs/info/668bb8aae0325a0c515120d8?utm_campaign=1054&amp;utm_source=sheet", "Apply")</f>
        <v>Apply</v>
      </c>
      <c r="C316" s="10" t="s">
        <v>1891</v>
      </c>
      <c r="D316" s="56" t="s">
        <v>1892</v>
      </c>
      <c r="E316" s="10" t="s">
        <v>45</v>
      </c>
      <c r="F316" s="10" t="s">
        <v>1893</v>
      </c>
      <c r="G316" s="10" t="s">
        <v>17432</v>
      </c>
      <c r="H316" s="10" t="s">
        <v>96</v>
      </c>
      <c r="I316" s="10" t="s">
        <v>48</v>
      </c>
      <c r="J316" s="10" t="s">
        <v>581</v>
      </c>
      <c r="K316" s="10" t="s">
        <v>18141</v>
      </c>
      <c r="L316" s="10" t="s">
        <v>42</v>
      </c>
    </row>
    <row r="317" ht="15.75" customHeight="1">
      <c r="A317" s="64">
        <v>45484.0</v>
      </c>
      <c r="B317" s="55" t="str">
        <f>HYPERLINK("https://jobright.ai/jobs/info/66905995f6b922c3462caea6?utm_campaign=1054&amp;utm_source=sheet", "Apply")</f>
        <v>Apply</v>
      </c>
      <c r="C317" s="10" t="s">
        <v>18142</v>
      </c>
      <c r="D317" s="56" t="s">
        <v>18143</v>
      </c>
      <c r="E317" s="10" t="s">
        <v>65</v>
      </c>
      <c r="F317" s="10" t="s">
        <v>2409</v>
      </c>
      <c r="G317" s="10" t="s">
        <v>17429</v>
      </c>
      <c r="H317" s="10" t="s">
        <v>139</v>
      </c>
      <c r="I317" s="10" t="s">
        <v>55</v>
      </c>
      <c r="K317" s="10" t="s">
        <v>18144</v>
      </c>
      <c r="L317" s="10" t="s">
        <v>42</v>
      </c>
    </row>
    <row r="318" ht="15.75" customHeight="1">
      <c r="A318" s="64">
        <v>45484.0</v>
      </c>
      <c r="B318" s="55" t="str">
        <f>HYPERLINK("https://jobright.ai/jobs/info/66908df21dc1aacb783d1a3d?utm_campaign=1054&amp;utm_source=sheet", "Apply")</f>
        <v>Apply</v>
      </c>
      <c r="C318" s="10" t="s">
        <v>18145</v>
      </c>
      <c r="D318" s="56" t="s">
        <v>18146</v>
      </c>
      <c r="E318" s="10" t="s">
        <v>249</v>
      </c>
      <c r="F318" s="10" t="s">
        <v>6172</v>
      </c>
      <c r="G318" s="10" t="s">
        <v>17429</v>
      </c>
      <c r="H318" s="10" t="s">
        <v>6998</v>
      </c>
      <c r="I318" s="10" t="s">
        <v>55</v>
      </c>
      <c r="K318" s="10" t="s">
        <v>18147</v>
      </c>
      <c r="L318" s="10" t="s">
        <v>42</v>
      </c>
    </row>
    <row r="319" ht="15.75" customHeight="1">
      <c r="A319" s="64">
        <v>45484.0</v>
      </c>
      <c r="B319" s="55" t="str">
        <f>HYPERLINK("https://jobright.ai/jobs/info/669059c8f6b922c3462cb389?utm_campaign=1054&amp;utm_source=sheet", "Apply")</f>
        <v>Apply</v>
      </c>
      <c r="C319" s="10" t="s">
        <v>18148</v>
      </c>
      <c r="D319" s="56" t="s">
        <v>15988</v>
      </c>
      <c r="E319" s="10" t="s">
        <v>65</v>
      </c>
      <c r="F319" s="10" t="s">
        <v>15989</v>
      </c>
      <c r="G319" s="10" t="s">
        <v>17432</v>
      </c>
      <c r="H319" s="10" t="s">
        <v>4960</v>
      </c>
      <c r="I319" s="10" t="s">
        <v>55</v>
      </c>
      <c r="K319" s="10" t="s">
        <v>18149</v>
      </c>
      <c r="L319" s="10" t="s">
        <v>42</v>
      </c>
    </row>
    <row r="320" ht="15.75" customHeight="1">
      <c r="A320" s="64">
        <v>45484.0</v>
      </c>
      <c r="B320" s="55" t="str">
        <f>HYPERLINK("https://jobright.ai/jobs/info/6690b0401f8d1bc97eb6812d?utm_campaign=1054&amp;utm_source=sheet", "Apply")</f>
        <v>Apply</v>
      </c>
      <c r="C320" s="10" t="s">
        <v>17434</v>
      </c>
      <c r="D320" s="56" t="s">
        <v>18150</v>
      </c>
      <c r="E320" s="10" t="s">
        <v>276</v>
      </c>
      <c r="F320" s="10" t="s">
        <v>18151</v>
      </c>
      <c r="G320" s="10" t="s">
        <v>17429</v>
      </c>
      <c r="H320" s="10" t="s">
        <v>18152</v>
      </c>
      <c r="I320" s="10" t="s">
        <v>55</v>
      </c>
      <c r="K320" s="10" t="s">
        <v>18153</v>
      </c>
      <c r="L320" s="10" t="s">
        <v>42</v>
      </c>
    </row>
    <row r="321" ht="15.75" customHeight="1">
      <c r="A321" s="64">
        <v>45484.0</v>
      </c>
      <c r="B321" s="55" t="str">
        <f>HYPERLINK("https://jobright.ai/jobs/info/6690c007555345cb31084b20?utm_campaign=1054&amp;utm_source=sheet", "Apply")</f>
        <v>Apply</v>
      </c>
      <c r="C321" s="10" t="s">
        <v>18154</v>
      </c>
      <c r="D321" s="56" t="s">
        <v>6736</v>
      </c>
      <c r="E321" s="10" t="s">
        <v>65</v>
      </c>
      <c r="F321" s="10" t="s">
        <v>1234</v>
      </c>
      <c r="G321" s="10" t="s">
        <v>17429</v>
      </c>
      <c r="H321" s="10" t="s">
        <v>6737</v>
      </c>
      <c r="I321" s="10" t="s">
        <v>55</v>
      </c>
      <c r="J321" s="10" t="s">
        <v>1761</v>
      </c>
      <c r="K321" s="10" t="s">
        <v>18155</v>
      </c>
      <c r="L321" s="10" t="s">
        <v>42</v>
      </c>
    </row>
    <row r="322" ht="15.75" customHeight="1">
      <c r="A322" s="64">
        <v>45484.0</v>
      </c>
      <c r="B322" s="55" t="str">
        <f>HYPERLINK("https://jobright.ai/jobs/info/6690bf61555345cb31083b14?utm_campaign=1054&amp;utm_source=sheet", "Apply")</f>
        <v>Apply</v>
      </c>
      <c r="C322" s="10" t="s">
        <v>17457</v>
      </c>
      <c r="D322" s="56" t="s">
        <v>18156</v>
      </c>
      <c r="E322" s="10" t="s">
        <v>79</v>
      </c>
      <c r="F322" s="10" t="s">
        <v>2463</v>
      </c>
      <c r="G322" s="10" t="s">
        <v>17429</v>
      </c>
      <c r="H322" s="10" t="s">
        <v>18157</v>
      </c>
      <c r="I322" s="10" t="s">
        <v>55</v>
      </c>
      <c r="K322" s="10" t="s">
        <v>18158</v>
      </c>
      <c r="L322" s="10" t="s">
        <v>42</v>
      </c>
    </row>
    <row r="323" ht="15.75" customHeight="1">
      <c r="A323" s="64">
        <v>45484.0</v>
      </c>
      <c r="B323" s="55" t="str">
        <f>HYPERLINK("https://jobright.ai/jobs/info/66909fd3bb6223b93a70a3f1?utm_campaign=1054&amp;utm_source=sheet", "Apply")</f>
        <v>Apply</v>
      </c>
      <c r="C323" s="10" t="s">
        <v>17434</v>
      </c>
      <c r="D323" s="56" t="s">
        <v>14259</v>
      </c>
      <c r="E323" s="10" t="s">
        <v>65</v>
      </c>
      <c r="F323" s="10" t="s">
        <v>14260</v>
      </c>
      <c r="G323" s="10" t="s">
        <v>17432</v>
      </c>
      <c r="H323" s="10" t="s">
        <v>18159</v>
      </c>
      <c r="I323" s="10" t="s">
        <v>55</v>
      </c>
      <c r="K323" s="10" t="s">
        <v>18160</v>
      </c>
      <c r="L323" s="10" t="s">
        <v>42</v>
      </c>
    </row>
    <row r="324" ht="15.75" customHeight="1">
      <c r="A324" s="64">
        <v>45484.0</v>
      </c>
      <c r="B324" s="55" t="str">
        <f>HYPERLINK("https://jobright.ai/jobs/info/6690bf9b555345cb310840bf?utm_campaign=1054&amp;utm_source=sheet", "Apply")</f>
        <v>Apply</v>
      </c>
      <c r="C324" s="10" t="s">
        <v>18161</v>
      </c>
      <c r="D324" s="56" t="s">
        <v>18162</v>
      </c>
      <c r="E324" s="10" t="s">
        <v>45</v>
      </c>
      <c r="F324" s="10" t="s">
        <v>18163</v>
      </c>
      <c r="G324" s="10" t="s">
        <v>17432</v>
      </c>
      <c r="H324" s="10" t="s">
        <v>4728</v>
      </c>
      <c r="I324" s="10" t="s">
        <v>55</v>
      </c>
      <c r="K324" s="10" t="s">
        <v>18164</v>
      </c>
      <c r="L324" s="10" t="s">
        <v>42</v>
      </c>
    </row>
    <row r="325" ht="15.75" customHeight="1">
      <c r="A325" s="64">
        <v>45484.0</v>
      </c>
      <c r="B325" s="55" t="str">
        <f>HYPERLINK("https://jobright.ai/jobs/info/6690838bb61d5c4325325645?utm_campaign=1054&amp;utm_source=sheet", "Apply")</f>
        <v>Apply</v>
      </c>
      <c r="C325" s="10" t="s">
        <v>18165</v>
      </c>
      <c r="D325" s="56" t="s">
        <v>17863</v>
      </c>
      <c r="E325" s="10">
        <v>305.0</v>
      </c>
      <c r="G325" s="10" t="s">
        <v>17429</v>
      </c>
      <c r="H325" s="10" t="s">
        <v>17864</v>
      </c>
      <c r="I325" s="10" t="s">
        <v>55</v>
      </c>
      <c r="K325" s="10" t="s">
        <v>17865</v>
      </c>
      <c r="L325" s="10" t="s">
        <v>42</v>
      </c>
    </row>
    <row r="326" ht="15.75" customHeight="1">
      <c r="A326" s="64">
        <v>45484.0</v>
      </c>
      <c r="B326" s="55" t="str">
        <f>HYPERLINK("https://jobright.ai/jobs/info/6690d011b9480c9896c8f637?utm_campaign=1054&amp;utm_source=sheet", "Apply")</f>
        <v>Apply</v>
      </c>
      <c r="C326" s="10" t="s">
        <v>17434</v>
      </c>
      <c r="D326" s="56" t="s">
        <v>18166</v>
      </c>
      <c r="E326" s="10" t="s">
        <v>71</v>
      </c>
      <c r="F326" s="10" t="s">
        <v>10</v>
      </c>
      <c r="G326" s="10" t="s">
        <v>17432</v>
      </c>
      <c r="H326" s="10" t="s">
        <v>18167</v>
      </c>
      <c r="I326" s="10" t="s">
        <v>48</v>
      </c>
      <c r="J326" s="10" t="s">
        <v>1873</v>
      </c>
      <c r="K326" s="10" t="s">
        <v>18168</v>
      </c>
      <c r="L326" s="10" t="s">
        <v>42</v>
      </c>
    </row>
    <row r="327" ht="15.75" customHeight="1">
      <c r="A327" s="64">
        <v>45484.0</v>
      </c>
      <c r="B327" s="55" t="str">
        <f>HYPERLINK("https://jobright.ai/jobs/info/668cc31c3bf213b2cc3c7b82?utm_campaign=1054&amp;utm_source=sheet", "Apply")</f>
        <v>Apply</v>
      </c>
      <c r="C327" s="10" t="s">
        <v>18169</v>
      </c>
      <c r="D327" s="56" t="s">
        <v>1650</v>
      </c>
      <c r="E327" s="10" t="s">
        <v>209</v>
      </c>
      <c r="F327" s="10" t="s">
        <v>1243</v>
      </c>
      <c r="G327" s="10" t="s">
        <v>17432</v>
      </c>
      <c r="H327" s="10" t="s">
        <v>106</v>
      </c>
      <c r="I327" s="10" t="s">
        <v>48</v>
      </c>
      <c r="K327" s="10" t="s">
        <v>18170</v>
      </c>
      <c r="L327" s="10" t="s">
        <v>42</v>
      </c>
    </row>
    <row r="328" ht="15.75" customHeight="1">
      <c r="A328" s="64">
        <v>45484.0</v>
      </c>
      <c r="B328" s="55" t="str">
        <f>HYPERLINK("https://jobright.ai/jobs/info/668d9d0a0de5c7da1e447653?utm_campaign=1054&amp;utm_source=sheet", "Apply")</f>
        <v>Apply</v>
      </c>
      <c r="C328" s="10" t="s">
        <v>17457</v>
      </c>
      <c r="D328" s="56" t="s">
        <v>18171</v>
      </c>
      <c r="E328" s="10" t="s">
        <v>65</v>
      </c>
      <c r="F328" s="10" t="s">
        <v>4022</v>
      </c>
      <c r="G328" s="10" t="s">
        <v>17429</v>
      </c>
      <c r="H328" s="10" t="s">
        <v>245</v>
      </c>
      <c r="I328" s="10" t="s">
        <v>55</v>
      </c>
      <c r="K328" s="10" t="s">
        <v>18172</v>
      </c>
      <c r="L328" s="10" t="s">
        <v>42</v>
      </c>
    </row>
    <row r="329" ht="15.75" customHeight="1">
      <c r="A329" s="64">
        <v>45484.0</v>
      </c>
      <c r="B329" s="55" t="str">
        <f>HYPERLINK("https://jobright.ai/jobs/info/668fca54144e48d2af2c4d5c?utm_campaign=1054&amp;utm_source=sheet", "Apply")</f>
        <v>Apply</v>
      </c>
      <c r="C329" s="10" t="s">
        <v>18173</v>
      </c>
      <c r="D329" s="56" t="s">
        <v>1955</v>
      </c>
      <c r="E329" s="10" t="s">
        <v>45</v>
      </c>
      <c r="F329" s="10" t="s">
        <v>1234</v>
      </c>
      <c r="G329" s="10" t="s">
        <v>17432</v>
      </c>
      <c r="H329" s="10" t="s">
        <v>139</v>
      </c>
      <c r="I329" s="10" t="s">
        <v>55</v>
      </c>
      <c r="J329" s="10" t="s">
        <v>1761</v>
      </c>
      <c r="K329" s="10" t="s">
        <v>18174</v>
      </c>
      <c r="L329" s="10" t="s">
        <v>42</v>
      </c>
    </row>
    <row r="330" ht="15.75" customHeight="1">
      <c r="A330" s="64">
        <v>45484.0</v>
      </c>
      <c r="B330" s="55" t="str">
        <f>HYPERLINK("https://jobright.ai/jobs/info/6691c9cbcf3c8abe59ab681d?utm_campaign=1054&amp;utm_source=sheet", "Apply")</f>
        <v>Apply</v>
      </c>
      <c r="C330" s="10" t="s">
        <v>18175</v>
      </c>
      <c r="D330" s="56" t="s">
        <v>18176</v>
      </c>
      <c r="E330" s="10" t="s">
        <v>45</v>
      </c>
      <c r="F330" s="10" t="s">
        <v>4323</v>
      </c>
      <c r="G330" s="10" t="s">
        <v>17432</v>
      </c>
      <c r="H330" s="10" t="s">
        <v>18177</v>
      </c>
      <c r="I330" s="10" t="s">
        <v>55</v>
      </c>
      <c r="J330" s="10" t="s">
        <v>16930</v>
      </c>
      <c r="K330" s="10" t="s">
        <v>18178</v>
      </c>
      <c r="L330" s="10" t="s">
        <v>42</v>
      </c>
    </row>
    <row r="331" ht="15.75" customHeight="1">
      <c r="A331" s="64">
        <v>45483.0</v>
      </c>
      <c r="B331" s="55" t="str">
        <f>HYPERLINK("https://jobright.ai/jobs/info/667b41046c645d774025fba2?utm_campaign=1054&amp;utm_source=sheet", "Apply")</f>
        <v>Apply</v>
      </c>
      <c r="C331" s="10" t="s">
        <v>18179</v>
      </c>
      <c r="D331" s="56" t="s">
        <v>18180</v>
      </c>
      <c r="E331" s="10">
        <v>302.0</v>
      </c>
      <c r="G331" s="10" t="s">
        <v>17432</v>
      </c>
      <c r="H331" s="10" t="s">
        <v>18181</v>
      </c>
      <c r="I331" s="10" t="s">
        <v>55</v>
      </c>
      <c r="L331" s="10" t="s">
        <v>42</v>
      </c>
    </row>
    <row r="332" ht="15.75" customHeight="1">
      <c r="A332" s="64">
        <v>45483.0</v>
      </c>
      <c r="B332" s="55" t="str">
        <f>HYPERLINK("https://jobright.ai/jobs/info/6693da5b393f9ec0e9b65677?utm_campaign=1054&amp;utm_source=sheet", "Apply")</f>
        <v>Apply</v>
      </c>
      <c r="C332" s="10" t="s">
        <v>18182</v>
      </c>
      <c r="D332" s="56" t="s">
        <v>6946</v>
      </c>
      <c r="E332" s="10" t="s">
        <v>45</v>
      </c>
      <c r="G332" s="10" t="s">
        <v>17432</v>
      </c>
      <c r="H332" s="10" t="s">
        <v>159</v>
      </c>
      <c r="I332" s="10" t="s">
        <v>48</v>
      </c>
      <c r="J332" s="10" t="s">
        <v>1984</v>
      </c>
      <c r="K332" s="10" t="s">
        <v>18183</v>
      </c>
      <c r="L332" s="10" t="s">
        <v>42</v>
      </c>
    </row>
    <row r="333" ht="15.75" customHeight="1">
      <c r="A333" s="64">
        <v>45483.0</v>
      </c>
      <c r="B333" s="55" t="str">
        <f>HYPERLINK("https://jobright.ai/jobs/info/668fd7dfd38b7377a4fa902b?utm_campaign=1054&amp;utm_source=sheet", "Apply")</f>
        <v>Apply</v>
      </c>
      <c r="C333" s="10" t="s">
        <v>18184</v>
      </c>
      <c r="D333" s="56" t="s">
        <v>1115</v>
      </c>
      <c r="E333" s="10" t="s">
        <v>65</v>
      </c>
      <c r="F333" s="10" t="s">
        <v>1116</v>
      </c>
      <c r="G333" s="10" t="s">
        <v>17429</v>
      </c>
      <c r="H333" s="10" t="s">
        <v>607</v>
      </c>
      <c r="I333" s="10" t="s">
        <v>48</v>
      </c>
      <c r="K333" s="10" t="s">
        <v>18185</v>
      </c>
      <c r="L333" s="10" t="s">
        <v>42</v>
      </c>
    </row>
    <row r="334" ht="15.75" customHeight="1">
      <c r="A334" s="64">
        <v>45483.0</v>
      </c>
      <c r="B334" s="55" t="str">
        <f>HYPERLINK("https://jobright.ai/jobs/info/66060855aee9ea7ac4837e23?utm_campaign=1054&amp;utm_source=sheet", "Apply")</f>
        <v>Apply</v>
      </c>
      <c r="C334" s="10" t="s">
        <v>18186</v>
      </c>
      <c r="D334" s="56" t="s">
        <v>6954</v>
      </c>
      <c r="E334" s="10" t="s">
        <v>209</v>
      </c>
      <c r="F334" s="10" t="s">
        <v>620</v>
      </c>
      <c r="G334" s="10" t="s">
        <v>17429</v>
      </c>
      <c r="H334" s="10" t="s">
        <v>245</v>
      </c>
      <c r="I334" s="10" t="s">
        <v>55</v>
      </c>
      <c r="K334" s="10" t="s">
        <v>18187</v>
      </c>
      <c r="L334" s="10" t="s">
        <v>42</v>
      </c>
    </row>
    <row r="335" ht="15.75" customHeight="1">
      <c r="A335" s="64">
        <v>45483.0</v>
      </c>
      <c r="B335" s="55" t="str">
        <f>HYPERLINK("https://jobright.ai/jobs/info/668fdb3a22cfeb6ebf476754?utm_campaign=1054&amp;utm_source=sheet", "Apply")</f>
        <v>Apply</v>
      </c>
      <c r="C335" s="10" t="s">
        <v>17472</v>
      </c>
      <c r="D335" s="56" t="s">
        <v>18188</v>
      </c>
      <c r="E335" s="10" t="s">
        <v>276</v>
      </c>
      <c r="F335" s="10" t="s">
        <v>18189</v>
      </c>
      <c r="G335" s="10" t="s">
        <v>17429</v>
      </c>
      <c r="H335" s="10" t="s">
        <v>18190</v>
      </c>
      <c r="I335" s="10" t="s">
        <v>55</v>
      </c>
      <c r="K335" s="10" t="s">
        <v>18191</v>
      </c>
      <c r="L335" s="10" t="s">
        <v>42</v>
      </c>
    </row>
    <row r="336" ht="15.75" customHeight="1">
      <c r="A336" s="64">
        <v>45483.0</v>
      </c>
      <c r="B336" s="55" t="str">
        <f>HYPERLINK("https://jobright.ai/jobs/info/6676c20dc9dc0237d722b2b5?utm_campaign=1054&amp;utm_source=sheet", "Apply")</f>
        <v>Apply</v>
      </c>
      <c r="C336" s="10" t="s">
        <v>18192</v>
      </c>
      <c r="D336" s="56" t="s">
        <v>18193</v>
      </c>
      <c r="E336" s="10" t="s">
        <v>249</v>
      </c>
      <c r="F336" s="10" t="s">
        <v>18194</v>
      </c>
      <c r="G336" s="10" t="s">
        <v>17429</v>
      </c>
      <c r="H336" s="10" t="s">
        <v>96</v>
      </c>
      <c r="I336" s="10" t="s">
        <v>55</v>
      </c>
      <c r="K336" s="10" t="s">
        <v>18195</v>
      </c>
      <c r="L336" s="10" t="s">
        <v>42</v>
      </c>
    </row>
    <row r="337" ht="15.75" customHeight="1">
      <c r="A337" s="64">
        <v>45483.0</v>
      </c>
      <c r="B337" s="55" t="str">
        <f>HYPERLINK("https://jobright.ai/jobs/info/668e583152b35411f37d5f89?utm_campaign=1054&amp;utm_source=sheet", "Apply")</f>
        <v>Apply</v>
      </c>
      <c r="C337" s="10" t="s">
        <v>18196</v>
      </c>
      <c r="D337" s="56" t="s">
        <v>6946</v>
      </c>
      <c r="E337" s="10" t="s">
        <v>45</v>
      </c>
      <c r="G337" s="10" t="s">
        <v>17429</v>
      </c>
      <c r="H337" s="10" t="s">
        <v>159</v>
      </c>
      <c r="I337" s="10" t="s">
        <v>48</v>
      </c>
      <c r="J337" s="10" t="s">
        <v>1189</v>
      </c>
      <c r="K337" s="10" t="s">
        <v>18197</v>
      </c>
      <c r="L337" s="10" t="s">
        <v>42</v>
      </c>
    </row>
    <row r="338" ht="15.75" customHeight="1">
      <c r="A338" s="64">
        <v>45483.0</v>
      </c>
      <c r="B338" s="55" t="str">
        <f>HYPERLINK("https://jobright.ai/jobs/info/668e22495fdfea6c896710e0?utm_campaign=1054&amp;utm_source=sheet", "Apply")</f>
        <v>Apply</v>
      </c>
      <c r="C338" s="10" t="s">
        <v>18198</v>
      </c>
      <c r="D338" s="56" t="s">
        <v>18199</v>
      </c>
      <c r="E338" s="59"/>
      <c r="F338" s="10" t="s">
        <v>2409</v>
      </c>
      <c r="G338" s="10" t="s">
        <v>17429</v>
      </c>
      <c r="H338" s="10" t="s">
        <v>18200</v>
      </c>
      <c r="I338" s="10" t="s">
        <v>55</v>
      </c>
      <c r="K338" s="10" t="s">
        <v>18201</v>
      </c>
      <c r="L338" s="10" t="s">
        <v>42</v>
      </c>
    </row>
    <row r="339" ht="15.75" customHeight="1">
      <c r="A339" s="64">
        <v>45483.0</v>
      </c>
      <c r="B339" s="55" t="str">
        <f>HYPERLINK("https://jobright.ai/jobs/info/668e33d4e65d91eff5c9da79?utm_campaign=1054&amp;utm_source=sheet", "Apply")</f>
        <v>Apply</v>
      </c>
      <c r="C339" s="10" t="s">
        <v>18202</v>
      </c>
      <c r="D339" s="56" t="s">
        <v>18203</v>
      </c>
      <c r="E339" s="10" t="s">
        <v>45</v>
      </c>
      <c r="F339" s="10" t="s">
        <v>7044</v>
      </c>
      <c r="G339" s="10" t="s">
        <v>17429</v>
      </c>
      <c r="H339" s="10" t="s">
        <v>18204</v>
      </c>
      <c r="I339" s="10" t="s">
        <v>48</v>
      </c>
      <c r="K339" s="10" t="s">
        <v>18205</v>
      </c>
      <c r="L339" s="10" t="s">
        <v>42</v>
      </c>
    </row>
    <row r="340" ht="15.75" customHeight="1">
      <c r="A340" s="64">
        <v>45483.0</v>
      </c>
      <c r="B340" s="55" t="str">
        <f>HYPERLINK("https://jobright.ai/jobs/info/668e61473c2b7d761b21671d?utm_campaign=1054&amp;utm_source=sheet", "Apply")</f>
        <v>Apply</v>
      </c>
      <c r="C340" s="10" t="s">
        <v>18202</v>
      </c>
      <c r="D340" s="56" t="s">
        <v>18203</v>
      </c>
      <c r="E340" s="10" t="s">
        <v>45</v>
      </c>
      <c r="F340" s="10" t="s">
        <v>7044</v>
      </c>
      <c r="G340" s="10" t="s">
        <v>17429</v>
      </c>
      <c r="H340" s="10" t="s">
        <v>18204</v>
      </c>
      <c r="I340" s="10" t="s">
        <v>55</v>
      </c>
      <c r="K340" s="10" t="s">
        <v>18206</v>
      </c>
      <c r="L340" s="10" t="s">
        <v>42</v>
      </c>
    </row>
    <row r="341" ht="15.75" customHeight="1">
      <c r="A341" s="64">
        <v>45482.0</v>
      </c>
      <c r="B341" s="55" t="str">
        <f>HYPERLINK("https://jobright.ai/jobs/info/668e475ecbeee4b3b4633251?utm_campaign=1054&amp;utm_source=sheet", "Apply")</f>
        <v>Apply</v>
      </c>
      <c r="C341" s="10" t="s">
        <v>17474</v>
      </c>
      <c r="D341" s="56" t="s">
        <v>2548</v>
      </c>
      <c r="E341" s="10" t="s">
        <v>45</v>
      </c>
      <c r="F341" s="10" t="s">
        <v>2549</v>
      </c>
      <c r="G341" s="10" t="s">
        <v>17429</v>
      </c>
      <c r="H341" s="10" t="s">
        <v>2550</v>
      </c>
      <c r="I341" s="10" t="s">
        <v>55</v>
      </c>
      <c r="K341" s="10" t="s">
        <v>17475</v>
      </c>
      <c r="L341" s="10" t="s">
        <v>42</v>
      </c>
    </row>
    <row r="342" ht="15.75" customHeight="1">
      <c r="A342" s="64">
        <v>45482.0</v>
      </c>
      <c r="B342" s="55" t="str">
        <f>HYPERLINK("https://jobright.ai/jobs/info/668d9d0a0de5c7da1e4475fd?utm_campaign=1054&amp;utm_source=sheet", "Apply")</f>
        <v>Apply</v>
      </c>
      <c r="C342" s="10" t="s">
        <v>18207</v>
      </c>
      <c r="D342" s="56" t="s">
        <v>17011</v>
      </c>
      <c r="E342" s="10" t="s">
        <v>45</v>
      </c>
      <c r="F342" s="10" t="s">
        <v>9784</v>
      </c>
      <c r="G342" s="10" t="s">
        <v>17432</v>
      </c>
      <c r="H342" s="10" t="s">
        <v>13002</v>
      </c>
      <c r="I342" s="10" t="s">
        <v>55</v>
      </c>
      <c r="K342" s="10" t="s">
        <v>18208</v>
      </c>
      <c r="L342" s="10" t="s">
        <v>42</v>
      </c>
    </row>
    <row r="343" ht="15.75" customHeight="1">
      <c r="A343" s="64">
        <v>45482.0</v>
      </c>
      <c r="B343" s="55" t="str">
        <f>HYPERLINK("https://jobright.ai/jobs/info/668ebb74f8776ede103d0d5f?utm_campaign=1054&amp;utm_source=sheet", "Apply")</f>
        <v>Apply</v>
      </c>
      <c r="C343" s="10" t="s">
        <v>18209</v>
      </c>
      <c r="D343" s="56" t="s">
        <v>7075</v>
      </c>
      <c r="E343" s="10" t="s">
        <v>45</v>
      </c>
      <c r="F343" s="10" t="s">
        <v>7076</v>
      </c>
      <c r="G343" s="10" t="s">
        <v>17429</v>
      </c>
      <c r="H343" s="10" t="s">
        <v>4018</v>
      </c>
      <c r="I343" s="10" t="s">
        <v>55</v>
      </c>
      <c r="J343" s="10" t="s">
        <v>18210</v>
      </c>
      <c r="K343" s="10" t="s">
        <v>18211</v>
      </c>
      <c r="L343" s="10" t="s">
        <v>42</v>
      </c>
    </row>
    <row r="344" ht="15.75" customHeight="1">
      <c r="A344" s="64">
        <v>45482.0</v>
      </c>
      <c r="B344" s="55" t="str">
        <f>HYPERLINK("https://jobright.ai/jobs/info/668d64c607bd578dc4dffc92?utm_campaign=1054&amp;utm_source=sheet", "Apply")</f>
        <v>Apply</v>
      </c>
      <c r="C344" s="10" t="s">
        <v>18212</v>
      </c>
      <c r="D344" s="56" t="s">
        <v>18104</v>
      </c>
      <c r="E344" s="10" t="s">
        <v>65</v>
      </c>
      <c r="F344" s="10" t="s">
        <v>3770</v>
      </c>
      <c r="G344" s="10" t="s">
        <v>17429</v>
      </c>
      <c r="H344" s="10" t="s">
        <v>354</v>
      </c>
      <c r="I344" s="10" t="s">
        <v>55</v>
      </c>
      <c r="K344" s="10" t="s">
        <v>18105</v>
      </c>
      <c r="L344" s="10" t="s">
        <v>42</v>
      </c>
    </row>
    <row r="345" ht="15.75" customHeight="1">
      <c r="A345" s="64">
        <v>45482.0</v>
      </c>
      <c r="B345" s="55" t="str">
        <f>HYPERLINK("https://jobright.ai/jobs/info/668d4c9e2d9ad9f043243d98?utm_campaign=1054&amp;utm_source=sheet", "Apply")</f>
        <v>Apply</v>
      </c>
      <c r="C345" s="10" t="s">
        <v>18213</v>
      </c>
      <c r="D345" s="56" t="s">
        <v>18214</v>
      </c>
      <c r="E345" s="10" t="s">
        <v>65</v>
      </c>
      <c r="F345" s="10" t="s">
        <v>18215</v>
      </c>
      <c r="G345" s="10" t="s">
        <v>17429</v>
      </c>
      <c r="H345" s="10" t="s">
        <v>1041</v>
      </c>
      <c r="I345" s="10" t="s">
        <v>48</v>
      </c>
      <c r="K345" s="10" t="s">
        <v>18216</v>
      </c>
      <c r="L345" s="10" t="s">
        <v>42</v>
      </c>
    </row>
    <row r="346" ht="15.75" customHeight="1">
      <c r="A346" s="64">
        <v>45482.0</v>
      </c>
      <c r="B346" s="55" t="str">
        <f>HYPERLINK("https://jobright.ai/jobs/info/668d4ca62d9ad9f043243db5?utm_campaign=1054&amp;utm_source=sheet", "Apply")</f>
        <v>Apply</v>
      </c>
      <c r="C346" s="10" t="s">
        <v>18217</v>
      </c>
      <c r="D346" s="56" t="s">
        <v>18214</v>
      </c>
      <c r="E346" s="10" t="s">
        <v>65</v>
      </c>
      <c r="F346" s="10" t="s">
        <v>18215</v>
      </c>
      <c r="G346" s="10" t="s">
        <v>17429</v>
      </c>
      <c r="H346" s="10" t="s">
        <v>843</v>
      </c>
      <c r="I346" s="10" t="s">
        <v>48</v>
      </c>
      <c r="K346" s="10" t="s">
        <v>18216</v>
      </c>
      <c r="L346" s="10" t="s">
        <v>42</v>
      </c>
    </row>
    <row r="347" ht="15.75" customHeight="1">
      <c r="A347" s="64">
        <v>45482.0</v>
      </c>
      <c r="B347" s="55" t="str">
        <f>HYPERLINK("https://jobright.ai/jobs/info/668fcf9c228dfafddaffed4f?utm_campaign=1054&amp;utm_source=sheet", "Apply")</f>
        <v>Apply</v>
      </c>
      <c r="C347" s="10" t="s">
        <v>18218</v>
      </c>
      <c r="D347" s="56" t="s">
        <v>18219</v>
      </c>
      <c r="E347" s="10" t="s">
        <v>249</v>
      </c>
      <c r="F347" s="10" t="s">
        <v>18220</v>
      </c>
      <c r="G347" s="10" t="s">
        <v>17429</v>
      </c>
      <c r="H347" s="10" t="s">
        <v>791</v>
      </c>
      <c r="I347" s="10" t="s">
        <v>55</v>
      </c>
      <c r="J347" s="10" t="s">
        <v>18221</v>
      </c>
      <c r="L347" s="10" t="s">
        <v>42</v>
      </c>
    </row>
    <row r="348" ht="15.75" customHeight="1">
      <c r="A348" s="64">
        <v>45482.0</v>
      </c>
      <c r="B348" s="55" t="str">
        <f>HYPERLINK("https://jobright.ai/jobs/info/66712d315a1e41c095ef537d?utm_campaign=1054&amp;utm_source=sheet", "Apply")</f>
        <v>Apply</v>
      </c>
      <c r="C348" s="10" t="s">
        <v>18222</v>
      </c>
      <c r="D348" s="56" t="s">
        <v>5523</v>
      </c>
      <c r="E348" s="10" t="s">
        <v>209</v>
      </c>
      <c r="F348" s="10" t="s">
        <v>5524</v>
      </c>
      <c r="G348" s="10" t="s">
        <v>17432</v>
      </c>
      <c r="H348" s="10" t="s">
        <v>5245</v>
      </c>
      <c r="I348" s="10" t="s">
        <v>55</v>
      </c>
      <c r="K348" s="10" t="s">
        <v>18223</v>
      </c>
      <c r="L348" s="10" t="s">
        <v>42</v>
      </c>
    </row>
    <row r="349" ht="15.75" customHeight="1">
      <c r="A349" s="64">
        <v>45482.0</v>
      </c>
      <c r="B349" s="55" t="str">
        <f>HYPERLINK("https://jobright.ai/jobs/info/668cc3113bf213b2cc3c7b10?utm_campaign=1054&amp;utm_source=sheet", "Apply")</f>
        <v>Apply</v>
      </c>
      <c r="C349" s="10" t="s">
        <v>18224</v>
      </c>
      <c r="D349" s="56" t="s">
        <v>18225</v>
      </c>
      <c r="E349" s="10" t="s">
        <v>276</v>
      </c>
      <c r="G349" s="10" t="s">
        <v>17429</v>
      </c>
      <c r="H349" s="10" t="s">
        <v>1004</v>
      </c>
      <c r="I349" s="10" t="s">
        <v>55</v>
      </c>
      <c r="K349" s="10" t="s">
        <v>18226</v>
      </c>
      <c r="L349" s="10" t="s">
        <v>42</v>
      </c>
    </row>
    <row r="350" ht="15.75" customHeight="1">
      <c r="A350" s="64">
        <v>45481.0</v>
      </c>
      <c r="B350" s="55" t="str">
        <f>HYPERLINK("https://jobright.ai/jobs/info/65c41f42729d51312fb2932b?utm_campaign=1054&amp;utm_source=sheet", "Apply")</f>
        <v>Apply</v>
      </c>
      <c r="C350" s="10" t="s">
        <v>18227</v>
      </c>
      <c r="D350" s="56" t="s">
        <v>18228</v>
      </c>
      <c r="E350" s="10" t="s">
        <v>209</v>
      </c>
      <c r="F350" s="10" t="s">
        <v>18229</v>
      </c>
      <c r="G350" s="10" t="s">
        <v>17429</v>
      </c>
      <c r="H350" s="10" t="s">
        <v>636</v>
      </c>
      <c r="I350" s="10" t="s">
        <v>48</v>
      </c>
      <c r="J350" s="10" t="s">
        <v>18230</v>
      </c>
      <c r="L350" s="10" t="s">
        <v>42</v>
      </c>
    </row>
    <row r="351" ht="15.75" customHeight="1">
      <c r="A351" s="64">
        <v>45481.0</v>
      </c>
      <c r="B351" s="55" t="str">
        <f>HYPERLINK("https://jobright.ai/jobs/info/6686889e9db87c158112a631?utm_campaign=1054&amp;utm_source=sheet", "Apply")</f>
        <v>Apply</v>
      </c>
      <c r="C351" s="10" t="s">
        <v>18231</v>
      </c>
      <c r="D351" s="56" t="s">
        <v>1650</v>
      </c>
      <c r="E351" s="10" t="s">
        <v>209</v>
      </c>
      <c r="F351" s="10" t="s">
        <v>1243</v>
      </c>
      <c r="G351" s="10" t="s">
        <v>17429</v>
      </c>
      <c r="H351" s="10" t="s">
        <v>153</v>
      </c>
      <c r="I351" s="10" t="s">
        <v>48</v>
      </c>
      <c r="K351" s="10" t="s">
        <v>18232</v>
      </c>
      <c r="L351" s="10" t="s">
        <v>42</v>
      </c>
    </row>
    <row r="352" ht="15.75" customHeight="1">
      <c r="A352" s="64">
        <v>45481.0</v>
      </c>
      <c r="B352" s="55" t="str">
        <f>HYPERLINK("https://jobright.ai/jobs/info/668c59f2d12005586108e8e4?utm_campaign=1054&amp;utm_source=sheet", "Apply")</f>
        <v>Apply</v>
      </c>
      <c r="C352" s="10" t="s">
        <v>18233</v>
      </c>
      <c r="D352" s="56" t="s">
        <v>18234</v>
      </c>
      <c r="E352" s="10" t="s">
        <v>71</v>
      </c>
      <c r="F352" s="10" t="s">
        <v>18235</v>
      </c>
      <c r="G352" s="10" t="s">
        <v>17429</v>
      </c>
      <c r="H352" s="10" t="s">
        <v>434</v>
      </c>
      <c r="I352" s="10" t="s">
        <v>55</v>
      </c>
      <c r="K352" s="10" t="s">
        <v>18236</v>
      </c>
      <c r="L352" s="10" t="s">
        <v>42</v>
      </c>
    </row>
    <row r="353" ht="15.75" customHeight="1">
      <c r="A353" s="64">
        <v>45481.0</v>
      </c>
      <c r="B353" s="55" t="str">
        <f>HYPERLINK("https://jobright.ai/jobs/info/668d0eb75c1b1ddc8b193677?utm_campaign=1054&amp;utm_source=sheet", "Apply")</f>
        <v>Apply</v>
      </c>
      <c r="C353" s="10" t="s">
        <v>18237</v>
      </c>
      <c r="D353" s="56" t="s">
        <v>2033</v>
      </c>
      <c r="E353" s="10" t="s">
        <v>209</v>
      </c>
      <c r="F353" s="10" t="s">
        <v>2034</v>
      </c>
      <c r="G353" s="10" t="s">
        <v>17429</v>
      </c>
      <c r="H353" s="10" t="s">
        <v>86</v>
      </c>
      <c r="I353" s="10" t="s">
        <v>55</v>
      </c>
      <c r="J353" s="10" t="s">
        <v>1608</v>
      </c>
      <c r="K353" s="10" t="s">
        <v>2035</v>
      </c>
      <c r="L353" s="10" t="s">
        <v>42</v>
      </c>
    </row>
    <row r="354" ht="15.75" customHeight="1">
      <c r="A354" s="64">
        <v>45481.0</v>
      </c>
      <c r="B354" s="55" t="str">
        <f>HYPERLINK("https://jobright.ai/jobs/info/668c6bc059b1963e7b946d81?utm_campaign=1054&amp;utm_source=sheet", "Apply")</f>
        <v>Apply</v>
      </c>
      <c r="C354" s="10" t="s">
        <v>18238</v>
      </c>
      <c r="D354" s="56" t="s">
        <v>3211</v>
      </c>
      <c r="E354" s="10" t="s">
        <v>45</v>
      </c>
      <c r="F354" s="10" t="s">
        <v>3212</v>
      </c>
      <c r="G354" s="10" t="s">
        <v>17429</v>
      </c>
      <c r="H354" s="10" t="s">
        <v>1022</v>
      </c>
      <c r="I354" s="10" t="s">
        <v>55</v>
      </c>
      <c r="K354" s="10" t="s">
        <v>18239</v>
      </c>
      <c r="L354" s="10" t="s">
        <v>42</v>
      </c>
    </row>
    <row r="355" ht="15.75" customHeight="1">
      <c r="A355" s="64">
        <v>45481.0</v>
      </c>
      <c r="B355" s="55" t="str">
        <f>HYPERLINK("https://jobright.ai/jobs/info/668c40fe6d815327bc02d68c?utm_campaign=1054&amp;utm_source=sheet", "Apply")</f>
        <v>Apply</v>
      </c>
      <c r="C355" s="10" t="s">
        <v>18240</v>
      </c>
      <c r="D355" s="56" t="s">
        <v>18241</v>
      </c>
      <c r="E355" s="10" t="s">
        <v>79</v>
      </c>
      <c r="F355" s="10" t="s">
        <v>339</v>
      </c>
      <c r="G355" s="10" t="s">
        <v>17429</v>
      </c>
      <c r="H355" s="10" t="s">
        <v>18242</v>
      </c>
      <c r="I355" s="10" t="s">
        <v>55</v>
      </c>
      <c r="K355" s="10" t="s">
        <v>18243</v>
      </c>
      <c r="L355" s="10" t="s">
        <v>42</v>
      </c>
    </row>
    <row r="356" ht="15.75" customHeight="1">
      <c r="A356" s="64">
        <v>45481.0</v>
      </c>
      <c r="B356" s="55" t="str">
        <f>HYPERLINK("https://jobright.ai/jobs/info/668c40fe6d815327bc02d6da?utm_campaign=1054&amp;utm_source=sheet", "Apply")</f>
        <v>Apply</v>
      </c>
      <c r="C356" s="10" t="s">
        <v>18238</v>
      </c>
      <c r="D356" s="56" t="s">
        <v>3211</v>
      </c>
      <c r="E356" s="10" t="s">
        <v>45</v>
      </c>
      <c r="F356" s="10" t="s">
        <v>3212</v>
      </c>
      <c r="G356" s="10" t="s">
        <v>17429</v>
      </c>
      <c r="H356" s="10" t="s">
        <v>7291</v>
      </c>
      <c r="I356" s="10" t="s">
        <v>55</v>
      </c>
      <c r="K356" s="10" t="s">
        <v>18239</v>
      </c>
      <c r="L356" s="10" t="s">
        <v>42</v>
      </c>
    </row>
    <row r="357" ht="15.75" customHeight="1">
      <c r="A357" s="64">
        <v>45479.0</v>
      </c>
      <c r="B357" s="55" t="str">
        <f>HYPERLINK("https://jobright.ai/jobs/info/666cca9d24e1f88a2abad91a?utm_campaign=1054&amp;utm_source=sheet", "Apply")</f>
        <v>Apply</v>
      </c>
      <c r="C357" s="10" t="s">
        <v>18244</v>
      </c>
      <c r="D357" s="56" t="s">
        <v>18245</v>
      </c>
      <c r="E357" s="10" t="s">
        <v>276</v>
      </c>
      <c r="F357" s="10" t="s">
        <v>627</v>
      </c>
      <c r="G357" s="10" t="s">
        <v>17432</v>
      </c>
      <c r="H357" s="10" t="s">
        <v>251</v>
      </c>
      <c r="I357" s="10" t="s">
        <v>252</v>
      </c>
      <c r="K357" s="10" t="s">
        <v>18246</v>
      </c>
      <c r="L357" s="10" t="s">
        <v>42</v>
      </c>
    </row>
    <row r="358" ht="15.75" customHeight="1">
      <c r="A358" s="64">
        <v>45479.0</v>
      </c>
      <c r="B358" s="55" t="str">
        <f>HYPERLINK("https://jobright.ai/jobs/info/6674595bec688fb28a95c376?utm_campaign=1054&amp;utm_source=sheet", "Apply")</f>
        <v>Apply</v>
      </c>
      <c r="C358" s="10" t="s">
        <v>18247</v>
      </c>
      <c r="D358" s="56" t="s">
        <v>18248</v>
      </c>
      <c r="E358" s="10">
        <v>1545.0</v>
      </c>
      <c r="G358" s="10" t="s">
        <v>17432</v>
      </c>
      <c r="H358" s="10" t="s">
        <v>18249</v>
      </c>
      <c r="I358" s="10" t="s">
        <v>55</v>
      </c>
      <c r="K358" s="10" t="s">
        <v>18250</v>
      </c>
      <c r="L358" s="10" t="s">
        <v>42</v>
      </c>
    </row>
    <row r="359" ht="15.75" customHeight="1">
      <c r="A359" s="64">
        <v>45479.0</v>
      </c>
      <c r="B359" s="55" t="str">
        <f>HYPERLINK("https://jobright.ai/jobs/info/668489d72ca14dafe69a1cb6?utm_campaign=1054&amp;utm_source=sheet", "Apply")</f>
        <v>Apply</v>
      </c>
      <c r="C359" s="10" t="s">
        <v>18251</v>
      </c>
      <c r="D359" s="56" t="s">
        <v>1650</v>
      </c>
      <c r="E359" s="10" t="s">
        <v>209</v>
      </c>
      <c r="F359" s="10" t="s">
        <v>1243</v>
      </c>
      <c r="G359" s="10" t="s">
        <v>17432</v>
      </c>
      <c r="H359" s="10" t="s">
        <v>609</v>
      </c>
      <c r="I359" s="10" t="s">
        <v>48</v>
      </c>
      <c r="K359" s="10" t="s">
        <v>18103</v>
      </c>
      <c r="L359" s="10" t="s">
        <v>42</v>
      </c>
    </row>
    <row r="360" ht="15.75" customHeight="1">
      <c r="A360" s="64">
        <v>45478.0</v>
      </c>
      <c r="B360" s="55" t="str">
        <f>HYPERLINK("https://jobright.ai/jobs/info/66881e4cc5ee055d6138c9f4?utm_campaign=1054&amp;utm_source=sheet", "Apply")</f>
        <v>Apply</v>
      </c>
      <c r="C360" s="10" t="s">
        <v>18252</v>
      </c>
      <c r="D360" s="56" t="s">
        <v>1183</v>
      </c>
      <c r="E360" s="10" t="s">
        <v>45</v>
      </c>
      <c r="F360" s="10" t="s">
        <v>1184</v>
      </c>
      <c r="G360" s="10" t="s">
        <v>17429</v>
      </c>
      <c r="H360" s="10" t="s">
        <v>7382</v>
      </c>
      <c r="I360" s="10" t="s">
        <v>55</v>
      </c>
      <c r="K360" s="10" t="s">
        <v>18253</v>
      </c>
      <c r="L360" s="10" t="s">
        <v>42</v>
      </c>
    </row>
    <row r="361" ht="15.75" customHeight="1">
      <c r="A361" s="64">
        <v>45478.0</v>
      </c>
      <c r="B361" s="55" t="str">
        <f>HYPERLINK("https://jobright.ai/jobs/info/6675e1c9e95c1a0a225b920e?utm_campaign=1054&amp;utm_source=sheet", "Apply")</f>
        <v>Apply</v>
      </c>
      <c r="C361" s="10" t="s">
        <v>18254</v>
      </c>
      <c r="D361" s="56" t="s">
        <v>7387</v>
      </c>
      <c r="E361" s="10" t="s">
        <v>65</v>
      </c>
      <c r="F361" s="10" t="s">
        <v>7388</v>
      </c>
      <c r="G361" s="10" t="s">
        <v>17429</v>
      </c>
      <c r="H361" s="10" t="s">
        <v>965</v>
      </c>
      <c r="I361" s="10" t="s">
        <v>55</v>
      </c>
      <c r="K361" s="10" t="s">
        <v>7396</v>
      </c>
      <c r="L361" s="10" t="s">
        <v>42</v>
      </c>
    </row>
    <row r="362" ht="15.75" customHeight="1">
      <c r="A362" s="64">
        <v>45478.0</v>
      </c>
      <c r="B362" s="55" t="str">
        <f>HYPERLINK("https://jobright.ai/jobs/info/66881e55c5ee055d6138ca1e?utm_campaign=1054&amp;utm_source=sheet", "Apply")</f>
        <v>Apply</v>
      </c>
      <c r="C362" s="10" t="s">
        <v>18255</v>
      </c>
      <c r="D362" s="56" t="s">
        <v>1955</v>
      </c>
      <c r="E362" s="10" t="s">
        <v>45</v>
      </c>
      <c r="F362" s="10" t="s">
        <v>1234</v>
      </c>
      <c r="G362" s="10" t="s">
        <v>17432</v>
      </c>
      <c r="H362" s="10" t="s">
        <v>139</v>
      </c>
      <c r="I362" s="10" t="s">
        <v>55</v>
      </c>
      <c r="J362" s="10" t="s">
        <v>1761</v>
      </c>
      <c r="K362" s="10" t="s">
        <v>18256</v>
      </c>
      <c r="L362" s="10" t="s">
        <v>42</v>
      </c>
    </row>
    <row r="363" ht="15.75" customHeight="1">
      <c r="A363" s="64">
        <v>45478.0</v>
      </c>
      <c r="B363" s="55" t="str">
        <f>HYPERLINK("https://jobright.ai/jobs/info/666b7a9366a6b9b65997bbbb?utm_campaign=1054&amp;utm_source=sheet", "Apply")</f>
        <v>Apply</v>
      </c>
      <c r="C363" s="10" t="s">
        <v>18257</v>
      </c>
      <c r="D363" s="56" t="s">
        <v>7387</v>
      </c>
      <c r="E363" s="10" t="s">
        <v>65</v>
      </c>
      <c r="F363" s="10" t="s">
        <v>7388</v>
      </c>
      <c r="G363" s="10" t="s">
        <v>17432</v>
      </c>
      <c r="H363" s="10" t="s">
        <v>965</v>
      </c>
      <c r="I363" s="10" t="s">
        <v>55</v>
      </c>
      <c r="K363" s="10" t="s">
        <v>7396</v>
      </c>
      <c r="L363" s="10" t="s">
        <v>42</v>
      </c>
    </row>
    <row r="364" ht="15.75" customHeight="1">
      <c r="A364" s="64">
        <v>45478.0</v>
      </c>
      <c r="B364" s="55" t="str">
        <f>HYPERLINK("https://jobright.ai/jobs/info/666b7e94bb0d4daf8189d891?utm_campaign=1054&amp;utm_source=sheet", "Apply")</f>
        <v>Apply</v>
      </c>
      <c r="C364" s="10" t="s">
        <v>18254</v>
      </c>
      <c r="D364" s="56" t="s">
        <v>7387</v>
      </c>
      <c r="E364" s="10" t="s">
        <v>65</v>
      </c>
      <c r="F364" s="10" t="s">
        <v>7388</v>
      </c>
      <c r="G364" s="10" t="s">
        <v>17429</v>
      </c>
      <c r="H364" s="10" t="s">
        <v>4079</v>
      </c>
      <c r="I364" s="10" t="s">
        <v>55</v>
      </c>
      <c r="K364" s="10" t="s">
        <v>7396</v>
      </c>
      <c r="L364" s="10" t="s">
        <v>42</v>
      </c>
    </row>
    <row r="365" ht="15.75" customHeight="1">
      <c r="A365" s="64">
        <v>45478.0</v>
      </c>
      <c r="B365" s="55" t="str">
        <f>HYPERLINK("https://jobright.ai/jobs/info/66035492e592e25a4e883e65?utm_campaign=1054&amp;utm_source=sheet", "Apply")</f>
        <v>Apply</v>
      </c>
      <c r="C365" s="10" t="s">
        <v>18258</v>
      </c>
      <c r="D365" s="56" t="s">
        <v>17953</v>
      </c>
      <c r="E365" s="10" t="s">
        <v>65</v>
      </c>
      <c r="F365" s="10" t="s">
        <v>17954</v>
      </c>
      <c r="G365" s="10" t="s">
        <v>17429</v>
      </c>
      <c r="H365" s="10" t="s">
        <v>610</v>
      </c>
      <c r="I365" s="10" t="s">
        <v>55</v>
      </c>
      <c r="J365" s="10" t="s">
        <v>1984</v>
      </c>
      <c r="K365" s="10" t="s">
        <v>18259</v>
      </c>
      <c r="L365" s="10" t="s">
        <v>42</v>
      </c>
    </row>
    <row r="366" ht="15.75" customHeight="1">
      <c r="A366" s="64">
        <v>45477.0</v>
      </c>
      <c r="B366" s="55" t="str">
        <f>HYPERLINK("https://jobright.ai/jobs/info/6686f86c5ae0181b6c61e345?utm_campaign=1054&amp;utm_source=sheet", "Apply")</f>
        <v>Apply</v>
      </c>
      <c r="C366" s="10" t="s">
        <v>17434</v>
      </c>
      <c r="D366" s="56" t="s">
        <v>18260</v>
      </c>
      <c r="E366" s="10">
        <v>4523.0</v>
      </c>
      <c r="G366" s="10" t="s">
        <v>17429</v>
      </c>
      <c r="H366" s="10" t="s">
        <v>8480</v>
      </c>
      <c r="I366" s="10" t="s">
        <v>48</v>
      </c>
      <c r="K366" s="10" t="s">
        <v>18261</v>
      </c>
      <c r="L366" s="10" t="s">
        <v>42</v>
      </c>
    </row>
    <row r="367" ht="15.75" customHeight="1">
      <c r="A367" s="64">
        <v>45476.0</v>
      </c>
      <c r="B367" s="55" t="str">
        <f>HYPERLINK("https://jobright.ai/jobs/info/6685e1fdadbfe96e189b7240?utm_campaign=1054&amp;utm_source=sheet", "Apply")</f>
        <v>Apply</v>
      </c>
      <c r="C367" s="10" t="s">
        <v>17457</v>
      </c>
      <c r="D367" s="56" t="s">
        <v>11411</v>
      </c>
      <c r="E367" s="10" t="s">
        <v>71</v>
      </c>
      <c r="F367" s="10" t="s">
        <v>4022</v>
      </c>
      <c r="G367" s="10" t="s">
        <v>17432</v>
      </c>
      <c r="H367" s="10" t="s">
        <v>411</v>
      </c>
      <c r="I367" s="10" t="s">
        <v>55</v>
      </c>
      <c r="K367" s="10" t="s">
        <v>18262</v>
      </c>
      <c r="L367" s="10" t="s">
        <v>42</v>
      </c>
    </row>
    <row r="368" ht="15.75" customHeight="1">
      <c r="A368" s="64">
        <v>45476.0</v>
      </c>
      <c r="B368" s="55" t="str">
        <f>HYPERLINK("https://jobright.ai/jobs/info/6685d3667596db7e6ee5072e?utm_campaign=1054&amp;utm_source=sheet", "Apply")</f>
        <v>Apply</v>
      </c>
      <c r="C368" s="10" t="s">
        <v>18263</v>
      </c>
      <c r="D368" s="56" t="s">
        <v>1502</v>
      </c>
      <c r="E368" s="10">
        <v>10345.0</v>
      </c>
      <c r="G368" s="10" t="s">
        <v>17429</v>
      </c>
      <c r="H368" s="10" t="s">
        <v>106</v>
      </c>
      <c r="I368" s="10" t="s">
        <v>48</v>
      </c>
      <c r="J368" s="10" t="s">
        <v>18264</v>
      </c>
      <c r="K368" s="10" t="s">
        <v>18265</v>
      </c>
      <c r="L368" s="10" t="s">
        <v>42</v>
      </c>
    </row>
    <row r="369" ht="15.75" customHeight="1">
      <c r="A369" s="64">
        <v>45476.0</v>
      </c>
      <c r="B369" s="55" t="str">
        <f>HYPERLINK("https://jobright.ai/jobs/info/66859223e861c76931c96e9f?utm_campaign=1054&amp;utm_source=sheet", "Apply")</f>
        <v>Apply</v>
      </c>
      <c r="C369" s="10" t="s">
        <v>18095</v>
      </c>
      <c r="D369" s="56" t="s">
        <v>5698</v>
      </c>
      <c r="E369" s="10" t="s">
        <v>71</v>
      </c>
      <c r="F369" s="10" t="s">
        <v>5699</v>
      </c>
      <c r="G369" s="10" t="s">
        <v>17432</v>
      </c>
      <c r="H369" s="10" t="s">
        <v>18266</v>
      </c>
      <c r="I369" s="10" t="s">
        <v>55</v>
      </c>
      <c r="L369" s="10" t="s">
        <v>42</v>
      </c>
    </row>
    <row r="370" ht="15.75" customHeight="1">
      <c r="A370" s="64">
        <v>45476.0</v>
      </c>
      <c r="B370" s="55" t="str">
        <f>HYPERLINK("https://jobright.ai/jobs/info/66858a010ae1f988330e00dd?utm_campaign=1054&amp;utm_source=sheet", "Apply")</f>
        <v>Apply</v>
      </c>
      <c r="C370" s="10" t="s">
        <v>18267</v>
      </c>
      <c r="D370" s="56" t="s">
        <v>18268</v>
      </c>
      <c r="E370" s="10" t="s">
        <v>137</v>
      </c>
      <c r="F370" s="10" t="s">
        <v>18269</v>
      </c>
      <c r="G370" s="10" t="s">
        <v>17432</v>
      </c>
      <c r="H370" s="10" t="s">
        <v>661</v>
      </c>
      <c r="I370" s="10" t="s">
        <v>55</v>
      </c>
      <c r="J370" s="10" t="s">
        <v>18270</v>
      </c>
      <c r="K370" s="10" t="s">
        <v>18271</v>
      </c>
      <c r="L370" s="10" t="s">
        <v>42</v>
      </c>
    </row>
    <row r="371" ht="15.75" customHeight="1">
      <c r="A371" s="64">
        <v>45476.0</v>
      </c>
      <c r="B371" s="55" t="str">
        <f>HYPERLINK("https://jobright.ai/jobs/info/66877468a27625d19d290c87?utm_campaign=1054&amp;utm_source=sheet", "Apply")</f>
        <v>Apply</v>
      </c>
      <c r="C371" s="10" t="s">
        <v>17457</v>
      </c>
      <c r="D371" s="56" t="s">
        <v>18272</v>
      </c>
      <c r="E371" s="10" t="s">
        <v>71</v>
      </c>
      <c r="F371" s="10" t="s">
        <v>18273</v>
      </c>
      <c r="G371" s="10" t="s">
        <v>17432</v>
      </c>
      <c r="H371" s="10" t="s">
        <v>18274</v>
      </c>
      <c r="I371" s="10" t="s">
        <v>55</v>
      </c>
      <c r="K371" s="10" t="s">
        <v>18275</v>
      </c>
      <c r="L371" s="10" t="s">
        <v>42</v>
      </c>
    </row>
    <row r="372" ht="15.75" customHeight="1">
      <c r="A372" s="64">
        <v>45476.0</v>
      </c>
      <c r="B372" s="55" t="str">
        <f>HYPERLINK("https://jobright.ai/jobs/info/6685b032281ecddae5d305a0?utm_campaign=1054&amp;utm_source=sheet", "Apply")</f>
        <v>Apply</v>
      </c>
      <c r="C372" s="10" t="s">
        <v>18276</v>
      </c>
      <c r="D372" s="56" t="s">
        <v>18277</v>
      </c>
      <c r="E372" s="10" t="s">
        <v>276</v>
      </c>
      <c r="G372" s="10" t="s">
        <v>17429</v>
      </c>
      <c r="H372" s="10" t="s">
        <v>3852</v>
      </c>
      <c r="I372" s="10" t="s">
        <v>55</v>
      </c>
      <c r="K372" s="10" t="s">
        <v>18278</v>
      </c>
      <c r="L372" s="10" t="s">
        <v>42</v>
      </c>
    </row>
    <row r="373" ht="15.75" customHeight="1">
      <c r="A373" s="64">
        <v>45476.0</v>
      </c>
      <c r="B373" s="55" t="str">
        <f>HYPERLINK("https://jobright.ai/jobs/info/6685e213adbfe96e189b7401?utm_campaign=1054&amp;utm_source=sheet", "Apply")</f>
        <v>Apply</v>
      </c>
      <c r="C373" s="10" t="s">
        <v>17434</v>
      </c>
      <c r="D373" s="56" t="s">
        <v>18279</v>
      </c>
      <c r="E373" s="10" t="s">
        <v>276</v>
      </c>
      <c r="F373" s="10" t="s">
        <v>2588</v>
      </c>
      <c r="G373" s="10" t="s">
        <v>17429</v>
      </c>
      <c r="H373" s="10" t="s">
        <v>10592</v>
      </c>
      <c r="I373" s="10" t="s">
        <v>55</v>
      </c>
      <c r="K373" s="10" t="s">
        <v>18280</v>
      </c>
      <c r="L373" s="10" t="s">
        <v>42</v>
      </c>
    </row>
    <row r="374" ht="15.75" customHeight="1">
      <c r="A374" s="64">
        <v>45476.0</v>
      </c>
      <c r="B374" s="55" t="str">
        <f>HYPERLINK("https://jobright.ai/jobs/info/66859c0b04d7e7f0936fd63f?utm_campaign=1054&amp;utm_source=sheet", "Apply")</f>
        <v>Apply</v>
      </c>
      <c r="C374" s="10" t="s">
        <v>17569</v>
      </c>
      <c r="D374" s="56" t="s">
        <v>1631</v>
      </c>
      <c r="E374" s="10" t="s">
        <v>45</v>
      </c>
      <c r="F374" s="10" t="s">
        <v>1632</v>
      </c>
      <c r="G374" s="10" t="s">
        <v>17429</v>
      </c>
      <c r="H374" s="10" t="s">
        <v>18281</v>
      </c>
      <c r="I374" s="10" t="s">
        <v>55</v>
      </c>
      <c r="K374" s="10" t="s">
        <v>17570</v>
      </c>
      <c r="L374" s="10" t="s">
        <v>42</v>
      </c>
    </row>
    <row r="375" ht="15.75" customHeight="1">
      <c r="A375" s="64">
        <v>45475.0</v>
      </c>
      <c r="B375" s="55" t="str">
        <f>HYPERLINK("https://jobright.ai/jobs/info/668473f897b325197e94860e?utm_campaign=1054&amp;utm_source=sheet", "Apply")</f>
        <v>Apply</v>
      </c>
      <c r="C375" s="10" t="s">
        <v>18282</v>
      </c>
      <c r="D375" s="56" t="s">
        <v>18283</v>
      </c>
      <c r="E375" s="10" t="s">
        <v>65</v>
      </c>
      <c r="F375" s="10" t="s">
        <v>2950</v>
      </c>
      <c r="G375" s="10" t="s">
        <v>17432</v>
      </c>
      <c r="H375" s="10" t="s">
        <v>10777</v>
      </c>
      <c r="I375" s="10" t="s">
        <v>48</v>
      </c>
      <c r="K375" s="10" t="s">
        <v>18284</v>
      </c>
      <c r="L375" s="10" t="s">
        <v>42</v>
      </c>
    </row>
    <row r="376" ht="15.75" customHeight="1">
      <c r="A376" s="64">
        <v>45475.0</v>
      </c>
      <c r="B376" s="55" t="str">
        <f>HYPERLINK("https://jobright.ai/jobs/info/668556d9130fa6d241d79dfa?utm_campaign=1054&amp;utm_source=sheet", "Apply")</f>
        <v>Apply</v>
      </c>
      <c r="C376" s="10" t="s">
        <v>18285</v>
      </c>
      <c r="D376" s="56" t="s">
        <v>2441</v>
      </c>
      <c r="E376" s="10" t="s">
        <v>45</v>
      </c>
      <c r="F376" s="10" t="s">
        <v>2442</v>
      </c>
      <c r="G376" s="10" t="s">
        <v>17429</v>
      </c>
      <c r="H376" s="10" t="s">
        <v>1022</v>
      </c>
      <c r="I376" s="10" t="s">
        <v>55</v>
      </c>
      <c r="J376" s="10" t="s">
        <v>1608</v>
      </c>
      <c r="K376" s="10" t="s">
        <v>18286</v>
      </c>
      <c r="L376" s="10" t="s">
        <v>42</v>
      </c>
    </row>
    <row r="377" ht="15.75" customHeight="1">
      <c r="A377" s="64">
        <v>45475.0</v>
      </c>
      <c r="B377" s="55" t="str">
        <f>HYPERLINK("https://jobright.ai/jobs/info/668d2981e9464a99e8caca22?utm_campaign=1054&amp;utm_source=sheet", "Apply")</f>
        <v>Apply</v>
      </c>
      <c r="C377" s="10" t="s">
        <v>18287</v>
      </c>
      <c r="D377" s="56" t="s">
        <v>11373</v>
      </c>
      <c r="E377" s="10" t="s">
        <v>209</v>
      </c>
      <c r="F377" s="10" t="s">
        <v>370</v>
      </c>
      <c r="G377" s="10" t="s">
        <v>17429</v>
      </c>
      <c r="H377" s="10" t="s">
        <v>113</v>
      </c>
      <c r="I377" s="10" t="s">
        <v>55</v>
      </c>
      <c r="K377" s="10" t="s">
        <v>18288</v>
      </c>
      <c r="L377" s="10" t="s">
        <v>42</v>
      </c>
    </row>
    <row r="378" ht="15.75" customHeight="1">
      <c r="A378" s="64">
        <v>45475.0</v>
      </c>
      <c r="B378" s="55" t="str">
        <f>HYPERLINK("https://jobright.ai/jobs/info/668e05c2ab5d6ea22149327f?utm_campaign=1054&amp;utm_source=sheet", "Apply")</f>
        <v>Apply</v>
      </c>
      <c r="C378" s="10" t="s">
        <v>18289</v>
      </c>
      <c r="D378" s="56" t="s">
        <v>18290</v>
      </c>
      <c r="E378" s="10">
        <v>25.0</v>
      </c>
      <c r="G378" s="10" t="s">
        <v>17432</v>
      </c>
      <c r="H378" s="10" t="s">
        <v>18291</v>
      </c>
      <c r="I378" s="10" t="s">
        <v>55</v>
      </c>
      <c r="K378" s="10" t="s">
        <v>18292</v>
      </c>
      <c r="L378" s="10" t="s">
        <v>42</v>
      </c>
    </row>
    <row r="379" ht="15.75" customHeight="1">
      <c r="A379" s="64">
        <v>45475.0</v>
      </c>
      <c r="B379" s="55" t="str">
        <f>HYPERLINK("https://jobright.ai/jobs/info/6684911323fbc70f728ba1c5?utm_campaign=1054&amp;utm_source=sheet", "Apply")</f>
        <v>Apply</v>
      </c>
      <c r="C379" s="10" t="s">
        <v>18293</v>
      </c>
      <c r="D379" s="56" t="s">
        <v>18166</v>
      </c>
      <c r="E379" s="10" t="s">
        <v>71</v>
      </c>
      <c r="F379" s="10" t="s">
        <v>10</v>
      </c>
      <c r="G379" s="10" t="s">
        <v>17432</v>
      </c>
      <c r="H379" s="10" t="s">
        <v>18167</v>
      </c>
      <c r="I379" s="10" t="s">
        <v>48</v>
      </c>
      <c r="J379" s="10" t="s">
        <v>1873</v>
      </c>
      <c r="K379" s="10" t="s">
        <v>18294</v>
      </c>
      <c r="L379" s="10" t="s">
        <v>42</v>
      </c>
    </row>
    <row r="380" ht="15.75" customHeight="1">
      <c r="A380" s="64">
        <v>45475.0</v>
      </c>
      <c r="B380" s="55" t="str">
        <f>HYPERLINK("https://jobright.ai/jobs/info/66849c95215271273fc37641?utm_campaign=1054&amp;utm_source=sheet", "Apply")</f>
        <v>Apply</v>
      </c>
      <c r="C380" s="10" t="s">
        <v>18295</v>
      </c>
      <c r="D380" s="56" t="s">
        <v>18296</v>
      </c>
      <c r="E380" s="10" t="s">
        <v>71</v>
      </c>
      <c r="F380" s="10" t="s">
        <v>18297</v>
      </c>
      <c r="G380" s="10" t="s">
        <v>17429</v>
      </c>
      <c r="H380" s="10" t="s">
        <v>7195</v>
      </c>
      <c r="I380" s="10" t="s">
        <v>55</v>
      </c>
      <c r="K380" s="10" t="s">
        <v>18298</v>
      </c>
      <c r="L380" s="10" t="s">
        <v>42</v>
      </c>
    </row>
    <row r="381" ht="15.75" customHeight="1">
      <c r="A381" s="64">
        <v>45474.0</v>
      </c>
      <c r="B381" s="55" t="str">
        <f>HYPERLINK("https://jobright.ai/jobs/info/6683660fef136f96b499e027?utm_campaign=1054&amp;utm_source=sheet", "Apply")</f>
        <v>Apply</v>
      </c>
      <c r="C381" s="10" t="s">
        <v>18299</v>
      </c>
      <c r="D381" s="56" t="s">
        <v>18300</v>
      </c>
      <c r="E381" s="10" t="s">
        <v>65</v>
      </c>
      <c r="G381" s="10" t="s">
        <v>17429</v>
      </c>
      <c r="H381" s="10" t="s">
        <v>18301</v>
      </c>
      <c r="I381" s="10" t="s">
        <v>55</v>
      </c>
      <c r="K381" s="10" t="s">
        <v>18302</v>
      </c>
      <c r="L381" s="10" t="s">
        <v>42</v>
      </c>
    </row>
    <row r="382" ht="15.75" customHeight="1">
      <c r="A382" s="64">
        <v>45474.0</v>
      </c>
      <c r="B382" s="55" t="str">
        <f>HYPERLINK("https://jobright.ai/jobs/info/6683173113bc68d498013d35?utm_campaign=1054&amp;utm_source=sheet", "Apply")</f>
        <v>Apply</v>
      </c>
      <c r="C382" s="10" t="s">
        <v>18303</v>
      </c>
      <c r="D382" s="56" t="s">
        <v>18304</v>
      </c>
      <c r="E382" s="10" t="s">
        <v>71</v>
      </c>
      <c r="F382" s="10" t="s">
        <v>665</v>
      </c>
      <c r="G382" s="10" t="s">
        <v>17432</v>
      </c>
      <c r="H382" s="10" t="s">
        <v>1994</v>
      </c>
      <c r="I382" s="10" t="s">
        <v>55</v>
      </c>
      <c r="J382" s="10" t="s">
        <v>18305</v>
      </c>
      <c r="K382" s="10" t="s">
        <v>18306</v>
      </c>
      <c r="L382" s="10" t="s">
        <v>42</v>
      </c>
    </row>
    <row r="383" ht="15.75" customHeight="1">
      <c r="A383" s="64">
        <v>45474.0</v>
      </c>
      <c r="B383" s="55" t="str">
        <f>HYPERLINK("https://jobright.ai/jobs/info/6682f13856317a36d1ad8941?utm_campaign=1054&amp;utm_source=sheet", "Apply")</f>
        <v>Apply</v>
      </c>
      <c r="C383" s="10" t="s">
        <v>18307</v>
      </c>
      <c r="D383" s="56" t="s">
        <v>18308</v>
      </c>
      <c r="E383" s="10">
        <v>742.0</v>
      </c>
      <c r="G383" s="10" t="s">
        <v>17429</v>
      </c>
      <c r="H383" s="10" t="s">
        <v>18309</v>
      </c>
      <c r="I383" s="10" t="s">
        <v>55</v>
      </c>
      <c r="J383" s="10" t="s">
        <v>15312</v>
      </c>
      <c r="K383" s="10" t="s">
        <v>18310</v>
      </c>
      <c r="L383" s="10" t="s">
        <v>42</v>
      </c>
    </row>
    <row r="384" ht="15.75" customHeight="1">
      <c r="A384" s="64">
        <v>45474.0</v>
      </c>
      <c r="B384" s="55" t="str">
        <f>HYPERLINK("https://jobright.ai/jobs/info/668bd9e4ac083f97919212ee?utm_campaign=1054&amp;utm_source=sheet", "Apply")</f>
        <v>Apply</v>
      </c>
      <c r="C384" s="10" t="s">
        <v>18311</v>
      </c>
      <c r="D384" s="56" t="s">
        <v>4655</v>
      </c>
      <c r="E384" s="10">
        <v>5073.0</v>
      </c>
      <c r="G384" s="10" t="s">
        <v>17429</v>
      </c>
      <c r="H384" s="10" t="s">
        <v>898</v>
      </c>
      <c r="I384" s="10" t="s">
        <v>55</v>
      </c>
      <c r="K384" s="10" t="s">
        <v>4656</v>
      </c>
      <c r="L384" s="10" t="s">
        <v>42</v>
      </c>
    </row>
    <row r="385" ht="15.75" customHeight="1">
      <c r="A385" s="64">
        <v>45474.0</v>
      </c>
      <c r="B385" s="55" t="str">
        <f>HYPERLINK("https://jobright.ai/jobs/info/66759f5486a9490f868bacf9?utm_campaign=1054&amp;utm_source=sheet", "Apply")</f>
        <v>Apply</v>
      </c>
      <c r="C385" s="10" t="s">
        <v>17933</v>
      </c>
      <c r="D385" s="56" t="s">
        <v>1178</v>
      </c>
      <c r="E385" s="10" t="s">
        <v>137</v>
      </c>
      <c r="F385" s="10" t="s">
        <v>1179</v>
      </c>
      <c r="G385" s="10" t="s">
        <v>17429</v>
      </c>
      <c r="H385" s="10" t="s">
        <v>18312</v>
      </c>
      <c r="I385" s="10" t="s">
        <v>48</v>
      </c>
      <c r="J385" s="10" t="s">
        <v>2450</v>
      </c>
      <c r="K385" s="10" t="s">
        <v>18313</v>
      </c>
      <c r="L385" s="10" t="s">
        <v>42</v>
      </c>
    </row>
    <row r="386" ht="15.75" customHeight="1">
      <c r="A386" s="64">
        <v>45474.0</v>
      </c>
      <c r="B386" s="55" t="str">
        <f>HYPERLINK("https://jobright.ai/jobs/info/668bcc32c0120707fc15457d?utm_campaign=1054&amp;utm_source=sheet", "Apply")</f>
        <v>Apply</v>
      </c>
      <c r="C386" s="10" t="s">
        <v>18314</v>
      </c>
      <c r="D386" s="56" t="s">
        <v>4655</v>
      </c>
      <c r="E386" s="10">
        <v>5073.0</v>
      </c>
      <c r="G386" s="10" t="s">
        <v>17429</v>
      </c>
      <c r="H386" s="10" t="s">
        <v>188</v>
      </c>
      <c r="I386" s="10" t="s">
        <v>55</v>
      </c>
      <c r="K386" s="10" t="s">
        <v>4656</v>
      </c>
      <c r="L386" s="10" t="s">
        <v>42</v>
      </c>
    </row>
    <row r="387" ht="15.75" customHeight="1">
      <c r="A387" s="64">
        <v>45474.0</v>
      </c>
      <c r="B387" s="55" t="str">
        <f>HYPERLINK("https://jobright.ai/jobs/info/6683587d3fda3739b3c6769b?utm_campaign=1054&amp;utm_source=sheet", "Apply")</f>
        <v>Apply</v>
      </c>
      <c r="C387" s="10" t="s">
        <v>18315</v>
      </c>
      <c r="D387" s="56" t="s">
        <v>18316</v>
      </c>
      <c r="E387" s="10" t="s">
        <v>65</v>
      </c>
      <c r="F387" s="10" t="s">
        <v>1234</v>
      </c>
      <c r="G387" s="10" t="s">
        <v>17429</v>
      </c>
      <c r="H387" s="10" t="s">
        <v>937</v>
      </c>
      <c r="I387" s="10" t="s">
        <v>55</v>
      </c>
      <c r="J387" s="10" t="s">
        <v>18317</v>
      </c>
      <c r="K387" s="10" t="s">
        <v>18318</v>
      </c>
      <c r="L387" s="10" t="s">
        <v>42</v>
      </c>
    </row>
    <row r="388" ht="15.75" customHeight="1">
      <c r="A388" s="64">
        <v>45474.0</v>
      </c>
      <c r="B388" s="55" t="str">
        <f>HYPERLINK("https://jobright.ai/jobs/info/6682f14d56317a36d1ad8ac0?utm_campaign=1054&amp;utm_source=sheet", "Apply")</f>
        <v>Apply</v>
      </c>
      <c r="C388" s="10" t="s">
        <v>18319</v>
      </c>
      <c r="D388" s="56" t="s">
        <v>18320</v>
      </c>
      <c r="E388" s="10" t="s">
        <v>79</v>
      </c>
      <c r="F388" s="10" t="s">
        <v>1612</v>
      </c>
      <c r="G388" s="10" t="s">
        <v>17429</v>
      </c>
      <c r="H388" s="10" t="s">
        <v>16432</v>
      </c>
      <c r="I388" s="10" t="s">
        <v>55</v>
      </c>
      <c r="K388" s="10" t="s">
        <v>18321</v>
      </c>
      <c r="L388" s="10" t="s">
        <v>42</v>
      </c>
    </row>
    <row r="389" ht="15.75" customHeight="1">
      <c r="A389" s="64">
        <v>45472.0</v>
      </c>
      <c r="B389" s="55" t="str">
        <f>HYPERLINK("https://jobright.ai/jobs/info/66751afa1345ca9e335e6b69?utm_campaign=1054&amp;utm_source=sheet", "Apply")</f>
        <v>Apply</v>
      </c>
      <c r="C389" s="10" t="s">
        <v>18322</v>
      </c>
      <c r="D389" s="56" t="s">
        <v>18323</v>
      </c>
      <c r="E389" s="10" t="s">
        <v>45</v>
      </c>
      <c r="F389" s="10" t="s">
        <v>1485</v>
      </c>
      <c r="G389" s="10" t="s">
        <v>17432</v>
      </c>
      <c r="H389" s="10" t="s">
        <v>96</v>
      </c>
      <c r="I389" s="10" t="s">
        <v>55</v>
      </c>
      <c r="K389" s="10" t="s">
        <v>18324</v>
      </c>
      <c r="L389" s="10" t="s">
        <v>42</v>
      </c>
    </row>
    <row r="390" ht="15.75" customHeight="1">
      <c r="A390" s="64">
        <v>45470.0</v>
      </c>
      <c r="B390" s="55" t="str">
        <f>HYPERLINK("https://jobright.ai/jobs/info/667e0c1a48f3492b0f46cd11?utm_campaign=1054&amp;utm_source=sheet", "Apply")</f>
        <v>Apply</v>
      </c>
      <c r="C390" s="10" t="s">
        <v>18325</v>
      </c>
      <c r="D390" s="56" t="s">
        <v>11420</v>
      </c>
      <c r="E390" s="10" t="s">
        <v>45</v>
      </c>
      <c r="F390" s="10" t="s">
        <v>11421</v>
      </c>
      <c r="G390" s="10" t="s">
        <v>17432</v>
      </c>
      <c r="H390" s="10" t="s">
        <v>1260</v>
      </c>
      <c r="I390" s="10" t="s">
        <v>55</v>
      </c>
      <c r="K390" s="10" t="s">
        <v>18326</v>
      </c>
      <c r="L390" s="10" t="s">
        <v>42</v>
      </c>
    </row>
    <row r="391" ht="15.75" customHeight="1">
      <c r="A391" s="64">
        <v>45470.0</v>
      </c>
      <c r="B391" s="55" t="str">
        <f>HYPERLINK("https://jobright.ai/jobs/info/667dfca663c037a1350fd1bc?utm_campaign=1054&amp;utm_source=sheet", "Apply")</f>
        <v>Apply</v>
      </c>
      <c r="C391" s="10" t="s">
        <v>18327</v>
      </c>
      <c r="D391" s="56" t="s">
        <v>2069</v>
      </c>
      <c r="E391" s="10" t="s">
        <v>65</v>
      </c>
      <c r="F391" s="10" t="s">
        <v>1663</v>
      </c>
      <c r="G391" s="10" t="s">
        <v>17429</v>
      </c>
      <c r="H391" s="10" t="s">
        <v>2070</v>
      </c>
      <c r="I391" s="10" t="s">
        <v>55</v>
      </c>
      <c r="J391" s="10" t="s">
        <v>15312</v>
      </c>
      <c r="K391" s="10" t="s">
        <v>18328</v>
      </c>
      <c r="L391" s="10" t="s">
        <v>42</v>
      </c>
    </row>
    <row r="392" ht="15.75" customHeight="1">
      <c r="A392" s="64">
        <v>45470.0</v>
      </c>
      <c r="B392" s="55" t="str">
        <f>HYPERLINK("https://jobright.ai/jobs/info/6674411fbd65a761bf019995?utm_campaign=1054&amp;utm_source=sheet", "Apply")</f>
        <v>Apply</v>
      </c>
      <c r="C392" s="10" t="s">
        <v>18329</v>
      </c>
      <c r="D392" s="56" t="s">
        <v>1576</v>
      </c>
      <c r="E392" s="10" t="s">
        <v>45</v>
      </c>
      <c r="F392" s="10" t="s">
        <v>1577</v>
      </c>
      <c r="G392" s="10" t="s">
        <v>17429</v>
      </c>
      <c r="H392" s="10" t="s">
        <v>1578</v>
      </c>
      <c r="I392" s="10" t="s">
        <v>55</v>
      </c>
      <c r="J392" s="10" t="s">
        <v>1579</v>
      </c>
      <c r="K392" s="10" t="s">
        <v>14273</v>
      </c>
      <c r="L392" s="10" t="s">
        <v>42</v>
      </c>
    </row>
    <row r="393" ht="15.75" customHeight="1">
      <c r="A393" s="64">
        <v>45470.0</v>
      </c>
      <c r="B393" s="55" t="str">
        <f>HYPERLINK("https://jobright.ai/jobs/info/667df2e5a8cfb857af6f1687?utm_campaign=1054&amp;utm_source=sheet", "Apply")</f>
        <v>Apply</v>
      </c>
      <c r="C393" s="10" t="s">
        <v>18330</v>
      </c>
      <c r="D393" s="56" t="s">
        <v>18331</v>
      </c>
      <c r="G393" s="10" t="s">
        <v>17432</v>
      </c>
      <c r="H393" s="10" t="s">
        <v>793</v>
      </c>
      <c r="I393" s="10" t="s">
        <v>55</v>
      </c>
      <c r="J393" s="10" t="s">
        <v>18332</v>
      </c>
      <c r="K393" s="10" t="s">
        <v>18333</v>
      </c>
      <c r="L393" s="10" t="s">
        <v>42</v>
      </c>
    </row>
    <row r="394" ht="15.75" customHeight="1">
      <c r="A394" s="64">
        <v>45470.0</v>
      </c>
      <c r="B394" s="55" t="str">
        <f>HYPERLINK("https://jobright.ai/jobs/info/667debb2f8422465584897c4?utm_campaign=1054&amp;utm_source=sheet", "Apply")</f>
        <v>Apply</v>
      </c>
      <c r="C394" s="10" t="s">
        <v>17434</v>
      </c>
      <c r="D394" s="56" t="s">
        <v>18334</v>
      </c>
      <c r="E394" s="10" t="s">
        <v>45</v>
      </c>
      <c r="F394" s="10" t="s">
        <v>18335</v>
      </c>
      <c r="G394" s="10" t="s">
        <v>17429</v>
      </c>
      <c r="H394" s="10" t="s">
        <v>1978</v>
      </c>
      <c r="I394" s="10" t="s">
        <v>55</v>
      </c>
      <c r="K394" s="10" t="s">
        <v>18336</v>
      </c>
      <c r="L394" s="10" t="s">
        <v>42</v>
      </c>
    </row>
    <row r="395" ht="15.75" customHeight="1">
      <c r="A395" s="64">
        <v>45470.0</v>
      </c>
      <c r="B395" s="55" t="str">
        <f>HYPERLINK("https://jobright.ai/jobs/info/667d6e2d52c05eba497b0d4b?utm_campaign=1054&amp;utm_source=sheet", "Apply")</f>
        <v>Apply</v>
      </c>
      <c r="C395" s="10" t="s">
        <v>18337</v>
      </c>
      <c r="D395" s="56" t="s">
        <v>18338</v>
      </c>
      <c r="E395" s="10" t="s">
        <v>249</v>
      </c>
      <c r="F395" s="10" t="s">
        <v>1266</v>
      </c>
      <c r="G395" s="10" t="s">
        <v>17432</v>
      </c>
      <c r="H395" s="10" t="s">
        <v>1008</v>
      </c>
      <c r="I395" s="10" t="s">
        <v>48</v>
      </c>
      <c r="K395" s="10" t="s">
        <v>18339</v>
      </c>
      <c r="L395" s="10" t="s">
        <v>42</v>
      </c>
    </row>
    <row r="396" ht="15.75" customHeight="1">
      <c r="A396" s="64">
        <v>45470.0</v>
      </c>
      <c r="B396" s="55" t="str">
        <f>HYPERLINK("https://jobright.ai/jobs/info/6679b77c2d5a774ce627cf42?utm_campaign=1054&amp;utm_source=sheet", "Apply")</f>
        <v>Apply</v>
      </c>
      <c r="C396" s="10" t="s">
        <v>2066</v>
      </c>
      <c r="D396" s="56" t="s">
        <v>18340</v>
      </c>
      <c r="E396" s="10" t="s">
        <v>45</v>
      </c>
      <c r="F396" s="10" t="s">
        <v>1695</v>
      </c>
      <c r="G396" s="10" t="s">
        <v>17432</v>
      </c>
      <c r="H396" s="10" t="s">
        <v>18341</v>
      </c>
      <c r="I396" s="10" t="s">
        <v>55</v>
      </c>
      <c r="K396" s="10" t="s">
        <v>18342</v>
      </c>
      <c r="L396" s="10" t="s">
        <v>42</v>
      </c>
    </row>
    <row r="397" ht="15.75" customHeight="1">
      <c r="A397" s="64">
        <v>45470.0</v>
      </c>
      <c r="B397" s="55" t="str">
        <f>HYPERLINK("https://jobright.ai/jobs/info/667dd02a2724c00c820e4310?utm_campaign=1054&amp;utm_source=sheet", "Apply")</f>
        <v>Apply</v>
      </c>
      <c r="C397" s="10" t="s">
        <v>17434</v>
      </c>
      <c r="D397" s="56" t="s">
        <v>18334</v>
      </c>
      <c r="E397" s="10" t="s">
        <v>45</v>
      </c>
      <c r="F397" s="10" t="s">
        <v>18335</v>
      </c>
      <c r="G397" s="10" t="s">
        <v>17429</v>
      </c>
      <c r="H397" s="10" t="s">
        <v>18343</v>
      </c>
      <c r="I397" s="10" t="s">
        <v>55</v>
      </c>
      <c r="K397" s="10" t="s">
        <v>18336</v>
      </c>
      <c r="L397" s="10" t="s">
        <v>42</v>
      </c>
    </row>
    <row r="398" ht="15.75" customHeight="1">
      <c r="A398" s="64">
        <v>45470.0</v>
      </c>
      <c r="B398" s="55" t="str">
        <f>HYPERLINK("https://jobright.ai/jobs/info/667d78967f52fab5a9ba1da7?utm_campaign=1054&amp;utm_source=sheet", "Apply")</f>
        <v>Apply</v>
      </c>
      <c r="C398" s="10" t="s">
        <v>18344</v>
      </c>
      <c r="D398" s="56" t="s">
        <v>12927</v>
      </c>
      <c r="E398" s="10" t="s">
        <v>65</v>
      </c>
      <c r="F398" s="10" t="s">
        <v>1893</v>
      </c>
      <c r="G398" s="10" t="s">
        <v>17429</v>
      </c>
      <c r="H398" s="10" t="s">
        <v>914</v>
      </c>
      <c r="I398" s="10" t="s">
        <v>55</v>
      </c>
      <c r="K398" s="10" t="s">
        <v>18345</v>
      </c>
      <c r="L398" s="10" t="s">
        <v>42</v>
      </c>
    </row>
    <row r="399" ht="15.75" customHeight="1">
      <c r="A399" s="64">
        <v>45468.0</v>
      </c>
      <c r="B399" s="55" t="str">
        <f>HYPERLINK("https://jobright.ai/jobs/info/667addceea9251a3ec829f52?utm_campaign=1054&amp;utm_source=sheet", "Apply")</f>
        <v>Apply</v>
      </c>
      <c r="C399" s="10" t="s">
        <v>18346</v>
      </c>
      <c r="D399" s="56" t="s">
        <v>18347</v>
      </c>
      <c r="E399" s="10" t="s">
        <v>45</v>
      </c>
      <c r="F399" s="10" t="s">
        <v>1512</v>
      </c>
      <c r="G399" s="10" t="s">
        <v>17429</v>
      </c>
      <c r="H399" s="10" t="s">
        <v>18348</v>
      </c>
      <c r="I399" s="10" t="s">
        <v>55</v>
      </c>
      <c r="K399" s="10" t="s">
        <v>18349</v>
      </c>
      <c r="L399" s="10" t="s">
        <v>42</v>
      </c>
    </row>
    <row r="400" ht="15.75" customHeight="1">
      <c r="A400" s="64">
        <v>45468.0</v>
      </c>
      <c r="B400" s="55" t="str">
        <f>HYPERLINK("https://jobright.ai/jobs/info/667b6c17a28bede768876723?utm_campaign=1054&amp;utm_source=sheet", "Apply")</f>
        <v>Apply</v>
      </c>
      <c r="C400" s="10" t="s">
        <v>18350</v>
      </c>
      <c r="D400" s="56" t="s">
        <v>13236</v>
      </c>
      <c r="E400" s="10" t="s">
        <v>249</v>
      </c>
      <c r="F400" s="10" t="s">
        <v>13237</v>
      </c>
      <c r="G400" s="10" t="s">
        <v>17429</v>
      </c>
      <c r="H400" s="10" t="s">
        <v>15202</v>
      </c>
      <c r="I400" s="10" t="s">
        <v>48</v>
      </c>
      <c r="K400" s="10" t="s">
        <v>18351</v>
      </c>
      <c r="L400" s="10" t="s">
        <v>42</v>
      </c>
    </row>
    <row r="401" ht="15.75" customHeight="1">
      <c r="A401" s="64">
        <v>45467.0</v>
      </c>
      <c r="B401" s="55" t="str">
        <f>HYPERLINK("https://jobright.ai/jobs/info/665e3a43c95fa786f692441c?utm_campaign=1054&amp;utm_source=sheet", "Apply")</f>
        <v>Apply</v>
      </c>
      <c r="C401" s="10" t="s">
        <v>18352</v>
      </c>
      <c r="D401" s="56" t="s">
        <v>17947</v>
      </c>
      <c r="G401" s="10" t="s">
        <v>17429</v>
      </c>
      <c r="H401" s="10" t="s">
        <v>152</v>
      </c>
      <c r="I401" s="10" t="s">
        <v>55</v>
      </c>
      <c r="K401" s="10" t="s">
        <v>18353</v>
      </c>
      <c r="L401" s="10" t="s">
        <v>42</v>
      </c>
    </row>
    <row r="402" ht="15.75" customHeight="1">
      <c r="A402" s="64">
        <v>45467.0</v>
      </c>
      <c r="B402" s="55" t="str">
        <f>HYPERLINK("https://jobright.ai/jobs/info/6679c7e21db8ec5328a2a733?utm_campaign=1054&amp;utm_source=sheet", "Apply")</f>
        <v>Apply</v>
      </c>
      <c r="C402" s="10" t="s">
        <v>18354</v>
      </c>
      <c r="D402" s="56" t="s">
        <v>18355</v>
      </c>
      <c r="E402" s="10" t="s">
        <v>249</v>
      </c>
      <c r="G402" s="10" t="s">
        <v>17429</v>
      </c>
      <c r="H402" s="10" t="s">
        <v>113</v>
      </c>
      <c r="I402" s="10" t="s">
        <v>55</v>
      </c>
      <c r="J402" s="10" t="s">
        <v>15970</v>
      </c>
      <c r="K402" s="10" t="s">
        <v>18356</v>
      </c>
      <c r="L402" s="10" t="s">
        <v>42</v>
      </c>
    </row>
    <row r="403" ht="15.75" customHeight="1">
      <c r="A403" s="64">
        <v>45467.0</v>
      </c>
      <c r="B403" s="55" t="str">
        <f>HYPERLINK("https://jobright.ai/jobs/info/6679218d4f96435d7e71e477?utm_campaign=1054&amp;utm_source=sheet", "Apply")</f>
        <v>Apply</v>
      </c>
      <c r="C403" s="10" t="s">
        <v>18357</v>
      </c>
      <c r="D403" s="56" t="s">
        <v>18358</v>
      </c>
      <c r="E403" s="10" t="s">
        <v>276</v>
      </c>
      <c r="F403" s="10" t="s">
        <v>2377</v>
      </c>
      <c r="G403" s="10" t="s">
        <v>17432</v>
      </c>
      <c r="H403" s="10" t="s">
        <v>18359</v>
      </c>
      <c r="I403" s="10" t="s">
        <v>55</v>
      </c>
      <c r="K403" s="10" t="s">
        <v>18360</v>
      </c>
      <c r="L403" s="10" t="s">
        <v>42</v>
      </c>
    </row>
    <row r="404" ht="15.75" customHeight="1">
      <c r="A404" s="64">
        <v>45466.0</v>
      </c>
      <c r="B404" s="55" t="str">
        <f>HYPERLINK("https://jobright.ai/jobs/info/6678af00a7fcb08c3231250f?utm_campaign=1054&amp;utm_source=sheet", "Apply")</f>
        <v>Apply</v>
      </c>
      <c r="C404" s="10" t="s">
        <v>17855</v>
      </c>
      <c r="D404" s="56" t="s">
        <v>17804</v>
      </c>
      <c r="E404" s="10" t="s">
        <v>45</v>
      </c>
      <c r="F404" s="10" t="s">
        <v>1266</v>
      </c>
      <c r="G404" s="10" t="s">
        <v>17429</v>
      </c>
      <c r="H404" s="10" t="s">
        <v>843</v>
      </c>
      <c r="I404" s="10" t="s">
        <v>55</v>
      </c>
      <c r="K404" s="10" t="s">
        <v>17805</v>
      </c>
      <c r="L404" s="10" t="s">
        <v>42</v>
      </c>
    </row>
    <row r="405" ht="15.75" customHeight="1">
      <c r="A405" s="64">
        <v>45465.0</v>
      </c>
      <c r="B405" s="55" t="str">
        <f>HYPERLINK("https://jobright.ai/jobs/info/6676c6c0807f31af72077b77?utm_campaign=1054&amp;utm_source=sheet", "Apply")</f>
        <v>Apply</v>
      </c>
      <c r="C405" s="10" t="s">
        <v>17780</v>
      </c>
      <c r="D405" s="56" t="s">
        <v>11564</v>
      </c>
      <c r="E405" s="10" t="s">
        <v>45</v>
      </c>
      <c r="F405" s="10" t="s">
        <v>11565</v>
      </c>
      <c r="G405" s="10" t="s">
        <v>17429</v>
      </c>
      <c r="H405" s="10" t="s">
        <v>636</v>
      </c>
      <c r="I405" s="10" t="s">
        <v>55</v>
      </c>
      <c r="K405" s="10" t="s">
        <v>18361</v>
      </c>
      <c r="L405" s="10" t="s">
        <v>42</v>
      </c>
    </row>
    <row r="406" ht="15.75" customHeight="1">
      <c r="A406" s="64">
        <v>45465.0</v>
      </c>
      <c r="B406" s="55" t="str">
        <f>HYPERLINK("https://jobright.ai/jobs/info/66766b7d93b9404f41dd4fbc?utm_campaign=1054&amp;utm_source=sheet", "Apply")</f>
        <v>Apply</v>
      </c>
      <c r="C406" s="10" t="s">
        <v>17434</v>
      </c>
      <c r="D406" s="56" t="s">
        <v>15012</v>
      </c>
      <c r="E406" s="10" t="s">
        <v>276</v>
      </c>
      <c r="F406" s="10" t="s">
        <v>15013</v>
      </c>
      <c r="G406" s="10" t="s">
        <v>17429</v>
      </c>
      <c r="H406" s="10" t="s">
        <v>843</v>
      </c>
      <c r="I406" s="10" t="s">
        <v>55</v>
      </c>
      <c r="K406" s="10" t="s">
        <v>18362</v>
      </c>
      <c r="L406" s="10" t="s">
        <v>42</v>
      </c>
    </row>
    <row r="407" ht="15.75" customHeight="1">
      <c r="A407" s="64">
        <v>45464.0</v>
      </c>
      <c r="B407" s="55" t="str">
        <f>HYPERLINK("https://jobright.ai/jobs/info/66739b3db44778ee869ba4c2?utm_campaign=1054&amp;utm_source=sheet", "Apply")</f>
        <v>Apply</v>
      </c>
      <c r="C407" s="10" t="s">
        <v>18363</v>
      </c>
      <c r="D407" s="56" t="s">
        <v>3461</v>
      </c>
      <c r="E407" s="10" t="s">
        <v>65</v>
      </c>
      <c r="F407" s="10" t="s">
        <v>2964</v>
      </c>
      <c r="G407" s="10" t="s">
        <v>17429</v>
      </c>
      <c r="H407" s="10" t="s">
        <v>18364</v>
      </c>
      <c r="I407" s="10" t="s">
        <v>55</v>
      </c>
      <c r="J407" s="10" t="s">
        <v>18365</v>
      </c>
      <c r="K407" s="10" t="s">
        <v>18366</v>
      </c>
      <c r="L407" s="10" t="s">
        <v>42</v>
      </c>
    </row>
    <row r="408" ht="15.75" customHeight="1">
      <c r="A408" s="64">
        <v>45464.0</v>
      </c>
      <c r="B408" s="55" t="str">
        <f>HYPERLINK("https://jobright.ai/jobs/info/6677a1e582327573f52c068a?utm_campaign=1054&amp;utm_source=sheet", "Apply")</f>
        <v>Apply</v>
      </c>
      <c r="C408" s="10" t="s">
        <v>18367</v>
      </c>
      <c r="D408" s="56" t="s">
        <v>18368</v>
      </c>
      <c r="E408" s="10" t="s">
        <v>79</v>
      </c>
      <c r="F408" s="10" t="s">
        <v>1893</v>
      </c>
      <c r="G408" s="10" t="s">
        <v>17429</v>
      </c>
      <c r="H408" s="10" t="s">
        <v>10949</v>
      </c>
      <c r="I408" s="10" t="s">
        <v>55</v>
      </c>
      <c r="J408" s="10" t="s">
        <v>1761</v>
      </c>
      <c r="K408" s="10" t="s">
        <v>18369</v>
      </c>
      <c r="L408" s="10" t="s">
        <v>42</v>
      </c>
    </row>
    <row r="409" ht="15.75" customHeight="1">
      <c r="A409" s="64">
        <v>45464.0</v>
      </c>
      <c r="B409" s="55" t="str">
        <f>HYPERLINK("https://jobright.ai/jobs/info/66755235140e36496f904f14?utm_campaign=1054&amp;utm_source=sheet", "Apply")</f>
        <v>Apply</v>
      </c>
      <c r="C409" s="10" t="s">
        <v>18370</v>
      </c>
      <c r="D409" s="56" t="s">
        <v>3589</v>
      </c>
      <c r="E409" s="10" t="s">
        <v>45</v>
      </c>
      <c r="F409" s="10" t="s">
        <v>2554</v>
      </c>
      <c r="G409" s="10" t="s">
        <v>17429</v>
      </c>
      <c r="H409" s="10" t="s">
        <v>2154</v>
      </c>
      <c r="I409" s="10" t="s">
        <v>55</v>
      </c>
      <c r="K409" s="10" t="s">
        <v>18371</v>
      </c>
      <c r="L409" s="10" t="s">
        <v>42</v>
      </c>
    </row>
    <row r="410" ht="15.75" customHeight="1">
      <c r="A410" s="64">
        <v>45464.0</v>
      </c>
      <c r="B410" s="55" t="str">
        <f>HYPERLINK("https://jobright.ai/jobs/info/6674eb88c182409f177f8804?utm_campaign=1054&amp;utm_source=sheet", "Apply")</f>
        <v>Apply</v>
      </c>
      <c r="C410" s="10" t="s">
        <v>18372</v>
      </c>
      <c r="D410" s="56" t="s">
        <v>18373</v>
      </c>
      <c r="E410" s="10" t="s">
        <v>79</v>
      </c>
      <c r="F410" s="10" t="s">
        <v>85</v>
      </c>
      <c r="G410" s="10" t="s">
        <v>17429</v>
      </c>
      <c r="H410" s="10" t="s">
        <v>2380</v>
      </c>
      <c r="I410" s="10" t="s">
        <v>55</v>
      </c>
      <c r="K410" s="10" t="s">
        <v>18374</v>
      </c>
      <c r="L410" s="10" t="s">
        <v>42</v>
      </c>
    </row>
    <row r="411" ht="15.75" customHeight="1">
      <c r="A411" s="64">
        <v>45463.0</v>
      </c>
      <c r="B411" s="55" t="str">
        <f>HYPERLINK("https://jobright.ai/jobs/info/66626d05577fa08f7109786e?utm_campaign=1054&amp;utm_source=sheet", "Apply")</f>
        <v>Apply</v>
      </c>
      <c r="C411" s="10" t="s">
        <v>18375</v>
      </c>
      <c r="D411" s="56" t="s">
        <v>8845</v>
      </c>
      <c r="E411" s="10" t="s">
        <v>45</v>
      </c>
      <c r="F411" s="10" t="s">
        <v>8846</v>
      </c>
      <c r="G411" s="10" t="s">
        <v>17429</v>
      </c>
      <c r="H411" s="10" t="s">
        <v>153</v>
      </c>
      <c r="I411" s="10" t="s">
        <v>55</v>
      </c>
      <c r="K411" s="10" t="s">
        <v>18376</v>
      </c>
      <c r="L411" s="10" t="s">
        <v>42</v>
      </c>
    </row>
    <row r="412" ht="15.75" customHeight="1">
      <c r="A412" s="64">
        <v>45463.0</v>
      </c>
      <c r="B412" s="55" t="str">
        <f>HYPERLINK("https://jobright.ai/jobs/info/66758f23cf62a6c71414d8a0?utm_campaign=1054&amp;utm_source=sheet", "Apply")</f>
        <v>Apply</v>
      </c>
      <c r="C412" s="10" t="s">
        <v>18377</v>
      </c>
      <c r="D412" s="56" t="s">
        <v>18378</v>
      </c>
      <c r="E412" s="10" t="s">
        <v>276</v>
      </c>
      <c r="F412" s="10" t="s">
        <v>14654</v>
      </c>
      <c r="G412" s="10" t="s">
        <v>17429</v>
      </c>
      <c r="H412" s="10" t="s">
        <v>769</v>
      </c>
      <c r="I412" s="10" t="s">
        <v>55</v>
      </c>
      <c r="J412" s="10" t="s">
        <v>1409</v>
      </c>
      <c r="K412" s="10" t="s">
        <v>18379</v>
      </c>
      <c r="L412" s="10" t="s">
        <v>42</v>
      </c>
    </row>
    <row r="413" ht="15.75" customHeight="1">
      <c r="A413" s="64">
        <v>45462.0</v>
      </c>
      <c r="B413" s="55" t="str">
        <f>HYPERLINK("https://jobright.ai/jobs/info/66732e8aa5eb8f08e40740cf?utm_campaign=1054&amp;utm_source=sheet", "Apply")</f>
        <v>Apply</v>
      </c>
      <c r="C413" s="10" t="s">
        <v>18377</v>
      </c>
      <c r="D413" s="56" t="s">
        <v>18378</v>
      </c>
      <c r="E413" s="10" t="s">
        <v>276</v>
      </c>
      <c r="F413" s="10" t="s">
        <v>14654</v>
      </c>
      <c r="G413" s="10" t="s">
        <v>17429</v>
      </c>
      <c r="H413" s="10" t="s">
        <v>769</v>
      </c>
      <c r="I413" s="10" t="s">
        <v>55</v>
      </c>
      <c r="J413" s="10" t="s">
        <v>1409</v>
      </c>
      <c r="K413" s="10" t="s">
        <v>18379</v>
      </c>
      <c r="L413" s="10" t="s">
        <v>42</v>
      </c>
    </row>
    <row r="414" ht="15.75" customHeight="1">
      <c r="A414" s="64">
        <v>45462.0</v>
      </c>
      <c r="B414" s="55" t="str">
        <f>HYPERLINK("https://jobright.ai/jobs/info/6675622f42bae55a95828a54?utm_campaign=1054&amp;utm_source=sheet", "Apply")</f>
        <v>Apply</v>
      </c>
      <c r="C414" s="10" t="s">
        <v>18380</v>
      </c>
      <c r="D414" s="56" t="s">
        <v>1650</v>
      </c>
      <c r="E414" s="10" t="s">
        <v>209</v>
      </c>
      <c r="F414" s="10" t="s">
        <v>1243</v>
      </c>
      <c r="G414" s="10" t="s">
        <v>17429</v>
      </c>
      <c r="H414" s="10" t="s">
        <v>578</v>
      </c>
      <c r="I414" s="10" t="s">
        <v>55</v>
      </c>
      <c r="K414" s="10" t="s">
        <v>18381</v>
      </c>
      <c r="L414" s="10" t="s">
        <v>42</v>
      </c>
    </row>
    <row r="415" ht="15.75" customHeight="1">
      <c r="A415" s="64">
        <v>45462.0</v>
      </c>
      <c r="B415" s="55" t="str">
        <f>HYPERLINK("https://jobright.ai/jobs/info/6672e741d742a3597e9ab1eb?utm_campaign=1054&amp;utm_source=sheet", "Apply")</f>
        <v>Apply</v>
      </c>
      <c r="C415" s="10" t="s">
        <v>18382</v>
      </c>
      <c r="D415" s="56" t="s">
        <v>18383</v>
      </c>
      <c r="E415" s="10" t="s">
        <v>71</v>
      </c>
      <c r="F415" s="10" t="s">
        <v>10337</v>
      </c>
      <c r="G415" s="10" t="s">
        <v>17432</v>
      </c>
      <c r="H415" s="10" t="s">
        <v>10654</v>
      </c>
      <c r="I415" s="10" t="s">
        <v>55</v>
      </c>
      <c r="K415" s="10" t="s">
        <v>18384</v>
      </c>
      <c r="L415" s="10" t="s">
        <v>42</v>
      </c>
    </row>
    <row r="416" ht="15.75" customHeight="1">
      <c r="A416" s="64">
        <v>45461.0</v>
      </c>
      <c r="B416" s="55" t="str">
        <f>HYPERLINK("https://jobright.ai/jobs/info/6677b247d57a2b58a480c794?utm_campaign=1054&amp;utm_source=sheet", "Apply")</f>
        <v>Apply</v>
      </c>
      <c r="C416" s="10" t="s">
        <v>18385</v>
      </c>
      <c r="D416" s="56" t="s">
        <v>17912</v>
      </c>
      <c r="E416" s="10" t="s">
        <v>45</v>
      </c>
      <c r="F416" s="10" t="s">
        <v>14155</v>
      </c>
      <c r="G416" s="10" t="s">
        <v>17429</v>
      </c>
      <c r="H416" s="10" t="s">
        <v>152</v>
      </c>
      <c r="I416" s="10" t="s">
        <v>55</v>
      </c>
      <c r="L416" s="10" t="s">
        <v>42</v>
      </c>
    </row>
    <row r="417" ht="15.75" customHeight="1">
      <c r="A417" s="64">
        <v>45461.0</v>
      </c>
      <c r="B417" s="55" t="str">
        <f>HYPERLINK("https://jobright.ai/jobs/info/6675c8d53b408d33d5602dba?utm_campaign=1054&amp;utm_source=sheet", "Apply")</f>
        <v>Apply</v>
      </c>
      <c r="C417" s="10" t="s">
        <v>18386</v>
      </c>
      <c r="D417" s="56" t="s">
        <v>1650</v>
      </c>
      <c r="E417" s="10" t="s">
        <v>209</v>
      </c>
      <c r="F417" s="10" t="s">
        <v>1243</v>
      </c>
      <c r="G417" s="10" t="s">
        <v>17429</v>
      </c>
      <c r="H417" s="10" t="s">
        <v>8687</v>
      </c>
      <c r="I417" s="10" t="s">
        <v>55</v>
      </c>
      <c r="K417" s="10" t="s">
        <v>18387</v>
      </c>
      <c r="L417" s="10" t="s">
        <v>42</v>
      </c>
    </row>
    <row r="418" ht="15.75" customHeight="1">
      <c r="A418" s="64">
        <v>45461.0</v>
      </c>
      <c r="B418" s="55" t="str">
        <f>HYPERLINK("https://jobright.ai/jobs/info/666be912cb38dc6ee3e0f317?utm_campaign=1054&amp;utm_source=sheet", "Apply")</f>
        <v>Apply</v>
      </c>
      <c r="C418" s="10" t="s">
        <v>18388</v>
      </c>
      <c r="D418" s="56" t="s">
        <v>18340</v>
      </c>
      <c r="E418" s="10" t="s">
        <v>45</v>
      </c>
      <c r="F418" s="10" t="s">
        <v>1695</v>
      </c>
      <c r="G418" s="10" t="s">
        <v>17432</v>
      </c>
      <c r="H418" s="10" t="s">
        <v>18341</v>
      </c>
      <c r="I418" s="10" t="s">
        <v>55</v>
      </c>
      <c r="K418" s="10" t="s">
        <v>18342</v>
      </c>
      <c r="L418" s="10" t="s">
        <v>42</v>
      </c>
    </row>
    <row r="419" ht="15.75" customHeight="1">
      <c r="A419" s="64">
        <v>45461.0</v>
      </c>
      <c r="B419" s="55" t="str">
        <f>HYPERLINK("https://jobright.ai/jobs/info/667434953e9ad103ffe274cb?utm_campaign=1054&amp;utm_source=sheet", "Apply")</f>
        <v>Apply</v>
      </c>
      <c r="C419" s="10" t="s">
        <v>18389</v>
      </c>
      <c r="D419" s="56" t="s">
        <v>18390</v>
      </c>
      <c r="E419" s="10" t="s">
        <v>79</v>
      </c>
      <c r="F419" s="10" t="s">
        <v>665</v>
      </c>
      <c r="G419" s="10" t="s">
        <v>17432</v>
      </c>
      <c r="H419" s="10" t="s">
        <v>2438</v>
      </c>
      <c r="I419" s="10" t="s">
        <v>55</v>
      </c>
      <c r="K419" s="10" t="s">
        <v>18391</v>
      </c>
      <c r="L419" s="10" t="s">
        <v>42</v>
      </c>
    </row>
    <row r="420" ht="15.75" customHeight="1">
      <c r="A420" s="64">
        <v>45461.0</v>
      </c>
      <c r="B420" s="55" t="str">
        <f>HYPERLINK("https://jobright.ai/jobs/info/66740a33d454c29f16cf79a3?utm_campaign=1054&amp;utm_source=sheet", "Apply")</f>
        <v>Apply</v>
      </c>
      <c r="C420" s="10" t="s">
        <v>18392</v>
      </c>
      <c r="D420" s="56" t="s">
        <v>4058</v>
      </c>
      <c r="E420" s="10" t="s">
        <v>209</v>
      </c>
      <c r="F420" s="10" t="s">
        <v>358</v>
      </c>
      <c r="G420" s="10" t="s">
        <v>17429</v>
      </c>
      <c r="H420" s="10" t="s">
        <v>4059</v>
      </c>
      <c r="I420" s="10" t="s">
        <v>55</v>
      </c>
      <c r="J420" s="10" t="s">
        <v>4060</v>
      </c>
      <c r="K420" s="10" t="s">
        <v>18393</v>
      </c>
      <c r="L420" s="10" t="s">
        <v>42</v>
      </c>
    </row>
    <row r="421" ht="15.75" customHeight="1">
      <c r="A421" s="64">
        <v>45461.0</v>
      </c>
      <c r="B421" s="55" t="str">
        <f>HYPERLINK("https://jobright.ai/jobs/info/6670ce0bbaee24832311b9ef?utm_campaign=1054&amp;utm_source=sheet", "Apply")</f>
        <v>Apply</v>
      </c>
      <c r="C421" s="10" t="s">
        <v>18394</v>
      </c>
      <c r="D421" s="56" t="s">
        <v>18395</v>
      </c>
      <c r="E421" s="10" t="s">
        <v>79</v>
      </c>
      <c r="F421" s="10" t="s">
        <v>18396</v>
      </c>
      <c r="G421" s="10" t="s">
        <v>17429</v>
      </c>
      <c r="H421" s="10" t="s">
        <v>14978</v>
      </c>
      <c r="I421" s="10" t="s">
        <v>55</v>
      </c>
      <c r="K421" s="10" t="s">
        <v>18397</v>
      </c>
      <c r="L421" s="10" t="s">
        <v>42</v>
      </c>
    </row>
    <row r="422" ht="15.75" customHeight="1">
      <c r="A422" s="64">
        <v>45461.0</v>
      </c>
      <c r="B422" s="55" t="str">
        <f>HYPERLINK("https://jobright.ai/jobs/info/66727d3d8ce3decedf2536a0?utm_campaign=1054&amp;utm_source=sheet", "Apply")</f>
        <v>Apply</v>
      </c>
      <c r="C422" s="10" t="s">
        <v>17434</v>
      </c>
      <c r="D422" s="56" t="s">
        <v>18398</v>
      </c>
      <c r="E422" s="10" t="s">
        <v>249</v>
      </c>
      <c r="F422" s="10" t="s">
        <v>13546</v>
      </c>
      <c r="G422" s="10" t="s">
        <v>17429</v>
      </c>
      <c r="H422" s="10" t="s">
        <v>12396</v>
      </c>
      <c r="I422" s="10" t="s">
        <v>55</v>
      </c>
      <c r="K422" s="10" t="s">
        <v>18399</v>
      </c>
      <c r="L422" s="10" t="s">
        <v>42</v>
      </c>
    </row>
    <row r="423" ht="15.75" customHeight="1">
      <c r="A423" s="64">
        <v>45460.0</v>
      </c>
      <c r="B423" s="55" t="str">
        <f>HYPERLINK("https://jobright.ai/jobs/info/66716e5819e1b94c19ca912c?utm_campaign=1054&amp;utm_source=sheet", "Apply")</f>
        <v>Apply</v>
      </c>
      <c r="C423" s="10" t="s">
        <v>18394</v>
      </c>
      <c r="D423" s="56" t="s">
        <v>18395</v>
      </c>
      <c r="E423" s="10" t="s">
        <v>79</v>
      </c>
      <c r="F423" s="10" t="s">
        <v>18396</v>
      </c>
      <c r="G423" s="10" t="s">
        <v>17429</v>
      </c>
      <c r="H423" s="10" t="s">
        <v>14978</v>
      </c>
      <c r="I423" s="10" t="s">
        <v>55</v>
      </c>
      <c r="K423" s="10" t="s">
        <v>18397</v>
      </c>
      <c r="L423" s="10" t="s">
        <v>42</v>
      </c>
    </row>
    <row r="424" ht="15.75" customHeight="1">
      <c r="A424" s="64">
        <v>45458.0</v>
      </c>
      <c r="B424" s="55" t="str">
        <f>HYPERLINK("https://jobright.ai/jobs/info/6677be4527c0e726e8f4fb47?utm_campaign=1054&amp;utm_source=sheet", "Apply")</f>
        <v>Apply</v>
      </c>
      <c r="C424" s="10" t="s">
        <v>18400</v>
      </c>
      <c r="D424" s="56" t="s">
        <v>18401</v>
      </c>
      <c r="E424" s="10" t="s">
        <v>45</v>
      </c>
      <c r="G424" s="10" t="s">
        <v>17429</v>
      </c>
      <c r="H424" s="10" t="s">
        <v>18402</v>
      </c>
      <c r="I424" s="10" t="s">
        <v>55</v>
      </c>
      <c r="K424" s="10" t="s">
        <v>18403</v>
      </c>
      <c r="L424" s="10" t="s">
        <v>42</v>
      </c>
    </row>
    <row r="425" ht="15.75" customHeight="1">
      <c r="A425" s="64">
        <v>45458.0</v>
      </c>
      <c r="B425" s="55" t="str">
        <f>HYPERLINK("https://jobright.ai/jobs/info/66756b91e2a826d24a0e0266?utm_campaign=1054&amp;utm_source=sheet", "Apply")</f>
        <v>Apply</v>
      </c>
      <c r="C425" s="10" t="s">
        <v>18404</v>
      </c>
      <c r="D425" s="56" t="s">
        <v>1650</v>
      </c>
      <c r="E425" s="10" t="s">
        <v>209</v>
      </c>
      <c r="F425" s="10" t="s">
        <v>1243</v>
      </c>
      <c r="G425" s="10" t="s">
        <v>17432</v>
      </c>
      <c r="H425" s="10" t="s">
        <v>8687</v>
      </c>
      <c r="I425" s="10" t="s">
        <v>55</v>
      </c>
      <c r="K425" s="10" t="s">
        <v>18387</v>
      </c>
      <c r="L425" s="10" t="s">
        <v>42</v>
      </c>
    </row>
    <row r="426" ht="15.75" customHeight="1">
      <c r="A426" s="64">
        <v>45457.0</v>
      </c>
      <c r="B426" s="55" t="str">
        <f>HYPERLINK("https://jobright.ai/jobs/info/666cbfb3728678d342997e18?utm_campaign=1054&amp;utm_source=sheet", "Apply")</f>
        <v>Apply</v>
      </c>
      <c r="C426" s="10" t="s">
        <v>18405</v>
      </c>
      <c r="D426" s="56" t="s">
        <v>2174</v>
      </c>
      <c r="E426" s="10">
        <v>294.0</v>
      </c>
      <c r="G426" s="10" t="s">
        <v>17470</v>
      </c>
      <c r="H426" s="10" t="s">
        <v>96</v>
      </c>
      <c r="I426" s="10" t="s">
        <v>55</v>
      </c>
      <c r="J426" s="10" t="s">
        <v>1608</v>
      </c>
      <c r="K426" s="10" t="s">
        <v>18406</v>
      </c>
      <c r="L426" s="10" t="s">
        <v>42</v>
      </c>
    </row>
    <row r="427" ht="15.75" customHeight="1">
      <c r="A427" s="64">
        <v>45457.0</v>
      </c>
      <c r="B427" s="55" t="str">
        <f>HYPERLINK("https://jobright.ai/jobs/info/666c8770f630f8a398e00f3a?utm_campaign=1054&amp;utm_source=sheet", "Apply")</f>
        <v>Apply</v>
      </c>
      <c r="C427" s="10" t="s">
        <v>18407</v>
      </c>
      <c r="D427" s="56" t="s">
        <v>18408</v>
      </c>
      <c r="E427" s="10" t="s">
        <v>65</v>
      </c>
      <c r="F427" s="10" t="s">
        <v>18409</v>
      </c>
      <c r="G427" s="10" t="s">
        <v>17429</v>
      </c>
      <c r="H427" s="10" t="s">
        <v>572</v>
      </c>
      <c r="I427" s="10" t="s">
        <v>55</v>
      </c>
      <c r="K427" s="10" t="s">
        <v>18410</v>
      </c>
      <c r="L427" s="10" t="s">
        <v>42</v>
      </c>
    </row>
    <row r="428" ht="15.75" customHeight="1">
      <c r="A428" s="64">
        <v>45457.0</v>
      </c>
      <c r="B428" s="55" t="str">
        <f>HYPERLINK("https://jobright.ai/jobs/info/667577fb73c7976a8f14c2fa?utm_campaign=1054&amp;utm_source=sheet", "Apply")</f>
        <v>Apply</v>
      </c>
      <c r="C428" s="10" t="s">
        <v>18411</v>
      </c>
      <c r="D428" s="56" t="s">
        <v>1650</v>
      </c>
      <c r="E428" s="10" t="s">
        <v>209</v>
      </c>
      <c r="F428" s="10" t="s">
        <v>1243</v>
      </c>
      <c r="G428" s="10" t="s">
        <v>17470</v>
      </c>
      <c r="H428" s="10" t="s">
        <v>8687</v>
      </c>
      <c r="I428" s="10" t="s">
        <v>55</v>
      </c>
      <c r="K428" s="10" t="s">
        <v>18412</v>
      </c>
      <c r="L428" s="10" t="s">
        <v>42</v>
      </c>
    </row>
    <row r="429" ht="15.75" customHeight="1">
      <c r="A429" s="64">
        <v>45457.0</v>
      </c>
      <c r="B429" s="55" t="str">
        <f>HYPERLINK("https://jobright.ai/jobs/info/666d69a967295be058e1d136?utm_campaign=1054&amp;utm_source=sheet", "Apply")</f>
        <v>Apply</v>
      </c>
      <c r="C429" s="10" t="s">
        <v>18413</v>
      </c>
      <c r="D429" s="56" t="s">
        <v>8509</v>
      </c>
      <c r="E429" s="10" t="s">
        <v>45</v>
      </c>
      <c r="F429" s="10" t="s">
        <v>1459</v>
      </c>
      <c r="G429" s="10" t="s">
        <v>17429</v>
      </c>
      <c r="H429" s="10" t="s">
        <v>761</v>
      </c>
      <c r="I429" s="10" t="s">
        <v>55</v>
      </c>
      <c r="J429" s="10" t="s">
        <v>2742</v>
      </c>
      <c r="K429" s="10" t="s">
        <v>18414</v>
      </c>
      <c r="L429" s="10" t="s">
        <v>42</v>
      </c>
    </row>
    <row r="430" ht="15.75" customHeight="1">
      <c r="A430" s="64">
        <v>45457.0</v>
      </c>
      <c r="B430" s="55" t="str">
        <f>HYPERLINK("https://jobright.ai/jobs/info/666c93ed302a2fe99b51d4d7?utm_campaign=1054&amp;utm_source=sheet", "Apply")</f>
        <v>Apply</v>
      </c>
      <c r="C430" s="10" t="s">
        <v>18244</v>
      </c>
      <c r="D430" s="56" t="s">
        <v>18245</v>
      </c>
      <c r="E430" s="10" t="s">
        <v>276</v>
      </c>
      <c r="F430" s="10" t="s">
        <v>627</v>
      </c>
      <c r="G430" s="10" t="s">
        <v>17432</v>
      </c>
      <c r="H430" s="10" t="s">
        <v>251</v>
      </c>
      <c r="I430" s="10" t="s">
        <v>252</v>
      </c>
      <c r="K430" s="10" t="s">
        <v>18246</v>
      </c>
      <c r="L430" s="10" t="s">
        <v>42</v>
      </c>
    </row>
    <row r="431" ht="15.75" customHeight="1">
      <c r="A431" s="64">
        <v>45457.0</v>
      </c>
      <c r="B431" s="55" t="str">
        <f>HYPERLINK("https://jobright.ai/jobs/info/667065a186a952542ddb3d99?utm_campaign=1054&amp;utm_source=sheet", "Apply")</f>
        <v>Apply</v>
      </c>
      <c r="C431" s="10" t="s">
        <v>18415</v>
      </c>
      <c r="D431" s="56" t="s">
        <v>18416</v>
      </c>
      <c r="E431" s="10" t="s">
        <v>276</v>
      </c>
      <c r="F431" s="10" t="s">
        <v>534</v>
      </c>
      <c r="G431" s="10" t="s">
        <v>17432</v>
      </c>
      <c r="H431" s="10" t="s">
        <v>18417</v>
      </c>
      <c r="I431" s="10" t="s">
        <v>48</v>
      </c>
      <c r="K431" s="10" t="s">
        <v>18418</v>
      </c>
      <c r="L431" s="10" t="s">
        <v>42</v>
      </c>
    </row>
    <row r="432" ht="15.75" customHeight="1">
      <c r="A432" s="64">
        <v>45456.0</v>
      </c>
      <c r="B432" s="55" t="str">
        <f>HYPERLINK("https://jobright.ai/jobs/info/666c6eb297278d018c8f065c?utm_campaign=1054&amp;utm_source=sheet", "Apply")</f>
        <v>Apply</v>
      </c>
      <c r="C432" s="10" t="s">
        <v>18254</v>
      </c>
      <c r="D432" s="56" t="s">
        <v>7387</v>
      </c>
      <c r="E432" s="10" t="s">
        <v>65</v>
      </c>
      <c r="F432" s="10" t="s">
        <v>7388</v>
      </c>
      <c r="G432" s="10" t="s">
        <v>17429</v>
      </c>
      <c r="H432" s="10" t="s">
        <v>18419</v>
      </c>
      <c r="I432" s="10" t="s">
        <v>55</v>
      </c>
      <c r="K432" s="10" t="s">
        <v>7396</v>
      </c>
      <c r="L432" s="10" t="s">
        <v>42</v>
      </c>
    </row>
    <row r="433" ht="15.75" customHeight="1">
      <c r="A433" s="64">
        <v>45456.0</v>
      </c>
      <c r="B433" s="55" t="str">
        <f>HYPERLINK("https://jobright.ai/jobs/info/666c6eb297278d018c8f0670?utm_campaign=1054&amp;utm_source=sheet", "Apply")</f>
        <v>Apply</v>
      </c>
      <c r="C433" s="10" t="s">
        <v>18257</v>
      </c>
      <c r="D433" s="56" t="s">
        <v>7387</v>
      </c>
      <c r="E433" s="10" t="s">
        <v>65</v>
      </c>
      <c r="F433" s="10" t="s">
        <v>7388</v>
      </c>
      <c r="G433" s="10" t="s">
        <v>17432</v>
      </c>
      <c r="H433" s="10" t="s">
        <v>18419</v>
      </c>
      <c r="I433" s="10" t="s">
        <v>55</v>
      </c>
      <c r="K433" s="10" t="s">
        <v>7396</v>
      </c>
      <c r="L433" s="10" t="s">
        <v>42</v>
      </c>
    </row>
    <row r="434" ht="15.75" customHeight="1">
      <c r="A434" s="64">
        <v>45456.0</v>
      </c>
      <c r="B434" s="55" t="str">
        <f>HYPERLINK("https://jobright.ai/jobs/info/66727e738ce3decedf2542ca?utm_campaign=1054&amp;utm_source=sheet", "Apply")</f>
        <v>Apply</v>
      </c>
      <c r="C434" s="10" t="s">
        <v>17434</v>
      </c>
      <c r="D434" s="56" t="s">
        <v>18398</v>
      </c>
      <c r="E434" s="10" t="s">
        <v>249</v>
      </c>
      <c r="F434" s="10" t="s">
        <v>13546</v>
      </c>
      <c r="G434" s="10" t="s">
        <v>17429</v>
      </c>
      <c r="H434" s="10" t="s">
        <v>12396</v>
      </c>
      <c r="I434" s="10" t="s">
        <v>55</v>
      </c>
      <c r="J434" s="10" t="s">
        <v>1409</v>
      </c>
      <c r="K434" s="10" t="s">
        <v>18399</v>
      </c>
      <c r="L434" s="10" t="s">
        <v>42</v>
      </c>
    </row>
    <row r="435" ht="15.75" customHeight="1">
      <c r="A435" s="64">
        <v>45455.0</v>
      </c>
      <c r="B435" s="55" t="str">
        <f>HYPERLINK("https://jobright.ai/jobs/info/66690b57d012eff80f843fb6?utm_campaign=1054&amp;utm_source=sheet", "Apply")</f>
        <v>Apply</v>
      </c>
      <c r="C435" s="10" t="s">
        <v>18420</v>
      </c>
      <c r="D435" s="56" t="s">
        <v>17515</v>
      </c>
      <c r="E435" s="10" t="s">
        <v>249</v>
      </c>
      <c r="F435" s="10" t="s">
        <v>17516</v>
      </c>
      <c r="G435" s="10" t="s">
        <v>17470</v>
      </c>
      <c r="H435" s="10" t="s">
        <v>3373</v>
      </c>
      <c r="I435" s="10" t="s">
        <v>55</v>
      </c>
      <c r="K435" s="10" t="s">
        <v>18421</v>
      </c>
      <c r="L435" s="10" t="s">
        <v>42</v>
      </c>
    </row>
    <row r="436" ht="15.75" customHeight="1">
      <c r="A436" s="64">
        <v>45454.0</v>
      </c>
      <c r="B436" s="55" t="str">
        <f>HYPERLINK("https://jobright.ai/jobs/info/665a52d3e44829f8e4d2716f?utm_campaign=1054&amp;utm_source=sheet", "Apply")</f>
        <v>Apply</v>
      </c>
      <c r="C436" s="10" t="s">
        <v>18422</v>
      </c>
      <c r="D436" s="56" t="s">
        <v>18423</v>
      </c>
      <c r="E436" s="10" t="s">
        <v>65</v>
      </c>
      <c r="F436" s="10" t="s">
        <v>1587</v>
      </c>
      <c r="G436" s="10" t="s">
        <v>17429</v>
      </c>
      <c r="H436" s="10" t="s">
        <v>96</v>
      </c>
      <c r="I436" s="10" t="s">
        <v>55</v>
      </c>
      <c r="K436" s="10" t="s">
        <v>18424</v>
      </c>
      <c r="L436" s="10" t="s">
        <v>42</v>
      </c>
    </row>
    <row r="437" ht="15.75" customHeight="1">
      <c r="A437" s="64">
        <v>45454.0</v>
      </c>
      <c r="B437" s="55" t="str">
        <f>HYPERLINK("https://jobright.ai/jobs/info/6668a67ade85a4f4a376ef71?utm_campaign=1054&amp;utm_source=sheet", "Apply")</f>
        <v>Apply</v>
      </c>
      <c r="C437" s="10" t="s">
        <v>18425</v>
      </c>
      <c r="D437" s="56" t="s">
        <v>12288</v>
      </c>
      <c r="E437" s="10" t="s">
        <v>209</v>
      </c>
      <c r="F437" s="10" t="s">
        <v>2617</v>
      </c>
      <c r="G437" s="10" t="s">
        <v>17429</v>
      </c>
      <c r="H437" s="10" t="s">
        <v>6620</v>
      </c>
      <c r="I437" s="10" t="s">
        <v>55</v>
      </c>
      <c r="K437" s="10" t="s">
        <v>11352</v>
      </c>
      <c r="L437" s="10" t="s">
        <v>42</v>
      </c>
    </row>
    <row r="438" ht="15.75" customHeight="1">
      <c r="A438" s="64">
        <v>45454.0</v>
      </c>
      <c r="B438" s="55" t="str">
        <f>HYPERLINK("https://jobright.ai/jobs/info/66688df47f6ba556721b65cb?utm_campaign=1054&amp;utm_source=sheet", "Apply")</f>
        <v>Apply</v>
      </c>
      <c r="C438" s="10" t="s">
        <v>17434</v>
      </c>
      <c r="D438" s="56" t="s">
        <v>12248</v>
      </c>
      <c r="E438" s="10" t="s">
        <v>276</v>
      </c>
      <c r="F438" s="10" t="s">
        <v>12249</v>
      </c>
      <c r="G438" s="10" t="s">
        <v>17429</v>
      </c>
      <c r="H438" s="10" t="s">
        <v>4868</v>
      </c>
      <c r="I438" s="10" t="s">
        <v>55</v>
      </c>
      <c r="J438" s="10" t="s">
        <v>3125</v>
      </c>
      <c r="K438" s="10" t="s">
        <v>18426</v>
      </c>
      <c r="L438" s="10" t="s">
        <v>42</v>
      </c>
    </row>
    <row r="439" ht="15.75" customHeight="1">
      <c r="A439" s="64">
        <v>45454.0</v>
      </c>
      <c r="B439" s="55" t="str">
        <f>HYPERLINK("https://jobright.ai/jobs/info/66688e387f6ba556721b6687?utm_campaign=1054&amp;utm_source=sheet", "Apply")</f>
        <v>Apply</v>
      </c>
      <c r="C439" s="10" t="s">
        <v>18427</v>
      </c>
      <c r="D439" s="56" t="s">
        <v>18428</v>
      </c>
      <c r="E439" s="10" t="s">
        <v>71</v>
      </c>
      <c r="F439" s="10" t="s">
        <v>18429</v>
      </c>
      <c r="G439" s="10" t="s">
        <v>17429</v>
      </c>
      <c r="H439" s="10" t="s">
        <v>18430</v>
      </c>
      <c r="I439" s="10" t="s">
        <v>48</v>
      </c>
      <c r="K439" s="10" t="s">
        <v>18431</v>
      </c>
      <c r="L439" s="10" t="s">
        <v>42</v>
      </c>
    </row>
    <row r="440" ht="15.75" customHeight="1">
      <c r="A440" s="64">
        <v>45454.0</v>
      </c>
      <c r="B440" s="55" t="str">
        <f>HYPERLINK("https://jobright.ai/jobs/info/66728ebe59024765d363c398?utm_campaign=1054&amp;utm_source=sheet", "Apply")</f>
        <v>Apply</v>
      </c>
      <c r="D440" s="56" t="s">
        <v>18432</v>
      </c>
      <c r="E440" s="10" t="s">
        <v>249</v>
      </c>
      <c r="F440" s="10" t="s">
        <v>13237</v>
      </c>
      <c r="G440" s="10" t="s">
        <v>17432</v>
      </c>
      <c r="H440" s="10" t="s">
        <v>4157</v>
      </c>
      <c r="I440" s="10" t="s">
        <v>55</v>
      </c>
      <c r="J440" s="10" t="s">
        <v>18433</v>
      </c>
      <c r="K440" s="10" t="s">
        <v>18434</v>
      </c>
      <c r="L440" s="10" t="s">
        <v>42</v>
      </c>
    </row>
    <row r="441" ht="15.75" customHeight="1">
      <c r="A441" s="64">
        <v>45453.0</v>
      </c>
      <c r="B441" s="55" t="str">
        <f>HYPERLINK("https://jobright.ai/jobs/info/6666576099488ebd1f6e207d?utm_campaign=1054&amp;utm_source=sheet", "Apply")</f>
        <v>Apply</v>
      </c>
      <c r="C441" s="10" t="s">
        <v>18435</v>
      </c>
      <c r="D441" s="56" t="s">
        <v>9821</v>
      </c>
      <c r="E441" s="10" t="s">
        <v>45</v>
      </c>
      <c r="F441" s="10" t="s">
        <v>3594</v>
      </c>
      <c r="G441" s="10" t="s">
        <v>17432</v>
      </c>
      <c r="H441" s="10" t="s">
        <v>11404</v>
      </c>
      <c r="I441" s="10" t="s">
        <v>55</v>
      </c>
      <c r="J441" s="10" t="s">
        <v>1960</v>
      </c>
      <c r="K441" s="10" t="s">
        <v>18436</v>
      </c>
      <c r="L441" s="10" t="s">
        <v>42</v>
      </c>
    </row>
    <row r="442" ht="15.75" customHeight="1">
      <c r="A442" s="64">
        <v>45451.0</v>
      </c>
      <c r="B442" s="55" t="str">
        <f>HYPERLINK("https://jobright.ai/jobs/info/6677cd4974ec1a95a89af0b9?utm_campaign=1054&amp;utm_source=sheet", "Apply")</f>
        <v>Apply</v>
      </c>
      <c r="C442" s="10" t="s">
        <v>17933</v>
      </c>
      <c r="D442" s="56" t="s">
        <v>18437</v>
      </c>
      <c r="E442" s="10" t="s">
        <v>45</v>
      </c>
      <c r="F442" s="10" t="s">
        <v>6560</v>
      </c>
      <c r="G442" s="10" t="s">
        <v>17429</v>
      </c>
      <c r="H442" s="10" t="s">
        <v>18438</v>
      </c>
      <c r="I442" s="10" t="s">
        <v>48</v>
      </c>
      <c r="J442" s="10" t="s">
        <v>2450</v>
      </c>
      <c r="K442" s="10" t="s">
        <v>18439</v>
      </c>
      <c r="L442" s="10" t="s">
        <v>42</v>
      </c>
    </row>
    <row r="443" ht="15.75" customHeight="1">
      <c r="A443" s="64">
        <v>45451.0</v>
      </c>
      <c r="B443" s="55" t="str">
        <f>HYPERLINK("https://jobright.ai/jobs/info/6677d1bf97271e26801e220a?utm_campaign=1054&amp;utm_source=sheet", "Apply")</f>
        <v>Apply</v>
      </c>
      <c r="C443" s="10" t="s">
        <v>18440</v>
      </c>
      <c r="D443" s="56" t="s">
        <v>18441</v>
      </c>
      <c r="E443" s="10">
        <v>24.0</v>
      </c>
      <c r="G443" s="10" t="s">
        <v>17432</v>
      </c>
      <c r="H443" s="10" t="s">
        <v>788</v>
      </c>
      <c r="I443" s="10" t="s">
        <v>55</v>
      </c>
      <c r="K443" s="10" t="s">
        <v>18442</v>
      </c>
      <c r="L443" s="10" t="s">
        <v>42</v>
      </c>
    </row>
    <row r="444" ht="15.75" customHeight="1">
      <c r="A444" s="64">
        <v>45451.0</v>
      </c>
      <c r="B444" s="55" t="str">
        <f>HYPERLINK("https://jobright.ai/jobs/info/6677d1fd97271e26801e25a9?utm_campaign=1054&amp;utm_source=sheet", "Apply")</f>
        <v>Apply</v>
      </c>
      <c r="C444" s="10" t="s">
        <v>18443</v>
      </c>
      <c r="D444" s="56" t="s">
        <v>4761</v>
      </c>
      <c r="E444" s="10" t="s">
        <v>45</v>
      </c>
      <c r="F444" s="10" t="s">
        <v>1506</v>
      </c>
      <c r="G444" s="10" t="s">
        <v>17432</v>
      </c>
      <c r="H444" s="10" t="s">
        <v>795</v>
      </c>
      <c r="I444" s="10" t="s">
        <v>55</v>
      </c>
      <c r="J444" s="10" t="s">
        <v>18444</v>
      </c>
      <c r="K444" s="10" t="s">
        <v>18445</v>
      </c>
      <c r="L444" s="10" t="s">
        <v>42</v>
      </c>
    </row>
    <row r="445" ht="15.75" customHeight="1">
      <c r="A445" s="64">
        <v>45451.0</v>
      </c>
      <c r="B445" s="55" t="str">
        <f>HYPERLINK("https://jobright.ai/jobs/info/6677d6f05793f82273cb3494?utm_campaign=1054&amp;utm_source=sheet", "Apply")</f>
        <v>Apply</v>
      </c>
      <c r="C445" s="10" t="s">
        <v>17457</v>
      </c>
      <c r="D445" s="56" t="s">
        <v>18446</v>
      </c>
      <c r="E445" s="10" t="s">
        <v>71</v>
      </c>
      <c r="F445" s="10" t="s">
        <v>529</v>
      </c>
      <c r="G445" s="10" t="s">
        <v>17432</v>
      </c>
      <c r="H445" s="10" t="s">
        <v>3239</v>
      </c>
      <c r="I445" s="10" t="s">
        <v>55</v>
      </c>
      <c r="J445" s="10" t="s">
        <v>1984</v>
      </c>
      <c r="K445" s="10" t="s">
        <v>18447</v>
      </c>
      <c r="L445" s="10" t="s">
        <v>42</v>
      </c>
    </row>
    <row r="446" ht="15.75" customHeight="1">
      <c r="A446" s="64">
        <v>45450.0</v>
      </c>
      <c r="B446" s="55" t="str">
        <f>HYPERLINK("https://jobright.ai/jobs/info/66639c9f7d4b1cb291288c40?utm_campaign=1054&amp;utm_source=sheet", "Apply")</f>
        <v>Apply</v>
      </c>
      <c r="C446" s="10" t="s">
        <v>17457</v>
      </c>
      <c r="D446" s="56" t="s">
        <v>18448</v>
      </c>
      <c r="E446" s="10" t="s">
        <v>276</v>
      </c>
      <c r="F446" s="10" t="s">
        <v>5470</v>
      </c>
      <c r="G446" s="10" t="s">
        <v>17432</v>
      </c>
      <c r="H446" s="10" t="s">
        <v>3239</v>
      </c>
      <c r="I446" s="10" t="s">
        <v>55</v>
      </c>
      <c r="J446" s="10" t="s">
        <v>1984</v>
      </c>
      <c r="K446" s="10" t="s">
        <v>18449</v>
      </c>
      <c r="L446" s="10" t="s">
        <v>42</v>
      </c>
    </row>
    <row r="447" ht="15.75" customHeight="1">
      <c r="A447" s="64">
        <v>45450.0</v>
      </c>
      <c r="B447" s="55" t="str">
        <f>HYPERLINK("https://jobright.ai/jobs/info/66590329d9f10b0b654ff874?utm_campaign=1054&amp;utm_source=sheet", "Apply")</f>
        <v>Apply</v>
      </c>
      <c r="C447" s="10" t="s">
        <v>17599</v>
      </c>
      <c r="D447" s="56" t="s">
        <v>3669</v>
      </c>
      <c r="E447" s="10" t="s">
        <v>65</v>
      </c>
      <c r="F447" s="10" t="s">
        <v>3670</v>
      </c>
      <c r="G447" s="10" t="s">
        <v>17470</v>
      </c>
      <c r="H447" s="10" t="s">
        <v>898</v>
      </c>
      <c r="I447" s="10" t="s">
        <v>55</v>
      </c>
      <c r="J447" s="10" t="s">
        <v>3671</v>
      </c>
      <c r="K447" s="10" t="s">
        <v>17600</v>
      </c>
      <c r="L447" s="10" t="s">
        <v>42</v>
      </c>
    </row>
    <row r="448" ht="15.75" customHeight="1">
      <c r="A448" s="64">
        <v>45450.0</v>
      </c>
      <c r="B448" s="55" t="str">
        <f>HYPERLINK("https://jobright.ai/jobs/info/66632fbdb334b10a63619862?utm_campaign=1054&amp;utm_source=sheet", "Apply")</f>
        <v>Apply</v>
      </c>
      <c r="C448" s="10" t="s">
        <v>17457</v>
      </c>
      <c r="D448" s="56" t="s">
        <v>18450</v>
      </c>
      <c r="E448" s="10" t="s">
        <v>276</v>
      </c>
      <c r="F448" s="10" t="s">
        <v>1893</v>
      </c>
      <c r="G448" s="10" t="s">
        <v>17429</v>
      </c>
      <c r="H448" s="10" t="s">
        <v>18451</v>
      </c>
      <c r="I448" s="10" t="s">
        <v>55</v>
      </c>
      <c r="K448" s="10" t="s">
        <v>18452</v>
      </c>
      <c r="L448" s="10" t="s">
        <v>42</v>
      </c>
    </row>
    <row r="449" ht="15.75" customHeight="1">
      <c r="A449" s="64">
        <v>45450.0</v>
      </c>
      <c r="B449" s="55" t="str">
        <f>HYPERLINK("https://jobright.ai/jobs/info/6667d15b0e75e6484ca3fa31?utm_campaign=1054&amp;utm_source=sheet", "Apply")</f>
        <v>Apply</v>
      </c>
      <c r="C449" s="10" t="s">
        <v>18453</v>
      </c>
      <c r="D449" s="56" t="s">
        <v>8600</v>
      </c>
      <c r="E449" s="10">
        <v>20845.0</v>
      </c>
      <c r="G449" s="10" t="s">
        <v>17432</v>
      </c>
      <c r="H449" s="10" t="s">
        <v>8601</v>
      </c>
      <c r="I449" s="10" t="s">
        <v>55</v>
      </c>
      <c r="K449" s="10" t="s">
        <v>18454</v>
      </c>
      <c r="L449" s="10" t="s">
        <v>42</v>
      </c>
    </row>
    <row r="450" ht="15.75" customHeight="1">
      <c r="A450" s="64">
        <v>45450.0</v>
      </c>
      <c r="B450" s="55" t="str">
        <f>HYPERLINK("https://jobright.ai/jobs/info/66634073ac30d584ee1212f0?utm_campaign=1054&amp;utm_source=sheet", "Apply")</f>
        <v>Apply</v>
      </c>
      <c r="C450" s="10" t="s">
        <v>18337</v>
      </c>
      <c r="D450" s="56" t="s">
        <v>18455</v>
      </c>
      <c r="E450" s="10" t="s">
        <v>71</v>
      </c>
      <c r="F450" s="10" t="s">
        <v>3815</v>
      </c>
      <c r="G450" s="10" t="s">
        <v>17432</v>
      </c>
      <c r="H450" s="10" t="s">
        <v>572</v>
      </c>
      <c r="I450" s="10" t="s">
        <v>55</v>
      </c>
      <c r="J450" s="10" t="s">
        <v>1873</v>
      </c>
      <c r="K450" s="10" t="s">
        <v>18456</v>
      </c>
      <c r="L450" s="10" t="s">
        <v>42</v>
      </c>
    </row>
    <row r="451" ht="15.75" customHeight="1">
      <c r="A451" s="64">
        <v>45449.0</v>
      </c>
      <c r="B451" s="55" t="str">
        <f>HYPERLINK("https://jobright.ai/jobs/info/6606efdb1f66363bc261c5b3?utm_campaign=1054&amp;utm_source=sheet", "Apply")</f>
        <v>Apply</v>
      </c>
      <c r="C451" s="10" t="s">
        <v>1891</v>
      </c>
      <c r="D451" s="56" t="s">
        <v>1892</v>
      </c>
      <c r="E451" s="10" t="s">
        <v>45</v>
      </c>
      <c r="F451" s="10" t="s">
        <v>1893</v>
      </c>
      <c r="G451" s="10" t="s">
        <v>17432</v>
      </c>
      <c r="H451" s="10" t="s">
        <v>96</v>
      </c>
      <c r="I451" s="10" t="s">
        <v>55</v>
      </c>
      <c r="J451" s="10" t="s">
        <v>581</v>
      </c>
      <c r="K451" s="10" t="s">
        <v>18457</v>
      </c>
      <c r="L451" s="10" t="s">
        <v>42</v>
      </c>
    </row>
    <row r="452" ht="15.75" customHeight="1">
      <c r="A452" s="64">
        <v>45449.0</v>
      </c>
      <c r="B452" s="55" t="str">
        <f>HYPERLINK("https://jobright.ai/jobs/info/6661ff84243d757da70d800f?utm_campaign=1054&amp;utm_source=sheet", "Apply")</f>
        <v>Apply</v>
      </c>
      <c r="C452" s="10" t="s">
        <v>18458</v>
      </c>
      <c r="D452" s="56" t="s">
        <v>1662</v>
      </c>
      <c r="E452" s="10" t="s">
        <v>209</v>
      </c>
      <c r="F452" s="10" t="s">
        <v>1663</v>
      </c>
      <c r="G452" s="10" t="s">
        <v>17429</v>
      </c>
      <c r="H452" s="10" t="s">
        <v>167</v>
      </c>
      <c r="I452" s="10" t="s">
        <v>55</v>
      </c>
      <c r="J452" s="10" t="s">
        <v>2234</v>
      </c>
      <c r="K452" s="10" t="s">
        <v>18459</v>
      </c>
      <c r="L452" s="10" t="s">
        <v>42</v>
      </c>
    </row>
    <row r="453" ht="15.75" customHeight="1">
      <c r="A453" s="64">
        <v>45449.0</v>
      </c>
      <c r="B453" s="55" t="str">
        <f>HYPERLINK("https://jobright.ai/jobs/info/666212bc4c46f81f2b0b7f87?utm_campaign=1054&amp;utm_source=sheet", "Apply")</f>
        <v>Apply</v>
      </c>
      <c r="C453" s="10" t="s">
        <v>18460</v>
      </c>
      <c r="D453" s="56" t="s">
        <v>1662</v>
      </c>
      <c r="E453" s="10" t="s">
        <v>209</v>
      </c>
      <c r="F453" s="10" t="s">
        <v>1663</v>
      </c>
      <c r="G453" s="10" t="s">
        <v>17429</v>
      </c>
      <c r="H453" s="10" t="s">
        <v>167</v>
      </c>
      <c r="I453" s="10" t="s">
        <v>55</v>
      </c>
      <c r="J453" s="10" t="s">
        <v>2234</v>
      </c>
      <c r="K453" s="10" t="s">
        <v>18461</v>
      </c>
      <c r="L453" s="10" t="s">
        <v>42</v>
      </c>
    </row>
    <row r="454" ht="15.75" customHeight="1">
      <c r="A454" s="64">
        <v>45449.0</v>
      </c>
      <c r="B454" s="55" t="str">
        <f>HYPERLINK("https://jobright.ai/jobs/info/66744761fa2e16b323fa4b67?utm_campaign=1054&amp;utm_source=sheet", "Apply")</f>
        <v>Apply</v>
      </c>
      <c r="C454" s="10" t="s">
        <v>18337</v>
      </c>
      <c r="D454" s="56" t="s">
        <v>227</v>
      </c>
      <c r="E454" s="10" t="s">
        <v>137</v>
      </c>
      <c r="F454" s="10" t="s">
        <v>228</v>
      </c>
      <c r="G454" s="10" t="s">
        <v>17432</v>
      </c>
      <c r="H454" s="10" t="s">
        <v>229</v>
      </c>
      <c r="I454" s="10" t="s">
        <v>55</v>
      </c>
      <c r="K454" s="10" t="s">
        <v>18462</v>
      </c>
      <c r="L454" s="10" t="s">
        <v>42</v>
      </c>
    </row>
    <row r="455" ht="15.75" customHeight="1">
      <c r="A455" s="64">
        <v>45449.0</v>
      </c>
      <c r="B455" s="55" t="str">
        <f>HYPERLINK("https://jobright.ai/jobs/info/6667d4d00e75e6484ca402d2?utm_campaign=1054&amp;utm_source=sheet", "Apply")</f>
        <v>Apply</v>
      </c>
      <c r="C455" s="10" t="s">
        <v>18463</v>
      </c>
      <c r="D455" s="56" t="s">
        <v>2269</v>
      </c>
      <c r="E455" s="10" t="s">
        <v>45</v>
      </c>
      <c r="F455" s="10" t="s">
        <v>665</v>
      </c>
      <c r="G455" s="10" t="s">
        <v>17429</v>
      </c>
      <c r="H455" s="10" t="s">
        <v>18464</v>
      </c>
      <c r="I455" s="10" t="s">
        <v>55</v>
      </c>
      <c r="K455" s="10" t="s">
        <v>18465</v>
      </c>
      <c r="L455" s="10" t="s">
        <v>42</v>
      </c>
    </row>
    <row r="456" ht="15.75" customHeight="1">
      <c r="A456" s="64">
        <v>45449.0</v>
      </c>
      <c r="B456" s="55" t="str">
        <f>HYPERLINK("https://jobright.ai/jobs/info/6668bc5385b2e37272755ed0?utm_campaign=1054&amp;utm_source=sheet", "Apply")</f>
        <v>Apply</v>
      </c>
      <c r="C456" s="10" t="s">
        <v>17457</v>
      </c>
      <c r="D456" s="56" t="s">
        <v>9464</v>
      </c>
      <c r="E456" s="10">
        <v>90.0</v>
      </c>
      <c r="G456" s="10" t="s">
        <v>17429</v>
      </c>
      <c r="H456" s="10" t="s">
        <v>1228</v>
      </c>
      <c r="I456" s="10" t="s">
        <v>48</v>
      </c>
      <c r="J456" s="10" t="s">
        <v>1873</v>
      </c>
      <c r="K456" s="10" t="s">
        <v>18466</v>
      </c>
      <c r="L456" s="10" t="s">
        <v>42</v>
      </c>
    </row>
    <row r="457" ht="15.75" customHeight="1">
      <c r="A457" s="64">
        <v>45449.0</v>
      </c>
      <c r="B457" s="55" t="str">
        <f>HYPERLINK("https://jobright.ai/jobs/info/6667d5550e75e6484ca4049b?utm_campaign=1054&amp;utm_source=sheet", "Apply")</f>
        <v>Apply</v>
      </c>
      <c r="C457" s="10" t="s">
        <v>18467</v>
      </c>
      <c r="D457" s="56" t="s">
        <v>1470</v>
      </c>
      <c r="E457" s="10">
        <v>9416.0</v>
      </c>
      <c r="G457" s="10" t="s">
        <v>17429</v>
      </c>
      <c r="H457" s="10" t="s">
        <v>12614</v>
      </c>
      <c r="I457" s="10" t="s">
        <v>55</v>
      </c>
      <c r="J457" s="10" t="s">
        <v>11073</v>
      </c>
      <c r="K457" s="10" t="s">
        <v>18468</v>
      </c>
      <c r="L457" s="10" t="s">
        <v>42</v>
      </c>
    </row>
    <row r="458" ht="15.75" customHeight="1">
      <c r="A458" s="64">
        <v>45448.0</v>
      </c>
      <c r="B458" s="55" t="str">
        <f>HYPERLINK("https://jobright.ai/jobs/info/66680879d19f25c2c7cd0d7e?utm_campaign=1054&amp;utm_source=sheet", "Apply")</f>
        <v>Apply</v>
      </c>
      <c r="C458" s="10" t="s">
        <v>18469</v>
      </c>
      <c r="D458" s="56" t="s">
        <v>12864</v>
      </c>
      <c r="E458" s="10" t="s">
        <v>45</v>
      </c>
      <c r="F458" s="10" t="s">
        <v>8746</v>
      </c>
      <c r="G458" s="10" t="s">
        <v>17429</v>
      </c>
      <c r="H458" s="10" t="s">
        <v>18470</v>
      </c>
      <c r="I458" s="10" t="s">
        <v>55</v>
      </c>
      <c r="K458" s="10" t="s">
        <v>18471</v>
      </c>
      <c r="L458" s="10" t="s">
        <v>42</v>
      </c>
    </row>
    <row r="459" ht="15.75" customHeight="1">
      <c r="A459" s="64">
        <v>45448.0</v>
      </c>
      <c r="B459" s="55" t="str">
        <f>HYPERLINK("https://jobright.ai/jobs/info/66680a9ad19f25c2c7cd125f?utm_campaign=1054&amp;utm_source=sheet", "Apply")</f>
        <v>Apply</v>
      </c>
      <c r="C459" s="10" t="s">
        <v>18472</v>
      </c>
      <c r="D459" s="56" t="s">
        <v>1559</v>
      </c>
      <c r="E459" s="10" t="s">
        <v>45</v>
      </c>
      <c r="F459" s="10" t="s">
        <v>1485</v>
      </c>
      <c r="G459" s="10" t="s">
        <v>17432</v>
      </c>
      <c r="H459" s="10" t="s">
        <v>1560</v>
      </c>
      <c r="I459" s="10" t="s">
        <v>55</v>
      </c>
      <c r="K459" s="10" t="s">
        <v>18473</v>
      </c>
      <c r="L459" s="10" t="s">
        <v>42</v>
      </c>
    </row>
    <row r="460" ht="15.75" customHeight="1">
      <c r="A460" s="64">
        <v>45448.0</v>
      </c>
      <c r="B460" s="55" t="str">
        <f>HYPERLINK("https://jobright.ai/jobs/info/6668090dd19f25c2c7cd0f6a?utm_campaign=1054&amp;utm_source=sheet", "Apply")</f>
        <v>Apply</v>
      </c>
      <c r="C460" s="10" t="s">
        <v>18474</v>
      </c>
      <c r="D460" s="56" t="s">
        <v>18475</v>
      </c>
      <c r="E460" s="10" t="s">
        <v>276</v>
      </c>
      <c r="F460" s="10" t="s">
        <v>18476</v>
      </c>
      <c r="G460" s="10" t="s">
        <v>17429</v>
      </c>
      <c r="H460" s="10" t="s">
        <v>131</v>
      </c>
      <c r="I460" s="10" t="s">
        <v>55</v>
      </c>
      <c r="K460" s="10" t="s">
        <v>18477</v>
      </c>
      <c r="L460" s="10" t="s">
        <v>42</v>
      </c>
    </row>
    <row r="461" ht="15.75" customHeight="1">
      <c r="A461" s="64">
        <v>45447.0</v>
      </c>
      <c r="B461" s="55" t="str">
        <f>HYPERLINK("https://jobright.ai/jobs/info/66681e3d1c2d3f9f50323dd7?utm_campaign=1054&amp;utm_source=sheet", "Apply")</f>
        <v>Apply</v>
      </c>
      <c r="C461" s="10" t="s">
        <v>18478</v>
      </c>
      <c r="D461" s="56" t="s">
        <v>17210</v>
      </c>
      <c r="E461" s="10" t="s">
        <v>45</v>
      </c>
      <c r="F461" s="10" t="s">
        <v>2274</v>
      </c>
      <c r="G461" s="10" t="s">
        <v>17432</v>
      </c>
      <c r="H461" s="10" t="s">
        <v>9404</v>
      </c>
      <c r="I461" s="10" t="s">
        <v>55</v>
      </c>
      <c r="K461" s="10" t="s">
        <v>18479</v>
      </c>
      <c r="L461" s="10" t="s">
        <v>42</v>
      </c>
    </row>
    <row r="462" ht="15.75" customHeight="1">
      <c r="A462" s="64">
        <v>45447.0</v>
      </c>
      <c r="B462" s="55" t="str">
        <f>HYPERLINK("https://jobright.ai/jobs/info/66681100d19f25c2c7cd1c0e?utm_campaign=1054&amp;utm_source=sheet", "Apply")</f>
        <v>Apply</v>
      </c>
      <c r="C462" s="10" t="s">
        <v>18480</v>
      </c>
      <c r="D462" s="56" t="s">
        <v>15463</v>
      </c>
      <c r="E462" s="10" t="s">
        <v>45</v>
      </c>
      <c r="F462" s="10" t="s">
        <v>15464</v>
      </c>
      <c r="G462" s="10" t="s">
        <v>17432</v>
      </c>
      <c r="H462" s="10" t="s">
        <v>9053</v>
      </c>
      <c r="I462" s="10" t="s">
        <v>48</v>
      </c>
      <c r="K462" s="10" t="s">
        <v>18481</v>
      </c>
      <c r="L462" s="10" t="s">
        <v>42</v>
      </c>
    </row>
    <row r="463" ht="15.75" customHeight="1">
      <c r="A463" s="64">
        <v>45447.0</v>
      </c>
      <c r="B463" s="55" t="str">
        <f>HYPERLINK("https://jobright.ai/jobs/info/66681ec61c2d3f9f50323f71?utm_campaign=1054&amp;utm_source=sheet", "Apply")</f>
        <v>Apply</v>
      </c>
      <c r="C463" s="10" t="s">
        <v>18482</v>
      </c>
      <c r="D463" s="56" t="s">
        <v>15451</v>
      </c>
      <c r="E463" s="10" t="s">
        <v>45</v>
      </c>
      <c r="F463" s="10" t="s">
        <v>15452</v>
      </c>
      <c r="G463" s="10" t="s">
        <v>17432</v>
      </c>
      <c r="H463" s="10" t="s">
        <v>12374</v>
      </c>
      <c r="I463" s="10" t="s">
        <v>55</v>
      </c>
      <c r="K463" s="10" t="s">
        <v>18483</v>
      </c>
      <c r="L463" s="10" t="s">
        <v>42</v>
      </c>
    </row>
    <row r="464" ht="15.75" customHeight="1">
      <c r="A464" s="64">
        <v>45446.0</v>
      </c>
      <c r="B464" s="55" t="str">
        <f>HYPERLINK("https://jobright.ai/jobs/info/6683c52dcbbc153a3f9c7273?utm_campaign=1054&amp;utm_source=sheet", "Apply")</f>
        <v>Apply</v>
      </c>
      <c r="C464" s="10" t="s">
        <v>18484</v>
      </c>
      <c r="D464" s="56" t="s">
        <v>18485</v>
      </c>
      <c r="E464" s="10" t="s">
        <v>71</v>
      </c>
      <c r="F464" s="10" t="s">
        <v>85</v>
      </c>
      <c r="G464" s="10" t="s">
        <v>17432</v>
      </c>
      <c r="H464" s="10" t="s">
        <v>18486</v>
      </c>
      <c r="I464" s="10" t="s">
        <v>55</v>
      </c>
      <c r="L464" s="10" t="s">
        <v>42</v>
      </c>
    </row>
    <row r="465" ht="15.75" customHeight="1">
      <c r="A465" s="64">
        <v>45446.0</v>
      </c>
      <c r="B465" s="55" t="str">
        <f>HYPERLINK("https://jobright.ai/jobs/info/66682ed69d7e47024a78037c?utm_campaign=1054&amp;utm_source=sheet", "Apply")</f>
        <v>Apply</v>
      </c>
      <c r="C465" s="10" t="s">
        <v>18487</v>
      </c>
      <c r="D465" s="56" t="s">
        <v>15772</v>
      </c>
      <c r="E465" s="10" t="s">
        <v>209</v>
      </c>
      <c r="F465" s="10" t="s">
        <v>568</v>
      </c>
      <c r="G465" s="10" t="s">
        <v>17432</v>
      </c>
      <c r="H465" s="10" t="s">
        <v>1560</v>
      </c>
      <c r="I465" s="10" t="s">
        <v>55</v>
      </c>
      <c r="K465" s="10" t="s">
        <v>18488</v>
      </c>
      <c r="L465" s="10" t="s">
        <v>42</v>
      </c>
    </row>
    <row r="466" ht="15.75" customHeight="1">
      <c r="A466" s="64">
        <v>45444.0</v>
      </c>
      <c r="B466" s="55" t="str">
        <f>HYPERLINK("https://jobright.ai/jobs/info/665aae9a5624a5b72e788135?utm_campaign=1054&amp;utm_source=sheet", "Apply")</f>
        <v>Apply</v>
      </c>
      <c r="C466" s="10" t="s">
        <v>18489</v>
      </c>
      <c r="D466" s="56" t="s">
        <v>7194</v>
      </c>
      <c r="E466" s="10" t="s">
        <v>249</v>
      </c>
      <c r="F466" s="10" t="s">
        <v>2588</v>
      </c>
      <c r="G466" s="10" t="s">
        <v>17429</v>
      </c>
      <c r="H466" s="10" t="s">
        <v>7195</v>
      </c>
      <c r="I466" s="10" t="s">
        <v>55</v>
      </c>
      <c r="K466" s="10" t="s">
        <v>7196</v>
      </c>
      <c r="L466" s="10" t="s">
        <v>42</v>
      </c>
    </row>
    <row r="467" ht="15.75" customHeight="1">
      <c r="A467" s="64">
        <v>45443.0</v>
      </c>
      <c r="B467" s="55" t="str">
        <f>HYPERLINK("https://jobright.ai/jobs/info/66685c26b3577e6d5da7a412?utm_campaign=1054&amp;utm_source=sheet", "Apply")</f>
        <v>Apply</v>
      </c>
      <c r="C467" s="10" t="s">
        <v>18490</v>
      </c>
      <c r="D467" s="56" t="s">
        <v>4651</v>
      </c>
      <c r="E467" s="10" t="s">
        <v>45</v>
      </c>
      <c r="F467" s="10" t="s">
        <v>2527</v>
      </c>
      <c r="G467" s="10" t="s">
        <v>17429</v>
      </c>
      <c r="H467" s="10" t="s">
        <v>2275</v>
      </c>
      <c r="I467" s="10" t="s">
        <v>55</v>
      </c>
      <c r="K467" s="10" t="s">
        <v>18491</v>
      </c>
      <c r="L467" s="10" t="s">
        <v>42</v>
      </c>
    </row>
    <row r="468" ht="15.75" customHeight="1">
      <c r="A468" s="64">
        <v>45442.0</v>
      </c>
      <c r="B468" s="55" t="str">
        <f>HYPERLINK("https://jobright.ai/jobs/info/665916aae3ecf9e1b065fd16?utm_campaign=1054&amp;utm_source=sheet", "Apply")</f>
        <v>Apply</v>
      </c>
      <c r="C468" s="10" t="s">
        <v>17524</v>
      </c>
      <c r="D468" s="56" t="s">
        <v>18492</v>
      </c>
      <c r="E468" s="10" t="s">
        <v>71</v>
      </c>
      <c r="F468" s="10" t="s">
        <v>15098</v>
      </c>
      <c r="G468" s="10" t="s">
        <v>17432</v>
      </c>
      <c r="H468" s="10" t="s">
        <v>165</v>
      </c>
      <c r="I468" s="10" t="s">
        <v>48</v>
      </c>
      <c r="K468" s="10" t="s">
        <v>18493</v>
      </c>
      <c r="L468" s="10" t="s">
        <v>42</v>
      </c>
    </row>
    <row r="469" ht="15.75" customHeight="1">
      <c r="A469" s="64">
        <v>45442.0</v>
      </c>
      <c r="B469" s="55" t="str">
        <f>HYPERLINK("https://jobright.ai/jobs/info/667ff608a01eb282dbd01acb?utm_campaign=1054&amp;utm_source=sheet", "Apply")</f>
        <v>Apply</v>
      </c>
      <c r="C469" s="10" t="s">
        <v>18494</v>
      </c>
      <c r="D469" s="56" t="s">
        <v>18495</v>
      </c>
      <c r="E469" s="10" t="s">
        <v>276</v>
      </c>
      <c r="F469" s="10" t="s">
        <v>1243</v>
      </c>
      <c r="G469" s="10" t="s">
        <v>17429</v>
      </c>
      <c r="H469" s="10" t="s">
        <v>10635</v>
      </c>
      <c r="I469" s="10" t="s">
        <v>55</v>
      </c>
      <c r="K469" s="10" t="s">
        <v>18496</v>
      </c>
      <c r="L469" s="10" t="s">
        <v>42</v>
      </c>
    </row>
    <row r="470" ht="15.75" customHeight="1">
      <c r="A470" s="64">
        <v>45441.0</v>
      </c>
      <c r="B470" s="55" t="str">
        <f>HYPERLINK("https://jobright.ai/jobs/info/665735667a9689b17c187af1?utm_campaign=1054&amp;utm_source=sheet", "Apply")</f>
        <v>Apply</v>
      </c>
      <c r="C470" s="10" t="s">
        <v>18497</v>
      </c>
      <c r="D470" s="56" t="s">
        <v>3148</v>
      </c>
      <c r="E470" s="10" t="s">
        <v>65</v>
      </c>
      <c r="F470" s="10" t="s">
        <v>3149</v>
      </c>
      <c r="G470" s="10" t="s">
        <v>17429</v>
      </c>
      <c r="H470" s="10" t="s">
        <v>18498</v>
      </c>
      <c r="I470" s="10" t="s">
        <v>55</v>
      </c>
      <c r="K470" s="10" t="s">
        <v>18499</v>
      </c>
      <c r="L470" s="10" t="s">
        <v>42</v>
      </c>
    </row>
    <row r="471" ht="15.75" customHeight="1">
      <c r="A471" s="64">
        <v>45441.0</v>
      </c>
      <c r="B471" s="55" t="str">
        <f>HYPERLINK("https://jobright.ai/jobs/info/665d81602492096ac0690069?utm_campaign=1054&amp;utm_source=sheet", "Apply")</f>
        <v>Apply</v>
      </c>
      <c r="C471" s="10" t="s">
        <v>18500</v>
      </c>
      <c r="D471" s="56" t="s">
        <v>18501</v>
      </c>
      <c r="E471" s="10" t="s">
        <v>276</v>
      </c>
      <c r="F471" s="10" t="s">
        <v>18502</v>
      </c>
      <c r="G471" s="10" t="s">
        <v>17432</v>
      </c>
      <c r="H471" s="10" t="s">
        <v>2275</v>
      </c>
      <c r="I471" s="10" t="s">
        <v>55</v>
      </c>
      <c r="K471" s="10" t="s">
        <v>18503</v>
      </c>
      <c r="L471" s="10" t="s">
        <v>42</v>
      </c>
    </row>
    <row r="472" ht="15.75" customHeight="1">
      <c r="A472" s="64">
        <v>45440.0</v>
      </c>
      <c r="B472" s="55" t="str">
        <f>HYPERLINK("https://jobright.ai/jobs/info/66398341e381682510f6ea0c?utm_campaign=1054&amp;utm_source=sheet", "Apply")</f>
        <v>Apply</v>
      </c>
      <c r="C472" s="10" t="s">
        <v>18474</v>
      </c>
      <c r="D472" s="56" t="s">
        <v>18475</v>
      </c>
      <c r="E472" s="10" t="s">
        <v>276</v>
      </c>
      <c r="F472" s="10" t="s">
        <v>18476</v>
      </c>
      <c r="G472" s="10" t="s">
        <v>17429</v>
      </c>
      <c r="H472" s="10" t="s">
        <v>131</v>
      </c>
      <c r="I472" s="10" t="s">
        <v>55</v>
      </c>
      <c r="K472" s="10" t="s">
        <v>18504</v>
      </c>
      <c r="L472" s="10" t="s">
        <v>42</v>
      </c>
    </row>
    <row r="473" ht="15.75" customHeight="1">
      <c r="A473" s="64">
        <v>45440.0</v>
      </c>
      <c r="B473" s="55" t="str">
        <f>HYPERLINK("https://jobright.ai/jobs/info/6642aa39a6ba30d2ef81fd68?utm_campaign=1054&amp;utm_source=sheet", "Apply")</f>
        <v>Apply</v>
      </c>
      <c r="C473" s="10" t="s">
        <v>18505</v>
      </c>
      <c r="D473" s="56" t="s">
        <v>18506</v>
      </c>
      <c r="E473" s="10" t="s">
        <v>209</v>
      </c>
      <c r="F473" s="10" t="s">
        <v>1893</v>
      </c>
      <c r="G473" s="10" t="s">
        <v>17432</v>
      </c>
      <c r="H473" s="10" t="s">
        <v>965</v>
      </c>
      <c r="I473" s="10" t="s">
        <v>55</v>
      </c>
      <c r="K473" s="10" t="s">
        <v>18507</v>
      </c>
      <c r="L473" s="10" t="s">
        <v>42</v>
      </c>
    </row>
    <row r="474" ht="15.75" customHeight="1">
      <c r="A474" s="64">
        <v>45440.0</v>
      </c>
      <c r="B474" s="55" t="str">
        <f>HYPERLINK("https://jobright.ai/jobs/info/667d4865175f90388ced281e?utm_campaign=1054&amp;utm_source=sheet", "Apply")</f>
        <v>Apply</v>
      </c>
      <c r="C474" s="10" t="s">
        <v>18508</v>
      </c>
      <c r="D474" s="56" t="s">
        <v>12306</v>
      </c>
      <c r="E474" s="10">
        <v>40.0</v>
      </c>
      <c r="G474" s="10" t="s">
        <v>17429</v>
      </c>
      <c r="H474" s="10" t="s">
        <v>843</v>
      </c>
      <c r="I474" s="10" t="s">
        <v>55</v>
      </c>
      <c r="J474" s="10" t="s">
        <v>1409</v>
      </c>
      <c r="K474" s="10" t="s">
        <v>18509</v>
      </c>
      <c r="L474" s="10" t="s">
        <v>42</v>
      </c>
    </row>
    <row r="475" ht="15.75" customHeight="1">
      <c r="A475" s="64">
        <v>45439.0</v>
      </c>
      <c r="B475" s="55" t="str">
        <f>HYPERLINK("https://jobright.ai/jobs/info/66688424f8309f8de12c577c?utm_campaign=1054&amp;utm_source=sheet", "Apply")</f>
        <v>Apply</v>
      </c>
      <c r="C475" s="10" t="s">
        <v>18510</v>
      </c>
      <c r="D475" s="56" t="s">
        <v>15496</v>
      </c>
      <c r="E475" s="10" t="s">
        <v>249</v>
      </c>
      <c r="F475" s="10" t="s">
        <v>15497</v>
      </c>
      <c r="G475" s="10" t="s">
        <v>17429</v>
      </c>
      <c r="H475" s="10" t="s">
        <v>15498</v>
      </c>
      <c r="I475" s="10" t="s">
        <v>55</v>
      </c>
      <c r="K475" s="10" t="s">
        <v>18511</v>
      </c>
      <c r="L475" s="10" t="s">
        <v>42</v>
      </c>
    </row>
    <row r="476" ht="15.75" customHeight="1">
      <c r="A476" s="64">
        <v>45439.0</v>
      </c>
      <c r="B476" s="55" t="str">
        <f>HYPERLINK("https://jobright.ai/jobs/info/666883e3f8309f8de12c5709?utm_campaign=1054&amp;utm_source=sheet", "Apply")</f>
        <v>Apply</v>
      </c>
      <c r="C476" s="10" t="s">
        <v>18512</v>
      </c>
      <c r="D476" s="56" t="s">
        <v>15496</v>
      </c>
      <c r="E476" s="10" t="s">
        <v>249</v>
      </c>
      <c r="F476" s="10" t="s">
        <v>15497</v>
      </c>
      <c r="G476" s="10" t="s">
        <v>17429</v>
      </c>
      <c r="H476" s="10" t="s">
        <v>15498</v>
      </c>
      <c r="I476" s="10" t="s">
        <v>55</v>
      </c>
      <c r="K476" s="10" t="s">
        <v>18513</v>
      </c>
      <c r="L476" s="10" t="s">
        <v>42</v>
      </c>
    </row>
    <row r="477" ht="15.75" customHeight="1">
      <c r="A477" s="64">
        <v>45439.0</v>
      </c>
      <c r="B477" s="55" t="str">
        <f>HYPERLINK("https://jobright.ai/jobs/info/6668839ff8309f8de12c5668?utm_campaign=1054&amp;utm_source=sheet", "Apply")</f>
        <v>Apply</v>
      </c>
      <c r="C477" s="10" t="s">
        <v>18514</v>
      </c>
      <c r="D477" s="56" t="s">
        <v>15496</v>
      </c>
      <c r="E477" s="10" t="s">
        <v>249</v>
      </c>
      <c r="F477" s="10" t="s">
        <v>15497</v>
      </c>
      <c r="G477" s="10" t="s">
        <v>17432</v>
      </c>
      <c r="H477" s="10" t="s">
        <v>15498</v>
      </c>
      <c r="I477" s="10" t="s">
        <v>55</v>
      </c>
      <c r="K477" s="10" t="s">
        <v>18515</v>
      </c>
      <c r="L477" s="10" t="s">
        <v>42</v>
      </c>
    </row>
    <row r="478" ht="15.75" customHeight="1">
      <c r="A478" s="64">
        <v>45436.0</v>
      </c>
      <c r="B478" s="55" t="str">
        <f>HYPERLINK("https://jobright.ai/jobs/info/6650e9439dab035fe7f725dd?utm_campaign=1054&amp;utm_source=sheet", "Apply")</f>
        <v>Apply</v>
      </c>
      <c r="C478" s="10" t="s">
        <v>18516</v>
      </c>
      <c r="D478" s="56" t="s">
        <v>18517</v>
      </c>
      <c r="G478" s="10" t="s">
        <v>17432</v>
      </c>
      <c r="H478" s="10" t="s">
        <v>18518</v>
      </c>
      <c r="I478" s="10" t="s">
        <v>55</v>
      </c>
      <c r="J478" s="10" t="s">
        <v>18519</v>
      </c>
      <c r="K478" s="10" t="s">
        <v>18520</v>
      </c>
      <c r="L478" s="10" t="s">
        <v>42</v>
      </c>
    </row>
    <row r="479" ht="15.75" customHeight="1">
      <c r="A479" s="64">
        <v>45436.0</v>
      </c>
      <c r="B479" s="55" t="str">
        <f>HYPERLINK("https://jobright.ai/jobs/info/665028dcb27ee519713dd28e?utm_campaign=1054&amp;utm_source=sheet", "Apply")</f>
        <v>Apply</v>
      </c>
      <c r="C479" s="10" t="s">
        <v>18521</v>
      </c>
      <c r="D479" s="56" t="s">
        <v>18522</v>
      </c>
      <c r="E479" s="10" t="s">
        <v>209</v>
      </c>
      <c r="F479" s="10" t="s">
        <v>18523</v>
      </c>
      <c r="G479" s="10" t="s">
        <v>17429</v>
      </c>
      <c r="H479" s="10" t="s">
        <v>927</v>
      </c>
      <c r="I479" s="10" t="s">
        <v>55</v>
      </c>
      <c r="K479" s="10" t="s">
        <v>18524</v>
      </c>
      <c r="L479" s="10" t="s">
        <v>42</v>
      </c>
    </row>
    <row r="480" ht="15.75" customHeight="1">
      <c r="A480" s="64">
        <v>45435.0</v>
      </c>
      <c r="B480" s="55" t="str">
        <f>HYPERLINK("https://jobright.ai/jobs/info/6677e361783a239da84196ff?utm_campaign=1054&amp;utm_source=sheet", "Apply")</f>
        <v>Apply</v>
      </c>
      <c r="C480" s="10" t="s">
        <v>18525</v>
      </c>
      <c r="D480" s="56" t="s">
        <v>2289</v>
      </c>
      <c r="E480" s="10" t="s">
        <v>71</v>
      </c>
      <c r="F480" s="10" t="s">
        <v>2290</v>
      </c>
      <c r="G480" s="10" t="s">
        <v>17429</v>
      </c>
      <c r="H480" s="10" t="s">
        <v>2291</v>
      </c>
      <c r="I480" s="10" t="s">
        <v>55</v>
      </c>
      <c r="J480" s="10" t="s">
        <v>1761</v>
      </c>
      <c r="K480" s="10" t="s">
        <v>18526</v>
      </c>
      <c r="L480" s="10" t="s">
        <v>42</v>
      </c>
    </row>
    <row r="481" ht="15.75" customHeight="1">
      <c r="A481" s="64">
        <v>45435.0</v>
      </c>
      <c r="B481" s="55" t="str">
        <f>HYPERLINK("https://jobright.ai/jobs/info/6677e7718edbb3fe78f31e10?utm_campaign=1054&amp;utm_source=sheet", "Apply")</f>
        <v>Apply</v>
      </c>
      <c r="C481" s="10" t="s">
        <v>18527</v>
      </c>
      <c r="D481" s="56" t="s">
        <v>3589</v>
      </c>
      <c r="E481" s="10" t="s">
        <v>45</v>
      </c>
      <c r="F481" s="10" t="s">
        <v>2554</v>
      </c>
      <c r="G481" s="10" t="s">
        <v>17429</v>
      </c>
      <c r="H481" s="10" t="s">
        <v>7783</v>
      </c>
      <c r="I481" s="10" t="s">
        <v>55</v>
      </c>
      <c r="K481" s="10" t="s">
        <v>7784</v>
      </c>
      <c r="L481" s="10" t="s">
        <v>42</v>
      </c>
    </row>
    <row r="482" ht="15.75" customHeight="1">
      <c r="A482" s="64">
        <v>45435.0</v>
      </c>
      <c r="B482" s="55" t="str">
        <f>HYPERLINK("https://jobright.ai/jobs/info/6677e7988edbb3fe78f3209b?utm_campaign=1054&amp;utm_source=sheet", "Apply")</f>
        <v>Apply</v>
      </c>
      <c r="C482" s="10" t="s">
        <v>17434</v>
      </c>
      <c r="D482" s="56" t="s">
        <v>18528</v>
      </c>
      <c r="E482" s="10" t="s">
        <v>45</v>
      </c>
      <c r="F482" s="10" t="s">
        <v>18529</v>
      </c>
      <c r="G482" s="10" t="s">
        <v>17429</v>
      </c>
      <c r="H482" s="10" t="s">
        <v>1008</v>
      </c>
      <c r="I482" s="10" t="s">
        <v>55</v>
      </c>
      <c r="K482" s="10" t="s">
        <v>18530</v>
      </c>
      <c r="L482" s="10" t="s">
        <v>42</v>
      </c>
    </row>
    <row r="483" ht="15.75" customHeight="1">
      <c r="A483" s="64">
        <v>45435.0</v>
      </c>
      <c r="B483" s="55" t="str">
        <f>HYPERLINK("https://jobright.ai/jobs/info/6677e7b38edbb3fe78f32345?utm_campaign=1054&amp;utm_source=sheet", "Apply")</f>
        <v>Apply</v>
      </c>
      <c r="C483" s="10" t="s">
        <v>18531</v>
      </c>
      <c r="D483" s="56" t="s">
        <v>18532</v>
      </c>
      <c r="E483" s="10" t="s">
        <v>249</v>
      </c>
      <c r="F483" s="10" t="s">
        <v>1084</v>
      </c>
      <c r="G483" s="10" t="s">
        <v>17429</v>
      </c>
      <c r="H483" s="10" t="s">
        <v>5337</v>
      </c>
      <c r="I483" s="10" t="s">
        <v>55</v>
      </c>
      <c r="J483" s="10" t="s">
        <v>9875</v>
      </c>
      <c r="K483" s="10" t="s">
        <v>18533</v>
      </c>
      <c r="L483" s="10" t="s">
        <v>42</v>
      </c>
    </row>
    <row r="484" ht="15.75" customHeight="1">
      <c r="A484" s="64">
        <v>45435.0</v>
      </c>
      <c r="B484" s="55" t="str">
        <f>HYPERLINK("https://jobright.ai/jobs/info/6677ed712ffca2bcf6692372?utm_campaign=1054&amp;utm_source=sheet", "Apply")</f>
        <v>Apply</v>
      </c>
      <c r="C484" s="10" t="s">
        <v>18377</v>
      </c>
      <c r="D484" s="56" t="s">
        <v>18378</v>
      </c>
      <c r="E484" s="10" t="s">
        <v>79</v>
      </c>
      <c r="F484" s="10" t="s">
        <v>9784</v>
      </c>
      <c r="G484" s="10" t="s">
        <v>17429</v>
      </c>
      <c r="H484" s="10" t="s">
        <v>769</v>
      </c>
      <c r="I484" s="10" t="s">
        <v>55</v>
      </c>
      <c r="J484" s="10" t="s">
        <v>1409</v>
      </c>
      <c r="K484" s="10" t="s">
        <v>18379</v>
      </c>
      <c r="L484" s="10" t="s">
        <v>42</v>
      </c>
    </row>
    <row r="485" ht="15.75" customHeight="1">
      <c r="A485" s="64">
        <v>45435.0</v>
      </c>
      <c r="B485" s="55" t="str">
        <f>HYPERLINK("https://jobright.ai/jobs/info/6677ee032ffca2bcf6692e98?utm_campaign=1054&amp;utm_source=sheet", "Apply")</f>
        <v>Apply</v>
      </c>
      <c r="C485" s="10" t="s">
        <v>18534</v>
      </c>
      <c r="D485" s="56" t="s">
        <v>18535</v>
      </c>
      <c r="E485" s="10">
        <v>21.0</v>
      </c>
      <c r="G485" s="10" t="s">
        <v>17432</v>
      </c>
      <c r="H485" s="10" t="s">
        <v>18536</v>
      </c>
      <c r="I485" s="10" t="s">
        <v>55</v>
      </c>
      <c r="J485" s="10" t="s">
        <v>18537</v>
      </c>
      <c r="K485" s="10" t="s">
        <v>18538</v>
      </c>
      <c r="L485" s="10" t="s">
        <v>42</v>
      </c>
    </row>
    <row r="486" ht="15.75" customHeight="1">
      <c r="A486" s="64">
        <v>45435.0</v>
      </c>
      <c r="B486" s="55" t="str">
        <f>HYPERLINK("https://jobright.ai/jobs/info/6677ecdc2ffca2bcf66917a7?utm_campaign=1054&amp;utm_source=sheet", "Apply")</f>
        <v>Apply</v>
      </c>
      <c r="C486" s="10" t="s">
        <v>18539</v>
      </c>
      <c r="D486" s="56" t="s">
        <v>18540</v>
      </c>
      <c r="E486" s="10" t="s">
        <v>137</v>
      </c>
      <c r="F486" s="10" t="s">
        <v>1909</v>
      </c>
      <c r="G486" s="10" t="s">
        <v>17429</v>
      </c>
      <c r="H486" s="10" t="s">
        <v>167</v>
      </c>
      <c r="I486" s="10" t="s">
        <v>55</v>
      </c>
      <c r="K486" s="10" t="s">
        <v>18541</v>
      </c>
      <c r="L486" s="10" t="s">
        <v>42</v>
      </c>
    </row>
    <row r="487" ht="15.75" customHeight="1">
      <c r="A487" s="64">
        <v>45435.0</v>
      </c>
      <c r="B487" s="55" t="str">
        <f>HYPERLINK("https://jobright.ai/jobs/info/6677f1d69c81148ccaaed330?utm_campaign=1054&amp;utm_source=sheet", "Apply")</f>
        <v>Apply</v>
      </c>
      <c r="C487" s="10" t="s">
        <v>18542</v>
      </c>
      <c r="D487" s="56" t="s">
        <v>18543</v>
      </c>
      <c r="E487" s="10" t="s">
        <v>65</v>
      </c>
      <c r="F487" s="10" t="s">
        <v>14336</v>
      </c>
      <c r="G487" s="10" t="s">
        <v>17470</v>
      </c>
      <c r="H487" s="10" t="s">
        <v>18544</v>
      </c>
      <c r="I487" s="10" t="s">
        <v>55</v>
      </c>
      <c r="K487" s="10" t="s">
        <v>18545</v>
      </c>
      <c r="L487" s="10" t="s">
        <v>42</v>
      </c>
    </row>
    <row r="488" ht="15.75" customHeight="1">
      <c r="A488" s="64">
        <v>45435.0</v>
      </c>
      <c r="B488" s="55" t="str">
        <f>HYPERLINK("https://jobright.ai/jobs/info/6677f2a49c81148ccaaee35a?utm_campaign=1054&amp;utm_source=sheet", "Apply")</f>
        <v>Apply</v>
      </c>
      <c r="C488" s="10" t="s">
        <v>18546</v>
      </c>
      <c r="D488" s="56" t="s">
        <v>18547</v>
      </c>
      <c r="E488" s="10" t="s">
        <v>45</v>
      </c>
      <c r="F488" s="10" t="s">
        <v>1266</v>
      </c>
      <c r="G488" s="10" t="s">
        <v>17432</v>
      </c>
      <c r="H488" s="10" t="s">
        <v>4627</v>
      </c>
      <c r="I488" s="10" t="s">
        <v>55</v>
      </c>
      <c r="J488" s="10" t="s">
        <v>18548</v>
      </c>
      <c r="K488" s="10" t="s">
        <v>18549</v>
      </c>
      <c r="L488" s="10" t="s">
        <v>42</v>
      </c>
    </row>
    <row r="489" ht="15.75" customHeight="1">
      <c r="A489" s="64">
        <v>45435.0</v>
      </c>
      <c r="B489" s="55" t="str">
        <f>HYPERLINK("https://jobright.ai/jobs/info/666904ae2dac6f47f467171c?utm_campaign=1054&amp;utm_source=sheet", "Apply")</f>
        <v>Apply</v>
      </c>
      <c r="C489" s="10" t="s">
        <v>18550</v>
      </c>
      <c r="D489" s="56" t="s">
        <v>8803</v>
      </c>
      <c r="E489" s="10">
        <v>8.0</v>
      </c>
      <c r="G489" s="10" t="s">
        <v>17429</v>
      </c>
      <c r="H489" s="10" t="s">
        <v>1533</v>
      </c>
      <c r="I489" s="10" t="s">
        <v>55</v>
      </c>
      <c r="K489" s="10" t="s">
        <v>18551</v>
      </c>
      <c r="L489" s="10" t="s">
        <v>42</v>
      </c>
    </row>
    <row r="490" ht="15.75" customHeight="1">
      <c r="A490" s="64">
        <v>45435.0</v>
      </c>
      <c r="B490" s="55" t="str">
        <f>HYPERLINK("https://jobright.ai/jobs/info/668314d9e801c31bd9e07aa0?utm_campaign=1054&amp;utm_source=sheet", "Apply")</f>
        <v>Apply</v>
      </c>
      <c r="C490" s="10" t="s">
        <v>18303</v>
      </c>
      <c r="D490" s="56" t="s">
        <v>18304</v>
      </c>
      <c r="E490" s="10" t="s">
        <v>71</v>
      </c>
      <c r="F490" s="10" t="s">
        <v>665</v>
      </c>
      <c r="G490" s="10" t="s">
        <v>17432</v>
      </c>
      <c r="H490" s="10" t="s">
        <v>1994</v>
      </c>
      <c r="I490" s="10" t="s">
        <v>55</v>
      </c>
      <c r="J490" s="10" t="s">
        <v>18305</v>
      </c>
      <c r="K490" s="10" t="s">
        <v>18306</v>
      </c>
      <c r="L490" s="10" t="s">
        <v>42</v>
      </c>
    </row>
    <row r="491" ht="15.75" customHeight="1">
      <c r="A491" s="64">
        <v>45434.0</v>
      </c>
      <c r="B491" s="55" t="str">
        <f>HYPERLINK("https://jobright.ai/jobs/info/667633bae272243dcd4f641a?utm_campaign=1054&amp;utm_source=sheet", "Apply")</f>
        <v>Apply</v>
      </c>
      <c r="C491" s="10" t="s">
        <v>18552</v>
      </c>
      <c r="D491" s="56" t="s">
        <v>18553</v>
      </c>
      <c r="E491" s="10" t="s">
        <v>79</v>
      </c>
      <c r="F491" s="10" t="s">
        <v>1234</v>
      </c>
      <c r="G491" s="10" t="s">
        <v>17429</v>
      </c>
      <c r="H491" s="10" t="s">
        <v>996</v>
      </c>
      <c r="I491" s="10" t="s">
        <v>55</v>
      </c>
      <c r="J491" s="10" t="s">
        <v>18554</v>
      </c>
      <c r="K491" s="10" t="s">
        <v>18555</v>
      </c>
      <c r="L491" s="10" t="s">
        <v>42</v>
      </c>
    </row>
    <row r="492" ht="15.75" customHeight="1">
      <c r="A492" s="64">
        <v>45434.0</v>
      </c>
      <c r="B492" s="55" t="str">
        <f>HYPERLINK("https://jobright.ai/jobs/info/6676341ae272243dcd4f6b23?utm_campaign=1054&amp;utm_source=sheet", "Apply")</f>
        <v>Apply</v>
      </c>
      <c r="C492" s="10" t="s">
        <v>18556</v>
      </c>
      <c r="D492" s="56" t="s">
        <v>2922</v>
      </c>
      <c r="E492" s="10" t="s">
        <v>45</v>
      </c>
      <c r="F492" s="10" t="s">
        <v>1234</v>
      </c>
      <c r="G492" s="10" t="s">
        <v>17432</v>
      </c>
      <c r="H492" s="10" t="s">
        <v>965</v>
      </c>
      <c r="I492" s="10" t="s">
        <v>55</v>
      </c>
      <c r="J492" s="10" t="s">
        <v>1804</v>
      </c>
      <c r="K492" s="10" t="s">
        <v>18557</v>
      </c>
      <c r="L492" s="10" t="s">
        <v>42</v>
      </c>
    </row>
    <row r="493" ht="15.75" customHeight="1">
      <c r="A493" s="64">
        <v>45434.0</v>
      </c>
      <c r="B493" s="55" t="str">
        <f>HYPERLINK("https://jobright.ai/jobs/info/66767095a0e238a9a3a4adde?utm_campaign=1054&amp;utm_source=sheet", "Apply")</f>
        <v>Apply</v>
      </c>
      <c r="C493" s="10" t="s">
        <v>18558</v>
      </c>
      <c r="D493" s="56" t="s">
        <v>18559</v>
      </c>
      <c r="E493" s="10" t="s">
        <v>137</v>
      </c>
      <c r="F493" s="10" t="s">
        <v>1243</v>
      </c>
      <c r="G493" s="10" t="s">
        <v>17432</v>
      </c>
      <c r="H493" s="10" t="s">
        <v>18560</v>
      </c>
      <c r="I493" s="10" t="s">
        <v>55</v>
      </c>
      <c r="K493" s="10" t="s">
        <v>18561</v>
      </c>
      <c r="L493" s="10" t="s">
        <v>42</v>
      </c>
    </row>
    <row r="494" ht="15.75" customHeight="1">
      <c r="A494" s="64">
        <v>45433.0</v>
      </c>
      <c r="B494" s="55" t="str">
        <f>HYPERLINK("https://jobright.ai/jobs/info/664d3efdb6919a729b3cec21?utm_campaign=1054&amp;utm_source=sheet", "Apply")</f>
        <v>Apply</v>
      </c>
      <c r="C494" s="10" t="s">
        <v>18562</v>
      </c>
      <c r="D494" s="56" t="s">
        <v>15610</v>
      </c>
      <c r="E494" s="10" t="s">
        <v>71</v>
      </c>
      <c r="F494" s="10" t="s">
        <v>1506</v>
      </c>
      <c r="G494" s="10" t="s">
        <v>17429</v>
      </c>
      <c r="H494" s="10" t="s">
        <v>957</v>
      </c>
      <c r="I494" s="10" t="s">
        <v>55</v>
      </c>
      <c r="J494" s="10" t="s">
        <v>1409</v>
      </c>
      <c r="K494" s="10" t="s">
        <v>18563</v>
      </c>
      <c r="L494" s="10" t="s">
        <v>42</v>
      </c>
    </row>
    <row r="495" ht="15.75" customHeight="1">
      <c r="A495" s="64">
        <v>45433.0</v>
      </c>
      <c r="B495" s="55" t="str">
        <f>HYPERLINK("https://jobright.ai/jobs/info/6643ec561507f8fb176471c0?utm_campaign=1054&amp;utm_source=sheet", "Apply")</f>
        <v>Apply</v>
      </c>
      <c r="C495" s="10" t="s">
        <v>18564</v>
      </c>
      <c r="D495" s="56" t="s">
        <v>18565</v>
      </c>
      <c r="E495" s="10" t="s">
        <v>65</v>
      </c>
      <c r="F495" s="10" t="s">
        <v>3238</v>
      </c>
      <c r="G495" s="10" t="s">
        <v>17432</v>
      </c>
      <c r="H495" s="10" t="s">
        <v>2597</v>
      </c>
      <c r="I495" s="10" t="s">
        <v>55</v>
      </c>
      <c r="K495" s="10" t="s">
        <v>18566</v>
      </c>
      <c r="L495" s="10" t="s">
        <v>42</v>
      </c>
    </row>
    <row r="496" ht="15.75" customHeight="1">
      <c r="A496" s="64">
        <v>45433.0</v>
      </c>
      <c r="B496" s="55" t="str">
        <f>HYPERLINK("https://jobright.ai/jobs/info/66742d17668628c49c2167bb?utm_campaign=1054&amp;utm_source=sheet", "Apply")</f>
        <v>Apply</v>
      </c>
      <c r="C496" s="10" t="s">
        <v>18567</v>
      </c>
      <c r="D496" s="56" t="s">
        <v>18568</v>
      </c>
      <c r="E496" s="10" t="s">
        <v>65</v>
      </c>
      <c r="F496" s="10" t="s">
        <v>2964</v>
      </c>
      <c r="G496" s="10" t="s">
        <v>17432</v>
      </c>
      <c r="H496" s="10" t="s">
        <v>18569</v>
      </c>
      <c r="I496" s="10" t="s">
        <v>55</v>
      </c>
      <c r="K496" s="10" t="s">
        <v>18570</v>
      </c>
      <c r="L496" s="10" t="s">
        <v>42</v>
      </c>
    </row>
    <row r="497" ht="15.75" customHeight="1">
      <c r="A497" s="64">
        <v>45432.0</v>
      </c>
      <c r="B497" s="55" t="str">
        <f>HYPERLINK("https://jobright.ai/jobs/info/6673021dc32d0d359a61eed4?utm_campaign=1054&amp;utm_source=sheet", "Apply")</f>
        <v>Apply</v>
      </c>
      <c r="C497" s="10" t="s">
        <v>18377</v>
      </c>
      <c r="D497" s="56" t="s">
        <v>18378</v>
      </c>
      <c r="E497" s="10" t="s">
        <v>137</v>
      </c>
      <c r="F497" s="10" t="s">
        <v>1893</v>
      </c>
      <c r="G497" s="10" t="s">
        <v>17429</v>
      </c>
      <c r="H497" s="10" t="s">
        <v>769</v>
      </c>
      <c r="I497" s="10" t="s">
        <v>55</v>
      </c>
      <c r="J497" s="10" t="s">
        <v>1409</v>
      </c>
      <c r="K497" s="10" t="s">
        <v>18379</v>
      </c>
      <c r="L497" s="10" t="s">
        <v>42</v>
      </c>
    </row>
    <row r="498" ht="15.75" customHeight="1">
      <c r="A498" s="64">
        <v>45431.0</v>
      </c>
      <c r="B498" s="55" t="str">
        <f>HYPERLINK("https://jobright.ai/jobs/info/6669182cef71c96a7fcbcc44?utm_campaign=1054&amp;utm_source=sheet", "Apply")</f>
        <v>Apply</v>
      </c>
      <c r="C498" s="10" t="s">
        <v>18571</v>
      </c>
      <c r="D498" s="56" t="s">
        <v>18572</v>
      </c>
      <c r="E498" s="10" t="s">
        <v>65</v>
      </c>
      <c r="F498" s="10" t="s">
        <v>3594</v>
      </c>
      <c r="G498" s="10" t="s">
        <v>17429</v>
      </c>
      <c r="H498" s="10" t="s">
        <v>9159</v>
      </c>
      <c r="I498" s="10" t="s">
        <v>55</v>
      </c>
      <c r="K498" s="10" t="s">
        <v>18573</v>
      </c>
      <c r="L498" s="10" t="s">
        <v>42</v>
      </c>
    </row>
    <row r="499" ht="15.75" customHeight="1">
      <c r="A499" s="64">
        <v>45429.0</v>
      </c>
      <c r="B499" s="55" t="str">
        <f>HYPERLINK("https://jobright.ai/jobs/info/666c37309dae7f4f872a16ca?utm_campaign=1054&amp;utm_source=sheet", "Apply")</f>
        <v>Apply</v>
      </c>
      <c r="C499" s="10" t="s">
        <v>18574</v>
      </c>
      <c r="D499" s="56" t="s">
        <v>18575</v>
      </c>
      <c r="F499" s="10" t="s">
        <v>2216</v>
      </c>
      <c r="G499" s="10" t="s">
        <v>17432</v>
      </c>
      <c r="H499" s="10" t="s">
        <v>969</v>
      </c>
      <c r="I499" s="10" t="s">
        <v>55</v>
      </c>
      <c r="K499" s="10" t="s">
        <v>18576</v>
      </c>
      <c r="L499" s="10" t="s">
        <v>42</v>
      </c>
    </row>
    <row r="500" ht="15.75" customHeight="1">
      <c r="A500" s="64">
        <v>45429.0</v>
      </c>
      <c r="B500" s="55" t="str">
        <f>HYPERLINK("https://jobright.ai/jobs/info/66475cdafff3b68926fe07d6?utm_campaign=1054&amp;utm_source=sheet", "Apply")</f>
        <v>Apply</v>
      </c>
      <c r="C500" s="10" t="s">
        <v>18556</v>
      </c>
      <c r="D500" s="56" t="s">
        <v>2922</v>
      </c>
      <c r="E500" s="10" t="s">
        <v>45</v>
      </c>
      <c r="F500" s="10" t="s">
        <v>1234</v>
      </c>
      <c r="G500" s="10" t="s">
        <v>17432</v>
      </c>
      <c r="H500" s="10" t="s">
        <v>965</v>
      </c>
      <c r="I500" s="10" t="s">
        <v>55</v>
      </c>
      <c r="J500" s="10" t="s">
        <v>1804</v>
      </c>
      <c r="K500" s="10" t="s">
        <v>18557</v>
      </c>
      <c r="L500" s="10" t="s">
        <v>42</v>
      </c>
    </row>
    <row r="501" ht="15.75" customHeight="1">
      <c r="A501" s="64">
        <v>45429.0</v>
      </c>
      <c r="B501" s="55" t="str">
        <f>HYPERLINK("https://jobright.ai/jobs/info/66691837ef71c96a7fcbcd15?utm_campaign=1054&amp;utm_source=sheet", "Apply")</f>
        <v>Apply</v>
      </c>
      <c r="C501" s="10" t="s">
        <v>18577</v>
      </c>
      <c r="D501" s="56" t="s">
        <v>15772</v>
      </c>
      <c r="E501" s="10" t="s">
        <v>209</v>
      </c>
      <c r="F501" s="10" t="s">
        <v>568</v>
      </c>
      <c r="G501" s="10" t="s">
        <v>17429</v>
      </c>
      <c r="H501" s="10" t="s">
        <v>1560</v>
      </c>
      <c r="I501" s="10" t="s">
        <v>55</v>
      </c>
      <c r="K501" s="10" t="s">
        <v>18488</v>
      </c>
      <c r="L501" s="10" t="s">
        <v>42</v>
      </c>
    </row>
    <row r="502" ht="15.75" customHeight="1">
      <c r="A502" s="64">
        <v>45428.0</v>
      </c>
      <c r="B502" s="55" t="str">
        <f>HYPERLINK("https://jobright.ai/jobs/info/6646f77d77bde81d0c0b4fa3?utm_campaign=1054&amp;utm_source=sheet", "Apply")</f>
        <v>Apply</v>
      </c>
      <c r="C502" s="10" t="s">
        <v>18578</v>
      </c>
      <c r="D502" s="56" t="s">
        <v>18579</v>
      </c>
      <c r="E502" s="10" t="s">
        <v>65</v>
      </c>
      <c r="F502" s="10" t="s">
        <v>85</v>
      </c>
      <c r="G502" s="10" t="s">
        <v>17432</v>
      </c>
      <c r="H502" s="10" t="s">
        <v>5245</v>
      </c>
      <c r="I502" s="10" t="s">
        <v>55</v>
      </c>
      <c r="K502" s="10" t="s">
        <v>18580</v>
      </c>
      <c r="L502" s="10" t="s">
        <v>42</v>
      </c>
    </row>
    <row r="503" ht="15.75" customHeight="1">
      <c r="A503" s="64">
        <v>45428.0</v>
      </c>
      <c r="B503" s="55" t="str">
        <f>HYPERLINK("https://jobright.ai/jobs/info/66692039c327d9911b6d49ea?utm_campaign=1054&amp;utm_source=sheet", "Apply")</f>
        <v>Apply</v>
      </c>
      <c r="C503" s="10" t="s">
        <v>18556</v>
      </c>
      <c r="D503" s="56" t="s">
        <v>2922</v>
      </c>
      <c r="E503" s="10" t="s">
        <v>45</v>
      </c>
      <c r="F503" s="10" t="s">
        <v>1234</v>
      </c>
      <c r="G503" s="10" t="s">
        <v>17432</v>
      </c>
      <c r="H503" s="10" t="s">
        <v>18581</v>
      </c>
      <c r="I503" s="10" t="s">
        <v>55</v>
      </c>
      <c r="J503" s="10" t="s">
        <v>1804</v>
      </c>
      <c r="K503" s="10" t="s">
        <v>18582</v>
      </c>
      <c r="L503" s="10" t="s">
        <v>42</v>
      </c>
    </row>
    <row r="504" ht="15.75" customHeight="1">
      <c r="A504" s="64">
        <v>45428.0</v>
      </c>
      <c r="B504" s="55" t="str">
        <f>HYPERLINK("https://jobright.ai/jobs/info/66692053c327d9911b6d4bfe?utm_campaign=1054&amp;utm_source=sheet", "Apply")</f>
        <v>Apply</v>
      </c>
      <c r="C504" s="10" t="s">
        <v>18583</v>
      </c>
      <c r="D504" s="56" t="s">
        <v>15448</v>
      </c>
      <c r="E504" s="10" t="s">
        <v>45</v>
      </c>
      <c r="F504" s="10" t="s">
        <v>15051</v>
      </c>
      <c r="G504" s="10" t="s">
        <v>17429</v>
      </c>
      <c r="H504" s="10" t="s">
        <v>2275</v>
      </c>
      <c r="I504" s="10" t="s">
        <v>55</v>
      </c>
      <c r="K504" s="10" t="s">
        <v>18584</v>
      </c>
      <c r="L504" s="10" t="s">
        <v>42</v>
      </c>
    </row>
    <row r="505" ht="15.75" customHeight="1">
      <c r="A505" s="64">
        <v>45428.0</v>
      </c>
      <c r="B505" s="55" t="str">
        <f>HYPERLINK("https://jobright.ai/jobs/info/6669205fc327d9911b6d4c54?utm_campaign=1054&amp;utm_source=sheet", "Apply")</f>
        <v>Apply</v>
      </c>
      <c r="C505" s="10" t="s">
        <v>18585</v>
      </c>
      <c r="D505" s="56" t="s">
        <v>18586</v>
      </c>
      <c r="E505" s="10" t="s">
        <v>45</v>
      </c>
      <c r="F505" s="10" t="s">
        <v>1084</v>
      </c>
      <c r="G505" s="10" t="s">
        <v>17429</v>
      </c>
      <c r="H505" s="10" t="s">
        <v>2275</v>
      </c>
      <c r="I505" s="10" t="s">
        <v>48</v>
      </c>
      <c r="K505" s="10" t="s">
        <v>18587</v>
      </c>
      <c r="L505" s="10" t="s">
        <v>42</v>
      </c>
    </row>
    <row r="506" ht="15.75" customHeight="1">
      <c r="A506" s="64">
        <v>45427.0</v>
      </c>
      <c r="B506" s="55" t="str">
        <f>HYPERLINK("https://jobright.ai/jobs/info/666be09928ec1edef0ed7092?utm_campaign=1054&amp;utm_source=sheet", "Apply")</f>
        <v>Apply</v>
      </c>
      <c r="C506" s="10" t="s">
        <v>18588</v>
      </c>
      <c r="D506" s="56" t="s">
        <v>9129</v>
      </c>
      <c r="E506" s="10" t="s">
        <v>209</v>
      </c>
      <c r="F506" s="10" t="s">
        <v>3180</v>
      </c>
      <c r="G506" s="10" t="s">
        <v>17432</v>
      </c>
      <c r="H506" s="10" t="s">
        <v>18589</v>
      </c>
      <c r="I506" s="10" t="s">
        <v>55</v>
      </c>
      <c r="J506" s="10" t="s">
        <v>18590</v>
      </c>
      <c r="K506" s="10" t="s">
        <v>18591</v>
      </c>
      <c r="L506" s="10" t="s">
        <v>42</v>
      </c>
    </row>
    <row r="507" ht="15.75" customHeight="1">
      <c r="A507" s="64">
        <v>45427.0</v>
      </c>
      <c r="B507" s="55" t="str">
        <f>HYPERLINK("https://jobright.ai/jobs/info/6669206bc327d9911b6d4cd3?utm_campaign=1054&amp;utm_source=sheet", "Apply")</f>
        <v>Apply</v>
      </c>
      <c r="C507" s="10" t="s">
        <v>18592</v>
      </c>
      <c r="D507" s="56" t="s">
        <v>18572</v>
      </c>
      <c r="E507" s="10" t="s">
        <v>65</v>
      </c>
      <c r="F507" s="10" t="s">
        <v>3594</v>
      </c>
      <c r="G507" s="10" t="s">
        <v>17432</v>
      </c>
      <c r="H507" s="10" t="s">
        <v>18593</v>
      </c>
      <c r="I507" s="10" t="s">
        <v>55</v>
      </c>
      <c r="K507" s="10" t="s">
        <v>18594</v>
      </c>
      <c r="L507" s="10" t="s">
        <v>42</v>
      </c>
    </row>
    <row r="508" ht="15.75" customHeight="1">
      <c r="A508" s="64">
        <v>45425.0</v>
      </c>
      <c r="B508" s="55" t="str">
        <f>HYPERLINK("https://jobright.ai/jobs/info/6642aa10a6ba30d2ef81faab?utm_campaign=1054&amp;utm_source=sheet", "Apply")</f>
        <v>Apply</v>
      </c>
      <c r="C508" s="10" t="s">
        <v>18595</v>
      </c>
      <c r="D508" s="56" t="s">
        <v>3293</v>
      </c>
      <c r="E508" s="10" t="s">
        <v>209</v>
      </c>
      <c r="F508" s="10" t="s">
        <v>1587</v>
      </c>
      <c r="G508" s="10" t="s">
        <v>17429</v>
      </c>
      <c r="H508" s="10" t="s">
        <v>168</v>
      </c>
      <c r="I508" s="10" t="s">
        <v>55</v>
      </c>
      <c r="J508" s="10" t="s">
        <v>18596</v>
      </c>
      <c r="K508" s="10" t="s">
        <v>18597</v>
      </c>
      <c r="L508" s="10" t="s">
        <v>42</v>
      </c>
    </row>
    <row r="509" ht="15.75" customHeight="1">
      <c r="A509" s="64">
        <v>45425.0</v>
      </c>
      <c r="B509" s="55" t="str">
        <f>HYPERLINK("https://jobright.ai/jobs/info/6669261fe4014402c8870c8f?utm_campaign=1054&amp;utm_source=sheet", "Apply")</f>
        <v>Apply</v>
      </c>
      <c r="C509" s="10" t="s">
        <v>18598</v>
      </c>
      <c r="D509" s="56" t="s">
        <v>18572</v>
      </c>
      <c r="E509" s="10" t="s">
        <v>65</v>
      </c>
      <c r="F509" s="10" t="s">
        <v>3594</v>
      </c>
      <c r="G509" s="10" t="s">
        <v>17432</v>
      </c>
      <c r="H509" s="10" t="s">
        <v>18599</v>
      </c>
      <c r="I509" s="10" t="s">
        <v>55</v>
      </c>
      <c r="K509" s="10" t="s">
        <v>18600</v>
      </c>
      <c r="L509" s="10" t="s">
        <v>42</v>
      </c>
    </row>
    <row r="510" ht="15.75" customHeight="1">
      <c r="A510" s="64">
        <v>45425.0</v>
      </c>
      <c r="B510" s="55" t="str">
        <f>HYPERLINK("https://jobright.ai/jobs/info/66692639e4014402c8870e99?utm_campaign=1054&amp;utm_source=sheet", "Apply")</f>
        <v>Apply</v>
      </c>
      <c r="C510" s="10" t="s">
        <v>18601</v>
      </c>
      <c r="D510" s="56" t="s">
        <v>2110</v>
      </c>
      <c r="E510" s="10" t="s">
        <v>45</v>
      </c>
      <c r="F510" s="10" t="s">
        <v>1224</v>
      </c>
      <c r="G510" s="10" t="s">
        <v>17429</v>
      </c>
      <c r="H510" s="10" t="s">
        <v>2111</v>
      </c>
      <c r="I510" s="10" t="s">
        <v>48</v>
      </c>
      <c r="K510" s="10" t="s">
        <v>18602</v>
      </c>
      <c r="L510" s="10" t="s">
        <v>42</v>
      </c>
    </row>
    <row r="511" ht="15.75" customHeight="1">
      <c r="A511" s="64">
        <v>45421.0</v>
      </c>
      <c r="B511" s="55" t="str">
        <f>HYPERLINK("https://jobright.ai/jobs/info/6641fce3a931eb2ed459909d?utm_campaign=1054&amp;utm_source=sheet", "Apply")</f>
        <v>Apply</v>
      </c>
      <c r="C511" s="10" t="s">
        <v>18603</v>
      </c>
      <c r="D511" s="56" t="s">
        <v>17559</v>
      </c>
      <c r="G511" s="10" t="s">
        <v>17432</v>
      </c>
      <c r="H511" s="10" t="s">
        <v>939</v>
      </c>
      <c r="I511" s="10" t="s">
        <v>55</v>
      </c>
      <c r="K511" s="10" t="s">
        <v>18604</v>
      </c>
      <c r="L511" s="10" t="s">
        <v>42</v>
      </c>
    </row>
    <row r="512" ht="15.75" customHeight="1">
      <c r="A512" s="64">
        <v>45421.0</v>
      </c>
      <c r="B512" s="55" t="str">
        <f>HYPERLINK("https://jobright.ai/jobs/info/663ca2bb1baacf3d651be764?utm_campaign=1054&amp;utm_source=sheet", "Apply")</f>
        <v>Apply</v>
      </c>
      <c r="C512" s="10" t="s">
        <v>18605</v>
      </c>
      <c r="D512" s="56" t="s">
        <v>18606</v>
      </c>
      <c r="E512" s="10" t="s">
        <v>45</v>
      </c>
      <c r="F512" s="10" t="s">
        <v>2319</v>
      </c>
      <c r="G512" s="10" t="s">
        <v>17432</v>
      </c>
      <c r="H512" s="10" t="s">
        <v>18607</v>
      </c>
      <c r="I512" s="10" t="s">
        <v>55</v>
      </c>
      <c r="K512" s="10" t="s">
        <v>18608</v>
      </c>
      <c r="L512" s="10" t="s">
        <v>42</v>
      </c>
    </row>
    <row r="513" ht="15.75" customHeight="1">
      <c r="A513" s="64">
        <v>45421.0</v>
      </c>
      <c r="B513" s="55" t="str">
        <f>HYPERLINK("https://jobright.ai/jobs/info/663ca3bf1baacf3d651bfaa4?utm_campaign=1054&amp;utm_source=sheet", "Apply")</f>
        <v>Apply</v>
      </c>
      <c r="C513" s="10" t="s">
        <v>18605</v>
      </c>
      <c r="D513" s="56" t="s">
        <v>18606</v>
      </c>
      <c r="E513" s="10" t="s">
        <v>45</v>
      </c>
      <c r="F513" s="10" t="s">
        <v>2319</v>
      </c>
      <c r="G513" s="10" t="s">
        <v>17432</v>
      </c>
      <c r="H513" s="10" t="s">
        <v>9486</v>
      </c>
      <c r="I513" s="10" t="s">
        <v>55</v>
      </c>
      <c r="K513" s="10" t="s">
        <v>18608</v>
      </c>
      <c r="L513" s="10" t="s">
        <v>42</v>
      </c>
    </row>
    <row r="514" ht="15.75" customHeight="1">
      <c r="A514" s="64">
        <v>45421.0</v>
      </c>
      <c r="B514" s="55" t="str">
        <f>HYPERLINK("https://jobright.ai/jobs/info/663ca3bf1baacf3d651bfaa5?utm_campaign=1054&amp;utm_source=sheet", "Apply")</f>
        <v>Apply</v>
      </c>
      <c r="C514" s="10" t="s">
        <v>18605</v>
      </c>
      <c r="D514" s="56" t="s">
        <v>18606</v>
      </c>
      <c r="E514" s="10" t="s">
        <v>45</v>
      </c>
      <c r="F514" s="10" t="s">
        <v>2319</v>
      </c>
      <c r="G514" s="10" t="s">
        <v>17432</v>
      </c>
      <c r="H514" s="10" t="s">
        <v>18609</v>
      </c>
      <c r="I514" s="10" t="s">
        <v>55</v>
      </c>
      <c r="K514" s="10" t="s">
        <v>18608</v>
      </c>
      <c r="L514" s="10" t="s">
        <v>42</v>
      </c>
    </row>
    <row r="515" ht="15.75" customHeight="1">
      <c r="A515" s="64">
        <v>45421.0</v>
      </c>
      <c r="B515" s="55" t="str">
        <f>HYPERLINK("https://jobright.ai/jobs/info/663cb435246515bf34de189c?utm_campaign=1054&amp;utm_source=sheet", "Apply")</f>
        <v>Apply</v>
      </c>
      <c r="C515" s="10" t="s">
        <v>18605</v>
      </c>
      <c r="D515" s="56" t="s">
        <v>18606</v>
      </c>
      <c r="E515" s="10" t="s">
        <v>45</v>
      </c>
      <c r="F515" s="10" t="s">
        <v>2319</v>
      </c>
      <c r="G515" s="10" t="s">
        <v>17432</v>
      </c>
      <c r="H515" s="10" t="s">
        <v>18610</v>
      </c>
      <c r="I515" s="10" t="s">
        <v>55</v>
      </c>
      <c r="K515" s="10" t="s">
        <v>18608</v>
      </c>
      <c r="L515" s="10" t="s">
        <v>42</v>
      </c>
    </row>
    <row r="516" ht="15.75" customHeight="1">
      <c r="A516" s="64">
        <v>45421.0</v>
      </c>
      <c r="B516" s="55" t="str">
        <f>HYPERLINK("https://jobright.ai/jobs/info/663cb435246515bf34de189d?utm_campaign=1054&amp;utm_source=sheet", "Apply")</f>
        <v>Apply</v>
      </c>
      <c r="C516" s="10" t="s">
        <v>18605</v>
      </c>
      <c r="D516" s="56" t="s">
        <v>18606</v>
      </c>
      <c r="E516" s="10" t="s">
        <v>45</v>
      </c>
      <c r="F516" s="10" t="s">
        <v>2319</v>
      </c>
      <c r="G516" s="10" t="s">
        <v>17432</v>
      </c>
      <c r="H516" s="10" t="s">
        <v>18611</v>
      </c>
      <c r="I516" s="10" t="s">
        <v>55</v>
      </c>
      <c r="K516" s="10" t="s">
        <v>18608</v>
      </c>
      <c r="L516" s="10" t="s">
        <v>42</v>
      </c>
    </row>
    <row r="517" ht="15.75" customHeight="1">
      <c r="A517" s="64">
        <v>45419.0</v>
      </c>
      <c r="B517" s="55" t="str">
        <f>HYPERLINK("https://jobright.ai/jobs/info/6669319132b5c01ae03982e8?utm_campaign=1054&amp;utm_source=sheet", "Apply")</f>
        <v>Apply</v>
      </c>
      <c r="C517" s="10" t="s">
        <v>18612</v>
      </c>
      <c r="D517" s="56" t="s">
        <v>18572</v>
      </c>
      <c r="E517" s="10" t="s">
        <v>65</v>
      </c>
      <c r="F517" s="10" t="s">
        <v>3594</v>
      </c>
      <c r="G517" s="10" t="s">
        <v>17432</v>
      </c>
      <c r="H517" s="10" t="s">
        <v>2388</v>
      </c>
      <c r="I517" s="10" t="s">
        <v>55</v>
      </c>
      <c r="K517" s="10" t="s">
        <v>18594</v>
      </c>
      <c r="L517" s="10" t="s">
        <v>42</v>
      </c>
    </row>
    <row r="518" ht="15.75" customHeight="1">
      <c r="A518" s="64">
        <v>45419.0</v>
      </c>
      <c r="B518" s="55" t="str">
        <f>HYPERLINK("https://jobright.ai/jobs/info/66729d99e80f5e45e849ef8f?utm_campaign=1054&amp;utm_source=sheet", "Apply")</f>
        <v>Apply</v>
      </c>
      <c r="C518" s="10" t="s">
        <v>17434</v>
      </c>
      <c r="D518" s="56" t="s">
        <v>12880</v>
      </c>
      <c r="E518" s="10" t="s">
        <v>209</v>
      </c>
      <c r="F518" s="10" t="s">
        <v>259</v>
      </c>
      <c r="G518" s="10" t="s">
        <v>17429</v>
      </c>
      <c r="H518" s="10" t="s">
        <v>18613</v>
      </c>
      <c r="I518" s="10" t="s">
        <v>55</v>
      </c>
      <c r="K518" s="10" t="s">
        <v>18614</v>
      </c>
      <c r="L518" s="10" t="s">
        <v>42</v>
      </c>
    </row>
    <row r="519" ht="15.75" customHeight="1">
      <c r="A519" s="64">
        <v>45418.0</v>
      </c>
      <c r="B519" s="55" t="str">
        <f>HYPERLINK("https://jobright.ai/jobs/info/663921761d1c0ec226e01da0?utm_campaign=1054&amp;utm_source=sheet", "Apply")</f>
        <v>Apply</v>
      </c>
      <c r="C519" s="10" t="s">
        <v>17434</v>
      </c>
      <c r="D519" s="56" t="s">
        <v>11591</v>
      </c>
      <c r="E519" s="10" t="s">
        <v>249</v>
      </c>
      <c r="F519" s="10" t="s">
        <v>358</v>
      </c>
      <c r="G519" s="10" t="s">
        <v>17429</v>
      </c>
      <c r="H519" s="10" t="s">
        <v>1853</v>
      </c>
      <c r="I519" s="10" t="s">
        <v>55</v>
      </c>
      <c r="K519" s="10" t="s">
        <v>18615</v>
      </c>
      <c r="L519" s="10" t="s">
        <v>42</v>
      </c>
    </row>
    <row r="520" ht="15.75" customHeight="1">
      <c r="A520" s="64">
        <v>45418.0</v>
      </c>
      <c r="B520" s="55" t="str">
        <f>HYPERLINK("https://jobright.ai/jobs/info/66693fcc8f0265d34931af6a?utm_campaign=1054&amp;utm_source=sheet", "Apply")</f>
        <v>Apply</v>
      </c>
      <c r="C520" s="10" t="s">
        <v>17472</v>
      </c>
      <c r="D520" s="56" t="s">
        <v>1458</v>
      </c>
      <c r="E520" s="10" t="s">
        <v>45</v>
      </c>
      <c r="F520" s="10" t="s">
        <v>1459</v>
      </c>
      <c r="G520" s="10" t="s">
        <v>17429</v>
      </c>
      <c r="H520" s="10" t="s">
        <v>1460</v>
      </c>
      <c r="I520" s="10" t="s">
        <v>48</v>
      </c>
      <c r="J520" s="10" t="s">
        <v>1461</v>
      </c>
      <c r="K520" s="10" t="s">
        <v>18616</v>
      </c>
      <c r="L520" s="10" t="s">
        <v>42</v>
      </c>
    </row>
    <row r="521" ht="15.75" customHeight="1">
      <c r="A521" s="64">
        <v>45416.0</v>
      </c>
      <c r="B521" s="55" t="str">
        <f>HYPERLINK("https://jobright.ai/jobs/info/662a5c7a027530cacc8aa944?utm_campaign=1054&amp;utm_source=sheet", "Apply")</f>
        <v>Apply</v>
      </c>
      <c r="C521" s="10" t="s">
        <v>18617</v>
      </c>
      <c r="D521" s="56" t="s">
        <v>12303</v>
      </c>
      <c r="E521" s="10" t="s">
        <v>45</v>
      </c>
      <c r="F521" s="10" t="s">
        <v>1723</v>
      </c>
      <c r="G521" s="10" t="s">
        <v>17432</v>
      </c>
      <c r="H521" s="10" t="s">
        <v>18618</v>
      </c>
      <c r="I521" s="10" t="s">
        <v>55</v>
      </c>
      <c r="K521" s="10" t="s">
        <v>18619</v>
      </c>
      <c r="L521" s="10" t="s">
        <v>42</v>
      </c>
    </row>
    <row r="522" ht="15.75" customHeight="1">
      <c r="A522" s="64">
        <v>45416.0</v>
      </c>
      <c r="B522" s="55" t="str">
        <f>HYPERLINK("https://jobright.ai/jobs/info/6636f5c0206855dc689e33d2?utm_campaign=1054&amp;utm_source=sheet", "Apply")</f>
        <v>Apply</v>
      </c>
      <c r="C522" s="10" t="s">
        <v>8980</v>
      </c>
      <c r="D522" s="56" t="s">
        <v>18620</v>
      </c>
      <c r="E522" s="10" t="s">
        <v>65</v>
      </c>
      <c r="F522" s="10" t="s">
        <v>5705</v>
      </c>
      <c r="G522" s="10" t="s">
        <v>17432</v>
      </c>
      <c r="H522" s="10" t="s">
        <v>3271</v>
      </c>
      <c r="I522" s="10" t="s">
        <v>55</v>
      </c>
      <c r="K522" s="10" t="s">
        <v>8982</v>
      </c>
      <c r="L522" s="10" t="s">
        <v>42</v>
      </c>
    </row>
    <row r="523" ht="15.75" customHeight="1">
      <c r="A523" s="64">
        <v>45415.0</v>
      </c>
      <c r="B523" s="55" t="str">
        <f>HYPERLINK("https://jobright.ai/jobs/info/66353e055ea3ce33528ed77c?utm_campaign=1054&amp;utm_source=sheet", "Apply")</f>
        <v>Apply</v>
      </c>
      <c r="C523" s="10" t="s">
        <v>18621</v>
      </c>
      <c r="D523" s="56" t="s">
        <v>3148</v>
      </c>
      <c r="E523" s="10" t="s">
        <v>65</v>
      </c>
      <c r="F523" s="10" t="s">
        <v>3149</v>
      </c>
      <c r="G523" s="10" t="s">
        <v>17429</v>
      </c>
      <c r="H523" s="10" t="s">
        <v>18498</v>
      </c>
      <c r="I523" s="10" t="s">
        <v>55</v>
      </c>
      <c r="K523" s="10" t="s">
        <v>18499</v>
      </c>
      <c r="L523" s="10" t="s">
        <v>42</v>
      </c>
    </row>
    <row r="524" ht="15.75" customHeight="1">
      <c r="A524" s="64">
        <v>45415.0</v>
      </c>
      <c r="B524" s="55" t="str">
        <f>HYPERLINK("https://jobright.ai/jobs/info/66325b3d1e9b72dd45a76448?utm_campaign=1054&amp;utm_source=sheet", "Apply")</f>
        <v>Apply</v>
      </c>
      <c r="C524" s="10" t="s">
        <v>18622</v>
      </c>
      <c r="D524" s="56" t="s">
        <v>9376</v>
      </c>
      <c r="E524" s="10" t="s">
        <v>249</v>
      </c>
      <c r="F524" s="10" t="s">
        <v>9377</v>
      </c>
      <c r="G524" s="10" t="s">
        <v>17429</v>
      </c>
      <c r="H524" s="10" t="s">
        <v>813</v>
      </c>
      <c r="I524" s="10" t="s">
        <v>55</v>
      </c>
      <c r="K524" s="10" t="s">
        <v>18623</v>
      </c>
      <c r="L524" s="10" t="s">
        <v>42</v>
      </c>
    </row>
    <row r="525" ht="15.75" customHeight="1">
      <c r="A525" s="64">
        <v>45415.0</v>
      </c>
      <c r="B525" s="55" t="str">
        <f>HYPERLINK("https://jobright.ai/jobs/info/66693fe68f0265d34931b152?utm_campaign=1054&amp;utm_source=sheet", "Apply")</f>
        <v>Apply</v>
      </c>
      <c r="C525" s="10" t="s">
        <v>17434</v>
      </c>
      <c r="D525" s="56" t="s">
        <v>18017</v>
      </c>
      <c r="E525" s="10" t="s">
        <v>65</v>
      </c>
      <c r="F525" s="10" t="s">
        <v>3898</v>
      </c>
      <c r="G525" s="10" t="s">
        <v>17429</v>
      </c>
      <c r="H525" s="10" t="s">
        <v>18624</v>
      </c>
      <c r="I525" s="10" t="s">
        <v>55</v>
      </c>
      <c r="J525" s="10" t="s">
        <v>1984</v>
      </c>
      <c r="K525" s="10" t="s">
        <v>18625</v>
      </c>
      <c r="L525" s="10" t="s">
        <v>42</v>
      </c>
    </row>
    <row r="526" ht="15.75" customHeight="1">
      <c r="A526" s="64">
        <v>45413.0</v>
      </c>
      <c r="B526" s="55" t="str">
        <f>HYPERLINK("https://jobright.ai/jobs/info/6632d290173158cb8cf71835?utm_campaign=1054&amp;utm_source=sheet", "Apply")</f>
        <v>Apply</v>
      </c>
      <c r="C526" s="10" t="s">
        <v>18622</v>
      </c>
      <c r="D526" s="56" t="s">
        <v>8740</v>
      </c>
      <c r="E526" s="10" t="s">
        <v>45</v>
      </c>
      <c r="F526" s="10" t="s">
        <v>8741</v>
      </c>
      <c r="G526" s="10" t="s">
        <v>17429</v>
      </c>
      <c r="H526" s="10" t="s">
        <v>813</v>
      </c>
      <c r="I526" s="10" t="s">
        <v>55</v>
      </c>
      <c r="K526" s="10" t="s">
        <v>18623</v>
      </c>
      <c r="L526" s="10" t="s">
        <v>42</v>
      </c>
    </row>
    <row r="527" ht="15.75" customHeight="1">
      <c r="A527" s="64">
        <v>45413.0</v>
      </c>
      <c r="B527" s="55" t="str">
        <f>HYPERLINK("https://jobright.ai/jobs/info/6631c557e29394579b1bd380?utm_campaign=1054&amp;utm_source=sheet", "Apply")</f>
        <v>Apply</v>
      </c>
      <c r="C527" s="10" t="s">
        <v>18626</v>
      </c>
      <c r="D527" s="56" t="s">
        <v>18627</v>
      </c>
      <c r="E527" s="10">
        <v>9395.0</v>
      </c>
      <c r="G527" s="10" t="s">
        <v>17432</v>
      </c>
      <c r="H527" s="10" t="s">
        <v>18628</v>
      </c>
      <c r="I527" s="10" t="s">
        <v>55</v>
      </c>
      <c r="K527" s="10" t="s">
        <v>18629</v>
      </c>
      <c r="L527" s="10" t="s">
        <v>42</v>
      </c>
    </row>
    <row r="528">
      <c r="A528" s="64"/>
      <c r="D528" s="56"/>
    </row>
    <row r="529">
      <c r="A529" s="64"/>
      <c r="D529" s="56"/>
    </row>
    <row r="530">
      <c r="A530" s="64"/>
      <c r="D530" s="56"/>
    </row>
    <row r="531">
      <c r="A531" s="64"/>
      <c r="D531" s="56"/>
    </row>
    <row r="532">
      <c r="A532" s="64"/>
      <c r="D532" s="56"/>
    </row>
    <row r="533">
      <c r="A533" s="64"/>
      <c r="D533" s="56"/>
    </row>
    <row r="534">
      <c r="A534" s="64"/>
      <c r="D534" s="56"/>
    </row>
    <row r="535">
      <c r="A535" s="64"/>
      <c r="D535" s="56"/>
    </row>
    <row r="536">
      <c r="A536" s="64"/>
      <c r="D536" s="56"/>
    </row>
    <row r="537">
      <c r="A537" s="64"/>
      <c r="D537" s="56"/>
    </row>
    <row r="538">
      <c r="A538" s="64"/>
      <c r="D538" s="56"/>
    </row>
    <row r="539">
      <c r="A539" s="64"/>
      <c r="D539" s="56"/>
    </row>
    <row r="540">
      <c r="A540" s="64"/>
      <c r="D540" s="56"/>
    </row>
    <row r="541">
      <c r="A541" s="64"/>
      <c r="D541" s="56"/>
    </row>
    <row r="542">
      <c r="A542" s="64"/>
      <c r="D542" s="56"/>
    </row>
    <row r="543">
      <c r="A543" s="64"/>
      <c r="D543" s="56"/>
    </row>
    <row r="544">
      <c r="A544" s="64"/>
      <c r="D544" s="56"/>
    </row>
    <row r="545">
      <c r="A545" s="64"/>
      <c r="D545" s="56"/>
    </row>
    <row r="546">
      <c r="A546" s="64"/>
      <c r="D546" s="56"/>
    </row>
    <row r="547">
      <c r="A547" s="64"/>
      <c r="D547" s="56"/>
    </row>
    <row r="548">
      <c r="A548" s="64"/>
      <c r="D548" s="56"/>
    </row>
    <row r="549">
      <c r="A549" s="64"/>
      <c r="D549" s="56"/>
    </row>
    <row r="550">
      <c r="A550" s="64"/>
      <c r="D550" s="56"/>
    </row>
    <row r="551">
      <c r="A551" s="64"/>
      <c r="D551" s="56"/>
    </row>
    <row r="552">
      <c r="A552" s="64"/>
      <c r="D552" s="56"/>
    </row>
    <row r="553">
      <c r="A553" s="64"/>
      <c r="D553" s="56"/>
    </row>
    <row r="554">
      <c r="A554" s="64"/>
      <c r="D554" s="56"/>
    </row>
    <row r="555">
      <c r="A555" s="64"/>
      <c r="D555" s="56"/>
    </row>
    <row r="556">
      <c r="A556" s="64"/>
      <c r="D556" s="56"/>
    </row>
    <row r="557">
      <c r="A557" s="64"/>
      <c r="D557" s="56"/>
    </row>
    <row r="558">
      <c r="A558" s="64"/>
      <c r="D558" s="56"/>
    </row>
    <row r="559">
      <c r="A559" s="64"/>
      <c r="D559" s="56"/>
    </row>
    <row r="560">
      <c r="A560" s="64"/>
      <c r="D560" s="56"/>
    </row>
    <row r="561">
      <c r="A561" s="64"/>
      <c r="D561" s="56"/>
    </row>
    <row r="562">
      <c r="A562" s="64"/>
      <c r="D562" s="56"/>
    </row>
    <row r="563">
      <c r="A563" s="64"/>
      <c r="D563" s="56"/>
    </row>
    <row r="564">
      <c r="A564" s="64"/>
      <c r="D564" s="56"/>
    </row>
    <row r="565">
      <c r="A565" s="64"/>
      <c r="D565" s="63"/>
    </row>
    <row r="566">
      <c r="A566" s="64"/>
      <c r="D566" s="63"/>
    </row>
    <row r="567">
      <c r="A567" s="64"/>
      <c r="D567" s="63"/>
    </row>
    <row r="568">
      <c r="A568" s="64"/>
      <c r="D568" s="63"/>
    </row>
    <row r="569">
      <c r="A569" s="64"/>
      <c r="D569" s="63"/>
    </row>
    <row r="570">
      <c r="A570" s="64"/>
      <c r="D570" s="63"/>
    </row>
    <row r="571">
      <c r="A571" s="64"/>
      <c r="D571" s="63"/>
    </row>
    <row r="572">
      <c r="A572" s="64"/>
      <c r="D572" s="63"/>
    </row>
    <row r="573">
      <c r="A573" s="64"/>
      <c r="D573" s="63"/>
    </row>
    <row r="574">
      <c r="A574" s="64"/>
      <c r="D574" s="63"/>
    </row>
    <row r="575">
      <c r="A575" s="64"/>
      <c r="D575" s="63"/>
    </row>
    <row r="576">
      <c r="A576" s="64"/>
      <c r="D576" s="63"/>
    </row>
    <row r="577">
      <c r="A577" s="64"/>
      <c r="D577" s="63"/>
    </row>
    <row r="578">
      <c r="A578" s="64"/>
      <c r="D578" s="63"/>
    </row>
    <row r="579">
      <c r="A579" s="64"/>
      <c r="D579" s="63"/>
    </row>
    <row r="580">
      <c r="A580" s="64"/>
      <c r="D580" s="63"/>
    </row>
    <row r="581">
      <c r="A581" s="64"/>
      <c r="D581" s="63"/>
    </row>
    <row r="582">
      <c r="A582" s="64"/>
      <c r="D582" s="63"/>
    </row>
    <row r="583">
      <c r="A583" s="64"/>
      <c r="D583" s="63"/>
    </row>
    <row r="584">
      <c r="A584" s="64"/>
      <c r="D584" s="63"/>
    </row>
    <row r="585">
      <c r="A585" s="64"/>
      <c r="D585" s="63"/>
    </row>
    <row r="586">
      <c r="A586" s="64"/>
      <c r="D586" s="63"/>
    </row>
    <row r="587">
      <c r="A587" s="64"/>
      <c r="D587" s="63"/>
    </row>
    <row r="588">
      <c r="A588" s="64"/>
      <c r="D588" s="63"/>
    </row>
    <row r="589">
      <c r="A589" s="64"/>
      <c r="D589" s="63"/>
    </row>
    <row r="590">
      <c r="A590" s="64"/>
      <c r="D590" s="63"/>
    </row>
    <row r="591">
      <c r="A591" s="64"/>
      <c r="D591" s="63"/>
    </row>
    <row r="592">
      <c r="A592" s="64"/>
      <c r="D592" s="63"/>
    </row>
    <row r="593">
      <c r="A593" s="64"/>
      <c r="D593" s="63"/>
    </row>
    <row r="594">
      <c r="A594" s="64"/>
      <c r="D594" s="63"/>
    </row>
    <row r="595">
      <c r="A595" s="64"/>
      <c r="D595" s="63"/>
    </row>
    <row r="596">
      <c r="A596" s="64"/>
      <c r="D596" s="63"/>
    </row>
    <row r="597">
      <c r="A597" s="64"/>
      <c r="D597" s="63"/>
    </row>
    <row r="598">
      <c r="A598" s="64"/>
      <c r="D598" s="63"/>
    </row>
    <row r="599">
      <c r="A599" s="64"/>
      <c r="D599" s="63"/>
    </row>
    <row r="600">
      <c r="A600" s="64"/>
      <c r="D600" s="63"/>
    </row>
    <row r="601">
      <c r="A601" s="64"/>
      <c r="D601" s="63"/>
    </row>
    <row r="602">
      <c r="A602" s="64"/>
      <c r="D602" s="63"/>
    </row>
    <row r="603">
      <c r="A603" s="64"/>
      <c r="D603" s="63"/>
    </row>
    <row r="604">
      <c r="A604" s="64"/>
      <c r="D604" s="63"/>
    </row>
    <row r="605">
      <c r="A605" s="64"/>
      <c r="D605" s="63"/>
    </row>
    <row r="606">
      <c r="A606" s="64"/>
      <c r="D606" s="63"/>
    </row>
    <row r="607">
      <c r="A607" s="64"/>
      <c r="D607" s="63"/>
    </row>
    <row r="608">
      <c r="A608" s="64"/>
      <c r="D608" s="63"/>
    </row>
    <row r="609">
      <c r="A609" s="64"/>
      <c r="D609" s="63"/>
    </row>
    <row r="610">
      <c r="A610" s="64"/>
      <c r="D610" s="63"/>
    </row>
    <row r="611">
      <c r="A611" s="64"/>
      <c r="D611" s="63"/>
    </row>
    <row r="612">
      <c r="A612" s="64"/>
      <c r="D612" s="63"/>
    </row>
    <row r="613">
      <c r="A613" s="64"/>
      <c r="D613" s="63"/>
    </row>
    <row r="614">
      <c r="A614" s="64"/>
      <c r="D614" s="63"/>
    </row>
    <row r="615">
      <c r="A615" s="64"/>
      <c r="D615" s="63"/>
    </row>
    <row r="616">
      <c r="A616" s="64"/>
      <c r="D616" s="63"/>
    </row>
    <row r="617">
      <c r="A617" s="64"/>
      <c r="D617" s="63"/>
    </row>
    <row r="618">
      <c r="A618" s="64"/>
      <c r="D618" s="63"/>
    </row>
    <row r="619">
      <c r="A619" s="64"/>
      <c r="D619" s="63"/>
    </row>
    <row r="620">
      <c r="A620" s="64"/>
      <c r="D620" s="63"/>
    </row>
    <row r="621">
      <c r="A621" s="64"/>
      <c r="D621" s="63"/>
    </row>
    <row r="622">
      <c r="A622" s="64"/>
      <c r="D622" s="63"/>
    </row>
    <row r="623">
      <c r="A623" s="64"/>
      <c r="D623" s="63"/>
    </row>
    <row r="624">
      <c r="A624" s="64"/>
      <c r="D624" s="63"/>
    </row>
    <row r="625">
      <c r="A625" s="64"/>
      <c r="D625" s="63"/>
    </row>
    <row r="626">
      <c r="A626" s="64"/>
      <c r="D626" s="63"/>
    </row>
    <row r="627">
      <c r="A627" s="64"/>
      <c r="D627" s="63"/>
    </row>
    <row r="628">
      <c r="A628" s="64"/>
      <c r="D628" s="63"/>
    </row>
    <row r="629">
      <c r="A629" s="64"/>
      <c r="D629" s="63"/>
    </row>
    <row r="630">
      <c r="A630" s="64"/>
      <c r="D630" s="63"/>
    </row>
    <row r="631">
      <c r="A631" s="64"/>
      <c r="D631" s="63"/>
    </row>
    <row r="632">
      <c r="A632" s="64"/>
      <c r="D632" s="63"/>
    </row>
    <row r="633">
      <c r="A633" s="64"/>
      <c r="D633" s="63"/>
    </row>
    <row r="634">
      <c r="A634" s="64"/>
      <c r="D634" s="63"/>
    </row>
    <row r="635">
      <c r="A635" s="64"/>
      <c r="D635" s="63"/>
    </row>
    <row r="636">
      <c r="A636" s="64"/>
      <c r="D636" s="63"/>
    </row>
    <row r="637">
      <c r="A637" s="64"/>
      <c r="D637" s="63"/>
    </row>
    <row r="638">
      <c r="A638" s="64"/>
      <c r="D638" s="63"/>
    </row>
    <row r="639">
      <c r="A639" s="64"/>
      <c r="D639" s="63"/>
    </row>
    <row r="640">
      <c r="A640" s="64"/>
      <c r="D640" s="63"/>
    </row>
    <row r="641">
      <c r="A641" s="64"/>
      <c r="D641" s="63"/>
    </row>
    <row r="642">
      <c r="A642" s="64"/>
      <c r="D642" s="63"/>
    </row>
    <row r="643">
      <c r="A643" s="64"/>
      <c r="D643" s="63"/>
    </row>
    <row r="644">
      <c r="A644" s="64"/>
      <c r="D644" s="63"/>
    </row>
    <row r="645">
      <c r="A645" s="64"/>
      <c r="D645" s="63"/>
    </row>
    <row r="646">
      <c r="A646" s="64"/>
      <c r="D646" s="63"/>
    </row>
    <row r="647">
      <c r="A647" s="64"/>
      <c r="D647" s="63"/>
    </row>
    <row r="648">
      <c r="A648" s="64"/>
      <c r="D648" s="63"/>
    </row>
    <row r="649">
      <c r="A649" s="64"/>
      <c r="D649" s="63"/>
    </row>
    <row r="650">
      <c r="A650" s="64"/>
      <c r="D650" s="63"/>
    </row>
    <row r="651">
      <c r="A651" s="64"/>
      <c r="D651" s="63"/>
    </row>
    <row r="652">
      <c r="A652" s="64"/>
      <c r="D652" s="63"/>
    </row>
    <row r="653">
      <c r="A653" s="64"/>
      <c r="D653" s="63"/>
    </row>
    <row r="654">
      <c r="A654" s="64"/>
      <c r="D654" s="63"/>
    </row>
    <row r="655">
      <c r="A655" s="64"/>
      <c r="D655" s="63"/>
    </row>
    <row r="656">
      <c r="A656" s="64"/>
      <c r="D656" s="63"/>
    </row>
    <row r="657">
      <c r="A657" s="64"/>
      <c r="D657" s="63"/>
    </row>
    <row r="658">
      <c r="A658" s="64"/>
      <c r="D658" s="63"/>
    </row>
    <row r="659">
      <c r="A659" s="64"/>
      <c r="D659" s="63"/>
    </row>
    <row r="660">
      <c r="A660" s="64"/>
      <c r="D660" s="63"/>
    </row>
    <row r="661">
      <c r="A661" s="64"/>
      <c r="D661" s="63"/>
    </row>
    <row r="662">
      <c r="A662" s="64"/>
      <c r="D662" s="63"/>
    </row>
    <row r="663">
      <c r="A663" s="64"/>
      <c r="D663" s="63"/>
    </row>
    <row r="664">
      <c r="A664" s="64"/>
      <c r="D664" s="63"/>
    </row>
    <row r="665">
      <c r="A665" s="64"/>
      <c r="D665" s="63"/>
    </row>
    <row r="666">
      <c r="A666" s="64"/>
      <c r="D666" s="63"/>
    </row>
    <row r="667">
      <c r="A667" s="64"/>
      <c r="D667" s="63"/>
    </row>
    <row r="668">
      <c r="A668" s="64"/>
      <c r="D668" s="63"/>
    </row>
    <row r="669">
      <c r="A669" s="64"/>
      <c r="D669" s="63"/>
    </row>
    <row r="670">
      <c r="A670" s="64"/>
      <c r="D670" s="63"/>
    </row>
    <row r="671">
      <c r="A671" s="64"/>
      <c r="D671" s="63"/>
    </row>
    <row r="672">
      <c r="A672" s="64"/>
      <c r="D672" s="63"/>
    </row>
    <row r="673">
      <c r="A673" s="64"/>
      <c r="D673" s="63"/>
    </row>
    <row r="674">
      <c r="A674" s="64"/>
      <c r="D674" s="63"/>
    </row>
    <row r="675">
      <c r="A675" s="64"/>
      <c r="D675" s="63"/>
    </row>
    <row r="676">
      <c r="A676" s="64"/>
      <c r="D676" s="63"/>
    </row>
    <row r="677">
      <c r="A677" s="64"/>
      <c r="D677" s="63"/>
    </row>
    <row r="678">
      <c r="A678" s="64"/>
      <c r="D678" s="62"/>
    </row>
    <row r="679">
      <c r="A679" s="64"/>
      <c r="D679" s="63"/>
    </row>
    <row r="680">
      <c r="A680" s="64"/>
      <c r="D680" s="63"/>
    </row>
    <row r="681">
      <c r="A681" s="64"/>
      <c r="D681" s="63"/>
    </row>
    <row r="682">
      <c r="A682" s="64"/>
      <c r="D682" s="63"/>
    </row>
    <row r="683">
      <c r="A683" s="64"/>
      <c r="D683" s="63"/>
    </row>
    <row r="684">
      <c r="A684" s="64"/>
      <c r="D684" s="63"/>
    </row>
    <row r="685">
      <c r="A685" s="64"/>
      <c r="D685" s="63"/>
    </row>
    <row r="686">
      <c r="A686" s="64"/>
      <c r="D686" s="63"/>
    </row>
    <row r="687">
      <c r="A687" s="64"/>
      <c r="D687" s="63"/>
    </row>
    <row r="688">
      <c r="A688" s="64"/>
      <c r="D688" s="63"/>
    </row>
    <row r="689">
      <c r="A689" s="64"/>
      <c r="D689" s="63"/>
    </row>
    <row r="690">
      <c r="A690" s="64"/>
      <c r="D690" s="63"/>
    </row>
    <row r="691">
      <c r="A691" s="64"/>
      <c r="D691" s="63"/>
    </row>
    <row r="692">
      <c r="A692" s="64"/>
      <c r="D692" s="63"/>
    </row>
    <row r="693">
      <c r="A693" s="64"/>
      <c r="D693" s="63"/>
    </row>
    <row r="694">
      <c r="A694" s="64"/>
      <c r="D694" s="63"/>
    </row>
    <row r="695">
      <c r="A695" s="64"/>
      <c r="D695" s="63"/>
    </row>
    <row r="696">
      <c r="A696" s="64"/>
      <c r="D696" s="63"/>
    </row>
    <row r="697">
      <c r="A697" s="64"/>
      <c r="D697" s="63"/>
    </row>
    <row r="698">
      <c r="A698" s="64"/>
      <c r="D698" s="63"/>
    </row>
    <row r="699">
      <c r="A699" s="64"/>
      <c r="D699" s="63"/>
    </row>
    <row r="700">
      <c r="A700" s="64"/>
      <c r="D700" s="63"/>
    </row>
    <row r="701">
      <c r="A701" s="64"/>
      <c r="D701" s="63"/>
    </row>
    <row r="702">
      <c r="A702" s="64"/>
      <c r="D702" s="63"/>
    </row>
    <row r="703">
      <c r="A703" s="64"/>
      <c r="D703" s="63"/>
    </row>
    <row r="704">
      <c r="A704" s="64"/>
      <c r="D704" s="63"/>
    </row>
    <row r="705">
      <c r="A705" s="64"/>
      <c r="D705" s="63"/>
    </row>
    <row r="706">
      <c r="A706" s="64"/>
      <c r="D706" s="63"/>
    </row>
    <row r="707">
      <c r="A707" s="64"/>
      <c r="D707" s="63"/>
    </row>
    <row r="708">
      <c r="A708" s="64"/>
      <c r="D708" s="63"/>
    </row>
    <row r="709">
      <c r="A709" s="64"/>
      <c r="D709" s="63"/>
    </row>
    <row r="710">
      <c r="A710" s="64"/>
      <c r="D710" s="63"/>
    </row>
    <row r="711">
      <c r="A711" s="64"/>
      <c r="D711" s="63"/>
    </row>
    <row r="712">
      <c r="A712" s="64"/>
      <c r="D712" s="63"/>
    </row>
    <row r="713">
      <c r="A713" s="64"/>
      <c r="D713" s="63"/>
    </row>
    <row r="714">
      <c r="A714" s="64"/>
      <c r="D714" s="63"/>
    </row>
    <row r="715">
      <c r="A715" s="64"/>
      <c r="D715" s="63"/>
    </row>
    <row r="716">
      <c r="A716" s="64"/>
      <c r="D716" s="63"/>
    </row>
    <row r="717">
      <c r="A717" s="64"/>
      <c r="D717" s="63"/>
    </row>
    <row r="718">
      <c r="A718" s="64"/>
      <c r="D718" s="63"/>
    </row>
    <row r="719">
      <c r="A719" s="64"/>
      <c r="D719" s="63"/>
    </row>
    <row r="720">
      <c r="A720" s="64"/>
      <c r="D720" s="63"/>
    </row>
    <row r="721">
      <c r="A721" s="64"/>
      <c r="D721" s="63"/>
    </row>
    <row r="722">
      <c r="A722" s="64"/>
      <c r="D722" s="63"/>
    </row>
    <row r="723">
      <c r="A723" s="64"/>
      <c r="D723" s="63"/>
    </row>
    <row r="724">
      <c r="A724" s="64"/>
      <c r="D724" s="63"/>
    </row>
    <row r="725">
      <c r="A725" s="64"/>
      <c r="D725" s="63"/>
    </row>
    <row r="726">
      <c r="A726" s="64"/>
      <c r="D726" s="63"/>
    </row>
    <row r="727">
      <c r="A727" s="64"/>
      <c r="D727" s="63"/>
    </row>
    <row r="728">
      <c r="A728" s="64"/>
      <c r="D728" s="63"/>
    </row>
    <row r="729">
      <c r="A729" s="64"/>
      <c r="D729" s="63"/>
    </row>
    <row r="730">
      <c r="A730" s="64"/>
      <c r="D730" s="63"/>
    </row>
    <row r="731">
      <c r="A731" s="64"/>
      <c r="D731" s="63"/>
    </row>
    <row r="732">
      <c r="A732" s="64"/>
      <c r="D732" s="63"/>
    </row>
    <row r="733">
      <c r="A733" s="64"/>
      <c r="D733" s="63"/>
    </row>
    <row r="734">
      <c r="A734" s="64"/>
      <c r="D734" s="63"/>
    </row>
    <row r="735">
      <c r="A735" s="64"/>
      <c r="D735" s="63"/>
    </row>
    <row r="736">
      <c r="A736" s="64"/>
      <c r="D736" s="63"/>
    </row>
    <row r="737">
      <c r="A737" s="64"/>
      <c r="D737" s="63"/>
    </row>
    <row r="738">
      <c r="A738" s="64"/>
      <c r="D738" s="63"/>
    </row>
    <row r="739">
      <c r="A739" s="64"/>
      <c r="D739" s="63"/>
    </row>
    <row r="740">
      <c r="A740" s="64"/>
      <c r="D740" s="63"/>
    </row>
    <row r="741">
      <c r="A741" s="64"/>
      <c r="D741" s="63"/>
    </row>
    <row r="742">
      <c r="A742" s="64"/>
      <c r="D742" s="63"/>
    </row>
    <row r="743">
      <c r="A743" s="64"/>
      <c r="D743" s="63"/>
    </row>
    <row r="744">
      <c r="A744" s="64"/>
      <c r="D744" s="63"/>
    </row>
    <row r="745">
      <c r="A745" s="64"/>
      <c r="D745" s="63"/>
    </row>
    <row r="746">
      <c r="A746" s="64"/>
      <c r="D746" s="63"/>
    </row>
    <row r="747">
      <c r="A747" s="64"/>
      <c r="D747" s="63"/>
    </row>
    <row r="748">
      <c r="A748" s="64"/>
      <c r="D748" s="63"/>
    </row>
    <row r="749">
      <c r="A749" s="64"/>
      <c r="D749" s="63"/>
    </row>
    <row r="750">
      <c r="A750" s="64"/>
      <c r="D750" s="63"/>
    </row>
    <row r="751">
      <c r="A751" s="64"/>
      <c r="D751" s="63"/>
    </row>
    <row r="752">
      <c r="A752" s="64"/>
      <c r="D752" s="63"/>
    </row>
    <row r="753">
      <c r="A753" s="64"/>
      <c r="D753" s="63"/>
    </row>
    <row r="754">
      <c r="A754" s="64"/>
      <c r="D754" s="63"/>
    </row>
    <row r="755">
      <c r="A755" s="64"/>
      <c r="D755" s="63"/>
    </row>
    <row r="756">
      <c r="A756" s="64"/>
      <c r="D756" s="63"/>
    </row>
    <row r="757">
      <c r="A757" s="64"/>
      <c r="D757" s="63"/>
    </row>
    <row r="758">
      <c r="A758" s="64"/>
      <c r="D758" s="63"/>
    </row>
    <row r="759">
      <c r="A759" s="64"/>
      <c r="D759" s="63"/>
    </row>
    <row r="760">
      <c r="A760" s="64"/>
      <c r="D760" s="63"/>
    </row>
    <row r="761">
      <c r="A761" s="64"/>
      <c r="D761" s="63"/>
    </row>
    <row r="762">
      <c r="A762" s="64"/>
      <c r="D762" s="63"/>
    </row>
    <row r="763">
      <c r="A763" s="64"/>
      <c r="D763" s="63"/>
    </row>
    <row r="764">
      <c r="A764" s="64"/>
      <c r="D764" s="63"/>
    </row>
    <row r="765">
      <c r="A765" s="64"/>
      <c r="D765" s="63"/>
    </row>
    <row r="766">
      <c r="A766" s="64"/>
      <c r="D766" s="63"/>
    </row>
    <row r="767">
      <c r="A767" s="64"/>
      <c r="D767" s="63"/>
    </row>
    <row r="768">
      <c r="A768" s="64"/>
      <c r="D768" s="63"/>
    </row>
    <row r="769">
      <c r="A769" s="64"/>
      <c r="D769" s="63"/>
    </row>
    <row r="770">
      <c r="A770" s="64"/>
      <c r="D770" s="63"/>
    </row>
    <row r="771">
      <c r="A771" s="64"/>
      <c r="D771" s="63"/>
    </row>
    <row r="772">
      <c r="A772" s="64"/>
      <c r="D772" s="63"/>
    </row>
    <row r="773">
      <c r="A773" s="64"/>
      <c r="D773" s="63"/>
    </row>
    <row r="774">
      <c r="A774" s="64"/>
      <c r="D774" s="63"/>
    </row>
    <row r="775">
      <c r="A775" s="64"/>
      <c r="D775" s="63"/>
    </row>
    <row r="776">
      <c r="A776" s="64"/>
      <c r="D776" s="63"/>
    </row>
    <row r="777">
      <c r="A777" s="64"/>
      <c r="D777" s="63"/>
    </row>
    <row r="778">
      <c r="A778" s="64"/>
      <c r="D778" s="63"/>
    </row>
    <row r="779">
      <c r="A779" s="64"/>
      <c r="D779" s="63"/>
    </row>
    <row r="780">
      <c r="A780" s="64"/>
      <c r="D780" s="63"/>
    </row>
    <row r="781">
      <c r="A781" s="64"/>
      <c r="D781" s="63"/>
    </row>
    <row r="782">
      <c r="A782" s="64"/>
      <c r="D782" s="63"/>
    </row>
    <row r="783">
      <c r="A783" s="64"/>
      <c r="D783" s="63"/>
    </row>
    <row r="784">
      <c r="A784" s="64"/>
      <c r="D784" s="63"/>
    </row>
    <row r="785">
      <c r="A785" s="64"/>
      <c r="D785" s="63"/>
    </row>
    <row r="786">
      <c r="A786" s="64"/>
      <c r="D786" s="63"/>
    </row>
    <row r="787">
      <c r="A787" s="64"/>
      <c r="D787" s="63"/>
    </row>
    <row r="788">
      <c r="A788" s="64"/>
      <c r="D788" s="63"/>
    </row>
    <row r="789">
      <c r="A789" s="64"/>
      <c r="D789" s="63"/>
    </row>
    <row r="790">
      <c r="A790" s="64"/>
      <c r="D790" s="63"/>
    </row>
    <row r="791">
      <c r="A791" s="64"/>
      <c r="D791" s="63"/>
    </row>
    <row r="792">
      <c r="A792" s="64"/>
      <c r="D792" s="63"/>
    </row>
    <row r="793">
      <c r="A793" s="64"/>
      <c r="D793" s="63"/>
    </row>
    <row r="794">
      <c r="A794" s="64"/>
      <c r="D794" s="63"/>
    </row>
    <row r="795">
      <c r="A795" s="66"/>
      <c r="D795" s="63"/>
    </row>
    <row r="796">
      <c r="A796" s="66"/>
      <c r="D796" s="63"/>
    </row>
    <row r="797">
      <c r="A797" s="66"/>
      <c r="D797" s="63"/>
    </row>
    <row r="798">
      <c r="A798" s="66"/>
      <c r="D798" s="63"/>
    </row>
    <row r="799">
      <c r="A799" s="66"/>
      <c r="D799" s="63"/>
    </row>
    <row r="800">
      <c r="A800" s="66"/>
      <c r="D800" s="63"/>
    </row>
    <row r="801">
      <c r="A801" s="66"/>
      <c r="D801" s="63"/>
    </row>
    <row r="802">
      <c r="A802" s="66"/>
      <c r="D802" s="63"/>
    </row>
    <row r="803">
      <c r="A803" s="66"/>
      <c r="D803" s="63"/>
    </row>
    <row r="804">
      <c r="A804" s="66"/>
      <c r="D804" s="63"/>
    </row>
    <row r="805">
      <c r="A805" s="66"/>
      <c r="D805" s="63"/>
    </row>
    <row r="806">
      <c r="A806" s="66"/>
      <c r="D806" s="63"/>
    </row>
    <row r="807">
      <c r="A807" s="66"/>
      <c r="D807" s="63"/>
    </row>
    <row r="808">
      <c r="A808" s="66"/>
      <c r="D808" s="63"/>
    </row>
    <row r="809">
      <c r="A809" s="66"/>
      <c r="D809" s="63"/>
    </row>
    <row r="810">
      <c r="A810" s="66"/>
      <c r="D810" s="63"/>
    </row>
    <row r="811">
      <c r="A811" s="66"/>
      <c r="D811" s="63"/>
    </row>
    <row r="812">
      <c r="A812" s="66"/>
      <c r="D812" s="63"/>
    </row>
    <row r="813">
      <c r="A813" s="66"/>
      <c r="D813" s="63"/>
    </row>
    <row r="814">
      <c r="A814" s="66"/>
      <c r="D814" s="63"/>
    </row>
    <row r="815">
      <c r="A815" s="66"/>
      <c r="D815" s="63"/>
    </row>
    <row r="816">
      <c r="A816" s="66"/>
      <c r="D816" s="63"/>
    </row>
    <row r="817">
      <c r="A817" s="66"/>
      <c r="D817" s="63"/>
    </row>
    <row r="818">
      <c r="A818" s="66"/>
      <c r="D818" s="63"/>
    </row>
    <row r="819">
      <c r="A819" s="66"/>
      <c r="D819" s="63"/>
    </row>
    <row r="820">
      <c r="A820" s="66"/>
      <c r="D820" s="63"/>
    </row>
    <row r="821">
      <c r="A821" s="66"/>
      <c r="D821" s="63"/>
    </row>
    <row r="822">
      <c r="A822" s="66"/>
      <c r="D822" s="63"/>
    </row>
    <row r="823">
      <c r="A823" s="66"/>
      <c r="D823" s="63"/>
    </row>
    <row r="824">
      <c r="A824" s="66"/>
      <c r="D824" s="63"/>
    </row>
    <row r="825">
      <c r="A825" s="66"/>
      <c r="D825" s="63"/>
    </row>
    <row r="826">
      <c r="A826" s="66"/>
      <c r="D826" s="63"/>
    </row>
    <row r="827">
      <c r="A827" s="66"/>
      <c r="D827" s="63"/>
    </row>
    <row r="828">
      <c r="A828" s="66"/>
      <c r="D828" s="63"/>
    </row>
    <row r="829">
      <c r="A829" s="66"/>
      <c r="D829" s="63"/>
    </row>
    <row r="830">
      <c r="A830" s="66"/>
      <c r="D830" s="63"/>
    </row>
    <row r="831">
      <c r="A831" s="66"/>
      <c r="D831" s="63"/>
    </row>
    <row r="832">
      <c r="A832" s="67"/>
      <c r="D832" s="63"/>
    </row>
    <row r="833">
      <c r="A833" s="67"/>
      <c r="D833" s="63"/>
    </row>
    <row r="834">
      <c r="A834" s="67"/>
      <c r="D834" s="63"/>
    </row>
    <row r="835">
      <c r="A835" s="67"/>
      <c r="D835" s="63"/>
    </row>
    <row r="836">
      <c r="A836" s="67"/>
      <c r="D836" s="63"/>
    </row>
    <row r="837">
      <c r="A837" s="67"/>
      <c r="D837" s="63"/>
    </row>
    <row r="838">
      <c r="A838" s="67"/>
      <c r="D838" s="63"/>
    </row>
    <row r="839">
      <c r="A839" s="67"/>
      <c r="D839" s="63"/>
    </row>
    <row r="840">
      <c r="A840" s="67"/>
      <c r="D840" s="63"/>
    </row>
    <row r="841">
      <c r="A841" s="67"/>
      <c r="D841" s="63"/>
    </row>
    <row r="842">
      <c r="A842" s="67"/>
      <c r="D842" s="63"/>
    </row>
    <row r="843">
      <c r="A843" s="67"/>
      <c r="D843" s="63"/>
    </row>
    <row r="844">
      <c r="A844" s="67"/>
      <c r="D844" s="63"/>
    </row>
    <row r="845">
      <c r="A845" s="67"/>
      <c r="D845" s="63"/>
    </row>
    <row r="846">
      <c r="A846" s="67"/>
      <c r="D846" s="63"/>
    </row>
    <row r="847">
      <c r="A847" s="67"/>
      <c r="D847" s="63"/>
    </row>
    <row r="848">
      <c r="A848" s="67"/>
      <c r="D848" s="63"/>
    </row>
    <row r="849">
      <c r="A849" s="67"/>
      <c r="D849" s="63"/>
    </row>
    <row r="850">
      <c r="A850" s="67"/>
      <c r="D850" s="63"/>
    </row>
    <row r="851">
      <c r="A851" s="67"/>
      <c r="D851" s="63"/>
    </row>
    <row r="852">
      <c r="A852" s="67"/>
      <c r="D852" s="63"/>
    </row>
    <row r="853">
      <c r="A853" s="67"/>
      <c r="D853" s="63"/>
    </row>
    <row r="854">
      <c r="A854" s="67"/>
      <c r="D854" s="63"/>
    </row>
    <row r="855">
      <c r="A855" s="67"/>
      <c r="D855" s="63"/>
    </row>
    <row r="856">
      <c r="A856" s="67"/>
      <c r="D856" s="63"/>
    </row>
    <row r="857">
      <c r="A857" s="67"/>
      <c r="D857" s="63"/>
    </row>
    <row r="858">
      <c r="A858" s="67"/>
      <c r="D858" s="63"/>
    </row>
    <row r="859">
      <c r="A859" s="67"/>
      <c r="D859" s="63"/>
    </row>
    <row r="860">
      <c r="A860" s="67"/>
      <c r="D860" s="63"/>
    </row>
    <row r="861">
      <c r="A861" s="67"/>
      <c r="D861" s="63"/>
    </row>
    <row r="862">
      <c r="A862" s="67"/>
      <c r="D862" s="63"/>
    </row>
    <row r="863">
      <c r="A863" s="67"/>
      <c r="D863" s="63"/>
    </row>
    <row r="864">
      <c r="A864" s="67"/>
      <c r="D864" s="63"/>
    </row>
    <row r="865">
      <c r="A865" s="67"/>
      <c r="D865" s="63"/>
    </row>
    <row r="866">
      <c r="A866" s="67"/>
      <c r="D866" s="63"/>
    </row>
    <row r="867">
      <c r="A867" s="67"/>
      <c r="D867" s="63"/>
    </row>
    <row r="868">
      <c r="A868" s="67"/>
      <c r="D868" s="63"/>
    </row>
    <row r="869">
      <c r="A869" s="67"/>
      <c r="D869" s="63"/>
    </row>
    <row r="870">
      <c r="A870" s="67"/>
      <c r="D870" s="63"/>
    </row>
    <row r="871">
      <c r="A871" s="67"/>
      <c r="D871" s="63"/>
    </row>
    <row r="872">
      <c r="A872" s="67"/>
      <c r="D872" s="63"/>
    </row>
    <row r="873">
      <c r="A873" s="67"/>
      <c r="D873" s="63"/>
    </row>
    <row r="874">
      <c r="A874" s="67"/>
      <c r="D874" s="63"/>
    </row>
    <row r="875">
      <c r="A875" s="67"/>
      <c r="D875" s="63"/>
    </row>
    <row r="876">
      <c r="A876" s="67"/>
      <c r="D876" s="63"/>
    </row>
    <row r="877">
      <c r="A877" s="67"/>
      <c r="D877" s="63"/>
    </row>
    <row r="878">
      <c r="A878" s="67"/>
      <c r="D878" s="63"/>
    </row>
    <row r="879">
      <c r="A879" s="67"/>
      <c r="D879" s="63"/>
    </row>
    <row r="880">
      <c r="A880" s="67"/>
      <c r="D880" s="63"/>
    </row>
    <row r="881">
      <c r="A881" s="67"/>
      <c r="D881" s="63"/>
    </row>
    <row r="882">
      <c r="A882" s="67"/>
      <c r="D882" s="63"/>
    </row>
    <row r="883">
      <c r="A883" s="67"/>
      <c r="D883" s="63"/>
    </row>
    <row r="884">
      <c r="A884" s="67"/>
      <c r="D884" s="63"/>
    </row>
    <row r="885">
      <c r="A885" s="67"/>
      <c r="D885" s="63"/>
    </row>
    <row r="886">
      <c r="A886" s="67"/>
      <c r="D886" s="63"/>
    </row>
    <row r="887">
      <c r="A887" s="67"/>
      <c r="D887" s="63"/>
    </row>
    <row r="888">
      <c r="A888" s="67"/>
      <c r="D888" s="63"/>
    </row>
    <row r="889">
      <c r="A889" s="67"/>
      <c r="D889" s="63"/>
    </row>
    <row r="890">
      <c r="A890" s="67"/>
      <c r="D890" s="63"/>
    </row>
    <row r="891">
      <c r="A891" s="67"/>
      <c r="D891" s="63"/>
    </row>
    <row r="892">
      <c r="A892" s="67"/>
      <c r="D892" s="63"/>
    </row>
    <row r="893">
      <c r="A893" s="67"/>
      <c r="D893" s="63"/>
    </row>
    <row r="894">
      <c r="A894" s="67"/>
      <c r="D894" s="63"/>
    </row>
    <row r="895">
      <c r="A895" s="67"/>
      <c r="D895" s="63"/>
    </row>
    <row r="896">
      <c r="A896" s="67"/>
      <c r="D896" s="63"/>
    </row>
    <row r="897">
      <c r="A897" s="67"/>
      <c r="D897" s="63"/>
    </row>
    <row r="898">
      <c r="A898" s="67"/>
      <c r="D898" s="63"/>
    </row>
    <row r="899">
      <c r="A899" s="67"/>
      <c r="D899" s="63"/>
    </row>
    <row r="900">
      <c r="A900" s="67"/>
      <c r="D900" s="63"/>
    </row>
    <row r="901">
      <c r="A901" s="67"/>
      <c r="D901" s="63"/>
    </row>
    <row r="902">
      <c r="A902" s="67"/>
      <c r="D902" s="63"/>
    </row>
    <row r="903">
      <c r="A903" s="67"/>
      <c r="D903" s="63"/>
    </row>
    <row r="904">
      <c r="A904" s="67"/>
      <c r="D904" s="63"/>
    </row>
    <row r="905">
      <c r="A905" s="67"/>
      <c r="D905" s="63"/>
    </row>
    <row r="906">
      <c r="A906" s="67"/>
      <c r="D906" s="63"/>
    </row>
    <row r="907">
      <c r="A907" s="67"/>
      <c r="D907" s="63"/>
    </row>
    <row r="908">
      <c r="A908" s="67"/>
      <c r="D908" s="63"/>
    </row>
    <row r="909">
      <c r="A909" s="68"/>
      <c r="D909" s="63"/>
    </row>
    <row r="910">
      <c r="A910" s="68"/>
      <c r="D910" s="63"/>
    </row>
    <row r="911">
      <c r="A911" s="68"/>
      <c r="D911" s="63"/>
    </row>
    <row r="912">
      <c r="A912" s="68"/>
      <c r="D912" s="63"/>
    </row>
    <row r="913">
      <c r="A913" s="68"/>
      <c r="D913" s="63"/>
    </row>
    <row r="914">
      <c r="A914" s="68"/>
      <c r="D914" s="63"/>
    </row>
    <row r="915">
      <c r="A915" s="68"/>
      <c r="D915" s="63"/>
    </row>
    <row r="916">
      <c r="A916" s="68"/>
      <c r="D916" s="63"/>
    </row>
    <row r="917">
      <c r="A917" s="68"/>
      <c r="D917" s="63"/>
    </row>
    <row r="918">
      <c r="A918" s="68"/>
      <c r="D918" s="63"/>
    </row>
    <row r="919">
      <c r="A919" s="68"/>
      <c r="D919" s="63"/>
    </row>
    <row r="920">
      <c r="A920" s="68"/>
      <c r="D920" s="63"/>
    </row>
    <row r="921">
      <c r="A921" s="68"/>
      <c r="D921" s="63"/>
    </row>
    <row r="922">
      <c r="A922" s="68"/>
      <c r="D922" s="63"/>
    </row>
    <row r="923">
      <c r="A923" s="68"/>
      <c r="D923" s="63"/>
    </row>
    <row r="924">
      <c r="A924" s="68"/>
      <c r="D924" s="63"/>
    </row>
    <row r="925">
      <c r="A925" s="68"/>
      <c r="D925" s="63"/>
    </row>
    <row r="926">
      <c r="A926" s="68"/>
      <c r="D926" s="63"/>
    </row>
    <row r="927">
      <c r="A927" s="68"/>
      <c r="D927" s="63"/>
    </row>
    <row r="928">
      <c r="A928" s="68"/>
      <c r="D928" s="63"/>
    </row>
    <row r="929">
      <c r="A929" s="68"/>
      <c r="D929" s="63"/>
    </row>
    <row r="930">
      <c r="A930" s="68"/>
      <c r="D930" s="63"/>
    </row>
    <row r="931">
      <c r="A931" s="68"/>
      <c r="D931" s="63"/>
    </row>
    <row r="932">
      <c r="A932" s="68"/>
      <c r="D932" s="63"/>
    </row>
    <row r="933">
      <c r="A933" s="68"/>
      <c r="D933" s="63"/>
    </row>
    <row r="934">
      <c r="A934" s="68"/>
      <c r="D934" s="63"/>
    </row>
    <row r="935">
      <c r="A935" s="64"/>
      <c r="D935" s="63"/>
    </row>
    <row r="936">
      <c r="A936" s="64"/>
      <c r="D936" s="63"/>
    </row>
    <row r="937">
      <c r="A937" s="64"/>
      <c r="D937" s="63"/>
    </row>
    <row r="938">
      <c r="A938" s="64"/>
      <c r="D938" s="63"/>
    </row>
    <row r="939">
      <c r="A939" s="64"/>
      <c r="D939" s="63"/>
    </row>
    <row r="940">
      <c r="A940" s="64"/>
      <c r="D940" s="63"/>
    </row>
    <row r="941">
      <c r="A941" s="64"/>
      <c r="D941" s="63"/>
    </row>
    <row r="942">
      <c r="A942" s="64"/>
      <c r="D942" s="63"/>
    </row>
    <row r="943">
      <c r="A943" s="64"/>
      <c r="D943" s="63"/>
    </row>
    <row r="944">
      <c r="A944" s="64"/>
      <c r="D944" s="63"/>
    </row>
    <row r="945">
      <c r="A945" s="64"/>
      <c r="D945" s="63"/>
    </row>
    <row r="946">
      <c r="A946" s="64"/>
      <c r="D946" s="63"/>
    </row>
    <row r="947">
      <c r="A947" s="64"/>
      <c r="D947" s="63"/>
    </row>
    <row r="948">
      <c r="A948" s="64"/>
      <c r="D948" s="63"/>
    </row>
    <row r="949">
      <c r="A949" s="64"/>
      <c r="D949" s="63"/>
    </row>
    <row r="950">
      <c r="A950" s="64"/>
      <c r="D950" s="63"/>
    </row>
    <row r="951">
      <c r="A951" s="64"/>
      <c r="D951" s="63"/>
    </row>
    <row r="952">
      <c r="A952" s="64"/>
      <c r="D952" s="63"/>
    </row>
    <row r="953">
      <c r="A953" s="64"/>
      <c r="D953" s="63"/>
    </row>
    <row r="954">
      <c r="A954" s="64"/>
      <c r="D954" s="63"/>
    </row>
    <row r="955">
      <c r="A955" s="64"/>
      <c r="D955" s="63"/>
    </row>
    <row r="956">
      <c r="A956" s="64"/>
      <c r="D956" s="63"/>
    </row>
    <row r="957">
      <c r="A957" s="64"/>
      <c r="D957" s="63"/>
    </row>
    <row r="958">
      <c r="A958" s="64"/>
      <c r="D958" s="63"/>
    </row>
    <row r="959">
      <c r="A959" s="64"/>
      <c r="D959" s="63"/>
    </row>
    <row r="960">
      <c r="A960" s="64"/>
      <c r="D960" s="63"/>
    </row>
    <row r="961">
      <c r="A961" s="64"/>
      <c r="D961" s="63"/>
    </row>
    <row r="962">
      <c r="A962" s="64"/>
      <c r="D962" s="63"/>
    </row>
    <row r="963">
      <c r="A963" s="64"/>
      <c r="D963" s="63"/>
    </row>
    <row r="964">
      <c r="A964" s="64"/>
      <c r="D964" s="63"/>
    </row>
    <row r="965">
      <c r="A965" s="64"/>
      <c r="D965" s="63"/>
    </row>
    <row r="966">
      <c r="A966" s="66"/>
      <c r="D966" s="63"/>
    </row>
    <row r="967">
      <c r="A967" s="66"/>
      <c r="D967" s="63"/>
    </row>
    <row r="968">
      <c r="A968" s="66"/>
      <c r="D968" s="63"/>
    </row>
    <row r="969">
      <c r="A969" s="66"/>
      <c r="D969" s="63"/>
    </row>
    <row r="970">
      <c r="A970" s="66"/>
      <c r="D970" s="63"/>
    </row>
    <row r="971">
      <c r="A971" s="66"/>
      <c r="D971" s="63"/>
    </row>
    <row r="972">
      <c r="A972" s="66"/>
      <c r="D972" s="63"/>
    </row>
    <row r="973">
      <c r="A973" s="66"/>
      <c r="D973" s="63"/>
    </row>
    <row r="974">
      <c r="A974" s="64"/>
      <c r="D974" s="63"/>
    </row>
    <row r="975">
      <c r="A975" s="64"/>
      <c r="D975" s="63"/>
    </row>
    <row r="976">
      <c r="A976" s="64"/>
      <c r="D976" s="63"/>
    </row>
    <row r="977">
      <c r="A977" s="64"/>
      <c r="D977" s="63"/>
    </row>
    <row r="978">
      <c r="A978" s="64"/>
      <c r="D978" s="63"/>
    </row>
    <row r="979">
      <c r="A979" s="64"/>
      <c r="D979" s="63"/>
    </row>
    <row r="980">
      <c r="A980" s="64"/>
      <c r="D980" s="63"/>
    </row>
    <row r="981">
      <c r="A981" s="64"/>
      <c r="D981" s="63"/>
    </row>
    <row r="982">
      <c r="A982" s="66"/>
      <c r="D982" s="63"/>
    </row>
    <row r="983">
      <c r="A983" s="64"/>
      <c r="D983" s="63"/>
    </row>
    <row r="984">
      <c r="A984" s="64"/>
      <c r="D984" s="63"/>
    </row>
    <row r="985">
      <c r="A985" s="64"/>
      <c r="D985" s="63"/>
    </row>
    <row r="986">
      <c r="A986" s="64"/>
      <c r="D986" s="63"/>
    </row>
    <row r="987">
      <c r="A987" s="64"/>
      <c r="D987" s="63"/>
    </row>
    <row r="988">
      <c r="A988" s="64"/>
      <c r="D988" s="63"/>
    </row>
    <row r="989">
      <c r="A989" s="64"/>
      <c r="D989" s="63"/>
    </row>
    <row r="990">
      <c r="A990" s="64"/>
      <c r="D990" s="63"/>
    </row>
    <row r="991">
      <c r="A991" s="64"/>
      <c r="D991" s="63"/>
    </row>
    <row r="992">
      <c r="A992" s="66"/>
      <c r="D992" s="63"/>
    </row>
    <row r="993">
      <c r="A993" s="66"/>
      <c r="D993" s="63"/>
    </row>
    <row r="994">
      <c r="A994" s="66"/>
      <c r="D994" s="63"/>
    </row>
    <row r="995">
      <c r="A995" s="64"/>
      <c r="D995" s="63"/>
    </row>
    <row r="996">
      <c r="A996" s="64"/>
      <c r="D996" s="63"/>
    </row>
    <row r="997">
      <c r="A997" s="64"/>
      <c r="D997" s="63"/>
    </row>
    <row r="998">
      <c r="A998" s="64"/>
      <c r="D998" s="63"/>
    </row>
    <row r="999">
      <c r="A999" s="64"/>
      <c r="D999" s="63"/>
    </row>
    <row r="1000">
      <c r="A1000" s="64"/>
      <c r="D1000" s="63"/>
    </row>
    <row r="1001">
      <c r="A1001" s="64"/>
      <c r="D1001" s="63"/>
    </row>
    <row r="1002">
      <c r="A1002" s="64"/>
      <c r="D1002" s="63"/>
    </row>
    <row r="1003">
      <c r="A1003" s="64"/>
      <c r="D1003" s="63"/>
    </row>
    <row r="1004">
      <c r="D1004" s="63"/>
      <c r="F1004" s="70"/>
    </row>
    <row r="1005">
      <c r="D1005" s="63"/>
      <c r="F1005" s="70"/>
    </row>
    <row r="1006">
      <c r="D1006" s="63"/>
      <c r="F1006" s="70"/>
    </row>
    <row r="1007">
      <c r="D1007" s="63"/>
      <c r="F1007" s="70"/>
    </row>
    <row r="1008">
      <c r="D1008" s="63"/>
      <c r="F1008" s="70"/>
    </row>
    <row r="1009">
      <c r="D1009" s="63"/>
      <c r="F1009" s="70"/>
    </row>
    <row r="1010">
      <c r="D1010" s="63"/>
      <c r="F1010" s="70"/>
    </row>
    <row r="1011">
      <c r="D1011" s="63"/>
      <c r="F1011" s="70"/>
    </row>
    <row r="1012">
      <c r="D1012" s="63"/>
      <c r="F1012" s="70"/>
    </row>
    <row r="1013">
      <c r="D1013" s="63"/>
      <c r="F1013" s="70"/>
    </row>
    <row r="1014">
      <c r="D1014" s="63"/>
      <c r="F1014" s="70"/>
    </row>
    <row r="1015">
      <c r="D1015" s="63"/>
      <c r="F1015" s="66"/>
    </row>
    <row r="1016">
      <c r="D1016" s="63"/>
      <c r="F1016" s="66"/>
    </row>
    <row r="1017">
      <c r="D1017" s="63"/>
      <c r="F1017" s="64"/>
    </row>
    <row r="1018">
      <c r="D1018" s="63"/>
      <c r="F1018" s="64"/>
    </row>
    <row r="1019">
      <c r="D1019" s="63"/>
      <c r="F1019" s="64"/>
    </row>
    <row r="1020">
      <c r="D1020" s="63"/>
      <c r="F1020" s="64"/>
    </row>
    <row r="1021">
      <c r="D1021" s="63"/>
      <c r="F1021" s="64"/>
    </row>
    <row r="1022">
      <c r="D1022" s="63"/>
      <c r="F1022" s="64"/>
    </row>
    <row r="1023">
      <c r="D1023" s="63"/>
      <c r="F1023" s="66"/>
    </row>
    <row r="1024">
      <c r="D1024" s="63"/>
      <c r="F1024" s="66"/>
    </row>
    <row r="1025">
      <c r="D1025" s="63"/>
      <c r="F1025" s="66"/>
    </row>
    <row r="1026">
      <c r="D1026" s="63"/>
      <c r="F1026" s="64"/>
    </row>
    <row r="1027">
      <c r="D1027" s="63"/>
      <c r="F1027" s="64"/>
    </row>
    <row r="1028">
      <c r="D1028" s="63"/>
      <c r="F1028" s="64"/>
    </row>
    <row r="1029">
      <c r="D1029" s="63"/>
      <c r="F1029" s="64"/>
    </row>
    <row r="1030">
      <c r="D1030" s="63"/>
      <c r="F1030" s="64"/>
    </row>
    <row r="1031">
      <c r="D1031" s="63"/>
      <c r="F1031" s="64"/>
    </row>
    <row r="1032">
      <c r="D1032" s="63"/>
      <c r="F1032" s="64"/>
    </row>
    <row r="1033">
      <c r="D1033" s="63"/>
      <c r="F1033" s="64"/>
    </row>
    <row r="1034">
      <c r="D1034" s="63"/>
      <c r="F1034" s="64"/>
    </row>
    <row r="1035">
      <c r="D1035" s="63"/>
      <c r="F1035" s="64"/>
    </row>
    <row r="1036">
      <c r="D1036" s="63"/>
      <c r="F1036" s="71"/>
    </row>
    <row r="1037">
      <c r="D1037" s="63"/>
      <c r="F1037" s="71"/>
    </row>
    <row r="1038">
      <c r="D1038" s="63"/>
      <c r="F1038" s="71"/>
    </row>
    <row r="1039">
      <c r="D1039" s="63"/>
      <c r="F1039" s="71"/>
    </row>
    <row r="1040">
      <c r="D1040" s="63"/>
      <c r="F1040" s="71"/>
    </row>
    <row r="1041">
      <c r="D1041" s="63"/>
      <c r="F1041" s="71"/>
    </row>
    <row r="1042">
      <c r="D1042" s="63"/>
      <c r="F1042" s="71"/>
    </row>
    <row r="1043">
      <c r="D1043" s="63"/>
      <c r="F1043" s="71"/>
    </row>
  </sheetData>
  <autoFilter ref="$A$1:$J$525"/>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6">
        <v>45500.0</v>
      </c>
      <c r="B2" s="55" t="str">
        <f>HYPERLINK("https://jobright.ai/jobs/info/66a46cd85b77fbaa5c678533?utm_campaign=1049&amp;utm_source=sheet", "Apply")</f>
        <v>Apply</v>
      </c>
      <c r="C2" s="10" t="s">
        <v>18630</v>
      </c>
      <c r="D2" s="56" t="s">
        <v>7959</v>
      </c>
      <c r="E2" s="10">
        <v>175.0</v>
      </c>
      <c r="G2" s="10" t="s">
        <v>18631</v>
      </c>
      <c r="H2" s="10" t="s">
        <v>170</v>
      </c>
      <c r="I2" s="10" t="s">
        <v>55</v>
      </c>
      <c r="K2" s="10" t="s">
        <v>18632</v>
      </c>
      <c r="L2" s="10" t="s">
        <v>42</v>
      </c>
    </row>
    <row r="3" ht="15.75" customHeight="1">
      <c r="A3" s="66">
        <v>45500.0</v>
      </c>
      <c r="B3" s="55" t="str">
        <f>HYPERLINK("https://jobright.ai/jobs/info/66a46a4d3d73b8ffff0c4267?utm_campaign=1049&amp;utm_source=sheet", "Apply")</f>
        <v>Apply</v>
      </c>
      <c r="C3" s="10" t="s">
        <v>18630</v>
      </c>
      <c r="D3" s="56" t="s">
        <v>7959</v>
      </c>
      <c r="E3" s="10">
        <v>175.0</v>
      </c>
      <c r="G3" s="10" t="s">
        <v>18631</v>
      </c>
      <c r="H3" s="10" t="s">
        <v>152</v>
      </c>
      <c r="I3" s="10" t="s">
        <v>55</v>
      </c>
      <c r="K3" s="10" t="s">
        <v>18632</v>
      </c>
      <c r="L3" s="10" t="s">
        <v>42</v>
      </c>
    </row>
    <row r="4" ht="15.75" customHeight="1">
      <c r="A4" s="66">
        <v>45500.0</v>
      </c>
      <c r="B4" s="55" t="str">
        <f>HYPERLINK("https://jobright.ai/jobs/info/66a46a513d73b8ffff0c4387?utm_campaign=1049&amp;utm_source=sheet", "Apply")</f>
        <v>Apply</v>
      </c>
      <c r="C4" s="10" t="s">
        <v>18630</v>
      </c>
      <c r="D4" s="56" t="s">
        <v>7959</v>
      </c>
      <c r="E4" s="10">
        <v>175.0</v>
      </c>
      <c r="G4" s="10" t="s">
        <v>18631</v>
      </c>
      <c r="H4" s="10" t="s">
        <v>165</v>
      </c>
      <c r="I4" s="10" t="s">
        <v>55</v>
      </c>
      <c r="K4" s="10" t="s">
        <v>18632</v>
      </c>
      <c r="L4" s="10" t="s">
        <v>42</v>
      </c>
    </row>
    <row r="5" ht="15.75" customHeight="1">
      <c r="A5" s="66">
        <v>45500.0</v>
      </c>
      <c r="B5" s="55" t="str">
        <f>HYPERLINK("https://jobright.ai/jobs/info/66a442ecdae625412f3b7688?utm_campaign=1049&amp;utm_source=sheet", "Apply")</f>
        <v>Apply</v>
      </c>
      <c r="C5" s="10" t="s">
        <v>18633</v>
      </c>
      <c r="D5" s="56" t="s">
        <v>18634</v>
      </c>
      <c r="E5" s="10" t="s">
        <v>137</v>
      </c>
      <c r="F5" s="10" t="s">
        <v>18635</v>
      </c>
      <c r="G5" s="10" t="s">
        <v>18636</v>
      </c>
      <c r="H5" s="10" t="s">
        <v>365</v>
      </c>
      <c r="I5" s="10" t="s">
        <v>48</v>
      </c>
      <c r="J5" s="10" t="s">
        <v>8269</v>
      </c>
      <c r="K5" s="10" t="s">
        <v>18637</v>
      </c>
      <c r="L5" s="10" t="s">
        <v>42</v>
      </c>
    </row>
    <row r="6" ht="15.75" customHeight="1">
      <c r="A6" s="66">
        <v>45499.0</v>
      </c>
      <c r="B6" s="55" t="str">
        <f>HYPERLINK("https://jobright.ai/jobs/info/66a428e0fa09ee0c5722aa63?utm_campaign=1049&amp;utm_source=sheet", "Apply")</f>
        <v>Apply</v>
      </c>
      <c r="C6" s="10" t="s">
        <v>18638</v>
      </c>
      <c r="D6" s="56" t="s">
        <v>18639</v>
      </c>
      <c r="E6" s="10">
        <v>120.0</v>
      </c>
      <c r="G6" s="10" t="s">
        <v>18636</v>
      </c>
      <c r="H6" s="10" t="s">
        <v>854</v>
      </c>
      <c r="I6" s="10" t="s">
        <v>55</v>
      </c>
      <c r="K6" s="10" t="s">
        <v>18640</v>
      </c>
      <c r="L6" s="10" t="s">
        <v>42</v>
      </c>
    </row>
    <row r="7" ht="15.75" customHeight="1">
      <c r="A7" s="66">
        <v>45499.0</v>
      </c>
      <c r="B7" s="55" t="str">
        <f>HYPERLINK("https://jobright.ai/jobs/info/66a407c29d6a30be4eff9b6f?utm_campaign=1049&amp;utm_source=sheet", "Apply")</f>
        <v>Apply</v>
      </c>
      <c r="C7" s="10" t="s">
        <v>18641</v>
      </c>
      <c r="D7" s="56" t="s">
        <v>13006</v>
      </c>
      <c r="E7" s="10" t="s">
        <v>79</v>
      </c>
      <c r="F7" s="10" t="s">
        <v>13007</v>
      </c>
      <c r="G7" s="10" t="s">
        <v>18642</v>
      </c>
      <c r="H7" s="10" t="s">
        <v>578</v>
      </c>
      <c r="I7" s="10" t="s">
        <v>55</v>
      </c>
      <c r="K7" s="10" t="s">
        <v>18643</v>
      </c>
      <c r="L7" s="10" t="s">
        <v>42</v>
      </c>
    </row>
    <row r="8" ht="15.75" customHeight="1">
      <c r="A8" s="66">
        <v>45499.0</v>
      </c>
      <c r="B8" s="55" t="str">
        <f>HYPERLINK("https://jobright.ai/jobs/info/66a3fda5d61cea1521a47333?utm_campaign=1049&amp;utm_source=sheet", "Apply")</f>
        <v>Apply</v>
      </c>
      <c r="C8" s="10" t="s">
        <v>18644</v>
      </c>
      <c r="D8" s="56" t="s">
        <v>18645</v>
      </c>
      <c r="G8" s="10" t="s">
        <v>18636</v>
      </c>
      <c r="H8" s="10" t="s">
        <v>740</v>
      </c>
      <c r="I8" s="10" t="s">
        <v>55</v>
      </c>
      <c r="K8" s="10" t="s">
        <v>18646</v>
      </c>
      <c r="L8" s="10" t="s">
        <v>42</v>
      </c>
    </row>
    <row r="9" ht="15.75" customHeight="1">
      <c r="A9" s="66">
        <v>45499.0</v>
      </c>
      <c r="B9" s="55" t="str">
        <f>HYPERLINK("https://jobright.ai/jobs/info/66a407c99d6a30be4eff9c1f?utm_campaign=1049&amp;utm_source=sheet", "Apply")</f>
        <v>Apply</v>
      </c>
      <c r="C9" s="10" t="s">
        <v>18647</v>
      </c>
      <c r="D9" s="56" t="s">
        <v>18648</v>
      </c>
      <c r="E9" s="10" t="s">
        <v>71</v>
      </c>
      <c r="F9" s="10" t="s">
        <v>18649</v>
      </c>
      <c r="G9" s="10" t="s">
        <v>18636</v>
      </c>
      <c r="H9" s="10" t="s">
        <v>434</v>
      </c>
      <c r="I9" s="10" t="s">
        <v>48</v>
      </c>
      <c r="K9" s="10" t="s">
        <v>18650</v>
      </c>
      <c r="L9" s="10" t="s">
        <v>42</v>
      </c>
    </row>
    <row r="10" ht="15.75" customHeight="1">
      <c r="A10" s="66">
        <v>45499.0</v>
      </c>
      <c r="B10" s="55" t="str">
        <f>HYPERLINK("https://jobright.ai/jobs/info/66a3ef4687fb29a0df318feb?utm_campaign=1049&amp;utm_source=sheet", "Apply")</f>
        <v>Apply</v>
      </c>
      <c r="C10" s="10" t="s">
        <v>18651</v>
      </c>
      <c r="D10" s="58" t="s">
        <v>1572</v>
      </c>
      <c r="E10" s="10" t="s">
        <v>249</v>
      </c>
      <c r="F10" s="10" t="s">
        <v>1573</v>
      </c>
      <c r="G10" s="10" t="s">
        <v>18631</v>
      </c>
      <c r="H10" s="10" t="s">
        <v>106</v>
      </c>
      <c r="I10" s="10" t="s">
        <v>55</v>
      </c>
      <c r="K10" s="10" t="s">
        <v>18652</v>
      </c>
      <c r="L10" s="10" t="s">
        <v>42</v>
      </c>
    </row>
    <row r="11" ht="15.75" customHeight="1">
      <c r="A11" s="66">
        <v>45499.0</v>
      </c>
      <c r="B11" s="55" t="str">
        <f>HYPERLINK("https://jobright.ai/jobs/info/66a40dc1dfc0dce26146212f?utm_campaign=1049&amp;utm_source=sheet", "Apply")</f>
        <v>Apply</v>
      </c>
      <c r="C11" s="10" t="s">
        <v>18653</v>
      </c>
      <c r="D11" s="56" t="s">
        <v>12942</v>
      </c>
      <c r="E11" s="10" t="s">
        <v>79</v>
      </c>
      <c r="F11" s="10" t="s">
        <v>3770</v>
      </c>
      <c r="G11" s="10" t="s">
        <v>18636</v>
      </c>
      <c r="H11" s="10" t="s">
        <v>442</v>
      </c>
      <c r="I11" s="10" t="s">
        <v>55</v>
      </c>
      <c r="J11" s="10" t="s">
        <v>3979</v>
      </c>
      <c r="K11" s="10" t="s">
        <v>18654</v>
      </c>
      <c r="L11" s="10" t="s">
        <v>42</v>
      </c>
    </row>
    <row r="12" ht="15.75" customHeight="1">
      <c r="A12" s="66">
        <v>45499.0</v>
      </c>
      <c r="B12" s="55" t="str">
        <f>HYPERLINK("https://jobright.ai/jobs/info/66a3e866b020465e7d35ccc2?utm_campaign=1049&amp;utm_source=sheet", "Apply")</f>
        <v>Apply</v>
      </c>
      <c r="C12" s="10" t="s">
        <v>18655</v>
      </c>
      <c r="D12" s="56" t="s">
        <v>2638</v>
      </c>
      <c r="E12" s="10" t="s">
        <v>79</v>
      </c>
      <c r="F12" s="10" t="s">
        <v>2639</v>
      </c>
      <c r="G12" s="10" t="s">
        <v>18642</v>
      </c>
      <c r="H12" s="10" t="s">
        <v>170</v>
      </c>
      <c r="I12" s="10" t="s">
        <v>55</v>
      </c>
      <c r="J12" s="10" t="s">
        <v>2640</v>
      </c>
      <c r="K12" s="10" t="s">
        <v>18656</v>
      </c>
      <c r="L12" s="10" t="s">
        <v>42</v>
      </c>
    </row>
    <row r="13" ht="15.75" customHeight="1">
      <c r="A13" s="66">
        <v>45499.0</v>
      </c>
      <c r="B13" s="55" t="str">
        <f>HYPERLINK("https://jobright.ai/jobs/info/66a3d2c8d7fee676c84043be?utm_campaign=1049&amp;utm_source=sheet", "Apply")</f>
        <v>Apply</v>
      </c>
      <c r="C13" s="10" t="s">
        <v>18657</v>
      </c>
      <c r="D13" s="56" t="s">
        <v>18658</v>
      </c>
      <c r="E13" s="10" t="s">
        <v>137</v>
      </c>
      <c r="F13" s="10" t="s">
        <v>18659</v>
      </c>
      <c r="G13" s="10" t="s">
        <v>18636</v>
      </c>
      <c r="H13" s="10" t="s">
        <v>113</v>
      </c>
      <c r="I13" s="10" t="s">
        <v>55</v>
      </c>
      <c r="K13" s="10" t="s">
        <v>18660</v>
      </c>
      <c r="L13" s="10" t="s">
        <v>42</v>
      </c>
    </row>
    <row r="14" ht="15.75" customHeight="1">
      <c r="A14" s="66">
        <v>45499.0</v>
      </c>
      <c r="B14" s="55" t="str">
        <f>HYPERLINK("https://jobright.ai/jobs/info/66a3da8d9f1d4690f1a40991?utm_campaign=1049&amp;utm_source=sheet", "Apply")</f>
        <v>Apply</v>
      </c>
      <c r="C14" s="10" t="s">
        <v>18661</v>
      </c>
      <c r="D14" s="56" t="s">
        <v>1667</v>
      </c>
      <c r="E14" s="10">
        <v>37644.0</v>
      </c>
      <c r="G14" s="10" t="s">
        <v>18642</v>
      </c>
      <c r="H14" s="10" t="s">
        <v>170</v>
      </c>
      <c r="I14" s="10" t="s">
        <v>55</v>
      </c>
      <c r="J14" s="10" t="s">
        <v>366</v>
      </c>
      <c r="K14" s="10" t="s">
        <v>18662</v>
      </c>
      <c r="L14" s="10" t="s">
        <v>42</v>
      </c>
    </row>
    <row r="15" ht="15.75" customHeight="1">
      <c r="A15" s="66">
        <v>45499.0</v>
      </c>
      <c r="B15" s="55" t="str">
        <f>HYPERLINK("https://jobright.ai/jobs/info/66a3d301d7fee676c840492b?utm_campaign=1049&amp;utm_source=sheet", "Apply")</f>
        <v>Apply</v>
      </c>
      <c r="C15" s="10" t="s">
        <v>18663</v>
      </c>
      <c r="D15" s="56" t="s">
        <v>12816</v>
      </c>
      <c r="E15" s="59">
        <v>45301.0</v>
      </c>
      <c r="F15" s="10" t="s">
        <v>12817</v>
      </c>
      <c r="G15" s="10" t="s">
        <v>18636</v>
      </c>
      <c r="H15" s="10" t="s">
        <v>937</v>
      </c>
      <c r="I15" s="10" t="s">
        <v>55</v>
      </c>
      <c r="K15" s="10" t="s">
        <v>18664</v>
      </c>
      <c r="L15" s="10" t="s">
        <v>42</v>
      </c>
    </row>
    <row r="16" ht="15.75" customHeight="1">
      <c r="A16" s="66">
        <v>45499.0</v>
      </c>
      <c r="B16" s="55" t="str">
        <f>HYPERLINK("https://jobright.ai/jobs/info/6672ce774b9042a3b2064377?utm_campaign=1049&amp;utm_source=sheet", "Apply")</f>
        <v>Apply</v>
      </c>
      <c r="C16" s="10" t="s">
        <v>18665</v>
      </c>
      <c r="D16" s="56" t="s">
        <v>14399</v>
      </c>
      <c r="E16" s="10" t="s">
        <v>249</v>
      </c>
      <c r="F16" s="10" t="s">
        <v>3382</v>
      </c>
      <c r="G16" s="10" t="s">
        <v>18636</v>
      </c>
      <c r="H16" s="10" t="s">
        <v>14400</v>
      </c>
      <c r="I16" s="10" t="s">
        <v>55</v>
      </c>
      <c r="K16" s="10" t="s">
        <v>18666</v>
      </c>
      <c r="L16" s="10" t="s">
        <v>42</v>
      </c>
    </row>
    <row r="17" ht="15.75" customHeight="1">
      <c r="A17" s="66">
        <v>45499.0</v>
      </c>
      <c r="B17" s="55" t="str">
        <f>HYPERLINK("https://jobright.ai/jobs/info/6631c54de29394579b1bd27d?utm_campaign=1049&amp;utm_source=sheet", "Apply")</f>
        <v>Apply</v>
      </c>
      <c r="C17" s="10" t="s">
        <v>18667</v>
      </c>
      <c r="D17" s="56" t="s">
        <v>18668</v>
      </c>
      <c r="E17" s="10" t="s">
        <v>249</v>
      </c>
      <c r="F17" s="10" t="s">
        <v>18669</v>
      </c>
      <c r="G17" s="10" t="s">
        <v>18636</v>
      </c>
      <c r="H17" s="10" t="s">
        <v>12606</v>
      </c>
      <c r="I17" s="10" t="s">
        <v>55</v>
      </c>
      <c r="K17" s="10" t="s">
        <v>18670</v>
      </c>
      <c r="L17" s="10" t="s">
        <v>42</v>
      </c>
    </row>
    <row r="18" ht="15.75" customHeight="1">
      <c r="A18" s="66">
        <v>45499.0</v>
      </c>
      <c r="B18" s="55" t="str">
        <f>HYPERLINK("https://jobright.ai/jobs/info/6669face7deaa00713729bf7?utm_campaign=1049&amp;utm_source=sheet", "Apply")</f>
        <v>Apply</v>
      </c>
      <c r="C18" s="10" t="s">
        <v>18671</v>
      </c>
      <c r="D18" s="56" t="s">
        <v>18672</v>
      </c>
      <c r="E18" s="10" t="s">
        <v>45</v>
      </c>
      <c r="F18" s="10" t="s">
        <v>18673</v>
      </c>
      <c r="G18" s="10" t="s">
        <v>18636</v>
      </c>
      <c r="H18" s="10" t="s">
        <v>850</v>
      </c>
      <c r="I18" s="10" t="s">
        <v>55</v>
      </c>
      <c r="J18" s="10" t="s">
        <v>1984</v>
      </c>
      <c r="K18" s="10" t="s">
        <v>18674</v>
      </c>
      <c r="L18" s="10" t="s">
        <v>42</v>
      </c>
    </row>
    <row r="19" ht="15.75" customHeight="1">
      <c r="A19" s="66">
        <v>45499.0</v>
      </c>
      <c r="B19" s="55" t="str">
        <f>HYPERLINK("https://jobright.ai/jobs/info/66a3bed27158ac239b6de239?utm_campaign=1049&amp;utm_source=sheet", "Apply")</f>
        <v>Apply</v>
      </c>
      <c r="C19" s="10" t="s">
        <v>18675</v>
      </c>
      <c r="D19" s="56" t="s">
        <v>18676</v>
      </c>
      <c r="E19" s="10" t="s">
        <v>276</v>
      </c>
      <c r="F19" s="10" t="s">
        <v>13089</v>
      </c>
      <c r="G19" s="10" t="s">
        <v>18636</v>
      </c>
      <c r="H19" s="10" t="s">
        <v>96</v>
      </c>
      <c r="I19" s="10" t="s">
        <v>55</v>
      </c>
      <c r="K19" s="10" t="s">
        <v>18677</v>
      </c>
      <c r="L19" s="10" t="s">
        <v>42</v>
      </c>
    </row>
    <row r="20" ht="15.75" customHeight="1">
      <c r="A20" s="66">
        <v>45499.0</v>
      </c>
      <c r="B20" s="55" t="str">
        <f>HYPERLINK("https://jobright.ai/jobs/info/66a32f53b11b852910a8207c?utm_campaign=1049&amp;utm_source=sheet", "Apply")</f>
        <v>Apply</v>
      </c>
      <c r="C20" s="10" t="s">
        <v>18665</v>
      </c>
      <c r="D20" s="56" t="s">
        <v>5304</v>
      </c>
      <c r="E20" s="10" t="s">
        <v>249</v>
      </c>
      <c r="F20" s="10" t="s">
        <v>2186</v>
      </c>
      <c r="G20" s="10" t="s">
        <v>18636</v>
      </c>
      <c r="H20" s="10" t="s">
        <v>144</v>
      </c>
      <c r="I20" s="10" t="s">
        <v>48</v>
      </c>
      <c r="J20" s="10" t="s">
        <v>18678</v>
      </c>
      <c r="K20" s="10" t="s">
        <v>18679</v>
      </c>
      <c r="L20" s="10" t="s">
        <v>42</v>
      </c>
    </row>
    <row r="21" ht="15.75" customHeight="1">
      <c r="A21" s="66">
        <v>45499.0</v>
      </c>
      <c r="B21" s="55" t="str">
        <f>HYPERLINK("https://jobright.ai/jobs/info/66a42db42e54ed503b6ca402?utm_campaign=1049&amp;utm_source=sheet", "Apply")</f>
        <v>Apply</v>
      </c>
      <c r="C21" s="10" t="s">
        <v>18680</v>
      </c>
      <c r="D21" s="56" t="s">
        <v>5763</v>
      </c>
      <c r="E21" s="10" t="s">
        <v>276</v>
      </c>
      <c r="F21" s="10" t="s">
        <v>3770</v>
      </c>
      <c r="G21" s="10" t="s">
        <v>18636</v>
      </c>
      <c r="H21" s="10" t="s">
        <v>862</v>
      </c>
      <c r="I21" s="10" t="s">
        <v>55</v>
      </c>
      <c r="K21" s="10" t="s">
        <v>18681</v>
      </c>
      <c r="L21" s="10" t="s">
        <v>42</v>
      </c>
    </row>
    <row r="22" ht="15.75" customHeight="1">
      <c r="A22" s="66">
        <v>45499.0</v>
      </c>
      <c r="B22" s="55" t="str">
        <f>HYPERLINK("https://jobright.ai/jobs/info/66a2feec6199d057adefb82d?utm_campaign=1049&amp;utm_source=sheet", "Apply")</f>
        <v>Apply</v>
      </c>
      <c r="C22" s="10" t="s">
        <v>18682</v>
      </c>
      <c r="D22" s="56" t="s">
        <v>18683</v>
      </c>
      <c r="E22" s="10" t="s">
        <v>45</v>
      </c>
      <c r="F22" s="10" t="s">
        <v>17540</v>
      </c>
      <c r="G22" s="10" t="s">
        <v>18642</v>
      </c>
      <c r="H22" s="10" t="s">
        <v>959</v>
      </c>
      <c r="I22" s="10" t="s">
        <v>48</v>
      </c>
      <c r="K22" s="10" t="s">
        <v>18684</v>
      </c>
      <c r="L22" s="10" t="s">
        <v>42</v>
      </c>
    </row>
    <row r="23" ht="15.75" customHeight="1">
      <c r="A23" s="66">
        <v>45498.0</v>
      </c>
      <c r="B23" s="55" t="str">
        <f>HYPERLINK("https://jobright.ai/jobs/info/66a3064952f762883154aa46?utm_campaign=1049&amp;utm_source=sheet", "Apply")</f>
        <v>Apply</v>
      </c>
      <c r="C23" s="10" t="s">
        <v>18685</v>
      </c>
      <c r="D23" s="56" t="s">
        <v>12641</v>
      </c>
      <c r="E23" s="10" t="s">
        <v>79</v>
      </c>
      <c r="F23" s="10" t="s">
        <v>12642</v>
      </c>
      <c r="G23" s="10" t="s">
        <v>18636</v>
      </c>
      <c r="H23" s="10" t="s">
        <v>96</v>
      </c>
      <c r="I23" s="10" t="s">
        <v>55</v>
      </c>
      <c r="J23" s="10" t="s">
        <v>1960</v>
      </c>
      <c r="K23" s="10" t="s">
        <v>18686</v>
      </c>
      <c r="L23" s="10" t="s">
        <v>42</v>
      </c>
    </row>
    <row r="24" ht="15.75" customHeight="1">
      <c r="A24" s="66">
        <v>45498.0</v>
      </c>
      <c r="B24" s="55" t="str">
        <f>HYPERLINK("https://jobright.ai/jobs/info/66a2e2e6621b00551f36262f?utm_campaign=1049&amp;utm_source=sheet", "Apply")</f>
        <v>Apply</v>
      </c>
      <c r="C24" s="10" t="s">
        <v>18687</v>
      </c>
      <c r="D24" s="56" t="s">
        <v>18688</v>
      </c>
      <c r="E24" s="10" t="s">
        <v>209</v>
      </c>
      <c r="F24" s="10" t="s">
        <v>7044</v>
      </c>
      <c r="G24" s="10" t="s">
        <v>18636</v>
      </c>
      <c r="H24" s="10" t="s">
        <v>96</v>
      </c>
      <c r="I24" s="10" t="s">
        <v>48</v>
      </c>
      <c r="J24" s="10" t="s">
        <v>366</v>
      </c>
      <c r="K24" s="10" t="s">
        <v>18689</v>
      </c>
      <c r="L24" s="10" t="s">
        <v>42</v>
      </c>
    </row>
    <row r="25" ht="15.75" customHeight="1">
      <c r="A25" s="66">
        <v>45498.0</v>
      </c>
      <c r="B25" s="55" t="str">
        <f>HYPERLINK("https://jobright.ai/jobs/info/66a2c843b4785fcea1faf992?utm_campaign=1049&amp;utm_source=sheet", "Apply")</f>
        <v>Apply</v>
      </c>
      <c r="C25" s="10" t="s">
        <v>18690</v>
      </c>
      <c r="D25" s="56" t="s">
        <v>204</v>
      </c>
      <c r="E25" s="10" t="s">
        <v>45</v>
      </c>
      <c r="F25" s="10" t="s">
        <v>205</v>
      </c>
      <c r="G25" s="10" t="s">
        <v>18636</v>
      </c>
      <c r="H25" s="10" t="s">
        <v>229</v>
      </c>
      <c r="I25" s="10" t="s">
        <v>55</v>
      </c>
      <c r="K25" s="10" t="s">
        <v>18691</v>
      </c>
      <c r="L25" s="10" t="s">
        <v>42</v>
      </c>
    </row>
    <row r="26" ht="15.75" customHeight="1">
      <c r="A26" s="66">
        <v>45498.0</v>
      </c>
      <c r="B26" s="55" t="str">
        <f>HYPERLINK("https://jobright.ai/jobs/info/66a2a15bc1e76feabe4a6cac?utm_campaign=1049&amp;utm_source=sheet", "Apply")</f>
        <v>Apply</v>
      </c>
      <c r="C26" s="10" t="s">
        <v>18692</v>
      </c>
      <c r="D26" s="56" t="s">
        <v>18693</v>
      </c>
      <c r="E26" s="10" t="s">
        <v>79</v>
      </c>
      <c r="F26" s="10" t="s">
        <v>18694</v>
      </c>
      <c r="G26" s="10" t="s">
        <v>18636</v>
      </c>
      <c r="H26" s="10" t="s">
        <v>6620</v>
      </c>
      <c r="I26" s="10" t="s">
        <v>55</v>
      </c>
      <c r="J26" s="10" t="s">
        <v>1960</v>
      </c>
      <c r="K26" s="10" t="s">
        <v>18695</v>
      </c>
      <c r="L26" s="10" t="s">
        <v>42</v>
      </c>
    </row>
    <row r="27" ht="15.75" customHeight="1">
      <c r="A27" s="66">
        <v>45498.0</v>
      </c>
      <c r="B27" s="55" t="str">
        <f>HYPERLINK("https://jobright.ai/jobs/info/66a3d345d7fee676c8404e62?utm_campaign=1049&amp;utm_source=sheet", "Apply")</f>
        <v>Apply</v>
      </c>
      <c r="C27" s="10" t="s">
        <v>18696</v>
      </c>
      <c r="D27" s="56" t="s">
        <v>18697</v>
      </c>
      <c r="E27" s="10" t="s">
        <v>137</v>
      </c>
      <c r="F27" s="10" t="s">
        <v>18698</v>
      </c>
      <c r="G27" s="10" t="s">
        <v>18631</v>
      </c>
      <c r="H27" s="10" t="s">
        <v>965</v>
      </c>
      <c r="I27" s="10" t="s">
        <v>55</v>
      </c>
      <c r="J27" s="10" t="s">
        <v>1409</v>
      </c>
      <c r="K27" s="10" t="s">
        <v>18699</v>
      </c>
      <c r="L27" s="10" t="s">
        <v>42</v>
      </c>
    </row>
    <row r="28" ht="15.75" customHeight="1">
      <c r="A28" s="66">
        <v>45498.0</v>
      </c>
      <c r="B28" s="55" t="str">
        <f>HYPERLINK("https://jobright.ai/jobs/info/66a3dac89f1d4690f1a40e6e?utm_campaign=1049&amp;utm_source=sheet", "Apply")</f>
        <v>Apply</v>
      </c>
      <c r="C28" s="10" t="s">
        <v>18700</v>
      </c>
      <c r="D28" s="56" t="s">
        <v>7959</v>
      </c>
      <c r="E28" s="10">
        <v>175.0</v>
      </c>
      <c r="G28" s="10" t="s">
        <v>18636</v>
      </c>
      <c r="H28" s="10" t="s">
        <v>165</v>
      </c>
      <c r="I28" s="10" t="s">
        <v>55</v>
      </c>
      <c r="J28" s="10" t="s">
        <v>18701</v>
      </c>
      <c r="K28" s="10" t="s">
        <v>18632</v>
      </c>
      <c r="L28" s="10" t="s">
        <v>42</v>
      </c>
    </row>
    <row r="29" ht="15.75" customHeight="1">
      <c r="A29" s="66">
        <v>45498.0</v>
      </c>
      <c r="B29" s="55" t="str">
        <f>HYPERLINK("https://jobright.ai/jobs/info/66a3dad29f1d4690f1a40f12?utm_campaign=1049&amp;utm_source=sheet", "Apply")</f>
        <v>Apply</v>
      </c>
      <c r="C29" s="10" t="s">
        <v>13448</v>
      </c>
      <c r="D29" s="56" t="s">
        <v>18702</v>
      </c>
      <c r="E29" s="10" t="s">
        <v>276</v>
      </c>
      <c r="F29" s="10" t="s">
        <v>18703</v>
      </c>
      <c r="G29" s="10" t="s">
        <v>18636</v>
      </c>
      <c r="H29" s="10" t="s">
        <v>18704</v>
      </c>
      <c r="I29" s="10" t="s">
        <v>55</v>
      </c>
      <c r="K29" s="10" t="s">
        <v>18705</v>
      </c>
      <c r="L29" s="10" t="s">
        <v>42</v>
      </c>
    </row>
    <row r="30" ht="15.75" customHeight="1">
      <c r="A30" s="66">
        <v>45498.0</v>
      </c>
      <c r="B30" s="55" t="str">
        <f>HYPERLINK("https://jobright.ai/jobs/info/66a272dbcb20d2e9ba86916e?utm_campaign=1049&amp;utm_source=sheet", "Apply")</f>
        <v>Apply</v>
      </c>
      <c r="C30" s="10" t="s">
        <v>18644</v>
      </c>
      <c r="D30" s="56" t="s">
        <v>18706</v>
      </c>
      <c r="E30" s="10" t="s">
        <v>209</v>
      </c>
      <c r="F30" s="10" t="s">
        <v>18707</v>
      </c>
      <c r="G30" s="10" t="s">
        <v>18636</v>
      </c>
      <c r="H30" s="10" t="s">
        <v>251</v>
      </c>
      <c r="I30" s="10" t="s">
        <v>252</v>
      </c>
      <c r="K30" s="10" t="s">
        <v>18708</v>
      </c>
      <c r="L30" s="10" t="s">
        <v>42</v>
      </c>
    </row>
    <row r="31" ht="15.75" customHeight="1">
      <c r="A31" s="66">
        <v>45498.0</v>
      </c>
      <c r="B31" s="55" t="str">
        <f>HYPERLINK("https://jobright.ai/jobs/info/66a23889ecab4402ba8f2c55?utm_campaign=1049&amp;utm_source=sheet", "Apply")</f>
        <v>Apply</v>
      </c>
      <c r="C31" s="10" t="s">
        <v>18709</v>
      </c>
      <c r="D31" s="56" t="s">
        <v>13427</v>
      </c>
      <c r="E31" s="10" t="s">
        <v>209</v>
      </c>
      <c r="F31" s="10" t="s">
        <v>13428</v>
      </c>
      <c r="G31" s="10" t="s">
        <v>18636</v>
      </c>
      <c r="H31" s="10" t="s">
        <v>13429</v>
      </c>
      <c r="I31" s="10" t="s">
        <v>55</v>
      </c>
      <c r="K31" s="10" t="s">
        <v>18710</v>
      </c>
      <c r="L31" s="10" t="s">
        <v>42</v>
      </c>
    </row>
    <row r="32" ht="15.75" customHeight="1">
      <c r="A32" s="66">
        <v>45498.0</v>
      </c>
      <c r="B32" s="55" t="str">
        <f>HYPERLINK("https://jobright.ai/jobs/info/6685e1d0adbfe96e189b6f96?utm_campaign=1049&amp;utm_source=sheet", "Apply")</f>
        <v>Apply</v>
      </c>
      <c r="C32" s="10" t="s">
        <v>18711</v>
      </c>
      <c r="D32" s="56" t="s">
        <v>9937</v>
      </c>
      <c r="E32" s="10" t="s">
        <v>45</v>
      </c>
      <c r="F32" s="10" t="s">
        <v>9938</v>
      </c>
      <c r="G32" s="10" t="s">
        <v>18636</v>
      </c>
      <c r="H32" s="10" t="s">
        <v>96</v>
      </c>
      <c r="I32" s="10" t="s">
        <v>55</v>
      </c>
      <c r="K32" s="10" t="s">
        <v>18712</v>
      </c>
      <c r="L32" s="10" t="s">
        <v>42</v>
      </c>
    </row>
    <row r="33" ht="15.75" customHeight="1">
      <c r="A33" s="66">
        <v>45498.0</v>
      </c>
      <c r="B33" s="55" t="str">
        <f>HYPERLINK("https://jobright.ai/jobs/info/6668eaf703ac5afee7b103b4?utm_campaign=1049&amp;utm_source=sheet", "Apply")</f>
        <v>Apply</v>
      </c>
      <c r="C33" s="10" t="s">
        <v>18713</v>
      </c>
      <c r="D33" s="56" t="s">
        <v>18672</v>
      </c>
      <c r="E33" s="10" t="s">
        <v>45</v>
      </c>
      <c r="F33" s="10" t="s">
        <v>18673</v>
      </c>
      <c r="G33" s="10" t="s">
        <v>18636</v>
      </c>
      <c r="H33" s="10" t="s">
        <v>850</v>
      </c>
      <c r="I33" s="10" t="s">
        <v>55</v>
      </c>
      <c r="J33" s="10" t="s">
        <v>1984</v>
      </c>
      <c r="K33" s="10" t="s">
        <v>18714</v>
      </c>
      <c r="L33" s="10" t="s">
        <v>42</v>
      </c>
    </row>
    <row r="34" ht="15.75" customHeight="1">
      <c r="A34" s="66">
        <v>45498.0</v>
      </c>
      <c r="B34" s="55" t="str">
        <f>HYPERLINK("https://jobright.ai/jobs/info/6685dae55ce4828b52de8416?utm_campaign=1049&amp;utm_source=sheet", "Apply")</f>
        <v>Apply</v>
      </c>
      <c r="C34" s="10" t="s">
        <v>18711</v>
      </c>
      <c r="D34" s="56" t="s">
        <v>9914</v>
      </c>
      <c r="E34" s="10" t="s">
        <v>249</v>
      </c>
      <c r="F34" s="10" t="s">
        <v>3684</v>
      </c>
      <c r="G34" s="10" t="s">
        <v>18636</v>
      </c>
      <c r="H34" s="10" t="s">
        <v>96</v>
      </c>
      <c r="I34" s="10" t="s">
        <v>55</v>
      </c>
      <c r="K34" s="10" t="s">
        <v>18712</v>
      </c>
      <c r="L34" s="10" t="s">
        <v>42</v>
      </c>
    </row>
    <row r="35" ht="15.75" customHeight="1">
      <c r="A35" s="66">
        <v>45498.0</v>
      </c>
      <c r="B35" s="55" t="str">
        <f>HYPERLINK("https://jobright.ai/jobs/info/66a20cfd0bb65784c3586452?utm_campaign=1049&amp;utm_source=sheet", "Apply")</f>
        <v>Apply</v>
      </c>
      <c r="C35" s="10" t="s">
        <v>18715</v>
      </c>
      <c r="D35" s="56" t="s">
        <v>18716</v>
      </c>
      <c r="E35" s="10" t="s">
        <v>249</v>
      </c>
      <c r="F35" s="10" t="s">
        <v>18717</v>
      </c>
      <c r="G35" s="10" t="s">
        <v>18636</v>
      </c>
      <c r="H35" s="10" t="s">
        <v>144</v>
      </c>
      <c r="I35" s="10" t="s">
        <v>48</v>
      </c>
      <c r="K35" s="10" t="s">
        <v>18718</v>
      </c>
      <c r="L35" s="10" t="s">
        <v>42</v>
      </c>
    </row>
    <row r="36" ht="15.75" customHeight="1">
      <c r="A36" s="66">
        <v>45498.0</v>
      </c>
      <c r="B36" s="55" t="str">
        <f>HYPERLINK("https://jobright.ai/jobs/info/66a341563a79edbec23c0ab6?utm_campaign=1049&amp;utm_source=sheet", "Apply")</f>
        <v>Apply</v>
      </c>
      <c r="C36" s="10" t="s">
        <v>18719</v>
      </c>
      <c r="D36" s="56" t="s">
        <v>13273</v>
      </c>
      <c r="E36" s="10" t="s">
        <v>45</v>
      </c>
      <c r="F36" s="10" t="s">
        <v>13274</v>
      </c>
      <c r="G36" s="10" t="s">
        <v>18636</v>
      </c>
      <c r="H36" s="10" t="s">
        <v>872</v>
      </c>
      <c r="I36" s="10" t="s">
        <v>55</v>
      </c>
      <c r="K36" s="10" t="s">
        <v>18720</v>
      </c>
      <c r="L36" s="10" t="s">
        <v>42</v>
      </c>
    </row>
    <row r="37" ht="15.75" customHeight="1">
      <c r="A37" s="66">
        <v>45498.0</v>
      </c>
      <c r="B37" s="55" t="str">
        <f>HYPERLINK("https://jobright.ai/jobs/info/66a1c7dbba0edbc43ac6f3d4?utm_campaign=1049&amp;utm_source=sheet", "Apply")</f>
        <v>Apply</v>
      </c>
      <c r="C37" s="10" t="s">
        <v>18721</v>
      </c>
      <c r="D37" s="56" t="s">
        <v>18722</v>
      </c>
      <c r="E37" s="10">
        <v>1.0</v>
      </c>
      <c r="G37" s="10" t="s">
        <v>18636</v>
      </c>
      <c r="H37" s="10" t="s">
        <v>18723</v>
      </c>
      <c r="I37" s="10" t="s">
        <v>55</v>
      </c>
      <c r="K37" s="10" t="s">
        <v>18724</v>
      </c>
      <c r="L37" s="10" t="s">
        <v>42</v>
      </c>
    </row>
    <row r="38" ht="15.75" customHeight="1">
      <c r="A38" s="66">
        <v>45498.0</v>
      </c>
      <c r="B38" s="55" t="str">
        <f>HYPERLINK("https://jobright.ai/jobs/info/66a1f646ac26990951853933?utm_campaign=1049&amp;utm_source=sheet", "Apply")</f>
        <v>Apply</v>
      </c>
      <c r="C38" s="10" t="s">
        <v>18725</v>
      </c>
      <c r="D38" s="56" t="s">
        <v>2483</v>
      </c>
      <c r="E38" s="10" t="s">
        <v>209</v>
      </c>
      <c r="F38" s="10" t="s">
        <v>1124</v>
      </c>
      <c r="G38" s="10" t="s">
        <v>18636</v>
      </c>
      <c r="H38" s="10" t="s">
        <v>332</v>
      </c>
      <c r="I38" s="10" t="s">
        <v>55</v>
      </c>
      <c r="K38" s="10" t="s">
        <v>18726</v>
      </c>
      <c r="L38" s="10" t="s">
        <v>42</v>
      </c>
    </row>
    <row r="39" ht="15.75" customHeight="1">
      <c r="A39" s="66">
        <v>45498.0</v>
      </c>
      <c r="B39" s="55" t="str">
        <f>HYPERLINK("https://jobright.ai/jobs/info/66a2fc377d87c2086e260f88?utm_campaign=1049&amp;utm_source=sheet", "Apply")</f>
        <v>Apply</v>
      </c>
      <c r="C39" s="10" t="s">
        <v>18692</v>
      </c>
      <c r="D39" s="56" t="s">
        <v>12587</v>
      </c>
      <c r="E39" s="10" t="s">
        <v>276</v>
      </c>
      <c r="F39" s="10" t="s">
        <v>2274</v>
      </c>
      <c r="G39" s="10" t="s">
        <v>18636</v>
      </c>
      <c r="H39" s="10" t="s">
        <v>96</v>
      </c>
      <c r="I39" s="10" t="s">
        <v>55</v>
      </c>
      <c r="K39" s="10" t="s">
        <v>18727</v>
      </c>
      <c r="L39" s="10" t="s">
        <v>42</v>
      </c>
    </row>
    <row r="40" ht="15.75" customHeight="1">
      <c r="A40" s="66">
        <v>45498.0</v>
      </c>
      <c r="B40" s="55" t="str">
        <f>HYPERLINK("https://jobright.ai/jobs/info/66a28d46b9f360f8b2611f44?utm_campaign=1049&amp;utm_source=sheet", "Apply")</f>
        <v>Apply</v>
      </c>
      <c r="C40" s="10" t="s">
        <v>18728</v>
      </c>
      <c r="D40" s="56" t="s">
        <v>18729</v>
      </c>
      <c r="E40" s="10" t="s">
        <v>276</v>
      </c>
      <c r="F40" s="10" t="s">
        <v>13497</v>
      </c>
      <c r="G40" s="10" t="s">
        <v>18636</v>
      </c>
      <c r="H40" s="10" t="s">
        <v>96</v>
      </c>
      <c r="I40" s="10" t="s">
        <v>55</v>
      </c>
      <c r="K40" s="10" t="s">
        <v>18730</v>
      </c>
      <c r="L40" s="10" t="s">
        <v>42</v>
      </c>
    </row>
    <row r="41" ht="15.75" customHeight="1">
      <c r="A41" s="66">
        <v>45498.0</v>
      </c>
      <c r="B41" s="55" t="str">
        <f>HYPERLINK("https://jobright.ai/jobs/info/66a298d56f4a59cc7fc2d0fe?utm_campaign=1049&amp;utm_source=sheet", "Apply")</f>
        <v>Apply</v>
      </c>
      <c r="C41" s="10" t="s">
        <v>18644</v>
      </c>
      <c r="D41" s="56" t="s">
        <v>18706</v>
      </c>
      <c r="E41" s="10" t="s">
        <v>209</v>
      </c>
      <c r="F41" s="10" t="s">
        <v>18707</v>
      </c>
      <c r="G41" s="10" t="s">
        <v>18636</v>
      </c>
      <c r="H41" s="10" t="s">
        <v>18731</v>
      </c>
      <c r="I41" s="10" t="s">
        <v>55</v>
      </c>
      <c r="K41" s="10" t="s">
        <v>18708</v>
      </c>
      <c r="L41" s="10" t="s">
        <v>42</v>
      </c>
    </row>
    <row r="42" ht="15.75" customHeight="1">
      <c r="A42" s="66">
        <v>45498.0</v>
      </c>
      <c r="B42" s="55" t="str">
        <f>HYPERLINK("https://jobright.ai/jobs/info/66a2fa015be607cf6389f0bf?utm_campaign=1049&amp;utm_source=sheet", "Apply")</f>
        <v>Apply</v>
      </c>
      <c r="C42" s="10" t="s">
        <v>18682</v>
      </c>
      <c r="D42" s="56" t="s">
        <v>18683</v>
      </c>
      <c r="E42" s="10" t="s">
        <v>45</v>
      </c>
      <c r="F42" s="10" t="s">
        <v>17540</v>
      </c>
      <c r="G42" s="10" t="s">
        <v>18642</v>
      </c>
      <c r="H42" s="10" t="s">
        <v>18732</v>
      </c>
      <c r="I42" s="10" t="s">
        <v>48</v>
      </c>
      <c r="K42" s="10" t="s">
        <v>18684</v>
      </c>
      <c r="L42" s="10" t="s">
        <v>42</v>
      </c>
    </row>
    <row r="43" ht="15.75" customHeight="1">
      <c r="A43" s="66">
        <v>45497.0</v>
      </c>
      <c r="B43" s="55" t="str">
        <f>HYPERLINK("https://jobright.ai/jobs/info/66a19672f9b220ff437e55ff?utm_campaign=1049&amp;utm_source=sheet", "Apply")</f>
        <v>Apply</v>
      </c>
      <c r="C43" s="10" t="s">
        <v>18733</v>
      </c>
      <c r="D43" s="56" t="s">
        <v>3485</v>
      </c>
      <c r="E43" s="10" t="s">
        <v>137</v>
      </c>
      <c r="F43" s="10" t="s">
        <v>3486</v>
      </c>
      <c r="G43" s="10" t="s">
        <v>18734</v>
      </c>
      <c r="H43" s="10" t="s">
        <v>666</v>
      </c>
      <c r="I43" s="10" t="s">
        <v>48</v>
      </c>
      <c r="K43" s="10" t="s">
        <v>18735</v>
      </c>
      <c r="L43" s="10" t="s">
        <v>42</v>
      </c>
    </row>
    <row r="44" ht="15.75" customHeight="1">
      <c r="A44" s="66">
        <v>45497.0</v>
      </c>
      <c r="B44" s="55" t="str">
        <f>HYPERLINK("https://jobright.ai/jobs/info/66a1968ff9b220ff437e58a3?utm_campaign=1049&amp;utm_source=sheet", "Apply")</f>
        <v>Apply</v>
      </c>
      <c r="C44" s="10" t="s">
        <v>18733</v>
      </c>
      <c r="D44" s="56" t="s">
        <v>3485</v>
      </c>
      <c r="E44" s="10" t="s">
        <v>137</v>
      </c>
      <c r="F44" s="10" t="s">
        <v>3486</v>
      </c>
      <c r="G44" s="10" t="s">
        <v>18734</v>
      </c>
      <c r="H44" s="10" t="s">
        <v>1030</v>
      </c>
      <c r="I44" s="10" t="s">
        <v>48</v>
      </c>
      <c r="K44" s="10" t="s">
        <v>18735</v>
      </c>
      <c r="L44" s="10" t="s">
        <v>42</v>
      </c>
    </row>
    <row r="45" ht="15.75" customHeight="1">
      <c r="A45" s="66">
        <v>45497.0</v>
      </c>
      <c r="B45" s="55" t="str">
        <f>HYPERLINK("https://jobright.ai/jobs/info/66a1968ff9b220ff437e58a4?utm_campaign=1049&amp;utm_source=sheet", "Apply")</f>
        <v>Apply</v>
      </c>
      <c r="C45" s="10" t="s">
        <v>18733</v>
      </c>
      <c r="D45" s="56" t="s">
        <v>3485</v>
      </c>
      <c r="E45" s="10" t="s">
        <v>137</v>
      </c>
      <c r="F45" s="10" t="s">
        <v>3486</v>
      </c>
      <c r="G45" s="10" t="s">
        <v>18734</v>
      </c>
      <c r="H45" s="10" t="s">
        <v>106</v>
      </c>
      <c r="I45" s="10" t="s">
        <v>48</v>
      </c>
      <c r="K45" s="10" t="s">
        <v>18735</v>
      </c>
      <c r="L45" s="10" t="s">
        <v>42</v>
      </c>
    </row>
    <row r="46" ht="15.75" customHeight="1">
      <c r="A46" s="66">
        <v>45497.0</v>
      </c>
      <c r="B46" s="55" t="str">
        <f>HYPERLINK("https://jobright.ai/jobs/info/66a14bfdb48bc70bd7410afa?utm_campaign=1049&amp;utm_source=sheet", "Apply")</f>
        <v>Apply</v>
      </c>
      <c r="C46" s="10" t="s">
        <v>18736</v>
      </c>
      <c r="D46" s="56" t="s">
        <v>18737</v>
      </c>
      <c r="E46" s="10" t="s">
        <v>137</v>
      </c>
      <c r="F46" s="10" t="s">
        <v>18738</v>
      </c>
      <c r="G46" s="10" t="s">
        <v>18636</v>
      </c>
      <c r="H46" s="10" t="s">
        <v>251</v>
      </c>
      <c r="I46" s="10" t="s">
        <v>252</v>
      </c>
      <c r="K46" s="10" t="s">
        <v>18739</v>
      </c>
      <c r="L46" s="10" t="s">
        <v>42</v>
      </c>
    </row>
    <row r="47" ht="15.75" customHeight="1">
      <c r="A47" s="66">
        <v>45497.0</v>
      </c>
      <c r="B47" s="55" t="str">
        <f>HYPERLINK("https://jobright.ai/jobs/info/66a13e96bfb37f3f681f0420?utm_campaign=1049&amp;utm_source=sheet", "Apply")</f>
        <v>Apply</v>
      </c>
      <c r="C47" s="10" t="s">
        <v>18740</v>
      </c>
      <c r="D47" s="56" t="s">
        <v>18741</v>
      </c>
      <c r="E47" s="59">
        <v>45301.0</v>
      </c>
      <c r="F47" s="10" t="s">
        <v>2315</v>
      </c>
      <c r="G47" s="10" t="s">
        <v>18636</v>
      </c>
      <c r="H47" s="10" t="s">
        <v>914</v>
      </c>
      <c r="I47" s="10" t="s">
        <v>55</v>
      </c>
      <c r="K47" s="10" t="s">
        <v>18742</v>
      </c>
      <c r="L47" s="10" t="s">
        <v>42</v>
      </c>
    </row>
    <row r="48" ht="15.75" customHeight="1">
      <c r="A48" s="66">
        <v>45497.0</v>
      </c>
      <c r="B48" s="55" t="str">
        <f>HYPERLINK("https://jobright.ai/jobs/info/66a13b0264d0e1054c2d328f?utm_campaign=1049&amp;utm_source=sheet", "Apply")</f>
        <v>Apply</v>
      </c>
      <c r="C48" s="10" t="s">
        <v>18696</v>
      </c>
      <c r="D48" s="56" t="s">
        <v>18743</v>
      </c>
      <c r="E48" s="10" t="s">
        <v>71</v>
      </c>
      <c r="F48" s="10" t="s">
        <v>18744</v>
      </c>
      <c r="G48" s="10" t="s">
        <v>18631</v>
      </c>
      <c r="H48" s="10" t="s">
        <v>152</v>
      </c>
      <c r="I48" s="10" t="s">
        <v>55</v>
      </c>
      <c r="J48" s="10" t="s">
        <v>1960</v>
      </c>
      <c r="K48" s="10" t="s">
        <v>18745</v>
      </c>
      <c r="L48" s="10" t="s">
        <v>42</v>
      </c>
    </row>
    <row r="49" ht="15.75" customHeight="1">
      <c r="A49" s="66">
        <v>45497.0</v>
      </c>
      <c r="B49" s="55" t="str">
        <f>HYPERLINK("https://jobright.ai/jobs/info/66a137edd0ffe356c115e8eb?utm_campaign=1049&amp;utm_source=sheet", "Apply")</f>
        <v>Apply</v>
      </c>
      <c r="C49" s="10" t="s">
        <v>18746</v>
      </c>
      <c r="D49" s="56" t="s">
        <v>18743</v>
      </c>
      <c r="E49" s="10" t="s">
        <v>71</v>
      </c>
      <c r="F49" s="10" t="s">
        <v>18744</v>
      </c>
      <c r="G49" s="10" t="s">
        <v>18636</v>
      </c>
      <c r="H49" s="10" t="s">
        <v>152</v>
      </c>
      <c r="I49" s="10" t="s">
        <v>55</v>
      </c>
      <c r="J49" s="10" t="s">
        <v>1960</v>
      </c>
      <c r="K49" s="10" t="s">
        <v>18747</v>
      </c>
      <c r="L49" s="10" t="s">
        <v>42</v>
      </c>
    </row>
    <row r="50" ht="15.75" customHeight="1">
      <c r="A50" s="66">
        <v>45497.0</v>
      </c>
      <c r="B50" s="55" t="str">
        <f>HYPERLINK("https://jobright.ai/jobs/info/66a3ef9f87fb29a0df319711?utm_campaign=1049&amp;utm_source=sheet", "Apply")</f>
        <v>Apply</v>
      </c>
      <c r="C50" s="10" t="s">
        <v>18748</v>
      </c>
      <c r="D50" s="56" t="s">
        <v>18749</v>
      </c>
      <c r="E50" s="10" t="s">
        <v>276</v>
      </c>
      <c r="F50" s="10" t="s">
        <v>18750</v>
      </c>
      <c r="G50" s="10" t="s">
        <v>18636</v>
      </c>
      <c r="H50" s="10" t="s">
        <v>13924</v>
      </c>
      <c r="I50" s="10" t="s">
        <v>55</v>
      </c>
      <c r="K50" s="10" t="s">
        <v>18751</v>
      </c>
      <c r="L50" s="10" t="s">
        <v>42</v>
      </c>
    </row>
    <row r="51" ht="15.75" customHeight="1">
      <c r="A51" s="66">
        <v>45497.0</v>
      </c>
      <c r="B51" s="55" t="str">
        <f>HYPERLINK("https://jobright.ai/jobs/info/66a0fd2c5902e5455fed6d02?utm_campaign=1049&amp;utm_source=sheet", "Apply")</f>
        <v>Apply</v>
      </c>
      <c r="C51" s="10" t="s">
        <v>18752</v>
      </c>
      <c r="D51" s="56" t="s">
        <v>18753</v>
      </c>
      <c r="F51" s="10" t="s">
        <v>3035</v>
      </c>
      <c r="G51" s="10" t="s">
        <v>18636</v>
      </c>
      <c r="H51" s="10" t="s">
        <v>878</v>
      </c>
      <c r="I51" s="10" t="s">
        <v>55</v>
      </c>
      <c r="J51" s="10" t="s">
        <v>4117</v>
      </c>
      <c r="K51" s="10" t="s">
        <v>18754</v>
      </c>
      <c r="L51" s="10" t="s">
        <v>42</v>
      </c>
    </row>
    <row r="52" ht="15.75" customHeight="1">
      <c r="A52" s="66">
        <v>45497.0</v>
      </c>
      <c r="B52" s="55" t="str">
        <f>HYPERLINK("https://jobright.ai/jobs/info/66843be828541b6ce54b5ad9?utm_campaign=1049&amp;utm_source=sheet", "Apply")</f>
        <v>Apply</v>
      </c>
      <c r="C52" s="10" t="s">
        <v>18755</v>
      </c>
      <c r="D52" s="56" t="s">
        <v>18756</v>
      </c>
      <c r="E52" s="10" t="s">
        <v>209</v>
      </c>
      <c r="F52" s="10" t="s">
        <v>18757</v>
      </c>
      <c r="G52" s="10" t="s">
        <v>18636</v>
      </c>
      <c r="H52" s="10" t="s">
        <v>153</v>
      </c>
      <c r="I52" s="10" t="s">
        <v>55</v>
      </c>
      <c r="K52" s="10" t="s">
        <v>18758</v>
      </c>
      <c r="L52" s="10" t="s">
        <v>42</v>
      </c>
    </row>
    <row r="53" ht="15.75" customHeight="1">
      <c r="A53" s="66">
        <v>45497.0</v>
      </c>
      <c r="B53" s="55" t="str">
        <f>HYPERLINK("https://jobright.ai/jobs/info/666799c049717280c92acfe5?utm_campaign=1049&amp;utm_source=sheet", "Apply")</f>
        <v>Apply</v>
      </c>
      <c r="C53" s="10" t="s">
        <v>18759</v>
      </c>
      <c r="D53" s="56" t="s">
        <v>1883</v>
      </c>
      <c r="E53" s="10" t="s">
        <v>209</v>
      </c>
      <c r="F53" s="10" t="s">
        <v>1884</v>
      </c>
      <c r="G53" s="10" t="s">
        <v>18636</v>
      </c>
      <c r="H53" s="10" t="s">
        <v>1254</v>
      </c>
      <c r="I53" s="10" t="s">
        <v>48</v>
      </c>
      <c r="J53" s="10" t="s">
        <v>13256</v>
      </c>
      <c r="K53" s="10" t="s">
        <v>18760</v>
      </c>
      <c r="L53" s="10" t="s">
        <v>42</v>
      </c>
    </row>
    <row r="54" ht="15.75" customHeight="1">
      <c r="A54" s="66">
        <v>45497.0</v>
      </c>
      <c r="B54" s="55" t="str">
        <f>HYPERLINK("https://jobright.ai/jobs/info/6684800054017d3eb190d4f6?utm_campaign=1049&amp;utm_source=sheet", "Apply")</f>
        <v>Apply</v>
      </c>
      <c r="C54" s="10" t="s">
        <v>18761</v>
      </c>
      <c r="D54" s="56" t="s">
        <v>18762</v>
      </c>
      <c r="E54" s="10" t="s">
        <v>45</v>
      </c>
      <c r="F54" s="10" t="s">
        <v>1184</v>
      </c>
      <c r="G54" s="10" t="s">
        <v>18636</v>
      </c>
      <c r="H54" s="10" t="s">
        <v>18763</v>
      </c>
      <c r="I54" s="10" t="s">
        <v>55</v>
      </c>
      <c r="J54" s="10" t="s">
        <v>366</v>
      </c>
      <c r="K54" s="10" t="s">
        <v>18764</v>
      </c>
      <c r="L54" s="10" t="s">
        <v>42</v>
      </c>
    </row>
    <row r="55" ht="15.75" customHeight="1">
      <c r="A55" s="66">
        <v>45497.0</v>
      </c>
      <c r="B55" s="55" t="str">
        <f>HYPERLINK("https://jobright.ai/jobs/info/66a1fa842c35b37e3b785e08?utm_campaign=1049&amp;utm_source=sheet", "Apply")</f>
        <v>Apply</v>
      </c>
      <c r="C55" s="10" t="s">
        <v>18765</v>
      </c>
      <c r="D55" s="56" t="s">
        <v>18766</v>
      </c>
      <c r="E55" s="10" t="s">
        <v>71</v>
      </c>
      <c r="G55" s="10" t="s">
        <v>18636</v>
      </c>
      <c r="H55" s="10" t="s">
        <v>96</v>
      </c>
      <c r="I55" s="10" t="s">
        <v>55</v>
      </c>
      <c r="K55" s="10" t="s">
        <v>18767</v>
      </c>
      <c r="L55" s="10" t="s">
        <v>42</v>
      </c>
    </row>
    <row r="56" ht="15.75" customHeight="1">
      <c r="A56" s="66">
        <v>45497.0</v>
      </c>
      <c r="B56" s="55" t="str">
        <f>HYPERLINK("https://jobright.ai/jobs/info/66a07211dd8dd729727704a8?utm_campaign=1049&amp;utm_source=sheet", "Apply")</f>
        <v>Apply</v>
      </c>
      <c r="C56" s="10" t="s">
        <v>18692</v>
      </c>
      <c r="D56" s="56" t="s">
        <v>18768</v>
      </c>
      <c r="E56" s="10" t="s">
        <v>276</v>
      </c>
      <c r="F56" s="10" t="s">
        <v>18769</v>
      </c>
      <c r="G56" s="10" t="s">
        <v>18636</v>
      </c>
      <c r="H56" s="10" t="s">
        <v>170</v>
      </c>
      <c r="I56" s="10" t="s">
        <v>48</v>
      </c>
      <c r="K56" s="10" t="s">
        <v>18770</v>
      </c>
      <c r="L56" s="10" t="s">
        <v>42</v>
      </c>
    </row>
    <row r="57" ht="15.75" customHeight="1">
      <c r="A57" s="66">
        <v>45497.0</v>
      </c>
      <c r="B57" s="55" t="str">
        <f>HYPERLINK("https://jobright.ai/jobs/info/66a4565ca0ca4d91761e5a7e?utm_campaign=1049&amp;utm_source=sheet", "Apply")</f>
        <v>Apply</v>
      </c>
      <c r="C57" s="10" t="s">
        <v>18715</v>
      </c>
      <c r="D57" s="56" t="s">
        <v>18716</v>
      </c>
      <c r="E57" s="10" t="s">
        <v>249</v>
      </c>
      <c r="F57" s="10" t="s">
        <v>18717</v>
      </c>
      <c r="G57" s="10" t="s">
        <v>18636</v>
      </c>
      <c r="H57" s="10" t="s">
        <v>8235</v>
      </c>
      <c r="I57" s="10" t="s">
        <v>48</v>
      </c>
      <c r="K57" s="10" t="s">
        <v>18718</v>
      </c>
      <c r="L57" s="10" t="s">
        <v>42</v>
      </c>
    </row>
    <row r="58" ht="15.75" customHeight="1">
      <c r="A58" s="66">
        <v>45497.0</v>
      </c>
      <c r="B58" s="55" t="str">
        <f>HYPERLINK("https://jobright.ai/jobs/info/66a0ad6478f89fbcf77e9ffc?utm_campaign=1049&amp;utm_source=sheet", "Apply")</f>
        <v>Apply</v>
      </c>
      <c r="C58" s="10" t="s">
        <v>18709</v>
      </c>
      <c r="D58" s="56" t="s">
        <v>13427</v>
      </c>
      <c r="E58" s="10" t="s">
        <v>209</v>
      </c>
      <c r="F58" s="10" t="s">
        <v>13428</v>
      </c>
      <c r="G58" s="10" t="s">
        <v>18636</v>
      </c>
      <c r="H58" s="10" t="s">
        <v>13627</v>
      </c>
      <c r="I58" s="10" t="s">
        <v>55</v>
      </c>
      <c r="K58" s="10" t="s">
        <v>18710</v>
      </c>
      <c r="L58" s="10" t="s">
        <v>42</v>
      </c>
    </row>
    <row r="59" ht="15.75" customHeight="1">
      <c r="A59" s="66">
        <v>45496.0</v>
      </c>
      <c r="B59" s="55" t="str">
        <f>HYPERLINK("https://jobright.ai/jobs/info/66a02c63b9065c2c99e9e5f7?utm_campaign=1049&amp;utm_source=sheet", "Apply")</f>
        <v>Apply</v>
      </c>
      <c r="C59" s="10" t="s">
        <v>18771</v>
      </c>
      <c r="D59" s="56" t="s">
        <v>3905</v>
      </c>
      <c r="E59" s="10" t="s">
        <v>79</v>
      </c>
      <c r="F59" s="10" t="s">
        <v>3906</v>
      </c>
      <c r="G59" s="10" t="s">
        <v>18636</v>
      </c>
      <c r="H59" s="10" t="s">
        <v>96</v>
      </c>
      <c r="I59" s="10" t="s">
        <v>55</v>
      </c>
      <c r="J59" s="10" t="s">
        <v>3907</v>
      </c>
      <c r="K59" s="10" t="s">
        <v>18772</v>
      </c>
      <c r="L59" s="10" t="s">
        <v>42</v>
      </c>
    </row>
    <row r="60" ht="15.75" customHeight="1">
      <c r="A60" s="66">
        <v>45496.0</v>
      </c>
      <c r="B60" s="55" t="str">
        <f>HYPERLINK("https://jobright.ai/jobs/info/66a022ee46b8641105c98bc8?utm_campaign=1049&amp;utm_source=sheet", "Apply")</f>
        <v>Apply</v>
      </c>
      <c r="C60" s="10" t="s">
        <v>18721</v>
      </c>
      <c r="D60" s="56" t="s">
        <v>18773</v>
      </c>
      <c r="E60" s="10" t="s">
        <v>79</v>
      </c>
      <c r="F60" s="10" t="s">
        <v>18774</v>
      </c>
      <c r="G60" s="10" t="s">
        <v>18636</v>
      </c>
      <c r="H60" s="10" t="s">
        <v>144</v>
      </c>
      <c r="I60" s="10" t="s">
        <v>55</v>
      </c>
      <c r="K60" s="10" t="s">
        <v>18775</v>
      </c>
      <c r="L60" s="10" t="s">
        <v>42</v>
      </c>
    </row>
    <row r="61" ht="15.75" customHeight="1">
      <c r="A61" s="66">
        <v>45496.0</v>
      </c>
      <c r="B61" s="55" t="str">
        <f>HYPERLINK("https://jobright.ai/jobs/info/66a01a224d688534c3b5dc99?utm_campaign=1049&amp;utm_source=sheet", "Apply")</f>
        <v>Apply</v>
      </c>
      <c r="C61" s="10" t="s">
        <v>18740</v>
      </c>
      <c r="D61" s="56" t="s">
        <v>18776</v>
      </c>
      <c r="E61" s="10">
        <v>14.0</v>
      </c>
      <c r="G61" s="10" t="s">
        <v>18636</v>
      </c>
      <c r="H61" s="10" t="s">
        <v>784</v>
      </c>
      <c r="I61" s="10" t="s">
        <v>55</v>
      </c>
      <c r="K61" s="10" t="s">
        <v>18777</v>
      </c>
      <c r="L61" s="10" t="s">
        <v>42</v>
      </c>
    </row>
    <row r="62" ht="15.75" customHeight="1">
      <c r="A62" s="66">
        <v>45496.0</v>
      </c>
      <c r="B62" s="55" t="str">
        <f>HYPERLINK("https://jobright.ai/jobs/info/66a00c62353276c071fe9292?utm_campaign=1049&amp;utm_source=sheet", "Apply")</f>
        <v>Apply</v>
      </c>
      <c r="C62" s="10" t="s">
        <v>18778</v>
      </c>
      <c r="D62" s="56" t="s">
        <v>17691</v>
      </c>
      <c r="E62" s="10" t="s">
        <v>276</v>
      </c>
      <c r="F62" s="10" t="s">
        <v>17692</v>
      </c>
      <c r="G62" s="10" t="s">
        <v>18779</v>
      </c>
      <c r="H62" s="10" t="s">
        <v>159</v>
      </c>
      <c r="I62" s="10" t="s">
        <v>55</v>
      </c>
      <c r="K62" s="10" t="s">
        <v>18780</v>
      </c>
      <c r="L62" s="10" t="s">
        <v>42</v>
      </c>
    </row>
    <row r="63" ht="15.75" customHeight="1">
      <c r="A63" s="66">
        <v>45496.0</v>
      </c>
      <c r="B63" s="55" t="str">
        <f>HYPERLINK("https://jobright.ai/jobs/info/66a004197f05eedcfa57840e?utm_campaign=1049&amp;utm_source=sheet", "Apply")</f>
        <v>Apply</v>
      </c>
      <c r="C63" s="10" t="s">
        <v>18781</v>
      </c>
      <c r="D63" s="56" t="s">
        <v>13363</v>
      </c>
      <c r="E63" s="10" t="s">
        <v>137</v>
      </c>
      <c r="F63" s="10" t="s">
        <v>13089</v>
      </c>
      <c r="G63" s="10" t="s">
        <v>18636</v>
      </c>
      <c r="H63" s="10" t="s">
        <v>6071</v>
      </c>
      <c r="I63" s="10" t="s">
        <v>55</v>
      </c>
      <c r="K63" s="10" t="s">
        <v>18782</v>
      </c>
      <c r="L63" s="10" t="s">
        <v>42</v>
      </c>
    </row>
    <row r="64" ht="15.75" customHeight="1">
      <c r="A64" s="66">
        <v>45496.0</v>
      </c>
      <c r="B64" s="55" t="str">
        <f>HYPERLINK("https://jobright.ai/jobs/info/66a3efb387fb29a0df319878?utm_campaign=1049&amp;utm_source=sheet", "Apply")</f>
        <v>Apply</v>
      </c>
      <c r="C64" s="10" t="s">
        <v>18675</v>
      </c>
      <c r="D64" s="56" t="s">
        <v>18676</v>
      </c>
      <c r="E64" s="10" t="s">
        <v>276</v>
      </c>
      <c r="F64" s="10" t="s">
        <v>13089</v>
      </c>
      <c r="G64" s="10" t="s">
        <v>18636</v>
      </c>
      <c r="H64" s="10" t="s">
        <v>96</v>
      </c>
      <c r="I64" s="10" t="s">
        <v>55</v>
      </c>
      <c r="K64" s="10" t="s">
        <v>18677</v>
      </c>
      <c r="L64" s="10" t="s">
        <v>42</v>
      </c>
    </row>
    <row r="65" ht="15.75" customHeight="1">
      <c r="A65" s="66">
        <v>45496.0</v>
      </c>
      <c r="B65" s="55" t="str">
        <f>HYPERLINK("https://jobright.ai/jobs/info/66a3f5135fcbfa8457ce1811?utm_campaign=1049&amp;utm_source=sheet", "Apply")</f>
        <v>Apply</v>
      </c>
      <c r="C65" s="10" t="s">
        <v>18783</v>
      </c>
      <c r="D65" s="56" t="s">
        <v>18784</v>
      </c>
      <c r="E65" s="10" t="s">
        <v>276</v>
      </c>
      <c r="F65" s="10" t="s">
        <v>2274</v>
      </c>
      <c r="G65" s="10" t="s">
        <v>18636</v>
      </c>
      <c r="H65" s="10" t="s">
        <v>96</v>
      </c>
      <c r="I65" s="10" t="s">
        <v>55</v>
      </c>
      <c r="J65" s="10" t="s">
        <v>1960</v>
      </c>
      <c r="K65" s="10" t="s">
        <v>18785</v>
      </c>
      <c r="L65" s="10" t="s">
        <v>42</v>
      </c>
    </row>
    <row r="66" ht="15.75" customHeight="1">
      <c r="A66" s="66">
        <v>45496.0</v>
      </c>
      <c r="B66" s="55" t="str">
        <f>HYPERLINK("https://jobright.ai/jobs/info/669fde151c33ed13e0471a0e?utm_campaign=1049&amp;utm_source=sheet", "Apply")</f>
        <v>Apply</v>
      </c>
      <c r="C66" s="10" t="s">
        <v>18786</v>
      </c>
      <c r="D66" s="56" t="s">
        <v>363</v>
      </c>
      <c r="E66" s="10" t="s">
        <v>209</v>
      </c>
      <c r="F66" s="10" t="s">
        <v>364</v>
      </c>
      <c r="G66" s="10" t="s">
        <v>18636</v>
      </c>
      <c r="H66" s="10" t="s">
        <v>365</v>
      </c>
      <c r="I66" s="10" t="s">
        <v>48</v>
      </c>
      <c r="J66" s="10" t="s">
        <v>366</v>
      </c>
      <c r="K66" s="10" t="s">
        <v>18787</v>
      </c>
      <c r="L66" s="10" t="s">
        <v>42</v>
      </c>
    </row>
    <row r="67" ht="15.75" customHeight="1">
      <c r="A67" s="66">
        <v>45496.0</v>
      </c>
      <c r="B67" s="55" t="str">
        <f>HYPERLINK("https://jobright.ai/jobs/info/669fc7a3bd6f2ddb1fda02b9?utm_campaign=1049&amp;utm_source=sheet", "Apply")</f>
        <v>Apply</v>
      </c>
      <c r="C67" s="10" t="s">
        <v>18788</v>
      </c>
      <c r="D67" s="56" t="s">
        <v>18789</v>
      </c>
      <c r="E67" s="10" t="s">
        <v>137</v>
      </c>
      <c r="F67" s="10" t="s">
        <v>18790</v>
      </c>
      <c r="G67" s="10" t="s">
        <v>18636</v>
      </c>
      <c r="H67" s="10" t="s">
        <v>10627</v>
      </c>
      <c r="I67" s="10" t="s">
        <v>48</v>
      </c>
      <c r="K67" s="10" t="s">
        <v>18791</v>
      </c>
      <c r="L67" s="10" t="s">
        <v>42</v>
      </c>
    </row>
    <row r="68" ht="15.75" customHeight="1">
      <c r="A68" s="66">
        <v>45496.0</v>
      </c>
      <c r="B68" s="55" t="str">
        <f>HYPERLINK("https://jobright.ai/jobs/info/66a3f4ed5fcbfa8457ce1514?utm_campaign=1049&amp;utm_source=sheet", "Apply")</f>
        <v>Apply</v>
      </c>
      <c r="C68" s="10" t="s">
        <v>18792</v>
      </c>
      <c r="D68" s="56" t="s">
        <v>18793</v>
      </c>
      <c r="E68" s="10" t="s">
        <v>276</v>
      </c>
      <c r="F68" s="10" t="s">
        <v>3920</v>
      </c>
      <c r="G68" s="10" t="s">
        <v>18636</v>
      </c>
      <c r="H68" s="10" t="s">
        <v>18794</v>
      </c>
      <c r="I68" s="10" t="s">
        <v>55</v>
      </c>
      <c r="K68" s="10" t="s">
        <v>18795</v>
      </c>
      <c r="L68" s="10" t="s">
        <v>42</v>
      </c>
    </row>
    <row r="69" ht="15.75" customHeight="1">
      <c r="A69" s="66">
        <v>45496.0</v>
      </c>
      <c r="B69" s="55" t="str">
        <f>HYPERLINK("https://jobright.ai/jobs/info/669fd2e6ffe7a49a2618b5a2?utm_campaign=1049&amp;utm_source=sheet", "Apply")</f>
        <v>Apply</v>
      </c>
      <c r="C69" s="10" t="s">
        <v>18796</v>
      </c>
      <c r="D69" s="56" t="s">
        <v>18797</v>
      </c>
      <c r="E69" s="10" t="s">
        <v>71</v>
      </c>
      <c r="F69" s="10" t="s">
        <v>18798</v>
      </c>
      <c r="G69" s="10" t="s">
        <v>18734</v>
      </c>
      <c r="H69" s="10" t="s">
        <v>3196</v>
      </c>
      <c r="I69" s="10" t="s">
        <v>55</v>
      </c>
      <c r="K69" s="10" t="s">
        <v>18799</v>
      </c>
      <c r="L69" s="10" t="s">
        <v>42</v>
      </c>
    </row>
    <row r="70" ht="15.75" customHeight="1">
      <c r="A70" s="66">
        <v>45496.0</v>
      </c>
      <c r="B70" s="55" t="str">
        <f>HYPERLINK("https://jobright.ai/jobs/info/6683380eb5752eff96c79d16?utm_campaign=1049&amp;utm_source=sheet", "Apply")</f>
        <v>Apply</v>
      </c>
      <c r="C70" s="10" t="s">
        <v>18800</v>
      </c>
      <c r="D70" s="56" t="s">
        <v>1780</v>
      </c>
      <c r="E70" s="10" t="s">
        <v>45</v>
      </c>
      <c r="F70" s="10" t="s">
        <v>1781</v>
      </c>
      <c r="G70" s="10" t="s">
        <v>18642</v>
      </c>
      <c r="H70" s="10" t="s">
        <v>153</v>
      </c>
      <c r="I70" s="10" t="s">
        <v>55</v>
      </c>
      <c r="K70" s="10" t="s">
        <v>18801</v>
      </c>
      <c r="L70" s="10" t="s">
        <v>42</v>
      </c>
    </row>
    <row r="71" ht="15.75" customHeight="1">
      <c r="A71" s="66">
        <v>45496.0</v>
      </c>
      <c r="B71" s="55" t="str">
        <f>HYPERLINK("https://jobright.ai/jobs/info/669f590b7e00cdeb53cb9e0d?utm_campaign=1049&amp;utm_source=sheet", "Apply")</f>
        <v>Apply</v>
      </c>
      <c r="C71" s="10" t="s">
        <v>18802</v>
      </c>
      <c r="D71" s="56" t="s">
        <v>18803</v>
      </c>
      <c r="E71" s="10" t="s">
        <v>65</v>
      </c>
      <c r="F71" s="10" t="s">
        <v>620</v>
      </c>
      <c r="G71" s="10" t="s">
        <v>18636</v>
      </c>
      <c r="H71" s="10" t="s">
        <v>1008</v>
      </c>
      <c r="I71" s="10" t="s">
        <v>55</v>
      </c>
      <c r="K71" s="10" t="s">
        <v>18804</v>
      </c>
      <c r="L71" s="10" t="s">
        <v>42</v>
      </c>
    </row>
    <row r="72" ht="15.75" customHeight="1">
      <c r="A72" s="66">
        <v>45496.0</v>
      </c>
      <c r="B72" s="55" t="str">
        <f>HYPERLINK("https://jobright.ai/jobs/info/669f32e1cbb1e68b11060538?utm_campaign=1049&amp;utm_source=sheet", "Apply")</f>
        <v>Apply</v>
      </c>
      <c r="C72" s="10" t="s">
        <v>18805</v>
      </c>
      <c r="D72" s="56" t="s">
        <v>18806</v>
      </c>
      <c r="E72" s="10" t="s">
        <v>276</v>
      </c>
      <c r="F72" s="10" t="s">
        <v>18807</v>
      </c>
      <c r="G72" s="10" t="s">
        <v>18636</v>
      </c>
      <c r="H72" s="10" t="s">
        <v>505</v>
      </c>
      <c r="I72" s="10" t="s">
        <v>55</v>
      </c>
      <c r="J72" s="10" t="s">
        <v>1409</v>
      </c>
      <c r="K72" s="10" t="s">
        <v>18808</v>
      </c>
      <c r="L72" s="10" t="s">
        <v>42</v>
      </c>
    </row>
    <row r="73" ht="15.75" customHeight="1">
      <c r="A73" s="66">
        <v>45496.0</v>
      </c>
      <c r="B73" s="55" t="str">
        <f>HYPERLINK("https://jobright.ai/jobs/info/669f2279e259be7ea8b87a83?utm_campaign=1049&amp;utm_source=sheet", "Apply")</f>
        <v>Apply</v>
      </c>
      <c r="C73" s="10" t="s">
        <v>18809</v>
      </c>
      <c r="D73" s="56" t="s">
        <v>13981</v>
      </c>
      <c r="E73" s="10" t="s">
        <v>79</v>
      </c>
      <c r="F73" s="10" t="s">
        <v>13982</v>
      </c>
      <c r="G73" s="10" t="s">
        <v>18636</v>
      </c>
      <c r="H73" s="10" t="s">
        <v>1254</v>
      </c>
      <c r="I73" s="10" t="s">
        <v>55</v>
      </c>
      <c r="K73" s="10" t="s">
        <v>18810</v>
      </c>
      <c r="L73" s="10" t="s">
        <v>42</v>
      </c>
    </row>
    <row r="74" ht="15.75" customHeight="1">
      <c r="A74" s="66">
        <v>45496.0</v>
      </c>
      <c r="B74" s="55" t="str">
        <f>HYPERLINK("https://jobright.ai/jobs/info/669fed9f72f6d25482dfca20?utm_campaign=1049&amp;utm_source=sheet", "Apply")</f>
        <v>Apply</v>
      </c>
      <c r="C74" s="10" t="s">
        <v>18811</v>
      </c>
      <c r="D74" s="56" t="s">
        <v>15441</v>
      </c>
      <c r="E74" s="10" t="s">
        <v>276</v>
      </c>
      <c r="F74" s="10" t="s">
        <v>15442</v>
      </c>
      <c r="G74" s="10" t="s">
        <v>18779</v>
      </c>
      <c r="H74" s="10" t="s">
        <v>957</v>
      </c>
      <c r="I74" s="10" t="s">
        <v>55</v>
      </c>
      <c r="J74" s="10" t="s">
        <v>18812</v>
      </c>
      <c r="K74" s="10" t="s">
        <v>18813</v>
      </c>
      <c r="L74" s="10" t="s">
        <v>42</v>
      </c>
    </row>
    <row r="75" ht="15.75" customHeight="1">
      <c r="A75" s="66">
        <v>45495.0</v>
      </c>
      <c r="B75" s="55" t="str">
        <f>HYPERLINK("https://jobright.ai/jobs/info/669a9b6f1c65fab8943f9778?utm_campaign=1049&amp;utm_source=sheet", "Apply")</f>
        <v>Apply</v>
      </c>
      <c r="C75" s="10" t="s">
        <v>18814</v>
      </c>
      <c r="D75" s="56" t="s">
        <v>18815</v>
      </c>
      <c r="E75" s="10" t="s">
        <v>65</v>
      </c>
      <c r="F75" s="10" t="s">
        <v>1601</v>
      </c>
      <c r="G75" s="10" t="s">
        <v>18636</v>
      </c>
      <c r="H75" s="10" t="s">
        <v>405</v>
      </c>
      <c r="I75" s="10" t="s">
        <v>55</v>
      </c>
      <c r="J75" s="10" t="s">
        <v>1189</v>
      </c>
      <c r="K75" s="10" t="s">
        <v>18816</v>
      </c>
      <c r="L75" s="10" t="s">
        <v>42</v>
      </c>
    </row>
    <row r="76" ht="15.75" customHeight="1">
      <c r="A76" s="66">
        <v>45495.0</v>
      </c>
      <c r="B76" s="55" t="str">
        <f>HYPERLINK("https://jobright.ai/jobs/info/669ef0e8916858f303582442?utm_campaign=1049&amp;utm_source=sheet", "Apply")</f>
        <v>Apply</v>
      </c>
      <c r="C76" s="10" t="s">
        <v>18817</v>
      </c>
      <c r="D76" s="56" t="s">
        <v>9937</v>
      </c>
      <c r="E76" s="10" t="s">
        <v>45</v>
      </c>
      <c r="F76" s="10" t="s">
        <v>9938</v>
      </c>
      <c r="G76" s="10" t="s">
        <v>18636</v>
      </c>
      <c r="H76" s="10" t="s">
        <v>165</v>
      </c>
      <c r="I76" s="10" t="s">
        <v>55</v>
      </c>
      <c r="J76" s="10" t="s">
        <v>18818</v>
      </c>
      <c r="K76" s="10" t="s">
        <v>18819</v>
      </c>
      <c r="L76" s="10" t="s">
        <v>42</v>
      </c>
    </row>
    <row r="77" ht="15.75" customHeight="1">
      <c r="A77" s="66">
        <v>45495.0</v>
      </c>
      <c r="B77" s="55" t="str">
        <f>HYPERLINK("https://jobright.ai/jobs/info/669eee40c0eecbb96d0798d2?utm_campaign=1049&amp;utm_source=sheet", "Apply")</f>
        <v>Apply</v>
      </c>
      <c r="C77" s="10" t="s">
        <v>18820</v>
      </c>
      <c r="D77" s="56" t="s">
        <v>12538</v>
      </c>
      <c r="E77" s="10" t="s">
        <v>137</v>
      </c>
      <c r="F77" s="10" t="s">
        <v>12539</v>
      </c>
      <c r="G77" s="10" t="s">
        <v>18636</v>
      </c>
      <c r="H77" s="10" t="s">
        <v>96</v>
      </c>
      <c r="I77" s="10" t="s">
        <v>55</v>
      </c>
      <c r="K77" s="10" t="s">
        <v>18821</v>
      </c>
      <c r="L77" s="10" t="s">
        <v>42</v>
      </c>
    </row>
    <row r="78" ht="15.75" customHeight="1">
      <c r="A78" s="66">
        <v>45495.0</v>
      </c>
      <c r="B78" s="55" t="str">
        <f>HYPERLINK("https://jobright.ai/jobs/info/669ee70e335dddbe62d7cf47?utm_campaign=1049&amp;utm_source=sheet", "Apply")</f>
        <v>Apply</v>
      </c>
      <c r="C78" s="10" t="s">
        <v>18822</v>
      </c>
      <c r="D78" s="56" t="s">
        <v>17293</v>
      </c>
      <c r="E78" s="10" t="s">
        <v>249</v>
      </c>
      <c r="F78" s="10" t="s">
        <v>13072</v>
      </c>
      <c r="G78" s="10" t="s">
        <v>18636</v>
      </c>
      <c r="H78" s="10" t="s">
        <v>152</v>
      </c>
      <c r="I78" s="10" t="s">
        <v>55</v>
      </c>
      <c r="K78" s="10" t="s">
        <v>18823</v>
      </c>
      <c r="L78" s="10" t="s">
        <v>42</v>
      </c>
    </row>
    <row r="79" ht="15.75" customHeight="1">
      <c r="A79" s="66">
        <v>45495.0</v>
      </c>
      <c r="B79" s="55" t="str">
        <f>HYPERLINK("https://jobright.ai/jobs/info/669ee70e335dddbe62d7cf4e?utm_campaign=1049&amp;utm_source=sheet", "Apply")</f>
        <v>Apply</v>
      </c>
      <c r="C79" s="10" t="s">
        <v>18824</v>
      </c>
      <c r="D79" s="56" t="s">
        <v>17293</v>
      </c>
      <c r="E79" s="10" t="s">
        <v>249</v>
      </c>
      <c r="F79" s="10" t="s">
        <v>13072</v>
      </c>
      <c r="G79" s="10" t="s">
        <v>18636</v>
      </c>
      <c r="H79" s="10" t="s">
        <v>152</v>
      </c>
      <c r="I79" s="10" t="s">
        <v>55</v>
      </c>
      <c r="K79" s="10" t="s">
        <v>18825</v>
      </c>
      <c r="L79" s="10" t="s">
        <v>42</v>
      </c>
    </row>
    <row r="80" ht="15.75" customHeight="1">
      <c r="A80" s="66">
        <v>45495.0</v>
      </c>
      <c r="B80" s="55" t="str">
        <f>HYPERLINK("https://jobright.ai/jobs/info/669ee2fa54be8c085241d400?utm_campaign=1049&amp;utm_source=sheet", "Apply")</f>
        <v>Apply</v>
      </c>
      <c r="C80" s="10" t="s">
        <v>18826</v>
      </c>
      <c r="D80" s="56" t="s">
        <v>12538</v>
      </c>
      <c r="E80" s="10" t="s">
        <v>137</v>
      </c>
      <c r="F80" s="10" t="s">
        <v>12539</v>
      </c>
      <c r="G80" s="10" t="s">
        <v>18636</v>
      </c>
      <c r="H80" s="10" t="s">
        <v>96</v>
      </c>
      <c r="I80" s="10" t="s">
        <v>55</v>
      </c>
      <c r="K80" s="10" t="s">
        <v>18827</v>
      </c>
      <c r="L80" s="10" t="s">
        <v>42</v>
      </c>
    </row>
    <row r="81" ht="15.75" customHeight="1">
      <c r="A81" s="66">
        <v>45495.0</v>
      </c>
      <c r="B81" s="55" t="str">
        <f>HYPERLINK("https://jobright.ai/jobs/info/669ee0576d37918f3bac84ac?utm_campaign=1049&amp;utm_source=sheet", "Apply")</f>
        <v>Apply</v>
      </c>
      <c r="C81" s="10" t="s">
        <v>18817</v>
      </c>
      <c r="D81" s="56" t="s">
        <v>18828</v>
      </c>
      <c r="E81" s="10" t="s">
        <v>71</v>
      </c>
      <c r="F81" s="10" t="s">
        <v>18829</v>
      </c>
      <c r="G81" s="10" t="s">
        <v>18636</v>
      </c>
      <c r="H81" s="10" t="s">
        <v>165</v>
      </c>
      <c r="I81" s="10" t="s">
        <v>55</v>
      </c>
      <c r="J81" s="10" t="s">
        <v>18818</v>
      </c>
      <c r="K81" s="10" t="s">
        <v>18819</v>
      </c>
      <c r="L81" s="10" t="s">
        <v>42</v>
      </c>
    </row>
    <row r="82" ht="15.75" customHeight="1">
      <c r="A82" s="66">
        <v>45495.0</v>
      </c>
      <c r="B82" s="55" t="str">
        <f>HYPERLINK("https://jobright.ai/jobs/info/669ee05f6d37918f3bac8533?utm_campaign=1049&amp;utm_source=sheet", "Apply")</f>
        <v>Apply</v>
      </c>
      <c r="C82" s="10" t="s">
        <v>18830</v>
      </c>
      <c r="D82" s="56" t="s">
        <v>15040</v>
      </c>
      <c r="E82" s="10">
        <v>320.0</v>
      </c>
      <c r="G82" s="10" t="s">
        <v>18636</v>
      </c>
      <c r="H82" s="10" t="s">
        <v>628</v>
      </c>
      <c r="I82" s="10" t="s">
        <v>55</v>
      </c>
      <c r="K82" s="10" t="s">
        <v>18831</v>
      </c>
      <c r="L82" s="10" t="s">
        <v>42</v>
      </c>
    </row>
    <row r="83" ht="15.75" customHeight="1">
      <c r="A83" s="66">
        <v>45495.0</v>
      </c>
      <c r="B83" s="55" t="str">
        <f>HYPERLINK("https://jobright.ai/jobs/info/669eda6c445b4140a485db11?utm_campaign=1049&amp;utm_source=sheet", "Apply")</f>
        <v>Apply</v>
      </c>
      <c r="C83" s="10" t="s">
        <v>18832</v>
      </c>
      <c r="D83" s="56" t="s">
        <v>18833</v>
      </c>
      <c r="E83" s="10" t="s">
        <v>249</v>
      </c>
      <c r="F83" s="10" t="s">
        <v>1893</v>
      </c>
      <c r="G83" s="10" t="s">
        <v>18636</v>
      </c>
      <c r="H83" s="10" t="s">
        <v>144</v>
      </c>
      <c r="I83" s="10" t="s">
        <v>48</v>
      </c>
      <c r="J83" s="10" t="s">
        <v>521</v>
      </c>
      <c r="K83" s="10" t="s">
        <v>18834</v>
      </c>
      <c r="L83" s="10" t="s">
        <v>42</v>
      </c>
    </row>
    <row r="84" ht="15.75" customHeight="1">
      <c r="A84" s="66">
        <v>45495.0</v>
      </c>
      <c r="B84" s="55" t="str">
        <f>HYPERLINK("https://jobright.ai/jobs/info/669eda75445b4140a485db7f?utm_campaign=1049&amp;utm_source=sheet", "Apply")</f>
        <v>Apply</v>
      </c>
      <c r="C84" s="10" t="s">
        <v>18835</v>
      </c>
      <c r="D84" s="56" t="s">
        <v>3547</v>
      </c>
      <c r="E84" s="10" t="s">
        <v>249</v>
      </c>
      <c r="F84" s="10" t="s">
        <v>85</v>
      </c>
      <c r="G84" s="10" t="s">
        <v>18642</v>
      </c>
      <c r="H84" s="10" t="s">
        <v>131</v>
      </c>
      <c r="I84" s="10" t="s">
        <v>55</v>
      </c>
      <c r="K84" s="10" t="s">
        <v>18836</v>
      </c>
      <c r="L84" s="10" t="s">
        <v>42</v>
      </c>
    </row>
    <row r="85" ht="15.75" customHeight="1">
      <c r="A85" s="66">
        <v>45495.0</v>
      </c>
      <c r="B85" s="55" t="str">
        <f>HYPERLINK("https://jobright.ai/jobs/info/669ecc30d13ec8010d80f384?utm_campaign=1049&amp;utm_source=sheet", "Apply")</f>
        <v>Apply</v>
      </c>
      <c r="C85" s="10" t="s">
        <v>18721</v>
      </c>
      <c r="D85" s="56" t="s">
        <v>18837</v>
      </c>
      <c r="E85" s="10" t="s">
        <v>137</v>
      </c>
      <c r="F85" s="10" t="s">
        <v>5585</v>
      </c>
      <c r="G85" s="10" t="s">
        <v>18636</v>
      </c>
      <c r="H85" s="10" t="s">
        <v>18838</v>
      </c>
      <c r="I85" s="10" t="s">
        <v>55</v>
      </c>
      <c r="J85" s="10" t="s">
        <v>1608</v>
      </c>
      <c r="K85" s="10" t="s">
        <v>18839</v>
      </c>
      <c r="L85" s="10" t="s">
        <v>42</v>
      </c>
    </row>
    <row r="86" ht="15.75" customHeight="1">
      <c r="A86" s="66">
        <v>45495.0</v>
      </c>
      <c r="B86" s="55" t="str">
        <f>HYPERLINK("https://jobright.ai/jobs/info/66a10ea777417df7b9f096f6?utm_campaign=1049&amp;utm_source=sheet", "Apply")</f>
        <v>Apply</v>
      </c>
      <c r="C86" s="10" t="s">
        <v>18840</v>
      </c>
      <c r="D86" s="58" t="s">
        <v>1572</v>
      </c>
      <c r="E86" s="10" t="s">
        <v>249</v>
      </c>
      <c r="F86" s="10" t="s">
        <v>1573</v>
      </c>
      <c r="G86" s="10" t="s">
        <v>18636</v>
      </c>
      <c r="H86" s="10" t="s">
        <v>106</v>
      </c>
      <c r="I86" s="10" t="s">
        <v>55</v>
      </c>
      <c r="K86" s="10" t="s">
        <v>18841</v>
      </c>
      <c r="L86" s="10" t="s">
        <v>42</v>
      </c>
    </row>
    <row r="87" ht="15.75" customHeight="1">
      <c r="A87" s="66">
        <v>45495.0</v>
      </c>
      <c r="B87" s="55" t="str">
        <f>HYPERLINK("https://jobright.ai/jobs/info/66a3f913c344e12ad5440e36?utm_campaign=1049&amp;utm_source=sheet", "Apply")</f>
        <v>Apply</v>
      </c>
      <c r="C87" s="10" t="s">
        <v>18842</v>
      </c>
      <c r="D87" s="56" t="s">
        <v>18843</v>
      </c>
      <c r="E87" s="10" t="s">
        <v>65</v>
      </c>
      <c r="F87" s="10" t="s">
        <v>5470</v>
      </c>
      <c r="G87" s="10" t="s">
        <v>18636</v>
      </c>
      <c r="H87" s="10" t="s">
        <v>18844</v>
      </c>
      <c r="I87" s="10" t="s">
        <v>55</v>
      </c>
      <c r="K87" s="10" t="s">
        <v>18845</v>
      </c>
      <c r="L87" s="10" t="s">
        <v>42</v>
      </c>
    </row>
    <row r="88" ht="15.75" customHeight="1">
      <c r="A88" s="66">
        <v>45495.0</v>
      </c>
      <c r="B88" s="55" t="str">
        <f>HYPERLINK("https://jobright.ai/jobs/info/669e5f61255889f99435db18?utm_campaign=1049&amp;utm_source=sheet", "Apply")</f>
        <v>Apply</v>
      </c>
      <c r="C88" s="10" t="s">
        <v>18846</v>
      </c>
      <c r="D88" s="56" t="s">
        <v>16056</v>
      </c>
      <c r="E88" s="10" t="s">
        <v>71</v>
      </c>
      <c r="F88" s="10" t="s">
        <v>12539</v>
      </c>
      <c r="G88" s="10" t="s">
        <v>18636</v>
      </c>
      <c r="H88" s="10" t="s">
        <v>96</v>
      </c>
      <c r="I88" s="10" t="s">
        <v>55</v>
      </c>
      <c r="J88" s="10" t="s">
        <v>1960</v>
      </c>
      <c r="K88" s="10" t="s">
        <v>18847</v>
      </c>
      <c r="L88" s="10" t="s">
        <v>42</v>
      </c>
    </row>
    <row r="89" ht="15.75" customHeight="1">
      <c r="A89" s="66">
        <v>45495.0</v>
      </c>
      <c r="B89" s="55" t="str">
        <f>HYPERLINK("https://jobright.ai/jobs/info/669e6552c170bee56b299d7d?utm_campaign=1049&amp;utm_source=sheet", "Apply")</f>
        <v>Apply</v>
      </c>
      <c r="C89" s="10" t="s">
        <v>18848</v>
      </c>
      <c r="D89" s="56" t="s">
        <v>18784</v>
      </c>
      <c r="E89" s="10" t="s">
        <v>276</v>
      </c>
      <c r="F89" s="10" t="s">
        <v>2274</v>
      </c>
      <c r="G89" s="10" t="s">
        <v>18636</v>
      </c>
      <c r="H89" s="10" t="s">
        <v>96</v>
      </c>
      <c r="I89" s="10" t="s">
        <v>55</v>
      </c>
      <c r="J89" s="10" t="s">
        <v>1960</v>
      </c>
      <c r="K89" s="10" t="s">
        <v>18849</v>
      </c>
      <c r="L89" s="10" t="s">
        <v>42</v>
      </c>
    </row>
    <row r="90" ht="15.75" customHeight="1">
      <c r="A90" s="66">
        <v>45495.0</v>
      </c>
      <c r="B90" s="55" t="str">
        <f>HYPERLINK("https://jobright.ai/jobs/info/66a0de6428125a716783e3e8?utm_campaign=1049&amp;utm_source=sheet", "Apply")</f>
        <v>Apply</v>
      </c>
      <c r="C90" s="10" t="s">
        <v>18700</v>
      </c>
      <c r="D90" s="56" t="s">
        <v>7959</v>
      </c>
      <c r="E90" s="10">
        <v>175.0</v>
      </c>
      <c r="G90" s="10" t="s">
        <v>18636</v>
      </c>
      <c r="H90" s="10" t="s">
        <v>159</v>
      </c>
      <c r="I90" s="10" t="s">
        <v>55</v>
      </c>
      <c r="J90" s="10" t="s">
        <v>18701</v>
      </c>
      <c r="K90" s="10" t="s">
        <v>18632</v>
      </c>
      <c r="L90" s="10" t="s">
        <v>42</v>
      </c>
    </row>
    <row r="91" ht="15.75" customHeight="1">
      <c r="A91" s="66">
        <v>45495.0</v>
      </c>
      <c r="B91" s="55" t="str">
        <f>HYPERLINK("https://jobright.ai/jobs/info/669d8a9c1fb9ef6d3225e6d0?utm_campaign=1049&amp;utm_source=sheet", "Apply")</f>
        <v>Apply</v>
      </c>
      <c r="C91" s="10" t="s">
        <v>18850</v>
      </c>
      <c r="D91" s="56" t="s">
        <v>3794</v>
      </c>
      <c r="E91" s="10" t="s">
        <v>65</v>
      </c>
      <c r="F91" s="10" t="s">
        <v>3795</v>
      </c>
      <c r="G91" s="10" t="s">
        <v>18642</v>
      </c>
      <c r="H91" s="10" t="s">
        <v>251</v>
      </c>
      <c r="I91" s="10" t="s">
        <v>48</v>
      </c>
      <c r="J91" s="10" t="s">
        <v>3797</v>
      </c>
      <c r="K91" s="10" t="s">
        <v>4342</v>
      </c>
      <c r="L91" s="10" t="s">
        <v>42</v>
      </c>
    </row>
    <row r="92" ht="15.75" customHeight="1">
      <c r="A92" s="66">
        <v>45495.0</v>
      </c>
      <c r="B92" s="55" t="str">
        <f>HYPERLINK("https://jobright.ai/jobs/info/669dbc423b1247e933f5506c?utm_campaign=1049&amp;utm_source=sheet", "Apply")</f>
        <v>Apply</v>
      </c>
      <c r="C92" s="10" t="s">
        <v>18850</v>
      </c>
      <c r="D92" s="56" t="s">
        <v>3794</v>
      </c>
      <c r="E92" s="10" t="s">
        <v>65</v>
      </c>
      <c r="F92" s="10" t="s">
        <v>3795</v>
      </c>
      <c r="G92" s="10" t="s">
        <v>18642</v>
      </c>
      <c r="H92" s="10" t="s">
        <v>3796</v>
      </c>
      <c r="I92" s="10" t="s">
        <v>48</v>
      </c>
      <c r="J92" s="10" t="s">
        <v>3797</v>
      </c>
      <c r="K92" s="10" t="s">
        <v>4342</v>
      </c>
      <c r="L92" s="10" t="s">
        <v>42</v>
      </c>
    </row>
    <row r="93" ht="15.75" customHeight="1">
      <c r="A93" s="66">
        <v>45494.0</v>
      </c>
      <c r="B93" s="55" t="str">
        <f>HYPERLINK("https://jobright.ai/jobs/info/6677d2bd97271e26801e330d?utm_campaign=1049&amp;utm_source=sheet", "Apply")</f>
        <v>Apply</v>
      </c>
      <c r="C93" s="10" t="s">
        <v>18851</v>
      </c>
      <c r="D93" s="56" t="s">
        <v>7547</v>
      </c>
      <c r="E93" s="10" t="s">
        <v>209</v>
      </c>
      <c r="F93" s="10" t="s">
        <v>7548</v>
      </c>
      <c r="G93" s="10" t="s">
        <v>18636</v>
      </c>
      <c r="H93" s="10" t="s">
        <v>587</v>
      </c>
      <c r="I93" s="10" t="s">
        <v>55</v>
      </c>
      <c r="K93" s="10" t="s">
        <v>18852</v>
      </c>
      <c r="L93" s="10" t="s">
        <v>42</v>
      </c>
    </row>
    <row r="94" ht="15.75" customHeight="1">
      <c r="A94" s="66">
        <v>45494.0</v>
      </c>
      <c r="B94" s="55" t="str">
        <f>HYPERLINK("https://jobright.ai/jobs/info/6677c86464f2e472ffd64190?utm_campaign=1049&amp;utm_source=sheet", "Apply")</f>
        <v>Apply</v>
      </c>
      <c r="C94" s="10" t="s">
        <v>18853</v>
      </c>
      <c r="D94" s="56" t="s">
        <v>18854</v>
      </c>
      <c r="E94" s="10" t="s">
        <v>249</v>
      </c>
      <c r="F94" s="10" t="s">
        <v>18855</v>
      </c>
      <c r="G94" s="10" t="s">
        <v>18636</v>
      </c>
      <c r="H94" s="10" t="s">
        <v>165</v>
      </c>
      <c r="I94" s="10" t="s">
        <v>48</v>
      </c>
      <c r="J94" s="10" t="s">
        <v>1984</v>
      </c>
      <c r="K94" s="10" t="s">
        <v>18856</v>
      </c>
      <c r="L94" s="10" t="s">
        <v>42</v>
      </c>
    </row>
    <row r="95" ht="15.75" customHeight="1">
      <c r="A95" s="66">
        <v>45494.0</v>
      </c>
      <c r="B95" s="55" t="str">
        <f>HYPERLINK("https://jobright.ai/jobs/info/65d21d30fd7208621bd0fded?utm_campaign=1049&amp;utm_source=sheet", "Apply")</f>
        <v>Apply</v>
      </c>
      <c r="C95" s="10" t="s">
        <v>18857</v>
      </c>
      <c r="D95" s="56" t="s">
        <v>18060</v>
      </c>
      <c r="E95" s="10" t="s">
        <v>45</v>
      </c>
      <c r="F95" s="10" t="s">
        <v>9573</v>
      </c>
      <c r="G95" s="10" t="s">
        <v>18636</v>
      </c>
      <c r="H95" s="10" t="s">
        <v>965</v>
      </c>
      <c r="I95" s="10" t="s">
        <v>55</v>
      </c>
      <c r="K95" s="10" t="s">
        <v>18858</v>
      </c>
      <c r="L95" s="10" t="s">
        <v>42</v>
      </c>
    </row>
    <row r="96" ht="15.75" customHeight="1">
      <c r="A96" s="66">
        <v>45494.0</v>
      </c>
      <c r="B96" s="55" t="str">
        <f>HYPERLINK("https://jobright.ai/jobs/info/6679561239ca2f81c4371335?utm_campaign=1049&amp;utm_source=sheet", "Apply")</f>
        <v>Apply</v>
      </c>
      <c r="C96" s="10" t="s">
        <v>18859</v>
      </c>
      <c r="D96" s="56" t="s">
        <v>1883</v>
      </c>
      <c r="E96" s="10" t="s">
        <v>209</v>
      </c>
      <c r="F96" s="10" t="s">
        <v>1884</v>
      </c>
      <c r="G96" s="10" t="s">
        <v>18636</v>
      </c>
      <c r="H96" s="10" t="s">
        <v>170</v>
      </c>
      <c r="I96" s="10" t="s">
        <v>48</v>
      </c>
      <c r="J96" s="10" t="s">
        <v>18860</v>
      </c>
      <c r="K96" s="10" t="s">
        <v>18861</v>
      </c>
      <c r="L96" s="10" t="s">
        <v>42</v>
      </c>
    </row>
    <row r="97" ht="15.75" customHeight="1">
      <c r="A97" s="66">
        <v>45494.0</v>
      </c>
      <c r="B97" s="55" t="str">
        <f>HYPERLINK("https://jobright.ai/jobs/info/6677cdd074ec1a95a89afa2f?utm_campaign=1049&amp;utm_source=sheet", "Apply")</f>
        <v>Apply</v>
      </c>
      <c r="C97" s="10" t="s">
        <v>18721</v>
      </c>
      <c r="D97" s="56" t="s">
        <v>1883</v>
      </c>
      <c r="E97" s="10" t="s">
        <v>209</v>
      </c>
      <c r="F97" s="10" t="s">
        <v>1884</v>
      </c>
      <c r="G97" s="10" t="s">
        <v>18636</v>
      </c>
      <c r="H97" s="10" t="s">
        <v>3278</v>
      </c>
      <c r="I97" s="10" t="s">
        <v>48</v>
      </c>
      <c r="J97" s="10" t="s">
        <v>18860</v>
      </c>
      <c r="K97" s="10" t="s">
        <v>18862</v>
      </c>
      <c r="L97" s="10" t="s">
        <v>42</v>
      </c>
    </row>
    <row r="98" ht="15.75" customHeight="1">
      <c r="A98" s="66">
        <v>45494.0</v>
      </c>
      <c r="B98" s="55" t="str">
        <f>HYPERLINK("https://jobright.ai/jobs/info/6677c80964f2e472ffd63b6c?utm_campaign=1049&amp;utm_source=sheet", "Apply")</f>
        <v>Apply</v>
      </c>
      <c r="C98" s="10" t="s">
        <v>18721</v>
      </c>
      <c r="D98" s="56" t="s">
        <v>1883</v>
      </c>
      <c r="E98" s="10" t="s">
        <v>209</v>
      </c>
      <c r="F98" s="10" t="s">
        <v>1884</v>
      </c>
      <c r="G98" s="10" t="s">
        <v>18636</v>
      </c>
      <c r="H98" s="10" t="s">
        <v>170</v>
      </c>
      <c r="I98" s="10" t="s">
        <v>48</v>
      </c>
      <c r="J98" s="10" t="s">
        <v>18860</v>
      </c>
      <c r="K98" s="10" t="s">
        <v>18862</v>
      </c>
      <c r="L98" s="10" t="s">
        <v>42</v>
      </c>
    </row>
    <row r="99" ht="15.75" customHeight="1">
      <c r="A99" s="66">
        <v>45493.0</v>
      </c>
      <c r="B99" s="55" t="str">
        <f>HYPERLINK("https://jobright.ai/jobs/info/66a135b5a897a43af5f5a7ba?utm_campaign=1049&amp;utm_source=sheet", "Apply")</f>
        <v>Apply</v>
      </c>
      <c r="C99" s="10" t="s">
        <v>18863</v>
      </c>
      <c r="D99" s="56" t="s">
        <v>18864</v>
      </c>
      <c r="E99" s="10">
        <v>592.0</v>
      </c>
      <c r="G99" s="10" t="s">
        <v>18636</v>
      </c>
      <c r="H99" s="10" t="s">
        <v>18865</v>
      </c>
      <c r="I99" s="10" t="s">
        <v>55</v>
      </c>
      <c r="K99" s="10" t="s">
        <v>18866</v>
      </c>
      <c r="L99" s="10" t="s">
        <v>42</v>
      </c>
    </row>
    <row r="100" ht="15.75" customHeight="1">
      <c r="A100" s="66">
        <v>45493.0</v>
      </c>
      <c r="B100" s="55" t="str">
        <f>HYPERLINK("https://jobright.ai/jobs/info/66a10e7f77417df7b9f093f6?utm_campaign=1049&amp;utm_source=sheet", "Apply")</f>
        <v>Apply</v>
      </c>
      <c r="C100" s="10" t="s">
        <v>18863</v>
      </c>
      <c r="D100" s="56" t="s">
        <v>1707</v>
      </c>
      <c r="E100" s="10" t="s">
        <v>45</v>
      </c>
      <c r="F100" s="10" t="s">
        <v>1708</v>
      </c>
      <c r="G100" s="10" t="s">
        <v>18636</v>
      </c>
      <c r="H100" s="10" t="s">
        <v>1709</v>
      </c>
      <c r="I100" s="10" t="s">
        <v>55</v>
      </c>
      <c r="K100" s="10" t="s">
        <v>18866</v>
      </c>
      <c r="L100" s="10" t="s">
        <v>42</v>
      </c>
    </row>
    <row r="101" ht="15.75" customHeight="1">
      <c r="A101" s="66">
        <v>45493.0</v>
      </c>
      <c r="B101" s="55" t="str">
        <f>HYPERLINK("https://jobright.ai/jobs/info/66a250ffa8221cc7b873eea4?utm_campaign=1049&amp;utm_source=sheet", "Apply")</f>
        <v>Apply</v>
      </c>
      <c r="C101" s="10" t="s">
        <v>18867</v>
      </c>
      <c r="D101" s="56" t="s">
        <v>12792</v>
      </c>
      <c r="E101" s="10" t="s">
        <v>209</v>
      </c>
      <c r="F101" s="10" t="s">
        <v>1641</v>
      </c>
      <c r="G101" s="10" t="s">
        <v>18636</v>
      </c>
      <c r="H101" s="10" t="s">
        <v>170</v>
      </c>
      <c r="I101" s="10" t="s">
        <v>55</v>
      </c>
      <c r="J101" s="10" t="s">
        <v>1984</v>
      </c>
      <c r="K101" s="10" t="s">
        <v>18868</v>
      </c>
      <c r="L101" s="10" t="s">
        <v>42</v>
      </c>
    </row>
    <row r="102" ht="15.75" customHeight="1">
      <c r="A102" s="66">
        <v>45493.0</v>
      </c>
      <c r="B102" s="55" t="str">
        <f>HYPERLINK("https://jobright.ai/jobs/info/6644a8e86aa28f8a337ddf72?utm_campaign=1049&amp;utm_source=sheet", "Apply")</f>
        <v>Apply</v>
      </c>
      <c r="C102" s="10" t="s">
        <v>18869</v>
      </c>
      <c r="D102" s="56" t="s">
        <v>8233</v>
      </c>
      <c r="E102" s="10">
        <v>8937.0</v>
      </c>
      <c r="G102" s="10" t="s">
        <v>18636</v>
      </c>
      <c r="H102" s="10" t="s">
        <v>117</v>
      </c>
      <c r="I102" s="10" t="s">
        <v>55</v>
      </c>
      <c r="K102" s="10" t="s">
        <v>18870</v>
      </c>
      <c r="L102" s="10" t="s">
        <v>42</v>
      </c>
    </row>
    <row r="103" ht="15.75" customHeight="1">
      <c r="A103" s="66">
        <v>45493.0</v>
      </c>
      <c r="B103" s="55" t="str">
        <f>HYPERLINK("https://jobright.ai/jobs/info/66464b35bce3147923b9671b?utm_campaign=1049&amp;utm_source=sheet", "Apply")</f>
        <v>Apply</v>
      </c>
      <c r="C103" s="10" t="s">
        <v>18859</v>
      </c>
      <c r="D103" s="56" t="s">
        <v>1883</v>
      </c>
      <c r="E103" s="10" t="s">
        <v>209</v>
      </c>
      <c r="F103" s="10" t="s">
        <v>1884</v>
      </c>
      <c r="G103" s="10" t="s">
        <v>18636</v>
      </c>
      <c r="H103" s="10" t="s">
        <v>3278</v>
      </c>
      <c r="I103" s="10" t="s">
        <v>55</v>
      </c>
      <c r="J103" s="10" t="s">
        <v>18860</v>
      </c>
      <c r="K103" s="10" t="s">
        <v>18861</v>
      </c>
      <c r="L103" s="10" t="s">
        <v>42</v>
      </c>
    </row>
    <row r="104" ht="15.75" customHeight="1">
      <c r="A104" s="66">
        <v>45493.0</v>
      </c>
      <c r="B104" s="55" t="str">
        <f>HYPERLINK("https://jobright.ai/jobs/info/667f3b3e61f2588c34187ad1?utm_campaign=1049&amp;utm_source=sheet", "Apply")</f>
        <v>Apply</v>
      </c>
      <c r="C104" s="10" t="s">
        <v>18871</v>
      </c>
      <c r="D104" s="56" t="s">
        <v>18872</v>
      </c>
      <c r="E104" s="10" t="s">
        <v>276</v>
      </c>
      <c r="F104" s="10" t="s">
        <v>9573</v>
      </c>
      <c r="G104" s="10" t="s">
        <v>18636</v>
      </c>
      <c r="H104" s="10" t="s">
        <v>966</v>
      </c>
      <c r="I104" s="10" t="s">
        <v>55</v>
      </c>
      <c r="J104" s="10" t="s">
        <v>1984</v>
      </c>
      <c r="K104" s="10" t="s">
        <v>18873</v>
      </c>
      <c r="L104" s="10" t="s">
        <v>42</v>
      </c>
    </row>
    <row r="105" ht="15.75" customHeight="1">
      <c r="A105" s="66">
        <v>45493.0</v>
      </c>
      <c r="B105" s="55" t="str">
        <f>HYPERLINK("https://jobright.ai/jobs/info/669b776722734219f8c1afb0?utm_campaign=1049&amp;utm_source=sheet", "Apply")</f>
        <v>Apply</v>
      </c>
      <c r="C105" s="10" t="s">
        <v>18874</v>
      </c>
      <c r="D105" s="56" t="s">
        <v>18875</v>
      </c>
      <c r="E105" s="10" t="s">
        <v>79</v>
      </c>
      <c r="F105" s="10" t="s">
        <v>10</v>
      </c>
      <c r="G105" s="10" t="s">
        <v>18734</v>
      </c>
      <c r="H105" s="10" t="s">
        <v>9570</v>
      </c>
      <c r="I105" s="10" t="s">
        <v>48</v>
      </c>
      <c r="K105" s="10" t="s">
        <v>18876</v>
      </c>
      <c r="L105" s="10" t="s">
        <v>42</v>
      </c>
    </row>
    <row r="106" ht="15.75" customHeight="1">
      <c r="A106" s="66">
        <v>45493.0</v>
      </c>
      <c r="B106" s="55" t="str">
        <f>HYPERLINK("https://jobright.ai/jobs/info/669b2be28e94ffc10da9cac9?utm_campaign=1049&amp;utm_source=sheet", "Apply")</f>
        <v>Apply</v>
      </c>
      <c r="C106" s="10" t="s">
        <v>8419</v>
      </c>
      <c r="D106" s="56" t="s">
        <v>17925</v>
      </c>
      <c r="E106" s="10" t="s">
        <v>65</v>
      </c>
      <c r="F106" s="10" t="s">
        <v>4017</v>
      </c>
      <c r="G106" s="10" t="s">
        <v>18636</v>
      </c>
      <c r="H106" s="10" t="s">
        <v>251</v>
      </c>
      <c r="I106" s="10" t="s">
        <v>252</v>
      </c>
      <c r="J106" s="10" t="s">
        <v>18877</v>
      </c>
      <c r="K106" s="10" t="s">
        <v>18878</v>
      </c>
      <c r="L106" s="10" t="s">
        <v>42</v>
      </c>
    </row>
    <row r="107" ht="15.75" customHeight="1">
      <c r="A107" s="66">
        <v>45493.0</v>
      </c>
      <c r="B107" s="55" t="str">
        <f>HYPERLINK("https://jobright.ai/jobs/info/669b2684faf0d9e7c8c8fa37?utm_campaign=1049&amp;utm_source=sheet", "Apply")</f>
        <v>Apply</v>
      </c>
      <c r="C107" s="10" t="s">
        <v>18879</v>
      </c>
      <c r="D107" s="56" t="s">
        <v>18880</v>
      </c>
      <c r="E107" s="10">
        <v>39.0</v>
      </c>
      <c r="G107" s="10" t="s">
        <v>18636</v>
      </c>
      <c r="H107" s="10" t="s">
        <v>170</v>
      </c>
      <c r="I107" s="10" t="s">
        <v>48</v>
      </c>
      <c r="J107" s="10" t="s">
        <v>1797</v>
      </c>
      <c r="K107" s="10" t="s">
        <v>18881</v>
      </c>
      <c r="L107" s="10" t="s">
        <v>42</v>
      </c>
    </row>
    <row r="108" ht="15.75" customHeight="1">
      <c r="A108" s="66">
        <v>45493.0</v>
      </c>
      <c r="B108" s="55" t="str">
        <f>HYPERLINK("https://jobright.ai/jobs/info/669b08a2a74e7e350e8cd783?utm_campaign=1049&amp;utm_source=sheet", "Apply")</f>
        <v>Apply</v>
      </c>
      <c r="C108" s="10" t="s">
        <v>18882</v>
      </c>
      <c r="D108" s="56" t="s">
        <v>18883</v>
      </c>
      <c r="E108" s="10" t="s">
        <v>65</v>
      </c>
      <c r="F108" s="10" t="s">
        <v>3898</v>
      </c>
      <c r="G108" s="10" t="s">
        <v>18636</v>
      </c>
      <c r="H108" s="10" t="s">
        <v>18884</v>
      </c>
      <c r="I108" s="10" t="s">
        <v>55</v>
      </c>
      <c r="K108" s="10" t="s">
        <v>18885</v>
      </c>
      <c r="L108" s="10" t="s">
        <v>42</v>
      </c>
    </row>
    <row r="109" ht="15.75" customHeight="1">
      <c r="A109" s="66">
        <v>45493.0</v>
      </c>
      <c r="B109" s="55" t="str">
        <f>HYPERLINK("https://jobright.ai/jobs/info/669b1f47bbd510c200cb1e83?utm_campaign=1049&amp;utm_source=sheet", "Apply")</f>
        <v>Apply</v>
      </c>
      <c r="C109" s="10" t="s">
        <v>18886</v>
      </c>
      <c r="D109" s="56" t="s">
        <v>18887</v>
      </c>
      <c r="E109" s="10" t="s">
        <v>276</v>
      </c>
      <c r="F109" s="10" t="s">
        <v>9573</v>
      </c>
      <c r="G109" s="10" t="s">
        <v>18636</v>
      </c>
      <c r="H109" s="10" t="s">
        <v>17102</v>
      </c>
      <c r="I109" s="10" t="s">
        <v>55</v>
      </c>
      <c r="K109" s="10" t="s">
        <v>18888</v>
      </c>
      <c r="L109" s="10" t="s">
        <v>42</v>
      </c>
    </row>
    <row r="110" ht="15.75" customHeight="1">
      <c r="A110" s="66">
        <v>45492.0</v>
      </c>
      <c r="B110" s="55" t="str">
        <f>HYPERLINK("https://jobright.ai/jobs/info/669b02f692553d9511d71129?utm_campaign=1049&amp;utm_source=sheet", "Apply")</f>
        <v>Apply</v>
      </c>
      <c r="C110" s="10" t="s">
        <v>18889</v>
      </c>
      <c r="D110" s="56" t="s">
        <v>18890</v>
      </c>
      <c r="E110" s="10">
        <v>2472.0</v>
      </c>
      <c r="G110" s="10" t="s">
        <v>18636</v>
      </c>
      <c r="H110" s="10" t="s">
        <v>765</v>
      </c>
      <c r="I110" s="10" t="s">
        <v>55</v>
      </c>
      <c r="J110" s="10" t="s">
        <v>1409</v>
      </c>
      <c r="K110" s="10" t="s">
        <v>18891</v>
      </c>
      <c r="L110" s="10" t="s">
        <v>42</v>
      </c>
    </row>
    <row r="111" ht="15.75" customHeight="1">
      <c r="A111" s="66">
        <v>45492.0</v>
      </c>
      <c r="B111" s="55" t="str">
        <f>HYPERLINK("https://jobright.ai/jobs/info/669afdbb6857f87d380fcbc7?utm_campaign=1049&amp;utm_source=sheet", "Apply")</f>
        <v>Apply</v>
      </c>
      <c r="C111" s="10" t="s">
        <v>18892</v>
      </c>
      <c r="D111" s="56" t="s">
        <v>18893</v>
      </c>
      <c r="E111" s="10" t="s">
        <v>79</v>
      </c>
      <c r="F111" s="10" t="s">
        <v>13881</v>
      </c>
      <c r="G111" s="10" t="s">
        <v>18636</v>
      </c>
      <c r="H111" s="10" t="s">
        <v>113</v>
      </c>
      <c r="I111" s="10" t="s">
        <v>48</v>
      </c>
      <c r="J111" s="10" t="s">
        <v>1797</v>
      </c>
      <c r="K111" s="10" t="s">
        <v>18894</v>
      </c>
      <c r="L111" s="10" t="s">
        <v>42</v>
      </c>
    </row>
    <row r="112" ht="15.75" customHeight="1">
      <c r="A112" s="66">
        <v>45492.0</v>
      </c>
      <c r="B112" s="55" t="str">
        <f>HYPERLINK("https://jobright.ai/jobs/info/669ae07bceee32d833887c35?utm_campaign=1049&amp;utm_source=sheet", "Apply")</f>
        <v>Apply</v>
      </c>
      <c r="C112" s="10" t="s">
        <v>18895</v>
      </c>
      <c r="D112" s="56" t="s">
        <v>172</v>
      </c>
      <c r="E112" s="10" t="s">
        <v>65</v>
      </c>
      <c r="F112" s="10" t="s">
        <v>173</v>
      </c>
      <c r="G112" s="10" t="s">
        <v>18636</v>
      </c>
      <c r="H112" s="10" t="s">
        <v>174</v>
      </c>
      <c r="I112" s="10" t="s">
        <v>55</v>
      </c>
      <c r="K112" s="10" t="s">
        <v>18896</v>
      </c>
      <c r="L112" s="10" t="s">
        <v>42</v>
      </c>
    </row>
    <row r="113" ht="15.75" customHeight="1">
      <c r="A113" s="66">
        <v>45492.0</v>
      </c>
      <c r="B113" s="55" t="str">
        <f>HYPERLINK("https://jobright.ai/jobs/info/669af9f244eb65333f442428?utm_campaign=1049&amp;utm_source=sheet", "Apply")</f>
        <v>Apply</v>
      </c>
      <c r="C113" s="10" t="s">
        <v>18897</v>
      </c>
      <c r="D113" s="56" t="s">
        <v>13721</v>
      </c>
      <c r="E113" s="10" t="s">
        <v>276</v>
      </c>
      <c r="F113" s="10" t="s">
        <v>13722</v>
      </c>
      <c r="G113" s="10" t="s">
        <v>18636</v>
      </c>
      <c r="H113" s="10" t="s">
        <v>139</v>
      </c>
      <c r="I113" s="10" t="s">
        <v>55</v>
      </c>
      <c r="J113" s="10" t="s">
        <v>1409</v>
      </c>
      <c r="K113" s="10" t="s">
        <v>18898</v>
      </c>
      <c r="L113" s="10" t="s">
        <v>42</v>
      </c>
    </row>
    <row r="114" ht="15.75" customHeight="1">
      <c r="A114" s="66">
        <v>45492.0</v>
      </c>
      <c r="B114" s="55" t="str">
        <f>HYPERLINK("https://jobright.ai/jobs/info/66a3f97ec344e12ad54415f1?utm_campaign=1049&amp;utm_source=sheet", "Apply")</f>
        <v>Apply</v>
      </c>
      <c r="C114" s="10" t="s">
        <v>18899</v>
      </c>
      <c r="D114" s="56" t="s">
        <v>8233</v>
      </c>
      <c r="E114" s="10">
        <v>8937.0</v>
      </c>
      <c r="G114" s="10" t="s">
        <v>18636</v>
      </c>
      <c r="H114" s="10" t="s">
        <v>117</v>
      </c>
      <c r="I114" s="10" t="s">
        <v>55</v>
      </c>
      <c r="K114" s="10" t="s">
        <v>18900</v>
      </c>
      <c r="L114" s="10" t="s">
        <v>42</v>
      </c>
    </row>
    <row r="115" ht="15.75" customHeight="1">
      <c r="A115" s="66">
        <v>45492.0</v>
      </c>
      <c r="B115" s="55" t="str">
        <f>HYPERLINK("https://jobright.ai/jobs/info/669aa50bcff5836d3109b8e4?utm_campaign=1049&amp;utm_source=sheet", "Apply")</f>
        <v>Apply</v>
      </c>
      <c r="C115" s="10" t="s">
        <v>18721</v>
      </c>
      <c r="D115" s="56" t="s">
        <v>18901</v>
      </c>
      <c r="E115" s="10">
        <v>136.0</v>
      </c>
      <c r="G115" s="10" t="s">
        <v>18636</v>
      </c>
      <c r="H115" s="10" t="s">
        <v>854</v>
      </c>
      <c r="I115" s="10" t="s">
        <v>55</v>
      </c>
      <c r="J115" s="10" t="s">
        <v>366</v>
      </c>
      <c r="K115" s="10" t="s">
        <v>18902</v>
      </c>
      <c r="L115" s="10" t="s">
        <v>42</v>
      </c>
    </row>
    <row r="116" ht="15.75" customHeight="1">
      <c r="A116" s="66">
        <v>45492.0</v>
      </c>
      <c r="B116" s="55" t="str">
        <f>HYPERLINK("https://jobright.ai/jobs/info/66a3fdc5d61cea1521a47579?utm_campaign=1049&amp;utm_source=sheet", "Apply")</f>
        <v>Apply</v>
      </c>
      <c r="C116" s="10" t="s">
        <v>18740</v>
      </c>
      <c r="D116" s="56" t="s">
        <v>2384</v>
      </c>
      <c r="E116" s="10" t="s">
        <v>249</v>
      </c>
      <c r="F116" s="10" t="s">
        <v>2385</v>
      </c>
      <c r="G116" s="10" t="s">
        <v>18636</v>
      </c>
      <c r="H116" s="10" t="s">
        <v>9273</v>
      </c>
      <c r="I116" s="10" t="s">
        <v>55</v>
      </c>
      <c r="K116" s="10" t="s">
        <v>18903</v>
      </c>
      <c r="L116" s="10" t="s">
        <v>42</v>
      </c>
    </row>
    <row r="117" ht="15.75" customHeight="1">
      <c r="A117" s="66">
        <v>45492.0</v>
      </c>
      <c r="B117" s="55" t="str">
        <f>HYPERLINK("https://jobright.ai/jobs/info/66a403710d09d8a9054b4074?utm_campaign=1049&amp;utm_source=sheet", "Apply")</f>
        <v>Apply</v>
      </c>
      <c r="C117" s="10" t="s">
        <v>18675</v>
      </c>
      <c r="D117" s="56" t="s">
        <v>18676</v>
      </c>
      <c r="E117" s="10" t="s">
        <v>276</v>
      </c>
      <c r="F117" s="10" t="s">
        <v>13089</v>
      </c>
      <c r="G117" s="10" t="s">
        <v>18636</v>
      </c>
      <c r="H117" s="10" t="s">
        <v>14516</v>
      </c>
      <c r="I117" s="10" t="s">
        <v>55</v>
      </c>
      <c r="K117" s="10" t="s">
        <v>18904</v>
      </c>
      <c r="L117" s="10" t="s">
        <v>42</v>
      </c>
    </row>
    <row r="118" ht="15.75" customHeight="1">
      <c r="A118" s="66">
        <v>45492.0</v>
      </c>
      <c r="B118" s="55" t="str">
        <f>HYPERLINK("https://jobright.ai/jobs/info/667df2e5a8cfb857af6f168c?utm_campaign=1049&amp;utm_source=sheet", "Apply")</f>
        <v>Apply</v>
      </c>
      <c r="C118" s="10" t="s">
        <v>18905</v>
      </c>
      <c r="D118" s="56" t="s">
        <v>13822</v>
      </c>
      <c r="E118" s="10" t="s">
        <v>45</v>
      </c>
      <c r="F118" s="10" t="s">
        <v>2274</v>
      </c>
      <c r="G118" s="10" t="s">
        <v>18636</v>
      </c>
      <c r="H118" s="10" t="s">
        <v>96</v>
      </c>
      <c r="I118" s="10" t="s">
        <v>55</v>
      </c>
      <c r="K118" s="10" t="s">
        <v>18906</v>
      </c>
      <c r="L118" s="10" t="s">
        <v>42</v>
      </c>
    </row>
    <row r="119" ht="15.75" customHeight="1">
      <c r="A119" s="66">
        <v>45492.0</v>
      </c>
      <c r="B119" s="55" t="str">
        <f>HYPERLINK("https://jobright.ai/jobs/info/6697ae14267af5af9c2dc8ea?utm_campaign=1049&amp;utm_source=sheet", "Apply")</f>
        <v>Apply</v>
      </c>
      <c r="C119" s="10" t="s">
        <v>18907</v>
      </c>
      <c r="D119" s="56" t="s">
        <v>4934</v>
      </c>
      <c r="E119" s="10" t="s">
        <v>65</v>
      </c>
      <c r="F119" s="10" t="s">
        <v>3205</v>
      </c>
      <c r="G119" s="10" t="s">
        <v>18636</v>
      </c>
      <c r="H119" s="10" t="s">
        <v>932</v>
      </c>
      <c r="I119" s="10" t="s">
        <v>55</v>
      </c>
      <c r="K119" s="10" t="s">
        <v>18908</v>
      </c>
      <c r="L119" s="10" t="s">
        <v>42</v>
      </c>
    </row>
    <row r="120" ht="15.75" customHeight="1">
      <c r="A120" s="66">
        <v>45492.0</v>
      </c>
      <c r="B120" s="55" t="str">
        <f>HYPERLINK("https://jobright.ai/jobs/info/667e4dd95aa5edc421523ed2?utm_campaign=1049&amp;utm_source=sheet", "Apply")</f>
        <v>Apply</v>
      </c>
      <c r="C120" s="10" t="s">
        <v>18909</v>
      </c>
      <c r="D120" s="56" t="s">
        <v>9937</v>
      </c>
      <c r="E120" s="10" t="s">
        <v>45</v>
      </c>
      <c r="F120" s="10" t="s">
        <v>9938</v>
      </c>
      <c r="G120" s="10" t="s">
        <v>18636</v>
      </c>
      <c r="H120" s="10" t="s">
        <v>18910</v>
      </c>
      <c r="I120" s="10" t="s">
        <v>55</v>
      </c>
      <c r="J120" s="10" t="s">
        <v>18818</v>
      </c>
      <c r="K120" s="10" t="s">
        <v>18911</v>
      </c>
      <c r="L120" s="10" t="s">
        <v>42</v>
      </c>
    </row>
    <row r="121" ht="15.75" customHeight="1">
      <c r="A121" s="66">
        <v>45492.0</v>
      </c>
      <c r="B121" s="55" t="str">
        <f>HYPERLINK("https://jobright.ai/jobs/info/667de2a8fe5da1320ba80459?utm_campaign=1049&amp;utm_source=sheet", "Apply")</f>
        <v>Apply</v>
      </c>
      <c r="C121" s="10" t="s">
        <v>18912</v>
      </c>
      <c r="D121" s="56" t="s">
        <v>13822</v>
      </c>
      <c r="E121" s="10" t="s">
        <v>45</v>
      </c>
      <c r="F121" s="10" t="s">
        <v>2274</v>
      </c>
      <c r="G121" s="10" t="s">
        <v>18636</v>
      </c>
      <c r="H121" s="10" t="s">
        <v>96</v>
      </c>
      <c r="I121" s="10" t="s">
        <v>55</v>
      </c>
      <c r="K121" s="10" t="s">
        <v>18913</v>
      </c>
      <c r="L121" s="10" t="s">
        <v>42</v>
      </c>
    </row>
    <row r="122" ht="15.75" customHeight="1">
      <c r="A122" s="66">
        <v>45492.0</v>
      </c>
      <c r="B122" s="55" t="str">
        <f>HYPERLINK("https://jobright.ai/jobs/info/667df612d01f1b50f25ca15d?utm_campaign=1049&amp;utm_source=sheet", "Apply")</f>
        <v>Apply</v>
      </c>
      <c r="C122" s="10" t="s">
        <v>18914</v>
      </c>
      <c r="D122" s="56" t="s">
        <v>449</v>
      </c>
      <c r="E122" s="10" t="s">
        <v>65</v>
      </c>
      <c r="F122" s="10" t="s">
        <v>450</v>
      </c>
      <c r="G122" s="10" t="s">
        <v>18642</v>
      </c>
      <c r="H122" s="10" t="s">
        <v>843</v>
      </c>
      <c r="I122" s="10" t="s">
        <v>55</v>
      </c>
      <c r="K122" s="10" t="s">
        <v>18915</v>
      </c>
      <c r="L122" s="10" t="s">
        <v>42</v>
      </c>
    </row>
    <row r="123" ht="15.75" customHeight="1">
      <c r="A123" s="66">
        <v>45492.0</v>
      </c>
      <c r="B123" s="55" t="str">
        <f>HYPERLINK("https://jobright.ai/jobs/info/667df2baa8cfb857af6f133e?utm_campaign=1049&amp;utm_source=sheet", "Apply")</f>
        <v>Apply</v>
      </c>
      <c r="C123" s="10" t="s">
        <v>18916</v>
      </c>
      <c r="D123" s="56" t="s">
        <v>18917</v>
      </c>
      <c r="E123" s="10" t="s">
        <v>65</v>
      </c>
      <c r="F123" s="10" t="s">
        <v>10019</v>
      </c>
      <c r="G123" s="10" t="s">
        <v>18636</v>
      </c>
      <c r="H123" s="10" t="s">
        <v>371</v>
      </c>
      <c r="I123" s="10" t="s">
        <v>55</v>
      </c>
      <c r="K123" s="10" t="s">
        <v>18918</v>
      </c>
      <c r="L123" s="10" t="s">
        <v>42</v>
      </c>
    </row>
    <row r="124" ht="15.75" customHeight="1">
      <c r="A124" s="66">
        <v>45492.0</v>
      </c>
      <c r="B124" s="55" t="str">
        <f>HYPERLINK("https://jobright.ai/jobs/info/669a1465ec2dbbbda4708236?utm_campaign=1049&amp;utm_source=sheet", "Apply")</f>
        <v>Apply</v>
      </c>
      <c r="C124" s="10" t="s">
        <v>18919</v>
      </c>
      <c r="D124" s="56" t="s">
        <v>18920</v>
      </c>
      <c r="E124" s="10" t="s">
        <v>276</v>
      </c>
      <c r="F124" s="10" t="s">
        <v>2617</v>
      </c>
      <c r="G124" s="10" t="s">
        <v>18642</v>
      </c>
      <c r="H124" s="10" t="s">
        <v>18921</v>
      </c>
      <c r="I124" s="10" t="s">
        <v>55</v>
      </c>
      <c r="J124" s="10" t="s">
        <v>1984</v>
      </c>
      <c r="K124" s="10" t="s">
        <v>18922</v>
      </c>
      <c r="L124" s="10" t="s">
        <v>42</v>
      </c>
    </row>
    <row r="125" ht="15.75" customHeight="1">
      <c r="A125" s="66">
        <v>45492.0</v>
      </c>
      <c r="B125" s="55" t="str">
        <f>HYPERLINK("https://jobright.ai/jobs/info/669ae02356dc7650439ff35d?utm_campaign=1049&amp;utm_source=sheet", "Apply")</f>
        <v>Apply</v>
      </c>
      <c r="C125" s="10" t="s">
        <v>18923</v>
      </c>
      <c r="D125" s="56" t="s">
        <v>3293</v>
      </c>
      <c r="E125" s="10" t="s">
        <v>209</v>
      </c>
      <c r="F125" s="10" t="s">
        <v>1587</v>
      </c>
      <c r="G125" s="10" t="s">
        <v>18636</v>
      </c>
      <c r="H125" s="10" t="s">
        <v>168</v>
      </c>
      <c r="I125" s="10" t="s">
        <v>55</v>
      </c>
      <c r="J125" s="10" t="s">
        <v>1608</v>
      </c>
      <c r="K125" s="10" t="s">
        <v>18924</v>
      </c>
      <c r="L125" s="10" t="s">
        <v>42</v>
      </c>
    </row>
    <row r="126" ht="15.75" customHeight="1">
      <c r="A126" s="66">
        <v>45492.0</v>
      </c>
      <c r="B126" s="55" t="str">
        <f>HYPERLINK("https://jobright.ai/jobs/info/669abbea708adb3cc7d0ce37?utm_campaign=1049&amp;utm_source=sheet", "Apply")</f>
        <v>Apply</v>
      </c>
      <c r="C126" s="10" t="s">
        <v>18897</v>
      </c>
      <c r="D126" s="56" t="s">
        <v>13721</v>
      </c>
      <c r="E126" s="10" t="s">
        <v>276</v>
      </c>
      <c r="F126" s="10" t="s">
        <v>13722</v>
      </c>
      <c r="G126" s="10" t="s">
        <v>18636</v>
      </c>
      <c r="H126" s="10" t="s">
        <v>251</v>
      </c>
      <c r="I126" s="10" t="s">
        <v>252</v>
      </c>
      <c r="J126" s="10" t="s">
        <v>1409</v>
      </c>
      <c r="K126" s="10" t="s">
        <v>18898</v>
      </c>
      <c r="L126" s="10" t="s">
        <v>42</v>
      </c>
    </row>
    <row r="127" ht="15.75" customHeight="1">
      <c r="A127" s="66">
        <v>45492.0</v>
      </c>
      <c r="B127" s="55" t="str">
        <f>HYPERLINK("https://jobright.ai/jobs/info/669af1d37460f5accae038c6?utm_campaign=1049&amp;utm_source=sheet", "Apply")</f>
        <v>Apply</v>
      </c>
      <c r="C127" s="10" t="s">
        <v>18892</v>
      </c>
      <c r="D127" s="56" t="s">
        <v>18893</v>
      </c>
      <c r="E127" s="10" t="s">
        <v>79</v>
      </c>
      <c r="F127" s="10" t="s">
        <v>13881</v>
      </c>
      <c r="G127" s="10" t="s">
        <v>18636</v>
      </c>
      <c r="H127" s="10" t="s">
        <v>1316</v>
      </c>
      <c r="I127" s="10" t="s">
        <v>48</v>
      </c>
      <c r="J127" s="10" t="s">
        <v>1797</v>
      </c>
      <c r="K127" s="10" t="s">
        <v>18925</v>
      </c>
      <c r="L127" s="10" t="s">
        <v>42</v>
      </c>
    </row>
    <row r="128" ht="15.75" customHeight="1">
      <c r="A128" s="66">
        <v>45491.0</v>
      </c>
      <c r="B128" s="55" t="str">
        <f>HYPERLINK("https://jobright.ai/jobs/info/6699b94c2b6a14e6c4792759?utm_campaign=1049&amp;utm_source=sheet", "Apply")</f>
        <v>Apply</v>
      </c>
      <c r="C128" s="10" t="s">
        <v>18926</v>
      </c>
      <c r="D128" s="56" t="s">
        <v>1684</v>
      </c>
      <c r="E128" s="10" t="s">
        <v>209</v>
      </c>
      <c r="F128" s="10" t="s">
        <v>1685</v>
      </c>
      <c r="G128" s="10" t="s">
        <v>18779</v>
      </c>
      <c r="H128" s="10" t="s">
        <v>18927</v>
      </c>
      <c r="I128" s="10" t="s">
        <v>55</v>
      </c>
      <c r="K128" s="10" t="s">
        <v>18928</v>
      </c>
      <c r="L128" s="10" t="s">
        <v>42</v>
      </c>
    </row>
    <row r="129" ht="15.75" customHeight="1">
      <c r="A129" s="66">
        <v>45491.0</v>
      </c>
      <c r="B129" s="55" t="str">
        <f>HYPERLINK("https://jobright.ai/jobs/info/6699c685ba0fc51ed3e0269a?utm_campaign=1049&amp;utm_source=sheet", "Apply")</f>
        <v>Apply</v>
      </c>
      <c r="C129" s="10" t="s">
        <v>18926</v>
      </c>
      <c r="D129" s="56" t="s">
        <v>1684</v>
      </c>
      <c r="E129" s="10" t="s">
        <v>209</v>
      </c>
      <c r="F129" s="10" t="s">
        <v>1685</v>
      </c>
      <c r="G129" s="10" t="s">
        <v>18779</v>
      </c>
      <c r="H129" s="10" t="s">
        <v>18929</v>
      </c>
      <c r="I129" s="10" t="s">
        <v>55</v>
      </c>
      <c r="K129" s="10" t="s">
        <v>18928</v>
      </c>
      <c r="L129" s="10" t="s">
        <v>42</v>
      </c>
    </row>
    <row r="130" ht="15.75" customHeight="1">
      <c r="A130" s="66">
        <v>45491.0</v>
      </c>
      <c r="B130" s="55" t="str">
        <f>HYPERLINK("https://jobright.ai/jobs/info/669added1ba6433041419e12?utm_campaign=1049&amp;utm_source=sheet", "Apply")</f>
        <v>Apply</v>
      </c>
      <c r="C130" s="10" t="s">
        <v>18926</v>
      </c>
      <c r="D130" s="56" t="s">
        <v>1684</v>
      </c>
      <c r="E130" s="10" t="s">
        <v>209</v>
      </c>
      <c r="F130" s="10" t="s">
        <v>1685</v>
      </c>
      <c r="G130" s="10" t="s">
        <v>18779</v>
      </c>
      <c r="H130" s="10" t="s">
        <v>768</v>
      </c>
      <c r="I130" s="10" t="s">
        <v>55</v>
      </c>
      <c r="K130" s="10" t="s">
        <v>18928</v>
      </c>
      <c r="L130" s="10" t="s">
        <v>42</v>
      </c>
    </row>
    <row r="131" ht="15.75" customHeight="1">
      <c r="A131" s="66">
        <v>45491.0</v>
      </c>
      <c r="B131" s="55" t="str">
        <f>HYPERLINK("https://jobright.ai/jobs/info/6699c2b76740616c5ecfa1e3?utm_campaign=1049&amp;utm_source=sheet", "Apply")</f>
        <v>Apply</v>
      </c>
      <c r="C131" s="10" t="s">
        <v>18926</v>
      </c>
      <c r="D131" s="56" t="s">
        <v>1684</v>
      </c>
      <c r="E131" s="10" t="s">
        <v>209</v>
      </c>
      <c r="F131" s="10" t="s">
        <v>1685</v>
      </c>
      <c r="G131" s="10" t="s">
        <v>18779</v>
      </c>
      <c r="H131" s="10" t="s">
        <v>985</v>
      </c>
      <c r="I131" s="10" t="s">
        <v>55</v>
      </c>
      <c r="K131" s="10" t="s">
        <v>18928</v>
      </c>
      <c r="L131" s="10" t="s">
        <v>42</v>
      </c>
    </row>
    <row r="132" ht="15.75" customHeight="1">
      <c r="A132" s="66">
        <v>45491.0</v>
      </c>
      <c r="B132" s="55" t="str">
        <f>HYPERLINK("https://jobright.ai/jobs/info/6699c2b76740616c5ecfa1e5?utm_campaign=1049&amp;utm_source=sheet", "Apply")</f>
        <v>Apply</v>
      </c>
      <c r="C132" s="10" t="s">
        <v>18926</v>
      </c>
      <c r="D132" s="56" t="s">
        <v>1684</v>
      </c>
      <c r="E132" s="10" t="s">
        <v>209</v>
      </c>
      <c r="F132" s="10" t="s">
        <v>1685</v>
      </c>
      <c r="G132" s="10" t="s">
        <v>18779</v>
      </c>
      <c r="H132" s="10" t="s">
        <v>7798</v>
      </c>
      <c r="I132" s="10" t="s">
        <v>55</v>
      </c>
      <c r="K132" s="10" t="s">
        <v>18928</v>
      </c>
      <c r="L132" s="10" t="s">
        <v>42</v>
      </c>
    </row>
    <row r="133" ht="15.75" customHeight="1">
      <c r="A133" s="66">
        <v>45491.0</v>
      </c>
      <c r="B133" s="55" t="str">
        <f>HYPERLINK("https://jobright.ai/jobs/info/6699b3c28e2bbfc90c31e7d8?utm_campaign=1049&amp;utm_source=sheet", "Apply")</f>
        <v>Apply</v>
      </c>
      <c r="C133" s="10" t="s">
        <v>18926</v>
      </c>
      <c r="D133" s="56" t="s">
        <v>1684</v>
      </c>
      <c r="E133" s="10" t="s">
        <v>209</v>
      </c>
      <c r="F133" s="10" t="s">
        <v>1685</v>
      </c>
      <c r="G133" s="10" t="s">
        <v>18779</v>
      </c>
      <c r="H133" s="10" t="s">
        <v>879</v>
      </c>
      <c r="I133" s="10" t="s">
        <v>55</v>
      </c>
      <c r="K133" s="10" t="s">
        <v>18928</v>
      </c>
      <c r="L133" s="10" t="s">
        <v>42</v>
      </c>
    </row>
    <row r="134" ht="15.75" customHeight="1">
      <c r="A134" s="66">
        <v>45491.0</v>
      </c>
      <c r="B134" s="55" t="str">
        <f>HYPERLINK("https://jobright.ai/jobs/info/669ae2b2f776b6fd3c6f9ddc?utm_campaign=1049&amp;utm_source=sheet", "Apply")</f>
        <v>Apply</v>
      </c>
      <c r="C134" s="10" t="s">
        <v>18926</v>
      </c>
      <c r="D134" s="56" t="s">
        <v>1684</v>
      </c>
      <c r="E134" s="10" t="s">
        <v>209</v>
      </c>
      <c r="F134" s="10" t="s">
        <v>1685</v>
      </c>
      <c r="G134" s="10" t="s">
        <v>18779</v>
      </c>
      <c r="H134" s="10" t="s">
        <v>4170</v>
      </c>
      <c r="I134" s="10" t="s">
        <v>55</v>
      </c>
      <c r="K134" s="10" t="s">
        <v>18928</v>
      </c>
      <c r="L134" s="10" t="s">
        <v>42</v>
      </c>
    </row>
    <row r="135" ht="15.75" customHeight="1">
      <c r="A135" s="66">
        <v>45491.0</v>
      </c>
      <c r="B135" s="55" t="str">
        <f>HYPERLINK("https://jobright.ai/jobs/info/6699a6539a33b14b40b73c26?utm_campaign=1049&amp;utm_source=sheet", "Apply")</f>
        <v>Apply</v>
      </c>
      <c r="C135" s="10" t="s">
        <v>18926</v>
      </c>
      <c r="D135" s="56" t="s">
        <v>1684</v>
      </c>
      <c r="E135" s="10" t="s">
        <v>209</v>
      </c>
      <c r="F135" s="10" t="s">
        <v>1685</v>
      </c>
      <c r="G135" s="10" t="s">
        <v>18779</v>
      </c>
      <c r="H135" s="10" t="s">
        <v>5959</v>
      </c>
      <c r="I135" s="10" t="s">
        <v>55</v>
      </c>
      <c r="K135" s="10" t="s">
        <v>18928</v>
      </c>
      <c r="L135" s="10" t="s">
        <v>42</v>
      </c>
    </row>
    <row r="136" ht="15.75" customHeight="1">
      <c r="A136" s="66">
        <v>45491.0</v>
      </c>
      <c r="B136" s="55" t="str">
        <f>HYPERLINK("https://jobright.ai/jobs/info/6699a6539a33b14b40b73c27?utm_campaign=1049&amp;utm_source=sheet", "Apply")</f>
        <v>Apply</v>
      </c>
      <c r="C136" s="10" t="s">
        <v>18926</v>
      </c>
      <c r="D136" s="56" t="s">
        <v>1684</v>
      </c>
      <c r="E136" s="10" t="s">
        <v>209</v>
      </c>
      <c r="F136" s="10" t="s">
        <v>1685</v>
      </c>
      <c r="G136" s="10" t="s">
        <v>18779</v>
      </c>
      <c r="H136" s="10" t="s">
        <v>7743</v>
      </c>
      <c r="I136" s="10" t="s">
        <v>55</v>
      </c>
      <c r="K136" s="10" t="s">
        <v>18928</v>
      </c>
      <c r="L136" s="10" t="s">
        <v>42</v>
      </c>
    </row>
    <row r="137" ht="15.75" customHeight="1">
      <c r="A137" s="66">
        <v>45491.0</v>
      </c>
      <c r="B137" s="55" t="str">
        <f>HYPERLINK("https://jobright.ai/jobs/info/6699a6539a33b14b40b73c2a?utm_campaign=1049&amp;utm_source=sheet", "Apply")</f>
        <v>Apply</v>
      </c>
      <c r="C137" s="10" t="s">
        <v>18926</v>
      </c>
      <c r="D137" s="56" t="s">
        <v>1684</v>
      </c>
      <c r="E137" s="10" t="s">
        <v>209</v>
      </c>
      <c r="F137" s="10" t="s">
        <v>1685</v>
      </c>
      <c r="G137" s="10" t="s">
        <v>18779</v>
      </c>
      <c r="H137" s="10" t="s">
        <v>4922</v>
      </c>
      <c r="I137" s="10" t="s">
        <v>55</v>
      </c>
      <c r="K137" s="10" t="s">
        <v>18928</v>
      </c>
      <c r="L137" s="10" t="s">
        <v>42</v>
      </c>
    </row>
    <row r="138" ht="15.75" customHeight="1">
      <c r="A138" s="66">
        <v>45491.0</v>
      </c>
      <c r="B138" s="55" t="str">
        <f>HYPERLINK("https://jobright.ai/jobs/info/6699a6539a33b14b40b73c2b?utm_campaign=1049&amp;utm_source=sheet", "Apply")</f>
        <v>Apply</v>
      </c>
      <c r="C138" s="10" t="s">
        <v>18926</v>
      </c>
      <c r="D138" s="56" t="s">
        <v>1684</v>
      </c>
      <c r="E138" s="10" t="s">
        <v>209</v>
      </c>
      <c r="F138" s="10" t="s">
        <v>1685</v>
      </c>
      <c r="G138" s="10" t="s">
        <v>18779</v>
      </c>
      <c r="H138" s="10" t="s">
        <v>3374</v>
      </c>
      <c r="I138" s="10" t="s">
        <v>55</v>
      </c>
      <c r="K138" s="10" t="s">
        <v>18928</v>
      </c>
      <c r="L138" s="10" t="s">
        <v>42</v>
      </c>
    </row>
    <row r="139" ht="15.75" customHeight="1">
      <c r="A139" s="66">
        <v>45491.0</v>
      </c>
      <c r="B139" s="55" t="str">
        <f>HYPERLINK("https://jobright.ai/jobs/info/6699a6539a33b14b40b73c28?utm_campaign=1049&amp;utm_source=sheet", "Apply")</f>
        <v>Apply</v>
      </c>
      <c r="C139" s="10" t="s">
        <v>18926</v>
      </c>
      <c r="D139" s="56" t="s">
        <v>1684</v>
      </c>
      <c r="E139" s="10" t="s">
        <v>209</v>
      </c>
      <c r="F139" s="10" t="s">
        <v>1685</v>
      </c>
      <c r="G139" s="10" t="s">
        <v>18779</v>
      </c>
      <c r="H139" s="10" t="s">
        <v>923</v>
      </c>
      <c r="I139" s="10" t="s">
        <v>55</v>
      </c>
      <c r="K139" s="10" t="s">
        <v>18928</v>
      </c>
      <c r="L139" s="10" t="s">
        <v>42</v>
      </c>
    </row>
    <row r="140" ht="15.75" customHeight="1">
      <c r="A140" s="66">
        <v>45491.0</v>
      </c>
      <c r="B140" s="55" t="str">
        <f>HYPERLINK("https://jobright.ai/jobs/info/6699a6539a33b14b40b73c2d?utm_campaign=1049&amp;utm_source=sheet", "Apply")</f>
        <v>Apply</v>
      </c>
      <c r="C140" s="10" t="s">
        <v>18926</v>
      </c>
      <c r="D140" s="56" t="s">
        <v>1684</v>
      </c>
      <c r="E140" s="10" t="s">
        <v>209</v>
      </c>
      <c r="F140" s="10" t="s">
        <v>1685</v>
      </c>
      <c r="G140" s="10" t="s">
        <v>18779</v>
      </c>
      <c r="H140" s="10" t="s">
        <v>18930</v>
      </c>
      <c r="I140" s="10" t="s">
        <v>55</v>
      </c>
      <c r="K140" s="10" t="s">
        <v>18928</v>
      </c>
      <c r="L140" s="10" t="s">
        <v>42</v>
      </c>
    </row>
    <row r="141" ht="15.75" customHeight="1">
      <c r="A141" s="66">
        <v>45491.0</v>
      </c>
      <c r="B141" s="55" t="str">
        <f>HYPERLINK("https://jobright.ai/jobs/info/6699ab525a89528d06316497?utm_campaign=1049&amp;utm_source=sheet", "Apply")</f>
        <v>Apply</v>
      </c>
      <c r="C141" s="10" t="s">
        <v>18926</v>
      </c>
      <c r="D141" s="56" t="s">
        <v>1684</v>
      </c>
      <c r="E141" s="10" t="s">
        <v>209</v>
      </c>
      <c r="F141" s="10" t="s">
        <v>1685</v>
      </c>
      <c r="G141" s="10" t="s">
        <v>18779</v>
      </c>
      <c r="H141" s="10" t="s">
        <v>18931</v>
      </c>
      <c r="I141" s="10" t="s">
        <v>55</v>
      </c>
      <c r="K141" s="10" t="s">
        <v>18928</v>
      </c>
      <c r="L141" s="10" t="s">
        <v>42</v>
      </c>
    </row>
    <row r="142" ht="15.75" customHeight="1">
      <c r="A142" s="66">
        <v>45491.0</v>
      </c>
      <c r="B142" s="55" t="str">
        <f>HYPERLINK("https://jobright.ai/jobs/info/6699aa1893fde603383e3e69?utm_campaign=1049&amp;utm_source=sheet", "Apply")</f>
        <v>Apply</v>
      </c>
      <c r="C142" s="10" t="s">
        <v>18932</v>
      </c>
      <c r="D142" s="56" t="s">
        <v>18933</v>
      </c>
      <c r="E142" s="10" t="s">
        <v>249</v>
      </c>
      <c r="F142" s="10" t="s">
        <v>18934</v>
      </c>
      <c r="G142" s="10" t="s">
        <v>18636</v>
      </c>
      <c r="H142" s="10" t="s">
        <v>18935</v>
      </c>
      <c r="I142" s="10" t="s">
        <v>55</v>
      </c>
      <c r="K142" s="10" t="s">
        <v>18936</v>
      </c>
      <c r="L142" s="10" t="s">
        <v>42</v>
      </c>
    </row>
    <row r="143" ht="15.75" customHeight="1">
      <c r="A143" s="66">
        <v>45491.0</v>
      </c>
      <c r="B143" s="55" t="str">
        <f>HYPERLINK("https://jobright.ai/jobs/info/6699a64b9a33b14b40b73b98?utm_campaign=1049&amp;utm_source=sheet", "Apply")</f>
        <v>Apply</v>
      </c>
      <c r="C143" s="10" t="s">
        <v>18937</v>
      </c>
      <c r="D143" s="56" t="s">
        <v>12538</v>
      </c>
      <c r="E143" s="10" t="s">
        <v>137</v>
      </c>
      <c r="F143" s="10" t="s">
        <v>12539</v>
      </c>
      <c r="G143" s="10" t="s">
        <v>18636</v>
      </c>
      <c r="H143" s="10" t="s">
        <v>96</v>
      </c>
      <c r="I143" s="10" t="s">
        <v>55</v>
      </c>
      <c r="K143" s="10" t="s">
        <v>18938</v>
      </c>
      <c r="L143" s="10" t="s">
        <v>42</v>
      </c>
    </row>
    <row r="144" ht="15.75" customHeight="1">
      <c r="A144" s="66">
        <v>45491.0</v>
      </c>
      <c r="B144" s="55" t="str">
        <f>HYPERLINK("https://jobright.ai/jobs/info/66998e4fd1ca770d2bb5ac05?utm_campaign=1049&amp;utm_source=sheet", "Apply")</f>
        <v>Apply</v>
      </c>
      <c r="C144" s="10" t="s">
        <v>18939</v>
      </c>
      <c r="D144" s="56" t="s">
        <v>18940</v>
      </c>
      <c r="E144" s="10" t="s">
        <v>249</v>
      </c>
      <c r="F144" s="10" t="s">
        <v>85</v>
      </c>
      <c r="G144" s="10" t="s">
        <v>18734</v>
      </c>
      <c r="H144" s="10" t="s">
        <v>794</v>
      </c>
      <c r="I144" s="10" t="s">
        <v>55</v>
      </c>
      <c r="K144" s="10" t="s">
        <v>18941</v>
      </c>
      <c r="L144" s="10" t="s">
        <v>42</v>
      </c>
    </row>
    <row r="145" ht="15.75" customHeight="1">
      <c r="A145" s="66">
        <v>45491.0</v>
      </c>
      <c r="B145" s="55" t="str">
        <f>HYPERLINK("https://jobright.ai/jobs/info/669ac42b1742004ee879e5a1?utm_campaign=1049&amp;utm_source=sheet", "Apply")</f>
        <v>Apply</v>
      </c>
      <c r="C145" s="10" t="s">
        <v>18926</v>
      </c>
      <c r="D145" s="56" t="s">
        <v>1684</v>
      </c>
      <c r="E145" s="10" t="s">
        <v>209</v>
      </c>
      <c r="F145" s="10" t="s">
        <v>1685</v>
      </c>
      <c r="G145" s="10" t="s">
        <v>18779</v>
      </c>
      <c r="H145" s="10" t="s">
        <v>17088</v>
      </c>
      <c r="I145" s="10" t="s">
        <v>55</v>
      </c>
      <c r="K145" s="10" t="s">
        <v>18928</v>
      </c>
      <c r="L145" s="10" t="s">
        <v>42</v>
      </c>
    </row>
    <row r="146" ht="15.75" customHeight="1">
      <c r="A146" s="66">
        <v>45491.0</v>
      </c>
      <c r="B146" s="55" t="str">
        <f>HYPERLINK("https://jobright.ai/jobs/info/669997ae2ffed9764616e597?utm_campaign=1049&amp;utm_source=sheet", "Apply")</f>
        <v>Apply</v>
      </c>
      <c r="C146" s="10" t="s">
        <v>18926</v>
      </c>
      <c r="D146" s="56" t="s">
        <v>1684</v>
      </c>
      <c r="E146" s="10" t="s">
        <v>209</v>
      </c>
      <c r="F146" s="10" t="s">
        <v>1685</v>
      </c>
      <c r="G146" s="10" t="s">
        <v>18779</v>
      </c>
      <c r="H146" s="10" t="s">
        <v>18942</v>
      </c>
      <c r="I146" s="10" t="s">
        <v>55</v>
      </c>
      <c r="K146" s="10" t="s">
        <v>18928</v>
      </c>
      <c r="L146" s="10" t="s">
        <v>42</v>
      </c>
    </row>
    <row r="147" ht="15.75" customHeight="1">
      <c r="A147" s="66">
        <v>45491.0</v>
      </c>
      <c r="B147" s="55" t="str">
        <f>HYPERLINK("https://jobright.ai/jobs/info/669997ae2ffed9764616e599?utm_campaign=1049&amp;utm_source=sheet", "Apply")</f>
        <v>Apply</v>
      </c>
      <c r="C147" s="10" t="s">
        <v>18926</v>
      </c>
      <c r="D147" s="56" t="s">
        <v>1684</v>
      </c>
      <c r="E147" s="10" t="s">
        <v>209</v>
      </c>
      <c r="F147" s="10" t="s">
        <v>1685</v>
      </c>
      <c r="G147" s="10" t="s">
        <v>18779</v>
      </c>
      <c r="H147" s="10" t="s">
        <v>17820</v>
      </c>
      <c r="I147" s="10" t="s">
        <v>55</v>
      </c>
      <c r="K147" s="10" t="s">
        <v>18928</v>
      </c>
      <c r="L147" s="10" t="s">
        <v>42</v>
      </c>
    </row>
    <row r="148" ht="15.75" customHeight="1">
      <c r="A148" s="66">
        <v>45491.0</v>
      </c>
      <c r="B148" s="55" t="str">
        <f>HYPERLINK("https://jobright.ai/jobs/info/669997ae2ffed9764616e598?utm_campaign=1049&amp;utm_source=sheet", "Apply")</f>
        <v>Apply</v>
      </c>
      <c r="C148" s="10" t="s">
        <v>18926</v>
      </c>
      <c r="D148" s="56" t="s">
        <v>1684</v>
      </c>
      <c r="E148" s="10" t="s">
        <v>209</v>
      </c>
      <c r="F148" s="10" t="s">
        <v>1685</v>
      </c>
      <c r="G148" s="10" t="s">
        <v>18779</v>
      </c>
      <c r="H148" s="10" t="s">
        <v>18943</v>
      </c>
      <c r="I148" s="10" t="s">
        <v>55</v>
      </c>
      <c r="K148" s="10" t="s">
        <v>18928</v>
      </c>
      <c r="L148" s="10" t="s">
        <v>42</v>
      </c>
    </row>
    <row r="149" ht="15.75" customHeight="1">
      <c r="A149" s="66">
        <v>45491.0</v>
      </c>
      <c r="B149" s="55" t="str">
        <f>HYPERLINK("https://jobright.ai/jobs/info/6699a6669a33b14b40b73dba?utm_campaign=1049&amp;utm_source=sheet", "Apply")</f>
        <v>Apply</v>
      </c>
      <c r="C149" s="10" t="s">
        <v>18926</v>
      </c>
      <c r="D149" s="56" t="s">
        <v>1684</v>
      </c>
      <c r="E149" s="10" t="s">
        <v>209</v>
      </c>
      <c r="F149" s="10" t="s">
        <v>1685</v>
      </c>
      <c r="G149" s="10" t="s">
        <v>18779</v>
      </c>
      <c r="H149" s="10" t="s">
        <v>811</v>
      </c>
      <c r="I149" s="10" t="s">
        <v>55</v>
      </c>
      <c r="K149" s="10" t="s">
        <v>18928</v>
      </c>
      <c r="L149" s="10" t="s">
        <v>42</v>
      </c>
    </row>
    <row r="150" ht="15.75" customHeight="1">
      <c r="A150" s="66">
        <v>45491.0</v>
      </c>
      <c r="B150" s="55" t="str">
        <f>HYPERLINK("https://jobright.ai/jobs/info/6699a6669a33b14b40b73dbb?utm_campaign=1049&amp;utm_source=sheet", "Apply")</f>
        <v>Apply</v>
      </c>
      <c r="C150" s="10" t="s">
        <v>18926</v>
      </c>
      <c r="D150" s="56" t="s">
        <v>1684</v>
      </c>
      <c r="E150" s="10" t="s">
        <v>209</v>
      </c>
      <c r="F150" s="10" t="s">
        <v>1685</v>
      </c>
      <c r="G150" s="10" t="s">
        <v>18779</v>
      </c>
      <c r="H150" s="10" t="s">
        <v>18944</v>
      </c>
      <c r="I150" s="10" t="s">
        <v>55</v>
      </c>
      <c r="K150" s="10" t="s">
        <v>18928</v>
      </c>
      <c r="L150" s="10" t="s">
        <v>42</v>
      </c>
    </row>
    <row r="151" ht="15.75" customHeight="1">
      <c r="A151" s="66">
        <v>45491.0</v>
      </c>
      <c r="B151" s="55" t="str">
        <f>HYPERLINK("https://jobright.ai/jobs/info/6699a6669a33b14b40b73dbc?utm_campaign=1049&amp;utm_source=sheet", "Apply")</f>
        <v>Apply</v>
      </c>
      <c r="C151" s="10" t="s">
        <v>18926</v>
      </c>
      <c r="D151" s="56" t="s">
        <v>1684</v>
      </c>
      <c r="E151" s="10" t="s">
        <v>209</v>
      </c>
      <c r="F151" s="10" t="s">
        <v>1685</v>
      </c>
      <c r="G151" s="10" t="s">
        <v>18779</v>
      </c>
      <c r="H151" s="10" t="s">
        <v>2398</v>
      </c>
      <c r="I151" s="10" t="s">
        <v>55</v>
      </c>
      <c r="K151" s="10" t="s">
        <v>18928</v>
      </c>
      <c r="L151" s="10" t="s">
        <v>42</v>
      </c>
    </row>
    <row r="152" ht="15.75" customHeight="1">
      <c r="A152" s="66">
        <v>45491.0</v>
      </c>
      <c r="B152" s="55" t="str">
        <f>HYPERLINK("https://jobright.ai/jobs/info/6699a6669a33b14b40b73dbd?utm_campaign=1049&amp;utm_source=sheet", "Apply")</f>
        <v>Apply</v>
      </c>
      <c r="C152" s="10" t="s">
        <v>18926</v>
      </c>
      <c r="D152" s="56" t="s">
        <v>1684</v>
      </c>
      <c r="E152" s="10" t="s">
        <v>209</v>
      </c>
      <c r="F152" s="10" t="s">
        <v>1685</v>
      </c>
      <c r="G152" s="10" t="s">
        <v>18779</v>
      </c>
      <c r="H152" s="10" t="s">
        <v>773</v>
      </c>
      <c r="I152" s="10" t="s">
        <v>55</v>
      </c>
      <c r="K152" s="10" t="s">
        <v>18928</v>
      </c>
      <c r="L152" s="10" t="s">
        <v>42</v>
      </c>
    </row>
    <row r="153" ht="15.75" customHeight="1">
      <c r="A153" s="66">
        <v>45491.0</v>
      </c>
      <c r="B153" s="55" t="str">
        <f>HYPERLINK("https://jobright.ai/jobs/info/6699a6669a33b14b40b73dbe?utm_campaign=1049&amp;utm_source=sheet", "Apply")</f>
        <v>Apply</v>
      </c>
      <c r="C153" s="10" t="s">
        <v>18926</v>
      </c>
      <c r="D153" s="56" t="s">
        <v>1684</v>
      </c>
      <c r="E153" s="10" t="s">
        <v>209</v>
      </c>
      <c r="F153" s="10" t="s">
        <v>1685</v>
      </c>
      <c r="G153" s="10" t="s">
        <v>18779</v>
      </c>
      <c r="H153" s="10" t="s">
        <v>18945</v>
      </c>
      <c r="I153" s="10" t="s">
        <v>55</v>
      </c>
      <c r="K153" s="10" t="s">
        <v>18928</v>
      </c>
      <c r="L153" s="10" t="s">
        <v>42</v>
      </c>
    </row>
    <row r="154" ht="15.75" customHeight="1">
      <c r="A154" s="66">
        <v>45491.0</v>
      </c>
      <c r="B154" s="55" t="str">
        <f>HYPERLINK("https://jobright.ai/jobs/info/6699a6669a33b14b40b73dbf?utm_campaign=1049&amp;utm_source=sheet", "Apply")</f>
        <v>Apply</v>
      </c>
      <c r="C154" s="10" t="s">
        <v>18926</v>
      </c>
      <c r="D154" s="56" t="s">
        <v>1684</v>
      </c>
      <c r="E154" s="10" t="s">
        <v>209</v>
      </c>
      <c r="F154" s="10" t="s">
        <v>1685</v>
      </c>
      <c r="G154" s="10" t="s">
        <v>18779</v>
      </c>
      <c r="H154" s="10" t="s">
        <v>5845</v>
      </c>
      <c r="I154" s="10" t="s">
        <v>55</v>
      </c>
      <c r="K154" s="10" t="s">
        <v>18928</v>
      </c>
      <c r="L154" s="10" t="s">
        <v>42</v>
      </c>
    </row>
    <row r="155" ht="15.75" customHeight="1">
      <c r="A155" s="66">
        <v>45491.0</v>
      </c>
      <c r="B155" s="55" t="str">
        <f>HYPERLINK("https://jobright.ai/jobs/info/6699c2b76740616c5ecfa257?utm_campaign=1049&amp;utm_source=sheet", "Apply")</f>
        <v>Apply</v>
      </c>
      <c r="C155" s="10" t="s">
        <v>18926</v>
      </c>
      <c r="D155" s="56" t="s">
        <v>1684</v>
      </c>
      <c r="E155" s="10" t="s">
        <v>209</v>
      </c>
      <c r="F155" s="10" t="s">
        <v>1685</v>
      </c>
      <c r="G155" s="10" t="s">
        <v>18779</v>
      </c>
      <c r="H155" s="10" t="s">
        <v>13639</v>
      </c>
      <c r="I155" s="10" t="s">
        <v>55</v>
      </c>
      <c r="K155" s="10" t="s">
        <v>18928</v>
      </c>
      <c r="L155" s="10" t="s">
        <v>42</v>
      </c>
    </row>
    <row r="156" ht="15.75" customHeight="1">
      <c r="A156" s="66">
        <v>45491.0</v>
      </c>
      <c r="B156" s="55" t="str">
        <f>HYPERLINK("https://jobright.ai/jobs/info/6699880d6857f00f1d02a5d8?utm_campaign=1049&amp;utm_source=sheet", "Apply")</f>
        <v>Apply</v>
      </c>
      <c r="C156" s="10" t="s">
        <v>18926</v>
      </c>
      <c r="D156" s="56" t="s">
        <v>1684</v>
      </c>
      <c r="E156" s="10" t="s">
        <v>209</v>
      </c>
      <c r="F156" s="10" t="s">
        <v>1685</v>
      </c>
      <c r="G156" s="10" t="s">
        <v>18779</v>
      </c>
      <c r="H156" s="10" t="s">
        <v>18946</v>
      </c>
      <c r="I156" s="10" t="s">
        <v>55</v>
      </c>
      <c r="K156" s="10" t="s">
        <v>18928</v>
      </c>
      <c r="L156" s="10" t="s">
        <v>42</v>
      </c>
    </row>
    <row r="157" ht="15.75" customHeight="1">
      <c r="A157" s="66">
        <v>45491.0</v>
      </c>
      <c r="B157" s="55" t="str">
        <f>HYPERLINK("https://jobright.ai/jobs/info/6699880d6857f00f1d02a5d9?utm_campaign=1049&amp;utm_source=sheet", "Apply")</f>
        <v>Apply</v>
      </c>
      <c r="C157" s="10" t="s">
        <v>18926</v>
      </c>
      <c r="D157" s="56" t="s">
        <v>1684</v>
      </c>
      <c r="E157" s="10" t="s">
        <v>209</v>
      </c>
      <c r="F157" s="10" t="s">
        <v>1685</v>
      </c>
      <c r="G157" s="10" t="s">
        <v>18779</v>
      </c>
      <c r="H157" s="10" t="s">
        <v>18947</v>
      </c>
      <c r="I157" s="10" t="s">
        <v>55</v>
      </c>
      <c r="K157" s="10" t="s">
        <v>18928</v>
      </c>
      <c r="L157" s="10" t="s">
        <v>42</v>
      </c>
    </row>
    <row r="158" ht="15.75" customHeight="1">
      <c r="A158" s="66">
        <v>45491.0</v>
      </c>
      <c r="B158" s="55" t="str">
        <f>HYPERLINK("https://jobright.ai/jobs/info/6699b3cb8e2bbfc90c31e890?utm_campaign=1049&amp;utm_source=sheet", "Apply")</f>
        <v>Apply</v>
      </c>
      <c r="C158" s="10" t="s">
        <v>18926</v>
      </c>
      <c r="D158" s="56" t="s">
        <v>1684</v>
      </c>
      <c r="E158" s="10" t="s">
        <v>209</v>
      </c>
      <c r="F158" s="10" t="s">
        <v>1685</v>
      </c>
      <c r="G158" s="10" t="s">
        <v>18779</v>
      </c>
      <c r="H158" s="10" t="s">
        <v>7807</v>
      </c>
      <c r="I158" s="10" t="s">
        <v>55</v>
      </c>
      <c r="K158" s="10" t="s">
        <v>18928</v>
      </c>
      <c r="L158" s="10" t="s">
        <v>42</v>
      </c>
    </row>
    <row r="159" ht="15.75" customHeight="1">
      <c r="A159" s="66">
        <v>45491.0</v>
      </c>
      <c r="B159" s="55" t="str">
        <f>HYPERLINK("https://jobright.ai/jobs/info/669985b08f1349dee94a5db3?utm_campaign=1049&amp;utm_source=sheet", "Apply")</f>
        <v>Apply</v>
      </c>
      <c r="C159" s="10" t="s">
        <v>18926</v>
      </c>
      <c r="D159" s="56" t="s">
        <v>1684</v>
      </c>
      <c r="E159" s="10" t="s">
        <v>209</v>
      </c>
      <c r="F159" s="10" t="s">
        <v>1685</v>
      </c>
      <c r="G159" s="10" t="s">
        <v>18779</v>
      </c>
      <c r="H159" s="10" t="s">
        <v>1743</v>
      </c>
      <c r="I159" s="10" t="s">
        <v>55</v>
      </c>
      <c r="K159" s="10" t="s">
        <v>18928</v>
      </c>
      <c r="L159" s="10" t="s">
        <v>42</v>
      </c>
    </row>
    <row r="160" ht="15.75" customHeight="1">
      <c r="A160" s="66">
        <v>45491.0</v>
      </c>
      <c r="B160" s="55" t="str">
        <f>HYPERLINK("https://jobright.ai/jobs/info/669985b08f1349dee94a5db4?utm_campaign=1049&amp;utm_source=sheet", "Apply")</f>
        <v>Apply</v>
      </c>
      <c r="C160" s="10" t="s">
        <v>18926</v>
      </c>
      <c r="D160" s="56" t="s">
        <v>1684</v>
      </c>
      <c r="E160" s="10" t="s">
        <v>209</v>
      </c>
      <c r="F160" s="10" t="s">
        <v>1685</v>
      </c>
      <c r="G160" s="10" t="s">
        <v>18779</v>
      </c>
      <c r="H160" s="10" t="s">
        <v>18948</v>
      </c>
      <c r="I160" s="10" t="s">
        <v>55</v>
      </c>
      <c r="K160" s="10" t="s">
        <v>18928</v>
      </c>
      <c r="L160" s="10" t="s">
        <v>42</v>
      </c>
    </row>
    <row r="161" ht="15.75" customHeight="1">
      <c r="A161" s="66">
        <v>45491.0</v>
      </c>
      <c r="B161" s="55" t="str">
        <f>HYPERLINK("https://jobright.ai/jobs/info/669985b08f1349dee94a5db5?utm_campaign=1049&amp;utm_source=sheet", "Apply")</f>
        <v>Apply</v>
      </c>
      <c r="C161" s="10" t="s">
        <v>18926</v>
      </c>
      <c r="D161" s="56" t="s">
        <v>1684</v>
      </c>
      <c r="E161" s="10" t="s">
        <v>209</v>
      </c>
      <c r="F161" s="10" t="s">
        <v>1685</v>
      </c>
      <c r="G161" s="10" t="s">
        <v>18779</v>
      </c>
      <c r="H161" s="10" t="s">
        <v>18949</v>
      </c>
      <c r="I161" s="10" t="s">
        <v>55</v>
      </c>
      <c r="K161" s="10" t="s">
        <v>18928</v>
      </c>
      <c r="L161" s="10" t="s">
        <v>42</v>
      </c>
    </row>
    <row r="162" ht="15.75" customHeight="1">
      <c r="A162" s="66">
        <v>45491.0</v>
      </c>
      <c r="B162" s="55" t="str">
        <f>HYPERLINK("https://jobright.ai/jobs/info/669985b08f1349dee94a5db8?utm_campaign=1049&amp;utm_source=sheet", "Apply")</f>
        <v>Apply</v>
      </c>
      <c r="C162" s="10" t="s">
        <v>18926</v>
      </c>
      <c r="D162" s="56" t="s">
        <v>1684</v>
      </c>
      <c r="E162" s="10" t="s">
        <v>209</v>
      </c>
      <c r="F162" s="10" t="s">
        <v>1685</v>
      </c>
      <c r="G162" s="10" t="s">
        <v>18779</v>
      </c>
      <c r="H162" s="10" t="s">
        <v>5790</v>
      </c>
      <c r="I162" s="10" t="s">
        <v>55</v>
      </c>
      <c r="K162" s="10" t="s">
        <v>18928</v>
      </c>
      <c r="L162" s="10" t="s">
        <v>42</v>
      </c>
    </row>
    <row r="163" ht="15.75" customHeight="1">
      <c r="A163" s="66">
        <v>45491.0</v>
      </c>
      <c r="B163" s="55" t="str">
        <f>HYPERLINK("https://jobright.ai/jobs/info/669985b08f1349dee94a5db7?utm_campaign=1049&amp;utm_source=sheet", "Apply")</f>
        <v>Apply</v>
      </c>
      <c r="C163" s="10" t="s">
        <v>18926</v>
      </c>
      <c r="D163" s="56" t="s">
        <v>1684</v>
      </c>
      <c r="E163" s="10" t="s">
        <v>209</v>
      </c>
      <c r="F163" s="10" t="s">
        <v>1685</v>
      </c>
      <c r="G163" s="10" t="s">
        <v>18779</v>
      </c>
      <c r="H163" s="10" t="s">
        <v>387</v>
      </c>
      <c r="I163" s="10" t="s">
        <v>55</v>
      </c>
      <c r="K163" s="10" t="s">
        <v>18928</v>
      </c>
      <c r="L163" s="10" t="s">
        <v>42</v>
      </c>
    </row>
    <row r="164" ht="15.75" customHeight="1">
      <c r="A164" s="66">
        <v>45491.0</v>
      </c>
      <c r="B164" s="55" t="str">
        <f>HYPERLINK("https://jobright.ai/jobs/info/6699909782139a81540d85df?utm_campaign=1049&amp;utm_source=sheet", "Apply")</f>
        <v>Apply</v>
      </c>
      <c r="C164" s="10" t="s">
        <v>18926</v>
      </c>
      <c r="D164" s="56" t="s">
        <v>1684</v>
      </c>
      <c r="E164" s="10" t="s">
        <v>209</v>
      </c>
      <c r="F164" s="10" t="s">
        <v>1685</v>
      </c>
      <c r="G164" s="10" t="s">
        <v>18779</v>
      </c>
      <c r="H164" s="10" t="s">
        <v>18950</v>
      </c>
      <c r="I164" s="10" t="s">
        <v>55</v>
      </c>
      <c r="K164" s="10" t="s">
        <v>18928</v>
      </c>
      <c r="L164" s="10" t="s">
        <v>42</v>
      </c>
    </row>
    <row r="165" ht="15.75" customHeight="1">
      <c r="A165" s="66">
        <v>45491.0</v>
      </c>
      <c r="B165" s="55" t="str">
        <f>HYPERLINK("https://jobright.ai/jobs/info/6699909782139a81540d85e2?utm_campaign=1049&amp;utm_source=sheet", "Apply")</f>
        <v>Apply</v>
      </c>
      <c r="C165" s="10" t="s">
        <v>18926</v>
      </c>
      <c r="D165" s="56" t="s">
        <v>1684</v>
      </c>
      <c r="E165" s="10" t="s">
        <v>209</v>
      </c>
      <c r="F165" s="10" t="s">
        <v>1685</v>
      </c>
      <c r="G165" s="10" t="s">
        <v>18779</v>
      </c>
      <c r="H165" s="10" t="s">
        <v>7324</v>
      </c>
      <c r="I165" s="10" t="s">
        <v>55</v>
      </c>
      <c r="K165" s="10" t="s">
        <v>18928</v>
      </c>
      <c r="L165" s="10" t="s">
        <v>42</v>
      </c>
    </row>
    <row r="166" ht="15.75" customHeight="1">
      <c r="A166" s="66">
        <v>45491.0</v>
      </c>
      <c r="B166" s="55" t="str">
        <f>HYPERLINK("https://jobright.ai/jobs/info/6699909782139a81540d85e1?utm_campaign=1049&amp;utm_source=sheet", "Apply")</f>
        <v>Apply</v>
      </c>
      <c r="C166" s="10" t="s">
        <v>18926</v>
      </c>
      <c r="D166" s="56" t="s">
        <v>1684</v>
      </c>
      <c r="E166" s="10" t="s">
        <v>209</v>
      </c>
      <c r="F166" s="10" t="s">
        <v>1685</v>
      </c>
      <c r="G166" s="10" t="s">
        <v>18779</v>
      </c>
      <c r="H166" s="10" t="s">
        <v>805</v>
      </c>
      <c r="I166" s="10" t="s">
        <v>55</v>
      </c>
      <c r="K166" s="10" t="s">
        <v>18928</v>
      </c>
      <c r="L166" s="10" t="s">
        <v>42</v>
      </c>
    </row>
    <row r="167" ht="15.75" customHeight="1">
      <c r="A167" s="66">
        <v>45491.0</v>
      </c>
      <c r="B167" s="55" t="str">
        <f>HYPERLINK("https://jobright.ai/jobs/info/6699909782139a81540d85e3?utm_campaign=1049&amp;utm_source=sheet", "Apply")</f>
        <v>Apply</v>
      </c>
      <c r="C167" s="10" t="s">
        <v>18926</v>
      </c>
      <c r="D167" s="56" t="s">
        <v>1684</v>
      </c>
      <c r="E167" s="10" t="s">
        <v>209</v>
      </c>
      <c r="F167" s="10" t="s">
        <v>1685</v>
      </c>
      <c r="G167" s="10" t="s">
        <v>18779</v>
      </c>
      <c r="H167" s="10" t="s">
        <v>598</v>
      </c>
      <c r="I167" s="10" t="s">
        <v>55</v>
      </c>
      <c r="K167" s="10" t="s">
        <v>18928</v>
      </c>
      <c r="L167" s="10" t="s">
        <v>42</v>
      </c>
    </row>
    <row r="168" ht="15.75" customHeight="1">
      <c r="A168" s="66">
        <v>45491.0</v>
      </c>
      <c r="B168" s="55" t="str">
        <f>HYPERLINK("https://jobright.ai/jobs/info/6699909782139a81540d85e4?utm_campaign=1049&amp;utm_source=sheet", "Apply")</f>
        <v>Apply</v>
      </c>
      <c r="C168" s="10" t="s">
        <v>18926</v>
      </c>
      <c r="D168" s="56" t="s">
        <v>1684</v>
      </c>
      <c r="E168" s="10" t="s">
        <v>209</v>
      </c>
      <c r="F168" s="10" t="s">
        <v>1685</v>
      </c>
      <c r="G168" s="10" t="s">
        <v>18779</v>
      </c>
      <c r="H168" s="10" t="s">
        <v>18951</v>
      </c>
      <c r="I168" s="10" t="s">
        <v>55</v>
      </c>
      <c r="K168" s="10" t="s">
        <v>18928</v>
      </c>
      <c r="L168" s="10" t="s">
        <v>42</v>
      </c>
    </row>
    <row r="169" ht="15.75" customHeight="1">
      <c r="A169" s="66">
        <v>45491.0</v>
      </c>
      <c r="B169" s="55" t="str">
        <f>HYPERLINK("https://jobright.ai/jobs/info/6699909782139a81540d85e5?utm_campaign=1049&amp;utm_source=sheet", "Apply")</f>
        <v>Apply</v>
      </c>
      <c r="C169" s="10" t="s">
        <v>18926</v>
      </c>
      <c r="D169" s="56" t="s">
        <v>1684</v>
      </c>
      <c r="E169" s="10" t="s">
        <v>209</v>
      </c>
      <c r="F169" s="10" t="s">
        <v>1685</v>
      </c>
      <c r="G169" s="10" t="s">
        <v>18779</v>
      </c>
      <c r="H169" s="10" t="s">
        <v>18402</v>
      </c>
      <c r="I169" s="10" t="s">
        <v>55</v>
      </c>
      <c r="K169" s="10" t="s">
        <v>18928</v>
      </c>
      <c r="L169" s="10" t="s">
        <v>42</v>
      </c>
    </row>
    <row r="170" ht="15.75" customHeight="1">
      <c r="A170" s="66">
        <v>45491.0</v>
      </c>
      <c r="B170" s="55" t="str">
        <f>HYPERLINK("https://jobright.ai/jobs/info/6699b94c2b6a14e6c47927b0?utm_campaign=1049&amp;utm_source=sheet", "Apply")</f>
        <v>Apply</v>
      </c>
      <c r="C170" s="10" t="s">
        <v>18926</v>
      </c>
      <c r="D170" s="56" t="s">
        <v>1684</v>
      </c>
      <c r="E170" s="10" t="s">
        <v>209</v>
      </c>
      <c r="F170" s="10" t="s">
        <v>1685</v>
      </c>
      <c r="G170" s="10" t="s">
        <v>18779</v>
      </c>
      <c r="H170" s="10" t="s">
        <v>216</v>
      </c>
      <c r="I170" s="10" t="s">
        <v>55</v>
      </c>
      <c r="K170" s="10" t="s">
        <v>18928</v>
      </c>
      <c r="L170" s="10" t="s">
        <v>42</v>
      </c>
    </row>
    <row r="171" ht="15.75" customHeight="1">
      <c r="A171" s="66">
        <v>45491.0</v>
      </c>
      <c r="B171" s="55" t="str">
        <f>HYPERLINK("https://jobright.ai/jobs/info/669977b98b5bba55b3e7f39e?utm_campaign=1049&amp;utm_source=sheet", "Apply")</f>
        <v>Apply</v>
      </c>
      <c r="C171" s="10" t="s">
        <v>18926</v>
      </c>
      <c r="D171" s="56" t="s">
        <v>1684</v>
      </c>
      <c r="E171" s="10" t="s">
        <v>209</v>
      </c>
      <c r="F171" s="10" t="s">
        <v>1685</v>
      </c>
      <c r="G171" s="10" t="s">
        <v>18779</v>
      </c>
      <c r="H171" s="10" t="s">
        <v>806</v>
      </c>
      <c r="I171" s="10" t="s">
        <v>55</v>
      </c>
      <c r="K171" s="10" t="s">
        <v>18928</v>
      </c>
      <c r="L171" s="10" t="s">
        <v>42</v>
      </c>
    </row>
    <row r="172" ht="15.75" customHeight="1">
      <c r="A172" s="66">
        <v>45491.0</v>
      </c>
      <c r="B172" s="55" t="str">
        <f>HYPERLINK("https://jobright.ai/jobs/info/669977b98b5bba55b3e7f39f?utm_campaign=1049&amp;utm_source=sheet", "Apply")</f>
        <v>Apply</v>
      </c>
      <c r="C172" s="10" t="s">
        <v>18926</v>
      </c>
      <c r="D172" s="56" t="s">
        <v>1684</v>
      </c>
      <c r="E172" s="10" t="s">
        <v>209</v>
      </c>
      <c r="F172" s="10" t="s">
        <v>1685</v>
      </c>
      <c r="G172" s="10" t="s">
        <v>18779</v>
      </c>
      <c r="H172" s="10" t="s">
        <v>11228</v>
      </c>
      <c r="I172" s="10" t="s">
        <v>55</v>
      </c>
      <c r="K172" s="10" t="s">
        <v>18928</v>
      </c>
      <c r="L172" s="10" t="s">
        <v>42</v>
      </c>
    </row>
    <row r="173" ht="15.75" customHeight="1">
      <c r="A173" s="66">
        <v>45491.0</v>
      </c>
      <c r="B173" s="55" t="str">
        <f>HYPERLINK("https://jobright.ai/jobs/info/6699791104b47f05b9e2cce8?utm_campaign=1049&amp;utm_source=sheet", "Apply")</f>
        <v>Apply</v>
      </c>
      <c r="C173" s="10" t="s">
        <v>18926</v>
      </c>
      <c r="D173" s="56" t="s">
        <v>1684</v>
      </c>
      <c r="E173" s="10" t="s">
        <v>209</v>
      </c>
      <c r="F173" s="10" t="s">
        <v>1685</v>
      </c>
      <c r="G173" s="10" t="s">
        <v>18779</v>
      </c>
      <c r="H173" s="10" t="s">
        <v>951</v>
      </c>
      <c r="I173" s="10" t="s">
        <v>55</v>
      </c>
      <c r="K173" s="10" t="s">
        <v>18928</v>
      </c>
      <c r="L173" s="10" t="s">
        <v>42</v>
      </c>
    </row>
    <row r="174" ht="15.75" customHeight="1">
      <c r="A174" s="64">
        <v>45491.0</v>
      </c>
      <c r="B174" s="55" t="str">
        <f>HYPERLINK("https://jobright.ai/jobs/info/6699791104b47f05b9e2cce9?utm_campaign=1049&amp;utm_source=sheet", "Apply")</f>
        <v>Apply</v>
      </c>
      <c r="C174" s="10" t="s">
        <v>18926</v>
      </c>
      <c r="D174" s="56" t="s">
        <v>1684</v>
      </c>
      <c r="E174" s="10" t="s">
        <v>209</v>
      </c>
      <c r="F174" s="10" t="s">
        <v>1685</v>
      </c>
      <c r="G174" s="10" t="s">
        <v>18779</v>
      </c>
      <c r="H174" s="10" t="s">
        <v>813</v>
      </c>
      <c r="I174" s="10" t="s">
        <v>55</v>
      </c>
      <c r="K174" s="10" t="s">
        <v>18928</v>
      </c>
      <c r="L174" s="10" t="s">
        <v>42</v>
      </c>
    </row>
    <row r="175" ht="15.75" customHeight="1">
      <c r="A175" s="64">
        <v>45491.0</v>
      </c>
      <c r="B175" s="55" t="str">
        <f>HYPERLINK("https://jobright.ai/jobs/info/6699791104b47f05b9e2ccea?utm_campaign=1049&amp;utm_source=sheet", "Apply")</f>
        <v>Apply</v>
      </c>
      <c r="C175" s="10" t="s">
        <v>18926</v>
      </c>
      <c r="D175" s="56" t="s">
        <v>1684</v>
      </c>
      <c r="E175" s="10" t="s">
        <v>209</v>
      </c>
      <c r="F175" s="10" t="s">
        <v>1685</v>
      </c>
      <c r="G175" s="10" t="s">
        <v>18779</v>
      </c>
      <c r="H175" s="10" t="s">
        <v>2735</v>
      </c>
      <c r="I175" s="10" t="s">
        <v>55</v>
      </c>
      <c r="K175" s="10" t="s">
        <v>18928</v>
      </c>
      <c r="L175" s="10" t="s">
        <v>42</v>
      </c>
    </row>
    <row r="176" ht="15.75" customHeight="1">
      <c r="A176" s="64">
        <v>45491.0</v>
      </c>
      <c r="B176" s="55" t="str">
        <f>HYPERLINK("https://jobright.ai/jobs/info/6699791104b47f05b9e2cceb?utm_campaign=1049&amp;utm_source=sheet", "Apply")</f>
        <v>Apply</v>
      </c>
      <c r="C176" s="10" t="s">
        <v>18926</v>
      </c>
      <c r="D176" s="56" t="s">
        <v>1684</v>
      </c>
      <c r="E176" s="10" t="s">
        <v>209</v>
      </c>
      <c r="F176" s="10" t="s">
        <v>1685</v>
      </c>
      <c r="G176" s="10" t="s">
        <v>18779</v>
      </c>
      <c r="H176" s="10" t="s">
        <v>3334</v>
      </c>
      <c r="I176" s="10" t="s">
        <v>55</v>
      </c>
      <c r="K176" s="10" t="s">
        <v>18928</v>
      </c>
      <c r="L176" s="10" t="s">
        <v>42</v>
      </c>
    </row>
    <row r="177" ht="15.75" customHeight="1">
      <c r="A177" s="64">
        <v>45491.0</v>
      </c>
      <c r="B177" s="55" t="str">
        <f>HYPERLINK("https://jobright.ai/jobs/info/669977b98b5bba55b3e7f3a2?utm_campaign=1049&amp;utm_source=sheet", "Apply")</f>
        <v>Apply</v>
      </c>
      <c r="C177" s="10" t="s">
        <v>18926</v>
      </c>
      <c r="D177" s="56" t="s">
        <v>1684</v>
      </c>
      <c r="E177" s="10" t="s">
        <v>209</v>
      </c>
      <c r="F177" s="10" t="s">
        <v>1685</v>
      </c>
      <c r="G177" s="10" t="s">
        <v>18779</v>
      </c>
      <c r="H177" s="10" t="s">
        <v>18952</v>
      </c>
      <c r="I177" s="10" t="s">
        <v>55</v>
      </c>
      <c r="K177" s="10" t="s">
        <v>18928</v>
      </c>
      <c r="L177" s="10" t="s">
        <v>42</v>
      </c>
    </row>
    <row r="178" ht="15.75" customHeight="1">
      <c r="A178" s="64">
        <v>45491.0</v>
      </c>
      <c r="B178" s="55" t="str">
        <f>HYPERLINK("https://jobright.ai/jobs/info/669977b98b5bba55b3e7f3a1?utm_campaign=1049&amp;utm_source=sheet", "Apply")</f>
        <v>Apply</v>
      </c>
      <c r="C178" s="10" t="s">
        <v>18926</v>
      </c>
      <c r="D178" s="56" t="s">
        <v>1684</v>
      </c>
      <c r="E178" s="10" t="s">
        <v>209</v>
      </c>
      <c r="F178" s="10" t="s">
        <v>1685</v>
      </c>
      <c r="G178" s="10" t="s">
        <v>18779</v>
      </c>
      <c r="H178" s="10" t="s">
        <v>18953</v>
      </c>
      <c r="I178" s="10" t="s">
        <v>55</v>
      </c>
      <c r="K178" s="10" t="s">
        <v>18928</v>
      </c>
      <c r="L178" s="10" t="s">
        <v>42</v>
      </c>
    </row>
    <row r="179" ht="15.75" customHeight="1">
      <c r="A179" s="64">
        <v>45491.0</v>
      </c>
      <c r="B179" s="55" t="str">
        <f>HYPERLINK("https://jobright.ai/jobs/info/6699791104b47f05b9e2ccec?utm_campaign=1049&amp;utm_source=sheet", "Apply")</f>
        <v>Apply</v>
      </c>
      <c r="C179" s="10" t="s">
        <v>18926</v>
      </c>
      <c r="D179" s="56" t="s">
        <v>1684</v>
      </c>
      <c r="E179" s="10" t="s">
        <v>209</v>
      </c>
      <c r="F179" s="10" t="s">
        <v>1685</v>
      </c>
      <c r="G179" s="10" t="s">
        <v>18779</v>
      </c>
      <c r="H179" s="10" t="s">
        <v>18954</v>
      </c>
      <c r="I179" s="10" t="s">
        <v>55</v>
      </c>
      <c r="K179" s="10" t="s">
        <v>18928</v>
      </c>
      <c r="L179" s="10" t="s">
        <v>42</v>
      </c>
    </row>
    <row r="180" ht="15.75" customHeight="1">
      <c r="A180" s="64">
        <v>45491.0</v>
      </c>
      <c r="B180" s="55" t="str">
        <f>HYPERLINK("https://jobright.ai/jobs/info/6699791104b47f05b9e2cced?utm_campaign=1049&amp;utm_source=sheet", "Apply")</f>
        <v>Apply</v>
      </c>
      <c r="C180" s="10" t="s">
        <v>18926</v>
      </c>
      <c r="D180" s="56" t="s">
        <v>1684</v>
      </c>
      <c r="E180" s="10" t="s">
        <v>209</v>
      </c>
      <c r="F180" s="10" t="s">
        <v>1685</v>
      </c>
      <c r="G180" s="10" t="s">
        <v>18779</v>
      </c>
      <c r="H180" s="10" t="s">
        <v>18955</v>
      </c>
      <c r="I180" s="10" t="s">
        <v>55</v>
      </c>
      <c r="K180" s="10" t="s">
        <v>18928</v>
      </c>
      <c r="L180" s="10" t="s">
        <v>42</v>
      </c>
    </row>
    <row r="181" ht="15.75" customHeight="1">
      <c r="A181" s="64">
        <v>45491.0</v>
      </c>
      <c r="B181" s="55" t="str">
        <f>HYPERLINK("https://jobright.ai/jobs/info/6699791104b47f05b9e2ccee?utm_campaign=1049&amp;utm_source=sheet", "Apply")</f>
        <v>Apply</v>
      </c>
      <c r="C181" s="10" t="s">
        <v>18926</v>
      </c>
      <c r="D181" s="56" t="s">
        <v>1684</v>
      </c>
      <c r="E181" s="10" t="s">
        <v>209</v>
      </c>
      <c r="F181" s="10" t="s">
        <v>1685</v>
      </c>
      <c r="G181" s="10" t="s">
        <v>18779</v>
      </c>
      <c r="H181" s="10" t="s">
        <v>877</v>
      </c>
      <c r="I181" s="10" t="s">
        <v>55</v>
      </c>
      <c r="K181" s="10" t="s">
        <v>18928</v>
      </c>
      <c r="L181" s="10" t="s">
        <v>42</v>
      </c>
    </row>
    <row r="182" ht="15.75" customHeight="1">
      <c r="A182" s="64">
        <v>45491.0</v>
      </c>
      <c r="B182" s="55" t="str">
        <f>HYPERLINK("https://jobright.ai/jobs/info/669977b98b5bba55b3e7f3a4?utm_campaign=1049&amp;utm_source=sheet", "Apply")</f>
        <v>Apply</v>
      </c>
      <c r="C182" s="10" t="s">
        <v>18926</v>
      </c>
      <c r="D182" s="56" t="s">
        <v>1684</v>
      </c>
      <c r="E182" s="10" t="s">
        <v>209</v>
      </c>
      <c r="F182" s="10" t="s">
        <v>1685</v>
      </c>
      <c r="G182" s="10" t="s">
        <v>18779</v>
      </c>
      <c r="H182" s="10" t="s">
        <v>18956</v>
      </c>
      <c r="I182" s="10" t="s">
        <v>55</v>
      </c>
      <c r="K182" s="10" t="s">
        <v>18928</v>
      </c>
      <c r="L182" s="10" t="s">
        <v>42</v>
      </c>
    </row>
    <row r="183" ht="15.75" customHeight="1">
      <c r="A183" s="64">
        <v>45491.0</v>
      </c>
      <c r="B183" s="55" t="str">
        <f>HYPERLINK("https://jobright.ai/jobs/info/669977b98b5bba55b3e7f3a5?utm_campaign=1049&amp;utm_source=sheet", "Apply")</f>
        <v>Apply</v>
      </c>
      <c r="C183" s="10" t="s">
        <v>18926</v>
      </c>
      <c r="D183" s="56" t="s">
        <v>1684</v>
      </c>
      <c r="E183" s="10" t="s">
        <v>209</v>
      </c>
      <c r="F183" s="10" t="s">
        <v>1685</v>
      </c>
      <c r="G183" s="10" t="s">
        <v>18779</v>
      </c>
      <c r="H183" s="10" t="s">
        <v>18957</v>
      </c>
      <c r="I183" s="10" t="s">
        <v>55</v>
      </c>
      <c r="K183" s="10" t="s">
        <v>18928</v>
      </c>
      <c r="L183" s="10" t="s">
        <v>42</v>
      </c>
    </row>
    <row r="184" ht="15.75" customHeight="1">
      <c r="A184" s="64">
        <v>45491.0</v>
      </c>
      <c r="B184" s="55" t="str">
        <f>HYPERLINK("https://jobright.ai/jobs/info/669977b98b5bba55b3e7f3a6?utm_campaign=1049&amp;utm_source=sheet", "Apply")</f>
        <v>Apply</v>
      </c>
      <c r="C184" s="10" t="s">
        <v>18926</v>
      </c>
      <c r="D184" s="56" t="s">
        <v>1684</v>
      </c>
      <c r="E184" s="10" t="s">
        <v>209</v>
      </c>
      <c r="F184" s="10" t="s">
        <v>1685</v>
      </c>
      <c r="G184" s="10" t="s">
        <v>18779</v>
      </c>
      <c r="H184" s="10" t="s">
        <v>240</v>
      </c>
      <c r="I184" s="10" t="s">
        <v>55</v>
      </c>
      <c r="K184" s="10" t="s">
        <v>18928</v>
      </c>
      <c r="L184" s="10" t="s">
        <v>42</v>
      </c>
    </row>
    <row r="185" ht="15.75" customHeight="1">
      <c r="A185" s="64">
        <v>45491.0</v>
      </c>
      <c r="B185" s="55" t="str">
        <f>HYPERLINK("https://jobright.ai/jobs/info/6699791104b47f05b9e2ccef?utm_campaign=1049&amp;utm_source=sheet", "Apply")</f>
        <v>Apply</v>
      </c>
      <c r="C185" s="10" t="s">
        <v>18926</v>
      </c>
      <c r="D185" s="56" t="s">
        <v>1684</v>
      </c>
      <c r="E185" s="10" t="s">
        <v>209</v>
      </c>
      <c r="F185" s="10" t="s">
        <v>1685</v>
      </c>
      <c r="G185" s="10" t="s">
        <v>18779</v>
      </c>
      <c r="H185" s="10" t="s">
        <v>18958</v>
      </c>
      <c r="I185" s="10" t="s">
        <v>55</v>
      </c>
      <c r="K185" s="10" t="s">
        <v>18928</v>
      </c>
      <c r="L185" s="10" t="s">
        <v>42</v>
      </c>
    </row>
    <row r="186" ht="15.75" customHeight="1">
      <c r="A186" s="64">
        <v>45491.0</v>
      </c>
      <c r="B186" s="55" t="str">
        <f>HYPERLINK("https://jobright.ai/jobs/info/6699791104b47f05b9e2ccf0?utm_campaign=1049&amp;utm_source=sheet", "Apply")</f>
        <v>Apply</v>
      </c>
      <c r="C186" s="10" t="s">
        <v>18926</v>
      </c>
      <c r="D186" s="56" t="s">
        <v>1684</v>
      </c>
      <c r="E186" s="10" t="s">
        <v>209</v>
      </c>
      <c r="F186" s="10" t="s">
        <v>1685</v>
      </c>
      <c r="G186" s="10" t="s">
        <v>18779</v>
      </c>
      <c r="H186" s="10" t="s">
        <v>18959</v>
      </c>
      <c r="I186" s="10" t="s">
        <v>55</v>
      </c>
      <c r="K186" s="10" t="s">
        <v>18928</v>
      </c>
      <c r="L186" s="10" t="s">
        <v>42</v>
      </c>
    </row>
    <row r="187" ht="15.75" customHeight="1">
      <c r="A187" s="64">
        <v>45491.0</v>
      </c>
      <c r="B187" s="55" t="str">
        <f>HYPERLINK("https://jobright.ai/jobs/info/6699791104b47f05b9e2ccf1?utm_campaign=1049&amp;utm_source=sheet", "Apply")</f>
        <v>Apply</v>
      </c>
      <c r="C187" s="10" t="s">
        <v>18926</v>
      </c>
      <c r="D187" s="56" t="s">
        <v>1684</v>
      </c>
      <c r="E187" s="10" t="s">
        <v>209</v>
      </c>
      <c r="F187" s="10" t="s">
        <v>1685</v>
      </c>
      <c r="G187" s="10" t="s">
        <v>18779</v>
      </c>
      <c r="H187" s="10" t="s">
        <v>765</v>
      </c>
      <c r="I187" s="10" t="s">
        <v>55</v>
      </c>
      <c r="K187" s="10" t="s">
        <v>18928</v>
      </c>
      <c r="L187" s="10" t="s">
        <v>42</v>
      </c>
    </row>
    <row r="188" ht="15.75" customHeight="1">
      <c r="A188" s="64">
        <v>45491.0</v>
      </c>
      <c r="B188" s="55" t="str">
        <f>HYPERLINK("https://jobright.ai/jobs/info/669977b98b5bba55b3e7f3a8?utm_campaign=1049&amp;utm_source=sheet", "Apply")</f>
        <v>Apply</v>
      </c>
      <c r="C188" s="10" t="s">
        <v>18926</v>
      </c>
      <c r="D188" s="56" t="s">
        <v>1684</v>
      </c>
      <c r="E188" s="10" t="s">
        <v>209</v>
      </c>
      <c r="F188" s="10" t="s">
        <v>1685</v>
      </c>
      <c r="G188" s="10" t="s">
        <v>18779</v>
      </c>
      <c r="H188" s="10" t="s">
        <v>18960</v>
      </c>
      <c r="I188" s="10" t="s">
        <v>55</v>
      </c>
      <c r="K188" s="10" t="s">
        <v>18928</v>
      </c>
      <c r="L188" s="10" t="s">
        <v>42</v>
      </c>
    </row>
    <row r="189" ht="15.75" customHeight="1">
      <c r="A189" s="64">
        <v>45491.0</v>
      </c>
      <c r="B189" s="55" t="str">
        <f>HYPERLINK("https://jobright.ai/jobs/info/669977b98b5bba55b3e7f3a9?utm_campaign=1049&amp;utm_source=sheet", "Apply")</f>
        <v>Apply</v>
      </c>
      <c r="C189" s="10" t="s">
        <v>18926</v>
      </c>
      <c r="D189" s="56" t="s">
        <v>1684</v>
      </c>
      <c r="E189" s="10" t="s">
        <v>209</v>
      </c>
      <c r="F189" s="10" t="s">
        <v>1685</v>
      </c>
      <c r="G189" s="10" t="s">
        <v>18779</v>
      </c>
      <c r="H189" s="10" t="s">
        <v>18961</v>
      </c>
      <c r="I189" s="10" t="s">
        <v>55</v>
      </c>
      <c r="K189" s="10" t="s">
        <v>18928</v>
      </c>
      <c r="L189" s="10" t="s">
        <v>42</v>
      </c>
    </row>
    <row r="190" ht="15.75" customHeight="1">
      <c r="A190" s="64">
        <v>45491.0</v>
      </c>
      <c r="B190" s="55" t="str">
        <f>HYPERLINK("https://jobright.ai/jobs/info/669977b98b5bba55b3e7f3ab?utm_campaign=1049&amp;utm_source=sheet", "Apply")</f>
        <v>Apply</v>
      </c>
      <c r="C190" s="10" t="s">
        <v>18926</v>
      </c>
      <c r="D190" s="56" t="s">
        <v>1684</v>
      </c>
      <c r="E190" s="10" t="s">
        <v>209</v>
      </c>
      <c r="F190" s="10" t="s">
        <v>1685</v>
      </c>
      <c r="G190" s="10" t="s">
        <v>18779</v>
      </c>
      <c r="H190" s="10" t="s">
        <v>2654</v>
      </c>
      <c r="I190" s="10" t="s">
        <v>55</v>
      </c>
      <c r="K190" s="10" t="s">
        <v>18928</v>
      </c>
      <c r="L190" s="10" t="s">
        <v>42</v>
      </c>
    </row>
    <row r="191" ht="15.75" customHeight="1">
      <c r="A191" s="64">
        <v>45491.0</v>
      </c>
      <c r="B191" s="55" t="str">
        <f>HYPERLINK("https://jobright.ai/jobs/info/669977b98b5bba55b3e7f3aa?utm_campaign=1049&amp;utm_source=sheet", "Apply")</f>
        <v>Apply</v>
      </c>
      <c r="C191" s="10" t="s">
        <v>18926</v>
      </c>
      <c r="D191" s="56" t="s">
        <v>1684</v>
      </c>
      <c r="E191" s="10" t="s">
        <v>209</v>
      </c>
      <c r="F191" s="10" t="s">
        <v>1685</v>
      </c>
      <c r="G191" s="10" t="s">
        <v>18779</v>
      </c>
      <c r="H191" s="10" t="s">
        <v>18962</v>
      </c>
      <c r="I191" s="10" t="s">
        <v>55</v>
      </c>
      <c r="K191" s="10" t="s">
        <v>18928</v>
      </c>
      <c r="L191" s="10" t="s">
        <v>42</v>
      </c>
    </row>
    <row r="192" ht="15.75" customHeight="1">
      <c r="A192" s="64">
        <v>45491.0</v>
      </c>
      <c r="B192" s="55" t="str">
        <f>HYPERLINK("https://jobright.ai/jobs/info/669977b98b5bba55b3e7f3ac?utm_campaign=1049&amp;utm_source=sheet", "Apply")</f>
        <v>Apply</v>
      </c>
      <c r="C192" s="10" t="s">
        <v>18926</v>
      </c>
      <c r="D192" s="56" t="s">
        <v>1684</v>
      </c>
      <c r="E192" s="10" t="s">
        <v>209</v>
      </c>
      <c r="F192" s="10" t="s">
        <v>1685</v>
      </c>
      <c r="G192" s="10" t="s">
        <v>18779</v>
      </c>
      <c r="H192" s="10" t="s">
        <v>18963</v>
      </c>
      <c r="I192" s="10" t="s">
        <v>55</v>
      </c>
      <c r="K192" s="10" t="s">
        <v>18928</v>
      </c>
      <c r="L192" s="10" t="s">
        <v>42</v>
      </c>
    </row>
    <row r="193" ht="15.75" customHeight="1">
      <c r="A193" s="64">
        <v>45491.0</v>
      </c>
      <c r="B193" s="55" t="str">
        <f>HYPERLINK("https://jobright.ai/jobs/info/6699791104b47f05b9e2ccf2?utm_campaign=1049&amp;utm_source=sheet", "Apply")</f>
        <v>Apply</v>
      </c>
      <c r="C193" s="10" t="s">
        <v>18926</v>
      </c>
      <c r="D193" s="56" t="s">
        <v>1684</v>
      </c>
      <c r="E193" s="10" t="s">
        <v>209</v>
      </c>
      <c r="F193" s="10" t="s">
        <v>1685</v>
      </c>
      <c r="G193" s="10" t="s">
        <v>18779</v>
      </c>
      <c r="H193" s="10" t="s">
        <v>915</v>
      </c>
      <c r="I193" s="10" t="s">
        <v>55</v>
      </c>
      <c r="K193" s="10" t="s">
        <v>18928</v>
      </c>
      <c r="L193" s="10" t="s">
        <v>42</v>
      </c>
    </row>
    <row r="194" ht="15.75" customHeight="1">
      <c r="A194" s="64">
        <v>45491.0</v>
      </c>
      <c r="B194" s="55" t="str">
        <f>HYPERLINK("https://jobright.ai/jobs/info/6699791104b47f05b9e2ccf4?utm_campaign=1049&amp;utm_source=sheet", "Apply")</f>
        <v>Apply</v>
      </c>
      <c r="C194" s="10" t="s">
        <v>18926</v>
      </c>
      <c r="D194" s="56" t="s">
        <v>1684</v>
      </c>
      <c r="E194" s="10" t="s">
        <v>209</v>
      </c>
      <c r="F194" s="10" t="s">
        <v>1685</v>
      </c>
      <c r="G194" s="10" t="s">
        <v>18779</v>
      </c>
      <c r="H194" s="10" t="s">
        <v>787</v>
      </c>
      <c r="I194" s="10" t="s">
        <v>55</v>
      </c>
      <c r="K194" s="10" t="s">
        <v>18928</v>
      </c>
      <c r="L194" s="10" t="s">
        <v>42</v>
      </c>
    </row>
    <row r="195" ht="15.75" customHeight="1">
      <c r="A195" s="64">
        <v>45491.0</v>
      </c>
      <c r="B195" s="55" t="str">
        <f>HYPERLINK("https://jobright.ai/jobs/info/6699791104b47f05b9e2ccf3?utm_campaign=1049&amp;utm_source=sheet", "Apply")</f>
        <v>Apply</v>
      </c>
      <c r="C195" s="10" t="s">
        <v>18926</v>
      </c>
      <c r="D195" s="56" t="s">
        <v>1684</v>
      </c>
      <c r="E195" s="10" t="s">
        <v>209</v>
      </c>
      <c r="F195" s="10" t="s">
        <v>1685</v>
      </c>
      <c r="G195" s="10" t="s">
        <v>18779</v>
      </c>
      <c r="H195" s="10" t="s">
        <v>922</v>
      </c>
      <c r="I195" s="10" t="s">
        <v>55</v>
      </c>
      <c r="K195" s="10" t="s">
        <v>18928</v>
      </c>
      <c r="L195" s="10" t="s">
        <v>42</v>
      </c>
    </row>
    <row r="196" ht="15.75" customHeight="1">
      <c r="A196" s="64">
        <v>45491.0</v>
      </c>
      <c r="B196" s="55" t="str">
        <f>HYPERLINK("https://jobright.ai/jobs/info/6699791104b47f05b9e2ccf5?utm_campaign=1049&amp;utm_source=sheet", "Apply")</f>
        <v>Apply</v>
      </c>
      <c r="C196" s="10" t="s">
        <v>18926</v>
      </c>
      <c r="D196" s="56" t="s">
        <v>1684</v>
      </c>
      <c r="E196" s="10" t="s">
        <v>209</v>
      </c>
      <c r="F196" s="10" t="s">
        <v>1685</v>
      </c>
      <c r="G196" s="10" t="s">
        <v>18779</v>
      </c>
      <c r="H196" s="10" t="s">
        <v>7236</v>
      </c>
      <c r="I196" s="10" t="s">
        <v>55</v>
      </c>
      <c r="K196" s="10" t="s">
        <v>18928</v>
      </c>
      <c r="L196" s="10" t="s">
        <v>42</v>
      </c>
    </row>
    <row r="197" ht="15.75" customHeight="1">
      <c r="A197" s="64">
        <v>45491.0</v>
      </c>
      <c r="B197" s="55" t="str">
        <f>HYPERLINK("https://jobright.ai/jobs/info/669977b98b5bba55b3e7f3ad?utm_campaign=1049&amp;utm_source=sheet", "Apply")</f>
        <v>Apply</v>
      </c>
      <c r="C197" s="10" t="s">
        <v>18926</v>
      </c>
      <c r="D197" s="56" t="s">
        <v>1684</v>
      </c>
      <c r="E197" s="10" t="s">
        <v>209</v>
      </c>
      <c r="F197" s="10" t="s">
        <v>1685</v>
      </c>
      <c r="G197" s="10" t="s">
        <v>18779</v>
      </c>
      <c r="H197" s="10" t="s">
        <v>927</v>
      </c>
      <c r="I197" s="10" t="s">
        <v>55</v>
      </c>
      <c r="K197" s="10" t="s">
        <v>18928</v>
      </c>
      <c r="L197" s="10" t="s">
        <v>42</v>
      </c>
    </row>
    <row r="198" ht="15.75" customHeight="1">
      <c r="A198" s="64">
        <v>45491.0</v>
      </c>
      <c r="B198" s="55" t="str">
        <f>HYPERLINK("https://jobright.ai/jobs/info/6699791104b47f05b9e2ccf6?utm_campaign=1049&amp;utm_source=sheet", "Apply")</f>
        <v>Apply</v>
      </c>
      <c r="C198" s="10" t="s">
        <v>18926</v>
      </c>
      <c r="D198" s="56" t="s">
        <v>1684</v>
      </c>
      <c r="E198" s="10" t="s">
        <v>209</v>
      </c>
      <c r="F198" s="10" t="s">
        <v>1685</v>
      </c>
      <c r="G198" s="10" t="s">
        <v>18779</v>
      </c>
      <c r="H198" s="10" t="s">
        <v>12519</v>
      </c>
      <c r="I198" s="10" t="s">
        <v>55</v>
      </c>
      <c r="K198" s="10" t="s">
        <v>18928</v>
      </c>
      <c r="L198" s="10" t="s">
        <v>42</v>
      </c>
    </row>
    <row r="199" ht="15.75" customHeight="1">
      <c r="A199" s="64">
        <v>45491.0</v>
      </c>
      <c r="B199" s="55" t="str">
        <f>HYPERLINK("https://jobright.ai/jobs/info/6699791104b47f05b9e2ccf7?utm_campaign=1049&amp;utm_source=sheet", "Apply")</f>
        <v>Apply</v>
      </c>
      <c r="C199" s="10" t="s">
        <v>18926</v>
      </c>
      <c r="D199" s="56" t="s">
        <v>1684</v>
      </c>
      <c r="E199" s="10" t="s">
        <v>209</v>
      </c>
      <c r="F199" s="10" t="s">
        <v>1685</v>
      </c>
      <c r="G199" s="10" t="s">
        <v>18779</v>
      </c>
      <c r="H199" s="10" t="s">
        <v>18964</v>
      </c>
      <c r="I199" s="10" t="s">
        <v>55</v>
      </c>
      <c r="K199" s="10" t="s">
        <v>18928</v>
      </c>
      <c r="L199" s="10" t="s">
        <v>42</v>
      </c>
    </row>
    <row r="200" ht="15.75" customHeight="1">
      <c r="A200" s="64">
        <v>45491.0</v>
      </c>
      <c r="B200" s="55" t="str">
        <f>HYPERLINK("https://jobright.ai/jobs/info/6699791104b47f05b9e2ccf8?utm_campaign=1049&amp;utm_source=sheet", "Apply")</f>
        <v>Apply</v>
      </c>
      <c r="C200" s="10" t="s">
        <v>18926</v>
      </c>
      <c r="D200" s="56" t="s">
        <v>1684</v>
      </c>
      <c r="E200" s="10" t="s">
        <v>209</v>
      </c>
      <c r="F200" s="10" t="s">
        <v>1685</v>
      </c>
      <c r="G200" s="10" t="s">
        <v>18779</v>
      </c>
      <c r="H200" s="10" t="s">
        <v>930</v>
      </c>
      <c r="I200" s="10" t="s">
        <v>55</v>
      </c>
      <c r="K200" s="10" t="s">
        <v>18928</v>
      </c>
      <c r="L200" s="10" t="s">
        <v>42</v>
      </c>
    </row>
    <row r="201" ht="15.75" customHeight="1">
      <c r="A201" s="64">
        <v>45491.0</v>
      </c>
      <c r="B201" s="55" t="str">
        <f>HYPERLINK("https://jobright.ai/jobs/info/6699791104b47f05b9e2ccf9?utm_campaign=1049&amp;utm_source=sheet", "Apply")</f>
        <v>Apply</v>
      </c>
      <c r="C201" s="10" t="s">
        <v>18926</v>
      </c>
      <c r="D201" s="56" t="s">
        <v>1684</v>
      </c>
      <c r="E201" s="10" t="s">
        <v>209</v>
      </c>
      <c r="F201" s="10" t="s">
        <v>1685</v>
      </c>
      <c r="G201" s="10" t="s">
        <v>18779</v>
      </c>
      <c r="H201" s="10" t="s">
        <v>18965</v>
      </c>
      <c r="I201" s="10" t="s">
        <v>55</v>
      </c>
      <c r="K201" s="10" t="s">
        <v>18928</v>
      </c>
      <c r="L201" s="10" t="s">
        <v>42</v>
      </c>
    </row>
    <row r="202" ht="15.75" customHeight="1">
      <c r="A202" s="64">
        <v>45491.0</v>
      </c>
      <c r="B202" s="55" t="str">
        <f>HYPERLINK("https://jobright.ai/jobs/info/669977b98b5bba55b3e7f3ae?utm_campaign=1049&amp;utm_source=sheet", "Apply")</f>
        <v>Apply</v>
      </c>
      <c r="C202" s="10" t="s">
        <v>18926</v>
      </c>
      <c r="D202" s="56" t="s">
        <v>1684</v>
      </c>
      <c r="E202" s="10" t="s">
        <v>209</v>
      </c>
      <c r="F202" s="10" t="s">
        <v>1685</v>
      </c>
      <c r="G202" s="10" t="s">
        <v>18779</v>
      </c>
      <c r="H202" s="10" t="s">
        <v>18966</v>
      </c>
      <c r="I202" s="10" t="s">
        <v>55</v>
      </c>
      <c r="K202" s="10" t="s">
        <v>18928</v>
      </c>
      <c r="L202" s="10" t="s">
        <v>42</v>
      </c>
    </row>
    <row r="203" ht="15.75" customHeight="1">
      <c r="A203" s="64">
        <v>45491.0</v>
      </c>
      <c r="B203" s="55" t="str">
        <f>HYPERLINK("https://jobright.ai/jobs/info/669977b98b5bba55b3e7f3af?utm_campaign=1049&amp;utm_source=sheet", "Apply")</f>
        <v>Apply</v>
      </c>
      <c r="C203" s="10" t="s">
        <v>18926</v>
      </c>
      <c r="D203" s="56" t="s">
        <v>1684</v>
      </c>
      <c r="E203" s="10" t="s">
        <v>209</v>
      </c>
      <c r="F203" s="10" t="s">
        <v>1685</v>
      </c>
      <c r="G203" s="10" t="s">
        <v>18779</v>
      </c>
      <c r="H203" s="10" t="s">
        <v>18967</v>
      </c>
      <c r="I203" s="10" t="s">
        <v>55</v>
      </c>
      <c r="K203" s="10" t="s">
        <v>18928</v>
      </c>
      <c r="L203" s="10" t="s">
        <v>42</v>
      </c>
    </row>
    <row r="204" ht="15.75" customHeight="1">
      <c r="A204" s="64">
        <v>45491.0</v>
      </c>
      <c r="B204" s="55" t="str">
        <f>HYPERLINK("https://jobright.ai/jobs/info/6699791104b47f05b9e2ccfa?utm_campaign=1049&amp;utm_source=sheet", "Apply")</f>
        <v>Apply</v>
      </c>
      <c r="C204" s="10" t="s">
        <v>18926</v>
      </c>
      <c r="D204" s="56" t="s">
        <v>1684</v>
      </c>
      <c r="E204" s="10" t="s">
        <v>209</v>
      </c>
      <c r="F204" s="10" t="s">
        <v>1685</v>
      </c>
      <c r="G204" s="10" t="s">
        <v>18779</v>
      </c>
      <c r="H204" s="10" t="s">
        <v>16725</v>
      </c>
      <c r="I204" s="10" t="s">
        <v>55</v>
      </c>
      <c r="K204" s="10" t="s">
        <v>18928</v>
      </c>
      <c r="L204" s="10" t="s">
        <v>42</v>
      </c>
    </row>
    <row r="205" ht="15.75" customHeight="1">
      <c r="A205" s="64">
        <v>45491.0</v>
      </c>
      <c r="B205" s="55" t="str">
        <f>HYPERLINK("https://jobright.ai/jobs/info/6699791104b47f05b9e2ccfb?utm_campaign=1049&amp;utm_source=sheet", "Apply")</f>
        <v>Apply</v>
      </c>
      <c r="C205" s="10" t="s">
        <v>18926</v>
      </c>
      <c r="D205" s="56" t="s">
        <v>1684</v>
      </c>
      <c r="E205" s="10" t="s">
        <v>209</v>
      </c>
      <c r="F205" s="10" t="s">
        <v>1685</v>
      </c>
      <c r="G205" s="10" t="s">
        <v>18779</v>
      </c>
      <c r="H205" s="10" t="s">
        <v>18968</v>
      </c>
      <c r="I205" s="10" t="s">
        <v>55</v>
      </c>
      <c r="K205" s="10" t="s">
        <v>18928</v>
      </c>
      <c r="L205" s="10" t="s">
        <v>42</v>
      </c>
    </row>
    <row r="206" ht="15.75" customHeight="1">
      <c r="A206" s="64">
        <v>45491.0</v>
      </c>
      <c r="B206" s="55" t="str">
        <f>HYPERLINK("https://jobright.ai/jobs/info/6699791104b47f05b9e2ccfc?utm_campaign=1049&amp;utm_source=sheet", "Apply")</f>
        <v>Apply</v>
      </c>
      <c r="C206" s="10" t="s">
        <v>18926</v>
      </c>
      <c r="D206" s="56" t="s">
        <v>1684</v>
      </c>
      <c r="E206" s="10" t="s">
        <v>209</v>
      </c>
      <c r="F206" s="10" t="s">
        <v>1685</v>
      </c>
      <c r="G206" s="10" t="s">
        <v>18779</v>
      </c>
      <c r="H206" s="10" t="s">
        <v>2597</v>
      </c>
      <c r="I206" s="10" t="s">
        <v>55</v>
      </c>
      <c r="K206" s="10" t="s">
        <v>18928</v>
      </c>
      <c r="L206" s="10" t="s">
        <v>42</v>
      </c>
    </row>
    <row r="207" ht="15.75" customHeight="1">
      <c r="A207" s="64">
        <v>45491.0</v>
      </c>
      <c r="B207" s="55" t="str">
        <f>HYPERLINK("https://jobright.ai/jobs/info/669977b98b5bba55b3e7f3b1?utm_campaign=1049&amp;utm_source=sheet", "Apply")</f>
        <v>Apply</v>
      </c>
      <c r="C207" s="10" t="s">
        <v>18926</v>
      </c>
      <c r="D207" s="56" t="s">
        <v>1684</v>
      </c>
      <c r="E207" s="10" t="s">
        <v>209</v>
      </c>
      <c r="F207" s="10" t="s">
        <v>1685</v>
      </c>
      <c r="G207" s="10" t="s">
        <v>18779</v>
      </c>
      <c r="H207" s="10" t="s">
        <v>18969</v>
      </c>
      <c r="I207" s="10" t="s">
        <v>55</v>
      </c>
      <c r="K207" s="10" t="s">
        <v>18928</v>
      </c>
      <c r="L207" s="10" t="s">
        <v>42</v>
      </c>
    </row>
    <row r="208" ht="15.75" customHeight="1">
      <c r="A208" s="64">
        <v>45491.0</v>
      </c>
      <c r="B208" s="55" t="str">
        <f>HYPERLINK("https://jobright.ai/jobs/info/669977b98b5bba55b3e7f3b2?utm_campaign=1049&amp;utm_source=sheet", "Apply")</f>
        <v>Apply</v>
      </c>
      <c r="C208" s="10" t="s">
        <v>18926</v>
      </c>
      <c r="D208" s="56" t="s">
        <v>1684</v>
      </c>
      <c r="E208" s="10" t="s">
        <v>209</v>
      </c>
      <c r="F208" s="10" t="s">
        <v>1685</v>
      </c>
      <c r="G208" s="10" t="s">
        <v>18779</v>
      </c>
      <c r="H208" s="10" t="s">
        <v>18970</v>
      </c>
      <c r="I208" s="10" t="s">
        <v>55</v>
      </c>
      <c r="K208" s="10" t="s">
        <v>18928</v>
      </c>
      <c r="L208" s="10" t="s">
        <v>42</v>
      </c>
    </row>
    <row r="209" ht="15.75" customHeight="1">
      <c r="A209" s="64">
        <v>45491.0</v>
      </c>
      <c r="B209" s="55" t="str">
        <f>HYPERLINK("https://jobright.ai/jobs/info/669977b98b5bba55b3e7f3b3?utm_campaign=1049&amp;utm_source=sheet", "Apply")</f>
        <v>Apply</v>
      </c>
      <c r="C209" s="10" t="s">
        <v>18926</v>
      </c>
      <c r="D209" s="56" t="s">
        <v>1684</v>
      </c>
      <c r="E209" s="10" t="s">
        <v>209</v>
      </c>
      <c r="F209" s="10" t="s">
        <v>1685</v>
      </c>
      <c r="G209" s="10" t="s">
        <v>18779</v>
      </c>
      <c r="H209" s="10" t="s">
        <v>6054</v>
      </c>
      <c r="I209" s="10" t="s">
        <v>55</v>
      </c>
      <c r="K209" s="10" t="s">
        <v>18928</v>
      </c>
      <c r="L209" s="10" t="s">
        <v>42</v>
      </c>
    </row>
    <row r="210" ht="15.75" customHeight="1">
      <c r="A210" s="64">
        <v>45491.0</v>
      </c>
      <c r="B210" s="55" t="str">
        <f>HYPERLINK("https://jobright.ai/jobs/info/6699791104b47f05b9e2ccfe?utm_campaign=1049&amp;utm_source=sheet", "Apply")</f>
        <v>Apply</v>
      </c>
      <c r="C210" s="10" t="s">
        <v>18926</v>
      </c>
      <c r="D210" s="56" t="s">
        <v>1684</v>
      </c>
      <c r="E210" s="10" t="s">
        <v>209</v>
      </c>
      <c r="F210" s="10" t="s">
        <v>1685</v>
      </c>
      <c r="G210" s="10" t="s">
        <v>18779</v>
      </c>
      <c r="H210" s="10" t="s">
        <v>18971</v>
      </c>
      <c r="I210" s="10" t="s">
        <v>55</v>
      </c>
      <c r="K210" s="10" t="s">
        <v>18928</v>
      </c>
      <c r="L210" s="10" t="s">
        <v>42</v>
      </c>
    </row>
    <row r="211" ht="15.75" customHeight="1">
      <c r="A211" s="64">
        <v>45491.0</v>
      </c>
      <c r="B211" s="55" t="str">
        <f>HYPERLINK("https://jobright.ai/jobs/info/6699791104b47f05b9e2ccff?utm_campaign=1049&amp;utm_source=sheet", "Apply")</f>
        <v>Apply</v>
      </c>
      <c r="C211" s="10" t="s">
        <v>18926</v>
      </c>
      <c r="D211" s="56" t="s">
        <v>1684</v>
      </c>
      <c r="E211" s="10" t="s">
        <v>209</v>
      </c>
      <c r="F211" s="10" t="s">
        <v>1685</v>
      </c>
      <c r="G211" s="10" t="s">
        <v>18779</v>
      </c>
      <c r="H211" s="10" t="s">
        <v>16670</v>
      </c>
      <c r="I211" s="10" t="s">
        <v>55</v>
      </c>
      <c r="K211" s="10" t="s">
        <v>18928</v>
      </c>
      <c r="L211" s="10" t="s">
        <v>42</v>
      </c>
    </row>
    <row r="212" ht="15.75" customHeight="1">
      <c r="A212" s="64">
        <v>45491.0</v>
      </c>
      <c r="B212" s="55" t="str">
        <f>HYPERLINK("https://jobright.ai/jobs/info/6699791104b47f05b9e2cd00?utm_campaign=1049&amp;utm_source=sheet", "Apply")</f>
        <v>Apply</v>
      </c>
      <c r="C212" s="10" t="s">
        <v>18926</v>
      </c>
      <c r="D212" s="56" t="s">
        <v>1684</v>
      </c>
      <c r="E212" s="10" t="s">
        <v>209</v>
      </c>
      <c r="F212" s="10" t="s">
        <v>1685</v>
      </c>
      <c r="G212" s="10" t="s">
        <v>18779</v>
      </c>
      <c r="H212" s="10" t="s">
        <v>4800</v>
      </c>
      <c r="I212" s="10" t="s">
        <v>55</v>
      </c>
      <c r="K212" s="10" t="s">
        <v>18928</v>
      </c>
      <c r="L212" s="10" t="s">
        <v>42</v>
      </c>
    </row>
    <row r="213" ht="15.75" customHeight="1">
      <c r="A213" s="64">
        <v>45491.0</v>
      </c>
      <c r="B213" s="55" t="str">
        <f>HYPERLINK("https://jobright.ai/jobs/info/6699791104b47f05b9e2cd01?utm_campaign=1049&amp;utm_source=sheet", "Apply")</f>
        <v>Apply</v>
      </c>
      <c r="C213" s="10" t="s">
        <v>18926</v>
      </c>
      <c r="D213" s="56" t="s">
        <v>1684</v>
      </c>
      <c r="E213" s="10" t="s">
        <v>209</v>
      </c>
      <c r="F213" s="10" t="s">
        <v>1685</v>
      </c>
      <c r="G213" s="10" t="s">
        <v>18779</v>
      </c>
      <c r="H213" s="10" t="s">
        <v>902</v>
      </c>
      <c r="I213" s="10" t="s">
        <v>55</v>
      </c>
      <c r="K213" s="10" t="s">
        <v>18928</v>
      </c>
      <c r="L213" s="10" t="s">
        <v>42</v>
      </c>
    </row>
    <row r="214" ht="15.75" customHeight="1">
      <c r="A214" s="64">
        <v>45491.0</v>
      </c>
      <c r="B214" s="55" t="str">
        <f>HYPERLINK("https://jobright.ai/jobs/info/669977b98b5bba55b3e7f3b4?utm_campaign=1049&amp;utm_source=sheet", "Apply")</f>
        <v>Apply</v>
      </c>
      <c r="C214" s="10" t="s">
        <v>18926</v>
      </c>
      <c r="D214" s="56" t="s">
        <v>1684</v>
      </c>
      <c r="E214" s="10" t="s">
        <v>209</v>
      </c>
      <c r="F214" s="10" t="s">
        <v>1685</v>
      </c>
      <c r="G214" s="10" t="s">
        <v>18779</v>
      </c>
      <c r="H214" s="10" t="s">
        <v>5875</v>
      </c>
      <c r="I214" s="10" t="s">
        <v>55</v>
      </c>
      <c r="K214" s="10" t="s">
        <v>18928</v>
      </c>
      <c r="L214" s="10" t="s">
        <v>42</v>
      </c>
    </row>
    <row r="215" ht="15.75" customHeight="1">
      <c r="A215" s="64">
        <v>45491.0</v>
      </c>
      <c r="B215" s="55" t="str">
        <f>HYPERLINK("https://jobright.ai/jobs/info/6699791104b47f05b9e2cd02?utm_campaign=1049&amp;utm_source=sheet", "Apply")</f>
        <v>Apply</v>
      </c>
      <c r="C215" s="10" t="s">
        <v>18926</v>
      </c>
      <c r="D215" s="56" t="s">
        <v>1684</v>
      </c>
      <c r="E215" s="10" t="s">
        <v>209</v>
      </c>
      <c r="F215" s="10" t="s">
        <v>1685</v>
      </c>
      <c r="G215" s="10" t="s">
        <v>18779</v>
      </c>
      <c r="H215" s="10" t="s">
        <v>18972</v>
      </c>
      <c r="I215" s="10" t="s">
        <v>55</v>
      </c>
      <c r="K215" s="10" t="s">
        <v>18928</v>
      </c>
      <c r="L215" s="10" t="s">
        <v>42</v>
      </c>
    </row>
    <row r="216" ht="15.75" customHeight="1">
      <c r="A216" s="64">
        <v>45491.0</v>
      </c>
      <c r="B216" s="55" t="str">
        <f>HYPERLINK("https://jobright.ai/jobs/info/6699a6669a33b14b40b73dc7?utm_campaign=1049&amp;utm_source=sheet", "Apply")</f>
        <v>Apply</v>
      </c>
      <c r="C216" s="10" t="s">
        <v>18973</v>
      </c>
      <c r="D216" s="56" t="s">
        <v>1684</v>
      </c>
      <c r="E216" s="10" t="s">
        <v>209</v>
      </c>
      <c r="F216" s="10" t="s">
        <v>1685</v>
      </c>
      <c r="G216" s="10" t="s">
        <v>18779</v>
      </c>
      <c r="H216" s="10" t="s">
        <v>2876</v>
      </c>
      <c r="I216" s="10" t="s">
        <v>55</v>
      </c>
      <c r="K216" s="10" t="s">
        <v>18974</v>
      </c>
      <c r="L216" s="10" t="s">
        <v>42</v>
      </c>
    </row>
    <row r="217" ht="15.75" customHeight="1">
      <c r="A217" s="64">
        <v>45491.0</v>
      </c>
      <c r="B217" s="55" t="str">
        <f>HYPERLINK("https://jobright.ai/jobs/info/6699a6669a33b14b40b73dd2?utm_campaign=1049&amp;utm_source=sheet", "Apply")</f>
        <v>Apply</v>
      </c>
      <c r="C217" s="10" t="s">
        <v>18926</v>
      </c>
      <c r="D217" s="56" t="s">
        <v>1684</v>
      </c>
      <c r="E217" s="10" t="s">
        <v>209</v>
      </c>
      <c r="F217" s="10" t="s">
        <v>1685</v>
      </c>
      <c r="G217" s="10" t="s">
        <v>18779</v>
      </c>
      <c r="H217" s="10" t="s">
        <v>86</v>
      </c>
      <c r="I217" s="10" t="s">
        <v>55</v>
      </c>
      <c r="K217" s="10" t="s">
        <v>18928</v>
      </c>
      <c r="L217" s="10" t="s">
        <v>42</v>
      </c>
    </row>
    <row r="218" ht="15.75" customHeight="1">
      <c r="A218" s="64">
        <v>45491.0</v>
      </c>
      <c r="B218" s="55" t="str">
        <f>HYPERLINK("https://jobright.ai/jobs/info/6699791104b47f05b9e2cd15?utm_campaign=1049&amp;utm_source=sheet", "Apply")</f>
        <v>Apply</v>
      </c>
      <c r="C218" s="10" t="s">
        <v>18926</v>
      </c>
      <c r="D218" s="56" t="s">
        <v>1684</v>
      </c>
      <c r="E218" s="10" t="s">
        <v>209</v>
      </c>
      <c r="F218" s="10" t="s">
        <v>1685</v>
      </c>
      <c r="G218" s="10" t="s">
        <v>18779</v>
      </c>
      <c r="H218" s="10" t="s">
        <v>992</v>
      </c>
      <c r="I218" s="10" t="s">
        <v>55</v>
      </c>
      <c r="K218" s="10" t="s">
        <v>18928</v>
      </c>
      <c r="L218" s="10" t="s">
        <v>42</v>
      </c>
    </row>
    <row r="219" ht="15.75" customHeight="1">
      <c r="A219" s="64">
        <v>45491.0</v>
      </c>
      <c r="B219" s="55" t="str">
        <f>HYPERLINK("https://jobright.ai/jobs/info/6699791104b47f05b9e2cd18?utm_campaign=1049&amp;utm_source=sheet", "Apply")</f>
        <v>Apply</v>
      </c>
      <c r="C219" s="10" t="s">
        <v>18926</v>
      </c>
      <c r="D219" s="56" t="s">
        <v>1684</v>
      </c>
      <c r="E219" s="10" t="s">
        <v>209</v>
      </c>
      <c r="F219" s="10" t="s">
        <v>1685</v>
      </c>
      <c r="G219" s="10" t="s">
        <v>18779</v>
      </c>
      <c r="H219" s="10" t="s">
        <v>12675</v>
      </c>
      <c r="I219" s="10" t="s">
        <v>55</v>
      </c>
      <c r="K219" s="10" t="s">
        <v>18928</v>
      </c>
      <c r="L219" s="10" t="s">
        <v>42</v>
      </c>
    </row>
    <row r="220" ht="15.75" customHeight="1">
      <c r="A220" s="64">
        <v>45491.0</v>
      </c>
      <c r="B220" s="55" t="str">
        <f>HYPERLINK("https://jobright.ai/jobs/info/6699791104b47f05b9e2cd19?utm_campaign=1049&amp;utm_source=sheet", "Apply")</f>
        <v>Apply</v>
      </c>
      <c r="C220" s="10" t="s">
        <v>18926</v>
      </c>
      <c r="D220" s="56" t="s">
        <v>1684</v>
      </c>
      <c r="E220" s="10" t="s">
        <v>209</v>
      </c>
      <c r="F220" s="10" t="s">
        <v>1685</v>
      </c>
      <c r="G220" s="10" t="s">
        <v>18779</v>
      </c>
      <c r="H220" s="10" t="s">
        <v>6295</v>
      </c>
      <c r="I220" s="10" t="s">
        <v>55</v>
      </c>
      <c r="K220" s="10" t="s">
        <v>18928</v>
      </c>
      <c r="L220" s="10" t="s">
        <v>42</v>
      </c>
    </row>
    <row r="221" ht="15.75" customHeight="1">
      <c r="A221" s="64">
        <v>45491.0</v>
      </c>
      <c r="B221" s="55" t="str">
        <f>HYPERLINK("https://jobright.ai/jobs/info/6699791104b47f05b9e2cd21?utm_campaign=1049&amp;utm_source=sheet", "Apply")</f>
        <v>Apply</v>
      </c>
      <c r="C221" s="10" t="s">
        <v>18926</v>
      </c>
      <c r="D221" s="56" t="s">
        <v>1684</v>
      </c>
      <c r="E221" s="10" t="s">
        <v>209</v>
      </c>
      <c r="F221" s="10" t="s">
        <v>1685</v>
      </c>
      <c r="G221" s="10" t="s">
        <v>18779</v>
      </c>
      <c r="H221" s="10" t="s">
        <v>1010</v>
      </c>
      <c r="I221" s="10" t="s">
        <v>55</v>
      </c>
      <c r="K221" s="10" t="s">
        <v>18928</v>
      </c>
      <c r="L221" s="10" t="s">
        <v>42</v>
      </c>
    </row>
    <row r="222" ht="15.75" customHeight="1">
      <c r="A222" s="64">
        <v>45491.0</v>
      </c>
      <c r="B222" s="55" t="str">
        <f>HYPERLINK("https://jobright.ai/jobs/info/6699791104b47f05b9e2cd22?utm_campaign=1049&amp;utm_source=sheet", "Apply")</f>
        <v>Apply</v>
      </c>
      <c r="C222" s="10" t="s">
        <v>18926</v>
      </c>
      <c r="D222" s="56" t="s">
        <v>1684</v>
      </c>
      <c r="E222" s="10" t="s">
        <v>209</v>
      </c>
      <c r="F222" s="10" t="s">
        <v>1685</v>
      </c>
      <c r="G222" s="10" t="s">
        <v>18779</v>
      </c>
      <c r="H222" s="10" t="s">
        <v>1021</v>
      </c>
      <c r="I222" s="10" t="s">
        <v>55</v>
      </c>
      <c r="K222" s="10" t="s">
        <v>18928</v>
      </c>
      <c r="L222" s="10" t="s">
        <v>42</v>
      </c>
    </row>
    <row r="223" ht="15.75" customHeight="1">
      <c r="A223" s="64">
        <v>45491.0</v>
      </c>
      <c r="B223" s="55" t="str">
        <f>HYPERLINK("https://jobright.ai/jobs/info/6697ad9b1c55d63f4b198e2f?utm_campaign=1049&amp;utm_source=sheet", "Apply")</f>
        <v>Apply</v>
      </c>
      <c r="C223" s="10" t="s">
        <v>18975</v>
      </c>
      <c r="D223" s="56" t="s">
        <v>13071</v>
      </c>
      <c r="E223" s="10" t="s">
        <v>79</v>
      </c>
      <c r="F223" s="10" t="s">
        <v>13072</v>
      </c>
      <c r="G223" s="10" t="s">
        <v>18636</v>
      </c>
      <c r="H223" s="10" t="s">
        <v>96</v>
      </c>
      <c r="I223" s="10" t="s">
        <v>55</v>
      </c>
      <c r="K223" s="10" t="s">
        <v>18976</v>
      </c>
      <c r="L223" s="10" t="s">
        <v>42</v>
      </c>
    </row>
    <row r="224" ht="15.75" customHeight="1">
      <c r="A224" s="64">
        <v>45491.0</v>
      </c>
      <c r="B224" s="55" t="str">
        <f>HYPERLINK("https://jobright.ai/jobs/info/66996e78a41ce254938c5b9a?utm_campaign=1049&amp;utm_source=sheet", "Apply")</f>
        <v>Apply</v>
      </c>
      <c r="C224" s="10" t="s">
        <v>18926</v>
      </c>
      <c r="D224" s="56" t="s">
        <v>1684</v>
      </c>
      <c r="E224" s="10" t="s">
        <v>209</v>
      </c>
      <c r="F224" s="10" t="s">
        <v>1685</v>
      </c>
      <c r="G224" s="10" t="s">
        <v>18779</v>
      </c>
      <c r="H224" s="10" t="s">
        <v>18977</v>
      </c>
      <c r="I224" s="10" t="s">
        <v>55</v>
      </c>
      <c r="K224" s="10" t="s">
        <v>18928</v>
      </c>
      <c r="L224" s="10" t="s">
        <v>42</v>
      </c>
    </row>
    <row r="225" ht="15.75" customHeight="1">
      <c r="A225" s="64">
        <v>45491.0</v>
      </c>
      <c r="B225" s="55" t="str">
        <f>HYPERLINK("https://jobright.ai/jobs/info/66996e78a41ce254938c5b9b?utm_campaign=1049&amp;utm_source=sheet", "Apply")</f>
        <v>Apply</v>
      </c>
      <c r="C225" s="10" t="s">
        <v>18926</v>
      </c>
      <c r="D225" s="56" t="s">
        <v>1684</v>
      </c>
      <c r="E225" s="10" t="s">
        <v>209</v>
      </c>
      <c r="F225" s="10" t="s">
        <v>1685</v>
      </c>
      <c r="G225" s="10" t="s">
        <v>18779</v>
      </c>
      <c r="H225" s="10" t="s">
        <v>10840</v>
      </c>
      <c r="I225" s="10" t="s">
        <v>55</v>
      </c>
      <c r="K225" s="10" t="s">
        <v>18928</v>
      </c>
      <c r="L225" s="10" t="s">
        <v>42</v>
      </c>
    </row>
    <row r="226" ht="15.75" customHeight="1">
      <c r="A226" s="64">
        <v>45491.0</v>
      </c>
      <c r="B226" s="55" t="str">
        <f>HYPERLINK("https://jobright.ai/jobs/info/66996b7262e363181a8c7764?utm_campaign=1049&amp;utm_source=sheet", "Apply")</f>
        <v>Apply</v>
      </c>
      <c r="C226" s="10" t="s">
        <v>18926</v>
      </c>
      <c r="D226" s="56" t="s">
        <v>1684</v>
      </c>
      <c r="E226" s="10" t="s">
        <v>209</v>
      </c>
      <c r="F226" s="10" t="s">
        <v>1685</v>
      </c>
      <c r="G226" s="10" t="s">
        <v>18779</v>
      </c>
      <c r="H226" s="10" t="s">
        <v>18978</v>
      </c>
      <c r="I226" s="10" t="s">
        <v>55</v>
      </c>
      <c r="K226" s="10" t="s">
        <v>18928</v>
      </c>
      <c r="L226" s="10" t="s">
        <v>42</v>
      </c>
    </row>
    <row r="227" ht="15.75" customHeight="1">
      <c r="A227" s="64">
        <v>45491.0</v>
      </c>
      <c r="B227" s="55" t="str">
        <f>HYPERLINK("https://jobright.ai/jobs/info/66996b7262e363181a8c7765?utm_campaign=1049&amp;utm_source=sheet", "Apply")</f>
        <v>Apply</v>
      </c>
      <c r="C227" s="10" t="s">
        <v>18926</v>
      </c>
      <c r="D227" s="56" t="s">
        <v>1684</v>
      </c>
      <c r="E227" s="10" t="s">
        <v>209</v>
      </c>
      <c r="F227" s="10" t="s">
        <v>1685</v>
      </c>
      <c r="G227" s="10" t="s">
        <v>18779</v>
      </c>
      <c r="H227" s="10" t="s">
        <v>18979</v>
      </c>
      <c r="I227" s="10" t="s">
        <v>55</v>
      </c>
      <c r="K227" s="10" t="s">
        <v>18928</v>
      </c>
      <c r="L227" s="10" t="s">
        <v>42</v>
      </c>
    </row>
    <row r="228" ht="15.75" customHeight="1">
      <c r="A228" s="64">
        <v>45491.0</v>
      </c>
      <c r="B228" s="55" t="str">
        <f>HYPERLINK("https://jobright.ai/jobs/info/66996b7262e363181a8c7766?utm_campaign=1049&amp;utm_source=sheet", "Apply")</f>
        <v>Apply</v>
      </c>
      <c r="C228" s="10" t="s">
        <v>18926</v>
      </c>
      <c r="D228" s="56" t="s">
        <v>1684</v>
      </c>
      <c r="E228" s="10" t="s">
        <v>209</v>
      </c>
      <c r="F228" s="10" t="s">
        <v>1685</v>
      </c>
      <c r="G228" s="10" t="s">
        <v>18779</v>
      </c>
      <c r="H228" s="10" t="s">
        <v>5622</v>
      </c>
      <c r="I228" s="10" t="s">
        <v>55</v>
      </c>
      <c r="K228" s="10" t="s">
        <v>18928</v>
      </c>
      <c r="L228" s="10" t="s">
        <v>42</v>
      </c>
    </row>
    <row r="229" ht="15.75" customHeight="1">
      <c r="A229" s="64">
        <v>45491.0</v>
      </c>
      <c r="B229" s="55" t="str">
        <f>HYPERLINK("https://jobright.ai/jobs/info/669977c08b5bba55b3e7f43b?utm_campaign=1049&amp;utm_source=sheet", "Apply")</f>
        <v>Apply</v>
      </c>
      <c r="C229" s="10" t="s">
        <v>18926</v>
      </c>
      <c r="D229" s="56" t="s">
        <v>1684</v>
      </c>
      <c r="E229" s="10" t="s">
        <v>209</v>
      </c>
      <c r="F229" s="10" t="s">
        <v>1685</v>
      </c>
      <c r="G229" s="10" t="s">
        <v>18779</v>
      </c>
      <c r="H229" s="10" t="s">
        <v>862</v>
      </c>
      <c r="I229" s="10" t="s">
        <v>55</v>
      </c>
      <c r="K229" s="10" t="s">
        <v>18928</v>
      </c>
      <c r="L229" s="10" t="s">
        <v>42</v>
      </c>
    </row>
    <row r="230" ht="15.75" customHeight="1">
      <c r="A230" s="64">
        <v>45491.0</v>
      </c>
      <c r="B230" s="55" t="str">
        <f>HYPERLINK("https://jobright.ai/jobs/info/66996e78a41ce254938c5ba0?utm_campaign=1049&amp;utm_source=sheet", "Apply")</f>
        <v>Apply</v>
      </c>
      <c r="C230" s="10" t="s">
        <v>18926</v>
      </c>
      <c r="D230" s="56" t="s">
        <v>1684</v>
      </c>
      <c r="E230" s="10" t="s">
        <v>209</v>
      </c>
      <c r="F230" s="10" t="s">
        <v>1685</v>
      </c>
      <c r="G230" s="10" t="s">
        <v>18779</v>
      </c>
      <c r="H230" s="10" t="s">
        <v>883</v>
      </c>
      <c r="I230" s="10" t="s">
        <v>55</v>
      </c>
      <c r="K230" s="10" t="s">
        <v>18928</v>
      </c>
      <c r="L230" s="10" t="s">
        <v>42</v>
      </c>
    </row>
    <row r="231" ht="15.75" customHeight="1">
      <c r="A231" s="64">
        <v>45491.0</v>
      </c>
      <c r="B231" s="55" t="str">
        <f>HYPERLINK("https://jobright.ai/jobs/info/66996b7262e363181a8c7768?utm_campaign=1049&amp;utm_source=sheet", "Apply")</f>
        <v>Apply</v>
      </c>
      <c r="C231" s="10" t="s">
        <v>18926</v>
      </c>
      <c r="D231" s="56" t="s">
        <v>1684</v>
      </c>
      <c r="E231" s="10" t="s">
        <v>209</v>
      </c>
      <c r="F231" s="10" t="s">
        <v>1685</v>
      </c>
      <c r="G231" s="10" t="s">
        <v>18779</v>
      </c>
      <c r="H231" s="10" t="s">
        <v>18980</v>
      </c>
      <c r="I231" s="10" t="s">
        <v>55</v>
      </c>
      <c r="K231" s="10" t="s">
        <v>18928</v>
      </c>
      <c r="L231" s="10" t="s">
        <v>42</v>
      </c>
    </row>
    <row r="232" ht="15.75" customHeight="1">
      <c r="A232" s="64">
        <v>45491.0</v>
      </c>
      <c r="B232" s="55" t="str">
        <f>HYPERLINK("https://jobright.ai/jobs/info/66996b7262e363181a8c7769?utm_campaign=1049&amp;utm_source=sheet", "Apply")</f>
        <v>Apply</v>
      </c>
      <c r="C232" s="10" t="s">
        <v>18926</v>
      </c>
      <c r="D232" s="56" t="s">
        <v>1684</v>
      </c>
      <c r="E232" s="10" t="s">
        <v>209</v>
      </c>
      <c r="F232" s="10" t="s">
        <v>1685</v>
      </c>
      <c r="G232" s="10" t="s">
        <v>18779</v>
      </c>
      <c r="H232" s="10" t="s">
        <v>18981</v>
      </c>
      <c r="I232" s="10" t="s">
        <v>55</v>
      </c>
      <c r="K232" s="10" t="s">
        <v>18928</v>
      </c>
      <c r="L232" s="10" t="s">
        <v>42</v>
      </c>
    </row>
    <row r="233" ht="15.75" customHeight="1">
      <c r="A233" s="64">
        <v>45491.0</v>
      </c>
      <c r="B233" s="55" t="str">
        <f>HYPERLINK("https://jobright.ai/jobs/info/66996b7262e363181a8c776a?utm_campaign=1049&amp;utm_source=sheet", "Apply")</f>
        <v>Apply</v>
      </c>
      <c r="C233" s="10" t="s">
        <v>18926</v>
      </c>
      <c r="D233" s="56" t="s">
        <v>1684</v>
      </c>
      <c r="E233" s="10" t="s">
        <v>209</v>
      </c>
      <c r="F233" s="10" t="s">
        <v>1685</v>
      </c>
      <c r="G233" s="10" t="s">
        <v>18779</v>
      </c>
      <c r="H233" s="10" t="s">
        <v>11174</v>
      </c>
      <c r="I233" s="10" t="s">
        <v>55</v>
      </c>
      <c r="K233" s="10" t="s">
        <v>18928</v>
      </c>
      <c r="L233" s="10" t="s">
        <v>42</v>
      </c>
    </row>
    <row r="234" ht="15.75" customHeight="1">
      <c r="A234" s="64">
        <v>45491.0</v>
      </c>
      <c r="B234" s="55" t="str">
        <f>HYPERLINK("https://jobright.ai/jobs/info/66996b7262e363181a8c776d?utm_campaign=1049&amp;utm_source=sheet", "Apply")</f>
        <v>Apply</v>
      </c>
      <c r="C234" s="10" t="s">
        <v>18926</v>
      </c>
      <c r="D234" s="56" t="s">
        <v>1684</v>
      </c>
      <c r="E234" s="10" t="s">
        <v>209</v>
      </c>
      <c r="F234" s="10" t="s">
        <v>1685</v>
      </c>
      <c r="G234" s="10" t="s">
        <v>18779</v>
      </c>
      <c r="H234" s="10" t="s">
        <v>827</v>
      </c>
      <c r="I234" s="10" t="s">
        <v>55</v>
      </c>
      <c r="K234" s="10" t="s">
        <v>18928</v>
      </c>
      <c r="L234" s="10" t="s">
        <v>42</v>
      </c>
    </row>
    <row r="235" ht="15.75" customHeight="1">
      <c r="A235" s="64">
        <v>45491.0</v>
      </c>
      <c r="B235" s="55" t="str">
        <f>HYPERLINK("https://jobright.ai/jobs/info/66996b7262e363181a8c776c?utm_campaign=1049&amp;utm_source=sheet", "Apply")</f>
        <v>Apply</v>
      </c>
      <c r="C235" s="10" t="s">
        <v>18926</v>
      </c>
      <c r="D235" s="56" t="s">
        <v>1684</v>
      </c>
      <c r="E235" s="10" t="s">
        <v>209</v>
      </c>
      <c r="F235" s="10" t="s">
        <v>1685</v>
      </c>
      <c r="G235" s="10" t="s">
        <v>18779</v>
      </c>
      <c r="H235" s="10" t="s">
        <v>4423</v>
      </c>
      <c r="I235" s="10" t="s">
        <v>55</v>
      </c>
      <c r="K235" s="10" t="s">
        <v>18928</v>
      </c>
      <c r="L235" s="10" t="s">
        <v>42</v>
      </c>
    </row>
    <row r="236" ht="15.75" customHeight="1">
      <c r="A236" s="64">
        <v>45491.0</v>
      </c>
      <c r="B236" s="55" t="str">
        <f>HYPERLINK("https://jobright.ai/jobs/info/66996b7262e363181a8c776b?utm_campaign=1049&amp;utm_source=sheet", "Apply")</f>
        <v>Apply</v>
      </c>
      <c r="C236" s="10" t="s">
        <v>18926</v>
      </c>
      <c r="D236" s="56" t="s">
        <v>1684</v>
      </c>
      <c r="E236" s="10" t="s">
        <v>209</v>
      </c>
      <c r="F236" s="10" t="s">
        <v>1685</v>
      </c>
      <c r="G236" s="10" t="s">
        <v>18779</v>
      </c>
      <c r="H236" s="10" t="s">
        <v>818</v>
      </c>
      <c r="I236" s="10" t="s">
        <v>55</v>
      </c>
      <c r="K236" s="10" t="s">
        <v>18928</v>
      </c>
      <c r="L236" s="10" t="s">
        <v>42</v>
      </c>
    </row>
    <row r="237" ht="15.75" customHeight="1">
      <c r="A237" s="64">
        <v>45491.0</v>
      </c>
      <c r="B237" s="55" t="str">
        <f>HYPERLINK("https://jobright.ai/jobs/info/669977c08b5bba55b3e7f443?utm_campaign=1049&amp;utm_source=sheet", "Apply")</f>
        <v>Apply</v>
      </c>
      <c r="C237" s="10" t="s">
        <v>18926</v>
      </c>
      <c r="D237" s="56" t="s">
        <v>1684</v>
      </c>
      <c r="E237" s="10" t="s">
        <v>209</v>
      </c>
      <c r="F237" s="10" t="s">
        <v>1685</v>
      </c>
      <c r="G237" s="10" t="s">
        <v>18779</v>
      </c>
      <c r="H237" s="10" t="s">
        <v>4048</v>
      </c>
      <c r="I237" s="10" t="s">
        <v>55</v>
      </c>
      <c r="K237" s="10" t="s">
        <v>18928</v>
      </c>
      <c r="L237" s="10" t="s">
        <v>42</v>
      </c>
    </row>
    <row r="238" ht="15.75" customHeight="1">
      <c r="A238" s="64">
        <v>45491.0</v>
      </c>
      <c r="B238" s="55" t="str">
        <f>HYPERLINK("https://jobright.ai/jobs/info/669977c08b5bba55b3e7f452?utm_campaign=1049&amp;utm_source=sheet", "Apply")</f>
        <v>Apply</v>
      </c>
      <c r="C238" s="10" t="s">
        <v>18926</v>
      </c>
      <c r="D238" s="56" t="s">
        <v>1684</v>
      </c>
      <c r="E238" s="10" t="s">
        <v>209</v>
      </c>
      <c r="F238" s="10" t="s">
        <v>1685</v>
      </c>
      <c r="G238" s="10" t="s">
        <v>18779</v>
      </c>
      <c r="H238" s="10" t="s">
        <v>911</v>
      </c>
      <c r="I238" s="10" t="s">
        <v>55</v>
      </c>
      <c r="K238" s="10" t="s">
        <v>18928</v>
      </c>
      <c r="L238" s="10" t="s">
        <v>42</v>
      </c>
    </row>
    <row r="239" ht="15.75" customHeight="1">
      <c r="A239" s="64">
        <v>45491.0</v>
      </c>
      <c r="B239" s="55" t="str">
        <f>HYPERLINK("https://jobright.ai/jobs/info/669977c08b5bba55b3e7f457?utm_campaign=1049&amp;utm_source=sheet", "Apply")</f>
        <v>Apply</v>
      </c>
      <c r="C239" s="10" t="s">
        <v>18926</v>
      </c>
      <c r="D239" s="56" t="s">
        <v>1684</v>
      </c>
      <c r="E239" s="10" t="s">
        <v>209</v>
      </c>
      <c r="F239" s="10" t="s">
        <v>1685</v>
      </c>
      <c r="G239" s="10" t="s">
        <v>18779</v>
      </c>
      <c r="H239" s="10" t="s">
        <v>5247</v>
      </c>
      <c r="I239" s="10" t="s">
        <v>55</v>
      </c>
      <c r="K239" s="10" t="s">
        <v>18928</v>
      </c>
      <c r="L239" s="10" t="s">
        <v>42</v>
      </c>
    </row>
    <row r="240" ht="15.75" customHeight="1">
      <c r="A240" s="64">
        <v>45491.0</v>
      </c>
      <c r="B240" s="55" t="str">
        <f>HYPERLINK("https://jobright.ai/jobs/info/66996b7262e363181a8c776e?utm_campaign=1049&amp;utm_source=sheet", "Apply")</f>
        <v>Apply</v>
      </c>
      <c r="C240" s="10" t="s">
        <v>18926</v>
      </c>
      <c r="D240" s="56" t="s">
        <v>1684</v>
      </c>
      <c r="E240" s="10" t="s">
        <v>209</v>
      </c>
      <c r="F240" s="10" t="s">
        <v>1685</v>
      </c>
      <c r="G240" s="10" t="s">
        <v>18779</v>
      </c>
      <c r="H240" s="10" t="s">
        <v>3394</v>
      </c>
      <c r="I240" s="10" t="s">
        <v>55</v>
      </c>
      <c r="K240" s="10" t="s">
        <v>18928</v>
      </c>
      <c r="L240" s="10" t="s">
        <v>42</v>
      </c>
    </row>
    <row r="241" ht="15.75" customHeight="1">
      <c r="A241" s="64">
        <v>45491.0</v>
      </c>
      <c r="B241" s="55" t="str">
        <f>HYPERLINK("https://jobright.ai/jobs/info/66996b7262e363181a8c7770?utm_campaign=1049&amp;utm_source=sheet", "Apply")</f>
        <v>Apply</v>
      </c>
      <c r="C241" s="10" t="s">
        <v>18926</v>
      </c>
      <c r="D241" s="56" t="s">
        <v>1684</v>
      </c>
      <c r="E241" s="10" t="s">
        <v>209</v>
      </c>
      <c r="F241" s="10" t="s">
        <v>1685</v>
      </c>
      <c r="G241" s="10" t="s">
        <v>18779</v>
      </c>
      <c r="H241" s="10" t="s">
        <v>18982</v>
      </c>
      <c r="I241" s="10" t="s">
        <v>55</v>
      </c>
      <c r="K241" s="10" t="s">
        <v>18928</v>
      </c>
      <c r="L241" s="10" t="s">
        <v>42</v>
      </c>
    </row>
    <row r="242" ht="15.75" customHeight="1">
      <c r="A242" s="64">
        <v>45491.0</v>
      </c>
      <c r="B242" s="55" t="str">
        <f>HYPERLINK("https://jobright.ai/jobs/info/669965a365897324e500182b?utm_campaign=1049&amp;utm_source=sheet", "Apply")</f>
        <v>Apply</v>
      </c>
      <c r="C242" s="10" t="s">
        <v>15039</v>
      </c>
      <c r="D242" s="58" t="s">
        <v>16257</v>
      </c>
      <c r="E242" s="10" t="s">
        <v>71</v>
      </c>
      <c r="F242" s="10" t="s">
        <v>16258</v>
      </c>
      <c r="G242" s="10" t="s">
        <v>18636</v>
      </c>
      <c r="H242" s="10" t="s">
        <v>251</v>
      </c>
      <c r="I242" s="10" t="s">
        <v>252</v>
      </c>
      <c r="K242" s="10" t="s">
        <v>18983</v>
      </c>
      <c r="L242" s="10" t="s">
        <v>42</v>
      </c>
    </row>
    <row r="243" ht="15.75" customHeight="1">
      <c r="A243" s="64">
        <v>45491.0</v>
      </c>
      <c r="B243" s="55" t="str">
        <f>HYPERLINK("https://jobright.ai/jobs/info/66996e78a41ce254938c5be9?utm_campaign=1049&amp;utm_source=sheet", "Apply")</f>
        <v>Apply</v>
      </c>
      <c r="C243" s="10" t="s">
        <v>18973</v>
      </c>
      <c r="D243" s="56" t="s">
        <v>1684</v>
      </c>
      <c r="E243" s="10" t="s">
        <v>209</v>
      </c>
      <c r="F243" s="10" t="s">
        <v>1685</v>
      </c>
      <c r="G243" s="10" t="s">
        <v>18779</v>
      </c>
      <c r="H243" s="10" t="s">
        <v>18984</v>
      </c>
      <c r="I243" s="10" t="s">
        <v>55</v>
      </c>
      <c r="K243" s="10" t="s">
        <v>18974</v>
      </c>
      <c r="L243" s="10" t="s">
        <v>42</v>
      </c>
    </row>
    <row r="244" ht="15.75" customHeight="1">
      <c r="A244" s="64">
        <v>45491.0</v>
      </c>
      <c r="B244" s="55" t="str">
        <f>HYPERLINK("https://jobright.ai/jobs/info/6699791604b47f05b9e2cd99?utm_campaign=1049&amp;utm_source=sheet", "Apply")</f>
        <v>Apply</v>
      </c>
      <c r="C244" s="10" t="s">
        <v>18985</v>
      </c>
      <c r="D244" s="56" t="s">
        <v>95</v>
      </c>
      <c r="E244" s="10">
        <v>52.0</v>
      </c>
      <c r="G244" s="10" t="s">
        <v>18636</v>
      </c>
      <c r="H244" s="10" t="s">
        <v>154</v>
      </c>
      <c r="I244" s="10" t="s">
        <v>55</v>
      </c>
      <c r="K244" s="10" t="s">
        <v>18986</v>
      </c>
      <c r="L244" s="10" t="s">
        <v>42</v>
      </c>
    </row>
    <row r="245" ht="15.75" customHeight="1">
      <c r="A245" s="64">
        <v>45491.0</v>
      </c>
      <c r="B245" s="55" t="str">
        <f>HYPERLINK("https://jobright.ai/jobs/info/6699791604b47f05b9e2cd9a?utm_campaign=1049&amp;utm_source=sheet", "Apply")</f>
        <v>Apply</v>
      </c>
      <c r="C245" s="10" t="s">
        <v>18985</v>
      </c>
      <c r="D245" s="56" t="s">
        <v>95</v>
      </c>
      <c r="E245" s="10">
        <v>52.0</v>
      </c>
      <c r="G245" s="10" t="s">
        <v>18636</v>
      </c>
      <c r="H245" s="10" t="s">
        <v>813</v>
      </c>
      <c r="I245" s="10" t="s">
        <v>55</v>
      </c>
      <c r="K245" s="10" t="s">
        <v>18986</v>
      </c>
      <c r="L245" s="10" t="s">
        <v>42</v>
      </c>
    </row>
    <row r="246" ht="15.75" customHeight="1">
      <c r="A246" s="64">
        <v>45491.0</v>
      </c>
      <c r="B246" s="55" t="str">
        <f>HYPERLINK("https://jobright.ai/jobs/info/6699791604b47f05b9e2cd9b?utm_campaign=1049&amp;utm_source=sheet", "Apply")</f>
        <v>Apply</v>
      </c>
      <c r="C246" s="10" t="s">
        <v>18985</v>
      </c>
      <c r="D246" s="56" t="s">
        <v>95</v>
      </c>
      <c r="E246" s="10">
        <v>52.0</v>
      </c>
      <c r="G246" s="10" t="s">
        <v>18636</v>
      </c>
      <c r="H246" s="10" t="s">
        <v>796</v>
      </c>
      <c r="I246" s="10" t="s">
        <v>55</v>
      </c>
      <c r="K246" s="10" t="s">
        <v>18986</v>
      </c>
      <c r="L246" s="10" t="s">
        <v>42</v>
      </c>
    </row>
    <row r="247" ht="15.75" customHeight="1">
      <c r="A247" s="64">
        <v>45491.0</v>
      </c>
      <c r="B247" s="55" t="str">
        <f>HYPERLINK("https://jobright.ai/jobs/info/669a4864b5fa512390f7e961?utm_campaign=1049&amp;utm_source=sheet", "Apply")</f>
        <v>Apply</v>
      </c>
      <c r="C247" s="10" t="s">
        <v>18985</v>
      </c>
      <c r="D247" s="56" t="s">
        <v>95</v>
      </c>
      <c r="E247" s="10">
        <v>52.0</v>
      </c>
      <c r="G247" s="10" t="s">
        <v>18636</v>
      </c>
      <c r="H247" s="10" t="s">
        <v>986</v>
      </c>
      <c r="I247" s="10" t="s">
        <v>55</v>
      </c>
      <c r="K247" s="10" t="s">
        <v>18986</v>
      </c>
      <c r="L247" s="10" t="s">
        <v>42</v>
      </c>
    </row>
    <row r="248" ht="15.75" customHeight="1">
      <c r="A248" s="64">
        <v>45491.0</v>
      </c>
      <c r="B248" s="55" t="str">
        <f>HYPERLINK("https://jobright.ai/jobs/info/669a4864b5fa512390f7e964?utm_campaign=1049&amp;utm_source=sheet", "Apply")</f>
        <v>Apply</v>
      </c>
      <c r="C248" s="10" t="s">
        <v>18985</v>
      </c>
      <c r="D248" s="56" t="s">
        <v>95</v>
      </c>
      <c r="E248" s="10">
        <v>52.0</v>
      </c>
      <c r="G248" s="10" t="s">
        <v>18636</v>
      </c>
      <c r="H248" s="10" t="s">
        <v>945</v>
      </c>
      <c r="I248" s="10" t="s">
        <v>55</v>
      </c>
      <c r="K248" s="10" t="s">
        <v>18986</v>
      </c>
      <c r="L248" s="10" t="s">
        <v>42</v>
      </c>
    </row>
    <row r="249" ht="15.75" customHeight="1">
      <c r="A249" s="64">
        <v>45491.0</v>
      </c>
      <c r="B249" s="55" t="str">
        <f>HYPERLINK("https://jobright.ai/jobs/info/6699634b765a8f302abe0e6d?utm_campaign=1049&amp;utm_source=sheet", "Apply")</f>
        <v>Apply</v>
      </c>
      <c r="C249" s="10" t="s">
        <v>18985</v>
      </c>
      <c r="D249" s="56" t="s">
        <v>95</v>
      </c>
      <c r="E249" s="10">
        <v>52.0</v>
      </c>
      <c r="G249" s="10" t="s">
        <v>18636</v>
      </c>
      <c r="H249" s="10" t="s">
        <v>423</v>
      </c>
      <c r="I249" s="10" t="s">
        <v>55</v>
      </c>
      <c r="K249" s="10" t="s">
        <v>18986</v>
      </c>
      <c r="L249" s="10" t="s">
        <v>42</v>
      </c>
    </row>
    <row r="250" ht="15.75" customHeight="1">
      <c r="A250" s="64">
        <v>45491.0</v>
      </c>
      <c r="B250" s="55" t="str">
        <f>HYPERLINK("https://jobright.ai/jobs/info/6699d4c0fb05e5bf5a852709?utm_campaign=1049&amp;utm_source=sheet", "Apply")</f>
        <v>Apply</v>
      </c>
      <c r="C250" s="10" t="s">
        <v>18987</v>
      </c>
      <c r="D250" s="56" t="s">
        <v>14116</v>
      </c>
      <c r="E250" s="10" t="s">
        <v>45</v>
      </c>
      <c r="F250" s="10" t="s">
        <v>14117</v>
      </c>
      <c r="G250" s="10" t="s">
        <v>18636</v>
      </c>
      <c r="H250" s="10" t="s">
        <v>96</v>
      </c>
      <c r="I250" s="10" t="s">
        <v>55</v>
      </c>
      <c r="J250" s="10" t="s">
        <v>1960</v>
      </c>
      <c r="K250" s="10" t="s">
        <v>18988</v>
      </c>
      <c r="L250" s="10" t="s">
        <v>42</v>
      </c>
    </row>
    <row r="251" ht="15.75" customHeight="1">
      <c r="A251" s="64">
        <v>45491.0</v>
      </c>
      <c r="B251" s="55" t="str">
        <f>HYPERLINK("https://jobright.ai/jobs/info/669925d1cd4eace260f0d857?utm_campaign=1049&amp;utm_source=sheet", "Apply")</f>
        <v>Apply</v>
      </c>
      <c r="C251" s="10" t="s">
        <v>18721</v>
      </c>
      <c r="D251" s="56" t="s">
        <v>18989</v>
      </c>
      <c r="E251" s="59">
        <v>45301.0</v>
      </c>
      <c r="F251" s="10" t="s">
        <v>18990</v>
      </c>
      <c r="G251" s="10" t="s">
        <v>18636</v>
      </c>
      <c r="H251" s="10" t="s">
        <v>251</v>
      </c>
      <c r="I251" s="10" t="s">
        <v>252</v>
      </c>
      <c r="J251" s="10" t="s">
        <v>1797</v>
      </c>
      <c r="K251" s="10" t="s">
        <v>18991</v>
      </c>
      <c r="L251" s="10" t="s">
        <v>42</v>
      </c>
    </row>
    <row r="252" ht="15.75" customHeight="1">
      <c r="A252" s="64">
        <v>45491.0</v>
      </c>
      <c r="B252" s="55" t="str">
        <f>HYPERLINK("https://jobright.ai/jobs/info/6675ac716d8340c59f8e4c31?utm_campaign=1049&amp;utm_source=sheet", "Apply")</f>
        <v>Apply</v>
      </c>
      <c r="C252" s="10" t="s">
        <v>18992</v>
      </c>
      <c r="D252" s="56" t="s">
        <v>311</v>
      </c>
      <c r="E252" s="10" t="s">
        <v>45</v>
      </c>
      <c r="F252" s="10" t="s">
        <v>312</v>
      </c>
      <c r="G252" s="10" t="s">
        <v>18636</v>
      </c>
      <c r="H252" s="10" t="s">
        <v>313</v>
      </c>
      <c r="I252" s="10" t="s">
        <v>55</v>
      </c>
      <c r="J252" s="10" t="s">
        <v>18993</v>
      </c>
      <c r="K252" s="10" t="s">
        <v>18994</v>
      </c>
      <c r="L252" s="10" t="s">
        <v>42</v>
      </c>
    </row>
    <row r="253" ht="15.75" customHeight="1">
      <c r="A253" s="64">
        <v>45491.0</v>
      </c>
      <c r="B253" s="55" t="str">
        <f>HYPERLINK("https://jobright.ai/jobs/info/6677d7955793f82273cb3f7e?utm_campaign=1049&amp;utm_source=sheet", "Apply")</f>
        <v>Apply</v>
      </c>
      <c r="C253" s="10" t="s">
        <v>18692</v>
      </c>
      <c r="D253" s="56" t="s">
        <v>15178</v>
      </c>
      <c r="E253" s="10" t="s">
        <v>276</v>
      </c>
      <c r="F253" s="10" t="s">
        <v>15179</v>
      </c>
      <c r="G253" s="10" t="s">
        <v>18636</v>
      </c>
      <c r="H253" s="10" t="s">
        <v>165</v>
      </c>
      <c r="I253" s="10" t="s">
        <v>55</v>
      </c>
      <c r="J253" s="10" t="s">
        <v>8269</v>
      </c>
      <c r="K253" s="10" t="s">
        <v>18995</v>
      </c>
      <c r="L253" s="10" t="s">
        <v>42</v>
      </c>
    </row>
    <row r="254" ht="15.75" customHeight="1">
      <c r="A254" s="64">
        <v>45491.0</v>
      </c>
      <c r="B254" s="55" t="str">
        <f>HYPERLINK("https://jobright.ai/jobs/info/66989897ce666d4a712c336e?utm_campaign=1049&amp;utm_source=sheet", "Apply")</f>
        <v>Apply</v>
      </c>
      <c r="C254" s="10" t="s">
        <v>18996</v>
      </c>
      <c r="D254" s="56" t="s">
        <v>12738</v>
      </c>
      <c r="E254" s="10" t="s">
        <v>276</v>
      </c>
      <c r="F254" s="10" t="s">
        <v>1893</v>
      </c>
      <c r="G254" s="10" t="s">
        <v>18636</v>
      </c>
      <c r="H254" s="10" t="s">
        <v>278</v>
      </c>
      <c r="I254" s="10" t="s">
        <v>55</v>
      </c>
      <c r="J254" s="10" t="s">
        <v>1409</v>
      </c>
      <c r="K254" s="10" t="s">
        <v>18997</v>
      </c>
      <c r="L254" s="10" t="s">
        <v>42</v>
      </c>
    </row>
    <row r="255" ht="15.75" customHeight="1">
      <c r="A255" s="64">
        <v>45491.0</v>
      </c>
      <c r="B255" s="55" t="str">
        <f>HYPERLINK("https://jobright.ai/jobs/info/6698849772006507039538a6?utm_campaign=1049&amp;utm_source=sheet", "Apply")</f>
        <v>Apply</v>
      </c>
      <c r="C255" s="10" t="s">
        <v>18721</v>
      </c>
      <c r="D255" s="56" t="s">
        <v>18998</v>
      </c>
      <c r="E255" s="10" t="s">
        <v>276</v>
      </c>
      <c r="F255" s="10" t="s">
        <v>12539</v>
      </c>
      <c r="G255" s="10" t="s">
        <v>18636</v>
      </c>
      <c r="H255" s="10" t="s">
        <v>96</v>
      </c>
      <c r="I255" s="10" t="s">
        <v>48</v>
      </c>
      <c r="J255" s="10" t="s">
        <v>4386</v>
      </c>
      <c r="K255" s="10" t="s">
        <v>18999</v>
      </c>
      <c r="L255" s="10" t="s">
        <v>42</v>
      </c>
    </row>
    <row r="256" ht="15.75" customHeight="1">
      <c r="A256" s="64">
        <v>45491.0</v>
      </c>
      <c r="B256" s="55" t="str">
        <f>HYPERLINK("https://jobright.ai/jobs/info/6699b9452b6a14e6c47926d7?utm_campaign=1049&amp;utm_source=sheet", "Apply")</f>
        <v>Apply</v>
      </c>
      <c r="C256" s="10" t="s">
        <v>19000</v>
      </c>
      <c r="D256" s="56" t="s">
        <v>19001</v>
      </c>
      <c r="E256" s="10" t="s">
        <v>79</v>
      </c>
      <c r="F256" s="10" t="s">
        <v>3565</v>
      </c>
      <c r="G256" s="10" t="s">
        <v>18636</v>
      </c>
      <c r="H256" s="10" t="s">
        <v>442</v>
      </c>
      <c r="I256" s="10" t="s">
        <v>55</v>
      </c>
      <c r="J256" s="10" t="s">
        <v>1409</v>
      </c>
      <c r="K256" s="10" t="s">
        <v>19002</v>
      </c>
      <c r="L256" s="10" t="s">
        <v>42</v>
      </c>
    </row>
    <row r="257" ht="15.75" customHeight="1">
      <c r="A257" s="64">
        <v>45490.0</v>
      </c>
      <c r="B257" s="55" t="str">
        <f>HYPERLINK("https://jobright.ai/jobs/info/6698660fc5aa19a88362797b?utm_campaign=1049&amp;utm_source=sheet", "Apply")</f>
        <v>Apply</v>
      </c>
      <c r="C257" s="10" t="s">
        <v>19003</v>
      </c>
      <c r="D257" s="56" t="s">
        <v>19004</v>
      </c>
      <c r="E257" s="10" t="s">
        <v>276</v>
      </c>
      <c r="F257" s="10" t="s">
        <v>19005</v>
      </c>
      <c r="G257" s="10" t="s">
        <v>18636</v>
      </c>
      <c r="H257" s="10" t="s">
        <v>167</v>
      </c>
      <c r="I257" s="10" t="s">
        <v>55</v>
      </c>
      <c r="K257" s="10" t="s">
        <v>19006</v>
      </c>
      <c r="L257" s="10" t="s">
        <v>42</v>
      </c>
    </row>
    <row r="258" ht="15.75" customHeight="1">
      <c r="A258" s="64">
        <v>45490.0</v>
      </c>
      <c r="B258" s="55" t="str">
        <f>HYPERLINK("https://jobright.ai/jobs/info/66984ec16ace611cbf3c7540?utm_campaign=1049&amp;utm_source=sheet", "Apply")</f>
        <v>Apply</v>
      </c>
      <c r="C258" s="10" t="s">
        <v>19007</v>
      </c>
      <c r="D258" s="56" t="s">
        <v>13651</v>
      </c>
      <c r="E258" s="10">
        <v>12.0</v>
      </c>
      <c r="G258" s="10" t="s">
        <v>18636</v>
      </c>
      <c r="H258" s="10" t="s">
        <v>153</v>
      </c>
      <c r="I258" s="10" t="s">
        <v>55</v>
      </c>
      <c r="K258" s="10" t="s">
        <v>19008</v>
      </c>
      <c r="L258" s="10" t="s">
        <v>42</v>
      </c>
    </row>
    <row r="259" ht="15.75" customHeight="1">
      <c r="A259" s="64">
        <v>45490.0</v>
      </c>
      <c r="B259" s="55" t="str">
        <f>HYPERLINK("https://jobright.ai/jobs/info/66984885bd2796cba11490ea?utm_campaign=1049&amp;utm_source=sheet", "Apply")</f>
        <v>Apply</v>
      </c>
      <c r="C259" s="10" t="s">
        <v>19009</v>
      </c>
      <c r="D259" s="56" t="s">
        <v>13721</v>
      </c>
      <c r="E259" s="10" t="s">
        <v>276</v>
      </c>
      <c r="F259" s="10" t="s">
        <v>13722</v>
      </c>
      <c r="G259" s="10" t="s">
        <v>18636</v>
      </c>
      <c r="H259" s="10" t="s">
        <v>139</v>
      </c>
      <c r="I259" s="10" t="s">
        <v>55</v>
      </c>
      <c r="J259" s="10" t="s">
        <v>1409</v>
      </c>
      <c r="K259" s="10" t="s">
        <v>19010</v>
      </c>
      <c r="L259" s="10" t="s">
        <v>42</v>
      </c>
    </row>
    <row r="260" ht="15.75" customHeight="1">
      <c r="A260" s="64">
        <v>45490.0</v>
      </c>
      <c r="B260" s="55" t="str">
        <f>HYPERLINK("https://jobright.ai/jobs/info/66985879c78f72e176341f70?utm_campaign=1049&amp;utm_source=sheet", "Apply")</f>
        <v>Apply</v>
      </c>
      <c r="C260" s="10" t="s">
        <v>18926</v>
      </c>
      <c r="D260" s="56" t="s">
        <v>1684</v>
      </c>
      <c r="E260" s="10" t="s">
        <v>209</v>
      </c>
      <c r="F260" s="10" t="s">
        <v>1685</v>
      </c>
      <c r="G260" s="10" t="s">
        <v>18779</v>
      </c>
      <c r="H260" s="10" t="s">
        <v>13196</v>
      </c>
      <c r="I260" s="10" t="s">
        <v>55</v>
      </c>
      <c r="K260" s="10" t="s">
        <v>18928</v>
      </c>
      <c r="L260" s="10" t="s">
        <v>42</v>
      </c>
    </row>
    <row r="261" ht="15.75" customHeight="1">
      <c r="A261" s="64">
        <v>45490.0</v>
      </c>
      <c r="B261" s="55" t="str">
        <f>HYPERLINK("https://jobright.ai/jobs/info/669820333ac3c099dfe9dd6d?utm_campaign=1049&amp;utm_source=sheet", "Apply")</f>
        <v>Apply</v>
      </c>
      <c r="C261" s="10" t="s">
        <v>19011</v>
      </c>
      <c r="D261" s="56" t="s">
        <v>19012</v>
      </c>
      <c r="E261" s="10" t="s">
        <v>71</v>
      </c>
      <c r="F261" s="10" t="s">
        <v>15828</v>
      </c>
      <c r="G261" s="10" t="s">
        <v>18636</v>
      </c>
      <c r="H261" s="10" t="s">
        <v>4501</v>
      </c>
      <c r="I261" s="10" t="s">
        <v>55</v>
      </c>
      <c r="K261" s="10" t="s">
        <v>19013</v>
      </c>
      <c r="L261" s="10" t="s">
        <v>42</v>
      </c>
    </row>
    <row r="262" ht="15.75" customHeight="1">
      <c r="A262" s="64">
        <v>45490.0</v>
      </c>
      <c r="B262" s="55" t="str">
        <f>HYPERLINK("https://jobright.ai/jobs/info/66981d86e0097c674f186944?utm_campaign=1049&amp;utm_source=sheet", "Apply")</f>
        <v>Apply</v>
      </c>
      <c r="C262" s="10" t="s">
        <v>18926</v>
      </c>
      <c r="D262" s="56" t="s">
        <v>1684</v>
      </c>
      <c r="E262" s="10" t="s">
        <v>209</v>
      </c>
      <c r="F262" s="10" t="s">
        <v>1685</v>
      </c>
      <c r="G262" s="10" t="s">
        <v>18779</v>
      </c>
      <c r="H262" s="10" t="s">
        <v>201</v>
      </c>
      <c r="I262" s="10" t="s">
        <v>55</v>
      </c>
      <c r="K262" s="10" t="s">
        <v>18928</v>
      </c>
      <c r="L262" s="10" t="s">
        <v>42</v>
      </c>
    </row>
    <row r="263" ht="15.75" customHeight="1">
      <c r="A263" s="64">
        <v>45490.0</v>
      </c>
      <c r="B263" s="55" t="str">
        <f>HYPERLINK("https://jobright.ai/jobs/info/66981d86e0097c674f186948?utm_campaign=1049&amp;utm_source=sheet", "Apply")</f>
        <v>Apply</v>
      </c>
      <c r="C263" s="10" t="s">
        <v>18926</v>
      </c>
      <c r="D263" s="56" t="s">
        <v>1684</v>
      </c>
      <c r="E263" s="10" t="s">
        <v>209</v>
      </c>
      <c r="F263" s="10" t="s">
        <v>1685</v>
      </c>
      <c r="G263" s="10" t="s">
        <v>18779</v>
      </c>
      <c r="H263" s="10" t="s">
        <v>19014</v>
      </c>
      <c r="I263" s="10" t="s">
        <v>55</v>
      </c>
      <c r="K263" s="10" t="s">
        <v>18928</v>
      </c>
      <c r="L263" s="10" t="s">
        <v>42</v>
      </c>
    </row>
    <row r="264" ht="15.75" customHeight="1">
      <c r="A264" s="64">
        <v>45490.0</v>
      </c>
      <c r="B264" s="55" t="str">
        <f>HYPERLINK("https://jobright.ai/jobs/info/669814956a4483d2b284def6?utm_campaign=1049&amp;utm_source=sheet", "Apply")</f>
        <v>Apply</v>
      </c>
      <c r="C264" s="10" t="s">
        <v>19015</v>
      </c>
      <c r="D264" s="56" t="s">
        <v>19016</v>
      </c>
      <c r="E264" s="10" t="s">
        <v>71</v>
      </c>
      <c r="F264" s="10" t="s">
        <v>19017</v>
      </c>
      <c r="G264" s="10" t="s">
        <v>18636</v>
      </c>
      <c r="H264" s="10" t="s">
        <v>96</v>
      </c>
      <c r="I264" s="10" t="s">
        <v>55</v>
      </c>
      <c r="K264" s="10" t="s">
        <v>19018</v>
      </c>
      <c r="L264" s="10" t="s">
        <v>42</v>
      </c>
    </row>
    <row r="265" ht="15.75" customHeight="1">
      <c r="A265" s="64">
        <v>45490.0</v>
      </c>
      <c r="B265" s="55" t="str">
        <f>HYPERLINK("https://jobright.ai/jobs/info/66980bc81f9cc5982debd207?utm_campaign=1049&amp;utm_source=sheet", "Apply")</f>
        <v>Apply</v>
      </c>
      <c r="C265" s="10" t="s">
        <v>19019</v>
      </c>
      <c r="D265" s="56" t="s">
        <v>19020</v>
      </c>
      <c r="E265" s="10" t="s">
        <v>137</v>
      </c>
      <c r="F265" s="10" t="s">
        <v>19021</v>
      </c>
      <c r="G265" s="10" t="s">
        <v>18636</v>
      </c>
      <c r="H265" s="10" t="s">
        <v>144</v>
      </c>
      <c r="I265" s="10" t="s">
        <v>55</v>
      </c>
      <c r="J265" s="10" t="s">
        <v>1984</v>
      </c>
      <c r="K265" s="10" t="s">
        <v>19022</v>
      </c>
      <c r="L265" s="10" t="s">
        <v>42</v>
      </c>
    </row>
    <row r="266" ht="15.75" customHeight="1">
      <c r="A266" s="64">
        <v>45490.0</v>
      </c>
      <c r="B266" s="55" t="str">
        <f>HYPERLINK("https://jobright.ai/jobs/info/6697cd22246d69e1d1d22330?utm_campaign=1049&amp;utm_source=sheet", "Apply")</f>
        <v>Apply</v>
      </c>
      <c r="C266" s="10" t="s">
        <v>18721</v>
      </c>
      <c r="D266" s="56" t="s">
        <v>19023</v>
      </c>
      <c r="E266" s="10" t="s">
        <v>137</v>
      </c>
      <c r="F266" s="10" t="s">
        <v>627</v>
      </c>
      <c r="G266" s="10" t="s">
        <v>18636</v>
      </c>
      <c r="H266" s="10" t="s">
        <v>73</v>
      </c>
      <c r="I266" s="10" t="s">
        <v>48</v>
      </c>
      <c r="K266" s="10" t="s">
        <v>19024</v>
      </c>
      <c r="L266" s="10" t="s">
        <v>42</v>
      </c>
    </row>
    <row r="267" ht="15.75" customHeight="1">
      <c r="A267" s="64">
        <v>45490.0</v>
      </c>
      <c r="B267" s="55" t="str">
        <f>HYPERLINK("https://jobright.ai/jobs/info/6642b94ac06a0b349da44385?utm_campaign=1049&amp;utm_source=sheet", "Apply")</f>
        <v>Apply</v>
      </c>
      <c r="C267" s="10" t="s">
        <v>19025</v>
      </c>
      <c r="D267" s="56" t="s">
        <v>2864</v>
      </c>
      <c r="E267" s="10" t="s">
        <v>65</v>
      </c>
      <c r="F267" s="10" t="s">
        <v>2865</v>
      </c>
      <c r="G267" s="10" t="s">
        <v>18636</v>
      </c>
      <c r="H267" s="10" t="s">
        <v>2866</v>
      </c>
      <c r="I267" s="10" t="s">
        <v>55</v>
      </c>
      <c r="K267" s="10" t="s">
        <v>19026</v>
      </c>
      <c r="L267" s="10" t="s">
        <v>42</v>
      </c>
    </row>
    <row r="268" ht="15.75" customHeight="1">
      <c r="A268" s="64">
        <v>45490.0</v>
      </c>
      <c r="B268" s="55" t="str">
        <f>HYPERLINK("https://jobright.ai/jobs/info/6675e61c002960a5a8d1ae98?utm_campaign=1049&amp;utm_source=sheet", "Apply")</f>
        <v>Apply</v>
      </c>
      <c r="C268" s="10" t="s">
        <v>18992</v>
      </c>
      <c r="D268" s="56" t="s">
        <v>311</v>
      </c>
      <c r="E268" s="10" t="s">
        <v>45</v>
      </c>
      <c r="F268" s="10" t="s">
        <v>312</v>
      </c>
      <c r="G268" s="10" t="s">
        <v>18636</v>
      </c>
      <c r="H268" s="10" t="s">
        <v>165</v>
      </c>
      <c r="I268" s="10" t="s">
        <v>55</v>
      </c>
      <c r="J268" s="10" t="s">
        <v>19027</v>
      </c>
      <c r="K268" s="10" t="s">
        <v>18994</v>
      </c>
      <c r="L268" s="10" t="s">
        <v>42</v>
      </c>
    </row>
    <row r="269" ht="15.75" customHeight="1">
      <c r="A269" s="64">
        <v>45490.0</v>
      </c>
      <c r="B269" s="55" t="str">
        <f>HYPERLINK("https://jobright.ai/jobs/info/669509ecfc33ad61d1959355?utm_campaign=1049&amp;utm_source=sheet", "Apply")</f>
        <v>Apply</v>
      </c>
      <c r="C269" s="10" t="s">
        <v>19028</v>
      </c>
      <c r="D269" s="56" t="s">
        <v>2864</v>
      </c>
      <c r="E269" s="10" t="s">
        <v>65</v>
      </c>
      <c r="F269" s="10" t="s">
        <v>2865</v>
      </c>
      <c r="G269" s="10" t="s">
        <v>18636</v>
      </c>
      <c r="H269" s="10" t="s">
        <v>2866</v>
      </c>
      <c r="I269" s="10" t="s">
        <v>55</v>
      </c>
      <c r="K269" s="10" t="s">
        <v>19029</v>
      </c>
      <c r="L269" s="10" t="s">
        <v>42</v>
      </c>
    </row>
    <row r="270" ht="15.75" customHeight="1">
      <c r="A270" s="64">
        <v>45490.0</v>
      </c>
      <c r="B270" s="55" t="str">
        <f>HYPERLINK("https://jobright.ai/jobs/info/669754201c31daf5410d4d2b?utm_campaign=1049&amp;utm_source=sheet", "Apply")</f>
        <v>Apply</v>
      </c>
      <c r="C270" s="10" t="s">
        <v>19030</v>
      </c>
      <c r="D270" s="56" t="s">
        <v>12538</v>
      </c>
      <c r="E270" s="10" t="s">
        <v>137</v>
      </c>
      <c r="F270" s="10" t="s">
        <v>12539</v>
      </c>
      <c r="G270" s="10" t="s">
        <v>18636</v>
      </c>
      <c r="H270" s="10" t="s">
        <v>96</v>
      </c>
      <c r="I270" s="10" t="s">
        <v>55</v>
      </c>
      <c r="K270" s="10" t="s">
        <v>19031</v>
      </c>
      <c r="L270" s="10" t="s">
        <v>42</v>
      </c>
    </row>
    <row r="271" ht="15.75" customHeight="1">
      <c r="A271" s="64">
        <v>45490.0</v>
      </c>
      <c r="B271" s="55" t="str">
        <f>HYPERLINK("https://jobright.ai/jobs/info/6698727271d79b41ac6278dc?utm_campaign=1049&amp;utm_source=sheet", "Apply")</f>
        <v>Apply</v>
      </c>
      <c r="C271" s="10" t="s">
        <v>19032</v>
      </c>
      <c r="D271" s="56" t="s">
        <v>19033</v>
      </c>
      <c r="E271" s="10" t="s">
        <v>79</v>
      </c>
      <c r="F271" s="10" t="s">
        <v>3035</v>
      </c>
      <c r="G271" s="10" t="s">
        <v>18636</v>
      </c>
      <c r="H271" s="10" t="s">
        <v>19034</v>
      </c>
      <c r="I271" s="10" t="s">
        <v>55</v>
      </c>
      <c r="K271" s="10" t="s">
        <v>19035</v>
      </c>
      <c r="L271" s="10" t="s">
        <v>42</v>
      </c>
    </row>
    <row r="272" ht="15.75" customHeight="1">
      <c r="A272" s="64">
        <v>45490.0</v>
      </c>
      <c r="B272" s="55" t="str">
        <f>HYPERLINK("https://jobright.ai/jobs/info/669772d66e4cfd6f8eca2e75?utm_campaign=1049&amp;utm_source=sheet", "Apply")</f>
        <v>Apply</v>
      </c>
      <c r="C272" s="10" t="s">
        <v>19036</v>
      </c>
      <c r="D272" s="56" t="s">
        <v>6736</v>
      </c>
      <c r="E272" s="10" t="s">
        <v>65</v>
      </c>
      <c r="F272" s="10" t="s">
        <v>1234</v>
      </c>
      <c r="G272" s="10" t="s">
        <v>18636</v>
      </c>
      <c r="H272" s="10" t="s">
        <v>6737</v>
      </c>
      <c r="I272" s="10" t="s">
        <v>55</v>
      </c>
      <c r="J272" s="10" t="s">
        <v>1761</v>
      </c>
      <c r="K272" s="10" t="s">
        <v>6738</v>
      </c>
      <c r="L272" s="10" t="s">
        <v>42</v>
      </c>
    </row>
    <row r="273" ht="15.75" customHeight="1">
      <c r="A273" s="64">
        <v>45490.0</v>
      </c>
      <c r="B273" s="55" t="str">
        <f>HYPERLINK("https://jobright.ai/jobs/info/66972295f11ecbc261d911d8?utm_campaign=1049&amp;utm_source=sheet", "Apply")</f>
        <v>Apply</v>
      </c>
      <c r="C273" s="10" t="s">
        <v>18926</v>
      </c>
      <c r="D273" s="56" t="s">
        <v>1684</v>
      </c>
      <c r="E273" s="10" t="s">
        <v>209</v>
      </c>
      <c r="F273" s="10" t="s">
        <v>1685</v>
      </c>
      <c r="G273" s="10" t="s">
        <v>18779</v>
      </c>
      <c r="H273" s="10" t="s">
        <v>4852</v>
      </c>
      <c r="I273" s="10" t="s">
        <v>55</v>
      </c>
      <c r="K273" s="10" t="s">
        <v>18928</v>
      </c>
      <c r="L273" s="10" t="s">
        <v>42</v>
      </c>
    </row>
    <row r="274" ht="15.75" customHeight="1">
      <c r="A274" s="64">
        <v>45490.0</v>
      </c>
      <c r="B274" s="55" t="str">
        <f>HYPERLINK("https://jobright.ai/jobs/info/66974c352c024305fdbbe1af?utm_campaign=1049&amp;utm_source=sheet", "Apply")</f>
        <v>Apply</v>
      </c>
      <c r="C274" s="10" t="s">
        <v>18926</v>
      </c>
      <c r="D274" s="56" t="s">
        <v>1684</v>
      </c>
      <c r="E274" s="10" t="s">
        <v>209</v>
      </c>
      <c r="F274" s="10" t="s">
        <v>1685</v>
      </c>
      <c r="G274" s="10" t="s">
        <v>18779</v>
      </c>
      <c r="H274" s="10" t="s">
        <v>14400</v>
      </c>
      <c r="I274" s="10" t="s">
        <v>55</v>
      </c>
      <c r="K274" s="10" t="s">
        <v>18928</v>
      </c>
      <c r="L274" s="10" t="s">
        <v>42</v>
      </c>
    </row>
    <row r="275" ht="15.75" customHeight="1">
      <c r="A275" s="64">
        <v>45490.0</v>
      </c>
      <c r="B275" s="55" t="str">
        <f>HYPERLINK("https://jobright.ai/jobs/info/66974c352c024305fdbbe1b0?utm_campaign=1049&amp;utm_source=sheet", "Apply")</f>
        <v>Apply</v>
      </c>
      <c r="C275" s="10" t="s">
        <v>18926</v>
      </c>
      <c r="D275" s="56" t="s">
        <v>1684</v>
      </c>
      <c r="E275" s="10" t="s">
        <v>209</v>
      </c>
      <c r="F275" s="10" t="s">
        <v>1685</v>
      </c>
      <c r="G275" s="10" t="s">
        <v>18779</v>
      </c>
      <c r="H275" s="10" t="s">
        <v>19037</v>
      </c>
      <c r="I275" s="10" t="s">
        <v>55</v>
      </c>
      <c r="K275" s="10" t="s">
        <v>18928</v>
      </c>
      <c r="L275" s="10" t="s">
        <v>42</v>
      </c>
    </row>
    <row r="276" ht="15.75" customHeight="1">
      <c r="A276" s="64">
        <v>45490.0</v>
      </c>
      <c r="B276" s="55" t="str">
        <f>HYPERLINK("https://jobright.ai/jobs/info/669848b3bd2796cba114946b?utm_campaign=1049&amp;utm_source=sheet", "Apply")</f>
        <v>Apply</v>
      </c>
      <c r="C276" s="10" t="s">
        <v>19009</v>
      </c>
      <c r="D276" s="56" t="s">
        <v>13721</v>
      </c>
      <c r="E276" s="10" t="s">
        <v>276</v>
      </c>
      <c r="F276" s="10" t="s">
        <v>13722</v>
      </c>
      <c r="G276" s="10" t="s">
        <v>18636</v>
      </c>
      <c r="H276" s="10" t="s">
        <v>251</v>
      </c>
      <c r="I276" s="10" t="s">
        <v>252</v>
      </c>
      <c r="J276" s="10" t="s">
        <v>1409</v>
      </c>
      <c r="K276" s="10" t="s">
        <v>19010</v>
      </c>
      <c r="L276" s="10" t="s">
        <v>42</v>
      </c>
    </row>
    <row r="277" ht="15.75" customHeight="1">
      <c r="A277" s="64">
        <v>45490.0</v>
      </c>
      <c r="B277" s="55" t="str">
        <f>HYPERLINK("https://jobright.ai/jobs/info/66971dd2f9b34528d1b2a71b?utm_campaign=1049&amp;utm_source=sheet", "Apply")</f>
        <v>Apply</v>
      </c>
      <c r="C277" s="10" t="s">
        <v>18926</v>
      </c>
      <c r="D277" s="56" t="s">
        <v>1684</v>
      </c>
      <c r="E277" s="10" t="s">
        <v>209</v>
      </c>
      <c r="F277" s="10" t="s">
        <v>1685</v>
      </c>
      <c r="G277" s="10" t="s">
        <v>18779</v>
      </c>
      <c r="H277" s="10" t="s">
        <v>19038</v>
      </c>
      <c r="I277" s="10" t="s">
        <v>55</v>
      </c>
      <c r="K277" s="10" t="s">
        <v>18928</v>
      </c>
      <c r="L277" s="10" t="s">
        <v>42</v>
      </c>
    </row>
    <row r="278" ht="15.75" customHeight="1">
      <c r="A278" s="64">
        <v>45490.0</v>
      </c>
      <c r="B278" s="55" t="str">
        <f>HYPERLINK("https://jobright.ai/jobs/info/66971dd2f9b34528d1b2a719?utm_campaign=1049&amp;utm_source=sheet", "Apply")</f>
        <v>Apply</v>
      </c>
      <c r="C278" s="10" t="s">
        <v>18926</v>
      </c>
      <c r="D278" s="56" t="s">
        <v>1684</v>
      </c>
      <c r="E278" s="10" t="s">
        <v>209</v>
      </c>
      <c r="F278" s="10" t="s">
        <v>1685</v>
      </c>
      <c r="G278" s="10" t="s">
        <v>18779</v>
      </c>
      <c r="H278" s="10" t="s">
        <v>6115</v>
      </c>
      <c r="I278" s="10" t="s">
        <v>55</v>
      </c>
      <c r="K278" s="10" t="s">
        <v>18928</v>
      </c>
      <c r="L278" s="10" t="s">
        <v>42</v>
      </c>
    </row>
    <row r="279" ht="15.75" customHeight="1">
      <c r="A279" s="64">
        <v>45490.0</v>
      </c>
      <c r="B279" s="55" t="str">
        <f>HYPERLINK("https://jobright.ai/jobs/info/66971dd2f9b34528d1b2a71d?utm_campaign=1049&amp;utm_source=sheet", "Apply")</f>
        <v>Apply</v>
      </c>
      <c r="C279" s="10" t="s">
        <v>18926</v>
      </c>
      <c r="D279" s="56" t="s">
        <v>1684</v>
      </c>
      <c r="E279" s="10" t="s">
        <v>209</v>
      </c>
      <c r="F279" s="10" t="s">
        <v>1685</v>
      </c>
      <c r="G279" s="10" t="s">
        <v>18779</v>
      </c>
      <c r="H279" s="10" t="s">
        <v>13014</v>
      </c>
      <c r="I279" s="10" t="s">
        <v>55</v>
      </c>
      <c r="K279" s="10" t="s">
        <v>18928</v>
      </c>
      <c r="L279" s="10" t="s">
        <v>42</v>
      </c>
    </row>
    <row r="280" ht="15.75" customHeight="1">
      <c r="A280" s="64">
        <v>45490.0</v>
      </c>
      <c r="B280" s="55" t="str">
        <f>HYPERLINK("https://jobright.ai/jobs/info/66971dd2f9b34528d1b2a71c?utm_campaign=1049&amp;utm_source=sheet", "Apply")</f>
        <v>Apply</v>
      </c>
      <c r="C280" s="10" t="s">
        <v>18926</v>
      </c>
      <c r="D280" s="56" t="s">
        <v>1684</v>
      </c>
      <c r="E280" s="10" t="s">
        <v>209</v>
      </c>
      <c r="F280" s="10" t="s">
        <v>1685</v>
      </c>
      <c r="G280" s="10" t="s">
        <v>18779</v>
      </c>
      <c r="H280" s="10" t="s">
        <v>571</v>
      </c>
      <c r="I280" s="10" t="s">
        <v>55</v>
      </c>
      <c r="K280" s="10" t="s">
        <v>18928</v>
      </c>
      <c r="L280" s="10" t="s">
        <v>42</v>
      </c>
    </row>
    <row r="281" ht="15.75" customHeight="1">
      <c r="A281" s="64">
        <v>45489.0</v>
      </c>
      <c r="B281" s="55" t="str">
        <f>HYPERLINK("https://jobright.ai/jobs/info/66970e7d1756c5bd63824746?utm_campaign=1049&amp;utm_source=sheet", "Apply")</f>
        <v>Apply</v>
      </c>
      <c r="C281" s="10" t="s">
        <v>18926</v>
      </c>
      <c r="D281" s="56" t="s">
        <v>1684</v>
      </c>
      <c r="E281" s="10" t="s">
        <v>209</v>
      </c>
      <c r="F281" s="10" t="s">
        <v>1685</v>
      </c>
      <c r="G281" s="10" t="s">
        <v>18779</v>
      </c>
      <c r="H281" s="10" t="s">
        <v>1097</v>
      </c>
      <c r="I281" s="10" t="s">
        <v>55</v>
      </c>
      <c r="K281" s="10" t="s">
        <v>18928</v>
      </c>
      <c r="L281" s="10" t="s">
        <v>42</v>
      </c>
    </row>
    <row r="282" ht="15.75" customHeight="1">
      <c r="A282" s="64">
        <v>45489.0</v>
      </c>
      <c r="B282" s="55" t="str">
        <f>HYPERLINK("https://jobright.ai/jobs/info/6697197a18798443c42ae9b2?utm_campaign=1049&amp;utm_source=sheet", "Apply")</f>
        <v>Apply</v>
      </c>
      <c r="C282" s="10" t="s">
        <v>18926</v>
      </c>
      <c r="D282" s="56" t="s">
        <v>1684</v>
      </c>
      <c r="E282" s="10" t="s">
        <v>209</v>
      </c>
      <c r="F282" s="10" t="s">
        <v>1685</v>
      </c>
      <c r="G282" s="10" t="s">
        <v>18779</v>
      </c>
      <c r="H282" s="10" t="s">
        <v>19039</v>
      </c>
      <c r="I282" s="10" t="s">
        <v>55</v>
      </c>
      <c r="K282" s="10" t="s">
        <v>18928</v>
      </c>
      <c r="L282" s="10" t="s">
        <v>42</v>
      </c>
    </row>
    <row r="283" ht="15.75" customHeight="1">
      <c r="A283" s="64">
        <v>45489.0</v>
      </c>
      <c r="B283" s="55" t="str">
        <f>HYPERLINK("https://jobright.ai/jobs/info/669714b542783c0a8d859854?utm_campaign=1049&amp;utm_source=sheet", "Apply")</f>
        <v>Apply</v>
      </c>
      <c r="C283" s="10" t="s">
        <v>18926</v>
      </c>
      <c r="D283" s="56" t="s">
        <v>1684</v>
      </c>
      <c r="E283" s="10" t="s">
        <v>209</v>
      </c>
      <c r="F283" s="10" t="s">
        <v>1685</v>
      </c>
      <c r="G283" s="10" t="s">
        <v>18779</v>
      </c>
      <c r="H283" s="10" t="s">
        <v>668</v>
      </c>
      <c r="I283" s="10" t="s">
        <v>55</v>
      </c>
      <c r="K283" s="10" t="s">
        <v>18928</v>
      </c>
      <c r="L283" s="10" t="s">
        <v>42</v>
      </c>
    </row>
    <row r="284" ht="15.75" customHeight="1">
      <c r="A284" s="64">
        <v>45489.0</v>
      </c>
      <c r="B284" s="55" t="str">
        <f>HYPERLINK("https://jobright.ai/jobs/info/669714b542783c0a8d859855?utm_campaign=1049&amp;utm_source=sheet", "Apply")</f>
        <v>Apply</v>
      </c>
      <c r="C284" s="10" t="s">
        <v>18926</v>
      </c>
      <c r="D284" s="56" t="s">
        <v>1684</v>
      </c>
      <c r="E284" s="10" t="s">
        <v>209</v>
      </c>
      <c r="F284" s="10" t="s">
        <v>1685</v>
      </c>
      <c r="G284" s="10" t="s">
        <v>18779</v>
      </c>
      <c r="H284" s="10" t="s">
        <v>792</v>
      </c>
      <c r="I284" s="10" t="s">
        <v>55</v>
      </c>
      <c r="K284" s="10" t="s">
        <v>18928</v>
      </c>
      <c r="L284" s="10" t="s">
        <v>42</v>
      </c>
    </row>
    <row r="285" ht="15.75" customHeight="1">
      <c r="A285" s="64">
        <v>45489.0</v>
      </c>
      <c r="B285" s="55" t="str">
        <f>HYPERLINK("https://jobright.ai/jobs/info/669714b542783c0a8d859856?utm_campaign=1049&amp;utm_source=sheet", "Apply")</f>
        <v>Apply</v>
      </c>
      <c r="C285" s="10" t="s">
        <v>18926</v>
      </c>
      <c r="D285" s="56" t="s">
        <v>1684</v>
      </c>
      <c r="E285" s="10" t="s">
        <v>209</v>
      </c>
      <c r="F285" s="10" t="s">
        <v>1685</v>
      </c>
      <c r="G285" s="10" t="s">
        <v>18779</v>
      </c>
      <c r="H285" s="10" t="s">
        <v>19040</v>
      </c>
      <c r="I285" s="10" t="s">
        <v>55</v>
      </c>
      <c r="K285" s="10" t="s">
        <v>18928</v>
      </c>
      <c r="L285" s="10" t="s">
        <v>42</v>
      </c>
    </row>
    <row r="286" ht="15.75" customHeight="1">
      <c r="A286" s="64">
        <v>45489.0</v>
      </c>
      <c r="B286" s="55" t="str">
        <f>HYPERLINK("https://jobright.ai/jobs/info/66970e7d1756c5bd63824747?utm_campaign=1049&amp;utm_source=sheet", "Apply")</f>
        <v>Apply</v>
      </c>
      <c r="C286" s="10" t="s">
        <v>18926</v>
      </c>
      <c r="D286" s="56" t="s">
        <v>1684</v>
      </c>
      <c r="E286" s="10" t="s">
        <v>209</v>
      </c>
      <c r="F286" s="10" t="s">
        <v>1685</v>
      </c>
      <c r="G286" s="10" t="s">
        <v>18779</v>
      </c>
      <c r="H286" s="10" t="s">
        <v>5761</v>
      </c>
      <c r="I286" s="10" t="s">
        <v>55</v>
      </c>
      <c r="K286" s="10" t="s">
        <v>18928</v>
      </c>
      <c r="L286" s="10" t="s">
        <v>42</v>
      </c>
    </row>
    <row r="287" ht="15.75" customHeight="1">
      <c r="A287" s="64">
        <v>45489.0</v>
      </c>
      <c r="B287" s="55" t="str">
        <f>HYPERLINK("https://jobright.ai/jobs/info/66970e7d1756c5bd63824748?utm_campaign=1049&amp;utm_source=sheet", "Apply")</f>
        <v>Apply</v>
      </c>
      <c r="C287" s="10" t="s">
        <v>18926</v>
      </c>
      <c r="D287" s="56" t="s">
        <v>1684</v>
      </c>
      <c r="E287" s="10" t="s">
        <v>209</v>
      </c>
      <c r="F287" s="10" t="s">
        <v>1685</v>
      </c>
      <c r="G287" s="10" t="s">
        <v>18779</v>
      </c>
      <c r="H287" s="10" t="s">
        <v>4868</v>
      </c>
      <c r="I287" s="10" t="s">
        <v>55</v>
      </c>
      <c r="K287" s="10" t="s">
        <v>18928</v>
      </c>
      <c r="L287" s="10" t="s">
        <v>42</v>
      </c>
    </row>
    <row r="288" ht="15.75" customHeight="1">
      <c r="A288" s="64">
        <v>45489.0</v>
      </c>
      <c r="B288" s="55" t="str">
        <f>HYPERLINK("https://jobright.ai/jobs/info/6697197a18798443c42ae9b3?utm_campaign=1049&amp;utm_source=sheet", "Apply")</f>
        <v>Apply</v>
      </c>
      <c r="C288" s="10" t="s">
        <v>18926</v>
      </c>
      <c r="D288" s="56" t="s">
        <v>1684</v>
      </c>
      <c r="E288" s="10" t="s">
        <v>209</v>
      </c>
      <c r="F288" s="10" t="s">
        <v>1685</v>
      </c>
      <c r="G288" s="10" t="s">
        <v>18779</v>
      </c>
      <c r="H288" s="10" t="s">
        <v>361</v>
      </c>
      <c r="I288" s="10" t="s">
        <v>55</v>
      </c>
      <c r="K288" s="10" t="s">
        <v>18928</v>
      </c>
      <c r="L288" s="10" t="s">
        <v>42</v>
      </c>
    </row>
    <row r="289" ht="15.75" customHeight="1">
      <c r="A289" s="64">
        <v>45489.0</v>
      </c>
      <c r="B289" s="55" t="str">
        <f>HYPERLINK("https://jobright.ai/jobs/info/669714b542783c0a8d85985a?utm_campaign=1049&amp;utm_source=sheet", "Apply")</f>
        <v>Apply</v>
      </c>
      <c r="C289" s="10" t="s">
        <v>18926</v>
      </c>
      <c r="D289" s="56" t="s">
        <v>1684</v>
      </c>
      <c r="E289" s="10" t="s">
        <v>209</v>
      </c>
      <c r="F289" s="10" t="s">
        <v>1685</v>
      </c>
      <c r="G289" s="10" t="s">
        <v>18779</v>
      </c>
      <c r="H289" s="10" t="s">
        <v>856</v>
      </c>
      <c r="I289" s="10" t="s">
        <v>55</v>
      </c>
      <c r="K289" s="10" t="s">
        <v>18928</v>
      </c>
      <c r="L289" s="10" t="s">
        <v>42</v>
      </c>
    </row>
    <row r="290" ht="15.75" customHeight="1">
      <c r="A290" s="64">
        <v>45489.0</v>
      </c>
      <c r="B290" s="55" t="str">
        <f>HYPERLINK("https://jobright.ai/jobs/info/669714b542783c0a8d85985b?utm_campaign=1049&amp;utm_source=sheet", "Apply")</f>
        <v>Apply</v>
      </c>
      <c r="C290" s="10" t="s">
        <v>18926</v>
      </c>
      <c r="D290" s="56" t="s">
        <v>1684</v>
      </c>
      <c r="E290" s="10" t="s">
        <v>209</v>
      </c>
      <c r="F290" s="10" t="s">
        <v>1685</v>
      </c>
      <c r="G290" s="10" t="s">
        <v>18779</v>
      </c>
      <c r="H290" s="10" t="s">
        <v>892</v>
      </c>
      <c r="I290" s="10" t="s">
        <v>55</v>
      </c>
      <c r="K290" s="10" t="s">
        <v>18928</v>
      </c>
      <c r="L290" s="10" t="s">
        <v>42</v>
      </c>
    </row>
    <row r="291" ht="15.75" customHeight="1">
      <c r="A291" s="64">
        <v>45489.0</v>
      </c>
      <c r="B291" s="55" t="str">
        <f>HYPERLINK("https://jobright.ai/jobs/info/669714b542783c0a8d85985c?utm_campaign=1049&amp;utm_source=sheet", "Apply")</f>
        <v>Apply</v>
      </c>
      <c r="C291" s="10" t="s">
        <v>18926</v>
      </c>
      <c r="D291" s="56" t="s">
        <v>1684</v>
      </c>
      <c r="E291" s="10" t="s">
        <v>209</v>
      </c>
      <c r="F291" s="10" t="s">
        <v>1685</v>
      </c>
      <c r="G291" s="10" t="s">
        <v>18779</v>
      </c>
      <c r="H291" s="10" t="s">
        <v>937</v>
      </c>
      <c r="I291" s="10" t="s">
        <v>55</v>
      </c>
      <c r="K291" s="10" t="s">
        <v>18928</v>
      </c>
      <c r="L291" s="10" t="s">
        <v>42</v>
      </c>
    </row>
    <row r="292" ht="15.75" customHeight="1">
      <c r="A292" s="64">
        <v>45489.0</v>
      </c>
      <c r="B292" s="55" t="str">
        <f>HYPERLINK("https://jobright.ai/jobs/info/66970e7d1756c5bd63824749?utm_campaign=1049&amp;utm_source=sheet", "Apply")</f>
        <v>Apply</v>
      </c>
      <c r="C292" s="10" t="s">
        <v>18926</v>
      </c>
      <c r="D292" s="56" t="s">
        <v>1684</v>
      </c>
      <c r="E292" s="10" t="s">
        <v>209</v>
      </c>
      <c r="F292" s="10" t="s">
        <v>1685</v>
      </c>
      <c r="G292" s="10" t="s">
        <v>18779</v>
      </c>
      <c r="H292" s="10" t="s">
        <v>16969</v>
      </c>
      <c r="I292" s="10" t="s">
        <v>55</v>
      </c>
      <c r="K292" s="10" t="s">
        <v>18928</v>
      </c>
      <c r="L292" s="10" t="s">
        <v>42</v>
      </c>
    </row>
    <row r="293" ht="15.75" customHeight="1">
      <c r="A293" s="64">
        <v>45489.0</v>
      </c>
      <c r="B293" s="55" t="str">
        <f>HYPERLINK("https://jobright.ai/jobs/info/6697197a18798443c42ae9be?utm_campaign=1049&amp;utm_source=sheet", "Apply")</f>
        <v>Apply</v>
      </c>
      <c r="C293" s="10" t="s">
        <v>18926</v>
      </c>
      <c r="D293" s="56" t="s">
        <v>1684</v>
      </c>
      <c r="E293" s="10" t="s">
        <v>209</v>
      </c>
      <c r="F293" s="10" t="s">
        <v>1685</v>
      </c>
      <c r="G293" s="10" t="s">
        <v>18779</v>
      </c>
      <c r="H293" s="10" t="s">
        <v>19041</v>
      </c>
      <c r="I293" s="10" t="s">
        <v>55</v>
      </c>
      <c r="K293" s="10" t="s">
        <v>18928</v>
      </c>
      <c r="L293" s="10" t="s">
        <v>42</v>
      </c>
    </row>
    <row r="294" ht="15.75" customHeight="1">
      <c r="A294" s="64">
        <v>45489.0</v>
      </c>
      <c r="B294" s="55" t="str">
        <f>HYPERLINK("https://jobright.ai/jobs/info/6697197a18798443c42ae9bf?utm_campaign=1049&amp;utm_source=sheet", "Apply")</f>
        <v>Apply</v>
      </c>
      <c r="C294" s="10" t="s">
        <v>18926</v>
      </c>
      <c r="D294" s="56" t="s">
        <v>1684</v>
      </c>
      <c r="E294" s="10" t="s">
        <v>209</v>
      </c>
      <c r="F294" s="10" t="s">
        <v>1685</v>
      </c>
      <c r="G294" s="10" t="s">
        <v>18779</v>
      </c>
      <c r="H294" s="10" t="s">
        <v>13709</v>
      </c>
      <c r="I294" s="10" t="s">
        <v>55</v>
      </c>
      <c r="K294" s="10" t="s">
        <v>18928</v>
      </c>
      <c r="L294" s="10" t="s">
        <v>42</v>
      </c>
    </row>
    <row r="295" ht="15.75" customHeight="1">
      <c r="A295" s="64">
        <v>45489.0</v>
      </c>
      <c r="B295" s="55" t="str">
        <f>HYPERLINK("https://jobright.ai/jobs/info/6697196718798443c42ae84c?utm_campaign=1049&amp;utm_source=sheet", "Apply")</f>
        <v>Apply</v>
      </c>
      <c r="C295" s="10" t="s">
        <v>13448</v>
      </c>
      <c r="D295" s="56" t="s">
        <v>15071</v>
      </c>
      <c r="E295" s="10" t="s">
        <v>137</v>
      </c>
      <c r="F295" s="10" t="s">
        <v>345</v>
      </c>
      <c r="G295" s="10" t="s">
        <v>18636</v>
      </c>
      <c r="H295" s="10" t="s">
        <v>3371</v>
      </c>
      <c r="I295" s="10" t="s">
        <v>55</v>
      </c>
      <c r="J295" s="10" t="s">
        <v>1804</v>
      </c>
      <c r="K295" s="10" t="s">
        <v>19042</v>
      </c>
      <c r="L295" s="10" t="s">
        <v>42</v>
      </c>
    </row>
    <row r="296" ht="15.75" customHeight="1">
      <c r="A296" s="64">
        <v>45489.0</v>
      </c>
      <c r="B296" s="55" t="str">
        <f>HYPERLINK("https://jobright.ai/jobs/info/66974c352c024305fdbbe1b4?utm_campaign=1049&amp;utm_source=sheet", "Apply")</f>
        <v>Apply</v>
      </c>
      <c r="C296" s="10" t="s">
        <v>18926</v>
      </c>
      <c r="D296" s="56" t="s">
        <v>1684</v>
      </c>
      <c r="E296" s="10" t="s">
        <v>209</v>
      </c>
      <c r="F296" s="10" t="s">
        <v>1685</v>
      </c>
      <c r="G296" s="10" t="s">
        <v>18779</v>
      </c>
      <c r="H296" s="10" t="s">
        <v>19043</v>
      </c>
      <c r="I296" s="10" t="s">
        <v>55</v>
      </c>
      <c r="K296" s="10" t="s">
        <v>18928</v>
      </c>
      <c r="L296" s="10" t="s">
        <v>42</v>
      </c>
    </row>
    <row r="297" ht="15.75" customHeight="1">
      <c r="A297" s="64">
        <v>45489.0</v>
      </c>
      <c r="B297" s="55" t="str">
        <f>HYPERLINK("https://jobright.ai/jobs/info/669714b542783c0a8d859880?utm_campaign=1049&amp;utm_source=sheet", "Apply")</f>
        <v>Apply</v>
      </c>
      <c r="C297" s="10" t="s">
        <v>18926</v>
      </c>
      <c r="D297" s="56" t="s">
        <v>1684</v>
      </c>
      <c r="E297" s="10" t="s">
        <v>209</v>
      </c>
      <c r="F297" s="10" t="s">
        <v>1685</v>
      </c>
      <c r="G297" s="10" t="s">
        <v>18779</v>
      </c>
      <c r="H297" s="10" t="s">
        <v>5373</v>
      </c>
      <c r="I297" s="10" t="s">
        <v>55</v>
      </c>
      <c r="K297" s="10" t="s">
        <v>18928</v>
      </c>
      <c r="L297" s="10" t="s">
        <v>42</v>
      </c>
    </row>
    <row r="298" ht="15.75" customHeight="1">
      <c r="A298" s="64">
        <v>45489.0</v>
      </c>
      <c r="B298" s="55" t="str">
        <f>HYPERLINK("https://jobright.ai/jobs/info/66970e7d1756c5bd63824762?utm_campaign=1049&amp;utm_source=sheet", "Apply")</f>
        <v>Apply</v>
      </c>
      <c r="C298" s="10" t="s">
        <v>18926</v>
      </c>
      <c r="D298" s="56" t="s">
        <v>1684</v>
      </c>
      <c r="E298" s="10" t="s">
        <v>209</v>
      </c>
      <c r="F298" s="10" t="s">
        <v>1685</v>
      </c>
      <c r="G298" s="10" t="s">
        <v>18779</v>
      </c>
      <c r="H298" s="10" t="s">
        <v>5254</v>
      </c>
      <c r="I298" s="10" t="s">
        <v>55</v>
      </c>
      <c r="K298" s="10" t="s">
        <v>18928</v>
      </c>
      <c r="L298" s="10" t="s">
        <v>42</v>
      </c>
    </row>
    <row r="299" ht="15.75" customHeight="1">
      <c r="A299" s="64">
        <v>45489.0</v>
      </c>
      <c r="B299" s="55" t="str">
        <f>HYPERLINK("https://jobright.ai/jobs/info/66970e7d1756c5bd63824761?utm_campaign=1049&amp;utm_source=sheet", "Apply")</f>
        <v>Apply</v>
      </c>
      <c r="C299" s="10" t="s">
        <v>18926</v>
      </c>
      <c r="D299" s="56" t="s">
        <v>1684</v>
      </c>
      <c r="E299" s="10" t="s">
        <v>209</v>
      </c>
      <c r="F299" s="10" t="s">
        <v>1685</v>
      </c>
      <c r="G299" s="10" t="s">
        <v>18779</v>
      </c>
      <c r="H299" s="10" t="s">
        <v>3006</v>
      </c>
      <c r="I299" s="10" t="s">
        <v>55</v>
      </c>
      <c r="K299" s="10" t="s">
        <v>18928</v>
      </c>
      <c r="L299" s="10" t="s">
        <v>42</v>
      </c>
    </row>
    <row r="300" ht="15.75" customHeight="1">
      <c r="A300" s="64">
        <v>45489.0</v>
      </c>
      <c r="B300" s="55" t="str">
        <f>HYPERLINK("https://jobright.ai/jobs/info/6697ad9b1c55d63f4b198e5f?utm_campaign=1049&amp;utm_source=sheet", "Apply")</f>
        <v>Apply</v>
      </c>
      <c r="C300" s="10" t="s">
        <v>12650</v>
      </c>
      <c r="D300" s="56" t="s">
        <v>1863</v>
      </c>
      <c r="E300" s="10" t="s">
        <v>249</v>
      </c>
      <c r="F300" s="10" t="s">
        <v>1864</v>
      </c>
      <c r="G300" s="10" t="s">
        <v>18636</v>
      </c>
      <c r="H300" s="10" t="s">
        <v>1865</v>
      </c>
      <c r="I300" s="10" t="s">
        <v>55</v>
      </c>
      <c r="K300" s="10" t="s">
        <v>19044</v>
      </c>
      <c r="L300" s="10" t="s">
        <v>42</v>
      </c>
    </row>
    <row r="301" ht="15.75" customHeight="1">
      <c r="A301" s="64">
        <v>45489.0</v>
      </c>
      <c r="B301" s="55" t="str">
        <f>HYPERLINK("https://jobright.ai/jobs/info/66970e7d1756c5bd63824763?utm_campaign=1049&amp;utm_source=sheet", "Apply")</f>
        <v>Apply</v>
      </c>
      <c r="C301" s="10" t="s">
        <v>18926</v>
      </c>
      <c r="D301" s="56" t="s">
        <v>1684</v>
      </c>
      <c r="E301" s="10" t="s">
        <v>209</v>
      </c>
      <c r="F301" s="10" t="s">
        <v>1685</v>
      </c>
      <c r="G301" s="10" t="s">
        <v>18779</v>
      </c>
      <c r="H301" s="10" t="s">
        <v>1292</v>
      </c>
      <c r="I301" s="10" t="s">
        <v>55</v>
      </c>
      <c r="K301" s="10" t="s">
        <v>18928</v>
      </c>
      <c r="L301" s="10" t="s">
        <v>42</v>
      </c>
    </row>
    <row r="302" ht="15.75" customHeight="1">
      <c r="A302" s="64">
        <v>45489.0</v>
      </c>
      <c r="B302" s="55" t="str">
        <f>HYPERLINK("https://jobright.ai/jobs/info/66970e7d1756c5bd63824765?utm_campaign=1049&amp;utm_source=sheet", "Apply")</f>
        <v>Apply</v>
      </c>
      <c r="C302" s="10" t="s">
        <v>18926</v>
      </c>
      <c r="D302" s="56" t="s">
        <v>1684</v>
      </c>
      <c r="E302" s="10" t="s">
        <v>209</v>
      </c>
      <c r="F302" s="10" t="s">
        <v>1685</v>
      </c>
      <c r="G302" s="10" t="s">
        <v>18779</v>
      </c>
      <c r="H302" s="10" t="s">
        <v>8958</v>
      </c>
      <c r="I302" s="10" t="s">
        <v>55</v>
      </c>
      <c r="K302" s="10" t="s">
        <v>18928</v>
      </c>
      <c r="L302" s="10" t="s">
        <v>42</v>
      </c>
    </row>
    <row r="303" ht="15.75" customHeight="1">
      <c r="A303" s="64">
        <v>45489.0</v>
      </c>
      <c r="B303" s="55" t="str">
        <f>HYPERLINK("https://jobright.ai/jobs/info/66970e7d1756c5bd63824767?utm_campaign=1049&amp;utm_source=sheet", "Apply")</f>
        <v>Apply</v>
      </c>
      <c r="C303" s="10" t="s">
        <v>18926</v>
      </c>
      <c r="D303" s="56" t="s">
        <v>1684</v>
      </c>
      <c r="E303" s="10" t="s">
        <v>209</v>
      </c>
      <c r="F303" s="10" t="s">
        <v>1685</v>
      </c>
      <c r="G303" s="10" t="s">
        <v>18779</v>
      </c>
      <c r="H303" s="10" t="s">
        <v>17864</v>
      </c>
      <c r="I303" s="10" t="s">
        <v>55</v>
      </c>
      <c r="K303" s="10" t="s">
        <v>18928</v>
      </c>
      <c r="L303" s="10" t="s">
        <v>42</v>
      </c>
    </row>
    <row r="304" ht="15.75" customHeight="1">
      <c r="A304" s="64">
        <v>45489.0</v>
      </c>
      <c r="B304" s="55" t="str">
        <f>HYPERLINK("https://jobright.ai/jobs/info/66970e7d1756c5bd63824768?utm_campaign=1049&amp;utm_source=sheet", "Apply")</f>
        <v>Apply</v>
      </c>
      <c r="C304" s="10" t="s">
        <v>18926</v>
      </c>
      <c r="D304" s="56" t="s">
        <v>1684</v>
      </c>
      <c r="E304" s="10" t="s">
        <v>209</v>
      </c>
      <c r="F304" s="10" t="s">
        <v>1685</v>
      </c>
      <c r="G304" s="10" t="s">
        <v>18779</v>
      </c>
      <c r="H304" s="10" t="s">
        <v>933</v>
      </c>
      <c r="I304" s="10" t="s">
        <v>55</v>
      </c>
      <c r="K304" s="10" t="s">
        <v>18928</v>
      </c>
      <c r="L304" s="10" t="s">
        <v>42</v>
      </c>
    </row>
    <row r="305" ht="15.75" customHeight="1">
      <c r="A305" s="64">
        <v>45489.0</v>
      </c>
      <c r="B305" s="55" t="str">
        <f>HYPERLINK("https://jobright.ai/jobs/info/66970e7d1756c5bd63824766?utm_campaign=1049&amp;utm_source=sheet", "Apply")</f>
        <v>Apply</v>
      </c>
      <c r="C305" s="10" t="s">
        <v>18926</v>
      </c>
      <c r="D305" s="56" t="s">
        <v>1684</v>
      </c>
      <c r="E305" s="10" t="s">
        <v>209</v>
      </c>
      <c r="F305" s="10" t="s">
        <v>1685</v>
      </c>
      <c r="G305" s="10" t="s">
        <v>18779</v>
      </c>
      <c r="H305" s="10" t="s">
        <v>5837</v>
      </c>
      <c r="I305" s="10" t="s">
        <v>55</v>
      </c>
      <c r="K305" s="10" t="s">
        <v>18928</v>
      </c>
      <c r="L305" s="10" t="s">
        <v>42</v>
      </c>
    </row>
    <row r="306" ht="15.75" customHeight="1">
      <c r="A306" s="64">
        <v>45489.0</v>
      </c>
      <c r="B306" s="55" t="str">
        <f>HYPERLINK("https://jobright.ai/jobs/info/66970e7d1756c5bd63824769?utm_campaign=1049&amp;utm_source=sheet", "Apply")</f>
        <v>Apply</v>
      </c>
      <c r="C306" s="10" t="s">
        <v>18926</v>
      </c>
      <c r="D306" s="56" t="s">
        <v>1684</v>
      </c>
      <c r="E306" s="10" t="s">
        <v>209</v>
      </c>
      <c r="F306" s="10" t="s">
        <v>1685</v>
      </c>
      <c r="G306" s="10" t="s">
        <v>18779</v>
      </c>
      <c r="H306" s="10" t="s">
        <v>3019</v>
      </c>
      <c r="I306" s="10" t="s">
        <v>55</v>
      </c>
      <c r="K306" s="10" t="s">
        <v>18928</v>
      </c>
      <c r="L306" s="10" t="s">
        <v>42</v>
      </c>
    </row>
    <row r="307" ht="15.75" customHeight="1">
      <c r="A307" s="64">
        <v>45489.0</v>
      </c>
      <c r="B307" s="55" t="str">
        <f>HYPERLINK("https://jobright.ai/jobs/info/6696fea5fa5297ff7b4b13d1?utm_campaign=1049&amp;utm_source=sheet", "Apply")</f>
        <v>Apply</v>
      </c>
      <c r="C307" s="10" t="s">
        <v>19045</v>
      </c>
      <c r="D307" s="56" t="s">
        <v>12778</v>
      </c>
      <c r="E307" s="10" t="s">
        <v>137</v>
      </c>
      <c r="F307" s="10" t="s">
        <v>12779</v>
      </c>
      <c r="G307" s="10" t="s">
        <v>18636</v>
      </c>
      <c r="H307" s="10" t="s">
        <v>96</v>
      </c>
      <c r="I307" s="10" t="s">
        <v>48</v>
      </c>
      <c r="K307" s="10" t="s">
        <v>19046</v>
      </c>
      <c r="L307" s="10" t="s">
        <v>42</v>
      </c>
    </row>
    <row r="308" ht="15.75" customHeight="1">
      <c r="A308" s="64">
        <v>45489.0</v>
      </c>
      <c r="B308" s="55" t="str">
        <f>HYPERLINK("https://jobright.ai/jobs/info/6696fb7dff384bf5ba3fb2bd?utm_campaign=1049&amp;utm_source=sheet", "Apply")</f>
        <v>Apply</v>
      </c>
      <c r="C308" s="10" t="s">
        <v>18721</v>
      </c>
      <c r="D308" s="56" t="s">
        <v>11826</v>
      </c>
      <c r="E308" s="10" t="s">
        <v>249</v>
      </c>
      <c r="F308" s="10" t="s">
        <v>2950</v>
      </c>
      <c r="G308" s="10" t="s">
        <v>18636</v>
      </c>
      <c r="H308" s="10" t="s">
        <v>661</v>
      </c>
      <c r="I308" s="10" t="s">
        <v>55</v>
      </c>
      <c r="K308" s="10" t="s">
        <v>19047</v>
      </c>
      <c r="L308" s="10" t="s">
        <v>42</v>
      </c>
    </row>
    <row r="309" ht="15.75" customHeight="1">
      <c r="A309" s="64">
        <v>45489.0</v>
      </c>
      <c r="B309" s="55" t="str">
        <f>HYPERLINK("https://jobright.ai/jobs/info/667b20605bfe072125b6dcc5?utm_campaign=1049&amp;utm_source=sheet", "Apply")</f>
        <v>Apply</v>
      </c>
      <c r="C309" s="10" t="s">
        <v>18696</v>
      </c>
      <c r="D309" s="56" t="s">
        <v>19048</v>
      </c>
      <c r="E309" s="10" t="s">
        <v>45</v>
      </c>
      <c r="F309" s="10" t="s">
        <v>19049</v>
      </c>
      <c r="G309" s="10" t="s">
        <v>18631</v>
      </c>
      <c r="H309" s="10" t="s">
        <v>572</v>
      </c>
      <c r="I309" s="10" t="s">
        <v>55</v>
      </c>
      <c r="K309" s="10" t="s">
        <v>19050</v>
      </c>
      <c r="L309" s="10" t="s">
        <v>42</v>
      </c>
    </row>
    <row r="310" ht="15.75" customHeight="1">
      <c r="A310" s="64">
        <v>45489.0</v>
      </c>
      <c r="B310" s="55" t="str">
        <f>HYPERLINK("https://jobright.ai/jobs/info/6696a0e21e4c13c6a6969e71?utm_campaign=1049&amp;utm_source=sheet", "Apply")</f>
        <v>Apply</v>
      </c>
      <c r="C310" s="10" t="s">
        <v>19051</v>
      </c>
      <c r="D310" s="56" t="s">
        <v>13553</v>
      </c>
      <c r="E310" s="10" t="s">
        <v>65</v>
      </c>
      <c r="F310" s="10" t="s">
        <v>12539</v>
      </c>
      <c r="G310" s="10" t="s">
        <v>18779</v>
      </c>
      <c r="H310" s="10" t="s">
        <v>1008</v>
      </c>
      <c r="I310" s="10" t="s">
        <v>55</v>
      </c>
      <c r="K310" s="10" t="s">
        <v>19052</v>
      </c>
      <c r="L310" s="10" t="s">
        <v>42</v>
      </c>
    </row>
    <row r="311" ht="15.75" customHeight="1">
      <c r="A311" s="64">
        <v>45489.0</v>
      </c>
      <c r="B311" s="55" t="str">
        <f>HYPERLINK("https://jobright.ai/jobs/info/669751b9a25c567e77ffc677?utm_campaign=1049&amp;utm_source=sheet", "Apply")</f>
        <v>Apply</v>
      </c>
      <c r="C311" s="10" t="s">
        <v>18665</v>
      </c>
      <c r="D311" s="56" t="s">
        <v>626</v>
      </c>
      <c r="E311" s="59">
        <v>45301.0</v>
      </c>
      <c r="F311" s="10" t="s">
        <v>627</v>
      </c>
      <c r="G311" s="10" t="s">
        <v>18636</v>
      </c>
      <c r="H311" s="10" t="s">
        <v>628</v>
      </c>
      <c r="I311" s="10" t="s">
        <v>55</v>
      </c>
      <c r="K311" s="10" t="s">
        <v>19053</v>
      </c>
      <c r="L311" s="10" t="s">
        <v>42</v>
      </c>
    </row>
    <row r="312" ht="15.75" customHeight="1">
      <c r="A312" s="64">
        <v>45489.0</v>
      </c>
      <c r="B312" s="55" t="str">
        <f>HYPERLINK("https://jobright.ai/jobs/info/6696534f9ffce2bd7106e567?utm_campaign=1049&amp;utm_source=sheet", "Apply")</f>
        <v>Apply</v>
      </c>
      <c r="C312" s="10" t="s">
        <v>18665</v>
      </c>
      <c r="D312" s="56" t="s">
        <v>626</v>
      </c>
      <c r="E312" s="59">
        <v>45301.0</v>
      </c>
      <c r="F312" s="10" t="s">
        <v>627</v>
      </c>
      <c r="G312" s="10" t="s">
        <v>18636</v>
      </c>
      <c r="H312" s="10" t="s">
        <v>628</v>
      </c>
      <c r="I312" s="10" t="s">
        <v>48</v>
      </c>
      <c r="K312" s="10" t="s">
        <v>19053</v>
      </c>
      <c r="L312" s="10" t="s">
        <v>42</v>
      </c>
    </row>
    <row r="313" ht="15.75" customHeight="1">
      <c r="A313" s="64">
        <v>45489.0</v>
      </c>
      <c r="B313" s="55" t="str">
        <f>HYPERLINK("https://jobright.ai/jobs/info/669647906eb71b21fb140bfe?utm_campaign=1049&amp;utm_source=sheet", "Apply")</f>
        <v>Apply</v>
      </c>
      <c r="C313" s="10" t="s">
        <v>19054</v>
      </c>
      <c r="D313" s="56" t="s">
        <v>634</v>
      </c>
      <c r="E313" s="10" t="s">
        <v>65</v>
      </c>
      <c r="F313" s="10" t="s">
        <v>635</v>
      </c>
      <c r="G313" s="10" t="s">
        <v>18636</v>
      </c>
      <c r="H313" s="10" t="s">
        <v>636</v>
      </c>
      <c r="I313" s="10" t="s">
        <v>48</v>
      </c>
      <c r="K313" s="10" t="s">
        <v>19055</v>
      </c>
      <c r="L313" s="10" t="s">
        <v>42</v>
      </c>
    </row>
    <row r="314" ht="15.75" customHeight="1">
      <c r="A314" s="64">
        <v>45489.0</v>
      </c>
      <c r="B314" s="55" t="str">
        <f>HYPERLINK("https://jobright.ai/jobs/info/6691ab4fd78bfc47e3ab1eeb?utm_campaign=1049&amp;utm_source=sheet", "Apply")</f>
        <v>Apply</v>
      </c>
      <c r="C314" s="10" t="s">
        <v>19056</v>
      </c>
      <c r="D314" s="56" t="s">
        <v>634</v>
      </c>
      <c r="E314" s="10" t="s">
        <v>65</v>
      </c>
      <c r="F314" s="10" t="s">
        <v>635</v>
      </c>
      <c r="G314" s="10" t="s">
        <v>18642</v>
      </c>
      <c r="H314" s="10" t="s">
        <v>636</v>
      </c>
      <c r="I314" s="10" t="s">
        <v>48</v>
      </c>
      <c r="K314" s="10" t="s">
        <v>19057</v>
      </c>
      <c r="L314" s="10" t="s">
        <v>42</v>
      </c>
    </row>
    <row r="315" ht="15.75" customHeight="1">
      <c r="A315" s="64">
        <v>45489.0</v>
      </c>
      <c r="B315" s="55" t="str">
        <f>HYPERLINK("https://jobright.ai/jobs/info/6695a895b94864b5c6b18ae4?utm_campaign=1049&amp;utm_source=sheet", "Apply")</f>
        <v>Apply</v>
      </c>
      <c r="C315" s="10" t="s">
        <v>19058</v>
      </c>
      <c r="D315" s="56" t="s">
        <v>9937</v>
      </c>
      <c r="E315" s="10" t="s">
        <v>45</v>
      </c>
      <c r="F315" s="10" t="s">
        <v>9938</v>
      </c>
      <c r="G315" s="10" t="s">
        <v>18636</v>
      </c>
      <c r="H315" s="10" t="s">
        <v>96</v>
      </c>
      <c r="I315" s="10" t="s">
        <v>55</v>
      </c>
      <c r="K315" s="10" t="s">
        <v>18712</v>
      </c>
      <c r="L315" s="10" t="s">
        <v>42</v>
      </c>
    </row>
    <row r="316" ht="15.75" customHeight="1">
      <c r="A316" s="64">
        <v>45489.0</v>
      </c>
      <c r="B316" s="55" t="str">
        <f>HYPERLINK("https://jobright.ai/jobs/info/66965f714d48854a89941bd8?utm_campaign=1049&amp;utm_source=sheet", "Apply")</f>
        <v>Apply</v>
      </c>
      <c r="C316" s="10" t="s">
        <v>19059</v>
      </c>
      <c r="D316" s="56" t="s">
        <v>311</v>
      </c>
      <c r="E316" s="10" t="s">
        <v>45</v>
      </c>
      <c r="F316" s="10" t="s">
        <v>312</v>
      </c>
      <c r="G316" s="10" t="s">
        <v>18636</v>
      </c>
      <c r="H316" s="10" t="s">
        <v>1254</v>
      </c>
      <c r="I316" s="10" t="s">
        <v>55</v>
      </c>
      <c r="J316" s="10" t="s">
        <v>4649</v>
      </c>
      <c r="K316" s="10" t="s">
        <v>19060</v>
      </c>
      <c r="L316" s="10" t="s">
        <v>42</v>
      </c>
    </row>
    <row r="317" ht="15.75" customHeight="1">
      <c r="A317" s="64">
        <v>45489.0</v>
      </c>
      <c r="B317" s="55" t="str">
        <f>HYPERLINK("https://jobright.ai/jobs/info/6695b542ce96cead8e705bd4?utm_campaign=1049&amp;utm_source=sheet", "Apply")</f>
        <v>Apply</v>
      </c>
      <c r="C317" s="10" t="s">
        <v>19058</v>
      </c>
      <c r="D317" s="56" t="s">
        <v>9914</v>
      </c>
      <c r="E317" s="10" t="s">
        <v>249</v>
      </c>
      <c r="F317" s="10" t="s">
        <v>3684</v>
      </c>
      <c r="G317" s="10" t="s">
        <v>18636</v>
      </c>
      <c r="H317" s="10" t="s">
        <v>96</v>
      </c>
      <c r="I317" s="10" t="s">
        <v>55</v>
      </c>
      <c r="K317" s="10" t="s">
        <v>18712</v>
      </c>
      <c r="L317" s="10" t="s">
        <v>42</v>
      </c>
    </row>
    <row r="318" ht="15.75" customHeight="1">
      <c r="A318" s="64">
        <v>45489.0</v>
      </c>
      <c r="B318" s="55" t="str">
        <f>HYPERLINK("https://jobright.ai/jobs/info/66960624f1cb68b066388a2c?utm_campaign=1049&amp;utm_source=sheet", "Apply")</f>
        <v>Apply</v>
      </c>
      <c r="C318" s="10" t="s">
        <v>18926</v>
      </c>
      <c r="D318" s="56" t="s">
        <v>1684</v>
      </c>
      <c r="E318" s="10" t="s">
        <v>209</v>
      </c>
      <c r="F318" s="10" t="s">
        <v>1685</v>
      </c>
      <c r="G318" s="10" t="s">
        <v>18779</v>
      </c>
      <c r="H318" s="10" t="s">
        <v>19061</v>
      </c>
      <c r="I318" s="10" t="s">
        <v>55</v>
      </c>
      <c r="K318" s="10" t="s">
        <v>18928</v>
      </c>
      <c r="L318" s="10" t="s">
        <v>42</v>
      </c>
    </row>
    <row r="319" ht="15.75" customHeight="1">
      <c r="A319" s="64">
        <v>45489.0</v>
      </c>
      <c r="B319" s="55" t="str">
        <f>HYPERLINK("https://jobright.ai/jobs/info/6695dbeea7853ebde0622fd4?utm_campaign=1049&amp;utm_source=sheet", "Apply")</f>
        <v>Apply</v>
      </c>
      <c r="C319" s="10" t="s">
        <v>18926</v>
      </c>
      <c r="D319" s="56" t="s">
        <v>1684</v>
      </c>
      <c r="E319" s="10" t="s">
        <v>209</v>
      </c>
      <c r="F319" s="10" t="s">
        <v>1685</v>
      </c>
      <c r="G319" s="10" t="s">
        <v>18779</v>
      </c>
      <c r="H319" s="10" t="s">
        <v>19062</v>
      </c>
      <c r="I319" s="10" t="s">
        <v>55</v>
      </c>
      <c r="K319" s="10" t="s">
        <v>18928</v>
      </c>
      <c r="L319" s="10" t="s">
        <v>42</v>
      </c>
    </row>
    <row r="320" ht="15.75" customHeight="1">
      <c r="A320" s="64">
        <v>45489.0</v>
      </c>
      <c r="B320" s="55" t="str">
        <f>HYPERLINK("https://jobright.ai/jobs/info/6695dbeea7853ebde0622fd3?utm_campaign=1049&amp;utm_source=sheet", "Apply")</f>
        <v>Apply</v>
      </c>
      <c r="C320" s="10" t="s">
        <v>18926</v>
      </c>
      <c r="D320" s="56" t="s">
        <v>1684</v>
      </c>
      <c r="E320" s="10" t="s">
        <v>209</v>
      </c>
      <c r="F320" s="10" t="s">
        <v>1685</v>
      </c>
      <c r="G320" s="10" t="s">
        <v>18779</v>
      </c>
      <c r="H320" s="10" t="s">
        <v>19063</v>
      </c>
      <c r="I320" s="10" t="s">
        <v>55</v>
      </c>
      <c r="K320" s="10" t="s">
        <v>18928</v>
      </c>
      <c r="L320" s="10" t="s">
        <v>42</v>
      </c>
    </row>
    <row r="321" ht="15.75" customHeight="1">
      <c r="A321" s="64">
        <v>45489.0</v>
      </c>
      <c r="B321" s="55" t="str">
        <f>HYPERLINK("https://jobright.ai/jobs/info/66964cf272f6951615953fc0?utm_campaign=1049&amp;utm_source=sheet", "Apply")</f>
        <v>Apply</v>
      </c>
      <c r="C321" s="10" t="s">
        <v>18926</v>
      </c>
      <c r="D321" s="56" t="s">
        <v>1684</v>
      </c>
      <c r="E321" s="10" t="s">
        <v>209</v>
      </c>
      <c r="F321" s="10" t="s">
        <v>1685</v>
      </c>
      <c r="G321" s="10" t="s">
        <v>18779</v>
      </c>
      <c r="H321" s="10" t="s">
        <v>19064</v>
      </c>
      <c r="I321" s="10" t="s">
        <v>55</v>
      </c>
      <c r="K321" s="10" t="s">
        <v>18928</v>
      </c>
      <c r="L321" s="10" t="s">
        <v>42</v>
      </c>
    </row>
    <row r="322" ht="15.75" customHeight="1">
      <c r="A322" s="64">
        <v>45489.0</v>
      </c>
      <c r="B322" s="55" t="str">
        <f>HYPERLINK("https://jobright.ai/jobs/info/66964cf272f6951615953fc1?utm_campaign=1049&amp;utm_source=sheet", "Apply")</f>
        <v>Apply</v>
      </c>
      <c r="C322" s="10" t="s">
        <v>18926</v>
      </c>
      <c r="D322" s="56" t="s">
        <v>1684</v>
      </c>
      <c r="E322" s="10" t="s">
        <v>209</v>
      </c>
      <c r="F322" s="10" t="s">
        <v>1685</v>
      </c>
      <c r="G322" s="10" t="s">
        <v>18779</v>
      </c>
      <c r="H322" s="10" t="s">
        <v>19065</v>
      </c>
      <c r="I322" s="10" t="s">
        <v>55</v>
      </c>
      <c r="K322" s="10" t="s">
        <v>18928</v>
      </c>
      <c r="L322" s="10" t="s">
        <v>42</v>
      </c>
    </row>
    <row r="323" ht="15.75" customHeight="1">
      <c r="A323" s="64">
        <v>45489.0</v>
      </c>
      <c r="B323" s="55" t="str">
        <f>HYPERLINK("https://jobright.ai/jobs/info/6696e64c306ae4dbbd38c074?utm_campaign=1049&amp;utm_source=sheet", "Apply")</f>
        <v>Apply</v>
      </c>
      <c r="C323" s="10" t="s">
        <v>18926</v>
      </c>
      <c r="D323" s="56" t="s">
        <v>1684</v>
      </c>
      <c r="E323" s="10" t="s">
        <v>209</v>
      </c>
      <c r="F323" s="10" t="s">
        <v>1685</v>
      </c>
      <c r="G323" s="10" t="s">
        <v>18779</v>
      </c>
      <c r="H323" s="10" t="s">
        <v>12767</v>
      </c>
      <c r="I323" s="10" t="s">
        <v>55</v>
      </c>
      <c r="K323" s="10" t="s">
        <v>18928</v>
      </c>
      <c r="L323" s="10" t="s">
        <v>42</v>
      </c>
    </row>
    <row r="324" ht="15.75" customHeight="1">
      <c r="A324" s="64">
        <v>45489.0</v>
      </c>
      <c r="B324" s="55" t="str">
        <f>HYPERLINK("https://jobright.ai/jobs/info/66970e861756c5bd63824827?utm_campaign=1049&amp;utm_source=sheet", "Apply")</f>
        <v>Apply</v>
      </c>
      <c r="C324" s="10" t="s">
        <v>18926</v>
      </c>
      <c r="D324" s="56" t="s">
        <v>1684</v>
      </c>
      <c r="E324" s="10" t="s">
        <v>209</v>
      </c>
      <c r="F324" s="10" t="s">
        <v>1685</v>
      </c>
      <c r="G324" s="10" t="s">
        <v>18779</v>
      </c>
      <c r="H324" s="10" t="s">
        <v>7824</v>
      </c>
      <c r="I324" s="10" t="s">
        <v>55</v>
      </c>
      <c r="K324" s="10" t="s">
        <v>18928</v>
      </c>
      <c r="L324" s="10" t="s">
        <v>42</v>
      </c>
    </row>
    <row r="325" ht="15.75" customHeight="1">
      <c r="A325" s="64">
        <v>45489.0</v>
      </c>
      <c r="B325" s="55" t="str">
        <f>HYPERLINK("https://jobright.ai/jobs/info/66970e861756c5bd63824828?utm_campaign=1049&amp;utm_source=sheet", "Apply")</f>
        <v>Apply</v>
      </c>
      <c r="C325" s="10" t="s">
        <v>18926</v>
      </c>
      <c r="D325" s="56" t="s">
        <v>1684</v>
      </c>
      <c r="E325" s="10" t="s">
        <v>209</v>
      </c>
      <c r="F325" s="10" t="s">
        <v>1685</v>
      </c>
      <c r="G325" s="10" t="s">
        <v>18779</v>
      </c>
      <c r="H325" s="10" t="s">
        <v>19066</v>
      </c>
      <c r="I325" s="10" t="s">
        <v>55</v>
      </c>
      <c r="K325" s="10" t="s">
        <v>18928</v>
      </c>
      <c r="L325" s="10" t="s">
        <v>42</v>
      </c>
    </row>
    <row r="326" ht="15.75" customHeight="1">
      <c r="A326" s="64">
        <v>45489.0</v>
      </c>
      <c r="B326" s="55" t="str">
        <f>HYPERLINK("https://jobright.ai/jobs/info/66968f124297919dbbc5470f?utm_campaign=1049&amp;utm_source=sheet", "Apply")</f>
        <v>Apply</v>
      </c>
      <c r="C326" s="10" t="s">
        <v>18926</v>
      </c>
      <c r="D326" s="56" t="s">
        <v>1684</v>
      </c>
      <c r="E326" s="10" t="s">
        <v>209</v>
      </c>
      <c r="F326" s="10" t="s">
        <v>1685</v>
      </c>
      <c r="G326" s="10" t="s">
        <v>18779</v>
      </c>
      <c r="H326" s="10" t="s">
        <v>604</v>
      </c>
      <c r="I326" s="10" t="s">
        <v>55</v>
      </c>
      <c r="K326" s="10" t="s">
        <v>18928</v>
      </c>
      <c r="L326" s="10" t="s">
        <v>42</v>
      </c>
    </row>
    <row r="327" ht="15.75" customHeight="1">
      <c r="A327" s="64">
        <v>45489.0</v>
      </c>
      <c r="B327" s="55" t="str">
        <f>HYPERLINK("https://jobright.ai/jobs/info/66968f124297919dbbc54710?utm_campaign=1049&amp;utm_source=sheet", "Apply")</f>
        <v>Apply</v>
      </c>
      <c r="C327" s="10" t="s">
        <v>18926</v>
      </c>
      <c r="D327" s="56" t="s">
        <v>1684</v>
      </c>
      <c r="E327" s="10" t="s">
        <v>209</v>
      </c>
      <c r="F327" s="10" t="s">
        <v>1685</v>
      </c>
      <c r="G327" s="10" t="s">
        <v>18779</v>
      </c>
      <c r="H327" s="10" t="s">
        <v>19067</v>
      </c>
      <c r="I327" s="10" t="s">
        <v>55</v>
      </c>
      <c r="K327" s="10" t="s">
        <v>18928</v>
      </c>
      <c r="L327" s="10" t="s">
        <v>42</v>
      </c>
    </row>
    <row r="328" ht="15.75" customHeight="1">
      <c r="A328" s="64">
        <v>45489.0</v>
      </c>
      <c r="B328" s="55" t="str">
        <f>HYPERLINK("https://jobright.ai/jobs/info/66968f124297919dbbc54713?utm_campaign=1049&amp;utm_source=sheet", "Apply")</f>
        <v>Apply</v>
      </c>
      <c r="C328" s="10" t="s">
        <v>18926</v>
      </c>
      <c r="D328" s="56" t="s">
        <v>1684</v>
      </c>
      <c r="E328" s="10" t="s">
        <v>209</v>
      </c>
      <c r="F328" s="10" t="s">
        <v>1685</v>
      </c>
      <c r="G328" s="10" t="s">
        <v>18779</v>
      </c>
      <c r="H328" s="10" t="s">
        <v>833</v>
      </c>
      <c r="I328" s="10" t="s">
        <v>55</v>
      </c>
      <c r="K328" s="10" t="s">
        <v>18928</v>
      </c>
      <c r="L328" s="10" t="s">
        <v>42</v>
      </c>
    </row>
    <row r="329" ht="15.75" customHeight="1">
      <c r="A329" s="64">
        <v>45489.0</v>
      </c>
      <c r="B329" s="55" t="str">
        <f>HYPERLINK("https://jobright.ai/jobs/info/66968f124297919dbbc54711?utm_campaign=1049&amp;utm_source=sheet", "Apply")</f>
        <v>Apply</v>
      </c>
      <c r="C329" s="10" t="s">
        <v>18926</v>
      </c>
      <c r="D329" s="56" t="s">
        <v>1684</v>
      </c>
      <c r="E329" s="10" t="s">
        <v>209</v>
      </c>
      <c r="F329" s="10" t="s">
        <v>1685</v>
      </c>
      <c r="G329" s="10" t="s">
        <v>18779</v>
      </c>
      <c r="H329" s="10" t="s">
        <v>19068</v>
      </c>
      <c r="I329" s="10" t="s">
        <v>55</v>
      </c>
      <c r="K329" s="10" t="s">
        <v>18928</v>
      </c>
      <c r="L329" s="10" t="s">
        <v>42</v>
      </c>
    </row>
    <row r="330" ht="15.75" customHeight="1">
      <c r="A330" s="64">
        <v>45489.0</v>
      </c>
      <c r="B330" s="55" t="str">
        <f>HYPERLINK("https://jobright.ai/jobs/info/66968f124297919dbbc54712?utm_campaign=1049&amp;utm_source=sheet", "Apply")</f>
        <v>Apply</v>
      </c>
      <c r="C330" s="10" t="s">
        <v>18926</v>
      </c>
      <c r="D330" s="56" t="s">
        <v>1684</v>
      </c>
      <c r="E330" s="10" t="s">
        <v>209</v>
      </c>
      <c r="F330" s="10" t="s">
        <v>1685</v>
      </c>
      <c r="G330" s="10" t="s">
        <v>18779</v>
      </c>
      <c r="H330" s="10" t="s">
        <v>6359</v>
      </c>
      <c r="I330" s="10" t="s">
        <v>55</v>
      </c>
      <c r="K330" s="10" t="s">
        <v>18928</v>
      </c>
      <c r="L330" s="10" t="s">
        <v>42</v>
      </c>
    </row>
    <row r="331" ht="15.75" customHeight="1">
      <c r="A331" s="64">
        <v>45489.0</v>
      </c>
      <c r="B331" s="55" t="str">
        <f>HYPERLINK("https://jobright.ai/jobs/info/669610145a299d51103bb7dd?utm_campaign=1049&amp;utm_source=sheet", "Apply")</f>
        <v>Apply</v>
      </c>
      <c r="C331" s="10" t="s">
        <v>18926</v>
      </c>
      <c r="D331" s="56" t="s">
        <v>1684</v>
      </c>
      <c r="E331" s="10" t="s">
        <v>209</v>
      </c>
      <c r="F331" s="10" t="s">
        <v>1685</v>
      </c>
      <c r="G331" s="10" t="s">
        <v>18779</v>
      </c>
      <c r="H331" s="10" t="s">
        <v>19069</v>
      </c>
      <c r="I331" s="10" t="s">
        <v>55</v>
      </c>
      <c r="K331" s="10" t="s">
        <v>18928</v>
      </c>
      <c r="L331" s="10" t="s">
        <v>42</v>
      </c>
    </row>
    <row r="332" ht="15.75" customHeight="1">
      <c r="A332" s="64">
        <v>45489.0</v>
      </c>
      <c r="B332" s="55" t="str">
        <f>HYPERLINK("https://jobright.ai/jobs/info/6695d48773d347b82c0531e6?utm_campaign=1049&amp;utm_source=sheet", "Apply")</f>
        <v>Apply</v>
      </c>
      <c r="C332" s="10" t="s">
        <v>18926</v>
      </c>
      <c r="D332" s="56" t="s">
        <v>1684</v>
      </c>
      <c r="E332" s="10" t="s">
        <v>209</v>
      </c>
      <c r="F332" s="10" t="s">
        <v>1685</v>
      </c>
      <c r="G332" s="10" t="s">
        <v>18779</v>
      </c>
      <c r="H332" s="10" t="s">
        <v>19070</v>
      </c>
      <c r="I332" s="10" t="s">
        <v>55</v>
      </c>
      <c r="K332" s="10" t="s">
        <v>18928</v>
      </c>
      <c r="L332" s="10" t="s">
        <v>42</v>
      </c>
    </row>
    <row r="333" ht="15.75" customHeight="1">
      <c r="A333" s="64">
        <v>45489.0</v>
      </c>
      <c r="B333" s="55" t="str">
        <f>HYPERLINK("https://jobright.ai/jobs/info/6695d48773d347b82c0531e7?utm_campaign=1049&amp;utm_source=sheet", "Apply")</f>
        <v>Apply</v>
      </c>
      <c r="C333" s="10" t="s">
        <v>18926</v>
      </c>
      <c r="D333" s="56" t="s">
        <v>1684</v>
      </c>
      <c r="E333" s="10" t="s">
        <v>209</v>
      </c>
      <c r="F333" s="10" t="s">
        <v>1685</v>
      </c>
      <c r="G333" s="10" t="s">
        <v>18779</v>
      </c>
      <c r="H333" s="10" t="s">
        <v>3050</v>
      </c>
      <c r="I333" s="10" t="s">
        <v>55</v>
      </c>
      <c r="K333" s="10" t="s">
        <v>18928</v>
      </c>
      <c r="L333" s="10" t="s">
        <v>42</v>
      </c>
    </row>
    <row r="334" ht="15.75" customHeight="1">
      <c r="A334" s="64">
        <v>45489.0</v>
      </c>
      <c r="B334" s="55" t="str">
        <f>HYPERLINK("https://jobright.ai/jobs/info/6695d48773d347b82c0531e8?utm_campaign=1049&amp;utm_source=sheet", "Apply")</f>
        <v>Apply</v>
      </c>
      <c r="C334" s="10" t="s">
        <v>18926</v>
      </c>
      <c r="D334" s="56" t="s">
        <v>1684</v>
      </c>
      <c r="E334" s="10" t="s">
        <v>209</v>
      </c>
      <c r="F334" s="10" t="s">
        <v>1685</v>
      </c>
      <c r="G334" s="10" t="s">
        <v>18779</v>
      </c>
      <c r="H334" s="10" t="s">
        <v>19071</v>
      </c>
      <c r="I334" s="10" t="s">
        <v>55</v>
      </c>
      <c r="K334" s="10" t="s">
        <v>18928</v>
      </c>
      <c r="L334" s="10" t="s">
        <v>42</v>
      </c>
    </row>
    <row r="335" ht="15.75" customHeight="1">
      <c r="A335" s="64">
        <v>45489.0</v>
      </c>
      <c r="B335" s="55" t="str">
        <f>HYPERLINK("https://jobright.ai/jobs/info/6695d48773d347b82c0531eb?utm_campaign=1049&amp;utm_source=sheet", "Apply")</f>
        <v>Apply</v>
      </c>
      <c r="C335" s="10" t="s">
        <v>18926</v>
      </c>
      <c r="D335" s="56" t="s">
        <v>1684</v>
      </c>
      <c r="E335" s="10" t="s">
        <v>209</v>
      </c>
      <c r="F335" s="10" t="s">
        <v>1685</v>
      </c>
      <c r="G335" s="10" t="s">
        <v>18779</v>
      </c>
      <c r="H335" s="10" t="s">
        <v>19072</v>
      </c>
      <c r="I335" s="10" t="s">
        <v>55</v>
      </c>
      <c r="K335" s="10" t="s">
        <v>18928</v>
      </c>
      <c r="L335" s="10" t="s">
        <v>42</v>
      </c>
    </row>
    <row r="336" ht="15.75" customHeight="1">
      <c r="A336" s="64">
        <v>45489.0</v>
      </c>
      <c r="B336" s="55" t="str">
        <f>HYPERLINK("https://jobright.ai/jobs/info/6695d48773d347b82c0531ea?utm_campaign=1049&amp;utm_source=sheet", "Apply")</f>
        <v>Apply</v>
      </c>
      <c r="C336" s="10" t="s">
        <v>18926</v>
      </c>
      <c r="D336" s="56" t="s">
        <v>1684</v>
      </c>
      <c r="E336" s="10" t="s">
        <v>209</v>
      </c>
      <c r="F336" s="10" t="s">
        <v>1685</v>
      </c>
      <c r="G336" s="10" t="s">
        <v>18779</v>
      </c>
      <c r="H336" s="10" t="s">
        <v>1050</v>
      </c>
      <c r="I336" s="10" t="s">
        <v>55</v>
      </c>
      <c r="K336" s="10" t="s">
        <v>18928</v>
      </c>
      <c r="L336" s="10" t="s">
        <v>42</v>
      </c>
    </row>
    <row r="337" ht="15.75" customHeight="1">
      <c r="A337" s="64">
        <v>45489.0</v>
      </c>
      <c r="B337" s="55" t="str">
        <f>HYPERLINK("https://jobright.ai/jobs/info/6695d48773d347b82c0531e9?utm_campaign=1049&amp;utm_source=sheet", "Apply")</f>
        <v>Apply</v>
      </c>
      <c r="C337" s="10" t="s">
        <v>18926</v>
      </c>
      <c r="D337" s="56" t="s">
        <v>1684</v>
      </c>
      <c r="E337" s="10" t="s">
        <v>209</v>
      </c>
      <c r="F337" s="10" t="s">
        <v>1685</v>
      </c>
      <c r="G337" s="10" t="s">
        <v>18779</v>
      </c>
      <c r="H337" s="10" t="s">
        <v>839</v>
      </c>
      <c r="I337" s="10" t="s">
        <v>55</v>
      </c>
      <c r="K337" s="10" t="s">
        <v>18928</v>
      </c>
      <c r="L337" s="10" t="s">
        <v>42</v>
      </c>
    </row>
    <row r="338" ht="15.75" customHeight="1">
      <c r="A338" s="64">
        <v>45489.0</v>
      </c>
      <c r="B338" s="55" t="str">
        <f>HYPERLINK("https://jobright.ai/jobs/info/6695d0dd44c53245755de3a8?utm_campaign=1049&amp;utm_source=sheet", "Apply")</f>
        <v>Apply</v>
      </c>
      <c r="C338" s="10" t="s">
        <v>18926</v>
      </c>
      <c r="D338" s="56" t="s">
        <v>1684</v>
      </c>
      <c r="E338" s="10" t="s">
        <v>209</v>
      </c>
      <c r="F338" s="10" t="s">
        <v>1685</v>
      </c>
      <c r="G338" s="10" t="s">
        <v>18779</v>
      </c>
      <c r="H338" s="10" t="s">
        <v>19073</v>
      </c>
      <c r="I338" s="10" t="s">
        <v>55</v>
      </c>
      <c r="K338" s="10" t="s">
        <v>18928</v>
      </c>
      <c r="L338" s="10" t="s">
        <v>42</v>
      </c>
    </row>
    <row r="339" ht="15.75" customHeight="1">
      <c r="A339" s="64">
        <v>45489.0</v>
      </c>
      <c r="B339" s="55" t="str">
        <f>HYPERLINK("https://jobright.ai/jobs/info/6695d0dd44c53245755de3a9?utm_campaign=1049&amp;utm_source=sheet", "Apply")</f>
        <v>Apply</v>
      </c>
      <c r="C339" s="10" t="s">
        <v>18926</v>
      </c>
      <c r="D339" s="56" t="s">
        <v>1684</v>
      </c>
      <c r="E339" s="10" t="s">
        <v>209</v>
      </c>
      <c r="F339" s="10" t="s">
        <v>1685</v>
      </c>
      <c r="G339" s="10" t="s">
        <v>18779</v>
      </c>
      <c r="H339" s="10" t="s">
        <v>891</v>
      </c>
      <c r="I339" s="10" t="s">
        <v>55</v>
      </c>
      <c r="K339" s="10" t="s">
        <v>18928</v>
      </c>
      <c r="L339" s="10" t="s">
        <v>42</v>
      </c>
    </row>
    <row r="340" ht="15.75" customHeight="1">
      <c r="A340" s="64">
        <v>45489.0</v>
      </c>
      <c r="B340" s="55" t="str">
        <f>HYPERLINK("https://jobright.ai/jobs/info/6695d0dd44c53245755de3aa?utm_campaign=1049&amp;utm_source=sheet", "Apply")</f>
        <v>Apply</v>
      </c>
      <c r="C340" s="10" t="s">
        <v>18926</v>
      </c>
      <c r="D340" s="56" t="s">
        <v>1684</v>
      </c>
      <c r="E340" s="10" t="s">
        <v>209</v>
      </c>
      <c r="F340" s="10" t="s">
        <v>1685</v>
      </c>
      <c r="G340" s="10" t="s">
        <v>18779</v>
      </c>
      <c r="H340" s="10" t="s">
        <v>1022</v>
      </c>
      <c r="I340" s="10" t="s">
        <v>55</v>
      </c>
      <c r="K340" s="10" t="s">
        <v>18928</v>
      </c>
      <c r="L340" s="10" t="s">
        <v>42</v>
      </c>
    </row>
    <row r="341" ht="15.75" customHeight="1">
      <c r="A341" s="64">
        <v>45489.0</v>
      </c>
      <c r="B341" s="55" t="str">
        <f>HYPERLINK("https://jobright.ai/jobs/info/6695d0dd44c53245755de3b5?utm_campaign=1049&amp;utm_source=sheet", "Apply")</f>
        <v>Apply</v>
      </c>
      <c r="C341" s="10" t="s">
        <v>18926</v>
      </c>
      <c r="D341" s="56" t="s">
        <v>1684</v>
      </c>
      <c r="E341" s="10" t="s">
        <v>209</v>
      </c>
      <c r="F341" s="10" t="s">
        <v>1685</v>
      </c>
      <c r="G341" s="10" t="s">
        <v>18779</v>
      </c>
      <c r="H341" s="10" t="s">
        <v>12987</v>
      </c>
      <c r="I341" s="10" t="s">
        <v>55</v>
      </c>
      <c r="K341" s="10" t="s">
        <v>18928</v>
      </c>
      <c r="L341" s="10" t="s">
        <v>42</v>
      </c>
    </row>
    <row r="342" ht="15.75" customHeight="1">
      <c r="A342" s="64">
        <v>45489.0</v>
      </c>
      <c r="B342" s="55" t="str">
        <f>HYPERLINK("https://jobright.ai/jobs/info/6695d0dd44c53245755de3b6?utm_campaign=1049&amp;utm_source=sheet", "Apply")</f>
        <v>Apply</v>
      </c>
      <c r="C342" s="10" t="s">
        <v>18926</v>
      </c>
      <c r="D342" s="56" t="s">
        <v>1684</v>
      </c>
      <c r="E342" s="10" t="s">
        <v>209</v>
      </c>
      <c r="F342" s="10" t="s">
        <v>1685</v>
      </c>
      <c r="G342" s="10" t="s">
        <v>18779</v>
      </c>
      <c r="H342" s="10" t="s">
        <v>2679</v>
      </c>
      <c r="I342" s="10" t="s">
        <v>55</v>
      </c>
      <c r="K342" s="10" t="s">
        <v>18928</v>
      </c>
      <c r="L342" s="10" t="s">
        <v>42</v>
      </c>
    </row>
    <row r="343" ht="15.75" customHeight="1">
      <c r="A343" s="64">
        <v>45489.0</v>
      </c>
      <c r="B343" s="55" t="str">
        <f>HYPERLINK("https://jobright.ai/jobs/info/6695d0dd44c53245755de3b7?utm_campaign=1049&amp;utm_source=sheet", "Apply")</f>
        <v>Apply</v>
      </c>
      <c r="C343" s="10" t="s">
        <v>18926</v>
      </c>
      <c r="D343" s="56" t="s">
        <v>1684</v>
      </c>
      <c r="E343" s="10" t="s">
        <v>209</v>
      </c>
      <c r="F343" s="10" t="s">
        <v>1685</v>
      </c>
      <c r="G343" s="10" t="s">
        <v>18779</v>
      </c>
      <c r="H343" s="10" t="s">
        <v>10665</v>
      </c>
      <c r="I343" s="10" t="s">
        <v>55</v>
      </c>
      <c r="K343" s="10" t="s">
        <v>18928</v>
      </c>
      <c r="L343" s="10" t="s">
        <v>42</v>
      </c>
    </row>
    <row r="344" ht="15.75" customHeight="1">
      <c r="A344" s="64">
        <v>45489.0</v>
      </c>
      <c r="B344" s="55" t="str">
        <f>HYPERLINK("https://jobright.ai/jobs/info/6695d0dd44c53245755de3b8?utm_campaign=1049&amp;utm_source=sheet", "Apply")</f>
        <v>Apply</v>
      </c>
      <c r="C344" s="10" t="s">
        <v>18926</v>
      </c>
      <c r="D344" s="56" t="s">
        <v>1684</v>
      </c>
      <c r="E344" s="10" t="s">
        <v>209</v>
      </c>
      <c r="F344" s="10" t="s">
        <v>1685</v>
      </c>
      <c r="G344" s="10" t="s">
        <v>18779</v>
      </c>
      <c r="H344" s="10" t="s">
        <v>1688</v>
      </c>
      <c r="I344" s="10" t="s">
        <v>55</v>
      </c>
      <c r="K344" s="10" t="s">
        <v>18928</v>
      </c>
      <c r="L344" s="10" t="s">
        <v>42</v>
      </c>
    </row>
    <row r="345" ht="15.75" customHeight="1">
      <c r="A345" s="64">
        <v>45489.0</v>
      </c>
      <c r="B345" s="55" t="str">
        <f>HYPERLINK("https://jobright.ai/jobs/info/6695d0dd44c53245755de3bb?utm_campaign=1049&amp;utm_source=sheet", "Apply")</f>
        <v>Apply</v>
      </c>
      <c r="C345" s="10" t="s">
        <v>18926</v>
      </c>
      <c r="D345" s="56" t="s">
        <v>1684</v>
      </c>
      <c r="E345" s="10" t="s">
        <v>209</v>
      </c>
      <c r="F345" s="10" t="s">
        <v>1685</v>
      </c>
      <c r="G345" s="10" t="s">
        <v>18779</v>
      </c>
      <c r="H345" s="10" t="s">
        <v>7646</v>
      </c>
      <c r="I345" s="10" t="s">
        <v>55</v>
      </c>
      <c r="K345" s="10" t="s">
        <v>18928</v>
      </c>
      <c r="L345" s="10" t="s">
        <v>42</v>
      </c>
    </row>
    <row r="346" ht="15.75" customHeight="1">
      <c r="A346" s="64">
        <v>45489.0</v>
      </c>
      <c r="B346" s="55" t="str">
        <f>HYPERLINK("https://jobright.ai/jobs/info/6695d0dd44c53245755de3b9?utm_campaign=1049&amp;utm_source=sheet", "Apply")</f>
        <v>Apply</v>
      </c>
      <c r="C346" s="10" t="s">
        <v>18926</v>
      </c>
      <c r="D346" s="56" t="s">
        <v>1684</v>
      </c>
      <c r="E346" s="10" t="s">
        <v>209</v>
      </c>
      <c r="F346" s="10" t="s">
        <v>1685</v>
      </c>
      <c r="G346" s="10" t="s">
        <v>18779</v>
      </c>
      <c r="H346" s="10" t="s">
        <v>767</v>
      </c>
      <c r="I346" s="10" t="s">
        <v>55</v>
      </c>
      <c r="K346" s="10" t="s">
        <v>18928</v>
      </c>
      <c r="L346" s="10" t="s">
        <v>42</v>
      </c>
    </row>
    <row r="347" ht="15.75" customHeight="1">
      <c r="A347" s="64">
        <v>45489.0</v>
      </c>
      <c r="B347" s="55" t="str">
        <f>HYPERLINK("https://jobright.ai/jobs/info/6695d0dd44c53245755de3bc?utm_campaign=1049&amp;utm_source=sheet", "Apply")</f>
        <v>Apply</v>
      </c>
      <c r="C347" s="10" t="s">
        <v>18926</v>
      </c>
      <c r="D347" s="56" t="s">
        <v>1684</v>
      </c>
      <c r="E347" s="10" t="s">
        <v>209</v>
      </c>
      <c r="F347" s="10" t="s">
        <v>1685</v>
      </c>
      <c r="G347" s="10" t="s">
        <v>18779</v>
      </c>
      <c r="H347" s="10" t="s">
        <v>2674</v>
      </c>
      <c r="I347" s="10" t="s">
        <v>55</v>
      </c>
      <c r="K347" s="10" t="s">
        <v>18928</v>
      </c>
      <c r="L347" s="10" t="s">
        <v>42</v>
      </c>
    </row>
    <row r="348" ht="15.75" customHeight="1">
      <c r="A348" s="64">
        <v>45489.0</v>
      </c>
      <c r="B348" s="55" t="str">
        <f>HYPERLINK("https://jobright.ai/jobs/info/6695d0dd44c53245755de3ba?utm_campaign=1049&amp;utm_source=sheet", "Apply")</f>
        <v>Apply</v>
      </c>
      <c r="C348" s="10" t="s">
        <v>18926</v>
      </c>
      <c r="D348" s="56" t="s">
        <v>1684</v>
      </c>
      <c r="E348" s="10" t="s">
        <v>209</v>
      </c>
      <c r="F348" s="10" t="s">
        <v>1685</v>
      </c>
      <c r="G348" s="10" t="s">
        <v>18779</v>
      </c>
      <c r="H348" s="10" t="s">
        <v>101</v>
      </c>
      <c r="I348" s="10" t="s">
        <v>55</v>
      </c>
      <c r="K348" s="10" t="s">
        <v>18928</v>
      </c>
      <c r="L348" s="10" t="s">
        <v>42</v>
      </c>
    </row>
    <row r="349" ht="15.75" customHeight="1">
      <c r="A349" s="64">
        <v>45489.0</v>
      </c>
      <c r="B349" s="55" t="str">
        <f>HYPERLINK("https://jobright.ai/jobs/info/6695d0dd44c53245755de3be?utm_campaign=1049&amp;utm_source=sheet", "Apply")</f>
        <v>Apply</v>
      </c>
      <c r="C349" s="10" t="s">
        <v>18926</v>
      </c>
      <c r="D349" s="56" t="s">
        <v>1684</v>
      </c>
      <c r="E349" s="10" t="s">
        <v>209</v>
      </c>
      <c r="F349" s="10" t="s">
        <v>1685</v>
      </c>
      <c r="G349" s="10" t="s">
        <v>18779</v>
      </c>
      <c r="H349" s="10" t="s">
        <v>12857</v>
      </c>
      <c r="I349" s="10" t="s">
        <v>55</v>
      </c>
      <c r="K349" s="10" t="s">
        <v>18928</v>
      </c>
      <c r="L349" s="10" t="s">
        <v>42</v>
      </c>
    </row>
    <row r="350" ht="15.75" customHeight="1">
      <c r="A350" s="64">
        <v>45489.0</v>
      </c>
      <c r="B350" s="55" t="str">
        <f>HYPERLINK("https://jobright.ai/jobs/info/6695d0dd44c53245755de3c0?utm_campaign=1049&amp;utm_source=sheet", "Apply")</f>
        <v>Apply</v>
      </c>
      <c r="C350" s="10" t="s">
        <v>18926</v>
      </c>
      <c r="D350" s="56" t="s">
        <v>1684</v>
      </c>
      <c r="E350" s="10" t="s">
        <v>209</v>
      </c>
      <c r="F350" s="10" t="s">
        <v>1685</v>
      </c>
      <c r="G350" s="10" t="s">
        <v>18779</v>
      </c>
      <c r="H350" s="10" t="s">
        <v>19074</v>
      </c>
      <c r="I350" s="10" t="s">
        <v>55</v>
      </c>
      <c r="K350" s="10" t="s">
        <v>18928</v>
      </c>
      <c r="L350" s="10" t="s">
        <v>42</v>
      </c>
    </row>
    <row r="351" ht="15.75" customHeight="1">
      <c r="A351" s="64">
        <v>45489.0</v>
      </c>
      <c r="B351" s="55" t="str">
        <f>HYPERLINK("https://jobright.ai/jobs/info/6695d0dd44c53245755de3bf?utm_campaign=1049&amp;utm_source=sheet", "Apply")</f>
        <v>Apply</v>
      </c>
      <c r="C351" s="10" t="s">
        <v>18926</v>
      </c>
      <c r="D351" s="56" t="s">
        <v>1684</v>
      </c>
      <c r="E351" s="10" t="s">
        <v>209</v>
      </c>
      <c r="F351" s="10" t="s">
        <v>1685</v>
      </c>
      <c r="G351" s="10" t="s">
        <v>18779</v>
      </c>
      <c r="H351" s="10" t="s">
        <v>4221</v>
      </c>
      <c r="I351" s="10" t="s">
        <v>55</v>
      </c>
      <c r="K351" s="10" t="s">
        <v>18928</v>
      </c>
      <c r="L351" s="10" t="s">
        <v>42</v>
      </c>
    </row>
    <row r="352" ht="15.75" customHeight="1">
      <c r="A352" s="64">
        <v>45489.0</v>
      </c>
      <c r="B352" s="55" t="str">
        <f>HYPERLINK("https://jobright.ai/jobs/info/6695d0dd44c53245755de3bd?utm_campaign=1049&amp;utm_source=sheet", "Apply")</f>
        <v>Apply</v>
      </c>
      <c r="C352" s="10" t="s">
        <v>18926</v>
      </c>
      <c r="D352" s="56" t="s">
        <v>1684</v>
      </c>
      <c r="E352" s="10" t="s">
        <v>209</v>
      </c>
      <c r="F352" s="10" t="s">
        <v>1685</v>
      </c>
      <c r="G352" s="10" t="s">
        <v>18779</v>
      </c>
      <c r="H352" s="10" t="s">
        <v>2829</v>
      </c>
      <c r="I352" s="10" t="s">
        <v>55</v>
      </c>
      <c r="K352" s="10" t="s">
        <v>18928</v>
      </c>
      <c r="L352" s="10" t="s">
        <v>42</v>
      </c>
    </row>
    <row r="353" ht="15.75" customHeight="1">
      <c r="A353" s="64">
        <v>45489.0</v>
      </c>
      <c r="B353" s="55" t="str">
        <f>HYPERLINK("https://jobright.ai/jobs/info/6695d0dd44c53245755de3c1?utm_campaign=1049&amp;utm_source=sheet", "Apply")</f>
        <v>Apply</v>
      </c>
      <c r="C353" s="10" t="s">
        <v>18926</v>
      </c>
      <c r="D353" s="56" t="s">
        <v>1684</v>
      </c>
      <c r="E353" s="10" t="s">
        <v>209</v>
      </c>
      <c r="F353" s="10" t="s">
        <v>1685</v>
      </c>
      <c r="G353" s="10" t="s">
        <v>18779</v>
      </c>
      <c r="H353" s="10" t="s">
        <v>13379</v>
      </c>
      <c r="I353" s="10" t="s">
        <v>55</v>
      </c>
      <c r="K353" s="10" t="s">
        <v>18928</v>
      </c>
      <c r="L353" s="10" t="s">
        <v>42</v>
      </c>
    </row>
    <row r="354" ht="15.75" customHeight="1">
      <c r="A354" s="64">
        <v>45489.0</v>
      </c>
      <c r="B354" s="55" t="str">
        <f>HYPERLINK("https://jobright.ai/jobs/info/6695d0dd44c53245755de3c3?utm_campaign=1049&amp;utm_source=sheet", "Apply")</f>
        <v>Apply</v>
      </c>
      <c r="C354" s="10" t="s">
        <v>18926</v>
      </c>
      <c r="D354" s="56" t="s">
        <v>1684</v>
      </c>
      <c r="E354" s="10" t="s">
        <v>209</v>
      </c>
      <c r="F354" s="10" t="s">
        <v>1685</v>
      </c>
      <c r="G354" s="10" t="s">
        <v>18779</v>
      </c>
      <c r="H354" s="10" t="s">
        <v>13954</v>
      </c>
      <c r="I354" s="10" t="s">
        <v>55</v>
      </c>
      <c r="K354" s="10" t="s">
        <v>18928</v>
      </c>
      <c r="L354" s="10" t="s">
        <v>42</v>
      </c>
    </row>
    <row r="355" ht="15.75" customHeight="1">
      <c r="A355" s="64">
        <v>45489.0</v>
      </c>
      <c r="B355" s="55" t="str">
        <f>HYPERLINK("https://jobright.ai/jobs/info/6695d0dd44c53245755de3c4?utm_campaign=1049&amp;utm_source=sheet", "Apply")</f>
        <v>Apply</v>
      </c>
      <c r="C355" s="10" t="s">
        <v>18926</v>
      </c>
      <c r="D355" s="56" t="s">
        <v>1684</v>
      </c>
      <c r="E355" s="10" t="s">
        <v>209</v>
      </c>
      <c r="F355" s="10" t="s">
        <v>1685</v>
      </c>
      <c r="G355" s="10" t="s">
        <v>18779</v>
      </c>
      <c r="H355" s="10" t="s">
        <v>15417</v>
      </c>
      <c r="I355" s="10" t="s">
        <v>55</v>
      </c>
      <c r="K355" s="10" t="s">
        <v>18928</v>
      </c>
      <c r="L355" s="10" t="s">
        <v>42</v>
      </c>
    </row>
    <row r="356" ht="15.75" customHeight="1">
      <c r="A356" s="64">
        <v>45489.0</v>
      </c>
      <c r="B356" s="55" t="str">
        <f>HYPERLINK("https://jobright.ai/jobs/info/6695d0dd44c53245755de3c2?utm_campaign=1049&amp;utm_source=sheet", "Apply")</f>
        <v>Apply</v>
      </c>
      <c r="C356" s="10" t="s">
        <v>18926</v>
      </c>
      <c r="D356" s="56" t="s">
        <v>1684</v>
      </c>
      <c r="E356" s="10" t="s">
        <v>209</v>
      </c>
      <c r="F356" s="10" t="s">
        <v>1685</v>
      </c>
      <c r="G356" s="10" t="s">
        <v>18779</v>
      </c>
      <c r="H356" s="10" t="s">
        <v>4724</v>
      </c>
      <c r="I356" s="10" t="s">
        <v>55</v>
      </c>
      <c r="K356" s="10" t="s">
        <v>18928</v>
      </c>
      <c r="L356" s="10" t="s">
        <v>42</v>
      </c>
    </row>
    <row r="357" ht="15.75" customHeight="1">
      <c r="A357" s="64">
        <v>45489.0</v>
      </c>
      <c r="B357" s="55" t="str">
        <f>HYPERLINK("https://jobright.ai/jobs/info/6695d0dd44c53245755de3c5?utm_campaign=1049&amp;utm_source=sheet", "Apply")</f>
        <v>Apply</v>
      </c>
      <c r="C357" s="10" t="s">
        <v>18926</v>
      </c>
      <c r="D357" s="56" t="s">
        <v>1684</v>
      </c>
      <c r="E357" s="10" t="s">
        <v>209</v>
      </c>
      <c r="F357" s="10" t="s">
        <v>1685</v>
      </c>
      <c r="G357" s="10" t="s">
        <v>18779</v>
      </c>
      <c r="H357" s="10" t="s">
        <v>894</v>
      </c>
      <c r="I357" s="10" t="s">
        <v>55</v>
      </c>
      <c r="K357" s="10" t="s">
        <v>18928</v>
      </c>
      <c r="L357" s="10" t="s">
        <v>42</v>
      </c>
    </row>
    <row r="358" ht="15.75" customHeight="1">
      <c r="A358" s="64">
        <v>45489.0</v>
      </c>
      <c r="B358" s="55" t="str">
        <f>HYPERLINK("https://jobright.ai/jobs/info/6695d0dd44c53245755de3c6?utm_campaign=1049&amp;utm_source=sheet", "Apply")</f>
        <v>Apply</v>
      </c>
      <c r="C358" s="10" t="s">
        <v>18926</v>
      </c>
      <c r="D358" s="56" t="s">
        <v>1684</v>
      </c>
      <c r="E358" s="10" t="s">
        <v>209</v>
      </c>
      <c r="F358" s="10" t="s">
        <v>1685</v>
      </c>
      <c r="G358" s="10" t="s">
        <v>18779</v>
      </c>
      <c r="H358" s="10" t="s">
        <v>907</v>
      </c>
      <c r="I358" s="10" t="s">
        <v>55</v>
      </c>
      <c r="K358" s="10" t="s">
        <v>18928</v>
      </c>
      <c r="L358" s="10" t="s">
        <v>42</v>
      </c>
    </row>
    <row r="359" ht="15.75" customHeight="1">
      <c r="A359" s="64">
        <v>45489.0</v>
      </c>
      <c r="B359" s="55" t="str">
        <f>HYPERLINK("https://jobright.ai/jobs/info/6695f01715c98eb8a6346ec2?utm_campaign=1049&amp;utm_source=sheet", "Apply")</f>
        <v>Apply</v>
      </c>
      <c r="C359" s="10" t="s">
        <v>18926</v>
      </c>
      <c r="D359" s="56" t="s">
        <v>1684</v>
      </c>
      <c r="E359" s="10" t="s">
        <v>209</v>
      </c>
      <c r="F359" s="10" t="s">
        <v>1685</v>
      </c>
      <c r="G359" s="10" t="s">
        <v>18779</v>
      </c>
      <c r="H359" s="10" t="s">
        <v>19075</v>
      </c>
      <c r="I359" s="10" t="s">
        <v>55</v>
      </c>
      <c r="K359" s="10" t="s">
        <v>18928</v>
      </c>
      <c r="L359" s="10" t="s">
        <v>42</v>
      </c>
    </row>
    <row r="360" ht="15.75" customHeight="1">
      <c r="A360" s="64">
        <v>45489.0</v>
      </c>
      <c r="B360" s="55" t="str">
        <f>HYPERLINK("https://jobright.ai/jobs/info/6695f01715c98eb8a6346ec1?utm_campaign=1049&amp;utm_source=sheet", "Apply")</f>
        <v>Apply</v>
      </c>
      <c r="C360" s="10" t="s">
        <v>18926</v>
      </c>
      <c r="D360" s="56" t="s">
        <v>1684</v>
      </c>
      <c r="E360" s="10" t="s">
        <v>209</v>
      </c>
      <c r="F360" s="10" t="s">
        <v>1685</v>
      </c>
      <c r="G360" s="10" t="s">
        <v>18779</v>
      </c>
      <c r="H360" s="10" t="s">
        <v>4123</v>
      </c>
      <c r="I360" s="10" t="s">
        <v>55</v>
      </c>
      <c r="K360" s="10" t="s">
        <v>18928</v>
      </c>
      <c r="L360" s="10" t="s">
        <v>42</v>
      </c>
    </row>
    <row r="361" ht="15.75" customHeight="1">
      <c r="A361" s="64">
        <v>45489.0</v>
      </c>
      <c r="B361" s="55" t="str">
        <f>HYPERLINK("https://jobright.ai/jobs/info/6695c6f13ac8394d6d558cd5?utm_campaign=1049&amp;utm_source=sheet", "Apply")</f>
        <v>Apply</v>
      </c>
      <c r="C361" s="10" t="s">
        <v>18926</v>
      </c>
      <c r="D361" s="56" t="s">
        <v>1684</v>
      </c>
      <c r="E361" s="10" t="s">
        <v>209</v>
      </c>
      <c r="F361" s="10" t="s">
        <v>1685</v>
      </c>
      <c r="G361" s="10" t="s">
        <v>18779</v>
      </c>
      <c r="H361" s="10" t="s">
        <v>19076</v>
      </c>
      <c r="I361" s="10" t="s">
        <v>55</v>
      </c>
      <c r="K361" s="10" t="s">
        <v>18928</v>
      </c>
      <c r="L361" s="10" t="s">
        <v>42</v>
      </c>
    </row>
    <row r="362" ht="15.75" customHeight="1">
      <c r="A362" s="64">
        <v>45489.0</v>
      </c>
      <c r="B362" s="55" t="str">
        <f>HYPERLINK("https://jobright.ai/jobs/info/6695c6f13ac8394d6d558cd7?utm_campaign=1049&amp;utm_source=sheet", "Apply")</f>
        <v>Apply</v>
      </c>
      <c r="C362" s="10" t="s">
        <v>18926</v>
      </c>
      <c r="D362" s="56" t="s">
        <v>1684</v>
      </c>
      <c r="E362" s="10" t="s">
        <v>209</v>
      </c>
      <c r="F362" s="10" t="s">
        <v>1685</v>
      </c>
      <c r="G362" s="10" t="s">
        <v>18779</v>
      </c>
      <c r="H362" s="10" t="s">
        <v>14864</v>
      </c>
      <c r="I362" s="10" t="s">
        <v>55</v>
      </c>
      <c r="K362" s="10" t="s">
        <v>18928</v>
      </c>
      <c r="L362" s="10" t="s">
        <v>42</v>
      </c>
    </row>
    <row r="363" ht="15.75" customHeight="1">
      <c r="A363" s="64">
        <v>45489.0</v>
      </c>
      <c r="B363" s="55" t="str">
        <f>HYPERLINK("https://jobright.ai/jobs/info/6695c6f13ac8394d6d558cd8?utm_campaign=1049&amp;utm_source=sheet", "Apply")</f>
        <v>Apply</v>
      </c>
      <c r="C363" s="10" t="s">
        <v>18926</v>
      </c>
      <c r="D363" s="56" t="s">
        <v>1684</v>
      </c>
      <c r="E363" s="10" t="s">
        <v>209</v>
      </c>
      <c r="F363" s="10" t="s">
        <v>1685</v>
      </c>
      <c r="G363" s="10" t="s">
        <v>18779</v>
      </c>
      <c r="H363" s="10" t="s">
        <v>19077</v>
      </c>
      <c r="I363" s="10" t="s">
        <v>55</v>
      </c>
      <c r="K363" s="10" t="s">
        <v>18928</v>
      </c>
      <c r="L363" s="10" t="s">
        <v>42</v>
      </c>
    </row>
    <row r="364" ht="15.75" customHeight="1">
      <c r="A364" s="64">
        <v>45489.0</v>
      </c>
      <c r="B364" s="55" t="str">
        <f>HYPERLINK("https://jobright.ai/jobs/info/6695c6f13ac8394d6d558cd9?utm_campaign=1049&amp;utm_source=sheet", "Apply")</f>
        <v>Apply</v>
      </c>
      <c r="C364" s="10" t="s">
        <v>18926</v>
      </c>
      <c r="D364" s="56" t="s">
        <v>1684</v>
      </c>
      <c r="E364" s="10" t="s">
        <v>209</v>
      </c>
      <c r="F364" s="10" t="s">
        <v>1685</v>
      </c>
      <c r="G364" s="10" t="s">
        <v>18779</v>
      </c>
      <c r="H364" s="10" t="s">
        <v>13300</v>
      </c>
      <c r="I364" s="10" t="s">
        <v>55</v>
      </c>
      <c r="K364" s="10" t="s">
        <v>18928</v>
      </c>
      <c r="L364" s="10" t="s">
        <v>42</v>
      </c>
    </row>
    <row r="365" ht="15.75" customHeight="1">
      <c r="A365" s="64">
        <v>45489.0</v>
      </c>
      <c r="B365" s="55" t="str">
        <f>HYPERLINK("https://jobright.ai/jobs/info/6695c6f13ac8394d6d558cda?utm_campaign=1049&amp;utm_source=sheet", "Apply")</f>
        <v>Apply</v>
      </c>
      <c r="C365" s="10" t="s">
        <v>18926</v>
      </c>
      <c r="D365" s="56" t="s">
        <v>1684</v>
      </c>
      <c r="E365" s="10" t="s">
        <v>209</v>
      </c>
      <c r="F365" s="10" t="s">
        <v>1685</v>
      </c>
      <c r="G365" s="10" t="s">
        <v>18779</v>
      </c>
      <c r="H365" s="10" t="s">
        <v>10654</v>
      </c>
      <c r="I365" s="10" t="s">
        <v>55</v>
      </c>
      <c r="K365" s="10" t="s">
        <v>18928</v>
      </c>
      <c r="L365" s="10" t="s">
        <v>42</v>
      </c>
    </row>
    <row r="366" ht="15.75" customHeight="1">
      <c r="A366" s="64">
        <v>45489.0</v>
      </c>
      <c r="B366" s="55" t="str">
        <f>HYPERLINK("https://jobright.ai/jobs/info/6695c6f13ac8394d6d558cdb?utm_campaign=1049&amp;utm_source=sheet", "Apply")</f>
        <v>Apply</v>
      </c>
      <c r="C366" s="10" t="s">
        <v>18926</v>
      </c>
      <c r="D366" s="56" t="s">
        <v>1684</v>
      </c>
      <c r="E366" s="10" t="s">
        <v>209</v>
      </c>
      <c r="F366" s="10" t="s">
        <v>1685</v>
      </c>
      <c r="G366" s="10" t="s">
        <v>18779</v>
      </c>
      <c r="H366" s="10" t="s">
        <v>1168</v>
      </c>
      <c r="I366" s="10" t="s">
        <v>55</v>
      </c>
      <c r="K366" s="10" t="s">
        <v>18928</v>
      </c>
      <c r="L366" s="10" t="s">
        <v>42</v>
      </c>
    </row>
    <row r="367" ht="15.75" customHeight="1">
      <c r="A367" s="64">
        <v>45489.0</v>
      </c>
      <c r="B367" s="55" t="str">
        <f>HYPERLINK("https://jobright.ai/jobs/info/6695c6f13ac8394d6d558cde?utm_campaign=1049&amp;utm_source=sheet", "Apply")</f>
        <v>Apply</v>
      </c>
      <c r="C367" s="10" t="s">
        <v>18926</v>
      </c>
      <c r="D367" s="56" t="s">
        <v>1684</v>
      </c>
      <c r="E367" s="10" t="s">
        <v>209</v>
      </c>
      <c r="F367" s="10" t="s">
        <v>1685</v>
      </c>
      <c r="G367" s="10" t="s">
        <v>18779</v>
      </c>
      <c r="H367" s="10" t="s">
        <v>19078</v>
      </c>
      <c r="I367" s="10" t="s">
        <v>55</v>
      </c>
      <c r="K367" s="10" t="s">
        <v>18928</v>
      </c>
      <c r="L367" s="10" t="s">
        <v>42</v>
      </c>
    </row>
    <row r="368" ht="15.75" customHeight="1">
      <c r="A368" s="64">
        <v>45489.0</v>
      </c>
      <c r="B368" s="55" t="str">
        <f>HYPERLINK("https://jobright.ai/jobs/info/6695c6f13ac8394d6d558cdf?utm_campaign=1049&amp;utm_source=sheet", "Apply")</f>
        <v>Apply</v>
      </c>
      <c r="C368" s="10" t="s">
        <v>18926</v>
      </c>
      <c r="D368" s="56" t="s">
        <v>1684</v>
      </c>
      <c r="E368" s="10" t="s">
        <v>209</v>
      </c>
      <c r="F368" s="10" t="s">
        <v>1685</v>
      </c>
      <c r="G368" s="10" t="s">
        <v>18779</v>
      </c>
      <c r="H368" s="10" t="s">
        <v>19079</v>
      </c>
      <c r="I368" s="10" t="s">
        <v>55</v>
      </c>
      <c r="K368" s="10" t="s">
        <v>18928</v>
      </c>
      <c r="L368" s="10" t="s">
        <v>42</v>
      </c>
    </row>
    <row r="369" ht="15.75" customHeight="1">
      <c r="A369" s="64">
        <v>45489.0</v>
      </c>
      <c r="B369" s="55" t="str">
        <f>HYPERLINK("https://jobright.ai/jobs/info/6695c6f13ac8394d6d558ce2?utm_campaign=1049&amp;utm_source=sheet", "Apply")</f>
        <v>Apply</v>
      </c>
      <c r="C369" s="10" t="s">
        <v>18926</v>
      </c>
      <c r="D369" s="56" t="s">
        <v>1684</v>
      </c>
      <c r="E369" s="10" t="s">
        <v>209</v>
      </c>
      <c r="F369" s="10" t="s">
        <v>1685</v>
      </c>
      <c r="G369" s="10" t="s">
        <v>18779</v>
      </c>
      <c r="H369" s="10" t="s">
        <v>798</v>
      </c>
      <c r="I369" s="10" t="s">
        <v>55</v>
      </c>
      <c r="K369" s="10" t="s">
        <v>18928</v>
      </c>
      <c r="L369" s="10" t="s">
        <v>42</v>
      </c>
    </row>
    <row r="370" ht="15.75" customHeight="1">
      <c r="A370" s="64">
        <v>45489.0</v>
      </c>
      <c r="B370" s="55" t="str">
        <f>HYPERLINK("https://jobright.ai/jobs/info/6695c6f13ac8394d6d558ce1?utm_campaign=1049&amp;utm_source=sheet", "Apply")</f>
        <v>Apply</v>
      </c>
      <c r="C370" s="10" t="s">
        <v>18926</v>
      </c>
      <c r="D370" s="56" t="s">
        <v>1684</v>
      </c>
      <c r="E370" s="10" t="s">
        <v>209</v>
      </c>
      <c r="F370" s="10" t="s">
        <v>1685</v>
      </c>
      <c r="G370" s="10" t="s">
        <v>18779</v>
      </c>
      <c r="H370" s="10" t="s">
        <v>6147</v>
      </c>
      <c r="I370" s="10" t="s">
        <v>55</v>
      </c>
      <c r="K370" s="10" t="s">
        <v>18928</v>
      </c>
      <c r="L370" s="10" t="s">
        <v>42</v>
      </c>
    </row>
    <row r="371" ht="15.75" customHeight="1">
      <c r="A371" s="64">
        <v>45489.0</v>
      </c>
      <c r="B371" s="55" t="str">
        <f>HYPERLINK("https://jobright.ai/jobs/info/6695c6f13ac8394d6d558ce3?utm_campaign=1049&amp;utm_source=sheet", "Apply")</f>
        <v>Apply</v>
      </c>
      <c r="C371" s="10" t="s">
        <v>18926</v>
      </c>
      <c r="D371" s="56" t="s">
        <v>1684</v>
      </c>
      <c r="E371" s="10" t="s">
        <v>209</v>
      </c>
      <c r="F371" s="10" t="s">
        <v>1685</v>
      </c>
      <c r="G371" s="10" t="s">
        <v>18779</v>
      </c>
      <c r="H371" s="10" t="s">
        <v>5074</v>
      </c>
      <c r="I371" s="10" t="s">
        <v>55</v>
      </c>
      <c r="K371" s="10" t="s">
        <v>18928</v>
      </c>
      <c r="L371" s="10" t="s">
        <v>42</v>
      </c>
    </row>
    <row r="372" ht="15.75" customHeight="1">
      <c r="A372" s="64">
        <v>45489.0</v>
      </c>
      <c r="B372" s="55" t="str">
        <f>HYPERLINK("https://jobright.ai/jobs/info/6695c6f13ac8394d6d558ce6?utm_campaign=1049&amp;utm_source=sheet", "Apply")</f>
        <v>Apply</v>
      </c>
      <c r="C372" s="10" t="s">
        <v>18926</v>
      </c>
      <c r="D372" s="56" t="s">
        <v>1684</v>
      </c>
      <c r="E372" s="10" t="s">
        <v>209</v>
      </c>
      <c r="F372" s="10" t="s">
        <v>1685</v>
      </c>
      <c r="G372" s="10" t="s">
        <v>18779</v>
      </c>
      <c r="H372" s="10" t="s">
        <v>852</v>
      </c>
      <c r="I372" s="10" t="s">
        <v>55</v>
      </c>
      <c r="K372" s="10" t="s">
        <v>18928</v>
      </c>
      <c r="L372" s="10" t="s">
        <v>42</v>
      </c>
    </row>
    <row r="373" ht="15.75" customHeight="1">
      <c r="A373" s="64">
        <v>45489.0</v>
      </c>
      <c r="B373" s="55" t="str">
        <f>HYPERLINK("https://jobright.ai/jobs/info/6695c6f13ac8394d6d558ce8?utm_campaign=1049&amp;utm_source=sheet", "Apply")</f>
        <v>Apply</v>
      </c>
      <c r="C373" s="10" t="s">
        <v>18926</v>
      </c>
      <c r="D373" s="56" t="s">
        <v>1684</v>
      </c>
      <c r="E373" s="10" t="s">
        <v>209</v>
      </c>
      <c r="F373" s="10" t="s">
        <v>1685</v>
      </c>
      <c r="G373" s="10" t="s">
        <v>18779</v>
      </c>
      <c r="H373" s="10" t="s">
        <v>19080</v>
      </c>
      <c r="I373" s="10" t="s">
        <v>55</v>
      </c>
      <c r="K373" s="10" t="s">
        <v>18928</v>
      </c>
      <c r="L373" s="10" t="s">
        <v>42</v>
      </c>
    </row>
    <row r="374" ht="15.75" customHeight="1">
      <c r="A374" s="64">
        <v>45489.0</v>
      </c>
      <c r="B374" s="55" t="str">
        <f>HYPERLINK("https://jobright.ai/jobs/info/6695c6f13ac8394d6d558ce7?utm_campaign=1049&amp;utm_source=sheet", "Apply")</f>
        <v>Apply</v>
      </c>
      <c r="C374" s="10" t="s">
        <v>18926</v>
      </c>
      <c r="D374" s="56" t="s">
        <v>1684</v>
      </c>
      <c r="E374" s="10" t="s">
        <v>209</v>
      </c>
      <c r="F374" s="10" t="s">
        <v>1685</v>
      </c>
      <c r="G374" s="10" t="s">
        <v>18779</v>
      </c>
      <c r="H374" s="10" t="s">
        <v>19081</v>
      </c>
      <c r="I374" s="10" t="s">
        <v>55</v>
      </c>
      <c r="K374" s="10" t="s">
        <v>18928</v>
      </c>
      <c r="L374" s="10" t="s">
        <v>42</v>
      </c>
    </row>
    <row r="375" ht="15.75" customHeight="1">
      <c r="A375" s="64">
        <v>45489.0</v>
      </c>
      <c r="B375" s="55" t="str">
        <f>HYPERLINK("https://jobright.ai/jobs/info/6695c6f13ac8394d6d558ce9?utm_campaign=1049&amp;utm_source=sheet", "Apply")</f>
        <v>Apply</v>
      </c>
      <c r="C375" s="10" t="s">
        <v>18926</v>
      </c>
      <c r="D375" s="56" t="s">
        <v>1684</v>
      </c>
      <c r="E375" s="10" t="s">
        <v>209</v>
      </c>
      <c r="F375" s="10" t="s">
        <v>1685</v>
      </c>
      <c r="G375" s="10" t="s">
        <v>18779</v>
      </c>
      <c r="H375" s="10" t="s">
        <v>8960</v>
      </c>
      <c r="I375" s="10" t="s">
        <v>55</v>
      </c>
      <c r="K375" s="10" t="s">
        <v>18928</v>
      </c>
      <c r="L375" s="10" t="s">
        <v>42</v>
      </c>
    </row>
    <row r="376" ht="15.75" customHeight="1">
      <c r="A376" s="64">
        <v>45489.0</v>
      </c>
      <c r="B376" s="55" t="str">
        <f>HYPERLINK("https://jobright.ai/jobs/info/6695c6f13ac8394d6d558cea?utm_campaign=1049&amp;utm_source=sheet", "Apply")</f>
        <v>Apply</v>
      </c>
      <c r="C376" s="10" t="s">
        <v>18926</v>
      </c>
      <c r="D376" s="56" t="s">
        <v>1684</v>
      </c>
      <c r="E376" s="10" t="s">
        <v>209</v>
      </c>
      <c r="F376" s="10" t="s">
        <v>1685</v>
      </c>
      <c r="G376" s="10" t="s">
        <v>18779</v>
      </c>
      <c r="H376" s="10" t="s">
        <v>847</v>
      </c>
      <c r="I376" s="10" t="s">
        <v>55</v>
      </c>
      <c r="K376" s="10" t="s">
        <v>18928</v>
      </c>
      <c r="L376" s="10" t="s">
        <v>42</v>
      </c>
    </row>
    <row r="377" ht="15.75" customHeight="1">
      <c r="A377" s="64">
        <v>45489.0</v>
      </c>
      <c r="B377" s="55" t="str">
        <f>HYPERLINK("https://jobright.ai/jobs/info/6695c6f13ac8394d6d558ceb?utm_campaign=1049&amp;utm_source=sheet", "Apply")</f>
        <v>Apply</v>
      </c>
      <c r="C377" s="10" t="s">
        <v>18926</v>
      </c>
      <c r="D377" s="56" t="s">
        <v>1684</v>
      </c>
      <c r="E377" s="10" t="s">
        <v>209</v>
      </c>
      <c r="F377" s="10" t="s">
        <v>1685</v>
      </c>
      <c r="G377" s="10" t="s">
        <v>18779</v>
      </c>
      <c r="H377" s="10" t="s">
        <v>19082</v>
      </c>
      <c r="I377" s="10" t="s">
        <v>55</v>
      </c>
      <c r="K377" s="10" t="s">
        <v>18928</v>
      </c>
      <c r="L377" s="10" t="s">
        <v>42</v>
      </c>
    </row>
    <row r="378" ht="15.75" customHeight="1">
      <c r="A378" s="64">
        <v>45489.0</v>
      </c>
      <c r="B378" s="55" t="str">
        <f>HYPERLINK("https://jobright.ai/jobs/info/6695c6f13ac8394d6d558cec?utm_campaign=1049&amp;utm_source=sheet", "Apply")</f>
        <v>Apply</v>
      </c>
      <c r="C378" s="10" t="s">
        <v>18926</v>
      </c>
      <c r="D378" s="56" t="s">
        <v>1684</v>
      </c>
      <c r="E378" s="10" t="s">
        <v>209</v>
      </c>
      <c r="F378" s="10" t="s">
        <v>1685</v>
      </c>
      <c r="G378" s="10" t="s">
        <v>18779</v>
      </c>
      <c r="H378" s="10" t="s">
        <v>778</v>
      </c>
      <c r="I378" s="10" t="s">
        <v>55</v>
      </c>
      <c r="K378" s="10" t="s">
        <v>18928</v>
      </c>
      <c r="L378" s="10" t="s">
        <v>42</v>
      </c>
    </row>
    <row r="379" ht="15.75" customHeight="1">
      <c r="A379" s="64">
        <v>45489.0</v>
      </c>
      <c r="B379" s="55" t="str">
        <f>HYPERLINK("https://jobright.ai/jobs/info/6695c6f13ac8394d6d558ced?utm_campaign=1049&amp;utm_source=sheet", "Apply")</f>
        <v>Apply</v>
      </c>
      <c r="C379" s="10" t="s">
        <v>18926</v>
      </c>
      <c r="D379" s="56" t="s">
        <v>1684</v>
      </c>
      <c r="E379" s="10" t="s">
        <v>209</v>
      </c>
      <c r="F379" s="10" t="s">
        <v>1685</v>
      </c>
      <c r="G379" s="10" t="s">
        <v>18779</v>
      </c>
      <c r="H379" s="10" t="s">
        <v>845</v>
      </c>
      <c r="I379" s="10" t="s">
        <v>55</v>
      </c>
      <c r="K379" s="10" t="s">
        <v>18928</v>
      </c>
      <c r="L379" s="10" t="s">
        <v>42</v>
      </c>
    </row>
    <row r="380" ht="15.75" customHeight="1">
      <c r="A380" s="64">
        <v>45489.0</v>
      </c>
      <c r="B380" s="55" t="str">
        <f>HYPERLINK("https://jobright.ai/jobs/info/6695c0d827b8d0ea6ca6f118?utm_campaign=1049&amp;utm_source=sheet", "Apply")</f>
        <v>Apply</v>
      </c>
      <c r="C380" s="10" t="s">
        <v>18926</v>
      </c>
      <c r="D380" s="56" t="s">
        <v>1684</v>
      </c>
      <c r="E380" s="10" t="s">
        <v>209</v>
      </c>
      <c r="F380" s="10" t="s">
        <v>1685</v>
      </c>
      <c r="G380" s="10" t="s">
        <v>18779</v>
      </c>
      <c r="H380" s="10" t="s">
        <v>800</v>
      </c>
      <c r="I380" s="10" t="s">
        <v>55</v>
      </c>
      <c r="K380" s="10" t="s">
        <v>18928</v>
      </c>
      <c r="L380" s="10" t="s">
        <v>42</v>
      </c>
    </row>
    <row r="381" ht="15.75" customHeight="1">
      <c r="A381" s="64">
        <v>45489.0</v>
      </c>
      <c r="B381" s="55" t="str">
        <f>HYPERLINK("https://jobright.ai/jobs/info/6695c0d827b8d0ea6ca6f117?utm_campaign=1049&amp;utm_source=sheet", "Apply")</f>
        <v>Apply</v>
      </c>
      <c r="C381" s="10" t="s">
        <v>18926</v>
      </c>
      <c r="D381" s="56" t="s">
        <v>1684</v>
      </c>
      <c r="E381" s="10" t="s">
        <v>209</v>
      </c>
      <c r="F381" s="10" t="s">
        <v>1685</v>
      </c>
      <c r="G381" s="10" t="s">
        <v>18779</v>
      </c>
      <c r="H381" s="10" t="s">
        <v>19083</v>
      </c>
      <c r="I381" s="10" t="s">
        <v>55</v>
      </c>
      <c r="K381" s="10" t="s">
        <v>18928</v>
      </c>
      <c r="L381" s="10" t="s">
        <v>42</v>
      </c>
    </row>
    <row r="382" ht="15.75" customHeight="1">
      <c r="A382" s="64">
        <v>45489.0</v>
      </c>
      <c r="B382" s="55" t="str">
        <f>HYPERLINK("https://jobright.ai/jobs/info/6695c0d827b8d0ea6ca6f119?utm_campaign=1049&amp;utm_source=sheet", "Apply")</f>
        <v>Apply</v>
      </c>
      <c r="C382" s="10" t="s">
        <v>18926</v>
      </c>
      <c r="D382" s="56" t="s">
        <v>1684</v>
      </c>
      <c r="E382" s="10" t="s">
        <v>209</v>
      </c>
      <c r="F382" s="10" t="s">
        <v>1685</v>
      </c>
      <c r="G382" s="10" t="s">
        <v>18779</v>
      </c>
      <c r="H382" s="10" t="s">
        <v>1075</v>
      </c>
      <c r="I382" s="10" t="s">
        <v>55</v>
      </c>
      <c r="K382" s="10" t="s">
        <v>18928</v>
      </c>
      <c r="L382" s="10" t="s">
        <v>42</v>
      </c>
    </row>
    <row r="383" ht="15.75" customHeight="1">
      <c r="A383" s="64">
        <v>45489.0</v>
      </c>
      <c r="B383" s="55" t="str">
        <f>HYPERLINK("https://jobright.ai/jobs/info/6695c0d827b8d0ea6ca6f11a?utm_campaign=1049&amp;utm_source=sheet", "Apply")</f>
        <v>Apply</v>
      </c>
      <c r="C383" s="10" t="s">
        <v>18926</v>
      </c>
      <c r="D383" s="56" t="s">
        <v>1684</v>
      </c>
      <c r="E383" s="10" t="s">
        <v>209</v>
      </c>
      <c r="F383" s="10" t="s">
        <v>1685</v>
      </c>
      <c r="G383" s="10" t="s">
        <v>18779</v>
      </c>
      <c r="H383" s="10" t="s">
        <v>19084</v>
      </c>
      <c r="I383" s="10" t="s">
        <v>55</v>
      </c>
      <c r="K383" s="10" t="s">
        <v>18928</v>
      </c>
      <c r="L383" s="10" t="s">
        <v>42</v>
      </c>
    </row>
    <row r="384" ht="15.75" customHeight="1">
      <c r="A384" s="64">
        <v>45489.0</v>
      </c>
      <c r="B384" s="55" t="str">
        <f>HYPERLINK("https://jobright.ai/jobs/info/6695c6f13ac8394d6d558cee?utm_campaign=1049&amp;utm_source=sheet", "Apply")</f>
        <v>Apply</v>
      </c>
      <c r="C384" s="10" t="s">
        <v>18926</v>
      </c>
      <c r="D384" s="56" t="s">
        <v>1684</v>
      </c>
      <c r="E384" s="10" t="s">
        <v>209</v>
      </c>
      <c r="F384" s="10" t="s">
        <v>1685</v>
      </c>
      <c r="G384" s="10" t="s">
        <v>18779</v>
      </c>
      <c r="H384" s="10" t="s">
        <v>761</v>
      </c>
      <c r="I384" s="10" t="s">
        <v>55</v>
      </c>
      <c r="K384" s="10" t="s">
        <v>18928</v>
      </c>
      <c r="L384" s="10" t="s">
        <v>42</v>
      </c>
    </row>
    <row r="385" ht="15.75" customHeight="1">
      <c r="A385" s="64">
        <v>45489.0</v>
      </c>
      <c r="B385" s="55" t="str">
        <f>HYPERLINK("https://jobright.ai/jobs/info/6695c6f13ac8394d6d558cf0?utm_campaign=1049&amp;utm_source=sheet", "Apply")</f>
        <v>Apply</v>
      </c>
      <c r="C385" s="10" t="s">
        <v>18926</v>
      </c>
      <c r="D385" s="56" t="s">
        <v>1684</v>
      </c>
      <c r="E385" s="10" t="s">
        <v>209</v>
      </c>
      <c r="F385" s="10" t="s">
        <v>1685</v>
      </c>
      <c r="G385" s="10" t="s">
        <v>18779</v>
      </c>
      <c r="H385" s="10" t="s">
        <v>3347</v>
      </c>
      <c r="I385" s="10" t="s">
        <v>55</v>
      </c>
      <c r="K385" s="10" t="s">
        <v>18928</v>
      </c>
      <c r="L385" s="10" t="s">
        <v>42</v>
      </c>
    </row>
    <row r="386" ht="15.75" customHeight="1">
      <c r="A386" s="64">
        <v>45489.0</v>
      </c>
      <c r="B386" s="55" t="str">
        <f>HYPERLINK("https://jobright.ai/jobs/info/6695c6f13ac8394d6d558cf1?utm_campaign=1049&amp;utm_source=sheet", "Apply")</f>
        <v>Apply</v>
      </c>
      <c r="C386" s="10" t="s">
        <v>18926</v>
      </c>
      <c r="D386" s="56" t="s">
        <v>1684</v>
      </c>
      <c r="E386" s="10" t="s">
        <v>209</v>
      </c>
      <c r="F386" s="10" t="s">
        <v>1685</v>
      </c>
      <c r="G386" s="10" t="s">
        <v>18779</v>
      </c>
      <c r="H386" s="10" t="s">
        <v>19085</v>
      </c>
      <c r="I386" s="10" t="s">
        <v>55</v>
      </c>
      <c r="K386" s="10" t="s">
        <v>18928</v>
      </c>
      <c r="L386" s="10" t="s">
        <v>42</v>
      </c>
    </row>
    <row r="387" ht="15.75" customHeight="1">
      <c r="A387" s="64">
        <v>45489.0</v>
      </c>
      <c r="B387" s="55" t="str">
        <f>HYPERLINK("https://jobright.ai/jobs/info/6695c6f13ac8394d6d558cef?utm_campaign=1049&amp;utm_source=sheet", "Apply")</f>
        <v>Apply</v>
      </c>
      <c r="C387" s="10" t="s">
        <v>18926</v>
      </c>
      <c r="D387" s="56" t="s">
        <v>1684</v>
      </c>
      <c r="E387" s="10" t="s">
        <v>209</v>
      </c>
      <c r="F387" s="10" t="s">
        <v>1685</v>
      </c>
      <c r="G387" s="10" t="s">
        <v>18779</v>
      </c>
      <c r="H387" s="10" t="s">
        <v>6287</v>
      </c>
      <c r="I387" s="10" t="s">
        <v>55</v>
      </c>
      <c r="K387" s="10" t="s">
        <v>18928</v>
      </c>
      <c r="L387" s="10" t="s">
        <v>42</v>
      </c>
    </row>
    <row r="388" ht="15.75" customHeight="1">
      <c r="A388" s="64">
        <v>45489.0</v>
      </c>
      <c r="B388" s="55" t="str">
        <f>HYPERLINK("https://jobright.ai/jobs/info/66964cf272f6951615953fe0?utm_campaign=1049&amp;utm_source=sheet", "Apply")</f>
        <v>Apply</v>
      </c>
      <c r="C388" s="10" t="s">
        <v>18926</v>
      </c>
      <c r="D388" s="56" t="s">
        <v>1684</v>
      </c>
      <c r="E388" s="10" t="s">
        <v>209</v>
      </c>
      <c r="F388" s="10" t="s">
        <v>1685</v>
      </c>
      <c r="G388" s="10" t="s">
        <v>18779</v>
      </c>
      <c r="H388" s="10" t="s">
        <v>2737</v>
      </c>
      <c r="I388" s="10" t="s">
        <v>55</v>
      </c>
      <c r="K388" s="10" t="s">
        <v>18928</v>
      </c>
      <c r="L388" s="10" t="s">
        <v>42</v>
      </c>
    </row>
    <row r="389" ht="15.75" customHeight="1">
      <c r="A389" s="64">
        <v>45489.0</v>
      </c>
      <c r="B389" s="55" t="str">
        <f>HYPERLINK("https://jobright.ai/jobs/info/6695c0d827b8d0ea6ca6f11c?utm_campaign=1049&amp;utm_source=sheet", "Apply")</f>
        <v>Apply</v>
      </c>
      <c r="C389" s="10" t="s">
        <v>18926</v>
      </c>
      <c r="D389" s="56" t="s">
        <v>1684</v>
      </c>
      <c r="E389" s="10" t="s">
        <v>209</v>
      </c>
      <c r="F389" s="10" t="s">
        <v>1685</v>
      </c>
      <c r="G389" s="10" t="s">
        <v>18779</v>
      </c>
      <c r="H389" s="10" t="s">
        <v>17207</v>
      </c>
      <c r="I389" s="10" t="s">
        <v>55</v>
      </c>
      <c r="K389" s="10" t="s">
        <v>18928</v>
      </c>
      <c r="L389" s="10" t="s">
        <v>42</v>
      </c>
    </row>
    <row r="390" ht="15.75" customHeight="1">
      <c r="A390" s="64">
        <v>45489.0</v>
      </c>
      <c r="B390" s="55" t="str">
        <f>HYPERLINK("https://jobright.ai/jobs/info/6695c0d827b8d0ea6ca6f11f?utm_campaign=1049&amp;utm_source=sheet", "Apply")</f>
        <v>Apply</v>
      </c>
      <c r="C390" s="10" t="s">
        <v>18926</v>
      </c>
      <c r="D390" s="56" t="s">
        <v>1684</v>
      </c>
      <c r="E390" s="10" t="s">
        <v>209</v>
      </c>
      <c r="F390" s="10" t="s">
        <v>1685</v>
      </c>
      <c r="G390" s="10" t="s">
        <v>18779</v>
      </c>
      <c r="H390" s="10" t="s">
        <v>19086</v>
      </c>
      <c r="I390" s="10" t="s">
        <v>55</v>
      </c>
      <c r="K390" s="10" t="s">
        <v>18928</v>
      </c>
      <c r="L390" s="10" t="s">
        <v>42</v>
      </c>
    </row>
    <row r="391" ht="15.75" customHeight="1">
      <c r="A391" s="64">
        <v>45489.0</v>
      </c>
      <c r="B391" s="55" t="str">
        <f>HYPERLINK("https://jobright.ai/jobs/info/6695c0d827b8d0ea6ca6f11e?utm_campaign=1049&amp;utm_source=sheet", "Apply")</f>
        <v>Apply</v>
      </c>
      <c r="C391" s="10" t="s">
        <v>18926</v>
      </c>
      <c r="D391" s="56" t="s">
        <v>1684</v>
      </c>
      <c r="E391" s="10" t="s">
        <v>209</v>
      </c>
      <c r="F391" s="10" t="s">
        <v>1685</v>
      </c>
      <c r="G391" s="10" t="s">
        <v>18779</v>
      </c>
      <c r="H391" s="10" t="s">
        <v>19087</v>
      </c>
      <c r="I391" s="10" t="s">
        <v>55</v>
      </c>
      <c r="K391" s="10" t="s">
        <v>18928</v>
      </c>
      <c r="L391" s="10" t="s">
        <v>42</v>
      </c>
    </row>
    <row r="392" ht="15.75" customHeight="1">
      <c r="A392" s="64">
        <v>45489.0</v>
      </c>
      <c r="B392" s="55" t="str">
        <f>HYPERLINK("https://jobright.ai/jobs/info/6695c0d827b8d0ea6ca6f11d?utm_campaign=1049&amp;utm_source=sheet", "Apply")</f>
        <v>Apply</v>
      </c>
      <c r="C392" s="10" t="s">
        <v>18926</v>
      </c>
      <c r="D392" s="56" t="s">
        <v>1684</v>
      </c>
      <c r="E392" s="10" t="s">
        <v>209</v>
      </c>
      <c r="F392" s="10" t="s">
        <v>1685</v>
      </c>
      <c r="G392" s="10" t="s">
        <v>18779</v>
      </c>
      <c r="H392" s="10" t="s">
        <v>14460</v>
      </c>
      <c r="I392" s="10" t="s">
        <v>55</v>
      </c>
      <c r="K392" s="10" t="s">
        <v>18928</v>
      </c>
      <c r="L392" s="10" t="s">
        <v>42</v>
      </c>
    </row>
    <row r="393" ht="15.75" customHeight="1">
      <c r="A393" s="64">
        <v>45489.0</v>
      </c>
      <c r="B393" s="55" t="str">
        <f>HYPERLINK("https://jobright.ai/jobs/info/6695c6f13ac8394d6d558cf2?utm_campaign=1049&amp;utm_source=sheet", "Apply")</f>
        <v>Apply</v>
      </c>
      <c r="C393" s="10" t="s">
        <v>18926</v>
      </c>
      <c r="D393" s="56" t="s">
        <v>1684</v>
      </c>
      <c r="E393" s="10" t="s">
        <v>209</v>
      </c>
      <c r="F393" s="10" t="s">
        <v>1685</v>
      </c>
      <c r="G393" s="10" t="s">
        <v>18779</v>
      </c>
      <c r="H393" s="10" t="s">
        <v>13373</v>
      </c>
      <c r="I393" s="10" t="s">
        <v>55</v>
      </c>
      <c r="K393" s="10" t="s">
        <v>18928</v>
      </c>
      <c r="L393" s="10" t="s">
        <v>42</v>
      </c>
    </row>
    <row r="394" ht="15.75" customHeight="1">
      <c r="A394" s="64">
        <v>45489.0</v>
      </c>
      <c r="B394" s="55" t="str">
        <f>HYPERLINK("https://jobright.ai/jobs/info/6695c0d827b8d0ea6ca6f120?utm_campaign=1049&amp;utm_source=sheet", "Apply")</f>
        <v>Apply</v>
      </c>
      <c r="C394" s="10" t="s">
        <v>18926</v>
      </c>
      <c r="D394" s="56" t="s">
        <v>1684</v>
      </c>
      <c r="E394" s="10" t="s">
        <v>209</v>
      </c>
      <c r="F394" s="10" t="s">
        <v>1685</v>
      </c>
      <c r="G394" s="10" t="s">
        <v>18779</v>
      </c>
      <c r="H394" s="10" t="s">
        <v>218</v>
      </c>
      <c r="I394" s="10" t="s">
        <v>55</v>
      </c>
      <c r="K394" s="10" t="s">
        <v>18928</v>
      </c>
      <c r="L394" s="10" t="s">
        <v>42</v>
      </c>
    </row>
    <row r="395" ht="15.75" customHeight="1">
      <c r="A395" s="64">
        <v>45489.0</v>
      </c>
      <c r="B395" s="55" t="str">
        <f>HYPERLINK("https://jobright.ai/jobs/info/6695c0d827b8d0ea6ca6f122?utm_campaign=1049&amp;utm_source=sheet", "Apply")</f>
        <v>Apply</v>
      </c>
      <c r="C395" s="10" t="s">
        <v>18926</v>
      </c>
      <c r="D395" s="56" t="s">
        <v>1684</v>
      </c>
      <c r="E395" s="10" t="s">
        <v>209</v>
      </c>
      <c r="F395" s="10" t="s">
        <v>1685</v>
      </c>
      <c r="G395" s="10" t="s">
        <v>18779</v>
      </c>
      <c r="H395" s="10" t="s">
        <v>19088</v>
      </c>
      <c r="I395" s="10" t="s">
        <v>55</v>
      </c>
      <c r="K395" s="10" t="s">
        <v>18928</v>
      </c>
      <c r="L395" s="10" t="s">
        <v>42</v>
      </c>
    </row>
    <row r="396" ht="15.75" customHeight="1">
      <c r="A396" s="64">
        <v>45489.0</v>
      </c>
      <c r="B396" s="55" t="str">
        <f>HYPERLINK("https://jobright.ai/jobs/info/6695c0d827b8d0ea6ca6f121?utm_campaign=1049&amp;utm_source=sheet", "Apply")</f>
        <v>Apply</v>
      </c>
      <c r="C396" s="10" t="s">
        <v>18926</v>
      </c>
      <c r="D396" s="56" t="s">
        <v>1684</v>
      </c>
      <c r="E396" s="10" t="s">
        <v>209</v>
      </c>
      <c r="F396" s="10" t="s">
        <v>1685</v>
      </c>
      <c r="G396" s="10" t="s">
        <v>18779</v>
      </c>
      <c r="H396" s="10" t="s">
        <v>14903</v>
      </c>
      <c r="I396" s="10" t="s">
        <v>55</v>
      </c>
      <c r="K396" s="10" t="s">
        <v>18928</v>
      </c>
      <c r="L396" s="10" t="s">
        <v>42</v>
      </c>
    </row>
    <row r="397" ht="15.75" customHeight="1">
      <c r="A397" s="64">
        <v>45489.0</v>
      </c>
      <c r="B397" s="55" t="str">
        <f>HYPERLINK("https://jobright.ai/jobs/info/6695c0d827b8d0ea6ca6f124?utm_campaign=1049&amp;utm_source=sheet", "Apply")</f>
        <v>Apply</v>
      </c>
      <c r="C397" s="10" t="s">
        <v>18926</v>
      </c>
      <c r="D397" s="56" t="s">
        <v>1684</v>
      </c>
      <c r="E397" s="10" t="s">
        <v>209</v>
      </c>
      <c r="F397" s="10" t="s">
        <v>1685</v>
      </c>
      <c r="G397" s="10" t="s">
        <v>18779</v>
      </c>
      <c r="H397" s="10" t="s">
        <v>17446</v>
      </c>
      <c r="I397" s="10" t="s">
        <v>55</v>
      </c>
      <c r="K397" s="10" t="s">
        <v>18928</v>
      </c>
      <c r="L397" s="10" t="s">
        <v>42</v>
      </c>
    </row>
    <row r="398" ht="15.75" customHeight="1">
      <c r="A398" s="64">
        <v>45489.0</v>
      </c>
      <c r="B398" s="55" t="str">
        <f>HYPERLINK("https://jobright.ai/jobs/info/6695c0d827b8d0ea6ca6f125?utm_campaign=1049&amp;utm_source=sheet", "Apply")</f>
        <v>Apply</v>
      </c>
      <c r="C398" s="10" t="s">
        <v>18926</v>
      </c>
      <c r="D398" s="56" t="s">
        <v>1684</v>
      </c>
      <c r="E398" s="10" t="s">
        <v>209</v>
      </c>
      <c r="F398" s="10" t="s">
        <v>1685</v>
      </c>
      <c r="G398" s="10" t="s">
        <v>18779</v>
      </c>
      <c r="H398" s="10" t="s">
        <v>19089</v>
      </c>
      <c r="I398" s="10" t="s">
        <v>55</v>
      </c>
      <c r="K398" s="10" t="s">
        <v>18928</v>
      </c>
      <c r="L398" s="10" t="s">
        <v>42</v>
      </c>
    </row>
    <row r="399" ht="15.75" customHeight="1">
      <c r="A399" s="64">
        <v>45489.0</v>
      </c>
      <c r="B399" s="55" t="str">
        <f>HYPERLINK("https://jobright.ai/jobs/info/6697197018798443c42ae944?utm_campaign=1049&amp;utm_source=sheet", "Apply")</f>
        <v>Apply</v>
      </c>
      <c r="C399" s="10" t="s">
        <v>18721</v>
      </c>
      <c r="D399" s="56" t="s">
        <v>11826</v>
      </c>
      <c r="E399" s="10" t="s">
        <v>249</v>
      </c>
      <c r="F399" s="10" t="s">
        <v>2950</v>
      </c>
      <c r="G399" s="10" t="s">
        <v>18636</v>
      </c>
      <c r="H399" s="10" t="s">
        <v>19090</v>
      </c>
      <c r="I399" s="10" t="s">
        <v>55</v>
      </c>
      <c r="K399" s="10" t="s">
        <v>19047</v>
      </c>
      <c r="L399" s="10" t="s">
        <v>42</v>
      </c>
    </row>
    <row r="400" ht="15.75" customHeight="1">
      <c r="A400" s="64">
        <v>45489.0</v>
      </c>
      <c r="B400" s="55" t="str">
        <f>HYPERLINK("https://jobright.ai/jobs/info/6697197018798443c42ae92e?utm_campaign=1049&amp;utm_source=sheet", "Apply")</f>
        <v>Apply</v>
      </c>
      <c r="C400" s="10" t="s">
        <v>19091</v>
      </c>
      <c r="D400" s="56" t="s">
        <v>13553</v>
      </c>
      <c r="E400" s="10" t="s">
        <v>65</v>
      </c>
      <c r="F400" s="10" t="s">
        <v>12539</v>
      </c>
      <c r="G400" s="10" t="s">
        <v>18636</v>
      </c>
      <c r="H400" s="10" t="s">
        <v>1008</v>
      </c>
      <c r="I400" s="10" t="s">
        <v>55</v>
      </c>
      <c r="K400" s="10" t="s">
        <v>19092</v>
      </c>
      <c r="L400" s="10" t="s">
        <v>42</v>
      </c>
    </row>
    <row r="401" ht="15.75" customHeight="1">
      <c r="A401" s="64">
        <v>45489.0</v>
      </c>
      <c r="B401" s="55" t="str">
        <f>HYPERLINK("https://jobright.ai/jobs/info/6696f583742a578451339461?utm_campaign=1049&amp;utm_source=sheet", "Apply")</f>
        <v>Apply</v>
      </c>
      <c r="C401" s="10" t="s">
        <v>19093</v>
      </c>
      <c r="D401" s="56" t="s">
        <v>13071</v>
      </c>
      <c r="E401" s="10" t="s">
        <v>79</v>
      </c>
      <c r="F401" s="10" t="s">
        <v>13072</v>
      </c>
      <c r="G401" s="10" t="s">
        <v>18636</v>
      </c>
      <c r="H401" s="10" t="s">
        <v>1155</v>
      </c>
      <c r="I401" s="10" t="s">
        <v>55</v>
      </c>
      <c r="K401" s="10" t="s">
        <v>18976</v>
      </c>
      <c r="L401" s="10" t="s">
        <v>42</v>
      </c>
    </row>
    <row r="402" ht="15.75" customHeight="1">
      <c r="A402" s="64">
        <v>45488.0</v>
      </c>
      <c r="B402" s="55" t="str">
        <f>HYPERLINK("https://jobright.ai/jobs/info/6695a66bedeaa1f1d405bb54?utm_campaign=1049&amp;utm_source=sheet", "Apply")</f>
        <v>Apply</v>
      </c>
      <c r="C402" s="10" t="s">
        <v>19094</v>
      </c>
      <c r="D402" s="56" t="s">
        <v>11143</v>
      </c>
      <c r="E402" s="59">
        <v>45301.0</v>
      </c>
      <c r="F402" s="10" t="s">
        <v>11144</v>
      </c>
      <c r="G402" s="10" t="s">
        <v>18734</v>
      </c>
      <c r="H402" s="10" t="s">
        <v>1015</v>
      </c>
      <c r="I402" s="10" t="s">
        <v>55</v>
      </c>
      <c r="J402" s="10" t="s">
        <v>3959</v>
      </c>
      <c r="K402" s="10" t="s">
        <v>19095</v>
      </c>
      <c r="L402" s="10" t="s">
        <v>42</v>
      </c>
    </row>
    <row r="403" ht="15.75" customHeight="1">
      <c r="A403" s="64">
        <v>45488.0</v>
      </c>
      <c r="B403" s="55" t="str">
        <f>HYPERLINK("https://jobright.ai/jobs/info/66959b86a70b2fb207aed7b8?utm_campaign=1049&amp;utm_source=sheet", "Apply")</f>
        <v>Apply</v>
      </c>
      <c r="C403" s="10" t="s">
        <v>19096</v>
      </c>
      <c r="D403" s="56" t="s">
        <v>1576</v>
      </c>
      <c r="E403" s="10" t="s">
        <v>45</v>
      </c>
      <c r="F403" s="10" t="s">
        <v>1577</v>
      </c>
      <c r="G403" s="10" t="s">
        <v>18642</v>
      </c>
      <c r="H403" s="10" t="s">
        <v>2659</v>
      </c>
      <c r="I403" s="10" t="s">
        <v>55</v>
      </c>
      <c r="K403" s="10" t="s">
        <v>14273</v>
      </c>
      <c r="L403" s="10" t="s">
        <v>42</v>
      </c>
    </row>
    <row r="404" ht="15.75" customHeight="1">
      <c r="A404" s="64">
        <v>45488.0</v>
      </c>
      <c r="B404" s="55" t="str">
        <f>HYPERLINK("https://jobright.ai/jobs/info/6623e9eff880fb3da4e8d7e6?utm_campaign=1049&amp;utm_source=sheet", "Apply")</f>
        <v>Apply</v>
      </c>
      <c r="C404" s="10" t="s">
        <v>19097</v>
      </c>
      <c r="D404" s="56" t="s">
        <v>1684</v>
      </c>
      <c r="E404" s="10" t="s">
        <v>209</v>
      </c>
      <c r="F404" s="10" t="s">
        <v>1685</v>
      </c>
      <c r="G404" s="10" t="s">
        <v>18779</v>
      </c>
      <c r="H404" s="10" t="s">
        <v>607</v>
      </c>
      <c r="I404" s="10" t="s">
        <v>252</v>
      </c>
      <c r="J404" s="10" t="s">
        <v>2326</v>
      </c>
      <c r="K404" s="10" t="s">
        <v>2327</v>
      </c>
      <c r="L404" s="10" t="s">
        <v>42</v>
      </c>
    </row>
    <row r="405" ht="15.75" customHeight="1">
      <c r="A405" s="64">
        <v>45488.0</v>
      </c>
      <c r="B405" s="55" t="str">
        <f>HYPERLINK("https://jobright.ai/jobs/info/66959ebcdad8e1c87cfdb954?utm_campaign=1049&amp;utm_source=sheet", "Apply")</f>
        <v>Apply</v>
      </c>
      <c r="C405" s="10" t="s">
        <v>19098</v>
      </c>
      <c r="D405" s="56" t="s">
        <v>399</v>
      </c>
      <c r="E405" s="10" t="s">
        <v>137</v>
      </c>
      <c r="F405" s="10" t="s">
        <v>400</v>
      </c>
      <c r="G405" s="10" t="s">
        <v>18636</v>
      </c>
      <c r="H405" s="10" t="s">
        <v>313</v>
      </c>
      <c r="I405" s="10" t="s">
        <v>55</v>
      </c>
      <c r="K405" s="10" t="s">
        <v>19099</v>
      </c>
      <c r="L405" s="10" t="s">
        <v>42</v>
      </c>
    </row>
    <row r="406" ht="15.75" customHeight="1">
      <c r="A406" s="64">
        <v>45488.0</v>
      </c>
      <c r="B406" s="55" t="str">
        <f>HYPERLINK("https://jobright.ai/jobs/info/66959ed4dad8e1c87cfdbb53?utm_campaign=1049&amp;utm_source=sheet", "Apply")</f>
        <v>Apply</v>
      </c>
      <c r="C406" s="10" t="s">
        <v>19098</v>
      </c>
      <c r="D406" s="56" t="s">
        <v>399</v>
      </c>
      <c r="E406" s="10" t="s">
        <v>137</v>
      </c>
      <c r="F406" s="10" t="s">
        <v>400</v>
      </c>
      <c r="G406" s="10" t="s">
        <v>18636</v>
      </c>
      <c r="H406" s="10" t="s">
        <v>1036</v>
      </c>
      <c r="I406" s="10" t="s">
        <v>55</v>
      </c>
      <c r="K406" s="10" t="s">
        <v>19099</v>
      </c>
      <c r="L406" s="10" t="s">
        <v>42</v>
      </c>
    </row>
    <row r="407" ht="15.75" customHeight="1">
      <c r="A407" s="64">
        <v>45488.0</v>
      </c>
      <c r="B407" s="55" t="str">
        <f>HYPERLINK("https://jobright.ai/jobs/info/6623e9eff880fb3da4e8d7e1?utm_campaign=1049&amp;utm_source=sheet", "Apply")</f>
        <v>Apply</v>
      </c>
      <c r="C407" s="10" t="s">
        <v>19097</v>
      </c>
      <c r="D407" s="56" t="s">
        <v>1684</v>
      </c>
      <c r="E407" s="10" t="s">
        <v>209</v>
      </c>
      <c r="F407" s="10" t="s">
        <v>1685</v>
      </c>
      <c r="G407" s="10" t="s">
        <v>18779</v>
      </c>
      <c r="H407" s="10" t="s">
        <v>605</v>
      </c>
      <c r="I407" s="10" t="s">
        <v>252</v>
      </c>
      <c r="J407" s="10" t="s">
        <v>2326</v>
      </c>
      <c r="K407" s="10" t="s">
        <v>2327</v>
      </c>
      <c r="L407" s="10" t="s">
        <v>42</v>
      </c>
    </row>
    <row r="408" ht="15.75" customHeight="1">
      <c r="A408" s="64">
        <v>45488.0</v>
      </c>
      <c r="B408" s="55" t="str">
        <f>HYPERLINK("https://jobright.ai/jobs/info/6623e9eff880fb3da4e8d7d5?utm_campaign=1049&amp;utm_source=sheet", "Apply")</f>
        <v>Apply</v>
      </c>
      <c r="C408" s="10" t="s">
        <v>19097</v>
      </c>
      <c r="D408" s="56" t="s">
        <v>1684</v>
      </c>
      <c r="E408" s="10" t="s">
        <v>209</v>
      </c>
      <c r="F408" s="10" t="s">
        <v>1685</v>
      </c>
      <c r="G408" s="10" t="s">
        <v>18779</v>
      </c>
      <c r="H408" s="10" t="s">
        <v>170</v>
      </c>
      <c r="I408" s="10" t="s">
        <v>252</v>
      </c>
      <c r="J408" s="10" t="s">
        <v>2326</v>
      </c>
      <c r="K408" s="10" t="s">
        <v>2327</v>
      </c>
      <c r="L408" s="10" t="s">
        <v>42</v>
      </c>
    </row>
    <row r="409" ht="15.75" customHeight="1">
      <c r="A409" s="64">
        <v>45488.0</v>
      </c>
      <c r="B409" s="55" t="str">
        <f>HYPERLINK("https://jobright.ai/jobs/info/6623e9eff880fb3da4e8d7d2?utm_campaign=1049&amp;utm_source=sheet", "Apply")</f>
        <v>Apply</v>
      </c>
      <c r="C409" s="10" t="s">
        <v>19097</v>
      </c>
      <c r="D409" s="56" t="s">
        <v>1684</v>
      </c>
      <c r="E409" s="10" t="s">
        <v>209</v>
      </c>
      <c r="F409" s="10" t="s">
        <v>1685</v>
      </c>
      <c r="G409" s="10" t="s">
        <v>18779</v>
      </c>
      <c r="H409" s="10" t="s">
        <v>19100</v>
      </c>
      <c r="I409" s="10" t="s">
        <v>252</v>
      </c>
      <c r="J409" s="10" t="s">
        <v>2326</v>
      </c>
      <c r="K409" s="10" t="s">
        <v>2327</v>
      </c>
      <c r="L409" s="10" t="s">
        <v>42</v>
      </c>
    </row>
    <row r="410" ht="15.75" customHeight="1">
      <c r="A410" s="64">
        <v>45488.0</v>
      </c>
      <c r="B410" s="55" t="str">
        <f>HYPERLINK("https://jobright.ai/jobs/info/6623e9f4f880fb3da4e8d807?utm_campaign=1049&amp;utm_source=sheet", "Apply")</f>
        <v>Apply</v>
      </c>
      <c r="C410" s="10" t="s">
        <v>19097</v>
      </c>
      <c r="D410" s="56" t="s">
        <v>1684</v>
      </c>
      <c r="E410" s="10" t="s">
        <v>209</v>
      </c>
      <c r="F410" s="10" t="s">
        <v>1685</v>
      </c>
      <c r="G410" s="10" t="s">
        <v>18779</v>
      </c>
      <c r="H410" s="10" t="s">
        <v>898</v>
      </c>
      <c r="I410" s="10" t="s">
        <v>252</v>
      </c>
      <c r="J410" s="10" t="s">
        <v>2326</v>
      </c>
      <c r="K410" s="10" t="s">
        <v>2327</v>
      </c>
      <c r="L410" s="10" t="s">
        <v>42</v>
      </c>
    </row>
    <row r="411" ht="15.75" customHeight="1">
      <c r="A411" s="64">
        <v>45488.0</v>
      </c>
      <c r="B411" s="55" t="str">
        <f>HYPERLINK("https://jobright.ai/jobs/info/6623dfbe043293e914ce1e7d?utm_campaign=1049&amp;utm_source=sheet", "Apply")</f>
        <v>Apply</v>
      </c>
      <c r="C411" s="10" t="s">
        <v>19097</v>
      </c>
      <c r="D411" s="56" t="s">
        <v>1684</v>
      </c>
      <c r="E411" s="10" t="s">
        <v>209</v>
      </c>
      <c r="F411" s="10" t="s">
        <v>1685</v>
      </c>
      <c r="G411" s="10" t="s">
        <v>18779</v>
      </c>
      <c r="H411" s="10" t="s">
        <v>994</v>
      </c>
      <c r="I411" s="10" t="s">
        <v>252</v>
      </c>
      <c r="J411" s="10" t="s">
        <v>2326</v>
      </c>
      <c r="K411" s="10" t="s">
        <v>2327</v>
      </c>
      <c r="L411" s="10" t="s">
        <v>42</v>
      </c>
    </row>
    <row r="412" ht="15.75" customHeight="1">
      <c r="A412" s="64">
        <v>45488.0</v>
      </c>
      <c r="B412" s="55" t="str">
        <f>HYPERLINK("https://jobright.ai/jobs/info/6623e9eff880fb3da4e8d7dc?utm_campaign=1049&amp;utm_source=sheet", "Apply")</f>
        <v>Apply</v>
      </c>
      <c r="C412" s="10" t="s">
        <v>19097</v>
      </c>
      <c r="D412" s="56" t="s">
        <v>1684</v>
      </c>
      <c r="E412" s="10" t="s">
        <v>209</v>
      </c>
      <c r="F412" s="10" t="s">
        <v>1685</v>
      </c>
      <c r="G412" s="10" t="s">
        <v>18779</v>
      </c>
      <c r="H412" s="10" t="s">
        <v>14859</v>
      </c>
      <c r="I412" s="10" t="s">
        <v>252</v>
      </c>
      <c r="J412" s="10" t="s">
        <v>2326</v>
      </c>
      <c r="K412" s="10" t="s">
        <v>2327</v>
      </c>
      <c r="L412" s="10" t="s">
        <v>42</v>
      </c>
    </row>
    <row r="413" ht="15.75" customHeight="1">
      <c r="A413" s="64">
        <v>45488.0</v>
      </c>
      <c r="B413" s="55" t="str">
        <f>HYPERLINK("https://jobright.ai/jobs/info/6623e9f4f880fb3da4e8d80b?utm_campaign=1049&amp;utm_source=sheet", "Apply")</f>
        <v>Apply</v>
      </c>
      <c r="C413" s="10" t="s">
        <v>19097</v>
      </c>
      <c r="D413" s="56" t="s">
        <v>1684</v>
      </c>
      <c r="E413" s="10" t="s">
        <v>209</v>
      </c>
      <c r="F413" s="10" t="s">
        <v>1685</v>
      </c>
      <c r="G413" s="10" t="s">
        <v>18779</v>
      </c>
      <c r="H413" s="10" t="s">
        <v>313</v>
      </c>
      <c r="I413" s="10" t="s">
        <v>252</v>
      </c>
      <c r="J413" s="10" t="s">
        <v>2326</v>
      </c>
      <c r="K413" s="10" t="s">
        <v>2327</v>
      </c>
      <c r="L413" s="10" t="s">
        <v>42</v>
      </c>
    </row>
    <row r="414" ht="15.75" customHeight="1">
      <c r="A414" s="64">
        <v>45488.0</v>
      </c>
      <c r="B414" s="55" t="str">
        <f>HYPERLINK("https://jobright.ai/jobs/info/666740289b398fa7d76a4f04?utm_campaign=1049&amp;utm_source=sheet", "Apply")</f>
        <v>Apply</v>
      </c>
      <c r="C414" s="10" t="s">
        <v>19097</v>
      </c>
      <c r="D414" s="56" t="s">
        <v>1684</v>
      </c>
      <c r="E414" s="10" t="s">
        <v>209</v>
      </c>
      <c r="F414" s="10" t="s">
        <v>1685</v>
      </c>
      <c r="G414" s="10" t="s">
        <v>18779</v>
      </c>
      <c r="H414" s="10" t="s">
        <v>843</v>
      </c>
      <c r="I414" s="10" t="s">
        <v>252</v>
      </c>
      <c r="J414" s="10" t="s">
        <v>2326</v>
      </c>
      <c r="K414" s="10" t="s">
        <v>2327</v>
      </c>
      <c r="L414" s="10" t="s">
        <v>42</v>
      </c>
    </row>
    <row r="415" ht="15.75" customHeight="1">
      <c r="A415" s="64">
        <v>45488.0</v>
      </c>
      <c r="B415" s="55" t="str">
        <f>HYPERLINK("https://jobright.ai/jobs/info/6623e9eff880fb3da4e8d7fa?utm_campaign=1049&amp;utm_source=sheet", "Apply")</f>
        <v>Apply</v>
      </c>
      <c r="C415" s="10" t="s">
        <v>19097</v>
      </c>
      <c r="D415" s="56" t="s">
        <v>1684</v>
      </c>
      <c r="E415" s="10" t="s">
        <v>209</v>
      </c>
      <c r="F415" s="10" t="s">
        <v>1685</v>
      </c>
      <c r="G415" s="10" t="s">
        <v>18779</v>
      </c>
      <c r="H415" s="10" t="s">
        <v>423</v>
      </c>
      <c r="I415" s="10" t="s">
        <v>252</v>
      </c>
      <c r="J415" s="10" t="s">
        <v>2326</v>
      </c>
      <c r="K415" s="10" t="s">
        <v>2327</v>
      </c>
      <c r="L415" s="10" t="s">
        <v>42</v>
      </c>
    </row>
    <row r="416" ht="15.75" customHeight="1">
      <c r="A416" s="64">
        <v>45488.0</v>
      </c>
      <c r="B416" s="55" t="str">
        <f>HYPERLINK("https://jobright.ai/jobs/info/6623e9eff880fb3da4e8d7e3?utm_campaign=1049&amp;utm_source=sheet", "Apply")</f>
        <v>Apply</v>
      </c>
      <c r="C416" s="10" t="s">
        <v>19097</v>
      </c>
      <c r="D416" s="56" t="s">
        <v>1684</v>
      </c>
      <c r="E416" s="10" t="s">
        <v>209</v>
      </c>
      <c r="F416" s="10" t="s">
        <v>1685</v>
      </c>
      <c r="G416" s="10" t="s">
        <v>18779</v>
      </c>
      <c r="H416" s="10" t="s">
        <v>346</v>
      </c>
      <c r="I416" s="10" t="s">
        <v>252</v>
      </c>
      <c r="J416" s="10" t="s">
        <v>2326</v>
      </c>
      <c r="K416" s="10" t="s">
        <v>2327</v>
      </c>
      <c r="L416" s="10" t="s">
        <v>42</v>
      </c>
    </row>
    <row r="417" ht="15.75" customHeight="1">
      <c r="A417" s="64">
        <v>45488.0</v>
      </c>
      <c r="B417" s="55" t="str">
        <f>HYPERLINK("https://jobright.ai/jobs/info/66672cccb5e2e46e1c4ffbeb?utm_campaign=1049&amp;utm_source=sheet", "Apply")</f>
        <v>Apply</v>
      </c>
      <c r="C417" s="10" t="s">
        <v>19097</v>
      </c>
      <c r="D417" s="56" t="s">
        <v>1684</v>
      </c>
      <c r="E417" s="10" t="s">
        <v>209</v>
      </c>
      <c r="F417" s="10" t="s">
        <v>1685</v>
      </c>
      <c r="G417" s="10" t="s">
        <v>18779</v>
      </c>
      <c r="H417" s="10" t="s">
        <v>144</v>
      </c>
      <c r="I417" s="10" t="s">
        <v>252</v>
      </c>
      <c r="J417" s="10" t="s">
        <v>2326</v>
      </c>
      <c r="K417" s="10" t="s">
        <v>2327</v>
      </c>
      <c r="L417" s="10" t="s">
        <v>42</v>
      </c>
    </row>
    <row r="418" ht="15.75" customHeight="1">
      <c r="A418" s="64">
        <v>45488.0</v>
      </c>
      <c r="B418" s="55" t="str">
        <f>HYPERLINK("https://jobright.ai/jobs/info/6623e9f4f880fb3da4e8d809?utm_campaign=1049&amp;utm_source=sheet", "Apply")</f>
        <v>Apply</v>
      </c>
      <c r="C418" s="10" t="s">
        <v>19097</v>
      </c>
      <c r="D418" s="56" t="s">
        <v>1684</v>
      </c>
      <c r="E418" s="10" t="s">
        <v>209</v>
      </c>
      <c r="F418" s="10" t="s">
        <v>1685</v>
      </c>
      <c r="G418" s="10" t="s">
        <v>18779</v>
      </c>
      <c r="H418" s="10" t="s">
        <v>1978</v>
      </c>
      <c r="I418" s="10" t="s">
        <v>252</v>
      </c>
      <c r="J418" s="10" t="s">
        <v>2326</v>
      </c>
      <c r="K418" s="10" t="s">
        <v>2327</v>
      </c>
      <c r="L418" s="10" t="s">
        <v>42</v>
      </c>
    </row>
    <row r="419" ht="15.75" customHeight="1">
      <c r="A419" s="64">
        <v>45488.0</v>
      </c>
      <c r="B419" s="55" t="str">
        <f>HYPERLINK("https://jobright.ai/jobs/info/6623e9eff880fb3da4e8d7de?utm_campaign=1049&amp;utm_source=sheet", "Apply")</f>
        <v>Apply</v>
      </c>
      <c r="C419" s="10" t="s">
        <v>19097</v>
      </c>
      <c r="D419" s="56" t="s">
        <v>1684</v>
      </c>
      <c r="E419" s="10" t="s">
        <v>209</v>
      </c>
      <c r="F419" s="10" t="s">
        <v>1685</v>
      </c>
      <c r="G419" s="10" t="s">
        <v>18779</v>
      </c>
      <c r="H419" s="10" t="s">
        <v>154</v>
      </c>
      <c r="I419" s="10" t="s">
        <v>252</v>
      </c>
      <c r="J419" s="10" t="s">
        <v>2326</v>
      </c>
      <c r="K419" s="10" t="s">
        <v>2327</v>
      </c>
      <c r="L419" s="10" t="s">
        <v>42</v>
      </c>
    </row>
    <row r="420" ht="15.75" customHeight="1">
      <c r="A420" s="64">
        <v>45488.0</v>
      </c>
      <c r="B420" s="55" t="str">
        <f>HYPERLINK("https://jobright.ai/jobs/info/6623e9f4f880fb3da4e8d81f?utm_campaign=1049&amp;utm_source=sheet", "Apply")</f>
        <v>Apply</v>
      </c>
      <c r="C420" s="10" t="s">
        <v>19097</v>
      </c>
      <c r="D420" s="56" t="s">
        <v>1684</v>
      </c>
      <c r="E420" s="10" t="s">
        <v>209</v>
      </c>
      <c r="F420" s="10" t="s">
        <v>1685</v>
      </c>
      <c r="G420" s="10" t="s">
        <v>18779</v>
      </c>
      <c r="H420" s="10" t="s">
        <v>174</v>
      </c>
      <c r="I420" s="10" t="s">
        <v>252</v>
      </c>
      <c r="J420" s="10" t="s">
        <v>2326</v>
      </c>
      <c r="K420" s="10" t="s">
        <v>2327</v>
      </c>
      <c r="L420" s="10" t="s">
        <v>42</v>
      </c>
    </row>
    <row r="421" ht="15.75" customHeight="1">
      <c r="A421" s="64">
        <v>45488.0</v>
      </c>
      <c r="B421" s="55" t="str">
        <f>HYPERLINK("https://jobright.ai/jobs/info/6623e9f4f880fb3da4e8d7fb?utm_campaign=1049&amp;utm_source=sheet", "Apply")</f>
        <v>Apply</v>
      </c>
      <c r="C421" s="10" t="s">
        <v>19097</v>
      </c>
      <c r="D421" s="56" t="s">
        <v>1684</v>
      </c>
      <c r="E421" s="10" t="s">
        <v>209</v>
      </c>
      <c r="F421" s="10" t="s">
        <v>1685</v>
      </c>
      <c r="G421" s="10" t="s">
        <v>18779</v>
      </c>
      <c r="H421" s="10" t="s">
        <v>434</v>
      </c>
      <c r="I421" s="10" t="s">
        <v>252</v>
      </c>
      <c r="J421" s="10" t="s">
        <v>2326</v>
      </c>
      <c r="K421" s="10" t="s">
        <v>2327</v>
      </c>
      <c r="L421" s="10" t="s">
        <v>42</v>
      </c>
    </row>
    <row r="422" ht="15.75" customHeight="1">
      <c r="A422" s="64">
        <v>45488.0</v>
      </c>
      <c r="B422" s="55" t="str">
        <f>HYPERLINK("https://jobright.ai/jobs/info/6623e9f4f880fb3da4e8d80a?utm_campaign=1049&amp;utm_source=sheet", "Apply")</f>
        <v>Apply</v>
      </c>
      <c r="C422" s="10" t="s">
        <v>19097</v>
      </c>
      <c r="D422" s="56" t="s">
        <v>1684</v>
      </c>
      <c r="E422" s="10" t="s">
        <v>209</v>
      </c>
      <c r="F422" s="10" t="s">
        <v>1685</v>
      </c>
      <c r="G422" s="10" t="s">
        <v>18779</v>
      </c>
      <c r="H422" s="10" t="s">
        <v>159</v>
      </c>
      <c r="I422" s="10" t="s">
        <v>252</v>
      </c>
      <c r="J422" s="10" t="s">
        <v>2326</v>
      </c>
      <c r="K422" s="10" t="s">
        <v>2327</v>
      </c>
      <c r="L422" s="10" t="s">
        <v>42</v>
      </c>
    </row>
    <row r="423" ht="15.75" customHeight="1">
      <c r="A423" s="64">
        <v>45488.0</v>
      </c>
      <c r="B423" s="55" t="str">
        <f>HYPERLINK("https://jobright.ai/jobs/info/6623e9f4f880fb3da4e8d828?utm_campaign=1049&amp;utm_source=sheet", "Apply")</f>
        <v>Apply</v>
      </c>
      <c r="C423" s="10" t="s">
        <v>19097</v>
      </c>
      <c r="D423" s="56" t="s">
        <v>1684</v>
      </c>
      <c r="E423" s="10" t="s">
        <v>209</v>
      </c>
      <c r="F423" s="10" t="s">
        <v>1685</v>
      </c>
      <c r="G423" s="10" t="s">
        <v>18779</v>
      </c>
      <c r="H423" s="10" t="s">
        <v>816</v>
      </c>
      <c r="I423" s="10" t="s">
        <v>252</v>
      </c>
      <c r="J423" s="10" t="s">
        <v>2326</v>
      </c>
      <c r="K423" s="10" t="s">
        <v>2327</v>
      </c>
      <c r="L423" s="10" t="s">
        <v>42</v>
      </c>
    </row>
    <row r="424" ht="15.75" customHeight="1">
      <c r="A424" s="64">
        <v>45488.0</v>
      </c>
      <c r="B424" s="55" t="str">
        <f>HYPERLINK("https://jobright.ai/jobs/info/669546adfc10172a3c8d3cc0?utm_campaign=1049&amp;utm_source=sheet", "Apply")</f>
        <v>Apply</v>
      </c>
      <c r="C424" s="10" t="s">
        <v>19101</v>
      </c>
      <c r="D424" s="56" t="s">
        <v>5004</v>
      </c>
      <c r="G424" s="10" t="s">
        <v>18779</v>
      </c>
      <c r="H424" s="10" t="s">
        <v>5320</v>
      </c>
      <c r="I424" s="10" t="s">
        <v>55</v>
      </c>
      <c r="K424" s="10" t="s">
        <v>19102</v>
      </c>
      <c r="L424" s="10" t="s">
        <v>42</v>
      </c>
    </row>
    <row r="425" ht="15.75" customHeight="1">
      <c r="A425" s="64">
        <v>45488.0</v>
      </c>
      <c r="B425" s="55" t="str">
        <f>HYPERLINK("https://jobright.ai/jobs/info/6694a71b579bd0d1ae6ebfc4?utm_campaign=1049&amp;utm_source=sheet", "Apply")</f>
        <v>Apply</v>
      </c>
      <c r="C425" s="10" t="s">
        <v>19103</v>
      </c>
      <c r="D425" s="56" t="s">
        <v>19104</v>
      </c>
      <c r="E425" s="10">
        <v>5.0</v>
      </c>
      <c r="G425" s="10" t="s">
        <v>18636</v>
      </c>
      <c r="H425" s="10" t="s">
        <v>8314</v>
      </c>
      <c r="I425" s="10" t="s">
        <v>48</v>
      </c>
      <c r="K425" s="10" t="s">
        <v>19105</v>
      </c>
      <c r="L425" s="10" t="s">
        <v>42</v>
      </c>
    </row>
    <row r="426" ht="15.75" customHeight="1">
      <c r="A426" s="64">
        <v>45488.0</v>
      </c>
      <c r="B426" s="55" t="str">
        <f>HYPERLINK("https://jobright.ai/jobs/info/66948cc39b439772614e02ac?utm_campaign=1049&amp;utm_source=sheet", "Apply")</f>
        <v>Apply</v>
      </c>
      <c r="C426" s="10" t="s">
        <v>19106</v>
      </c>
      <c r="D426" s="56" t="s">
        <v>1955</v>
      </c>
      <c r="E426" s="10" t="s">
        <v>45</v>
      </c>
      <c r="F426" s="10" t="s">
        <v>1234</v>
      </c>
      <c r="G426" s="10" t="s">
        <v>18636</v>
      </c>
      <c r="H426" s="10" t="s">
        <v>139</v>
      </c>
      <c r="I426" s="10" t="s">
        <v>55</v>
      </c>
      <c r="J426" s="10" t="s">
        <v>3651</v>
      </c>
      <c r="K426" s="10" t="s">
        <v>19107</v>
      </c>
      <c r="L426" s="10" t="s">
        <v>42</v>
      </c>
    </row>
    <row r="427" ht="15.75" customHeight="1">
      <c r="A427" s="64">
        <v>45488.0</v>
      </c>
      <c r="B427" s="55" t="str">
        <f>HYPERLINK("https://jobright.ai/jobs/info/6695a03cec311e38ae18a701?utm_campaign=1049&amp;utm_source=sheet", "Apply")</f>
        <v>Apply</v>
      </c>
      <c r="C427" s="10" t="s">
        <v>19108</v>
      </c>
      <c r="D427" s="56" t="s">
        <v>11462</v>
      </c>
      <c r="E427" s="10" t="s">
        <v>45</v>
      </c>
      <c r="F427" s="10" t="s">
        <v>11463</v>
      </c>
      <c r="G427" s="10" t="s">
        <v>18642</v>
      </c>
      <c r="H427" s="10" t="s">
        <v>794</v>
      </c>
      <c r="I427" s="10" t="s">
        <v>55</v>
      </c>
      <c r="J427" s="10" t="s">
        <v>19109</v>
      </c>
      <c r="K427" s="10" t="s">
        <v>19110</v>
      </c>
      <c r="L427" s="10" t="s">
        <v>42</v>
      </c>
    </row>
    <row r="428" ht="15.75" customHeight="1">
      <c r="A428" s="64">
        <v>45488.0</v>
      </c>
      <c r="B428" s="55" t="str">
        <f>HYPERLINK("https://jobright.ai/jobs/info/669588d9bee1ad6b33a44c14?utm_campaign=1049&amp;utm_source=sheet", "Apply")</f>
        <v>Apply</v>
      </c>
      <c r="C428" s="10" t="s">
        <v>19108</v>
      </c>
      <c r="D428" s="56" t="s">
        <v>11462</v>
      </c>
      <c r="E428" s="10" t="s">
        <v>45</v>
      </c>
      <c r="F428" s="10" t="s">
        <v>11463</v>
      </c>
      <c r="G428" s="10" t="s">
        <v>18642</v>
      </c>
      <c r="H428" s="10" t="s">
        <v>15176</v>
      </c>
      <c r="I428" s="10" t="s">
        <v>55</v>
      </c>
      <c r="J428" s="10" t="s">
        <v>19111</v>
      </c>
      <c r="K428" s="10" t="s">
        <v>19110</v>
      </c>
      <c r="L428" s="10" t="s">
        <v>42</v>
      </c>
    </row>
    <row r="429" ht="15.75" customHeight="1">
      <c r="A429" s="64">
        <v>45487.0</v>
      </c>
      <c r="B429" s="55" t="str">
        <f>HYPERLINK("https://jobright.ai/jobs/info/6675f7d380091fbf5e3ec8ba?utm_campaign=1049&amp;utm_source=sheet", "Apply")</f>
        <v>Apply</v>
      </c>
      <c r="C429" s="10" t="s">
        <v>19112</v>
      </c>
      <c r="D429" s="56" t="s">
        <v>5825</v>
      </c>
      <c r="E429" s="10" t="s">
        <v>249</v>
      </c>
      <c r="F429" s="10" t="s">
        <v>5826</v>
      </c>
      <c r="G429" s="10" t="s">
        <v>18642</v>
      </c>
      <c r="H429" s="10" t="s">
        <v>2759</v>
      </c>
      <c r="I429" s="10" t="s">
        <v>55</v>
      </c>
      <c r="J429" s="10" t="s">
        <v>19113</v>
      </c>
      <c r="K429" s="10" t="s">
        <v>19114</v>
      </c>
      <c r="L429" s="10" t="s">
        <v>42</v>
      </c>
    </row>
    <row r="430" ht="15.75" customHeight="1">
      <c r="A430" s="64">
        <v>45487.0</v>
      </c>
      <c r="B430" s="55" t="str">
        <f>HYPERLINK("https://jobright.ai/jobs/info/650ed9ce4bb8a0ba95012668?utm_campaign=1049&amp;utm_source=sheet", "Apply")</f>
        <v>Apply</v>
      </c>
      <c r="C430" s="10" t="s">
        <v>19115</v>
      </c>
      <c r="D430" s="56" t="s">
        <v>736</v>
      </c>
      <c r="E430" s="10" t="s">
        <v>276</v>
      </c>
      <c r="F430" s="10" t="s">
        <v>737</v>
      </c>
      <c r="G430" s="10" t="s">
        <v>18636</v>
      </c>
      <c r="H430" s="10" t="s">
        <v>738</v>
      </c>
      <c r="I430" s="10" t="s">
        <v>55</v>
      </c>
      <c r="K430" s="10" t="s">
        <v>19116</v>
      </c>
      <c r="L430" s="10" t="s">
        <v>42</v>
      </c>
    </row>
    <row r="431" ht="15.75" customHeight="1">
      <c r="A431" s="64">
        <v>45487.0</v>
      </c>
      <c r="B431" s="55" t="str">
        <f>HYPERLINK("https://jobright.ai/jobs/info/6676a096573f97cc9db08d7f?utm_campaign=1049&amp;utm_source=sheet", "Apply")</f>
        <v>Apply</v>
      </c>
      <c r="C431" s="10" t="s">
        <v>19117</v>
      </c>
      <c r="D431" s="56" t="s">
        <v>2726</v>
      </c>
      <c r="E431" s="10" t="s">
        <v>65</v>
      </c>
      <c r="F431" s="10" t="s">
        <v>85</v>
      </c>
      <c r="G431" s="10" t="s">
        <v>18734</v>
      </c>
      <c r="H431" s="10" t="s">
        <v>572</v>
      </c>
      <c r="I431" s="10" t="s">
        <v>48</v>
      </c>
      <c r="K431" s="10" t="s">
        <v>19118</v>
      </c>
      <c r="L431" s="10" t="s">
        <v>42</v>
      </c>
    </row>
    <row r="432" ht="15.75" customHeight="1">
      <c r="A432" s="64">
        <v>45487.0</v>
      </c>
      <c r="B432" s="55" t="str">
        <f>HYPERLINK("https://jobright.ai/jobs/info/665a02ea885fdd850b3ed2fb?utm_campaign=1049&amp;utm_source=sheet", "Apply")</f>
        <v>Apply</v>
      </c>
      <c r="C432" s="10" t="s">
        <v>19119</v>
      </c>
      <c r="D432" s="56" t="s">
        <v>19120</v>
      </c>
      <c r="E432" s="10" t="s">
        <v>65</v>
      </c>
      <c r="F432" s="10" t="s">
        <v>18798</v>
      </c>
      <c r="G432" s="10" t="s">
        <v>18734</v>
      </c>
      <c r="H432" s="10" t="s">
        <v>4149</v>
      </c>
      <c r="I432" s="10" t="s">
        <v>55</v>
      </c>
      <c r="K432" s="10" t="s">
        <v>19121</v>
      </c>
      <c r="L432" s="10" t="s">
        <v>42</v>
      </c>
    </row>
    <row r="433" ht="15.75" customHeight="1">
      <c r="A433" s="64">
        <v>45487.0</v>
      </c>
      <c r="B433" s="55" t="str">
        <f>HYPERLINK("https://jobright.ai/jobs/info/66592c55fb1dd944df45b6b4?utm_campaign=1049&amp;utm_source=sheet", "Apply")</f>
        <v>Apply</v>
      </c>
      <c r="C433" s="10" t="s">
        <v>19122</v>
      </c>
      <c r="D433" s="56" t="s">
        <v>19123</v>
      </c>
      <c r="E433" s="10" t="s">
        <v>65</v>
      </c>
      <c r="G433" s="10" t="s">
        <v>18734</v>
      </c>
      <c r="H433" s="10" t="s">
        <v>170</v>
      </c>
      <c r="I433" s="10" t="s">
        <v>55</v>
      </c>
      <c r="K433" s="10" t="s">
        <v>19124</v>
      </c>
      <c r="L433" s="10" t="s">
        <v>42</v>
      </c>
    </row>
    <row r="434" ht="15.75" customHeight="1">
      <c r="A434" s="64">
        <v>45487.0</v>
      </c>
      <c r="B434" s="55" t="str">
        <f>HYPERLINK("https://jobright.ai/jobs/info/66741e718f8ed70066b4bf6e?utm_campaign=1049&amp;utm_source=sheet", "Apply")</f>
        <v>Apply</v>
      </c>
      <c r="C434" s="10" t="s">
        <v>19125</v>
      </c>
      <c r="D434" s="56" t="s">
        <v>3364</v>
      </c>
      <c r="E434" s="10" t="s">
        <v>45</v>
      </c>
      <c r="F434" s="10" t="s">
        <v>1274</v>
      </c>
      <c r="G434" s="10" t="s">
        <v>18636</v>
      </c>
      <c r="H434" s="10" t="s">
        <v>849</v>
      </c>
      <c r="I434" s="10" t="s">
        <v>55</v>
      </c>
      <c r="K434" s="10" t="s">
        <v>19126</v>
      </c>
      <c r="L434" s="10" t="s">
        <v>42</v>
      </c>
    </row>
    <row r="435" ht="15.75" customHeight="1">
      <c r="A435" s="64">
        <v>45486.0</v>
      </c>
      <c r="B435" s="55" t="str">
        <f>HYPERLINK("https://jobright.ai/jobs/info/664e491de2794cc911da59d7?utm_campaign=1049&amp;utm_source=sheet", "Apply")</f>
        <v>Apply</v>
      </c>
      <c r="C435" s="10" t="s">
        <v>19127</v>
      </c>
      <c r="D435" s="56" t="s">
        <v>1064</v>
      </c>
      <c r="E435" s="10" t="s">
        <v>65</v>
      </c>
      <c r="F435" s="10" t="s">
        <v>1065</v>
      </c>
      <c r="G435" s="10" t="s">
        <v>18636</v>
      </c>
      <c r="H435" s="10" t="s">
        <v>952</v>
      </c>
      <c r="I435" s="10" t="s">
        <v>55</v>
      </c>
      <c r="J435" s="10" t="s">
        <v>1797</v>
      </c>
      <c r="K435" s="10" t="s">
        <v>19128</v>
      </c>
      <c r="L435" s="10" t="s">
        <v>42</v>
      </c>
    </row>
    <row r="436" ht="15.75" customHeight="1">
      <c r="A436" s="64">
        <v>45486.0</v>
      </c>
      <c r="B436" s="55" t="str">
        <f>HYPERLINK("https://jobright.ai/jobs/info/667e9b588bb72220804fcb77?utm_campaign=1049&amp;utm_source=sheet", "Apply")</f>
        <v>Apply</v>
      </c>
      <c r="C436" s="10" t="s">
        <v>19129</v>
      </c>
      <c r="D436" s="56" t="s">
        <v>9884</v>
      </c>
      <c r="E436" s="10" t="s">
        <v>45</v>
      </c>
      <c r="F436" s="10" t="s">
        <v>9885</v>
      </c>
      <c r="G436" s="10" t="s">
        <v>18636</v>
      </c>
      <c r="H436" s="10" t="s">
        <v>4897</v>
      </c>
      <c r="I436" s="10" t="s">
        <v>55</v>
      </c>
      <c r="J436" s="10" t="s">
        <v>19130</v>
      </c>
      <c r="K436" s="10" t="s">
        <v>19131</v>
      </c>
      <c r="L436" s="10" t="s">
        <v>42</v>
      </c>
    </row>
    <row r="437" ht="15.75" customHeight="1">
      <c r="A437" s="64">
        <v>45486.0</v>
      </c>
      <c r="B437" s="55" t="str">
        <f>HYPERLINK("https://jobright.ai/jobs/info/662801ca0dd8d8cc6930ad5b?utm_campaign=1049&amp;utm_source=sheet", "Apply")</f>
        <v>Apply</v>
      </c>
      <c r="C437" s="10" t="s">
        <v>19132</v>
      </c>
      <c r="D437" s="56" t="s">
        <v>14437</v>
      </c>
      <c r="E437" s="10">
        <v>150.0</v>
      </c>
      <c r="G437" s="10" t="s">
        <v>18636</v>
      </c>
      <c r="H437" s="10" t="s">
        <v>6620</v>
      </c>
      <c r="I437" s="10" t="s">
        <v>55</v>
      </c>
      <c r="K437" s="10" t="s">
        <v>7614</v>
      </c>
      <c r="L437" s="10" t="s">
        <v>42</v>
      </c>
    </row>
    <row r="438" ht="15.75" customHeight="1">
      <c r="A438" s="64">
        <v>45486.0</v>
      </c>
      <c r="B438" s="55" t="str">
        <f>HYPERLINK("https://jobright.ai/jobs/info/664f8866b4296966b65ee564?utm_campaign=1049&amp;utm_source=sheet", "Apply")</f>
        <v>Apply</v>
      </c>
      <c r="C438" s="10" t="s">
        <v>19133</v>
      </c>
      <c r="D438" s="56" t="s">
        <v>7209</v>
      </c>
      <c r="E438" s="10" t="s">
        <v>45</v>
      </c>
      <c r="F438" s="10" t="s">
        <v>7210</v>
      </c>
      <c r="G438" s="10" t="s">
        <v>18636</v>
      </c>
      <c r="H438" s="10" t="s">
        <v>810</v>
      </c>
      <c r="I438" s="10" t="s">
        <v>55</v>
      </c>
      <c r="K438" s="10" t="s">
        <v>19134</v>
      </c>
      <c r="L438" s="10" t="s">
        <v>42</v>
      </c>
    </row>
    <row r="439" ht="15.75" customHeight="1">
      <c r="A439" s="64">
        <v>45486.0</v>
      </c>
      <c r="B439" s="55" t="str">
        <f>HYPERLINK("https://jobright.ai/jobs/info/6628174a63da74834abea8b1?utm_campaign=1049&amp;utm_source=sheet", "Apply")</f>
        <v>Apply</v>
      </c>
      <c r="C439" s="10" t="s">
        <v>19135</v>
      </c>
      <c r="D439" s="56" t="s">
        <v>2493</v>
      </c>
      <c r="E439" s="10" t="s">
        <v>45</v>
      </c>
      <c r="F439" s="10" t="s">
        <v>2494</v>
      </c>
      <c r="G439" s="10" t="s">
        <v>18636</v>
      </c>
      <c r="H439" s="10" t="s">
        <v>936</v>
      </c>
      <c r="I439" s="10" t="s">
        <v>55</v>
      </c>
      <c r="K439" s="10" t="s">
        <v>19136</v>
      </c>
      <c r="L439" s="10" t="s">
        <v>42</v>
      </c>
    </row>
    <row r="440" ht="15.75" customHeight="1">
      <c r="A440" s="64">
        <v>45486.0</v>
      </c>
      <c r="B440" s="55" t="str">
        <f>HYPERLINK("https://jobright.ai/jobs/info/66920f9e5f4e680a67db137e?utm_campaign=1049&amp;utm_source=sheet", "Apply")</f>
        <v>Apply</v>
      </c>
      <c r="C440" s="10" t="s">
        <v>19137</v>
      </c>
      <c r="D440" s="56" t="s">
        <v>19138</v>
      </c>
      <c r="E440" s="10" t="s">
        <v>137</v>
      </c>
      <c r="F440" s="10" t="s">
        <v>12539</v>
      </c>
      <c r="G440" s="10" t="s">
        <v>18636</v>
      </c>
      <c r="H440" s="10" t="s">
        <v>96</v>
      </c>
      <c r="I440" s="10" t="s">
        <v>48</v>
      </c>
      <c r="J440" s="10" t="s">
        <v>1984</v>
      </c>
      <c r="K440" s="10" t="s">
        <v>19139</v>
      </c>
      <c r="L440" s="10" t="s">
        <v>42</v>
      </c>
    </row>
    <row r="441" ht="15.75" customHeight="1">
      <c r="A441" s="64">
        <v>45485.0</v>
      </c>
      <c r="B441" s="55" t="str">
        <f>HYPERLINK("https://jobright.ai/jobs/info/6691c5d6dedfefbc1f707fa1?utm_campaign=1049&amp;utm_source=sheet", "Apply")</f>
        <v>Apply</v>
      </c>
      <c r="C441" s="10" t="s">
        <v>19140</v>
      </c>
      <c r="D441" s="56" t="s">
        <v>9937</v>
      </c>
      <c r="E441" s="10" t="s">
        <v>45</v>
      </c>
      <c r="F441" s="10" t="s">
        <v>9938</v>
      </c>
      <c r="G441" s="10" t="s">
        <v>18636</v>
      </c>
      <c r="H441" s="10" t="s">
        <v>152</v>
      </c>
      <c r="I441" s="10" t="s">
        <v>48</v>
      </c>
      <c r="K441" s="10" t="s">
        <v>19141</v>
      </c>
      <c r="L441" s="10" t="s">
        <v>42</v>
      </c>
    </row>
    <row r="442" ht="15.75" customHeight="1">
      <c r="A442" s="64">
        <v>45485.0</v>
      </c>
      <c r="B442" s="55" t="str">
        <f>HYPERLINK("https://jobright.ai/jobs/info/669198aeb4b5a4f81c499ba1?utm_campaign=1049&amp;utm_source=sheet", "Apply")</f>
        <v>Apply</v>
      </c>
      <c r="C442" s="10" t="s">
        <v>18985</v>
      </c>
      <c r="D442" s="56" t="s">
        <v>95</v>
      </c>
      <c r="E442" s="10">
        <v>52.0</v>
      </c>
      <c r="G442" s="10" t="s">
        <v>18636</v>
      </c>
      <c r="H442" s="10" t="s">
        <v>1008</v>
      </c>
      <c r="I442" s="10" t="s">
        <v>55</v>
      </c>
      <c r="K442" s="10" t="s">
        <v>18986</v>
      </c>
      <c r="L442" s="10" t="s">
        <v>42</v>
      </c>
    </row>
    <row r="443" ht="15.75" customHeight="1">
      <c r="A443" s="64">
        <v>45485.0</v>
      </c>
      <c r="B443" s="55" t="str">
        <f>HYPERLINK("https://jobright.ai/jobs/info/66918965ac10c1640df70919?utm_campaign=1049&amp;utm_source=sheet", "Apply")</f>
        <v>Apply</v>
      </c>
      <c r="C443" s="10" t="s">
        <v>18899</v>
      </c>
      <c r="D443" s="56" t="s">
        <v>8233</v>
      </c>
      <c r="E443" s="10" t="s">
        <v>65</v>
      </c>
      <c r="F443" s="10" t="s">
        <v>1234</v>
      </c>
      <c r="G443" s="10" t="s">
        <v>18636</v>
      </c>
      <c r="H443" s="10" t="s">
        <v>117</v>
      </c>
      <c r="I443" s="10" t="s">
        <v>55</v>
      </c>
      <c r="K443" s="10" t="s">
        <v>18900</v>
      </c>
      <c r="L443" s="10" t="s">
        <v>42</v>
      </c>
    </row>
    <row r="444" ht="15.75" customHeight="1">
      <c r="A444" s="64">
        <v>45485.0</v>
      </c>
      <c r="B444" s="55" t="str">
        <f>HYPERLINK("https://jobright.ai/jobs/info/6691b453cdd4fd0eb3caef03?utm_campaign=1049&amp;utm_source=sheet", "Apply")</f>
        <v>Apply</v>
      </c>
      <c r="C444" s="10" t="s">
        <v>18985</v>
      </c>
      <c r="D444" s="56" t="s">
        <v>95</v>
      </c>
      <c r="E444" s="10">
        <v>52.0</v>
      </c>
      <c r="G444" s="10" t="s">
        <v>18636</v>
      </c>
      <c r="H444" s="10" t="s">
        <v>764</v>
      </c>
      <c r="I444" s="10" t="s">
        <v>55</v>
      </c>
      <c r="K444" s="10" t="s">
        <v>18986</v>
      </c>
      <c r="L444" s="10" t="s">
        <v>42</v>
      </c>
    </row>
    <row r="445" ht="15.75" customHeight="1">
      <c r="A445" s="64">
        <v>45485.0</v>
      </c>
      <c r="B445" s="55" t="str">
        <f>HYPERLINK("https://jobright.ai/jobs/info/6692725d4513eee4ec006cf6?utm_campaign=1049&amp;utm_source=sheet", "Apply")</f>
        <v>Apply</v>
      </c>
      <c r="C445" s="10" t="s">
        <v>18985</v>
      </c>
      <c r="D445" s="56" t="s">
        <v>95</v>
      </c>
      <c r="E445" s="10">
        <v>52.0</v>
      </c>
      <c r="G445" s="10" t="s">
        <v>18636</v>
      </c>
      <c r="H445" s="10" t="s">
        <v>757</v>
      </c>
      <c r="I445" s="10" t="s">
        <v>55</v>
      </c>
      <c r="K445" s="10" t="s">
        <v>18986</v>
      </c>
      <c r="L445" s="10" t="s">
        <v>42</v>
      </c>
    </row>
    <row r="446" ht="15.75" customHeight="1">
      <c r="A446" s="64">
        <v>45485.0</v>
      </c>
      <c r="B446" s="55" t="str">
        <f>HYPERLINK("https://jobright.ai/jobs/info/66928f00567ebc5a93a6c91a?utm_campaign=1049&amp;utm_source=sheet", "Apply")</f>
        <v>Apply</v>
      </c>
      <c r="C446" s="10" t="s">
        <v>18985</v>
      </c>
      <c r="D446" s="56" t="s">
        <v>95</v>
      </c>
      <c r="E446" s="10">
        <v>52.0</v>
      </c>
      <c r="G446" s="10" t="s">
        <v>18636</v>
      </c>
      <c r="H446" s="10" t="s">
        <v>798</v>
      </c>
      <c r="I446" s="10" t="s">
        <v>55</v>
      </c>
      <c r="K446" s="10" t="s">
        <v>18986</v>
      </c>
      <c r="L446" s="10" t="s">
        <v>42</v>
      </c>
    </row>
    <row r="447" ht="15.75" customHeight="1">
      <c r="A447" s="64">
        <v>45485.0</v>
      </c>
      <c r="B447" s="55" t="str">
        <f>HYPERLINK("https://jobright.ai/jobs/info/669265ed82b9ba0ba30d9ce5?utm_campaign=1049&amp;utm_source=sheet", "Apply")</f>
        <v>Apply</v>
      </c>
      <c r="C447" s="10" t="s">
        <v>18985</v>
      </c>
      <c r="D447" s="56" t="s">
        <v>95</v>
      </c>
      <c r="E447" s="10">
        <v>52.0</v>
      </c>
      <c r="G447" s="10" t="s">
        <v>18636</v>
      </c>
      <c r="H447" s="10" t="s">
        <v>999</v>
      </c>
      <c r="I447" s="10" t="s">
        <v>55</v>
      </c>
      <c r="K447" s="10" t="s">
        <v>18986</v>
      </c>
      <c r="L447" s="10" t="s">
        <v>42</v>
      </c>
    </row>
    <row r="448" ht="15.75" customHeight="1">
      <c r="A448" s="64">
        <v>45485.0</v>
      </c>
      <c r="B448" s="55" t="str">
        <f>HYPERLINK("https://jobright.ai/jobs/info/6691950396333ec52410318a?utm_campaign=1049&amp;utm_source=sheet", "Apply")</f>
        <v>Apply</v>
      </c>
      <c r="C448" s="10" t="s">
        <v>18985</v>
      </c>
      <c r="D448" s="56" t="s">
        <v>95</v>
      </c>
      <c r="E448" s="10">
        <v>52.0</v>
      </c>
      <c r="G448" s="10" t="s">
        <v>18636</v>
      </c>
      <c r="H448" s="10" t="s">
        <v>929</v>
      </c>
      <c r="I448" s="10" t="s">
        <v>55</v>
      </c>
      <c r="K448" s="10" t="s">
        <v>18986</v>
      </c>
      <c r="L448" s="10" t="s">
        <v>42</v>
      </c>
    </row>
    <row r="449" ht="15.75" customHeight="1">
      <c r="A449" s="64">
        <v>45485.0</v>
      </c>
      <c r="B449" s="55" t="str">
        <f>HYPERLINK("https://jobright.ai/jobs/info/6691950396333ec52410318b?utm_campaign=1049&amp;utm_source=sheet", "Apply")</f>
        <v>Apply</v>
      </c>
      <c r="C449" s="10" t="s">
        <v>18985</v>
      </c>
      <c r="D449" s="56" t="s">
        <v>95</v>
      </c>
      <c r="E449" s="10">
        <v>52.0</v>
      </c>
      <c r="G449" s="10" t="s">
        <v>18636</v>
      </c>
      <c r="H449" s="10" t="s">
        <v>823</v>
      </c>
      <c r="I449" s="10" t="s">
        <v>55</v>
      </c>
      <c r="K449" s="10" t="s">
        <v>18986</v>
      </c>
      <c r="L449" s="10" t="s">
        <v>42</v>
      </c>
    </row>
    <row r="450" ht="15.75" customHeight="1">
      <c r="A450" s="64">
        <v>45485.0</v>
      </c>
      <c r="B450" s="55" t="str">
        <f>HYPERLINK("https://jobright.ai/jobs/info/6691950396333ec52410318d?utm_campaign=1049&amp;utm_source=sheet", "Apply")</f>
        <v>Apply</v>
      </c>
      <c r="C450" s="10" t="s">
        <v>18985</v>
      </c>
      <c r="D450" s="56" t="s">
        <v>95</v>
      </c>
      <c r="E450" s="10">
        <v>52.0</v>
      </c>
      <c r="G450" s="10" t="s">
        <v>18636</v>
      </c>
      <c r="H450" s="10" t="s">
        <v>229</v>
      </c>
      <c r="I450" s="10" t="s">
        <v>55</v>
      </c>
      <c r="K450" s="10" t="s">
        <v>18986</v>
      </c>
      <c r="L450" s="10" t="s">
        <v>42</v>
      </c>
    </row>
    <row r="451" ht="15.75" customHeight="1">
      <c r="A451" s="64">
        <v>45485.0</v>
      </c>
      <c r="B451" s="55" t="str">
        <f>HYPERLINK("https://jobright.ai/jobs/info/6691b90bcc90539b64763b81?utm_campaign=1049&amp;utm_source=sheet", "Apply")</f>
        <v>Apply</v>
      </c>
      <c r="C451" s="10" t="s">
        <v>18985</v>
      </c>
      <c r="D451" s="56" t="s">
        <v>95</v>
      </c>
      <c r="E451" s="10">
        <v>52.0</v>
      </c>
      <c r="G451" s="10" t="s">
        <v>18636</v>
      </c>
      <c r="H451" s="10" t="s">
        <v>1045</v>
      </c>
      <c r="I451" s="10" t="s">
        <v>55</v>
      </c>
      <c r="K451" s="10" t="s">
        <v>18986</v>
      </c>
      <c r="L451" s="10" t="s">
        <v>42</v>
      </c>
    </row>
    <row r="452" ht="15.75" customHeight="1">
      <c r="A452" s="64">
        <v>45485.0</v>
      </c>
      <c r="B452" s="55" t="str">
        <f>HYPERLINK("https://jobright.ai/jobs/info/66925f9adcf568d27f2f7b21?utm_campaign=1049&amp;utm_source=sheet", "Apply")</f>
        <v>Apply</v>
      </c>
      <c r="C452" s="10" t="s">
        <v>18985</v>
      </c>
      <c r="D452" s="56" t="s">
        <v>95</v>
      </c>
      <c r="E452" s="10">
        <v>52.0</v>
      </c>
      <c r="G452" s="10" t="s">
        <v>18636</v>
      </c>
      <c r="H452" s="10" t="s">
        <v>1011</v>
      </c>
      <c r="I452" s="10" t="s">
        <v>55</v>
      </c>
      <c r="K452" s="10" t="s">
        <v>18986</v>
      </c>
      <c r="L452" s="10" t="s">
        <v>42</v>
      </c>
    </row>
    <row r="453" ht="15.75" customHeight="1">
      <c r="A453" s="64">
        <v>45485.0</v>
      </c>
      <c r="B453" s="55" t="str">
        <f>HYPERLINK("https://jobright.ai/jobs/info/669190484c69d669ab53665e?utm_campaign=1049&amp;utm_source=sheet", "Apply")</f>
        <v>Apply</v>
      </c>
      <c r="C453" s="10" t="s">
        <v>18985</v>
      </c>
      <c r="D453" s="56" t="s">
        <v>95</v>
      </c>
      <c r="E453" s="10">
        <v>52.0</v>
      </c>
      <c r="G453" s="10" t="s">
        <v>18636</v>
      </c>
      <c r="H453" s="10" t="s">
        <v>888</v>
      </c>
      <c r="I453" s="10" t="s">
        <v>55</v>
      </c>
      <c r="K453" s="10" t="s">
        <v>18986</v>
      </c>
      <c r="L453" s="10" t="s">
        <v>42</v>
      </c>
    </row>
    <row r="454" ht="15.75" customHeight="1">
      <c r="A454" s="64">
        <v>45485.0</v>
      </c>
      <c r="B454" s="55" t="str">
        <f>HYPERLINK("https://jobright.ai/jobs/info/669190484c69d669ab536660?utm_campaign=1049&amp;utm_source=sheet", "Apply")</f>
        <v>Apply</v>
      </c>
      <c r="C454" s="10" t="s">
        <v>18985</v>
      </c>
      <c r="D454" s="56" t="s">
        <v>95</v>
      </c>
      <c r="E454" s="10">
        <v>52.0</v>
      </c>
      <c r="G454" s="10" t="s">
        <v>18636</v>
      </c>
      <c r="H454" s="10" t="s">
        <v>1006</v>
      </c>
      <c r="I454" s="10" t="s">
        <v>55</v>
      </c>
      <c r="K454" s="10" t="s">
        <v>18986</v>
      </c>
      <c r="L454" s="10" t="s">
        <v>42</v>
      </c>
    </row>
    <row r="455" ht="15.75" customHeight="1">
      <c r="A455" s="64">
        <v>45485.0</v>
      </c>
      <c r="B455" s="55" t="str">
        <f>HYPERLINK("https://jobright.ai/jobs/info/669190484c69d669ab53665f?utm_campaign=1049&amp;utm_source=sheet", "Apply")</f>
        <v>Apply</v>
      </c>
      <c r="C455" s="10" t="s">
        <v>18985</v>
      </c>
      <c r="D455" s="56" t="s">
        <v>95</v>
      </c>
      <c r="E455" s="10">
        <v>52.0</v>
      </c>
      <c r="G455" s="10" t="s">
        <v>18636</v>
      </c>
      <c r="H455" s="10" t="s">
        <v>188</v>
      </c>
      <c r="I455" s="10" t="s">
        <v>55</v>
      </c>
      <c r="K455" s="10" t="s">
        <v>18986</v>
      </c>
      <c r="L455" s="10" t="s">
        <v>42</v>
      </c>
    </row>
    <row r="456" ht="15.75" customHeight="1">
      <c r="A456" s="64">
        <v>45485.0</v>
      </c>
      <c r="B456" s="55" t="str">
        <f>HYPERLINK("https://jobright.ai/jobs/info/669190484c69d669ab536662?utm_campaign=1049&amp;utm_source=sheet", "Apply")</f>
        <v>Apply</v>
      </c>
      <c r="C456" s="10" t="s">
        <v>18985</v>
      </c>
      <c r="D456" s="56" t="s">
        <v>95</v>
      </c>
      <c r="E456" s="10">
        <v>52.0</v>
      </c>
      <c r="G456" s="10" t="s">
        <v>18636</v>
      </c>
      <c r="H456" s="10" t="s">
        <v>278</v>
      </c>
      <c r="I456" s="10" t="s">
        <v>55</v>
      </c>
      <c r="K456" s="10" t="s">
        <v>18986</v>
      </c>
      <c r="L456" s="10" t="s">
        <v>42</v>
      </c>
    </row>
    <row r="457" ht="15.75" customHeight="1">
      <c r="A457" s="64">
        <v>45485.0</v>
      </c>
      <c r="B457" s="55" t="str">
        <f>HYPERLINK("https://jobright.ai/jobs/info/669190484c69d669ab536666?utm_campaign=1049&amp;utm_source=sheet", "Apply")</f>
        <v>Apply</v>
      </c>
      <c r="C457" s="10" t="s">
        <v>18985</v>
      </c>
      <c r="D457" s="56" t="s">
        <v>95</v>
      </c>
      <c r="E457" s="10">
        <v>52.0</v>
      </c>
      <c r="G457" s="10" t="s">
        <v>18636</v>
      </c>
      <c r="H457" s="10" t="s">
        <v>786</v>
      </c>
      <c r="I457" s="10" t="s">
        <v>55</v>
      </c>
      <c r="K457" s="10" t="s">
        <v>18986</v>
      </c>
      <c r="L457" s="10" t="s">
        <v>42</v>
      </c>
    </row>
    <row r="458" ht="15.75" customHeight="1">
      <c r="A458" s="64">
        <v>45485.0</v>
      </c>
      <c r="B458" s="55" t="str">
        <f>HYPERLINK("https://jobright.ai/jobs/info/66925f9adcf568d27f2f7b25?utm_campaign=1049&amp;utm_source=sheet", "Apply")</f>
        <v>Apply</v>
      </c>
      <c r="C458" s="10" t="s">
        <v>18985</v>
      </c>
      <c r="D458" s="56" t="s">
        <v>95</v>
      </c>
      <c r="E458" s="10">
        <v>52.0</v>
      </c>
      <c r="G458" s="10" t="s">
        <v>18636</v>
      </c>
      <c r="H458" s="10" t="s">
        <v>165</v>
      </c>
      <c r="I458" s="10" t="s">
        <v>55</v>
      </c>
      <c r="K458" s="10" t="s">
        <v>18986</v>
      </c>
      <c r="L458" s="10" t="s">
        <v>42</v>
      </c>
    </row>
    <row r="459" ht="15.75" customHeight="1">
      <c r="A459" s="64">
        <v>45485.0</v>
      </c>
      <c r="B459" s="55" t="str">
        <f>HYPERLINK("https://jobright.ai/jobs/info/6691a602a43939170f9649d9?utm_campaign=1049&amp;utm_source=sheet", "Apply")</f>
        <v>Apply</v>
      </c>
      <c r="C459" s="10" t="s">
        <v>18985</v>
      </c>
      <c r="D459" s="56" t="s">
        <v>95</v>
      </c>
      <c r="E459" s="10">
        <v>52.0</v>
      </c>
      <c r="G459" s="10" t="s">
        <v>18636</v>
      </c>
      <c r="H459" s="10" t="s">
        <v>801</v>
      </c>
      <c r="I459" s="10" t="s">
        <v>55</v>
      </c>
      <c r="K459" s="10" t="s">
        <v>18986</v>
      </c>
      <c r="L459" s="10" t="s">
        <v>42</v>
      </c>
    </row>
    <row r="460" ht="15.75" customHeight="1">
      <c r="A460" s="64">
        <v>45485.0</v>
      </c>
      <c r="B460" s="55" t="str">
        <f>HYPERLINK("https://jobright.ai/jobs/info/6691a602a43939170f9649da?utm_campaign=1049&amp;utm_source=sheet", "Apply")</f>
        <v>Apply</v>
      </c>
      <c r="C460" s="10" t="s">
        <v>18985</v>
      </c>
      <c r="D460" s="56" t="s">
        <v>95</v>
      </c>
      <c r="E460" s="10">
        <v>52.0</v>
      </c>
      <c r="G460" s="10" t="s">
        <v>18636</v>
      </c>
      <c r="H460" s="10" t="s">
        <v>924</v>
      </c>
      <c r="I460" s="10" t="s">
        <v>55</v>
      </c>
      <c r="K460" s="10" t="s">
        <v>18986</v>
      </c>
      <c r="L460" s="10" t="s">
        <v>42</v>
      </c>
    </row>
    <row r="461" ht="15.75" customHeight="1">
      <c r="A461" s="64">
        <v>45485.0</v>
      </c>
      <c r="B461" s="55" t="str">
        <f>HYPERLINK("https://jobright.ai/jobs/info/6675b9f3044b6b83ef0d37fb?utm_campaign=1049&amp;utm_source=sheet", "Apply")</f>
        <v>Apply</v>
      </c>
      <c r="C461" s="10" t="s">
        <v>18680</v>
      </c>
      <c r="D461" s="56" t="s">
        <v>19142</v>
      </c>
      <c r="E461" s="10" t="s">
        <v>65</v>
      </c>
      <c r="F461" s="10" t="s">
        <v>19143</v>
      </c>
      <c r="G461" s="10" t="s">
        <v>18636</v>
      </c>
      <c r="H461" s="10" t="s">
        <v>218</v>
      </c>
      <c r="I461" s="10" t="s">
        <v>55</v>
      </c>
      <c r="K461" s="10" t="s">
        <v>19144</v>
      </c>
      <c r="L461" s="10" t="s">
        <v>42</v>
      </c>
    </row>
    <row r="462" ht="15.75" customHeight="1">
      <c r="A462" s="64">
        <v>45485.0</v>
      </c>
      <c r="B462" s="55" t="str">
        <f>HYPERLINK("https://jobright.ai/jobs/info/6674ce04f7e94a7581ad181a?utm_campaign=1049&amp;utm_source=sheet", "Apply")</f>
        <v>Apply</v>
      </c>
      <c r="C462" s="10" t="s">
        <v>18692</v>
      </c>
      <c r="D462" s="56" t="s">
        <v>19145</v>
      </c>
      <c r="E462" s="10" t="s">
        <v>79</v>
      </c>
      <c r="F462" s="10" t="s">
        <v>627</v>
      </c>
      <c r="G462" s="10" t="s">
        <v>18636</v>
      </c>
      <c r="H462" s="10" t="s">
        <v>636</v>
      </c>
      <c r="I462" s="10" t="s">
        <v>48</v>
      </c>
      <c r="K462" s="10" t="s">
        <v>19146</v>
      </c>
      <c r="L462" s="10" t="s">
        <v>42</v>
      </c>
    </row>
    <row r="463" ht="15.75" customHeight="1">
      <c r="A463" s="64">
        <v>45485.0</v>
      </c>
      <c r="B463" s="55" t="str">
        <f>HYPERLINK("https://jobright.ai/jobs/info/66751b5d1345ca9e335e7614?utm_campaign=1049&amp;utm_source=sheet", "Apply")</f>
        <v>Apply</v>
      </c>
      <c r="C463" s="10" t="s">
        <v>18692</v>
      </c>
      <c r="D463" s="56" t="s">
        <v>19145</v>
      </c>
      <c r="E463" s="10" t="s">
        <v>79</v>
      </c>
      <c r="F463" s="10" t="s">
        <v>627</v>
      </c>
      <c r="G463" s="10" t="s">
        <v>18636</v>
      </c>
      <c r="H463" s="10" t="s">
        <v>636</v>
      </c>
      <c r="I463" s="10" t="s">
        <v>55</v>
      </c>
      <c r="K463" s="10" t="s">
        <v>19146</v>
      </c>
      <c r="L463" s="10" t="s">
        <v>42</v>
      </c>
    </row>
    <row r="464" ht="15.75" customHeight="1">
      <c r="A464" s="64">
        <v>45485.0</v>
      </c>
      <c r="B464" s="55" t="str">
        <f>HYPERLINK("https://jobright.ai/jobs/info/6690a46ebde41292f4f5461c?utm_campaign=1049&amp;utm_source=sheet", "Apply")</f>
        <v>Apply</v>
      </c>
      <c r="C464" s="10" t="s">
        <v>19147</v>
      </c>
      <c r="D464" s="56" t="s">
        <v>19148</v>
      </c>
      <c r="E464" s="10" t="s">
        <v>79</v>
      </c>
      <c r="F464" s="10" t="s">
        <v>259</v>
      </c>
      <c r="G464" s="10" t="s">
        <v>18636</v>
      </c>
      <c r="H464" s="10" t="s">
        <v>251</v>
      </c>
      <c r="I464" s="10" t="s">
        <v>252</v>
      </c>
      <c r="J464" s="10" t="s">
        <v>1797</v>
      </c>
      <c r="K464" s="10" t="s">
        <v>19149</v>
      </c>
      <c r="L464" s="10" t="s">
        <v>42</v>
      </c>
    </row>
    <row r="465" ht="15.75" customHeight="1">
      <c r="A465" s="64">
        <v>45484.0</v>
      </c>
      <c r="B465" s="55" t="str">
        <f>HYPERLINK("https://jobright.ai/jobs/info/6690c8f150a8322cf99b81e0?utm_campaign=1049&amp;utm_source=sheet", "Apply")</f>
        <v>Apply</v>
      </c>
      <c r="C465" s="10" t="s">
        <v>18830</v>
      </c>
      <c r="D465" s="56" t="s">
        <v>19150</v>
      </c>
      <c r="E465" s="10" t="s">
        <v>276</v>
      </c>
      <c r="F465" s="10" t="s">
        <v>14276</v>
      </c>
      <c r="G465" s="10" t="s">
        <v>18636</v>
      </c>
      <c r="H465" s="10" t="s">
        <v>174</v>
      </c>
      <c r="I465" s="10" t="s">
        <v>55</v>
      </c>
      <c r="K465" s="10" t="s">
        <v>19151</v>
      </c>
      <c r="L465" s="10" t="s">
        <v>42</v>
      </c>
    </row>
    <row r="466" ht="15.75" customHeight="1">
      <c r="A466" s="64">
        <v>45484.0</v>
      </c>
      <c r="B466" s="55" t="str">
        <f>HYPERLINK("https://jobright.ai/jobs/info/6690c90850a8322cf99b8416?utm_campaign=1049&amp;utm_source=sheet", "Apply")</f>
        <v>Apply</v>
      </c>
      <c r="C466" s="10" t="s">
        <v>19152</v>
      </c>
      <c r="D466" s="56" t="s">
        <v>19153</v>
      </c>
      <c r="E466" s="10" t="s">
        <v>276</v>
      </c>
      <c r="F466" s="10" t="s">
        <v>19154</v>
      </c>
      <c r="G466" s="10" t="s">
        <v>18636</v>
      </c>
      <c r="H466" s="10" t="s">
        <v>7334</v>
      </c>
      <c r="I466" s="10" t="s">
        <v>55</v>
      </c>
      <c r="K466" s="10" t="s">
        <v>19155</v>
      </c>
      <c r="L466" s="10" t="s">
        <v>42</v>
      </c>
    </row>
    <row r="467" ht="15.75" customHeight="1">
      <c r="A467" s="64">
        <v>45484.0</v>
      </c>
      <c r="B467" s="55" t="str">
        <f>HYPERLINK("https://jobright.ai/jobs/info/6690c91b50a8322cf99b85c8?utm_campaign=1049&amp;utm_source=sheet", "Apply")</f>
        <v>Apply</v>
      </c>
      <c r="C467" s="10" t="s">
        <v>19156</v>
      </c>
      <c r="D467" s="56" t="s">
        <v>10948</v>
      </c>
      <c r="E467" s="10" t="s">
        <v>249</v>
      </c>
      <c r="F467" s="10" t="s">
        <v>5585</v>
      </c>
      <c r="G467" s="10" t="s">
        <v>18636</v>
      </c>
      <c r="H467" s="10" t="s">
        <v>10949</v>
      </c>
      <c r="I467" s="10" t="s">
        <v>55</v>
      </c>
      <c r="K467" s="10" t="s">
        <v>16133</v>
      </c>
      <c r="L467" s="10" t="s">
        <v>42</v>
      </c>
    </row>
    <row r="468" ht="15.75" customHeight="1">
      <c r="A468" s="64">
        <v>45484.0</v>
      </c>
      <c r="B468" s="55" t="str">
        <f>HYPERLINK("https://jobright.ai/jobs/info/6690a0df43cab07c25cd0b9d?utm_campaign=1049&amp;utm_source=sheet", "Apply")</f>
        <v>Apply</v>
      </c>
      <c r="C468" s="10" t="s">
        <v>18985</v>
      </c>
      <c r="D468" s="56" t="s">
        <v>95</v>
      </c>
      <c r="E468" s="10">
        <v>52.0</v>
      </c>
      <c r="G468" s="10" t="s">
        <v>18636</v>
      </c>
      <c r="H468" s="10" t="s">
        <v>826</v>
      </c>
      <c r="I468" s="10" t="s">
        <v>55</v>
      </c>
      <c r="K468" s="10" t="s">
        <v>18986</v>
      </c>
      <c r="L468" s="10" t="s">
        <v>42</v>
      </c>
    </row>
    <row r="469" ht="15.75" customHeight="1">
      <c r="A469" s="64">
        <v>45484.0</v>
      </c>
      <c r="B469" s="55" t="str">
        <f>HYPERLINK("https://jobright.ai/jobs/info/6690c011555345cb31084bc3?utm_campaign=1049&amp;utm_source=sheet", "Apply")</f>
        <v>Apply</v>
      </c>
      <c r="C469" s="10" t="s">
        <v>19157</v>
      </c>
      <c r="D469" s="56" t="s">
        <v>19158</v>
      </c>
      <c r="E469" s="10" t="s">
        <v>276</v>
      </c>
      <c r="G469" s="10" t="s">
        <v>18636</v>
      </c>
      <c r="H469" s="10" t="s">
        <v>2006</v>
      </c>
      <c r="I469" s="10" t="s">
        <v>55</v>
      </c>
      <c r="J469" s="10" t="s">
        <v>19159</v>
      </c>
      <c r="K469" s="10" t="s">
        <v>19160</v>
      </c>
      <c r="L469" s="10" t="s">
        <v>42</v>
      </c>
    </row>
    <row r="470" ht="15.75" customHeight="1">
      <c r="A470" s="64">
        <v>45484.0</v>
      </c>
      <c r="B470" s="55" t="str">
        <f>HYPERLINK("https://jobright.ai/jobs/info/6690bf81555345cb31083e52?utm_campaign=1049&amp;utm_source=sheet", "Apply")</f>
        <v>Apply</v>
      </c>
      <c r="C470" s="10" t="s">
        <v>19161</v>
      </c>
      <c r="D470" s="56" t="s">
        <v>19162</v>
      </c>
      <c r="E470" s="10" t="s">
        <v>79</v>
      </c>
      <c r="F470" s="10" t="s">
        <v>19163</v>
      </c>
      <c r="G470" s="10" t="s">
        <v>18636</v>
      </c>
      <c r="H470" s="10" t="s">
        <v>113</v>
      </c>
      <c r="I470" s="10" t="s">
        <v>55</v>
      </c>
      <c r="K470" s="10" t="s">
        <v>19164</v>
      </c>
      <c r="L470" s="10" t="s">
        <v>42</v>
      </c>
    </row>
    <row r="471" ht="15.75" customHeight="1">
      <c r="A471" s="64">
        <v>45484.0</v>
      </c>
      <c r="B471" s="55" t="str">
        <f>HYPERLINK("https://jobright.ai/jobs/info/6690c067555345cb31085477?utm_campaign=1049&amp;utm_source=sheet", "Apply")</f>
        <v>Apply</v>
      </c>
      <c r="C471" s="10" t="s">
        <v>19165</v>
      </c>
      <c r="D471" s="56" t="s">
        <v>19166</v>
      </c>
      <c r="E471" s="10" t="s">
        <v>71</v>
      </c>
      <c r="F471" s="10" t="s">
        <v>18798</v>
      </c>
      <c r="G471" s="10" t="s">
        <v>18636</v>
      </c>
      <c r="H471" s="10" t="s">
        <v>165</v>
      </c>
      <c r="I471" s="10" t="s">
        <v>55</v>
      </c>
      <c r="K471" s="10" t="s">
        <v>19167</v>
      </c>
      <c r="L471" s="10" t="s">
        <v>42</v>
      </c>
    </row>
    <row r="472" ht="15.75" customHeight="1">
      <c r="A472" s="64">
        <v>45484.0</v>
      </c>
      <c r="B472" s="55" t="str">
        <f>HYPERLINK("https://jobright.ai/jobs/info/6691208e61b6573a52caa64c?utm_campaign=1049&amp;utm_source=sheet", "Apply")</f>
        <v>Apply</v>
      </c>
      <c r="C472" s="10" t="s">
        <v>18721</v>
      </c>
      <c r="D472" s="56" t="s">
        <v>19168</v>
      </c>
      <c r="E472" s="59">
        <v>45301.0</v>
      </c>
      <c r="F472" s="10" t="s">
        <v>13089</v>
      </c>
      <c r="G472" s="10" t="s">
        <v>18636</v>
      </c>
      <c r="H472" s="10" t="s">
        <v>1008</v>
      </c>
      <c r="I472" s="10" t="s">
        <v>55</v>
      </c>
      <c r="K472" s="10" t="s">
        <v>19169</v>
      </c>
      <c r="L472" s="10" t="s">
        <v>42</v>
      </c>
    </row>
    <row r="473" ht="15.75" customHeight="1">
      <c r="A473" s="64">
        <v>45484.0</v>
      </c>
      <c r="B473" s="55" t="str">
        <f>HYPERLINK("https://jobright.ai/jobs/info/6690f1ad71973c20cb60156e?utm_campaign=1049&amp;utm_source=sheet", "Apply")</f>
        <v>Apply</v>
      </c>
      <c r="C473" s="10" t="s">
        <v>18740</v>
      </c>
      <c r="D473" s="56" t="s">
        <v>2384</v>
      </c>
      <c r="E473" s="10" t="s">
        <v>249</v>
      </c>
      <c r="F473" s="10" t="s">
        <v>2385</v>
      </c>
      <c r="G473" s="10" t="s">
        <v>18636</v>
      </c>
      <c r="H473" s="10" t="s">
        <v>5115</v>
      </c>
      <c r="I473" s="10" t="s">
        <v>55</v>
      </c>
      <c r="K473" s="10" t="s">
        <v>19170</v>
      </c>
      <c r="L473" s="10" t="s">
        <v>42</v>
      </c>
    </row>
    <row r="474" ht="15.75" customHeight="1">
      <c r="A474" s="64">
        <v>45484.0</v>
      </c>
      <c r="B474" s="55" t="str">
        <f>HYPERLINK("https://jobright.ai/jobs/info/6690a0cd43cab07c25cd09cc?utm_campaign=1049&amp;utm_source=sheet", "Apply")</f>
        <v>Apply</v>
      </c>
      <c r="C474" s="10" t="s">
        <v>19000</v>
      </c>
      <c r="D474" s="56" t="s">
        <v>19171</v>
      </c>
      <c r="E474" s="10" t="s">
        <v>276</v>
      </c>
      <c r="F474" s="10" t="s">
        <v>1184</v>
      </c>
      <c r="G474" s="10" t="s">
        <v>18636</v>
      </c>
      <c r="H474" s="10" t="s">
        <v>19172</v>
      </c>
      <c r="I474" s="10" t="s">
        <v>55</v>
      </c>
      <c r="K474" s="10" t="s">
        <v>19173</v>
      </c>
      <c r="L474" s="10" t="s">
        <v>42</v>
      </c>
    </row>
    <row r="475" ht="15.75" customHeight="1">
      <c r="A475" s="64">
        <v>45484.0</v>
      </c>
      <c r="B475" s="55" t="str">
        <f>HYPERLINK("https://jobright.ai/jobs/info/6690a0cd43cab07c25cd0a05?utm_campaign=1049&amp;utm_source=sheet", "Apply")</f>
        <v>Apply</v>
      </c>
      <c r="C475" s="10" t="s">
        <v>18721</v>
      </c>
      <c r="D475" s="56" t="s">
        <v>12484</v>
      </c>
      <c r="E475" s="10" t="s">
        <v>71</v>
      </c>
      <c r="G475" s="10" t="s">
        <v>18636</v>
      </c>
      <c r="H475" s="10" t="s">
        <v>1004</v>
      </c>
      <c r="I475" s="10" t="s">
        <v>55</v>
      </c>
      <c r="K475" s="10" t="s">
        <v>19174</v>
      </c>
      <c r="L475" s="10" t="s">
        <v>42</v>
      </c>
    </row>
    <row r="476" ht="15.75" customHeight="1">
      <c r="A476" s="64">
        <v>45484.0</v>
      </c>
      <c r="B476" s="55" t="str">
        <f>HYPERLINK("https://jobright.ai/jobs/info/6690d01bb9480c9896c8f66f?utm_campaign=1049&amp;utm_source=sheet", "Apply")</f>
        <v>Apply</v>
      </c>
      <c r="C476" s="10" t="s">
        <v>19175</v>
      </c>
      <c r="D476" s="56" t="s">
        <v>19176</v>
      </c>
      <c r="E476" s="10" t="s">
        <v>209</v>
      </c>
      <c r="F476" s="10" t="s">
        <v>5470</v>
      </c>
      <c r="G476" s="10" t="s">
        <v>18779</v>
      </c>
      <c r="H476" s="10" t="s">
        <v>8894</v>
      </c>
      <c r="I476" s="10" t="s">
        <v>55</v>
      </c>
      <c r="J476" s="10" t="s">
        <v>9980</v>
      </c>
      <c r="K476" s="10" t="s">
        <v>19177</v>
      </c>
      <c r="L476" s="10" t="s">
        <v>42</v>
      </c>
    </row>
    <row r="477" ht="15.75" customHeight="1">
      <c r="A477" s="64">
        <v>45483.0</v>
      </c>
      <c r="B477" s="55" t="str">
        <f>HYPERLINK("https://jobright.ai/jobs/info/668f37d668ac1b2390bf16a2?utm_campaign=1049&amp;utm_source=sheet", "Apply")</f>
        <v>Apply</v>
      </c>
      <c r="C477" s="10" t="s">
        <v>19178</v>
      </c>
      <c r="D477" s="56" t="s">
        <v>19179</v>
      </c>
      <c r="E477" s="10" t="s">
        <v>65</v>
      </c>
      <c r="F477" s="10" t="s">
        <v>5585</v>
      </c>
      <c r="G477" s="10" t="s">
        <v>18779</v>
      </c>
      <c r="H477" s="10" t="s">
        <v>3371</v>
      </c>
      <c r="I477" s="10" t="s">
        <v>55</v>
      </c>
      <c r="K477" s="10" t="s">
        <v>19180</v>
      </c>
      <c r="L477" s="10" t="s">
        <v>42</v>
      </c>
    </row>
    <row r="478" ht="15.75" customHeight="1">
      <c r="A478" s="66">
        <v>45483.0</v>
      </c>
      <c r="B478" s="55" t="str">
        <f>HYPERLINK("https://jobright.ai/jobs/info/66a117c83c525c05f56546e6?utm_campaign=1049&amp;utm_source=sheet", "Apply")</f>
        <v>Apply</v>
      </c>
      <c r="C478" s="10" t="s">
        <v>18721</v>
      </c>
      <c r="D478" s="56" t="s">
        <v>14989</v>
      </c>
      <c r="E478" s="10" t="s">
        <v>137</v>
      </c>
      <c r="F478" s="10" t="s">
        <v>2315</v>
      </c>
      <c r="G478" s="10" t="s">
        <v>18636</v>
      </c>
      <c r="H478" s="10" t="s">
        <v>994</v>
      </c>
      <c r="I478" s="10" t="s">
        <v>48</v>
      </c>
      <c r="J478" s="10" t="s">
        <v>1409</v>
      </c>
      <c r="K478" s="10" t="s">
        <v>19181</v>
      </c>
      <c r="L478" s="10" t="s">
        <v>42</v>
      </c>
    </row>
    <row r="479" ht="15.75" customHeight="1">
      <c r="A479" s="66">
        <v>45483.0</v>
      </c>
      <c r="B479" s="55" t="str">
        <f>HYPERLINK("https://jobright.ai/jobs/info/668f2e1defd7b8c9c483198f?utm_campaign=1049&amp;utm_source=sheet", "Apply")</f>
        <v>Apply</v>
      </c>
      <c r="C479" s="10" t="s">
        <v>19182</v>
      </c>
      <c r="D479" s="56" t="s">
        <v>19183</v>
      </c>
      <c r="E479" s="10" t="s">
        <v>249</v>
      </c>
      <c r="F479" s="10" t="s">
        <v>353</v>
      </c>
      <c r="G479" s="10" t="s">
        <v>18642</v>
      </c>
      <c r="H479" s="10" t="s">
        <v>1188</v>
      </c>
      <c r="I479" s="10" t="s">
        <v>48</v>
      </c>
      <c r="K479" s="10" t="s">
        <v>19184</v>
      </c>
      <c r="L479" s="10" t="s">
        <v>42</v>
      </c>
    </row>
    <row r="480" ht="15.75" customHeight="1">
      <c r="A480" s="66">
        <v>45482.0</v>
      </c>
      <c r="B480" s="55" t="str">
        <f>HYPERLINK("https://jobright.ai/jobs/info/668df8ea7ad721a70cf405c2?utm_campaign=1049&amp;utm_source=sheet", "Apply")</f>
        <v>Apply</v>
      </c>
      <c r="C480" s="10" t="s">
        <v>18740</v>
      </c>
      <c r="D480" s="56" t="s">
        <v>2384</v>
      </c>
      <c r="E480" s="10" t="s">
        <v>249</v>
      </c>
      <c r="F480" s="10" t="s">
        <v>2385</v>
      </c>
      <c r="G480" s="10" t="s">
        <v>18636</v>
      </c>
      <c r="H480" s="10" t="s">
        <v>2393</v>
      </c>
      <c r="I480" s="10" t="s">
        <v>55</v>
      </c>
      <c r="K480" s="10" t="s">
        <v>19185</v>
      </c>
      <c r="L480" s="10" t="s">
        <v>42</v>
      </c>
    </row>
    <row r="481" ht="15.75" customHeight="1">
      <c r="A481" s="66">
        <v>45482.0</v>
      </c>
      <c r="B481" s="55" t="str">
        <f>HYPERLINK("https://jobright.ai/jobs/info/667b3b2bbbd383089817f7f3?utm_campaign=1049&amp;utm_source=sheet", "Apply")</f>
        <v>Apply</v>
      </c>
      <c r="C481" s="10" t="s">
        <v>18721</v>
      </c>
      <c r="D481" s="56" t="s">
        <v>19186</v>
      </c>
      <c r="E481" s="10" t="s">
        <v>276</v>
      </c>
      <c r="F481" s="10" t="s">
        <v>19187</v>
      </c>
      <c r="G481" s="10" t="s">
        <v>18636</v>
      </c>
      <c r="H481" s="10" t="s">
        <v>167</v>
      </c>
      <c r="I481" s="10" t="s">
        <v>55</v>
      </c>
      <c r="K481" s="10" t="s">
        <v>19188</v>
      </c>
      <c r="L481" s="10" t="s">
        <v>42</v>
      </c>
    </row>
    <row r="482" ht="15.75" customHeight="1">
      <c r="A482" s="66">
        <v>45482.0</v>
      </c>
      <c r="B482" s="55" t="str">
        <f>HYPERLINK("https://jobright.ai/jobs/info/6674284c2e2115fb0d03a866?utm_campaign=1049&amp;utm_source=sheet", "Apply")</f>
        <v>Apply</v>
      </c>
      <c r="C482" s="10" t="s">
        <v>18692</v>
      </c>
      <c r="D482" s="56" t="s">
        <v>7158</v>
      </c>
      <c r="E482" s="10" t="s">
        <v>209</v>
      </c>
      <c r="F482" s="10" t="s">
        <v>2946</v>
      </c>
      <c r="G482" s="10" t="s">
        <v>18636</v>
      </c>
      <c r="H482" s="10" t="s">
        <v>434</v>
      </c>
      <c r="I482" s="10" t="s">
        <v>55</v>
      </c>
      <c r="J482" s="10" t="s">
        <v>1189</v>
      </c>
      <c r="K482" s="10" t="s">
        <v>19189</v>
      </c>
      <c r="L482" s="10" t="s">
        <v>42</v>
      </c>
    </row>
    <row r="483" ht="15.75" customHeight="1">
      <c r="A483" s="66">
        <v>45482.0</v>
      </c>
      <c r="B483" s="55" t="str">
        <f>HYPERLINK("https://jobright.ai/jobs/info/668d07e8b9491475384cbc63?utm_campaign=1049&amp;utm_source=sheet", "Apply")</f>
        <v>Apply</v>
      </c>
      <c r="C483" s="10" t="s">
        <v>19190</v>
      </c>
      <c r="D483" s="56" t="s">
        <v>19191</v>
      </c>
      <c r="E483" s="10" t="s">
        <v>276</v>
      </c>
      <c r="F483" s="10" t="s">
        <v>19192</v>
      </c>
      <c r="G483" s="10" t="s">
        <v>18636</v>
      </c>
      <c r="H483" s="10" t="s">
        <v>16005</v>
      </c>
      <c r="I483" s="10" t="s">
        <v>55</v>
      </c>
      <c r="K483" s="10" t="s">
        <v>19193</v>
      </c>
      <c r="L483" s="10" t="s">
        <v>42</v>
      </c>
    </row>
    <row r="484" ht="15.75" customHeight="1">
      <c r="A484" s="66">
        <v>45481.0</v>
      </c>
      <c r="B484" s="55" t="str">
        <f>HYPERLINK("https://jobright.ai/jobs/info/668c868dbe2c6384db57e1ed?utm_campaign=1049&amp;utm_source=sheet", "Apply")</f>
        <v>Apply</v>
      </c>
      <c r="C484" s="10" t="s">
        <v>19194</v>
      </c>
      <c r="D484" s="56" t="s">
        <v>19195</v>
      </c>
      <c r="E484" s="10" t="s">
        <v>71</v>
      </c>
      <c r="F484" s="10" t="s">
        <v>1601</v>
      </c>
      <c r="G484" s="10" t="s">
        <v>18636</v>
      </c>
      <c r="H484" s="10" t="s">
        <v>170</v>
      </c>
      <c r="I484" s="10" t="s">
        <v>55</v>
      </c>
      <c r="J484" s="10" t="s">
        <v>3979</v>
      </c>
      <c r="K484" s="10" t="s">
        <v>19196</v>
      </c>
      <c r="L484" s="10" t="s">
        <v>42</v>
      </c>
    </row>
    <row r="485" ht="15.75" customHeight="1">
      <c r="A485" s="66">
        <v>45481.0</v>
      </c>
      <c r="B485" s="55" t="str">
        <f>HYPERLINK("https://jobright.ai/jobs/info/668c86a1be2c6384db57e32b?utm_campaign=1049&amp;utm_source=sheet", "Apply")</f>
        <v>Apply</v>
      </c>
      <c r="C485" s="10" t="s">
        <v>19197</v>
      </c>
      <c r="D485" s="56" t="s">
        <v>19198</v>
      </c>
      <c r="E485" s="10" t="s">
        <v>137</v>
      </c>
      <c r="F485" s="10" t="s">
        <v>19199</v>
      </c>
      <c r="G485" s="10" t="s">
        <v>18636</v>
      </c>
      <c r="H485" s="10" t="s">
        <v>168</v>
      </c>
      <c r="I485" s="10" t="s">
        <v>55</v>
      </c>
      <c r="J485" s="10" t="s">
        <v>1984</v>
      </c>
      <c r="K485" s="10" t="s">
        <v>19200</v>
      </c>
      <c r="L485" s="10" t="s">
        <v>42</v>
      </c>
    </row>
    <row r="486" ht="15.75" customHeight="1">
      <c r="A486" s="66">
        <v>45481.0</v>
      </c>
      <c r="B486" s="55" t="str">
        <f>HYPERLINK("https://jobright.ai/jobs/info/668c5dcba0bdbc20c7ddcd63?utm_campaign=1049&amp;utm_source=sheet", "Apply")</f>
        <v>Apply</v>
      </c>
      <c r="C486" s="10" t="s">
        <v>19201</v>
      </c>
      <c r="D486" s="56" t="s">
        <v>12761</v>
      </c>
      <c r="E486" s="10" t="s">
        <v>45</v>
      </c>
      <c r="F486" s="10" t="s">
        <v>12762</v>
      </c>
      <c r="G486" s="10" t="s">
        <v>18636</v>
      </c>
      <c r="H486" s="10" t="s">
        <v>18111</v>
      </c>
      <c r="I486" s="10" t="s">
        <v>48</v>
      </c>
      <c r="K486" s="10" t="s">
        <v>19202</v>
      </c>
      <c r="L486" s="10" t="s">
        <v>42</v>
      </c>
    </row>
    <row r="487" ht="15.75" customHeight="1">
      <c r="A487" s="66">
        <v>45481.0</v>
      </c>
      <c r="B487" s="55" t="str">
        <f>HYPERLINK("https://jobright.ai/jobs/info/668c560e6d9edb82d509e2ba?utm_campaign=1049&amp;utm_source=sheet", "Apply")</f>
        <v>Apply</v>
      </c>
      <c r="C487" s="10" t="s">
        <v>19203</v>
      </c>
      <c r="D487" s="56" t="s">
        <v>19204</v>
      </c>
      <c r="E487" s="10" t="s">
        <v>137</v>
      </c>
      <c r="F487" s="10" t="s">
        <v>19205</v>
      </c>
      <c r="G487" s="10" t="s">
        <v>18636</v>
      </c>
      <c r="H487" s="10" t="s">
        <v>139</v>
      </c>
      <c r="I487" s="10" t="s">
        <v>55</v>
      </c>
      <c r="K487" s="10" t="s">
        <v>19206</v>
      </c>
      <c r="L487" s="10" t="s">
        <v>42</v>
      </c>
    </row>
    <row r="488" ht="15.75" customHeight="1">
      <c r="A488" s="66">
        <v>45481.0</v>
      </c>
      <c r="B488" s="55" t="str">
        <f>HYPERLINK("https://jobright.ai/jobs/info/668c2960dbe1aedcdfe00a02?utm_campaign=1049&amp;utm_source=sheet", "Apply")</f>
        <v>Apply</v>
      </c>
      <c r="C488" s="10" t="s">
        <v>19207</v>
      </c>
      <c r="D488" s="56" t="s">
        <v>12377</v>
      </c>
      <c r="E488" s="10" t="s">
        <v>79</v>
      </c>
      <c r="G488" s="10" t="s">
        <v>18779</v>
      </c>
      <c r="H488" s="10" t="s">
        <v>12378</v>
      </c>
      <c r="I488" s="10" t="s">
        <v>55</v>
      </c>
      <c r="J488" s="10" t="s">
        <v>1960</v>
      </c>
      <c r="K488" s="10" t="s">
        <v>19208</v>
      </c>
      <c r="L488" s="10" t="s">
        <v>42</v>
      </c>
    </row>
    <row r="489" ht="15.75" customHeight="1">
      <c r="A489" s="66">
        <v>45481.0</v>
      </c>
      <c r="B489" s="55" t="str">
        <f>HYPERLINK("https://jobright.ai/jobs/info/668be219b7b7df8c7f204988?utm_campaign=1049&amp;utm_source=sheet", "Apply")</f>
        <v>Apply</v>
      </c>
      <c r="C489" s="10" t="s">
        <v>18759</v>
      </c>
      <c r="D489" s="56" t="s">
        <v>1178</v>
      </c>
      <c r="E489" s="10" t="s">
        <v>137</v>
      </c>
      <c r="F489" s="10" t="s">
        <v>1179</v>
      </c>
      <c r="G489" s="10" t="s">
        <v>18636</v>
      </c>
      <c r="H489" s="10" t="s">
        <v>1254</v>
      </c>
      <c r="I489" s="10" t="s">
        <v>48</v>
      </c>
      <c r="J489" s="10" t="s">
        <v>13256</v>
      </c>
      <c r="K489" s="10" t="s">
        <v>18760</v>
      </c>
      <c r="L489" s="10" t="s">
        <v>42</v>
      </c>
    </row>
    <row r="490" ht="15.75" customHeight="1">
      <c r="A490" s="66">
        <v>45481.0</v>
      </c>
      <c r="B490" s="55" t="str">
        <f>HYPERLINK("https://jobright.ai/jobs/info/668b4db636fc66f4e341ee34?utm_campaign=1049&amp;utm_source=sheet", "Apply")</f>
        <v>Apply</v>
      </c>
      <c r="C490" s="10" t="s">
        <v>19209</v>
      </c>
      <c r="D490" s="56" t="s">
        <v>1955</v>
      </c>
      <c r="E490" s="10" t="s">
        <v>45</v>
      </c>
      <c r="F490" s="10" t="s">
        <v>1234</v>
      </c>
      <c r="G490" s="10" t="s">
        <v>18636</v>
      </c>
      <c r="H490" s="10" t="s">
        <v>139</v>
      </c>
      <c r="I490" s="10" t="s">
        <v>55</v>
      </c>
      <c r="J490" s="10" t="s">
        <v>1409</v>
      </c>
      <c r="K490" s="10" t="s">
        <v>19210</v>
      </c>
      <c r="L490" s="10" t="s">
        <v>42</v>
      </c>
    </row>
    <row r="491" ht="15.75" customHeight="1">
      <c r="A491" s="66">
        <v>45480.0</v>
      </c>
      <c r="B491" s="55" t="str">
        <f>HYPERLINK("https://jobright.ai/jobs/info/668aeab70d5452f9a84ae6ae?utm_campaign=1049&amp;utm_source=sheet", "Apply")</f>
        <v>Apply</v>
      </c>
      <c r="C491" s="10" t="s">
        <v>18985</v>
      </c>
      <c r="D491" s="56" t="s">
        <v>95</v>
      </c>
      <c r="E491" s="10">
        <v>52.0</v>
      </c>
      <c r="G491" s="10" t="s">
        <v>18636</v>
      </c>
      <c r="H491" s="10" t="s">
        <v>770</v>
      </c>
      <c r="I491" s="10" t="s">
        <v>55</v>
      </c>
      <c r="K491" s="10" t="s">
        <v>18986</v>
      </c>
      <c r="L491" s="10" t="s">
        <v>42</v>
      </c>
    </row>
    <row r="492" ht="15.75" customHeight="1">
      <c r="A492" s="66">
        <v>45480.0</v>
      </c>
      <c r="B492" s="55" t="str">
        <f>HYPERLINK("https://jobright.ai/jobs/info/6684910723fbc70f728ba173?utm_campaign=1049&amp;utm_source=sheet", "Apply")</f>
        <v>Apply</v>
      </c>
      <c r="C492" s="10" t="s">
        <v>19211</v>
      </c>
      <c r="D492" s="56" t="s">
        <v>19176</v>
      </c>
      <c r="E492" s="10" t="s">
        <v>209</v>
      </c>
      <c r="F492" s="10" t="s">
        <v>5470</v>
      </c>
      <c r="G492" s="10" t="s">
        <v>18779</v>
      </c>
      <c r="H492" s="10" t="s">
        <v>4434</v>
      </c>
      <c r="I492" s="10" t="s">
        <v>55</v>
      </c>
      <c r="J492" s="10" t="s">
        <v>9980</v>
      </c>
      <c r="K492" s="10" t="s">
        <v>19177</v>
      </c>
      <c r="L492" s="10" t="s">
        <v>42</v>
      </c>
    </row>
    <row r="493" ht="15.75" customHeight="1">
      <c r="A493" s="66">
        <v>45479.0</v>
      </c>
      <c r="B493" s="55" t="str">
        <f>HYPERLINK("https://jobright.ai/jobs/info/6689567a46f35c17a600c39a?utm_campaign=1049&amp;utm_source=sheet", "Apply")</f>
        <v>Apply</v>
      </c>
      <c r="C493" s="10" t="s">
        <v>19212</v>
      </c>
      <c r="D493" s="56" t="s">
        <v>19213</v>
      </c>
      <c r="E493" s="10">
        <v>6.0</v>
      </c>
      <c r="G493" s="10" t="s">
        <v>18636</v>
      </c>
      <c r="H493" s="10" t="s">
        <v>505</v>
      </c>
      <c r="I493" s="10" t="s">
        <v>55</v>
      </c>
      <c r="K493" s="10" t="s">
        <v>19214</v>
      </c>
      <c r="L493" s="10" t="s">
        <v>42</v>
      </c>
    </row>
    <row r="494" ht="15.75" customHeight="1">
      <c r="A494" s="67">
        <v>45479.0</v>
      </c>
      <c r="B494" s="55" t="str">
        <f>HYPERLINK("https://jobright.ai/jobs/info/66928b1cb578d06e71906f15?utm_campaign=1049&amp;utm_source=sheet", "Apply")</f>
        <v>Apply</v>
      </c>
      <c r="C494" s="10" t="s">
        <v>19215</v>
      </c>
      <c r="D494" s="56" t="s">
        <v>1178</v>
      </c>
      <c r="E494" s="10" t="s">
        <v>137</v>
      </c>
      <c r="F494" s="10" t="s">
        <v>1179</v>
      </c>
      <c r="G494" s="10" t="s">
        <v>18636</v>
      </c>
      <c r="H494" s="10" t="s">
        <v>1254</v>
      </c>
      <c r="I494" s="10" t="s">
        <v>55</v>
      </c>
      <c r="K494" s="10" t="s">
        <v>19216</v>
      </c>
      <c r="L494" s="10" t="s">
        <v>42</v>
      </c>
    </row>
    <row r="495" ht="15.75" customHeight="1">
      <c r="A495" s="67">
        <v>45479.0</v>
      </c>
      <c r="B495" s="55" t="str">
        <f>HYPERLINK("https://jobright.ai/jobs/info/66928b24b578d06e71906f66?utm_campaign=1049&amp;utm_source=sheet", "Apply")</f>
        <v>Apply</v>
      </c>
      <c r="C495" s="10" t="s">
        <v>19217</v>
      </c>
      <c r="D495" s="56" t="s">
        <v>3293</v>
      </c>
      <c r="E495" s="10" t="s">
        <v>209</v>
      </c>
      <c r="F495" s="10" t="s">
        <v>1587</v>
      </c>
      <c r="G495" s="10" t="s">
        <v>18636</v>
      </c>
      <c r="H495" s="10" t="s">
        <v>168</v>
      </c>
      <c r="I495" s="10" t="s">
        <v>55</v>
      </c>
      <c r="J495" s="10" t="s">
        <v>1984</v>
      </c>
      <c r="K495" s="10" t="s">
        <v>19218</v>
      </c>
      <c r="L495" s="10" t="s">
        <v>42</v>
      </c>
    </row>
    <row r="496" ht="15.75" customHeight="1">
      <c r="A496" s="67">
        <v>45479.0</v>
      </c>
      <c r="B496" s="55" t="str">
        <f>HYPERLINK("https://jobright.ai/jobs/info/66855738130fa6d241d7a44e?utm_campaign=1049&amp;utm_source=sheet", "Apply")</f>
        <v>Apply</v>
      </c>
      <c r="C496" s="10" t="s">
        <v>6924</v>
      </c>
      <c r="D496" s="56" t="s">
        <v>2462</v>
      </c>
      <c r="E496" s="10" t="s">
        <v>79</v>
      </c>
      <c r="F496" s="10" t="s">
        <v>2463</v>
      </c>
      <c r="G496" s="10" t="s">
        <v>18636</v>
      </c>
      <c r="H496" s="10" t="s">
        <v>144</v>
      </c>
      <c r="I496" s="10" t="s">
        <v>55</v>
      </c>
      <c r="J496" s="10" t="s">
        <v>6925</v>
      </c>
      <c r="K496" s="10" t="s">
        <v>6926</v>
      </c>
      <c r="L496" s="10" t="s">
        <v>42</v>
      </c>
    </row>
    <row r="497" ht="15.75" customHeight="1">
      <c r="A497" s="67">
        <v>45478.0</v>
      </c>
      <c r="B497" s="55" t="str">
        <f>HYPERLINK("https://jobright.ai/jobs/info/66887ec9c8bd0591bd81c6d8?utm_campaign=1049&amp;utm_source=sheet", "Apply")</f>
        <v>Apply</v>
      </c>
      <c r="C497" s="10" t="s">
        <v>19219</v>
      </c>
      <c r="D497" s="56" t="s">
        <v>1780</v>
      </c>
      <c r="E497" s="10" t="s">
        <v>45</v>
      </c>
      <c r="F497" s="10" t="s">
        <v>1781</v>
      </c>
      <c r="G497" s="10" t="s">
        <v>18636</v>
      </c>
      <c r="H497" s="10" t="s">
        <v>153</v>
      </c>
      <c r="I497" s="10" t="s">
        <v>55</v>
      </c>
      <c r="K497" s="10" t="s">
        <v>19220</v>
      </c>
      <c r="L497" s="10" t="s">
        <v>42</v>
      </c>
    </row>
    <row r="498" ht="15.75" customHeight="1">
      <c r="A498" s="67">
        <v>45478.0</v>
      </c>
      <c r="B498" s="55" t="str">
        <f>HYPERLINK("https://jobright.ai/jobs/info/66887ebec8bd0591bd81c63e?utm_campaign=1049&amp;utm_source=sheet", "Apply")</f>
        <v>Apply</v>
      </c>
      <c r="C498" s="10" t="s">
        <v>19221</v>
      </c>
      <c r="D498" s="56" t="s">
        <v>1780</v>
      </c>
      <c r="E498" s="10" t="s">
        <v>45</v>
      </c>
      <c r="F498" s="10" t="s">
        <v>1781</v>
      </c>
      <c r="G498" s="10" t="s">
        <v>18636</v>
      </c>
      <c r="H498" s="10" t="s">
        <v>153</v>
      </c>
      <c r="I498" s="10" t="s">
        <v>55</v>
      </c>
      <c r="K498" s="10" t="s">
        <v>19222</v>
      </c>
      <c r="L498" s="10" t="s">
        <v>42</v>
      </c>
    </row>
    <row r="499" ht="15.75" customHeight="1">
      <c r="A499" s="67">
        <v>45478.0</v>
      </c>
      <c r="B499" s="55" t="str">
        <f>HYPERLINK("https://jobright.ai/jobs/info/668801a5f2620e116ee3ba56?utm_campaign=1049&amp;utm_source=sheet", "Apply")</f>
        <v>Apply</v>
      </c>
      <c r="C499" s="10" t="s">
        <v>19223</v>
      </c>
      <c r="D499" s="56" t="s">
        <v>1955</v>
      </c>
      <c r="E499" s="10" t="s">
        <v>45</v>
      </c>
      <c r="F499" s="10" t="s">
        <v>1234</v>
      </c>
      <c r="G499" s="10" t="s">
        <v>18636</v>
      </c>
      <c r="H499" s="10" t="s">
        <v>139</v>
      </c>
      <c r="I499" s="10" t="s">
        <v>55</v>
      </c>
      <c r="J499" s="10" t="s">
        <v>1761</v>
      </c>
      <c r="K499" s="10" t="s">
        <v>19224</v>
      </c>
      <c r="L499" s="10" t="s">
        <v>42</v>
      </c>
    </row>
    <row r="500" ht="15.75" customHeight="1">
      <c r="A500" s="67">
        <v>45478.0</v>
      </c>
      <c r="B500" s="55" t="str">
        <f>HYPERLINK("https://jobright.ai/jobs/info/66877468a27625d19d290c26?utm_campaign=1049&amp;utm_source=sheet", "Apply")</f>
        <v>Apply</v>
      </c>
      <c r="C500" s="10" t="s">
        <v>19225</v>
      </c>
      <c r="D500" s="56" t="s">
        <v>19226</v>
      </c>
      <c r="E500" s="10" t="s">
        <v>71</v>
      </c>
      <c r="F500" s="10" t="s">
        <v>19227</v>
      </c>
      <c r="G500" s="10" t="s">
        <v>18636</v>
      </c>
      <c r="H500" s="10" t="s">
        <v>131</v>
      </c>
      <c r="I500" s="10" t="s">
        <v>55</v>
      </c>
      <c r="K500" s="10" t="s">
        <v>19228</v>
      </c>
      <c r="L500" s="10" t="s">
        <v>42</v>
      </c>
    </row>
    <row r="501" ht="15.75" customHeight="1">
      <c r="A501" s="67">
        <v>45477.0</v>
      </c>
      <c r="B501" s="55" t="str">
        <f>HYPERLINK("https://jobright.ai/jobs/info/6686275919c3e9af76ad58e7?utm_campaign=1049&amp;utm_source=sheet", "Apply")</f>
        <v>Apply</v>
      </c>
      <c r="C501" s="10" t="s">
        <v>19229</v>
      </c>
      <c r="D501" s="56" t="s">
        <v>8784</v>
      </c>
      <c r="E501" s="10" t="s">
        <v>65</v>
      </c>
      <c r="G501" s="10" t="s">
        <v>18636</v>
      </c>
      <c r="H501" s="10" t="s">
        <v>8785</v>
      </c>
      <c r="I501" s="10" t="s">
        <v>55</v>
      </c>
      <c r="J501" s="10" t="s">
        <v>6811</v>
      </c>
      <c r="K501" s="10" t="s">
        <v>19230</v>
      </c>
      <c r="L501" s="10" t="s">
        <v>42</v>
      </c>
    </row>
    <row r="502" ht="15.75" customHeight="1">
      <c r="A502" s="67">
        <v>45476.0</v>
      </c>
      <c r="B502" s="55" t="str">
        <f>HYPERLINK("https://jobright.ai/jobs/info/6685e208adbfe96e189b72b2?utm_campaign=1049&amp;utm_source=sheet", "Apply")</f>
        <v>Apply</v>
      </c>
      <c r="C502" s="10" t="s">
        <v>19231</v>
      </c>
      <c r="D502" s="56" t="s">
        <v>14434</v>
      </c>
      <c r="E502" s="10">
        <v>7810.0</v>
      </c>
      <c r="G502" s="10" t="s">
        <v>18636</v>
      </c>
      <c r="H502" s="10" t="s">
        <v>1254</v>
      </c>
      <c r="I502" s="10" t="s">
        <v>48</v>
      </c>
      <c r="J502" s="10" t="s">
        <v>1960</v>
      </c>
      <c r="K502" s="10" t="s">
        <v>19232</v>
      </c>
      <c r="L502" s="10" t="s">
        <v>42</v>
      </c>
    </row>
    <row r="503" ht="15.75" customHeight="1">
      <c r="A503" s="67">
        <v>45476.0</v>
      </c>
      <c r="B503" s="55" t="str">
        <f>HYPERLINK("https://jobright.ai/jobs/info/6685d8f83aae3c4b011ad7e1?utm_campaign=1049&amp;utm_source=sheet", "Apply")</f>
        <v>Apply</v>
      </c>
      <c r="C503" s="10" t="s">
        <v>18926</v>
      </c>
      <c r="D503" s="56" t="s">
        <v>1684</v>
      </c>
      <c r="E503" s="10" t="s">
        <v>209</v>
      </c>
      <c r="F503" s="10" t="s">
        <v>1685</v>
      </c>
      <c r="G503" s="10" t="s">
        <v>18779</v>
      </c>
      <c r="H503" s="10" t="s">
        <v>1791</v>
      </c>
      <c r="I503" s="10" t="s">
        <v>55</v>
      </c>
      <c r="K503" s="10" t="s">
        <v>18928</v>
      </c>
      <c r="L503" s="10" t="s">
        <v>42</v>
      </c>
    </row>
    <row r="504" ht="15.75" customHeight="1">
      <c r="A504" s="67">
        <v>45476.0</v>
      </c>
      <c r="B504" s="55" t="str">
        <f>HYPERLINK("https://jobright.ai/jobs/info/6685cd826d2a409036041909?utm_campaign=1049&amp;utm_source=sheet", "Apply")</f>
        <v>Apply</v>
      </c>
      <c r="C504" s="10" t="s">
        <v>18926</v>
      </c>
      <c r="D504" s="56" t="s">
        <v>1684</v>
      </c>
      <c r="E504" s="10" t="s">
        <v>209</v>
      </c>
      <c r="F504" s="10" t="s">
        <v>1685</v>
      </c>
      <c r="G504" s="10" t="s">
        <v>18779</v>
      </c>
      <c r="H504" s="10" t="s">
        <v>3674</v>
      </c>
      <c r="I504" s="10" t="s">
        <v>55</v>
      </c>
      <c r="K504" s="10" t="s">
        <v>18928</v>
      </c>
      <c r="L504" s="10" t="s">
        <v>42</v>
      </c>
    </row>
    <row r="505" ht="15.75" customHeight="1">
      <c r="A505" s="67">
        <v>45476.0</v>
      </c>
      <c r="B505" s="55" t="str">
        <f>HYPERLINK("https://jobright.ai/jobs/info/6685f952de0c26c0b6cced65?utm_campaign=1049&amp;utm_source=sheet", "Apply")</f>
        <v>Apply</v>
      </c>
      <c r="C505" s="10" t="s">
        <v>18926</v>
      </c>
      <c r="D505" s="56" t="s">
        <v>1684</v>
      </c>
      <c r="E505" s="10" t="s">
        <v>209</v>
      </c>
      <c r="F505" s="10" t="s">
        <v>1685</v>
      </c>
      <c r="G505" s="10" t="s">
        <v>18779</v>
      </c>
      <c r="H505" s="10" t="s">
        <v>9570</v>
      </c>
      <c r="I505" s="10" t="s">
        <v>55</v>
      </c>
      <c r="K505" s="10" t="s">
        <v>18928</v>
      </c>
      <c r="L505" s="10" t="s">
        <v>42</v>
      </c>
    </row>
    <row r="506" ht="15.75" customHeight="1">
      <c r="A506" s="67">
        <v>45476.0</v>
      </c>
      <c r="B506" s="55" t="str">
        <f>HYPERLINK("https://jobright.ai/jobs/info/6685c5b5f7b0cec5c1b13884?utm_campaign=1049&amp;utm_source=sheet", "Apply")</f>
        <v>Apply</v>
      </c>
      <c r="C506" s="10" t="s">
        <v>18926</v>
      </c>
      <c r="D506" s="56" t="s">
        <v>1684</v>
      </c>
      <c r="E506" s="10" t="s">
        <v>209</v>
      </c>
      <c r="F506" s="10" t="s">
        <v>1685</v>
      </c>
      <c r="G506" s="10" t="s">
        <v>18779</v>
      </c>
      <c r="H506" s="10" t="s">
        <v>6071</v>
      </c>
      <c r="I506" s="10" t="s">
        <v>55</v>
      </c>
      <c r="K506" s="10" t="s">
        <v>18928</v>
      </c>
      <c r="L506" s="10" t="s">
        <v>42</v>
      </c>
    </row>
    <row r="507" ht="15.75" customHeight="1">
      <c r="A507" s="67">
        <v>45476.0</v>
      </c>
      <c r="B507" s="55" t="str">
        <f>HYPERLINK("https://jobright.ai/jobs/info/6685b16962f4d3a30a85cff1?utm_campaign=1049&amp;utm_source=sheet", "Apply")</f>
        <v>Apply</v>
      </c>
      <c r="C507" s="10" t="s">
        <v>19229</v>
      </c>
      <c r="D507" s="56" t="s">
        <v>8784</v>
      </c>
      <c r="E507" s="10" t="s">
        <v>65</v>
      </c>
      <c r="G507" s="10" t="s">
        <v>18636</v>
      </c>
      <c r="H507" s="10" t="s">
        <v>19233</v>
      </c>
      <c r="I507" s="10" t="s">
        <v>55</v>
      </c>
      <c r="J507" s="10" t="s">
        <v>6811</v>
      </c>
      <c r="K507" s="10" t="s">
        <v>19234</v>
      </c>
      <c r="L507" s="10" t="s">
        <v>42</v>
      </c>
    </row>
    <row r="508" ht="15.75" customHeight="1">
      <c r="A508" s="67">
        <v>45476.0</v>
      </c>
      <c r="B508" s="55" t="str">
        <f>HYPERLINK("https://jobright.ai/jobs/info/668591e5e861c76931c969a5?utm_campaign=1049&amp;utm_source=sheet", "Apply")</f>
        <v>Apply</v>
      </c>
      <c r="C508" s="10" t="s">
        <v>19235</v>
      </c>
      <c r="D508" s="56" t="s">
        <v>19236</v>
      </c>
      <c r="E508" s="10" t="s">
        <v>45</v>
      </c>
      <c r="F508" s="10" t="s">
        <v>19237</v>
      </c>
      <c r="G508" s="10" t="s">
        <v>18636</v>
      </c>
      <c r="H508" s="10" t="s">
        <v>251</v>
      </c>
      <c r="I508" s="10" t="s">
        <v>252</v>
      </c>
      <c r="J508" s="10" t="s">
        <v>8102</v>
      </c>
      <c r="K508" s="10" t="s">
        <v>19238</v>
      </c>
      <c r="L508" s="10" t="s">
        <v>42</v>
      </c>
    </row>
    <row r="509" ht="15.75" customHeight="1">
      <c r="A509" s="67">
        <v>45476.0</v>
      </c>
      <c r="B509" s="55" t="str">
        <f>HYPERLINK("https://jobright.ai/jobs/info/663d17e0d565c2bdf43b9ae1?utm_campaign=1049&amp;utm_source=sheet", "Apply")</f>
        <v>Apply</v>
      </c>
      <c r="C509" s="10" t="s">
        <v>18926</v>
      </c>
      <c r="D509" s="56" t="s">
        <v>1684</v>
      </c>
      <c r="E509" s="10" t="s">
        <v>209</v>
      </c>
      <c r="F509" s="10" t="s">
        <v>1685</v>
      </c>
      <c r="G509" s="10" t="s">
        <v>18779</v>
      </c>
      <c r="H509" s="10" t="s">
        <v>19239</v>
      </c>
      <c r="I509" s="10" t="s">
        <v>252</v>
      </c>
      <c r="K509" s="10" t="s">
        <v>18928</v>
      </c>
      <c r="L509" s="10" t="s">
        <v>42</v>
      </c>
    </row>
    <row r="510" ht="15.75" customHeight="1">
      <c r="A510" s="67">
        <v>45476.0</v>
      </c>
      <c r="B510" s="55" t="str">
        <f>HYPERLINK("https://jobright.ai/jobs/info/663d28bb7cbef03b34b55eda?utm_campaign=1049&amp;utm_source=sheet", "Apply")</f>
        <v>Apply</v>
      </c>
      <c r="C510" s="10" t="s">
        <v>18926</v>
      </c>
      <c r="D510" s="56" t="s">
        <v>1684</v>
      </c>
      <c r="E510" s="10" t="s">
        <v>209</v>
      </c>
      <c r="F510" s="10" t="s">
        <v>1685</v>
      </c>
      <c r="G510" s="10" t="s">
        <v>18779</v>
      </c>
      <c r="H510" s="10" t="s">
        <v>1004</v>
      </c>
      <c r="I510" s="10" t="s">
        <v>252</v>
      </c>
      <c r="K510" s="10" t="s">
        <v>18928</v>
      </c>
      <c r="L510" s="10" t="s">
        <v>42</v>
      </c>
    </row>
    <row r="511" ht="15.75" customHeight="1">
      <c r="A511" s="67">
        <v>45476.0</v>
      </c>
      <c r="B511" s="55" t="str">
        <f>HYPERLINK("https://jobright.ai/jobs/info/663d28bb7cbef03b34b55edd?utm_campaign=1049&amp;utm_source=sheet", "Apply")</f>
        <v>Apply</v>
      </c>
      <c r="C511" s="10" t="s">
        <v>18926</v>
      </c>
      <c r="D511" s="56" t="s">
        <v>1684</v>
      </c>
      <c r="E511" s="10" t="s">
        <v>209</v>
      </c>
      <c r="F511" s="10" t="s">
        <v>1685</v>
      </c>
      <c r="G511" s="10" t="s">
        <v>18779</v>
      </c>
      <c r="H511" s="10" t="s">
        <v>19240</v>
      </c>
      <c r="I511" s="10" t="s">
        <v>252</v>
      </c>
      <c r="K511" s="10" t="s">
        <v>18928</v>
      </c>
      <c r="L511" s="10" t="s">
        <v>42</v>
      </c>
    </row>
    <row r="512" ht="15.75" customHeight="1">
      <c r="A512" s="67">
        <v>45476.0</v>
      </c>
      <c r="B512" s="55" t="str">
        <f>HYPERLINK("https://jobright.ai/jobs/info/663d123c2ef5d52ccaeb1d3d?utm_campaign=1049&amp;utm_source=sheet", "Apply")</f>
        <v>Apply</v>
      </c>
      <c r="C512" s="10" t="s">
        <v>18926</v>
      </c>
      <c r="D512" s="56" t="s">
        <v>1684</v>
      </c>
      <c r="E512" s="10" t="s">
        <v>209</v>
      </c>
      <c r="F512" s="10" t="s">
        <v>1685</v>
      </c>
      <c r="G512" s="10" t="s">
        <v>18779</v>
      </c>
      <c r="H512" s="10" t="s">
        <v>12731</v>
      </c>
      <c r="I512" s="10" t="s">
        <v>252</v>
      </c>
      <c r="K512" s="10" t="s">
        <v>18928</v>
      </c>
      <c r="L512" s="10" t="s">
        <v>42</v>
      </c>
    </row>
    <row r="513" ht="15.75" customHeight="1">
      <c r="A513" s="67">
        <v>45476.0</v>
      </c>
      <c r="B513" s="55" t="str">
        <f>HYPERLINK("https://jobright.ai/jobs/info/663d0abbedd60a36daf147a0?utm_campaign=1049&amp;utm_source=sheet", "Apply")</f>
        <v>Apply</v>
      </c>
      <c r="C513" s="10" t="s">
        <v>18926</v>
      </c>
      <c r="D513" s="56" t="s">
        <v>1684</v>
      </c>
      <c r="E513" s="10" t="s">
        <v>209</v>
      </c>
      <c r="F513" s="10" t="s">
        <v>1685</v>
      </c>
      <c r="G513" s="10" t="s">
        <v>18779</v>
      </c>
      <c r="H513" s="10" t="s">
        <v>3022</v>
      </c>
      <c r="I513" s="10" t="s">
        <v>252</v>
      </c>
      <c r="K513" s="10" t="s">
        <v>18928</v>
      </c>
      <c r="L513" s="10" t="s">
        <v>42</v>
      </c>
    </row>
    <row r="514" ht="15.75" customHeight="1">
      <c r="A514" s="67">
        <v>45476.0</v>
      </c>
      <c r="B514" s="55" t="str">
        <f>HYPERLINK("https://jobright.ai/jobs/info/663d28b17cbef03b34b55da3?utm_campaign=1049&amp;utm_source=sheet", "Apply")</f>
        <v>Apply</v>
      </c>
      <c r="C514" s="10" t="s">
        <v>18926</v>
      </c>
      <c r="D514" s="56" t="s">
        <v>1684</v>
      </c>
      <c r="E514" s="10" t="s">
        <v>209</v>
      </c>
      <c r="F514" s="10" t="s">
        <v>1685</v>
      </c>
      <c r="G514" s="10" t="s">
        <v>18779</v>
      </c>
      <c r="H514" s="10" t="s">
        <v>19241</v>
      </c>
      <c r="I514" s="10" t="s">
        <v>252</v>
      </c>
      <c r="K514" s="10" t="s">
        <v>18928</v>
      </c>
      <c r="L514" s="10" t="s">
        <v>42</v>
      </c>
    </row>
    <row r="515" ht="15.75" customHeight="1">
      <c r="A515" s="67">
        <v>45476.0</v>
      </c>
      <c r="B515" s="55" t="str">
        <f>HYPERLINK("https://jobright.ai/jobs/info/663d123c2ef5d52ccaeb1cd1?utm_campaign=1049&amp;utm_source=sheet", "Apply")</f>
        <v>Apply</v>
      </c>
      <c r="C515" s="10" t="s">
        <v>18926</v>
      </c>
      <c r="D515" s="56" t="s">
        <v>1684</v>
      </c>
      <c r="E515" s="10" t="s">
        <v>209</v>
      </c>
      <c r="F515" s="10" t="s">
        <v>1685</v>
      </c>
      <c r="G515" s="10" t="s">
        <v>18779</v>
      </c>
      <c r="H515" s="10" t="s">
        <v>19242</v>
      </c>
      <c r="I515" s="10" t="s">
        <v>252</v>
      </c>
      <c r="K515" s="10" t="s">
        <v>18928</v>
      </c>
      <c r="L515" s="10" t="s">
        <v>42</v>
      </c>
    </row>
    <row r="516" ht="15.75" customHeight="1">
      <c r="A516" s="67">
        <v>45476.0</v>
      </c>
      <c r="B516" s="55" t="str">
        <f>HYPERLINK("https://jobright.ai/jobs/info/663d124f2ef5d52ccaeb1f11?utm_campaign=1049&amp;utm_source=sheet", "Apply")</f>
        <v>Apply</v>
      </c>
      <c r="C516" s="10" t="s">
        <v>18926</v>
      </c>
      <c r="D516" s="56" t="s">
        <v>1684</v>
      </c>
      <c r="E516" s="10" t="s">
        <v>209</v>
      </c>
      <c r="F516" s="10" t="s">
        <v>1685</v>
      </c>
      <c r="G516" s="10" t="s">
        <v>18779</v>
      </c>
      <c r="H516" s="10" t="s">
        <v>12881</v>
      </c>
      <c r="I516" s="10" t="s">
        <v>252</v>
      </c>
      <c r="K516" s="10" t="s">
        <v>18928</v>
      </c>
      <c r="L516" s="10" t="s">
        <v>42</v>
      </c>
    </row>
    <row r="517" ht="15.75" customHeight="1">
      <c r="A517" s="67">
        <v>45476.0</v>
      </c>
      <c r="B517" s="55" t="str">
        <f>HYPERLINK("https://jobright.ai/jobs/info/663c2118f19ee77cce93a197?utm_campaign=1049&amp;utm_source=sheet", "Apply")</f>
        <v>Apply</v>
      </c>
      <c r="C517" s="10" t="s">
        <v>18926</v>
      </c>
      <c r="D517" s="56" t="s">
        <v>1684</v>
      </c>
      <c r="E517" s="10" t="s">
        <v>209</v>
      </c>
      <c r="F517" s="10" t="s">
        <v>1685</v>
      </c>
      <c r="G517" s="10" t="s">
        <v>18779</v>
      </c>
      <c r="H517" s="10" t="s">
        <v>17820</v>
      </c>
      <c r="I517" s="10" t="s">
        <v>252</v>
      </c>
      <c r="K517" s="10" t="s">
        <v>18928</v>
      </c>
      <c r="L517" s="10" t="s">
        <v>42</v>
      </c>
    </row>
    <row r="518" ht="15.75" customHeight="1">
      <c r="A518" s="67">
        <v>45476.0</v>
      </c>
      <c r="B518" s="55" t="str">
        <f>HYPERLINK("https://jobright.ai/jobs/info/663d24e9bf656cd4c269b0ff?utm_campaign=1049&amp;utm_source=sheet", "Apply")</f>
        <v>Apply</v>
      </c>
      <c r="C518" s="10" t="s">
        <v>18926</v>
      </c>
      <c r="D518" s="56" t="s">
        <v>1684</v>
      </c>
      <c r="E518" s="10" t="s">
        <v>209</v>
      </c>
      <c r="F518" s="10" t="s">
        <v>1685</v>
      </c>
      <c r="G518" s="10" t="s">
        <v>18779</v>
      </c>
      <c r="H518" s="10" t="s">
        <v>901</v>
      </c>
      <c r="I518" s="10" t="s">
        <v>252</v>
      </c>
      <c r="K518" s="10" t="s">
        <v>18928</v>
      </c>
      <c r="L518" s="10" t="s">
        <v>42</v>
      </c>
    </row>
    <row r="519" ht="15.75" customHeight="1">
      <c r="A519" s="67">
        <v>45476.0</v>
      </c>
      <c r="B519" s="55" t="str">
        <f>HYPERLINK("https://jobright.ai/jobs/info/663d28c77cbef03b34b55f38?utm_campaign=1049&amp;utm_source=sheet", "Apply")</f>
        <v>Apply</v>
      </c>
      <c r="C519" s="10" t="s">
        <v>18926</v>
      </c>
      <c r="D519" s="56" t="s">
        <v>1684</v>
      </c>
      <c r="E519" s="10" t="s">
        <v>209</v>
      </c>
      <c r="F519" s="10" t="s">
        <v>1685</v>
      </c>
      <c r="G519" s="10" t="s">
        <v>18779</v>
      </c>
      <c r="H519" s="10" t="s">
        <v>15379</v>
      </c>
      <c r="I519" s="10" t="s">
        <v>252</v>
      </c>
      <c r="K519" s="10" t="s">
        <v>18928</v>
      </c>
      <c r="L519" s="10" t="s">
        <v>42</v>
      </c>
    </row>
    <row r="520" ht="15.75" customHeight="1">
      <c r="A520" s="67">
        <v>45476.0</v>
      </c>
      <c r="B520" s="55" t="str">
        <f>HYPERLINK("https://jobright.ai/jobs/info/663d123c2ef5d52ccaeb1cc9?utm_campaign=1049&amp;utm_source=sheet", "Apply")</f>
        <v>Apply</v>
      </c>
      <c r="C520" s="10" t="s">
        <v>18926</v>
      </c>
      <c r="D520" s="56" t="s">
        <v>1684</v>
      </c>
      <c r="E520" s="10" t="s">
        <v>209</v>
      </c>
      <c r="F520" s="10" t="s">
        <v>1685</v>
      </c>
      <c r="G520" s="10" t="s">
        <v>18779</v>
      </c>
      <c r="H520" s="10" t="s">
        <v>1000</v>
      </c>
      <c r="I520" s="10" t="s">
        <v>252</v>
      </c>
      <c r="K520" s="10" t="s">
        <v>18928</v>
      </c>
      <c r="L520" s="10" t="s">
        <v>42</v>
      </c>
    </row>
    <row r="521" ht="15.75" customHeight="1">
      <c r="A521" s="67">
        <v>45476.0</v>
      </c>
      <c r="B521" s="55" t="str">
        <f>HYPERLINK("https://jobright.ai/jobs/info/663c1d8d8b52a5d167a30140?utm_campaign=1049&amp;utm_source=sheet", "Apply")</f>
        <v>Apply</v>
      </c>
      <c r="C521" s="10" t="s">
        <v>18926</v>
      </c>
      <c r="D521" s="56" t="s">
        <v>1684</v>
      </c>
      <c r="E521" s="10" t="s">
        <v>209</v>
      </c>
      <c r="F521" s="10" t="s">
        <v>1685</v>
      </c>
      <c r="G521" s="10" t="s">
        <v>18779</v>
      </c>
      <c r="H521" s="10" t="s">
        <v>10675</v>
      </c>
      <c r="I521" s="10" t="s">
        <v>252</v>
      </c>
      <c r="K521" s="10" t="s">
        <v>18928</v>
      </c>
      <c r="L521" s="10" t="s">
        <v>42</v>
      </c>
    </row>
    <row r="522" ht="15.75" customHeight="1">
      <c r="A522" s="67">
        <v>45476.0</v>
      </c>
      <c r="B522" s="55" t="str">
        <f>HYPERLINK("https://jobright.ai/jobs/info/663d0abbedd60a36daf147df?utm_campaign=1049&amp;utm_source=sheet", "Apply")</f>
        <v>Apply</v>
      </c>
      <c r="C522" s="10" t="s">
        <v>18926</v>
      </c>
      <c r="D522" s="56" t="s">
        <v>1684</v>
      </c>
      <c r="E522" s="10" t="s">
        <v>209</v>
      </c>
      <c r="F522" s="10" t="s">
        <v>1685</v>
      </c>
      <c r="G522" s="10" t="s">
        <v>18779</v>
      </c>
      <c r="H522" s="10" t="s">
        <v>19243</v>
      </c>
      <c r="I522" s="10" t="s">
        <v>252</v>
      </c>
      <c r="K522" s="10" t="s">
        <v>18928</v>
      </c>
      <c r="L522" s="10" t="s">
        <v>42</v>
      </c>
    </row>
    <row r="523" ht="15.75" customHeight="1">
      <c r="A523" s="67">
        <v>45476.0</v>
      </c>
      <c r="B523" s="55" t="str">
        <f>HYPERLINK("https://jobright.ai/jobs/info/663c2ca21fd874d756c1eda3?utm_campaign=1049&amp;utm_source=sheet", "Apply")</f>
        <v>Apply</v>
      </c>
      <c r="C523" s="10" t="s">
        <v>18926</v>
      </c>
      <c r="D523" s="56" t="s">
        <v>1684</v>
      </c>
      <c r="E523" s="10" t="s">
        <v>209</v>
      </c>
      <c r="F523" s="10" t="s">
        <v>1685</v>
      </c>
      <c r="G523" s="10" t="s">
        <v>18779</v>
      </c>
      <c r="H523" s="10" t="s">
        <v>763</v>
      </c>
      <c r="I523" s="10" t="s">
        <v>252</v>
      </c>
      <c r="K523" s="10" t="s">
        <v>18928</v>
      </c>
      <c r="L523" s="10" t="s">
        <v>42</v>
      </c>
    </row>
    <row r="524" ht="15.75" customHeight="1">
      <c r="A524" s="67">
        <v>45476.0</v>
      </c>
      <c r="B524" s="55" t="str">
        <f>HYPERLINK("https://jobright.ai/jobs/info/663d123c2ef5d52ccaeb1d63?utm_campaign=1049&amp;utm_source=sheet", "Apply")</f>
        <v>Apply</v>
      </c>
      <c r="C524" s="10" t="s">
        <v>18926</v>
      </c>
      <c r="D524" s="56" t="s">
        <v>1684</v>
      </c>
      <c r="E524" s="10" t="s">
        <v>209</v>
      </c>
      <c r="F524" s="10" t="s">
        <v>1685</v>
      </c>
      <c r="G524" s="10" t="s">
        <v>18779</v>
      </c>
      <c r="H524" s="10" t="s">
        <v>997</v>
      </c>
      <c r="I524" s="10" t="s">
        <v>252</v>
      </c>
      <c r="K524" s="10" t="s">
        <v>18928</v>
      </c>
      <c r="L524" s="10" t="s">
        <v>42</v>
      </c>
    </row>
    <row r="525" ht="15.75" customHeight="1">
      <c r="A525" s="67">
        <v>45476.0</v>
      </c>
      <c r="B525" s="55" t="str">
        <f>HYPERLINK("https://jobright.ai/jobs/info/663d5a1dd93709324deaeab3?utm_campaign=1049&amp;utm_source=sheet", "Apply")</f>
        <v>Apply</v>
      </c>
      <c r="C525" s="10" t="s">
        <v>18926</v>
      </c>
      <c r="D525" s="56" t="s">
        <v>1684</v>
      </c>
      <c r="E525" s="10" t="s">
        <v>209</v>
      </c>
      <c r="F525" s="10" t="s">
        <v>1685</v>
      </c>
      <c r="G525" s="10" t="s">
        <v>18779</v>
      </c>
      <c r="H525" s="10" t="s">
        <v>19244</v>
      </c>
      <c r="I525" s="10" t="s">
        <v>252</v>
      </c>
      <c r="K525" s="10" t="s">
        <v>18928</v>
      </c>
      <c r="L525" s="10" t="s">
        <v>42</v>
      </c>
    </row>
    <row r="526" ht="15.75" customHeight="1">
      <c r="A526" s="67">
        <v>45476.0</v>
      </c>
      <c r="B526" s="55" t="str">
        <f>HYPERLINK("https://jobright.ai/jobs/info/663d123c2ef5d52ccaeb1d4c?utm_campaign=1049&amp;utm_source=sheet", "Apply")</f>
        <v>Apply</v>
      </c>
      <c r="C526" s="10" t="s">
        <v>18926</v>
      </c>
      <c r="D526" s="56" t="s">
        <v>1684</v>
      </c>
      <c r="E526" s="10" t="s">
        <v>209</v>
      </c>
      <c r="F526" s="10" t="s">
        <v>1685</v>
      </c>
      <c r="G526" s="10" t="s">
        <v>18779</v>
      </c>
      <c r="H526" s="10" t="s">
        <v>19245</v>
      </c>
      <c r="I526" s="10" t="s">
        <v>252</v>
      </c>
      <c r="K526" s="10" t="s">
        <v>18928</v>
      </c>
      <c r="L526" s="10" t="s">
        <v>42</v>
      </c>
    </row>
    <row r="527" ht="15.75" customHeight="1">
      <c r="A527" s="67">
        <v>45476.0</v>
      </c>
      <c r="B527" s="55" t="str">
        <f>HYPERLINK("https://jobright.ai/jobs/info/663d123c2ef5d52ccaeb1cd5?utm_campaign=1049&amp;utm_source=sheet", "Apply")</f>
        <v>Apply</v>
      </c>
      <c r="C527" s="10" t="s">
        <v>18926</v>
      </c>
      <c r="D527" s="56" t="s">
        <v>1684</v>
      </c>
      <c r="E527" s="10" t="s">
        <v>209</v>
      </c>
      <c r="F527" s="10" t="s">
        <v>1685</v>
      </c>
      <c r="G527" s="10" t="s">
        <v>18779</v>
      </c>
      <c r="H527" s="10" t="s">
        <v>860</v>
      </c>
      <c r="I527" s="10" t="s">
        <v>252</v>
      </c>
      <c r="K527" s="10" t="s">
        <v>18928</v>
      </c>
      <c r="L527" s="10" t="s">
        <v>42</v>
      </c>
    </row>
    <row r="528" ht="15.75" customHeight="1">
      <c r="A528" s="67">
        <v>45476.0</v>
      </c>
      <c r="B528" s="55" t="str">
        <f>HYPERLINK("https://jobright.ai/jobs/info/663c4023829d1c42e68d6a95?utm_campaign=1049&amp;utm_source=sheet", "Apply")</f>
        <v>Apply</v>
      </c>
      <c r="C528" s="10" t="s">
        <v>18926</v>
      </c>
      <c r="D528" s="56" t="s">
        <v>1684</v>
      </c>
      <c r="E528" s="10" t="s">
        <v>209</v>
      </c>
      <c r="F528" s="10" t="s">
        <v>1685</v>
      </c>
      <c r="G528" s="10" t="s">
        <v>18779</v>
      </c>
      <c r="H528" s="10" t="s">
        <v>5734</v>
      </c>
      <c r="I528" s="10" t="s">
        <v>252</v>
      </c>
      <c r="K528" s="10" t="s">
        <v>18928</v>
      </c>
      <c r="L528" s="10" t="s">
        <v>42</v>
      </c>
    </row>
    <row r="529" ht="15.75" customHeight="1">
      <c r="A529" s="67">
        <v>45476.0</v>
      </c>
      <c r="B529" s="55" t="str">
        <f>HYPERLINK("https://jobright.ai/jobs/info/663d3181b3cad10872b383f4?utm_campaign=1049&amp;utm_source=sheet", "Apply")</f>
        <v>Apply</v>
      </c>
      <c r="C529" s="10" t="s">
        <v>18926</v>
      </c>
      <c r="D529" s="56" t="s">
        <v>1684</v>
      </c>
      <c r="E529" s="10" t="s">
        <v>209</v>
      </c>
      <c r="F529" s="10" t="s">
        <v>1685</v>
      </c>
      <c r="G529" s="10" t="s">
        <v>18779</v>
      </c>
      <c r="H529" s="10" t="s">
        <v>5935</v>
      </c>
      <c r="I529" s="10" t="s">
        <v>252</v>
      </c>
      <c r="K529" s="10" t="s">
        <v>18928</v>
      </c>
      <c r="L529" s="10" t="s">
        <v>42</v>
      </c>
    </row>
    <row r="530" ht="15.75" customHeight="1">
      <c r="A530" s="67">
        <v>45476.0</v>
      </c>
      <c r="B530" s="55" t="str">
        <f>HYPERLINK("https://jobright.ai/jobs/info/663cf8c9c66a2f8935f1c525?utm_campaign=1049&amp;utm_source=sheet", "Apply")</f>
        <v>Apply</v>
      </c>
      <c r="C530" s="10" t="s">
        <v>18926</v>
      </c>
      <c r="D530" s="56" t="s">
        <v>1684</v>
      </c>
      <c r="E530" s="10" t="s">
        <v>209</v>
      </c>
      <c r="F530" s="10" t="s">
        <v>1685</v>
      </c>
      <c r="G530" s="10" t="s">
        <v>18779</v>
      </c>
      <c r="H530" s="10" t="s">
        <v>19246</v>
      </c>
      <c r="I530" s="10" t="s">
        <v>252</v>
      </c>
      <c r="K530" s="10" t="s">
        <v>18928</v>
      </c>
      <c r="L530" s="10" t="s">
        <v>42</v>
      </c>
    </row>
    <row r="531" ht="15.75" customHeight="1">
      <c r="A531" s="67">
        <v>45476.0</v>
      </c>
      <c r="B531" s="55" t="str">
        <f>HYPERLINK("https://jobright.ai/jobs/info/663d123c2ef5d52ccaeb1d2d?utm_campaign=1049&amp;utm_source=sheet", "Apply")</f>
        <v>Apply</v>
      </c>
      <c r="C531" s="10" t="s">
        <v>18926</v>
      </c>
      <c r="D531" s="56" t="s">
        <v>1684</v>
      </c>
      <c r="E531" s="10" t="s">
        <v>209</v>
      </c>
      <c r="F531" s="10" t="s">
        <v>1685</v>
      </c>
      <c r="G531" s="10" t="s">
        <v>18779</v>
      </c>
      <c r="H531" s="10" t="s">
        <v>17305</v>
      </c>
      <c r="I531" s="10" t="s">
        <v>252</v>
      </c>
      <c r="K531" s="10" t="s">
        <v>18928</v>
      </c>
      <c r="L531" s="10" t="s">
        <v>42</v>
      </c>
    </row>
    <row r="532" ht="15.75" customHeight="1">
      <c r="A532" s="67">
        <v>45476.0</v>
      </c>
      <c r="B532" s="55" t="str">
        <f>HYPERLINK("https://jobright.ai/jobs/info/663d24f4bf656cd4c269b171?utm_campaign=1049&amp;utm_source=sheet", "Apply")</f>
        <v>Apply</v>
      </c>
      <c r="C532" s="10" t="s">
        <v>18926</v>
      </c>
      <c r="D532" s="56" t="s">
        <v>1684</v>
      </c>
      <c r="E532" s="10" t="s">
        <v>209</v>
      </c>
      <c r="F532" s="10" t="s">
        <v>1685</v>
      </c>
      <c r="G532" s="10" t="s">
        <v>18779</v>
      </c>
      <c r="H532" s="10" t="s">
        <v>868</v>
      </c>
      <c r="I532" s="10" t="s">
        <v>252</v>
      </c>
      <c r="K532" s="10" t="s">
        <v>18928</v>
      </c>
      <c r="L532" s="10" t="s">
        <v>42</v>
      </c>
    </row>
    <row r="533" ht="15.75" customHeight="1">
      <c r="A533" s="67">
        <v>45476.0</v>
      </c>
      <c r="B533" s="55" t="str">
        <f>HYPERLINK("https://jobright.ai/jobs/info/663d0abbedd60a36daf1479c?utm_campaign=1049&amp;utm_source=sheet", "Apply")</f>
        <v>Apply</v>
      </c>
      <c r="C533" s="10" t="s">
        <v>18926</v>
      </c>
      <c r="D533" s="56" t="s">
        <v>1684</v>
      </c>
      <c r="E533" s="10" t="s">
        <v>209</v>
      </c>
      <c r="F533" s="10" t="s">
        <v>1685</v>
      </c>
      <c r="G533" s="10" t="s">
        <v>18779</v>
      </c>
      <c r="H533" s="10" t="s">
        <v>1017</v>
      </c>
      <c r="I533" s="10" t="s">
        <v>252</v>
      </c>
      <c r="K533" s="10" t="s">
        <v>18928</v>
      </c>
      <c r="L533" s="10" t="s">
        <v>42</v>
      </c>
    </row>
    <row r="534" ht="15.75" customHeight="1">
      <c r="A534" s="67">
        <v>45476.0</v>
      </c>
      <c r="B534" s="55" t="str">
        <f>HYPERLINK("https://jobright.ai/jobs/info/663c2ca21fd874d756c1eda1?utm_campaign=1049&amp;utm_source=sheet", "Apply")</f>
        <v>Apply</v>
      </c>
      <c r="C534" s="10" t="s">
        <v>18926</v>
      </c>
      <c r="D534" s="56" t="s">
        <v>1684</v>
      </c>
      <c r="E534" s="10" t="s">
        <v>209</v>
      </c>
      <c r="F534" s="10" t="s">
        <v>1685</v>
      </c>
      <c r="G534" s="10" t="s">
        <v>18779</v>
      </c>
      <c r="H534" s="10" t="s">
        <v>15317</v>
      </c>
      <c r="I534" s="10" t="s">
        <v>252</v>
      </c>
      <c r="K534" s="10" t="s">
        <v>18928</v>
      </c>
      <c r="L534" s="10" t="s">
        <v>42</v>
      </c>
    </row>
    <row r="535" ht="15.75" customHeight="1">
      <c r="A535" s="67">
        <v>45476.0</v>
      </c>
      <c r="B535" s="55" t="str">
        <f>HYPERLINK("https://jobright.ai/jobs/info/663d12772ef5d52ccaeb2256?utm_campaign=1049&amp;utm_source=sheet", "Apply")</f>
        <v>Apply</v>
      </c>
      <c r="C535" s="10" t="s">
        <v>18926</v>
      </c>
      <c r="D535" s="56" t="s">
        <v>1684</v>
      </c>
      <c r="E535" s="10" t="s">
        <v>209</v>
      </c>
      <c r="F535" s="10" t="s">
        <v>1685</v>
      </c>
      <c r="G535" s="10" t="s">
        <v>18779</v>
      </c>
      <c r="H535" s="10" t="s">
        <v>19247</v>
      </c>
      <c r="I535" s="10" t="s">
        <v>252</v>
      </c>
      <c r="K535" s="10" t="s">
        <v>18928</v>
      </c>
      <c r="L535" s="10" t="s">
        <v>42</v>
      </c>
    </row>
    <row r="536" ht="15.75" customHeight="1">
      <c r="A536" s="67">
        <v>45476.0</v>
      </c>
      <c r="B536" s="55" t="str">
        <f>HYPERLINK("https://jobright.ai/jobs/info/663d125d2ef5d52ccaeb1fcc?utm_campaign=1049&amp;utm_source=sheet", "Apply")</f>
        <v>Apply</v>
      </c>
      <c r="C536" s="10" t="s">
        <v>18926</v>
      </c>
      <c r="D536" s="56" t="s">
        <v>1684</v>
      </c>
      <c r="E536" s="10" t="s">
        <v>209</v>
      </c>
      <c r="F536" s="10" t="s">
        <v>1685</v>
      </c>
      <c r="G536" s="10" t="s">
        <v>18779</v>
      </c>
      <c r="H536" s="10" t="s">
        <v>6550</v>
      </c>
      <c r="I536" s="10" t="s">
        <v>252</v>
      </c>
      <c r="K536" s="10" t="s">
        <v>18928</v>
      </c>
      <c r="L536" s="10" t="s">
        <v>42</v>
      </c>
    </row>
    <row r="537" ht="15.75" customHeight="1">
      <c r="A537" s="67">
        <v>45476.0</v>
      </c>
      <c r="B537" s="55" t="str">
        <f>HYPERLINK("https://jobright.ai/jobs/info/663d28bb7cbef03b34b55edc?utm_campaign=1049&amp;utm_source=sheet", "Apply")</f>
        <v>Apply</v>
      </c>
      <c r="C537" s="10" t="s">
        <v>18926</v>
      </c>
      <c r="D537" s="56" t="s">
        <v>1684</v>
      </c>
      <c r="E537" s="10" t="s">
        <v>209</v>
      </c>
      <c r="F537" s="10" t="s">
        <v>1685</v>
      </c>
      <c r="G537" s="10" t="s">
        <v>18779</v>
      </c>
      <c r="H537" s="10" t="s">
        <v>16005</v>
      </c>
      <c r="I537" s="10" t="s">
        <v>252</v>
      </c>
      <c r="K537" s="10" t="s">
        <v>18928</v>
      </c>
      <c r="L537" s="10" t="s">
        <v>42</v>
      </c>
    </row>
    <row r="538" ht="15.75" customHeight="1">
      <c r="A538" s="67">
        <v>45476.0</v>
      </c>
      <c r="B538" s="55" t="str">
        <f>HYPERLINK("https://jobright.ai/jobs/info/663d24f4bf656cd4c269b173?utm_campaign=1049&amp;utm_source=sheet", "Apply")</f>
        <v>Apply</v>
      </c>
      <c r="C538" s="10" t="s">
        <v>18926</v>
      </c>
      <c r="D538" s="56" t="s">
        <v>1684</v>
      </c>
      <c r="E538" s="10" t="s">
        <v>209</v>
      </c>
      <c r="F538" s="10" t="s">
        <v>1685</v>
      </c>
      <c r="G538" s="10" t="s">
        <v>18779</v>
      </c>
      <c r="H538" s="10" t="s">
        <v>740</v>
      </c>
      <c r="I538" s="10" t="s">
        <v>252</v>
      </c>
      <c r="K538" s="10" t="s">
        <v>18928</v>
      </c>
      <c r="L538" s="10" t="s">
        <v>42</v>
      </c>
    </row>
    <row r="539" ht="15.75" customHeight="1">
      <c r="A539" s="67">
        <v>45476.0</v>
      </c>
      <c r="B539" s="55" t="str">
        <f>HYPERLINK("https://jobright.ai/jobs/info/663d0abbedd60a36daf147dc?utm_campaign=1049&amp;utm_source=sheet", "Apply")</f>
        <v>Apply</v>
      </c>
      <c r="C539" s="10" t="s">
        <v>18926</v>
      </c>
      <c r="D539" s="56" t="s">
        <v>1684</v>
      </c>
      <c r="E539" s="10" t="s">
        <v>209</v>
      </c>
      <c r="F539" s="10" t="s">
        <v>1685</v>
      </c>
      <c r="G539" s="10" t="s">
        <v>18779</v>
      </c>
      <c r="H539" s="10" t="s">
        <v>777</v>
      </c>
      <c r="I539" s="10" t="s">
        <v>252</v>
      </c>
      <c r="K539" s="10" t="s">
        <v>18928</v>
      </c>
      <c r="L539" s="10" t="s">
        <v>42</v>
      </c>
    </row>
    <row r="540" ht="15.75" customHeight="1">
      <c r="A540" s="67">
        <v>45476.0</v>
      </c>
      <c r="B540" s="55" t="str">
        <f>HYPERLINK("https://jobright.ai/jobs/info/663c75ed93af57e9a9d7fdf0?utm_campaign=1049&amp;utm_source=sheet", "Apply")</f>
        <v>Apply</v>
      </c>
      <c r="C540" s="10" t="s">
        <v>18926</v>
      </c>
      <c r="D540" s="56" t="s">
        <v>1684</v>
      </c>
      <c r="E540" s="10" t="s">
        <v>209</v>
      </c>
      <c r="F540" s="10" t="s">
        <v>1685</v>
      </c>
      <c r="G540" s="10" t="s">
        <v>18779</v>
      </c>
      <c r="H540" s="10" t="s">
        <v>18181</v>
      </c>
      <c r="I540" s="10" t="s">
        <v>252</v>
      </c>
      <c r="K540" s="10" t="s">
        <v>18928</v>
      </c>
      <c r="L540" s="10" t="s">
        <v>42</v>
      </c>
    </row>
    <row r="541" ht="15.75" customHeight="1">
      <c r="A541" s="67">
        <v>45476.0</v>
      </c>
      <c r="B541" s="55" t="str">
        <f>HYPERLINK("https://jobright.ai/jobs/info/6685eabcf97d28402a22d73a?utm_campaign=1049&amp;utm_source=sheet", "Apply")</f>
        <v>Apply</v>
      </c>
      <c r="C541" s="10" t="s">
        <v>19000</v>
      </c>
      <c r="D541" s="56" t="s">
        <v>14998</v>
      </c>
      <c r="E541" s="10" t="s">
        <v>79</v>
      </c>
      <c r="F541" s="10" t="s">
        <v>14999</v>
      </c>
      <c r="G541" s="10" t="s">
        <v>18636</v>
      </c>
      <c r="H541" s="10" t="s">
        <v>605</v>
      </c>
      <c r="I541" s="10" t="s">
        <v>55</v>
      </c>
      <c r="K541" s="10" t="s">
        <v>19248</v>
      </c>
      <c r="L541" s="10" t="s">
        <v>42</v>
      </c>
    </row>
    <row r="542" ht="15.75" customHeight="1">
      <c r="A542" s="67">
        <v>45476.0</v>
      </c>
      <c r="B542" s="55" t="str">
        <f>HYPERLINK("https://jobright.ai/jobs/info/663d123c2ef5d52ccaeb1d2c?utm_campaign=1049&amp;utm_source=sheet", "Apply")</f>
        <v>Apply</v>
      </c>
      <c r="C542" s="10" t="s">
        <v>18926</v>
      </c>
      <c r="D542" s="56" t="s">
        <v>1684</v>
      </c>
      <c r="E542" s="10" t="s">
        <v>209</v>
      </c>
      <c r="F542" s="10" t="s">
        <v>1685</v>
      </c>
      <c r="G542" s="10" t="s">
        <v>18779</v>
      </c>
      <c r="H542" s="10" t="s">
        <v>6012</v>
      </c>
      <c r="I542" s="10" t="s">
        <v>252</v>
      </c>
      <c r="K542" s="10" t="s">
        <v>18928</v>
      </c>
      <c r="L542" s="10" t="s">
        <v>42</v>
      </c>
    </row>
    <row r="543" ht="15.75" customHeight="1">
      <c r="A543" s="67">
        <v>45476.0</v>
      </c>
      <c r="B543" s="55" t="str">
        <f>HYPERLINK("https://jobright.ai/jobs/info/663c2a50421018fadf77d32f?utm_campaign=1049&amp;utm_source=sheet", "Apply")</f>
        <v>Apply</v>
      </c>
      <c r="C543" s="10" t="s">
        <v>18926</v>
      </c>
      <c r="D543" s="56" t="s">
        <v>1684</v>
      </c>
      <c r="E543" s="10" t="s">
        <v>209</v>
      </c>
      <c r="F543" s="10" t="s">
        <v>1685</v>
      </c>
      <c r="G543" s="10" t="s">
        <v>18779</v>
      </c>
      <c r="H543" s="10" t="s">
        <v>19249</v>
      </c>
      <c r="I543" s="10" t="s">
        <v>252</v>
      </c>
      <c r="K543" s="10" t="s">
        <v>18928</v>
      </c>
      <c r="L543" s="10" t="s">
        <v>42</v>
      </c>
    </row>
    <row r="544" ht="15.75" customHeight="1">
      <c r="A544" s="67">
        <v>45476.0</v>
      </c>
      <c r="B544" s="55" t="str">
        <f>HYPERLINK("https://jobright.ai/jobs/info/663d28c77cbef03b34b55f39?utm_campaign=1049&amp;utm_source=sheet", "Apply")</f>
        <v>Apply</v>
      </c>
      <c r="C544" s="10" t="s">
        <v>18926</v>
      </c>
      <c r="D544" s="56" t="s">
        <v>1684</v>
      </c>
      <c r="E544" s="10" t="s">
        <v>209</v>
      </c>
      <c r="F544" s="10" t="s">
        <v>1685</v>
      </c>
      <c r="G544" s="10" t="s">
        <v>18779</v>
      </c>
      <c r="H544" s="10" t="s">
        <v>19250</v>
      </c>
      <c r="I544" s="10" t="s">
        <v>252</v>
      </c>
      <c r="K544" s="10" t="s">
        <v>18928</v>
      </c>
      <c r="L544" s="10" t="s">
        <v>42</v>
      </c>
    </row>
    <row r="545" ht="15.75" customHeight="1">
      <c r="A545" s="67">
        <v>45476.0</v>
      </c>
      <c r="B545" s="55" t="str">
        <f>HYPERLINK("https://jobright.ai/jobs/info/663c75ed93af57e9a9d7fdef?utm_campaign=1049&amp;utm_source=sheet", "Apply")</f>
        <v>Apply</v>
      </c>
      <c r="C545" s="10" t="s">
        <v>18926</v>
      </c>
      <c r="D545" s="56" t="s">
        <v>1684</v>
      </c>
      <c r="E545" s="10" t="s">
        <v>209</v>
      </c>
      <c r="F545" s="10" t="s">
        <v>1685</v>
      </c>
      <c r="G545" s="10" t="s">
        <v>18779</v>
      </c>
      <c r="H545" s="10" t="s">
        <v>19251</v>
      </c>
      <c r="I545" s="10" t="s">
        <v>252</v>
      </c>
      <c r="K545" s="10" t="s">
        <v>18928</v>
      </c>
      <c r="L545" s="10" t="s">
        <v>42</v>
      </c>
    </row>
    <row r="546" ht="15.75" customHeight="1">
      <c r="A546" s="67">
        <v>45476.0</v>
      </c>
      <c r="B546" s="55" t="str">
        <f>HYPERLINK("https://jobright.ai/jobs/info/663d24f4bf656cd4c269b174?utm_campaign=1049&amp;utm_source=sheet", "Apply")</f>
        <v>Apply</v>
      </c>
      <c r="C546" s="10" t="s">
        <v>18926</v>
      </c>
      <c r="D546" s="56" t="s">
        <v>1684</v>
      </c>
      <c r="E546" s="10" t="s">
        <v>209</v>
      </c>
      <c r="F546" s="10" t="s">
        <v>1685</v>
      </c>
      <c r="G546" s="10" t="s">
        <v>18779</v>
      </c>
      <c r="H546" s="10" t="s">
        <v>10005</v>
      </c>
      <c r="I546" s="10" t="s">
        <v>252</v>
      </c>
      <c r="K546" s="10" t="s">
        <v>18928</v>
      </c>
      <c r="L546" s="10" t="s">
        <v>42</v>
      </c>
    </row>
    <row r="547" ht="15.75" customHeight="1">
      <c r="A547" s="67">
        <v>45476.0</v>
      </c>
      <c r="B547" s="55" t="str">
        <f>HYPERLINK("https://jobright.ai/jobs/info/663c9be4650e13a5790f074b?utm_campaign=1049&amp;utm_source=sheet", "Apply")</f>
        <v>Apply</v>
      </c>
      <c r="C547" s="10" t="s">
        <v>18926</v>
      </c>
      <c r="D547" s="56" t="s">
        <v>1684</v>
      </c>
      <c r="E547" s="10" t="s">
        <v>209</v>
      </c>
      <c r="F547" s="10" t="s">
        <v>1685</v>
      </c>
      <c r="G547" s="10" t="s">
        <v>18779</v>
      </c>
      <c r="H547" s="10" t="s">
        <v>4501</v>
      </c>
      <c r="I547" s="10" t="s">
        <v>252</v>
      </c>
      <c r="K547" s="10" t="s">
        <v>18928</v>
      </c>
      <c r="L547" s="10" t="s">
        <v>42</v>
      </c>
    </row>
    <row r="548" ht="15.75" customHeight="1">
      <c r="A548" s="67">
        <v>45476.0</v>
      </c>
      <c r="B548" s="55" t="str">
        <f>HYPERLINK("https://jobright.ai/jobs/info/663cf8c9c66a2f8935f1c51c?utm_campaign=1049&amp;utm_source=sheet", "Apply")</f>
        <v>Apply</v>
      </c>
      <c r="C548" s="10" t="s">
        <v>18926</v>
      </c>
      <c r="D548" s="56" t="s">
        <v>1684</v>
      </c>
      <c r="E548" s="10" t="s">
        <v>209</v>
      </c>
      <c r="F548" s="10" t="s">
        <v>1685</v>
      </c>
      <c r="G548" s="10" t="s">
        <v>18779</v>
      </c>
      <c r="H548" s="10" t="s">
        <v>909</v>
      </c>
      <c r="I548" s="10" t="s">
        <v>252</v>
      </c>
      <c r="K548" s="10" t="s">
        <v>18928</v>
      </c>
      <c r="L548" s="10" t="s">
        <v>42</v>
      </c>
    </row>
    <row r="549" ht="15.75" customHeight="1">
      <c r="A549" s="67">
        <v>45476.0</v>
      </c>
      <c r="B549" s="55" t="str">
        <f>HYPERLINK("https://jobright.ai/jobs/info/663d123c2ef5d52ccaeb1d38?utm_campaign=1049&amp;utm_source=sheet", "Apply")</f>
        <v>Apply</v>
      </c>
      <c r="C549" s="10" t="s">
        <v>18926</v>
      </c>
      <c r="D549" s="56" t="s">
        <v>1684</v>
      </c>
      <c r="E549" s="10" t="s">
        <v>209</v>
      </c>
      <c r="F549" s="10" t="s">
        <v>1685</v>
      </c>
      <c r="G549" s="10" t="s">
        <v>18779</v>
      </c>
      <c r="H549" s="10" t="s">
        <v>19252</v>
      </c>
      <c r="I549" s="10" t="s">
        <v>252</v>
      </c>
      <c r="K549" s="10" t="s">
        <v>18928</v>
      </c>
      <c r="L549" s="10" t="s">
        <v>42</v>
      </c>
    </row>
    <row r="550" ht="15.75" customHeight="1">
      <c r="A550" s="67">
        <v>45476.0</v>
      </c>
      <c r="B550" s="55" t="str">
        <f>HYPERLINK("https://jobright.ai/jobs/info/663c2a50421018fadf77d31b?utm_campaign=1049&amp;utm_source=sheet", "Apply")</f>
        <v>Apply</v>
      </c>
      <c r="C550" s="10" t="s">
        <v>18926</v>
      </c>
      <c r="D550" s="56" t="s">
        <v>1684</v>
      </c>
      <c r="E550" s="10" t="s">
        <v>209</v>
      </c>
      <c r="F550" s="10" t="s">
        <v>1685</v>
      </c>
      <c r="G550" s="10" t="s">
        <v>18779</v>
      </c>
      <c r="H550" s="10" t="s">
        <v>181</v>
      </c>
      <c r="I550" s="10" t="s">
        <v>252</v>
      </c>
      <c r="K550" s="10" t="s">
        <v>18928</v>
      </c>
      <c r="L550" s="10" t="s">
        <v>42</v>
      </c>
    </row>
    <row r="551" ht="15.75" customHeight="1">
      <c r="A551" s="67">
        <v>45476.0</v>
      </c>
      <c r="B551" s="55" t="str">
        <f>HYPERLINK("https://jobright.ai/jobs/info/663c75ed93af57e9a9d7fdf1?utm_campaign=1049&amp;utm_source=sheet", "Apply")</f>
        <v>Apply</v>
      </c>
      <c r="C551" s="10" t="s">
        <v>18926</v>
      </c>
      <c r="D551" s="56" t="s">
        <v>1684</v>
      </c>
      <c r="E551" s="10" t="s">
        <v>209</v>
      </c>
      <c r="F551" s="10" t="s">
        <v>1685</v>
      </c>
      <c r="G551" s="10" t="s">
        <v>18779</v>
      </c>
      <c r="H551" s="10" t="s">
        <v>2065</v>
      </c>
      <c r="I551" s="10" t="s">
        <v>252</v>
      </c>
      <c r="K551" s="10" t="s">
        <v>18928</v>
      </c>
      <c r="L551" s="10" t="s">
        <v>42</v>
      </c>
    </row>
    <row r="552" ht="15.75" customHeight="1">
      <c r="A552" s="67">
        <v>45476.0</v>
      </c>
      <c r="B552" s="55" t="str">
        <f>HYPERLINK("https://jobright.ai/jobs/info/663d3178b3cad10872b383da?utm_campaign=1049&amp;utm_source=sheet", "Apply")</f>
        <v>Apply</v>
      </c>
      <c r="C552" s="10" t="s">
        <v>18926</v>
      </c>
      <c r="D552" s="56" t="s">
        <v>1684</v>
      </c>
      <c r="E552" s="10" t="s">
        <v>209</v>
      </c>
      <c r="F552" s="10" t="s">
        <v>1685</v>
      </c>
      <c r="G552" s="10" t="s">
        <v>18779</v>
      </c>
      <c r="H552" s="10" t="s">
        <v>19253</v>
      </c>
      <c r="I552" s="10" t="s">
        <v>252</v>
      </c>
      <c r="K552" s="10" t="s">
        <v>18928</v>
      </c>
      <c r="L552" s="10" t="s">
        <v>42</v>
      </c>
    </row>
    <row r="553" ht="15.75" customHeight="1">
      <c r="A553" s="67">
        <v>45476.0</v>
      </c>
      <c r="B553" s="55" t="str">
        <f>HYPERLINK("https://jobright.ai/jobs/info/663d123c2ef5d52ccaeb1d4b?utm_campaign=1049&amp;utm_source=sheet", "Apply")</f>
        <v>Apply</v>
      </c>
      <c r="C553" s="10" t="s">
        <v>18926</v>
      </c>
      <c r="D553" s="56" t="s">
        <v>1684</v>
      </c>
      <c r="E553" s="10" t="s">
        <v>209</v>
      </c>
      <c r="F553" s="10" t="s">
        <v>1685</v>
      </c>
      <c r="G553" s="10" t="s">
        <v>18779</v>
      </c>
      <c r="H553" s="10" t="s">
        <v>1263</v>
      </c>
      <c r="I553" s="10" t="s">
        <v>252</v>
      </c>
      <c r="K553" s="10" t="s">
        <v>18928</v>
      </c>
      <c r="L553" s="10" t="s">
        <v>42</v>
      </c>
    </row>
    <row r="554" ht="15.75" customHeight="1">
      <c r="A554" s="67">
        <v>45476.0</v>
      </c>
      <c r="B554" s="55" t="str">
        <f>HYPERLINK("https://jobright.ai/jobs/info/663c1d808b52a5d167a3013b?utm_campaign=1049&amp;utm_source=sheet", "Apply")</f>
        <v>Apply</v>
      </c>
      <c r="C554" s="10" t="s">
        <v>18926</v>
      </c>
      <c r="D554" s="56" t="s">
        <v>1684</v>
      </c>
      <c r="E554" s="10" t="s">
        <v>209</v>
      </c>
      <c r="F554" s="10" t="s">
        <v>1685</v>
      </c>
      <c r="G554" s="10" t="s">
        <v>18779</v>
      </c>
      <c r="H554" s="10" t="s">
        <v>19254</v>
      </c>
      <c r="I554" s="10" t="s">
        <v>252</v>
      </c>
      <c r="K554" s="10" t="s">
        <v>18928</v>
      </c>
      <c r="L554" s="10" t="s">
        <v>42</v>
      </c>
    </row>
    <row r="555" ht="15.75" customHeight="1">
      <c r="A555" s="67">
        <v>45476.0</v>
      </c>
      <c r="B555" s="55" t="str">
        <f>HYPERLINK("https://jobright.ai/jobs/info/663d0abbedd60a36daf147db?utm_campaign=1049&amp;utm_source=sheet", "Apply")</f>
        <v>Apply</v>
      </c>
      <c r="C555" s="10" t="s">
        <v>18926</v>
      </c>
      <c r="D555" s="56" t="s">
        <v>1684</v>
      </c>
      <c r="E555" s="10" t="s">
        <v>209</v>
      </c>
      <c r="F555" s="10" t="s">
        <v>1685</v>
      </c>
      <c r="G555" s="10" t="s">
        <v>18779</v>
      </c>
      <c r="H555" s="10" t="s">
        <v>859</v>
      </c>
      <c r="I555" s="10" t="s">
        <v>252</v>
      </c>
      <c r="K555" s="10" t="s">
        <v>18928</v>
      </c>
      <c r="L555" s="10" t="s">
        <v>42</v>
      </c>
    </row>
    <row r="556" ht="15.75" customHeight="1">
      <c r="A556" s="67">
        <v>45476.0</v>
      </c>
      <c r="B556" s="55" t="str">
        <f>HYPERLINK("https://jobright.ai/jobs/info/663d24f4bf656cd4c269b172?utm_campaign=1049&amp;utm_source=sheet", "Apply")</f>
        <v>Apply</v>
      </c>
      <c r="C556" s="10" t="s">
        <v>18926</v>
      </c>
      <c r="D556" s="56" t="s">
        <v>1684</v>
      </c>
      <c r="E556" s="10" t="s">
        <v>209</v>
      </c>
      <c r="F556" s="10" t="s">
        <v>1685</v>
      </c>
      <c r="G556" s="10" t="s">
        <v>18779</v>
      </c>
      <c r="H556" s="10" t="s">
        <v>11436</v>
      </c>
      <c r="I556" s="10" t="s">
        <v>252</v>
      </c>
      <c r="K556" s="10" t="s">
        <v>18928</v>
      </c>
      <c r="L556" s="10" t="s">
        <v>42</v>
      </c>
    </row>
    <row r="557" ht="15.75" customHeight="1">
      <c r="A557" s="67">
        <v>45476.0</v>
      </c>
      <c r="B557" s="55" t="str">
        <f>HYPERLINK("https://jobright.ai/jobs/info/663d24e9bf656cd4c269b0fa?utm_campaign=1049&amp;utm_source=sheet", "Apply")</f>
        <v>Apply</v>
      </c>
      <c r="C557" s="10" t="s">
        <v>18926</v>
      </c>
      <c r="D557" s="56" t="s">
        <v>1684</v>
      </c>
      <c r="E557" s="10" t="s">
        <v>209</v>
      </c>
      <c r="F557" s="10" t="s">
        <v>1685</v>
      </c>
      <c r="G557" s="10" t="s">
        <v>18779</v>
      </c>
      <c r="H557" s="10" t="s">
        <v>971</v>
      </c>
      <c r="I557" s="10" t="s">
        <v>252</v>
      </c>
      <c r="K557" s="10" t="s">
        <v>18928</v>
      </c>
      <c r="L557" s="10" t="s">
        <v>42</v>
      </c>
    </row>
    <row r="558" ht="15.75" customHeight="1">
      <c r="A558" s="67">
        <v>45476.0</v>
      </c>
      <c r="B558" s="55" t="str">
        <f>HYPERLINK("https://jobright.ai/jobs/info/663d0abbedd60a36daf147aa?utm_campaign=1049&amp;utm_source=sheet", "Apply")</f>
        <v>Apply</v>
      </c>
      <c r="C558" s="10" t="s">
        <v>18926</v>
      </c>
      <c r="D558" s="56" t="s">
        <v>1684</v>
      </c>
      <c r="E558" s="10" t="s">
        <v>209</v>
      </c>
      <c r="F558" s="10" t="s">
        <v>1685</v>
      </c>
      <c r="G558" s="10" t="s">
        <v>18779</v>
      </c>
      <c r="H558" s="10" t="s">
        <v>1945</v>
      </c>
      <c r="I558" s="10" t="s">
        <v>252</v>
      </c>
      <c r="K558" s="10" t="s">
        <v>18928</v>
      </c>
      <c r="L558" s="10" t="s">
        <v>42</v>
      </c>
    </row>
    <row r="559" ht="15.75" customHeight="1">
      <c r="A559" s="67">
        <v>45476.0</v>
      </c>
      <c r="B559" s="55" t="str">
        <f>HYPERLINK("https://jobright.ai/jobs/info/663c2ca21fd874d756c1eda2?utm_campaign=1049&amp;utm_source=sheet", "Apply")</f>
        <v>Apply</v>
      </c>
      <c r="C559" s="10" t="s">
        <v>18926</v>
      </c>
      <c r="D559" s="56" t="s">
        <v>1684</v>
      </c>
      <c r="E559" s="10" t="s">
        <v>209</v>
      </c>
      <c r="F559" s="10" t="s">
        <v>1685</v>
      </c>
      <c r="G559" s="10" t="s">
        <v>18779</v>
      </c>
      <c r="H559" s="10" t="s">
        <v>19100</v>
      </c>
      <c r="I559" s="10" t="s">
        <v>252</v>
      </c>
      <c r="K559" s="10" t="s">
        <v>18928</v>
      </c>
      <c r="L559" s="10" t="s">
        <v>42</v>
      </c>
    </row>
    <row r="560" ht="15.75" customHeight="1">
      <c r="A560" s="67">
        <v>45476.0</v>
      </c>
      <c r="B560" s="55" t="str">
        <f>HYPERLINK("https://jobright.ai/jobs/info/663d0abbedd60a36daf147a6?utm_campaign=1049&amp;utm_source=sheet", "Apply")</f>
        <v>Apply</v>
      </c>
      <c r="C560" s="10" t="s">
        <v>18926</v>
      </c>
      <c r="D560" s="56" t="s">
        <v>1684</v>
      </c>
      <c r="E560" s="10" t="s">
        <v>209</v>
      </c>
      <c r="F560" s="10" t="s">
        <v>1685</v>
      </c>
      <c r="G560" s="10" t="s">
        <v>18779</v>
      </c>
      <c r="H560" s="10" t="s">
        <v>19255</v>
      </c>
      <c r="I560" s="10" t="s">
        <v>252</v>
      </c>
      <c r="K560" s="10" t="s">
        <v>18928</v>
      </c>
      <c r="L560" s="10" t="s">
        <v>42</v>
      </c>
    </row>
    <row r="561" ht="15.75" customHeight="1">
      <c r="A561" s="67">
        <v>45476.0</v>
      </c>
      <c r="B561" s="55" t="str">
        <f>HYPERLINK("https://jobright.ai/jobs/info/663c2118f19ee77cce93a19a?utm_campaign=1049&amp;utm_source=sheet", "Apply")</f>
        <v>Apply</v>
      </c>
      <c r="C561" s="10" t="s">
        <v>18926</v>
      </c>
      <c r="D561" s="56" t="s">
        <v>1684</v>
      </c>
      <c r="E561" s="10" t="s">
        <v>209</v>
      </c>
      <c r="F561" s="10" t="s">
        <v>1685</v>
      </c>
      <c r="G561" s="10" t="s">
        <v>18779</v>
      </c>
      <c r="H561" s="10" t="s">
        <v>19256</v>
      </c>
      <c r="I561" s="10" t="s">
        <v>252</v>
      </c>
      <c r="K561" s="10" t="s">
        <v>18928</v>
      </c>
      <c r="L561" s="10" t="s">
        <v>42</v>
      </c>
    </row>
    <row r="562" ht="15.75" customHeight="1">
      <c r="A562" s="67">
        <v>45476.0</v>
      </c>
      <c r="B562" s="55" t="str">
        <f>HYPERLINK("https://jobright.ai/jobs/info/663cf8c9c66a2f8935f1c514?utm_campaign=1049&amp;utm_source=sheet", "Apply")</f>
        <v>Apply</v>
      </c>
      <c r="C562" s="10" t="s">
        <v>18926</v>
      </c>
      <c r="D562" s="56" t="s">
        <v>1684</v>
      </c>
      <c r="E562" s="10" t="s">
        <v>209</v>
      </c>
      <c r="F562" s="10" t="s">
        <v>1685</v>
      </c>
      <c r="G562" s="10" t="s">
        <v>18779</v>
      </c>
      <c r="H562" s="10" t="s">
        <v>3423</v>
      </c>
      <c r="I562" s="10" t="s">
        <v>252</v>
      </c>
      <c r="K562" s="10" t="s">
        <v>18928</v>
      </c>
      <c r="L562" s="10" t="s">
        <v>42</v>
      </c>
    </row>
    <row r="563" ht="15.75" customHeight="1">
      <c r="A563" s="67">
        <v>45476.0</v>
      </c>
      <c r="B563" s="55" t="str">
        <f>HYPERLINK("https://jobright.ai/jobs/info/663c2a45421018fadf77d2e2?utm_campaign=1049&amp;utm_source=sheet", "Apply")</f>
        <v>Apply</v>
      </c>
      <c r="C563" s="10" t="s">
        <v>18926</v>
      </c>
      <c r="D563" s="56" t="s">
        <v>1684</v>
      </c>
      <c r="E563" s="10" t="s">
        <v>209</v>
      </c>
      <c r="F563" s="10" t="s">
        <v>1685</v>
      </c>
      <c r="G563" s="10" t="s">
        <v>18779</v>
      </c>
      <c r="H563" s="10" t="s">
        <v>80</v>
      </c>
      <c r="I563" s="10" t="s">
        <v>252</v>
      </c>
      <c r="K563" s="10" t="s">
        <v>18928</v>
      </c>
      <c r="L563" s="10" t="s">
        <v>42</v>
      </c>
    </row>
    <row r="564" ht="15.75" customHeight="1">
      <c r="A564" s="67">
        <v>45476.0</v>
      </c>
      <c r="B564" s="55" t="str">
        <f>HYPERLINK("https://jobright.ai/jobs/info/663d123c2ef5d52ccaeb1d5a?utm_campaign=1049&amp;utm_source=sheet", "Apply")</f>
        <v>Apply</v>
      </c>
      <c r="C564" s="10" t="s">
        <v>18926</v>
      </c>
      <c r="D564" s="56" t="s">
        <v>1684</v>
      </c>
      <c r="E564" s="10" t="s">
        <v>209</v>
      </c>
      <c r="F564" s="10" t="s">
        <v>1685</v>
      </c>
      <c r="G564" s="10" t="s">
        <v>18779</v>
      </c>
      <c r="H564" s="10" t="s">
        <v>12378</v>
      </c>
      <c r="I564" s="10" t="s">
        <v>252</v>
      </c>
      <c r="K564" s="10" t="s">
        <v>18928</v>
      </c>
      <c r="L564" s="10" t="s">
        <v>42</v>
      </c>
    </row>
    <row r="565" ht="15.75" customHeight="1">
      <c r="A565" s="67">
        <v>45476.0</v>
      </c>
      <c r="B565" s="55" t="str">
        <f>HYPERLINK("https://jobright.ai/jobs/info/663d12662ef5d52ccaeb209d?utm_campaign=1049&amp;utm_source=sheet", "Apply")</f>
        <v>Apply</v>
      </c>
      <c r="C565" s="10" t="s">
        <v>18926</v>
      </c>
      <c r="D565" s="56" t="s">
        <v>1684</v>
      </c>
      <c r="E565" s="10" t="s">
        <v>209</v>
      </c>
      <c r="F565" s="10" t="s">
        <v>1685</v>
      </c>
      <c r="G565" s="10" t="s">
        <v>18779</v>
      </c>
      <c r="H565" s="10" t="s">
        <v>13279</v>
      </c>
      <c r="I565" s="10" t="s">
        <v>252</v>
      </c>
      <c r="K565" s="10" t="s">
        <v>18928</v>
      </c>
      <c r="L565" s="10" t="s">
        <v>42</v>
      </c>
    </row>
    <row r="566" ht="15.75" customHeight="1">
      <c r="A566" s="67">
        <v>45476.0</v>
      </c>
      <c r="B566" s="55" t="str">
        <f>HYPERLINK("https://jobright.ai/jobs/info/663d3181b3cad10872b383f5?utm_campaign=1049&amp;utm_source=sheet", "Apply")</f>
        <v>Apply</v>
      </c>
      <c r="C566" s="10" t="s">
        <v>18926</v>
      </c>
      <c r="D566" s="56" t="s">
        <v>1684</v>
      </c>
      <c r="E566" s="10" t="s">
        <v>209</v>
      </c>
      <c r="F566" s="10" t="s">
        <v>1685</v>
      </c>
      <c r="G566" s="10" t="s">
        <v>18779</v>
      </c>
      <c r="H566" s="10" t="s">
        <v>19257</v>
      </c>
      <c r="I566" s="10" t="s">
        <v>252</v>
      </c>
      <c r="K566" s="10" t="s">
        <v>18928</v>
      </c>
      <c r="L566" s="10" t="s">
        <v>42</v>
      </c>
    </row>
    <row r="567" ht="15.75" customHeight="1">
      <c r="A567" s="67">
        <v>45476.0</v>
      </c>
      <c r="B567" s="55" t="str">
        <f>HYPERLINK("https://jobright.ai/jobs/info/663d0abbedd60a36daf147e2?utm_campaign=1049&amp;utm_source=sheet", "Apply")</f>
        <v>Apply</v>
      </c>
      <c r="C567" s="10" t="s">
        <v>18926</v>
      </c>
      <c r="D567" s="56" t="s">
        <v>1684</v>
      </c>
      <c r="E567" s="10" t="s">
        <v>209</v>
      </c>
      <c r="F567" s="10" t="s">
        <v>1685</v>
      </c>
      <c r="G567" s="10" t="s">
        <v>18779</v>
      </c>
      <c r="H567" s="10" t="s">
        <v>19258</v>
      </c>
      <c r="I567" s="10" t="s">
        <v>252</v>
      </c>
      <c r="K567" s="10" t="s">
        <v>18928</v>
      </c>
      <c r="L567" s="10" t="s">
        <v>42</v>
      </c>
    </row>
    <row r="568" ht="15.75" customHeight="1">
      <c r="A568" s="67">
        <v>45476.0</v>
      </c>
      <c r="B568" s="55" t="str">
        <f>HYPERLINK("https://jobright.ai/jobs/info/663c2ca21fd874d756c1eda4?utm_campaign=1049&amp;utm_source=sheet", "Apply")</f>
        <v>Apply</v>
      </c>
      <c r="C568" s="10" t="s">
        <v>18926</v>
      </c>
      <c r="D568" s="56" t="s">
        <v>1684</v>
      </c>
      <c r="E568" s="10" t="s">
        <v>209</v>
      </c>
      <c r="F568" s="10" t="s">
        <v>1685</v>
      </c>
      <c r="G568" s="10" t="s">
        <v>18779</v>
      </c>
      <c r="H568" s="10" t="s">
        <v>14188</v>
      </c>
      <c r="I568" s="10" t="s">
        <v>252</v>
      </c>
      <c r="K568" s="10" t="s">
        <v>18928</v>
      </c>
      <c r="L568" s="10" t="s">
        <v>42</v>
      </c>
    </row>
    <row r="569" ht="15.75" customHeight="1">
      <c r="A569" s="67">
        <v>45476.0</v>
      </c>
      <c r="B569" s="55" t="str">
        <f>HYPERLINK("https://jobright.ai/jobs/info/663d123c2ef5d52ccaeb1d31?utm_campaign=1049&amp;utm_source=sheet", "Apply")</f>
        <v>Apply</v>
      </c>
      <c r="C569" s="10" t="s">
        <v>18926</v>
      </c>
      <c r="D569" s="56" t="s">
        <v>1684</v>
      </c>
      <c r="E569" s="10" t="s">
        <v>209</v>
      </c>
      <c r="F569" s="10" t="s">
        <v>1685</v>
      </c>
      <c r="G569" s="10" t="s">
        <v>18779</v>
      </c>
      <c r="H569" s="10" t="s">
        <v>918</v>
      </c>
      <c r="I569" s="10" t="s">
        <v>252</v>
      </c>
      <c r="K569" s="10" t="s">
        <v>18928</v>
      </c>
      <c r="L569" s="10" t="s">
        <v>42</v>
      </c>
    </row>
    <row r="570" ht="15.75" customHeight="1">
      <c r="A570" s="67">
        <v>45476.0</v>
      </c>
      <c r="B570" s="55" t="str">
        <f>HYPERLINK("https://jobright.ai/jobs/info/663ce527f7061ac26d369acb?utm_campaign=1049&amp;utm_source=sheet", "Apply")</f>
        <v>Apply</v>
      </c>
      <c r="C570" s="10" t="s">
        <v>18926</v>
      </c>
      <c r="D570" s="56" t="s">
        <v>1684</v>
      </c>
      <c r="E570" s="10" t="s">
        <v>209</v>
      </c>
      <c r="F570" s="10" t="s">
        <v>1685</v>
      </c>
      <c r="G570" s="10" t="s">
        <v>18779</v>
      </c>
      <c r="H570" s="10" t="s">
        <v>3232</v>
      </c>
      <c r="I570" s="10" t="s">
        <v>252</v>
      </c>
      <c r="K570" s="10" t="s">
        <v>18928</v>
      </c>
      <c r="L570" s="10" t="s">
        <v>42</v>
      </c>
    </row>
    <row r="571" ht="15.75" customHeight="1">
      <c r="A571" s="67">
        <v>45476.0</v>
      </c>
      <c r="B571" s="55" t="str">
        <f>HYPERLINK("https://jobright.ai/jobs/info/663d28bb7cbef03b34b55edb?utm_campaign=1049&amp;utm_source=sheet", "Apply")</f>
        <v>Apply</v>
      </c>
      <c r="C571" s="10" t="s">
        <v>18926</v>
      </c>
      <c r="D571" s="56" t="s">
        <v>1684</v>
      </c>
      <c r="E571" s="10" t="s">
        <v>209</v>
      </c>
      <c r="F571" s="10" t="s">
        <v>1685</v>
      </c>
      <c r="G571" s="10" t="s">
        <v>18779</v>
      </c>
      <c r="H571" s="10" t="s">
        <v>688</v>
      </c>
      <c r="I571" s="10" t="s">
        <v>252</v>
      </c>
      <c r="K571" s="10" t="s">
        <v>18928</v>
      </c>
      <c r="L571" s="10" t="s">
        <v>42</v>
      </c>
    </row>
    <row r="572" ht="15.75" customHeight="1">
      <c r="A572" s="67">
        <v>45476.0</v>
      </c>
      <c r="B572" s="55" t="str">
        <f>HYPERLINK("https://jobright.ai/jobs/info/663d17f5d565c2bdf43b9ca2?utm_campaign=1049&amp;utm_source=sheet", "Apply")</f>
        <v>Apply</v>
      </c>
      <c r="C572" s="10" t="s">
        <v>18926</v>
      </c>
      <c r="D572" s="56" t="s">
        <v>1684</v>
      </c>
      <c r="E572" s="10" t="s">
        <v>209</v>
      </c>
      <c r="F572" s="10" t="s">
        <v>1685</v>
      </c>
      <c r="G572" s="10" t="s">
        <v>18779</v>
      </c>
      <c r="H572" s="10" t="s">
        <v>826</v>
      </c>
      <c r="I572" s="10" t="s">
        <v>252</v>
      </c>
      <c r="K572" s="10" t="s">
        <v>18928</v>
      </c>
      <c r="L572" s="10" t="s">
        <v>42</v>
      </c>
    </row>
    <row r="573" ht="15.75" customHeight="1">
      <c r="A573" s="67">
        <v>45476.0</v>
      </c>
      <c r="B573" s="55" t="str">
        <f>HYPERLINK("https://jobright.ai/jobs/info/663d28c77cbef03b34b55eff?utm_campaign=1049&amp;utm_source=sheet", "Apply")</f>
        <v>Apply</v>
      </c>
      <c r="C573" s="10" t="s">
        <v>18926</v>
      </c>
      <c r="D573" s="56" t="s">
        <v>1684</v>
      </c>
      <c r="E573" s="10" t="s">
        <v>209</v>
      </c>
      <c r="F573" s="10" t="s">
        <v>1685</v>
      </c>
      <c r="G573" s="10" t="s">
        <v>18779</v>
      </c>
      <c r="H573" s="10" t="s">
        <v>19259</v>
      </c>
      <c r="I573" s="10" t="s">
        <v>252</v>
      </c>
      <c r="K573" s="10" t="s">
        <v>18928</v>
      </c>
      <c r="L573" s="10" t="s">
        <v>42</v>
      </c>
    </row>
    <row r="574" ht="15.75" customHeight="1">
      <c r="A574" s="67">
        <v>45476.0</v>
      </c>
      <c r="B574" s="55" t="str">
        <f>HYPERLINK("https://jobright.ai/jobs/info/663d0abbedd60a36daf147d8?utm_campaign=1049&amp;utm_source=sheet", "Apply")</f>
        <v>Apply</v>
      </c>
      <c r="C574" s="10" t="s">
        <v>18926</v>
      </c>
      <c r="D574" s="56" t="s">
        <v>1684</v>
      </c>
      <c r="E574" s="10" t="s">
        <v>209</v>
      </c>
      <c r="F574" s="10" t="s">
        <v>1685</v>
      </c>
      <c r="G574" s="10" t="s">
        <v>18779</v>
      </c>
      <c r="H574" s="10" t="s">
        <v>5413</v>
      </c>
      <c r="I574" s="10" t="s">
        <v>252</v>
      </c>
      <c r="K574" s="10" t="s">
        <v>18928</v>
      </c>
      <c r="L574" s="10" t="s">
        <v>42</v>
      </c>
    </row>
    <row r="575" ht="15.75" customHeight="1">
      <c r="A575" s="67">
        <v>45476.0</v>
      </c>
      <c r="B575" s="55" t="str">
        <f>HYPERLINK("https://jobright.ai/jobs/info/663d5a1dd93709324deaeab2?utm_campaign=1049&amp;utm_source=sheet", "Apply")</f>
        <v>Apply</v>
      </c>
      <c r="C575" s="10" t="s">
        <v>18926</v>
      </c>
      <c r="D575" s="56" t="s">
        <v>1684</v>
      </c>
      <c r="E575" s="10" t="s">
        <v>209</v>
      </c>
      <c r="F575" s="10" t="s">
        <v>1685</v>
      </c>
      <c r="G575" s="10" t="s">
        <v>18779</v>
      </c>
      <c r="H575" s="10" t="s">
        <v>7555</v>
      </c>
      <c r="I575" s="10" t="s">
        <v>252</v>
      </c>
      <c r="K575" s="10" t="s">
        <v>18928</v>
      </c>
      <c r="L575" s="10" t="s">
        <v>42</v>
      </c>
    </row>
    <row r="576" ht="15.75" customHeight="1">
      <c r="A576" s="67">
        <v>45476.0</v>
      </c>
      <c r="B576" s="55" t="str">
        <f>HYPERLINK("https://jobright.ai/jobs/info/663d0565cda8118993211818?utm_campaign=1049&amp;utm_source=sheet", "Apply")</f>
        <v>Apply</v>
      </c>
      <c r="C576" s="10" t="s">
        <v>18926</v>
      </c>
      <c r="D576" s="56" t="s">
        <v>1684</v>
      </c>
      <c r="E576" s="10" t="s">
        <v>209</v>
      </c>
      <c r="F576" s="10" t="s">
        <v>1685</v>
      </c>
      <c r="G576" s="10" t="s">
        <v>18779</v>
      </c>
      <c r="H576" s="10" t="s">
        <v>16960</v>
      </c>
      <c r="I576" s="10" t="s">
        <v>252</v>
      </c>
      <c r="K576" s="10" t="s">
        <v>18928</v>
      </c>
      <c r="L576" s="10" t="s">
        <v>42</v>
      </c>
    </row>
    <row r="577" ht="15.75" customHeight="1">
      <c r="A577" s="67">
        <v>45476.0</v>
      </c>
      <c r="B577" s="55" t="str">
        <f>HYPERLINK("https://jobright.ai/jobs/info/663d0adeedd60a36daf14a79?utm_campaign=1049&amp;utm_source=sheet", "Apply")</f>
        <v>Apply</v>
      </c>
      <c r="C577" s="10" t="s">
        <v>18926</v>
      </c>
      <c r="D577" s="56" t="s">
        <v>1684</v>
      </c>
      <c r="E577" s="10" t="s">
        <v>209</v>
      </c>
      <c r="F577" s="10" t="s">
        <v>1685</v>
      </c>
      <c r="G577" s="10" t="s">
        <v>18779</v>
      </c>
      <c r="H577" s="10" t="s">
        <v>1613</v>
      </c>
      <c r="I577" s="10" t="s">
        <v>252</v>
      </c>
      <c r="K577" s="10" t="s">
        <v>18928</v>
      </c>
      <c r="L577" s="10" t="s">
        <v>42</v>
      </c>
    </row>
    <row r="578" ht="15.75" customHeight="1">
      <c r="A578" s="67">
        <v>45476.0</v>
      </c>
      <c r="B578" s="55" t="str">
        <f>HYPERLINK("https://jobright.ai/jobs/info/663d5a1dd93709324deaeac0?utm_campaign=1049&amp;utm_source=sheet", "Apply")</f>
        <v>Apply</v>
      </c>
      <c r="C578" s="10" t="s">
        <v>18926</v>
      </c>
      <c r="D578" s="56" t="s">
        <v>1684</v>
      </c>
      <c r="E578" s="10" t="s">
        <v>209</v>
      </c>
      <c r="F578" s="10" t="s">
        <v>1685</v>
      </c>
      <c r="G578" s="10" t="s">
        <v>18779</v>
      </c>
      <c r="H578" s="10" t="s">
        <v>6979</v>
      </c>
      <c r="I578" s="10" t="s">
        <v>252</v>
      </c>
      <c r="K578" s="10" t="s">
        <v>18928</v>
      </c>
      <c r="L578" s="10" t="s">
        <v>42</v>
      </c>
    </row>
    <row r="579" ht="15.75" customHeight="1">
      <c r="A579" s="67">
        <v>45476.0</v>
      </c>
      <c r="B579" s="55" t="str">
        <f>HYPERLINK("https://jobright.ai/jobs/info/663c60db78a30a1d1f4f7703?utm_campaign=1049&amp;utm_source=sheet", "Apply")</f>
        <v>Apply</v>
      </c>
      <c r="C579" s="10" t="s">
        <v>18926</v>
      </c>
      <c r="D579" s="56" t="s">
        <v>1684</v>
      </c>
      <c r="E579" s="10" t="s">
        <v>209</v>
      </c>
      <c r="F579" s="10" t="s">
        <v>1685</v>
      </c>
      <c r="G579" s="10" t="s">
        <v>18779</v>
      </c>
      <c r="H579" s="10" t="s">
        <v>19260</v>
      </c>
      <c r="I579" s="10" t="s">
        <v>252</v>
      </c>
      <c r="K579" s="10" t="s">
        <v>18928</v>
      </c>
      <c r="L579" s="10" t="s">
        <v>42</v>
      </c>
    </row>
    <row r="580" ht="15.75" customHeight="1">
      <c r="A580" s="67">
        <v>45476.0</v>
      </c>
      <c r="B580" s="55" t="str">
        <f>HYPERLINK("https://jobright.ai/jobs/info/663c2a45421018fadf77d2a7?utm_campaign=1049&amp;utm_source=sheet", "Apply")</f>
        <v>Apply</v>
      </c>
      <c r="C580" s="10" t="s">
        <v>18926</v>
      </c>
      <c r="D580" s="56" t="s">
        <v>1684</v>
      </c>
      <c r="E580" s="10" t="s">
        <v>209</v>
      </c>
      <c r="F580" s="10" t="s">
        <v>1685</v>
      </c>
      <c r="G580" s="10" t="s">
        <v>18779</v>
      </c>
      <c r="H580" s="10" t="s">
        <v>4960</v>
      </c>
      <c r="I580" s="10" t="s">
        <v>252</v>
      </c>
      <c r="K580" s="10" t="s">
        <v>18928</v>
      </c>
      <c r="L580" s="10" t="s">
        <v>42</v>
      </c>
    </row>
    <row r="581" ht="15.75" customHeight="1">
      <c r="A581" s="67">
        <v>45476.0</v>
      </c>
      <c r="B581" s="55" t="str">
        <f>HYPERLINK("https://jobright.ai/jobs/info/663c2118f19ee77cce93a1a1?utm_campaign=1049&amp;utm_source=sheet", "Apply")</f>
        <v>Apply</v>
      </c>
      <c r="C581" s="10" t="s">
        <v>18926</v>
      </c>
      <c r="D581" s="56" t="s">
        <v>1684</v>
      </c>
      <c r="E581" s="10" t="s">
        <v>209</v>
      </c>
      <c r="F581" s="10" t="s">
        <v>1685</v>
      </c>
      <c r="G581" s="10" t="s">
        <v>18779</v>
      </c>
      <c r="H581" s="10" t="s">
        <v>5529</v>
      </c>
      <c r="I581" s="10" t="s">
        <v>252</v>
      </c>
      <c r="K581" s="10" t="s">
        <v>18928</v>
      </c>
      <c r="L581" s="10" t="s">
        <v>42</v>
      </c>
    </row>
    <row r="582" ht="15.75" customHeight="1">
      <c r="A582" s="67">
        <v>45476.0</v>
      </c>
      <c r="B582" s="55" t="str">
        <f>HYPERLINK("https://jobright.ai/jobs/info/663ca2cf1baacf3d651be968?utm_campaign=1049&amp;utm_source=sheet", "Apply")</f>
        <v>Apply</v>
      </c>
      <c r="C582" s="10" t="s">
        <v>18926</v>
      </c>
      <c r="D582" s="56" t="s">
        <v>1684</v>
      </c>
      <c r="E582" s="10" t="s">
        <v>209</v>
      </c>
      <c r="F582" s="10" t="s">
        <v>1685</v>
      </c>
      <c r="G582" s="10" t="s">
        <v>18779</v>
      </c>
      <c r="H582" s="10" t="s">
        <v>3429</v>
      </c>
      <c r="I582" s="10" t="s">
        <v>252</v>
      </c>
      <c r="K582" s="10" t="s">
        <v>18928</v>
      </c>
      <c r="L582" s="10" t="s">
        <v>42</v>
      </c>
    </row>
    <row r="583" ht="15.75" customHeight="1">
      <c r="A583" s="67">
        <v>45476.0</v>
      </c>
      <c r="B583" s="55" t="str">
        <f>HYPERLINK("https://jobright.ai/jobs/info/663d0abbedd60a36daf147e3?utm_campaign=1049&amp;utm_source=sheet", "Apply")</f>
        <v>Apply</v>
      </c>
      <c r="C583" s="10" t="s">
        <v>18926</v>
      </c>
      <c r="D583" s="56" t="s">
        <v>1684</v>
      </c>
      <c r="E583" s="10" t="s">
        <v>209</v>
      </c>
      <c r="F583" s="10" t="s">
        <v>1685</v>
      </c>
      <c r="G583" s="10" t="s">
        <v>18779</v>
      </c>
      <c r="H583" s="10" t="s">
        <v>19261</v>
      </c>
      <c r="I583" s="10" t="s">
        <v>252</v>
      </c>
      <c r="K583" s="10" t="s">
        <v>18928</v>
      </c>
      <c r="L583" s="10" t="s">
        <v>42</v>
      </c>
    </row>
    <row r="584" ht="15.75" customHeight="1">
      <c r="A584" s="67">
        <v>45476.0</v>
      </c>
      <c r="B584" s="55" t="str">
        <f>HYPERLINK("https://jobright.ai/jobs/info/663c1d8d8b52a5d167a30149?utm_campaign=1049&amp;utm_source=sheet", "Apply")</f>
        <v>Apply</v>
      </c>
      <c r="C584" s="10" t="s">
        <v>18926</v>
      </c>
      <c r="D584" s="56" t="s">
        <v>1684</v>
      </c>
      <c r="E584" s="10" t="s">
        <v>209</v>
      </c>
      <c r="F584" s="10" t="s">
        <v>1685</v>
      </c>
      <c r="G584" s="10" t="s">
        <v>18779</v>
      </c>
      <c r="H584" s="10" t="s">
        <v>14859</v>
      </c>
      <c r="I584" s="10" t="s">
        <v>252</v>
      </c>
      <c r="K584" s="10" t="s">
        <v>18928</v>
      </c>
      <c r="L584" s="10" t="s">
        <v>42</v>
      </c>
    </row>
    <row r="585" ht="15.75" customHeight="1">
      <c r="A585" s="67">
        <v>45476.0</v>
      </c>
      <c r="B585" s="55" t="str">
        <f>HYPERLINK("https://jobright.ai/jobs/info/663d4318cd1f1f02cdc7e73a?utm_campaign=1049&amp;utm_source=sheet", "Apply")</f>
        <v>Apply</v>
      </c>
      <c r="C585" s="10" t="s">
        <v>18926</v>
      </c>
      <c r="D585" s="56" t="s">
        <v>1684</v>
      </c>
      <c r="E585" s="10" t="s">
        <v>209</v>
      </c>
      <c r="F585" s="10" t="s">
        <v>1685</v>
      </c>
      <c r="G585" s="10" t="s">
        <v>18779</v>
      </c>
      <c r="H585" s="10" t="s">
        <v>8785</v>
      </c>
      <c r="I585" s="10" t="s">
        <v>252</v>
      </c>
      <c r="K585" s="10" t="s">
        <v>18928</v>
      </c>
      <c r="L585" s="10" t="s">
        <v>42</v>
      </c>
    </row>
    <row r="586" ht="15.75" customHeight="1">
      <c r="A586" s="67">
        <v>45476.0</v>
      </c>
      <c r="B586" s="55" t="str">
        <f>HYPERLINK("https://jobright.ai/jobs/info/663d0abbedd60a36daf147e9?utm_campaign=1049&amp;utm_source=sheet", "Apply")</f>
        <v>Apply</v>
      </c>
      <c r="C586" s="10" t="s">
        <v>18926</v>
      </c>
      <c r="D586" s="56" t="s">
        <v>1684</v>
      </c>
      <c r="E586" s="10" t="s">
        <v>209</v>
      </c>
      <c r="F586" s="10" t="s">
        <v>1685</v>
      </c>
      <c r="G586" s="10" t="s">
        <v>18779</v>
      </c>
      <c r="H586" s="10" t="s">
        <v>3440</v>
      </c>
      <c r="I586" s="10" t="s">
        <v>252</v>
      </c>
      <c r="K586" s="10" t="s">
        <v>18928</v>
      </c>
      <c r="L586" s="10" t="s">
        <v>42</v>
      </c>
    </row>
    <row r="587" ht="15.75" customHeight="1">
      <c r="A587" s="67">
        <v>45476.0</v>
      </c>
      <c r="B587" s="55" t="str">
        <f>HYPERLINK("https://jobright.ai/jobs/info/663c2118f19ee77cce93a199?utm_campaign=1049&amp;utm_source=sheet", "Apply")</f>
        <v>Apply</v>
      </c>
      <c r="C587" s="10" t="s">
        <v>18926</v>
      </c>
      <c r="D587" s="56" t="s">
        <v>1684</v>
      </c>
      <c r="E587" s="10" t="s">
        <v>209</v>
      </c>
      <c r="F587" s="10" t="s">
        <v>1685</v>
      </c>
      <c r="G587" s="10" t="s">
        <v>18779</v>
      </c>
      <c r="H587" s="10" t="s">
        <v>19262</v>
      </c>
      <c r="I587" s="10" t="s">
        <v>252</v>
      </c>
      <c r="K587" s="10" t="s">
        <v>18928</v>
      </c>
      <c r="L587" s="10" t="s">
        <v>42</v>
      </c>
    </row>
    <row r="588" ht="15.75" customHeight="1">
      <c r="A588" s="67">
        <v>45476.0</v>
      </c>
      <c r="B588" s="55" t="str">
        <f>HYPERLINK("https://jobright.ai/jobs/info/663c4f05f4f947f1c40400fa?utm_campaign=1049&amp;utm_source=sheet", "Apply")</f>
        <v>Apply</v>
      </c>
      <c r="C588" s="10" t="s">
        <v>18926</v>
      </c>
      <c r="D588" s="56" t="s">
        <v>1684</v>
      </c>
      <c r="E588" s="10" t="s">
        <v>209</v>
      </c>
      <c r="F588" s="10" t="s">
        <v>1685</v>
      </c>
      <c r="G588" s="10" t="s">
        <v>18779</v>
      </c>
      <c r="H588" s="10" t="s">
        <v>313</v>
      </c>
      <c r="I588" s="10" t="s">
        <v>252</v>
      </c>
      <c r="K588" s="10" t="s">
        <v>18928</v>
      </c>
      <c r="L588" s="10" t="s">
        <v>42</v>
      </c>
    </row>
    <row r="589" ht="15.75" customHeight="1">
      <c r="A589" s="67">
        <v>45476.0</v>
      </c>
      <c r="B589" s="55" t="str">
        <f>HYPERLINK("https://jobright.ai/jobs/info/663c2a45421018fadf77d2ba?utm_campaign=1049&amp;utm_source=sheet", "Apply")</f>
        <v>Apply</v>
      </c>
      <c r="C589" s="10" t="s">
        <v>18926</v>
      </c>
      <c r="D589" s="56" t="s">
        <v>1684</v>
      </c>
      <c r="E589" s="10" t="s">
        <v>209</v>
      </c>
      <c r="F589" s="10" t="s">
        <v>1685</v>
      </c>
      <c r="G589" s="10" t="s">
        <v>18779</v>
      </c>
      <c r="H589" s="10" t="s">
        <v>19263</v>
      </c>
      <c r="I589" s="10" t="s">
        <v>252</v>
      </c>
      <c r="K589" s="10" t="s">
        <v>18928</v>
      </c>
      <c r="L589" s="10" t="s">
        <v>42</v>
      </c>
    </row>
    <row r="590" ht="15.75" customHeight="1">
      <c r="A590" s="67">
        <v>45476.0</v>
      </c>
      <c r="B590" s="55" t="str">
        <f>HYPERLINK("https://jobright.ai/jobs/info/663c1d8d8b52a5d167a3014c?utm_campaign=1049&amp;utm_source=sheet", "Apply")</f>
        <v>Apply</v>
      </c>
      <c r="C590" s="10" t="s">
        <v>18926</v>
      </c>
      <c r="D590" s="56" t="s">
        <v>1684</v>
      </c>
      <c r="E590" s="10" t="s">
        <v>209</v>
      </c>
      <c r="F590" s="10" t="s">
        <v>1685</v>
      </c>
      <c r="G590" s="10" t="s">
        <v>18779</v>
      </c>
      <c r="H590" s="10" t="s">
        <v>346</v>
      </c>
      <c r="I590" s="10" t="s">
        <v>252</v>
      </c>
      <c r="K590" s="10" t="s">
        <v>18928</v>
      </c>
      <c r="L590" s="10" t="s">
        <v>42</v>
      </c>
    </row>
    <row r="591" ht="15.75" customHeight="1">
      <c r="A591" s="67">
        <v>45476.0</v>
      </c>
      <c r="B591" s="55" t="str">
        <f>HYPERLINK("https://jobright.ai/jobs/info/663c2118f19ee77cce93a1a6?utm_campaign=1049&amp;utm_source=sheet", "Apply")</f>
        <v>Apply</v>
      </c>
      <c r="C591" s="10" t="s">
        <v>18926</v>
      </c>
      <c r="D591" s="56" t="s">
        <v>1684</v>
      </c>
      <c r="E591" s="10" t="s">
        <v>209</v>
      </c>
      <c r="F591" s="10" t="s">
        <v>1685</v>
      </c>
      <c r="G591" s="10" t="s">
        <v>18779</v>
      </c>
      <c r="H591" s="10" t="s">
        <v>4283</v>
      </c>
      <c r="I591" s="10" t="s">
        <v>252</v>
      </c>
      <c r="K591" s="10" t="s">
        <v>18928</v>
      </c>
      <c r="L591" s="10" t="s">
        <v>42</v>
      </c>
    </row>
    <row r="592" ht="15.75" customHeight="1">
      <c r="A592" s="67">
        <v>45476.0</v>
      </c>
      <c r="B592" s="55" t="str">
        <f>HYPERLINK("https://jobright.ai/jobs/info/663c1d8d8b52a5d167a3014d?utm_campaign=1049&amp;utm_source=sheet", "Apply")</f>
        <v>Apply</v>
      </c>
      <c r="C592" s="10" t="s">
        <v>18926</v>
      </c>
      <c r="D592" s="56" t="s">
        <v>1684</v>
      </c>
      <c r="E592" s="10" t="s">
        <v>209</v>
      </c>
      <c r="F592" s="10" t="s">
        <v>1685</v>
      </c>
      <c r="G592" s="10" t="s">
        <v>18779</v>
      </c>
      <c r="H592" s="10" t="s">
        <v>19264</v>
      </c>
      <c r="I592" s="10" t="s">
        <v>252</v>
      </c>
      <c r="K592" s="10" t="s">
        <v>18928</v>
      </c>
      <c r="L592" s="10" t="s">
        <v>42</v>
      </c>
    </row>
    <row r="593" ht="15.75" customHeight="1">
      <c r="A593" s="67">
        <v>45476.0</v>
      </c>
      <c r="B593" s="55" t="str">
        <f>HYPERLINK("https://jobright.ai/jobs/info/6685ae76f090003c734f6b87?utm_campaign=1049&amp;utm_source=sheet", "Apply")</f>
        <v>Apply</v>
      </c>
      <c r="C593" s="10" t="s">
        <v>18711</v>
      </c>
      <c r="D593" s="56" t="s">
        <v>9937</v>
      </c>
      <c r="E593" s="10" t="s">
        <v>45</v>
      </c>
      <c r="F593" s="10" t="s">
        <v>9938</v>
      </c>
      <c r="G593" s="10" t="s">
        <v>18636</v>
      </c>
      <c r="H593" s="10" t="s">
        <v>19265</v>
      </c>
      <c r="I593" s="10" t="s">
        <v>55</v>
      </c>
      <c r="K593" s="10" t="s">
        <v>19266</v>
      </c>
      <c r="L593" s="10" t="s">
        <v>42</v>
      </c>
    </row>
    <row r="594" ht="15.75" customHeight="1">
      <c r="A594" s="67">
        <v>45474.0</v>
      </c>
      <c r="B594" s="55" t="str">
        <f>HYPERLINK("https://jobright.ai/jobs/info/668326befe80743b5aa36c53?utm_campaign=1049&amp;utm_source=sheet", "Apply")</f>
        <v>Apply</v>
      </c>
      <c r="C594" s="10" t="s">
        <v>3845</v>
      </c>
      <c r="D594" s="56" t="s">
        <v>19267</v>
      </c>
      <c r="E594" s="10" t="s">
        <v>276</v>
      </c>
      <c r="F594" s="10" t="s">
        <v>10</v>
      </c>
      <c r="G594" s="10" t="s">
        <v>18734</v>
      </c>
      <c r="H594" s="10" t="s">
        <v>848</v>
      </c>
      <c r="I594" s="10" t="s">
        <v>55</v>
      </c>
      <c r="K594" s="10" t="s">
        <v>19268</v>
      </c>
      <c r="L594" s="10" t="s">
        <v>42</v>
      </c>
    </row>
    <row r="595" ht="15.75" customHeight="1">
      <c r="A595" s="67">
        <v>45474.0</v>
      </c>
      <c r="B595" s="55" t="str">
        <f>HYPERLINK("https://jobright.ai/jobs/info/667ec8fde3e05fc18a9d7646?utm_campaign=1049&amp;utm_source=sheet", "Apply")</f>
        <v>Apply</v>
      </c>
      <c r="C595" s="10" t="s">
        <v>18721</v>
      </c>
      <c r="D595" s="56" t="s">
        <v>19269</v>
      </c>
      <c r="E595" s="10" t="s">
        <v>137</v>
      </c>
      <c r="F595" s="10" t="s">
        <v>19270</v>
      </c>
      <c r="G595" s="10" t="s">
        <v>18636</v>
      </c>
      <c r="H595" s="10" t="s">
        <v>2674</v>
      </c>
      <c r="I595" s="10" t="s">
        <v>48</v>
      </c>
      <c r="K595" s="10" t="s">
        <v>19271</v>
      </c>
      <c r="L595" s="10" t="s">
        <v>42</v>
      </c>
    </row>
    <row r="596" ht="15.75" customHeight="1">
      <c r="A596" s="67">
        <v>45474.0</v>
      </c>
      <c r="B596" s="55" t="str">
        <f>HYPERLINK("https://jobright.ai/jobs/info/667b71db20cdb15491e3ea0b?utm_campaign=1049&amp;utm_source=sheet", "Apply")</f>
        <v>Apply</v>
      </c>
      <c r="C596" s="10" t="s">
        <v>19272</v>
      </c>
      <c r="D596" s="56" t="s">
        <v>15166</v>
      </c>
      <c r="F596" s="10" t="s">
        <v>15167</v>
      </c>
      <c r="G596" s="10" t="s">
        <v>18636</v>
      </c>
      <c r="H596" s="10" t="s">
        <v>19273</v>
      </c>
      <c r="I596" s="10" t="s">
        <v>55</v>
      </c>
      <c r="K596" s="10" t="s">
        <v>19274</v>
      </c>
      <c r="L596" s="10" t="s">
        <v>42</v>
      </c>
    </row>
    <row r="597" ht="15.75" customHeight="1">
      <c r="A597" s="67">
        <v>45473.0</v>
      </c>
      <c r="B597" s="55" t="str">
        <f>HYPERLINK("https://jobright.ai/jobs/info/6681a5a0e2513bb044b9d0a2?utm_campaign=1049&amp;utm_source=sheet", "Apply")</f>
        <v>Apply</v>
      </c>
      <c r="C597" s="10" t="s">
        <v>18985</v>
      </c>
      <c r="D597" s="56" t="s">
        <v>95</v>
      </c>
      <c r="E597" s="10">
        <v>52.0</v>
      </c>
      <c r="G597" s="10" t="s">
        <v>18636</v>
      </c>
      <c r="H597" s="10" t="s">
        <v>867</v>
      </c>
      <c r="I597" s="10" t="s">
        <v>55</v>
      </c>
      <c r="K597" s="10" t="s">
        <v>18986</v>
      </c>
      <c r="L597" s="10" t="s">
        <v>42</v>
      </c>
    </row>
    <row r="598" ht="15.75" customHeight="1">
      <c r="A598" s="67">
        <v>45473.0</v>
      </c>
      <c r="B598" s="55" t="str">
        <f>HYPERLINK("https://jobright.ai/jobs/info/6681a5a0e2513bb044b9d0a3?utm_campaign=1049&amp;utm_source=sheet", "Apply")</f>
        <v>Apply</v>
      </c>
      <c r="C598" s="10" t="s">
        <v>18985</v>
      </c>
      <c r="D598" s="56" t="s">
        <v>95</v>
      </c>
      <c r="E598" s="10">
        <v>52.0</v>
      </c>
      <c r="G598" s="10" t="s">
        <v>18636</v>
      </c>
      <c r="H598" s="10" t="s">
        <v>955</v>
      </c>
      <c r="I598" s="10" t="s">
        <v>55</v>
      </c>
      <c r="K598" s="10" t="s">
        <v>18986</v>
      </c>
      <c r="L598" s="10" t="s">
        <v>42</v>
      </c>
    </row>
    <row r="599" ht="15.75" customHeight="1">
      <c r="A599" s="67">
        <v>45473.0</v>
      </c>
      <c r="B599" s="55" t="str">
        <f>HYPERLINK("https://jobright.ai/jobs/info/6681a5a0e2513bb044b9d0a4?utm_campaign=1049&amp;utm_source=sheet", "Apply")</f>
        <v>Apply</v>
      </c>
      <c r="C599" s="10" t="s">
        <v>18985</v>
      </c>
      <c r="D599" s="56" t="s">
        <v>95</v>
      </c>
      <c r="E599" s="10">
        <v>52.0</v>
      </c>
      <c r="G599" s="10" t="s">
        <v>18636</v>
      </c>
      <c r="H599" s="10" t="s">
        <v>884</v>
      </c>
      <c r="I599" s="10" t="s">
        <v>55</v>
      </c>
      <c r="K599" s="10" t="s">
        <v>18986</v>
      </c>
      <c r="L599" s="10" t="s">
        <v>42</v>
      </c>
    </row>
    <row r="600" ht="15.75" customHeight="1">
      <c r="A600" s="67">
        <v>45473.0</v>
      </c>
      <c r="B600" s="55" t="str">
        <f>HYPERLINK("https://jobright.ai/jobs/info/6681a5a0e2513bb044b9d0a9?utm_campaign=1049&amp;utm_source=sheet", "Apply")</f>
        <v>Apply</v>
      </c>
      <c r="C600" s="10" t="s">
        <v>18985</v>
      </c>
      <c r="D600" s="56" t="s">
        <v>95</v>
      </c>
      <c r="E600" s="10">
        <v>52.0</v>
      </c>
      <c r="G600" s="10" t="s">
        <v>18636</v>
      </c>
      <c r="H600" s="10" t="s">
        <v>883</v>
      </c>
      <c r="I600" s="10" t="s">
        <v>55</v>
      </c>
      <c r="K600" s="10" t="s">
        <v>18986</v>
      </c>
      <c r="L600" s="10" t="s">
        <v>42</v>
      </c>
    </row>
    <row r="601" ht="15.75" customHeight="1">
      <c r="A601" s="67">
        <v>45473.0</v>
      </c>
      <c r="B601" s="55" t="str">
        <f>HYPERLINK("https://jobright.ai/jobs/info/6681a5a0e2513bb044b9d0a5?utm_campaign=1049&amp;utm_source=sheet", "Apply")</f>
        <v>Apply</v>
      </c>
      <c r="C601" s="10" t="s">
        <v>18985</v>
      </c>
      <c r="D601" s="56" t="s">
        <v>95</v>
      </c>
      <c r="E601" s="10">
        <v>52.0</v>
      </c>
      <c r="G601" s="10" t="s">
        <v>18636</v>
      </c>
      <c r="H601" s="10" t="s">
        <v>875</v>
      </c>
      <c r="I601" s="10" t="s">
        <v>55</v>
      </c>
      <c r="K601" s="10" t="s">
        <v>18986</v>
      </c>
      <c r="L601" s="10" t="s">
        <v>42</v>
      </c>
    </row>
    <row r="602" ht="15.75" customHeight="1">
      <c r="A602" s="67">
        <v>45473.0</v>
      </c>
      <c r="B602" s="55" t="str">
        <f>HYPERLINK("https://jobright.ai/jobs/info/6681a5a0e2513bb044b9d0a8?utm_campaign=1049&amp;utm_source=sheet", "Apply")</f>
        <v>Apply</v>
      </c>
      <c r="C602" s="10" t="s">
        <v>18985</v>
      </c>
      <c r="D602" s="56" t="s">
        <v>95</v>
      </c>
      <c r="E602" s="10">
        <v>52.0</v>
      </c>
      <c r="G602" s="10" t="s">
        <v>18636</v>
      </c>
      <c r="H602" s="10" t="s">
        <v>871</v>
      </c>
      <c r="I602" s="10" t="s">
        <v>55</v>
      </c>
      <c r="K602" s="10" t="s">
        <v>18986</v>
      </c>
      <c r="L602" s="10" t="s">
        <v>42</v>
      </c>
    </row>
    <row r="603" ht="15.75" customHeight="1">
      <c r="A603" s="67">
        <v>45473.0</v>
      </c>
      <c r="B603" s="55" t="str">
        <f>HYPERLINK("https://jobright.ai/jobs/info/6681a978127400923c6621fa?utm_campaign=1049&amp;utm_source=sheet", "Apply")</f>
        <v>Apply</v>
      </c>
      <c r="C603" s="10" t="s">
        <v>18985</v>
      </c>
      <c r="D603" s="56" t="s">
        <v>95</v>
      </c>
      <c r="E603" s="10">
        <v>52.0</v>
      </c>
      <c r="G603" s="10" t="s">
        <v>18636</v>
      </c>
      <c r="H603" s="10" t="s">
        <v>902</v>
      </c>
      <c r="I603" s="10" t="s">
        <v>55</v>
      </c>
      <c r="K603" s="10" t="s">
        <v>18986</v>
      </c>
      <c r="L603" s="10" t="s">
        <v>42</v>
      </c>
    </row>
    <row r="604" ht="15.75" customHeight="1">
      <c r="A604" s="67">
        <v>45473.0</v>
      </c>
      <c r="B604" s="55" t="str">
        <f>HYPERLINK("https://jobright.ai/jobs/info/6681a978127400923c6621fd?utm_campaign=1049&amp;utm_source=sheet", "Apply")</f>
        <v>Apply</v>
      </c>
      <c r="C604" s="10" t="s">
        <v>18985</v>
      </c>
      <c r="D604" s="56" t="s">
        <v>95</v>
      </c>
      <c r="E604" s="10">
        <v>52.0</v>
      </c>
      <c r="G604" s="10" t="s">
        <v>18636</v>
      </c>
      <c r="H604" s="10" t="s">
        <v>870</v>
      </c>
      <c r="I604" s="10" t="s">
        <v>55</v>
      </c>
      <c r="K604" s="10" t="s">
        <v>18986</v>
      </c>
      <c r="L604" s="10" t="s">
        <v>42</v>
      </c>
    </row>
    <row r="605" ht="15.75" customHeight="1">
      <c r="A605" s="67">
        <v>45473.0</v>
      </c>
      <c r="B605" s="55" t="str">
        <f>HYPERLINK("https://jobright.ai/jobs/info/6681a978127400923c662204?utm_campaign=1049&amp;utm_source=sheet", "Apply")</f>
        <v>Apply</v>
      </c>
      <c r="C605" s="10" t="s">
        <v>18985</v>
      </c>
      <c r="D605" s="56" t="s">
        <v>95</v>
      </c>
      <c r="E605" s="10">
        <v>52.0</v>
      </c>
      <c r="G605" s="10" t="s">
        <v>18636</v>
      </c>
      <c r="H605" s="10" t="s">
        <v>996</v>
      </c>
      <c r="I605" s="10" t="s">
        <v>55</v>
      </c>
      <c r="K605" s="10" t="s">
        <v>18986</v>
      </c>
      <c r="L605" s="10" t="s">
        <v>42</v>
      </c>
    </row>
    <row r="606" ht="15.75" customHeight="1">
      <c r="A606" s="67">
        <v>45473.0</v>
      </c>
      <c r="B606" s="55" t="str">
        <f>HYPERLINK("https://jobright.ai/jobs/info/6681a978127400923c662203?utm_campaign=1049&amp;utm_source=sheet", "Apply")</f>
        <v>Apply</v>
      </c>
      <c r="C606" s="10" t="s">
        <v>18985</v>
      </c>
      <c r="D606" s="56" t="s">
        <v>95</v>
      </c>
      <c r="E606" s="10">
        <v>52.0</v>
      </c>
      <c r="G606" s="10" t="s">
        <v>18636</v>
      </c>
      <c r="H606" s="10" t="s">
        <v>1021</v>
      </c>
      <c r="I606" s="10" t="s">
        <v>55</v>
      </c>
      <c r="K606" s="10" t="s">
        <v>18986</v>
      </c>
      <c r="L606" s="10" t="s">
        <v>42</v>
      </c>
    </row>
    <row r="607" ht="15.75" customHeight="1">
      <c r="A607" s="67">
        <v>45473.0</v>
      </c>
      <c r="B607" s="55" t="str">
        <f>HYPERLINK("https://jobright.ai/jobs/info/6681a978127400923c6621ff?utm_campaign=1049&amp;utm_source=sheet", "Apply")</f>
        <v>Apply</v>
      </c>
      <c r="C607" s="10" t="s">
        <v>18985</v>
      </c>
      <c r="D607" s="56" t="s">
        <v>95</v>
      </c>
      <c r="E607" s="10">
        <v>52.0</v>
      </c>
      <c r="G607" s="10" t="s">
        <v>18636</v>
      </c>
      <c r="H607" s="10" t="s">
        <v>864</v>
      </c>
      <c r="I607" s="10" t="s">
        <v>55</v>
      </c>
      <c r="K607" s="10" t="s">
        <v>18986</v>
      </c>
      <c r="L607" s="10" t="s">
        <v>42</v>
      </c>
    </row>
    <row r="608" ht="15.75" customHeight="1">
      <c r="A608" s="67">
        <v>45473.0</v>
      </c>
      <c r="B608" s="55" t="str">
        <f>HYPERLINK("https://jobright.ai/jobs/info/6681a978127400923c662207?utm_campaign=1049&amp;utm_source=sheet", "Apply")</f>
        <v>Apply</v>
      </c>
      <c r="C608" s="10" t="s">
        <v>18985</v>
      </c>
      <c r="D608" s="56" t="s">
        <v>95</v>
      </c>
      <c r="E608" s="10">
        <v>52.0</v>
      </c>
      <c r="G608" s="10" t="s">
        <v>18636</v>
      </c>
      <c r="H608" s="10" t="s">
        <v>7690</v>
      </c>
      <c r="I608" s="10" t="s">
        <v>55</v>
      </c>
      <c r="K608" s="10" t="s">
        <v>18986</v>
      </c>
      <c r="L608" s="10" t="s">
        <v>42</v>
      </c>
    </row>
    <row r="609" ht="15.75" customHeight="1">
      <c r="A609" s="67">
        <v>45473.0</v>
      </c>
      <c r="B609" s="55" t="str">
        <f>HYPERLINK("https://jobright.ai/jobs/info/6681a978127400923c662205?utm_campaign=1049&amp;utm_source=sheet", "Apply")</f>
        <v>Apply</v>
      </c>
      <c r="C609" s="10" t="s">
        <v>18985</v>
      </c>
      <c r="D609" s="56" t="s">
        <v>95</v>
      </c>
      <c r="E609" s="10">
        <v>52.0</v>
      </c>
      <c r="G609" s="10" t="s">
        <v>18636</v>
      </c>
      <c r="H609" s="10" t="s">
        <v>780</v>
      </c>
      <c r="I609" s="10" t="s">
        <v>55</v>
      </c>
      <c r="K609" s="10" t="s">
        <v>18986</v>
      </c>
      <c r="L609" s="10" t="s">
        <v>42</v>
      </c>
    </row>
    <row r="610" ht="15.75" customHeight="1">
      <c r="A610" s="67">
        <v>45473.0</v>
      </c>
      <c r="B610" s="55" t="str">
        <f>HYPERLINK("https://jobright.ai/jobs/info/6681a978127400923c66220d?utm_campaign=1049&amp;utm_source=sheet", "Apply")</f>
        <v>Apply</v>
      </c>
      <c r="C610" s="10" t="s">
        <v>18985</v>
      </c>
      <c r="D610" s="56" t="s">
        <v>95</v>
      </c>
      <c r="E610" s="10">
        <v>52.0</v>
      </c>
      <c r="G610" s="10" t="s">
        <v>18636</v>
      </c>
      <c r="H610" s="10" t="s">
        <v>869</v>
      </c>
      <c r="I610" s="10" t="s">
        <v>55</v>
      </c>
      <c r="K610" s="10" t="s">
        <v>18986</v>
      </c>
      <c r="L610" s="10" t="s">
        <v>42</v>
      </c>
    </row>
    <row r="611" ht="15.75" customHeight="1">
      <c r="A611" s="67">
        <v>45473.0</v>
      </c>
      <c r="B611" s="55" t="str">
        <f>HYPERLINK("https://jobright.ai/jobs/info/6681a978127400923c66220a?utm_campaign=1049&amp;utm_source=sheet", "Apply")</f>
        <v>Apply</v>
      </c>
      <c r="C611" s="10" t="s">
        <v>18985</v>
      </c>
      <c r="D611" s="56" t="s">
        <v>95</v>
      </c>
      <c r="E611" s="10">
        <v>52.0</v>
      </c>
      <c r="G611" s="10" t="s">
        <v>18636</v>
      </c>
      <c r="H611" s="10" t="s">
        <v>1014</v>
      </c>
      <c r="I611" s="10" t="s">
        <v>55</v>
      </c>
      <c r="K611" s="10" t="s">
        <v>18986</v>
      </c>
      <c r="L611" s="10" t="s">
        <v>42</v>
      </c>
    </row>
    <row r="612" ht="15.75" customHeight="1">
      <c r="A612" s="67">
        <v>45473.0</v>
      </c>
      <c r="B612" s="55" t="str">
        <f>HYPERLINK("https://jobright.ai/jobs/info/6681a978127400923c66220b?utm_campaign=1049&amp;utm_source=sheet", "Apply")</f>
        <v>Apply</v>
      </c>
      <c r="C612" s="10" t="s">
        <v>18985</v>
      </c>
      <c r="D612" s="56" t="s">
        <v>95</v>
      </c>
      <c r="E612" s="10">
        <v>52.0</v>
      </c>
      <c r="G612" s="10" t="s">
        <v>18636</v>
      </c>
      <c r="H612" s="10" t="s">
        <v>842</v>
      </c>
      <c r="I612" s="10" t="s">
        <v>55</v>
      </c>
      <c r="K612" s="10" t="s">
        <v>18986</v>
      </c>
      <c r="L612" s="10" t="s">
        <v>42</v>
      </c>
    </row>
    <row r="613" ht="15.75" customHeight="1">
      <c r="A613" s="67">
        <v>45473.0</v>
      </c>
      <c r="B613" s="55" t="str">
        <f>HYPERLINK("https://jobright.ai/jobs/info/6681a978127400923c662217?utm_campaign=1049&amp;utm_source=sheet", "Apply")</f>
        <v>Apply</v>
      </c>
      <c r="C613" s="10" t="s">
        <v>18985</v>
      </c>
      <c r="D613" s="56" t="s">
        <v>95</v>
      </c>
      <c r="E613" s="10">
        <v>52.0</v>
      </c>
      <c r="G613" s="10" t="s">
        <v>18636</v>
      </c>
      <c r="H613" s="10" t="s">
        <v>785</v>
      </c>
      <c r="I613" s="10" t="s">
        <v>55</v>
      </c>
      <c r="K613" s="10" t="s">
        <v>18986</v>
      </c>
      <c r="L613" s="10" t="s">
        <v>42</v>
      </c>
    </row>
    <row r="614" ht="15.75" customHeight="1">
      <c r="A614" s="67">
        <v>45473.0</v>
      </c>
      <c r="B614" s="55" t="str">
        <f>HYPERLINK("https://jobright.ai/jobs/info/6681a978127400923c662225?utm_campaign=1049&amp;utm_source=sheet", "Apply")</f>
        <v>Apply</v>
      </c>
      <c r="C614" s="10" t="s">
        <v>18985</v>
      </c>
      <c r="D614" s="56" t="s">
        <v>95</v>
      </c>
      <c r="E614" s="10">
        <v>52.0</v>
      </c>
      <c r="G614" s="10" t="s">
        <v>18636</v>
      </c>
      <c r="H614" s="10" t="s">
        <v>759</v>
      </c>
      <c r="I614" s="10" t="s">
        <v>55</v>
      </c>
      <c r="K614" s="10" t="s">
        <v>18986</v>
      </c>
      <c r="L614" s="10" t="s">
        <v>42</v>
      </c>
    </row>
    <row r="615" ht="15.75" customHeight="1">
      <c r="A615" s="67">
        <v>45473.0</v>
      </c>
      <c r="B615" s="55" t="str">
        <f>HYPERLINK("https://jobright.ai/jobs/info/6681a978127400923c66221d?utm_campaign=1049&amp;utm_source=sheet", "Apply")</f>
        <v>Apply</v>
      </c>
      <c r="C615" s="10" t="s">
        <v>18985</v>
      </c>
      <c r="D615" s="56" t="s">
        <v>95</v>
      </c>
      <c r="E615" s="10">
        <v>52.0</v>
      </c>
      <c r="G615" s="10" t="s">
        <v>18636</v>
      </c>
      <c r="H615" s="10" t="s">
        <v>271</v>
      </c>
      <c r="I615" s="10" t="s">
        <v>55</v>
      </c>
      <c r="K615" s="10" t="s">
        <v>18986</v>
      </c>
      <c r="L615" s="10" t="s">
        <v>42</v>
      </c>
    </row>
    <row r="616" ht="15.75" customHeight="1">
      <c r="A616" s="67">
        <v>45473.0</v>
      </c>
      <c r="B616" s="55" t="str">
        <f>HYPERLINK("https://jobright.ai/jobs/info/6681a978127400923c662213?utm_campaign=1049&amp;utm_source=sheet", "Apply")</f>
        <v>Apply</v>
      </c>
      <c r="C616" s="10" t="s">
        <v>18985</v>
      </c>
      <c r="D616" s="56" t="s">
        <v>95</v>
      </c>
      <c r="E616" s="10">
        <v>52.0</v>
      </c>
      <c r="G616" s="10" t="s">
        <v>18636</v>
      </c>
      <c r="H616" s="10" t="s">
        <v>776</v>
      </c>
      <c r="I616" s="10" t="s">
        <v>55</v>
      </c>
      <c r="K616" s="10" t="s">
        <v>18986</v>
      </c>
      <c r="L616" s="10" t="s">
        <v>42</v>
      </c>
    </row>
    <row r="617" ht="15.75" customHeight="1">
      <c r="A617" s="67">
        <v>45473.0</v>
      </c>
      <c r="B617" s="55" t="str">
        <f>HYPERLINK("https://jobright.ai/jobs/info/6681a978127400923c66221a?utm_campaign=1049&amp;utm_source=sheet", "Apply")</f>
        <v>Apply</v>
      </c>
      <c r="C617" s="10" t="s">
        <v>18985</v>
      </c>
      <c r="D617" s="56" t="s">
        <v>95</v>
      </c>
      <c r="E617" s="10">
        <v>52.0</v>
      </c>
      <c r="G617" s="10" t="s">
        <v>18636</v>
      </c>
      <c r="H617" s="10" t="s">
        <v>777</v>
      </c>
      <c r="I617" s="10" t="s">
        <v>55</v>
      </c>
      <c r="K617" s="10" t="s">
        <v>18986</v>
      </c>
      <c r="L617" s="10" t="s">
        <v>42</v>
      </c>
    </row>
    <row r="618" ht="15.75" customHeight="1">
      <c r="A618" s="67">
        <v>45473.0</v>
      </c>
      <c r="B618" s="55" t="str">
        <f>HYPERLINK("https://jobright.ai/jobs/info/6681a978127400923c66222e?utm_campaign=1049&amp;utm_source=sheet", "Apply")</f>
        <v>Apply</v>
      </c>
      <c r="C618" s="10" t="s">
        <v>18985</v>
      </c>
      <c r="D618" s="56" t="s">
        <v>95</v>
      </c>
      <c r="E618" s="10">
        <v>52.0</v>
      </c>
      <c r="G618" s="10" t="s">
        <v>18636</v>
      </c>
      <c r="H618" s="10" t="s">
        <v>907</v>
      </c>
      <c r="I618" s="10" t="s">
        <v>55</v>
      </c>
      <c r="K618" s="10" t="s">
        <v>18986</v>
      </c>
      <c r="L618" s="10" t="s">
        <v>42</v>
      </c>
    </row>
    <row r="619" ht="15.75" customHeight="1">
      <c r="A619" s="67">
        <v>45473.0</v>
      </c>
      <c r="B619" s="55" t="str">
        <f>HYPERLINK("https://jobright.ai/jobs/info/6681a978127400923c66222c?utm_campaign=1049&amp;utm_source=sheet", "Apply")</f>
        <v>Apply</v>
      </c>
      <c r="C619" s="10" t="s">
        <v>18985</v>
      </c>
      <c r="D619" s="56" t="s">
        <v>95</v>
      </c>
      <c r="E619" s="10">
        <v>52.0</v>
      </c>
      <c r="G619" s="10" t="s">
        <v>18636</v>
      </c>
      <c r="H619" s="10" t="s">
        <v>760</v>
      </c>
      <c r="I619" s="10" t="s">
        <v>55</v>
      </c>
      <c r="K619" s="10" t="s">
        <v>18986</v>
      </c>
      <c r="L619" s="10" t="s">
        <v>42</v>
      </c>
    </row>
    <row r="620" ht="15.75" customHeight="1">
      <c r="A620" s="67">
        <v>45473.0</v>
      </c>
      <c r="B620" s="55" t="str">
        <f>HYPERLINK("https://jobright.ai/jobs/info/6681a978127400923c662236?utm_campaign=1049&amp;utm_source=sheet", "Apply")</f>
        <v>Apply</v>
      </c>
      <c r="C620" s="10" t="s">
        <v>18985</v>
      </c>
      <c r="D620" s="56" t="s">
        <v>95</v>
      </c>
      <c r="E620" s="10">
        <v>52.0</v>
      </c>
      <c r="G620" s="10" t="s">
        <v>18636</v>
      </c>
      <c r="H620" s="10" t="s">
        <v>783</v>
      </c>
      <c r="I620" s="10" t="s">
        <v>55</v>
      </c>
      <c r="K620" s="10" t="s">
        <v>18986</v>
      </c>
      <c r="L620" s="10" t="s">
        <v>42</v>
      </c>
    </row>
    <row r="621" ht="15.75" customHeight="1">
      <c r="A621" s="67">
        <v>45473.0</v>
      </c>
      <c r="B621" s="55" t="str">
        <f>HYPERLINK("https://jobright.ai/jobs/info/6681a978127400923c662235?utm_campaign=1049&amp;utm_source=sheet", "Apply")</f>
        <v>Apply</v>
      </c>
      <c r="C621" s="10" t="s">
        <v>18985</v>
      </c>
      <c r="D621" s="56" t="s">
        <v>95</v>
      </c>
      <c r="E621" s="10">
        <v>52.0</v>
      </c>
      <c r="G621" s="10" t="s">
        <v>18636</v>
      </c>
      <c r="H621" s="10" t="s">
        <v>621</v>
      </c>
      <c r="I621" s="10" t="s">
        <v>55</v>
      </c>
      <c r="K621" s="10" t="s">
        <v>18986</v>
      </c>
      <c r="L621" s="10" t="s">
        <v>42</v>
      </c>
    </row>
    <row r="622" ht="15.75" customHeight="1">
      <c r="A622" s="67">
        <v>45473.0</v>
      </c>
      <c r="B622" s="55" t="str">
        <f>HYPERLINK("https://jobright.ai/jobs/info/6681a978127400923c662234?utm_campaign=1049&amp;utm_source=sheet", "Apply")</f>
        <v>Apply</v>
      </c>
      <c r="C622" s="10" t="s">
        <v>18985</v>
      </c>
      <c r="D622" s="56" t="s">
        <v>95</v>
      </c>
      <c r="E622" s="10">
        <v>52.0</v>
      </c>
      <c r="G622" s="10" t="s">
        <v>18636</v>
      </c>
      <c r="H622" s="10" t="s">
        <v>1019</v>
      </c>
      <c r="I622" s="10" t="s">
        <v>55</v>
      </c>
      <c r="K622" s="10" t="s">
        <v>18986</v>
      </c>
      <c r="L622" s="10" t="s">
        <v>42</v>
      </c>
    </row>
    <row r="623" ht="15.75" customHeight="1">
      <c r="A623" s="67">
        <v>45473.0</v>
      </c>
      <c r="B623" s="55" t="str">
        <f>HYPERLINK("https://jobright.ai/jobs/info/6681a978127400923c66224b?utm_campaign=1049&amp;utm_source=sheet", "Apply")</f>
        <v>Apply</v>
      </c>
      <c r="C623" s="10" t="s">
        <v>18985</v>
      </c>
      <c r="D623" s="56" t="s">
        <v>95</v>
      </c>
      <c r="E623" s="10">
        <v>52.0</v>
      </c>
      <c r="G623" s="10" t="s">
        <v>18636</v>
      </c>
      <c r="H623" s="10" t="s">
        <v>1027</v>
      </c>
      <c r="I623" s="10" t="s">
        <v>55</v>
      </c>
      <c r="K623" s="10" t="s">
        <v>18986</v>
      </c>
      <c r="L623" s="10" t="s">
        <v>42</v>
      </c>
    </row>
    <row r="624" ht="15.75" customHeight="1">
      <c r="A624" s="67">
        <v>45473.0</v>
      </c>
      <c r="B624" s="55" t="str">
        <f>HYPERLINK("https://jobright.ai/jobs/info/6681a978127400923c66223c?utm_campaign=1049&amp;utm_source=sheet", "Apply")</f>
        <v>Apply</v>
      </c>
      <c r="C624" s="10" t="s">
        <v>18985</v>
      </c>
      <c r="D624" s="56" t="s">
        <v>95</v>
      </c>
      <c r="E624" s="10">
        <v>52.0</v>
      </c>
      <c r="G624" s="10" t="s">
        <v>18636</v>
      </c>
      <c r="H624" s="10" t="s">
        <v>833</v>
      </c>
      <c r="I624" s="10" t="s">
        <v>55</v>
      </c>
      <c r="K624" s="10" t="s">
        <v>18986</v>
      </c>
      <c r="L624" s="10" t="s">
        <v>42</v>
      </c>
    </row>
    <row r="625" ht="15.75" customHeight="1">
      <c r="A625" s="67">
        <v>45473.0</v>
      </c>
      <c r="B625" s="55" t="str">
        <f>HYPERLINK("https://jobright.ai/jobs/info/6681a978127400923c662245?utm_campaign=1049&amp;utm_source=sheet", "Apply")</f>
        <v>Apply</v>
      </c>
      <c r="C625" s="10" t="s">
        <v>18985</v>
      </c>
      <c r="D625" s="56" t="s">
        <v>95</v>
      </c>
      <c r="E625" s="10">
        <v>52.0</v>
      </c>
      <c r="G625" s="10" t="s">
        <v>18636</v>
      </c>
      <c r="H625" s="10" t="s">
        <v>914</v>
      </c>
      <c r="I625" s="10" t="s">
        <v>55</v>
      </c>
      <c r="K625" s="10" t="s">
        <v>18986</v>
      </c>
      <c r="L625" s="10" t="s">
        <v>42</v>
      </c>
    </row>
    <row r="626" ht="15.75" customHeight="1">
      <c r="A626" s="67">
        <v>45473.0</v>
      </c>
      <c r="B626" s="55" t="str">
        <f>HYPERLINK("https://jobright.ai/jobs/info/6681a978127400923c66223f?utm_campaign=1049&amp;utm_source=sheet", "Apply")</f>
        <v>Apply</v>
      </c>
      <c r="C626" s="10" t="s">
        <v>18985</v>
      </c>
      <c r="D626" s="56" t="s">
        <v>95</v>
      </c>
      <c r="E626" s="10">
        <v>52.0</v>
      </c>
      <c r="G626" s="10" t="s">
        <v>18636</v>
      </c>
      <c r="H626" s="10" t="s">
        <v>878</v>
      </c>
      <c r="I626" s="10" t="s">
        <v>55</v>
      </c>
      <c r="K626" s="10" t="s">
        <v>18986</v>
      </c>
      <c r="L626" s="10" t="s">
        <v>42</v>
      </c>
    </row>
    <row r="627" ht="15.75" customHeight="1">
      <c r="A627" s="67">
        <v>45473.0</v>
      </c>
      <c r="B627" s="55" t="str">
        <f>HYPERLINK("https://jobright.ai/jobs/info/6681a978127400923c66223b?utm_campaign=1049&amp;utm_source=sheet", "Apply")</f>
        <v>Apply</v>
      </c>
      <c r="C627" s="10" t="s">
        <v>18985</v>
      </c>
      <c r="D627" s="56" t="s">
        <v>95</v>
      </c>
      <c r="E627" s="10">
        <v>52.0</v>
      </c>
      <c r="G627" s="10" t="s">
        <v>18636</v>
      </c>
      <c r="H627" s="10" t="s">
        <v>768</v>
      </c>
      <c r="I627" s="10" t="s">
        <v>55</v>
      </c>
      <c r="K627" s="10" t="s">
        <v>18986</v>
      </c>
      <c r="L627" s="10" t="s">
        <v>42</v>
      </c>
    </row>
    <row r="628" ht="15.75" customHeight="1">
      <c r="A628" s="67">
        <v>45473.0</v>
      </c>
      <c r="B628" s="55" t="str">
        <f>HYPERLINK("https://jobright.ai/jobs/info/6681a978127400923c662243?utm_campaign=1049&amp;utm_source=sheet", "Apply")</f>
        <v>Apply</v>
      </c>
      <c r="C628" s="10" t="s">
        <v>18985</v>
      </c>
      <c r="D628" s="56" t="s">
        <v>95</v>
      </c>
      <c r="E628" s="10">
        <v>52.0</v>
      </c>
      <c r="G628" s="10" t="s">
        <v>18636</v>
      </c>
      <c r="H628" s="10" t="s">
        <v>808</v>
      </c>
      <c r="I628" s="10" t="s">
        <v>55</v>
      </c>
      <c r="K628" s="10" t="s">
        <v>18986</v>
      </c>
      <c r="L628" s="10" t="s">
        <v>42</v>
      </c>
    </row>
    <row r="629" ht="15.75" customHeight="1">
      <c r="A629" s="67">
        <v>45473.0</v>
      </c>
      <c r="B629" s="55" t="str">
        <f>HYPERLINK("https://jobright.ai/jobs/info/6681a978127400923c66224a?utm_campaign=1049&amp;utm_source=sheet", "Apply")</f>
        <v>Apply</v>
      </c>
      <c r="C629" s="10" t="s">
        <v>18985</v>
      </c>
      <c r="D629" s="56" t="s">
        <v>95</v>
      </c>
      <c r="E629" s="10">
        <v>52.0</v>
      </c>
      <c r="G629" s="10" t="s">
        <v>18636</v>
      </c>
      <c r="H629" s="10" t="s">
        <v>936</v>
      </c>
      <c r="I629" s="10" t="s">
        <v>55</v>
      </c>
      <c r="K629" s="10" t="s">
        <v>18986</v>
      </c>
      <c r="L629" s="10" t="s">
        <v>42</v>
      </c>
    </row>
    <row r="630" ht="15.75" customHeight="1">
      <c r="A630" s="67">
        <v>45473.0</v>
      </c>
      <c r="B630" s="55" t="str">
        <f>HYPERLINK("https://jobright.ai/jobs/info/6681a978127400923c66223d?utm_campaign=1049&amp;utm_source=sheet", "Apply")</f>
        <v>Apply</v>
      </c>
      <c r="C630" s="10" t="s">
        <v>18985</v>
      </c>
      <c r="D630" s="56" t="s">
        <v>95</v>
      </c>
      <c r="E630" s="10">
        <v>52.0</v>
      </c>
      <c r="G630" s="10" t="s">
        <v>18636</v>
      </c>
      <c r="H630" s="10" t="s">
        <v>995</v>
      </c>
      <c r="I630" s="10" t="s">
        <v>55</v>
      </c>
      <c r="K630" s="10" t="s">
        <v>18986</v>
      </c>
      <c r="L630" s="10" t="s">
        <v>42</v>
      </c>
    </row>
    <row r="631" ht="15.75" customHeight="1">
      <c r="A631" s="67">
        <v>45473.0</v>
      </c>
      <c r="B631" s="55" t="str">
        <f>HYPERLINK("https://jobright.ai/jobs/info/6681a978127400923c662248?utm_campaign=1049&amp;utm_source=sheet", "Apply")</f>
        <v>Apply</v>
      </c>
      <c r="C631" s="10" t="s">
        <v>18985</v>
      </c>
      <c r="D631" s="56" t="s">
        <v>95</v>
      </c>
      <c r="E631" s="10">
        <v>52.0</v>
      </c>
      <c r="G631" s="10" t="s">
        <v>18636</v>
      </c>
      <c r="H631" s="10" t="s">
        <v>946</v>
      </c>
      <c r="I631" s="10" t="s">
        <v>55</v>
      </c>
      <c r="K631" s="10" t="s">
        <v>18986</v>
      </c>
      <c r="L631" s="10" t="s">
        <v>42</v>
      </c>
    </row>
    <row r="632" ht="15.75" customHeight="1">
      <c r="A632" s="67">
        <v>45473.0</v>
      </c>
      <c r="B632" s="55" t="str">
        <f>HYPERLINK("https://jobright.ai/jobs/info/6681a978127400923c662242?utm_campaign=1049&amp;utm_source=sheet", "Apply")</f>
        <v>Apply</v>
      </c>
      <c r="C632" s="10" t="s">
        <v>18985</v>
      </c>
      <c r="D632" s="56" t="s">
        <v>95</v>
      </c>
      <c r="E632" s="10">
        <v>52.0</v>
      </c>
      <c r="G632" s="10" t="s">
        <v>18636</v>
      </c>
      <c r="H632" s="10" t="s">
        <v>787</v>
      </c>
      <c r="I632" s="10" t="s">
        <v>55</v>
      </c>
      <c r="K632" s="10" t="s">
        <v>18986</v>
      </c>
      <c r="L632" s="10" t="s">
        <v>42</v>
      </c>
    </row>
    <row r="633" ht="15.75" customHeight="1">
      <c r="A633" s="67">
        <v>45473.0</v>
      </c>
      <c r="B633" s="55" t="str">
        <f>HYPERLINK("https://jobright.ai/jobs/info/6681a978127400923c66223a?utm_campaign=1049&amp;utm_source=sheet", "Apply")</f>
        <v>Apply</v>
      </c>
      <c r="C633" s="10" t="s">
        <v>18985</v>
      </c>
      <c r="D633" s="56" t="s">
        <v>95</v>
      </c>
      <c r="E633" s="10">
        <v>52.0</v>
      </c>
      <c r="G633" s="10" t="s">
        <v>18636</v>
      </c>
      <c r="H633" s="10" t="s">
        <v>1013</v>
      </c>
      <c r="I633" s="10" t="s">
        <v>55</v>
      </c>
      <c r="K633" s="10" t="s">
        <v>18986</v>
      </c>
      <c r="L633" s="10" t="s">
        <v>42</v>
      </c>
    </row>
    <row r="634" ht="15.75" customHeight="1">
      <c r="A634" s="67">
        <v>45473.0</v>
      </c>
      <c r="B634" s="55" t="str">
        <f>HYPERLINK("https://jobright.ai/jobs/info/6681a978127400923c662260?utm_campaign=1049&amp;utm_source=sheet", "Apply")</f>
        <v>Apply</v>
      </c>
      <c r="C634" s="10" t="s">
        <v>18985</v>
      </c>
      <c r="D634" s="56" t="s">
        <v>95</v>
      </c>
      <c r="E634" s="10">
        <v>52.0</v>
      </c>
      <c r="G634" s="10" t="s">
        <v>18636</v>
      </c>
      <c r="H634" s="10" t="s">
        <v>661</v>
      </c>
      <c r="I634" s="10" t="s">
        <v>55</v>
      </c>
      <c r="K634" s="10" t="s">
        <v>18986</v>
      </c>
      <c r="L634" s="10" t="s">
        <v>42</v>
      </c>
    </row>
    <row r="635" ht="15.75" customHeight="1">
      <c r="A635" s="67">
        <v>45473.0</v>
      </c>
      <c r="B635" s="55" t="str">
        <f>HYPERLINK("https://jobright.ai/jobs/info/6681a978127400923c662254?utm_campaign=1049&amp;utm_source=sheet", "Apply")</f>
        <v>Apply</v>
      </c>
      <c r="C635" s="10" t="s">
        <v>18985</v>
      </c>
      <c r="D635" s="56" t="s">
        <v>95</v>
      </c>
      <c r="E635" s="10">
        <v>52.0</v>
      </c>
      <c r="G635" s="10" t="s">
        <v>18636</v>
      </c>
      <c r="H635" s="10" t="s">
        <v>1005</v>
      </c>
      <c r="I635" s="10" t="s">
        <v>55</v>
      </c>
      <c r="K635" s="10" t="s">
        <v>18986</v>
      </c>
      <c r="L635" s="10" t="s">
        <v>42</v>
      </c>
    </row>
    <row r="636" ht="15.75" customHeight="1">
      <c r="A636" s="67">
        <v>45473.0</v>
      </c>
      <c r="B636" s="55" t="str">
        <f>HYPERLINK("https://jobright.ai/jobs/info/6681a978127400923c66225e?utm_campaign=1049&amp;utm_source=sheet", "Apply")</f>
        <v>Apply</v>
      </c>
      <c r="C636" s="10" t="s">
        <v>18985</v>
      </c>
      <c r="D636" s="56" t="s">
        <v>95</v>
      </c>
      <c r="E636" s="10">
        <v>52.0</v>
      </c>
      <c r="G636" s="10" t="s">
        <v>18636</v>
      </c>
      <c r="H636" s="10" t="s">
        <v>738</v>
      </c>
      <c r="I636" s="10" t="s">
        <v>55</v>
      </c>
      <c r="K636" s="10" t="s">
        <v>18986</v>
      </c>
      <c r="L636" s="10" t="s">
        <v>42</v>
      </c>
    </row>
    <row r="637" ht="15.75" customHeight="1">
      <c r="A637" s="67">
        <v>45473.0</v>
      </c>
      <c r="B637" s="55" t="str">
        <f>HYPERLINK("https://jobright.ai/jobs/info/6681a978127400923c662257?utm_campaign=1049&amp;utm_source=sheet", "Apply")</f>
        <v>Apply</v>
      </c>
      <c r="C637" s="10" t="s">
        <v>18985</v>
      </c>
      <c r="D637" s="56" t="s">
        <v>95</v>
      </c>
      <c r="E637" s="10">
        <v>52.0</v>
      </c>
      <c r="G637" s="10" t="s">
        <v>18636</v>
      </c>
      <c r="H637" s="10" t="s">
        <v>860</v>
      </c>
      <c r="I637" s="10" t="s">
        <v>55</v>
      </c>
      <c r="K637" s="10" t="s">
        <v>18986</v>
      </c>
      <c r="L637" s="10" t="s">
        <v>42</v>
      </c>
    </row>
    <row r="638" ht="15.75" customHeight="1">
      <c r="A638" s="67">
        <v>45473.0</v>
      </c>
      <c r="B638" s="55" t="str">
        <f>HYPERLINK("https://jobright.ai/jobs/info/6681a978127400923c662255?utm_campaign=1049&amp;utm_source=sheet", "Apply")</f>
        <v>Apply</v>
      </c>
      <c r="C638" s="10" t="s">
        <v>18985</v>
      </c>
      <c r="D638" s="56" t="s">
        <v>95</v>
      </c>
      <c r="E638" s="10">
        <v>52.0</v>
      </c>
      <c r="G638" s="10" t="s">
        <v>18636</v>
      </c>
      <c r="H638" s="10" t="s">
        <v>832</v>
      </c>
      <c r="I638" s="10" t="s">
        <v>55</v>
      </c>
      <c r="K638" s="10" t="s">
        <v>18986</v>
      </c>
      <c r="L638" s="10" t="s">
        <v>42</v>
      </c>
    </row>
    <row r="639" ht="15.75" customHeight="1">
      <c r="A639" s="67">
        <v>45473.0</v>
      </c>
      <c r="B639" s="55" t="str">
        <f>HYPERLINK("https://jobright.ai/jobs/info/6681a978127400923c66225c?utm_campaign=1049&amp;utm_source=sheet", "Apply")</f>
        <v>Apply</v>
      </c>
      <c r="C639" s="10" t="s">
        <v>18985</v>
      </c>
      <c r="D639" s="56" t="s">
        <v>95</v>
      </c>
      <c r="E639" s="10">
        <v>52.0</v>
      </c>
      <c r="G639" s="10" t="s">
        <v>18636</v>
      </c>
      <c r="H639" s="10" t="s">
        <v>993</v>
      </c>
      <c r="I639" s="10" t="s">
        <v>55</v>
      </c>
      <c r="K639" s="10" t="s">
        <v>18986</v>
      </c>
      <c r="L639" s="10" t="s">
        <v>42</v>
      </c>
    </row>
    <row r="640" ht="15.75" customHeight="1">
      <c r="A640" s="67">
        <v>45473.0</v>
      </c>
      <c r="B640" s="55" t="str">
        <f>HYPERLINK("https://jobright.ai/jobs/info/6681a978127400923c662261?utm_campaign=1049&amp;utm_source=sheet", "Apply")</f>
        <v>Apply</v>
      </c>
      <c r="C640" s="10" t="s">
        <v>18985</v>
      </c>
      <c r="D640" s="56" t="s">
        <v>95</v>
      </c>
      <c r="E640" s="10">
        <v>52.0</v>
      </c>
      <c r="G640" s="10" t="s">
        <v>18636</v>
      </c>
      <c r="H640" s="10" t="s">
        <v>113</v>
      </c>
      <c r="I640" s="10" t="s">
        <v>55</v>
      </c>
      <c r="K640" s="10" t="s">
        <v>18986</v>
      </c>
      <c r="L640" s="10" t="s">
        <v>42</v>
      </c>
    </row>
    <row r="641" ht="15.75" customHeight="1">
      <c r="A641" s="67">
        <v>45473.0</v>
      </c>
      <c r="B641" s="55" t="str">
        <f>HYPERLINK("https://jobright.ai/jobs/info/6681a978127400923c662252?utm_campaign=1049&amp;utm_source=sheet", "Apply")</f>
        <v>Apply</v>
      </c>
      <c r="C641" s="10" t="s">
        <v>18985</v>
      </c>
      <c r="D641" s="56" t="s">
        <v>95</v>
      </c>
      <c r="E641" s="10">
        <v>52.0</v>
      </c>
      <c r="G641" s="10" t="s">
        <v>18636</v>
      </c>
      <c r="H641" s="10" t="s">
        <v>245</v>
      </c>
      <c r="I641" s="10" t="s">
        <v>55</v>
      </c>
      <c r="K641" s="10" t="s">
        <v>18986</v>
      </c>
      <c r="L641" s="10" t="s">
        <v>42</v>
      </c>
    </row>
    <row r="642" ht="15.75" customHeight="1">
      <c r="A642" s="67">
        <v>45473.0</v>
      </c>
      <c r="B642" s="55" t="str">
        <f>HYPERLINK("https://jobright.ai/jobs/info/6681a978127400923c66225d?utm_campaign=1049&amp;utm_source=sheet", "Apply")</f>
        <v>Apply</v>
      </c>
      <c r="C642" s="10" t="s">
        <v>18985</v>
      </c>
      <c r="D642" s="56" t="s">
        <v>95</v>
      </c>
      <c r="E642" s="10">
        <v>52.0</v>
      </c>
      <c r="G642" s="10" t="s">
        <v>18636</v>
      </c>
      <c r="H642" s="10" t="s">
        <v>990</v>
      </c>
      <c r="I642" s="10" t="s">
        <v>55</v>
      </c>
      <c r="K642" s="10" t="s">
        <v>18986</v>
      </c>
      <c r="L642" s="10" t="s">
        <v>42</v>
      </c>
    </row>
    <row r="643" ht="15.75" customHeight="1">
      <c r="A643" s="67">
        <v>45473.0</v>
      </c>
      <c r="B643" s="55" t="str">
        <f>HYPERLINK("https://jobright.ai/jobs/info/6681a978127400923c66225f?utm_campaign=1049&amp;utm_source=sheet", "Apply")</f>
        <v>Apply</v>
      </c>
      <c r="C643" s="10" t="s">
        <v>18985</v>
      </c>
      <c r="D643" s="56" t="s">
        <v>95</v>
      </c>
      <c r="E643" s="10">
        <v>52.0</v>
      </c>
      <c r="G643" s="10" t="s">
        <v>18636</v>
      </c>
      <c r="H643" s="10" t="s">
        <v>942</v>
      </c>
      <c r="I643" s="10" t="s">
        <v>55</v>
      </c>
      <c r="K643" s="10" t="s">
        <v>18986</v>
      </c>
      <c r="L643" s="10" t="s">
        <v>42</v>
      </c>
    </row>
    <row r="644" ht="15.75" customHeight="1">
      <c r="A644" s="67">
        <v>45473.0</v>
      </c>
      <c r="B644" s="55" t="str">
        <f>HYPERLINK("https://jobright.ai/jobs/info/6681a978127400923c662262?utm_campaign=1049&amp;utm_source=sheet", "Apply")</f>
        <v>Apply</v>
      </c>
      <c r="C644" s="10" t="s">
        <v>18985</v>
      </c>
      <c r="D644" s="56" t="s">
        <v>95</v>
      </c>
      <c r="E644" s="10">
        <v>52.0</v>
      </c>
      <c r="G644" s="10" t="s">
        <v>18636</v>
      </c>
      <c r="H644" s="10" t="s">
        <v>973</v>
      </c>
      <c r="I644" s="10" t="s">
        <v>55</v>
      </c>
      <c r="K644" s="10" t="s">
        <v>18986</v>
      </c>
      <c r="L644" s="10" t="s">
        <v>42</v>
      </c>
    </row>
    <row r="645" ht="15.75" customHeight="1">
      <c r="A645" s="67">
        <v>45473.0</v>
      </c>
      <c r="B645" s="55" t="str">
        <f>HYPERLINK("https://jobright.ai/jobs/info/6681a978127400923c662263?utm_campaign=1049&amp;utm_source=sheet", "Apply")</f>
        <v>Apply</v>
      </c>
      <c r="C645" s="10" t="s">
        <v>18985</v>
      </c>
      <c r="D645" s="56" t="s">
        <v>95</v>
      </c>
      <c r="E645" s="10">
        <v>52.0</v>
      </c>
      <c r="G645" s="10" t="s">
        <v>18636</v>
      </c>
      <c r="H645" s="10" t="s">
        <v>850</v>
      </c>
      <c r="I645" s="10" t="s">
        <v>55</v>
      </c>
      <c r="K645" s="10" t="s">
        <v>18986</v>
      </c>
      <c r="L645" s="10" t="s">
        <v>42</v>
      </c>
    </row>
    <row r="646" ht="15.75" customHeight="1">
      <c r="A646" s="67">
        <v>45473.0</v>
      </c>
      <c r="B646" s="55" t="str">
        <f>HYPERLINK("https://jobright.ai/jobs/info/6681a978127400923c662267?utm_campaign=1049&amp;utm_source=sheet", "Apply")</f>
        <v>Apply</v>
      </c>
      <c r="C646" s="10" t="s">
        <v>18985</v>
      </c>
      <c r="D646" s="56" t="s">
        <v>95</v>
      </c>
      <c r="E646" s="10">
        <v>52.0</v>
      </c>
      <c r="G646" s="10" t="s">
        <v>18636</v>
      </c>
      <c r="H646" s="10" t="s">
        <v>988</v>
      </c>
      <c r="I646" s="10" t="s">
        <v>55</v>
      </c>
      <c r="K646" s="10" t="s">
        <v>18986</v>
      </c>
      <c r="L646" s="10" t="s">
        <v>42</v>
      </c>
    </row>
    <row r="647" ht="15.75" customHeight="1">
      <c r="A647" s="67">
        <v>45473.0</v>
      </c>
      <c r="B647" s="55" t="str">
        <f>HYPERLINK("https://jobright.ai/jobs/info/6681a978127400923c662272?utm_campaign=1049&amp;utm_source=sheet", "Apply")</f>
        <v>Apply</v>
      </c>
      <c r="C647" s="10" t="s">
        <v>18985</v>
      </c>
      <c r="D647" s="56" t="s">
        <v>95</v>
      </c>
      <c r="E647" s="10">
        <v>52.0</v>
      </c>
      <c r="G647" s="10" t="s">
        <v>18636</v>
      </c>
      <c r="H647" s="10" t="s">
        <v>1046</v>
      </c>
      <c r="I647" s="10" t="s">
        <v>55</v>
      </c>
      <c r="K647" s="10" t="s">
        <v>18986</v>
      </c>
      <c r="L647" s="10" t="s">
        <v>42</v>
      </c>
    </row>
    <row r="648" ht="15.75" customHeight="1">
      <c r="A648" s="67">
        <v>45473.0</v>
      </c>
      <c r="B648" s="55" t="str">
        <f>HYPERLINK("https://jobright.ai/jobs/info/6681a978127400923c662278?utm_campaign=1049&amp;utm_source=sheet", "Apply")</f>
        <v>Apply</v>
      </c>
      <c r="C648" s="10" t="s">
        <v>18985</v>
      </c>
      <c r="D648" s="56" t="s">
        <v>95</v>
      </c>
      <c r="E648" s="10">
        <v>52.0</v>
      </c>
      <c r="G648" s="10" t="s">
        <v>18636</v>
      </c>
      <c r="H648" s="10" t="s">
        <v>911</v>
      </c>
      <c r="I648" s="10" t="s">
        <v>55</v>
      </c>
      <c r="K648" s="10" t="s">
        <v>18986</v>
      </c>
      <c r="L648" s="10" t="s">
        <v>42</v>
      </c>
    </row>
    <row r="649" ht="15.75" customHeight="1">
      <c r="A649" s="67">
        <v>45473.0</v>
      </c>
      <c r="B649" s="55" t="str">
        <f>HYPERLINK("https://jobright.ai/jobs/info/6681a978127400923c66226a?utm_campaign=1049&amp;utm_source=sheet", "Apply")</f>
        <v>Apply</v>
      </c>
      <c r="C649" s="10" t="s">
        <v>18985</v>
      </c>
      <c r="D649" s="56" t="s">
        <v>95</v>
      </c>
      <c r="E649" s="10">
        <v>52.0</v>
      </c>
      <c r="G649" s="10" t="s">
        <v>18636</v>
      </c>
      <c r="H649" s="10" t="s">
        <v>778</v>
      </c>
      <c r="I649" s="10" t="s">
        <v>55</v>
      </c>
      <c r="K649" s="10" t="s">
        <v>18986</v>
      </c>
      <c r="L649" s="10" t="s">
        <v>42</v>
      </c>
    </row>
    <row r="650" ht="15.75" customHeight="1">
      <c r="A650" s="67">
        <v>45473.0</v>
      </c>
      <c r="B650" s="55" t="str">
        <f>HYPERLINK("https://jobright.ai/jobs/info/6681a978127400923c662275?utm_campaign=1049&amp;utm_source=sheet", "Apply")</f>
        <v>Apply</v>
      </c>
      <c r="C650" s="10" t="s">
        <v>18985</v>
      </c>
      <c r="D650" s="56" t="s">
        <v>95</v>
      </c>
      <c r="E650" s="10">
        <v>52.0</v>
      </c>
      <c r="G650" s="10" t="s">
        <v>18636</v>
      </c>
      <c r="H650" s="10" t="s">
        <v>934</v>
      </c>
      <c r="I650" s="10" t="s">
        <v>55</v>
      </c>
      <c r="K650" s="10" t="s">
        <v>18986</v>
      </c>
      <c r="L650" s="10" t="s">
        <v>42</v>
      </c>
    </row>
    <row r="651" ht="15.75" customHeight="1">
      <c r="A651" s="67">
        <v>45473.0</v>
      </c>
      <c r="B651" s="55" t="str">
        <f>HYPERLINK("https://jobright.ai/jobs/info/6681a978127400923c66226f?utm_campaign=1049&amp;utm_source=sheet", "Apply")</f>
        <v>Apply</v>
      </c>
      <c r="C651" s="10" t="s">
        <v>18985</v>
      </c>
      <c r="D651" s="56" t="s">
        <v>95</v>
      </c>
      <c r="E651" s="10">
        <v>52.0</v>
      </c>
      <c r="G651" s="10" t="s">
        <v>18636</v>
      </c>
      <c r="H651" s="10" t="s">
        <v>847</v>
      </c>
      <c r="I651" s="10" t="s">
        <v>55</v>
      </c>
      <c r="K651" s="10" t="s">
        <v>18986</v>
      </c>
      <c r="L651" s="10" t="s">
        <v>42</v>
      </c>
    </row>
    <row r="652" ht="15.75" customHeight="1">
      <c r="A652" s="67">
        <v>45473.0</v>
      </c>
      <c r="B652" s="55" t="str">
        <f>HYPERLINK("https://jobright.ai/jobs/info/6681a978127400923c66226b?utm_campaign=1049&amp;utm_source=sheet", "Apply")</f>
        <v>Apply</v>
      </c>
      <c r="C652" s="10" t="s">
        <v>18985</v>
      </c>
      <c r="D652" s="56" t="s">
        <v>95</v>
      </c>
      <c r="E652" s="10">
        <v>52.0</v>
      </c>
      <c r="G652" s="10" t="s">
        <v>18636</v>
      </c>
      <c r="H652" s="10" t="s">
        <v>976</v>
      </c>
      <c r="I652" s="10" t="s">
        <v>55</v>
      </c>
      <c r="K652" s="10" t="s">
        <v>18986</v>
      </c>
      <c r="L652" s="10" t="s">
        <v>42</v>
      </c>
    </row>
    <row r="653" ht="15.75" customHeight="1">
      <c r="A653" s="67">
        <v>45473.0</v>
      </c>
      <c r="B653" s="55" t="str">
        <f>HYPERLINK("https://jobright.ai/jobs/info/6681a978127400923c662271?utm_campaign=1049&amp;utm_source=sheet", "Apply")</f>
        <v>Apply</v>
      </c>
      <c r="C653" s="10" t="s">
        <v>18985</v>
      </c>
      <c r="D653" s="56" t="s">
        <v>95</v>
      </c>
      <c r="E653" s="10">
        <v>52.0</v>
      </c>
      <c r="G653" s="10" t="s">
        <v>18636</v>
      </c>
      <c r="H653" s="10" t="s">
        <v>960</v>
      </c>
      <c r="I653" s="10" t="s">
        <v>55</v>
      </c>
      <c r="K653" s="10" t="s">
        <v>18986</v>
      </c>
      <c r="L653" s="10" t="s">
        <v>42</v>
      </c>
    </row>
    <row r="654" ht="15.75" customHeight="1">
      <c r="A654" s="67">
        <v>45473.0</v>
      </c>
      <c r="B654" s="55" t="str">
        <f>HYPERLINK("https://jobright.ai/jobs/info/6681a978127400923c662268?utm_campaign=1049&amp;utm_source=sheet", "Apply")</f>
        <v>Apply</v>
      </c>
      <c r="C654" s="10" t="s">
        <v>18985</v>
      </c>
      <c r="D654" s="56" t="s">
        <v>95</v>
      </c>
      <c r="E654" s="10">
        <v>52.0</v>
      </c>
      <c r="G654" s="10" t="s">
        <v>18636</v>
      </c>
      <c r="H654" s="10" t="s">
        <v>152</v>
      </c>
      <c r="I654" s="10" t="s">
        <v>55</v>
      </c>
      <c r="K654" s="10" t="s">
        <v>18986</v>
      </c>
      <c r="L654" s="10" t="s">
        <v>42</v>
      </c>
    </row>
    <row r="655" ht="15.75" customHeight="1">
      <c r="A655" s="67">
        <v>45473.0</v>
      </c>
      <c r="B655" s="55" t="str">
        <f>HYPERLINK("https://jobright.ai/jobs/info/6681a978127400923c66226e?utm_campaign=1049&amp;utm_source=sheet", "Apply")</f>
        <v>Apply</v>
      </c>
      <c r="C655" s="10" t="s">
        <v>18985</v>
      </c>
      <c r="D655" s="56" t="s">
        <v>95</v>
      </c>
      <c r="E655" s="10">
        <v>52.0</v>
      </c>
      <c r="G655" s="10" t="s">
        <v>18636</v>
      </c>
      <c r="H655" s="10" t="s">
        <v>892</v>
      </c>
      <c r="I655" s="10" t="s">
        <v>55</v>
      </c>
      <c r="K655" s="10" t="s">
        <v>18986</v>
      </c>
      <c r="L655" s="10" t="s">
        <v>42</v>
      </c>
    </row>
    <row r="656" ht="15.75" customHeight="1">
      <c r="A656" s="67">
        <v>45473.0</v>
      </c>
      <c r="B656" s="55" t="str">
        <f>HYPERLINK("https://jobright.ai/jobs/info/6681a978127400923c662274?utm_campaign=1049&amp;utm_source=sheet", "Apply")</f>
        <v>Apply</v>
      </c>
      <c r="C656" s="10" t="s">
        <v>18985</v>
      </c>
      <c r="D656" s="56" t="s">
        <v>95</v>
      </c>
      <c r="E656" s="10">
        <v>52.0</v>
      </c>
      <c r="G656" s="10" t="s">
        <v>18636</v>
      </c>
      <c r="H656" s="10" t="s">
        <v>866</v>
      </c>
      <c r="I656" s="10" t="s">
        <v>55</v>
      </c>
      <c r="K656" s="10" t="s">
        <v>18986</v>
      </c>
      <c r="L656" s="10" t="s">
        <v>42</v>
      </c>
    </row>
    <row r="657" ht="15.75" customHeight="1">
      <c r="A657" s="67">
        <v>45473.0</v>
      </c>
      <c r="B657" s="55" t="str">
        <f>HYPERLINK("https://jobright.ai/jobs/info/6681a978127400923c662288?utm_campaign=1049&amp;utm_source=sheet", "Apply")</f>
        <v>Apply</v>
      </c>
      <c r="C657" s="10" t="s">
        <v>18985</v>
      </c>
      <c r="D657" s="56" t="s">
        <v>95</v>
      </c>
      <c r="E657" s="10">
        <v>52.0</v>
      </c>
      <c r="G657" s="10" t="s">
        <v>18636</v>
      </c>
      <c r="H657" s="10" t="s">
        <v>885</v>
      </c>
      <c r="I657" s="10" t="s">
        <v>55</v>
      </c>
      <c r="K657" s="10" t="s">
        <v>18986</v>
      </c>
      <c r="L657" s="10" t="s">
        <v>42</v>
      </c>
    </row>
    <row r="658" ht="15.75" customHeight="1">
      <c r="A658" s="67">
        <v>45473.0</v>
      </c>
      <c r="B658" s="55" t="str">
        <f>HYPERLINK("https://jobright.ai/jobs/info/6681a978127400923c662281?utm_campaign=1049&amp;utm_source=sheet", "Apply")</f>
        <v>Apply</v>
      </c>
      <c r="C658" s="10" t="s">
        <v>18985</v>
      </c>
      <c r="D658" s="56" t="s">
        <v>95</v>
      </c>
      <c r="E658" s="10">
        <v>52.0</v>
      </c>
      <c r="G658" s="10" t="s">
        <v>18636</v>
      </c>
      <c r="H658" s="10" t="s">
        <v>950</v>
      </c>
      <c r="I658" s="10" t="s">
        <v>55</v>
      </c>
      <c r="K658" s="10" t="s">
        <v>18986</v>
      </c>
      <c r="L658" s="10" t="s">
        <v>42</v>
      </c>
    </row>
    <row r="659" ht="15.75" customHeight="1">
      <c r="A659" s="67">
        <v>45473.0</v>
      </c>
      <c r="B659" s="55" t="str">
        <f>HYPERLINK("https://jobright.ai/jobs/info/6681a978127400923c66227c?utm_campaign=1049&amp;utm_source=sheet", "Apply")</f>
        <v>Apply</v>
      </c>
      <c r="C659" s="10" t="s">
        <v>18985</v>
      </c>
      <c r="D659" s="56" t="s">
        <v>95</v>
      </c>
      <c r="E659" s="10">
        <v>52.0</v>
      </c>
      <c r="G659" s="10" t="s">
        <v>18636</v>
      </c>
      <c r="H659" s="10" t="s">
        <v>966</v>
      </c>
      <c r="I659" s="10" t="s">
        <v>55</v>
      </c>
      <c r="K659" s="10" t="s">
        <v>18986</v>
      </c>
      <c r="L659" s="10" t="s">
        <v>42</v>
      </c>
    </row>
    <row r="660" ht="15.75" customHeight="1">
      <c r="A660" s="67">
        <v>45473.0</v>
      </c>
      <c r="B660" s="55" t="str">
        <f>HYPERLINK("https://jobright.ai/jobs/info/6681a978127400923c662280?utm_campaign=1049&amp;utm_source=sheet", "Apply")</f>
        <v>Apply</v>
      </c>
      <c r="C660" s="10" t="s">
        <v>18985</v>
      </c>
      <c r="D660" s="56" t="s">
        <v>95</v>
      </c>
      <c r="E660" s="10">
        <v>52.0</v>
      </c>
      <c r="G660" s="10" t="s">
        <v>18636</v>
      </c>
      <c r="H660" s="10" t="s">
        <v>1029</v>
      </c>
      <c r="I660" s="10" t="s">
        <v>55</v>
      </c>
      <c r="K660" s="10" t="s">
        <v>18986</v>
      </c>
      <c r="L660" s="10" t="s">
        <v>42</v>
      </c>
    </row>
    <row r="661" ht="15.75" customHeight="1">
      <c r="A661" s="67">
        <v>45473.0</v>
      </c>
      <c r="B661" s="55" t="str">
        <f>HYPERLINK("https://jobright.ai/jobs/info/6681a978127400923c662285?utm_campaign=1049&amp;utm_source=sheet", "Apply")</f>
        <v>Apply</v>
      </c>
      <c r="C661" s="10" t="s">
        <v>18985</v>
      </c>
      <c r="D661" s="56" t="s">
        <v>95</v>
      </c>
      <c r="E661" s="10">
        <v>52.0</v>
      </c>
      <c r="G661" s="10" t="s">
        <v>18636</v>
      </c>
      <c r="H661" s="10" t="s">
        <v>928</v>
      </c>
      <c r="I661" s="10" t="s">
        <v>55</v>
      </c>
      <c r="K661" s="10" t="s">
        <v>18986</v>
      </c>
      <c r="L661" s="10" t="s">
        <v>42</v>
      </c>
    </row>
    <row r="662" ht="15.75" customHeight="1">
      <c r="A662" s="67">
        <v>45473.0</v>
      </c>
      <c r="B662" s="55" t="str">
        <f>HYPERLINK("https://jobright.ai/jobs/info/6681a978127400923c662282?utm_campaign=1049&amp;utm_source=sheet", "Apply")</f>
        <v>Apply</v>
      </c>
      <c r="C662" s="10" t="s">
        <v>18985</v>
      </c>
      <c r="D662" s="56" t="s">
        <v>95</v>
      </c>
      <c r="E662" s="10">
        <v>52.0</v>
      </c>
      <c r="G662" s="10" t="s">
        <v>18636</v>
      </c>
      <c r="H662" s="10" t="s">
        <v>862</v>
      </c>
      <c r="I662" s="10" t="s">
        <v>55</v>
      </c>
      <c r="K662" s="10" t="s">
        <v>18986</v>
      </c>
      <c r="L662" s="10" t="s">
        <v>42</v>
      </c>
    </row>
    <row r="663" ht="15.75" customHeight="1">
      <c r="A663" s="67">
        <v>45473.0</v>
      </c>
      <c r="B663" s="55" t="str">
        <f>HYPERLINK("https://jobright.ai/jobs/info/6681a978127400923c662287?utm_campaign=1049&amp;utm_source=sheet", "Apply")</f>
        <v>Apply</v>
      </c>
      <c r="C663" s="10" t="s">
        <v>18985</v>
      </c>
      <c r="D663" s="56" t="s">
        <v>95</v>
      </c>
      <c r="E663" s="10">
        <v>52.0</v>
      </c>
      <c r="G663" s="10" t="s">
        <v>18636</v>
      </c>
      <c r="H663" s="10" t="s">
        <v>962</v>
      </c>
      <c r="I663" s="10" t="s">
        <v>55</v>
      </c>
      <c r="K663" s="10" t="s">
        <v>18986</v>
      </c>
      <c r="L663" s="10" t="s">
        <v>42</v>
      </c>
    </row>
    <row r="664" ht="15.75" customHeight="1">
      <c r="A664" s="67">
        <v>45473.0</v>
      </c>
      <c r="B664" s="55" t="str">
        <f>HYPERLINK("https://jobright.ai/jobs/info/6681a978127400923c66228b?utm_campaign=1049&amp;utm_source=sheet", "Apply")</f>
        <v>Apply</v>
      </c>
      <c r="C664" s="10" t="s">
        <v>18985</v>
      </c>
      <c r="D664" s="56" t="s">
        <v>95</v>
      </c>
      <c r="E664" s="10">
        <v>52.0</v>
      </c>
      <c r="G664" s="10" t="s">
        <v>18636</v>
      </c>
      <c r="H664" s="10" t="s">
        <v>974</v>
      </c>
      <c r="I664" s="10" t="s">
        <v>55</v>
      </c>
      <c r="K664" s="10" t="s">
        <v>18986</v>
      </c>
      <c r="L664" s="10" t="s">
        <v>42</v>
      </c>
    </row>
    <row r="665" ht="15.75" customHeight="1">
      <c r="A665" s="67">
        <v>45473.0</v>
      </c>
      <c r="B665" s="55" t="str">
        <f>HYPERLINK("https://jobright.ai/jobs/info/6681a978127400923c66228e?utm_campaign=1049&amp;utm_source=sheet", "Apply")</f>
        <v>Apply</v>
      </c>
      <c r="C665" s="10" t="s">
        <v>18985</v>
      </c>
      <c r="D665" s="56" t="s">
        <v>95</v>
      </c>
      <c r="E665" s="10">
        <v>52.0</v>
      </c>
      <c r="G665" s="10" t="s">
        <v>18636</v>
      </c>
      <c r="H665" s="10" t="s">
        <v>861</v>
      </c>
      <c r="I665" s="10" t="s">
        <v>55</v>
      </c>
      <c r="K665" s="10" t="s">
        <v>18986</v>
      </c>
      <c r="L665" s="10" t="s">
        <v>42</v>
      </c>
    </row>
    <row r="666" ht="15.75" customHeight="1">
      <c r="A666" s="67">
        <v>45473.0</v>
      </c>
      <c r="B666" s="55" t="str">
        <f>HYPERLINK("https://jobright.ai/jobs/info/6681a978127400923c66227f?utm_campaign=1049&amp;utm_source=sheet", "Apply")</f>
        <v>Apply</v>
      </c>
      <c r="C666" s="10" t="s">
        <v>18985</v>
      </c>
      <c r="D666" s="56" t="s">
        <v>95</v>
      </c>
      <c r="E666" s="10">
        <v>52.0</v>
      </c>
      <c r="G666" s="10" t="s">
        <v>18636</v>
      </c>
      <c r="H666" s="10" t="s">
        <v>774</v>
      </c>
      <c r="I666" s="10" t="s">
        <v>55</v>
      </c>
      <c r="K666" s="10" t="s">
        <v>18986</v>
      </c>
      <c r="L666" s="10" t="s">
        <v>42</v>
      </c>
    </row>
    <row r="667" ht="15.75" customHeight="1">
      <c r="A667" s="67">
        <v>45473.0</v>
      </c>
      <c r="B667" s="55" t="str">
        <f>HYPERLINK("https://jobright.ai/jobs/info/6681a978127400923c66227a?utm_campaign=1049&amp;utm_source=sheet", "Apply")</f>
        <v>Apply</v>
      </c>
      <c r="C667" s="10" t="s">
        <v>18985</v>
      </c>
      <c r="D667" s="56" t="s">
        <v>95</v>
      </c>
      <c r="E667" s="10">
        <v>52.0</v>
      </c>
      <c r="G667" s="10" t="s">
        <v>18636</v>
      </c>
      <c r="H667" s="10" t="s">
        <v>1016</v>
      </c>
      <c r="I667" s="10" t="s">
        <v>55</v>
      </c>
      <c r="K667" s="10" t="s">
        <v>18986</v>
      </c>
      <c r="L667" s="10" t="s">
        <v>42</v>
      </c>
    </row>
    <row r="668" ht="15.75" customHeight="1">
      <c r="A668" s="67">
        <v>45473.0</v>
      </c>
      <c r="B668" s="55" t="str">
        <f>HYPERLINK("https://jobright.ai/jobs/info/6681a978127400923c662292?utm_campaign=1049&amp;utm_source=sheet", "Apply")</f>
        <v>Apply</v>
      </c>
      <c r="C668" s="10" t="s">
        <v>18985</v>
      </c>
      <c r="D668" s="56" t="s">
        <v>95</v>
      </c>
      <c r="E668" s="10">
        <v>52.0</v>
      </c>
      <c r="G668" s="10" t="s">
        <v>18636</v>
      </c>
      <c r="H668" s="10" t="s">
        <v>940</v>
      </c>
      <c r="I668" s="10" t="s">
        <v>55</v>
      </c>
      <c r="K668" s="10" t="s">
        <v>18986</v>
      </c>
      <c r="L668" s="10" t="s">
        <v>42</v>
      </c>
    </row>
    <row r="669" ht="15.75" customHeight="1">
      <c r="A669" s="67">
        <v>45473.0</v>
      </c>
      <c r="B669" s="55" t="str">
        <f>HYPERLINK("https://jobright.ai/jobs/info/6681a978127400923c662290?utm_campaign=1049&amp;utm_source=sheet", "Apply")</f>
        <v>Apply</v>
      </c>
      <c r="C669" s="10" t="s">
        <v>18985</v>
      </c>
      <c r="D669" s="56" t="s">
        <v>95</v>
      </c>
      <c r="E669" s="10">
        <v>52.0</v>
      </c>
      <c r="G669" s="10" t="s">
        <v>18636</v>
      </c>
      <c r="H669" s="10" t="s">
        <v>790</v>
      </c>
      <c r="I669" s="10" t="s">
        <v>55</v>
      </c>
      <c r="K669" s="10" t="s">
        <v>18986</v>
      </c>
      <c r="L669" s="10" t="s">
        <v>42</v>
      </c>
    </row>
    <row r="670" ht="15.75" customHeight="1">
      <c r="A670" s="67">
        <v>45473.0</v>
      </c>
      <c r="B670" s="55" t="str">
        <f>HYPERLINK("https://jobright.ai/jobs/info/6681a978127400923c662295?utm_campaign=1049&amp;utm_source=sheet", "Apply")</f>
        <v>Apply</v>
      </c>
      <c r="C670" s="10" t="s">
        <v>18985</v>
      </c>
      <c r="D670" s="56" t="s">
        <v>95</v>
      </c>
      <c r="E670" s="10">
        <v>52.0</v>
      </c>
      <c r="G670" s="10" t="s">
        <v>18636</v>
      </c>
      <c r="H670" s="10" t="s">
        <v>313</v>
      </c>
      <c r="I670" s="10" t="s">
        <v>55</v>
      </c>
      <c r="K670" s="10" t="s">
        <v>18986</v>
      </c>
      <c r="L670" s="10" t="s">
        <v>42</v>
      </c>
    </row>
    <row r="671" ht="15.75" customHeight="1">
      <c r="A671" s="67">
        <v>45473.0</v>
      </c>
      <c r="B671" s="55" t="str">
        <f>HYPERLINK("https://jobright.ai/jobs/info/6681a978127400923c66229b?utm_campaign=1049&amp;utm_source=sheet", "Apply")</f>
        <v>Apply</v>
      </c>
      <c r="C671" s="10" t="s">
        <v>18985</v>
      </c>
      <c r="D671" s="56" t="s">
        <v>95</v>
      </c>
      <c r="E671" s="10">
        <v>52.0</v>
      </c>
      <c r="G671" s="10" t="s">
        <v>18636</v>
      </c>
      <c r="H671" s="10" t="s">
        <v>975</v>
      </c>
      <c r="I671" s="10" t="s">
        <v>55</v>
      </c>
      <c r="K671" s="10" t="s">
        <v>18986</v>
      </c>
      <c r="L671" s="10" t="s">
        <v>42</v>
      </c>
    </row>
    <row r="672" ht="15.75" customHeight="1">
      <c r="A672" s="67">
        <v>45473.0</v>
      </c>
      <c r="B672" s="55" t="str">
        <f>HYPERLINK("https://jobright.ai/jobs/info/6681a978127400923c662298?utm_campaign=1049&amp;utm_source=sheet", "Apply")</f>
        <v>Apply</v>
      </c>
      <c r="C672" s="10" t="s">
        <v>18985</v>
      </c>
      <c r="D672" s="56" t="s">
        <v>95</v>
      </c>
      <c r="E672" s="10">
        <v>52.0</v>
      </c>
      <c r="G672" s="10" t="s">
        <v>18636</v>
      </c>
      <c r="H672" s="10" t="s">
        <v>965</v>
      </c>
      <c r="I672" s="10" t="s">
        <v>55</v>
      </c>
      <c r="K672" s="10" t="s">
        <v>18986</v>
      </c>
      <c r="L672" s="10" t="s">
        <v>42</v>
      </c>
    </row>
    <row r="673" ht="15.75" customHeight="1">
      <c r="A673" s="67">
        <v>45473.0</v>
      </c>
      <c r="B673" s="55" t="str">
        <f>HYPERLINK("https://jobright.ai/jobs/info/6681a97f127400923c6622ab?utm_campaign=1049&amp;utm_source=sheet", "Apply")</f>
        <v>Apply</v>
      </c>
      <c r="C673" s="10" t="s">
        <v>18985</v>
      </c>
      <c r="D673" s="56" t="s">
        <v>95</v>
      </c>
      <c r="E673" s="10">
        <v>52.0</v>
      </c>
      <c r="G673" s="10" t="s">
        <v>18636</v>
      </c>
      <c r="H673" s="10" t="s">
        <v>1047</v>
      </c>
      <c r="I673" s="10" t="s">
        <v>55</v>
      </c>
      <c r="K673" s="10" t="s">
        <v>18986</v>
      </c>
      <c r="L673" s="10" t="s">
        <v>42</v>
      </c>
    </row>
    <row r="674" ht="15.75" customHeight="1">
      <c r="A674" s="67">
        <v>45473.0</v>
      </c>
      <c r="B674" s="55" t="str">
        <f>HYPERLINK("https://jobright.ai/jobs/info/6681a97f127400923c6622a9?utm_campaign=1049&amp;utm_source=sheet", "Apply")</f>
        <v>Apply</v>
      </c>
      <c r="C674" s="10" t="s">
        <v>18985</v>
      </c>
      <c r="D674" s="56" t="s">
        <v>95</v>
      </c>
      <c r="E674" s="10">
        <v>52.0</v>
      </c>
      <c r="G674" s="10" t="s">
        <v>18636</v>
      </c>
      <c r="H674" s="10" t="s">
        <v>765</v>
      </c>
      <c r="I674" s="10" t="s">
        <v>55</v>
      </c>
      <c r="K674" s="10" t="s">
        <v>18986</v>
      </c>
      <c r="L674" s="10" t="s">
        <v>42</v>
      </c>
    </row>
    <row r="675" ht="15.75" customHeight="1">
      <c r="A675" s="67">
        <v>45473.0</v>
      </c>
      <c r="B675" s="55" t="str">
        <f>HYPERLINK("https://jobright.ai/jobs/info/6681a97f127400923c6622ac?utm_campaign=1049&amp;utm_source=sheet", "Apply")</f>
        <v>Apply</v>
      </c>
      <c r="C675" s="10" t="s">
        <v>18985</v>
      </c>
      <c r="D675" s="56" t="s">
        <v>95</v>
      </c>
      <c r="E675" s="10">
        <v>52.0</v>
      </c>
      <c r="G675" s="10" t="s">
        <v>18636</v>
      </c>
      <c r="H675" s="10" t="s">
        <v>73</v>
      </c>
      <c r="I675" s="10" t="s">
        <v>55</v>
      </c>
      <c r="K675" s="10" t="s">
        <v>18986</v>
      </c>
      <c r="L675" s="10" t="s">
        <v>42</v>
      </c>
    </row>
    <row r="676" ht="15.75" customHeight="1">
      <c r="A676" s="67">
        <v>45473.0</v>
      </c>
      <c r="B676" s="55" t="str">
        <f>HYPERLINK("https://jobright.ai/jobs/info/6681a97f127400923c6622aa?utm_campaign=1049&amp;utm_source=sheet", "Apply")</f>
        <v>Apply</v>
      </c>
      <c r="C676" s="10" t="s">
        <v>18985</v>
      </c>
      <c r="D676" s="56" t="s">
        <v>95</v>
      </c>
      <c r="E676" s="10">
        <v>52.0</v>
      </c>
      <c r="G676" s="10" t="s">
        <v>18636</v>
      </c>
      <c r="H676" s="10" t="s">
        <v>998</v>
      </c>
      <c r="I676" s="10" t="s">
        <v>55</v>
      </c>
      <c r="K676" s="10" t="s">
        <v>18986</v>
      </c>
      <c r="L676" s="10" t="s">
        <v>42</v>
      </c>
    </row>
    <row r="677" ht="15.75" customHeight="1">
      <c r="A677" s="67">
        <v>45473.0</v>
      </c>
      <c r="B677" s="55" t="str">
        <f>HYPERLINK("https://jobright.ai/jobs/info/6681a97f127400923c6622a7?utm_campaign=1049&amp;utm_source=sheet", "Apply")</f>
        <v>Apply</v>
      </c>
      <c r="C677" s="10" t="s">
        <v>18985</v>
      </c>
      <c r="D677" s="56" t="s">
        <v>95</v>
      </c>
      <c r="E677" s="10">
        <v>52.0</v>
      </c>
      <c r="G677" s="10" t="s">
        <v>18636</v>
      </c>
      <c r="H677" s="10" t="s">
        <v>146</v>
      </c>
      <c r="I677" s="10" t="s">
        <v>55</v>
      </c>
      <c r="K677" s="10" t="s">
        <v>18986</v>
      </c>
      <c r="L677" s="10" t="s">
        <v>42</v>
      </c>
    </row>
    <row r="678" ht="15.75" customHeight="1">
      <c r="A678" s="67">
        <v>45473.0</v>
      </c>
      <c r="B678" s="55" t="str">
        <f>HYPERLINK("https://jobright.ai/jobs/info/6681a97f127400923c6622a3?utm_campaign=1049&amp;utm_source=sheet", "Apply")</f>
        <v>Apply</v>
      </c>
      <c r="C678" s="10" t="s">
        <v>18985</v>
      </c>
      <c r="D678" s="56" t="s">
        <v>95</v>
      </c>
      <c r="E678" s="10">
        <v>52.0</v>
      </c>
      <c r="G678" s="10" t="s">
        <v>18636</v>
      </c>
      <c r="H678" s="10" t="s">
        <v>1048</v>
      </c>
      <c r="I678" s="10" t="s">
        <v>55</v>
      </c>
      <c r="K678" s="10" t="s">
        <v>18986</v>
      </c>
      <c r="L678" s="10" t="s">
        <v>42</v>
      </c>
    </row>
    <row r="679" ht="15.75" customHeight="1">
      <c r="A679" s="67">
        <v>45473.0</v>
      </c>
      <c r="B679" s="55" t="str">
        <f>HYPERLINK("https://jobright.ai/jobs/info/6681a97f127400923c6622b7?utm_campaign=1049&amp;utm_source=sheet", "Apply")</f>
        <v>Apply</v>
      </c>
      <c r="C679" s="10" t="s">
        <v>18985</v>
      </c>
      <c r="D679" s="56" t="s">
        <v>95</v>
      </c>
      <c r="E679" s="10">
        <v>52.0</v>
      </c>
      <c r="G679" s="10" t="s">
        <v>18636</v>
      </c>
      <c r="H679" s="10" t="s">
        <v>921</v>
      </c>
      <c r="I679" s="10" t="s">
        <v>55</v>
      </c>
      <c r="K679" s="10" t="s">
        <v>18986</v>
      </c>
      <c r="L679" s="10" t="s">
        <v>42</v>
      </c>
    </row>
    <row r="680" ht="15.75" customHeight="1">
      <c r="A680" s="67">
        <v>45473.0</v>
      </c>
      <c r="B680" s="55" t="str">
        <f>HYPERLINK("https://jobright.ai/jobs/info/6681a97f127400923c6622b3?utm_campaign=1049&amp;utm_source=sheet", "Apply")</f>
        <v>Apply</v>
      </c>
      <c r="C680" s="10" t="s">
        <v>18985</v>
      </c>
      <c r="D680" s="56" t="s">
        <v>95</v>
      </c>
      <c r="E680" s="10">
        <v>52.0</v>
      </c>
      <c r="G680" s="10" t="s">
        <v>18636</v>
      </c>
      <c r="H680" s="10" t="s">
        <v>139</v>
      </c>
      <c r="I680" s="10" t="s">
        <v>55</v>
      </c>
      <c r="K680" s="10" t="s">
        <v>18986</v>
      </c>
      <c r="L680" s="10" t="s">
        <v>42</v>
      </c>
    </row>
    <row r="681" ht="15.75" customHeight="1">
      <c r="A681" s="67">
        <v>45473.0</v>
      </c>
      <c r="B681" s="55" t="str">
        <f>HYPERLINK("https://jobright.ai/jobs/info/6681a97f127400923c6622ae?utm_campaign=1049&amp;utm_source=sheet", "Apply")</f>
        <v>Apply</v>
      </c>
      <c r="C681" s="10" t="s">
        <v>18985</v>
      </c>
      <c r="D681" s="56" t="s">
        <v>95</v>
      </c>
      <c r="E681" s="10">
        <v>52.0</v>
      </c>
      <c r="G681" s="10" t="s">
        <v>18636</v>
      </c>
      <c r="H681" s="10" t="s">
        <v>361</v>
      </c>
      <c r="I681" s="10" t="s">
        <v>55</v>
      </c>
      <c r="K681" s="10" t="s">
        <v>18986</v>
      </c>
      <c r="L681" s="10" t="s">
        <v>42</v>
      </c>
    </row>
    <row r="682" ht="15.75" customHeight="1">
      <c r="A682" s="67">
        <v>45473.0</v>
      </c>
      <c r="B682" s="55" t="str">
        <f>HYPERLINK("https://jobright.ai/jobs/info/6681a5a0e2513bb044b9d0ae?utm_campaign=1049&amp;utm_source=sheet", "Apply")</f>
        <v>Apply</v>
      </c>
      <c r="C682" s="10" t="s">
        <v>18985</v>
      </c>
      <c r="D682" s="56" t="s">
        <v>95</v>
      </c>
      <c r="E682" s="10">
        <v>52.0</v>
      </c>
      <c r="G682" s="10" t="s">
        <v>18636</v>
      </c>
      <c r="H682" s="10" t="s">
        <v>1009</v>
      </c>
      <c r="I682" s="10" t="s">
        <v>55</v>
      </c>
      <c r="K682" s="10" t="s">
        <v>18986</v>
      </c>
      <c r="L682" s="10" t="s">
        <v>42</v>
      </c>
    </row>
    <row r="683" ht="15.75" customHeight="1">
      <c r="A683" s="67">
        <v>45473.0</v>
      </c>
      <c r="B683" s="55" t="str">
        <f>HYPERLINK("https://jobright.ai/jobs/info/6681a5a0e2513bb044b9d0af?utm_campaign=1049&amp;utm_source=sheet", "Apply")</f>
        <v>Apply</v>
      </c>
      <c r="C683" s="10" t="s">
        <v>18985</v>
      </c>
      <c r="D683" s="56" t="s">
        <v>95</v>
      </c>
      <c r="E683" s="10">
        <v>52.0</v>
      </c>
      <c r="G683" s="10" t="s">
        <v>18636</v>
      </c>
      <c r="H683" s="10" t="s">
        <v>964</v>
      </c>
      <c r="I683" s="10" t="s">
        <v>55</v>
      </c>
      <c r="K683" s="10" t="s">
        <v>18986</v>
      </c>
      <c r="L683" s="10" t="s">
        <v>42</v>
      </c>
    </row>
    <row r="684" ht="15.75" customHeight="1">
      <c r="A684" s="67">
        <v>45472.0</v>
      </c>
      <c r="B684" s="55" t="str">
        <f>HYPERLINK("https://jobright.ai/jobs/info/667dd7eb8d93809a9317abea?utm_campaign=1049&amp;utm_source=sheet", "Apply")</f>
        <v>Apply</v>
      </c>
      <c r="C684" s="10" t="s">
        <v>18916</v>
      </c>
      <c r="D684" s="56" t="s">
        <v>19275</v>
      </c>
      <c r="E684" s="10" t="s">
        <v>65</v>
      </c>
      <c r="F684" s="10" t="s">
        <v>2673</v>
      </c>
      <c r="G684" s="10" t="s">
        <v>18636</v>
      </c>
      <c r="H684" s="10" t="s">
        <v>371</v>
      </c>
      <c r="I684" s="10" t="s">
        <v>55</v>
      </c>
      <c r="K684" s="10" t="s">
        <v>19276</v>
      </c>
      <c r="L684" s="10" t="s">
        <v>42</v>
      </c>
    </row>
    <row r="685" ht="15.75" customHeight="1">
      <c r="A685" s="67">
        <v>45472.0</v>
      </c>
      <c r="B685" s="55" t="str">
        <f>HYPERLINK("https://jobright.ai/jobs/info/667f57a194bc14ba6aa023c7?utm_campaign=1049&amp;utm_source=sheet", "Apply")</f>
        <v>Apply</v>
      </c>
      <c r="C685" s="10" t="s">
        <v>19277</v>
      </c>
      <c r="D685" s="56" t="s">
        <v>2081</v>
      </c>
      <c r="E685" s="10" t="s">
        <v>209</v>
      </c>
      <c r="F685" s="10" t="s">
        <v>1435</v>
      </c>
      <c r="G685" s="10" t="s">
        <v>18642</v>
      </c>
      <c r="H685" s="10" t="s">
        <v>2082</v>
      </c>
      <c r="I685" s="10" t="s">
        <v>55</v>
      </c>
      <c r="J685" s="10" t="s">
        <v>9795</v>
      </c>
      <c r="K685" s="10" t="s">
        <v>19278</v>
      </c>
      <c r="L685" s="10" t="s">
        <v>42</v>
      </c>
    </row>
    <row r="686" ht="15.75" customHeight="1">
      <c r="A686" s="67">
        <v>45471.0</v>
      </c>
      <c r="B686" s="55" t="str">
        <f>HYPERLINK("https://jobright.ai/jobs/info/667f155e1074e518685ce00d?utm_campaign=1049&amp;utm_source=sheet", "Apply")</f>
        <v>Apply</v>
      </c>
      <c r="C686" s="10" t="s">
        <v>19279</v>
      </c>
      <c r="D686" s="56" t="s">
        <v>1283</v>
      </c>
      <c r="E686" s="10" t="s">
        <v>137</v>
      </c>
      <c r="F686" s="10" t="s">
        <v>1284</v>
      </c>
      <c r="G686" s="10" t="s">
        <v>18636</v>
      </c>
      <c r="H686" s="10" t="s">
        <v>1285</v>
      </c>
      <c r="I686" s="10" t="s">
        <v>55</v>
      </c>
      <c r="K686" s="10" t="s">
        <v>19280</v>
      </c>
      <c r="L686" s="10" t="s">
        <v>42</v>
      </c>
    </row>
    <row r="687" ht="15.75" customHeight="1">
      <c r="A687" s="67">
        <v>45471.0</v>
      </c>
      <c r="B687" s="55" t="str">
        <f>HYPERLINK("https://jobright.ai/jobs/info/667e8f16bbf135a0db7e6230?utm_campaign=1049&amp;utm_source=sheet", "Apply")</f>
        <v>Apply</v>
      </c>
      <c r="C687" s="10" t="s">
        <v>19281</v>
      </c>
      <c r="D687" s="56" t="s">
        <v>13615</v>
      </c>
      <c r="E687" s="10" t="s">
        <v>65</v>
      </c>
      <c r="F687" s="10" t="s">
        <v>400</v>
      </c>
      <c r="G687" s="10" t="s">
        <v>18636</v>
      </c>
      <c r="H687" s="10" t="s">
        <v>10547</v>
      </c>
      <c r="I687" s="10" t="s">
        <v>48</v>
      </c>
      <c r="K687" s="10" t="s">
        <v>19282</v>
      </c>
      <c r="L687" s="10" t="s">
        <v>42</v>
      </c>
    </row>
    <row r="688" ht="15.75" customHeight="1">
      <c r="A688" s="67">
        <v>45471.0</v>
      </c>
      <c r="B688" s="55" t="str">
        <f>HYPERLINK("https://jobright.ai/jobs/info/667e3e752370d685e8a61484?utm_campaign=1049&amp;utm_source=sheet", "Apply")</f>
        <v>Apply</v>
      </c>
      <c r="C688" s="10" t="s">
        <v>18909</v>
      </c>
      <c r="D688" s="56" t="s">
        <v>18828</v>
      </c>
      <c r="E688" s="10" t="s">
        <v>71</v>
      </c>
      <c r="F688" s="10" t="s">
        <v>18829</v>
      </c>
      <c r="G688" s="10" t="s">
        <v>18636</v>
      </c>
      <c r="H688" s="10" t="s">
        <v>18910</v>
      </c>
      <c r="I688" s="10" t="s">
        <v>55</v>
      </c>
      <c r="J688" s="10" t="s">
        <v>18818</v>
      </c>
      <c r="K688" s="10" t="s">
        <v>18911</v>
      </c>
      <c r="L688" s="10" t="s">
        <v>42</v>
      </c>
    </row>
    <row r="689" ht="15.75" customHeight="1">
      <c r="A689" s="67">
        <v>45471.0</v>
      </c>
      <c r="B689" s="55" t="str">
        <f>HYPERLINK("https://jobright.ai/jobs/info/667f4f683215408025c9e5fb?utm_campaign=1049&amp;utm_source=sheet", "Apply")</f>
        <v>Apply</v>
      </c>
      <c r="C689" s="10" t="s">
        <v>19283</v>
      </c>
      <c r="D689" s="56" t="s">
        <v>19284</v>
      </c>
      <c r="E689" s="10" t="s">
        <v>249</v>
      </c>
      <c r="F689" s="10" t="s">
        <v>2588</v>
      </c>
      <c r="G689" s="10" t="s">
        <v>18631</v>
      </c>
      <c r="H689" s="10" t="s">
        <v>96</v>
      </c>
      <c r="I689" s="10" t="s">
        <v>55</v>
      </c>
      <c r="J689" s="10" t="s">
        <v>19285</v>
      </c>
      <c r="K689" s="10" t="s">
        <v>19286</v>
      </c>
      <c r="L689" s="10" t="s">
        <v>42</v>
      </c>
    </row>
    <row r="690" ht="15.75" customHeight="1">
      <c r="A690" s="67">
        <v>45471.0</v>
      </c>
      <c r="B690" s="55" t="str">
        <f>HYPERLINK("https://jobright.ai/jobs/info/667f49684a8354e27fe8afcc?utm_campaign=1049&amp;utm_source=sheet", "Apply")</f>
        <v>Apply</v>
      </c>
      <c r="C690" s="10" t="s">
        <v>19287</v>
      </c>
      <c r="D690" s="56" t="s">
        <v>19288</v>
      </c>
      <c r="E690" s="10" t="s">
        <v>65</v>
      </c>
      <c r="F690" s="10" t="s">
        <v>19289</v>
      </c>
      <c r="G690" s="10" t="s">
        <v>18779</v>
      </c>
      <c r="H690" s="10" t="s">
        <v>96</v>
      </c>
      <c r="I690" s="10" t="s">
        <v>48</v>
      </c>
      <c r="K690" s="10" t="s">
        <v>19290</v>
      </c>
      <c r="L690" s="10" t="s">
        <v>42</v>
      </c>
    </row>
    <row r="691" ht="15.75" customHeight="1">
      <c r="A691" s="67">
        <v>45471.0</v>
      </c>
      <c r="B691" s="55" t="str">
        <f>HYPERLINK("https://jobright.ai/jobs/info/667f57c394bc14ba6aa02637?utm_campaign=1049&amp;utm_source=sheet", "Apply")</f>
        <v>Apply</v>
      </c>
      <c r="C691" s="10" t="s">
        <v>19291</v>
      </c>
      <c r="D691" s="56" t="s">
        <v>19292</v>
      </c>
      <c r="E691" s="10" t="s">
        <v>276</v>
      </c>
      <c r="F691" s="10" t="s">
        <v>19293</v>
      </c>
      <c r="G691" s="10" t="s">
        <v>18636</v>
      </c>
      <c r="H691" s="10" t="s">
        <v>572</v>
      </c>
      <c r="I691" s="10" t="s">
        <v>55</v>
      </c>
      <c r="K691" s="10" t="s">
        <v>19294</v>
      </c>
      <c r="L691" s="10" t="s">
        <v>42</v>
      </c>
    </row>
    <row r="692" ht="15.75" customHeight="1">
      <c r="A692" s="67">
        <v>45471.0</v>
      </c>
      <c r="B692" s="55" t="str">
        <f>HYPERLINK("https://jobright.ai/jobs/info/6682d96fe473540dbcd0e87f?utm_campaign=1049&amp;utm_source=sheet", "Apply")</f>
        <v>Apply</v>
      </c>
      <c r="C692" s="10" t="s">
        <v>19045</v>
      </c>
      <c r="D692" s="56" t="s">
        <v>12778</v>
      </c>
      <c r="E692" s="10" t="s">
        <v>137</v>
      </c>
      <c r="F692" s="10" t="s">
        <v>12779</v>
      </c>
      <c r="G692" s="10" t="s">
        <v>18636</v>
      </c>
      <c r="H692" s="10" t="s">
        <v>19295</v>
      </c>
      <c r="I692" s="10" t="s">
        <v>48</v>
      </c>
      <c r="J692" s="10" t="s">
        <v>1873</v>
      </c>
      <c r="K692" s="10" t="s">
        <v>19046</v>
      </c>
      <c r="L692" s="10" t="s">
        <v>42</v>
      </c>
    </row>
    <row r="693" ht="15.75" customHeight="1">
      <c r="A693" s="67">
        <v>45470.0</v>
      </c>
      <c r="B693" s="55" t="str">
        <f>HYPERLINK("https://jobright.ai/jobs/info/667dc31df75efc0f0683be75?utm_campaign=1049&amp;utm_source=sheet", "Apply")</f>
        <v>Apply</v>
      </c>
      <c r="C693" s="10" t="s">
        <v>19296</v>
      </c>
      <c r="D693" s="56" t="s">
        <v>19176</v>
      </c>
      <c r="E693" s="10" t="s">
        <v>209</v>
      </c>
      <c r="F693" s="10" t="s">
        <v>5470</v>
      </c>
      <c r="G693" s="10" t="s">
        <v>18779</v>
      </c>
      <c r="H693" s="10" t="s">
        <v>1036</v>
      </c>
      <c r="I693" s="10" t="s">
        <v>55</v>
      </c>
      <c r="J693" s="10" t="s">
        <v>9980</v>
      </c>
      <c r="K693" s="10" t="s">
        <v>19297</v>
      </c>
      <c r="L693" s="10" t="s">
        <v>42</v>
      </c>
    </row>
    <row r="694" ht="15.75" customHeight="1">
      <c r="A694" s="67">
        <v>45470.0</v>
      </c>
      <c r="B694" s="55" t="str">
        <f>HYPERLINK("https://jobright.ai/jobs/info/667ccbe4e89bf91caf0df2f0?utm_campaign=1049&amp;utm_source=sheet", "Apply")</f>
        <v>Apply</v>
      </c>
      <c r="C694" s="10" t="s">
        <v>18721</v>
      </c>
      <c r="D694" s="56" t="s">
        <v>19298</v>
      </c>
      <c r="E694" s="10">
        <v>573.0</v>
      </c>
      <c r="G694" s="10" t="s">
        <v>18636</v>
      </c>
      <c r="H694" s="10" t="s">
        <v>106</v>
      </c>
      <c r="I694" s="10" t="s">
        <v>55</v>
      </c>
      <c r="K694" s="10" t="s">
        <v>19299</v>
      </c>
      <c r="L694" s="10" t="s">
        <v>42</v>
      </c>
    </row>
    <row r="695" ht="15.75" customHeight="1">
      <c r="A695" s="67">
        <v>45470.0</v>
      </c>
      <c r="B695" s="55" t="str">
        <f>HYPERLINK("https://jobright.ai/jobs/info/667e09c0ad1ad78c00128382?utm_campaign=1049&amp;utm_source=sheet", "Apply")</f>
        <v>Apply</v>
      </c>
      <c r="C695" s="10" t="s">
        <v>19300</v>
      </c>
      <c r="D695" s="56" t="s">
        <v>19301</v>
      </c>
      <c r="E695" s="10" t="s">
        <v>276</v>
      </c>
      <c r="F695" s="10" t="s">
        <v>10337</v>
      </c>
      <c r="G695" s="10" t="s">
        <v>18636</v>
      </c>
      <c r="H695" s="10" t="s">
        <v>170</v>
      </c>
      <c r="I695" s="10" t="s">
        <v>48</v>
      </c>
      <c r="K695" s="10" t="s">
        <v>19302</v>
      </c>
      <c r="L695" s="10" t="s">
        <v>42</v>
      </c>
    </row>
    <row r="696" ht="15.75" customHeight="1">
      <c r="A696" s="67">
        <v>45470.0</v>
      </c>
      <c r="B696" s="55" t="str">
        <f>HYPERLINK("https://jobright.ai/jobs/info/667de8cac31367b1e7f3e8ca?utm_campaign=1049&amp;utm_source=sheet", "Apply")</f>
        <v>Apply</v>
      </c>
      <c r="C696" s="10" t="s">
        <v>19300</v>
      </c>
      <c r="D696" s="56" t="s">
        <v>19301</v>
      </c>
      <c r="E696" s="10" t="s">
        <v>276</v>
      </c>
      <c r="F696" s="10" t="s">
        <v>10337</v>
      </c>
      <c r="G696" s="10" t="s">
        <v>18636</v>
      </c>
      <c r="H696" s="10" t="s">
        <v>19303</v>
      </c>
      <c r="I696" s="10" t="s">
        <v>48</v>
      </c>
      <c r="K696" s="10" t="s">
        <v>19302</v>
      </c>
      <c r="L696" s="10" t="s">
        <v>42</v>
      </c>
    </row>
    <row r="697" ht="15.75" customHeight="1">
      <c r="A697" s="67">
        <v>45469.0</v>
      </c>
      <c r="B697" s="55" t="str">
        <f>HYPERLINK("https://jobright.ai/jobs/info/66760de4ad2dd17614c48874?utm_campaign=1049&amp;utm_source=sheet", "Apply")</f>
        <v>Apply</v>
      </c>
      <c r="C697" s="10" t="s">
        <v>19304</v>
      </c>
      <c r="D697" s="56" t="s">
        <v>19305</v>
      </c>
      <c r="E697" s="10" t="s">
        <v>79</v>
      </c>
      <c r="F697" s="10" t="s">
        <v>19306</v>
      </c>
      <c r="G697" s="10" t="s">
        <v>18636</v>
      </c>
      <c r="H697" s="10" t="s">
        <v>170</v>
      </c>
      <c r="I697" s="10" t="s">
        <v>48</v>
      </c>
      <c r="J697" s="10" t="s">
        <v>19307</v>
      </c>
      <c r="K697" s="10" t="s">
        <v>19308</v>
      </c>
      <c r="L697" s="10" t="s">
        <v>42</v>
      </c>
    </row>
    <row r="698" ht="15.75" customHeight="1">
      <c r="A698" s="67">
        <v>45469.0</v>
      </c>
      <c r="B698" s="55" t="str">
        <f>HYPERLINK("https://jobright.ai/jobs/info/667d631d24cad70b7cedec2c?utm_campaign=1049&amp;utm_source=sheet", "Apply")</f>
        <v>Apply</v>
      </c>
      <c r="C698" s="10" t="s">
        <v>19309</v>
      </c>
      <c r="D698" s="56" t="s">
        <v>1794</v>
      </c>
      <c r="E698" s="10" t="s">
        <v>65</v>
      </c>
      <c r="F698" s="10" t="s">
        <v>1795</v>
      </c>
      <c r="G698" s="10" t="s">
        <v>18779</v>
      </c>
      <c r="H698" s="10" t="s">
        <v>1796</v>
      </c>
      <c r="I698" s="10" t="s">
        <v>55</v>
      </c>
      <c r="J698" s="10" t="s">
        <v>6879</v>
      </c>
      <c r="K698" s="10" t="s">
        <v>19310</v>
      </c>
      <c r="L698" s="10" t="s">
        <v>42</v>
      </c>
    </row>
    <row r="699" ht="15.75" customHeight="1">
      <c r="A699" s="67">
        <v>45469.0</v>
      </c>
      <c r="B699" s="55" t="str">
        <f>HYPERLINK("https://jobright.ai/jobs/info/667c9c205bb91f3e5e18b9ab?utm_campaign=1049&amp;utm_source=sheet", "Apply")</f>
        <v>Apply</v>
      </c>
      <c r="C699" s="10" t="s">
        <v>19311</v>
      </c>
      <c r="D699" s="56" t="s">
        <v>19312</v>
      </c>
      <c r="E699" s="10" t="s">
        <v>276</v>
      </c>
      <c r="F699" s="10" t="s">
        <v>12539</v>
      </c>
      <c r="G699" s="10" t="s">
        <v>18636</v>
      </c>
      <c r="H699" s="10" t="s">
        <v>165</v>
      </c>
      <c r="I699" s="10" t="s">
        <v>55</v>
      </c>
      <c r="J699" s="10" t="s">
        <v>1189</v>
      </c>
      <c r="K699" s="10" t="s">
        <v>19313</v>
      </c>
      <c r="L699" s="10" t="s">
        <v>42</v>
      </c>
    </row>
    <row r="700" ht="15.75" customHeight="1">
      <c r="A700" s="67">
        <v>45469.0</v>
      </c>
      <c r="B700" s="55" t="str">
        <f>HYPERLINK("https://jobright.ai/jobs/info/666bd5f8cf309ffb07c0bfba?utm_campaign=1049&amp;utm_source=sheet", "Apply")</f>
        <v>Apply</v>
      </c>
      <c r="C700" s="10" t="s">
        <v>19314</v>
      </c>
      <c r="D700" s="56" t="s">
        <v>1576</v>
      </c>
      <c r="E700" s="10" t="s">
        <v>45</v>
      </c>
      <c r="F700" s="10" t="s">
        <v>1577</v>
      </c>
      <c r="G700" s="10" t="s">
        <v>18642</v>
      </c>
      <c r="H700" s="10" t="s">
        <v>5622</v>
      </c>
      <c r="I700" s="10" t="s">
        <v>55</v>
      </c>
      <c r="J700" s="10" t="s">
        <v>5623</v>
      </c>
      <c r="K700" s="10" t="s">
        <v>14273</v>
      </c>
      <c r="L700" s="10" t="s">
        <v>42</v>
      </c>
    </row>
    <row r="701" ht="15.75" customHeight="1">
      <c r="A701" s="67">
        <v>45469.0</v>
      </c>
      <c r="B701" s="55" t="str">
        <f>HYPERLINK("https://jobright.ai/jobs/info/667d1dcae8782c7e3572321e?utm_campaign=1049&amp;utm_source=sheet", "Apply")</f>
        <v>Apply</v>
      </c>
      <c r="C701" s="10" t="s">
        <v>18692</v>
      </c>
      <c r="D701" s="56" t="s">
        <v>19315</v>
      </c>
      <c r="E701" s="10" t="s">
        <v>71</v>
      </c>
      <c r="F701" s="10" t="s">
        <v>627</v>
      </c>
      <c r="G701" s="10" t="s">
        <v>18636</v>
      </c>
      <c r="H701" s="10" t="s">
        <v>96</v>
      </c>
      <c r="I701" s="10" t="s">
        <v>55</v>
      </c>
      <c r="K701" s="10" t="s">
        <v>19316</v>
      </c>
      <c r="L701" s="10" t="s">
        <v>42</v>
      </c>
    </row>
    <row r="702" ht="15.75" customHeight="1">
      <c r="A702" s="67">
        <v>45469.0</v>
      </c>
      <c r="B702" s="55" t="str">
        <f>HYPERLINK("https://jobright.ai/jobs/info/667bab3ea080c303ce1b61bc?utm_campaign=1049&amp;utm_source=sheet", "Apply")</f>
        <v>Apply</v>
      </c>
      <c r="C702" s="10" t="s">
        <v>19317</v>
      </c>
      <c r="D702" s="56" t="s">
        <v>19318</v>
      </c>
      <c r="E702" s="10">
        <v>103.0</v>
      </c>
      <c r="G702" s="10" t="s">
        <v>18636</v>
      </c>
      <c r="H702" s="10" t="s">
        <v>165</v>
      </c>
      <c r="I702" s="10" t="s">
        <v>55</v>
      </c>
      <c r="K702" s="10" t="s">
        <v>19319</v>
      </c>
      <c r="L702" s="10" t="s">
        <v>42</v>
      </c>
    </row>
    <row r="703" ht="15.75" customHeight="1">
      <c r="A703" s="67">
        <v>45469.0</v>
      </c>
      <c r="B703" s="55" t="str">
        <f>HYPERLINK("https://jobright.ai/jobs/info/667c95848b79c077c3ac1ff3?utm_campaign=1049&amp;utm_source=sheet", "Apply")</f>
        <v>Apply</v>
      </c>
      <c r="C703" s="10" t="s">
        <v>19320</v>
      </c>
      <c r="D703" s="56" t="s">
        <v>19321</v>
      </c>
      <c r="E703" s="10" t="s">
        <v>65</v>
      </c>
      <c r="F703" s="10" t="s">
        <v>9943</v>
      </c>
      <c r="G703" s="10" t="s">
        <v>18636</v>
      </c>
      <c r="H703" s="10" t="s">
        <v>916</v>
      </c>
      <c r="I703" s="10" t="s">
        <v>55</v>
      </c>
      <c r="K703" s="10" t="s">
        <v>19322</v>
      </c>
      <c r="L703" s="10" t="s">
        <v>42</v>
      </c>
    </row>
    <row r="704" ht="15.75" customHeight="1">
      <c r="A704" s="67">
        <v>45469.0</v>
      </c>
      <c r="B704" s="55" t="str">
        <f>HYPERLINK("https://jobright.ai/jobs/info/667b52c6777bd4167efd1b43?utm_campaign=1049&amp;utm_source=sheet", "Apply")</f>
        <v>Apply</v>
      </c>
      <c r="C704" s="10" t="s">
        <v>19323</v>
      </c>
      <c r="D704" s="56" t="s">
        <v>7754</v>
      </c>
      <c r="E704" s="59">
        <v>45301.0</v>
      </c>
      <c r="F704" s="10" t="s">
        <v>10</v>
      </c>
      <c r="G704" s="10" t="s">
        <v>18636</v>
      </c>
      <c r="H704" s="10" t="s">
        <v>255</v>
      </c>
      <c r="I704" s="10" t="s">
        <v>55</v>
      </c>
      <c r="K704" s="10" t="s">
        <v>19324</v>
      </c>
      <c r="L704" s="10" t="s">
        <v>42</v>
      </c>
    </row>
    <row r="705" ht="15.75" customHeight="1">
      <c r="A705" s="67">
        <v>45468.0</v>
      </c>
      <c r="B705" s="55" t="str">
        <f>HYPERLINK("https://jobright.ai/jobs/info/667b6596dfc11611c8515eaf?utm_campaign=1049&amp;utm_source=sheet", "Apply")</f>
        <v>Apply</v>
      </c>
      <c r="C705" s="10" t="s">
        <v>19325</v>
      </c>
      <c r="D705" s="56" t="s">
        <v>15166</v>
      </c>
      <c r="E705" s="59"/>
      <c r="F705" s="10" t="s">
        <v>15167</v>
      </c>
      <c r="G705" s="10" t="s">
        <v>18636</v>
      </c>
      <c r="H705" s="10" t="s">
        <v>1044</v>
      </c>
      <c r="I705" s="10" t="s">
        <v>55</v>
      </c>
      <c r="K705" s="10" t="s">
        <v>19326</v>
      </c>
      <c r="L705" s="10" t="s">
        <v>42</v>
      </c>
    </row>
    <row r="706" ht="15.75" customHeight="1">
      <c r="A706" s="67">
        <v>45468.0</v>
      </c>
      <c r="B706" s="55" t="str">
        <f>HYPERLINK("https://jobright.ai/jobs/info/667b3b17bbd383089817f6b8?utm_campaign=1049&amp;utm_source=sheet", "Apply")</f>
        <v>Apply</v>
      </c>
      <c r="C706" s="10" t="s">
        <v>19327</v>
      </c>
      <c r="D706" s="56" t="s">
        <v>19328</v>
      </c>
      <c r="E706" s="10" t="s">
        <v>249</v>
      </c>
      <c r="F706" s="10" t="s">
        <v>568</v>
      </c>
      <c r="G706" s="10" t="s">
        <v>18636</v>
      </c>
      <c r="H706" s="10" t="s">
        <v>144</v>
      </c>
      <c r="I706" s="10" t="s">
        <v>55</v>
      </c>
      <c r="K706" s="10" t="s">
        <v>19329</v>
      </c>
      <c r="L706" s="10" t="s">
        <v>42</v>
      </c>
    </row>
    <row r="707" ht="15.75" customHeight="1">
      <c r="A707" s="67">
        <v>45468.0</v>
      </c>
      <c r="B707" s="55" t="str">
        <f>HYPERLINK("https://jobright.ai/jobs/info/664d75fbd71b9736c5c12649?utm_campaign=1049&amp;utm_source=sheet", "Apply")</f>
        <v>Apply</v>
      </c>
      <c r="C707" s="10" t="s">
        <v>19330</v>
      </c>
      <c r="D707" s="56" t="s">
        <v>12761</v>
      </c>
      <c r="E707" s="10" t="s">
        <v>45</v>
      </c>
      <c r="F707" s="10" t="s">
        <v>12762</v>
      </c>
      <c r="G707" s="10" t="s">
        <v>18636</v>
      </c>
      <c r="H707" s="10" t="s">
        <v>18111</v>
      </c>
      <c r="I707" s="10" t="s">
        <v>48</v>
      </c>
      <c r="K707" s="10" t="s">
        <v>19202</v>
      </c>
      <c r="L707" s="10" t="s">
        <v>42</v>
      </c>
    </row>
    <row r="708" ht="15.75" customHeight="1">
      <c r="A708" s="67">
        <v>45468.0</v>
      </c>
      <c r="B708" s="55" t="str">
        <f>HYPERLINK("https://jobright.ai/jobs/info/667b9ae6111bb22c5147cec1?utm_campaign=1049&amp;utm_source=sheet", "Apply")</f>
        <v>Apply</v>
      </c>
      <c r="C708" s="10" t="s">
        <v>19331</v>
      </c>
      <c r="D708" s="56" t="s">
        <v>2077</v>
      </c>
      <c r="E708" s="10" t="s">
        <v>45</v>
      </c>
      <c r="F708" s="10" t="s">
        <v>1234</v>
      </c>
      <c r="G708" s="10" t="s">
        <v>18636</v>
      </c>
      <c r="H708" s="10" t="s">
        <v>2078</v>
      </c>
      <c r="I708" s="10" t="s">
        <v>55</v>
      </c>
      <c r="J708" s="10" t="s">
        <v>15596</v>
      </c>
      <c r="K708" s="10" t="s">
        <v>19332</v>
      </c>
      <c r="L708" s="10" t="s">
        <v>42</v>
      </c>
    </row>
    <row r="709" ht="15.75" customHeight="1">
      <c r="A709" s="67">
        <v>45468.0</v>
      </c>
      <c r="B709" s="55" t="str">
        <f>HYPERLINK("https://jobright.ai/jobs/info/667b77f56d67dd6e98a66e62?utm_campaign=1049&amp;utm_source=sheet", "Apply")</f>
        <v>Apply</v>
      </c>
      <c r="C709" s="10" t="s">
        <v>19333</v>
      </c>
      <c r="D709" s="56" t="s">
        <v>19334</v>
      </c>
      <c r="E709" s="10" t="s">
        <v>137</v>
      </c>
      <c r="F709" s="10" t="s">
        <v>5210</v>
      </c>
      <c r="G709" s="10" t="s">
        <v>18734</v>
      </c>
      <c r="H709" s="10" t="s">
        <v>965</v>
      </c>
      <c r="I709" s="10" t="s">
        <v>55</v>
      </c>
      <c r="K709" s="10" t="s">
        <v>19335</v>
      </c>
      <c r="L709" s="10" t="s">
        <v>42</v>
      </c>
    </row>
    <row r="710" ht="15.75" customHeight="1">
      <c r="A710" s="67">
        <v>45467.0</v>
      </c>
      <c r="B710" s="55" t="str">
        <f>HYPERLINK("https://jobright.ai/jobs/info/6679ebdc9cc16adbd1942d38?utm_campaign=1049&amp;utm_source=sheet", "Apply")</f>
        <v>Apply</v>
      </c>
      <c r="C710" s="10" t="s">
        <v>19336</v>
      </c>
      <c r="D710" s="56" t="s">
        <v>19337</v>
      </c>
      <c r="E710" s="10">
        <v>3.0</v>
      </c>
      <c r="G710" s="10" t="s">
        <v>18636</v>
      </c>
      <c r="H710" s="10" t="s">
        <v>146</v>
      </c>
      <c r="I710" s="10" t="s">
        <v>55</v>
      </c>
      <c r="K710" s="10" t="s">
        <v>19338</v>
      </c>
      <c r="L710" s="10" t="s">
        <v>42</v>
      </c>
    </row>
    <row r="711" ht="15.75" customHeight="1">
      <c r="A711" s="67">
        <v>45467.0</v>
      </c>
      <c r="B711" s="55" t="str">
        <f>HYPERLINK("https://jobright.ai/jobs/info/6679bc9e4db5735ca854cf1d?utm_campaign=1049&amp;utm_source=sheet", "Apply")</f>
        <v>Apply</v>
      </c>
      <c r="C711" s="10" t="s">
        <v>19339</v>
      </c>
      <c r="D711" s="56" t="s">
        <v>17042</v>
      </c>
      <c r="E711" s="10" t="s">
        <v>45</v>
      </c>
      <c r="F711" s="10" t="s">
        <v>12539</v>
      </c>
      <c r="G711" s="10" t="s">
        <v>18636</v>
      </c>
      <c r="H711" s="10" t="s">
        <v>4897</v>
      </c>
      <c r="I711" s="10" t="s">
        <v>55</v>
      </c>
      <c r="K711" s="10" t="s">
        <v>17044</v>
      </c>
      <c r="L711" s="10" t="s">
        <v>42</v>
      </c>
    </row>
    <row r="712" ht="15.75" customHeight="1">
      <c r="A712" s="67">
        <v>45467.0</v>
      </c>
      <c r="B712" s="55" t="str">
        <f>HYPERLINK("https://jobright.ai/jobs/info/667954db39ca2f81c436fc6f?utm_campaign=1049&amp;utm_source=sheet", "Apply")</f>
        <v>Apply</v>
      </c>
      <c r="C712" s="10" t="s">
        <v>4984</v>
      </c>
      <c r="D712" s="56" t="s">
        <v>8035</v>
      </c>
      <c r="E712" s="10" t="s">
        <v>137</v>
      </c>
      <c r="F712" s="10" t="s">
        <v>8036</v>
      </c>
      <c r="G712" s="10" t="s">
        <v>18636</v>
      </c>
      <c r="H712" s="10" t="s">
        <v>144</v>
      </c>
      <c r="I712" s="10" t="s">
        <v>55</v>
      </c>
      <c r="K712" s="10" t="s">
        <v>19340</v>
      </c>
      <c r="L712" s="10" t="s">
        <v>42</v>
      </c>
    </row>
    <row r="713" ht="15.75" customHeight="1">
      <c r="A713" s="67">
        <v>45466.0</v>
      </c>
      <c r="B713" s="55" t="str">
        <f>HYPERLINK("https://jobright.ai/jobs/info/6678ef1e3ace49626201e1c0?utm_campaign=1049&amp;utm_source=sheet", "Apply")</f>
        <v>Apply</v>
      </c>
      <c r="C713" s="10" t="s">
        <v>19341</v>
      </c>
      <c r="D713" s="56" t="s">
        <v>19342</v>
      </c>
      <c r="E713" s="10" t="s">
        <v>137</v>
      </c>
      <c r="F713" s="10" t="s">
        <v>19343</v>
      </c>
      <c r="G713" s="10" t="s">
        <v>18636</v>
      </c>
      <c r="H713" s="10" t="s">
        <v>251</v>
      </c>
      <c r="I713" s="10" t="s">
        <v>252</v>
      </c>
      <c r="J713" s="10" t="s">
        <v>19344</v>
      </c>
      <c r="K713" s="10" t="s">
        <v>19345</v>
      </c>
      <c r="L713" s="10" t="s">
        <v>42</v>
      </c>
    </row>
    <row r="714" ht="15.75" customHeight="1">
      <c r="A714" s="67">
        <v>45466.0</v>
      </c>
      <c r="B714" s="55" t="str">
        <f>HYPERLINK("https://jobright.ai/jobs/info/6678b284b9598f0abde50dc6?utm_campaign=1049&amp;utm_source=sheet", "Apply")</f>
        <v>Apply</v>
      </c>
      <c r="C714" s="10" t="s">
        <v>18721</v>
      </c>
      <c r="D714" s="56" t="s">
        <v>19346</v>
      </c>
      <c r="E714" s="10" t="s">
        <v>65</v>
      </c>
      <c r="F714" s="10" t="s">
        <v>19347</v>
      </c>
      <c r="G714" s="10" t="s">
        <v>18636</v>
      </c>
      <c r="H714" s="10" t="s">
        <v>1025</v>
      </c>
      <c r="I714" s="10" t="s">
        <v>55</v>
      </c>
      <c r="K714" s="10" t="s">
        <v>19348</v>
      </c>
      <c r="L714" s="10" t="s">
        <v>42</v>
      </c>
    </row>
    <row r="715" ht="15.75" customHeight="1">
      <c r="A715" s="67">
        <v>45465.0</v>
      </c>
      <c r="B715" s="55" t="str">
        <f>HYPERLINK("https://jobright.ai/jobs/info/6677b1a3d57a2b58a480bced?utm_campaign=1049&amp;utm_source=sheet", "Apply")</f>
        <v>Apply</v>
      </c>
      <c r="C715" s="10" t="s">
        <v>18721</v>
      </c>
      <c r="D715" s="56" t="s">
        <v>3160</v>
      </c>
      <c r="E715" s="10" t="s">
        <v>209</v>
      </c>
      <c r="F715" s="10" t="s">
        <v>331</v>
      </c>
      <c r="G715" s="10" t="s">
        <v>18636</v>
      </c>
      <c r="H715" s="10" t="s">
        <v>1120</v>
      </c>
      <c r="I715" s="10" t="s">
        <v>55</v>
      </c>
      <c r="K715" s="10" t="s">
        <v>19349</v>
      </c>
      <c r="L715" s="10" t="s">
        <v>42</v>
      </c>
    </row>
    <row r="716" ht="15.75" customHeight="1">
      <c r="A716" s="67">
        <v>45465.0</v>
      </c>
      <c r="B716" s="55" t="str">
        <f>HYPERLINK("https://jobright.ai/jobs/info/6676d5121d12b082593831ed?utm_campaign=1049&amp;utm_source=sheet", "Apply")</f>
        <v>Apply</v>
      </c>
      <c r="C716" s="10" t="s">
        <v>19350</v>
      </c>
      <c r="D716" s="56" t="s">
        <v>19351</v>
      </c>
      <c r="E716" s="10" t="s">
        <v>71</v>
      </c>
      <c r="F716" s="10" t="s">
        <v>15362</v>
      </c>
      <c r="G716" s="10" t="s">
        <v>18636</v>
      </c>
      <c r="H716" s="10" t="s">
        <v>96</v>
      </c>
      <c r="I716" s="10" t="s">
        <v>55</v>
      </c>
      <c r="K716" s="10" t="s">
        <v>19352</v>
      </c>
      <c r="L716" s="10" t="s">
        <v>42</v>
      </c>
    </row>
    <row r="717" ht="15.75" customHeight="1">
      <c r="A717" s="67">
        <v>45465.0</v>
      </c>
      <c r="B717" s="55" t="str">
        <f>HYPERLINK("https://jobright.ai/jobs/info/6676d55c1d12b0825938376e?utm_campaign=1049&amp;utm_source=sheet", "Apply")</f>
        <v>Apply</v>
      </c>
      <c r="C717" s="10" t="s">
        <v>19353</v>
      </c>
      <c r="D717" s="56" t="s">
        <v>9048</v>
      </c>
      <c r="E717" s="10" t="s">
        <v>209</v>
      </c>
      <c r="F717" s="10" t="s">
        <v>1234</v>
      </c>
      <c r="G717" s="10" t="s">
        <v>18636</v>
      </c>
      <c r="H717" s="10" t="s">
        <v>3791</v>
      </c>
      <c r="I717" s="10" t="s">
        <v>48</v>
      </c>
      <c r="J717" s="10" t="s">
        <v>19354</v>
      </c>
      <c r="K717" s="10" t="s">
        <v>19355</v>
      </c>
      <c r="L717" s="10" t="s">
        <v>42</v>
      </c>
    </row>
    <row r="718" ht="15.75" customHeight="1">
      <c r="A718" s="67">
        <v>45465.0</v>
      </c>
      <c r="B718" s="55" t="str">
        <f>HYPERLINK("https://jobright.ai/jobs/info/66770634acb63b6016fb0561?utm_campaign=1049&amp;utm_source=sheet", "Apply")</f>
        <v>Apply</v>
      </c>
      <c r="C718" s="10" t="s">
        <v>18721</v>
      </c>
      <c r="D718" s="56" t="s">
        <v>19356</v>
      </c>
      <c r="E718" s="10" t="s">
        <v>276</v>
      </c>
      <c r="F718" s="10" t="s">
        <v>3205</v>
      </c>
      <c r="G718" s="10" t="s">
        <v>18636</v>
      </c>
      <c r="H718" s="10" t="s">
        <v>1048</v>
      </c>
      <c r="I718" s="10" t="s">
        <v>55</v>
      </c>
      <c r="K718" s="10" t="s">
        <v>19357</v>
      </c>
      <c r="L718" s="10" t="s">
        <v>42</v>
      </c>
    </row>
    <row r="719" ht="15.75" customHeight="1">
      <c r="A719" s="67">
        <v>45464.0</v>
      </c>
      <c r="B719" s="55" t="str">
        <f>HYPERLINK("https://jobright.ai/jobs/info/666447770f5523d171616e60?utm_campaign=1049&amp;utm_source=sheet", "Apply")</f>
        <v>Apply</v>
      </c>
      <c r="C719" s="10" t="s">
        <v>19358</v>
      </c>
      <c r="D719" s="56" t="s">
        <v>19359</v>
      </c>
      <c r="E719" s="10" t="s">
        <v>137</v>
      </c>
      <c r="F719" s="10" t="s">
        <v>19360</v>
      </c>
      <c r="G719" s="10" t="s">
        <v>18636</v>
      </c>
      <c r="H719" s="10" t="s">
        <v>14188</v>
      </c>
      <c r="I719" s="10" t="s">
        <v>55</v>
      </c>
      <c r="K719" s="10" t="s">
        <v>19361</v>
      </c>
      <c r="L719" s="10" t="s">
        <v>42</v>
      </c>
    </row>
    <row r="720" ht="15.75" customHeight="1">
      <c r="A720" s="67">
        <v>45464.0</v>
      </c>
      <c r="B720" s="55" t="str">
        <f>HYPERLINK("https://jobright.ai/jobs/info/6675cdeffde6a7756c63590f?utm_campaign=1049&amp;utm_source=sheet", "Apply")</f>
        <v>Apply</v>
      </c>
      <c r="C720" s="10" t="s">
        <v>19304</v>
      </c>
      <c r="D720" s="56" t="s">
        <v>19305</v>
      </c>
      <c r="E720" s="10" t="s">
        <v>79</v>
      </c>
      <c r="F720" s="10" t="s">
        <v>19306</v>
      </c>
      <c r="G720" s="10" t="s">
        <v>18636</v>
      </c>
      <c r="H720" s="10" t="s">
        <v>19362</v>
      </c>
      <c r="I720" s="10" t="s">
        <v>48</v>
      </c>
      <c r="J720" s="10" t="s">
        <v>19307</v>
      </c>
      <c r="K720" s="10" t="s">
        <v>19308</v>
      </c>
      <c r="L720" s="10" t="s">
        <v>42</v>
      </c>
    </row>
    <row r="721" ht="15.75" customHeight="1">
      <c r="A721" s="67">
        <v>45463.0</v>
      </c>
      <c r="B721" s="55" t="str">
        <f>HYPERLINK("https://jobright.ai/jobs/info/667458cdec688fb28a95b7ec?utm_campaign=1049&amp;utm_source=sheet", "Apply")</f>
        <v>Apply</v>
      </c>
      <c r="C721" s="10" t="s">
        <v>18692</v>
      </c>
      <c r="D721" s="56" t="s">
        <v>19363</v>
      </c>
      <c r="E721" s="59">
        <v>45301.0</v>
      </c>
      <c r="F721" s="10" t="s">
        <v>19364</v>
      </c>
      <c r="G721" s="10" t="s">
        <v>18636</v>
      </c>
      <c r="H721" s="10" t="s">
        <v>10635</v>
      </c>
      <c r="I721" s="10" t="s">
        <v>48</v>
      </c>
      <c r="K721" s="10" t="s">
        <v>19365</v>
      </c>
      <c r="L721" s="10" t="s">
        <v>42</v>
      </c>
    </row>
    <row r="722" ht="15.75" customHeight="1">
      <c r="A722" s="67">
        <v>45463.0</v>
      </c>
      <c r="B722" s="55" t="str">
        <f>HYPERLINK("https://jobright.ai/jobs/info/667516ff59005313f1c8261a?utm_campaign=1049&amp;utm_source=sheet", "Apply")</f>
        <v>Apply</v>
      </c>
      <c r="C722" s="10" t="s">
        <v>18721</v>
      </c>
      <c r="D722" s="56" t="s">
        <v>19366</v>
      </c>
      <c r="E722" s="10" t="s">
        <v>249</v>
      </c>
      <c r="F722" s="10" t="s">
        <v>19367</v>
      </c>
      <c r="G722" s="10" t="s">
        <v>18636</v>
      </c>
      <c r="H722" s="10" t="s">
        <v>19368</v>
      </c>
      <c r="I722" s="10" t="s">
        <v>55</v>
      </c>
      <c r="K722" s="10" t="s">
        <v>19369</v>
      </c>
      <c r="L722" s="10" t="s">
        <v>42</v>
      </c>
    </row>
    <row r="723" ht="15.75" customHeight="1">
      <c r="A723" s="67">
        <v>45463.0</v>
      </c>
      <c r="B723" s="55" t="str">
        <f>HYPERLINK("https://jobright.ai/jobs/info/667493ee3990c28f4c6c4a42?utm_campaign=1049&amp;utm_source=sheet", "Apply")</f>
        <v>Apply</v>
      </c>
      <c r="C723" s="10" t="s">
        <v>19000</v>
      </c>
      <c r="D723" s="56" t="s">
        <v>15253</v>
      </c>
      <c r="E723" s="10" t="s">
        <v>137</v>
      </c>
      <c r="F723" s="10" t="s">
        <v>15254</v>
      </c>
      <c r="G723" s="10" t="s">
        <v>18636</v>
      </c>
      <c r="H723" s="10" t="s">
        <v>4799</v>
      </c>
      <c r="I723" s="10" t="s">
        <v>55</v>
      </c>
      <c r="K723" s="10" t="s">
        <v>19370</v>
      </c>
      <c r="L723" s="10" t="s">
        <v>42</v>
      </c>
    </row>
    <row r="724" ht="15.75" customHeight="1">
      <c r="A724" s="67">
        <v>45462.0</v>
      </c>
      <c r="B724" s="55" t="str">
        <f>HYPERLINK("https://jobright.ai/jobs/info/66759331bad9224db7bb6e7c?utm_campaign=1049&amp;utm_source=sheet", "Apply")</f>
        <v>Apply</v>
      </c>
      <c r="C724" s="10" t="s">
        <v>19287</v>
      </c>
      <c r="D724" s="56" t="s">
        <v>19371</v>
      </c>
      <c r="E724" s="10" t="s">
        <v>276</v>
      </c>
      <c r="F724" s="10" t="s">
        <v>4323</v>
      </c>
      <c r="G724" s="10" t="s">
        <v>18779</v>
      </c>
      <c r="H724" s="10" t="s">
        <v>19372</v>
      </c>
      <c r="I724" s="10" t="s">
        <v>55</v>
      </c>
      <c r="K724" s="10" t="s">
        <v>19373</v>
      </c>
      <c r="L724" s="10" t="s">
        <v>42</v>
      </c>
    </row>
    <row r="725" ht="15.75" customHeight="1">
      <c r="A725" s="67">
        <v>45462.0</v>
      </c>
      <c r="B725" s="55" t="str">
        <f>HYPERLINK("https://jobright.ai/jobs/info/66757ca918f8e420943294a3?utm_campaign=1049&amp;utm_source=sheet", "Apply")</f>
        <v>Apply</v>
      </c>
      <c r="C725" s="10" t="s">
        <v>19374</v>
      </c>
      <c r="D725" s="56" t="s">
        <v>19375</v>
      </c>
      <c r="E725" s="10" t="s">
        <v>79</v>
      </c>
      <c r="F725" s="10" t="s">
        <v>3080</v>
      </c>
      <c r="G725" s="10" t="s">
        <v>18636</v>
      </c>
      <c r="H725" s="10" t="s">
        <v>636</v>
      </c>
      <c r="I725" s="10" t="s">
        <v>55</v>
      </c>
      <c r="K725" s="10" t="s">
        <v>19376</v>
      </c>
      <c r="L725" s="10" t="s">
        <v>42</v>
      </c>
    </row>
    <row r="726" ht="15.75" customHeight="1">
      <c r="A726" s="67">
        <v>45462.0</v>
      </c>
      <c r="B726" s="55" t="str">
        <f>HYPERLINK("https://jobright.ai/jobs/info/66733786d2f0021127af35f9?utm_campaign=1049&amp;utm_source=sheet", "Apply")</f>
        <v>Apply</v>
      </c>
      <c r="C726" s="10" t="s">
        <v>19377</v>
      </c>
      <c r="D726" s="56" t="s">
        <v>15217</v>
      </c>
      <c r="E726" s="10" t="s">
        <v>137</v>
      </c>
      <c r="F726" s="10" t="s">
        <v>277</v>
      </c>
      <c r="G726" s="10" t="s">
        <v>18636</v>
      </c>
      <c r="H726" s="10" t="s">
        <v>802</v>
      </c>
      <c r="I726" s="10" t="s">
        <v>55</v>
      </c>
      <c r="K726" s="10" t="s">
        <v>15271</v>
      </c>
      <c r="L726" s="10" t="s">
        <v>42</v>
      </c>
    </row>
    <row r="727" ht="15.75" customHeight="1">
      <c r="A727" s="67">
        <v>45461.0</v>
      </c>
      <c r="B727" s="55" t="str">
        <f>HYPERLINK("https://jobright.ai/jobs/info/667ab8ec1217fcb1c5a1b4eb?utm_campaign=1049&amp;utm_source=sheet", "Apply")</f>
        <v>Apply</v>
      </c>
      <c r="C727" s="10" t="s">
        <v>19378</v>
      </c>
      <c r="D727" s="56" t="s">
        <v>15479</v>
      </c>
      <c r="G727" s="10" t="s">
        <v>18779</v>
      </c>
      <c r="H727" s="10" t="s">
        <v>636</v>
      </c>
      <c r="I727" s="10" t="s">
        <v>55</v>
      </c>
      <c r="K727" s="10" t="s">
        <v>19379</v>
      </c>
      <c r="L727" s="10" t="s">
        <v>42</v>
      </c>
    </row>
    <row r="728" ht="15.75" customHeight="1">
      <c r="A728" s="67">
        <v>45461.0</v>
      </c>
      <c r="B728" s="55" t="str">
        <f>HYPERLINK("https://jobright.ai/jobs/info/6671998d4019090181e2d732?utm_campaign=1049&amp;utm_source=sheet", "Apply")</f>
        <v>Apply</v>
      </c>
      <c r="C728" s="10" t="s">
        <v>18680</v>
      </c>
      <c r="D728" s="56" t="s">
        <v>19142</v>
      </c>
      <c r="E728" s="10" t="s">
        <v>65</v>
      </c>
      <c r="F728" s="10" t="s">
        <v>19143</v>
      </c>
      <c r="G728" s="10" t="s">
        <v>18636</v>
      </c>
      <c r="H728" s="10" t="s">
        <v>19380</v>
      </c>
      <c r="I728" s="10" t="s">
        <v>55</v>
      </c>
      <c r="K728" s="10" t="s">
        <v>19144</v>
      </c>
      <c r="L728" s="10" t="s">
        <v>42</v>
      </c>
    </row>
    <row r="729" ht="15.75" customHeight="1">
      <c r="A729" s="67">
        <v>45460.0</v>
      </c>
      <c r="B729" s="55" t="str">
        <f>HYPERLINK("https://jobright.ai/jobs/info/66709b4398cf9112c10894e5?utm_campaign=1049&amp;utm_source=sheet", "Apply")</f>
        <v>Apply</v>
      </c>
      <c r="C729" s="10" t="s">
        <v>19381</v>
      </c>
      <c r="D729" s="56" t="s">
        <v>8233</v>
      </c>
      <c r="E729" s="10" t="s">
        <v>65</v>
      </c>
      <c r="F729" s="10" t="s">
        <v>1234</v>
      </c>
      <c r="G729" s="10" t="s">
        <v>18636</v>
      </c>
      <c r="H729" s="10" t="s">
        <v>117</v>
      </c>
      <c r="I729" s="10" t="s">
        <v>55</v>
      </c>
      <c r="K729" s="10" t="s">
        <v>19382</v>
      </c>
      <c r="L729" s="10" t="s">
        <v>42</v>
      </c>
    </row>
    <row r="730" ht="15.75" customHeight="1">
      <c r="A730" s="67">
        <v>45460.0</v>
      </c>
      <c r="B730" s="55" t="str">
        <f>HYPERLINK("https://jobright.ai/jobs/info/66727df38ce3decedf253d68?utm_campaign=1049&amp;utm_source=sheet", "Apply")</f>
        <v>Apply</v>
      </c>
      <c r="C730" s="10" t="s">
        <v>19383</v>
      </c>
      <c r="D730" s="56" t="s">
        <v>15335</v>
      </c>
      <c r="E730" s="10" t="s">
        <v>249</v>
      </c>
      <c r="F730" s="10" t="s">
        <v>15336</v>
      </c>
      <c r="G730" s="10" t="s">
        <v>18636</v>
      </c>
      <c r="H730" s="10" t="s">
        <v>15337</v>
      </c>
      <c r="I730" s="10" t="s">
        <v>55</v>
      </c>
      <c r="K730" s="10" t="s">
        <v>19384</v>
      </c>
      <c r="L730" s="10" t="s">
        <v>42</v>
      </c>
    </row>
    <row r="731" ht="15.75" customHeight="1">
      <c r="A731" s="67">
        <v>45460.0</v>
      </c>
      <c r="B731" s="55" t="str">
        <f>HYPERLINK("https://jobright.ai/jobs/info/66727e618ce3decedf2541de?utm_campaign=1049&amp;utm_source=sheet", "Apply")</f>
        <v>Apply</v>
      </c>
      <c r="C731" s="10" t="s">
        <v>19385</v>
      </c>
      <c r="D731" s="56" t="s">
        <v>15335</v>
      </c>
      <c r="E731" s="10" t="s">
        <v>249</v>
      </c>
      <c r="F731" s="10" t="s">
        <v>15336</v>
      </c>
      <c r="G731" s="10" t="s">
        <v>18636</v>
      </c>
      <c r="H731" s="10" t="s">
        <v>15337</v>
      </c>
      <c r="I731" s="10" t="s">
        <v>55</v>
      </c>
      <c r="K731" s="10" t="s">
        <v>19386</v>
      </c>
      <c r="L731" s="10" t="s">
        <v>42</v>
      </c>
    </row>
    <row r="732" ht="15.75" customHeight="1">
      <c r="A732" s="67">
        <v>45460.0</v>
      </c>
      <c r="B732" s="55" t="str">
        <f>HYPERLINK("https://jobright.ai/jobs/info/66727e3c8ce3decedf2540cf?utm_campaign=1049&amp;utm_source=sheet", "Apply")</f>
        <v>Apply</v>
      </c>
      <c r="C732" s="10" t="s">
        <v>19387</v>
      </c>
      <c r="D732" s="56" t="s">
        <v>15335</v>
      </c>
      <c r="E732" s="10" t="s">
        <v>249</v>
      </c>
      <c r="F732" s="10" t="s">
        <v>15336</v>
      </c>
      <c r="G732" s="10" t="s">
        <v>18636</v>
      </c>
      <c r="H732" s="10" t="s">
        <v>15337</v>
      </c>
      <c r="I732" s="10" t="s">
        <v>55</v>
      </c>
      <c r="K732" s="10" t="s">
        <v>19388</v>
      </c>
      <c r="L732" s="10" t="s">
        <v>42</v>
      </c>
    </row>
    <row r="733" ht="15.75" customHeight="1">
      <c r="A733" s="67">
        <v>45458.0</v>
      </c>
      <c r="B733" s="55" t="str">
        <f>HYPERLINK("https://jobright.ai/jobs/info/6677c2382b6ed5133f443bdc?utm_campaign=1049&amp;utm_source=sheet", "Apply")</f>
        <v>Apply</v>
      </c>
      <c r="C733" s="10" t="s">
        <v>19389</v>
      </c>
      <c r="D733" s="56" t="s">
        <v>2289</v>
      </c>
      <c r="E733" s="10" t="s">
        <v>71</v>
      </c>
      <c r="F733" s="10" t="s">
        <v>2290</v>
      </c>
      <c r="G733" s="10" t="s">
        <v>18779</v>
      </c>
      <c r="H733" s="10" t="s">
        <v>2291</v>
      </c>
      <c r="I733" s="10" t="s">
        <v>55</v>
      </c>
      <c r="J733" s="10" t="s">
        <v>1761</v>
      </c>
      <c r="K733" s="10" t="s">
        <v>19390</v>
      </c>
      <c r="L733" s="10" t="s">
        <v>42</v>
      </c>
    </row>
    <row r="734" ht="15.75" customHeight="1">
      <c r="A734" s="67">
        <v>45457.0</v>
      </c>
      <c r="B734" s="55" t="str">
        <f>HYPERLINK("https://jobright.ai/jobs/info/6675b5a3357894b74ff2a121?utm_campaign=1049&amp;utm_source=sheet", "Apply")</f>
        <v>Apply</v>
      </c>
      <c r="C734" s="10" t="s">
        <v>19391</v>
      </c>
      <c r="D734" s="56" t="s">
        <v>17042</v>
      </c>
      <c r="E734" s="10" t="s">
        <v>45</v>
      </c>
      <c r="F734" s="10" t="s">
        <v>12539</v>
      </c>
      <c r="G734" s="10" t="s">
        <v>18636</v>
      </c>
      <c r="H734" s="10" t="s">
        <v>19392</v>
      </c>
      <c r="I734" s="10" t="s">
        <v>55</v>
      </c>
      <c r="K734" s="10" t="s">
        <v>17044</v>
      </c>
      <c r="L734" s="10" t="s">
        <v>42</v>
      </c>
    </row>
    <row r="735" ht="15.75" customHeight="1">
      <c r="A735" s="67">
        <v>45457.0</v>
      </c>
      <c r="B735" s="55" t="str">
        <f>HYPERLINK("https://jobright.ai/jobs/info/666bd5dbcf309ffb07c0bd59?utm_campaign=1049&amp;utm_source=sheet", "Apply")</f>
        <v>Apply</v>
      </c>
      <c r="C735" s="10" t="s">
        <v>19393</v>
      </c>
      <c r="D735" s="56" t="s">
        <v>19394</v>
      </c>
      <c r="E735" s="10" t="s">
        <v>276</v>
      </c>
      <c r="F735" s="10" t="s">
        <v>2454</v>
      </c>
      <c r="G735" s="10" t="s">
        <v>18642</v>
      </c>
      <c r="H735" s="10" t="s">
        <v>1010</v>
      </c>
      <c r="I735" s="10" t="s">
        <v>48</v>
      </c>
      <c r="J735" s="10" t="s">
        <v>19395</v>
      </c>
      <c r="K735" s="10" t="s">
        <v>19396</v>
      </c>
      <c r="L735" s="10" t="s">
        <v>42</v>
      </c>
    </row>
    <row r="736" ht="15.75" customHeight="1">
      <c r="A736" s="67">
        <v>45456.0</v>
      </c>
      <c r="B736" s="55" t="str">
        <f>HYPERLINK("https://jobright.ai/jobs/info/666b8aadb07a5efb8b2603d4?utm_campaign=1049&amp;utm_source=sheet", "Apply")</f>
        <v>Apply</v>
      </c>
      <c r="C736" s="10" t="s">
        <v>19397</v>
      </c>
      <c r="D736" s="56" t="s">
        <v>2298</v>
      </c>
      <c r="E736" s="10" t="s">
        <v>65</v>
      </c>
      <c r="F736" s="10" t="s">
        <v>1274</v>
      </c>
      <c r="G736" s="10" t="s">
        <v>18636</v>
      </c>
      <c r="H736" s="10" t="s">
        <v>2299</v>
      </c>
      <c r="I736" s="10" t="s">
        <v>55</v>
      </c>
      <c r="K736" s="10" t="s">
        <v>19398</v>
      </c>
      <c r="L736" s="10" t="s">
        <v>42</v>
      </c>
    </row>
    <row r="737" ht="15.75" customHeight="1">
      <c r="A737" s="67">
        <v>45456.0</v>
      </c>
      <c r="B737" s="55" t="str">
        <f>HYPERLINK("https://jobright.ai/jobs/info/66744144bd65a761bf019c5a?utm_campaign=1049&amp;utm_source=sheet", "Apply")</f>
        <v>Apply</v>
      </c>
      <c r="C737" s="10" t="s">
        <v>18721</v>
      </c>
      <c r="D737" s="56" t="s">
        <v>19399</v>
      </c>
      <c r="E737" s="10" t="s">
        <v>249</v>
      </c>
      <c r="F737" s="10" t="s">
        <v>2793</v>
      </c>
      <c r="G737" s="10" t="s">
        <v>18636</v>
      </c>
      <c r="H737" s="10" t="s">
        <v>1045</v>
      </c>
      <c r="I737" s="10" t="s">
        <v>55</v>
      </c>
      <c r="K737" s="10" t="s">
        <v>19400</v>
      </c>
      <c r="L737" s="10" t="s">
        <v>42</v>
      </c>
    </row>
    <row r="738" ht="15.75" customHeight="1">
      <c r="A738" s="67">
        <v>45456.0</v>
      </c>
      <c r="B738" s="55" t="str">
        <f>HYPERLINK("https://jobright.ai/jobs/info/66741a9d58f25362ea0da9a6?utm_campaign=1049&amp;utm_source=sheet", "Apply")</f>
        <v>Apply</v>
      </c>
      <c r="C738" s="10" t="s">
        <v>19401</v>
      </c>
      <c r="D738" s="56" t="s">
        <v>10244</v>
      </c>
      <c r="E738" s="10" t="s">
        <v>45</v>
      </c>
      <c r="G738" s="10" t="s">
        <v>18636</v>
      </c>
      <c r="H738" s="10" t="s">
        <v>131</v>
      </c>
      <c r="I738" s="10" t="s">
        <v>55</v>
      </c>
      <c r="J738" s="10" t="s">
        <v>1804</v>
      </c>
      <c r="K738" s="10" t="s">
        <v>19402</v>
      </c>
      <c r="L738" s="10" t="s">
        <v>42</v>
      </c>
    </row>
    <row r="739" ht="15.75" customHeight="1">
      <c r="A739" s="67">
        <v>45455.0</v>
      </c>
      <c r="B739" s="55" t="str">
        <f>HYPERLINK("https://jobright.ai/jobs/info/666a1a39b3e44262de5743a5?utm_campaign=1049&amp;utm_source=sheet", "Apply")</f>
        <v>Apply</v>
      </c>
      <c r="C739" s="10" t="s">
        <v>18692</v>
      </c>
      <c r="D739" s="56" t="s">
        <v>15361</v>
      </c>
      <c r="E739" s="10" t="s">
        <v>71</v>
      </c>
      <c r="F739" s="10" t="s">
        <v>15362</v>
      </c>
      <c r="G739" s="10" t="s">
        <v>18636</v>
      </c>
      <c r="H739" s="10" t="s">
        <v>636</v>
      </c>
      <c r="I739" s="10" t="s">
        <v>55</v>
      </c>
      <c r="K739" s="10" t="s">
        <v>19403</v>
      </c>
      <c r="L739" s="10" t="s">
        <v>42</v>
      </c>
    </row>
    <row r="740" ht="15.75" customHeight="1">
      <c r="A740" s="67">
        <v>45454.0</v>
      </c>
      <c r="B740" s="55" t="str">
        <f>HYPERLINK("https://jobright.ai/jobs/info/6668f5982a7f89b2d30a38ef?utm_campaign=1049&amp;utm_source=sheet", "Apply")</f>
        <v>Apply</v>
      </c>
      <c r="C740" s="10" t="s">
        <v>19404</v>
      </c>
      <c r="D740" s="56" t="s">
        <v>17042</v>
      </c>
      <c r="E740" s="10" t="s">
        <v>45</v>
      </c>
      <c r="F740" s="10" t="s">
        <v>12539</v>
      </c>
      <c r="G740" s="10" t="s">
        <v>18636</v>
      </c>
      <c r="H740" s="10" t="s">
        <v>907</v>
      </c>
      <c r="I740" s="10" t="s">
        <v>55</v>
      </c>
      <c r="K740" s="10" t="s">
        <v>17044</v>
      </c>
      <c r="L740" s="10" t="s">
        <v>42</v>
      </c>
    </row>
    <row r="741" ht="15.75" customHeight="1">
      <c r="A741" s="67">
        <v>45454.0</v>
      </c>
      <c r="B741" s="55" t="str">
        <f>HYPERLINK("https://jobright.ai/jobs/info/667283168781854cc12eea66?utm_campaign=1049&amp;utm_source=sheet", "Apply")</f>
        <v>Apply</v>
      </c>
      <c r="C741" s="10" t="s">
        <v>19383</v>
      </c>
      <c r="D741" s="56" t="s">
        <v>15335</v>
      </c>
      <c r="E741" s="10" t="s">
        <v>249</v>
      </c>
      <c r="F741" s="10" t="s">
        <v>15336</v>
      </c>
      <c r="G741" s="10" t="s">
        <v>18636</v>
      </c>
      <c r="H741" s="10" t="s">
        <v>15337</v>
      </c>
      <c r="I741" s="10" t="s">
        <v>55</v>
      </c>
      <c r="K741" s="10" t="s">
        <v>19384</v>
      </c>
      <c r="L741" s="10" t="s">
        <v>42</v>
      </c>
    </row>
    <row r="742" ht="15.75" customHeight="1">
      <c r="A742" s="67">
        <v>45454.0</v>
      </c>
      <c r="B742" s="55" t="str">
        <f>HYPERLINK("https://jobright.ai/jobs/info/667282f18781854cc12ee863?utm_campaign=1049&amp;utm_source=sheet", "Apply")</f>
        <v>Apply</v>
      </c>
      <c r="C742" s="10" t="s">
        <v>19385</v>
      </c>
      <c r="D742" s="56" t="s">
        <v>15335</v>
      </c>
      <c r="E742" s="10" t="s">
        <v>249</v>
      </c>
      <c r="F742" s="10" t="s">
        <v>15336</v>
      </c>
      <c r="G742" s="10" t="s">
        <v>18636</v>
      </c>
      <c r="H742" s="10" t="s">
        <v>15337</v>
      </c>
      <c r="I742" s="10" t="s">
        <v>55</v>
      </c>
      <c r="K742" s="10" t="s">
        <v>19386</v>
      </c>
      <c r="L742" s="10" t="s">
        <v>42</v>
      </c>
    </row>
    <row r="743" ht="15.75" customHeight="1">
      <c r="A743" s="67">
        <v>45454.0</v>
      </c>
      <c r="B743" s="55" t="str">
        <f>HYPERLINK("https://jobright.ai/jobs/info/667283038781854cc12ee967?utm_campaign=1049&amp;utm_source=sheet", "Apply")</f>
        <v>Apply</v>
      </c>
      <c r="C743" s="10" t="s">
        <v>19387</v>
      </c>
      <c r="D743" s="56" t="s">
        <v>15335</v>
      </c>
      <c r="E743" s="10" t="s">
        <v>249</v>
      </c>
      <c r="F743" s="10" t="s">
        <v>15336</v>
      </c>
      <c r="G743" s="10" t="s">
        <v>18636</v>
      </c>
      <c r="H743" s="10" t="s">
        <v>15337</v>
      </c>
      <c r="I743" s="10" t="s">
        <v>55</v>
      </c>
      <c r="K743" s="10" t="s">
        <v>19388</v>
      </c>
      <c r="L743" s="10" t="s">
        <v>42</v>
      </c>
    </row>
    <row r="744" ht="15.75" customHeight="1">
      <c r="A744" s="67">
        <v>45453.0</v>
      </c>
      <c r="B744" s="55" t="str">
        <f>HYPERLINK("https://jobright.ai/jobs/info/666776de414262a4f380fba1?utm_campaign=1049&amp;utm_source=sheet", "Apply")</f>
        <v>Apply</v>
      </c>
      <c r="C744" s="10" t="s">
        <v>19405</v>
      </c>
      <c r="D744" s="56" t="s">
        <v>1407</v>
      </c>
      <c r="E744" s="10" t="s">
        <v>137</v>
      </c>
      <c r="F744" s="10" t="s">
        <v>1408</v>
      </c>
      <c r="G744" s="10" t="s">
        <v>18642</v>
      </c>
      <c r="H744" s="10" t="s">
        <v>879</v>
      </c>
      <c r="I744" s="10" t="s">
        <v>55</v>
      </c>
      <c r="J744" s="10" t="s">
        <v>1409</v>
      </c>
      <c r="K744" s="10" t="s">
        <v>19406</v>
      </c>
      <c r="L744" s="10" t="s">
        <v>42</v>
      </c>
    </row>
    <row r="745" ht="15.75" customHeight="1">
      <c r="A745" s="67">
        <v>45453.0</v>
      </c>
      <c r="B745" s="55" t="str">
        <f>HYPERLINK("https://jobright.ai/jobs/info/65b881fba337a8bf50301a13?utm_campaign=1049&amp;utm_source=sheet", "Apply")</f>
        <v>Apply</v>
      </c>
      <c r="C745" s="10" t="s">
        <v>2324</v>
      </c>
      <c r="D745" s="56" t="s">
        <v>1684</v>
      </c>
      <c r="E745" s="10" t="s">
        <v>209</v>
      </c>
      <c r="F745" s="10" t="s">
        <v>1685</v>
      </c>
      <c r="G745" s="10" t="s">
        <v>18779</v>
      </c>
      <c r="H745" s="10" t="s">
        <v>1688</v>
      </c>
      <c r="I745" s="10" t="s">
        <v>252</v>
      </c>
      <c r="J745" s="10" t="s">
        <v>2326</v>
      </c>
      <c r="K745" s="10" t="s">
        <v>2327</v>
      </c>
      <c r="L745" s="10" t="s">
        <v>42</v>
      </c>
    </row>
    <row r="746" ht="15.75" customHeight="1">
      <c r="A746" s="67">
        <v>45453.0</v>
      </c>
      <c r="B746" s="55" t="str">
        <f>HYPERLINK("https://jobright.ai/jobs/info/65b881fba337a8bf50301a34?utm_campaign=1049&amp;utm_source=sheet", "Apply")</f>
        <v>Apply</v>
      </c>
      <c r="C746" s="10" t="s">
        <v>2324</v>
      </c>
      <c r="D746" s="56" t="s">
        <v>1684</v>
      </c>
      <c r="E746" s="10" t="s">
        <v>209</v>
      </c>
      <c r="F746" s="10" t="s">
        <v>1685</v>
      </c>
      <c r="G746" s="10" t="s">
        <v>18779</v>
      </c>
      <c r="H746" s="10" t="s">
        <v>8958</v>
      </c>
      <c r="I746" s="10" t="s">
        <v>252</v>
      </c>
      <c r="J746" s="10" t="s">
        <v>2326</v>
      </c>
      <c r="K746" s="10" t="s">
        <v>2327</v>
      </c>
      <c r="L746" s="10" t="s">
        <v>42</v>
      </c>
    </row>
    <row r="747" ht="15.75" customHeight="1">
      <c r="A747" s="67">
        <v>45453.0</v>
      </c>
      <c r="B747" s="55" t="str">
        <f>HYPERLINK("https://jobright.ai/jobs/info/65b879d56f6ac2936f0c96cb?utm_campaign=1049&amp;utm_source=sheet", "Apply")</f>
        <v>Apply</v>
      </c>
      <c r="C747" s="10" t="s">
        <v>2324</v>
      </c>
      <c r="D747" s="56" t="s">
        <v>1684</v>
      </c>
      <c r="E747" s="10" t="s">
        <v>209</v>
      </c>
      <c r="F747" s="10" t="s">
        <v>1685</v>
      </c>
      <c r="G747" s="10" t="s">
        <v>18779</v>
      </c>
      <c r="H747" s="10" t="s">
        <v>5837</v>
      </c>
      <c r="I747" s="10" t="s">
        <v>252</v>
      </c>
      <c r="J747" s="10" t="s">
        <v>2326</v>
      </c>
      <c r="K747" s="10" t="s">
        <v>2327</v>
      </c>
      <c r="L747" s="10" t="s">
        <v>42</v>
      </c>
    </row>
    <row r="748" ht="15.75" customHeight="1">
      <c r="A748" s="67">
        <v>45453.0</v>
      </c>
      <c r="B748" s="55" t="str">
        <f>HYPERLINK("https://jobright.ai/jobs/info/65b881fba337a8bf50301a46?utm_campaign=1049&amp;utm_source=sheet", "Apply")</f>
        <v>Apply</v>
      </c>
      <c r="C748" s="10" t="s">
        <v>2324</v>
      </c>
      <c r="D748" s="56" t="s">
        <v>1684</v>
      </c>
      <c r="E748" s="10" t="s">
        <v>209</v>
      </c>
      <c r="F748" s="10" t="s">
        <v>1685</v>
      </c>
      <c r="G748" s="10" t="s">
        <v>18779</v>
      </c>
      <c r="H748" s="10" t="s">
        <v>3019</v>
      </c>
      <c r="I748" s="10" t="s">
        <v>252</v>
      </c>
      <c r="J748" s="10" t="s">
        <v>2326</v>
      </c>
      <c r="K748" s="10" t="s">
        <v>2327</v>
      </c>
      <c r="L748" s="10" t="s">
        <v>42</v>
      </c>
    </row>
    <row r="749" ht="15.75" customHeight="1">
      <c r="A749" s="67">
        <v>45453.0</v>
      </c>
      <c r="B749" s="55" t="str">
        <f>HYPERLINK("https://jobright.ai/jobs/info/65b95e017b154dda54b1d501?utm_campaign=1049&amp;utm_source=sheet", "Apply")</f>
        <v>Apply</v>
      </c>
      <c r="C749" s="10" t="s">
        <v>2324</v>
      </c>
      <c r="D749" s="56" t="s">
        <v>1684</v>
      </c>
      <c r="E749" s="10" t="s">
        <v>209</v>
      </c>
      <c r="F749" s="10" t="s">
        <v>1685</v>
      </c>
      <c r="G749" s="10" t="s">
        <v>18779</v>
      </c>
      <c r="H749" s="10" t="s">
        <v>4123</v>
      </c>
      <c r="I749" s="10" t="s">
        <v>252</v>
      </c>
      <c r="J749" s="10" t="s">
        <v>2326</v>
      </c>
      <c r="K749" s="10" t="s">
        <v>2327</v>
      </c>
      <c r="L749" s="10" t="s">
        <v>42</v>
      </c>
    </row>
    <row r="750" ht="15.75" customHeight="1">
      <c r="A750" s="67">
        <v>45453.0</v>
      </c>
      <c r="B750" s="55" t="str">
        <f>HYPERLINK("https://jobright.ai/jobs/info/65b96c0c95b452faa76f82a9?utm_campaign=1049&amp;utm_source=sheet", "Apply")</f>
        <v>Apply</v>
      </c>
      <c r="C750" s="10" t="s">
        <v>2324</v>
      </c>
      <c r="D750" s="56" t="s">
        <v>1684</v>
      </c>
      <c r="E750" s="10" t="s">
        <v>209</v>
      </c>
      <c r="F750" s="10" t="s">
        <v>1685</v>
      </c>
      <c r="G750" s="10" t="s">
        <v>18779</v>
      </c>
      <c r="H750" s="10" t="s">
        <v>6359</v>
      </c>
      <c r="I750" s="10" t="s">
        <v>252</v>
      </c>
      <c r="J750" s="10" t="s">
        <v>2326</v>
      </c>
      <c r="K750" s="10" t="s">
        <v>2327</v>
      </c>
      <c r="L750" s="10" t="s">
        <v>42</v>
      </c>
    </row>
    <row r="751" ht="15.75" customHeight="1">
      <c r="A751" s="67">
        <v>45453.0</v>
      </c>
      <c r="B751" s="55" t="str">
        <f>HYPERLINK("https://jobright.ai/jobs/info/65b96c0c95b452faa76f8234?utm_campaign=1049&amp;utm_source=sheet", "Apply")</f>
        <v>Apply</v>
      </c>
      <c r="C751" s="10" t="s">
        <v>2324</v>
      </c>
      <c r="D751" s="56" t="s">
        <v>1684</v>
      </c>
      <c r="E751" s="10" t="s">
        <v>209</v>
      </c>
      <c r="F751" s="10" t="s">
        <v>1685</v>
      </c>
      <c r="G751" s="10" t="s">
        <v>18779</v>
      </c>
      <c r="H751" s="10" t="s">
        <v>14903</v>
      </c>
      <c r="I751" s="10" t="s">
        <v>252</v>
      </c>
      <c r="J751" s="10" t="s">
        <v>2326</v>
      </c>
      <c r="K751" s="10" t="s">
        <v>2327</v>
      </c>
      <c r="L751" s="10" t="s">
        <v>42</v>
      </c>
    </row>
    <row r="752" ht="15.75" customHeight="1">
      <c r="A752" s="67">
        <v>45453.0</v>
      </c>
      <c r="B752" s="55" t="str">
        <f>HYPERLINK("https://jobright.ai/jobs/info/65b88bfca3f51cf6e1a3a60c?utm_campaign=1049&amp;utm_source=sheet", "Apply")</f>
        <v>Apply</v>
      </c>
      <c r="C752" s="10" t="s">
        <v>2324</v>
      </c>
      <c r="D752" s="56" t="s">
        <v>1684</v>
      </c>
      <c r="E752" s="10" t="s">
        <v>209</v>
      </c>
      <c r="F752" s="10" t="s">
        <v>1685</v>
      </c>
      <c r="G752" s="10" t="s">
        <v>18779</v>
      </c>
      <c r="H752" s="10" t="s">
        <v>19086</v>
      </c>
      <c r="I752" s="10" t="s">
        <v>252</v>
      </c>
      <c r="J752" s="10" t="s">
        <v>2326</v>
      </c>
      <c r="K752" s="10" t="s">
        <v>2327</v>
      </c>
      <c r="L752" s="10" t="s">
        <v>42</v>
      </c>
    </row>
    <row r="753" ht="15.75" customHeight="1">
      <c r="A753" s="67">
        <v>45453.0</v>
      </c>
      <c r="B753" s="55" t="str">
        <f>HYPERLINK("https://jobright.ai/jobs/info/65b96c0c95b452faa76f822c?utm_campaign=1049&amp;utm_source=sheet", "Apply")</f>
        <v>Apply</v>
      </c>
      <c r="C753" s="10" t="s">
        <v>2324</v>
      </c>
      <c r="D753" s="56" t="s">
        <v>1684</v>
      </c>
      <c r="E753" s="10" t="s">
        <v>209</v>
      </c>
      <c r="F753" s="10" t="s">
        <v>1685</v>
      </c>
      <c r="G753" s="10" t="s">
        <v>18779</v>
      </c>
      <c r="H753" s="10" t="s">
        <v>925</v>
      </c>
      <c r="I753" s="10" t="s">
        <v>252</v>
      </c>
      <c r="J753" s="10" t="s">
        <v>2326</v>
      </c>
      <c r="K753" s="10" t="s">
        <v>2327</v>
      </c>
      <c r="L753" s="10" t="s">
        <v>42</v>
      </c>
    </row>
    <row r="754" ht="15.75" customHeight="1">
      <c r="A754" s="67">
        <v>45453.0</v>
      </c>
      <c r="B754" s="55" t="str">
        <f>HYPERLINK("https://jobright.ai/jobs/info/65b9748db701239cdf532a92?utm_campaign=1049&amp;utm_source=sheet", "Apply")</f>
        <v>Apply</v>
      </c>
      <c r="C754" s="10" t="s">
        <v>2324</v>
      </c>
      <c r="D754" s="56" t="s">
        <v>1684</v>
      </c>
      <c r="E754" s="10" t="s">
        <v>209</v>
      </c>
      <c r="F754" s="10" t="s">
        <v>1685</v>
      </c>
      <c r="G754" s="10" t="s">
        <v>18779</v>
      </c>
      <c r="H754" s="10" t="s">
        <v>17446</v>
      </c>
      <c r="I754" s="10" t="s">
        <v>252</v>
      </c>
      <c r="J754" s="10" t="s">
        <v>2326</v>
      </c>
      <c r="K754" s="10" t="s">
        <v>2327</v>
      </c>
      <c r="L754" s="10" t="s">
        <v>42</v>
      </c>
    </row>
    <row r="755" ht="15.75" customHeight="1">
      <c r="A755" s="67">
        <v>45453.0</v>
      </c>
      <c r="B755" s="55" t="str">
        <f>HYPERLINK("https://jobright.ai/jobs/info/65b881fba337a8bf50301a11?utm_campaign=1049&amp;utm_source=sheet", "Apply")</f>
        <v>Apply</v>
      </c>
      <c r="C755" s="10" t="s">
        <v>2324</v>
      </c>
      <c r="D755" s="56" t="s">
        <v>1684</v>
      </c>
      <c r="E755" s="10" t="s">
        <v>209</v>
      </c>
      <c r="F755" s="10" t="s">
        <v>1685</v>
      </c>
      <c r="G755" s="10" t="s">
        <v>18779</v>
      </c>
      <c r="H755" s="10" t="s">
        <v>13373</v>
      </c>
      <c r="I755" s="10" t="s">
        <v>252</v>
      </c>
      <c r="J755" s="10" t="s">
        <v>2326</v>
      </c>
      <c r="K755" s="10" t="s">
        <v>2327</v>
      </c>
      <c r="L755" s="10" t="s">
        <v>42</v>
      </c>
    </row>
    <row r="756" ht="15.75" customHeight="1">
      <c r="A756" s="67">
        <v>45453.0</v>
      </c>
      <c r="B756" s="55" t="str">
        <f>HYPERLINK("https://jobright.ai/jobs/info/65b881fba337a8bf50301a0a?utm_campaign=1049&amp;utm_source=sheet", "Apply")</f>
        <v>Apply</v>
      </c>
      <c r="C756" s="10" t="s">
        <v>2324</v>
      </c>
      <c r="D756" s="56" t="s">
        <v>1684</v>
      </c>
      <c r="E756" s="10" t="s">
        <v>209</v>
      </c>
      <c r="F756" s="10" t="s">
        <v>1685</v>
      </c>
      <c r="G756" s="10" t="s">
        <v>18779</v>
      </c>
      <c r="H756" s="10" t="s">
        <v>19071</v>
      </c>
      <c r="I756" s="10" t="s">
        <v>252</v>
      </c>
      <c r="J756" s="10" t="s">
        <v>2326</v>
      </c>
      <c r="K756" s="10" t="s">
        <v>2327</v>
      </c>
      <c r="L756" s="10" t="s">
        <v>42</v>
      </c>
    </row>
    <row r="757" ht="15.75" customHeight="1">
      <c r="A757" s="67">
        <v>45453.0</v>
      </c>
      <c r="B757" s="55" t="str">
        <f>HYPERLINK("https://jobright.ai/jobs/info/65b95e017b154dda54b1d50d?utm_campaign=1049&amp;utm_source=sheet", "Apply")</f>
        <v>Apply</v>
      </c>
      <c r="C757" s="10" t="s">
        <v>2324</v>
      </c>
      <c r="D757" s="56" t="s">
        <v>1684</v>
      </c>
      <c r="E757" s="10" t="s">
        <v>209</v>
      </c>
      <c r="F757" s="10" t="s">
        <v>1685</v>
      </c>
      <c r="G757" s="10" t="s">
        <v>18779</v>
      </c>
      <c r="H757" s="10" t="s">
        <v>844</v>
      </c>
      <c r="I757" s="10" t="s">
        <v>252</v>
      </c>
      <c r="J757" s="10" t="s">
        <v>2326</v>
      </c>
      <c r="K757" s="10" t="s">
        <v>2327</v>
      </c>
      <c r="L757" s="10" t="s">
        <v>42</v>
      </c>
    </row>
    <row r="758" ht="15.75" customHeight="1">
      <c r="A758" s="68">
        <v>45453.0</v>
      </c>
      <c r="B758" s="55" t="str">
        <f>HYPERLINK("https://jobright.ai/jobs/info/65b881fba337a8bf50301a10?utm_campaign=1049&amp;utm_source=sheet", "Apply")</f>
        <v>Apply</v>
      </c>
      <c r="C758" s="10" t="s">
        <v>2324</v>
      </c>
      <c r="D758" s="56" t="s">
        <v>1684</v>
      </c>
      <c r="E758" s="10" t="s">
        <v>209</v>
      </c>
      <c r="F758" s="10" t="s">
        <v>1685</v>
      </c>
      <c r="G758" s="10" t="s">
        <v>18779</v>
      </c>
      <c r="H758" s="10" t="s">
        <v>19070</v>
      </c>
      <c r="I758" s="10" t="s">
        <v>252</v>
      </c>
      <c r="J758" s="10" t="s">
        <v>2326</v>
      </c>
      <c r="K758" s="10" t="s">
        <v>2327</v>
      </c>
      <c r="L758" s="10" t="s">
        <v>42</v>
      </c>
    </row>
    <row r="759" ht="15.75" customHeight="1">
      <c r="A759" s="68">
        <v>45453.0</v>
      </c>
      <c r="B759" s="55" t="str">
        <f>HYPERLINK("https://jobright.ai/jobs/info/65b881fba337a8bf50301a38?utm_campaign=1049&amp;utm_source=sheet", "Apply")</f>
        <v>Apply</v>
      </c>
      <c r="C759" s="10" t="s">
        <v>2324</v>
      </c>
      <c r="D759" s="56" t="s">
        <v>1684</v>
      </c>
      <c r="E759" s="10" t="s">
        <v>209</v>
      </c>
      <c r="F759" s="10" t="s">
        <v>1685</v>
      </c>
      <c r="G759" s="10" t="s">
        <v>18779</v>
      </c>
      <c r="H759" s="10" t="s">
        <v>17864</v>
      </c>
      <c r="I759" s="10" t="s">
        <v>252</v>
      </c>
      <c r="J759" s="10" t="s">
        <v>2326</v>
      </c>
      <c r="K759" s="10" t="s">
        <v>2327</v>
      </c>
      <c r="L759" s="10" t="s">
        <v>42</v>
      </c>
    </row>
    <row r="760" ht="15.75" customHeight="1">
      <c r="A760" s="68">
        <v>45453.0</v>
      </c>
      <c r="B760" s="55" t="str">
        <f>HYPERLINK("https://jobright.ai/jobs/info/65b95e017b154dda54b1d502?utm_campaign=1049&amp;utm_source=sheet", "Apply")</f>
        <v>Apply</v>
      </c>
      <c r="C760" s="10" t="s">
        <v>2324</v>
      </c>
      <c r="D760" s="56" t="s">
        <v>1684</v>
      </c>
      <c r="E760" s="10" t="s">
        <v>209</v>
      </c>
      <c r="F760" s="10" t="s">
        <v>1685</v>
      </c>
      <c r="G760" s="10" t="s">
        <v>18779</v>
      </c>
      <c r="H760" s="10" t="s">
        <v>15417</v>
      </c>
      <c r="I760" s="10" t="s">
        <v>252</v>
      </c>
      <c r="J760" s="10" t="s">
        <v>2326</v>
      </c>
      <c r="K760" s="10" t="s">
        <v>2327</v>
      </c>
      <c r="L760" s="10" t="s">
        <v>42</v>
      </c>
    </row>
    <row r="761" ht="15.75" customHeight="1">
      <c r="A761" s="68">
        <v>45453.0</v>
      </c>
      <c r="B761" s="55" t="str">
        <f>HYPERLINK("https://jobright.ai/jobs/info/65b96c0c95b452faa76f826e?utm_campaign=1049&amp;utm_source=sheet", "Apply")</f>
        <v>Apply</v>
      </c>
      <c r="C761" s="10" t="s">
        <v>2324</v>
      </c>
      <c r="D761" s="56" t="s">
        <v>1684</v>
      </c>
      <c r="E761" s="10" t="s">
        <v>209</v>
      </c>
      <c r="F761" s="10" t="s">
        <v>1685</v>
      </c>
      <c r="G761" s="10" t="s">
        <v>18779</v>
      </c>
      <c r="H761" s="10" t="s">
        <v>757</v>
      </c>
      <c r="I761" s="10" t="s">
        <v>252</v>
      </c>
      <c r="J761" s="10" t="s">
        <v>2326</v>
      </c>
      <c r="K761" s="10" t="s">
        <v>2327</v>
      </c>
      <c r="L761" s="10" t="s">
        <v>42</v>
      </c>
    </row>
    <row r="762" ht="15.75" customHeight="1">
      <c r="A762" s="68">
        <v>45453.0</v>
      </c>
      <c r="B762" s="55" t="str">
        <f>HYPERLINK("https://jobright.ai/jobs/info/65b879d56f6ac2936f0c96ca?utm_campaign=1049&amp;utm_source=sheet", "Apply")</f>
        <v>Apply</v>
      </c>
      <c r="C762" s="10" t="s">
        <v>2324</v>
      </c>
      <c r="D762" s="56" t="s">
        <v>1684</v>
      </c>
      <c r="E762" s="10" t="s">
        <v>209</v>
      </c>
      <c r="F762" s="10" t="s">
        <v>1685</v>
      </c>
      <c r="G762" s="10" t="s">
        <v>18779</v>
      </c>
      <c r="H762" s="10" t="s">
        <v>933</v>
      </c>
      <c r="I762" s="10" t="s">
        <v>252</v>
      </c>
      <c r="J762" s="10" t="s">
        <v>2326</v>
      </c>
      <c r="K762" s="10" t="s">
        <v>2327</v>
      </c>
      <c r="L762" s="10" t="s">
        <v>42</v>
      </c>
    </row>
    <row r="763" ht="15.75" customHeight="1">
      <c r="A763" s="68">
        <v>45453.0</v>
      </c>
      <c r="B763" s="55" t="str">
        <f>HYPERLINK("https://jobright.ai/jobs/info/65b881fba337a8bf50301a0e?utm_campaign=1049&amp;utm_source=sheet", "Apply")</f>
        <v>Apply</v>
      </c>
      <c r="C763" s="10" t="s">
        <v>2324</v>
      </c>
      <c r="D763" s="56" t="s">
        <v>1684</v>
      </c>
      <c r="E763" s="10" t="s">
        <v>209</v>
      </c>
      <c r="F763" s="10" t="s">
        <v>1685</v>
      </c>
      <c r="G763" s="10" t="s">
        <v>18779</v>
      </c>
      <c r="H763" s="10" t="s">
        <v>14460</v>
      </c>
      <c r="I763" s="10" t="s">
        <v>252</v>
      </c>
      <c r="J763" s="10" t="s">
        <v>2326</v>
      </c>
      <c r="K763" s="10" t="s">
        <v>2327</v>
      </c>
      <c r="L763" s="10" t="s">
        <v>42</v>
      </c>
    </row>
    <row r="764" ht="15.75" customHeight="1">
      <c r="A764" s="64">
        <v>45453.0</v>
      </c>
      <c r="B764" s="55" t="str">
        <f>HYPERLINK("https://jobright.ai/jobs/info/65b881fba337a8bf50301a04?utm_campaign=1049&amp;utm_source=sheet", "Apply")</f>
        <v>Apply</v>
      </c>
      <c r="C764" s="10" t="s">
        <v>2324</v>
      </c>
      <c r="D764" s="56" t="s">
        <v>1684</v>
      </c>
      <c r="E764" s="10" t="s">
        <v>209</v>
      </c>
      <c r="F764" s="10" t="s">
        <v>1685</v>
      </c>
      <c r="G764" s="10" t="s">
        <v>18779</v>
      </c>
      <c r="H764" s="10" t="s">
        <v>17207</v>
      </c>
      <c r="I764" s="10" t="s">
        <v>252</v>
      </c>
      <c r="J764" s="10" t="s">
        <v>2326</v>
      </c>
      <c r="K764" s="10" t="s">
        <v>2327</v>
      </c>
      <c r="L764" s="10" t="s">
        <v>42</v>
      </c>
    </row>
    <row r="765" ht="15.75" customHeight="1">
      <c r="A765" s="64">
        <v>45453.0</v>
      </c>
      <c r="B765" s="55" t="str">
        <f>HYPERLINK("https://jobright.ai/jobs/info/65b95e017b154dda54b1d5a3?utm_campaign=1049&amp;utm_source=sheet", "Apply")</f>
        <v>Apply</v>
      </c>
      <c r="C765" s="10" t="s">
        <v>2324</v>
      </c>
      <c r="D765" s="56" t="s">
        <v>1684</v>
      </c>
      <c r="E765" s="10" t="s">
        <v>209</v>
      </c>
      <c r="F765" s="10" t="s">
        <v>1685</v>
      </c>
      <c r="G765" s="10" t="s">
        <v>18779</v>
      </c>
      <c r="H765" s="10" t="s">
        <v>2562</v>
      </c>
      <c r="I765" s="10" t="s">
        <v>252</v>
      </c>
      <c r="J765" s="10" t="s">
        <v>2326</v>
      </c>
      <c r="K765" s="10" t="s">
        <v>2327</v>
      </c>
      <c r="L765" s="10" t="s">
        <v>42</v>
      </c>
    </row>
    <row r="766" ht="15.75" customHeight="1">
      <c r="A766" s="64">
        <v>45453.0</v>
      </c>
      <c r="B766" s="55" t="str">
        <f>HYPERLINK("https://jobright.ai/jobs/info/65b9748db701239cdf532a93?utm_campaign=1049&amp;utm_source=sheet", "Apply")</f>
        <v>Apply</v>
      </c>
      <c r="C766" s="10" t="s">
        <v>2324</v>
      </c>
      <c r="D766" s="56" t="s">
        <v>1684</v>
      </c>
      <c r="E766" s="10" t="s">
        <v>209</v>
      </c>
      <c r="F766" s="10" t="s">
        <v>1685</v>
      </c>
      <c r="G766" s="10" t="s">
        <v>18779</v>
      </c>
      <c r="H766" s="10" t="s">
        <v>2737</v>
      </c>
      <c r="I766" s="10" t="s">
        <v>252</v>
      </c>
      <c r="J766" s="10" t="s">
        <v>2326</v>
      </c>
      <c r="K766" s="10" t="s">
        <v>2327</v>
      </c>
      <c r="L766" s="10" t="s">
        <v>42</v>
      </c>
    </row>
    <row r="767" ht="15.75" customHeight="1">
      <c r="A767" s="64">
        <v>45453.0</v>
      </c>
      <c r="B767" s="55" t="str">
        <f>HYPERLINK("https://jobright.ai/jobs/info/65b95e017b154dda54b1d50e?utm_campaign=1049&amp;utm_source=sheet", "Apply")</f>
        <v>Apply</v>
      </c>
      <c r="C767" s="10" t="s">
        <v>2324</v>
      </c>
      <c r="D767" s="56" t="s">
        <v>1684</v>
      </c>
      <c r="E767" s="10" t="s">
        <v>209</v>
      </c>
      <c r="F767" s="10" t="s">
        <v>1685</v>
      </c>
      <c r="G767" s="10" t="s">
        <v>18779</v>
      </c>
      <c r="H767" s="10" t="s">
        <v>14453</v>
      </c>
      <c r="I767" s="10" t="s">
        <v>252</v>
      </c>
      <c r="J767" s="10" t="s">
        <v>2326</v>
      </c>
      <c r="K767" s="10" t="s">
        <v>2327</v>
      </c>
      <c r="L767" s="10" t="s">
        <v>42</v>
      </c>
    </row>
    <row r="768" ht="15.75" customHeight="1">
      <c r="A768" s="64">
        <v>45453.0</v>
      </c>
      <c r="B768" s="55" t="str">
        <f>HYPERLINK("https://jobright.ai/jobs/info/65b879d56f6ac2936f0c96cc?utm_campaign=1049&amp;utm_source=sheet", "Apply")</f>
        <v>Apply</v>
      </c>
      <c r="C768" s="10" t="s">
        <v>2324</v>
      </c>
      <c r="D768" s="56" t="s">
        <v>1684</v>
      </c>
      <c r="E768" s="10" t="s">
        <v>209</v>
      </c>
      <c r="F768" s="10" t="s">
        <v>1685</v>
      </c>
      <c r="G768" s="10" t="s">
        <v>18779</v>
      </c>
      <c r="H768" s="10" t="s">
        <v>4820</v>
      </c>
      <c r="I768" s="10" t="s">
        <v>252</v>
      </c>
      <c r="J768" s="10" t="s">
        <v>2326</v>
      </c>
      <c r="K768" s="10" t="s">
        <v>2327</v>
      </c>
      <c r="L768" s="10" t="s">
        <v>42</v>
      </c>
    </row>
    <row r="769" ht="15.75" customHeight="1">
      <c r="A769" s="64">
        <v>45453.0</v>
      </c>
      <c r="B769" s="55" t="str">
        <f>HYPERLINK("https://jobright.ai/jobs/info/65b96c0c95b452faa76f82ab?utm_campaign=1049&amp;utm_source=sheet", "Apply")</f>
        <v>Apply</v>
      </c>
      <c r="C769" s="10" t="s">
        <v>2324</v>
      </c>
      <c r="D769" s="56" t="s">
        <v>1684</v>
      </c>
      <c r="E769" s="10" t="s">
        <v>209</v>
      </c>
      <c r="F769" s="10" t="s">
        <v>1685</v>
      </c>
      <c r="G769" s="10" t="s">
        <v>18779</v>
      </c>
      <c r="H769" s="10" t="s">
        <v>3050</v>
      </c>
      <c r="I769" s="10" t="s">
        <v>252</v>
      </c>
      <c r="J769" s="10" t="s">
        <v>2326</v>
      </c>
      <c r="K769" s="10" t="s">
        <v>2327</v>
      </c>
      <c r="L769" s="10" t="s">
        <v>42</v>
      </c>
    </row>
    <row r="770" ht="15.75" customHeight="1">
      <c r="A770" s="64">
        <v>45453.0</v>
      </c>
      <c r="B770" s="55" t="str">
        <f>HYPERLINK("https://jobright.ai/jobs/info/65b95e017b154dda54b1d515?utm_campaign=1049&amp;utm_source=sheet", "Apply")</f>
        <v>Apply</v>
      </c>
      <c r="C770" s="10" t="s">
        <v>2324</v>
      </c>
      <c r="D770" s="56" t="s">
        <v>1684</v>
      </c>
      <c r="E770" s="10" t="s">
        <v>209</v>
      </c>
      <c r="F770" s="10" t="s">
        <v>1685</v>
      </c>
      <c r="G770" s="10" t="s">
        <v>18779</v>
      </c>
      <c r="H770" s="10" t="s">
        <v>19074</v>
      </c>
      <c r="I770" s="10" t="s">
        <v>252</v>
      </c>
      <c r="J770" s="10" t="s">
        <v>2326</v>
      </c>
      <c r="K770" s="10" t="s">
        <v>2327</v>
      </c>
      <c r="L770" s="10" t="s">
        <v>42</v>
      </c>
    </row>
    <row r="771" ht="15.75" customHeight="1">
      <c r="A771" s="64">
        <v>45453.0</v>
      </c>
      <c r="B771" s="55" t="str">
        <f>HYPERLINK("https://jobright.ai/jobs/info/65b96c0c95b452faa76f8271?utm_campaign=1049&amp;utm_source=sheet", "Apply")</f>
        <v>Apply</v>
      </c>
      <c r="C771" s="10" t="s">
        <v>2324</v>
      </c>
      <c r="D771" s="56" t="s">
        <v>1684</v>
      </c>
      <c r="E771" s="10" t="s">
        <v>209</v>
      </c>
      <c r="F771" s="10" t="s">
        <v>1685</v>
      </c>
      <c r="G771" s="10" t="s">
        <v>18779</v>
      </c>
      <c r="H771" s="10" t="s">
        <v>18274</v>
      </c>
      <c r="I771" s="10" t="s">
        <v>252</v>
      </c>
      <c r="J771" s="10" t="s">
        <v>2326</v>
      </c>
      <c r="K771" s="10" t="s">
        <v>2327</v>
      </c>
      <c r="L771" s="10" t="s">
        <v>42</v>
      </c>
    </row>
    <row r="772" ht="15.75" customHeight="1">
      <c r="A772" s="64">
        <v>45453.0</v>
      </c>
      <c r="B772" s="55" t="str">
        <f>HYPERLINK("https://jobright.ai/jobs/info/65b96c0c95b452faa76f8263?utm_campaign=1049&amp;utm_source=sheet", "Apply")</f>
        <v>Apply</v>
      </c>
      <c r="C772" s="10" t="s">
        <v>2324</v>
      </c>
      <c r="D772" s="56" t="s">
        <v>1684</v>
      </c>
      <c r="E772" s="10" t="s">
        <v>209</v>
      </c>
      <c r="F772" s="10" t="s">
        <v>1685</v>
      </c>
      <c r="G772" s="10" t="s">
        <v>18779</v>
      </c>
      <c r="H772" s="10" t="s">
        <v>4200</v>
      </c>
      <c r="I772" s="10" t="s">
        <v>252</v>
      </c>
      <c r="J772" s="10" t="s">
        <v>2326</v>
      </c>
      <c r="K772" s="10" t="s">
        <v>2327</v>
      </c>
      <c r="L772" s="10" t="s">
        <v>42</v>
      </c>
    </row>
    <row r="773" ht="15.75" customHeight="1">
      <c r="A773" s="64">
        <v>45453.0</v>
      </c>
      <c r="B773" s="55" t="str">
        <f>HYPERLINK("https://jobright.ai/jobs/info/65b96c0c95b452faa76f82aa?utm_campaign=1049&amp;utm_source=sheet", "Apply")</f>
        <v>Apply</v>
      </c>
      <c r="C773" s="10" t="s">
        <v>2324</v>
      </c>
      <c r="D773" s="56" t="s">
        <v>1684</v>
      </c>
      <c r="E773" s="10" t="s">
        <v>209</v>
      </c>
      <c r="F773" s="10" t="s">
        <v>1685</v>
      </c>
      <c r="G773" s="10" t="s">
        <v>18779</v>
      </c>
      <c r="H773" s="10" t="s">
        <v>19079</v>
      </c>
      <c r="I773" s="10" t="s">
        <v>252</v>
      </c>
      <c r="J773" s="10" t="s">
        <v>2326</v>
      </c>
      <c r="K773" s="10" t="s">
        <v>2327</v>
      </c>
      <c r="L773" s="10" t="s">
        <v>42</v>
      </c>
    </row>
    <row r="774" ht="15.75" customHeight="1">
      <c r="A774" s="64">
        <v>45453.0</v>
      </c>
      <c r="B774" s="55" t="str">
        <f>HYPERLINK("https://jobright.ai/jobs/info/65b96c0c95b452faa76f8265?utm_campaign=1049&amp;utm_source=sheet", "Apply")</f>
        <v>Apply</v>
      </c>
      <c r="C774" s="10" t="s">
        <v>2324</v>
      </c>
      <c r="D774" s="56" t="s">
        <v>1684</v>
      </c>
      <c r="E774" s="10" t="s">
        <v>209</v>
      </c>
      <c r="F774" s="10" t="s">
        <v>1685</v>
      </c>
      <c r="G774" s="10" t="s">
        <v>18779</v>
      </c>
      <c r="H774" s="10" t="s">
        <v>19407</v>
      </c>
      <c r="I774" s="10" t="s">
        <v>252</v>
      </c>
      <c r="J774" s="10" t="s">
        <v>2326</v>
      </c>
      <c r="K774" s="10" t="s">
        <v>2327</v>
      </c>
      <c r="L774" s="10" t="s">
        <v>42</v>
      </c>
    </row>
    <row r="775" ht="15.75" customHeight="1">
      <c r="A775" s="64">
        <v>45453.0</v>
      </c>
      <c r="B775" s="55" t="str">
        <f>HYPERLINK("https://jobright.ai/jobs/info/6623e9f4f880fb3da4e8d80c?utm_campaign=1049&amp;utm_source=sheet", "Apply")</f>
        <v>Apply</v>
      </c>
      <c r="C775" s="10" t="s">
        <v>19097</v>
      </c>
      <c r="D775" s="56" t="s">
        <v>1684</v>
      </c>
      <c r="E775" s="10" t="s">
        <v>209</v>
      </c>
      <c r="F775" s="10" t="s">
        <v>1685</v>
      </c>
      <c r="G775" s="10" t="s">
        <v>18779</v>
      </c>
      <c r="H775" s="10" t="s">
        <v>19264</v>
      </c>
      <c r="I775" s="10" t="s">
        <v>252</v>
      </c>
      <c r="J775" s="10" t="s">
        <v>2326</v>
      </c>
      <c r="K775" s="10" t="s">
        <v>2327</v>
      </c>
      <c r="L775" s="10" t="s">
        <v>42</v>
      </c>
    </row>
    <row r="776" ht="15.75" customHeight="1">
      <c r="A776" s="64">
        <v>45453.0</v>
      </c>
      <c r="B776" s="55" t="str">
        <f>HYPERLINK("https://jobright.ai/jobs/info/65b9748db701239cdf532a94?utm_campaign=1049&amp;utm_source=sheet", "Apply")</f>
        <v>Apply</v>
      </c>
      <c r="C776" s="10" t="s">
        <v>2324</v>
      </c>
      <c r="D776" s="56" t="s">
        <v>1684</v>
      </c>
      <c r="E776" s="10" t="s">
        <v>209</v>
      </c>
      <c r="F776" s="10" t="s">
        <v>1685</v>
      </c>
      <c r="G776" s="10" t="s">
        <v>18779</v>
      </c>
      <c r="H776" s="10" t="s">
        <v>19089</v>
      </c>
      <c r="I776" s="10" t="s">
        <v>252</v>
      </c>
      <c r="J776" s="10" t="s">
        <v>2326</v>
      </c>
      <c r="K776" s="10" t="s">
        <v>2327</v>
      </c>
      <c r="L776" s="10" t="s">
        <v>42</v>
      </c>
    </row>
    <row r="777" ht="15.75" customHeight="1">
      <c r="A777" s="64">
        <v>45453.0</v>
      </c>
      <c r="B777" s="55" t="str">
        <f>HYPERLINK("https://jobright.ai/jobs/info/6679783c22283fc0c733872c?utm_campaign=1049&amp;utm_source=sheet", "Apply")</f>
        <v>Apply</v>
      </c>
      <c r="C777" s="10" t="s">
        <v>19408</v>
      </c>
      <c r="D777" s="56" t="s">
        <v>17042</v>
      </c>
      <c r="E777" s="10" t="s">
        <v>45</v>
      </c>
      <c r="F777" s="10" t="s">
        <v>12539</v>
      </c>
      <c r="G777" s="10" t="s">
        <v>18636</v>
      </c>
      <c r="H777" s="10" t="s">
        <v>938</v>
      </c>
      <c r="I777" s="10" t="s">
        <v>55</v>
      </c>
      <c r="K777" s="10" t="s">
        <v>17044</v>
      </c>
      <c r="L777" s="10" t="s">
        <v>42</v>
      </c>
    </row>
    <row r="778" ht="15.75" customHeight="1">
      <c r="A778" s="64">
        <v>45453.0</v>
      </c>
      <c r="B778" s="55" t="str">
        <f>HYPERLINK("https://jobright.ai/jobs/info/6679785222283fc0c73387f6?utm_campaign=1049&amp;utm_source=sheet", "Apply")</f>
        <v>Apply</v>
      </c>
      <c r="C778" s="10" t="s">
        <v>19409</v>
      </c>
      <c r="D778" s="56" t="s">
        <v>17042</v>
      </c>
      <c r="E778" s="10" t="s">
        <v>45</v>
      </c>
      <c r="F778" s="10" t="s">
        <v>12539</v>
      </c>
      <c r="G778" s="10" t="s">
        <v>18636</v>
      </c>
      <c r="H778" s="10" t="s">
        <v>2208</v>
      </c>
      <c r="I778" s="10" t="s">
        <v>55</v>
      </c>
      <c r="K778" s="10" t="s">
        <v>17044</v>
      </c>
      <c r="L778" s="10" t="s">
        <v>42</v>
      </c>
    </row>
    <row r="779" ht="15.75" customHeight="1">
      <c r="A779" s="64">
        <v>45453.0</v>
      </c>
      <c r="B779" s="55" t="str">
        <f>HYPERLINK("https://jobright.ai/jobs/info/667974268f20c6df6b89aaf9?utm_campaign=1049&amp;utm_source=sheet", "Apply")</f>
        <v>Apply</v>
      </c>
      <c r="C779" s="10" t="s">
        <v>19410</v>
      </c>
      <c r="D779" s="56" t="s">
        <v>17042</v>
      </c>
      <c r="E779" s="10" t="s">
        <v>45</v>
      </c>
      <c r="F779" s="10" t="s">
        <v>12539</v>
      </c>
      <c r="G779" s="10" t="s">
        <v>18636</v>
      </c>
      <c r="H779" s="10" t="s">
        <v>921</v>
      </c>
      <c r="I779" s="10" t="s">
        <v>55</v>
      </c>
      <c r="K779" s="10" t="s">
        <v>17044</v>
      </c>
      <c r="L779" s="10" t="s">
        <v>42</v>
      </c>
    </row>
    <row r="780" ht="15.75" customHeight="1">
      <c r="A780" s="64">
        <v>45453.0</v>
      </c>
      <c r="B780" s="55" t="str">
        <f>HYPERLINK("https://jobright.ai/jobs/info/667969a6d86d626ab8b78ce6?utm_campaign=1049&amp;utm_source=sheet", "Apply")</f>
        <v>Apply</v>
      </c>
      <c r="C780" s="10" t="s">
        <v>19411</v>
      </c>
      <c r="D780" s="56" t="s">
        <v>17042</v>
      </c>
      <c r="E780" s="10" t="s">
        <v>45</v>
      </c>
      <c r="F780" s="10" t="s">
        <v>12539</v>
      </c>
      <c r="G780" s="10" t="s">
        <v>18636</v>
      </c>
      <c r="H780" s="10" t="s">
        <v>798</v>
      </c>
      <c r="I780" s="10" t="s">
        <v>55</v>
      </c>
      <c r="K780" s="10" t="s">
        <v>17044</v>
      </c>
      <c r="L780" s="10" t="s">
        <v>42</v>
      </c>
    </row>
    <row r="781" ht="15.75" customHeight="1">
      <c r="A781" s="64">
        <v>45453.0</v>
      </c>
      <c r="B781" s="55" t="str">
        <f>HYPERLINK("https://jobright.ai/jobs/info/667969b0d86d626ab8b78d2c?utm_campaign=1049&amp;utm_source=sheet", "Apply")</f>
        <v>Apply</v>
      </c>
      <c r="C781" s="10" t="s">
        <v>19412</v>
      </c>
      <c r="D781" s="56" t="s">
        <v>17042</v>
      </c>
      <c r="E781" s="10" t="s">
        <v>45</v>
      </c>
      <c r="F781" s="10" t="s">
        <v>12539</v>
      </c>
      <c r="G781" s="10" t="s">
        <v>18636</v>
      </c>
      <c r="H781" s="10" t="s">
        <v>152</v>
      </c>
      <c r="I781" s="10" t="s">
        <v>55</v>
      </c>
      <c r="K781" s="10" t="s">
        <v>17044</v>
      </c>
      <c r="L781" s="10" t="s">
        <v>42</v>
      </c>
    </row>
    <row r="782" ht="15.75" customHeight="1">
      <c r="A782" s="64">
        <v>45453.0</v>
      </c>
      <c r="B782" s="55" t="str">
        <f>HYPERLINK("https://jobright.ai/jobs/info/66796450f6b36b4aa01a4846?utm_campaign=1049&amp;utm_source=sheet", "Apply")</f>
        <v>Apply</v>
      </c>
      <c r="C782" s="10" t="s">
        <v>19413</v>
      </c>
      <c r="D782" s="56" t="s">
        <v>17042</v>
      </c>
      <c r="E782" s="10" t="s">
        <v>45</v>
      </c>
      <c r="F782" s="10" t="s">
        <v>12539</v>
      </c>
      <c r="G782" s="10" t="s">
        <v>18636</v>
      </c>
      <c r="H782" s="10" t="s">
        <v>108</v>
      </c>
      <c r="I782" s="10" t="s">
        <v>55</v>
      </c>
      <c r="K782" s="10" t="s">
        <v>17044</v>
      </c>
      <c r="L782" s="10" t="s">
        <v>42</v>
      </c>
    </row>
    <row r="783" ht="15.75" customHeight="1">
      <c r="A783" s="64">
        <v>45453.0</v>
      </c>
      <c r="B783" s="55" t="str">
        <f>HYPERLINK("https://jobright.ai/jobs/info/6679561239ca2f81c4371332?utm_campaign=1049&amp;utm_source=sheet", "Apply")</f>
        <v>Apply</v>
      </c>
      <c r="C783" s="10" t="s">
        <v>19414</v>
      </c>
      <c r="D783" s="56" t="s">
        <v>17042</v>
      </c>
      <c r="E783" s="10" t="s">
        <v>45</v>
      </c>
      <c r="F783" s="10" t="s">
        <v>12539</v>
      </c>
      <c r="G783" s="10" t="s">
        <v>18636</v>
      </c>
      <c r="H783" s="10" t="s">
        <v>16715</v>
      </c>
      <c r="I783" s="10" t="s">
        <v>55</v>
      </c>
      <c r="K783" s="10" t="s">
        <v>17044</v>
      </c>
      <c r="L783" s="10" t="s">
        <v>42</v>
      </c>
    </row>
    <row r="784" ht="15.75" customHeight="1">
      <c r="A784" s="64">
        <v>45453.0</v>
      </c>
      <c r="B784" s="55" t="str">
        <f>HYPERLINK("https://jobright.ai/jobs/info/6679561239ca2f81c437133b?utm_campaign=1049&amp;utm_source=sheet", "Apply")</f>
        <v>Apply</v>
      </c>
      <c r="C784" s="10" t="s">
        <v>19415</v>
      </c>
      <c r="D784" s="56" t="s">
        <v>17042</v>
      </c>
      <c r="E784" s="10" t="s">
        <v>45</v>
      </c>
      <c r="F784" s="10" t="s">
        <v>12539</v>
      </c>
      <c r="G784" s="10" t="s">
        <v>18636</v>
      </c>
      <c r="H784" s="10" t="s">
        <v>19416</v>
      </c>
      <c r="I784" s="10" t="s">
        <v>55</v>
      </c>
      <c r="K784" s="10" t="s">
        <v>17044</v>
      </c>
      <c r="L784" s="10" t="s">
        <v>42</v>
      </c>
    </row>
    <row r="785" ht="15.75" customHeight="1">
      <c r="A785" s="64">
        <v>45451.0</v>
      </c>
      <c r="B785" s="55" t="str">
        <f>HYPERLINK("https://jobright.ai/jobs/info/6677c88364f2e472ffd643e2?utm_campaign=1049&amp;utm_source=sheet", "Apply")</f>
        <v>Apply</v>
      </c>
      <c r="C785" s="10" t="s">
        <v>19417</v>
      </c>
      <c r="D785" s="56" t="s">
        <v>17042</v>
      </c>
      <c r="E785" s="10" t="s">
        <v>45</v>
      </c>
      <c r="F785" s="10" t="s">
        <v>12539</v>
      </c>
      <c r="G785" s="10" t="s">
        <v>18636</v>
      </c>
      <c r="H785" s="10" t="s">
        <v>16752</v>
      </c>
      <c r="I785" s="10" t="s">
        <v>55</v>
      </c>
      <c r="K785" s="10" t="s">
        <v>17044</v>
      </c>
      <c r="L785" s="10" t="s">
        <v>42</v>
      </c>
    </row>
    <row r="786" ht="15.75" customHeight="1">
      <c r="A786" s="66">
        <v>45451.0</v>
      </c>
      <c r="B786" s="55" t="str">
        <f>HYPERLINK("https://jobright.ai/jobs/info/6677c88e64f2e472ffd644f5?utm_campaign=1049&amp;utm_source=sheet", "Apply")</f>
        <v>Apply</v>
      </c>
      <c r="C786" s="10" t="s">
        <v>19418</v>
      </c>
      <c r="D786" s="56" t="s">
        <v>17042</v>
      </c>
      <c r="E786" s="10" t="s">
        <v>45</v>
      </c>
      <c r="F786" s="10" t="s">
        <v>12539</v>
      </c>
      <c r="G786" s="10" t="s">
        <v>18636</v>
      </c>
      <c r="H786" s="10" t="s">
        <v>661</v>
      </c>
      <c r="I786" s="10" t="s">
        <v>55</v>
      </c>
      <c r="K786" s="10" t="s">
        <v>17044</v>
      </c>
      <c r="L786" s="10" t="s">
        <v>42</v>
      </c>
    </row>
    <row r="787" ht="15.75" customHeight="1">
      <c r="A787" s="66">
        <v>45451.0</v>
      </c>
      <c r="B787" s="55" t="str">
        <f>HYPERLINK("https://jobright.ai/jobs/info/6677cd3374ec1a95a89aef71?utm_campaign=1049&amp;utm_source=sheet", "Apply")</f>
        <v>Apply</v>
      </c>
      <c r="C787" s="10" t="s">
        <v>19419</v>
      </c>
      <c r="D787" s="56" t="s">
        <v>17042</v>
      </c>
      <c r="E787" s="10" t="s">
        <v>45</v>
      </c>
      <c r="F787" s="10" t="s">
        <v>12539</v>
      </c>
      <c r="G787" s="10" t="s">
        <v>18636</v>
      </c>
      <c r="H787" s="10" t="s">
        <v>245</v>
      </c>
      <c r="I787" s="10" t="s">
        <v>55</v>
      </c>
      <c r="K787" s="10" t="s">
        <v>17044</v>
      </c>
      <c r="L787" s="10" t="s">
        <v>42</v>
      </c>
    </row>
    <row r="788" ht="15.75" customHeight="1">
      <c r="A788" s="66">
        <v>45451.0</v>
      </c>
      <c r="B788" s="55" t="str">
        <f>HYPERLINK("https://jobright.ai/jobs/info/6677cd3e74ec1a95a89af050?utm_campaign=1049&amp;utm_source=sheet", "Apply")</f>
        <v>Apply</v>
      </c>
      <c r="C788" s="10" t="s">
        <v>19420</v>
      </c>
      <c r="D788" s="56" t="s">
        <v>17042</v>
      </c>
      <c r="E788" s="10" t="s">
        <v>45</v>
      </c>
      <c r="F788" s="10" t="s">
        <v>12539</v>
      </c>
      <c r="G788" s="10" t="s">
        <v>18636</v>
      </c>
      <c r="H788" s="10" t="s">
        <v>16748</v>
      </c>
      <c r="I788" s="10" t="s">
        <v>55</v>
      </c>
      <c r="K788" s="10" t="s">
        <v>17044</v>
      </c>
      <c r="L788" s="10" t="s">
        <v>42</v>
      </c>
    </row>
    <row r="789" ht="15.75" customHeight="1">
      <c r="A789" s="66">
        <v>45451.0</v>
      </c>
      <c r="B789" s="55" t="str">
        <f>HYPERLINK("https://jobright.ai/jobs/info/6677cd5374ec1a95a89af154?utm_campaign=1049&amp;utm_source=sheet", "Apply")</f>
        <v>Apply</v>
      </c>
      <c r="C789" s="10" t="s">
        <v>19421</v>
      </c>
      <c r="D789" s="56" t="s">
        <v>17042</v>
      </c>
      <c r="E789" s="10" t="s">
        <v>45</v>
      </c>
      <c r="F789" s="10" t="s">
        <v>12539</v>
      </c>
      <c r="G789" s="10" t="s">
        <v>18636</v>
      </c>
      <c r="H789" s="10" t="s">
        <v>914</v>
      </c>
      <c r="I789" s="10" t="s">
        <v>55</v>
      </c>
      <c r="K789" s="10" t="s">
        <v>17044</v>
      </c>
      <c r="L789" s="10" t="s">
        <v>42</v>
      </c>
    </row>
    <row r="790" ht="15.75" customHeight="1">
      <c r="A790" s="66">
        <v>45451.0</v>
      </c>
      <c r="B790" s="55" t="str">
        <f>HYPERLINK("https://jobright.ai/jobs/info/6677cd5374ec1a95a89af1bb?utm_campaign=1049&amp;utm_source=sheet", "Apply")</f>
        <v>Apply</v>
      </c>
      <c r="C790" s="10" t="s">
        <v>19422</v>
      </c>
      <c r="D790" s="56" t="s">
        <v>17042</v>
      </c>
      <c r="E790" s="10" t="s">
        <v>45</v>
      </c>
      <c r="F790" s="10" t="s">
        <v>12539</v>
      </c>
      <c r="G790" s="10" t="s">
        <v>18636</v>
      </c>
      <c r="H790" s="10" t="s">
        <v>10777</v>
      </c>
      <c r="I790" s="10" t="s">
        <v>55</v>
      </c>
      <c r="K790" s="10" t="s">
        <v>17044</v>
      </c>
      <c r="L790" s="10" t="s">
        <v>42</v>
      </c>
    </row>
    <row r="791" ht="15.75" customHeight="1">
      <c r="A791" s="64">
        <v>45451.0</v>
      </c>
      <c r="B791" s="55" t="str">
        <f>HYPERLINK("https://jobright.ai/jobs/info/6677cd7574ec1a95a89af40c?utm_campaign=1049&amp;utm_source=sheet", "Apply")</f>
        <v>Apply</v>
      </c>
      <c r="C791" s="10" t="s">
        <v>19423</v>
      </c>
      <c r="D791" s="56" t="s">
        <v>17042</v>
      </c>
      <c r="E791" s="10" t="s">
        <v>45</v>
      </c>
      <c r="F791" s="10" t="s">
        <v>12539</v>
      </c>
      <c r="G791" s="10" t="s">
        <v>18636</v>
      </c>
      <c r="H791" s="10" t="s">
        <v>19424</v>
      </c>
      <c r="I791" s="10" t="s">
        <v>55</v>
      </c>
      <c r="K791" s="10" t="s">
        <v>17044</v>
      </c>
      <c r="L791" s="10" t="s">
        <v>42</v>
      </c>
    </row>
    <row r="792" ht="15.75" customHeight="1">
      <c r="A792" s="64">
        <v>45451.0</v>
      </c>
      <c r="B792" s="55" t="str">
        <f>HYPERLINK("https://jobright.ai/jobs/info/6677cdd074ec1a95a89afa69?utm_campaign=1049&amp;utm_source=sheet", "Apply")</f>
        <v>Apply</v>
      </c>
      <c r="C792" s="10" t="s">
        <v>19425</v>
      </c>
      <c r="D792" s="56" t="s">
        <v>10244</v>
      </c>
      <c r="E792" s="10" t="s">
        <v>45</v>
      </c>
      <c r="G792" s="10" t="s">
        <v>18779</v>
      </c>
      <c r="H792" s="10" t="s">
        <v>154</v>
      </c>
      <c r="I792" s="10" t="s">
        <v>55</v>
      </c>
      <c r="J792" s="10" t="s">
        <v>3125</v>
      </c>
      <c r="K792" s="10" t="s">
        <v>19426</v>
      </c>
      <c r="L792" s="10" t="s">
        <v>42</v>
      </c>
    </row>
    <row r="793" ht="15.75" customHeight="1">
      <c r="A793" s="64">
        <v>45451.0</v>
      </c>
      <c r="B793" s="55" t="str">
        <f>HYPERLINK("https://jobright.ai/jobs/info/6677cde574ec1a95a89afbd6?utm_campaign=1049&amp;utm_source=sheet", "Apply")</f>
        <v>Apply</v>
      </c>
      <c r="C793" s="10" t="s">
        <v>19427</v>
      </c>
      <c r="D793" s="56" t="s">
        <v>17042</v>
      </c>
      <c r="E793" s="10" t="s">
        <v>45</v>
      </c>
      <c r="F793" s="10" t="s">
        <v>12539</v>
      </c>
      <c r="G793" s="10" t="s">
        <v>18636</v>
      </c>
      <c r="H793" s="10" t="s">
        <v>898</v>
      </c>
      <c r="I793" s="10" t="s">
        <v>55</v>
      </c>
      <c r="K793" s="10" t="s">
        <v>17044</v>
      </c>
      <c r="L793" s="10" t="s">
        <v>42</v>
      </c>
    </row>
    <row r="794" ht="15.75" customHeight="1">
      <c r="A794" s="64">
        <v>45451.0</v>
      </c>
      <c r="B794" s="55" t="str">
        <f>HYPERLINK("https://jobright.ai/jobs/info/6677cde574ec1a95a89afbe7?utm_campaign=1049&amp;utm_source=sheet", "Apply")</f>
        <v>Apply</v>
      </c>
      <c r="C794" s="10" t="s">
        <v>19428</v>
      </c>
      <c r="D794" s="56" t="s">
        <v>17042</v>
      </c>
      <c r="E794" s="10" t="s">
        <v>45</v>
      </c>
      <c r="F794" s="10" t="s">
        <v>12539</v>
      </c>
      <c r="G794" s="10" t="s">
        <v>18636</v>
      </c>
      <c r="H794" s="10" t="s">
        <v>896</v>
      </c>
      <c r="I794" s="10" t="s">
        <v>55</v>
      </c>
      <c r="K794" s="10" t="s">
        <v>17044</v>
      </c>
      <c r="L794" s="10" t="s">
        <v>42</v>
      </c>
    </row>
    <row r="795" ht="15.75" customHeight="1">
      <c r="A795" s="64">
        <v>45451.0</v>
      </c>
      <c r="B795" s="55" t="str">
        <f>HYPERLINK("https://jobright.ai/jobs/info/6677cde574ec1a95a89afbfd?utm_campaign=1049&amp;utm_source=sheet", "Apply")</f>
        <v>Apply</v>
      </c>
      <c r="C795" s="10" t="s">
        <v>19429</v>
      </c>
      <c r="D795" s="56" t="s">
        <v>17042</v>
      </c>
      <c r="E795" s="10" t="s">
        <v>45</v>
      </c>
      <c r="F795" s="10" t="s">
        <v>12539</v>
      </c>
      <c r="G795" s="10" t="s">
        <v>18636</v>
      </c>
      <c r="H795" s="10" t="s">
        <v>860</v>
      </c>
      <c r="I795" s="10" t="s">
        <v>55</v>
      </c>
      <c r="K795" s="10" t="s">
        <v>17044</v>
      </c>
      <c r="L795" s="10" t="s">
        <v>42</v>
      </c>
    </row>
    <row r="796" ht="15.75" customHeight="1">
      <c r="A796" s="66">
        <v>45451.0</v>
      </c>
      <c r="B796" s="55" t="str">
        <f>HYPERLINK("https://jobright.ai/jobs/info/6677cde574ec1a95a89afc01?utm_campaign=1049&amp;utm_source=sheet", "Apply")</f>
        <v>Apply</v>
      </c>
      <c r="C796" s="10" t="s">
        <v>19430</v>
      </c>
      <c r="D796" s="56" t="s">
        <v>17042</v>
      </c>
      <c r="E796" s="10" t="s">
        <v>45</v>
      </c>
      <c r="F796" s="10" t="s">
        <v>12539</v>
      </c>
      <c r="G796" s="10" t="s">
        <v>18636</v>
      </c>
      <c r="H796" s="10" t="s">
        <v>19431</v>
      </c>
      <c r="I796" s="10" t="s">
        <v>55</v>
      </c>
      <c r="K796" s="10" t="s">
        <v>17044</v>
      </c>
      <c r="L796" s="10" t="s">
        <v>42</v>
      </c>
    </row>
    <row r="797" ht="15.75" customHeight="1">
      <c r="A797" s="66">
        <v>45451.0</v>
      </c>
      <c r="B797" s="55" t="str">
        <f>HYPERLINK("https://jobright.ai/jobs/info/6677cde574ec1a95a89afc05?utm_campaign=1049&amp;utm_source=sheet", "Apply")</f>
        <v>Apply</v>
      </c>
      <c r="C797" s="10" t="s">
        <v>19432</v>
      </c>
      <c r="D797" s="56" t="s">
        <v>17042</v>
      </c>
      <c r="E797" s="10" t="s">
        <v>45</v>
      </c>
      <c r="F797" s="10" t="s">
        <v>12539</v>
      </c>
      <c r="G797" s="10" t="s">
        <v>18636</v>
      </c>
      <c r="H797" s="10" t="s">
        <v>765</v>
      </c>
      <c r="I797" s="10" t="s">
        <v>55</v>
      </c>
      <c r="K797" s="10" t="s">
        <v>19433</v>
      </c>
      <c r="L797" s="10" t="s">
        <v>42</v>
      </c>
    </row>
    <row r="798" ht="15.75" customHeight="1">
      <c r="A798" s="66">
        <v>45451.0</v>
      </c>
      <c r="B798" s="55" t="str">
        <f>HYPERLINK("https://jobright.ai/jobs/info/6677ce1074ec1a95a89aff0b?utm_campaign=1049&amp;utm_source=sheet", "Apply")</f>
        <v>Apply</v>
      </c>
      <c r="C798" s="10" t="s">
        <v>19434</v>
      </c>
      <c r="D798" s="56" t="s">
        <v>17042</v>
      </c>
      <c r="E798" s="10" t="s">
        <v>45</v>
      </c>
      <c r="F798" s="10" t="s">
        <v>12539</v>
      </c>
      <c r="G798" s="10" t="s">
        <v>18636</v>
      </c>
      <c r="H798" s="10" t="s">
        <v>19435</v>
      </c>
      <c r="I798" s="10" t="s">
        <v>55</v>
      </c>
      <c r="K798" s="10" t="s">
        <v>17044</v>
      </c>
      <c r="L798" s="10" t="s">
        <v>42</v>
      </c>
    </row>
    <row r="799" ht="15.75" customHeight="1">
      <c r="A799" s="66">
        <v>45451.0</v>
      </c>
      <c r="B799" s="55" t="str">
        <f>HYPERLINK("https://jobright.ai/jobs/info/6677d1a997271e26801e1fcb?utm_campaign=1049&amp;utm_source=sheet", "Apply")</f>
        <v>Apply</v>
      </c>
      <c r="C799" s="10" t="s">
        <v>19436</v>
      </c>
      <c r="D799" s="56" t="s">
        <v>17042</v>
      </c>
      <c r="E799" s="10" t="s">
        <v>45</v>
      </c>
      <c r="F799" s="10" t="s">
        <v>12539</v>
      </c>
      <c r="G799" s="10" t="s">
        <v>18636</v>
      </c>
      <c r="H799" s="10" t="s">
        <v>914</v>
      </c>
      <c r="I799" s="10" t="s">
        <v>55</v>
      </c>
      <c r="K799" s="10" t="s">
        <v>17044</v>
      </c>
      <c r="L799" s="10" t="s">
        <v>42</v>
      </c>
    </row>
    <row r="800" ht="15.75" customHeight="1">
      <c r="A800" s="66">
        <v>45451.0</v>
      </c>
      <c r="B800" s="55" t="str">
        <f>HYPERLINK("https://jobright.ai/jobs/info/6677d1bf97271e26801e2187?utm_campaign=1049&amp;utm_source=sheet", "Apply")</f>
        <v>Apply</v>
      </c>
      <c r="C800" s="10" t="s">
        <v>19437</v>
      </c>
      <c r="D800" s="56" t="s">
        <v>19438</v>
      </c>
      <c r="E800" s="10" t="s">
        <v>65</v>
      </c>
      <c r="F800" s="10" t="s">
        <v>1323</v>
      </c>
      <c r="G800" s="10" t="s">
        <v>18642</v>
      </c>
      <c r="H800" s="10" t="s">
        <v>19439</v>
      </c>
      <c r="I800" s="10" t="s">
        <v>55</v>
      </c>
      <c r="J800" s="10" t="s">
        <v>3651</v>
      </c>
      <c r="K800" s="10" t="s">
        <v>19440</v>
      </c>
      <c r="L800" s="10" t="s">
        <v>42</v>
      </c>
    </row>
    <row r="801" ht="15.75" customHeight="1">
      <c r="A801" s="66">
        <v>45451.0</v>
      </c>
      <c r="B801" s="55" t="str">
        <f>HYPERLINK("https://jobright.ai/jobs/info/6677d20997271e26801e265b?utm_campaign=1049&amp;utm_source=sheet", "Apply")</f>
        <v>Apply</v>
      </c>
      <c r="C801" s="10" t="s">
        <v>19441</v>
      </c>
      <c r="D801" s="56" t="s">
        <v>17042</v>
      </c>
      <c r="E801" s="10" t="s">
        <v>45</v>
      </c>
      <c r="F801" s="10" t="s">
        <v>12539</v>
      </c>
      <c r="G801" s="10" t="s">
        <v>18636</v>
      </c>
      <c r="H801" s="10" t="s">
        <v>16732</v>
      </c>
      <c r="I801" s="10" t="s">
        <v>55</v>
      </c>
      <c r="K801" s="10" t="s">
        <v>17044</v>
      </c>
      <c r="L801" s="10" t="s">
        <v>42</v>
      </c>
    </row>
    <row r="802" ht="15.75" customHeight="1">
      <c r="A802" s="64">
        <v>45451.0</v>
      </c>
      <c r="B802" s="55" t="str">
        <f>HYPERLINK("https://jobright.ai/jobs/info/6677d20997271e26801e2663?utm_campaign=1049&amp;utm_source=sheet", "Apply")</f>
        <v>Apply</v>
      </c>
      <c r="C802" s="10" t="s">
        <v>19442</v>
      </c>
      <c r="D802" s="56" t="s">
        <v>17042</v>
      </c>
      <c r="E802" s="10" t="s">
        <v>45</v>
      </c>
      <c r="F802" s="10" t="s">
        <v>12539</v>
      </c>
      <c r="G802" s="10" t="s">
        <v>18636</v>
      </c>
      <c r="H802" s="10" t="s">
        <v>19443</v>
      </c>
      <c r="I802" s="10" t="s">
        <v>55</v>
      </c>
      <c r="K802" s="10" t="s">
        <v>17044</v>
      </c>
      <c r="L802" s="10" t="s">
        <v>42</v>
      </c>
    </row>
    <row r="803" ht="15.75" customHeight="1">
      <c r="A803" s="66">
        <v>45451.0</v>
      </c>
      <c r="B803" s="55" t="str">
        <f>HYPERLINK("https://jobright.ai/jobs/info/6677d20997271e26801e269d?utm_campaign=1049&amp;utm_source=sheet", "Apply")</f>
        <v>Apply</v>
      </c>
      <c r="C803" s="10" t="s">
        <v>19444</v>
      </c>
      <c r="D803" s="56" t="s">
        <v>17042</v>
      </c>
      <c r="E803" s="10" t="s">
        <v>45</v>
      </c>
      <c r="F803" s="10" t="s">
        <v>12539</v>
      </c>
      <c r="G803" s="10" t="s">
        <v>18636</v>
      </c>
      <c r="H803" s="10" t="s">
        <v>19445</v>
      </c>
      <c r="I803" s="10" t="s">
        <v>55</v>
      </c>
      <c r="K803" s="10" t="s">
        <v>17044</v>
      </c>
      <c r="L803" s="10" t="s">
        <v>42</v>
      </c>
    </row>
    <row r="804" ht="15.75" customHeight="1">
      <c r="A804" s="66">
        <v>45451.0</v>
      </c>
      <c r="B804" s="55" t="str">
        <f>HYPERLINK("https://jobright.ai/jobs/info/6677d20997271e26801e26c4?utm_campaign=1049&amp;utm_source=sheet", "Apply")</f>
        <v>Apply</v>
      </c>
      <c r="C804" s="10" t="s">
        <v>19446</v>
      </c>
      <c r="D804" s="56" t="s">
        <v>17042</v>
      </c>
      <c r="E804" s="10" t="s">
        <v>45</v>
      </c>
      <c r="F804" s="10" t="s">
        <v>12539</v>
      </c>
      <c r="G804" s="10" t="s">
        <v>18636</v>
      </c>
      <c r="H804" s="10" t="s">
        <v>19447</v>
      </c>
      <c r="I804" s="10" t="s">
        <v>55</v>
      </c>
      <c r="K804" s="10" t="s">
        <v>17044</v>
      </c>
      <c r="L804" s="10" t="s">
        <v>42</v>
      </c>
    </row>
    <row r="805" ht="15.75" customHeight="1">
      <c r="A805" s="66">
        <v>45451.0</v>
      </c>
      <c r="B805" s="55" t="str">
        <f>HYPERLINK("https://jobright.ai/jobs/info/6677d26397271e26801e2cf6?utm_campaign=1049&amp;utm_source=sheet", "Apply")</f>
        <v>Apply</v>
      </c>
      <c r="C805" s="10" t="s">
        <v>19448</v>
      </c>
      <c r="D805" s="56" t="s">
        <v>17042</v>
      </c>
      <c r="E805" s="10" t="s">
        <v>45</v>
      </c>
      <c r="F805" s="10" t="s">
        <v>12539</v>
      </c>
      <c r="G805" s="10" t="s">
        <v>18636</v>
      </c>
      <c r="H805" s="10" t="s">
        <v>17580</v>
      </c>
      <c r="I805" s="10" t="s">
        <v>55</v>
      </c>
      <c r="K805" s="10" t="s">
        <v>17044</v>
      </c>
      <c r="L805" s="10" t="s">
        <v>42</v>
      </c>
    </row>
    <row r="806" ht="15.75" customHeight="1">
      <c r="A806" s="66">
        <v>45451.0</v>
      </c>
      <c r="B806" s="55" t="str">
        <f>HYPERLINK("https://jobright.ai/jobs/info/6677d2c897271e26801e33a7?utm_campaign=1049&amp;utm_source=sheet", "Apply")</f>
        <v>Apply</v>
      </c>
      <c r="C806" s="10" t="s">
        <v>19449</v>
      </c>
      <c r="D806" s="56" t="s">
        <v>17042</v>
      </c>
      <c r="E806" s="10" t="s">
        <v>45</v>
      </c>
      <c r="F806" s="10" t="s">
        <v>12539</v>
      </c>
      <c r="G806" s="10" t="s">
        <v>18636</v>
      </c>
      <c r="H806" s="10" t="s">
        <v>16672</v>
      </c>
      <c r="I806" s="10" t="s">
        <v>55</v>
      </c>
      <c r="K806" s="10" t="s">
        <v>17044</v>
      </c>
      <c r="L806" s="10" t="s">
        <v>42</v>
      </c>
    </row>
    <row r="807" ht="15.75" customHeight="1">
      <c r="A807" s="66">
        <v>45451.0</v>
      </c>
      <c r="B807" s="55" t="str">
        <f>HYPERLINK("https://jobright.ai/jobs/info/6677d2c897271e26801e33b1?utm_campaign=1049&amp;utm_source=sheet", "Apply")</f>
        <v>Apply</v>
      </c>
      <c r="C807" s="10" t="s">
        <v>19450</v>
      </c>
      <c r="D807" s="56" t="s">
        <v>17042</v>
      </c>
      <c r="E807" s="10" t="s">
        <v>45</v>
      </c>
      <c r="F807" s="10" t="s">
        <v>12539</v>
      </c>
      <c r="G807" s="10" t="s">
        <v>18636</v>
      </c>
      <c r="H807" s="10" t="s">
        <v>996</v>
      </c>
      <c r="I807" s="10" t="s">
        <v>55</v>
      </c>
      <c r="K807" s="10" t="s">
        <v>17044</v>
      </c>
      <c r="L807" s="10" t="s">
        <v>42</v>
      </c>
    </row>
    <row r="808" ht="15.75" customHeight="1">
      <c r="A808" s="67">
        <v>45451.0</v>
      </c>
      <c r="B808" s="55" t="str">
        <f>HYPERLINK("https://jobright.ai/jobs/info/6677d2c897271e26801e33b6?utm_campaign=1049&amp;utm_source=sheet", "Apply")</f>
        <v>Apply</v>
      </c>
      <c r="C808" s="10" t="s">
        <v>19451</v>
      </c>
      <c r="D808" s="56" t="s">
        <v>17042</v>
      </c>
      <c r="E808" s="10" t="s">
        <v>45</v>
      </c>
      <c r="F808" s="10" t="s">
        <v>12539</v>
      </c>
      <c r="G808" s="10" t="s">
        <v>18636</v>
      </c>
      <c r="H808" s="10" t="s">
        <v>971</v>
      </c>
      <c r="I808" s="10" t="s">
        <v>55</v>
      </c>
      <c r="K808" s="10" t="s">
        <v>17044</v>
      </c>
      <c r="L808" s="10" t="s">
        <v>42</v>
      </c>
    </row>
    <row r="809" ht="15.75" customHeight="1">
      <c r="A809" s="67">
        <v>45451.0</v>
      </c>
      <c r="B809" s="55" t="str">
        <f>HYPERLINK("https://jobright.ai/jobs/info/6677d2c897271e26801e33c2?utm_campaign=1049&amp;utm_source=sheet", "Apply")</f>
        <v>Apply</v>
      </c>
      <c r="C809" s="10" t="s">
        <v>19452</v>
      </c>
      <c r="D809" s="56" t="s">
        <v>17042</v>
      </c>
      <c r="E809" s="10" t="s">
        <v>45</v>
      </c>
      <c r="F809" s="10" t="s">
        <v>12539</v>
      </c>
      <c r="G809" s="10" t="s">
        <v>18636</v>
      </c>
      <c r="H809" s="10" t="s">
        <v>2674</v>
      </c>
      <c r="I809" s="10" t="s">
        <v>55</v>
      </c>
      <c r="K809" s="10" t="s">
        <v>17044</v>
      </c>
      <c r="L809" s="10" t="s">
        <v>42</v>
      </c>
    </row>
    <row r="810" ht="15.75" customHeight="1">
      <c r="A810" s="67">
        <v>45451.0</v>
      </c>
      <c r="B810" s="55" t="str">
        <f>HYPERLINK("https://jobright.ai/jobs/info/6677d2d297271e26801e3443?utm_campaign=1049&amp;utm_source=sheet", "Apply")</f>
        <v>Apply</v>
      </c>
      <c r="C810" s="10" t="s">
        <v>19453</v>
      </c>
      <c r="D810" s="56" t="s">
        <v>17042</v>
      </c>
      <c r="E810" s="10" t="s">
        <v>45</v>
      </c>
      <c r="F810" s="10" t="s">
        <v>12539</v>
      </c>
      <c r="G810" s="10" t="s">
        <v>18636</v>
      </c>
      <c r="H810" s="10" t="s">
        <v>19454</v>
      </c>
      <c r="I810" s="10" t="s">
        <v>55</v>
      </c>
      <c r="K810" s="10" t="s">
        <v>17044</v>
      </c>
      <c r="L810" s="10" t="s">
        <v>42</v>
      </c>
    </row>
    <row r="811" ht="15.75" customHeight="1">
      <c r="A811" s="67">
        <v>45451.0</v>
      </c>
      <c r="B811" s="55" t="str">
        <f>HYPERLINK("https://jobright.ai/jobs/info/6677d2f197271e26801e36eb?utm_campaign=1049&amp;utm_source=sheet", "Apply")</f>
        <v>Apply</v>
      </c>
      <c r="C811" s="10" t="s">
        <v>19455</v>
      </c>
      <c r="D811" s="56" t="s">
        <v>17042</v>
      </c>
      <c r="E811" s="10" t="s">
        <v>45</v>
      </c>
      <c r="F811" s="10" t="s">
        <v>12539</v>
      </c>
      <c r="G811" s="10" t="s">
        <v>18636</v>
      </c>
      <c r="H811" s="10" t="s">
        <v>16675</v>
      </c>
      <c r="I811" s="10" t="s">
        <v>55</v>
      </c>
      <c r="K811" s="10" t="s">
        <v>17044</v>
      </c>
      <c r="L811" s="10" t="s">
        <v>42</v>
      </c>
    </row>
    <row r="812" ht="15.75" customHeight="1">
      <c r="A812" s="67">
        <v>45451.0</v>
      </c>
      <c r="B812" s="55" t="str">
        <f>HYPERLINK("https://jobright.ai/jobs/info/6677d30597271e26801e3817?utm_campaign=1049&amp;utm_source=sheet", "Apply")</f>
        <v>Apply</v>
      </c>
      <c r="C812" s="10" t="s">
        <v>19456</v>
      </c>
      <c r="D812" s="56" t="s">
        <v>17042</v>
      </c>
      <c r="E812" s="10" t="s">
        <v>45</v>
      </c>
      <c r="F812" s="10" t="s">
        <v>12539</v>
      </c>
      <c r="G812" s="10" t="s">
        <v>18636</v>
      </c>
      <c r="H812" s="10" t="s">
        <v>4458</v>
      </c>
      <c r="I812" s="10" t="s">
        <v>55</v>
      </c>
      <c r="K812" s="10" t="s">
        <v>17044</v>
      </c>
      <c r="L812" s="10" t="s">
        <v>42</v>
      </c>
    </row>
    <row r="813" ht="15.75" customHeight="1">
      <c r="A813" s="67">
        <v>45451.0</v>
      </c>
      <c r="B813" s="55" t="str">
        <f>HYPERLINK("https://jobright.ai/jobs/info/6677d6fb5793f82273cb35f8?utm_campaign=1049&amp;utm_source=sheet", "Apply")</f>
        <v>Apply</v>
      </c>
      <c r="C813" s="10" t="s">
        <v>19457</v>
      </c>
      <c r="D813" s="56" t="s">
        <v>17042</v>
      </c>
      <c r="E813" s="10" t="s">
        <v>45</v>
      </c>
      <c r="F813" s="10" t="s">
        <v>12539</v>
      </c>
      <c r="G813" s="10" t="s">
        <v>18636</v>
      </c>
      <c r="H813" s="10" t="s">
        <v>1008</v>
      </c>
      <c r="I813" s="10" t="s">
        <v>55</v>
      </c>
      <c r="K813" s="10" t="s">
        <v>17044</v>
      </c>
      <c r="L813" s="10" t="s">
        <v>42</v>
      </c>
    </row>
    <row r="814" ht="15.75" customHeight="1">
      <c r="A814" s="67">
        <v>45451.0</v>
      </c>
      <c r="B814" s="55" t="str">
        <f>HYPERLINK("https://jobright.ai/jobs/info/6677d7955793f82273cb3fc6?utm_campaign=1049&amp;utm_source=sheet", "Apply")</f>
        <v>Apply</v>
      </c>
      <c r="C814" s="10" t="s">
        <v>19458</v>
      </c>
      <c r="D814" s="56" t="s">
        <v>17042</v>
      </c>
      <c r="E814" s="10" t="s">
        <v>45</v>
      </c>
      <c r="F814" s="10" t="s">
        <v>12539</v>
      </c>
      <c r="G814" s="10" t="s">
        <v>18636</v>
      </c>
      <c r="H814" s="10" t="s">
        <v>19459</v>
      </c>
      <c r="I814" s="10" t="s">
        <v>55</v>
      </c>
      <c r="K814" s="10" t="s">
        <v>17044</v>
      </c>
      <c r="L814" s="10" t="s">
        <v>42</v>
      </c>
    </row>
    <row r="815" ht="15.75" customHeight="1">
      <c r="A815" s="67">
        <v>45451.0</v>
      </c>
      <c r="B815" s="55" t="str">
        <f>HYPERLINK("https://jobright.ai/jobs/info/6677d7a05793f82273cb402e?utm_campaign=1049&amp;utm_source=sheet", "Apply")</f>
        <v>Apply</v>
      </c>
      <c r="C815" s="10" t="s">
        <v>19460</v>
      </c>
      <c r="D815" s="56" t="s">
        <v>17042</v>
      </c>
      <c r="E815" s="10" t="s">
        <v>45</v>
      </c>
      <c r="F815" s="10" t="s">
        <v>12539</v>
      </c>
      <c r="G815" s="10" t="s">
        <v>18636</v>
      </c>
      <c r="H815" s="10" t="s">
        <v>5761</v>
      </c>
      <c r="I815" s="10" t="s">
        <v>55</v>
      </c>
      <c r="K815" s="10" t="s">
        <v>17044</v>
      </c>
      <c r="L815" s="10" t="s">
        <v>42</v>
      </c>
    </row>
    <row r="816" ht="15.75" customHeight="1">
      <c r="A816" s="67">
        <v>45451.0</v>
      </c>
      <c r="B816" s="55" t="str">
        <f>HYPERLINK("https://jobright.ai/jobs/info/6676b8c4022d43fb7b689822?utm_campaign=1049&amp;utm_source=sheet", "Apply")</f>
        <v>Apply</v>
      </c>
      <c r="C816" s="10" t="s">
        <v>19461</v>
      </c>
      <c r="D816" s="56" t="s">
        <v>17042</v>
      </c>
      <c r="E816" s="10" t="s">
        <v>45</v>
      </c>
      <c r="F816" s="10" t="s">
        <v>12539</v>
      </c>
      <c r="G816" s="10" t="s">
        <v>18636</v>
      </c>
      <c r="H816" s="10" t="s">
        <v>12606</v>
      </c>
      <c r="I816" s="10" t="s">
        <v>55</v>
      </c>
      <c r="K816" s="10" t="s">
        <v>17044</v>
      </c>
      <c r="L816" s="10" t="s">
        <v>42</v>
      </c>
    </row>
    <row r="817" ht="15.75" customHeight="1">
      <c r="A817" s="67">
        <v>45451.0</v>
      </c>
      <c r="B817" s="55" t="str">
        <f>HYPERLINK("https://jobright.ai/jobs/info/6677d7a05793f82273cb4096?utm_campaign=1049&amp;utm_source=sheet", "Apply")</f>
        <v>Apply</v>
      </c>
      <c r="C817" s="10" t="s">
        <v>19462</v>
      </c>
      <c r="D817" s="56" t="s">
        <v>17042</v>
      </c>
      <c r="E817" s="10" t="s">
        <v>45</v>
      </c>
      <c r="F817" s="10" t="s">
        <v>12539</v>
      </c>
      <c r="G817" s="10" t="s">
        <v>18636</v>
      </c>
      <c r="H817" s="10" t="s">
        <v>1352</v>
      </c>
      <c r="I817" s="10" t="s">
        <v>55</v>
      </c>
      <c r="K817" s="10" t="s">
        <v>17044</v>
      </c>
      <c r="L817" s="10" t="s">
        <v>42</v>
      </c>
    </row>
    <row r="818" ht="15.75" customHeight="1">
      <c r="A818" s="67">
        <v>45451.0</v>
      </c>
      <c r="B818" s="55" t="str">
        <f>HYPERLINK("https://jobright.ai/jobs/info/6677d7ac5793f82273cb4146?utm_campaign=1049&amp;utm_source=sheet", "Apply")</f>
        <v>Apply</v>
      </c>
      <c r="C818" s="10" t="s">
        <v>19463</v>
      </c>
      <c r="D818" s="56" t="s">
        <v>17042</v>
      </c>
      <c r="E818" s="10" t="s">
        <v>45</v>
      </c>
      <c r="F818" s="10" t="s">
        <v>12539</v>
      </c>
      <c r="G818" s="10" t="s">
        <v>18636</v>
      </c>
      <c r="H818" s="10" t="s">
        <v>16985</v>
      </c>
      <c r="I818" s="10" t="s">
        <v>55</v>
      </c>
      <c r="K818" s="10" t="s">
        <v>17044</v>
      </c>
      <c r="L818" s="10" t="s">
        <v>42</v>
      </c>
    </row>
    <row r="819" ht="15.75" customHeight="1">
      <c r="A819" s="67">
        <v>45451.0</v>
      </c>
      <c r="B819" s="55" t="str">
        <f>HYPERLINK("https://jobright.ai/jobs/info/6677d7b75793f82273cb422d?utm_campaign=1049&amp;utm_source=sheet", "Apply")</f>
        <v>Apply</v>
      </c>
      <c r="C819" s="10" t="s">
        <v>19464</v>
      </c>
      <c r="D819" s="56" t="s">
        <v>17042</v>
      </c>
      <c r="E819" s="10" t="s">
        <v>45</v>
      </c>
      <c r="F819" s="10" t="s">
        <v>12539</v>
      </c>
      <c r="G819" s="10" t="s">
        <v>18636</v>
      </c>
      <c r="H819" s="10" t="s">
        <v>9420</v>
      </c>
      <c r="I819" s="10" t="s">
        <v>55</v>
      </c>
      <c r="K819" s="10" t="s">
        <v>17044</v>
      </c>
      <c r="L819" s="10" t="s">
        <v>42</v>
      </c>
    </row>
    <row r="820" ht="15.75" customHeight="1">
      <c r="A820" s="67">
        <v>45451.0</v>
      </c>
      <c r="B820" s="55" t="str">
        <f>HYPERLINK("https://jobright.ai/jobs/info/6663d2e354fd78216b7ce90a?utm_campaign=1049&amp;utm_source=sheet", "Apply")</f>
        <v>Apply</v>
      </c>
      <c r="C820" s="10" t="s">
        <v>19465</v>
      </c>
      <c r="D820" s="56" t="s">
        <v>19466</v>
      </c>
      <c r="E820" s="10" t="s">
        <v>276</v>
      </c>
      <c r="F820" s="10" t="s">
        <v>19467</v>
      </c>
      <c r="G820" s="10" t="s">
        <v>18636</v>
      </c>
      <c r="H820" s="10" t="s">
        <v>19468</v>
      </c>
      <c r="I820" s="10" t="s">
        <v>55</v>
      </c>
      <c r="J820" s="10" t="s">
        <v>19469</v>
      </c>
      <c r="K820" s="10" t="s">
        <v>19470</v>
      </c>
      <c r="L820" s="10" t="s">
        <v>42</v>
      </c>
    </row>
    <row r="821" ht="15.75" customHeight="1">
      <c r="A821" s="67">
        <v>45451.0</v>
      </c>
      <c r="B821" s="55" t="str">
        <f>HYPERLINK("https://jobright.ai/jobs/info/6663ca7ecda1f01fd4806af6?utm_campaign=1049&amp;utm_source=sheet", "Apply")</f>
        <v>Apply</v>
      </c>
      <c r="C821" s="10" t="s">
        <v>19471</v>
      </c>
      <c r="D821" s="56" t="s">
        <v>19466</v>
      </c>
      <c r="E821" s="10" t="s">
        <v>276</v>
      </c>
      <c r="F821" s="10" t="s">
        <v>19467</v>
      </c>
      <c r="G821" s="10" t="s">
        <v>18779</v>
      </c>
      <c r="H821" s="10" t="s">
        <v>19468</v>
      </c>
      <c r="I821" s="10" t="s">
        <v>55</v>
      </c>
      <c r="J821" s="10" t="s">
        <v>19469</v>
      </c>
      <c r="K821" s="10" t="s">
        <v>19472</v>
      </c>
      <c r="L821" s="10" t="s">
        <v>42</v>
      </c>
    </row>
    <row r="822" ht="15.75" customHeight="1">
      <c r="A822" s="67">
        <v>45450.0</v>
      </c>
      <c r="B822" s="55" t="str">
        <f>HYPERLINK("https://jobright.ai/jobs/info/6675e1f3e95c1a0a225b94b1?utm_campaign=1049&amp;utm_source=sheet", "Apply")</f>
        <v>Apply</v>
      </c>
      <c r="C822" s="10" t="s">
        <v>19473</v>
      </c>
      <c r="D822" s="56" t="s">
        <v>17042</v>
      </c>
      <c r="E822" s="10" t="s">
        <v>45</v>
      </c>
      <c r="F822" s="10" t="s">
        <v>12539</v>
      </c>
      <c r="G822" s="10" t="s">
        <v>18636</v>
      </c>
      <c r="H822" s="10" t="s">
        <v>819</v>
      </c>
      <c r="I822" s="10" t="s">
        <v>55</v>
      </c>
      <c r="K822" s="10" t="s">
        <v>17044</v>
      </c>
      <c r="L822" s="10" t="s">
        <v>42</v>
      </c>
    </row>
    <row r="823" ht="15.75" customHeight="1">
      <c r="A823" s="67">
        <v>45450.0</v>
      </c>
      <c r="B823" s="55" t="str">
        <f>HYPERLINK("https://jobright.ai/jobs/info/6675e61c002960a5a8d1ae91?utm_campaign=1049&amp;utm_source=sheet", "Apply")</f>
        <v>Apply</v>
      </c>
      <c r="C823" s="10" t="s">
        <v>19474</v>
      </c>
      <c r="D823" s="56" t="s">
        <v>17042</v>
      </c>
      <c r="E823" s="10" t="s">
        <v>45</v>
      </c>
      <c r="F823" s="10" t="s">
        <v>12539</v>
      </c>
      <c r="G823" s="10" t="s">
        <v>18636</v>
      </c>
      <c r="H823" s="10" t="s">
        <v>3532</v>
      </c>
      <c r="I823" s="10" t="s">
        <v>55</v>
      </c>
      <c r="K823" s="10" t="s">
        <v>17044</v>
      </c>
      <c r="L823" s="10" t="s">
        <v>42</v>
      </c>
    </row>
    <row r="824" ht="15.75" customHeight="1">
      <c r="A824" s="67">
        <v>45450.0</v>
      </c>
      <c r="B824" s="55" t="str">
        <f>HYPERLINK("https://jobright.ai/jobs/info/6675ea16a266c24fd0a151f0?utm_campaign=1049&amp;utm_source=sheet", "Apply")</f>
        <v>Apply</v>
      </c>
      <c r="C824" s="10" t="s">
        <v>19475</v>
      </c>
      <c r="D824" s="56" t="s">
        <v>17042</v>
      </c>
      <c r="E824" s="10" t="s">
        <v>45</v>
      </c>
      <c r="F824" s="10" t="s">
        <v>12539</v>
      </c>
      <c r="G824" s="10" t="s">
        <v>18636</v>
      </c>
      <c r="H824" s="10" t="s">
        <v>5261</v>
      </c>
      <c r="I824" s="10" t="s">
        <v>55</v>
      </c>
      <c r="K824" s="10" t="s">
        <v>17044</v>
      </c>
      <c r="L824" s="10" t="s">
        <v>42</v>
      </c>
    </row>
    <row r="825" ht="15.75" customHeight="1">
      <c r="A825" s="67">
        <v>45450.0</v>
      </c>
      <c r="B825" s="55" t="str">
        <f>HYPERLINK("https://jobright.ai/jobs/info/6675b5bd357894b74ff2a2f3?utm_campaign=1049&amp;utm_source=sheet", "Apply")</f>
        <v>Apply</v>
      </c>
      <c r="C825" s="10" t="s">
        <v>19476</v>
      </c>
      <c r="D825" s="56" t="s">
        <v>17042</v>
      </c>
      <c r="E825" s="10" t="s">
        <v>45</v>
      </c>
      <c r="F825" s="10" t="s">
        <v>12539</v>
      </c>
      <c r="G825" s="10" t="s">
        <v>18636</v>
      </c>
      <c r="H825" s="10" t="s">
        <v>902</v>
      </c>
      <c r="I825" s="10" t="s">
        <v>55</v>
      </c>
      <c r="K825" s="10" t="s">
        <v>17044</v>
      </c>
      <c r="L825" s="10" t="s">
        <v>42</v>
      </c>
    </row>
    <row r="826" ht="15.75" customHeight="1">
      <c r="A826" s="67">
        <v>45450.0</v>
      </c>
      <c r="B826" s="55" t="str">
        <f>HYPERLINK("https://jobright.ai/jobs/info/667eb3399c0c8033722c9910?utm_campaign=1049&amp;utm_source=sheet", "Apply")</f>
        <v>Apply</v>
      </c>
      <c r="C826" s="10" t="s">
        <v>19477</v>
      </c>
      <c r="D826" s="56" t="s">
        <v>17042</v>
      </c>
      <c r="E826" s="10" t="s">
        <v>45</v>
      </c>
      <c r="F826" s="10" t="s">
        <v>12539</v>
      </c>
      <c r="G826" s="10" t="s">
        <v>18636</v>
      </c>
      <c r="H826" s="10" t="s">
        <v>9605</v>
      </c>
      <c r="I826" s="10" t="s">
        <v>55</v>
      </c>
      <c r="K826" s="10" t="s">
        <v>17044</v>
      </c>
      <c r="L826" s="10" t="s">
        <v>42</v>
      </c>
    </row>
    <row r="827" ht="15.75" customHeight="1">
      <c r="A827" s="67">
        <v>45448.0</v>
      </c>
      <c r="B827" s="55" t="str">
        <f>HYPERLINK("https://jobright.ai/jobs/info/6660dccd75d4ec2169297bca?utm_campaign=1049&amp;utm_source=sheet", "Apply")</f>
        <v>Apply</v>
      </c>
      <c r="C827" s="10" t="s">
        <v>19478</v>
      </c>
      <c r="D827" s="56" t="s">
        <v>19479</v>
      </c>
      <c r="E827" s="10" t="s">
        <v>249</v>
      </c>
      <c r="F827" s="10" t="s">
        <v>1234</v>
      </c>
      <c r="G827" s="10" t="s">
        <v>18636</v>
      </c>
      <c r="H827" s="10" t="s">
        <v>978</v>
      </c>
      <c r="I827" s="10" t="s">
        <v>55</v>
      </c>
      <c r="K827" s="10" t="s">
        <v>19480</v>
      </c>
      <c r="L827" s="10" t="s">
        <v>42</v>
      </c>
    </row>
    <row r="828" ht="15.75" customHeight="1">
      <c r="A828" s="67">
        <v>45446.0</v>
      </c>
      <c r="B828" s="55" t="str">
        <f>HYPERLINK("https://jobright.ai/jobs/info/665e77098fdd5dd640155faa?utm_campaign=1049&amp;utm_source=sheet", "Apply")</f>
        <v>Apply</v>
      </c>
      <c r="C828" s="10" t="s">
        <v>19481</v>
      </c>
      <c r="D828" s="56" t="s">
        <v>17042</v>
      </c>
      <c r="E828" s="10" t="s">
        <v>45</v>
      </c>
      <c r="F828" s="10" t="s">
        <v>12539</v>
      </c>
      <c r="G828" s="10" t="s">
        <v>18636</v>
      </c>
      <c r="H828" s="10" t="s">
        <v>821</v>
      </c>
      <c r="I828" s="10" t="s">
        <v>55</v>
      </c>
      <c r="K828" s="10" t="s">
        <v>17044</v>
      </c>
      <c r="L828" s="10" t="s">
        <v>42</v>
      </c>
    </row>
    <row r="829" ht="15.75" customHeight="1">
      <c r="A829" s="67">
        <v>45446.0</v>
      </c>
      <c r="B829" s="55" t="str">
        <f>HYPERLINK("https://jobright.ai/jobs/info/665e99cd40185070c8260616?utm_campaign=1049&amp;utm_source=sheet", "Apply")</f>
        <v>Apply</v>
      </c>
      <c r="C829" s="10" t="s">
        <v>19482</v>
      </c>
      <c r="D829" s="56" t="s">
        <v>17042</v>
      </c>
      <c r="E829" s="10" t="s">
        <v>45</v>
      </c>
      <c r="F829" s="10" t="s">
        <v>12539</v>
      </c>
      <c r="G829" s="10" t="s">
        <v>18636</v>
      </c>
      <c r="H829" s="10" t="s">
        <v>16338</v>
      </c>
      <c r="I829" s="10" t="s">
        <v>55</v>
      </c>
      <c r="K829" s="10" t="s">
        <v>17044</v>
      </c>
      <c r="L829" s="10" t="s">
        <v>42</v>
      </c>
    </row>
    <row r="830" ht="15.75" customHeight="1">
      <c r="A830" s="67">
        <v>45446.0</v>
      </c>
      <c r="B830" s="55" t="str">
        <f>HYPERLINK("https://jobright.ai/jobs/info/665e99bf40185070c82605f0?utm_campaign=1049&amp;utm_source=sheet", "Apply")</f>
        <v>Apply</v>
      </c>
      <c r="C830" s="10" t="s">
        <v>19483</v>
      </c>
      <c r="D830" s="56" t="s">
        <v>17042</v>
      </c>
      <c r="E830" s="10" t="s">
        <v>45</v>
      </c>
      <c r="F830" s="10" t="s">
        <v>12539</v>
      </c>
      <c r="G830" s="10" t="s">
        <v>18636</v>
      </c>
      <c r="H830" s="10" t="s">
        <v>896</v>
      </c>
      <c r="I830" s="10" t="s">
        <v>55</v>
      </c>
      <c r="K830" s="10" t="s">
        <v>17044</v>
      </c>
      <c r="L830" s="10" t="s">
        <v>42</v>
      </c>
    </row>
    <row r="831" ht="15.75" customHeight="1">
      <c r="A831" s="67">
        <v>45446.0</v>
      </c>
      <c r="B831" s="55" t="str">
        <f>HYPERLINK("https://jobright.ai/jobs/info/665e99cd40185070c8260640?utm_campaign=1049&amp;utm_source=sheet", "Apply")</f>
        <v>Apply</v>
      </c>
      <c r="C831" s="10" t="s">
        <v>19484</v>
      </c>
      <c r="D831" s="56" t="s">
        <v>17042</v>
      </c>
      <c r="E831" s="10" t="s">
        <v>45</v>
      </c>
      <c r="F831" s="10" t="s">
        <v>12539</v>
      </c>
      <c r="G831" s="10" t="s">
        <v>18636</v>
      </c>
      <c r="H831" s="10" t="s">
        <v>997</v>
      </c>
      <c r="I831" s="10" t="s">
        <v>55</v>
      </c>
      <c r="K831" s="10" t="s">
        <v>17044</v>
      </c>
      <c r="L831" s="10" t="s">
        <v>42</v>
      </c>
    </row>
    <row r="832" ht="15.75" customHeight="1">
      <c r="A832" s="67">
        <v>45446.0</v>
      </c>
      <c r="B832" s="55" t="str">
        <f>HYPERLINK("https://jobright.ai/jobs/info/665e99bf40185070c82605fd?utm_campaign=1049&amp;utm_source=sheet", "Apply")</f>
        <v>Apply</v>
      </c>
      <c r="C832" s="10" t="s">
        <v>19485</v>
      </c>
      <c r="D832" s="56" t="s">
        <v>17042</v>
      </c>
      <c r="E832" s="10" t="s">
        <v>45</v>
      </c>
      <c r="F832" s="10" t="s">
        <v>12539</v>
      </c>
      <c r="G832" s="10" t="s">
        <v>18636</v>
      </c>
      <c r="H832" s="10" t="s">
        <v>19486</v>
      </c>
      <c r="I832" s="10" t="s">
        <v>55</v>
      </c>
      <c r="K832" s="10" t="s">
        <v>17044</v>
      </c>
      <c r="L832" s="10" t="s">
        <v>42</v>
      </c>
    </row>
    <row r="833" ht="15.75" customHeight="1">
      <c r="A833" s="67">
        <v>45446.0</v>
      </c>
      <c r="B833" s="55" t="str">
        <f>HYPERLINK("https://jobright.ai/jobs/info/665e99cd40185070c826060a?utm_campaign=1049&amp;utm_source=sheet", "Apply")</f>
        <v>Apply</v>
      </c>
      <c r="C833" s="10" t="s">
        <v>19487</v>
      </c>
      <c r="D833" s="56" t="s">
        <v>17042</v>
      </c>
      <c r="E833" s="10" t="s">
        <v>45</v>
      </c>
      <c r="F833" s="10" t="s">
        <v>12539</v>
      </c>
      <c r="G833" s="10" t="s">
        <v>18636</v>
      </c>
      <c r="H833" s="10" t="s">
        <v>779</v>
      </c>
      <c r="I833" s="10" t="s">
        <v>55</v>
      </c>
      <c r="K833" s="10" t="s">
        <v>17044</v>
      </c>
      <c r="L833" s="10" t="s">
        <v>42</v>
      </c>
    </row>
    <row r="834" ht="15.75" customHeight="1">
      <c r="A834" s="67">
        <v>45446.0</v>
      </c>
      <c r="B834" s="55" t="str">
        <f>HYPERLINK("https://jobright.ai/jobs/info/665e99cd40185070c8260614?utm_campaign=1049&amp;utm_source=sheet", "Apply")</f>
        <v>Apply</v>
      </c>
      <c r="C834" s="10" t="s">
        <v>19488</v>
      </c>
      <c r="D834" s="56" t="s">
        <v>17042</v>
      </c>
      <c r="E834" s="10" t="s">
        <v>45</v>
      </c>
      <c r="F834" s="10" t="s">
        <v>12539</v>
      </c>
      <c r="G834" s="10" t="s">
        <v>18636</v>
      </c>
      <c r="H834" s="10" t="s">
        <v>852</v>
      </c>
      <c r="I834" s="10" t="s">
        <v>55</v>
      </c>
      <c r="K834" s="10" t="s">
        <v>17044</v>
      </c>
      <c r="L834" s="10" t="s">
        <v>42</v>
      </c>
    </row>
    <row r="835" ht="15.75" customHeight="1">
      <c r="A835" s="67">
        <v>45446.0</v>
      </c>
      <c r="B835" s="55" t="str">
        <f>HYPERLINK("https://jobright.ai/jobs/info/665e99cd40185070c826062e?utm_campaign=1049&amp;utm_source=sheet", "Apply")</f>
        <v>Apply</v>
      </c>
      <c r="C835" s="10" t="s">
        <v>19489</v>
      </c>
      <c r="D835" s="56" t="s">
        <v>17042</v>
      </c>
      <c r="E835" s="10" t="s">
        <v>45</v>
      </c>
      <c r="F835" s="10" t="s">
        <v>12539</v>
      </c>
      <c r="G835" s="10" t="s">
        <v>18636</v>
      </c>
      <c r="H835" s="10" t="s">
        <v>763</v>
      </c>
      <c r="I835" s="10" t="s">
        <v>55</v>
      </c>
      <c r="K835" s="10" t="s">
        <v>17044</v>
      </c>
      <c r="L835" s="10" t="s">
        <v>42</v>
      </c>
    </row>
    <row r="836" ht="15.75" customHeight="1">
      <c r="A836" s="67">
        <v>45446.0</v>
      </c>
      <c r="B836" s="55" t="str">
        <f>HYPERLINK("https://jobright.ai/jobs/info/665e99cd40185070c8260669?utm_campaign=1049&amp;utm_source=sheet", "Apply")</f>
        <v>Apply</v>
      </c>
      <c r="C836" s="10" t="s">
        <v>19490</v>
      </c>
      <c r="D836" s="56" t="s">
        <v>17042</v>
      </c>
      <c r="E836" s="10" t="s">
        <v>45</v>
      </c>
      <c r="F836" s="10" t="s">
        <v>12539</v>
      </c>
      <c r="G836" s="10" t="s">
        <v>18636</v>
      </c>
      <c r="H836" s="10" t="s">
        <v>19491</v>
      </c>
      <c r="I836" s="10" t="s">
        <v>55</v>
      </c>
      <c r="K836" s="10" t="s">
        <v>17044</v>
      </c>
      <c r="L836" s="10" t="s">
        <v>42</v>
      </c>
    </row>
    <row r="837" ht="15.75" customHeight="1">
      <c r="A837" s="67">
        <v>45446.0</v>
      </c>
      <c r="B837" s="55" t="str">
        <f>HYPERLINK("https://jobright.ai/jobs/info/665e99cd40185070c8260632?utm_campaign=1049&amp;utm_source=sheet", "Apply")</f>
        <v>Apply</v>
      </c>
      <c r="C837" s="10" t="s">
        <v>19492</v>
      </c>
      <c r="D837" s="56" t="s">
        <v>17042</v>
      </c>
      <c r="E837" s="10" t="s">
        <v>45</v>
      </c>
      <c r="F837" s="10" t="s">
        <v>12539</v>
      </c>
      <c r="G837" s="10" t="s">
        <v>18636</v>
      </c>
      <c r="H837" s="10" t="s">
        <v>15078</v>
      </c>
      <c r="I837" s="10" t="s">
        <v>55</v>
      </c>
      <c r="K837" s="10" t="s">
        <v>17044</v>
      </c>
      <c r="L837" s="10" t="s">
        <v>42</v>
      </c>
    </row>
    <row r="838" ht="15.75" customHeight="1">
      <c r="A838" s="67">
        <v>45446.0</v>
      </c>
      <c r="B838" s="55" t="str">
        <f>HYPERLINK("https://jobright.ai/jobs/info/665e99cd40185070c8260650?utm_campaign=1049&amp;utm_source=sheet", "Apply")</f>
        <v>Apply</v>
      </c>
      <c r="C838" s="10" t="s">
        <v>19493</v>
      </c>
      <c r="D838" s="56" t="s">
        <v>17042</v>
      </c>
      <c r="E838" s="10" t="s">
        <v>45</v>
      </c>
      <c r="F838" s="10" t="s">
        <v>12539</v>
      </c>
      <c r="G838" s="10" t="s">
        <v>18636</v>
      </c>
      <c r="H838" s="10" t="s">
        <v>988</v>
      </c>
      <c r="I838" s="10" t="s">
        <v>55</v>
      </c>
      <c r="K838" s="10" t="s">
        <v>17044</v>
      </c>
      <c r="L838" s="10" t="s">
        <v>42</v>
      </c>
    </row>
    <row r="839" ht="15.75" customHeight="1">
      <c r="A839" s="67">
        <v>45446.0</v>
      </c>
      <c r="B839" s="55" t="str">
        <f>HYPERLINK("https://jobright.ai/jobs/info/665e99cd40185070c8260670?utm_campaign=1049&amp;utm_source=sheet", "Apply")</f>
        <v>Apply</v>
      </c>
      <c r="C839" s="10" t="s">
        <v>19494</v>
      </c>
      <c r="D839" s="56" t="s">
        <v>17042</v>
      </c>
      <c r="E839" s="10" t="s">
        <v>45</v>
      </c>
      <c r="F839" s="10" t="s">
        <v>12539</v>
      </c>
      <c r="G839" s="10" t="s">
        <v>18636</v>
      </c>
      <c r="H839" s="10" t="s">
        <v>3324</v>
      </c>
      <c r="I839" s="10" t="s">
        <v>55</v>
      </c>
      <c r="K839" s="10" t="s">
        <v>17044</v>
      </c>
      <c r="L839" s="10" t="s">
        <v>42</v>
      </c>
    </row>
    <row r="840" ht="15.75" customHeight="1">
      <c r="A840" s="68">
        <v>45446.0</v>
      </c>
      <c r="B840" s="55" t="str">
        <f>HYPERLINK("https://jobright.ai/jobs/info/665e99cd40185070c8260688?utm_campaign=1049&amp;utm_source=sheet", "Apply")</f>
        <v>Apply</v>
      </c>
      <c r="C840" s="10" t="s">
        <v>19495</v>
      </c>
      <c r="D840" s="56" t="s">
        <v>17042</v>
      </c>
      <c r="E840" s="10" t="s">
        <v>45</v>
      </c>
      <c r="F840" s="10" t="s">
        <v>12539</v>
      </c>
      <c r="G840" s="10" t="s">
        <v>18636</v>
      </c>
      <c r="H840" s="10" t="s">
        <v>914</v>
      </c>
      <c r="I840" s="10" t="s">
        <v>55</v>
      </c>
      <c r="K840" s="10" t="s">
        <v>17044</v>
      </c>
      <c r="L840" s="10" t="s">
        <v>42</v>
      </c>
    </row>
    <row r="841" ht="15.75" customHeight="1">
      <c r="A841" s="68">
        <v>45446.0</v>
      </c>
      <c r="B841" s="55" t="str">
        <f>HYPERLINK("https://jobright.ai/jobs/info/665e99cd40185070c82606c7?utm_campaign=1049&amp;utm_source=sheet", "Apply")</f>
        <v>Apply</v>
      </c>
      <c r="C841" s="10" t="s">
        <v>19496</v>
      </c>
      <c r="D841" s="56" t="s">
        <v>17042</v>
      </c>
      <c r="E841" s="10" t="s">
        <v>45</v>
      </c>
      <c r="F841" s="10" t="s">
        <v>12539</v>
      </c>
      <c r="G841" s="10" t="s">
        <v>18636</v>
      </c>
      <c r="H841" s="10" t="s">
        <v>1097</v>
      </c>
      <c r="I841" s="10" t="s">
        <v>55</v>
      </c>
      <c r="K841" s="10" t="s">
        <v>17044</v>
      </c>
      <c r="L841" s="10" t="s">
        <v>42</v>
      </c>
    </row>
    <row r="842" ht="15.75" customHeight="1">
      <c r="A842" s="68">
        <v>45446.0</v>
      </c>
      <c r="B842" s="55" t="str">
        <f>HYPERLINK("https://jobright.ai/jobs/info/665e99da40185070c82606e5?utm_campaign=1049&amp;utm_source=sheet", "Apply")</f>
        <v>Apply</v>
      </c>
      <c r="C842" s="10" t="s">
        <v>19497</v>
      </c>
      <c r="D842" s="56" t="s">
        <v>17042</v>
      </c>
      <c r="E842" s="10" t="s">
        <v>45</v>
      </c>
      <c r="F842" s="10" t="s">
        <v>12539</v>
      </c>
      <c r="G842" s="10" t="s">
        <v>18636</v>
      </c>
      <c r="H842" s="10" t="s">
        <v>604</v>
      </c>
      <c r="I842" s="10" t="s">
        <v>55</v>
      </c>
      <c r="K842" s="10" t="s">
        <v>17044</v>
      </c>
      <c r="L842" s="10" t="s">
        <v>42</v>
      </c>
    </row>
    <row r="843" ht="15.75" customHeight="1">
      <c r="A843" s="68">
        <v>45446.0</v>
      </c>
      <c r="B843" s="55" t="str">
        <f>HYPERLINK("https://jobright.ai/jobs/info/665e99da40185070c82606f3?utm_campaign=1049&amp;utm_source=sheet", "Apply")</f>
        <v>Apply</v>
      </c>
      <c r="C843" s="10" t="s">
        <v>19498</v>
      </c>
      <c r="D843" s="56" t="s">
        <v>17042</v>
      </c>
      <c r="E843" s="10" t="s">
        <v>45</v>
      </c>
      <c r="F843" s="10" t="s">
        <v>12539</v>
      </c>
      <c r="G843" s="10" t="s">
        <v>18636</v>
      </c>
      <c r="H843" s="10" t="s">
        <v>3586</v>
      </c>
      <c r="I843" s="10" t="s">
        <v>55</v>
      </c>
      <c r="K843" s="10" t="s">
        <v>17044</v>
      </c>
      <c r="L843" s="10" t="s">
        <v>42</v>
      </c>
    </row>
    <row r="844" ht="15.75" customHeight="1">
      <c r="A844" s="67">
        <v>45446.0</v>
      </c>
      <c r="B844" s="55" t="str">
        <f>HYPERLINK("https://jobright.ai/jobs/info/665e9af340185070c82619da?utm_campaign=1049&amp;utm_source=sheet", "Apply")</f>
        <v>Apply</v>
      </c>
      <c r="C844" s="10" t="s">
        <v>19499</v>
      </c>
      <c r="D844" s="56" t="s">
        <v>17042</v>
      </c>
      <c r="E844" s="10" t="s">
        <v>45</v>
      </c>
      <c r="F844" s="10" t="s">
        <v>12539</v>
      </c>
      <c r="G844" s="10" t="s">
        <v>18636</v>
      </c>
      <c r="H844" s="10" t="s">
        <v>19500</v>
      </c>
      <c r="I844" s="10" t="s">
        <v>55</v>
      </c>
      <c r="K844" s="10" t="s">
        <v>17044</v>
      </c>
      <c r="L844" s="10" t="s">
        <v>42</v>
      </c>
    </row>
    <row r="845" ht="15.75" customHeight="1">
      <c r="A845" s="67">
        <v>45446.0</v>
      </c>
      <c r="B845" s="55" t="str">
        <f>HYPERLINK("https://jobright.ai/jobs/info/665e99da40185070c82606ff?utm_campaign=1049&amp;utm_source=sheet", "Apply")</f>
        <v>Apply</v>
      </c>
      <c r="C845" s="10" t="s">
        <v>19501</v>
      </c>
      <c r="D845" s="56" t="s">
        <v>17042</v>
      </c>
      <c r="E845" s="10" t="s">
        <v>45</v>
      </c>
      <c r="F845" s="10" t="s">
        <v>12539</v>
      </c>
      <c r="G845" s="10" t="s">
        <v>18636</v>
      </c>
      <c r="H845" s="10" t="s">
        <v>19502</v>
      </c>
      <c r="I845" s="10" t="s">
        <v>55</v>
      </c>
      <c r="K845" s="10" t="s">
        <v>17044</v>
      </c>
      <c r="L845" s="10" t="s">
        <v>42</v>
      </c>
    </row>
    <row r="846" ht="15.75" customHeight="1">
      <c r="A846" s="68">
        <v>45446.0</v>
      </c>
      <c r="B846" s="55" t="str">
        <f>HYPERLINK("https://jobright.ai/jobs/info/665e99da40185070c826070a?utm_campaign=1049&amp;utm_source=sheet", "Apply")</f>
        <v>Apply</v>
      </c>
      <c r="C846" s="10" t="s">
        <v>19503</v>
      </c>
      <c r="D846" s="56" t="s">
        <v>17042</v>
      </c>
      <c r="E846" s="10" t="s">
        <v>45</v>
      </c>
      <c r="F846" s="10" t="s">
        <v>12539</v>
      </c>
      <c r="G846" s="10" t="s">
        <v>18636</v>
      </c>
      <c r="H846" s="10" t="s">
        <v>1001</v>
      </c>
      <c r="I846" s="10" t="s">
        <v>55</v>
      </c>
      <c r="K846" s="10" t="s">
        <v>17044</v>
      </c>
      <c r="L846" s="10" t="s">
        <v>42</v>
      </c>
    </row>
    <row r="847" ht="15.75" customHeight="1">
      <c r="A847" s="68">
        <v>45446.0</v>
      </c>
      <c r="B847" s="55" t="str">
        <f>HYPERLINK("https://jobright.ai/jobs/info/665e99da40185070c8260729?utm_campaign=1049&amp;utm_source=sheet", "Apply")</f>
        <v>Apply</v>
      </c>
      <c r="C847" s="10" t="s">
        <v>19504</v>
      </c>
      <c r="D847" s="56" t="s">
        <v>17042</v>
      </c>
      <c r="E847" s="10" t="s">
        <v>45</v>
      </c>
      <c r="F847" s="10" t="s">
        <v>12539</v>
      </c>
      <c r="G847" s="10" t="s">
        <v>18636</v>
      </c>
      <c r="H847" s="10" t="s">
        <v>73</v>
      </c>
      <c r="I847" s="10" t="s">
        <v>55</v>
      </c>
      <c r="K847" s="10" t="s">
        <v>17044</v>
      </c>
      <c r="L847" s="10" t="s">
        <v>42</v>
      </c>
    </row>
    <row r="848" ht="15.75" customHeight="1">
      <c r="A848" s="68">
        <v>45446.0</v>
      </c>
      <c r="B848" s="55" t="str">
        <f>HYPERLINK("https://jobright.ai/jobs/info/665e99da40185070c826072a?utm_campaign=1049&amp;utm_source=sheet", "Apply")</f>
        <v>Apply</v>
      </c>
      <c r="C848" s="10" t="s">
        <v>19505</v>
      </c>
      <c r="D848" s="56" t="s">
        <v>17042</v>
      </c>
      <c r="E848" s="10" t="s">
        <v>45</v>
      </c>
      <c r="F848" s="10" t="s">
        <v>12539</v>
      </c>
      <c r="G848" s="10" t="s">
        <v>18636</v>
      </c>
      <c r="H848" s="10" t="s">
        <v>986</v>
      </c>
      <c r="I848" s="10" t="s">
        <v>55</v>
      </c>
      <c r="K848" s="10" t="s">
        <v>17044</v>
      </c>
      <c r="L848" s="10" t="s">
        <v>42</v>
      </c>
    </row>
    <row r="849" ht="15.75" customHeight="1">
      <c r="A849" s="68">
        <v>45446.0</v>
      </c>
      <c r="B849" s="55" t="str">
        <f>HYPERLINK("https://jobright.ai/jobs/info/665e99da40185070c826073d?utm_campaign=1049&amp;utm_source=sheet", "Apply")</f>
        <v>Apply</v>
      </c>
      <c r="C849" s="10" t="s">
        <v>19506</v>
      </c>
      <c r="D849" s="56" t="s">
        <v>17042</v>
      </c>
      <c r="E849" s="10" t="s">
        <v>45</v>
      </c>
      <c r="F849" s="10" t="s">
        <v>12539</v>
      </c>
      <c r="G849" s="10" t="s">
        <v>18636</v>
      </c>
      <c r="H849" s="10" t="s">
        <v>860</v>
      </c>
      <c r="I849" s="10" t="s">
        <v>55</v>
      </c>
      <c r="K849" s="10" t="s">
        <v>17044</v>
      </c>
      <c r="L849" s="10" t="s">
        <v>42</v>
      </c>
    </row>
    <row r="850" ht="15.75" customHeight="1">
      <c r="A850" s="68">
        <v>45446.0</v>
      </c>
      <c r="B850" s="55" t="str">
        <f>HYPERLINK("https://jobright.ai/jobs/info/665e99da40185070c8260732?utm_campaign=1049&amp;utm_source=sheet", "Apply")</f>
        <v>Apply</v>
      </c>
      <c r="C850" s="10" t="s">
        <v>19507</v>
      </c>
      <c r="D850" s="56" t="s">
        <v>17042</v>
      </c>
      <c r="E850" s="10" t="s">
        <v>45</v>
      </c>
      <c r="F850" s="10" t="s">
        <v>12539</v>
      </c>
      <c r="G850" s="10" t="s">
        <v>18636</v>
      </c>
      <c r="H850" s="10" t="s">
        <v>835</v>
      </c>
      <c r="I850" s="10" t="s">
        <v>55</v>
      </c>
      <c r="K850" s="10" t="s">
        <v>17044</v>
      </c>
      <c r="L850" s="10" t="s">
        <v>42</v>
      </c>
    </row>
    <row r="851" ht="15.75" customHeight="1">
      <c r="A851" s="68">
        <v>45446.0</v>
      </c>
      <c r="B851" s="55" t="str">
        <f>HYPERLINK("https://jobright.ai/jobs/info/665e99da40185070c8260738?utm_campaign=1049&amp;utm_source=sheet", "Apply")</f>
        <v>Apply</v>
      </c>
      <c r="C851" s="10" t="s">
        <v>19508</v>
      </c>
      <c r="D851" s="56" t="s">
        <v>17042</v>
      </c>
      <c r="E851" s="10" t="s">
        <v>45</v>
      </c>
      <c r="F851" s="10" t="s">
        <v>12539</v>
      </c>
      <c r="G851" s="10" t="s">
        <v>18636</v>
      </c>
      <c r="H851" s="10" t="s">
        <v>19509</v>
      </c>
      <c r="I851" s="10" t="s">
        <v>55</v>
      </c>
      <c r="K851" s="10" t="s">
        <v>17044</v>
      </c>
      <c r="L851" s="10" t="s">
        <v>42</v>
      </c>
    </row>
    <row r="852" ht="15.75" customHeight="1">
      <c r="A852" s="67">
        <v>45446.0</v>
      </c>
      <c r="B852" s="55" t="str">
        <f>HYPERLINK("https://jobright.ai/jobs/info/665e99da40185070c8260772?utm_campaign=1049&amp;utm_source=sheet", "Apply")</f>
        <v>Apply</v>
      </c>
      <c r="C852" s="10" t="s">
        <v>19510</v>
      </c>
      <c r="D852" s="56" t="s">
        <v>17042</v>
      </c>
      <c r="E852" s="10" t="s">
        <v>45</v>
      </c>
      <c r="F852" s="10" t="s">
        <v>12539</v>
      </c>
      <c r="G852" s="10" t="s">
        <v>18636</v>
      </c>
      <c r="H852" s="10" t="s">
        <v>18402</v>
      </c>
      <c r="I852" s="10" t="s">
        <v>55</v>
      </c>
      <c r="K852" s="10" t="s">
        <v>17044</v>
      </c>
      <c r="L852" s="10" t="s">
        <v>42</v>
      </c>
    </row>
    <row r="853" ht="15.75" customHeight="1">
      <c r="A853" s="67">
        <v>45446.0</v>
      </c>
      <c r="B853" s="55" t="str">
        <f>HYPERLINK("https://jobright.ai/jobs/info/665e99da40185070c826078d?utm_campaign=1049&amp;utm_source=sheet", "Apply")</f>
        <v>Apply</v>
      </c>
      <c r="C853" s="10" t="s">
        <v>19511</v>
      </c>
      <c r="D853" s="56" t="s">
        <v>17042</v>
      </c>
      <c r="E853" s="10" t="s">
        <v>45</v>
      </c>
      <c r="F853" s="10" t="s">
        <v>12539</v>
      </c>
      <c r="G853" s="10" t="s">
        <v>18636</v>
      </c>
      <c r="H853" s="10" t="s">
        <v>943</v>
      </c>
      <c r="I853" s="10" t="s">
        <v>55</v>
      </c>
      <c r="K853" s="10" t="s">
        <v>17044</v>
      </c>
      <c r="L853" s="10" t="s">
        <v>42</v>
      </c>
    </row>
    <row r="854" ht="15.75" customHeight="1">
      <c r="A854" s="67">
        <v>45444.0</v>
      </c>
      <c r="B854" s="55" t="str">
        <f>HYPERLINK("https://jobright.ai/jobs/info/66600414f794dc145cb1a7c3?utm_campaign=1049&amp;utm_source=sheet", "Apply")</f>
        <v>Apply</v>
      </c>
      <c r="C854" s="10" t="s">
        <v>19512</v>
      </c>
      <c r="D854" s="56" t="s">
        <v>14728</v>
      </c>
      <c r="E854" s="10" t="s">
        <v>65</v>
      </c>
      <c r="F854" s="10" t="s">
        <v>3906</v>
      </c>
      <c r="G854" s="10" t="s">
        <v>18636</v>
      </c>
      <c r="H854" s="10" t="s">
        <v>96</v>
      </c>
      <c r="I854" s="10" t="s">
        <v>55</v>
      </c>
      <c r="J854" s="10" t="s">
        <v>19513</v>
      </c>
      <c r="K854" s="10" t="s">
        <v>19514</v>
      </c>
      <c r="L854" s="10" t="s">
        <v>42</v>
      </c>
    </row>
    <row r="855" ht="15.75" customHeight="1">
      <c r="A855" s="67">
        <v>45443.0</v>
      </c>
      <c r="B855" s="55" t="str">
        <f>HYPERLINK("https://jobright.ai/jobs/info/6644f71f90b5ee81b0115e27?utm_campaign=1049&amp;utm_source=sheet", "Apply")</f>
        <v>Apply</v>
      </c>
      <c r="C855" s="10" t="s">
        <v>18926</v>
      </c>
      <c r="D855" s="56" t="s">
        <v>1684</v>
      </c>
      <c r="E855" s="10" t="s">
        <v>209</v>
      </c>
      <c r="F855" s="10" t="s">
        <v>1685</v>
      </c>
      <c r="G855" s="10" t="s">
        <v>18779</v>
      </c>
      <c r="H855" s="10" t="s">
        <v>17703</v>
      </c>
      <c r="I855" s="10" t="s">
        <v>252</v>
      </c>
      <c r="K855" s="10" t="s">
        <v>18928</v>
      </c>
      <c r="L855" s="10" t="s">
        <v>42</v>
      </c>
    </row>
    <row r="856" ht="15.75" customHeight="1">
      <c r="A856" s="67">
        <v>45442.0</v>
      </c>
      <c r="B856" s="55" t="str">
        <f>HYPERLINK("https://jobright.ai/jobs/info/667fef4bc72a4cb5f3dd7fbb?utm_campaign=1049&amp;utm_source=sheet", "Apply")</f>
        <v>Apply</v>
      </c>
      <c r="C856" s="10" t="s">
        <v>19515</v>
      </c>
      <c r="D856" s="56" t="s">
        <v>19176</v>
      </c>
      <c r="E856" s="10" t="s">
        <v>209</v>
      </c>
      <c r="F856" s="10" t="s">
        <v>5470</v>
      </c>
      <c r="G856" s="10" t="s">
        <v>18779</v>
      </c>
      <c r="H856" s="10" t="s">
        <v>966</v>
      </c>
      <c r="I856" s="10" t="s">
        <v>55</v>
      </c>
      <c r="J856" s="10" t="s">
        <v>5716</v>
      </c>
      <c r="K856" s="10" t="s">
        <v>19297</v>
      </c>
      <c r="L856" s="10" t="s">
        <v>42</v>
      </c>
    </row>
    <row r="857" ht="15.75" customHeight="1">
      <c r="A857" s="68">
        <v>45442.0</v>
      </c>
      <c r="B857" s="55" t="str">
        <f>HYPERLINK("https://jobright.ai/jobs/info/6657ff394618f13f95fe296e?utm_campaign=1049&amp;utm_source=sheet", "Apply")</f>
        <v>Apply</v>
      </c>
      <c r="C857" s="10" t="s">
        <v>19516</v>
      </c>
      <c r="D857" s="56" t="s">
        <v>15493</v>
      </c>
      <c r="E857" s="10" t="s">
        <v>79</v>
      </c>
      <c r="F857" s="10" t="s">
        <v>12539</v>
      </c>
      <c r="G857" s="10" t="s">
        <v>18636</v>
      </c>
      <c r="H857" s="10" t="s">
        <v>3440</v>
      </c>
      <c r="I857" s="10" t="s">
        <v>48</v>
      </c>
      <c r="K857" s="10" t="s">
        <v>19517</v>
      </c>
      <c r="L857" s="10" t="s">
        <v>42</v>
      </c>
    </row>
    <row r="858" ht="15.75" customHeight="1">
      <c r="A858" s="68">
        <v>45442.0</v>
      </c>
      <c r="B858" s="55" t="str">
        <f>HYPERLINK("https://jobright.ai/jobs/info/66686004b3577e6d5da7af6a?utm_campaign=1049&amp;utm_source=sheet", "Apply")</f>
        <v>Apply</v>
      </c>
      <c r="C858" s="10" t="s">
        <v>19518</v>
      </c>
      <c r="D858" s="56" t="s">
        <v>8715</v>
      </c>
      <c r="E858" s="10" t="s">
        <v>45</v>
      </c>
      <c r="F858" s="10" t="s">
        <v>8716</v>
      </c>
      <c r="G858" s="10" t="s">
        <v>18642</v>
      </c>
      <c r="H858" s="10" t="s">
        <v>1460</v>
      </c>
      <c r="I858" s="10" t="s">
        <v>55</v>
      </c>
      <c r="J858" s="10" t="s">
        <v>19519</v>
      </c>
      <c r="K858" s="10" t="s">
        <v>19520</v>
      </c>
      <c r="L858" s="10" t="s">
        <v>42</v>
      </c>
    </row>
    <row r="859" ht="15.75" customHeight="1">
      <c r="A859" s="68">
        <v>45440.0</v>
      </c>
      <c r="B859" s="55" t="str">
        <f>HYPERLINK("https://jobright.ai/jobs/info/667d63a824cad70b7cedf63d?utm_campaign=1049&amp;utm_source=sheet", "Apply")</f>
        <v>Apply</v>
      </c>
      <c r="C859" s="10" t="s">
        <v>19521</v>
      </c>
      <c r="D859" s="56" t="s">
        <v>1502</v>
      </c>
      <c r="E859" s="10">
        <v>10345.0</v>
      </c>
      <c r="G859" s="10" t="s">
        <v>18636</v>
      </c>
      <c r="H859" s="10" t="s">
        <v>106</v>
      </c>
      <c r="I859" s="10" t="s">
        <v>55</v>
      </c>
      <c r="J859" s="10" t="s">
        <v>1409</v>
      </c>
      <c r="K859" s="10" t="s">
        <v>19522</v>
      </c>
      <c r="L859" s="10" t="s">
        <v>42</v>
      </c>
    </row>
    <row r="860" ht="15.75" customHeight="1">
      <c r="A860" s="68">
        <v>45437.0</v>
      </c>
      <c r="B860" s="55" t="str">
        <f>HYPERLINK("https://jobright.ai/jobs/info/6651cc3d7138a66dcce165a0?utm_campaign=1049&amp;utm_source=sheet", "Apply")</f>
        <v>Apply</v>
      </c>
      <c r="C860" s="10" t="s">
        <v>19523</v>
      </c>
      <c r="D860" s="56" t="s">
        <v>19524</v>
      </c>
      <c r="E860" s="10" t="s">
        <v>137</v>
      </c>
      <c r="F860" s="10" t="s">
        <v>5372</v>
      </c>
      <c r="G860" s="10" t="s">
        <v>18636</v>
      </c>
      <c r="H860" s="10" t="s">
        <v>19525</v>
      </c>
      <c r="I860" s="10" t="s">
        <v>55</v>
      </c>
      <c r="K860" s="10" t="s">
        <v>19526</v>
      </c>
      <c r="L860" s="10" t="s">
        <v>42</v>
      </c>
    </row>
    <row r="861" ht="15.75" customHeight="1">
      <c r="A861" s="68">
        <v>45436.0</v>
      </c>
      <c r="B861" s="55" t="str">
        <f>HYPERLINK("https://jobright.ai/jobs/info/665130b0161aaa626654e31b?utm_campaign=1049&amp;utm_source=sheet", "Apply")</f>
        <v>Apply</v>
      </c>
      <c r="C861" s="10" t="s">
        <v>18721</v>
      </c>
      <c r="D861" s="56" t="s">
        <v>19527</v>
      </c>
      <c r="E861" s="10" t="s">
        <v>45</v>
      </c>
      <c r="F861" s="10" t="s">
        <v>4879</v>
      </c>
      <c r="G861" s="10" t="s">
        <v>18636</v>
      </c>
      <c r="H861" s="10" t="s">
        <v>19528</v>
      </c>
      <c r="I861" s="10" t="s">
        <v>55</v>
      </c>
      <c r="J861" s="10" t="s">
        <v>2609</v>
      </c>
      <c r="K861" s="10" t="s">
        <v>19529</v>
      </c>
      <c r="L861" s="10" t="s">
        <v>42</v>
      </c>
    </row>
    <row r="862" ht="15.75" customHeight="1">
      <c r="A862" s="68">
        <v>45436.0</v>
      </c>
      <c r="B862" s="55" t="str">
        <f>HYPERLINK("https://jobright.ai/jobs/info/6677fc3759f5d0e37fac5bb8?utm_campaign=1049&amp;utm_source=sheet", "Apply")</f>
        <v>Apply</v>
      </c>
      <c r="C862" s="10" t="s">
        <v>18721</v>
      </c>
      <c r="D862" s="56" t="s">
        <v>4745</v>
      </c>
      <c r="E862" s="10" t="s">
        <v>209</v>
      </c>
      <c r="F862" s="10" t="s">
        <v>2793</v>
      </c>
      <c r="G862" s="10" t="s">
        <v>18636</v>
      </c>
      <c r="H862" s="10" t="s">
        <v>795</v>
      </c>
      <c r="I862" s="10" t="s">
        <v>55</v>
      </c>
      <c r="J862" s="10" t="s">
        <v>1984</v>
      </c>
      <c r="K862" s="10" t="s">
        <v>19530</v>
      </c>
      <c r="L862" s="10" t="s">
        <v>42</v>
      </c>
    </row>
    <row r="863" ht="15.75" customHeight="1">
      <c r="A863" s="68">
        <v>45436.0</v>
      </c>
      <c r="B863" s="55" t="str">
        <f>HYPERLINK("https://jobright.ai/jobs/info/6651401565ca08ef23181f9b?utm_campaign=1049&amp;utm_source=sheet", "Apply")</f>
        <v>Apply</v>
      </c>
      <c r="C863" s="10" t="s">
        <v>19531</v>
      </c>
      <c r="D863" s="56" t="s">
        <v>2289</v>
      </c>
      <c r="E863" s="10" t="s">
        <v>71</v>
      </c>
      <c r="F863" s="10" t="s">
        <v>2290</v>
      </c>
      <c r="G863" s="10" t="s">
        <v>18636</v>
      </c>
      <c r="H863" s="10" t="s">
        <v>2291</v>
      </c>
      <c r="I863" s="10" t="s">
        <v>55</v>
      </c>
      <c r="J863" s="10" t="s">
        <v>1761</v>
      </c>
      <c r="K863" s="10" t="s">
        <v>19532</v>
      </c>
      <c r="L863" s="10" t="s">
        <v>42</v>
      </c>
    </row>
    <row r="864" ht="15.75" customHeight="1">
      <c r="A864" s="68">
        <v>45435.0</v>
      </c>
      <c r="B864" s="55" t="str">
        <f>HYPERLINK("https://jobright.ai/jobs/info/6677e2cf783a239da8418bae?utm_campaign=1049&amp;utm_source=sheet", "Apply")</f>
        <v>Apply</v>
      </c>
      <c r="C864" s="10" t="s">
        <v>19533</v>
      </c>
      <c r="D864" s="56" t="s">
        <v>19534</v>
      </c>
      <c r="E864" s="10" t="s">
        <v>137</v>
      </c>
      <c r="F864" s="10" t="s">
        <v>19535</v>
      </c>
      <c r="G864" s="10" t="s">
        <v>18734</v>
      </c>
      <c r="H864" s="10" t="s">
        <v>5289</v>
      </c>
      <c r="I864" s="10" t="s">
        <v>55</v>
      </c>
      <c r="K864" s="10" t="s">
        <v>19536</v>
      </c>
      <c r="L864" s="10" t="s">
        <v>42</v>
      </c>
    </row>
    <row r="865" ht="15.75" customHeight="1">
      <c r="A865" s="68">
        <v>45435.0</v>
      </c>
      <c r="B865" s="55" t="str">
        <f>HYPERLINK("https://jobright.ai/jobs/info/6677e7718edbb3fe78f31da3?utm_campaign=1049&amp;utm_source=sheet", "Apply")</f>
        <v>Apply</v>
      </c>
      <c r="C865" s="10" t="s">
        <v>19537</v>
      </c>
      <c r="D865" s="56" t="s">
        <v>4322</v>
      </c>
      <c r="E865" s="10" t="s">
        <v>45</v>
      </c>
      <c r="F865" s="10" t="s">
        <v>4323</v>
      </c>
      <c r="G865" s="10" t="s">
        <v>18636</v>
      </c>
      <c r="H865" s="10" t="s">
        <v>636</v>
      </c>
      <c r="I865" s="10" t="s">
        <v>55</v>
      </c>
      <c r="J865" s="10" t="s">
        <v>1409</v>
      </c>
      <c r="K865" s="10" t="s">
        <v>19538</v>
      </c>
      <c r="L865" s="10" t="s">
        <v>42</v>
      </c>
    </row>
    <row r="866" ht="15.75" customHeight="1">
      <c r="A866" s="67">
        <v>45435.0</v>
      </c>
      <c r="B866" s="55" t="str">
        <f>HYPERLINK("https://jobright.ai/jobs/info/6677e7718edbb3fe78f31dbc?utm_campaign=1049&amp;utm_source=sheet", "Apply")</f>
        <v>Apply</v>
      </c>
      <c r="C866" s="10" t="s">
        <v>18692</v>
      </c>
      <c r="D866" s="56" t="s">
        <v>10663</v>
      </c>
      <c r="E866" s="10" t="s">
        <v>65</v>
      </c>
      <c r="F866" s="10" t="s">
        <v>10664</v>
      </c>
      <c r="G866" s="10" t="s">
        <v>18636</v>
      </c>
      <c r="H866" s="10" t="s">
        <v>174</v>
      </c>
      <c r="I866" s="10" t="s">
        <v>55</v>
      </c>
      <c r="K866" s="10" t="s">
        <v>19539</v>
      </c>
      <c r="L866" s="10" t="s">
        <v>42</v>
      </c>
    </row>
    <row r="867" ht="15.75" customHeight="1">
      <c r="A867" s="67">
        <v>45435.0</v>
      </c>
      <c r="B867" s="55" t="str">
        <f>HYPERLINK("https://jobright.ai/jobs/info/6677ed672ffca2bcf669230b?utm_campaign=1049&amp;utm_source=sheet", "Apply")</f>
        <v>Apply</v>
      </c>
      <c r="C867" s="10" t="s">
        <v>19540</v>
      </c>
      <c r="D867" s="56" t="s">
        <v>19541</v>
      </c>
      <c r="E867" s="10">
        <v>214.0</v>
      </c>
      <c r="G867" s="10" t="s">
        <v>18636</v>
      </c>
      <c r="H867" s="10" t="s">
        <v>602</v>
      </c>
      <c r="I867" s="10" t="s">
        <v>55</v>
      </c>
      <c r="K867" s="10" t="s">
        <v>19542</v>
      </c>
      <c r="L867" s="10" t="s">
        <v>42</v>
      </c>
    </row>
    <row r="868" ht="15.75" customHeight="1">
      <c r="A868" s="67">
        <v>45435.0</v>
      </c>
      <c r="B868" s="55" t="str">
        <f>HYPERLINK("https://jobright.ai/jobs/info/6677eda62ffca2bcf6692764?utm_campaign=1049&amp;utm_source=sheet", "Apply")</f>
        <v>Apply</v>
      </c>
      <c r="C868" s="10" t="s">
        <v>19543</v>
      </c>
      <c r="D868" s="56" t="s">
        <v>19544</v>
      </c>
      <c r="E868" s="10" t="s">
        <v>137</v>
      </c>
      <c r="F868" s="10" t="s">
        <v>19545</v>
      </c>
      <c r="G868" s="10" t="s">
        <v>18636</v>
      </c>
      <c r="H868" s="10" t="s">
        <v>251</v>
      </c>
      <c r="I868" s="10" t="s">
        <v>252</v>
      </c>
      <c r="K868" s="10" t="s">
        <v>19546</v>
      </c>
      <c r="L868" s="10" t="s">
        <v>42</v>
      </c>
    </row>
    <row r="869" ht="15.75" customHeight="1">
      <c r="A869" s="67">
        <v>45435.0</v>
      </c>
      <c r="B869" s="55" t="str">
        <f>HYPERLINK("https://jobright.ai/jobs/info/6677ecc82ffca2bcf66915f2?utm_campaign=1049&amp;utm_source=sheet", "Apply")</f>
        <v>Apply</v>
      </c>
      <c r="C869" s="10" t="s">
        <v>19547</v>
      </c>
      <c r="D869" s="56" t="s">
        <v>19548</v>
      </c>
      <c r="E869" s="10">
        <v>12.0</v>
      </c>
      <c r="G869" s="10" t="s">
        <v>18734</v>
      </c>
      <c r="H869" s="10" t="s">
        <v>3741</v>
      </c>
      <c r="I869" s="10" t="s">
        <v>55</v>
      </c>
      <c r="K869" s="10" t="s">
        <v>19549</v>
      </c>
      <c r="L869" s="10" t="s">
        <v>42</v>
      </c>
    </row>
    <row r="870" ht="15.75" customHeight="1">
      <c r="A870" s="67">
        <v>45435.0</v>
      </c>
      <c r="B870" s="55" t="str">
        <f>HYPERLINK("https://jobright.ai/jobs/info/6677f1b99c81148ccaaed073?utm_campaign=1049&amp;utm_source=sheet", "Apply")</f>
        <v>Apply</v>
      </c>
      <c r="C870" s="10" t="s">
        <v>19550</v>
      </c>
      <c r="D870" s="56" t="s">
        <v>2069</v>
      </c>
      <c r="E870" s="10" t="s">
        <v>65</v>
      </c>
      <c r="F870" s="10" t="s">
        <v>1663</v>
      </c>
      <c r="G870" s="10" t="s">
        <v>18636</v>
      </c>
      <c r="H870" s="10" t="s">
        <v>2070</v>
      </c>
      <c r="I870" s="10" t="s">
        <v>55</v>
      </c>
      <c r="J870" s="10" t="s">
        <v>15312</v>
      </c>
      <c r="K870" s="10" t="s">
        <v>17383</v>
      </c>
      <c r="L870" s="10" t="s">
        <v>42</v>
      </c>
    </row>
    <row r="871" ht="15.75" customHeight="1">
      <c r="A871" s="68">
        <v>45435.0</v>
      </c>
      <c r="B871" s="55" t="str">
        <f>HYPERLINK("https://jobright.ai/jobs/info/6677f20f9c81148ccaaed803?utm_campaign=1049&amp;utm_source=sheet", "Apply")</f>
        <v>Apply</v>
      </c>
      <c r="C871" s="10" t="s">
        <v>19551</v>
      </c>
      <c r="D871" s="56" t="s">
        <v>1505</v>
      </c>
      <c r="E871" s="10" t="s">
        <v>137</v>
      </c>
      <c r="F871" s="10" t="s">
        <v>1506</v>
      </c>
      <c r="G871" s="10" t="s">
        <v>18642</v>
      </c>
      <c r="H871" s="10" t="s">
        <v>382</v>
      </c>
      <c r="I871" s="10" t="s">
        <v>55</v>
      </c>
      <c r="J871" s="10" t="s">
        <v>1507</v>
      </c>
      <c r="K871" s="10" t="s">
        <v>19552</v>
      </c>
      <c r="L871" s="10" t="s">
        <v>42</v>
      </c>
    </row>
    <row r="872" ht="15.75" customHeight="1">
      <c r="A872" s="68">
        <v>45435.0</v>
      </c>
      <c r="B872" s="55" t="str">
        <f>HYPERLINK("https://jobright.ai/jobs/info/6677f1cc9c81148ccaaed20a?utm_campaign=1049&amp;utm_source=sheet", "Apply")</f>
        <v>Apply</v>
      </c>
      <c r="C872" s="10" t="s">
        <v>19553</v>
      </c>
      <c r="D872" s="56" t="s">
        <v>19176</v>
      </c>
      <c r="E872" s="10" t="s">
        <v>209</v>
      </c>
      <c r="F872" s="10" t="s">
        <v>5470</v>
      </c>
      <c r="G872" s="10" t="s">
        <v>18779</v>
      </c>
      <c r="H872" s="10" t="s">
        <v>16969</v>
      </c>
      <c r="I872" s="10" t="s">
        <v>55</v>
      </c>
      <c r="J872" s="10" t="s">
        <v>5716</v>
      </c>
      <c r="K872" s="10" t="s">
        <v>19297</v>
      </c>
      <c r="L872" s="10" t="s">
        <v>42</v>
      </c>
    </row>
    <row r="873" ht="15.75" customHeight="1">
      <c r="A873" s="68">
        <v>45435.0</v>
      </c>
      <c r="B873" s="55" t="str">
        <f>HYPERLINK("https://jobright.ai/jobs/info/6677f29b9c81148ccaaee2bc?utm_campaign=1049&amp;utm_source=sheet", "Apply")</f>
        <v>Apply</v>
      </c>
      <c r="C873" s="10" t="s">
        <v>18692</v>
      </c>
      <c r="D873" s="56" t="s">
        <v>10663</v>
      </c>
      <c r="E873" s="10" t="s">
        <v>65</v>
      </c>
      <c r="F873" s="10" t="s">
        <v>10664</v>
      </c>
      <c r="G873" s="10" t="s">
        <v>18636</v>
      </c>
      <c r="H873" s="10" t="s">
        <v>800</v>
      </c>
      <c r="I873" s="10" t="s">
        <v>55</v>
      </c>
      <c r="K873" s="10" t="s">
        <v>19554</v>
      </c>
      <c r="L873" s="10" t="s">
        <v>42</v>
      </c>
    </row>
    <row r="874" ht="15.75" customHeight="1">
      <c r="A874" s="67">
        <v>45434.0</v>
      </c>
      <c r="B874" s="55" t="str">
        <f>HYPERLINK("https://jobright.ai/jobs/info/6677f2f19c81148ccaaee9cc?utm_campaign=1049&amp;utm_source=sheet", "Apply")</f>
        <v>Apply</v>
      </c>
      <c r="C874" s="10" t="s">
        <v>19555</v>
      </c>
      <c r="D874" s="56" t="s">
        <v>19556</v>
      </c>
      <c r="E874" s="10">
        <v>8.0</v>
      </c>
      <c r="G874" s="10" t="s">
        <v>18642</v>
      </c>
      <c r="H874" s="10" t="s">
        <v>131</v>
      </c>
      <c r="I874" s="10" t="s">
        <v>55</v>
      </c>
      <c r="K874" s="10" t="s">
        <v>19557</v>
      </c>
      <c r="L874" s="10" t="s">
        <v>42</v>
      </c>
    </row>
    <row r="875" ht="15.75" customHeight="1">
      <c r="A875" s="67">
        <v>45433.0</v>
      </c>
      <c r="B875" s="55" t="str">
        <f>HYPERLINK("https://jobright.ai/jobs/info/66742d17668628c49c216773?utm_campaign=1049&amp;utm_source=sheet", "Apply")</f>
        <v>Apply</v>
      </c>
      <c r="C875" s="10" t="s">
        <v>18692</v>
      </c>
      <c r="D875" s="56" t="s">
        <v>10663</v>
      </c>
      <c r="E875" s="10" t="s">
        <v>65</v>
      </c>
      <c r="F875" s="10" t="s">
        <v>10664</v>
      </c>
      <c r="G875" s="10" t="s">
        <v>18636</v>
      </c>
      <c r="H875" s="10" t="s">
        <v>948</v>
      </c>
      <c r="I875" s="10" t="s">
        <v>55</v>
      </c>
      <c r="K875" s="10" t="s">
        <v>19539</v>
      </c>
      <c r="L875" s="10" t="s">
        <v>42</v>
      </c>
    </row>
    <row r="876" ht="15.75" customHeight="1">
      <c r="A876" s="68">
        <v>45433.0</v>
      </c>
      <c r="B876" s="55" t="str">
        <f>HYPERLINK("https://jobright.ai/jobs/info/66742d17668628c49c21678e?utm_campaign=1049&amp;utm_source=sheet", "Apply")</f>
        <v>Apply</v>
      </c>
      <c r="C876" s="10" t="s">
        <v>19558</v>
      </c>
      <c r="D876" s="56" t="s">
        <v>19559</v>
      </c>
      <c r="E876" s="10" t="s">
        <v>137</v>
      </c>
      <c r="F876" s="10" t="s">
        <v>19560</v>
      </c>
      <c r="G876" s="10" t="s">
        <v>18636</v>
      </c>
      <c r="H876" s="10" t="s">
        <v>442</v>
      </c>
      <c r="I876" s="10" t="s">
        <v>55</v>
      </c>
      <c r="J876" s="10" t="s">
        <v>19561</v>
      </c>
      <c r="K876" s="10" t="s">
        <v>19562</v>
      </c>
      <c r="L876" s="10" t="s">
        <v>42</v>
      </c>
    </row>
    <row r="877" ht="15.75" customHeight="1">
      <c r="A877" s="68">
        <v>45433.0</v>
      </c>
      <c r="B877" s="55" t="str">
        <f>HYPERLINK("https://jobright.ai/jobs/info/66742d17668628c49c2167d6?utm_campaign=1049&amp;utm_source=sheet", "Apply")</f>
        <v>Apply</v>
      </c>
      <c r="C877" s="10" t="s">
        <v>19563</v>
      </c>
      <c r="D877" s="56" t="s">
        <v>17458</v>
      </c>
      <c r="E877" s="10" t="s">
        <v>79</v>
      </c>
      <c r="F877" s="10" t="s">
        <v>17459</v>
      </c>
      <c r="G877" s="10" t="s">
        <v>18636</v>
      </c>
      <c r="H877" s="10" t="s">
        <v>1254</v>
      </c>
      <c r="I877" s="10" t="s">
        <v>55</v>
      </c>
      <c r="J877" s="10" t="s">
        <v>1960</v>
      </c>
      <c r="K877" s="10" t="s">
        <v>19564</v>
      </c>
      <c r="L877" s="10" t="s">
        <v>42</v>
      </c>
    </row>
    <row r="878" ht="15.75" customHeight="1">
      <c r="A878" s="67">
        <v>45433.0</v>
      </c>
      <c r="B878" s="55" t="str">
        <f>HYPERLINK("https://jobright.ai/jobs/info/664cf7bf60201a549dd0151c?utm_campaign=1049&amp;utm_source=sheet", "Apply")</f>
        <v>Apply</v>
      </c>
      <c r="C878" s="10" t="s">
        <v>19565</v>
      </c>
      <c r="D878" s="56" t="s">
        <v>19176</v>
      </c>
      <c r="E878" s="10" t="s">
        <v>209</v>
      </c>
      <c r="F878" s="10" t="s">
        <v>5470</v>
      </c>
      <c r="G878" s="10" t="s">
        <v>18779</v>
      </c>
      <c r="H878" s="10" t="s">
        <v>19566</v>
      </c>
      <c r="I878" s="10" t="s">
        <v>48</v>
      </c>
      <c r="J878" s="10" t="s">
        <v>1873</v>
      </c>
      <c r="K878" s="10" t="s">
        <v>19297</v>
      </c>
      <c r="L878" s="10" t="s">
        <v>42</v>
      </c>
    </row>
    <row r="879" ht="15.75" customHeight="1">
      <c r="A879" s="67">
        <v>45426.0</v>
      </c>
      <c r="B879" s="55" t="str">
        <f>HYPERLINK("https://jobright.ai/jobs/info/6643a7cd702f65b60c099541?utm_campaign=1049&amp;utm_source=sheet", "Apply")</f>
        <v>Apply</v>
      </c>
      <c r="C879" s="10" t="s">
        <v>9070</v>
      </c>
      <c r="D879" s="56" t="s">
        <v>2220</v>
      </c>
      <c r="E879" s="10" t="s">
        <v>45</v>
      </c>
      <c r="F879" s="10" t="s">
        <v>2221</v>
      </c>
      <c r="G879" s="10" t="s">
        <v>18636</v>
      </c>
      <c r="H879" s="10" t="s">
        <v>6620</v>
      </c>
      <c r="I879" s="10" t="s">
        <v>55</v>
      </c>
      <c r="K879" s="10" t="s">
        <v>7614</v>
      </c>
      <c r="L879" s="10" t="s">
        <v>42</v>
      </c>
    </row>
    <row r="880" ht="15.75" customHeight="1">
      <c r="A880" s="67">
        <v>45426.0</v>
      </c>
      <c r="B880" s="55" t="str">
        <f>HYPERLINK("https://jobright.ai/jobs/info/666292e5d207c74779ac7f42?utm_campaign=1049&amp;utm_source=sheet", "Apply")</f>
        <v>Apply</v>
      </c>
      <c r="C880" s="10" t="s">
        <v>19350</v>
      </c>
      <c r="D880" s="56" t="s">
        <v>19567</v>
      </c>
      <c r="E880" s="10" t="s">
        <v>79</v>
      </c>
      <c r="F880" s="10" t="s">
        <v>16202</v>
      </c>
      <c r="G880" s="10" t="s">
        <v>18636</v>
      </c>
      <c r="H880" s="10" t="s">
        <v>19568</v>
      </c>
      <c r="I880" s="10" t="s">
        <v>55</v>
      </c>
      <c r="K880" s="10" t="s">
        <v>19569</v>
      </c>
      <c r="L880" s="10" t="s">
        <v>42</v>
      </c>
    </row>
    <row r="881" ht="15.75" customHeight="1">
      <c r="A881" s="67">
        <v>45422.0</v>
      </c>
      <c r="B881" s="55" t="str">
        <f>HYPERLINK("https://jobright.ai/jobs/info/663e619e7b81b60fc6b96dfc?utm_campaign=1049&amp;utm_source=sheet", "Apply")</f>
        <v>Apply</v>
      </c>
      <c r="C881" s="10" t="s">
        <v>19570</v>
      </c>
      <c r="D881" s="56" t="s">
        <v>2220</v>
      </c>
      <c r="E881" s="10" t="s">
        <v>45</v>
      </c>
      <c r="F881" s="10" t="s">
        <v>2221</v>
      </c>
      <c r="G881" s="10" t="s">
        <v>18636</v>
      </c>
      <c r="H881" s="10" t="s">
        <v>6620</v>
      </c>
      <c r="I881" s="10" t="s">
        <v>55</v>
      </c>
      <c r="J881" s="10" t="s">
        <v>17452</v>
      </c>
      <c r="K881" s="10" t="s">
        <v>19571</v>
      </c>
      <c r="L881" s="10" t="s">
        <v>42</v>
      </c>
    </row>
    <row r="882" ht="15.75" customHeight="1">
      <c r="A882" s="67">
        <v>45422.0</v>
      </c>
      <c r="B882" s="55" t="str">
        <f>HYPERLINK("https://jobright.ai/jobs/info/663e477eeafa37ceb597c3fd?utm_campaign=1049&amp;utm_source=sheet", "Apply")</f>
        <v>Apply</v>
      </c>
      <c r="C882" s="10" t="s">
        <v>19572</v>
      </c>
      <c r="D882" s="56" t="s">
        <v>19573</v>
      </c>
      <c r="E882" s="10" t="s">
        <v>65</v>
      </c>
      <c r="F882" s="10" t="s">
        <v>19017</v>
      </c>
      <c r="G882" s="10" t="s">
        <v>18636</v>
      </c>
      <c r="H882" s="10" t="s">
        <v>882</v>
      </c>
      <c r="I882" s="10" t="s">
        <v>55</v>
      </c>
      <c r="K882" s="10" t="s">
        <v>19574</v>
      </c>
      <c r="L882" s="10" t="s">
        <v>42</v>
      </c>
    </row>
    <row r="883" ht="15.75" customHeight="1">
      <c r="A883" s="67">
        <v>45419.0</v>
      </c>
      <c r="B883" s="55" t="str">
        <f>HYPERLINK("https://jobright.ai/jobs/info/663aa1025acbe3a5f13bce77?utm_campaign=1049&amp;utm_source=sheet", "Apply")</f>
        <v>Apply</v>
      </c>
      <c r="C883" s="10" t="s">
        <v>19575</v>
      </c>
      <c r="D883" s="56" t="s">
        <v>19576</v>
      </c>
      <c r="E883" s="10" t="s">
        <v>71</v>
      </c>
      <c r="F883" s="10" t="s">
        <v>10</v>
      </c>
      <c r="G883" s="10" t="s">
        <v>18636</v>
      </c>
      <c r="H883" s="10" t="s">
        <v>96</v>
      </c>
      <c r="I883" s="10" t="s">
        <v>48</v>
      </c>
      <c r="K883" s="10" t="s">
        <v>19577</v>
      </c>
      <c r="L883" s="10" t="s">
        <v>42</v>
      </c>
    </row>
    <row r="884" ht="15.75" customHeight="1">
      <c r="A884" s="68">
        <v>45415.0</v>
      </c>
      <c r="B884" s="55" t="str">
        <f>HYPERLINK("https://jobright.ai/jobs/info/6634bbfbc305434870325fc4?utm_campaign=1049&amp;utm_source=sheet", "Apply")</f>
        <v>Apply</v>
      </c>
      <c r="C884" s="10" t="s">
        <v>19578</v>
      </c>
      <c r="D884" s="56" t="s">
        <v>19567</v>
      </c>
      <c r="E884" s="10" t="s">
        <v>79</v>
      </c>
      <c r="F884" s="10" t="s">
        <v>16202</v>
      </c>
      <c r="G884" s="10" t="s">
        <v>18636</v>
      </c>
      <c r="H884" s="10" t="s">
        <v>19568</v>
      </c>
      <c r="I884" s="10" t="s">
        <v>55</v>
      </c>
      <c r="K884" s="10" t="s">
        <v>19579</v>
      </c>
      <c r="L884" s="10" t="s">
        <v>42</v>
      </c>
    </row>
    <row r="885" ht="15.75" customHeight="1">
      <c r="A885" s="68"/>
      <c r="D885" s="56"/>
    </row>
    <row r="886">
      <c r="D886" s="63"/>
    </row>
    <row r="887">
      <c r="D887" s="63"/>
    </row>
    <row r="888">
      <c r="D888" s="63"/>
    </row>
    <row r="889">
      <c r="D889" s="63"/>
    </row>
    <row r="890">
      <c r="D890" s="63"/>
    </row>
    <row r="891">
      <c r="D891" s="63"/>
    </row>
    <row r="892">
      <c r="D892" s="63"/>
    </row>
    <row r="893">
      <c r="D893" s="63"/>
    </row>
    <row r="894">
      <c r="D894" s="63"/>
    </row>
    <row r="895">
      <c r="D895" s="63"/>
    </row>
    <row r="896">
      <c r="D896" s="63"/>
    </row>
    <row r="897">
      <c r="D897" s="63"/>
    </row>
    <row r="898">
      <c r="D898" s="63"/>
    </row>
    <row r="899">
      <c r="D899" s="63"/>
    </row>
    <row r="900">
      <c r="D900" s="63"/>
    </row>
    <row r="901">
      <c r="D901" s="63"/>
    </row>
    <row r="902">
      <c r="D902" s="63"/>
    </row>
    <row r="903">
      <c r="D903" s="63"/>
    </row>
    <row r="904">
      <c r="D904" s="63"/>
    </row>
    <row r="905">
      <c r="D905" s="63"/>
    </row>
    <row r="906">
      <c r="D906" s="63"/>
    </row>
    <row r="907">
      <c r="D907" s="63"/>
    </row>
    <row r="908">
      <c r="D908" s="63"/>
    </row>
    <row r="909">
      <c r="D909" s="63"/>
    </row>
    <row r="910">
      <c r="D910" s="63"/>
    </row>
    <row r="911">
      <c r="D911" s="63"/>
    </row>
    <row r="912">
      <c r="D912" s="63"/>
    </row>
    <row r="913">
      <c r="D913" s="63"/>
    </row>
    <row r="914">
      <c r="D914" s="63"/>
    </row>
    <row r="915">
      <c r="D915" s="63"/>
    </row>
    <row r="916">
      <c r="D916" s="63"/>
    </row>
    <row r="917">
      <c r="D917" s="63"/>
    </row>
    <row r="918">
      <c r="D918" s="63"/>
    </row>
    <row r="919">
      <c r="D919" s="63"/>
    </row>
    <row r="920">
      <c r="D920" s="63"/>
    </row>
    <row r="921">
      <c r="D921" s="63"/>
    </row>
    <row r="922">
      <c r="D922" s="63"/>
    </row>
    <row r="923">
      <c r="D923" s="63"/>
    </row>
    <row r="924">
      <c r="D924" s="63"/>
    </row>
    <row r="925">
      <c r="D925" s="63"/>
    </row>
    <row r="926">
      <c r="D926" s="63"/>
    </row>
    <row r="927">
      <c r="D927" s="63"/>
    </row>
    <row r="928">
      <c r="D928" s="63"/>
    </row>
    <row r="929">
      <c r="D929" s="63"/>
    </row>
    <row r="930">
      <c r="D930" s="63"/>
    </row>
    <row r="931">
      <c r="D931" s="63"/>
    </row>
    <row r="932">
      <c r="D932" s="63"/>
    </row>
    <row r="933">
      <c r="D933" s="63"/>
    </row>
    <row r="934">
      <c r="D934" s="63"/>
    </row>
    <row r="935">
      <c r="D935" s="63"/>
    </row>
    <row r="936">
      <c r="D936" s="63"/>
    </row>
    <row r="937">
      <c r="D937" s="63"/>
    </row>
    <row r="938">
      <c r="D938" s="63"/>
    </row>
    <row r="939">
      <c r="D939" s="63"/>
    </row>
    <row r="940">
      <c r="D940" s="63"/>
    </row>
    <row r="941">
      <c r="D941" s="63"/>
    </row>
    <row r="942">
      <c r="D942" s="63"/>
    </row>
    <row r="943">
      <c r="D943" s="63"/>
    </row>
    <row r="944">
      <c r="D944" s="63"/>
    </row>
    <row r="945">
      <c r="D945" s="63"/>
    </row>
    <row r="946">
      <c r="D946" s="63"/>
    </row>
    <row r="947">
      <c r="D947" s="63"/>
    </row>
    <row r="948">
      <c r="D948" s="63"/>
    </row>
    <row r="949">
      <c r="D949" s="63"/>
    </row>
    <row r="950">
      <c r="D950" s="63"/>
    </row>
    <row r="951">
      <c r="D951" s="63"/>
    </row>
    <row r="952">
      <c r="D952" s="63"/>
    </row>
    <row r="953">
      <c r="D953" s="63"/>
    </row>
    <row r="954">
      <c r="D954" s="63"/>
    </row>
    <row r="955">
      <c r="D955" s="63"/>
    </row>
    <row r="956">
      <c r="D956" s="63"/>
    </row>
    <row r="957">
      <c r="D957" s="63"/>
    </row>
    <row r="958">
      <c r="D958" s="63"/>
    </row>
    <row r="959">
      <c r="D959" s="63"/>
    </row>
    <row r="960">
      <c r="D960" s="63"/>
    </row>
    <row r="961">
      <c r="D961" s="63"/>
    </row>
    <row r="962">
      <c r="D962" s="63"/>
    </row>
    <row r="963">
      <c r="D963" s="63"/>
    </row>
    <row r="964">
      <c r="D964" s="63"/>
    </row>
    <row r="965">
      <c r="D965" s="63"/>
    </row>
    <row r="966">
      <c r="D966" s="63"/>
    </row>
    <row r="967">
      <c r="D967" s="63"/>
    </row>
    <row r="968">
      <c r="D968" s="63"/>
    </row>
    <row r="969">
      <c r="D969" s="63"/>
    </row>
    <row r="970">
      <c r="D970" s="63"/>
    </row>
    <row r="971">
      <c r="D971" s="63"/>
    </row>
    <row r="972">
      <c r="D972" s="63"/>
    </row>
    <row r="973">
      <c r="D973" s="63"/>
    </row>
    <row r="974">
      <c r="D974" s="63"/>
    </row>
    <row r="975">
      <c r="D975" s="63"/>
    </row>
    <row r="976">
      <c r="D976" s="63"/>
    </row>
    <row r="977">
      <c r="D977" s="63"/>
    </row>
    <row r="978">
      <c r="D978" s="63"/>
    </row>
    <row r="979">
      <c r="D979" s="63"/>
    </row>
    <row r="980">
      <c r="D980" s="63"/>
    </row>
    <row r="981">
      <c r="D981" s="63"/>
    </row>
    <row r="982">
      <c r="D982" s="63"/>
    </row>
    <row r="983">
      <c r="D983" s="63"/>
    </row>
    <row r="984">
      <c r="D984" s="63"/>
    </row>
    <row r="985">
      <c r="D985" s="63"/>
    </row>
    <row r="986">
      <c r="D986" s="63"/>
    </row>
    <row r="987">
      <c r="D987" s="63"/>
    </row>
    <row r="988">
      <c r="D988" s="63"/>
    </row>
    <row r="989">
      <c r="D989" s="63"/>
    </row>
    <row r="990">
      <c r="D990" s="63"/>
    </row>
    <row r="991">
      <c r="D991" s="63"/>
    </row>
    <row r="992">
      <c r="D992" s="63"/>
    </row>
    <row r="993">
      <c r="D993" s="63"/>
    </row>
    <row r="994">
      <c r="D994" s="63"/>
    </row>
    <row r="995">
      <c r="D995" s="63"/>
    </row>
    <row r="996">
      <c r="D996" s="63"/>
    </row>
    <row r="997">
      <c r="D997" s="63"/>
    </row>
    <row r="998">
      <c r="D998" s="63"/>
    </row>
    <row r="999">
      <c r="D999" s="63"/>
    </row>
    <row r="1000">
      <c r="D1000" s="63"/>
    </row>
  </sheetData>
  <autoFilter ref="$A$1:$J$874"/>
  <hyperlinks>
    <hyperlink r:id="rId1" ref="D10"/>
    <hyperlink r:id="rId2" ref="D86"/>
    <hyperlink r:id="rId3" ref="D242"/>
  </hyperlinks>
  <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6">
        <v>45499.0</v>
      </c>
      <c r="B2" s="55" t="str">
        <f>HYPERLINK("https://jobright.ai/jobs/info/66a455aac30fa95f24d7ebf9?utm_campaign=1064&amp;utm_source=sheet", "Apply")</f>
        <v>Apply</v>
      </c>
      <c r="C2" s="10" t="s">
        <v>19580</v>
      </c>
      <c r="D2" s="56" t="s">
        <v>12648</v>
      </c>
      <c r="E2" s="10">
        <v>5518.0</v>
      </c>
      <c r="G2" s="10" t="s">
        <v>19581</v>
      </c>
      <c r="H2" s="10" t="s">
        <v>152</v>
      </c>
      <c r="I2" s="10" t="s">
        <v>55</v>
      </c>
      <c r="J2" s="10" t="s">
        <v>3969</v>
      </c>
      <c r="K2" s="10" t="s">
        <v>19582</v>
      </c>
      <c r="L2" s="10" t="s">
        <v>42</v>
      </c>
    </row>
    <row r="3" ht="15.75" customHeight="1">
      <c r="A3" s="66">
        <v>45499.0</v>
      </c>
      <c r="B3" s="55" t="str">
        <f>HYPERLINK("https://jobright.ai/jobs/info/66a4307d299cb8484b231ca8?utm_campaign=1064&amp;utm_source=sheet", "Apply")</f>
        <v>Apply</v>
      </c>
      <c r="C3" s="10" t="s">
        <v>19583</v>
      </c>
      <c r="D3" s="56" t="s">
        <v>385</v>
      </c>
      <c r="E3" s="10" t="s">
        <v>45</v>
      </c>
      <c r="F3" s="10" t="s">
        <v>386</v>
      </c>
      <c r="G3" s="10" t="s">
        <v>19584</v>
      </c>
      <c r="H3" s="10" t="s">
        <v>423</v>
      </c>
      <c r="I3" s="10" t="s">
        <v>55</v>
      </c>
      <c r="J3" s="10" t="s">
        <v>19585</v>
      </c>
      <c r="K3" s="10" t="s">
        <v>2356</v>
      </c>
      <c r="L3" s="10" t="s">
        <v>42</v>
      </c>
    </row>
    <row r="4" ht="15.75" customHeight="1">
      <c r="A4" s="66">
        <v>45499.0</v>
      </c>
      <c r="B4" s="55" t="str">
        <f>HYPERLINK("https://jobright.ai/jobs/info/66a4172be30efe1dc24e6998?utm_campaign=1064&amp;utm_source=sheet", "Apply")</f>
        <v>Apply</v>
      </c>
      <c r="C4" s="10" t="s">
        <v>19586</v>
      </c>
      <c r="D4" s="56" t="s">
        <v>9508</v>
      </c>
      <c r="E4" s="10" t="s">
        <v>79</v>
      </c>
      <c r="F4" s="10" t="s">
        <v>9509</v>
      </c>
      <c r="G4" s="10" t="s">
        <v>19587</v>
      </c>
      <c r="H4" s="10" t="s">
        <v>144</v>
      </c>
      <c r="I4" s="10" t="s">
        <v>48</v>
      </c>
      <c r="K4" s="10" t="s">
        <v>19588</v>
      </c>
      <c r="L4" s="10" t="s">
        <v>42</v>
      </c>
    </row>
    <row r="5" ht="15.75" customHeight="1">
      <c r="A5" s="66">
        <v>45499.0</v>
      </c>
      <c r="B5" s="55" t="str">
        <f>HYPERLINK("https://jobright.ai/jobs/info/66a420685660965e6b31242e?utm_campaign=1064&amp;utm_source=sheet", "Apply")</f>
        <v>Apply</v>
      </c>
      <c r="C5" s="10" t="s">
        <v>19589</v>
      </c>
      <c r="D5" s="56" t="s">
        <v>19590</v>
      </c>
      <c r="E5" s="10" t="s">
        <v>276</v>
      </c>
      <c r="F5" s="10" t="s">
        <v>19591</v>
      </c>
      <c r="G5" s="10" t="s">
        <v>19584</v>
      </c>
      <c r="H5" s="10" t="s">
        <v>19592</v>
      </c>
      <c r="I5" s="10" t="s">
        <v>55</v>
      </c>
      <c r="K5" s="10" t="s">
        <v>19593</v>
      </c>
      <c r="L5" s="10" t="s">
        <v>42</v>
      </c>
    </row>
    <row r="6" ht="15.75" customHeight="1">
      <c r="A6" s="66">
        <v>45499.0</v>
      </c>
      <c r="B6" s="55" t="str">
        <f>HYPERLINK("https://jobright.ai/jobs/info/66a413c60e6a4dccdd088648?utm_campaign=1064&amp;utm_source=sheet", "Apply")</f>
        <v>Apply</v>
      </c>
      <c r="C6" s="10" t="s">
        <v>19594</v>
      </c>
      <c r="D6" s="56" t="s">
        <v>1671</v>
      </c>
      <c r="E6" s="10" t="s">
        <v>65</v>
      </c>
      <c r="F6" s="10" t="s">
        <v>1234</v>
      </c>
      <c r="G6" s="10" t="s">
        <v>19595</v>
      </c>
      <c r="H6" s="10" t="s">
        <v>1672</v>
      </c>
      <c r="I6" s="10" t="s">
        <v>55</v>
      </c>
      <c r="K6" s="10" t="s">
        <v>19596</v>
      </c>
      <c r="L6" s="10" t="s">
        <v>42</v>
      </c>
    </row>
    <row r="7" ht="15.75" customHeight="1">
      <c r="A7" s="66">
        <v>45499.0</v>
      </c>
      <c r="B7" s="55" t="str">
        <f>HYPERLINK("https://jobright.ai/jobs/info/66a10ee128c097f7fe1aef3a?utm_campaign=1064&amp;utm_source=sheet", "Apply")</f>
        <v>Apply</v>
      </c>
      <c r="C7" s="10" t="s">
        <v>19597</v>
      </c>
      <c r="D7" s="56" t="s">
        <v>19598</v>
      </c>
      <c r="E7" s="10" t="s">
        <v>65</v>
      </c>
      <c r="F7" s="10" t="s">
        <v>1909</v>
      </c>
      <c r="G7" s="10" t="s">
        <v>19584</v>
      </c>
      <c r="H7" s="10" t="s">
        <v>3218</v>
      </c>
      <c r="I7" s="10" t="s">
        <v>48</v>
      </c>
      <c r="J7" s="10" t="s">
        <v>19599</v>
      </c>
      <c r="K7" s="10" t="s">
        <v>19600</v>
      </c>
      <c r="L7" s="10" t="s">
        <v>42</v>
      </c>
    </row>
    <row r="8" ht="15.75" customHeight="1">
      <c r="A8" s="66">
        <v>45499.0</v>
      </c>
      <c r="B8" s="55" t="str">
        <f>HYPERLINK("https://jobright.ai/jobs/info/6672d9ddd4caf48d9bd9f826?utm_campaign=1064&amp;utm_source=sheet", "Apply")</f>
        <v>Apply</v>
      </c>
      <c r="C8" s="10" t="s">
        <v>19597</v>
      </c>
      <c r="D8" s="56" t="s">
        <v>19598</v>
      </c>
      <c r="E8" s="10" t="s">
        <v>65</v>
      </c>
      <c r="F8" s="10" t="s">
        <v>1909</v>
      </c>
      <c r="G8" s="10" t="s">
        <v>19584</v>
      </c>
      <c r="H8" s="10" t="s">
        <v>3218</v>
      </c>
      <c r="I8" s="10" t="s">
        <v>55</v>
      </c>
      <c r="J8" s="10" t="s">
        <v>19599</v>
      </c>
      <c r="K8" s="10" t="s">
        <v>19600</v>
      </c>
      <c r="L8" s="10" t="s">
        <v>42</v>
      </c>
    </row>
    <row r="9" ht="15.75" customHeight="1">
      <c r="A9" s="66">
        <v>45499.0</v>
      </c>
      <c r="B9" s="55" t="str">
        <f>HYPERLINK("https://jobright.ai/jobs/info/66a3f4c85fcbfa8457ce11e4?utm_campaign=1064&amp;utm_source=sheet", "Apply")</f>
        <v>Apply</v>
      </c>
      <c r="C9" s="10" t="s">
        <v>19601</v>
      </c>
      <c r="D9" s="56" t="s">
        <v>9500</v>
      </c>
      <c r="E9" s="10" t="s">
        <v>79</v>
      </c>
      <c r="F9" s="10" t="s">
        <v>9501</v>
      </c>
      <c r="G9" s="10" t="s">
        <v>19584</v>
      </c>
      <c r="H9" s="10" t="s">
        <v>843</v>
      </c>
      <c r="I9" s="10" t="s">
        <v>55</v>
      </c>
      <c r="L9" s="10" t="s">
        <v>42</v>
      </c>
    </row>
    <row r="10" ht="15.75" customHeight="1">
      <c r="A10" s="66">
        <v>45499.0</v>
      </c>
      <c r="B10" s="55" t="str">
        <f>HYPERLINK("https://jobright.ai/jobs/info/66a408099d6a30be4effa1d2?utm_campaign=1064&amp;utm_source=sheet", "Apply")</f>
        <v>Apply</v>
      </c>
      <c r="C10" s="10" t="s">
        <v>19586</v>
      </c>
      <c r="D10" s="56" t="s">
        <v>9508</v>
      </c>
      <c r="E10" s="10" t="s">
        <v>79</v>
      </c>
      <c r="F10" s="10" t="s">
        <v>9509</v>
      </c>
      <c r="G10" s="10" t="s">
        <v>19587</v>
      </c>
      <c r="H10" s="10" t="s">
        <v>106</v>
      </c>
      <c r="I10" s="10" t="s">
        <v>48</v>
      </c>
      <c r="K10" s="10" t="s">
        <v>19602</v>
      </c>
      <c r="L10" s="10" t="s">
        <v>42</v>
      </c>
    </row>
    <row r="11" ht="15.75" customHeight="1">
      <c r="A11" s="66">
        <v>45499.0</v>
      </c>
      <c r="B11" s="55" t="str">
        <f>HYPERLINK("https://jobright.ai/jobs/info/66a3f932c344e12ad5441042?utm_campaign=1064&amp;utm_source=sheet", "Apply")</f>
        <v>Apply</v>
      </c>
      <c r="C11" s="10" t="s">
        <v>19586</v>
      </c>
      <c r="D11" s="56" t="s">
        <v>9508</v>
      </c>
      <c r="E11" s="10" t="s">
        <v>79</v>
      </c>
      <c r="F11" s="10" t="s">
        <v>9509</v>
      </c>
      <c r="G11" s="10" t="s">
        <v>19587</v>
      </c>
      <c r="H11" s="10" t="s">
        <v>423</v>
      </c>
      <c r="I11" s="10" t="s">
        <v>48</v>
      </c>
      <c r="K11" s="10" t="s">
        <v>19602</v>
      </c>
      <c r="L11" s="10" t="s">
        <v>42</v>
      </c>
    </row>
    <row r="12" ht="15.75" customHeight="1">
      <c r="A12" s="66">
        <v>45499.0</v>
      </c>
      <c r="B12" s="55" t="str">
        <f>HYPERLINK("https://jobright.ai/jobs/info/66a3f5015fcbfa8457ce16c9?utm_campaign=1064&amp;utm_source=sheet", "Apply")</f>
        <v>Apply</v>
      </c>
      <c r="C12" s="10" t="s">
        <v>19586</v>
      </c>
      <c r="D12" s="56" t="s">
        <v>9508</v>
      </c>
      <c r="E12" s="10" t="s">
        <v>79</v>
      </c>
      <c r="F12" s="10" t="s">
        <v>9509</v>
      </c>
      <c r="G12" s="10" t="s">
        <v>19587</v>
      </c>
      <c r="H12" s="10" t="s">
        <v>434</v>
      </c>
      <c r="I12" s="10" t="s">
        <v>48</v>
      </c>
      <c r="K12" s="10" t="s">
        <v>19588</v>
      </c>
      <c r="L12" s="10" t="s">
        <v>42</v>
      </c>
    </row>
    <row r="13" ht="15.75" customHeight="1">
      <c r="A13" s="66">
        <v>45499.0</v>
      </c>
      <c r="B13" s="55" t="str">
        <f>HYPERLINK("https://jobright.ai/jobs/info/66a3f5015fcbfa8457ce16ca?utm_campaign=1064&amp;utm_source=sheet", "Apply")</f>
        <v>Apply</v>
      </c>
      <c r="C13" s="10" t="s">
        <v>19586</v>
      </c>
      <c r="D13" s="56" t="s">
        <v>9508</v>
      </c>
      <c r="E13" s="10" t="s">
        <v>79</v>
      </c>
      <c r="F13" s="10" t="s">
        <v>9509</v>
      </c>
      <c r="G13" s="10" t="s">
        <v>19587</v>
      </c>
      <c r="H13" s="10" t="s">
        <v>170</v>
      </c>
      <c r="I13" s="10" t="s">
        <v>48</v>
      </c>
      <c r="K13" s="10" t="s">
        <v>19602</v>
      </c>
      <c r="L13" s="10" t="s">
        <v>42</v>
      </c>
    </row>
    <row r="14" ht="15.75" customHeight="1">
      <c r="A14" s="66">
        <v>45499.0</v>
      </c>
      <c r="B14" s="55" t="str">
        <f>HYPERLINK("https://jobright.ai/jobs/info/66a3f5015fcbfa8457ce16cb?utm_campaign=1064&amp;utm_source=sheet", "Apply")</f>
        <v>Apply</v>
      </c>
      <c r="C14" s="10" t="s">
        <v>19586</v>
      </c>
      <c r="D14" s="56" t="s">
        <v>9508</v>
      </c>
      <c r="E14" s="10" t="s">
        <v>79</v>
      </c>
      <c r="F14" s="10" t="s">
        <v>9509</v>
      </c>
      <c r="G14" s="10" t="s">
        <v>19587</v>
      </c>
      <c r="H14" s="10" t="s">
        <v>165</v>
      </c>
      <c r="I14" s="10" t="s">
        <v>48</v>
      </c>
      <c r="K14" s="10" t="s">
        <v>19602</v>
      </c>
      <c r="L14" s="10" t="s">
        <v>42</v>
      </c>
    </row>
    <row r="15" ht="15.75" customHeight="1">
      <c r="A15" s="66">
        <v>45499.0</v>
      </c>
      <c r="B15" s="55" t="str">
        <f>HYPERLINK("https://jobright.ai/jobs/info/66a3f5015fcbfa8457ce16d2?utm_campaign=1064&amp;utm_source=sheet", "Apply")</f>
        <v>Apply</v>
      </c>
      <c r="C15" s="10" t="s">
        <v>19586</v>
      </c>
      <c r="D15" s="56" t="s">
        <v>9508</v>
      </c>
      <c r="E15" s="10" t="s">
        <v>79</v>
      </c>
      <c r="F15" s="10" t="s">
        <v>9509</v>
      </c>
      <c r="G15" s="10" t="s">
        <v>19587</v>
      </c>
      <c r="H15" s="10" t="s">
        <v>146</v>
      </c>
      <c r="I15" s="10" t="s">
        <v>48</v>
      </c>
      <c r="K15" s="10" t="s">
        <v>19588</v>
      </c>
      <c r="L15" s="10" t="s">
        <v>42</v>
      </c>
    </row>
    <row r="16" ht="15.75" customHeight="1">
      <c r="A16" s="66">
        <v>45499.0</v>
      </c>
      <c r="B16" s="55" t="str">
        <f>HYPERLINK("https://jobright.ai/jobs/info/66a3f5015fcbfa8457ce16d0?utm_campaign=1064&amp;utm_source=sheet", "Apply")</f>
        <v>Apply</v>
      </c>
      <c r="C16" s="10" t="s">
        <v>19603</v>
      </c>
      <c r="D16" s="56" t="s">
        <v>9508</v>
      </c>
      <c r="E16" s="10" t="s">
        <v>79</v>
      </c>
      <c r="F16" s="10" t="s">
        <v>9509</v>
      </c>
      <c r="G16" s="10" t="s">
        <v>19581</v>
      </c>
      <c r="H16" s="10" t="s">
        <v>170</v>
      </c>
      <c r="I16" s="10" t="s">
        <v>48</v>
      </c>
      <c r="K16" s="10" t="s">
        <v>19604</v>
      </c>
      <c r="L16" s="10" t="s">
        <v>42</v>
      </c>
    </row>
    <row r="17" ht="15.75" customHeight="1">
      <c r="A17" s="66">
        <v>45499.0</v>
      </c>
      <c r="B17" s="55" t="str">
        <f>HYPERLINK("https://jobright.ai/jobs/info/66a3daa99f1d4690f1a40b86?utm_campaign=1064&amp;utm_source=sheet", "Apply")</f>
        <v>Apply</v>
      </c>
      <c r="C17" s="10" t="s">
        <v>19586</v>
      </c>
      <c r="D17" s="56" t="s">
        <v>9508</v>
      </c>
      <c r="E17" s="10" t="s">
        <v>79</v>
      </c>
      <c r="F17" s="10" t="s">
        <v>9509</v>
      </c>
      <c r="G17" s="10" t="s">
        <v>19587</v>
      </c>
      <c r="H17" s="10" t="s">
        <v>146</v>
      </c>
      <c r="I17" s="10" t="s">
        <v>55</v>
      </c>
      <c r="K17" s="10" t="s">
        <v>19588</v>
      </c>
      <c r="L17" s="10" t="s">
        <v>42</v>
      </c>
    </row>
    <row r="18" ht="15.75" customHeight="1">
      <c r="A18" s="66">
        <v>45499.0</v>
      </c>
      <c r="B18" s="55" t="str">
        <f>HYPERLINK("https://jobright.ai/jobs/info/668b5b0bf00e324c4684fcf6?utm_campaign=1064&amp;utm_source=sheet", "Apply")</f>
        <v>Apply</v>
      </c>
      <c r="C18" s="10" t="s">
        <v>19605</v>
      </c>
      <c r="D18" s="56" t="s">
        <v>9567</v>
      </c>
      <c r="E18" s="10" t="s">
        <v>45</v>
      </c>
      <c r="F18" s="10" t="s">
        <v>9568</v>
      </c>
      <c r="G18" s="10" t="s">
        <v>19581</v>
      </c>
      <c r="H18" s="10" t="s">
        <v>80</v>
      </c>
      <c r="I18" s="10" t="s">
        <v>55</v>
      </c>
      <c r="K18" s="10" t="s">
        <v>19606</v>
      </c>
      <c r="L18" s="10" t="s">
        <v>42</v>
      </c>
    </row>
    <row r="19" ht="15.75" customHeight="1">
      <c r="A19" s="66">
        <v>45499.0</v>
      </c>
      <c r="B19" s="55" t="str">
        <f>HYPERLINK("https://jobright.ai/jobs/info/668b5b0bf00e324c4684fcc2?utm_campaign=1064&amp;utm_source=sheet", "Apply")</f>
        <v>Apply</v>
      </c>
      <c r="C19" s="10" t="s">
        <v>19605</v>
      </c>
      <c r="D19" s="56" t="s">
        <v>9567</v>
      </c>
      <c r="E19" s="10" t="s">
        <v>45</v>
      </c>
      <c r="F19" s="10" t="s">
        <v>9568</v>
      </c>
      <c r="G19" s="10" t="s">
        <v>19581</v>
      </c>
      <c r="H19" s="10" t="s">
        <v>9570</v>
      </c>
      <c r="I19" s="10" t="s">
        <v>55</v>
      </c>
      <c r="K19" s="10" t="s">
        <v>19606</v>
      </c>
      <c r="L19" s="10" t="s">
        <v>42</v>
      </c>
    </row>
    <row r="20" ht="15.75" customHeight="1">
      <c r="A20" s="66">
        <v>45499.0</v>
      </c>
      <c r="B20" s="55" t="str">
        <f>HYPERLINK("https://jobright.ai/jobs/info/668b66237b350d8c531b1278?utm_campaign=1064&amp;utm_source=sheet", "Apply")</f>
        <v>Apply</v>
      </c>
      <c r="C20" s="10" t="s">
        <v>19607</v>
      </c>
      <c r="D20" s="56" t="s">
        <v>9567</v>
      </c>
      <c r="E20" s="10" t="s">
        <v>45</v>
      </c>
      <c r="F20" s="10" t="s">
        <v>9568</v>
      </c>
      <c r="G20" s="10" t="s">
        <v>19581</v>
      </c>
      <c r="H20" s="10" t="s">
        <v>1254</v>
      </c>
      <c r="I20" s="10" t="s">
        <v>55</v>
      </c>
      <c r="K20" s="10" t="s">
        <v>19608</v>
      </c>
      <c r="L20" s="10" t="s">
        <v>42</v>
      </c>
    </row>
    <row r="21" ht="15.75" customHeight="1">
      <c r="A21" s="66">
        <v>45499.0</v>
      </c>
      <c r="B21" s="55" t="str">
        <f>HYPERLINK("https://jobright.ai/jobs/info/668b66237b350d8c531b1279?utm_campaign=1064&amp;utm_source=sheet", "Apply")</f>
        <v>Apply</v>
      </c>
      <c r="C21" s="10" t="s">
        <v>19607</v>
      </c>
      <c r="D21" s="56" t="s">
        <v>9567</v>
      </c>
      <c r="E21" s="10" t="s">
        <v>45</v>
      </c>
      <c r="F21" s="10" t="s">
        <v>9568</v>
      </c>
      <c r="G21" s="10" t="s">
        <v>19581</v>
      </c>
      <c r="H21" s="10" t="s">
        <v>80</v>
      </c>
      <c r="I21" s="10" t="s">
        <v>55</v>
      </c>
      <c r="K21" s="10" t="s">
        <v>19608</v>
      </c>
      <c r="L21" s="10" t="s">
        <v>42</v>
      </c>
    </row>
    <row r="22" ht="15.75" customHeight="1">
      <c r="A22" s="66">
        <v>45499.0</v>
      </c>
      <c r="B22" s="55" t="str">
        <f>HYPERLINK("https://jobright.ai/jobs/info/668b66237b350d8c531b1224?utm_campaign=1064&amp;utm_source=sheet", "Apply")</f>
        <v>Apply</v>
      </c>
      <c r="C22" s="10" t="s">
        <v>19607</v>
      </c>
      <c r="D22" s="56" t="s">
        <v>9567</v>
      </c>
      <c r="E22" s="10" t="s">
        <v>45</v>
      </c>
      <c r="F22" s="10" t="s">
        <v>9568</v>
      </c>
      <c r="G22" s="10" t="s">
        <v>19581</v>
      </c>
      <c r="H22" s="10" t="s">
        <v>9570</v>
      </c>
      <c r="I22" s="10" t="s">
        <v>55</v>
      </c>
      <c r="K22" s="10" t="s">
        <v>19608</v>
      </c>
      <c r="L22" s="10" t="s">
        <v>42</v>
      </c>
    </row>
    <row r="23" ht="15.75" customHeight="1">
      <c r="A23" s="66">
        <v>45499.0</v>
      </c>
      <c r="B23" s="55" t="str">
        <f>HYPERLINK("https://jobright.ai/jobs/info/661d143d782433ad28b9a031?utm_campaign=1064&amp;utm_source=sheet", "Apply")</f>
        <v>Apply</v>
      </c>
      <c r="C23" s="10" t="s">
        <v>19609</v>
      </c>
      <c r="D23" s="56" t="s">
        <v>6050</v>
      </c>
      <c r="E23" s="10" t="s">
        <v>65</v>
      </c>
      <c r="F23" s="10" t="s">
        <v>2850</v>
      </c>
      <c r="G23" s="10" t="s">
        <v>19581</v>
      </c>
      <c r="H23" s="10" t="s">
        <v>11042</v>
      </c>
      <c r="I23" s="10" t="s">
        <v>55</v>
      </c>
      <c r="K23" s="10" t="s">
        <v>19610</v>
      </c>
      <c r="L23" s="10" t="s">
        <v>42</v>
      </c>
    </row>
    <row r="24" ht="15.75" customHeight="1">
      <c r="A24" s="66">
        <v>45499.0</v>
      </c>
      <c r="B24" s="55" t="str">
        <f>HYPERLINK("https://jobright.ai/jobs/info/6677c6c964f2e472ffd62522?utm_campaign=1064&amp;utm_source=sheet", "Apply")</f>
        <v>Apply</v>
      </c>
      <c r="C24" s="10" t="s">
        <v>19611</v>
      </c>
      <c r="D24" s="56" t="s">
        <v>10389</v>
      </c>
      <c r="E24" s="10" t="s">
        <v>79</v>
      </c>
      <c r="F24" s="10" t="s">
        <v>3382</v>
      </c>
      <c r="G24" s="10" t="s">
        <v>19595</v>
      </c>
      <c r="H24" s="10" t="s">
        <v>1032</v>
      </c>
      <c r="I24" s="10" t="s">
        <v>55</v>
      </c>
      <c r="K24" s="10" t="s">
        <v>19612</v>
      </c>
      <c r="L24" s="10" t="s">
        <v>42</v>
      </c>
    </row>
    <row r="25" ht="15.75" customHeight="1">
      <c r="A25" s="66">
        <v>45499.0</v>
      </c>
      <c r="B25" s="55" t="str">
        <f>HYPERLINK("https://jobright.ai/jobs/info/660b0c89d28256923ef80589?utm_campaign=1064&amp;utm_source=sheet", "Apply")</f>
        <v>Apply</v>
      </c>
      <c r="C25" s="10" t="s">
        <v>19613</v>
      </c>
      <c r="D25" s="56" t="s">
        <v>2763</v>
      </c>
      <c r="E25" s="10" t="s">
        <v>45</v>
      </c>
      <c r="F25" s="10" t="s">
        <v>1465</v>
      </c>
      <c r="G25" s="10" t="s">
        <v>19595</v>
      </c>
      <c r="H25" s="10" t="s">
        <v>434</v>
      </c>
      <c r="I25" s="10" t="s">
        <v>55</v>
      </c>
      <c r="J25" s="10" t="s">
        <v>2764</v>
      </c>
      <c r="K25" s="10" t="s">
        <v>19614</v>
      </c>
      <c r="L25" s="10" t="s">
        <v>42</v>
      </c>
    </row>
    <row r="26" ht="15.75" customHeight="1">
      <c r="A26" s="66">
        <v>45499.0</v>
      </c>
      <c r="B26" s="55" t="str">
        <f>HYPERLINK("https://jobright.ai/jobs/info/66a33fdf6df6a1b9d22d58a3?utm_campaign=1064&amp;utm_source=sheet", "Apply")</f>
        <v>Apply</v>
      </c>
      <c r="C26" s="10" t="s">
        <v>19615</v>
      </c>
      <c r="D26" s="56" t="s">
        <v>311</v>
      </c>
      <c r="E26" s="10" t="s">
        <v>45</v>
      </c>
      <c r="F26" s="10" t="s">
        <v>312</v>
      </c>
      <c r="G26" s="10" t="s">
        <v>19584</v>
      </c>
      <c r="H26" s="10" t="s">
        <v>1254</v>
      </c>
      <c r="I26" s="10" t="s">
        <v>55</v>
      </c>
      <c r="J26" s="10" t="s">
        <v>314</v>
      </c>
      <c r="K26" s="10" t="s">
        <v>19616</v>
      </c>
      <c r="L26" s="10" t="s">
        <v>42</v>
      </c>
    </row>
    <row r="27" ht="15.75" customHeight="1">
      <c r="A27" s="66">
        <v>45499.0</v>
      </c>
      <c r="B27" s="55" t="str">
        <f>HYPERLINK("https://jobright.ai/jobs/info/66a2fc017d87c2086e260a43?utm_campaign=1064&amp;utm_source=sheet", "Apply")</f>
        <v>Apply</v>
      </c>
      <c r="C27" s="10" t="s">
        <v>19617</v>
      </c>
      <c r="D27" s="56" t="s">
        <v>19618</v>
      </c>
      <c r="E27" s="10" t="s">
        <v>137</v>
      </c>
      <c r="F27" s="10" t="s">
        <v>19619</v>
      </c>
      <c r="G27" s="10" t="s">
        <v>19595</v>
      </c>
      <c r="H27" s="10" t="s">
        <v>251</v>
      </c>
      <c r="I27" s="10" t="s">
        <v>252</v>
      </c>
      <c r="J27" s="10" t="s">
        <v>2609</v>
      </c>
      <c r="K27" s="10" t="s">
        <v>19620</v>
      </c>
      <c r="L27" s="10" t="s">
        <v>42</v>
      </c>
    </row>
    <row r="28" ht="15.75" customHeight="1">
      <c r="A28" s="66">
        <v>45499.0</v>
      </c>
      <c r="B28" s="55" t="str">
        <f>HYPERLINK("https://jobright.ai/jobs/info/66a3043f5819e4bbe872d568?utm_campaign=1064&amp;utm_source=sheet", "Apply")</f>
        <v>Apply</v>
      </c>
      <c r="C28" s="10" t="s">
        <v>19621</v>
      </c>
      <c r="D28" s="56" t="s">
        <v>19622</v>
      </c>
      <c r="E28" s="10" t="s">
        <v>79</v>
      </c>
      <c r="F28" s="10" t="s">
        <v>10</v>
      </c>
      <c r="G28" s="10" t="s">
        <v>19595</v>
      </c>
      <c r="H28" s="10" t="s">
        <v>1036</v>
      </c>
      <c r="I28" s="10" t="s">
        <v>55</v>
      </c>
      <c r="K28" s="10" t="s">
        <v>19623</v>
      </c>
      <c r="L28" s="10" t="s">
        <v>42</v>
      </c>
    </row>
    <row r="29" ht="15.75" customHeight="1">
      <c r="A29" s="66">
        <v>45499.0</v>
      </c>
      <c r="B29" s="55" t="str">
        <f>HYPERLINK("https://jobright.ai/jobs/info/66a304495819e4bbe872d5a0?utm_campaign=1064&amp;utm_source=sheet", "Apply")</f>
        <v>Apply</v>
      </c>
      <c r="C29" s="10" t="s">
        <v>19624</v>
      </c>
      <c r="D29" s="56" t="s">
        <v>19625</v>
      </c>
      <c r="E29" s="10" t="s">
        <v>65</v>
      </c>
      <c r="F29" s="10" t="s">
        <v>1234</v>
      </c>
      <c r="G29" s="10" t="s">
        <v>19595</v>
      </c>
      <c r="H29" s="10" t="s">
        <v>19626</v>
      </c>
      <c r="I29" s="10" t="s">
        <v>55</v>
      </c>
      <c r="K29" s="10" t="s">
        <v>19627</v>
      </c>
      <c r="L29" s="10" t="s">
        <v>42</v>
      </c>
    </row>
    <row r="30" ht="15.75" customHeight="1">
      <c r="A30" s="66">
        <v>45499.0</v>
      </c>
      <c r="B30" s="55" t="str">
        <f>HYPERLINK("https://jobright.ai/jobs/info/66a43427d421093e4bfbc927?utm_campaign=1064&amp;utm_source=sheet", "Apply")</f>
        <v>Apply</v>
      </c>
      <c r="C30" s="10" t="s">
        <v>19628</v>
      </c>
      <c r="D30" s="56" t="s">
        <v>19629</v>
      </c>
      <c r="E30" s="10" t="s">
        <v>249</v>
      </c>
      <c r="F30" s="10" t="s">
        <v>651</v>
      </c>
      <c r="G30" s="10" t="s">
        <v>19595</v>
      </c>
      <c r="H30" s="10" t="s">
        <v>96</v>
      </c>
      <c r="I30" s="10" t="s">
        <v>55</v>
      </c>
      <c r="J30" s="10" t="s">
        <v>19630</v>
      </c>
      <c r="K30" s="10" t="s">
        <v>19631</v>
      </c>
      <c r="L30" s="10" t="s">
        <v>42</v>
      </c>
    </row>
    <row r="31" ht="15.75" customHeight="1">
      <c r="A31" s="66">
        <v>45499.0</v>
      </c>
      <c r="B31" s="55" t="str">
        <f>HYPERLINK("https://jobright.ai/jobs/info/66a448ae6eec3b1bcaeb4e0a?utm_campaign=1064&amp;utm_source=sheet", "Apply")</f>
        <v>Apply</v>
      </c>
      <c r="C31" s="10" t="s">
        <v>19632</v>
      </c>
      <c r="D31" s="56" t="s">
        <v>19633</v>
      </c>
      <c r="E31" s="10" t="s">
        <v>209</v>
      </c>
      <c r="F31" s="10" t="s">
        <v>19634</v>
      </c>
      <c r="G31" s="10" t="s">
        <v>19581</v>
      </c>
      <c r="H31" s="10" t="s">
        <v>19635</v>
      </c>
      <c r="I31" s="10" t="s">
        <v>55</v>
      </c>
      <c r="K31" s="10" t="s">
        <v>19636</v>
      </c>
      <c r="L31" s="10" t="s">
        <v>42</v>
      </c>
    </row>
    <row r="32" ht="15.75" customHeight="1">
      <c r="A32" s="66">
        <v>45498.0</v>
      </c>
      <c r="B32" s="55" t="str">
        <f>HYPERLINK("https://jobright.ai/jobs/info/66a2fc1d7d87c2086e260d2e?utm_campaign=1064&amp;utm_source=sheet", "Apply")</f>
        <v>Apply</v>
      </c>
      <c r="C32" s="10" t="s">
        <v>19637</v>
      </c>
      <c r="D32" s="56" t="s">
        <v>19638</v>
      </c>
      <c r="E32" s="10">
        <v>31208.0</v>
      </c>
      <c r="G32" s="10" t="s">
        <v>19584</v>
      </c>
      <c r="H32" s="10" t="s">
        <v>776</v>
      </c>
      <c r="I32" s="10" t="s">
        <v>55</v>
      </c>
      <c r="J32" s="10" t="s">
        <v>2311</v>
      </c>
      <c r="K32" s="10" t="s">
        <v>19639</v>
      </c>
      <c r="L32" s="10" t="s">
        <v>42</v>
      </c>
    </row>
    <row r="33" ht="15.75" customHeight="1">
      <c r="A33" s="66">
        <v>45498.0</v>
      </c>
      <c r="B33" s="55" t="str">
        <f>HYPERLINK("https://jobright.ai/jobs/info/66a30a9cab8e33664a2b7c8e?utm_campaign=1064&amp;utm_source=sheet", "Apply")</f>
        <v>Apply</v>
      </c>
      <c r="C33" s="10" t="s">
        <v>19640</v>
      </c>
      <c r="D33" s="56" t="s">
        <v>2994</v>
      </c>
      <c r="E33" s="10" t="s">
        <v>209</v>
      </c>
      <c r="F33" s="10" t="s">
        <v>2995</v>
      </c>
      <c r="G33" s="10" t="s">
        <v>19595</v>
      </c>
      <c r="H33" s="10" t="s">
        <v>2996</v>
      </c>
      <c r="I33" s="10" t="s">
        <v>55</v>
      </c>
      <c r="J33" s="10" t="s">
        <v>3654</v>
      </c>
      <c r="K33" s="10" t="s">
        <v>19641</v>
      </c>
      <c r="L33" s="10" t="s">
        <v>42</v>
      </c>
    </row>
    <row r="34" ht="15.75" customHeight="1">
      <c r="A34" s="66">
        <v>45498.0</v>
      </c>
      <c r="B34" s="55" t="str">
        <f>HYPERLINK("https://jobright.ai/jobs/info/66a2d63e151114d55965250f?utm_campaign=1064&amp;utm_source=sheet", "Apply")</f>
        <v>Apply</v>
      </c>
      <c r="C34" s="10" t="s">
        <v>19642</v>
      </c>
      <c r="D34" s="56" t="s">
        <v>9467</v>
      </c>
      <c r="E34" s="10" t="s">
        <v>45</v>
      </c>
      <c r="F34" s="10" t="s">
        <v>9468</v>
      </c>
      <c r="G34" s="10" t="s">
        <v>19581</v>
      </c>
      <c r="H34" s="10" t="s">
        <v>113</v>
      </c>
      <c r="I34" s="10" t="s">
        <v>55</v>
      </c>
      <c r="J34" s="10" t="s">
        <v>9599</v>
      </c>
      <c r="K34" s="10" t="s">
        <v>19643</v>
      </c>
      <c r="L34" s="10" t="s">
        <v>42</v>
      </c>
    </row>
    <row r="35" ht="15.75" customHeight="1">
      <c r="A35" s="66">
        <v>45498.0</v>
      </c>
      <c r="B35" s="55" t="str">
        <f>HYPERLINK("https://jobright.ai/jobs/info/66a2db6d0b81b41946d362cf?utm_campaign=1064&amp;utm_source=sheet", "Apply")</f>
        <v>Apply</v>
      </c>
      <c r="C35" s="10" t="s">
        <v>19586</v>
      </c>
      <c r="D35" s="56" t="s">
        <v>9508</v>
      </c>
      <c r="E35" s="10" t="s">
        <v>79</v>
      </c>
      <c r="F35" s="10" t="s">
        <v>9509</v>
      </c>
      <c r="G35" s="10" t="s">
        <v>19587</v>
      </c>
      <c r="H35" s="10" t="s">
        <v>144</v>
      </c>
      <c r="I35" s="10" t="s">
        <v>48</v>
      </c>
      <c r="K35" s="10" t="s">
        <v>19602</v>
      </c>
      <c r="L35" s="10" t="s">
        <v>42</v>
      </c>
    </row>
    <row r="36" ht="15.75" customHeight="1">
      <c r="A36" s="66">
        <v>45498.0</v>
      </c>
      <c r="B36" s="55" t="str">
        <f>HYPERLINK("https://jobright.ai/jobs/info/66a2db6d0b81b41946d362d2?utm_campaign=1064&amp;utm_source=sheet", "Apply")</f>
        <v>Apply</v>
      </c>
      <c r="C36" s="10" t="s">
        <v>19586</v>
      </c>
      <c r="D36" s="56" t="s">
        <v>9508</v>
      </c>
      <c r="E36" s="10" t="s">
        <v>79</v>
      </c>
      <c r="F36" s="10" t="s">
        <v>9509</v>
      </c>
      <c r="G36" s="10" t="s">
        <v>19587</v>
      </c>
      <c r="H36" s="10" t="s">
        <v>165</v>
      </c>
      <c r="I36" s="10" t="s">
        <v>48</v>
      </c>
      <c r="K36" s="10" t="s">
        <v>19588</v>
      </c>
      <c r="L36" s="10" t="s">
        <v>42</v>
      </c>
    </row>
    <row r="37" ht="15.75" customHeight="1">
      <c r="A37" s="66">
        <v>45498.0</v>
      </c>
      <c r="B37" s="55" t="str">
        <f>HYPERLINK("https://jobright.ai/jobs/info/66a2db6d0b81b41946d362d3?utm_campaign=1064&amp;utm_source=sheet", "Apply")</f>
        <v>Apply</v>
      </c>
      <c r="C37" s="10" t="s">
        <v>19586</v>
      </c>
      <c r="D37" s="56" t="s">
        <v>9508</v>
      </c>
      <c r="E37" s="10" t="s">
        <v>79</v>
      </c>
      <c r="F37" s="10" t="s">
        <v>9509</v>
      </c>
      <c r="G37" s="10" t="s">
        <v>19587</v>
      </c>
      <c r="H37" s="10" t="s">
        <v>170</v>
      </c>
      <c r="I37" s="10" t="s">
        <v>48</v>
      </c>
      <c r="K37" s="10" t="s">
        <v>19602</v>
      </c>
      <c r="L37" s="10" t="s">
        <v>42</v>
      </c>
    </row>
    <row r="38" ht="15.75" customHeight="1">
      <c r="A38" s="66">
        <v>45498.0</v>
      </c>
      <c r="B38" s="55" t="str">
        <f>HYPERLINK("https://jobright.ai/jobs/info/66a2db6d0b81b41946d362d5?utm_campaign=1064&amp;utm_source=sheet", "Apply")</f>
        <v>Apply</v>
      </c>
      <c r="C38" s="10" t="s">
        <v>19586</v>
      </c>
      <c r="D38" s="56" t="s">
        <v>9508</v>
      </c>
      <c r="E38" s="10" t="s">
        <v>79</v>
      </c>
      <c r="F38" s="10" t="s">
        <v>9509</v>
      </c>
      <c r="G38" s="10" t="s">
        <v>19587</v>
      </c>
      <c r="H38" s="10" t="s">
        <v>434</v>
      </c>
      <c r="I38" s="10" t="s">
        <v>48</v>
      </c>
      <c r="K38" s="10" t="s">
        <v>19588</v>
      </c>
      <c r="L38" s="10" t="s">
        <v>42</v>
      </c>
    </row>
    <row r="39" ht="15.75" customHeight="1">
      <c r="A39" s="66">
        <v>45498.0</v>
      </c>
      <c r="B39" s="55" t="str">
        <f>HYPERLINK("https://jobright.ai/jobs/info/66a2db6d0b81b41946d362d7?utm_campaign=1064&amp;utm_source=sheet", "Apply")</f>
        <v>Apply</v>
      </c>
      <c r="C39" s="10" t="s">
        <v>19586</v>
      </c>
      <c r="D39" s="56" t="s">
        <v>9508</v>
      </c>
      <c r="E39" s="10" t="s">
        <v>79</v>
      </c>
      <c r="F39" s="10" t="s">
        <v>9509</v>
      </c>
      <c r="G39" s="10" t="s">
        <v>19587</v>
      </c>
      <c r="H39" s="10" t="s">
        <v>423</v>
      </c>
      <c r="I39" s="10" t="s">
        <v>48</v>
      </c>
      <c r="K39" s="10" t="s">
        <v>19588</v>
      </c>
      <c r="L39" s="10" t="s">
        <v>42</v>
      </c>
    </row>
    <row r="40" ht="15.75" customHeight="1">
      <c r="A40" s="66">
        <v>45498.0</v>
      </c>
      <c r="B40" s="55" t="str">
        <f>HYPERLINK("https://jobright.ai/jobs/info/66a3ca1555a005da42ef5834?utm_campaign=1064&amp;utm_source=sheet", "Apply")</f>
        <v>Apply</v>
      </c>
      <c r="C40" s="10" t="s">
        <v>19603</v>
      </c>
      <c r="D40" s="56" t="s">
        <v>9508</v>
      </c>
      <c r="E40" s="10" t="s">
        <v>79</v>
      </c>
      <c r="F40" s="10" t="s">
        <v>9509</v>
      </c>
      <c r="G40" s="10" t="s">
        <v>19581</v>
      </c>
      <c r="H40" s="10" t="s">
        <v>170</v>
      </c>
      <c r="I40" s="10" t="s">
        <v>55</v>
      </c>
      <c r="K40" s="10" t="s">
        <v>19604</v>
      </c>
      <c r="L40" s="10" t="s">
        <v>42</v>
      </c>
    </row>
    <row r="41" ht="15.75" customHeight="1">
      <c r="A41" s="66">
        <v>45498.0</v>
      </c>
      <c r="B41" s="55" t="str">
        <f>HYPERLINK("https://jobright.ai/jobs/info/66a3ca1555a005da42ef5836?utm_campaign=1064&amp;utm_source=sheet", "Apply")</f>
        <v>Apply</v>
      </c>
      <c r="C41" s="10" t="s">
        <v>19586</v>
      </c>
      <c r="D41" s="56" t="s">
        <v>9508</v>
      </c>
      <c r="E41" s="10" t="s">
        <v>79</v>
      </c>
      <c r="F41" s="10" t="s">
        <v>9509</v>
      </c>
      <c r="G41" s="10" t="s">
        <v>19587</v>
      </c>
      <c r="H41" s="10" t="s">
        <v>146</v>
      </c>
      <c r="I41" s="10" t="s">
        <v>55</v>
      </c>
      <c r="K41" s="10" t="s">
        <v>19602</v>
      </c>
      <c r="L41" s="10" t="s">
        <v>42</v>
      </c>
    </row>
    <row r="42" ht="15.75" customHeight="1">
      <c r="A42" s="66">
        <v>45498.0</v>
      </c>
      <c r="B42" s="55" t="str">
        <f>HYPERLINK("https://jobright.ai/jobs/info/66a314d46ba8c0dbc078806c?utm_campaign=1064&amp;utm_source=sheet", "Apply")</f>
        <v>Apply</v>
      </c>
      <c r="C42" s="10" t="s">
        <v>19586</v>
      </c>
      <c r="D42" s="56" t="s">
        <v>9508</v>
      </c>
      <c r="E42" s="10" t="s">
        <v>79</v>
      </c>
      <c r="F42" s="10" t="s">
        <v>9509</v>
      </c>
      <c r="G42" s="10" t="s">
        <v>19587</v>
      </c>
      <c r="H42" s="10" t="s">
        <v>106</v>
      </c>
      <c r="I42" s="10" t="s">
        <v>55</v>
      </c>
      <c r="K42" s="10" t="s">
        <v>19602</v>
      </c>
      <c r="L42" s="10" t="s">
        <v>42</v>
      </c>
    </row>
    <row r="43" ht="15.75" customHeight="1">
      <c r="A43" s="66">
        <v>45498.0</v>
      </c>
      <c r="B43" s="55" t="str">
        <f>HYPERLINK("https://jobright.ai/jobs/info/66a2cfdb11da4cbed19748c7?utm_campaign=1064&amp;utm_source=sheet", "Apply")</f>
        <v>Apply</v>
      </c>
      <c r="C43" s="10" t="s">
        <v>19586</v>
      </c>
      <c r="D43" s="56" t="s">
        <v>9508</v>
      </c>
      <c r="E43" s="10" t="s">
        <v>79</v>
      </c>
      <c r="F43" s="10" t="s">
        <v>9509</v>
      </c>
      <c r="G43" s="10" t="s">
        <v>19587</v>
      </c>
      <c r="H43" s="10" t="s">
        <v>106</v>
      </c>
      <c r="I43" s="10" t="s">
        <v>48</v>
      </c>
      <c r="K43" s="10" t="s">
        <v>19588</v>
      </c>
      <c r="L43" s="10" t="s">
        <v>42</v>
      </c>
    </row>
    <row r="44" ht="15.75" customHeight="1">
      <c r="A44" s="66">
        <v>45498.0</v>
      </c>
      <c r="B44" s="55" t="str">
        <f>HYPERLINK("https://jobright.ai/jobs/info/66a2cfdb11da4cbed19748ca?utm_campaign=1064&amp;utm_source=sheet", "Apply")</f>
        <v>Apply</v>
      </c>
      <c r="C44" s="10" t="s">
        <v>19586</v>
      </c>
      <c r="D44" s="56" t="s">
        <v>9508</v>
      </c>
      <c r="E44" s="10" t="s">
        <v>79</v>
      </c>
      <c r="F44" s="10" t="s">
        <v>9509</v>
      </c>
      <c r="G44" s="10" t="s">
        <v>19587</v>
      </c>
      <c r="H44" s="10" t="s">
        <v>146</v>
      </c>
      <c r="I44" s="10" t="s">
        <v>48</v>
      </c>
      <c r="K44" s="10" t="s">
        <v>19602</v>
      </c>
      <c r="L44" s="10" t="s">
        <v>42</v>
      </c>
    </row>
    <row r="45" ht="15.75" customHeight="1">
      <c r="A45" s="66">
        <v>45498.0</v>
      </c>
      <c r="B45" s="55" t="str">
        <f>HYPERLINK("https://jobright.ai/jobs/info/66a3ca1d55a005da42ef584d?utm_campaign=1064&amp;utm_source=sheet", "Apply")</f>
        <v>Apply</v>
      </c>
      <c r="C45" s="10" t="s">
        <v>19586</v>
      </c>
      <c r="D45" s="56" t="s">
        <v>9508</v>
      </c>
      <c r="E45" s="10" t="s">
        <v>79</v>
      </c>
      <c r="F45" s="10" t="s">
        <v>9509</v>
      </c>
      <c r="G45" s="10" t="s">
        <v>19587</v>
      </c>
      <c r="H45" s="10" t="s">
        <v>170</v>
      </c>
      <c r="I45" s="10" t="s">
        <v>55</v>
      </c>
      <c r="K45" s="10" t="s">
        <v>19588</v>
      </c>
      <c r="L45" s="10" t="s">
        <v>42</v>
      </c>
    </row>
    <row r="46" ht="15.75" customHeight="1">
      <c r="A46" s="66">
        <v>45498.0</v>
      </c>
      <c r="B46" s="55" t="str">
        <f>HYPERLINK("https://jobright.ai/jobs/info/66a2db500b81b41946d360f4?utm_campaign=1064&amp;utm_source=sheet", "Apply")</f>
        <v>Apply</v>
      </c>
      <c r="C46" s="10" t="s">
        <v>19603</v>
      </c>
      <c r="D46" s="56" t="s">
        <v>9508</v>
      </c>
      <c r="E46" s="10" t="s">
        <v>79</v>
      </c>
      <c r="F46" s="10" t="s">
        <v>9509</v>
      </c>
      <c r="G46" s="10" t="s">
        <v>19581</v>
      </c>
      <c r="H46" s="10" t="s">
        <v>170</v>
      </c>
      <c r="I46" s="10" t="s">
        <v>48</v>
      </c>
      <c r="K46" s="10" t="s">
        <v>19604</v>
      </c>
      <c r="L46" s="10" t="s">
        <v>42</v>
      </c>
    </row>
    <row r="47" ht="15.75" customHeight="1">
      <c r="A47" s="66">
        <v>45498.0</v>
      </c>
      <c r="B47" s="55" t="str">
        <f>HYPERLINK("https://jobright.ai/jobs/info/66a2b0d49af9a2a108449467?utm_campaign=1064&amp;utm_source=sheet", "Apply")</f>
        <v>Apply</v>
      </c>
      <c r="C47" s="10" t="s">
        <v>19644</v>
      </c>
      <c r="D47" s="56" t="s">
        <v>19645</v>
      </c>
      <c r="E47" s="10" t="s">
        <v>65</v>
      </c>
      <c r="F47" s="10" t="s">
        <v>19646</v>
      </c>
      <c r="G47" s="10" t="s">
        <v>19581</v>
      </c>
      <c r="H47" s="10" t="s">
        <v>251</v>
      </c>
      <c r="I47" s="10" t="s">
        <v>252</v>
      </c>
      <c r="K47" s="10" t="s">
        <v>19647</v>
      </c>
      <c r="L47" s="10" t="s">
        <v>42</v>
      </c>
    </row>
    <row r="48" ht="15.75" customHeight="1">
      <c r="A48" s="66">
        <v>45498.0</v>
      </c>
      <c r="B48" s="55" t="str">
        <f>HYPERLINK("https://jobright.ai/jobs/info/66a2b948bac922b881df6599?utm_campaign=1064&amp;utm_source=sheet", "Apply")</f>
        <v>Apply</v>
      </c>
      <c r="C48" s="10" t="s">
        <v>19648</v>
      </c>
      <c r="D48" s="56" t="s">
        <v>19649</v>
      </c>
      <c r="E48" s="10" t="s">
        <v>249</v>
      </c>
      <c r="F48" s="10" t="s">
        <v>5637</v>
      </c>
      <c r="G48" s="10" t="s">
        <v>19584</v>
      </c>
      <c r="H48" s="10" t="s">
        <v>181</v>
      </c>
      <c r="I48" s="10" t="s">
        <v>48</v>
      </c>
      <c r="J48" s="10" t="s">
        <v>1409</v>
      </c>
      <c r="K48" s="10" t="s">
        <v>19650</v>
      </c>
      <c r="L48" s="10" t="s">
        <v>42</v>
      </c>
    </row>
    <row r="49" ht="15.75" customHeight="1">
      <c r="A49" s="66">
        <v>45498.0</v>
      </c>
      <c r="B49" s="55" t="str">
        <f>HYPERLINK("https://jobright.ai/jobs/info/66a2b3744f4afedd1110342a?utm_campaign=1064&amp;utm_source=sheet", "Apply")</f>
        <v>Apply</v>
      </c>
      <c r="C49" s="10" t="s">
        <v>19651</v>
      </c>
      <c r="D49" s="56" t="s">
        <v>3123</v>
      </c>
      <c r="E49" s="10" t="s">
        <v>249</v>
      </c>
      <c r="F49" s="10" t="s">
        <v>3124</v>
      </c>
      <c r="G49" s="10" t="s">
        <v>19595</v>
      </c>
      <c r="H49" s="10" t="s">
        <v>917</v>
      </c>
      <c r="I49" s="10" t="s">
        <v>55</v>
      </c>
      <c r="J49" s="10" t="s">
        <v>15312</v>
      </c>
      <c r="K49" s="10" t="s">
        <v>19652</v>
      </c>
      <c r="L49" s="10" t="s">
        <v>42</v>
      </c>
    </row>
    <row r="50" ht="15.75" customHeight="1">
      <c r="A50" s="66">
        <v>45498.0</v>
      </c>
      <c r="B50" s="55" t="str">
        <f>HYPERLINK("https://jobright.ai/jobs/info/66a2836feba8f49c259e0477?utm_campaign=1064&amp;utm_source=sheet", "Apply")</f>
        <v>Apply</v>
      </c>
      <c r="C50" s="10" t="s">
        <v>13672</v>
      </c>
      <c r="D50" s="56" t="s">
        <v>10169</v>
      </c>
      <c r="E50" s="10" t="s">
        <v>45</v>
      </c>
      <c r="F50" s="10" t="s">
        <v>10170</v>
      </c>
      <c r="G50" s="10" t="s">
        <v>19587</v>
      </c>
      <c r="H50" s="10" t="s">
        <v>106</v>
      </c>
      <c r="I50" s="10" t="s">
        <v>55</v>
      </c>
      <c r="K50" s="10" t="s">
        <v>19653</v>
      </c>
      <c r="L50" s="10" t="s">
        <v>42</v>
      </c>
    </row>
    <row r="51" ht="15.75" customHeight="1">
      <c r="A51" s="66">
        <v>45498.0</v>
      </c>
      <c r="B51" s="55" t="str">
        <f>HYPERLINK("https://jobright.ai/jobs/info/66a2836feba8f49c259e047a?utm_campaign=1064&amp;utm_source=sheet", "Apply")</f>
        <v>Apply</v>
      </c>
      <c r="C51" s="10" t="s">
        <v>19654</v>
      </c>
      <c r="D51" s="56" t="s">
        <v>10169</v>
      </c>
      <c r="E51" s="10" t="s">
        <v>45</v>
      </c>
      <c r="F51" s="10" t="s">
        <v>10170</v>
      </c>
      <c r="G51" s="10" t="s">
        <v>19587</v>
      </c>
      <c r="H51" s="10" t="s">
        <v>13077</v>
      </c>
      <c r="I51" s="10" t="s">
        <v>55</v>
      </c>
      <c r="J51" s="10" t="s">
        <v>1409</v>
      </c>
      <c r="K51" s="10" t="s">
        <v>17556</v>
      </c>
      <c r="L51" s="10" t="s">
        <v>42</v>
      </c>
    </row>
    <row r="52" ht="15.75" customHeight="1">
      <c r="A52" s="66">
        <v>45498.0</v>
      </c>
      <c r="B52" s="55" t="str">
        <f>HYPERLINK("https://jobright.ai/jobs/info/66a27d51e5fb02e6e64b1b6f?utm_campaign=1064&amp;utm_source=sheet", "Apply")</f>
        <v>Apply</v>
      </c>
      <c r="C52" s="10" t="s">
        <v>19655</v>
      </c>
      <c r="D52" s="56" t="s">
        <v>19656</v>
      </c>
      <c r="E52" s="10" t="s">
        <v>276</v>
      </c>
      <c r="F52" s="10" t="s">
        <v>7465</v>
      </c>
      <c r="G52" s="10" t="s">
        <v>19584</v>
      </c>
      <c r="H52" s="10" t="s">
        <v>1097</v>
      </c>
      <c r="I52" s="10" t="s">
        <v>55</v>
      </c>
      <c r="K52" s="10" t="s">
        <v>19657</v>
      </c>
      <c r="L52" s="10" t="s">
        <v>42</v>
      </c>
    </row>
    <row r="53" ht="15.75" customHeight="1">
      <c r="A53" s="66">
        <v>45498.0</v>
      </c>
      <c r="B53" s="55" t="str">
        <f>HYPERLINK("https://jobright.ai/jobs/info/66a24c748f8ac2b9c9730948?utm_campaign=1064&amp;utm_source=sheet", "Apply")</f>
        <v>Apply</v>
      </c>
      <c r="C53" s="10" t="s">
        <v>19658</v>
      </c>
      <c r="D53" s="56" t="s">
        <v>9783</v>
      </c>
      <c r="E53" s="10" t="s">
        <v>45</v>
      </c>
      <c r="F53" s="10" t="s">
        <v>9784</v>
      </c>
      <c r="G53" s="10" t="s">
        <v>19595</v>
      </c>
      <c r="H53" s="10" t="s">
        <v>5691</v>
      </c>
      <c r="I53" s="10" t="s">
        <v>55</v>
      </c>
      <c r="K53" s="10" t="s">
        <v>19659</v>
      </c>
      <c r="L53" s="10" t="s">
        <v>42</v>
      </c>
    </row>
    <row r="54" ht="15.75" customHeight="1">
      <c r="A54" s="66">
        <v>45498.0</v>
      </c>
      <c r="B54" s="55" t="str">
        <f>HYPERLINK("https://jobright.ai/jobs/info/6686277919c3e9af76ad5b6f?utm_campaign=1064&amp;utm_source=sheet", "Apply")</f>
        <v>Apply</v>
      </c>
      <c r="C54" s="10" t="s">
        <v>19660</v>
      </c>
      <c r="D54" s="56" t="s">
        <v>19661</v>
      </c>
      <c r="E54" s="10" t="s">
        <v>65</v>
      </c>
      <c r="F54" s="10" t="s">
        <v>1893</v>
      </c>
      <c r="G54" s="10" t="s">
        <v>19587</v>
      </c>
      <c r="H54" s="10" t="s">
        <v>19662</v>
      </c>
      <c r="I54" s="10" t="s">
        <v>48</v>
      </c>
      <c r="K54" s="10" t="s">
        <v>19663</v>
      </c>
      <c r="L54" s="10" t="s">
        <v>42</v>
      </c>
    </row>
    <row r="55" ht="15.75" customHeight="1">
      <c r="A55" s="66">
        <v>45498.0</v>
      </c>
      <c r="B55" s="55" t="str">
        <f>HYPERLINK("https://jobright.ai/jobs/info/66859e232b7c322c94200d39?utm_campaign=1064&amp;utm_source=sheet", "Apply")</f>
        <v>Apply</v>
      </c>
      <c r="C55" s="10" t="s">
        <v>19664</v>
      </c>
      <c r="D55" s="56" t="s">
        <v>10169</v>
      </c>
      <c r="E55" s="10" t="s">
        <v>45</v>
      </c>
      <c r="F55" s="10" t="s">
        <v>10170</v>
      </c>
      <c r="G55" s="10" t="s">
        <v>19587</v>
      </c>
      <c r="H55" s="10" t="s">
        <v>636</v>
      </c>
      <c r="I55" s="10" t="s">
        <v>55</v>
      </c>
      <c r="J55" s="10" t="s">
        <v>1608</v>
      </c>
      <c r="K55" s="10" t="s">
        <v>14082</v>
      </c>
      <c r="L55" s="10" t="s">
        <v>42</v>
      </c>
    </row>
    <row r="56" ht="15.75" customHeight="1">
      <c r="A56" s="66">
        <v>45498.0</v>
      </c>
      <c r="B56" s="55" t="str">
        <f>HYPERLINK("https://jobright.ai/jobs/info/6677bda127c0e726e8f4ef3f?utm_campaign=1064&amp;utm_source=sheet", "Apply")</f>
        <v>Apply</v>
      </c>
      <c r="C56" s="10" t="s">
        <v>19665</v>
      </c>
      <c r="D56" s="56" t="s">
        <v>1780</v>
      </c>
      <c r="E56" s="10" t="s">
        <v>45</v>
      </c>
      <c r="F56" s="10" t="s">
        <v>1781</v>
      </c>
      <c r="G56" s="10" t="s">
        <v>19587</v>
      </c>
      <c r="H56" s="10" t="s">
        <v>153</v>
      </c>
      <c r="I56" s="10" t="s">
        <v>48</v>
      </c>
      <c r="K56" s="10" t="s">
        <v>19666</v>
      </c>
      <c r="L56" s="10" t="s">
        <v>42</v>
      </c>
    </row>
    <row r="57" ht="15.75" customHeight="1">
      <c r="A57" s="66">
        <v>45498.0</v>
      </c>
      <c r="B57" s="55" t="str">
        <f>HYPERLINK("https://jobright.ai/jobs/info/6668ec6e03ac5afee7b108fc?utm_campaign=1064&amp;utm_source=sheet", "Apply")</f>
        <v>Apply</v>
      </c>
      <c r="C57" s="10" t="s">
        <v>19667</v>
      </c>
      <c r="D57" s="56" t="s">
        <v>1780</v>
      </c>
      <c r="E57" s="10" t="s">
        <v>45</v>
      </c>
      <c r="F57" s="10" t="s">
        <v>1781</v>
      </c>
      <c r="G57" s="10" t="s">
        <v>19587</v>
      </c>
      <c r="H57" s="10" t="s">
        <v>153</v>
      </c>
      <c r="I57" s="10" t="s">
        <v>55</v>
      </c>
      <c r="K57" s="10" t="s">
        <v>19668</v>
      </c>
      <c r="L57" s="10" t="s">
        <v>42</v>
      </c>
    </row>
    <row r="58" ht="15.75" customHeight="1">
      <c r="A58" s="66">
        <v>45498.0</v>
      </c>
      <c r="B58" s="55" t="str">
        <f>HYPERLINK("https://jobright.ai/jobs/info/664cfad0e883f73e5ebb1862?utm_campaign=1064&amp;utm_source=sheet", "Apply")</f>
        <v>Apply</v>
      </c>
      <c r="C58" s="10" t="s">
        <v>19669</v>
      </c>
      <c r="D58" s="56" t="s">
        <v>10169</v>
      </c>
      <c r="E58" s="10" t="s">
        <v>45</v>
      </c>
      <c r="F58" s="10" t="s">
        <v>10170</v>
      </c>
      <c r="G58" s="10" t="s">
        <v>19587</v>
      </c>
      <c r="H58" s="10" t="s">
        <v>19670</v>
      </c>
      <c r="I58" s="10" t="s">
        <v>55</v>
      </c>
      <c r="J58" s="10" t="s">
        <v>1409</v>
      </c>
      <c r="K58" s="10" t="s">
        <v>13060</v>
      </c>
      <c r="L58" s="10" t="s">
        <v>42</v>
      </c>
    </row>
    <row r="59" ht="15.75" customHeight="1">
      <c r="A59" s="66">
        <v>45498.0</v>
      </c>
      <c r="B59" s="55" t="str">
        <f>HYPERLINK("https://jobright.ai/jobs/info/66a21ff3635d1b6f33886b05?utm_campaign=1064&amp;utm_source=sheet", "Apply")</f>
        <v>Apply</v>
      </c>
      <c r="C59" s="10" t="s">
        <v>19671</v>
      </c>
      <c r="D59" s="56" t="s">
        <v>19672</v>
      </c>
      <c r="E59" s="10" t="s">
        <v>65</v>
      </c>
      <c r="F59" s="10" t="s">
        <v>2098</v>
      </c>
      <c r="G59" s="10" t="s">
        <v>19595</v>
      </c>
      <c r="H59" s="10" t="s">
        <v>3786</v>
      </c>
      <c r="I59" s="10" t="s">
        <v>55</v>
      </c>
      <c r="K59" s="10" t="s">
        <v>19673</v>
      </c>
      <c r="L59" s="10" t="s">
        <v>42</v>
      </c>
    </row>
    <row r="60" ht="15.75" customHeight="1">
      <c r="A60" s="66">
        <v>45498.0</v>
      </c>
      <c r="B60" s="55" t="str">
        <f>HYPERLINK("https://jobright.ai/jobs/info/66a33fe96df6a1b9d22d5946?utm_campaign=1064&amp;utm_source=sheet", "Apply")</f>
        <v>Apply</v>
      </c>
      <c r="C60" s="10" t="s">
        <v>19674</v>
      </c>
      <c r="D60" s="56" t="s">
        <v>9430</v>
      </c>
      <c r="E60" s="10" t="s">
        <v>45</v>
      </c>
      <c r="F60" s="10" t="s">
        <v>1084</v>
      </c>
      <c r="G60" s="10" t="s">
        <v>19581</v>
      </c>
      <c r="H60" s="10" t="s">
        <v>154</v>
      </c>
      <c r="I60" s="10" t="s">
        <v>55</v>
      </c>
      <c r="K60" s="10" t="s">
        <v>19675</v>
      </c>
      <c r="L60" s="10" t="s">
        <v>42</v>
      </c>
    </row>
    <row r="61" ht="15.75" customHeight="1">
      <c r="A61" s="66">
        <v>45498.0</v>
      </c>
      <c r="B61" s="55" t="str">
        <f>HYPERLINK("https://jobright.ai/jobs/info/66a2fc377d87c2086e260f82?utm_campaign=1064&amp;utm_source=sheet", "Apply")</f>
        <v>Apply</v>
      </c>
      <c r="C61" s="10" t="s">
        <v>19676</v>
      </c>
      <c r="D61" s="56" t="s">
        <v>15060</v>
      </c>
      <c r="E61" s="10" t="s">
        <v>71</v>
      </c>
      <c r="F61" s="10" t="s">
        <v>3035</v>
      </c>
      <c r="G61" s="10" t="s">
        <v>19584</v>
      </c>
      <c r="H61" s="10" t="s">
        <v>170</v>
      </c>
      <c r="I61" s="10" t="s">
        <v>48</v>
      </c>
      <c r="K61" s="10" t="s">
        <v>19677</v>
      </c>
      <c r="L61" s="10" t="s">
        <v>42</v>
      </c>
    </row>
    <row r="62" ht="15.75" customHeight="1">
      <c r="A62" s="66">
        <v>45498.0</v>
      </c>
      <c r="B62" s="55" t="str">
        <f>HYPERLINK("https://jobright.ai/jobs/info/66a2c153bdefedf6c0ade3a2?utm_campaign=1064&amp;utm_source=sheet", "Apply")</f>
        <v>Apply</v>
      </c>
      <c r="C62" s="10" t="s">
        <v>19678</v>
      </c>
      <c r="D62" s="56" t="s">
        <v>19679</v>
      </c>
      <c r="E62" s="10">
        <v>980.0</v>
      </c>
      <c r="G62" s="10" t="s">
        <v>19587</v>
      </c>
      <c r="H62" s="10" t="s">
        <v>19680</v>
      </c>
      <c r="I62" s="10" t="s">
        <v>55</v>
      </c>
      <c r="K62" s="10" t="s">
        <v>19681</v>
      </c>
      <c r="L62" s="10" t="s">
        <v>42</v>
      </c>
    </row>
    <row r="63" ht="15.75" customHeight="1">
      <c r="A63" s="66">
        <v>45498.0</v>
      </c>
      <c r="B63" s="55" t="str">
        <f>HYPERLINK("https://jobright.ai/jobs/info/66a3e184fa1e56eccb8f55e9?utm_campaign=1064&amp;utm_source=sheet", "Apply")</f>
        <v>Apply</v>
      </c>
      <c r="C63" s="10" t="s">
        <v>19682</v>
      </c>
      <c r="D63" s="56" t="s">
        <v>17521</v>
      </c>
      <c r="E63" s="10" t="s">
        <v>65</v>
      </c>
      <c r="F63" s="10" t="s">
        <v>1312</v>
      </c>
      <c r="G63" s="10" t="s">
        <v>19587</v>
      </c>
      <c r="H63" s="10" t="s">
        <v>17522</v>
      </c>
      <c r="I63" s="10" t="s">
        <v>48</v>
      </c>
      <c r="J63" s="10" t="s">
        <v>19683</v>
      </c>
      <c r="K63" s="10" t="s">
        <v>19684</v>
      </c>
      <c r="L63" s="10" t="s">
        <v>42</v>
      </c>
    </row>
    <row r="64" ht="15.75" customHeight="1">
      <c r="A64" s="66">
        <v>45498.0</v>
      </c>
      <c r="B64" s="55" t="str">
        <f>HYPERLINK("https://jobright.ai/jobs/info/66a3e184fa1e56eccb8f55eb?utm_campaign=1064&amp;utm_source=sheet", "Apply")</f>
        <v>Apply</v>
      </c>
      <c r="C64" s="10" t="s">
        <v>19685</v>
      </c>
      <c r="D64" s="56" t="s">
        <v>17521</v>
      </c>
      <c r="E64" s="10" t="s">
        <v>65</v>
      </c>
      <c r="F64" s="10" t="s">
        <v>1312</v>
      </c>
      <c r="G64" s="10" t="s">
        <v>19581</v>
      </c>
      <c r="H64" s="10" t="s">
        <v>17522</v>
      </c>
      <c r="I64" s="10" t="s">
        <v>48</v>
      </c>
      <c r="J64" s="10" t="s">
        <v>19683</v>
      </c>
      <c r="K64" s="10" t="s">
        <v>19686</v>
      </c>
      <c r="L64" s="10" t="s">
        <v>42</v>
      </c>
    </row>
    <row r="65" ht="15.75" customHeight="1">
      <c r="A65" s="66">
        <v>45498.0</v>
      </c>
      <c r="B65" s="55" t="str">
        <f>HYPERLINK("https://jobright.ai/jobs/info/66a2658b8450fad8aa49d422?utm_campaign=1064&amp;utm_source=sheet", "Apply")</f>
        <v>Apply</v>
      </c>
      <c r="C65" s="10" t="s">
        <v>19687</v>
      </c>
      <c r="D65" s="56" t="s">
        <v>1776</v>
      </c>
      <c r="E65" s="10">
        <v>17178.0</v>
      </c>
      <c r="G65" s="10" t="s">
        <v>19587</v>
      </c>
      <c r="H65" s="10" t="s">
        <v>19688</v>
      </c>
      <c r="I65" s="10" t="s">
        <v>55</v>
      </c>
      <c r="J65" s="10" t="s">
        <v>2609</v>
      </c>
      <c r="K65" s="10" t="s">
        <v>19689</v>
      </c>
      <c r="L65" s="10" t="s">
        <v>42</v>
      </c>
    </row>
    <row r="66" ht="15.75" customHeight="1">
      <c r="A66" s="66">
        <v>45497.0</v>
      </c>
      <c r="B66" s="55" t="str">
        <f>HYPERLINK("https://jobright.ai/jobs/info/66a19e48aa07bd39a0ce3747?utm_campaign=1064&amp;utm_source=sheet", "Apply")</f>
        <v>Apply</v>
      </c>
      <c r="C66" s="10" t="s">
        <v>19690</v>
      </c>
      <c r="D66" s="56" t="s">
        <v>1636</v>
      </c>
      <c r="E66" s="10">
        <v>6029.0</v>
      </c>
      <c r="G66" s="10" t="s">
        <v>19595</v>
      </c>
      <c r="H66" s="10" t="s">
        <v>170</v>
      </c>
      <c r="I66" s="10" t="s">
        <v>55</v>
      </c>
      <c r="J66" s="10" t="s">
        <v>2127</v>
      </c>
      <c r="K66" s="10" t="s">
        <v>19691</v>
      </c>
      <c r="L66" s="10" t="s">
        <v>42</v>
      </c>
    </row>
    <row r="67" ht="15.75" customHeight="1">
      <c r="A67" s="66">
        <v>45497.0</v>
      </c>
      <c r="B67" s="55" t="str">
        <f>HYPERLINK("https://jobright.ai/jobs/info/66a19672f9b220ff437e55f9?utm_campaign=1064&amp;utm_source=sheet", "Apply")</f>
        <v>Apply</v>
      </c>
      <c r="C67" s="10" t="s">
        <v>19692</v>
      </c>
      <c r="D67" s="56" t="s">
        <v>19693</v>
      </c>
      <c r="E67" s="10" t="s">
        <v>65</v>
      </c>
      <c r="F67" s="10" t="s">
        <v>3594</v>
      </c>
      <c r="G67" s="10" t="s">
        <v>19584</v>
      </c>
      <c r="H67" s="10" t="s">
        <v>1254</v>
      </c>
      <c r="I67" s="10" t="s">
        <v>55</v>
      </c>
      <c r="J67" s="10" t="s">
        <v>1984</v>
      </c>
      <c r="K67" s="10" t="s">
        <v>19694</v>
      </c>
      <c r="L67" s="10" t="s">
        <v>42</v>
      </c>
    </row>
    <row r="68" ht="15.75" customHeight="1">
      <c r="A68" s="66">
        <v>45497.0</v>
      </c>
      <c r="B68" s="55" t="str">
        <f>HYPERLINK("https://jobright.ai/jobs/info/66a18923f4cb4198517e57b6?utm_campaign=1064&amp;utm_source=sheet", "Apply")</f>
        <v>Apply</v>
      </c>
      <c r="C68" s="10" t="s">
        <v>19695</v>
      </c>
      <c r="D68" s="56" t="s">
        <v>1780</v>
      </c>
      <c r="E68" s="10" t="s">
        <v>45</v>
      </c>
      <c r="F68" s="10" t="s">
        <v>1781</v>
      </c>
      <c r="G68" s="10" t="s">
        <v>19587</v>
      </c>
      <c r="H68" s="10" t="s">
        <v>153</v>
      </c>
      <c r="I68" s="10" t="s">
        <v>55</v>
      </c>
      <c r="K68" s="10" t="s">
        <v>19696</v>
      </c>
      <c r="L68" s="10" t="s">
        <v>42</v>
      </c>
    </row>
    <row r="69" ht="15.75" customHeight="1">
      <c r="A69" s="66">
        <v>45497.0</v>
      </c>
      <c r="B69" s="55" t="str">
        <f>HYPERLINK("https://jobright.ai/jobs/info/66a191201ce58e679c9413e4?utm_campaign=1064&amp;utm_source=sheet", "Apply")</f>
        <v>Apply</v>
      </c>
      <c r="C69" s="10" t="s">
        <v>15985</v>
      </c>
      <c r="D69" s="56" t="s">
        <v>11530</v>
      </c>
      <c r="E69" s="10" t="s">
        <v>65</v>
      </c>
      <c r="F69" s="10" t="s">
        <v>259</v>
      </c>
      <c r="G69" s="10" t="s">
        <v>19587</v>
      </c>
      <c r="H69" s="10" t="s">
        <v>786</v>
      </c>
      <c r="I69" s="10" t="s">
        <v>55</v>
      </c>
      <c r="J69" s="10" t="s">
        <v>1409</v>
      </c>
      <c r="K69" s="10" t="s">
        <v>19697</v>
      </c>
      <c r="L69" s="10" t="s">
        <v>42</v>
      </c>
    </row>
    <row r="70" ht="15.75" customHeight="1">
      <c r="A70" s="66">
        <v>45497.0</v>
      </c>
      <c r="B70" s="55" t="str">
        <f>HYPERLINK("https://jobright.ai/jobs/info/66a15425af78a372d21f0367?utm_campaign=1064&amp;utm_source=sheet", "Apply")</f>
        <v>Apply</v>
      </c>
      <c r="C70" s="10" t="s">
        <v>15985</v>
      </c>
      <c r="D70" s="56" t="s">
        <v>11530</v>
      </c>
      <c r="E70" s="10" t="s">
        <v>65</v>
      </c>
      <c r="F70" s="10" t="s">
        <v>259</v>
      </c>
      <c r="G70" s="10" t="s">
        <v>19587</v>
      </c>
      <c r="H70" s="10" t="s">
        <v>19698</v>
      </c>
      <c r="I70" s="10" t="s">
        <v>55</v>
      </c>
      <c r="J70" s="10" t="s">
        <v>1409</v>
      </c>
      <c r="K70" s="10" t="s">
        <v>19697</v>
      </c>
      <c r="L70" s="10" t="s">
        <v>42</v>
      </c>
    </row>
    <row r="71" ht="15.75" customHeight="1">
      <c r="A71" s="66">
        <v>45497.0</v>
      </c>
      <c r="B71" s="55" t="str">
        <f>HYPERLINK("https://jobright.ai/jobs/info/66a13ea8bfb37f3f681f05a0?utm_campaign=1064&amp;utm_source=sheet", "Apply")</f>
        <v>Apply</v>
      </c>
      <c r="C71" s="10" t="s">
        <v>19699</v>
      </c>
      <c r="D71" s="56" t="s">
        <v>10169</v>
      </c>
      <c r="E71" s="10" t="s">
        <v>45</v>
      </c>
      <c r="F71" s="10" t="s">
        <v>10170</v>
      </c>
      <c r="G71" s="10" t="s">
        <v>19587</v>
      </c>
      <c r="H71" s="10" t="s">
        <v>572</v>
      </c>
      <c r="I71" s="10" t="s">
        <v>55</v>
      </c>
      <c r="J71" s="10" t="s">
        <v>1608</v>
      </c>
      <c r="K71" s="10" t="s">
        <v>19700</v>
      </c>
      <c r="L71" s="10" t="s">
        <v>42</v>
      </c>
    </row>
    <row r="72" ht="15.75" customHeight="1">
      <c r="A72" s="66">
        <v>45497.0</v>
      </c>
      <c r="B72" s="55" t="str">
        <f>HYPERLINK("https://jobright.ai/jobs/info/66a13ea8bfb37f3f681f05b1?utm_campaign=1064&amp;utm_source=sheet", "Apply")</f>
        <v>Apply</v>
      </c>
      <c r="C72" s="10" t="s">
        <v>19699</v>
      </c>
      <c r="D72" s="56" t="s">
        <v>10169</v>
      </c>
      <c r="E72" s="10" t="s">
        <v>45</v>
      </c>
      <c r="F72" s="10" t="s">
        <v>10170</v>
      </c>
      <c r="G72" s="10" t="s">
        <v>19587</v>
      </c>
      <c r="H72" s="10" t="s">
        <v>604</v>
      </c>
      <c r="I72" s="10" t="s">
        <v>55</v>
      </c>
      <c r="J72" s="10" t="s">
        <v>1608</v>
      </c>
      <c r="K72" s="10" t="s">
        <v>19700</v>
      </c>
      <c r="L72" s="10" t="s">
        <v>42</v>
      </c>
    </row>
    <row r="73" ht="15.75" customHeight="1">
      <c r="A73" s="66">
        <v>45497.0</v>
      </c>
      <c r="B73" s="55" t="str">
        <f>HYPERLINK("https://jobright.ai/jobs/info/667b5c07144544f4c57b51d4?utm_campaign=1064&amp;utm_source=sheet", "Apply")</f>
        <v>Apply</v>
      </c>
      <c r="C73" s="10" t="s">
        <v>19701</v>
      </c>
      <c r="D73" s="56" t="s">
        <v>13236</v>
      </c>
      <c r="E73" s="10" t="s">
        <v>249</v>
      </c>
      <c r="F73" s="10" t="s">
        <v>13237</v>
      </c>
      <c r="G73" s="10" t="s">
        <v>19595</v>
      </c>
      <c r="H73" s="10" t="s">
        <v>3218</v>
      </c>
      <c r="I73" s="10" t="s">
        <v>48</v>
      </c>
      <c r="K73" s="10" t="s">
        <v>19702</v>
      </c>
      <c r="L73" s="10" t="s">
        <v>42</v>
      </c>
    </row>
    <row r="74" ht="15.75" customHeight="1">
      <c r="A74" s="66">
        <v>45497.0</v>
      </c>
      <c r="B74" s="55" t="str">
        <f>HYPERLINK("https://jobright.ai/jobs/info/66a11b8a432504a92746629c?utm_campaign=1064&amp;utm_source=sheet", "Apply")</f>
        <v>Apply</v>
      </c>
      <c r="C74" s="10" t="s">
        <v>19703</v>
      </c>
      <c r="D74" s="56" t="s">
        <v>19479</v>
      </c>
      <c r="E74" s="10" t="s">
        <v>249</v>
      </c>
      <c r="F74" s="10" t="s">
        <v>1234</v>
      </c>
      <c r="G74" s="10" t="s">
        <v>19595</v>
      </c>
      <c r="H74" s="10" t="s">
        <v>978</v>
      </c>
      <c r="I74" s="10" t="s">
        <v>55</v>
      </c>
      <c r="K74" s="10" t="s">
        <v>19704</v>
      </c>
      <c r="L74" s="10" t="s">
        <v>42</v>
      </c>
    </row>
    <row r="75" ht="15.75" customHeight="1">
      <c r="A75" s="66">
        <v>45497.0</v>
      </c>
      <c r="B75" s="55" t="str">
        <f>HYPERLINK("https://jobright.ai/jobs/info/66a106d2d70b32724be78936?utm_campaign=1064&amp;utm_source=sheet", "Apply")</f>
        <v>Apply</v>
      </c>
      <c r="C75" s="10" t="s">
        <v>19705</v>
      </c>
      <c r="D75" s="56" t="s">
        <v>357</v>
      </c>
      <c r="E75" s="10" t="s">
        <v>45</v>
      </c>
      <c r="F75" s="10" t="s">
        <v>358</v>
      </c>
      <c r="G75" s="10" t="s">
        <v>19587</v>
      </c>
      <c r="H75" s="10" t="s">
        <v>359</v>
      </c>
      <c r="I75" s="10" t="s">
        <v>55</v>
      </c>
      <c r="K75" s="10" t="s">
        <v>19706</v>
      </c>
      <c r="L75" s="10" t="s">
        <v>42</v>
      </c>
    </row>
    <row r="76" ht="15.75" customHeight="1">
      <c r="A76" s="66">
        <v>45497.0</v>
      </c>
      <c r="B76" s="55" t="str">
        <f>HYPERLINK("https://jobright.ai/jobs/info/66a3ef7187fb29a0df319394?utm_campaign=1064&amp;utm_source=sheet", "Apply")</f>
        <v>Apply</v>
      </c>
      <c r="C76" s="10" t="s">
        <v>19707</v>
      </c>
      <c r="D76" s="56" t="s">
        <v>13240</v>
      </c>
      <c r="E76" s="10" t="s">
        <v>249</v>
      </c>
      <c r="F76" s="10" t="s">
        <v>13241</v>
      </c>
      <c r="G76" s="10" t="s">
        <v>19595</v>
      </c>
      <c r="H76" s="10" t="s">
        <v>159</v>
      </c>
      <c r="I76" s="10" t="s">
        <v>55</v>
      </c>
      <c r="J76" s="10" t="s">
        <v>1409</v>
      </c>
      <c r="K76" s="10" t="s">
        <v>19708</v>
      </c>
      <c r="L76" s="10" t="s">
        <v>42</v>
      </c>
    </row>
    <row r="77" ht="15.75" customHeight="1">
      <c r="A77" s="66">
        <v>45497.0</v>
      </c>
      <c r="B77" s="55" t="str">
        <f>HYPERLINK("https://jobright.ai/jobs/info/66a0932d132a9c9cec03222d?utm_campaign=1064&amp;utm_source=sheet", "Apply")</f>
        <v>Apply</v>
      </c>
      <c r="C77" s="10" t="s">
        <v>19709</v>
      </c>
      <c r="D77" s="56" t="s">
        <v>5001</v>
      </c>
      <c r="E77" s="10" t="s">
        <v>209</v>
      </c>
      <c r="F77" s="10" t="s">
        <v>3124</v>
      </c>
      <c r="G77" s="10" t="s">
        <v>19587</v>
      </c>
      <c r="H77" s="10" t="s">
        <v>1025</v>
      </c>
      <c r="I77" s="10" t="s">
        <v>48</v>
      </c>
      <c r="K77" s="10" t="s">
        <v>19710</v>
      </c>
      <c r="L77" s="10" t="s">
        <v>42</v>
      </c>
    </row>
    <row r="78" ht="15.75" customHeight="1">
      <c r="A78" s="66">
        <v>45497.0</v>
      </c>
      <c r="B78" s="55" t="str">
        <f>HYPERLINK("https://jobright.ai/jobs/info/66a065c40e159f780df65121?utm_campaign=1064&amp;utm_source=sheet", "Apply")</f>
        <v>Apply</v>
      </c>
      <c r="C78" s="10" t="s">
        <v>19711</v>
      </c>
      <c r="D78" s="56" t="s">
        <v>15992</v>
      </c>
      <c r="E78" s="10">
        <v>26.0</v>
      </c>
      <c r="G78" s="10" t="s">
        <v>19587</v>
      </c>
      <c r="H78" s="10" t="s">
        <v>909</v>
      </c>
      <c r="I78" s="10" t="s">
        <v>252</v>
      </c>
      <c r="K78" s="10" t="s">
        <v>15994</v>
      </c>
      <c r="L78" s="10" t="s">
        <v>42</v>
      </c>
    </row>
    <row r="79" ht="15.75" customHeight="1">
      <c r="A79" s="66">
        <v>45496.0</v>
      </c>
      <c r="B79" s="55" t="str">
        <f>HYPERLINK("https://jobright.ai/jobs/info/66a05616691feb6342ddb84a?utm_campaign=1064&amp;utm_source=sheet", "Apply")</f>
        <v>Apply</v>
      </c>
      <c r="C79" s="10" t="s">
        <v>19712</v>
      </c>
      <c r="D79" s="56" t="s">
        <v>12598</v>
      </c>
      <c r="E79" s="10" t="s">
        <v>79</v>
      </c>
      <c r="F79" s="10" t="s">
        <v>12599</v>
      </c>
      <c r="G79" s="10" t="s">
        <v>19595</v>
      </c>
      <c r="H79" s="10" t="s">
        <v>1017</v>
      </c>
      <c r="I79" s="10" t="s">
        <v>55</v>
      </c>
      <c r="J79" s="10" t="s">
        <v>19713</v>
      </c>
      <c r="K79" s="10" t="s">
        <v>19714</v>
      </c>
      <c r="L79" s="10" t="s">
        <v>42</v>
      </c>
    </row>
    <row r="80" ht="15.75" customHeight="1">
      <c r="A80" s="66">
        <v>45496.0</v>
      </c>
      <c r="B80" s="55" t="str">
        <f>HYPERLINK("https://jobright.ai/jobs/info/66a039c02987217d073ecb24?utm_campaign=1064&amp;utm_source=sheet", "Apply")</f>
        <v>Apply</v>
      </c>
      <c r="C80" s="10" t="s">
        <v>19715</v>
      </c>
      <c r="D80" s="56" t="s">
        <v>1738</v>
      </c>
      <c r="E80" s="10" t="s">
        <v>249</v>
      </c>
      <c r="F80" s="10" t="s">
        <v>1465</v>
      </c>
      <c r="G80" s="10" t="s">
        <v>19587</v>
      </c>
      <c r="H80" s="10" t="s">
        <v>131</v>
      </c>
      <c r="I80" s="10" t="s">
        <v>55</v>
      </c>
      <c r="K80" s="10" t="s">
        <v>19716</v>
      </c>
      <c r="L80" s="10" t="s">
        <v>42</v>
      </c>
    </row>
    <row r="81" ht="15.75" customHeight="1">
      <c r="A81" s="66">
        <v>45496.0</v>
      </c>
      <c r="B81" s="55" t="str">
        <f>HYPERLINK("https://jobright.ai/jobs/info/66a0329976c2695220a63df0?utm_campaign=1064&amp;utm_source=sheet", "Apply")</f>
        <v>Apply</v>
      </c>
      <c r="C81" s="10" t="s">
        <v>19717</v>
      </c>
      <c r="D81" s="56" t="s">
        <v>357</v>
      </c>
      <c r="E81" s="10" t="s">
        <v>45</v>
      </c>
      <c r="F81" s="10" t="s">
        <v>358</v>
      </c>
      <c r="G81" s="10" t="s">
        <v>19587</v>
      </c>
      <c r="H81" s="10" t="s">
        <v>16739</v>
      </c>
      <c r="I81" s="10" t="s">
        <v>55</v>
      </c>
      <c r="K81" s="10" t="s">
        <v>19706</v>
      </c>
      <c r="L81" s="10" t="s">
        <v>42</v>
      </c>
    </row>
    <row r="82" ht="15.75" customHeight="1">
      <c r="A82" s="66">
        <v>45496.0</v>
      </c>
      <c r="B82" s="55" t="str">
        <f>HYPERLINK("https://jobright.ai/jobs/info/66a01d79a6ae81356f4f3793?utm_campaign=1064&amp;utm_source=sheet", "Apply")</f>
        <v>Apply</v>
      </c>
      <c r="C82" s="10" t="s">
        <v>19705</v>
      </c>
      <c r="D82" s="56" t="s">
        <v>357</v>
      </c>
      <c r="E82" s="10" t="s">
        <v>45</v>
      </c>
      <c r="F82" s="10" t="s">
        <v>358</v>
      </c>
      <c r="G82" s="10" t="s">
        <v>19587</v>
      </c>
      <c r="H82" s="10" t="s">
        <v>19718</v>
      </c>
      <c r="I82" s="10" t="s">
        <v>55</v>
      </c>
      <c r="K82" s="10" t="s">
        <v>19706</v>
      </c>
      <c r="L82" s="10" t="s">
        <v>42</v>
      </c>
    </row>
    <row r="83" ht="15.75" customHeight="1">
      <c r="A83" s="66">
        <v>45496.0</v>
      </c>
      <c r="B83" s="55" t="str">
        <f>HYPERLINK("https://jobright.ai/jobs/info/66a01a2f4d688534c3b5dda6?utm_campaign=1064&amp;utm_source=sheet", "Apply")</f>
        <v>Apply</v>
      </c>
      <c r="C83" s="10" t="s">
        <v>19705</v>
      </c>
      <c r="D83" s="56" t="s">
        <v>357</v>
      </c>
      <c r="E83" s="10" t="s">
        <v>45</v>
      </c>
      <c r="F83" s="10" t="s">
        <v>358</v>
      </c>
      <c r="G83" s="10" t="s">
        <v>19587</v>
      </c>
      <c r="H83" s="10" t="s">
        <v>15905</v>
      </c>
      <c r="I83" s="10" t="s">
        <v>55</v>
      </c>
      <c r="K83" s="10" t="s">
        <v>19706</v>
      </c>
      <c r="L83" s="10" t="s">
        <v>42</v>
      </c>
    </row>
    <row r="84" ht="15.75" customHeight="1">
      <c r="A84" s="66">
        <v>45496.0</v>
      </c>
      <c r="B84" s="55" t="str">
        <f>HYPERLINK("https://jobright.ai/jobs/info/669fe4d05d74e6023f80bef2?utm_campaign=1064&amp;utm_source=sheet", "Apply")</f>
        <v>Apply</v>
      </c>
      <c r="C84" s="10" t="s">
        <v>19719</v>
      </c>
      <c r="D84" s="56" t="s">
        <v>19720</v>
      </c>
      <c r="E84" s="10" t="s">
        <v>137</v>
      </c>
      <c r="F84" s="10" t="s">
        <v>11154</v>
      </c>
      <c r="G84" s="10" t="s">
        <v>19587</v>
      </c>
      <c r="H84" s="10" t="s">
        <v>170</v>
      </c>
      <c r="I84" s="10" t="s">
        <v>55</v>
      </c>
      <c r="J84" s="10" t="s">
        <v>3979</v>
      </c>
      <c r="K84" s="10" t="s">
        <v>19721</v>
      </c>
      <c r="L84" s="10" t="s">
        <v>42</v>
      </c>
    </row>
    <row r="85" ht="15.75" customHeight="1">
      <c r="A85" s="66">
        <v>45496.0</v>
      </c>
      <c r="B85" s="55" t="str">
        <f>HYPERLINK("https://jobright.ai/jobs/info/66a016047cc92e7e8656373d?utm_campaign=1064&amp;utm_source=sheet", "Apply")</f>
        <v>Apply</v>
      </c>
      <c r="C85" s="10" t="s">
        <v>19621</v>
      </c>
      <c r="D85" s="56" t="s">
        <v>19722</v>
      </c>
      <c r="E85" s="10">
        <v>2.0</v>
      </c>
      <c r="G85" s="10" t="s">
        <v>19595</v>
      </c>
      <c r="H85" s="10" t="s">
        <v>96</v>
      </c>
      <c r="I85" s="10" t="s">
        <v>55</v>
      </c>
      <c r="K85" s="10" t="s">
        <v>19723</v>
      </c>
      <c r="L85" s="10" t="s">
        <v>42</v>
      </c>
    </row>
    <row r="86" ht="15.75" customHeight="1">
      <c r="A86" s="66">
        <v>45496.0</v>
      </c>
      <c r="B86" s="55" t="str">
        <f>HYPERLINK("https://jobright.ai/jobs/info/66a02aa683fe12fc9f1d47c5?utm_campaign=1064&amp;utm_source=sheet", "Apply")</f>
        <v>Apply</v>
      </c>
      <c r="C86" s="10" t="s">
        <v>19724</v>
      </c>
      <c r="D86" s="56" t="s">
        <v>19725</v>
      </c>
      <c r="E86" s="10" t="s">
        <v>65</v>
      </c>
      <c r="F86" s="10" t="s">
        <v>2409</v>
      </c>
      <c r="G86" s="10" t="s">
        <v>19595</v>
      </c>
      <c r="H86" s="10" t="s">
        <v>1035</v>
      </c>
      <c r="I86" s="10" t="s">
        <v>55</v>
      </c>
      <c r="K86" s="10" t="s">
        <v>19726</v>
      </c>
      <c r="L86" s="10" t="s">
        <v>42</v>
      </c>
    </row>
    <row r="87" ht="15.75" customHeight="1">
      <c r="A87" s="66">
        <v>45496.0</v>
      </c>
      <c r="B87" s="55" t="str">
        <f>HYPERLINK("https://jobright.ai/jobs/info/669ff96288333dda24b99695?utm_campaign=1064&amp;utm_source=sheet", "Apply")</f>
        <v>Apply</v>
      </c>
      <c r="C87" s="10" t="s">
        <v>19705</v>
      </c>
      <c r="D87" s="56" t="s">
        <v>357</v>
      </c>
      <c r="E87" s="10" t="s">
        <v>45</v>
      </c>
      <c r="F87" s="10" t="s">
        <v>358</v>
      </c>
      <c r="G87" s="10" t="s">
        <v>19587</v>
      </c>
      <c r="H87" s="10" t="s">
        <v>19727</v>
      </c>
      <c r="I87" s="10" t="s">
        <v>55</v>
      </c>
      <c r="K87" s="10" t="s">
        <v>19706</v>
      </c>
      <c r="L87" s="10" t="s">
        <v>42</v>
      </c>
    </row>
    <row r="88" ht="15.75" customHeight="1">
      <c r="A88" s="66">
        <v>45496.0</v>
      </c>
      <c r="B88" s="55" t="str">
        <f>HYPERLINK("https://jobright.ai/jobs/info/66a00c6b353276c071fe9400?utm_campaign=1064&amp;utm_source=sheet", "Apply")</f>
        <v>Apply</v>
      </c>
      <c r="C88" s="10" t="s">
        <v>14424</v>
      </c>
      <c r="D88" s="56" t="s">
        <v>10169</v>
      </c>
      <c r="E88" s="10" t="s">
        <v>45</v>
      </c>
      <c r="F88" s="10" t="s">
        <v>10170</v>
      </c>
      <c r="G88" s="10" t="s">
        <v>19587</v>
      </c>
      <c r="H88" s="10" t="s">
        <v>823</v>
      </c>
      <c r="I88" s="10" t="s">
        <v>55</v>
      </c>
      <c r="K88" s="10" t="s">
        <v>14425</v>
      </c>
      <c r="L88" s="10" t="s">
        <v>42</v>
      </c>
    </row>
    <row r="89" ht="15.75" customHeight="1">
      <c r="A89" s="66">
        <v>45496.0</v>
      </c>
      <c r="B89" s="55" t="str">
        <f>HYPERLINK("https://jobright.ai/jobs/info/669ffba3556c80ad8e0b3ca8?utm_campaign=1064&amp;utm_source=sheet", "Apply")</f>
        <v>Apply</v>
      </c>
      <c r="C89" s="10" t="s">
        <v>19728</v>
      </c>
      <c r="D89" s="56" t="s">
        <v>3645</v>
      </c>
      <c r="E89" s="10" t="s">
        <v>45</v>
      </c>
      <c r="F89" s="10" t="s">
        <v>1700</v>
      </c>
      <c r="G89" s="10" t="s">
        <v>19584</v>
      </c>
      <c r="H89" s="10" t="s">
        <v>5790</v>
      </c>
      <c r="I89" s="10" t="s">
        <v>55</v>
      </c>
      <c r="K89" s="10" t="s">
        <v>19729</v>
      </c>
      <c r="L89" s="10" t="s">
        <v>42</v>
      </c>
    </row>
    <row r="90" ht="15.75" customHeight="1">
      <c r="A90" s="66">
        <v>45496.0</v>
      </c>
      <c r="B90" s="55" t="str">
        <f>HYPERLINK("https://jobright.ai/jobs/info/669fde031c33ed13e047186e?utm_campaign=1064&amp;utm_source=sheet", "Apply")</f>
        <v>Apply</v>
      </c>
      <c r="C90" s="10" t="s">
        <v>19730</v>
      </c>
      <c r="D90" s="56" t="s">
        <v>10169</v>
      </c>
      <c r="E90" s="10" t="s">
        <v>45</v>
      </c>
      <c r="F90" s="10" t="s">
        <v>10170</v>
      </c>
      <c r="G90" s="10" t="s">
        <v>19587</v>
      </c>
      <c r="H90" s="10" t="s">
        <v>165</v>
      </c>
      <c r="I90" s="10" t="s">
        <v>55</v>
      </c>
      <c r="J90" s="10" t="s">
        <v>19731</v>
      </c>
      <c r="K90" s="10" t="s">
        <v>19732</v>
      </c>
      <c r="L90" s="10" t="s">
        <v>42</v>
      </c>
    </row>
    <row r="91" ht="15.75" customHeight="1">
      <c r="A91" s="66">
        <v>45496.0</v>
      </c>
      <c r="B91" s="55" t="str">
        <f>HYPERLINK("https://jobright.ai/jobs/info/669fe2dc19e0afd8e7b174ae?utm_campaign=1064&amp;utm_source=sheet", "Apply")</f>
        <v>Apply</v>
      </c>
      <c r="C91" s="10" t="s">
        <v>19733</v>
      </c>
      <c r="D91" s="56" t="s">
        <v>10169</v>
      </c>
      <c r="E91" s="10" t="s">
        <v>45</v>
      </c>
      <c r="F91" s="10" t="s">
        <v>10170</v>
      </c>
      <c r="G91" s="10" t="s">
        <v>19587</v>
      </c>
      <c r="H91" s="10" t="s">
        <v>5398</v>
      </c>
      <c r="I91" s="10" t="s">
        <v>55</v>
      </c>
      <c r="J91" s="10" t="s">
        <v>366</v>
      </c>
      <c r="K91" s="10" t="s">
        <v>17669</v>
      </c>
      <c r="L91" s="10" t="s">
        <v>42</v>
      </c>
    </row>
    <row r="92" ht="15.75" customHeight="1">
      <c r="A92" s="66">
        <v>45496.0</v>
      </c>
      <c r="B92" s="55" t="str">
        <f>HYPERLINK("https://jobright.ai/jobs/info/669fe2dc19e0afd8e7b174ad?utm_campaign=1064&amp;utm_source=sheet", "Apply")</f>
        <v>Apply</v>
      </c>
      <c r="C92" s="10" t="s">
        <v>19734</v>
      </c>
      <c r="D92" s="56" t="s">
        <v>10169</v>
      </c>
      <c r="E92" s="10" t="s">
        <v>45</v>
      </c>
      <c r="F92" s="10" t="s">
        <v>10170</v>
      </c>
      <c r="G92" s="10" t="s">
        <v>19587</v>
      </c>
      <c r="H92" s="10" t="s">
        <v>19735</v>
      </c>
      <c r="I92" s="10" t="s">
        <v>55</v>
      </c>
      <c r="J92" s="10" t="s">
        <v>366</v>
      </c>
      <c r="K92" s="10" t="s">
        <v>17669</v>
      </c>
      <c r="L92" s="10" t="s">
        <v>42</v>
      </c>
    </row>
    <row r="93" ht="15.75" customHeight="1">
      <c r="A93" s="66">
        <v>45496.0</v>
      </c>
      <c r="B93" s="55" t="str">
        <f>HYPERLINK("https://jobright.ai/jobs/info/667e5c65f6a81203f1946e11?utm_campaign=1064&amp;utm_source=sheet", "Apply")</f>
        <v>Apply</v>
      </c>
      <c r="C93" s="10" t="s">
        <v>19736</v>
      </c>
      <c r="D93" s="56" t="s">
        <v>19737</v>
      </c>
      <c r="E93" s="10" t="s">
        <v>65</v>
      </c>
      <c r="F93" s="10" t="s">
        <v>19738</v>
      </c>
      <c r="G93" s="10" t="s">
        <v>19584</v>
      </c>
      <c r="H93" s="10" t="s">
        <v>674</v>
      </c>
      <c r="I93" s="10" t="s">
        <v>48</v>
      </c>
      <c r="K93" s="10" t="s">
        <v>19739</v>
      </c>
      <c r="L93" s="10" t="s">
        <v>42</v>
      </c>
    </row>
    <row r="94" ht="15.75" customHeight="1">
      <c r="A94" s="66">
        <v>45496.0</v>
      </c>
      <c r="B94" s="55" t="str">
        <f>HYPERLINK("https://jobright.ai/jobs/info/668363851c528914733c068c?utm_campaign=1064&amp;utm_source=sheet", "Apply")</f>
        <v>Apply</v>
      </c>
      <c r="C94" s="10" t="s">
        <v>16154</v>
      </c>
      <c r="D94" s="56" t="s">
        <v>19740</v>
      </c>
      <c r="E94" s="10" t="s">
        <v>45</v>
      </c>
      <c r="F94" s="10" t="s">
        <v>1274</v>
      </c>
      <c r="G94" s="10" t="s">
        <v>19587</v>
      </c>
      <c r="H94" s="10" t="s">
        <v>3334</v>
      </c>
      <c r="I94" s="10" t="s">
        <v>55</v>
      </c>
      <c r="J94" s="10" t="s">
        <v>19741</v>
      </c>
      <c r="K94" s="10" t="s">
        <v>19742</v>
      </c>
      <c r="L94" s="10" t="s">
        <v>42</v>
      </c>
    </row>
    <row r="95" ht="15.75" customHeight="1">
      <c r="A95" s="66">
        <v>45496.0</v>
      </c>
      <c r="B95" s="55" t="str">
        <f>HYPERLINK("https://jobright.ai/jobs/info/66a21eccef0a5c716c885696?utm_campaign=1064&amp;utm_source=sheet", "Apply")</f>
        <v>Apply</v>
      </c>
      <c r="C95" s="10" t="s">
        <v>19743</v>
      </c>
      <c r="D95" s="56" t="s">
        <v>9430</v>
      </c>
      <c r="E95" s="10" t="s">
        <v>45</v>
      </c>
      <c r="F95" s="10" t="s">
        <v>1084</v>
      </c>
      <c r="G95" s="10" t="s">
        <v>19581</v>
      </c>
      <c r="H95" s="10" t="s">
        <v>153</v>
      </c>
      <c r="I95" s="10" t="s">
        <v>55</v>
      </c>
      <c r="K95" s="10" t="s">
        <v>19744</v>
      </c>
      <c r="L95" s="10" t="s">
        <v>42</v>
      </c>
    </row>
    <row r="96" ht="15.75" customHeight="1">
      <c r="A96" s="66">
        <v>45496.0</v>
      </c>
      <c r="B96" s="55" t="str">
        <f>HYPERLINK("https://jobright.ai/jobs/info/668348f80b681d66d86ddea9?utm_campaign=1064&amp;utm_source=sheet", "Apply")</f>
        <v>Apply</v>
      </c>
      <c r="C96" s="10" t="s">
        <v>19745</v>
      </c>
      <c r="D96" s="56" t="s">
        <v>19746</v>
      </c>
      <c r="E96" s="10" t="s">
        <v>249</v>
      </c>
      <c r="F96" s="10" t="s">
        <v>19747</v>
      </c>
      <c r="G96" s="10" t="s">
        <v>19587</v>
      </c>
      <c r="H96" s="10" t="s">
        <v>96</v>
      </c>
      <c r="I96" s="10" t="s">
        <v>55</v>
      </c>
      <c r="J96" s="10" t="s">
        <v>2742</v>
      </c>
      <c r="K96" s="10" t="s">
        <v>19748</v>
      </c>
      <c r="L96" s="10" t="s">
        <v>42</v>
      </c>
    </row>
    <row r="97" ht="15.75" customHeight="1">
      <c r="A97" s="66">
        <v>45496.0</v>
      </c>
      <c r="B97" s="55" t="str">
        <f>HYPERLINK("https://jobright.ai/jobs/info/669f4d8c1c25a872ad61cd82?utm_campaign=1064&amp;utm_source=sheet", "Apply")</f>
        <v>Apply</v>
      </c>
      <c r="C97" s="10" t="s">
        <v>15985</v>
      </c>
      <c r="D97" s="56" t="s">
        <v>11530</v>
      </c>
      <c r="E97" s="10" t="s">
        <v>65</v>
      </c>
      <c r="F97" s="10" t="s">
        <v>259</v>
      </c>
      <c r="G97" s="10" t="s">
        <v>19587</v>
      </c>
      <c r="H97" s="10" t="s">
        <v>229</v>
      </c>
      <c r="I97" s="10" t="s">
        <v>55</v>
      </c>
      <c r="J97" s="10" t="s">
        <v>1409</v>
      </c>
      <c r="K97" s="10" t="s">
        <v>19697</v>
      </c>
      <c r="L97" s="10" t="s">
        <v>42</v>
      </c>
    </row>
    <row r="98" ht="15.75" customHeight="1">
      <c r="A98" s="66">
        <v>45496.0</v>
      </c>
      <c r="B98" s="55" t="str">
        <f>HYPERLINK("https://jobright.ai/jobs/info/669f4d8c1c25a872ad61cda5?utm_campaign=1064&amp;utm_source=sheet", "Apply")</f>
        <v>Apply</v>
      </c>
      <c r="C98" s="10" t="s">
        <v>19749</v>
      </c>
      <c r="D98" s="56" t="s">
        <v>311</v>
      </c>
      <c r="E98" s="10" t="s">
        <v>45</v>
      </c>
      <c r="F98" s="10" t="s">
        <v>312</v>
      </c>
      <c r="G98" s="10" t="s">
        <v>19581</v>
      </c>
      <c r="H98" s="10" t="s">
        <v>1254</v>
      </c>
      <c r="I98" s="10" t="s">
        <v>55</v>
      </c>
      <c r="J98" s="10" t="s">
        <v>314</v>
      </c>
      <c r="K98" s="10" t="s">
        <v>19750</v>
      </c>
      <c r="L98" s="10" t="s">
        <v>42</v>
      </c>
    </row>
    <row r="99" ht="15.75" customHeight="1">
      <c r="A99" s="66">
        <v>45496.0</v>
      </c>
      <c r="B99" s="55" t="str">
        <f>HYPERLINK("https://jobright.ai/jobs/info/669f3ad5b6822b542faeac8c?utm_campaign=1064&amp;utm_source=sheet", "Apply")</f>
        <v>Apply</v>
      </c>
      <c r="C99" s="10" t="s">
        <v>19751</v>
      </c>
      <c r="D99" s="56" t="s">
        <v>5083</v>
      </c>
      <c r="E99" s="10" t="s">
        <v>209</v>
      </c>
      <c r="F99" s="10" t="s">
        <v>529</v>
      </c>
      <c r="G99" s="10" t="s">
        <v>19584</v>
      </c>
      <c r="H99" s="10" t="s">
        <v>5084</v>
      </c>
      <c r="I99" s="10" t="s">
        <v>48</v>
      </c>
      <c r="K99" s="10" t="s">
        <v>19752</v>
      </c>
      <c r="L99" s="10" t="s">
        <v>42</v>
      </c>
    </row>
    <row r="100" ht="15.75" customHeight="1">
      <c r="A100" s="66">
        <v>45496.0</v>
      </c>
      <c r="B100" s="55" t="str">
        <f>HYPERLINK("https://jobright.ai/jobs/info/66a0642ab7c3431a09f4e777?utm_campaign=1064&amp;utm_source=sheet", "Apply")</f>
        <v>Apply</v>
      </c>
      <c r="C100" s="10" t="s">
        <v>15985</v>
      </c>
      <c r="D100" s="56" t="s">
        <v>11530</v>
      </c>
      <c r="E100" s="10" t="s">
        <v>65</v>
      </c>
      <c r="F100" s="10" t="s">
        <v>259</v>
      </c>
      <c r="G100" s="10" t="s">
        <v>19587</v>
      </c>
      <c r="H100" s="10" t="s">
        <v>19753</v>
      </c>
      <c r="I100" s="10" t="s">
        <v>55</v>
      </c>
      <c r="J100" s="10" t="s">
        <v>1409</v>
      </c>
      <c r="K100" s="10" t="s">
        <v>19697</v>
      </c>
      <c r="L100" s="10" t="s">
        <v>42</v>
      </c>
    </row>
    <row r="101" ht="15.75" customHeight="1">
      <c r="A101" s="66">
        <v>45496.0</v>
      </c>
      <c r="B101" s="55" t="str">
        <f>HYPERLINK("https://jobright.ai/jobs/info/66a03857f54d4e37ee753b69?utm_campaign=1064&amp;utm_source=sheet", "Apply")</f>
        <v>Apply</v>
      </c>
      <c r="C101" s="10" t="s">
        <v>19754</v>
      </c>
      <c r="D101" s="56" t="s">
        <v>19755</v>
      </c>
      <c r="E101" s="10" t="s">
        <v>65</v>
      </c>
      <c r="F101" s="10" t="s">
        <v>14747</v>
      </c>
      <c r="G101" s="10" t="s">
        <v>19595</v>
      </c>
      <c r="H101" s="10" t="s">
        <v>152</v>
      </c>
      <c r="I101" s="10" t="s">
        <v>55</v>
      </c>
      <c r="K101" s="10" t="s">
        <v>19756</v>
      </c>
      <c r="L101" s="10" t="s">
        <v>42</v>
      </c>
    </row>
    <row r="102" ht="15.75" customHeight="1">
      <c r="A102" s="66">
        <v>45496.0</v>
      </c>
      <c r="B102" s="55" t="str">
        <f>HYPERLINK("https://jobright.ai/jobs/info/66a056ee0c5ba788197446e5?utm_campaign=1064&amp;utm_source=sheet", "Apply")</f>
        <v>Apply</v>
      </c>
      <c r="C102" s="10" t="s">
        <v>19743</v>
      </c>
      <c r="D102" s="56" t="s">
        <v>9430</v>
      </c>
      <c r="E102" s="10" t="s">
        <v>45</v>
      </c>
      <c r="F102" s="10" t="s">
        <v>1084</v>
      </c>
      <c r="G102" s="10" t="s">
        <v>19581</v>
      </c>
      <c r="H102" s="10" t="s">
        <v>154</v>
      </c>
      <c r="I102" s="10" t="s">
        <v>55</v>
      </c>
      <c r="K102" s="10" t="s">
        <v>19744</v>
      </c>
      <c r="L102" s="10" t="s">
        <v>42</v>
      </c>
    </row>
    <row r="103" ht="15.75" customHeight="1">
      <c r="A103" s="66">
        <v>45496.0</v>
      </c>
      <c r="B103" s="55" t="str">
        <f>HYPERLINK("https://jobright.ai/jobs/info/669ff63d13edbe30068704d2?utm_campaign=1064&amp;utm_source=sheet", "Apply")</f>
        <v>Apply</v>
      </c>
      <c r="C103" s="10" t="s">
        <v>19757</v>
      </c>
      <c r="D103" s="56" t="s">
        <v>19758</v>
      </c>
      <c r="E103" s="10" t="s">
        <v>45</v>
      </c>
      <c r="F103" s="10" t="s">
        <v>19759</v>
      </c>
      <c r="G103" s="10" t="s">
        <v>19584</v>
      </c>
      <c r="H103" s="10" t="s">
        <v>2222</v>
      </c>
      <c r="I103" s="10" t="s">
        <v>55</v>
      </c>
      <c r="J103" s="10" t="s">
        <v>19760</v>
      </c>
      <c r="K103" s="10" t="s">
        <v>19761</v>
      </c>
      <c r="L103" s="10" t="s">
        <v>42</v>
      </c>
    </row>
    <row r="104" ht="15.75" customHeight="1">
      <c r="A104" s="66">
        <v>45495.0</v>
      </c>
      <c r="B104" s="55" t="str">
        <f>HYPERLINK("https://jobright.ai/jobs/info/669ef06eaf1a2711e7900040?utm_campaign=1064&amp;utm_source=sheet", "Apply")</f>
        <v>Apply</v>
      </c>
      <c r="C104" s="10" t="s">
        <v>19762</v>
      </c>
      <c r="D104" s="56" t="s">
        <v>12648</v>
      </c>
      <c r="E104" s="10">
        <v>5518.0</v>
      </c>
      <c r="G104" s="10" t="s">
        <v>19584</v>
      </c>
      <c r="H104" s="10" t="s">
        <v>152</v>
      </c>
      <c r="I104" s="10" t="s">
        <v>55</v>
      </c>
      <c r="J104" s="10" t="s">
        <v>3969</v>
      </c>
      <c r="K104" s="10" t="s">
        <v>19763</v>
      </c>
      <c r="L104" s="10" t="s">
        <v>42</v>
      </c>
    </row>
    <row r="105" ht="15.75" customHeight="1">
      <c r="A105" s="66">
        <v>45495.0</v>
      </c>
      <c r="B105" s="55" t="str">
        <f>HYPERLINK("https://jobright.ai/jobs/info/669edb788904cf11c0c8eefa?utm_campaign=1064&amp;utm_source=sheet", "Apply")</f>
        <v>Apply</v>
      </c>
      <c r="C105" s="10" t="s">
        <v>19764</v>
      </c>
      <c r="D105" s="56" t="s">
        <v>1780</v>
      </c>
      <c r="E105" s="10" t="s">
        <v>45</v>
      </c>
      <c r="F105" s="10" t="s">
        <v>1781</v>
      </c>
      <c r="G105" s="10" t="s">
        <v>19587</v>
      </c>
      <c r="H105" s="10" t="s">
        <v>153</v>
      </c>
      <c r="I105" s="10" t="s">
        <v>55</v>
      </c>
      <c r="K105" s="10" t="s">
        <v>19668</v>
      </c>
      <c r="L105" s="10" t="s">
        <v>42</v>
      </c>
    </row>
    <row r="106" ht="15.75" customHeight="1">
      <c r="A106" s="66">
        <v>45495.0</v>
      </c>
      <c r="B106" s="55" t="str">
        <f>HYPERLINK("https://jobright.ai/jobs/info/669eb98ad11b9631b71ede4d?utm_campaign=1064&amp;utm_source=sheet", "Apply")</f>
        <v>Apply</v>
      </c>
      <c r="C106" s="10" t="s">
        <v>19765</v>
      </c>
      <c r="D106" s="56" t="s">
        <v>19766</v>
      </c>
      <c r="E106" s="10">
        <v>19440.0</v>
      </c>
      <c r="G106" s="10" t="s">
        <v>19587</v>
      </c>
      <c r="H106" s="10" t="s">
        <v>19767</v>
      </c>
      <c r="I106" s="10" t="s">
        <v>55</v>
      </c>
      <c r="J106" s="10" t="s">
        <v>19768</v>
      </c>
      <c r="K106" s="10" t="s">
        <v>19769</v>
      </c>
      <c r="L106" s="10" t="s">
        <v>42</v>
      </c>
    </row>
    <row r="107" ht="15.75" customHeight="1">
      <c r="A107" s="66">
        <v>45495.0</v>
      </c>
      <c r="B107" s="55" t="str">
        <f>HYPERLINK("https://jobright.ai/jobs/info/669fed9f72f6d25482dfca1f?utm_campaign=1064&amp;utm_source=sheet", "Apply")</f>
        <v>Apply</v>
      </c>
      <c r="C107" s="10" t="s">
        <v>19770</v>
      </c>
      <c r="D107" s="56" t="s">
        <v>7959</v>
      </c>
      <c r="E107" s="10">
        <v>175.0</v>
      </c>
      <c r="G107" s="10" t="s">
        <v>19584</v>
      </c>
      <c r="H107" s="10" t="s">
        <v>19771</v>
      </c>
      <c r="I107" s="10" t="s">
        <v>55</v>
      </c>
      <c r="J107" s="10" t="s">
        <v>8984</v>
      </c>
      <c r="K107" s="10" t="s">
        <v>19772</v>
      </c>
      <c r="L107" s="10" t="s">
        <v>42</v>
      </c>
    </row>
    <row r="108" ht="15.75" customHeight="1">
      <c r="A108" s="66">
        <v>45495.0</v>
      </c>
      <c r="B108" s="55" t="str">
        <f>HYPERLINK("https://jobright.ai/jobs/info/669e9461221c431e2526b437?utm_campaign=1064&amp;utm_source=sheet", "Apply")</f>
        <v>Apply</v>
      </c>
      <c r="C108" s="10" t="s">
        <v>19773</v>
      </c>
      <c r="D108" s="56" t="s">
        <v>19774</v>
      </c>
      <c r="E108" s="10" t="s">
        <v>79</v>
      </c>
      <c r="F108" s="10" t="s">
        <v>19775</v>
      </c>
      <c r="G108" s="10" t="s">
        <v>19595</v>
      </c>
      <c r="H108" s="10" t="s">
        <v>14978</v>
      </c>
      <c r="I108" s="10" t="s">
        <v>55</v>
      </c>
      <c r="K108" s="10" t="s">
        <v>19776</v>
      </c>
      <c r="L108" s="10" t="s">
        <v>42</v>
      </c>
    </row>
    <row r="109" ht="15.75" customHeight="1">
      <c r="A109" s="66">
        <v>45495.0</v>
      </c>
      <c r="B109" s="55" t="str">
        <f>HYPERLINK("https://jobright.ai/jobs/info/669e86b0a3fc12b6b92cf777?utm_campaign=1064&amp;utm_source=sheet", "Apply")</f>
        <v>Apply</v>
      </c>
      <c r="C109" s="10" t="s">
        <v>19777</v>
      </c>
      <c r="D109" s="56" t="s">
        <v>1780</v>
      </c>
      <c r="E109" s="10" t="s">
        <v>45</v>
      </c>
      <c r="F109" s="10" t="s">
        <v>1781</v>
      </c>
      <c r="G109" s="10" t="s">
        <v>19587</v>
      </c>
      <c r="H109" s="10" t="s">
        <v>153</v>
      </c>
      <c r="I109" s="10" t="s">
        <v>55</v>
      </c>
      <c r="K109" s="10" t="s">
        <v>19778</v>
      </c>
      <c r="L109" s="10" t="s">
        <v>42</v>
      </c>
    </row>
    <row r="110" ht="15.75" customHeight="1">
      <c r="A110" s="66">
        <v>45495.0</v>
      </c>
      <c r="B110" s="55" t="str">
        <f>HYPERLINK("https://jobright.ai/jobs/info/669e86b0a3fc12b6b92cf789?utm_campaign=1064&amp;utm_source=sheet", "Apply")</f>
        <v>Apply</v>
      </c>
      <c r="C110" s="10" t="s">
        <v>19779</v>
      </c>
      <c r="D110" s="56" t="s">
        <v>19780</v>
      </c>
      <c r="E110" s="10" t="s">
        <v>45</v>
      </c>
      <c r="F110" s="10" t="s">
        <v>2534</v>
      </c>
      <c r="G110" s="10" t="s">
        <v>19584</v>
      </c>
      <c r="H110" s="10" t="s">
        <v>19781</v>
      </c>
      <c r="I110" s="10" t="s">
        <v>55</v>
      </c>
      <c r="K110" s="10" t="s">
        <v>19782</v>
      </c>
      <c r="L110" s="10" t="s">
        <v>42</v>
      </c>
    </row>
    <row r="111" ht="15.75" customHeight="1">
      <c r="A111" s="66">
        <v>45495.0</v>
      </c>
      <c r="B111" s="55" t="str">
        <f>HYPERLINK("https://jobright.ai/jobs/info/668503040de69be020e4a532?utm_campaign=1064&amp;utm_source=sheet", "Apply")</f>
        <v>Apply</v>
      </c>
      <c r="C111" s="10" t="s">
        <v>19637</v>
      </c>
      <c r="D111" s="56" t="s">
        <v>19783</v>
      </c>
      <c r="E111" s="10" t="s">
        <v>79</v>
      </c>
      <c r="F111" s="10" t="s">
        <v>11144</v>
      </c>
      <c r="G111" s="10" t="s">
        <v>19584</v>
      </c>
      <c r="H111" s="10" t="s">
        <v>798</v>
      </c>
      <c r="I111" s="10" t="s">
        <v>55</v>
      </c>
      <c r="K111" s="10" t="s">
        <v>19784</v>
      </c>
      <c r="L111" s="10" t="s">
        <v>42</v>
      </c>
    </row>
    <row r="112" ht="15.75" customHeight="1">
      <c r="A112" s="66">
        <v>45495.0</v>
      </c>
      <c r="B112" s="55" t="str">
        <f>HYPERLINK("https://jobright.ai/jobs/info/669e37476735e60c9aa3b067?utm_campaign=1064&amp;utm_source=sheet", "Apply")</f>
        <v>Apply</v>
      </c>
      <c r="C112" s="10" t="s">
        <v>19785</v>
      </c>
      <c r="D112" s="56" t="s">
        <v>19786</v>
      </c>
      <c r="E112" s="59">
        <v>45301.0</v>
      </c>
      <c r="F112" s="10" t="s">
        <v>19787</v>
      </c>
      <c r="G112" s="10" t="s">
        <v>19584</v>
      </c>
      <c r="H112" s="10" t="s">
        <v>251</v>
      </c>
      <c r="I112" s="10" t="s">
        <v>252</v>
      </c>
      <c r="K112" s="10" t="s">
        <v>19788</v>
      </c>
      <c r="L112" s="10" t="s">
        <v>42</v>
      </c>
    </row>
    <row r="113" ht="15.75" customHeight="1">
      <c r="A113" s="66">
        <v>45495.0</v>
      </c>
      <c r="B113" s="55" t="str">
        <f>HYPERLINK("https://jobright.ai/jobs/info/6664af1660a285f6b190b326?utm_campaign=1064&amp;utm_source=sheet", "Apply")</f>
        <v>Apply</v>
      </c>
      <c r="C113" s="10" t="s">
        <v>13610</v>
      </c>
      <c r="D113" s="56" t="s">
        <v>10169</v>
      </c>
      <c r="E113" s="10" t="s">
        <v>45</v>
      </c>
      <c r="F113" s="10" t="s">
        <v>10170</v>
      </c>
      <c r="G113" s="10" t="s">
        <v>19587</v>
      </c>
      <c r="H113" s="10" t="s">
        <v>924</v>
      </c>
      <c r="I113" s="10" t="s">
        <v>55</v>
      </c>
      <c r="J113" s="10" t="s">
        <v>3651</v>
      </c>
      <c r="K113" s="10" t="s">
        <v>19789</v>
      </c>
      <c r="L113" s="10" t="s">
        <v>42</v>
      </c>
    </row>
    <row r="114" ht="15.75" customHeight="1">
      <c r="A114" s="66">
        <v>45495.0</v>
      </c>
      <c r="B114" s="55" t="str">
        <f>HYPERLINK("https://jobright.ai/jobs/info/6664c05677222090162c6a3b?utm_campaign=1064&amp;utm_source=sheet", "Apply")</f>
        <v>Apply</v>
      </c>
      <c r="C114" s="10" t="s">
        <v>13610</v>
      </c>
      <c r="D114" s="56" t="s">
        <v>10169</v>
      </c>
      <c r="E114" s="10" t="s">
        <v>45</v>
      </c>
      <c r="F114" s="10" t="s">
        <v>10170</v>
      </c>
      <c r="G114" s="10" t="s">
        <v>19587</v>
      </c>
      <c r="H114" s="10" t="s">
        <v>978</v>
      </c>
      <c r="I114" s="10" t="s">
        <v>55</v>
      </c>
      <c r="K114" s="10" t="s">
        <v>13611</v>
      </c>
      <c r="L114" s="10" t="s">
        <v>42</v>
      </c>
    </row>
    <row r="115" ht="15.75" customHeight="1">
      <c r="A115" s="66">
        <v>45495.0</v>
      </c>
      <c r="B115" s="55" t="str">
        <f>HYPERLINK("https://jobright.ai/jobs/info/6664af1660a285f6b190b340?utm_campaign=1064&amp;utm_source=sheet", "Apply")</f>
        <v>Apply</v>
      </c>
      <c r="C115" s="10" t="s">
        <v>13610</v>
      </c>
      <c r="D115" s="56" t="s">
        <v>10169</v>
      </c>
      <c r="E115" s="10" t="s">
        <v>45</v>
      </c>
      <c r="F115" s="10" t="s">
        <v>10170</v>
      </c>
      <c r="G115" s="10" t="s">
        <v>19587</v>
      </c>
      <c r="H115" s="10" t="s">
        <v>14742</v>
      </c>
      <c r="I115" s="10" t="s">
        <v>55</v>
      </c>
      <c r="J115" s="10" t="s">
        <v>3651</v>
      </c>
      <c r="K115" s="10" t="s">
        <v>13611</v>
      </c>
      <c r="L115" s="10" t="s">
        <v>42</v>
      </c>
    </row>
    <row r="116" ht="15.75" customHeight="1">
      <c r="A116" s="66">
        <v>45495.0</v>
      </c>
      <c r="B116" s="55" t="str">
        <f>HYPERLINK("https://jobright.ai/jobs/info/669dd71d4cdbee2c948f6698?utm_campaign=1064&amp;utm_source=sheet", "Apply")</f>
        <v>Apply</v>
      </c>
      <c r="C116" s="10" t="s">
        <v>19790</v>
      </c>
      <c r="D116" s="56" t="s">
        <v>19791</v>
      </c>
      <c r="E116" s="10" t="s">
        <v>276</v>
      </c>
      <c r="F116" s="10" t="s">
        <v>5637</v>
      </c>
      <c r="G116" s="10" t="s">
        <v>19587</v>
      </c>
      <c r="H116" s="10" t="s">
        <v>3311</v>
      </c>
      <c r="I116" s="10" t="s">
        <v>55</v>
      </c>
      <c r="J116" s="10" t="s">
        <v>19792</v>
      </c>
      <c r="K116" s="10" t="s">
        <v>19793</v>
      </c>
      <c r="L116" s="10" t="s">
        <v>42</v>
      </c>
    </row>
    <row r="117" ht="15.75" customHeight="1">
      <c r="A117" s="66">
        <v>45495.0</v>
      </c>
      <c r="B117" s="55" t="str">
        <f>HYPERLINK("https://jobright.ai/jobs/info/669efd64f7a71fbcbfb4ed42?utm_campaign=1064&amp;utm_source=sheet", "Apply")</f>
        <v>Apply</v>
      </c>
      <c r="C117" s="10" t="s">
        <v>19794</v>
      </c>
      <c r="D117" s="56" t="s">
        <v>19795</v>
      </c>
      <c r="E117" s="10" t="s">
        <v>249</v>
      </c>
      <c r="F117" s="10" t="s">
        <v>18220</v>
      </c>
      <c r="G117" s="10" t="s">
        <v>19595</v>
      </c>
      <c r="H117" s="10" t="s">
        <v>826</v>
      </c>
      <c r="I117" s="10" t="s">
        <v>55</v>
      </c>
      <c r="K117" s="10" t="s">
        <v>19796</v>
      </c>
      <c r="L117" s="10" t="s">
        <v>42</v>
      </c>
    </row>
    <row r="118" ht="15.75" customHeight="1">
      <c r="A118" s="66">
        <v>45494.0</v>
      </c>
      <c r="B118" s="55" t="str">
        <f>HYPERLINK("https://jobright.ai/jobs/info/66634c8fd61d5d3f74746509?utm_campaign=1064&amp;utm_source=sheet", "Apply")</f>
        <v>Apply</v>
      </c>
      <c r="C118" s="10" t="s">
        <v>13672</v>
      </c>
      <c r="D118" s="56" t="s">
        <v>10169</v>
      </c>
      <c r="E118" s="10" t="s">
        <v>45</v>
      </c>
      <c r="F118" s="10" t="s">
        <v>10170</v>
      </c>
      <c r="G118" s="10" t="s">
        <v>19587</v>
      </c>
      <c r="H118" s="10" t="s">
        <v>19797</v>
      </c>
      <c r="I118" s="10" t="s">
        <v>55</v>
      </c>
      <c r="J118" s="10" t="s">
        <v>1409</v>
      </c>
      <c r="K118" s="10" t="s">
        <v>13673</v>
      </c>
      <c r="L118" s="10" t="s">
        <v>42</v>
      </c>
    </row>
    <row r="119" ht="15.75" customHeight="1">
      <c r="A119" s="66">
        <v>45494.0</v>
      </c>
      <c r="B119" s="55" t="str">
        <f>HYPERLINK("https://jobright.ai/jobs/info/66637f90e547b27b1a893a12?utm_campaign=1064&amp;utm_source=sheet", "Apply")</f>
        <v>Apply</v>
      </c>
      <c r="C119" s="10" t="s">
        <v>13672</v>
      </c>
      <c r="D119" s="56" t="s">
        <v>10169</v>
      </c>
      <c r="E119" s="10" t="s">
        <v>45</v>
      </c>
      <c r="F119" s="10" t="s">
        <v>10170</v>
      </c>
      <c r="G119" s="10" t="s">
        <v>19587</v>
      </c>
      <c r="H119" s="10" t="s">
        <v>19798</v>
      </c>
      <c r="I119" s="10" t="s">
        <v>55</v>
      </c>
      <c r="J119" s="10" t="s">
        <v>1409</v>
      </c>
      <c r="K119" s="10" t="s">
        <v>13647</v>
      </c>
      <c r="L119" s="10" t="s">
        <v>42</v>
      </c>
    </row>
    <row r="120" ht="15.75" customHeight="1">
      <c r="A120" s="66">
        <v>45494.0</v>
      </c>
      <c r="B120" s="55" t="str">
        <f>HYPERLINK("https://jobright.ai/jobs/info/6663eb81f651f7b67b8edcbf?utm_campaign=1064&amp;utm_source=sheet", "Apply")</f>
        <v>Apply</v>
      </c>
      <c r="C120" s="10" t="s">
        <v>19799</v>
      </c>
      <c r="D120" s="56" t="s">
        <v>10169</v>
      </c>
      <c r="E120" s="10" t="s">
        <v>45</v>
      </c>
      <c r="F120" s="10" t="s">
        <v>10170</v>
      </c>
      <c r="G120" s="10" t="s">
        <v>19587</v>
      </c>
      <c r="H120" s="10" t="s">
        <v>1041</v>
      </c>
      <c r="I120" s="10" t="s">
        <v>55</v>
      </c>
      <c r="J120" s="10" t="s">
        <v>1960</v>
      </c>
      <c r="K120" s="10" t="s">
        <v>19800</v>
      </c>
      <c r="L120" s="10" t="s">
        <v>42</v>
      </c>
    </row>
    <row r="121" ht="15.75" customHeight="1">
      <c r="A121" s="66">
        <v>45494.0</v>
      </c>
      <c r="B121" s="55" t="str">
        <f>HYPERLINK("https://jobright.ai/jobs/info/666368c7fd59d76568e667ad?utm_campaign=1064&amp;utm_source=sheet", "Apply")</f>
        <v>Apply</v>
      </c>
      <c r="C121" s="10" t="s">
        <v>13672</v>
      </c>
      <c r="D121" s="56" t="s">
        <v>10169</v>
      </c>
      <c r="E121" s="10" t="s">
        <v>45</v>
      </c>
      <c r="F121" s="10" t="s">
        <v>10170</v>
      </c>
      <c r="G121" s="10" t="s">
        <v>19587</v>
      </c>
      <c r="H121" s="10" t="s">
        <v>10654</v>
      </c>
      <c r="I121" s="10" t="s">
        <v>55</v>
      </c>
      <c r="J121" s="10" t="s">
        <v>1409</v>
      </c>
      <c r="K121" s="10" t="s">
        <v>13673</v>
      </c>
      <c r="L121" s="10" t="s">
        <v>42</v>
      </c>
    </row>
    <row r="122" ht="15.75" customHeight="1">
      <c r="A122" s="66">
        <v>45494.0</v>
      </c>
      <c r="B122" s="55" t="str">
        <f>HYPERLINK("https://jobright.ai/jobs/info/6663d2d754fd78216b7ce836?utm_campaign=1064&amp;utm_source=sheet", "Apply")</f>
        <v>Apply</v>
      </c>
      <c r="C122" s="10" t="s">
        <v>19801</v>
      </c>
      <c r="D122" s="56" t="s">
        <v>10169</v>
      </c>
      <c r="E122" s="10" t="s">
        <v>45</v>
      </c>
      <c r="F122" s="10" t="s">
        <v>10170</v>
      </c>
      <c r="G122" s="10" t="s">
        <v>19587</v>
      </c>
      <c r="H122" s="10" t="s">
        <v>165</v>
      </c>
      <c r="I122" s="10" t="s">
        <v>55</v>
      </c>
      <c r="J122" s="10" t="s">
        <v>19731</v>
      </c>
      <c r="K122" s="10" t="s">
        <v>19802</v>
      </c>
      <c r="L122" s="10" t="s">
        <v>42</v>
      </c>
    </row>
    <row r="123" ht="15.75" customHeight="1">
      <c r="A123" s="66">
        <v>45494.0</v>
      </c>
      <c r="B123" s="55" t="str">
        <f>HYPERLINK("https://jobright.ai/jobs/info/6663d2d754fd78216b7ce897?utm_campaign=1064&amp;utm_source=sheet", "Apply")</f>
        <v>Apply</v>
      </c>
      <c r="C123" s="10" t="s">
        <v>19803</v>
      </c>
      <c r="D123" s="56" t="s">
        <v>10169</v>
      </c>
      <c r="E123" s="10" t="s">
        <v>45</v>
      </c>
      <c r="F123" s="10" t="s">
        <v>10170</v>
      </c>
      <c r="G123" s="10" t="s">
        <v>19587</v>
      </c>
      <c r="H123" s="10" t="s">
        <v>8727</v>
      </c>
      <c r="I123" s="10" t="s">
        <v>55</v>
      </c>
      <c r="J123" s="10" t="s">
        <v>1960</v>
      </c>
      <c r="K123" s="10" t="s">
        <v>19800</v>
      </c>
      <c r="L123" s="10" t="s">
        <v>42</v>
      </c>
    </row>
    <row r="124" ht="15.75" customHeight="1">
      <c r="A124" s="66">
        <v>45494.0</v>
      </c>
      <c r="B124" s="55" t="str">
        <f>HYPERLINK("https://jobright.ai/jobs/info/66634c8fd61d5d3f747464ef?utm_campaign=1064&amp;utm_source=sheet", "Apply")</f>
        <v>Apply</v>
      </c>
      <c r="C124" s="10" t="s">
        <v>13672</v>
      </c>
      <c r="D124" s="56" t="s">
        <v>10169</v>
      </c>
      <c r="E124" s="10" t="s">
        <v>45</v>
      </c>
      <c r="F124" s="10" t="s">
        <v>10170</v>
      </c>
      <c r="G124" s="10" t="s">
        <v>19587</v>
      </c>
      <c r="H124" s="10" t="s">
        <v>131</v>
      </c>
      <c r="I124" s="10" t="s">
        <v>55</v>
      </c>
      <c r="J124" s="10" t="s">
        <v>1409</v>
      </c>
      <c r="K124" s="10" t="s">
        <v>13673</v>
      </c>
      <c r="L124" s="10" t="s">
        <v>42</v>
      </c>
    </row>
    <row r="125" ht="15.75" customHeight="1">
      <c r="A125" s="66">
        <v>45494.0</v>
      </c>
      <c r="B125" s="55" t="str">
        <f>HYPERLINK("https://jobright.ai/jobs/info/666368c7fd59d76568e6678e?utm_campaign=1064&amp;utm_source=sheet", "Apply")</f>
        <v>Apply</v>
      </c>
      <c r="C125" s="10" t="s">
        <v>13672</v>
      </c>
      <c r="D125" s="56" t="s">
        <v>10169</v>
      </c>
      <c r="E125" s="10" t="s">
        <v>45</v>
      </c>
      <c r="F125" s="10" t="s">
        <v>10170</v>
      </c>
      <c r="G125" s="10" t="s">
        <v>19587</v>
      </c>
      <c r="H125" s="10" t="s">
        <v>16749</v>
      </c>
      <c r="I125" s="10" t="s">
        <v>55</v>
      </c>
      <c r="J125" s="10" t="s">
        <v>1409</v>
      </c>
      <c r="K125" s="10" t="s">
        <v>13647</v>
      </c>
      <c r="L125" s="10" t="s">
        <v>42</v>
      </c>
    </row>
    <row r="126" ht="15.75" customHeight="1">
      <c r="A126" s="66">
        <v>45494.0</v>
      </c>
      <c r="B126" s="55" t="str">
        <f>HYPERLINK("https://jobright.ai/jobs/info/6663eb81f651f7b67b8edcec?utm_campaign=1064&amp;utm_source=sheet", "Apply")</f>
        <v>Apply</v>
      </c>
      <c r="C126" s="10" t="s">
        <v>19804</v>
      </c>
      <c r="D126" s="56" t="s">
        <v>10169</v>
      </c>
      <c r="E126" s="10" t="s">
        <v>45</v>
      </c>
      <c r="F126" s="10" t="s">
        <v>10170</v>
      </c>
      <c r="G126" s="10" t="s">
        <v>19587</v>
      </c>
      <c r="H126" s="10" t="s">
        <v>10033</v>
      </c>
      <c r="I126" s="10" t="s">
        <v>55</v>
      </c>
      <c r="J126" s="10" t="s">
        <v>1960</v>
      </c>
      <c r="K126" s="10" t="s">
        <v>19800</v>
      </c>
      <c r="L126" s="10" t="s">
        <v>42</v>
      </c>
    </row>
    <row r="127" ht="15.75" customHeight="1">
      <c r="A127" s="66">
        <v>45494.0</v>
      </c>
      <c r="B127" s="55" t="str">
        <f>HYPERLINK("https://jobright.ai/jobs/info/6663ebbdf651f7b67b8ee120?utm_campaign=1064&amp;utm_source=sheet", "Apply")</f>
        <v>Apply</v>
      </c>
      <c r="C127" s="10" t="s">
        <v>19805</v>
      </c>
      <c r="D127" s="56" t="s">
        <v>10169</v>
      </c>
      <c r="E127" s="10" t="s">
        <v>45</v>
      </c>
      <c r="F127" s="10" t="s">
        <v>10170</v>
      </c>
      <c r="G127" s="10" t="s">
        <v>19587</v>
      </c>
      <c r="H127" s="10" t="s">
        <v>3050</v>
      </c>
      <c r="I127" s="10" t="s">
        <v>55</v>
      </c>
      <c r="J127" s="10" t="s">
        <v>1960</v>
      </c>
      <c r="K127" s="10" t="s">
        <v>19800</v>
      </c>
      <c r="L127" s="10" t="s">
        <v>42</v>
      </c>
    </row>
    <row r="128" ht="15.75" customHeight="1">
      <c r="A128" s="66">
        <v>45493.0</v>
      </c>
      <c r="B128" s="55" t="str">
        <f>HYPERLINK("https://jobright.ai/jobs/info/667f49814a8354e27fe8b229?utm_campaign=1064&amp;utm_source=sheet", "Apply")</f>
        <v>Apply</v>
      </c>
      <c r="C128" s="10" t="s">
        <v>19806</v>
      </c>
      <c r="D128" s="56" t="s">
        <v>730</v>
      </c>
      <c r="E128" s="10" t="s">
        <v>45</v>
      </c>
      <c r="F128" s="10" t="s">
        <v>731</v>
      </c>
      <c r="G128" s="10" t="s">
        <v>19584</v>
      </c>
      <c r="H128" s="10" t="s">
        <v>740</v>
      </c>
      <c r="I128" s="10" t="s">
        <v>55</v>
      </c>
      <c r="K128" s="10" t="s">
        <v>19807</v>
      </c>
      <c r="L128" s="10" t="s">
        <v>42</v>
      </c>
    </row>
    <row r="129" ht="15.75" customHeight="1">
      <c r="A129" s="66">
        <v>45493.0</v>
      </c>
      <c r="B129" s="55" t="str">
        <f>HYPERLINK("https://jobright.ai/jobs/info/667f4148d75e995f5c706e4a?utm_campaign=1064&amp;utm_source=sheet", "Apply")</f>
        <v>Apply</v>
      </c>
      <c r="C129" s="10" t="s">
        <v>19806</v>
      </c>
      <c r="D129" s="56" t="s">
        <v>730</v>
      </c>
      <c r="E129" s="10" t="s">
        <v>45</v>
      </c>
      <c r="F129" s="10" t="s">
        <v>731</v>
      </c>
      <c r="G129" s="10" t="s">
        <v>19584</v>
      </c>
      <c r="H129" s="10" t="s">
        <v>994</v>
      </c>
      <c r="I129" s="10" t="s">
        <v>55</v>
      </c>
      <c r="K129" s="10" t="s">
        <v>19807</v>
      </c>
      <c r="L129" s="10" t="s">
        <v>42</v>
      </c>
    </row>
    <row r="130" ht="15.75" customHeight="1">
      <c r="A130" s="66">
        <v>45493.0</v>
      </c>
      <c r="B130" s="55" t="str">
        <f>HYPERLINK("https://jobright.ai/jobs/info/6661ff61243d757da70d7de0?utm_campaign=1064&amp;utm_source=sheet", "Apply")</f>
        <v>Apply</v>
      </c>
      <c r="C130" s="10" t="s">
        <v>13672</v>
      </c>
      <c r="D130" s="56" t="s">
        <v>10169</v>
      </c>
      <c r="E130" s="10" t="s">
        <v>45</v>
      </c>
      <c r="F130" s="10" t="s">
        <v>10170</v>
      </c>
      <c r="G130" s="10" t="s">
        <v>19587</v>
      </c>
      <c r="H130" s="10" t="s">
        <v>13498</v>
      </c>
      <c r="I130" s="10" t="s">
        <v>55</v>
      </c>
      <c r="J130" s="10" t="s">
        <v>1409</v>
      </c>
      <c r="K130" s="10" t="s">
        <v>13690</v>
      </c>
      <c r="L130" s="10" t="s">
        <v>42</v>
      </c>
    </row>
    <row r="131" ht="15.75" customHeight="1">
      <c r="A131" s="66">
        <v>45493.0</v>
      </c>
      <c r="B131" s="55" t="str">
        <f>HYPERLINK("https://jobright.ai/jobs/info/66a275fd5e239676a832ab51?utm_campaign=1064&amp;utm_source=sheet", "Apply")</f>
        <v>Apply</v>
      </c>
      <c r="C131" s="10" t="s">
        <v>19808</v>
      </c>
      <c r="D131" s="56" t="s">
        <v>1776</v>
      </c>
      <c r="E131" s="10">
        <v>17178.0</v>
      </c>
      <c r="G131" s="10" t="s">
        <v>19587</v>
      </c>
      <c r="H131" s="10" t="s">
        <v>2608</v>
      </c>
      <c r="I131" s="10" t="s">
        <v>55</v>
      </c>
      <c r="J131" s="10" t="s">
        <v>2609</v>
      </c>
      <c r="K131" s="10" t="s">
        <v>19809</v>
      </c>
      <c r="L131" s="10" t="s">
        <v>42</v>
      </c>
    </row>
    <row r="132" ht="15.75" customHeight="1">
      <c r="A132" s="66">
        <v>45493.0</v>
      </c>
      <c r="B132" s="55" t="str">
        <f>HYPERLINK("https://jobright.ai/jobs/info/6661fcbfeca34b2833349323?utm_campaign=1064&amp;utm_source=sheet", "Apply")</f>
        <v>Apply</v>
      </c>
      <c r="C132" s="10" t="s">
        <v>19810</v>
      </c>
      <c r="D132" s="56" t="s">
        <v>10169</v>
      </c>
      <c r="E132" s="10" t="s">
        <v>45</v>
      </c>
      <c r="F132" s="10" t="s">
        <v>10170</v>
      </c>
      <c r="G132" s="10" t="s">
        <v>19587</v>
      </c>
      <c r="H132" s="10" t="s">
        <v>131</v>
      </c>
      <c r="I132" s="10" t="s">
        <v>55</v>
      </c>
      <c r="J132" s="10" t="s">
        <v>1409</v>
      </c>
      <c r="K132" s="10" t="s">
        <v>13690</v>
      </c>
      <c r="L132" s="10" t="s">
        <v>42</v>
      </c>
    </row>
    <row r="133" ht="15.75" customHeight="1">
      <c r="A133" s="66">
        <v>45493.0</v>
      </c>
      <c r="B133" s="55" t="str">
        <f>HYPERLINK("https://jobright.ai/jobs/info/669d145e6f6497fd2712ef3c?utm_campaign=1064&amp;utm_source=sheet", "Apply")</f>
        <v>Apply</v>
      </c>
      <c r="C133" s="10" t="s">
        <v>19811</v>
      </c>
      <c r="D133" s="56" t="s">
        <v>4513</v>
      </c>
      <c r="E133" s="10">
        <v>660.0</v>
      </c>
      <c r="G133" s="10" t="s">
        <v>19587</v>
      </c>
      <c r="H133" s="10" t="s">
        <v>4514</v>
      </c>
      <c r="I133" s="10" t="s">
        <v>55</v>
      </c>
      <c r="J133" s="10" t="s">
        <v>1797</v>
      </c>
      <c r="K133" s="10" t="s">
        <v>19812</v>
      </c>
      <c r="L133" s="10" t="s">
        <v>42</v>
      </c>
    </row>
    <row r="134" ht="15.75" customHeight="1">
      <c r="A134" s="66">
        <v>45493.0</v>
      </c>
      <c r="B134" s="55" t="str">
        <f>HYPERLINK("https://jobright.ai/jobs/info/669f9af76b4d6a584080fd6d?utm_campaign=1064&amp;utm_source=sheet", "Apply")</f>
        <v>Apply</v>
      </c>
      <c r="C134" s="10" t="s">
        <v>19621</v>
      </c>
      <c r="D134" s="56" t="s">
        <v>19813</v>
      </c>
      <c r="E134" s="10" t="s">
        <v>45</v>
      </c>
      <c r="F134" s="10" t="s">
        <v>14336</v>
      </c>
      <c r="G134" s="10" t="s">
        <v>19595</v>
      </c>
      <c r="H134" s="10" t="s">
        <v>7646</v>
      </c>
      <c r="I134" s="10" t="s">
        <v>55</v>
      </c>
      <c r="J134" s="10" t="s">
        <v>2742</v>
      </c>
      <c r="K134" s="10" t="s">
        <v>19814</v>
      </c>
      <c r="L134" s="10" t="s">
        <v>42</v>
      </c>
    </row>
    <row r="135" ht="15.75" customHeight="1">
      <c r="A135" s="66">
        <v>45493.0</v>
      </c>
      <c r="B135" s="55" t="str">
        <f>HYPERLINK("https://jobright.ai/jobs/info/667f4f7b3215408025c9e783?utm_campaign=1064&amp;utm_source=sheet", "Apply")</f>
        <v>Apply</v>
      </c>
      <c r="C135" s="10" t="s">
        <v>19806</v>
      </c>
      <c r="D135" s="56" t="s">
        <v>730</v>
      </c>
      <c r="E135" s="10" t="s">
        <v>45</v>
      </c>
      <c r="F135" s="10" t="s">
        <v>731</v>
      </c>
      <c r="G135" s="10" t="s">
        <v>19584</v>
      </c>
      <c r="H135" s="10" t="s">
        <v>146</v>
      </c>
      <c r="I135" s="10" t="s">
        <v>55</v>
      </c>
      <c r="K135" s="10" t="s">
        <v>19807</v>
      </c>
      <c r="L135" s="10" t="s">
        <v>42</v>
      </c>
    </row>
    <row r="136" ht="15.75" customHeight="1">
      <c r="A136" s="66">
        <v>45493.0</v>
      </c>
      <c r="B136" s="55" t="str">
        <f>HYPERLINK("https://jobright.ai/jobs/info/6644f6c990b5ee81b0115511?utm_campaign=1064&amp;utm_source=sheet", "Apply")</f>
        <v>Apply</v>
      </c>
      <c r="C136" s="10" t="s">
        <v>19815</v>
      </c>
      <c r="D136" s="56" t="s">
        <v>19816</v>
      </c>
      <c r="E136" s="10" t="s">
        <v>45</v>
      </c>
      <c r="F136" s="10" t="s">
        <v>1695</v>
      </c>
      <c r="G136" s="10" t="s">
        <v>19581</v>
      </c>
      <c r="H136" s="10" t="s">
        <v>898</v>
      </c>
      <c r="I136" s="10" t="s">
        <v>48</v>
      </c>
      <c r="J136" s="10" t="s">
        <v>14245</v>
      </c>
      <c r="K136" s="10" t="s">
        <v>19817</v>
      </c>
      <c r="L136" s="10" t="s">
        <v>42</v>
      </c>
    </row>
    <row r="137" ht="15.75" customHeight="1">
      <c r="A137" s="66">
        <v>45493.0</v>
      </c>
      <c r="B137" s="55" t="str">
        <f>HYPERLINK("https://jobright.ai/jobs/info/667f4f7b3215408025c9e785?utm_campaign=1064&amp;utm_source=sheet", "Apply")</f>
        <v>Apply</v>
      </c>
      <c r="C137" s="10" t="s">
        <v>19806</v>
      </c>
      <c r="D137" s="56" t="s">
        <v>730</v>
      </c>
      <c r="E137" s="10" t="s">
        <v>45</v>
      </c>
      <c r="F137" s="10" t="s">
        <v>731</v>
      </c>
      <c r="G137" s="10" t="s">
        <v>19584</v>
      </c>
      <c r="H137" s="10" t="s">
        <v>868</v>
      </c>
      <c r="I137" s="10" t="s">
        <v>55</v>
      </c>
      <c r="K137" s="10" t="s">
        <v>19807</v>
      </c>
      <c r="L137" s="10" t="s">
        <v>42</v>
      </c>
    </row>
    <row r="138" ht="15.75" customHeight="1">
      <c r="A138" s="66">
        <v>45493.0</v>
      </c>
      <c r="B138" s="55" t="str">
        <f>HYPERLINK("https://jobright.ai/jobs/info/669b9db66f5f8c0b7954cb95?utm_campaign=1064&amp;utm_source=sheet", "Apply")</f>
        <v>Apply</v>
      </c>
      <c r="C138" s="10" t="s">
        <v>19818</v>
      </c>
      <c r="D138" s="56" t="s">
        <v>4607</v>
      </c>
      <c r="E138" s="10" t="s">
        <v>65</v>
      </c>
      <c r="F138" s="10" t="s">
        <v>1587</v>
      </c>
      <c r="G138" s="10" t="s">
        <v>19595</v>
      </c>
      <c r="H138" s="10" t="s">
        <v>3093</v>
      </c>
      <c r="I138" s="10" t="s">
        <v>48</v>
      </c>
      <c r="J138" s="10" t="s">
        <v>19819</v>
      </c>
      <c r="K138" s="10" t="s">
        <v>19820</v>
      </c>
      <c r="L138" s="10" t="s">
        <v>42</v>
      </c>
    </row>
    <row r="139" ht="15.75" customHeight="1">
      <c r="A139" s="66">
        <v>45493.0</v>
      </c>
      <c r="B139" s="55" t="str">
        <f>HYPERLINK("https://jobright.ai/jobs/info/669b190752152e95c387e611?utm_campaign=1064&amp;utm_source=sheet", "Apply")</f>
        <v>Apply</v>
      </c>
      <c r="C139" s="10" t="s">
        <v>19821</v>
      </c>
      <c r="D139" s="56" t="s">
        <v>19822</v>
      </c>
      <c r="E139" s="10" t="s">
        <v>45</v>
      </c>
      <c r="F139" s="10" t="s">
        <v>2414</v>
      </c>
      <c r="G139" s="10" t="s">
        <v>19587</v>
      </c>
      <c r="H139" s="10" t="s">
        <v>808</v>
      </c>
      <c r="I139" s="10" t="s">
        <v>55</v>
      </c>
      <c r="K139" s="10" t="s">
        <v>19823</v>
      </c>
      <c r="L139" s="10" t="s">
        <v>42</v>
      </c>
    </row>
    <row r="140" ht="15.75" customHeight="1">
      <c r="A140" s="66">
        <v>45492.0</v>
      </c>
      <c r="B140" s="55" t="str">
        <f>HYPERLINK("https://jobright.ai/jobs/info/669b002f629c83d3b3731f1c?utm_campaign=1064&amp;utm_source=sheet", "Apply")</f>
        <v>Apply</v>
      </c>
      <c r="C140" s="10" t="s">
        <v>19621</v>
      </c>
      <c r="D140" s="56" t="s">
        <v>19824</v>
      </c>
      <c r="E140" s="10" t="s">
        <v>65</v>
      </c>
      <c r="F140" s="10" t="s">
        <v>2850</v>
      </c>
      <c r="G140" s="10" t="s">
        <v>19595</v>
      </c>
      <c r="H140" s="10" t="s">
        <v>4214</v>
      </c>
      <c r="I140" s="10" t="s">
        <v>48</v>
      </c>
      <c r="J140" s="10" t="s">
        <v>366</v>
      </c>
      <c r="K140" s="10" t="s">
        <v>19825</v>
      </c>
      <c r="L140" s="10" t="s">
        <v>42</v>
      </c>
    </row>
    <row r="141" ht="15.75" customHeight="1">
      <c r="A141" s="66">
        <v>45492.0</v>
      </c>
      <c r="B141" s="55" t="str">
        <f>HYPERLINK("https://jobright.ai/jobs/info/669adb9455084274b4cde045?utm_campaign=1064&amp;utm_source=sheet", "Apply")</f>
        <v>Apply</v>
      </c>
      <c r="C141" s="10" t="s">
        <v>19826</v>
      </c>
      <c r="D141" s="56" t="s">
        <v>18060</v>
      </c>
      <c r="E141" s="10" t="s">
        <v>45</v>
      </c>
      <c r="F141" s="10" t="s">
        <v>9573</v>
      </c>
      <c r="G141" s="10" t="s">
        <v>19581</v>
      </c>
      <c r="H141" s="10" t="s">
        <v>965</v>
      </c>
      <c r="I141" s="10" t="s">
        <v>55</v>
      </c>
      <c r="J141" s="10" t="s">
        <v>19827</v>
      </c>
      <c r="K141" s="10" t="s">
        <v>19828</v>
      </c>
      <c r="L141" s="10" t="s">
        <v>42</v>
      </c>
    </row>
    <row r="142" ht="15.75" customHeight="1">
      <c r="A142" s="66">
        <v>45492.0</v>
      </c>
      <c r="B142" s="55" t="str">
        <f>HYPERLINK("https://jobright.ai/jobs/info/669ac959e652ae7e0e9c227a?utm_campaign=1064&amp;utm_source=sheet", "Apply")</f>
        <v>Apply</v>
      </c>
      <c r="C142" s="10" t="s">
        <v>15985</v>
      </c>
      <c r="D142" s="56" t="s">
        <v>11530</v>
      </c>
      <c r="E142" s="10" t="s">
        <v>65</v>
      </c>
      <c r="F142" s="10" t="s">
        <v>259</v>
      </c>
      <c r="G142" s="10" t="s">
        <v>19587</v>
      </c>
      <c r="H142" s="10" t="s">
        <v>15078</v>
      </c>
      <c r="I142" s="10" t="s">
        <v>55</v>
      </c>
      <c r="J142" s="10" t="s">
        <v>1409</v>
      </c>
      <c r="K142" s="10" t="s">
        <v>19697</v>
      </c>
      <c r="L142" s="10" t="s">
        <v>42</v>
      </c>
    </row>
    <row r="143" ht="15.75" customHeight="1">
      <c r="A143" s="66">
        <v>45492.0</v>
      </c>
      <c r="B143" s="55" t="str">
        <f>HYPERLINK("https://jobright.ai/jobs/info/669aa2dc7c95987868d838f6?utm_campaign=1064&amp;utm_source=sheet", "Apply")</f>
        <v>Apply</v>
      </c>
      <c r="C143" s="10" t="s">
        <v>19829</v>
      </c>
      <c r="D143" s="56" t="s">
        <v>1776</v>
      </c>
      <c r="E143" s="10">
        <v>17178.0</v>
      </c>
      <c r="G143" s="10" t="s">
        <v>19584</v>
      </c>
      <c r="H143" s="10" t="s">
        <v>2608</v>
      </c>
      <c r="I143" s="10" t="s">
        <v>55</v>
      </c>
      <c r="J143" s="10" t="s">
        <v>2609</v>
      </c>
      <c r="K143" s="10" t="s">
        <v>19830</v>
      </c>
      <c r="L143" s="10" t="s">
        <v>42</v>
      </c>
    </row>
    <row r="144" ht="15.75" customHeight="1">
      <c r="A144" s="66">
        <v>45492.0</v>
      </c>
      <c r="B144" s="55" t="str">
        <f>HYPERLINK("https://jobright.ai/jobs/info/669aad7b83e5cfbd473f76f3?utm_campaign=1064&amp;utm_source=sheet", "Apply")</f>
        <v>Apply</v>
      </c>
      <c r="C144" s="10" t="s">
        <v>15985</v>
      </c>
      <c r="D144" s="56" t="s">
        <v>11530</v>
      </c>
      <c r="E144" s="10" t="s">
        <v>65</v>
      </c>
      <c r="F144" s="10" t="s">
        <v>259</v>
      </c>
      <c r="G144" s="10" t="s">
        <v>19587</v>
      </c>
      <c r="H144" s="10" t="s">
        <v>1023</v>
      </c>
      <c r="I144" s="10" t="s">
        <v>55</v>
      </c>
      <c r="J144" s="10" t="s">
        <v>1409</v>
      </c>
      <c r="K144" s="10" t="s">
        <v>19697</v>
      </c>
      <c r="L144" s="10" t="s">
        <v>42</v>
      </c>
    </row>
    <row r="145" ht="15.75" customHeight="1">
      <c r="A145" s="66">
        <v>45492.0</v>
      </c>
      <c r="B145" s="55" t="str">
        <f>HYPERLINK("https://jobright.ai/jobs/info/66a3f972c344e12ad54414b0?utm_campaign=1064&amp;utm_source=sheet", "Apply")</f>
        <v>Apply</v>
      </c>
      <c r="C145" s="10" t="s">
        <v>19831</v>
      </c>
      <c r="D145" s="56" t="s">
        <v>19832</v>
      </c>
      <c r="E145" s="10" t="s">
        <v>65</v>
      </c>
      <c r="F145" s="10" t="s">
        <v>1893</v>
      </c>
      <c r="G145" s="10" t="s">
        <v>19595</v>
      </c>
      <c r="H145" s="10" t="s">
        <v>131</v>
      </c>
      <c r="I145" s="10" t="s">
        <v>55</v>
      </c>
      <c r="K145" s="10" t="s">
        <v>19833</v>
      </c>
      <c r="L145" s="10" t="s">
        <v>42</v>
      </c>
    </row>
    <row r="146" ht="15.75" customHeight="1">
      <c r="A146" s="66">
        <v>45492.0</v>
      </c>
      <c r="B146" s="55" t="str">
        <f>HYPERLINK("https://jobright.ai/jobs/info/669a98713b9ef773a6906312?utm_campaign=1064&amp;utm_source=sheet", "Apply")</f>
        <v>Apply</v>
      </c>
      <c r="C146" s="10" t="s">
        <v>19834</v>
      </c>
      <c r="D146" s="56" t="s">
        <v>19835</v>
      </c>
      <c r="E146" s="10">
        <v>3.0</v>
      </c>
      <c r="G146" s="10" t="s">
        <v>19595</v>
      </c>
      <c r="H146" s="10" t="s">
        <v>96</v>
      </c>
      <c r="I146" s="10" t="s">
        <v>55</v>
      </c>
      <c r="K146" s="10" t="s">
        <v>19836</v>
      </c>
      <c r="L146" s="10" t="s">
        <v>42</v>
      </c>
    </row>
    <row r="147" ht="15.75" customHeight="1">
      <c r="A147" s="66">
        <v>45492.0</v>
      </c>
      <c r="B147" s="55" t="str">
        <f>HYPERLINK("https://jobright.ai/jobs/info/66a403640d09d8a9054b3fbb?utm_campaign=1064&amp;utm_source=sheet", "Apply")</f>
        <v>Apply</v>
      </c>
      <c r="C147" s="10" t="s">
        <v>19837</v>
      </c>
      <c r="D147" s="56" t="s">
        <v>14112</v>
      </c>
      <c r="E147" s="10" t="s">
        <v>45</v>
      </c>
      <c r="F147" s="10" t="s">
        <v>14113</v>
      </c>
      <c r="G147" s="10" t="s">
        <v>19587</v>
      </c>
      <c r="H147" s="10" t="s">
        <v>326</v>
      </c>
      <c r="I147" s="10" t="s">
        <v>55</v>
      </c>
      <c r="K147" s="10" t="s">
        <v>19838</v>
      </c>
      <c r="L147" s="10" t="s">
        <v>42</v>
      </c>
    </row>
    <row r="148" ht="15.75" customHeight="1">
      <c r="A148" s="66">
        <v>45492.0</v>
      </c>
      <c r="B148" s="55" t="str">
        <f>HYPERLINK("https://jobright.ai/jobs/info/6661689457a179358b47cec3?utm_campaign=1064&amp;utm_source=sheet", "Apply")</f>
        <v>Apply</v>
      </c>
      <c r="C148" s="10" t="s">
        <v>19839</v>
      </c>
      <c r="D148" s="56" t="s">
        <v>19840</v>
      </c>
      <c r="E148" s="10" t="s">
        <v>45</v>
      </c>
      <c r="F148" s="10" t="s">
        <v>4072</v>
      </c>
      <c r="G148" s="10" t="s">
        <v>19581</v>
      </c>
      <c r="H148" s="10" t="s">
        <v>313</v>
      </c>
      <c r="I148" s="10" t="s">
        <v>55</v>
      </c>
      <c r="J148" s="10" t="s">
        <v>19841</v>
      </c>
      <c r="K148" s="10" t="s">
        <v>19842</v>
      </c>
      <c r="L148" s="10" t="s">
        <v>42</v>
      </c>
    </row>
    <row r="149" ht="15.75" customHeight="1">
      <c r="A149" s="66">
        <v>45492.0</v>
      </c>
      <c r="B149" s="55" t="str">
        <f>HYPERLINK("https://jobright.ai/jobs/info/669a19ed13e5508eebafb726?utm_campaign=1064&amp;utm_source=sheet", "Apply")</f>
        <v>Apply</v>
      </c>
      <c r="C149" s="10" t="s">
        <v>19843</v>
      </c>
      <c r="D149" s="56" t="s">
        <v>18920</v>
      </c>
      <c r="E149" s="10" t="s">
        <v>276</v>
      </c>
      <c r="F149" s="10" t="s">
        <v>2617</v>
      </c>
      <c r="G149" s="10" t="s">
        <v>19584</v>
      </c>
      <c r="H149" s="10" t="s">
        <v>18921</v>
      </c>
      <c r="I149" s="10" t="s">
        <v>55</v>
      </c>
      <c r="J149" s="10" t="s">
        <v>1984</v>
      </c>
      <c r="K149" s="10" t="s">
        <v>19844</v>
      </c>
      <c r="L149" s="10" t="s">
        <v>42</v>
      </c>
    </row>
    <row r="150" ht="15.75" customHeight="1">
      <c r="A150" s="66">
        <v>45492.0</v>
      </c>
      <c r="B150" s="55" t="str">
        <f>HYPERLINK("https://jobright.ai/jobs/info/6699d4d6dd88dc56339bcf38?utm_campaign=1064&amp;utm_source=sheet", "Apply")</f>
        <v>Apply</v>
      </c>
      <c r="C150" s="10" t="s">
        <v>19845</v>
      </c>
      <c r="D150" s="56" t="s">
        <v>19846</v>
      </c>
      <c r="E150" s="10" t="s">
        <v>276</v>
      </c>
      <c r="F150" s="10" t="s">
        <v>1243</v>
      </c>
      <c r="G150" s="10" t="s">
        <v>19584</v>
      </c>
      <c r="H150" s="10" t="s">
        <v>170</v>
      </c>
      <c r="I150" s="10" t="s">
        <v>48</v>
      </c>
      <c r="J150" s="10" t="s">
        <v>19847</v>
      </c>
      <c r="K150" s="10" t="s">
        <v>19848</v>
      </c>
      <c r="L150" s="10" t="s">
        <v>42</v>
      </c>
    </row>
    <row r="151" ht="15.75" customHeight="1">
      <c r="A151" s="66">
        <v>45492.0</v>
      </c>
      <c r="B151" s="55" t="str">
        <f>HYPERLINK("https://jobright.ai/jobs/info/669aca1c578612e3a1a1b5d8?utm_campaign=1064&amp;utm_source=sheet", "Apply")</f>
        <v>Apply</v>
      </c>
      <c r="C151" s="10" t="s">
        <v>19808</v>
      </c>
      <c r="D151" s="56" t="s">
        <v>1776</v>
      </c>
      <c r="E151" s="10">
        <v>17178.0</v>
      </c>
      <c r="G151" s="10" t="s">
        <v>19587</v>
      </c>
      <c r="H151" s="10" t="s">
        <v>2608</v>
      </c>
      <c r="I151" s="10" t="s">
        <v>55</v>
      </c>
      <c r="J151" s="10" t="s">
        <v>2609</v>
      </c>
      <c r="K151" s="10" t="s">
        <v>19809</v>
      </c>
      <c r="L151" s="10" t="s">
        <v>42</v>
      </c>
    </row>
    <row r="152" ht="15.75" customHeight="1">
      <c r="A152" s="66">
        <v>45491.0</v>
      </c>
      <c r="B152" s="55" t="str">
        <f>HYPERLINK("https://jobright.ai/jobs/info/6699817986a11b09c0351123?utm_campaign=1064&amp;utm_source=sheet", "Apply")</f>
        <v>Apply</v>
      </c>
      <c r="C152" s="10" t="s">
        <v>19849</v>
      </c>
      <c r="D152" s="56" t="s">
        <v>1502</v>
      </c>
      <c r="E152" s="10">
        <v>10345.0</v>
      </c>
      <c r="G152" s="10" t="s">
        <v>19595</v>
      </c>
      <c r="H152" s="10" t="s">
        <v>106</v>
      </c>
      <c r="I152" s="10" t="s">
        <v>55</v>
      </c>
      <c r="J152" s="10" t="s">
        <v>4124</v>
      </c>
      <c r="K152" s="10" t="s">
        <v>19850</v>
      </c>
      <c r="L152" s="10" t="s">
        <v>42</v>
      </c>
    </row>
    <row r="153" ht="15.75" customHeight="1">
      <c r="A153" s="66">
        <v>45491.0</v>
      </c>
      <c r="B153" s="55" t="str">
        <f>HYPERLINK("https://jobright.ai/jobs/info/66994d7b631d3c6275416734?utm_campaign=1064&amp;utm_source=sheet", "Apply")</f>
        <v>Apply</v>
      </c>
      <c r="C153" s="10" t="s">
        <v>19851</v>
      </c>
      <c r="D153" s="56" t="s">
        <v>4100</v>
      </c>
      <c r="E153" s="10" t="s">
        <v>209</v>
      </c>
      <c r="F153" s="10" t="s">
        <v>1833</v>
      </c>
      <c r="G153" s="10" t="s">
        <v>19595</v>
      </c>
      <c r="H153" s="10" t="s">
        <v>159</v>
      </c>
      <c r="I153" s="10" t="s">
        <v>48</v>
      </c>
      <c r="K153" s="10" t="s">
        <v>19852</v>
      </c>
      <c r="L153" s="10" t="s">
        <v>42</v>
      </c>
    </row>
    <row r="154" ht="15.75" customHeight="1">
      <c r="A154" s="66">
        <v>45491.0</v>
      </c>
      <c r="B154" s="55" t="str">
        <f>HYPERLINK("https://jobright.ai/jobs/info/669d11f5571e11e63edcc939?utm_campaign=1064&amp;utm_source=sheet", "Apply")</f>
        <v>Apply</v>
      </c>
      <c r="C154" s="10" t="s">
        <v>19853</v>
      </c>
      <c r="D154" s="56" t="s">
        <v>1650</v>
      </c>
      <c r="E154" s="10" t="s">
        <v>209</v>
      </c>
      <c r="F154" s="10" t="s">
        <v>1243</v>
      </c>
      <c r="G154" s="10" t="s">
        <v>19584</v>
      </c>
      <c r="H154" s="10" t="s">
        <v>96</v>
      </c>
      <c r="I154" s="10" t="s">
        <v>55</v>
      </c>
      <c r="K154" s="10" t="s">
        <v>19854</v>
      </c>
      <c r="L154" s="10" t="s">
        <v>42</v>
      </c>
    </row>
    <row r="155" ht="15.75" customHeight="1">
      <c r="A155" s="66">
        <v>45491.0</v>
      </c>
      <c r="B155" s="55" t="str">
        <f>HYPERLINK("https://jobright.ai/jobs/info/66a2547dc0e679b90829bf70?utm_campaign=1064&amp;utm_source=sheet", "Apply")</f>
        <v>Apply</v>
      </c>
      <c r="C155" s="10" t="s">
        <v>19855</v>
      </c>
      <c r="D155" s="56" t="s">
        <v>1094</v>
      </c>
      <c r="E155" s="10" t="s">
        <v>45</v>
      </c>
      <c r="F155" s="10" t="s">
        <v>731</v>
      </c>
      <c r="G155" s="10" t="s">
        <v>19587</v>
      </c>
      <c r="H155" s="10" t="s">
        <v>965</v>
      </c>
      <c r="I155" s="10" t="s">
        <v>55</v>
      </c>
      <c r="K155" s="10" t="s">
        <v>19856</v>
      </c>
      <c r="L155" s="10" t="s">
        <v>42</v>
      </c>
    </row>
    <row r="156" ht="15.75" customHeight="1">
      <c r="A156" s="66">
        <v>45491.0</v>
      </c>
      <c r="B156" s="55" t="str">
        <f>HYPERLINK("https://jobright.ai/jobs/info/669e4694ca3e6aa92c887fcf?utm_campaign=1064&amp;utm_source=sheet", "Apply")</f>
        <v>Apply</v>
      </c>
      <c r="C156" s="10" t="s">
        <v>19857</v>
      </c>
      <c r="D156" s="56" t="s">
        <v>19858</v>
      </c>
      <c r="E156" s="10" t="s">
        <v>65</v>
      </c>
      <c r="F156" s="10" t="s">
        <v>19859</v>
      </c>
      <c r="G156" s="10" t="s">
        <v>19860</v>
      </c>
      <c r="H156" s="10" t="s">
        <v>3019</v>
      </c>
      <c r="I156" s="10" t="s">
        <v>55</v>
      </c>
      <c r="K156" s="10" t="s">
        <v>19861</v>
      </c>
      <c r="L156" s="10" t="s">
        <v>42</v>
      </c>
    </row>
    <row r="157" ht="15.75" customHeight="1">
      <c r="A157" s="66">
        <v>45491.0</v>
      </c>
      <c r="B157" s="55" t="str">
        <f>HYPERLINK("https://jobright.ai/jobs/info/66990b95c8a59dc96df537c5?utm_campaign=1064&amp;utm_source=sheet", "Apply")</f>
        <v>Apply</v>
      </c>
      <c r="C157" s="10" t="s">
        <v>19862</v>
      </c>
      <c r="D157" s="56" t="s">
        <v>1636</v>
      </c>
      <c r="E157" s="10">
        <v>6029.0</v>
      </c>
      <c r="G157" s="10" t="s">
        <v>19595</v>
      </c>
      <c r="H157" s="10" t="s">
        <v>19863</v>
      </c>
      <c r="I157" s="10" t="s">
        <v>55</v>
      </c>
      <c r="J157" s="10" t="s">
        <v>1637</v>
      </c>
      <c r="K157" s="10" t="s">
        <v>19864</v>
      </c>
      <c r="L157" s="10" t="s">
        <v>42</v>
      </c>
    </row>
    <row r="158" ht="15.75" customHeight="1">
      <c r="A158" s="64">
        <v>45491.0</v>
      </c>
      <c r="B158" s="55" t="str">
        <f>HYPERLINK("https://jobright.ai/jobs/info/669a4faf2885e142e98dec97?utm_campaign=1064&amp;utm_source=sheet", "Apply")</f>
        <v>Apply</v>
      </c>
      <c r="C158" s="10" t="s">
        <v>19865</v>
      </c>
      <c r="D158" s="56" t="s">
        <v>19866</v>
      </c>
      <c r="E158" s="10" t="s">
        <v>79</v>
      </c>
      <c r="F158" s="10" t="s">
        <v>7068</v>
      </c>
      <c r="G158" s="10" t="s">
        <v>19595</v>
      </c>
      <c r="H158" s="10" t="s">
        <v>19867</v>
      </c>
      <c r="I158" s="10" t="s">
        <v>55</v>
      </c>
      <c r="K158" s="10" t="s">
        <v>19868</v>
      </c>
      <c r="L158" s="10" t="s">
        <v>42</v>
      </c>
    </row>
    <row r="159" ht="15.75" customHeight="1">
      <c r="A159" s="64">
        <v>45491.0</v>
      </c>
      <c r="B159" s="55" t="str">
        <f>HYPERLINK("https://jobright.ai/jobs/info/665fa1da93efb292daa0b5fc?utm_campaign=1064&amp;utm_source=sheet", "Apply")</f>
        <v>Apply</v>
      </c>
      <c r="C159" s="10" t="s">
        <v>19869</v>
      </c>
      <c r="D159" s="56" t="s">
        <v>19870</v>
      </c>
      <c r="E159" s="10" t="s">
        <v>45</v>
      </c>
      <c r="F159" s="10" t="s">
        <v>19871</v>
      </c>
      <c r="G159" s="10" t="s">
        <v>19584</v>
      </c>
      <c r="H159" s="10" t="s">
        <v>636</v>
      </c>
      <c r="I159" s="10" t="s">
        <v>55</v>
      </c>
      <c r="K159" s="10" t="s">
        <v>19872</v>
      </c>
      <c r="L159" s="10" t="s">
        <v>42</v>
      </c>
    </row>
    <row r="160" ht="15.75" customHeight="1">
      <c r="A160" s="64">
        <v>45491.0</v>
      </c>
      <c r="B160" s="55" t="str">
        <f>HYPERLINK("https://jobright.ai/jobs/info/66618e0c4f93aeff5f96f0e2?utm_campaign=1064&amp;utm_source=sheet", "Apply")</f>
        <v>Apply</v>
      </c>
      <c r="C160" s="10" t="s">
        <v>19873</v>
      </c>
      <c r="D160" s="56" t="s">
        <v>19874</v>
      </c>
      <c r="E160" s="10" t="s">
        <v>65</v>
      </c>
      <c r="F160" s="10" t="s">
        <v>10019</v>
      </c>
      <c r="G160" s="10" t="s">
        <v>19595</v>
      </c>
      <c r="H160" s="10" t="s">
        <v>165</v>
      </c>
      <c r="I160" s="10" t="s">
        <v>55</v>
      </c>
      <c r="J160" s="10" t="s">
        <v>19875</v>
      </c>
      <c r="K160" s="10" t="s">
        <v>19876</v>
      </c>
      <c r="L160" s="10" t="s">
        <v>42</v>
      </c>
    </row>
    <row r="161" ht="15.75" customHeight="1">
      <c r="A161" s="64">
        <v>45491.0</v>
      </c>
      <c r="B161" s="55" t="str">
        <f>HYPERLINK("https://jobright.ai/jobs/info/6676d5091d12b0825938317c?utm_campaign=1064&amp;utm_source=sheet", "Apply")</f>
        <v>Apply</v>
      </c>
      <c r="C161" s="10" t="s">
        <v>19877</v>
      </c>
      <c r="D161" s="56" t="s">
        <v>16271</v>
      </c>
      <c r="E161" s="10" t="s">
        <v>65</v>
      </c>
      <c r="F161" s="10" t="s">
        <v>5632</v>
      </c>
      <c r="G161" s="10" t="s">
        <v>19587</v>
      </c>
      <c r="H161" s="10" t="s">
        <v>16272</v>
      </c>
      <c r="I161" s="10" t="s">
        <v>55</v>
      </c>
      <c r="K161" s="10" t="s">
        <v>19878</v>
      </c>
      <c r="L161" s="10" t="s">
        <v>42</v>
      </c>
    </row>
    <row r="162" ht="15.75" customHeight="1">
      <c r="A162" s="64">
        <v>45491.0</v>
      </c>
      <c r="B162" s="55" t="str">
        <f>HYPERLINK("https://jobright.ai/jobs/info/665fae8bb69083f0aaf017f5?utm_campaign=1064&amp;utm_source=sheet", "Apply")</f>
        <v>Apply</v>
      </c>
      <c r="C162" s="10" t="s">
        <v>19879</v>
      </c>
      <c r="D162" s="56" t="s">
        <v>2864</v>
      </c>
      <c r="E162" s="10" t="s">
        <v>65</v>
      </c>
      <c r="F162" s="10" t="s">
        <v>2865</v>
      </c>
      <c r="G162" s="10" t="s">
        <v>19584</v>
      </c>
      <c r="H162" s="10" t="s">
        <v>2866</v>
      </c>
      <c r="I162" s="10" t="s">
        <v>55</v>
      </c>
      <c r="K162" s="10" t="s">
        <v>19880</v>
      </c>
      <c r="L162" s="10" t="s">
        <v>42</v>
      </c>
    </row>
    <row r="163" ht="15.75" customHeight="1">
      <c r="A163" s="64">
        <v>45491.0</v>
      </c>
      <c r="B163" s="55" t="str">
        <f>HYPERLINK("https://jobright.ai/jobs/info/667d3772f80ae5ae1a4e59af?utm_campaign=1064&amp;utm_source=sheet", "Apply")</f>
        <v>Apply</v>
      </c>
      <c r="C163" s="10" t="s">
        <v>19757</v>
      </c>
      <c r="D163" s="56" t="s">
        <v>19881</v>
      </c>
      <c r="E163" s="10">
        <v>32429.0</v>
      </c>
      <c r="G163" s="10" t="s">
        <v>19584</v>
      </c>
      <c r="H163" s="10" t="s">
        <v>1004</v>
      </c>
      <c r="I163" s="10" t="s">
        <v>55</v>
      </c>
      <c r="K163" s="10" t="s">
        <v>19882</v>
      </c>
      <c r="L163" s="10" t="s">
        <v>42</v>
      </c>
    </row>
    <row r="164" ht="15.75" customHeight="1">
      <c r="A164" s="64">
        <v>45491.0</v>
      </c>
      <c r="B164" s="55" t="str">
        <f>HYPERLINK("https://jobright.ai/jobs/info/6697f27f99898c27d9b811b2?utm_campaign=1064&amp;utm_source=sheet", "Apply")</f>
        <v>Apply</v>
      </c>
      <c r="C164" s="10" t="s">
        <v>19883</v>
      </c>
      <c r="D164" s="56" t="s">
        <v>18762</v>
      </c>
      <c r="E164" s="10" t="s">
        <v>45</v>
      </c>
      <c r="F164" s="10" t="s">
        <v>1184</v>
      </c>
      <c r="G164" s="10" t="s">
        <v>19595</v>
      </c>
      <c r="H164" s="10" t="s">
        <v>19884</v>
      </c>
      <c r="I164" s="10" t="s">
        <v>55</v>
      </c>
      <c r="J164" s="10" t="s">
        <v>19885</v>
      </c>
      <c r="K164" s="10" t="s">
        <v>19886</v>
      </c>
      <c r="L164" s="10" t="s">
        <v>42</v>
      </c>
    </row>
    <row r="165" ht="15.75" customHeight="1">
      <c r="A165" s="64">
        <v>45491.0</v>
      </c>
      <c r="B165" s="55" t="str">
        <f>HYPERLINK("https://jobright.ai/jobs/info/6698c179b2c4e60ca299b4bf?utm_campaign=1064&amp;utm_source=sheet", "Apply")</f>
        <v>Apply</v>
      </c>
      <c r="C165" s="10" t="s">
        <v>19887</v>
      </c>
      <c r="D165" s="56" t="s">
        <v>5130</v>
      </c>
      <c r="E165" s="10" t="s">
        <v>65</v>
      </c>
      <c r="F165" s="10" t="s">
        <v>331</v>
      </c>
      <c r="G165" s="10" t="s">
        <v>19595</v>
      </c>
      <c r="H165" s="10" t="s">
        <v>19888</v>
      </c>
      <c r="I165" s="10" t="s">
        <v>55</v>
      </c>
      <c r="J165" s="10" t="s">
        <v>19889</v>
      </c>
      <c r="K165" s="10" t="s">
        <v>19890</v>
      </c>
      <c r="L165" s="10" t="s">
        <v>42</v>
      </c>
    </row>
    <row r="166" ht="15.75" customHeight="1">
      <c r="A166" s="64">
        <v>45491.0</v>
      </c>
      <c r="B166" s="55" t="str">
        <f>HYPERLINK("https://jobright.ai/jobs/info/6698942ca815047e6f29cbe3?utm_campaign=1064&amp;utm_source=sheet", "Apply")</f>
        <v>Apply</v>
      </c>
      <c r="C166" s="10" t="s">
        <v>19891</v>
      </c>
      <c r="D166" s="56" t="s">
        <v>2103</v>
      </c>
      <c r="E166" s="10" t="s">
        <v>209</v>
      </c>
      <c r="F166" s="10" t="s">
        <v>2104</v>
      </c>
      <c r="G166" s="10" t="s">
        <v>19595</v>
      </c>
      <c r="H166" s="10" t="s">
        <v>8687</v>
      </c>
      <c r="I166" s="10" t="s">
        <v>55</v>
      </c>
      <c r="K166" s="10" t="s">
        <v>19892</v>
      </c>
      <c r="L166" s="10" t="s">
        <v>42</v>
      </c>
    </row>
    <row r="167" ht="15.75" customHeight="1">
      <c r="A167" s="64">
        <v>45491.0</v>
      </c>
      <c r="B167" s="55" t="str">
        <f>HYPERLINK("https://jobright.ai/jobs/info/6698726971d79b41ac627794?utm_campaign=1064&amp;utm_source=sheet", "Apply")</f>
        <v>Apply</v>
      </c>
      <c r="C167" s="10" t="s">
        <v>19893</v>
      </c>
      <c r="D167" s="56" t="s">
        <v>19894</v>
      </c>
      <c r="E167" s="10">
        <v>3.0</v>
      </c>
      <c r="G167" s="10" t="s">
        <v>19584</v>
      </c>
      <c r="H167" s="10" t="s">
        <v>1007</v>
      </c>
      <c r="I167" s="10" t="s">
        <v>48</v>
      </c>
      <c r="K167" s="10" t="s">
        <v>19895</v>
      </c>
      <c r="L167" s="10" t="s">
        <v>42</v>
      </c>
    </row>
    <row r="168" ht="15.75" customHeight="1">
      <c r="A168" s="64">
        <v>45491.0</v>
      </c>
      <c r="B168" s="55" t="str">
        <f>HYPERLINK("https://jobright.ai/jobs/info/669872076dbcb78134f82da1?utm_campaign=1064&amp;utm_source=sheet", "Apply")</f>
        <v>Apply</v>
      </c>
      <c r="C168" s="10" t="s">
        <v>19821</v>
      </c>
      <c r="D168" s="56" t="s">
        <v>19822</v>
      </c>
      <c r="E168" s="10" t="s">
        <v>45</v>
      </c>
      <c r="F168" s="10" t="s">
        <v>2414</v>
      </c>
      <c r="G168" s="10" t="s">
        <v>19587</v>
      </c>
      <c r="H168" s="10" t="s">
        <v>139</v>
      </c>
      <c r="I168" s="10" t="s">
        <v>55</v>
      </c>
      <c r="K168" s="10" t="s">
        <v>19896</v>
      </c>
      <c r="L168" s="10" t="s">
        <v>42</v>
      </c>
    </row>
    <row r="169" ht="15.75" customHeight="1">
      <c r="A169" s="64">
        <v>45490.0</v>
      </c>
      <c r="B169" s="55" t="str">
        <f>HYPERLINK("https://jobright.ai/jobs/info/66987041b5ac2377eafc73b7?utm_campaign=1064&amp;utm_source=sheet", "Apply")</f>
        <v>Apply</v>
      </c>
      <c r="C169" s="10" t="s">
        <v>19897</v>
      </c>
      <c r="D169" s="56" t="s">
        <v>2069</v>
      </c>
      <c r="E169" s="10" t="s">
        <v>65</v>
      </c>
      <c r="F169" s="10" t="s">
        <v>1663</v>
      </c>
      <c r="G169" s="10" t="s">
        <v>19595</v>
      </c>
      <c r="H169" s="10" t="s">
        <v>2070</v>
      </c>
      <c r="I169" s="10" t="s">
        <v>55</v>
      </c>
      <c r="J169" s="10" t="s">
        <v>3125</v>
      </c>
      <c r="K169" s="10" t="s">
        <v>19898</v>
      </c>
      <c r="L169" s="10" t="s">
        <v>42</v>
      </c>
    </row>
    <row r="170" ht="15.75" customHeight="1">
      <c r="A170" s="64">
        <v>45490.0</v>
      </c>
      <c r="B170" s="55" t="str">
        <f>HYPERLINK("https://jobright.ai/jobs/info/669877e7b3582187ac2615d8?utm_campaign=1064&amp;utm_source=sheet", "Apply")</f>
        <v>Apply</v>
      </c>
      <c r="C170" s="10" t="s">
        <v>17761</v>
      </c>
      <c r="D170" s="56" t="s">
        <v>17928</v>
      </c>
      <c r="E170" s="10" t="s">
        <v>209</v>
      </c>
      <c r="F170" s="10" t="s">
        <v>14235</v>
      </c>
      <c r="G170" s="10" t="s">
        <v>19587</v>
      </c>
      <c r="H170" s="10" t="s">
        <v>994</v>
      </c>
      <c r="I170" s="10" t="s">
        <v>55</v>
      </c>
      <c r="J170" s="10" t="s">
        <v>19899</v>
      </c>
      <c r="K170" s="10" t="s">
        <v>19900</v>
      </c>
      <c r="L170" s="10" t="s">
        <v>42</v>
      </c>
    </row>
    <row r="171" ht="15.75" customHeight="1">
      <c r="A171" s="64">
        <v>45490.0</v>
      </c>
      <c r="B171" s="55" t="str">
        <f>HYPERLINK("https://jobright.ai/jobs/info/669823548da52ac1489ba3c1?utm_campaign=1064&amp;utm_source=sheet", "Apply")</f>
        <v>Apply</v>
      </c>
      <c r="C171" s="10" t="s">
        <v>19851</v>
      </c>
      <c r="D171" s="56" t="s">
        <v>2073</v>
      </c>
      <c r="G171" s="10" t="s">
        <v>19595</v>
      </c>
      <c r="H171" s="10" t="s">
        <v>6295</v>
      </c>
      <c r="I171" s="10" t="s">
        <v>55</v>
      </c>
      <c r="K171" s="10" t="s">
        <v>19901</v>
      </c>
      <c r="L171" s="10" t="s">
        <v>42</v>
      </c>
    </row>
    <row r="172" ht="15.75" customHeight="1">
      <c r="A172" s="64">
        <v>45490.0</v>
      </c>
      <c r="B172" s="55" t="str">
        <f>HYPERLINK("https://jobright.ai/jobs/info/6697fbff14ddc0bb2f1fd208?utm_campaign=1064&amp;utm_source=sheet", "Apply")</f>
        <v>Apply</v>
      </c>
      <c r="C172" s="10" t="s">
        <v>17326</v>
      </c>
      <c r="D172" s="56" t="s">
        <v>5861</v>
      </c>
      <c r="E172" s="10">
        <v>5246.0</v>
      </c>
      <c r="G172" s="10" t="s">
        <v>19581</v>
      </c>
      <c r="H172" s="10" t="s">
        <v>153</v>
      </c>
      <c r="I172" s="10" t="s">
        <v>48</v>
      </c>
      <c r="K172" s="10" t="s">
        <v>17328</v>
      </c>
      <c r="L172" s="10" t="s">
        <v>42</v>
      </c>
    </row>
    <row r="173" ht="15.75" customHeight="1">
      <c r="A173" s="64">
        <v>45490.0</v>
      </c>
      <c r="B173" s="55" t="str">
        <f>HYPERLINK("https://jobright.ai/jobs/info/6697f307ce942828e55edb11?utm_campaign=1064&amp;utm_source=sheet", "Apply")</f>
        <v>Apply</v>
      </c>
      <c r="C173" s="10" t="s">
        <v>13672</v>
      </c>
      <c r="D173" s="56" t="s">
        <v>10169</v>
      </c>
      <c r="E173" s="10" t="s">
        <v>45</v>
      </c>
      <c r="F173" s="10" t="s">
        <v>10170</v>
      </c>
      <c r="G173" s="10" t="s">
        <v>19587</v>
      </c>
      <c r="H173" s="10" t="s">
        <v>15417</v>
      </c>
      <c r="I173" s="10" t="s">
        <v>55</v>
      </c>
      <c r="K173" s="10" t="s">
        <v>19902</v>
      </c>
      <c r="L173" s="10" t="s">
        <v>42</v>
      </c>
    </row>
    <row r="174" ht="15.75" customHeight="1">
      <c r="A174" s="64">
        <v>45490.0</v>
      </c>
      <c r="B174" s="55" t="str">
        <f>HYPERLINK("https://jobright.ai/jobs/info/669827eee63cf71a2d2b402a?utm_campaign=1064&amp;utm_source=sheet", "Apply")</f>
        <v>Apply</v>
      </c>
      <c r="C174" s="10" t="s">
        <v>19903</v>
      </c>
      <c r="D174" s="56" t="s">
        <v>3645</v>
      </c>
      <c r="E174" s="10" t="s">
        <v>45</v>
      </c>
      <c r="F174" s="10" t="s">
        <v>1700</v>
      </c>
      <c r="G174" s="10" t="s">
        <v>19584</v>
      </c>
      <c r="H174" s="10" t="s">
        <v>19904</v>
      </c>
      <c r="I174" s="10" t="s">
        <v>55</v>
      </c>
      <c r="K174" s="10" t="s">
        <v>19905</v>
      </c>
      <c r="L174" s="10" t="s">
        <v>42</v>
      </c>
    </row>
    <row r="175" ht="15.75" customHeight="1">
      <c r="A175" s="64">
        <v>45490.0</v>
      </c>
      <c r="B175" s="55" t="str">
        <f>HYPERLINK("https://jobright.ai/jobs/info/6697d3d1e88f59b31e6d7b0a?utm_campaign=1064&amp;utm_source=sheet", "Apply")</f>
        <v>Apply</v>
      </c>
      <c r="C175" s="10" t="s">
        <v>19906</v>
      </c>
      <c r="D175" s="56" t="s">
        <v>9821</v>
      </c>
      <c r="E175" s="10" t="s">
        <v>45</v>
      </c>
      <c r="F175" s="10" t="s">
        <v>3594</v>
      </c>
      <c r="G175" s="10" t="s">
        <v>19584</v>
      </c>
      <c r="H175" s="10" t="s">
        <v>7555</v>
      </c>
      <c r="I175" s="10" t="s">
        <v>48</v>
      </c>
      <c r="L175" s="10" t="s">
        <v>42</v>
      </c>
    </row>
    <row r="176" ht="15.75" customHeight="1">
      <c r="A176" s="64">
        <v>45490.0</v>
      </c>
      <c r="B176" s="55" t="str">
        <f>HYPERLINK("https://jobright.ai/jobs/info/669e5e3076c6144940234b0f?utm_campaign=1064&amp;utm_source=sheet", "Apply")</f>
        <v>Apply</v>
      </c>
      <c r="C176" s="10" t="s">
        <v>19907</v>
      </c>
      <c r="D176" s="56" t="s">
        <v>1094</v>
      </c>
      <c r="E176" s="10" t="s">
        <v>45</v>
      </c>
      <c r="F176" s="10" t="s">
        <v>731</v>
      </c>
      <c r="G176" s="10" t="s">
        <v>19587</v>
      </c>
      <c r="H176" s="10" t="s">
        <v>113</v>
      </c>
      <c r="I176" s="10" t="s">
        <v>55</v>
      </c>
      <c r="K176" s="10" t="s">
        <v>19856</v>
      </c>
      <c r="L176" s="10" t="s">
        <v>42</v>
      </c>
    </row>
    <row r="177" ht="15.75" customHeight="1">
      <c r="A177" s="64">
        <v>45490.0</v>
      </c>
      <c r="B177" s="55" t="str">
        <f>HYPERLINK("https://jobright.ai/jobs/info/669d0a6804c007d24af47cc1?utm_campaign=1064&amp;utm_source=sheet", "Apply")</f>
        <v>Apply</v>
      </c>
      <c r="C177" s="10" t="s">
        <v>19908</v>
      </c>
      <c r="D177" s="56" t="s">
        <v>1094</v>
      </c>
      <c r="E177" s="10" t="s">
        <v>45</v>
      </c>
      <c r="F177" s="10" t="s">
        <v>731</v>
      </c>
      <c r="G177" s="10" t="s">
        <v>19587</v>
      </c>
      <c r="H177" s="10" t="s">
        <v>96</v>
      </c>
      <c r="I177" s="10" t="s">
        <v>55</v>
      </c>
      <c r="K177" s="10" t="s">
        <v>19856</v>
      </c>
      <c r="L177" s="10" t="s">
        <v>42</v>
      </c>
    </row>
    <row r="178" ht="15.75" customHeight="1">
      <c r="A178" s="64">
        <v>45490.0</v>
      </c>
      <c r="B178" s="55" t="str">
        <f>HYPERLINK("https://jobright.ai/jobs/info/669cff0ec6404e366f2fa128?utm_campaign=1064&amp;utm_source=sheet", "Apply")</f>
        <v>Apply</v>
      </c>
      <c r="C178" s="10" t="s">
        <v>19909</v>
      </c>
      <c r="D178" s="56" t="s">
        <v>6700</v>
      </c>
      <c r="E178" s="10" t="s">
        <v>65</v>
      </c>
      <c r="F178" s="10" t="s">
        <v>6701</v>
      </c>
      <c r="G178" s="10" t="s">
        <v>19581</v>
      </c>
      <c r="H178" s="10" t="s">
        <v>6295</v>
      </c>
      <c r="I178" s="10" t="s">
        <v>55</v>
      </c>
      <c r="J178" s="10" t="s">
        <v>5777</v>
      </c>
      <c r="K178" s="10" t="s">
        <v>19910</v>
      </c>
      <c r="L178" s="10" t="s">
        <v>42</v>
      </c>
    </row>
    <row r="179" ht="15.75" customHeight="1">
      <c r="A179" s="64">
        <v>45490.0</v>
      </c>
      <c r="B179" s="55" t="str">
        <f>HYPERLINK("https://jobright.ai/jobs/info/669e40800917c60307d8f460?utm_campaign=1064&amp;utm_source=sheet", "Apply")</f>
        <v>Apply</v>
      </c>
      <c r="C179" s="10" t="s">
        <v>19911</v>
      </c>
      <c r="D179" s="56" t="s">
        <v>2170</v>
      </c>
      <c r="E179" s="10" t="s">
        <v>209</v>
      </c>
      <c r="F179" s="10" t="s">
        <v>395</v>
      </c>
      <c r="G179" s="10" t="s">
        <v>19581</v>
      </c>
      <c r="H179" s="10" t="s">
        <v>3248</v>
      </c>
      <c r="I179" s="10" t="s">
        <v>55</v>
      </c>
      <c r="J179" s="10" t="s">
        <v>1189</v>
      </c>
      <c r="K179" s="10" t="s">
        <v>19912</v>
      </c>
      <c r="L179" s="10" t="s">
        <v>42</v>
      </c>
    </row>
    <row r="180" ht="15.75" customHeight="1">
      <c r="A180" s="64">
        <v>45490.0</v>
      </c>
      <c r="B180" s="55" t="str">
        <f>HYPERLINK("https://jobright.ai/jobs/info/669ce6b418954c9f46ca6998?utm_campaign=1064&amp;utm_source=sheet", "Apply")</f>
        <v>Apply</v>
      </c>
      <c r="C180" s="10" t="s">
        <v>19913</v>
      </c>
      <c r="D180" s="56" t="s">
        <v>19914</v>
      </c>
      <c r="E180" s="10">
        <v>1999.0</v>
      </c>
      <c r="G180" s="10" t="s">
        <v>19581</v>
      </c>
      <c r="H180" s="10" t="s">
        <v>251</v>
      </c>
      <c r="I180" s="10" t="s">
        <v>252</v>
      </c>
      <c r="J180" s="10" t="s">
        <v>1165</v>
      </c>
      <c r="K180" s="10" t="s">
        <v>19915</v>
      </c>
      <c r="L180" s="10" t="s">
        <v>42</v>
      </c>
    </row>
    <row r="181" ht="15.75" customHeight="1">
      <c r="A181" s="64">
        <v>45490.0</v>
      </c>
      <c r="B181" s="55" t="str">
        <f>HYPERLINK("https://jobright.ai/jobs/info/669703d502c012c979e0649d?utm_campaign=1064&amp;utm_source=sheet", "Apply")</f>
        <v>Apply</v>
      </c>
      <c r="C181" s="10" t="s">
        <v>19916</v>
      </c>
      <c r="D181" s="56" t="s">
        <v>19917</v>
      </c>
      <c r="E181" s="10" t="s">
        <v>276</v>
      </c>
      <c r="F181" s="10" t="s">
        <v>19918</v>
      </c>
      <c r="G181" s="10" t="s">
        <v>19584</v>
      </c>
      <c r="H181" s="10" t="s">
        <v>299</v>
      </c>
      <c r="I181" s="10" t="s">
        <v>55</v>
      </c>
      <c r="J181" s="10" t="s">
        <v>1984</v>
      </c>
      <c r="K181" s="10" t="s">
        <v>19919</v>
      </c>
      <c r="L181" s="10" t="s">
        <v>42</v>
      </c>
    </row>
    <row r="182" ht="15.75" customHeight="1">
      <c r="A182" s="64">
        <v>45490.0</v>
      </c>
      <c r="B182" s="55" t="str">
        <f>HYPERLINK("https://jobright.ai/jobs/info/667b0e8dbf9efe4d35de44aa?utm_campaign=1064&amp;utm_source=sheet", "Apply")</f>
        <v>Apply</v>
      </c>
      <c r="C182" s="10" t="s">
        <v>19920</v>
      </c>
      <c r="D182" s="56" t="s">
        <v>19921</v>
      </c>
      <c r="E182" s="10" t="s">
        <v>79</v>
      </c>
      <c r="F182" s="10" t="s">
        <v>19922</v>
      </c>
      <c r="G182" s="10" t="s">
        <v>19587</v>
      </c>
      <c r="H182" s="10" t="s">
        <v>7783</v>
      </c>
      <c r="I182" s="10" t="s">
        <v>55</v>
      </c>
      <c r="K182" s="10" t="s">
        <v>19923</v>
      </c>
      <c r="L182" s="10" t="s">
        <v>42</v>
      </c>
    </row>
    <row r="183" ht="15.75" customHeight="1">
      <c r="A183" s="64">
        <v>45490.0</v>
      </c>
      <c r="B183" s="55" t="str">
        <f>HYPERLINK("https://jobright.ai/jobs/info/665e0c93bc5368a3b89e7695?utm_campaign=1064&amp;utm_source=sheet", "Apply")</f>
        <v>Apply</v>
      </c>
      <c r="C183" s="10" t="s">
        <v>14424</v>
      </c>
      <c r="D183" s="56" t="s">
        <v>10169</v>
      </c>
      <c r="E183" s="10" t="s">
        <v>45</v>
      </c>
      <c r="F183" s="10" t="s">
        <v>10170</v>
      </c>
      <c r="G183" s="10" t="s">
        <v>19587</v>
      </c>
      <c r="H183" s="10" t="s">
        <v>188</v>
      </c>
      <c r="I183" s="10" t="s">
        <v>55</v>
      </c>
      <c r="J183" s="10" t="s">
        <v>1608</v>
      </c>
      <c r="K183" s="10" t="s">
        <v>17970</v>
      </c>
      <c r="L183" s="10" t="s">
        <v>42</v>
      </c>
    </row>
    <row r="184" ht="15.75" customHeight="1">
      <c r="A184" s="64">
        <v>45490.0</v>
      </c>
      <c r="B184" s="55" t="str">
        <f>HYPERLINK("https://jobright.ai/jobs/info/66796887d86d626ab8b778ce?utm_campaign=1064&amp;utm_source=sheet", "Apply")</f>
        <v>Apply</v>
      </c>
      <c r="C184" s="10" t="s">
        <v>19924</v>
      </c>
      <c r="D184" s="56" t="s">
        <v>19925</v>
      </c>
      <c r="E184" s="10" t="s">
        <v>45</v>
      </c>
      <c r="F184" s="10" t="s">
        <v>1179</v>
      </c>
      <c r="G184" s="10" t="s">
        <v>19584</v>
      </c>
      <c r="H184" s="10" t="s">
        <v>19926</v>
      </c>
      <c r="I184" s="10" t="s">
        <v>55</v>
      </c>
      <c r="K184" s="10" t="s">
        <v>19927</v>
      </c>
      <c r="L184" s="10" t="s">
        <v>42</v>
      </c>
    </row>
    <row r="185" ht="15.75" customHeight="1">
      <c r="A185" s="64">
        <v>45490.0</v>
      </c>
      <c r="B185" s="55" t="str">
        <f>HYPERLINK("https://jobright.ai/jobs/info/663972e8eca1e3adb046217f?utm_campaign=1064&amp;utm_source=sheet", "Apply")</f>
        <v>Apply</v>
      </c>
      <c r="C185" s="10" t="s">
        <v>19928</v>
      </c>
      <c r="D185" s="56" t="s">
        <v>3003</v>
      </c>
      <c r="E185" s="10" t="s">
        <v>209</v>
      </c>
      <c r="F185" s="10" t="s">
        <v>3004</v>
      </c>
      <c r="G185" s="10" t="s">
        <v>19587</v>
      </c>
      <c r="H185" s="10" t="s">
        <v>3006</v>
      </c>
      <c r="I185" s="10" t="s">
        <v>55</v>
      </c>
      <c r="K185" s="10" t="s">
        <v>19929</v>
      </c>
      <c r="L185" s="10" t="s">
        <v>42</v>
      </c>
    </row>
    <row r="186" ht="15.75" customHeight="1">
      <c r="A186" s="64">
        <v>45490.0</v>
      </c>
      <c r="B186" s="55" t="str">
        <f>HYPERLINK("https://jobright.ai/jobs/info/6697a152faafd78eea23c733?utm_campaign=1064&amp;utm_source=sheet", "Apply")</f>
        <v>Apply</v>
      </c>
      <c r="C186" s="10" t="s">
        <v>19930</v>
      </c>
      <c r="D186" s="56" t="s">
        <v>18575</v>
      </c>
      <c r="F186" s="10" t="s">
        <v>2216</v>
      </c>
      <c r="G186" s="10" t="s">
        <v>19595</v>
      </c>
      <c r="H186" s="10" t="s">
        <v>5320</v>
      </c>
      <c r="I186" s="10" t="s">
        <v>55</v>
      </c>
      <c r="J186" s="10" t="s">
        <v>1761</v>
      </c>
      <c r="K186" s="10" t="s">
        <v>19931</v>
      </c>
      <c r="L186" s="10" t="s">
        <v>42</v>
      </c>
    </row>
    <row r="187" ht="15.75" customHeight="1">
      <c r="A187" s="64">
        <v>45490.0</v>
      </c>
      <c r="B187" s="55" t="str">
        <f>HYPERLINK("https://jobright.ai/jobs/info/66976744ef4dd31f3a620852?utm_campaign=1064&amp;utm_source=sheet", "Apply")</f>
        <v>Apply</v>
      </c>
      <c r="C187" s="10" t="s">
        <v>19932</v>
      </c>
      <c r="D187" s="56" t="s">
        <v>11554</v>
      </c>
      <c r="E187" s="10" t="s">
        <v>276</v>
      </c>
      <c r="F187" s="10" t="s">
        <v>722</v>
      </c>
      <c r="G187" s="10" t="s">
        <v>19584</v>
      </c>
      <c r="H187" s="10" t="s">
        <v>4623</v>
      </c>
      <c r="I187" s="10" t="s">
        <v>55</v>
      </c>
      <c r="K187" s="10" t="s">
        <v>19933</v>
      </c>
      <c r="L187" s="10" t="s">
        <v>42</v>
      </c>
    </row>
    <row r="188" ht="15.75" customHeight="1">
      <c r="A188" s="64">
        <v>45490.0</v>
      </c>
      <c r="B188" s="55" t="str">
        <f>HYPERLINK("https://jobright.ai/jobs/info/66973d737950df3a70e5bbd8?utm_campaign=1064&amp;utm_source=sheet", "Apply")</f>
        <v>Apply</v>
      </c>
      <c r="C188" s="10" t="s">
        <v>19934</v>
      </c>
      <c r="D188" s="56" t="s">
        <v>590</v>
      </c>
      <c r="E188" s="10" t="s">
        <v>45</v>
      </c>
      <c r="F188" s="10" t="s">
        <v>591</v>
      </c>
      <c r="G188" s="10" t="s">
        <v>19584</v>
      </c>
      <c r="H188" s="10" t="s">
        <v>592</v>
      </c>
      <c r="I188" s="10" t="s">
        <v>55</v>
      </c>
      <c r="K188" s="10" t="s">
        <v>19935</v>
      </c>
      <c r="L188" s="10" t="s">
        <v>42</v>
      </c>
    </row>
    <row r="189" ht="15.75" customHeight="1">
      <c r="A189" s="64">
        <v>45489.0</v>
      </c>
      <c r="B189" s="55" t="str">
        <f>HYPERLINK("https://jobright.ai/jobs/info/6696ee70131daa9222d40ee3?utm_campaign=1064&amp;utm_source=sheet", "Apply")</f>
        <v>Apply</v>
      </c>
      <c r="C189" s="10" t="s">
        <v>19936</v>
      </c>
      <c r="D189" s="56" t="s">
        <v>12738</v>
      </c>
      <c r="E189" s="10" t="s">
        <v>276</v>
      </c>
      <c r="F189" s="10" t="s">
        <v>1893</v>
      </c>
      <c r="G189" s="10" t="s">
        <v>19587</v>
      </c>
      <c r="H189" s="10" t="s">
        <v>278</v>
      </c>
      <c r="I189" s="10" t="s">
        <v>55</v>
      </c>
      <c r="J189" s="10" t="s">
        <v>3651</v>
      </c>
      <c r="K189" s="10" t="s">
        <v>19937</v>
      </c>
      <c r="L189" s="10" t="s">
        <v>42</v>
      </c>
    </row>
    <row r="190" ht="15.75" customHeight="1">
      <c r="A190" s="64">
        <v>45489.0</v>
      </c>
      <c r="B190" s="55" t="str">
        <f>HYPERLINK("https://jobright.ai/jobs/info/6696acee66ed8171d8060fe5?utm_campaign=1064&amp;utm_source=sheet", "Apply")</f>
        <v>Apply</v>
      </c>
      <c r="C190" s="10" t="s">
        <v>19851</v>
      </c>
      <c r="D190" s="56" t="s">
        <v>19938</v>
      </c>
      <c r="E190" s="10" t="s">
        <v>209</v>
      </c>
      <c r="F190" s="10" t="s">
        <v>1922</v>
      </c>
      <c r="G190" s="10" t="s">
        <v>19595</v>
      </c>
      <c r="H190" s="10" t="s">
        <v>16988</v>
      </c>
      <c r="I190" s="10" t="s">
        <v>55</v>
      </c>
      <c r="K190" s="10" t="s">
        <v>19939</v>
      </c>
      <c r="L190" s="10" t="s">
        <v>42</v>
      </c>
    </row>
    <row r="191" ht="15.75" customHeight="1">
      <c r="A191" s="64">
        <v>45489.0</v>
      </c>
      <c r="B191" s="55" t="str">
        <f>HYPERLINK("https://jobright.ai/jobs/info/66969a826df5fce96b1b69ae?utm_campaign=1064&amp;utm_source=sheet", "Apply")</f>
        <v>Apply</v>
      </c>
      <c r="C191" s="10" t="s">
        <v>19621</v>
      </c>
      <c r="D191" s="56" t="s">
        <v>19940</v>
      </c>
      <c r="E191" s="10" t="s">
        <v>65</v>
      </c>
      <c r="F191" s="10" t="s">
        <v>1695</v>
      </c>
      <c r="G191" s="10" t="s">
        <v>19595</v>
      </c>
      <c r="H191" s="10" t="s">
        <v>3300</v>
      </c>
      <c r="I191" s="10" t="s">
        <v>55</v>
      </c>
      <c r="K191" s="10" t="s">
        <v>19941</v>
      </c>
      <c r="L191" s="10" t="s">
        <v>42</v>
      </c>
    </row>
    <row r="192" ht="15.75" customHeight="1">
      <c r="A192" s="64">
        <v>45489.0</v>
      </c>
      <c r="B192" s="55" t="str">
        <f>HYPERLINK("https://jobright.ai/jobs/info/669686508edf02ca2d6ccbe3?utm_campaign=1064&amp;utm_source=sheet", "Apply")</f>
        <v>Apply</v>
      </c>
      <c r="C192" s="10" t="s">
        <v>19942</v>
      </c>
      <c r="D192" s="56" t="s">
        <v>19943</v>
      </c>
      <c r="E192" s="10">
        <v>78.0</v>
      </c>
      <c r="G192" s="10" t="s">
        <v>19584</v>
      </c>
      <c r="H192" s="10" t="s">
        <v>861</v>
      </c>
      <c r="I192" s="10" t="s">
        <v>55</v>
      </c>
      <c r="K192" s="10" t="s">
        <v>19944</v>
      </c>
      <c r="L192" s="10" t="s">
        <v>42</v>
      </c>
    </row>
    <row r="193" ht="15.75" customHeight="1">
      <c r="A193" s="64">
        <v>45489.0</v>
      </c>
      <c r="B193" s="55" t="str">
        <f>HYPERLINK("https://jobright.ai/jobs/info/669faa54a3622d0a9f205e4a?utm_campaign=1064&amp;utm_source=sheet", "Apply")</f>
        <v>Apply</v>
      </c>
      <c r="C193" s="10" t="s">
        <v>19945</v>
      </c>
      <c r="D193" s="56" t="s">
        <v>730</v>
      </c>
      <c r="E193" s="10" t="s">
        <v>45</v>
      </c>
      <c r="F193" s="10" t="s">
        <v>731</v>
      </c>
      <c r="G193" s="10" t="s">
        <v>19584</v>
      </c>
      <c r="H193" s="10" t="s">
        <v>159</v>
      </c>
      <c r="I193" s="10" t="s">
        <v>55</v>
      </c>
      <c r="K193" s="10" t="s">
        <v>19946</v>
      </c>
      <c r="L193" s="10" t="s">
        <v>42</v>
      </c>
    </row>
    <row r="194" ht="15.75" customHeight="1">
      <c r="A194" s="64">
        <v>45489.0</v>
      </c>
      <c r="B194" s="55" t="str">
        <f>HYPERLINK("https://jobright.ai/jobs/info/667a11d9108d243bbb141477?utm_campaign=1064&amp;utm_source=sheet", "Apply")</f>
        <v>Apply</v>
      </c>
      <c r="C194" s="10" t="s">
        <v>19947</v>
      </c>
      <c r="D194" s="56" t="s">
        <v>19948</v>
      </c>
      <c r="E194" s="10" t="s">
        <v>79</v>
      </c>
      <c r="F194" s="10" t="s">
        <v>19949</v>
      </c>
      <c r="G194" s="10" t="s">
        <v>19584</v>
      </c>
      <c r="H194" s="10" t="s">
        <v>96</v>
      </c>
      <c r="I194" s="10" t="s">
        <v>55</v>
      </c>
      <c r="J194" s="10" t="s">
        <v>1984</v>
      </c>
      <c r="K194" s="10" t="s">
        <v>19950</v>
      </c>
      <c r="L194" s="10" t="s">
        <v>42</v>
      </c>
    </row>
    <row r="195" ht="15.75" customHeight="1">
      <c r="A195" s="64">
        <v>45489.0</v>
      </c>
      <c r="B195" s="55" t="str">
        <f>HYPERLINK("https://jobright.ai/jobs/info/66796c753f452d31d55f81d1?utm_campaign=1064&amp;utm_source=sheet", "Apply")</f>
        <v>Apply</v>
      </c>
      <c r="C195" s="10" t="s">
        <v>19951</v>
      </c>
      <c r="D195" s="56" t="s">
        <v>19952</v>
      </c>
      <c r="F195" s="10" t="s">
        <v>5585</v>
      </c>
      <c r="G195" s="10" t="s">
        <v>19587</v>
      </c>
      <c r="H195" s="10" t="s">
        <v>832</v>
      </c>
      <c r="I195" s="10" t="s">
        <v>55</v>
      </c>
      <c r="J195" s="10" t="s">
        <v>19953</v>
      </c>
      <c r="K195" s="10" t="s">
        <v>19954</v>
      </c>
      <c r="L195" s="10" t="s">
        <v>42</v>
      </c>
    </row>
    <row r="196" ht="15.75" customHeight="1">
      <c r="A196" s="64">
        <v>45489.0</v>
      </c>
      <c r="B196" s="55" t="str">
        <f>HYPERLINK("https://jobright.ai/jobs/info/6695fd7a380a80346c6d4345?utm_campaign=1064&amp;utm_source=sheet", "Apply")</f>
        <v>Apply</v>
      </c>
      <c r="C196" s="10" t="s">
        <v>19955</v>
      </c>
      <c r="D196" s="56" t="s">
        <v>8784</v>
      </c>
      <c r="E196" s="10" t="s">
        <v>65</v>
      </c>
      <c r="G196" s="10" t="s">
        <v>19595</v>
      </c>
      <c r="H196" s="10" t="s">
        <v>8785</v>
      </c>
      <c r="I196" s="10" t="s">
        <v>55</v>
      </c>
      <c r="J196" s="10" t="s">
        <v>8786</v>
      </c>
      <c r="K196" s="10" t="s">
        <v>8787</v>
      </c>
      <c r="L196" s="10" t="s">
        <v>42</v>
      </c>
    </row>
    <row r="197" ht="15.75" customHeight="1">
      <c r="A197" s="64">
        <v>45488.0</v>
      </c>
      <c r="B197" s="55" t="str">
        <f>HYPERLINK("https://jobright.ai/jobs/info/6695c99d9b6af7aab94a679a?utm_campaign=1064&amp;utm_source=sheet", "Apply")</f>
        <v>Apply</v>
      </c>
      <c r="C197" s="10" t="s">
        <v>19956</v>
      </c>
      <c r="D197" s="56" t="s">
        <v>5130</v>
      </c>
      <c r="E197" s="10" t="s">
        <v>65</v>
      </c>
      <c r="F197" s="10" t="s">
        <v>331</v>
      </c>
      <c r="G197" s="10" t="s">
        <v>19595</v>
      </c>
      <c r="H197" s="10" t="s">
        <v>96</v>
      </c>
      <c r="I197" s="10" t="s">
        <v>55</v>
      </c>
      <c r="K197" s="10" t="s">
        <v>19957</v>
      </c>
      <c r="L197" s="10" t="s">
        <v>42</v>
      </c>
    </row>
    <row r="198" ht="15.75" customHeight="1">
      <c r="A198" s="64">
        <v>45488.0</v>
      </c>
      <c r="B198" s="55" t="str">
        <f>HYPERLINK("https://jobright.ai/jobs/info/6695c0d027b8d0ea6ca6f04d?utm_campaign=1064&amp;utm_source=sheet", "Apply")</f>
        <v>Apply</v>
      </c>
      <c r="C198" s="10" t="s">
        <v>19958</v>
      </c>
      <c r="D198" s="56" t="s">
        <v>643</v>
      </c>
      <c r="E198" s="10" t="s">
        <v>79</v>
      </c>
      <c r="F198" s="10" t="s">
        <v>644</v>
      </c>
      <c r="G198" s="10" t="s">
        <v>19581</v>
      </c>
      <c r="H198" s="10" t="s">
        <v>113</v>
      </c>
      <c r="I198" s="10" t="s">
        <v>55</v>
      </c>
      <c r="K198" s="10" t="s">
        <v>19959</v>
      </c>
      <c r="L198" s="10" t="s">
        <v>42</v>
      </c>
    </row>
    <row r="199" ht="15.75" customHeight="1">
      <c r="A199" s="64">
        <v>45488.0</v>
      </c>
      <c r="B199" s="55" t="str">
        <f>HYPERLINK("https://jobright.ai/jobs/info/6695b0cca837844464539325?utm_campaign=1064&amp;utm_source=sheet", "Apply")</f>
        <v>Apply</v>
      </c>
      <c r="C199" s="10" t="s">
        <v>19960</v>
      </c>
      <c r="D199" s="56" t="s">
        <v>19961</v>
      </c>
      <c r="E199" s="10">
        <v>303.0</v>
      </c>
      <c r="G199" s="10" t="s">
        <v>19595</v>
      </c>
      <c r="H199" s="10" t="s">
        <v>1709</v>
      </c>
      <c r="I199" s="10" t="s">
        <v>48</v>
      </c>
      <c r="K199" s="10" t="s">
        <v>19962</v>
      </c>
      <c r="L199" s="10" t="s">
        <v>42</v>
      </c>
    </row>
    <row r="200" ht="15.75" customHeight="1">
      <c r="A200" s="64">
        <v>45488.0</v>
      </c>
      <c r="B200" s="55" t="str">
        <f>HYPERLINK("https://jobright.ai/jobs/info/66956067f60ae0856be2fa5b?utm_campaign=1064&amp;utm_source=sheet", "Apply")</f>
        <v>Apply</v>
      </c>
      <c r="C200" s="10" t="s">
        <v>19963</v>
      </c>
      <c r="D200" s="56" t="s">
        <v>5130</v>
      </c>
      <c r="E200" s="10" t="s">
        <v>65</v>
      </c>
      <c r="F200" s="10" t="s">
        <v>331</v>
      </c>
      <c r="G200" s="10" t="s">
        <v>19595</v>
      </c>
      <c r="H200" s="10" t="s">
        <v>96</v>
      </c>
      <c r="I200" s="10" t="s">
        <v>55</v>
      </c>
      <c r="K200" s="10" t="s">
        <v>19964</v>
      </c>
      <c r="L200" s="10" t="s">
        <v>42</v>
      </c>
    </row>
    <row r="201" ht="15.75" customHeight="1">
      <c r="A201" s="64">
        <v>45488.0</v>
      </c>
      <c r="B201" s="55" t="str">
        <f>HYPERLINK("https://jobright.ai/jobs/info/66955b091c130559cedb6485?utm_campaign=1064&amp;utm_source=sheet", "Apply")</f>
        <v>Apply</v>
      </c>
      <c r="C201" s="10" t="s">
        <v>19965</v>
      </c>
      <c r="D201" s="56" t="s">
        <v>19966</v>
      </c>
      <c r="E201" s="10" t="s">
        <v>71</v>
      </c>
      <c r="F201" s="10" t="s">
        <v>1506</v>
      </c>
      <c r="G201" s="10" t="s">
        <v>19595</v>
      </c>
      <c r="H201" s="10" t="s">
        <v>1015</v>
      </c>
      <c r="I201" s="10" t="s">
        <v>55</v>
      </c>
      <c r="J201" s="10" t="s">
        <v>3959</v>
      </c>
      <c r="K201" s="10" t="s">
        <v>19967</v>
      </c>
      <c r="L201" s="10" t="s">
        <v>42</v>
      </c>
    </row>
    <row r="202" ht="15.75" customHeight="1">
      <c r="A202" s="64">
        <v>45488.0</v>
      </c>
      <c r="B202" s="55" t="str">
        <f>HYPERLINK("https://jobright.ai/jobs/info/6695a673edeaa1f1d405bc66?utm_campaign=1064&amp;utm_source=sheet", "Apply")</f>
        <v>Apply</v>
      </c>
      <c r="C202" s="10" t="s">
        <v>19968</v>
      </c>
      <c r="D202" s="56" t="s">
        <v>5679</v>
      </c>
      <c r="E202" s="10">
        <v>1717.0</v>
      </c>
      <c r="G202" s="10" t="s">
        <v>19595</v>
      </c>
      <c r="H202" s="10" t="s">
        <v>794</v>
      </c>
      <c r="I202" s="10" t="s">
        <v>55</v>
      </c>
      <c r="J202" s="10" t="s">
        <v>1189</v>
      </c>
      <c r="K202" s="10" t="s">
        <v>19969</v>
      </c>
      <c r="L202" s="10" t="s">
        <v>42</v>
      </c>
    </row>
    <row r="203" ht="15.75" customHeight="1">
      <c r="A203" s="64">
        <v>45488.0</v>
      </c>
      <c r="B203" s="55" t="str">
        <f>HYPERLINK("https://jobright.ai/jobs/info/669e4c33892b00836a41a45a?utm_campaign=1064&amp;utm_source=sheet", "Apply")</f>
        <v>Apply</v>
      </c>
      <c r="C203" s="10" t="s">
        <v>19970</v>
      </c>
      <c r="D203" s="56" t="s">
        <v>16498</v>
      </c>
      <c r="E203" s="10">
        <v>2155.0</v>
      </c>
      <c r="G203" s="10" t="s">
        <v>19587</v>
      </c>
      <c r="H203" s="10" t="s">
        <v>16499</v>
      </c>
      <c r="I203" s="10" t="s">
        <v>55</v>
      </c>
      <c r="K203" s="10" t="s">
        <v>19971</v>
      </c>
      <c r="L203" s="10" t="s">
        <v>42</v>
      </c>
    </row>
    <row r="204" ht="15.75" customHeight="1">
      <c r="A204" s="64">
        <v>45488.0</v>
      </c>
      <c r="B204" s="55" t="str">
        <f>HYPERLINK("https://jobright.ai/jobs/info/6694f699ac0d8feec02ae837?utm_campaign=1064&amp;utm_source=sheet", "Apply")</f>
        <v>Apply</v>
      </c>
      <c r="C204" s="10" t="s">
        <v>19945</v>
      </c>
      <c r="D204" s="56" t="s">
        <v>730</v>
      </c>
      <c r="E204" s="10" t="s">
        <v>45</v>
      </c>
      <c r="F204" s="10" t="s">
        <v>731</v>
      </c>
      <c r="G204" s="10" t="s">
        <v>19581</v>
      </c>
      <c r="H204" s="10" t="s">
        <v>96</v>
      </c>
      <c r="I204" s="10" t="s">
        <v>55</v>
      </c>
      <c r="K204" s="10" t="s">
        <v>19946</v>
      </c>
      <c r="L204" s="10" t="s">
        <v>42</v>
      </c>
    </row>
    <row r="205" ht="15.75" customHeight="1">
      <c r="A205" s="64">
        <v>45488.0</v>
      </c>
      <c r="B205" s="55" t="str">
        <f>HYPERLINK("https://jobright.ai/jobs/info/6694f699ac0d8feec02ae85e?utm_campaign=1064&amp;utm_source=sheet", "Apply")</f>
        <v>Apply</v>
      </c>
      <c r="C205" s="10" t="s">
        <v>19945</v>
      </c>
      <c r="D205" s="56" t="s">
        <v>730</v>
      </c>
      <c r="E205" s="10" t="s">
        <v>45</v>
      </c>
      <c r="F205" s="10" t="s">
        <v>731</v>
      </c>
      <c r="G205" s="10" t="s">
        <v>19581</v>
      </c>
      <c r="H205" s="10" t="s">
        <v>154</v>
      </c>
      <c r="I205" s="10" t="s">
        <v>55</v>
      </c>
      <c r="K205" s="10" t="s">
        <v>19946</v>
      </c>
      <c r="L205" s="10" t="s">
        <v>42</v>
      </c>
    </row>
    <row r="206" ht="15.75" customHeight="1">
      <c r="A206" s="64">
        <v>45488.0</v>
      </c>
      <c r="B206" s="55" t="str">
        <f>HYPERLINK("https://jobright.ai/jobs/info/665b633fa8194aff74ea5c92?utm_campaign=1064&amp;utm_source=sheet", "Apply")</f>
        <v>Apply</v>
      </c>
      <c r="C206" s="10" t="s">
        <v>14345</v>
      </c>
      <c r="D206" s="56" t="s">
        <v>10169</v>
      </c>
      <c r="E206" s="10" t="s">
        <v>45</v>
      </c>
      <c r="F206" s="10" t="s">
        <v>10170</v>
      </c>
      <c r="G206" s="10" t="s">
        <v>19587</v>
      </c>
      <c r="H206" s="10" t="s">
        <v>1709</v>
      </c>
      <c r="I206" s="10" t="s">
        <v>55</v>
      </c>
      <c r="J206" s="10" t="s">
        <v>1409</v>
      </c>
      <c r="K206" s="10" t="s">
        <v>14347</v>
      </c>
      <c r="L206" s="10" t="s">
        <v>42</v>
      </c>
    </row>
    <row r="207" ht="15.75" customHeight="1">
      <c r="A207" s="64">
        <v>45488.0</v>
      </c>
      <c r="B207" s="55" t="str">
        <f>HYPERLINK("https://jobright.ai/jobs/info/665b566b9c907a27d7bcd89d?utm_campaign=1064&amp;utm_source=sheet", "Apply")</f>
        <v>Apply</v>
      </c>
      <c r="C207" s="10" t="s">
        <v>19972</v>
      </c>
      <c r="D207" s="56" t="s">
        <v>730</v>
      </c>
      <c r="E207" s="10" t="s">
        <v>45</v>
      </c>
      <c r="F207" s="10" t="s">
        <v>731</v>
      </c>
      <c r="G207" s="10" t="s">
        <v>19581</v>
      </c>
      <c r="H207" s="10" t="s">
        <v>159</v>
      </c>
      <c r="I207" s="10" t="s">
        <v>55</v>
      </c>
      <c r="K207" s="10" t="s">
        <v>19973</v>
      </c>
      <c r="L207" s="10" t="s">
        <v>42</v>
      </c>
    </row>
    <row r="208" ht="15.75" customHeight="1">
      <c r="A208" s="64">
        <v>45488.0</v>
      </c>
      <c r="B208" s="55" t="str">
        <f>HYPERLINK("https://jobright.ai/jobs/info/665b6b718b57a767f5af8017?utm_campaign=1064&amp;utm_source=sheet", "Apply")</f>
        <v>Apply</v>
      </c>
      <c r="C208" s="10" t="s">
        <v>19972</v>
      </c>
      <c r="D208" s="56" t="s">
        <v>730</v>
      </c>
      <c r="E208" s="10" t="s">
        <v>45</v>
      </c>
      <c r="F208" s="10" t="s">
        <v>731</v>
      </c>
      <c r="G208" s="10" t="s">
        <v>19581</v>
      </c>
      <c r="H208" s="10" t="s">
        <v>96</v>
      </c>
      <c r="I208" s="10" t="s">
        <v>55</v>
      </c>
      <c r="K208" s="10" t="s">
        <v>19973</v>
      </c>
      <c r="L208" s="10" t="s">
        <v>42</v>
      </c>
    </row>
    <row r="209" ht="15.75" customHeight="1">
      <c r="A209" s="64">
        <v>45488.0</v>
      </c>
      <c r="B209" s="55" t="str">
        <f>HYPERLINK("https://jobright.ai/jobs/info/665b6c353c6fb0ec5cc41ebb?utm_campaign=1064&amp;utm_source=sheet", "Apply")</f>
        <v>Apply</v>
      </c>
      <c r="C209" s="10" t="s">
        <v>14345</v>
      </c>
      <c r="D209" s="56" t="s">
        <v>10169</v>
      </c>
      <c r="E209" s="10" t="s">
        <v>45</v>
      </c>
      <c r="F209" s="10" t="s">
        <v>10170</v>
      </c>
      <c r="G209" s="10" t="s">
        <v>19587</v>
      </c>
      <c r="H209" s="10" t="s">
        <v>19974</v>
      </c>
      <c r="I209" s="10" t="s">
        <v>55</v>
      </c>
      <c r="J209" s="10" t="s">
        <v>1409</v>
      </c>
      <c r="K209" s="10" t="s">
        <v>14347</v>
      </c>
      <c r="L209" s="10" t="s">
        <v>42</v>
      </c>
    </row>
    <row r="210" ht="15.75" customHeight="1">
      <c r="A210" s="64">
        <v>45488.0</v>
      </c>
      <c r="B210" s="55" t="str">
        <f>HYPERLINK("https://jobright.ai/jobs/info/6679731f8f20c6df6b899856?utm_campaign=1064&amp;utm_source=sheet", "Apply")</f>
        <v>Apply</v>
      </c>
      <c r="C210" s="10" t="s">
        <v>19972</v>
      </c>
      <c r="D210" s="56" t="s">
        <v>730</v>
      </c>
      <c r="E210" s="10" t="s">
        <v>45</v>
      </c>
      <c r="F210" s="10" t="s">
        <v>731</v>
      </c>
      <c r="G210" s="10" t="s">
        <v>19581</v>
      </c>
      <c r="H210" s="10" t="s">
        <v>154</v>
      </c>
      <c r="I210" s="10" t="s">
        <v>55</v>
      </c>
      <c r="K210" s="10" t="s">
        <v>19973</v>
      </c>
      <c r="L210" s="10" t="s">
        <v>42</v>
      </c>
    </row>
    <row r="211" ht="15.75" customHeight="1">
      <c r="A211" s="64">
        <v>45488.0</v>
      </c>
      <c r="B211" s="55" t="str">
        <f>HYPERLINK("https://jobright.ai/jobs/info/6695976d4f512a2795818280?utm_campaign=1064&amp;utm_source=sheet", "Apply")</f>
        <v>Apply</v>
      </c>
      <c r="C211" s="10" t="s">
        <v>19975</v>
      </c>
      <c r="D211" s="56" t="s">
        <v>19755</v>
      </c>
      <c r="E211" s="10" t="s">
        <v>65</v>
      </c>
      <c r="F211" s="10" t="s">
        <v>14747</v>
      </c>
      <c r="G211" s="10" t="s">
        <v>19595</v>
      </c>
      <c r="H211" s="10" t="s">
        <v>575</v>
      </c>
      <c r="I211" s="10" t="s">
        <v>55</v>
      </c>
      <c r="K211" s="10" t="s">
        <v>19976</v>
      </c>
      <c r="L211" s="10" t="s">
        <v>42</v>
      </c>
    </row>
    <row r="212" ht="15.75" customHeight="1">
      <c r="A212" s="64">
        <v>45487.0</v>
      </c>
      <c r="B212" s="55" t="str">
        <f>HYPERLINK("https://jobright.ai/jobs/info/6676b3b9a2f49d4e236dc9a2?utm_campaign=1064&amp;utm_source=sheet", "Apply")</f>
        <v>Apply</v>
      </c>
      <c r="C212" s="10" t="s">
        <v>19977</v>
      </c>
      <c r="D212" s="56" t="s">
        <v>1846</v>
      </c>
      <c r="E212" s="10" t="s">
        <v>45</v>
      </c>
      <c r="F212" s="10" t="s">
        <v>1485</v>
      </c>
      <c r="G212" s="10" t="s">
        <v>19587</v>
      </c>
      <c r="H212" s="10" t="s">
        <v>794</v>
      </c>
      <c r="I212" s="10" t="s">
        <v>55</v>
      </c>
      <c r="K212" s="10" t="s">
        <v>5365</v>
      </c>
      <c r="L212" s="10" t="s">
        <v>42</v>
      </c>
    </row>
    <row r="213" ht="15.75" customHeight="1">
      <c r="A213" s="64">
        <v>45487.0</v>
      </c>
      <c r="B213" s="55" t="str">
        <f>HYPERLINK("https://jobright.ai/jobs/info/667793be023ec2d026d3b10f?utm_campaign=1064&amp;utm_source=sheet", "Apply")</f>
        <v>Apply</v>
      </c>
      <c r="C213" s="10" t="s">
        <v>19978</v>
      </c>
      <c r="D213" s="56" t="s">
        <v>1073</v>
      </c>
      <c r="E213" s="10" t="s">
        <v>45</v>
      </c>
      <c r="F213" s="10" t="s">
        <v>1074</v>
      </c>
      <c r="G213" s="10" t="s">
        <v>19581</v>
      </c>
      <c r="H213" s="10" t="s">
        <v>201</v>
      </c>
      <c r="I213" s="10" t="s">
        <v>48</v>
      </c>
      <c r="J213" s="10" t="s">
        <v>6122</v>
      </c>
      <c r="K213" s="10" t="s">
        <v>19979</v>
      </c>
      <c r="L213" s="10" t="s">
        <v>42</v>
      </c>
    </row>
    <row r="214" ht="15.75" customHeight="1">
      <c r="A214" s="64">
        <v>45487.0</v>
      </c>
      <c r="B214" s="55" t="str">
        <f>HYPERLINK("https://jobright.ai/jobs/info/6676b3aca2f49d4e236dc87c?utm_campaign=1064&amp;utm_source=sheet", "Apply")</f>
        <v>Apply</v>
      </c>
      <c r="C214" s="10" t="s">
        <v>19977</v>
      </c>
      <c r="D214" s="56" t="s">
        <v>1846</v>
      </c>
      <c r="E214" s="10" t="s">
        <v>45</v>
      </c>
      <c r="F214" s="10" t="s">
        <v>1485</v>
      </c>
      <c r="G214" s="10" t="s">
        <v>19587</v>
      </c>
      <c r="H214" s="10" t="s">
        <v>628</v>
      </c>
      <c r="I214" s="10" t="s">
        <v>55</v>
      </c>
      <c r="K214" s="10" t="s">
        <v>19980</v>
      </c>
      <c r="L214" s="10" t="s">
        <v>42</v>
      </c>
    </row>
    <row r="215" ht="15.75" customHeight="1">
      <c r="A215" s="64">
        <v>45487.0</v>
      </c>
      <c r="B215" s="55" t="str">
        <f>HYPERLINK("https://jobright.ai/jobs/info/6502adcfb5c798b45a71980e?utm_campaign=1064&amp;utm_source=sheet", "Apply")</f>
        <v>Apply</v>
      </c>
      <c r="C215" s="10" t="s">
        <v>19981</v>
      </c>
      <c r="D215" s="56" t="s">
        <v>736</v>
      </c>
      <c r="E215" s="10" t="s">
        <v>276</v>
      </c>
      <c r="F215" s="10" t="s">
        <v>737</v>
      </c>
      <c r="G215" s="10" t="s">
        <v>19584</v>
      </c>
      <c r="H215" s="10" t="s">
        <v>738</v>
      </c>
      <c r="I215" s="10" t="s">
        <v>55</v>
      </c>
      <c r="K215" s="10" t="s">
        <v>14397</v>
      </c>
      <c r="L215" s="10" t="s">
        <v>42</v>
      </c>
    </row>
    <row r="216" ht="15.75" customHeight="1">
      <c r="A216" s="64">
        <v>45487.0</v>
      </c>
      <c r="B216" s="55" t="str">
        <f>HYPERLINK("https://jobright.ai/jobs/info/667973438f20c6df6b899aa6?utm_campaign=1064&amp;utm_source=sheet", "Apply")</f>
        <v>Apply</v>
      </c>
      <c r="C216" s="10" t="s">
        <v>19982</v>
      </c>
      <c r="D216" s="56" t="s">
        <v>730</v>
      </c>
      <c r="E216" s="10" t="s">
        <v>45</v>
      </c>
      <c r="F216" s="10" t="s">
        <v>731</v>
      </c>
      <c r="G216" s="10" t="s">
        <v>19587</v>
      </c>
      <c r="H216" s="10" t="s">
        <v>1978</v>
      </c>
      <c r="I216" s="10" t="s">
        <v>55</v>
      </c>
      <c r="K216" s="10" t="s">
        <v>19983</v>
      </c>
      <c r="L216" s="10" t="s">
        <v>42</v>
      </c>
    </row>
    <row r="217" ht="15.75" customHeight="1">
      <c r="A217" s="64">
        <v>45487.0</v>
      </c>
      <c r="B217" s="55" t="str">
        <f>HYPERLINK("https://jobright.ai/jobs/info/665b0ae120de66561f9177ca?utm_campaign=1064&amp;utm_source=sheet", "Apply")</f>
        <v>Apply</v>
      </c>
      <c r="C217" s="10" t="s">
        <v>19982</v>
      </c>
      <c r="D217" s="56" t="s">
        <v>730</v>
      </c>
      <c r="E217" s="10" t="s">
        <v>45</v>
      </c>
      <c r="F217" s="10" t="s">
        <v>731</v>
      </c>
      <c r="G217" s="10" t="s">
        <v>19587</v>
      </c>
      <c r="H217" s="10" t="s">
        <v>146</v>
      </c>
      <c r="I217" s="10" t="s">
        <v>55</v>
      </c>
      <c r="K217" s="10" t="s">
        <v>19983</v>
      </c>
      <c r="L217" s="10" t="s">
        <v>42</v>
      </c>
    </row>
    <row r="218" ht="15.75" customHeight="1">
      <c r="A218" s="64">
        <v>45487.0</v>
      </c>
      <c r="B218" s="55" t="str">
        <f>HYPERLINK("https://jobright.ai/jobs/info/664eb10bcd9154b3e601217a?utm_campaign=1064&amp;utm_source=sheet", "Apply")</f>
        <v>Apply</v>
      </c>
      <c r="C218" s="10" t="s">
        <v>19984</v>
      </c>
      <c r="D218" s="56" t="s">
        <v>4715</v>
      </c>
      <c r="E218" s="10" t="s">
        <v>65</v>
      </c>
      <c r="F218" s="10" t="s">
        <v>4716</v>
      </c>
      <c r="G218" s="10" t="s">
        <v>19581</v>
      </c>
      <c r="H218" s="10" t="s">
        <v>131</v>
      </c>
      <c r="I218" s="10" t="s">
        <v>55</v>
      </c>
      <c r="K218" s="10" t="s">
        <v>19985</v>
      </c>
      <c r="L218" s="10" t="s">
        <v>42</v>
      </c>
    </row>
    <row r="219" ht="15.75" customHeight="1">
      <c r="A219" s="64">
        <v>45487.0</v>
      </c>
      <c r="B219" s="55" t="str">
        <f>HYPERLINK("https://jobright.ai/jobs/info/6676b3aca2f49d4e236dc89c?utm_campaign=1064&amp;utm_source=sheet", "Apply")</f>
        <v>Apply</v>
      </c>
      <c r="C219" s="10" t="s">
        <v>19977</v>
      </c>
      <c r="D219" s="56" t="s">
        <v>1846</v>
      </c>
      <c r="E219" s="10" t="s">
        <v>45</v>
      </c>
      <c r="F219" s="10" t="s">
        <v>1485</v>
      </c>
      <c r="G219" s="10" t="s">
        <v>19587</v>
      </c>
      <c r="H219" s="10" t="s">
        <v>154</v>
      </c>
      <c r="I219" s="10" t="s">
        <v>55</v>
      </c>
      <c r="K219" s="10" t="s">
        <v>19980</v>
      </c>
      <c r="L219" s="10" t="s">
        <v>42</v>
      </c>
    </row>
    <row r="220" ht="15.75" customHeight="1">
      <c r="A220" s="64">
        <v>45487.0</v>
      </c>
      <c r="B220" s="55" t="str">
        <f>HYPERLINK("https://jobright.ai/jobs/info/664e40d7403c20224e70f8f9?utm_campaign=1064&amp;utm_source=sheet", "Apply")</f>
        <v>Apply</v>
      </c>
      <c r="C220" s="10" t="s">
        <v>19986</v>
      </c>
      <c r="D220" s="56" t="s">
        <v>19987</v>
      </c>
      <c r="E220" s="10" t="s">
        <v>209</v>
      </c>
      <c r="F220" s="10" t="s">
        <v>14889</v>
      </c>
      <c r="G220" s="10" t="s">
        <v>19587</v>
      </c>
      <c r="H220" s="10" t="s">
        <v>4149</v>
      </c>
      <c r="I220" s="10" t="s">
        <v>55</v>
      </c>
      <c r="J220" s="10" t="s">
        <v>19792</v>
      </c>
      <c r="K220" s="10" t="s">
        <v>19988</v>
      </c>
      <c r="L220" s="10" t="s">
        <v>42</v>
      </c>
    </row>
    <row r="221" ht="15.75" customHeight="1">
      <c r="A221" s="64">
        <v>45487.0</v>
      </c>
      <c r="B221" s="55" t="str">
        <f>HYPERLINK("https://jobright.ai/jobs/info/66251af88cf80f645a93a675?utm_campaign=1064&amp;utm_source=sheet", "Apply")</f>
        <v>Apply</v>
      </c>
      <c r="C221" s="10" t="s">
        <v>19989</v>
      </c>
      <c r="D221" s="56" t="s">
        <v>19780</v>
      </c>
      <c r="E221" s="10" t="s">
        <v>45</v>
      </c>
      <c r="F221" s="10" t="s">
        <v>2534</v>
      </c>
      <c r="G221" s="10" t="s">
        <v>19584</v>
      </c>
      <c r="H221" s="10" t="s">
        <v>16005</v>
      </c>
      <c r="I221" s="10" t="s">
        <v>55</v>
      </c>
      <c r="K221" s="10" t="s">
        <v>19990</v>
      </c>
      <c r="L221" s="10" t="s">
        <v>42</v>
      </c>
    </row>
    <row r="222" ht="15.75" customHeight="1">
      <c r="A222" s="64">
        <v>45487.0</v>
      </c>
      <c r="B222" s="55" t="str">
        <f>HYPERLINK("https://jobright.ai/jobs/info/665b133760515a1092af7b18?utm_campaign=1064&amp;utm_source=sheet", "Apply")</f>
        <v>Apply</v>
      </c>
      <c r="C222" s="10" t="s">
        <v>19991</v>
      </c>
      <c r="D222" s="56" t="s">
        <v>730</v>
      </c>
      <c r="E222" s="10" t="s">
        <v>45</v>
      </c>
      <c r="F222" s="10" t="s">
        <v>731</v>
      </c>
      <c r="G222" s="10" t="s">
        <v>19581</v>
      </c>
      <c r="H222" s="10" t="s">
        <v>154</v>
      </c>
      <c r="I222" s="10" t="s">
        <v>55</v>
      </c>
      <c r="K222" s="10" t="s">
        <v>19992</v>
      </c>
      <c r="L222" s="10" t="s">
        <v>42</v>
      </c>
    </row>
    <row r="223" ht="15.75" customHeight="1">
      <c r="A223" s="64">
        <v>45487.0</v>
      </c>
      <c r="B223" s="55" t="str">
        <f>HYPERLINK("https://jobright.ai/jobs/info/667968a6d86d626ab8b77b79?utm_campaign=1064&amp;utm_source=sheet", "Apply")</f>
        <v>Apply</v>
      </c>
      <c r="C223" s="10" t="s">
        <v>19993</v>
      </c>
      <c r="D223" s="56" t="s">
        <v>730</v>
      </c>
      <c r="E223" s="10" t="s">
        <v>45</v>
      </c>
      <c r="F223" s="10" t="s">
        <v>731</v>
      </c>
      <c r="G223" s="10" t="s">
        <v>19595</v>
      </c>
      <c r="H223" s="10" t="s">
        <v>96</v>
      </c>
      <c r="I223" s="10" t="s">
        <v>55</v>
      </c>
      <c r="K223" s="10" t="s">
        <v>19994</v>
      </c>
      <c r="L223" s="10" t="s">
        <v>42</v>
      </c>
    </row>
    <row r="224" ht="15.75" customHeight="1">
      <c r="A224" s="64">
        <v>45487.0</v>
      </c>
      <c r="B224" s="55" t="str">
        <f>HYPERLINK("https://jobright.ai/jobs/info/664e49dbe2794cc911da69bf?utm_campaign=1064&amp;utm_source=sheet", "Apply")</f>
        <v>Apply</v>
      </c>
      <c r="C224" s="10" t="s">
        <v>19986</v>
      </c>
      <c r="D224" s="56" t="s">
        <v>19987</v>
      </c>
      <c r="E224" s="10" t="s">
        <v>209</v>
      </c>
      <c r="F224" s="10" t="s">
        <v>14889</v>
      </c>
      <c r="G224" s="10" t="s">
        <v>19587</v>
      </c>
      <c r="H224" s="10" t="s">
        <v>872</v>
      </c>
      <c r="I224" s="10" t="s">
        <v>55</v>
      </c>
      <c r="J224" s="10" t="s">
        <v>19792</v>
      </c>
      <c r="K224" s="10" t="s">
        <v>19988</v>
      </c>
      <c r="L224" s="10" t="s">
        <v>42</v>
      </c>
    </row>
    <row r="225" ht="15.75" customHeight="1">
      <c r="A225" s="64">
        <v>45487.0</v>
      </c>
      <c r="B225" s="55" t="str">
        <f>HYPERLINK("https://jobright.ai/jobs/info/665b0ae120de66561f9177c8?utm_campaign=1064&amp;utm_source=sheet", "Apply")</f>
        <v>Apply</v>
      </c>
      <c r="C225" s="10" t="s">
        <v>19982</v>
      </c>
      <c r="D225" s="56" t="s">
        <v>730</v>
      </c>
      <c r="E225" s="10" t="s">
        <v>45</v>
      </c>
      <c r="F225" s="10" t="s">
        <v>731</v>
      </c>
      <c r="G225" s="10" t="s">
        <v>19587</v>
      </c>
      <c r="H225" s="10" t="s">
        <v>740</v>
      </c>
      <c r="I225" s="10" t="s">
        <v>55</v>
      </c>
      <c r="K225" s="10" t="s">
        <v>19983</v>
      </c>
      <c r="L225" s="10" t="s">
        <v>42</v>
      </c>
    </row>
    <row r="226" ht="15.75" customHeight="1">
      <c r="A226" s="64">
        <v>45487.0</v>
      </c>
      <c r="B226" s="55" t="str">
        <f>HYPERLINK("https://jobright.ai/jobs/info/667968dcd86d626ab8b77eeb?utm_campaign=1064&amp;utm_source=sheet", "Apply")</f>
        <v>Apply</v>
      </c>
      <c r="C226" s="10" t="s">
        <v>19982</v>
      </c>
      <c r="D226" s="56" t="s">
        <v>730</v>
      </c>
      <c r="E226" s="10" t="s">
        <v>45</v>
      </c>
      <c r="F226" s="10" t="s">
        <v>731</v>
      </c>
      <c r="G226" s="10" t="s">
        <v>19587</v>
      </c>
      <c r="H226" s="10" t="s">
        <v>868</v>
      </c>
      <c r="I226" s="10" t="s">
        <v>55</v>
      </c>
      <c r="K226" s="10" t="s">
        <v>19983</v>
      </c>
      <c r="L226" s="10" t="s">
        <v>42</v>
      </c>
    </row>
    <row r="227" ht="15.75" customHeight="1">
      <c r="A227" s="64">
        <v>45487.0</v>
      </c>
      <c r="B227" s="55" t="str">
        <f>HYPERLINK("https://jobright.ai/jobs/info/665a5d7841d25a57becf9148?utm_campaign=1064&amp;utm_source=sheet", "Apply")</f>
        <v>Apply</v>
      </c>
      <c r="C227" s="10" t="s">
        <v>19995</v>
      </c>
      <c r="D227" s="56" t="s">
        <v>6683</v>
      </c>
      <c r="E227" s="10" t="s">
        <v>45</v>
      </c>
      <c r="F227" s="10" t="s">
        <v>6684</v>
      </c>
      <c r="G227" s="10" t="s">
        <v>19595</v>
      </c>
      <c r="H227" s="10" t="s">
        <v>113</v>
      </c>
      <c r="I227" s="10" t="s">
        <v>55</v>
      </c>
      <c r="K227" s="10" t="s">
        <v>19996</v>
      </c>
      <c r="L227" s="10" t="s">
        <v>42</v>
      </c>
    </row>
    <row r="228" ht="15.75" customHeight="1">
      <c r="A228" s="64">
        <v>45487.0</v>
      </c>
      <c r="B228" s="55" t="str">
        <f>HYPERLINK("https://jobright.ai/jobs/info/665a04e2844831dbde0c4818?utm_campaign=1064&amp;utm_source=sheet", "Apply")</f>
        <v>Apply</v>
      </c>
      <c r="C228" s="10" t="s">
        <v>19997</v>
      </c>
      <c r="D228" s="56" t="s">
        <v>10806</v>
      </c>
      <c r="E228" s="10" t="s">
        <v>276</v>
      </c>
      <c r="F228" s="10" t="s">
        <v>3382</v>
      </c>
      <c r="G228" s="10" t="s">
        <v>19595</v>
      </c>
      <c r="H228" s="10" t="s">
        <v>96</v>
      </c>
      <c r="I228" s="10" t="s">
        <v>48</v>
      </c>
      <c r="K228" s="10" t="s">
        <v>19998</v>
      </c>
      <c r="L228" s="10" t="s">
        <v>42</v>
      </c>
    </row>
    <row r="229" ht="15.75" customHeight="1">
      <c r="A229" s="64">
        <v>45487.0</v>
      </c>
      <c r="B229" s="55" t="str">
        <f>HYPERLINK("https://jobright.ai/jobs/info/6693ca786d555f451cd4b917?utm_campaign=1064&amp;utm_source=sheet", "Apply")</f>
        <v>Apply</v>
      </c>
      <c r="C229" s="10" t="s">
        <v>19621</v>
      </c>
      <c r="D229" s="56" t="s">
        <v>12422</v>
      </c>
      <c r="E229" s="10" t="s">
        <v>276</v>
      </c>
      <c r="G229" s="10" t="s">
        <v>19595</v>
      </c>
      <c r="H229" s="10" t="s">
        <v>19999</v>
      </c>
      <c r="I229" s="10" t="s">
        <v>55</v>
      </c>
      <c r="K229" s="10" t="s">
        <v>20000</v>
      </c>
      <c r="L229" s="10" t="s">
        <v>42</v>
      </c>
    </row>
    <row r="230" ht="15.75" customHeight="1">
      <c r="A230" s="64">
        <v>45486.0</v>
      </c>
      <c r="B230" s="55" t="str">
        <f>HYPERLINK("https://jobright.ai/jobs/info/6692b2097c60d5dfa3b13dd2?utm_campaign=1064&amp;utm_source=sheet", "Apply")</f>
        <v>Apply</v>
      </c>
      <c r="C230" s="10" t="s">
        <v>20001</v>
      </c>
      <c r="D230" s="56" t="s">
        <v>10169</v>
      </c>
      <c r="E230" s="10" t="s">
        <v>45</v>
      </c>
      <c r="F230" s="10" t="s">
        <v>10170</v>
      </c>
      <c r="G230" s="10" t="s">
        <v>19587</v>
      </c>
      <c r="H230" s="10" t="s">
        <v>20002</v>
      </c>
      <c r="I230" s="10" t="s">
        <v>55</v>
      </c>
      <c r="K230" s="10" t="s">
        <v>20003</v>
      </c>
      <c r="L230" s="10" t="s">
        <v>42</v>
      </c>
    </row>
    <row r="231" ht="15.75" customHeight="1">
      <c r="A231" s="64">
        <v>45486.0</v>
      </c>
      <c r="B231" s="55" t="str">
        <f>HYPERLINK("https://jobright.ai/jobs/info/6692b2097c60d5dfa3b13de3?utm_campaign=1064&amp;utm_source=sheet", "Apply")</f>
        <v>Apply</v>
      </c>
      <c r="C231" s="10" t="s">
        <v>20001</v>
      </c>
      <c r="D231" s="56" t="s">
        <v>10169</v>
      </c>
      <c r="E231" s="10" t="s">
        <v>45</v>
      </c>
      <c r="F231" s="10" t="s">
        <v>10170</v>
      </c>
      <c r="G231" s="10" t="s">
        <v>19587</v>
      </c>
      <c r="H231" s="10" t="s">
        <v>1032</v>
      </c>
      <c r="I231" s="10" t="s">
        <v>55</v>
      </c>
      <c r="K231" s="10" t="s">
        <v>20003</v>
      </c>
      <c r="L231" s="10" t="s">
        <v>42</v>
      </c>
    </row>
    <row r="232" ht="15.75" customHeight="1">
      <c r="A232" s="64">
        <v>45486.0</v>
      </c>
      <c r="B232" s="55" t="str">
        <f>HYPERLINK("https://jobright.ai/jobs/info/6692b95b98702f0829c8047b?utm_campaign=1064&amp;utm_source=sheet", "Apply")</f>
        <v>Apply</v>
      </c>
      <c r="C232" s="10" t="s">
        <v>20004</v>
      </c>
      <c r="D232" s="56" t="s">
        <v>20005</v>
      </c>
      <c r="E232" s="10" t="s">
        <v>65</v>
      </c>
      <c r="F232" s="10" t="s">
        <v>20006</v>
      </c>
      <c r="G232" s="10" t="s">
        <v>19584</v>
      </c>
      <c r="H232" s="10" t="s">
        <v>20007</v>
      </c>
      <c r="I232" s="10" t="s">
        <v>55</v>
      </c>
      <c r="K232" s="10" t="s">
        <v>20008</v>
      </c>
      <c r="L232" s="10" t="s">
        <v>42</v>
      </c>
    </row>
    <row r="233" ht="15.75" customHeight="1">
      <c r="A233" s="64">
        <v>45486.0</v>
      </c>
      <c r="B233" s="55" t="str">
        <f>HYPERLINK("https://jobright.ai/jobs/info/65ba51621dda307087bd307b?utm_campaign=1064&amp;utm_source=sheet", "Apply")</f>
        <v>Apply</v>
      </c>
      <c r="C233" s="10" t="s">
        <v>20009</v>
      </c>
      <c r="D233" s="56" t="s">
        <v>1061</v>
      </c>
      <c r="E233" s="10" t="s">
        <v>209</v>
      </c>
      <c r="G233" s="10" t="s">
        <v>19584</v>
      </c>
      <c r="H233" s="10" t="s">
        <v>20010</v>
      </c>
      <c r="I233" s="10" t="s">
        <v>55</v>
      </c>
      <c r="K233" s="10" t="s">
        <v>20011</v>
      </c>
      <c r="L233" s="10" t="s">
        <v>42</v>
      </c>
    </row>
    <row r="234" ht="15.75" customHeight="1">
      <c r="A234" s="64">
        <v>45486.0</v>
      </c>
      <c r="B234" s="55" t="str">
        <f>HYPERLINK("https://jobright.ai/jobs/info/664e6b3f35a9de44ab4132cf?utm_campaign=1064&amp;utm_source=sheet", "Apply")</f>
        <v>Apply</v>
      </c>
      <c r="C234" s="10" t="s">
        <v>19986</v>
      </c>
      <c r="D234" s="56" t="s">
        <v>19987</v>
      </c>
      <c r="E234" s="10" t="s">
        <v>209</v>
      </c>
      <c r="F234" s="10" t="s">
        <v>14889</v>
      </c>
      <c r="G234" s="10" t="s">
        <v>19587</v>
      </c>
      <c r="H234" s="10" t="s">
        <v>131</v>
      </c>
      <c r="I234" s="10" t="s">
        <v>55</v>
      </c>
      <c r="J234" s="10" t="s">
        <v>19792</v>
      </c>
      <c r="K234" s="10" t="s">
        <v>19988</v>
      </c>
      <c r="L234" s="10" t="s">
        <v>42</v>
      </c>
    </row>
    <row r="235" ht="15.75" customHeight="1">
      <c r="A235" s="64">
        <v>45486.0</v>
      </c>
      <c r="B235" s="55" t="str">
        <f>HYPERLINK("https://jobright.ai/jobs/info/6676017bf1b86992c36462d3?utm_campaign=1064&amp;utm_source=sheet", "Apply")</f>
        <v>Apply</v>
      </c>
      <c r="C235" s="10" t="s">
        <v>20012</v>
      </c>
      <c r="D235" s="56" t="s">
        <v>14442</v>
      </c>
      <c r="E235" s="10" t="s">
        <v>45</v>
      </c>
      <c r="F235" s="10" t="s">
        <v>14443</v>
      </c>
      <c r="G235" s="10" t="s">
        <v>19587</v>
      </c>
      <c r="H235" s="10" t="s">
        <v>965</v>
      </c>
      <c r="I235" s="10" t="s">
        <v>55</v>
      </c>
      <c r="K235" s="10" t="s">
        <v>20013</v>
      </c>
      <c r="L235" s="10" t="s">
        <v>42</v>
      </c>
    </row>
    <row r="236" ht="15.75" customHeight="1">
      <c r="A236" s="64">
        <v>45486.0</v>
      </c>
      <c r="B236" s="55" t="str">
        <f>HYPERLINK("https://jobright.ai/jobs/info/662c12aaf5748cbeccf6e23b?utm_campaign=1064&amp;utm_source=sheet", "Apply")</f>
        <v>Apply</v>
      </c>
      <c r="C236" s="10" t="s">
        <v>20014</v>
      </c>
      <c r="D236" s="56" t="s">
        <v>20015</v>
      </c>
      <c r="E236" s="10" t="s">
        <v>276</v>
      </c>
      <c r="F236" s="10" t="s">
        <v>20016</v>
      </c>
      <c r="G236" s="10" t="s">
        <v>19584</v>
      </c>
      <c r="H236" s="10" t="s">
        <v>628</v>
      </c>
      <c r="I236" s="10" t="s">
        <v>55</v>
      </c>
      <c r="K236" s="10" t="s">
        <v>20017</v>
      </c>
      <c r="L236" s="10" t="s">
        <v>42</v>
      </c>
    </row>
    <row r="237" ht="15.75" customHeight="1">
      <c r="A237" s="64">
        <v>45486.0</v>
      </c>
      <c r="B237" s="55" t="str">
        <f>HYPERLINK("https://jobright.ai/jobs/info/664ea72b4e197fc8adcf968b?utm_campaign=1064&amp;utm_source=sheet", "Apply")</f>
        <v>Apply</v>
      </c>
      <c r="C237" s="10" t="s">
        <v>19986</v>
      </c>
      <c r="D237" s="56" t="s">
        <v>19987</v>
      </c>
      <c r="E237" s="10" t="s">
        <v>209</v>
      </c>
      <c r="F237" s="10" t="s">
        <v>14889</v>
      </c>
      <c r="G237" s="10" t="s">
        <v>19587</v>
      </c>
      <c r="H237" s="10" t="s">
        <v>7646</v>
      </c>
      <c r="I237" s="10" t="s">
        <v>55</v>
      </c>
      <c r="J237" s="10" t="s">
        <v>19792</v>
      </c>
      <c r="K237" s="10" t="s">
        <v>19988</v>
      </c>
      <c r="L237" s="10" t="s">
        <v>42</v>
      </c>
    </row>
    <row r="238" ht="15.75" customHeight="1">
      <c r="A238" s="64">
        <v>45486.0</v>
      </c>
      <c r="B238" s="55" t="str">
        <f>HYPERLINK("https://jobright.ai/jobs/info/65ba51481dda307087bd2ecd?utm_campaign=1064&amp;utm_source=sheet", "Apply")</f>
        <v>Apply</v>
      </c>
      <c r="C238" s="10" t="s">
        <v>20018</v>
      </c>
      <c r="D238" s="56" t="s">
        <v>1061</v>
      </c>
      <c r="E238" s="10" t="s">
        <v>209</v>
      </c>
      <c r="G238" s="10" t="s">
        <v>19584</v>
      </c>
      <c r="H238" s="10" t="s">
        <v>11228</v>
      </c>
      <c r="I238" s="10" t="s">
        <v>55</v>
      </c>
      <c r="K238" s="10" t="s">
        <v>20019</v>
      </c>
      <c r="L238" s="10" t="s">
        <v>42</v>
      </c>
    </row>
    <row r="239" ht="15.75" customHeight="1">
      <c r="A239" s="64">
        <v>45486.0</v>
      </c>
      <c r="B239" s="55" t="str">
        <f>HYPERLINK("https://jobright.ai/jobs/info/664ea6934e197fc8adcf88cd?utm_campaign=1064&amp;utm_source=sheet", "Apply")</f>
        <v>Apply</v>
      </c>
      <c r="C239" s="10" t="s">
        <v>19986</v>
      </c>
      <c r="D239" s="56" t="s">
        <v>19987</v>
      </c>
      <c r="E239" s="10" t="s">
        <v>209</v>
      </c>
      <c r="F239" s="10" t="s">
        <v>14889</v>
      </c>
      <c r="G239" s="10" t="s">
        <v>19587</v>
      </c>
      <c r="H239" s="10" t="s">
        <v>20020</v>
      </c>
      <c r="I239" s="10" t="s">
        <v>55</v>
      </c>
      <c r="J239" s="10" t="s">
        <v>19792</v>
      </c>
      <c r="K239" s="10" t="s">
        <v>19988</v>
      </c>
      <c r="L239" s="10" t="s">
        <v>42</v>
      </c>
    </row>
    <row r="240" ht="15.75" customHeight="1">
      <c r="A240" s="64">
        <v>45486.0</v>
      </c>
      <c r="B240" s="55" t="str">
        <f>HYPERLINK("https://jobright.ai/jobs/info/65ba51481dda307087bd2ed8?utm_campaign=1064&amp;utm_source=sheet", "Apply")</f>
        <v>Apply</v>
      </c>
      <c r="C240" s="10" t="s">
        <v>20021</v>
      </c>
      <c r="D240" s="56" t="s">
        <v>1061</v>
      </c>
      <c r="E240" s="10" t="s">
        <v>209</v>
      </c>
      <c r="G240" s="10" t="s">
        <v>19587</v>
      </c>
      <c r="H240" s="10" t="s">
        <v>1097</v>
      </c>
      <c r="I240" s="10" t="s">
        <v>55</v>
      </c>
      <c r="K240" s="10" t="s">
        <v>20022</v>
      </c>
      <c r="L240" s="10" t="s">
        <v>42</v>
      </c>
    </row>
    <row r="241" ht="15.75" customHeight="1">
      <c r="A241" s="64">
        <v>45486.0</v>
      </c>
      <c r="B241" s="55" t="str">
        <f>HYPERLINK("https://jobright.ai/jobs/info/664e36a55ea75b6f96bee2f5?utm_campaign=1064&amp;utm_source=sheet", "Apply")</f>
        <v>Apply</v>
      </c>
      <c r="C241" s="10" t="s">
        <v>19986</v>
      </c>
      <c r="D241" s="56" t="s">
        <v>19987</v>
      </c>
      <c r="E241" s="10" t="s">
        <v>209</v>
      </c>
      <c r="F241" s="10" t="s">
        <v>14889</v>
      </c>
      <c r="G241" s="10" t="s">
        <v>19587</v>
      </c>
      <c r="H241" s="10" t="s">
        <v>994</v>
      </c>
      <c r="I241" s="10" t="s">
        <v>55</v>
      </c>
      <c r="J241" s="10" t="s">
        <v>19792</v>
      </c>
      <c r="K241" s="10" t="s">
        <v>19988</v>
      </c>
      <c r="L241" s="10" t="s">
        <v>42</v>
      </c>
    </row>
    <row r="242" ht="15.75" customHeight="1">
      <c r="A242" s="64">
        <v>45486.0</v>
      </c>
      <c r="B242" s="55" t="str">
        <f>HYPERLINK("https://jobright.ai/jobs/info/664e10f910b4f1df29982d26?utm_campaign=1064&amp;utm_source=sheet", "Apply")</f>
        <v>Apply</v>
      </c>
      <c r="C242" s="10" t="s">
        <v>20023</v>
      </c>
      <c r="D242" s="56" t="s">
        <v>2745</v>
      </c>
      <c r="E242" s="10" t="s">
        <v>65</v>
      </c>
      <c r="F242" s="10" t="s">
        <v>2746</v>
      </c>
      <c r="G242" s="10" t="s">
        <v>19595</v>
      </c>
      <c r="H242" s="10" t="s">
        <v>168</v>
      </c>
      <c r="I242" s="10" t="s">
        <v>55</v>
      </c>
      <c r="K242" s="10" t="s">
        <v>20024</v>
      </c>
      <c r="L242" s="10" t="s">
        <v>42</v>
      </c>
    </row>
    <row r="243" ht="15.75" customHeight="1">
      <c r="A243" s="64">
        <v>45486.0</v>
      </c>
      <c r="B243" s="55" t="str">
        <f>HYPERLINK("https://jobright.ai/jobs/info/664e2bb1fd06ab529d52632e?utm_campaign=1064&amp;utm_source=sheet", "Apply")</f>
        <v>Apply</v>
      </c>
      <c r="C243" s="10" t="s">
        <v>19986</v>
      </c>
      <c r="D243" s="56" t="s">
        <v>19987</v>
      </c>
      <c r="E243" s="10" t="s">
        <v>209</v>
      </c>
      <c r="F243" s="10" t="s">
        <v>14889</v>
      </c>
      <c r="G243" s="10" t="s">
        <v>19587</v>
      </c>
      <c r="H243" s="10" t="s">
        <v>20025</v>
      </c>
      <c r="I243" s="10" t="s">
        <v>55</v>
      </c>
      <c r="J243" s="10" t="s">
        <v>19792</v>
      </c>
      <c r="K243" s="10" t="s">
        <v>19988</v>
      </c>
      <c r="L243" s="10" t="s">
        <v>42</v>
      </c>
    </row>
    <row r="244" ht="15.75" customHeight="1">
      <c r="A244" s="64">
        <v>45486.0</v>
      </c>
      <c r="B244" s="55" t="str">
        <f>HYPERLINK("https://jobright.ai/jobs/info/65f4f66e154e7ed4fbca65fe?utm_campaign=1064&amp;utm_source=sheet", "Apply")</f>
        <v>Apply</v>
      </c>
      <c r="C244" s="10" t="s">
        <v>20026</v>
      </c>
      <c r="D244" s="56" t="s">
        <v>1061</v>
      </c>
      <c r="E244" s="10" t="s">
        <v>209</v>
      </c>
      <c r="G244" s="10" t="s">
        <v>19584</v>
      </c>
      <c r="H244" s="10" t="s">
        <v>16005</v>
      </c>
      <c r="I244" s="10" t="s">
        <v>55</v>
      </c>
      <c r="K244" s="10" t="s">
        <v>20027</v>
      </c>
      <c r="L244" s="10" t="s">
        <v>42</v>
      </c>
    </row>
    <row r="245" ht="15.75" customHeight="1">
      <c r="A245" s="64">
        <v>45486.0</v>
      </c>
      <c r="B245" s="55" t="str">
        <f>HYPERLINK("https://jobright.ai/jobs/info/6675f75f80091fbf5e3ec108?utm_campaign=1064&amp;utm_source=sheet", "Apply")</f>
        <v>Apply</v>
      </c>
      <c r="C245" s="10" t="s">
        <v>20028</v>
      </c>
      <c r="D245" s="56" t="s">
        <v>10169</v>
      </c>
      <c r="E245" s="10" t="s">
        <v>45</v>
      </c>
      <c r="F245" s="10" t="s">
        <v>10170</v>
      </c>
      <c r="G245" s="10" t="s">
        <v>19587</v>
      </c>
      <c r="H245" s="10" t="s">
        <v>914</v>
      </c>
      <c r="I245" s="10" t="s">
        <v>55</v>
      </c>
      <c r="J245" s="10" t="s">
        <v>1960</v>
      </c>
      <c r="K245" s="10" t="s">
        <v>20029</v>
      </c>
      <c r="L245" s="10" t="s">
        <v>42</v>
      </c>
    </row>
    <row r="246" ht="15.75" customHeight="1">
      <c r="A246" s="64">
        <v>45486.0</v>
      </c>
      <c r="B246" s="55" t="str">
        <f>HYPERLINK("https://jobright.ai/jobs/info/65a777ab50bccfdaf7230e5b?utm_campaign=1064&amp;utm_source=sheet", "Apply")</f>
        <v>Apply</v>
      </c>
      <c r="C246" s="10" t="s">
        <v>20030</v>
      </c>
      <c r="D246" s="56" t="s">
        <v>716</v>
      </c>
      <c r="E246" s="10" t="s">
        <v>79</v>
      </c>
      <c r="F246" s="10" t="s">
        <v>717</v>
      </c>
      <c r="G246" s="10" t="s">
        <v>19584</v>
      </c>
      <c r="H246" s="10" t="s">
        <v>144</v>
      </c>
      <c r="I246" s="10" t="s">
        <v>48</v>
      </c>
      <c r="J246" s="10" t="s">
        <v>718</v>
      </c>
      <c r="K246" s="10" t="s">
        <v>20031</v>
      </c>
      <c r="L246" s="10" t="s">
        <v>42</v>
      </c>
    </row>
    <row r="247" ht="15.75" customHeight="1">
      <c r="A247" s="64">
        <v>45486.0</v>
      </c>
      <c r="B247" s="55" t="str">
        <f>HYPERLINK("https://jobright.ai/jobs/info/65ba51881dda307087bd335c?utm_campaign=1064&amp;utm_source=sheet", "Apply")</f>
        <v>Apply</v>
      </c>
      <c r="C247" s="10" t="s">
        <v>20032</v>
      </c>
      <c r="D247" s="56" t="s">
        <v>1061</v>
      </c>
      <c r="E247" s="10" t="s">
        <v>209</v>
      </c>
      <c r="G247" s="10" t="s">
        <v>19584</v>
      </c>
      <c r="H247" s="10" t="s">
        <v>20033</v>
      </c>
      <c r="I247" s="10" t="s">
        <v>55</v>
      </c>
      <c r="K247" s="10" t="s">
        <v>20034</v>
      </c>
      <c r="L247" s="10" t="s">
        <v>42</v>
      </c>
    </row>
    <row r="248" ht="15.75" customHeight="1">
      <c r="A248" s="64">
        <v>45486.0</v>
      </c>
      <c r="B248" s="55" t="str">
        <f>HYPERLINK("https://jobright.ai/jobs/info/664e40d7403c20224e70f8f7?utm_campaign=1064&amp;utm_source=sheet", "Apply")</f>
        <v>Apply</v>
      </c>
      <c r="C248" s="10" t="s">
        <v>19986</v>
      </c>
      <c r="D248" s="56" t="s">
        <v>19987</v>
      </c>
      <c r="E248" s="10" t="s">
        <v>209</v>
      </c>
      <c r="F248" s="10" t="s">
        <v>14889</v>
      </c>
      <c r="G248" s="10" t="s">
        <v>19587</v>
      </c>
      <c r="H248" s="10" t="s">
        <v>13894</v>
      </c>
      <c r="I248" s="10" t="s">
        <v>55</v>
      </c>
      <c r="J248" s="10" t="s">
        <v>19792</v>
      </c>
      <c r="K248" s="10" t="s">
        <v>19988</v>
      </c>
      <c r="L248" s="10" t="s">
        <v>42</v>
      </c>
    </row>
    <row r="249" ht="15.75" customHeight="1">
      <c r="A249" s="64">
        <v>45486.0</v>
      </c>
      <c r="B249" s="55" t="str">
        <f>HYPERLINK("https://jobright.ai/jobs/info/66761ad0127b183117fe8379?utm_campaign=1064&amp;utm_source=sheet", "Apply")</f>
        <v>Apply</v>
      </c>
      <c r="C249" s="10" t="s">
        <v>20035</v>
      </c>
      <c r="D249" s="56" t="s">
        <v>10169</v>
      </c>
      <c r="E249" s="10" t="s">
        <v>45</v>
      </c>
      <c r="F249" s="10" t="s">
        <v>10170</v>
      </c>
      <c r="G249" s="10" t="s">
        <v>19587</v>
      </c>
      <c r="H249" s="10" t="s">
        <v>10162</v>
      </c>
      <c r="I249" s="10" t="s">
        <v>55</v>
      </c>
      <c r="J249" s="10" t="s">
        <v>1960</v>
      </c>
      <c r="K249" s="10" t="s">
        <v>20036</v>
      </c>
      <c r="L249" s="10" t="s">
        <v>42</v>
      </c>
    </row>
    <row r="250" ht="15.75" customHeight="1">
      <c r="A250" s="64">
        <v>45486.0</v>
      </c>
      <c r="B250" s="55" t="str">
        <f>HYPERLINK("https://jobright.ai/jobs/info/667608c90f75793ae234dccf?utm_campaign=1064&amp;utm_source=sheet", "Apply")</f>
        <v>Apply</v>
      </c>
      <c r="C250" s="10" t="s">
        <v>19951</v>
      </c>
      <c r="D250" s="56" t="s">
        <v>19952</v>
      </c>
      <c r="F250" s="10" t="s">
        <v>5585</v>
      </c>
      <c r="G250" s="10" t="s">
        <v>19587</v>
      </c>
      <c r="H250" s="10" t="s">
        <v>832</v>
      </c>
      <c r="I250" s="10" t="s">
        <v>55</v>
      </c>
      <c r="J250" s="10" t="s">
        <v>19953</v>
      </c>
      <c r="K250" s="10" t="s">
        <v>19954</v>
      </c>
      <c r="L250" s="10" t="s">
        <v>42</v>
      </c>
    </row>
    <row r="251" ht="15.75" customHeight="1">
      <c r="A251" s="64">
        <v>45486.0</v>
      </c>
      <c r="B251" s="55" t="str">
        <f>HYPERLINK("https://jobright.ai/jobs/info/66766b9493b9404f41dd50f9?utm_campaign=1064&amp;utm_source=sheet", "Apply")</f>
        <v>Apply</v>
      </c>
      <c r="C251" s="10" t="s">
        <v>20037</v>
      </c>
      <c r="D251" s="56" t="s">
        <v>16508</v>
      </c>
      <c r="E251" s="10" t="s">
        <v>45</v>
      </c>
      <c r="F251" s="10" t="s">
        <v>1723</v>
      </c>
      <c r="G251" s="10" t="s">
        <v>19581</v>
      </c>
      <c r="H251" s="10" t="s">
        <v>1328</v>
      </c>
      <c r="I251" s="10" t="s">
        <v>55</v>
      </c>
      <c r="K251" s="10" t="s">
        <v>20038</v>
      </c>
      <c r="L251" s="10" t="s">
        <v>42</v>
      </c>
    </row>
    <row r="252" ht="15.75" customHeight="1">
      <c r="A252" s="64">
        <v>45486.0</v>
      </c>
      <c r="B252" s="55" t="str">
        <f>HYPERLINK("https://jobright.ai/jobs/info/669010044a77721ba220f281?utm_campaign=1064&amp;utm_source=sheet", "Apply")</f>
        <v>Apply</v>
      </c>
      <c r="C252" s="10" t="s">
        <v>19851</v>
      </c>
      <c r="D252" s="56" t="s">
        <v>20039</v>
      </c>
      <c r="E252" s="10" t="s">
        <v>45</v>
      </c>
      <c r="F252" s="10" t="s">
        <v>2409</v>
      </c>
      <c r="G252" s="10" t="s">
        <v>19595</v>
      </c>
      <c r="H252" s="10" t="s">
        <v>232</v>
      </c>
      <c r="I252" s="10" t="s">
        <v>55</v>
      </c>
      <c r="K252" s="10" t="s">
        <v>20040</v>
      </c>
      <c r="L252" s="10" t="s">
        <v>42</v>
      </c>
    </row>
    <row r="253" ht="15.75" customHeight="1">
      <c r="A253" s="64">
        <v>45485.0</v>
      </c>
      <c r="B253" s="55" t="str">
        <f>HYPERLINK("https://jobright.ai/jobs/info/666128addd708a44bac96cec?utm_campaign=1064&amp;utm_source=sheet", "Apply")</f>
        <v>Apply</v>
      </c>
      <c r="C253" s="10" t="s">
        <v>19851</v>
      </c>
      <c r="D253" s="56" t="s">
        <v>20039</v>
      </c>
      <c r="E253" s="10" t="s">
        <v>45</v>
      </c>
      <c r="F253" s="10" t="s">
        <v>2409</v>
      </c>
      <c r="G253" s="10" t="s">
        <v>19595</v>
      </c>
      <c r="H253" s="10" t="s">
        <v>232</v>
      </c>
      <c r="I253" s="10" t="s">
        <v>55</v>
      </c>
      <c r="K253" s="10" t="s">
        <v>20040</v>
      </c>
      <c r="L253" s="10" t="s">
        <v>42</v>
      </c>
    </row>
    <row r="254" ht="15.75" customHeight="1">
      <c r="A254" s="64">
        <v>45485.0</v>
      </c>
      <c r="B254" s="55" t="str">
        <f>HYPERLINK("https://jobright.ai/jobs/info/6691fb3b327c056fbfec98cf?utm_campaign=1064&amp;utm_source=sheet", "Apply")</f>
        <v>Apply</v>
      </c>
      <c r="C254" s="10" t="s">
        <v>20041</v>
      </c>
      <c r="D254" s="56" t="s">
        <v>1966</v>
      </c>
      <c r="E254" s="10">
        <v>1209.0</v>
      </c>
      <c r="G254" s="10" t="s">
        <v>19581</v>
      </c>
      <c r="H254" s="10" t="s">
        <v>96</v>
      </c>
      <c r="I254" s="10" t="s">
        <v>55</v>
      </c>
      <c r="J254" s="10" t="s">
        <v>1967</v>
      </c>
      <c r="K254" s="10" t="s">
        <v>10555</v>
      </c>
      <c r="L254" s="10" t="s">
        <v>42</v>
      </c>
    </row>
    <row r="255" ht="15.75" customHeight="1">
      <c r="A255" s="64">
        <v>45485.0</v>
      </c>
      <c r="B255" s="55" t="str">
        <f>HYPERLINK("https://jobright.ai/jobs/info/6691f69ba8833196ce3c0877?utm_campaign=1064&amp;utm_source=sheet", "Apply")</f>
        <v>Apply</v>
      </c>
      <c r="C255" s="10" t="s">
        <v>20042</v>
      </c>
      <c r="D255" s="56" t="s">
        <v>1966</v>
      </c>
      <c r="E255" s="10">
        <v>1209.0</v>
      </c>
      <c r="G255" s="10" t="s">
        <v>19584</v>
      </c>
      <c r="H255" s="10" t="s">
        <v>959</v>
      </c>
      <c r="I255" s="10" t="s">
        <v>55</v>
      </c>
      <c r="J255" s="10" t="s">
        <v>20043</v>
      </c>
      <c r="K255" s="10" t="s">
        <v>20044</v>
      </c>
      <c r="L255" s="10" t="s">
        <v>42</v>
      </c>
    </row>
    <row r="256" ht="15.75" customHeight="1">
      <c r="A256" s="64">
        <v>45485.0</v>
      </c>
      <c r="B256" s="55" t="str">
        <f>HYPERLINK("https://jobright.ai/jobs/info/6691bbe6a7836cc61b42d3f0?utm_campaign=1064&amp;utm_source=sheet", "Apply")</f>
        <v>Apply</v>
      </c>
      <c r="C256" s="10" t="s">
        <v>20045</v>
      </c>
      <c r="D256" s="56" t="s">
        <v>20046</v>
      </c>
      <c r="E256" s="10" t="s">
        <v>45</v>
      </c>
      <c r="F256" s="10" t="s">
        <v>20047</v>
      </c>
      <c r="G256" s="10" t="s">
        <v>19584</v>
      </c>
      <c r="H256" s="10" t="s">
        <v>20048</v>
      </c>
      <c r="I256" s="10" t="s">
        <v>252</v>
      </c>
      <c r="K256" s="10" t="s">
        <v>20049</v>
      </c>
      <c r="L256" s="10" t="s">
        <v>42</v>
      </c>
    </row>
    <row r="257" ht="15.75" customHeight="1">
      <c r="A257" s="64">
        <v>45485.0</v>
      </c>
      <c r="B257" s="55" t="str">
        <f>HYPERLINK("https://jobright.ai/jobs/info/6691bd69fd9555930f1fdc45?utm_campaign=1064&amp;utm_source=sheet", "Apply")</f>
        <v>Apply</v>
      </c>
      <c r="C257" s="10" t="s">
        <v>20050</v>
      </c>
      <c r="D257" s="56" t="s">
        <v>1183</v>
      </c>
      <c r="E257" s="10" t="s">
        <v>45</v>
      </c>
      <c r="F257" s="10" t="s">
        <v>1184</v>
      </c>
      <c r="G257" s="10" t="s">
        <v>19584</v>
      </c>
      <c r="H257" s="10" t="s">
        <v>165</v>
      </c>
      <c r="I257" s="10" t="s">
        <v>55</v>
      </c>
      <c r="J257" s="10" t="s">
        <v>3132</v>
      </c>
      <c r="K257" s="10" t="s">
        <v>20051</v>
      </c>
      <c r="L257" s="10" t="s">
        <v>42</v>
      </c>
    </row>
    <row r="258" ht="15.75" customHeight="1">
      <c r="A258" s="64">
        <v>45485.0</v>
      </c>
      <c r="B258" s="55" t="str">
        <f>HYPERLINK("https://jobright.ai/jobs/info/66917e8cd48d64247375d662?utm_campaign=1064&amp;utm_source=sheet", "Apply")</f>
        <v>Apply</v>
      </c>
      <c r="C258" s="10" t="s">
        <v>20052</v>
      </c>
      <c r="D258" s="56" t="s">
        <v>9746</v>
      </c>
      <c r="E258" s="10" t="s">
        <v>45</v>
      </c>
      <c r="F258" s="10" t="s">
        <v>9747</v>
      </c>
      <c r="G258" s="10" t="s">
        <v>19595</v>
      </c>
      <c r="H258" s="10" t="s">
        <v>10627</v>
      </c>
      <c r="I258" s="10" t="s">
        <v>55</v>
      </c>
      <c r="K258" s="10" t="s">
        <v>20053</v>
      </c>
      <c r="L258" s="10" t="s">
        <v>42</v>
      </c>
    </row>
    <row r="259" ht="15.75" customHeight="1">
      <c r="A259" s="64">
        <v>45485.0</v>
      </c>
      <c r="B259" s="55" t="str">
        <f>HYPERLINK("https://jobright.ai/jobs/info/669190484c69d669ab536654?utm_campaign=1064&amp;utm_source=sheet", "Apply")</f>
        <v>Apply</v>
      </c>
      <c r="C259" s="10" t="s">
        <v>15985</v>
      </c>
      <c r="D259" s="56" t="s">
        <v>11530</v>
      </c>
      <c r="E259" s="10" t="s">
        <v>65</v>
      </c>
      <c r="F259" s="10" t="s">
        <v>259</v>
      </c>
      <c r="G259" s="10" t="s">
        <v>19587</v>
      </c>
      <c r="H259" s="10" t="s">
        <v>2154</v>
      </c>
      <c r="I259" s="10" t="s">
        <v>55</v>
      </c>
      <c r="J259" s="10" t="s">
        <v>1409</v>
      </c>
      <c r="K259" s="10" t="s">
        <v>19697</v>
      </c>
      <c r="L259" s="10" t="s">
        <v>42</v>
      </c>
    </row>
    <row r="260" ht="15.75" customHeight="1">
      <c r="A260" s="64">
        <v>45485.0</v>
      </c>
      <c r="B260" s="55" t="str">
        <f>HYPERLINK("https://jobright.ai/jobs/info/6691770c1c5d42e9ec386025?utm_campaign=1064&amp;utm_source=sheet", "Apply")</f>
        <v>Apply</v>
      </c>
      <c r="C260" s="10" t="s">
        <v>15985</v>
      </c>
      <c r="D260" s="56" t="s">
        <v>11530</v>
      </c>
      <c r="E260" s="10" t="s">
        <v>65</v>
      </c>
      <c r="F260" s="10" t="s">
        <v>259</v>
      </c>
      <c r="G260" s="10" t="s">
        <v>19587</v>
      </c>
      <c r="H260" s="10" t="s">
        <v>20054</v>
      </c>
      <c r="I260" s="10" t="s">
        <v>55</v>
      </c>
      <c r="J260" s="10" t="s">
        <v>1409</v>
      </c>
      <c r="K260" s="10" t="s">
        <v>19697</v>
      </c>
      <c r="L260" s="10" t="s">
        <v>42</v>
      </c>
    </row>
    <row r="261" ht="15.75" customHeight="1">
      <c r="A261" s="64">
        <v>45485.0</v>
      </c>
      <c r="B261" s="55" t="str">
        <f>HYPERLINK("https://jobright.ai/jobs/info/6691770c1c5d42e9ec386027?utm_campaign=1064&amp;utm_source=sheet", "Apply")</f>
        <v>Apply</v>
      </c>
      <c r="C261" s="10" t="s">
        <v>15985</v>
      </c>
      <c r="D261" s="56" t="s">
        <v>11530</v>
      </c>
      <c r="E261" s="10" t="s">
        <v>65</v>
      </c>
      <c r="F261" s="10" t="s">
        <v>259</v>
      </c>
      <c r="G261" s="10" t="s">
        <v>19587</v>
      </c>
      <c r="H261" s="10" t="s">
        <v>20055</v>
      </c>
      <c r="I261" s="10" t="s">
        <v>55</v>
      </c>
      <c r="J261" s="10" t="s">
        <v>1409</v>
      </c>
      <c r="K261" s="10" t="s">
        <v>19697</v>
      </c>
      <c r="L261" s="10" t="s">
        <v>42</v>
      </c>
    </row>
    <row r="262" ht="15.75" customHeight="1">
      <c r="A262" s="64">
        <v>45485.0</v>
      </c>
      <c r="B262" s="55" t="str">
        <f>HYPERLINK("https://jobright.ai/jobs/info/6691770c1c5d42e9ec386026?utm_campaign=1064&amp;utm_source=sheet", "Apply")</f>
        <v>Apply</v>
      </c>
      <c r="C262" s="10" t="s">
        <v>15985</v>
      </c>
      <c r="D262" s="56" t="s">
        <v>11530</v>
      </c>
      <c r="E262" s="10" t="s">
        <v>65</v>
      </c>
      <c r="F262" s="10" t="s">
        <v>259</v>
      </c>
      <c r="G262" s="10" t="s">
        <v>19587</v>
      </c>
      <c r="H262" s="10" t="s">
        <v>20056</v>
      </c>
      <c r="I262" s="10" t="s">
        <v>55</v>
      </c>
      <c r="J262" s="10" t="s">
        <v>1409</v>
      </c>
      <c r="K262" s="10" t="s">
        <v>19697</v>
      </c>
      <c r="L262" s="10" t="s">
        <v>42</v>
      </c>
    </row>
    <row r="263" ht="15.75" customHeight="1">
      <c r="A263" s="64">
        <v>45485.0</v>
      </c>
      <c r="B263" s="55" t="str">
        <f>HYPERLINK("https://jobright.ai/jobs/info/66918987ac10c1640df70c8b?utm_campaign=1064&amp;utm_source=sheet", "Apply")</f>
        <v>Apply</v>
      </c>
      <c r="C263" s="10" t="s">
        <v>15985</v>
      </c>
      <c r="D263" s="56" t="s">
        <v>11530</v>
      </c>
      <c r="E263" s="10" t="s">
        <v>65</v>
      </c>
      <c r="F263" s="10" t="s">
        <v>259</v>
      </c>
      <c r="G263" s="10" t="s">
        <v>19587</v>
      </c>
      <c r="H263" s="10" t="s">
        <v>7569</v>
      </c>
      <c r="I263" s="10" t="s">
        <v>55</v>
      </c>
      <c r="J263" s="10" t="s">
        <v>1409</v>
      </c>
      <c r="K263" s="10" t="s">
        <v>19697</v>
      </c>
      <c r="L263" s="10" t="s">
        <v>42</v>
      </c>
    </row>
    <row r="264" ht="15.75" customHeight="1">
      <c r="A264" s="64">
        <v>45485.0</v>
      </c>
      <c r="B264" s="55" t="str">
        <f>HYPERLINK("https://jobright.ai/jobs/info/66918987ac10c1640df70c8c?utm_campaign=1064&amp;utm_source=sheet", "Apply")</f>
        <v>Apply</v>
      </c>
      <c r="C264" s="10" t="s">
        <v>15985</v>
      </c>
      <c r="D264" s="56" t="s">
        <v>11530</v>
      </c>
      <c r="E264" s="10" t="s">
        <v>65</v>
      </c>
      <c r="F264" s="10" t="s">
        <v>259</v>
      </c>
      <c r="G264" s="10" t="s">
        <v>19587</v>
      </c>
      <c r="H264" s="10" t="s">
        <v>340</v>
      </c>
      <c r="I264" s="10" t="s">
        <v>55</v>
      </c>
      <c r="J264" s="10" t="s">
        <v>1409</v>
      </c>
      <c r="K264" s="10" t="s">
        <v>19697</v>
      </c>
      <c r="L264" s="10" t="s">
        <v>42</v>
      </c>
    </row>
    <row r="265" ht="15.75" customHeight="1">
      <c r="A265" s="64">
        <v>45485.0</v>
      </c>
      <c r="B265" s="55" t="str">
        <f>HYPERLINK("https://jobright.ai/jobs/info/669172682b5e177ed6cb03e8?utm_campaign=1064&amp;utm_source=sheet", "Apply")</f>
        <v>Apply</v>
      </c>
      <c r="C265" s="10" t="s">
        <v>19757</v>
      </c>
      <c r="D265" s="56" t="s">
        <v>2220</v>
      </c>
      <c r="E265" s="10" t="s">
        <v>45</v>
      </c>
      <c r="F265" s="10" t="s">
        <v>2221</v>
      </c>
      <c r="G265" s="10" t="s">
        <v>19584</v>
      </c>
      <c r="H265" s="10" t="s">
        <v>956</v>
      </c>
      <c r="I265" s="10" t="s">
        <v>55</v>
      </c>
      <c r="J265" s="10" t="s">
        <v>20057</v>
      </c>
      <c r="K265" s="10" t="s">
        <v>20058</v>
      </c>
      <c r="L265" s="10" t="s">
        <v>42</v>
      </c>
    </row>
    <row r="266" ht="15.75" customHeight="1">
      <c r="A266" s="64">
        <v>45485.0</v>
      </c>
      <c r="B266" s="55" t="str">
        <f>HYPERLINK("https://jobright.ai/jobs/info/660ed87931a5716ef0698b1e?utm_campaign=1064&amp;utm_source=sheet", "Apply")</f>
        <v>Apply</v>
      </c>
      <c r="C266" s="10" t="s">
        <v>6618</v>
      </c>
      <c r="D266" s="56" t="s">
        <v>6619</v>
      </c>
      <c r="E266" s="10">
        <v>352.0</v>
      </c>
      <c r="G266" s="10" t="s">
        <v>19587</v>
      </c>
      <c r="H266" s="10" t="s">
        <v>154</v>
      </c>
      <c r="I266" s="10" t="s">
        <v>55</v>
      </c>
      <c r="K266" s="10" t="s">
        <v>6621</v>
      </c>
      <c r="L266" s="10" t="s">
        <v>42</v>
      </c>
    </row>
    <row r="267" ht="15.75" customHeight="1">
      <c r="A267" s="64">
        <v>45485.0</v>
      </c>
      <c r="B267" s="55" t="str">
        <f>HYPERLINK("https://jobright.ai/jobs/info/66a408139d6a30be4effa2a7?utm_campaign=1064&amp;utm_source=sheet", "Apply")</f>
        <v>Apply</v>
      </c>
      <c r="C267" s="10" t="s">
        <v>20059</v>
      </c>
      <c r="D267" s="56" t="s">
        <v>20060</v>
      </c>
      <c r="E267" s="10" t="s">
        <v>45</v>
      </c>
      <c r="F267" s="10" t="s">
        <v>1266</v>
      </c>
      <c r="G267" s="10" t="s">
        <v>19595</v>
      </c>
      <c r="H267" s="10" t="s">
        <v>989</v>
      </c>
      <c r="I267" s="10" t="s">
        <v>55</v>
      </c>
      <c r="K267" s="10" t="s">
        <v>20061</v>
      </c>
      <c r="L267" s="10" t="s">
        <v>42</v>
      </c>
    </row>
    <row r="268" ht="15.75" customHeight="1">
      <c r="A268" s="64">
        <v>45485.0</v>
      </c>
      <c r="B268" s="55" t="str">
        <f>HYPERLINK("https://jobright.ai/jobs/info/668e3b6dff127ff38d3a6dca?utm_campaign=1064&amp;utm_source=sheet", "Apply")</f>
        <v>Apply</v>
      </c>
      <c r="C268" s="10" t="s">
        <v>20062</v>
      </c>
      <c r="D268" s="56" t="s">
        <v>7047</v>
      </c>
      <c r="E268" s="10" t="s">
        <v>65</v>
      </c>
      <c r="F268" s="10" t="s">
        <v>5048</v>
      </c>
      <c r="G268" s="10" t="s">
        <v>19584</v>
      </c>
      <c r="H268" s="10" t="s">
        <v>7048</v>
      </c>
      <c r="I268" s="10" t="s">
        <v>55</v>
      </c>
      <c r="K268" s="10" t="s">
        <v>20063</v>
      </c>
      <c r="L268" s="10" t="s">
        <v>42</v>
      </c>
    </row>
    <row r="269" ht="15.75" customHeight="1">
      <c r="A269" s="64">
        <v>45485.0</v>
      </c>
      <c r="B269" s="55" t="str">
        <f>HYPERLINK("https://jobright.ai/jobs/info/6690d3542ee59534c58d01f4?utm_campaign=1064&amp;utm_source=sheet", "Apply")</f>
        <v>Apply</v>
      </c>
      <c r="C269" s="10" t="s">
        <v>20064</v>
      </c>
      <c r="D269" s="56" t="s">
        <v>20065</v>
      </c>
      <c r="E269" s="10" t="s">
        <v>45</v>
      </c>
      <c r="F269" s="10" t="s">
        <v>6323</v>
      </c>
      <c r="G269" s="10" t="s">
        <v>19595</v>
      </c>
      <c r="H269" s="10" t="s">
        <v>819</v>
      </c>
      <c r="I269" s="10" t="s">
        <v>55</v>
      </c>
      <c r="J269" s="10" t="s">
        <v>20066</v>
      </c>
      <c r="K269" s="10" t="s">
        <v>20067</v>
      </c>
      <c r="L269" s="10" t="s">
        <v>42</v>
      </c>
    </row>
    <row r="270" ht="15.75" customHeight="1">
      <c r="A270" s="64">
        <v>45485.0</v>
      </c>
      <c r="B270" s="55" t="str">
        <f>HYPERLINK("https://jobright.ai/jobs/info/6690e84696e6beb86b131d7e?utm_campaign=1064&amp;utm_source=sheet", "Apply")</f>
        <v>Apply</v>
      </c>
      <c r="C270" s="10" t="s">
        <v>20068</v>
      </c>
      <c r="D270" s="56" t="s">
        <v>19822</v>
      </c>
      <c r="E270" s="10" t="s">
        <v>45</v>
      </c>
      <c r="F270" s="10" t="s">
        <v>2414</v>
      </c>
      <c r="G270" s="10" t="s">
        <v>19587</v>
      </c>
      <c r="H270" s="10" t="s">
        <v>20069</v>
      </c>
      <c r="I270" s="10" t="s">
        <v>55</v>
      </c>
      <c r="J270" s="10" t="s">
        <v>20070</v>
      </c>
      <c r="K270" s="10" t="s">
        <v>19823</v>
      </c>
      <c r="L270" s="10" t="s">
        <v>42</v>
      </c>
    </row>
    <row r="271" ht="15.75" customHeight="1">
      <c r="A271" s="64">
        <v>45485.0</v>
      </c>
      <c r="B271" s="55" t="str">
        <f>HYPERLINK("https://jobright.ai/jobs/info/6691b431cdd4fd0eb3caec93?utm_campaign=1064&amp;utm_source=sheet", "Apply")</f>
        <v>Apply</v>
      </c>
      <c r="C271" s="10" t="s">
        <v>20071</v>
      </c>
      <c r="D271" s="56" t="s">
        <v>19755</v>
      </c>
      <c r="E271" s="10" t="s">
        <v>65</v>
      </c>
      <c r="F271" s="10" t="s">
        <v>14747</v>
      </c>
      <c r="G271" s="10" t="s">
        <v>19595</v>
      </c>
      <c r="H271" s="10" t="s">
        <v>949</v>
      </c>
      <c r="I271" s="10" t="s">
        <v>55</v>
      </c>
      <c r="K271" s="10" t="s">
        <v>19976</v>
      </c>
      <c r="L271" s="10" t="s">
        <v>42</v>
      </c>
    </row>
    <row r="272" ht="15.75" customHeight="1">
      <c r="A272" s="64">
        <v>45485.0</v>
      </c>
      <c r="B272" s="55" t="str">
        <f>HYPERLINK("https://jobright.ai/jobs/info/6691ad16f75851e2436d57b3?utm_campaign=1064&amp;utm_source=sheet", "Apply")</f>
        <v>Apply</v>
      </c>
      <c r="C272" s="10" t="s">
        <v>20004</v>
      </c>
      <c r="D272" s="56" t="s">
        <v>20005</v>
      </c>
      <c r="E272" s="10" t="s">
        <v>65</v>
      </c>
      <c r="F272" s="10" t="s">
        <v>20006</v>
      </c>
      <c r="G272" s="10" t="s">
        <v>19584</v>
      </c>
      <c r="H272" s="10" t="s">
        <v>20072</v>
      </c>
      <c r="I272" s="10" t="s">
        <v>55</v>
      </c>
      <c r="J272" s="10" t="s">
        <v>1873</v>
      </c>
      <c r="K272" s="10" t="s">
        <v>20073</v>
      </c>
      <c r="L272" s="10" t="s">
        <v>42</v>
      </c>
    </row>
    <row r="273" ht="15.75" customHeight="1">
      <c r="A273" s="64">
        <v>45484.0</v>
      </c>
      <c r="B273" s="55" t="str">
        <f>HYPERLINK("https://jobright.ai/jobs/info/6690f2f7e1539dd2bde3587c?utm_campaign=1064&amp;utm_source=sheet", "Apply")</f>
        <v>Apply</v>
      </c>
      <c r="C273" s="10" t="s">
        <v>20074</v>
      </c>
      <c r="D273" s="56" t="s">
        <v>20075</v>
      </c>
      <c r="E273" s="10" t="s">
        <v>45</v>
      </c>
      <c r="F273" s="10" t="s">
        <v>20076</v>
      </c>
      <c r="G273" s="10" t="s">
        <v>19595</v>
      </c>
      <c r="H273" s="10" t="s">
        <v>7721</v>
      </c>
      <c r="I273" s="10" t="s">
        <v>55</v>
      </c>
      <c r="K273" s="10" t="s">
        <v>20077</v>
      </c>
      <c r="L273" s="10" t="s">
        <v>42</v>
      </c>
    </row>
    <row r="274" ht="15.75" customHeight="1">
      <c r="A274" s="64">
        <v>45484.0</v>
      </c>
      <c r="B274" s="55" t="str">
        <f>HYPERLINK("https://jobright.ai/jobs/info/6690c5f486d30ed2f25f3d39?utm_campaign=1064&amp;utm_source=sheet", "Apply")</f>
        <v>Apply</v>
      </c>
      <c r="C274" s="10" t="s">
        <v>20078</v>
      </c>
      <c r="D274" s="56" t="s">
        <v>427</v>
      </c>
      <c r="E274" s="10" t="s">
        <v>45</v>
      </c>
      <c r="F274" s="10" t="s">
        <v>428</v>
      </c>
      <c r="G274" s="10" t="s">
        <v>19584</v>
      </c>
      <c r="H274" s="10" t="s">
        <v>438</v>
      </c>
      <c r="I274" s="10" t="s">
        <v>48</v>
      </c>
      <c r="K274" s="10" t="s">
        <v>20079</v>
      </c>
      <c r="L274" s="10" t="s">
        <v>42</v>
      </c>
    </row>
    <row r="275" ht="15.75" customHeight="1">
      <c r="A275" s="64">
        <v>45484.0</v>
      </c>
      <c r="B275" s="55" t="str">
        <f>HYPERLINK("https://jobright.ai/jobs/info/6690c8f950a8322cf99b81fc?utm_campaign=1064&amp;utm_source=sheet", "Apply")</f>
        <v>Apply</v>
      </c>
      <c r="C275" s="10" t="s">
        <v>20080</v>
      </c>
      <c r="D275" s="56" t="s">
        <v>9585</v>
      </c>
      <c r="E275" s="10" t="s">
        <v>65</v>
      </c>
      <c r="F275" s="10" t="s">
        <v>722</v>
      </c>
      <c r="G275" s="10" t="s">
        <v>19595</v>
      </c>
      <c r="H275" s="10" t="s">
        <v>168</v>
      </c>
      <c r="I275" s="10" t="s">
        <v>55</v>
      </c>
      <c r="K275" s="10" t="s">
        <v>20081</v>
      </c>
      <c r="L275" s="10" t="s">
        <v>42</v>
      </c>
    </row>
    <row r="276" ht="15.75" customHeight="1">
      <c r="A276" s="64">
        <v>45484.0</v>
      </c>
      <c r="B276" s="55" t="str">
        <f>HYPERLINK("https://jobright.ai/jobs/info/6690931f8d6939edee8a78a2?utm_campaign=1064&amp;utm_source=sheet", "Apply")</f>
        <v>Apply</v>
      </c>
      <c r="C276" s="10" t="s">
        <v>19891</v>
      </c>
      <c r="D276" s="56" t="s">
        <v>2103</v>
      </c>
      <c r="E276" s="10" t="s">
        <v>209</v>
      </c>
      <c r="F276" s="10" t="s">
        <v>2104</v>
      </c>
      <c r="G276" s="10" t="s">
        <v>19595</v>
      </c>
      <c r="H276" s="10" t="s">
        <v>20082</v>
      </c>
      <c r="I276" s="10" t="s">
        <v>55</v>
      </c>
      <c r="K276" s="10" t="s">
        <v>20083</v>
      </c>
      <c r="L276" s="10" t="s">
        <v>42</v>
      </c>
    </row>
    <row r="277" ht="15.75" customHeight="1">
      <c r="A277" s="64">
        <v>45484.0</v>
      </c>
      <c r="B277" s="55" t="str">
        <f>HYPERLINK("https://jobright.ai/jobs/info/6690598df6b922c3462cae1a?utm_campaign=1064&amp;utm_source=sheet", "Apply")</f>
        <v>Apply</v>
      </c>
      <c r="C277" s="10" t="s">
        <v>20084</v>
      </c>
      <c r="D277" s="56" t="s">
        <v>18143</v>
      </c>
      <c r="E277" s="10" t="s">
        <v>65</v>
      </c>
      <c r="F277" s="10" t="s">
        <v>2409</v>
      </c>
      <c r="G277" s="10" t="s">
        <v>19595</v>
      </c>
      <c r="H277" s="10" t="s">
        <v>139</v>
      </c>
      <c r="I277" s="10" t="s">
        <v>55</v>
      </c>
      <c r="K277" s="10" t="s">
        <v>20085</v>
      </c>
      <c r="L277" s="10" t="s">
        <v>42</v>
      </c>
    </row>
    <row r="278" ht="15.75" customHeight="1">
      <c r="A278" s="64">
        <v>45484.0</v>
      </c>
      <c r="B278" s="55" t="str">
        <f>HYPERLINK("https://jobright.ai/jobs/info/6690b05d1f8d1bc97eb683cc?utm_campaign=1064&amp;utm_source=sheet", "Apply")</f>
        <v>Apply</v>
      </c>
      <c r="C278" s="10" t="s">
        <v>20086</v>
      </c>
      <c r="D278" s="56" t="s">
        <v>20087</v>
      </c>
      <c r="E278" s="10" t="s">
        <v>65</v>
      </c>
      <c r="F278" s="10" t="s">
        <v>20088</v>
      </c>
      <c r="G278" s="10" t="s">
        <v>19587</v>
      </c>
      <c r="H278" s="10" t="s">
        <v>20089</v>
      </c>
      <c r="I278" s="10" t="s">
        <v>55</v>
      </c>
      <c r="K278" s="10" t="s">
        <v>20090</v>
      </c>
      <c r="L278" s="10" t="s">
        <v>42</v>
      </c>
    </row>
    <row r="279" ht="15.75" customHeight="1">
      <c r="A279" s="64">
        <v>45484.0</v>
      </c>
      <c r="B279" s="55" t="str">
        <f>HYPERLINK("https://jobright.ai/jobs/info/6690b0af1f8d1bc97eb68b14?utm_campaign=1064&amp;utm_source=sheet", "Apply")</f>
        <v>Apply</v>
      </c>
      <c r="C279" s="10" t="s">
        <v>20091</v>
      </c>
      <c r="D279" s="56" t="s">
        <v>20092</v>
      </c>
      <c r="E279" s="10">
        <v>89.0</v>
      </c>
      <c r="G279" s="10" t="s">
        <v>19595</v>
      </c>
      <c r="H279" s="10" t="s">
        <v>20093</v>
      </c>
      <c r="I279" s="10" t="s">
        <v>55</v>
      </c>
      <c r="J279" s="10" t="s">
        <v>17189</v>
      </c>
      <c r="K279" s="10" t="s">
        <v>20094</v>
      </c>
      <c r="L279" s="10" t="s">
        <v>42</v>
      </c>
    </row>
    <row r="280" ht="15.75" customHeight="1">
      <c r="A280" s="64">
        <v>45484.0</v>
      </c>
      <c r="B280" s="55" t="str">
        <f>HYPERLINK("https://jobright.ai/jobs/info/66909bda0aa6f308865b7e30?utm_campaign=1064&amp;utm_source=sheet", "Apply")</f>
        <v>Apply</v>
      </c>
      <c r="C280" s="10" t="s">
        <v>14424</v>
      </c>
      <c r="D280" s="56" t="s">
        <v>10169</v>
      </c>
      <c r="E280" s="10" t="s">
        <v>45</v>
      </c>
      <c r="F280" s="10" t="s">
        <v>10170</v>
      </c>
      <c r="G280" s="10" t="s">
        <v>19587</v>
      </c>
      <c r="H280" s="10" t="s">
        <v>5996</v>
      </c>
      <c r="I280" s="10" t="s">
        <v>55</v>
      </c>
      <c r="J280" s="10" t="s">
        <v>1797</v>
      </c>
      <c r="K280" s="10" t="s">
        <v>14604</v>
      </c>
      <c r="L280" s="10" t="s">
        <v>42</v>
      </c>
    </row>
    <row r="281" ht="15.75" customHeight="1">
      <c r="A281" s="64">
        <v>45484.0</v>
      </c>
      <c r="B281" s="55" t="str">
        <f>HYPERLINK("https://jobright.ai/jobs/info/66909bda0aa6f308865b7e1a?utm_campaign=1064&amp;utm_source=sheet", "Apply")</f>
        <v>Apply</v>
      </c>
      <c r="C281" s="10" t="s">
        <v>14424</v>
      </c>
      <c r="D281" s="56" t="s">
        <v>10169</v>
      </c>
      <c r="E281" s="10" t="s">
        <v>45</v>
      </c>
      <c r="F281" s="10" t="s">
        <v>10170</v>
      </c>
      <c r="G281" s="10" t="s">
        <v>19587</v>
      </c>
      <c r="H281" s="10" t="s">
        <v>18954</v>
      </c>
      <c r="I281" s="10" t="s">
        <v>55</v>
      </c>
      <c r="J281" s="10" t="s">
        <v>1797</v>
      </c>
      <c r="K281" s="10" t="s">
        <v>14604</v>
      </c>
      <c r="L281" s="10" t="s">
        <v>42</v>
      </c>
    </row>
    <row r="282" ht="15.75" customHeight="1">
      <c r="A282" s="64">
        <v>45484.0</v>
      </c>
      <c r="B282" s="55" t="str">
        <f>HYPERLINK("https://jobright.ai/jobs/info/6690e84696e6beb86b131d55?utm_campaign=1064&amp;utm_source=sheet", "Apply")</f>
        <v>Apply</v>
      </c>
      <c r="C282" s="10" t="s">
        <v>20095</v>
      </c>
      <c r="D282" s="56" t="s">
        <v>9937</v>
      </c>
      <c r="E282" s="10" t="s">
        <v>45</v>
      </c>
      <c r="F282" s="10" t="s">
        <v>9938</v>
      </c>
      <c r="G282" s="10" t="s">
        <v>19595</v>
      </c>
      <c r="H282" s="10" t="s">
        <v>152</v>
      </c>
      <c r="I282" s="10" t="s">
        <v>55</v>
      </c>
      <c r="K282" s="10" t="s">
        <v>14603</v>
      </c>
      <c r="L282" s="10" t="s">
        <v>42</v>
      </c>
    </row>
    <row r="283" ht="15.75" customHeight="1">
      <c r="A283" s="64">
        <v>45484.0</v>
      </c>
      <c r="B283" s="55" t="str">
        <f>HYPERLINK("https://jobright.ai/jobs/info/6690a0a843cab07c25cd0662?utm_campaign=1064&amp;utm_source=sheet", "Apply")</f>
        <v>Apply</v>
      </c>
      <c r="C283" s="10" t="s">
        <v>14424</v>
      </c>
      <c r="D283" s="56" t="s">
        <v>10169</v>
      </c>
      <c r="E283" s="10" t="s">
        <v>45</v>
      </c>
      <c r="F283" s="10" t="s">
        <v>10170</v>
      </c>
      <c r="G283" s="10" t="s">
        <v>19587</v>
      </c>
      <c r="H283" s="10" t="s">
        <v>20096</v>
      </c>
      <c r="I283" s="10" t="s">
        <v>55</v>
      </c>
      <c r="J283" s="10" t="s">
        <v>1797</v>
      </c>
      <c r="K283" s="10" t="s">
        <v>14604</v>
      </c>
      <c r="L283" s="10" t="s">
        <v>42</v>
      </c>
    </row>
    <row r="284" ht="15.75" customHeight="1">
      <c r="A284" s="64">
        <v>45484.0</v>
      </c>
      <c r="B284" s="55" t="str">
        <f>HYPERLINK("https://jobright.ai/jobs/info/6690c93550a8322cf99b87d1?utm_campaign=1064&amp;utm_source=sheet", "Apply")</f>
        <v>Apply</v>
      </c>
      <c r="C284" s="10" t="s">
        <v>14424</v>
      </c>
      <c r="D284" s="56" t="s">
        <v>10169</v>
      </c>
      <c r="E284" s="10" t="s">
        <v>45</v>
      </c>
      <c r="F284" s="10" t="s">
        <v>10170</v>
      </c>
      <c r="G284" s="10" t="s">
        <v>19587</v>
      </c>
      <c r="H284" s="10" t="s">
        <v>20097</v>
      </c>
      <c r="I284" s="10" t="s">
        <v>55</v>
      </c>
      <c r="J284" s="10" t="s">
        <v>1797</v>
      </c>
      <c r="K284" s="10" t="s">
        <v>14604</v>
      </c>
      <c r="L284" s="10" t="s">
        <v>42</v>
      </c>
    </row>
    <row r="285" ht="15.75" customHeight="1">
      <c r="A285" s="64">
        <v>45484.0</v>
      </c>
      <c r="B285" s="55" t="str">
        <f>HYPERLINK("https://jobright.ai/jobs/info/6690bf69555345cb31083c30?utm_campaign=1064&amp;utm_source=sheet", "Apply")</f>
        <v>Apply</v>
      </c>
      <c r="C285" s="10" t="s">
        <v>20098</v>
      </c>
      <c r="D285" s="56" t="s">
        <v>10169</v>
      </c>
      <c r="E285" s="10" t="s">
        <v>45</v>
      </c>
      <c r="F285" s="10" t="s">
        <v>10170</v>
      </c>
      <c r="G285" s="10" t="s">
        <v>19587</v>
      </c>
      <c r="H285" s="10" t="s">
        <v>986</v>
      </c>
      <c r="I285" s="10" t="s">
        <v>55</v>
      </c>
      <c r="K285" s="10" t="s">
        <v>19902</v>
      </c>
      <c r="L285" s="10" t="s">
        <v>42</v>
      </c>
    </row>
    <row r="286" ht="15.75" customHeight="1">
      <c r="A286" s="64">
        <v>45484.0</v>
      </c>
      <c r="B286" s="55" t="str">
        <f>HYPERLINK("https://jobright.ai/jobs/info/6690bf69555345cb31083c32?utm_campaign=1064&amp;utm_source=sheet", "Apply")</f>
        <v>Apply</v>
      </c>
      <c r="C286" s="10" t="s">
        <v>14424</v>
      </c>
      <c r="D286" s="56" t="s">
        <v>10169</v>
      </c>
      <c r="E286" s="10" t="s">
        <v>45</v>
      </c>
      <c r="F286" s="10" t="s">
        <v>10170</v>
      </c>
      <c r="G286" s="10" t="s">
        <v>19587</v>
      </c>
      <c r="H286" s="10" t="s">
        <v>18948</v>
      </c>
      <c r="I286" s="10" t="s">
        <v>55</v>
      </c>
      <c r="J286" s="10" t="s">
        <v>1797</v>
      </c>
      <c r="K286" s="10" t="s">
        <v>14604</v>
      </c>
      <c r="L286" s="10" t="s">
        <v>42</v>
      </c>
    </row>
    <row r="287" ht="15.75" customHeight="1">
      <c r="A287" s="64">
        <v>45484.0</v>
      </c>
      <c r="B287" s="55" t="str">
        <f>HYPERLINK("https://jobright.ai/jobs/info/6690bf69555345cb31083c38?utm_campaign=1064&amp;utm_source=sheet", "Apply")</f>
        <v>Apply</v>
      </c>
      <c r="C287" s="10" t="s">
        <v>14424</v>
      </c>
      <c r="D287" s="56" t="s">
        <v>10169</v>
      </c>
      <c r="E287" s="10" t="s">
        <v>45</v>
      </c>
      <c r="F287" s="10" t="s">
        <v>10170</v>
      </c>
      <c r="G287" s="10" t="s">
        <v>19587</v>
      </c>
      <c r="H287" s="10" t="s">
        <v>1007</v>
      </c>
      <c r="I287" s="10" t="s">
        <v>55</v>
      </c>
      <c r="J287" s="10" t="s">
        <v>1797</v>
      </c>
      <c r="K287" s="10" t="s">
        <v>14604</v>
      </c>
      <c r="L287" s="10" t="s">
        <v>42</v>
      </c>
    </row>
    <row r="288" ht="15.75" customHeight="1">
      <c r="A288" s="64">
        <v>45484.0</v>
      </c>
      <c r="B288" s="55" t="str">
        <f>HYPERLINK("https://jobright.ai/jobs/info/6690bf69555345cb31083c35?utm_campaign=1064&amp;utm_source=sheet", "Apply")</f>
        <v>Apply</v>
      </c>
      <c r="C288" s="10" t="s">
        <v>14424</v>
      </c>
      <c r="D288" s="56" t="s">
        <v>10169</v>
      </c>
      <c r="E288" s="10" t="s">
        <v>45</v>
      </c>
      <c r="F288" s="10" t="s">
        <v>10170</v>
      </c>
      <c r="G288" s="10" t="s">
        <v>19587</v>
      </c>
      <c r="H288" s="10" t="s">
        <v>1007</v>
      </c>
      <c r="I288" s="10" t="s">
        <v>55</v>
      </c>
      <c r="J288" s="10" t="s">
        <v>1797</v>
      </c>
      <c r="K288" s="10" t="s">
        <v>14604</v>
      </c>
      <c r="L288" s="10" t="s">
        <v>42</v>
      </c>
    </row>
    <row r="289" ht="15.75" customHeight="1">
      <c r="A289" s="64">
        <v>45484.0</v>
      </c>
      <c r="B289" s="55" t="str">
        <f>HYPERLINK("https://jobright.ai/jobs/info/66736d9921f478e9a4d0f4a5?utm_campaign=1064&amp;utm_source=sheet", "Apply")</f>
        <v>Apply</v>
      </c>
      <c r="C289" s="10" t="s">
        <v>20099</v>
      </c>
      <c r="D289" s="56" t="s">
        <v>716</v>
      </c>
      <c r="E289" s="10" t="s">
        <v>79</v>
      </c>
      <c r="F289" s="10" t="s">
        <v>717</v>
      </c>
      <c r="G289" s="10" t="s">
        <v>19587</v>
      </c>
      <c r="H289" s="10" t="s">
        <v>144</v>
      </c>
      <c r="I289" s="10" t="s">
        <v>48</v>
      </c>
      <c r="J289" s="10" t="s">
        <v>3290</v>
      </c>
      <c r="K289" s="10" t="s">
        <v>20100</v>
      </c>
      <c r="L289" s="10" t="s">
        <v>42</v>
      </c>
    </row>
    <row r="290" ht="15.75" customHeight="1">
      <c r="A290" s="64">
        <v>45484.0</v>
      </c>
      <c r="B290" s="55" t="str">
        <f>HYPERLINK("https://jobright.ai/jobs/info/669120a861b6573a52caa945?utm_campaign=1064&amp;utm_source=sheet", "Apply")</f>
        <v>Apply</v>
      </c>
      <c r="C290" s="10" t="s">
        <v>20101</v>
      </c>
      <c r="D290" s="56" t="s">
        <v>12942</v>
      </c>
      <c r="E290" s="10" t="s">
        <v>79</v>
      </c>
      <c r="F290" s="10" t="s">
        <v>3770</v>
      </c>
      <c r="G290" s="10" t="s">
        <v>19587</v>
      </c>
      <c r="H290" s="10" t="s">
        <v>3532</v>
      </c>
      <c r="I290" s="10" t="s">
        <v>55</v>
      </c>
      <c r="J290" s="10" t="s">
        <v>1409</v>
      </c>
      <c r="K290" s="10" t="s">
        <v>20102</v>
      </c>
      <c r="L290" s="10" t="s">
        <v>42</v>
      </c>
    </row>
    <row r="291" ht="15.75" customHeight="1">
      <c r="A291" s="64">
        <v>45484.0</v>
      </c>
      <c r="B291" s="55" t="str">
        <f>HYPERLINK("https://jobright.ai/jobs/info/669112d050888b752cb3de59?utm_campaign=1064&amp;utm_source=sheet", "Apply")</f>
        <v>Apply</v>
      </c>
      <c r="C291" s="10" t="s">
        <v>20103</v>
      </c>
      <c r="D291" s="56" t="s">
        <v>7606</v>
      </c>
      <c r="E291" s="10" t="s">
        <v>45</v>
      </c>
      <c r="F291" s="10" t="s">
        <v>1893</v>
      </c>
      <c r="G291" s="10" t="s">
        <v>19581</v>
      </c>
      <c r="H291" s="10" t="s">
        <v>575</v>
      </c>
      <c r="I291" s="10" t="s">
        <v>55</v>
      </c>
      <c r="K291" s="10" t="s">
        <v>20104</v>
      </c>
      <c r="L291" s="10" t="s">
        <v>42</v>
      </c>
    </row>
    <row r="292" ht="15.75" customHeight="1">
      <c r="A292" s="64">
        <v>45484.0</v>
      </c>
      <c r="B292" s="55" t="str">
        <f>HYPERLINK("https://jobright.ai/jobs/info/6675be326f7095ca90c0746f?utm_campaign=1064&amp;utm_source=sheet", "Apply")</f>
        <v>Apply</v>
      </c>
      <c r="C292" s="10" t="s">
        <v>20105</v>
      </c>
      <c r="D292" s="56" t="s">
        <v>20106</v>
      </c>
      <c r="E292" s="10" t="s">
        <v>249</v>
      </c>
      <c r="F292" s="10" t="s">
        <v>20107</v>
      </c>
      <c r="G292" s="10" t="s">
        <v>19595</v>
      </c>
      <c r="H292" s="10" t="s">
        <v>918</v>
      </c>
      <c r="I292" s="10" t="s">
        <v>55</v>
      </c>
      <c r="J292" s="10" t="s">
        <v>1189</v>
      </c>
      <c r="K292" s="10" t="s">
        <v>20108</v>
      </c>
      <c r="L292" s="10" t="s">
        <v>42</v>
      </c>
    </row>
    <row r="293" ht="15.75" customHeight="1">
      <c r="A293" s="64">
        <v>45484.0</v>
      </c>
      <c r="B293" s="55" t="str">
        <f>HYPERLINK("https://jobright.ai/jobs/info/6673166fa9e50a53acb10928?utm_campaign=1064&amp;utm_source=sheet", "Apply")</f>
        <v>Apply</v>
      </c>
      <c r="C293" s="10" t="s">
        <v>20109</v>
      </c>
      <c r="D293" s="56" t="s">
        <v>10169</v>
      </c>
      <c r="E293" s="10" t="s">
        <v>45</v>
      </c>
      <c r="F293" s="10" t="s">
        <v>10170</v>
      </c>
      <c r="G293" s="10" t="s">
        <v>19587</v>
      </c>
      <c r="H293" s="10" t="s">
        <v>807</v>
      </c>
      <c r="I293" s="10" t="s">
        <v>55</v>
      </c>
      <c r="J293" s="10" t="s">
        <v>1409</v>
      </c>
      <c r="K293" s="10" t="s">
        <v>20110</v>
      </c>
      <c r="L293" s="10" t="s">
        <v>42</v>
      </c>
    </row>
    <row r="294" ht="15.75" customHeight="1">
      <c r="A294" s="64">
        <v>45484.0</v>
      </c>
      <c r="B294" s="55" t="str">
        <f>HYPERLINK("https://jobright.ai/jobs/info/6690a0cd43cab07c25cd09ad?utm_campaign=1064&amp;utm_source=sheet", "Apply")</f>
        <v>Apply</v>
      </c>
      <c r="C294" s="10" t="s">
        <v>19621</v>
      </c>
      <c r="D294" s="56" t="s">
        <v>20111</v>
      </c>
      <c r="E294" s="10">
        <v>247.0</v>
      </c>
      <c r="G294" s="10" t="s">
        <v>19595</v>
      </c>
      <c r="H294" s="10" t="s">
        <v>20112</v>
      </c>
      <c r="I294" s="10" t="s">
        <v>55</v>
      </c>
      <c r="K294" s="10" t="s">
        <v>20113</v>
      </c>
      <c r="L294" s="10" t="s">
        <v>42</v>
      </c>
    </row>
    <row r="295" ht="15.75" customHeight="1">
      <c r="A295" s="64">
        <v>45484.0</v>
      </c>
      <c r="B295" s="55" t="str">
        <f>HYPERLINK("https://jobright.ai/jobs/info/6690cff3b9480c9896c8f3f8?utm_campaign=1064&amp;utm_source=sheet", "Apply")</f>
        <v>Apply</v>
      </c>
      <c r="C295" s="10" t="s">
        <v>20114</v>
      </c>
      <c r="D295" s="56" t="s">
        <v>20115</v>
      </c>
      <c r="E295" s="10" t="s">
        <v>276</v>
      </c>
      <c r="F295" s="10" t="s">
        <v>20116</v>
      </c>
      <c r="G295" s="10" t="s">
        <v>19584</v>
      </c>
      <c r="H295" s="10" t="s">
        <v>96</v>
      </c>
      <c r="I295" s="10" t="s">
        <v>55</v>
      </c>
      <c r="K295" s="10" t="s">
        <v>20117</v>
      </c>
      <c r="L295" s="10" t="s">
        <v>42</v>
      </c>
    </row>
    <row r="296" ht="15.75" customHeight="1">
      <c r="A296" s="64">
        <v>45484.0</v>
      </c>
      <c r="B296" s="55" t="str">
        <f>HYPERLINK("https://jobright.ai/jobs/info/6690cff3b9480c9896c8f3c4?utm_campaign=1064&amp;utm_source=sheet", "Apply")</f>
        <v>Apply</v>
      </c>
      <c r="C296" s="10" t="s">
        <v>20118</v>
      </c>
      <c r="D296" s="56" t="s">
        <v>20119</v>
      </c>
      <c r="E296" s="10" t="s">
        <v>65</v>
      </c>
      <c r="F296" s="10" t="s">
        <v>18523</v>
      </c>
      <c r="G296" s="10" t="s">
        <v>19595</v>
      </c>
      <c r="H296" s="10" t="s">
        <v>848</v>
      </c>
      <c r="I296" s="10" t="s">
        <v>55</v>
      </c>
      <c r="K296" s="10" t="s">
        <v>20120</v>
      </c>
      <c r="L296" s="10" t="s">
        <v>42</v>
      </c>
    </row>
    <row r="297" ht="15.75" customHeight="1">
      <c r="A297" s="64">
        <v>45484.0</v>
      </c>
      <c r="B297" s="55" t="str">
        <f>HYPERLINK("https://jobright.ai/jobs/info/668fcf77228dfafddaffea7e?utm_campaign=1064&amp;utm_source=sheet", "Apply")</f>
        <v>Apply</v>
      </c>
      <c r="C297" s="10" t="s">
        <v>20121</v>
      </c>
      <c r="D297" s="56" t="s">
        <v>20122</v>
      </c>
      <c r="E297" s="10" t="s">
        <v>137</v>
      </c>
      <c r="F297" s="10" t="s">
        <v>627</v>
      </c>
      <c r="G297" s="10" t="s">
        <v>19587</v>
      </c>
      <c r="H297" s="10" t="s">
        <v>113</v>
      </c>
      <c r="I297" s="10" t="s">
        <v>55</v>
      </c>
      <c r="K297" s="10" t="s">
        <v>20123</v>
      </c>
      <c r="L297" s="10" t="s">
        <v>42</v>
      </c>
    </row>
    <row r="298" ht="15.75" customHeight="1">
      <c r="A298" s="64">
        <v>45484.0</v>
      </c>
      <c r="B298" s="55" t="str">
        <f>HYPERLINK("https://jobright.ai/jobs/info/668f37d668ac1b2390bf160a?utm_campaign=1064&amp;utm_source=sheet", "Apply")</f>
        <v>Apply</v>
      </c>
      <c r="C298" s="10" t="s">
        <v>20124</v>
      </c>
      <c r="D298" s="56" t="s">
        <v>12911</v>
      </c>
      <c r="G298" s="10" t="s">
        <v>19584</v>
      </c>
      <c r="H298" s="10" t="s">
        <v>4858</v>
      </c>
      <c r="I298" s="10" t="s">
        <v>55</v>
      </c>
      <c r="K298" s="10" t="s">
        <v>20125</v>
      </c>
      <c r="L298" s="10" t="s">
        <v>42</v>
      </c>
    </row>
    <row r="299" ht="15.75" customHeight="1">
      <c r="A299" s="64">
        <v>45484.0</v>
      </c>
      <c r="B299" s="55" t="str">
        <f>HYPERLINK("https://jobright.ai/jobs/info/668fcf77228dfafddaffea72?utm_campaign=1064&amp;utm_source=sheet", "Apply")</f>
        <v>Apply</v>
      </c>
      <c r="C299" s="10" t="s">
        <v>20126</v>
      </c>
      <c r="D299" s="56" t="s">
        <v>20127</v>
      </c>
      <c r="E299" s="10" t="s">
        <v>276</v>
      </c>
      <c r="F299" s="10" t="s">
        <v>2240</v>
      </c>
      <c r="G299" s="10" t="s">
        <v>19581</v>
      </c>
      <c r="H299" s="10" t="s">
        <v>251</v>
      </c>
      <c r="I299" s="10" t="s">
        <v>252</v>
      </c>
      <c r="K299" s="10" t="s">
        <v>20128</v>
      </c>
      <c r="L299" s="10" t="s">
        <v>42</v>
      </c>
    </row>
    <row r="300" ht="15.75" customHeight="1">
      <c r="A300" s="64">
        <v>45483.0</v>
      </c>
      <c r="B300" s="55" t="str">
        <f>HYPERLINK("https://jobright.ai/jobs/info/6688743fc75a6e7e29dd20a6?utm_campaign=1064&amp;utm_source=sheet", "Apply")</f>
        <v>Apply</v>
      </c>
      <c r="C300" s="10" t="s">
        <v>20129</v>
      </c>
      <c r="D300" s="56" t="s">
        <v>9105</v>
      </c>
      <c r="E300" s="10" t="s">
        <v>45</v>
      </c>
      <c r="G300" s="10" t="s">
        <v>19595</v>
      </c>
      <c r="H300" s="10" t="s">
        <v>9106</v>
      </c>
      <c r="I300" s="10" t="s">
        <v>55</v>
      </c>
      <c r="K300" s="10" t="s">
        <v>20130</v>
      </c>
      <c r="L300" s="10" t="s">
        <v>42</v>
      </c>
    </row>
    <row r="301" ht="15.75" customHeight="1">
      <c r="A301" s="64">
        <v>45483.0</v>
      </c>
      <c r="B301" s="55" t="str">
        <f>HYPERLINK("https://jobright.ai/jobs/info/668fe76685be61dbaa64a122?utm_campaign=1064&amp;utm_source=sheet", "Apply")</f>
        <v>Apply</v>
      </c>
      <c r="C301" s="10" t="s">
        <v>20131</v>
      </c>
      <c r="D301" s="56" t="s">
        <v>6854</v>
      </c>
      <c r="E301" s="10" t="s">
        <v>45</v>
      </c>
      <c r="F301" s="10" t="s">
        <v>6855</v>
      </c>
      <c r="G301" s="10" t="s">
        <v>19584</v>
      </c>
      <c r="H301" s="10" t="s">
        <v>6856</v>
      </c>
      <c r="I301" s="10" t="s">
        <v>55</v>
      </c>
      <c r="K301" s="10" t="s">
        <v>20132</v>
      </c>
      <c r="L301" s="10" t="s">
        <v>42</v>
      </c>
    </row>
    <row r="302" ht="15.75" customHeight="1">
      <c r="A302" s="64">
        <v>45483.0</v>
      </c>
      <c r="B302" s="55" t="str">
        <f>HYPERLINK("https://jobright.ai/jobs/info/668f0ccdb56b2f6c1d79c577?utm_campaign=1064&amp;utm_source=sheet", "Apply")</f>
        <v>Apply</v>
      </c>
      <c r="C302" s="10" t="s">
        <v>20133</v>
      </c>
      <c r="D302" s="56" t="s">
        <v>2215</v>
      </c>
      <c r="E302" s="10" t="s">
        <v>45</v>
      </c>
      <c r="F302" s="10" t="s">
        <v>2216</v>
      </c>
      <c r="G302" s="10" t="s">
        <v>19595</v>
      </c>
      <c r="H302" s="10" t="s">
        <v>807</v>
      </c>
      <c r="I302" s="10" t="s">
        <v>55</v>
      </c>
      <c r="J302" s="10" t="s">
        <v>20134</v>
      </c>
      <c r="K302" s="10" t="s">
        <v>20135</v>
      </c>
      <c r="L302" s="10" t="s">
        <v>42</v>
      </c>
    </row>
    <row r="303" ht="15.75" customHeight="1">
      <c r="A303" s="64">
        <v>45483.0</v>
      </c>
      <c r="B303" s="55" t="str">
        <f>HYPERLINK("https://jobright.ai/jobs/info/668feba1b682295972555127?utm_campaign=1064&amp;utm_source=sheet", "Apply")</f>
        <v>Apply</v>
      </c>
      <c r="C303" s="10" t="s">
        <v>20136</v>
      </c>
      <c r="D303" s="56" t="s">
        <v>1350</v>
      </c>
      <c r="E303" s="10" t="s">
        <v>45</v>
      </c>
      <c r="F303" s="10" t="s">
        <v>1351</v>
      </c>
      <c r="G303" s="10" t="s">
        <v>19587</v>
      </c>
      <c r="H303" s="10" t="s">
        <v>775</v>
      </c>
      <c r="I303" s="10" t="s">
        <v>55</v>
      </c>
      <c r="K303" s="10" t="s">
        <v>20137</v>
      </c>
      <c r="L303" s="10" t="s">
        <v>42</v>
      </c>
    </row>
    <row r="304" ht="15.75" customHeight="1">
      <c r="A304" s="64">
        <v>45483.0</v>
      </c>
      <c r="B304" s="55" t="str">
        <f>HYPERLINK("https://jobright.ai/jobs/info/668f13b4fa836e0651495b24?utm_campaign=1064&amp;utm_source=sheet", "Apply")</f>
        <v>Apply</v>
      </c>
      <c r="C304" s="10" t="s">
        <v>20138</v>
      </c>
      <c r="D304" s="56" t="s">
        <v>20139</v>
      </c>
      <c r="E304" s="10" t="s">
        <v>79</v>
      </c>
      <c r="F304" s="10" t="s">
        <v>20140</v>
      </c>
      <c r="G304" s="10" t="s">
        <v>19595</v>
      </c>
      <c r="H304" s="10" t="s">
        <v>1144</v>
      </c>
      <c r="I304" s="10" t="s">
        <v>55</v>
      </c>
      <c r="K304" s="10" t="s">
        <v>20141</v>
      </c>
      <c r="L304" s="10" t="s">
        <v>42</v>
      </c>
    </row>
    <row r="305" ht="15.75" customHeight="1">
      <c r="A305" s="64">
        <v>45483.0</v>
      </c>
      <c r="B305" s="55" t="str">
        <f>HYPERLINK("https://jobright.ai/jobs/info/668eea4b97cc7c3025b92439?utm_campaign=1064&amp;utm_source=sheet", "Apply")</f>
        <v>Apply</v>
      </c>
      <c r="C305" s="10" t="s">
        <v>20142</v>
      </c>
      <c r="D305" s="56" t="s">
        <v>8233</v>
      </c>
      <c r="E305" s="10" t="s">
        <v>65</v>
      </c>
      <c r="F305" s="10" t="s">
        <v>1234</v>
      </c>
      <c r="G305" s="10" t="s">
        <v>19595</v>
      </c>
      <c r="H305" s="10" t="s">
        <v>117</v>
      </c>
      <c r="I305" s="10" t="s">
        <v>55</v>
      </c>
      <c r="K305" s="10" t="s">
        <v>20143</v>
      </c>
      <c r="L305" s="10" t="s">
        <v>42</v>
      </c>
    </row>
    <row r="306" ht="15.75" customHeight="1">
      <c r="A306" s="64">
        <v>45483.0</v>
      </c>
      <c r="B306" s="55" t="str">
        <f>HYPERLINK("https://jobright.ai/jobs/info/66900ff34a77721ba220f11d?utm_campaign=1064&amp;utm_source=sheet", "Apply")</f>
        <v>Apply</v>
      </c>
      <c r="C306" s="10" t="s">
        <v>20098</v>
      </c>
      <c r="D306" s="56" t="s">
        <v>10169</v>
      </c>
      <c r="E306" s="10" t="s">
        <v>45</v>
      </c>
      <c r="F306" s="10" t="s">
        <v>10170</v>
      </c>
      <c r="G306" s="10" t="s">
        <v>19587</v>
      </c>
      <c r="H306" s="10" t="s">
        <v>708</v>
      </c>
      <c r="I306" s="10" t="s">
        <v>55</v>
      </c>
      <c r="K306" s="10" t="s">
        <v>19902</v>
      </c>
      <c r="L306" s="10" t="s">
        <v>42</v>
      </c>
    </row>
    <row r="307" ht="15.75" customHeight="1">
      <c r="A307" s="64">
        <v>45483.0</v>
      </c>
      <c r="B307" s="55" t="str">
        <f>HYPERLINK("https://jobright.ai/jobs/info/668fb38cbc164957f31d1e1c?utm_campaign=1064&amp;utm_source=sheet", "Apply")</f>
        <v>Apply</v>
      </c>
      <c r="C307" s="10" t="s">
        <v>19621</v>
      </c>
      <c r="D307" s="56" t="s">
        <v>20144</v>
      </c>
      <c r="E307" s="10" t="s">
        <v>276</v>
      </c>
      <c r="F307" s="10" t="s">
        <v>4901</v>
      </c>
      <c r="G307" s="10" t="s">
        <v>19595</v>
      </c>
      <c r="H307" s="10" t="s">
        <v>3317</v>
      </c>
      <c r="I307" s="10" t="s">
        <v>55</v>
      </c>
      <c r="K307" s="10" t="s">
        <v>20145</v>
      </c>
      <c r="L307" s="10" t="s">
        <v>42</v>
      </c>
    </row>
    <row r="308" ht="15.75" customHeight="1">
      <c r="A308" s="64">
        <v>45483.0</v>
      </c>
      <c r="B308" s="55" t="str">
        <f>HYPERLINK("https://jobright.ai/jobs/info/668ffe1b3d0f271fc1a4a22f?utm_campaign=1064&amp;utm_source=sheet", "Apply")</f>
        <v>Apply</v>
      </c>
      <c r="C308" s="10" t="s">
        <v>15985</v>
      </c>
      <c r="D308" s="56" t="s">
        <v>11530</v>
      </c>
      <c r="E308" s="10" t="s">
        <v>65</v>
      </c>
      <c r="F308" s="10" t="s">
        <v>259</v>
      </c>
      <c r="G308" s="10" t="s">
        <v>19587</v>
      </c>
      <c r="H308" s="10" t="s">
        <v>910</v>
      </c>
      <c r="I308" s="10" t="s">
        <v>55</v>
      </c>
      <c r="J308" s="10" t="s">
        <v>1409</v>
      </c>
      <c r="K308" s="10" t="s">
        <v>19697</v>
      </c>
      <c r="L308" s="10" t="s">
        <v>42</v>
      </c>
    </row>
    <row r="309" ht="15.75" customHeight="1">
      <c r="A309" s="64">
        <v>45483.0</v>
      </c>
      <c r="B309" s="55" t="str">
        <f>HYPERLINK("https://jobright.ai/jobs/info/668fd7dfd38b7377a4fa902e?utm_campaign=1064&amp;utm_source=sheet", "Apply")</f>
        <v>Apply</v>
      </c>
      <c r="C309" s="10" t="s">
        <v>20146</v>
      </c>
      <c r="D309" s="56" t="s">
        <v>1115</v>
      </c>
      <c r="E309" s="10" t="s">
        <v>65</v>
      </c>
      <c r="F309" s="10" t="s">
        <v>1116</v>
      </c>
      <c r="G309" s="10" t="s">
        <v>19584</v>
      </c>
      <c r="H309" s="10" t="s">
        <v>607</v>
      </c>
      <c r="I309" s="10" t="s">
        <v>48</v>
      </c>
      <c r="K309" s="10" t="s">
        <v>20147</v>
      </c>
      <c r="L309" s="10" t="s">
        <v>42</v>
      </c>
    </row>
    <row r="310" ht="15.75" customHeight="1">
      <c r="A310" s="64">
        <v>45483.0</v>
      </c>
      <c r="B310" s="55" t="str">
        <f>HYPERLINK("https://jobright.ai/jobs/info/6671ce6f3a5607a134ff3432?utm_campaign=1064&amp;utm_source=sheet", "Apply")</f>
        <v>Apply</v>
      </c>
      <c r="C310" s="10" t="s">
        <v>20148</v>
      </c>
      <c r="D310" s="56" t="s">
        <v>10169</v>
      </c>
      <c r="E310" s="10" t="s">
        <v>45</v>
      </c>
      <c r="F310" s="10" t="s">
        <v>10170</v>
      </c>
      <c r="G310" s="10" t="s">
        <v>19587</v>
      </c>
      <c r="H310" s="10" t="s">
        <v>1048</v>
      </c>
      <c r="I310" s="10" t="s">
        <v>55</v>
      </c>
      <c r="J310" s="10" t="s">
        <v>1608</v>
      </c>
      <c r="K310" s="10" t="s">
        <v>12846</v>
      </c>
      <c r="L310" s="10" t="s">
        <v>42</v>
      </c>
    </row>
    <row r="311" ht="15.75" customHeight="1">
      <c r="A311" s="64">
        <v>45483.0</v>
      </c>
      <c r="B311" s="55" t="str">
        <f>HYPERLINK("https://jobright.ai/jobs/info/668f42a9e74ffdb5b62629bf?utm_campaign=1064&amp;utm_source=sheet", "Apply")</f>
        <v>Apply</v>
      </c>
      <c r="C311" s="10" t="s">
        <v>15985</v>
      </c>
      <c r="D311" s="56" t="s">
        <v>11530</v>
      </c>
      <c r="E311" s="10" t="s">
        <v>65</v>
      </c>
      <c r="F311" s="10" t="s">
        <v>259</v>
      </c>
      <c r="G311" s="10" t="s">
        <v>19587</v>
      </c>
      <c r="H311" s="10" t="s">
        <v>16687</v>
      </c>
      <c r="I311" s="10" t="s">
        <v>55</v>
      </c>
      <c r="J311" s="10" t="s">
        <v>1409</v>
      </c>
      <c r="K311" s="10" t="s">
        <v>19697</v>
      </c>
      <c r="L311" s="10" t="s">
        <v>42</v>
      </c>
    </row>
    <row r="312" ht="15.75" customHeight="1">
      <c r="A312" s="64">
        <v>45483.0</v>
      </c>
      <c r="B312" s="55" t="str">
        <f>HYPERLINK("https://jobright.ai/jobs/info/668e6a0193519db874d56b6b?utm_campaign=1064&amp;utm_source=sheet", "Apply")</f>
        <v>Apply</v>
      </c>
      <c r="C312" s="10" t="s">
        <v>19637</v>
      </c>
      <c r="D312" s="56" t="s">
        <v>20149</v>
      </c>
      <c r="E312" s="59">
        <v>45301.0</v>
      </c>
      <c r="F312" s="10" t="s">
        <v>20150</v>
      </c>
      <c r="G312" s="10" t="s">
        <v>19584</v>
      </c>
      <c r="H312" s="10" t="s">
        <v>923</v>
      </c>
      <c r="I312" s="10" t="s">
        <v>55</v>
      </c>
      <c r="J312" s="10" t="s">
        <v>6003</v>
      </c>
      <c r="K312" s="10" t="s">
        <v>20151</v>
      </c>
      <c r="L312" s="10" t="s">
        <v>42</v>
      </c>
    </row>
    <row r="313" ht="15.75" customHeight="1">
      <c r="A313" s="64">
        <v>45483.0</v>
      </c>
      <c r="B313" s="55" t="str">
        <f>HYPERLINK("https://jobright.ai/jobs/info/668edae374297e1dfe012b85?utm_campaign=1064&amp;utm_source=sheet", "Apply")</f>
        <v>Apply</v>
      </c>
      <c r="C313" s="10" t="s">
        <v>20152</v>
      </c>
      <c r="D313" s="56" t="s">
        <v>2144</v>
      </c>
      <c r="E313" s="10" t="s">
        <v>65</v>
      </c>
      <c r="F313" s="10" t="s">
        <v>2145</v>
      </c>
      <c r="G313" s="10" t="s">
        <v>19584</v>
      </c>
      <c r="H313" s="10" t="s">
        <v>20153</v>
      </c>
      <c r="I313" s="10" t="s">
        <v>55</v>
      </c>
      <c r="J313" s="10" t="s">
        <v>20154</v>
      </c>
      <c r="K313" s="10" t="s">
        <v>20155</v>
      </c>
      <c r="L313" s="10" t="s">
        <v>42</v>
      </c>
    </row>
    <row r="314" ht="15.75" customHeight="1">
      <c r="A314" s="64">
        <v>45482.0</v>
      </c>
      <c r="B314" s="55" t="str">
        <f>HYPERLINK("https://jobright.ai/jobs/info/668e89da06f3000f3f2119ef?utm_campaign=1064&amp;utm_source=sheet", "Apply")</f>
        <v>Apply</v>
      </c>
      <c r="C314" s="10" t="s">
        <v>20156</v>
      </c>
      <c r="D314" s="56" t="s">
        <v>1061</v>
      </c>
      <c r="E314" s="10" t="s">
        <v>209</v>
      </c>
      <c r="G314" s="10" t="s">
        <v>19584</v>
      </c>
      <c r="H314" s="10" t="s">
        <v>3532</v>
      </c>
      <c r="I314" s="10" t="s">
        <v>55</v>
      </c>
      <c r="K314" s="10" t="s">
        <v>20157</v>
      </c>
      <c r="L314" s="10" t="s">
        <v>42</v>
      </c>
    </row>
    <row r="315" ht="15.75" customHeight="1">
      <c r="A315" s="64">
        <v>45482.0</v>
      </c>
      <c r="B315" s="55" t="str">
        <f>HYPERLINK("https://jobright.ai/jobs/info/668d8373e45593dfb218d32d?utm_campaign=1064&amp;utm_source=sheet", "Apply")</f>
        <v>Apply</v>
      </c>
      <c r="C315" s="10" t="s">
        <v>20158</v>
      </c>
      <c r="D315" s="56" t="s">
        <v>10169</v>
      </c>
      <c r="E315" s="10" t="s">
        <v>45</v>
      </c>
      <c r="F315" s="10" t="s">
        <v>10170</v>
      </c>
      <c r="G315" s="10" t="s">
        <v>19587</v>
      </c>
      <c r="H315" s="10" t="s">
        <v>985</v>
      </c>
      <c r="I315" s="10" t="s">
        <v>55</v>
      </c>
      <c r="J315" s="10" t="s">
        <v>1608</v>
      </c>
      <c r="K315" s="10" t="s">
        <v>12846</v>
      </c>
      <c r="L315" s="10" t="s">
        <v>42</v>
      </c>
    </row>
    <row r="316" ht="15.75" customHeight="1">
      <c r="A316" s="64">
        <v>45482.0</v>
      </c>
      <c r="B316" s="55" t="str">
        <f>HYPERLINK("https://jobright.ai/jobs/info/668d8df06abc78b21c1dc946?utm_campaign=1064&amp;utm_source=sheet", "Apply")</f>
        <v>Apply</v>
      </c>
      <c r="C316" s="10" t="s">
        <v>20159</v>
      </c>
      <c r="D316" s="56" t="s">
        <v>20160</v>
      </c>
      <c r="E316" s="10" t="s">
        <v>65</v>
      </c>
      <c r="F316" s="10" t="s">
        <v>20161</v>
      </c>
      <c r="G316" s="10" t="s">
        <v>19595</v>
      </c>
      <c r="H316" s="10" t="s">
        <v>2931</v>
      </c>
      <c r="I316" s="10" t="s">
        <v>48</v>
      </c>
      <c r="J316" s="10" t="s">
        <v>2450</v>
      </c>
      <c r="K316" s="10" t="s">
        <v>20162</v>
      </c>
      <c r="L316" s="10" t="s">
        <v>42</v>
      </c>
    </row>
    <row r="317" ht="15.75" customHeight="1">
      <c r="A317" s="64">
        <v>45482.0</v>
      </c>
      <c r="B317" s="55" t="str">
        <f>HYPERLINK("https://jobright.ai/jobs/info/668d64b407bd578dc4dffaf0?utm_campaign=1064&amp;utm_source=sheet", "Apply")</f>
        <v>Apply</v>
      </c>
      <c r="C317" s="10" t="s">
        <v>19665</v>
      </c>
      <c r="D317" s="56" t="s">
        <v>1780</v>
      </c>
      <c r="E317" s="10" t="s">
        <v>45</v>
      </c>
      <c r="F317" s="10" t="s">
        <v>1781</v>
      </c>
      <c r="G317" s="10" t="s">
        <v>19587</v>
      </c>
      <c r="H317" s="10" t="s">
        <v>153</v>
      </c>
      <c r="I317" s="10" t="s">
        <v>48</v>
      </c>
      <c r="K317" s="10" t="s">
        <v>20163</v>
      </c>
      <c r="L317" s="10" t="s">
        <v>42</v>
      </c>
    </row>
    <row r="318" ht="15.75" customHeight="1">
      <c r="A318" s="64">
        <v>45482.0</v>
      </c>
      <c r="B318" s="55" t="str">
        <f>HYPERLINK("https://jobright.ai/jobs/info/668d6a107d76edb31743c7db?utm_campaign=1064&amp;utm_source=sheet", "Apply")</f>
        <v>Apply</v>
      </c>
      <c r="C318" s="10" t="s">
        <v>19637</v>
      </c>
      <c r="D318" s="56" t="s">
        <v>20164</v>
      </c>
      <c r="E318" s="10" t="s">
        <v>249</v>
      </c>
      <c r="F318" s="10" t="s">
        <v>1485</v>
      </c>
      <c r="G318" s="10" t="s">
        <v>19584</v>
      </c>
      <c r="H318" s="10" t="s">
        <v>20165</v>
      </c>
      <c r="I318" s="10" t="s">
        <v>48</v>
      </c>
      <c r="J318" s="10" t="s">
        <v>1984</v>
      </c>
      <c r="K318" s="10" t="s">
        <v>20166</v>
      </c>
      <c r="L318" s="10" t="s">
        <v>42</v>
      </c>
    </row>
    <row r="319" ht="15.75" customHeight="1">
      <c r="A319" s="64">
        <v>45482.0</v>
      </c>
      <c r="B319" s="55" t="str">
        <f>HYPERLINK("https://jobright.ai/jobs/info/6677b2c9d57a2b58a480d0ed?utm_campaign=1064&amp;utm_source=sheet", "Apply")</f>
        <v>Apply</v>
      </c>
      <c r="C319" s="10" t="s">
        <v>20167</v>
      </c>
      <c r="D319" s="56" t="s">
        <v>20168</v>
      </c>
      <c r="E319" s="10" t="s">
        <v>79</v>
      </c>
      <c r="F319" s="10" t="s">
        <v>1159</v>
      </c>
      <c r="G319" s="10" t="s">
        <v>19581</v>
      </c>
      <c r="H319" s="10" t="s">
        <v>18249</v>
      </c>
      <c r="I319" s="10" t="s">
        <v>55</v>
      </c>
      <c r="L319" s="10" t="s">
        <v>42</v>
      </c>
    </row>
    <row r="320" ht="15.75" customHeight="1">
      <c r="A320" s="64">
        <v>45482.0</v>
      </c>
      <c r="B320" s="55" t="str">
        <f>HYPERLINK("https://jobright.ai/jobs/info/668fdb8922cfeb6ebf476ef9?utm_campaign=1064&amp;utm_source=sheet", "Apply")</f>
        <v>Apply</v>
      </c>
      <c r="C320" s="10" t="s">
        <v>20169</v>
      </c>
      <c r="D320" s="56" t="s">
        <v>6937</v>
      </c>
      <c r="E320" s="10" t="s">
        <v>71</v>
      </c>
      <c r="F320" s="10" t="s">
        <v>6938</v>
      </c>
      <c r="G320" s="10" t="s">
        <v>19581</v>
      </c>
      <c r="H320" s="10" t="s">
        <v>423</v>
      </c>
      <c r="I320" s="10" t="s">
        <v>55</v>
      </c>
      <c r="K320" s="10" t="s">
        <v>20170</v>
      </c>
      <c r="L320" s="10" t="s">
        <v>42</v>
      </c>
    </row>
    <row r="321" ht="15.75" customHeight="1">
      <c r="A321" s="64">
        <v>45482.0</v>
      </c>
      <c r="B321" s="55" t="str">
        <f>HYPERLINK("https://jobright.ai/jobs/info/668e8a4306f3000f3f2121e3?utm_campaign=1064&amp;utm_source=sheet", "Apply")</f>
        <v>Apply</v>
      </c>
      <c r="C321" s="10" t="s">
        <v>20171</v>
      </c>
      <c r="D321" s="56" t="s">
        <v>20172</v>
      </c>
      <c r="E321" s="10" t="s">
        <v>209</v>
      </c>
      <c r="F321" s="10" t="s">
        <v>1893</v>
      </c>
      <c r="G321" s="10" t="s">
        <v>19595</v>
      </c>
      <c r="H321" s="10" t="s">
        <v>822</v>
      </c>
      <c r="I321" s="10" t="s">
        <v>55</v>
      </c>
      <c r="K321" s="10" t="s">
        <v>20173</v>
      </c>
      <c r="L321" s="10" t="s">
        <v>42</v>
      </c>
    </row>
    <row r="322" ht="15.75" customHeight="1">
      <c r="A322" s="64">
        <v>45482.0</v>
      </c>
      <c r="B322" s="55" t="str">
        <f>HYPERLINK("https://jobright.ai/jobs/info/664e40f6403c20224e70fad0?utm_campaign=1064&amp;utm_source=sheet", "Apply")</f>
        <v>Apply</v>
      </c>
      <c r="C322" s="10" t="s">
        <v>19986</v>
      </c>
      <c r="D322" s="56" t="s">
        <v>19987</v>
      </c>
      <c r="E322" s="10" t="s">
        <v>209</v>
      </c>
      <c r="F322" s="10" t="s">
        <v>14889</v>
      </c>
      <c r="G322" s="10" t="s">
        <v>19587</v>
      </c>
      <c r="H322" s="10" t="s">
        <v>13305</v>
      </c>
      <c r="I322" s="10" t="s">
        <v>55</v>
      </c>
      <c r="J322" s="10" t="s">
        <v>19792</v>
      </c>
      <c r="K322" s="10" t="s">
        <v>19988</v>
      </c>
      <c r="L322" s="10" t="s">
        <v>42</v>
      </c>
    </row>
    <row r="323" ht="15.75" customHeight="1">
      <c r="A323" s="64">
        <v>45482.0</v>
      </c>
      <c r="B323" s="55" t="str">
        <f>HYPERLINK("https://jobright.ai/jobs/info/6662782bd90a04f6be80a0fe?utm_campaign=1064&amp;utm_source=sheet", "Apply")</f>
        <v>Apply</v>
      </c>
      <c r="C323" s="10" t="s">
        <v>20174</v>
      </c>
      <c r="D323" s="56" t="s">
        <v>12864</v>
      </c>
      <c r="E323" s="10" t="s">
        <v>45</v>
      </c>
      <c r="F323" s="10" t="s">
        <v>8746</v>
      </c>
      <c r="G323" s="10" t="s">
        <v>19581</v>
      </c>
      <c r="H323" s="10" t="s">
        <v>5245</v>
      </c>
      <c r="I323" s="10" t="s">
        <v>55</v>
      </c>
      <c r="K323" s="10" t="s">
        <v>20175</v>
      </c>
      <c r="L323" s="10" t="s">
        <v>42</v>
      </c>
    </row>
    <row r="324" ht="15.75" customHeight="1">
      <c r="A324" s="64">
        <v>45482.0</v>
      </c>
      <c r="B324" s="55" t="str">
        <f>HYPERLINK("https://jobright.ai/jobs/info/6670c63aea7319dcb5c4d2ce?utm_campaign=1064&amp;utm_source=sheet", "Apply")</f>
        <v>Apply</v>
      </c>
      <c r="C324" s="10" t="s">
        <v>20176</v>
      </c>
      <c r="D324" s="56" t="s">
        <v>13308</v>
      </c>
      <c r="E324" s="10" t="s">
        <v>79</v>
      </c>
      <c r="F324" s="10" t="s">
        <v>13309</v>
      </c>
      <c r="G324" s="10" t="s">
        <v>19581</v>
      </c>
      <c r="H324" s="10" t="s">
        <v>188</v>
      </c>
      <c r="I324" s="10" t="s">
        <v>55</v>
      </c>
      <c r="K324" s="10" t="s">
        <v>20177</v>
      </c>
      <c r="L324" s="10" t="s">
        <v>42</v>
      </c>
    </row>
    <row r="325" ht="15.75" customHeight="1">
      <c r="A325" s="64">
        <v>45482.0</v>
      </c>
      <c r="B325" s="55" t="str">
        <f>HYPERLINK("https://jobright.ai/jobs/info/6662782bd90a04f6be80a108?utm_campaign=1064&amp;utm_source=sheet", "Apply")</f>
        <v>Apply</v>
      </c>
      <c r="C325" s="10" t="s">
        <v>20178</v>
      </c>
      <c r="D325" s="56" t="s">
        <v>12864</v>
      </c>
      <c r="E325" s="10" t="s">
        <v>45</v>
      </c>
      <c r="F325" s="10" t="s">
        <v>8746</v>
      </c>
      <c r="G325" s="10" t="s">
        <v>19587</v>
      </c>
      <c r="H325" s="10" t="s">
        <v>5245</v>
      </c>
      <c r="I325" s="10" t="s">
        <v>55</v>
      </c>
      <c r="K325" s="10" t="s">
        <v>20175</v>
      </c>
      <c r="L325" s="10" t="s">
        <v>42</v>
      </c>
    </row>
    <row r="326" ht="15.75" customHeight="1">
      <c r="A326" s="64">
        <v>45482.0</v>
      </c>
      <c r="B326" s="55" t="str">
        <f>HYPERLINK("https://jobright.ai/jobs/info/668cdcc36aa8087083831358?utm_campaign=1064&amp;utm_source=sheet", "Apply")</f>
        <v>Apply</v>
      </c>
      <c r="C326" s="10" t="s">
        <v>20179</v>
      </c>
      <c r="D326" s="56" t="s">
        <v>16964</v>
      </c>
      <c r="E326" s="10" t="s">
        <v>137</v>
      </c>
      <c r="F326" s="10" t="s">
        <v>2617</v>
      </c>
      <c r="G326" s="10" t="s">
        <v>19595</v>
      </c>
      <c r="H326" s="10" t="s">
        <v>575</v>
      </c>
      <c r="I326" s="10" t="s">
        <v>55</v>
      </c>
      <c r="J326" s="10" t="s">
        <v>11147</v>
      </c>
      <c r="K326" s="10" t="s">
        <v>20180</v>
      </c>
      <c r="L326" s="10" t="s">
        <v>42</v>
      </c>
    </row>
    <row r="327" ht="15.75" customHeight="1">
      <c r="A327" s="64">
        <v>45482.0</v>
      </c>
      <c r="B327" s="55" t="str">
        <f>HYPERLINK("https://jobright.ai/jobs/info/668cce4c2c3a4daee99fee8e?utm_campaign=1064&amp;utm_source=sheet", "Apply")</f>
        <v>Apply</v>
      </c>
      <c r="C327" s="10" t="s">
        <v>20181</v>
      </c>
      <c r="D327" s="56" t="s">
        <v>1846</v>
      </c>
      <c r="E327" s="10" t="s">
        <v>45</v>
      </c>
      <c r="F327" s="10" t="s">
        <v>1485</v>
      </c>
      <c r="G327" s="10" t="s">
        <v>19587</v>
      </c>
      <c r="H327" s="10" t="s">
        <v>154</v>
      </c>
      <c r="I327" s="10" t="s">
        <v>55</v>
      </c>
      <c r="K327" s="10" t="s">
        <v>5365</v>
      </c>
      <c r="L327" s="10" t="s">
        <v>42</v>
      </c>
    </row>
    <row r="328" ht="15.75" customHeight="1">
      <c r="A328" s="64">
        <v>45482.0</v>
      </c>
      <c r="B328" s="55" t="str">
        <f>HYPERLINK("https://jobright.ai/jobs/info/668cb2c9b771a5bfb21da7b1?utm_campaign=1064&amp;utm_source=sheet", "Apply")</f>
        <v>Apply</v>
      </c>
      <c r="C328" s="10" t="s">
        <v>20182</v>
      </c>
      <c r="D328" s="56" t="s">
        <v>20183</v>
      </c>
      <c r="E328" s="10" t="s">
        <v>65</v>
      </c>
      <c r="F328" s="10" t="s">
        <v>1234</v>
      </c>
      <c r="G328" s="10" t="s">
        <v>19595</v>
      </c>
      <c r="H328" s="10" t="s">
        <v>791</v>
      </c>
      <c r="I328" s="10" t="s">
        <v>48</v>
      </c>
      <c r="J328" s="10" t="s">
        <v>20184</v>
      </c>
      <c r="K328" s="10" t="s">
        <v>20185</v>
      </c>
      <c r="L328" s="10" t="s">
        <v>42</v>
      </c>
    </row>
    <row r="329" ht="15.75" customHeight="1">
      <c r="A329" s="64">
        <v>45482.0</v>
      </c>
      <c r="B329" s="55" t="str">
        <f>HYPERLINK("https://jobright.ai/jobs/info/668c2947dbe1aedcdfe0086d?utm_campaign=1064&amp;utm_source=sheet", "Apply")</f>
        <v>Apply</v>
      </c>
      <c r="C329" s="10" t="s">
        <v>20186</v>
      </c>
      <c r="D329" s="56" t="s">
        <v>20187</v>
      </c>
      <c r="E329" s="10" t="s">
        <v>137</v>
      </c>
      <c r="F329" s="10" t="s">
        <v>370</v>
      </c>
      <c r="G329" s="10" t="s">
        <v>19587</v>
      </c>
      <c r="H329" s="10" t="s">
        <v>740</v>
      </c>
      <c r="I329" s="10" t="s">
        <v>55</v>
      </c>
      <c r="K329" s="10" t="s">
        <v>20188</v>
      </c>
      <c r="L329" s="10" t="s">
        <v>42</v>
      </c>
    </row>
    <row r="330" ht="15.75" customHeight="1">
      <c r="A330" s="64">
        <v>45482.0</v>
      </c>
      <c r="B330" s="55" t="str">
        <f>HYPERLINK("https://jobright.ai/jobs/info/668c9d65fb45ee61e9527732?utm_campaign=1064&amp;utm_source=sheet", "Apply")</f>
        <v>Apply</v>
      </c>
      <c r="C330" s="10" t="s">
        <v>20189</v>
      </c>
      <c r="D330" s="56" t="s">
        <v>20190</v>
      </c>
      <c r="E330" s="10" t="s">
        <v>65</v>
      </c>
      <c r="F330" s="10" t="s">
        <v>3351</v>
      </c>
      <c r="G330" s="10" t="s">
        <v>19584</v>
      </c>
      <c r="H330" s="10" t="s">
        <v>636</v>
      </c>
      <c r="I330" s="10" t="s">
        <v>48</v>
      </c>
      <c r="K330" s="10" t="s">
        <v>20191</v>
      </c>
      <c r="L330" s="10" t="s">
        <v>42</v>
      </c>
    </row>
    <row r="331" ht="15.75" customHeight="1">
      <c r="A331" s="64">
        <v>45482.0</v>
      </c>
      <c r="B331" s="55" t="str">
        <f>HYPERLINK("https://jobright.ai/jobs/info/668ca0b13647de0a8f450ae1?utm_campaign=1064&amp;utm_source=sheet", "Apply")</f>
        <v>Apply</v>
      </c>
      <c r="C331" s="10" t="s">
        <v>20192</v>
      </c>
      <c r="D331" s="56" t="s">
        <v>20193</v>
      </c>
      <c r="E331" s="10" t="s">
        <v>276</v>
      </c>
      <c r="G331" s="10" t="s">
        <v>19595</v>
      </c>
      <c r="H331" s="10" t="s">
        <v>144</v>
      </c>
      <c r="I331" s="10" t="s">
        <v>55</v>
      </c>
      <c r="J331" s="10" t="s">
        <v>20194</v>
      </c>
      <c r="K331" s="10" t="s">
        <v>20195</v>
      </c>
      <c r="L331" s="10" t="s">
        <v>42</v>
      </c>
    </row>
    <row r="332" ht="15.75" customHeight="1">
      <c r="A332" s="64">
        <v>45482.0</v>
      </c>
      <c r="B332" s="55" t="str">
        <f>HYPERLINK("https://jobright.ai/jobs/info/668831c1267b613d19e45aa1?utm_campaign=1064&amp;utm_source=sheet", "Apply")</f>
        <v>Apply</v>
      </c>
      <c r="C332" s="10" t="s">
        <v>19851</v>
      </c>
      <c r="D332" s="56" t="s">
        <v>20196</v>
      </c>
      <c r="E332" s="10" t="s">
        <v>209</v>
      </c>
      <c r="F332" s="10" t="s">
        <v>19545</v>
      </c>
      <c r="G332" s="10" t="s">
        <v>19595</v>
      </c>
      <c r="H332" s="10" t="s">
        <v>955</v>
      </c>
      <c r="I332" s="10" t="s">
        <v>55</v>
      </c>
      <c r="K332" s="10" t="s">
        <v>20197</v>
      </c>
      <c r="L332" s="10" t="s">
        <v>42</v>
      </c>
    </row>
    <row r="333" ht="15.75" customHeight="1">
      <c r="A333" s="64">
        <v>45482.0</v>
      </c>
      <c r="B333" s="55" t="str">
        <f>HYPERLINK("https://jobright.ai/jobs/info/668c9129a04664baea38a66b?utm_campaign=1064&amp;utm_source=sheet", "Apply")</f>
        <v>Apply</v>
      </c>
      <c r="C333" s="10" t="s">
        <v>20198</v>
      </c>
      <c r="D333" s="56" t="s">
        <v>20190</v>
      </c>
      <c r="E333" s="10" t="s">
        <v>65</v>
      </c>
      <c r="F333" s="10" t="s">
        <v>3351</v>
      </c>
      <c r="G333" s="10" t="s">
        <v>19584</v>
      </c>
      <c r="H333" s="10" t="s">
        <v>636</v>
      </c>
      <c r="I333" s="10" t="s">
        <v>55</v>
      </c>
      <c r="K333" s="10" t="s">
        <v>20191</v>
      </c>
      <c r="L333" s="10" t="s">
        <v>42</v>
      </c>
    </row>
    <row r="334" ht="15.75" customHeight="1">
      <c r="A334" s="64">
        <v>45481.0</v>
      </c>
      <c r="B334" s="55" t="str">
        <f>HYPERLINK("https://jobright.ai/jobs/info/668c8166a276b317cb9f28ad?utm_campaign=1064&amp;utm_source=sheet", "Apply")</f>
        <v>Apply</v>
      </c>
      <c r="C334" s="10" t="s">
        <v>20199</v>
      </c>
      <c r="D334" s="56" t="s">
        <v>1794</v>
      </c>
      <c r="E334" s="10" t="s">
        <v>65</v>
      </c>
      <c r="F334" s="10" t="s">
        <v>1795</v>
      </c>
      <c r="G334" s="10" t="s">
        <v>19595</v>
      </c>
      <c r="H334" s="10" t="s">
        <v>1796</v>
      </c>
      <c r="I334" s="10" t="s">
        <v>55</v>
      </c>
      <c r="J334" s="10" t="s">
        <v>12745</v>
      </c>
      <c r="K334" s="10" t="s">
        <v>20200</v>
      </c>
      <c r="L334" s="10" t="s">
        <v>42</v>
      </c>
    </row>
    <row r="335" ht="15.75" customHeight="1">
      <c r="A335" s="64">
        <v>45481.0</v>
      </c>
      <c r="B335" s="55" t="str">
        <f>HYPERLINK("https://jobright.ai/jobs/info/668c6f53722799dac2280417?utm_campaign=1064&amp;utm_source=sheet", "Apply")</f>
        <v>Apply</v>
      </c>
      <c r="C335" s="10" t="s">
        <v>20201</v>
      </c>
      <c r="D335" s="56" t="s">
        <v>5557</v>
      </c>
      <c r="E335" s="10">
        <v>4008.0</v>
      </c>
      <c r="G335" s="10" t="s">
        <v>19595</v>
      </c>
      <c r="H335" s="10" t="s">
        <v>661</v>
      </c>
      <c r="I335" s="10" t="s">
        <v>55</v>
      </c>
      <c r="K335" s="10" t="s">
        <v>20202</v>
      </c>
      <c r="L335" s="10" t="s">
        <v>42</v>
      </c>
    </row>
    <row r="336" ht="15.75" customHeight="1">
      <c r="A336" s="64">
        <v>45481.0</v>
      </c>
      <c r="B336" s="55" t="str">
        <f>HYPERLINK("https://jobright.ai/jobs/info/668c24efa2ca27e05c54ba1b?utm_campaign=1064&amp;utm_source=sheet", "Apply")</f>
        <v>Apply</v>
      </c>
      <c r="C336" s="10" t="s">
        <v>20203</v>
      </c>
      <c r="D336" s="56" t="s">
        <v>11530</v>
      </c>
      <c r="E336" s="10" t="s">
        <v>65</v>
      </c>
      <c r="F336" s="10" t="s">
        <v>259</v>
      </c>
      <c r="G336" s="10" t="s">
        <v>19587</v>
      </c>
      <c r="H336" s="10" t="s">
        <v>16744</v>
      </c>
      <c r="I336" s="10" t="s">
        <v>55</v>
      </c>
      <c r="J336" s="10" t="s">
        <v>1409</v>
      </c>
      <c r="K336" s="10" t="s">
        <v>19697</v>
      </c>
      <c r="L336" s="10" t="s">
        <v>42</v>
      </c>
    </row>
    <row r="337" ht="15.75" customHeight="1">
      <c r="A337" s="64">
        <v>45481.0</v>
      </c>
      <c r="B337" s="55" t="str">
        <f>HYPERLINK("https://jobright.ai/jobs/info/668c0ea7dcb45bb3dcae1f55?utm_campaign=1064&amp;utm_source=sheet", "Apply")</f>
        <v>Apply</v>
      </c>
      <c r="C337" s="10" t="s">
        <v>20204</v>
      </c>
      <c r="D337" s="56" t="s">
        <v>1311</v>
      </c>
      <c r="E337" s="10" t="s">
        <v>65</v>
      </c>
      <c r="F337" s="10" t="s">
        <v>1312</v>
      </c>
      <c r="G337" s="10" t="s">
        <v>19587</v>
      </c>
      <c r="H337" s="10" t="s">
        <v>113</v>
      </c>
      <c r="I337" s="10" t="s">
        <v>55</v>
      </c>
      <c r="K337" s="10" t="s">
        <v>20205</v>
      </c>
      <c r="L337" s="10" t="s">
        <v>42</v>
      </c>
    </row>
    <row r="338" ht="15.75" customHeight="1">
      <c r="A338" s="64">
        <v>45481.0</v>
      </c>
      <c r="B338" s="55" t="str">
        <f>HYPERLINK("https://jobright.ai/jobs/info/668be2bc50f04a788175c700?utm_campaign=1064&amp;utm_source=sheet", "Apply")</f>
        <v>Apply</v>
      </c>
      <c r="C338" s="10" t="s">
        <v>20206</v>
      </c>
      <c r="D338" s="56" t="s">
        <v>20207</v>
      </c>
      <c r="E338" s="10" t="s">
        <v>249</v>
      </c>
      <c r="F338" s="10" t="s">
        <v>6645</v>
      </c>
      <c r="G338" s="10" t="s">
        <v>19595</v>
      </c>
      <c r="H338" s="10" t="s">
        <v>570</v>
      </c>
      <c r="I338" s="10" t="s">
        <v>55</v>
      </c>
      <c r="K338" s="10" t="s">
        <v>20208</v>
      </c>
      <c r="L338" s="10" t="s">
        <v>42</v>
      </c>
    </row>
    <row r="339" ht="15.75" customHeight="1">
      <c r="A339" s="64">
        <v>45481.0</v>
      </c>
      <c r="B339" s="55" t="str">
        <f>HYPERLINK("https://jobright.ai/jobs/info/668bc2f8627c201d2a789c1e?utm_campaign=1064&amp;utm_source=sheet", "Apply")</f>
        <v>Apply</v>
      </c>
      <c r="C339" s="10" t="s">
        <v>20209</v>
      </c>
      <c r="D339" s="56" t="s">
        <v>20210</v>
      </c>
      <c r="E339" s="10" t="s">
        <v>45</v>
      </c>
      <c r="F339" s="10" t="s">
        <v>665</v>
      </c>
      <c r="G339" s="10" t="s">
        <v>19595</v>
      </c>
      <c r="H339" s="10" t="s">
        <v>73</v>
      </c>
      <c r="I339" s="10" t="s">
        <v>55</v>
      </c>
      <c r="K339" s="10" t="s">
        <v>20211</v>
      </c>
      <c r="L339" s="10" t="s">
        <v>42</v>
      </c>
    </row>
    <row r="340" ht="15.75" customHeight="1">
      <c r="A340" s="64">
        <v>45481.0</v>
      </c>
      <c r="B340" s="55" t="str">
        <f>HYPERLINK("https://jobright.ai/jobs/info/668d07e8b9491475384cbc75?utm_campaign=1064&amp;utm_source=sheet", "Apply")</f>
        <v>Apply</v>
      </c>
      <c r="C340" s="10" t="s">
        <v>20212</v>
      </c>
      <c r="D340" s="56" t="s">
        <v>7274</v>
      </c>
      <c r="E340" s="10" t="s">
        <v>249</v>
      </c>
      <c r="F340" s="10" t="s">
        <v>7275</v>
      </c>
      <c r="G340" s="10" t="s">
        <v>19584</v>
      </c>
      <c r="H340" s="10" t="s">
        <v>1613</v>
      </c>
      <c r="I340" s="10" t="s">
        <v>55</v>
      </c>
      <c r="K340" s="10" t="s">
        <v>20213</v>
      </c>
      <c r="L340" s="10" t="s">
        <v>42</v>
      </c>
    </row>
    <row r="341" ht="15.75" customHeight="1">
      <c r="A341" s="64">
        <v>45481.0</v>
      </c>
      <c r="B341" s="55" t="str">
        <f>HYPERLINK("https://jobright.ai/jobs/info/668e42addbb5028396c6c2ea?utm_campaign=1064&amp;utm_source=sheet", "Apply")</f>
        <v>Apply</v>
      </c>
      <c r="C341" s="10" t="s">
        <v>20214</v>
      </c>
      <c r="D341" s="56" t="s">
        <v>20215</v>
      </c>
      <c r="E341" s="10" t="s">
        <v>71</v>
      </c>
      <c r="F341" s="10" t="s">
        <v>20216</v>
      </c>
      <c r="G341" s="10" t="s">
        <v>19595</v>
      </c>
      <c r="H341" s="10" t="s">
        <v>17673</v>
      </c>
      <c r="I341" s="10" t="s">
        <v>55</v>
      </c>
      <c r="J341" s="10" t="s">
        <v>20217</v>
      </c>
      <c r="K341" s="10" t="s">
        <v>20218</v>
      </c>
      <c r="L341" s="10" t="s">
        <v>42</v>
      </c>
    </row>
    <row r="342" ht="15.75" customHeight="1">
      <c r="A342" s="64">
        <v>45481.0</v>
      </c>
      <c r="B342" s="55" t="str">
        <f>HYPERLINK("https://jobright.ai/jobs/info/668b7ec5a4b39a66bdfc0008?utm_campaign=1064&amp;utm_source=sheet", "Apply")</f>
        <v>Apply</v>
      </c>
      <c r="C342" s="10" t="s">
        <v>20219</v>
      </c>
      <c r="D342" s="56" t="s">
        <v>20220</v>
      </c>
      <c r="E342" s="10" t="s">
        <v>65</v>
      </c>
      <c r="F342" s="10" t="s">
        <v>20221</v>
      </c>
      <c r="G342" s="10" t="s">
        <v>19584</v>
      </c>
      <c r="H342" s="10" t="s">
        <v>994</v>
      </c>
      <c r="I342" s="10" t="s">
        <v>55</v>
      </c>
      <c r="K342" s="10" t="s">
        <v>20222</v>
      </c>
      <c r="L342" s="10" t="s">
        <v>42</v>
      </c>
    </row>
    <row r="343" ht="15.75" customHeight="1">
      <c r="A343" s="64">
        <v>45481.0</v>
      </c>
      <c r="B343" s="55" t="str">
        <f>HYPERLINK("https://jobright.ai/jobs/info/668b5b0bf00e324c4684fcf7?utm_campaign=1064&amp;utm_source=sheet", "Apply")</f>
        <v>Apply</v>
      </c>
      <c r="C343" s="10" t="s">
        <v>19605</v>
      </c>
      <c r="D343" s="56" t="s">
        <v>9567</v>
      </c>
      <c r="E343" s="10" t="s">
        <v>45</v>
      </c>
      <c r="F343" s="10" t="s">
        <v>9568</v>
      </c>
      <c r="G343" s="10" t="s">
        <v>19581</v>
      </c>
      <c r="H343" s="10" t="s">
        <v>1254</v>
      </c>
      <c r="I343" s="10" t="s">
        <v>55</v>
      </c>
      <c r="K343" s="10" t="s">
        <v>19606</v>
      </c>
      <c r="L343" s="10" t="s">
        <v>42</v>
      </c>
    </row>
    <row r="344" ht="15.75" customHeight="1">
      <c r="A344" s="64">
        <v>45481.0</v>
      </c>
      <c r="B344" s="55" t="str">
        <f>HYPERLINK("https://jobright.ai/jobs/info/668bfc02256f0fd3689d1614?utm_campaign=1064&amp;utm_source=sheet", "Apply")</f>
        <v>Apply</v>
      </c>
      <c r="C344" s="10" t="s">
        <v>20223</v>
      </c>
      <c r="D344" s="56" t="s">
        <v>1311</v>
      </c>
      <c r="E344" s="10" t="s">
        <v>65</v>
      </c>
      <c r="F344" s="10" t="s">
        <v>1312</v>
      </c>
      <c r="G344" s="10" t="s">
        <v>19581</v>
      </c>
      <c r="H344" s="10" t="s">
        <v>1316</v>
      </c>
      <c r="I344" s="10" t="s">
        <v>55</v>
      </c>
      <c r="K344" s="10" t="s">
        <v>20224</v>
      </c>
      <c r="L344" s="10" t="s">
        <v>42</v>
      </c>
    </row>
    <row r="345" ht="15.75" customHeight="1">
      <c r="A345" s="64">
        <v>45480.0</v>
      </c>
      <c r="B345" s="55" t="str">
        <f>HYPERLINK("https://jobright.ai/jobs/info/6684aca5cd3f9c6e54b7623b?utm_campaign=1064&amp;utm_source=sheet", "Apply")</f>
        <v>Apply</v>
      </c>
      <c r="C345" s="10" t="s">
        <v>20225</v>
      </c>
      <c r="D345" s="56" t="s">
        <v>1636</v>
      </c>
      <c r="E345" s="10">
        <v>6029.0</v>
      </c>
      <c r="G345" s="10" t="s">
        <v>19595</v>
      </c>
      <c r="H345" s="10" t="s">
        <v>170</v>
      </c>
      <c r="I345" s="10" t="s">
        <v>55</v>
      </c>
      <c r="J345" s="10" t="s">
        <v>2127</v>
      </c>
      <c r="K345" s="10" t="s">
        <v>20226</v>
      </c>
      <c r="L345" s="10" t="s">
        <v>42</v>
      </c>
    </row>
    <row r="346" ht="15.75" customHeight="1">
      <c r="A346" s="64">
        <v>45479.0</v>
      </c>
      <c r="B346" s="55" t="str">
        <f>HYPERLINK("https://jobright.ai/jobs/info/666cb625c55b5882af311bdc?utm_campaign=1064&amp;utm_source=sheet", "Apply")</f>
        <v>Apply</v>
      </c>
      <c r="C346" s="10" t="s">
        <v>20227</v>
      </c>
      <c r="D346" s="56" t="s">
        <v>508</v>
      </c>
      <c r="E346" s="10" t="s">
        <v>45</v>
      </c>
      <c r="F346" s="10" t="s">
        <v>46</v>
      </c>
      <c r="G346" s="10" t="s">
        <v>19584</v>
      </c>
      <c r="H346" s="10" t="s">
        <v>96</v>
      </c>
      <c r="I346" s="10" t="s">
        <v>55</v>
      </c>
      <c r="J346" s="10" t="s">
        <v>509</v>
      </c>
      <c r="K346" s="10" t="s">
        <v>20228</v>
      </c>
      <c r="L346" s="10" t="s">
        <v>42</v>
      </c>
    </row>
    <row r="347" ht="15.75" customHeight="1">
      <c r="A347" s="64">
        <v>45479.0</v>
      </c>
      <c r="B347" s="55" t="str">
        <f>HYPERLINK("https://jobright.ai/jobs/info/666c8737f630f8a398e00c56?utm_campaign=1064&amp;utm_source=sheet", "Apply")</f>
        <v>Apply</v>
      </c>
      <c r="C347" s="10" t="s">
        <v>20229</v>
      </c>
      <c r="D347" s="56" t="s">
        <v>20230</v>
      </c>
      <c r="E347" s="10" t="s">
        <v>45</v>
      </c>
      <c r="F347" s="10" t="s">
        <v>1485</v>
      </c>
      <c r="G347" s="10" t="s">
        <v>19860</v>
      </c>
      <c r="H347" s="10" t="s">
        <v>1000</v>
      </c>
      <c r="I347" s="10" t="s">
        <v>48</v>
      </c>
      <c r="K347" s="10" t="s">
        <v>20231</v>
      </c>
      <c r="L347" s="10" t="s">
        <v>42</v>
      </c>
    </row>
    <row r="348" ht="15.75" customHeight="1">
      <c r="A348" s="64">
        <v>45478.0</v>
      </c>
      <c r="B348" s="55" t="str">
        <f>HYPERLINK("https://jobright.ai/jobs/info/667955f439ca2f81c4371066?utm_campaign=1064&amp;utm_source=sheet", "Apply")</f>
        <v>Apply</v>
      </c>
      <c r="C348" s="10" t="s">
        <v>20232</v>
      </c>
      <c r="D348" s="56" t="s">
        <v>730</v>
      </c>
      <c r="E348" s="10" t="s">
        <v>45</v>
      </c>
      <c r="F348" s="10" t="s">
        <v>731</v>
      </c>
      <c r="G348" s="10" t="s">
        <v>19595</v>
      </c>
      <c r="H348" s="10" t="s">
        <v>170</v>
      </c>
      <c r="I348" s="10" t="s">
        <v>55</v>
      </c>
      <c r="K348" s="10" t="s">
        <v>20233</v>
      </c>
      <c r="L348" s="10" t="s">
        <v>42</v>
      </c>
    </row>
    <row r="349" ht="15.75" customHeight="1">
      <c r="A349" s="64">
        <v>45478.0</v>
      </c>
      <c r="B349" s="55" t="str">
        <f>HYPERLINK("https://jobright.ai/jobs/info/667974068f20c6df6b89a88d?utm_campaign=1064&amp;utm_source=sheet", "Apply")</f>
        <v>Apply</v>
      </c>
      <c r="C349" s="10" t="s">
        <v>20232</v>
      </c>
      <c r="D349" s="56" t="s">
        <v>730</v>
      </c>
      <c r="E349" s="10" t="s">
        <v>45</v>
      </c>
      <c r="F349" s="10" t="s">
        <v>731</v>
      </c>
      <c r="G349" s="10" t="s">
        <v>19595</v>
      </c>
      <c r="H349" s="10" t="s">
        <v>96</v>
      </c>
      <c r="I349" s="10" t="s">
        <v>55</v>
      </c>
      <c r="K349" s="10" t="s">
        <v>20233</v>
      </c>
      <c r="L349" s="10" t="s">
        <v>42</v>
      </c>
    </row>
    <row r="350" ht="15.75" customHeight="1">
      <c r="A350" s="64">
        <v>45478.0</v>
      </c>
      <c r="B350" s="55" t="str">
        <f>HYPERLINK("https://jobright.ai/jobs/info/66795b9adcb1db3fc098ebb1?utm_campaign=1064&amp;utm_source=sheet", "Apply")</f>
        <v>Apply</v>
      </c>
      <c r="C350" s="10" t="s">
        <v>20232</v>
      </c>
      <c r="D350" s="56" t="s">
        <v>730</v>
      </c>
      <c r="E350" s="10" t="s">
        <v>45</v>
      </c>
      <c r="F350" s="10" t="s">
        <v>731</v>
      </c>
      <c r="G350" s="10" t="s">
        <v>19595</v>
      </c>
      <c r="H350" s="10" t="s">
        <v>154</v>
      </c>
      <c r="I350" s="10" t="s">
        <v>55</v>
      </c>
      <c r="K350" s="10" t="s">
        <v>20233</v>
      </c>
      <c r="L350" s="10" t="s">
        <v>42</v>
      </c>
    </row>
    <row r="351" ht="15.75" customHeight="1">
      <c r="A351" s="64">
        <v>45478.0</v>
      </c>
      <c r="B351" s="55" t="str">
        <f>HYPERLINK("https://jobright.ai/jobs/info/6625561205135b90cc7ec799?utm_campaign=1064&amp;utm_source=sheet", "Apply")</f>
        <v>Apply</v>
      </c>
      <c r="C351" s="10" t="s">
        <v>20234</v>
      </c>
      <c r="D351" s="56" t="s">
        <v>20235</v>
      </c>
      <c r="E351" s="10">
        <v>492.0</v>
      </c>
      <c r="G351" s="10" t="s">
        <v>19584</v>
      </c>
      <c r="H351" s="10" t="s">
        <v>20236</v>
      </c>
      <c r="I351" s="10" t="s">
        <v>55</v>
      </c>
      <c r="J351" s="10" t="s">
        <v>20237</v>
      </c>
      <c r="K351" s="10" t="s">
        <v>20238</v>
      </c>
      <c r="L351" s="10" t="s">
        <v>42</v>
      </c>
    </row>
    <row r="352" ht="15.75" customHeight="1">
      <c r="A352" s="64">
        <v>45477.0</v>
      </c>
      <c r="B352" s="55" t="str">
        <f>HYPERLINK("https://jobright.ai/jobs/info/6686cf724edcb01421c523b4?utm_campaign=1064&amp;utm_source=sheet", "Apply")</f>
        <v>Apply</v>
      </c>
      <c r="C352" s="10" t="s">
        <v>19851</v>
      </c>
      <c r="D352" s="56" t="s">
        <v>9950</v>
      </c>
      <c r="E352" s="10" t="s">
        <v>45</v>
      </c>
      <c r="F352" s="10" t="s">
        <v>2409</v>
      </c>
      <c r="G352" s="10" t="s">
        <v>19595</v>
      </c>
      <c r="H352" s="10" t="s">
        <v>872</v>
      </c>
      <c r="I352" s="10" t="s">
        <v>55</v>
      </c>
      <c r="K352" s="10" t="s">
        <v>20239</v>
      </c>
      <c r="L352" s="10" t="s">
        <v>42</v>
      </c>
    </row>
    <row r="353" ht="15.75" customHeight="1">
      <c r="A353" s="64">
        <v>45477.0</v>
      </c>
      <c r="B353" s="55" t="str">
        <f>HYPERLINK("https://jobright.ai/jobs/info/664e2bdefd06ab529d5266f5?utm_campaign=1064&amp;utm_source=sheet", "Apply")</f>
        <v>Apply</v>
      </c>
      <c r="C353" s="10" t="s">
        <v>19986</v>
      </c>
      <c r="D353" s="56" t="s">
        <v>19987</v>
      </c>
      <c r="E353" s="10" t="s">
        <v>209</v>
      </c>
      <c r="F353" s="10" t="s">
        <v>14889</v>
      </c>
      <c r="G353" s="10" t="s">
        <v>19587</v>
      </c>
      <c r="H353" s="10" t="s">
        <v>434</v>
      </c>
      <c r="I353" s="10" t="s">
        <v>55</v>
      </c>
      <c r="J353" s="10" t="s">
        <v>19792</v>
      </c>
      <c r="K353" s="10" t="s">
        <v>19988</v>
      </c>
      <c r="L353" s="10" t="s">
        <v>42</v>
      </c>
    </row>
    <row r="354" ht="15.75" customHeight="1">
      <c r="A354" s="64">
        <v>45476.0</v>
      </c>
      <c r="B354" s="55" t="str">
        <f>HYPERLINK("https://jobright.ai/jobs/info/6685c02dc96ea879d35d807b?utm_campaign=1064&amp;utm_source=sheet", "Apply")</f>
        <v>Apply</v>
      </c>
      <c r="C354" s="10" t="s">
        <v>20240</v>
      </c>
      <c r="D354" s="56" t="s">
        <v>14907</v>
      </c>
      <c r="E354" s="10">
        <v>277.0</v>
      </c>
      <c r="G354" s="10" t="s">
        <v>19581</v>
      </c>
      <c r="H354" s="10" t="s">
        <v>1172</v>
      </c>
      <c r="I354" s="10" t="s">
        <v>48</v>
      </c>
      <c r="K354" s="10" t="s">
        <v>20241</v>
      </c>
      <c r="L354" s="10" t="s">
        <v>42</v>
      </c>
    </row>
    <row r="355" ht="15.75" customHeight="1">
      <c r="A355" s="64">
        <v>45476.0</v>
      </c>
      <c r="B355" s="55" t="str">
        <f>HYPERLINK("https://jobright.ai/jobs/info/6687cf667dde4514fde15fdd?utm_campaign=1064&amp;utm_source=sheet", "Apply")</f>
        <v>Apply</v>
      </c>
      <c r="C355" s="10" t="s">
        <v>20242</v>
      </c>
      <c r="D355" s="56" t="s">
        <v>14998</v>
      </c>
      <c r="E355" s="10" t="s">
        <v>79</v>
      </c>
      <c r="F355" s="10" t="s">
        <v>14999</v>
      </c>
      <c r="G355" s="10" t="s">
        <v>19581</v>
      </c>
      <c r="H355" s="10" t="s">
        <v>605</v>
      </c>
      <c r="I355" s="10" t="s">
        <v>55</v>
      </c>
      <c r="K355" s="10" t="s">
        <v>20243</v>
      </c>
      <c r="L355" s="10" t="s">
        <v>42</v>
      </c>
    </row>
    <row r="356" ht="15.75" customHeight="1">
      <c r="A356" s="64">
        <v>45476.0</v>
      </c>
      <c r="B356" s="55" t="str">
        <f>HYPERLINK("https://jobright.ai/jobs/info/6684ae08c9f4c1037d702445?utm_campaign=1064&amp;utm_source=sheet", "Apply")</f>
        <v>Apply</v>
      </c>
      <c r="C356" s="10" t="s">
        <v>19821</v>
      </c>
      <c r="D356" s="56" t="s">
        <v>19822</v>
      </c>
      <c r="E356" s="10" t="s">
        <v>45</v>
      </c>
      <c r="F356" s="10" t="s">
        <v>2414</v>
      </c>
      <c r="G356" s="10" t="s">
        <v>19587</v>
      </c>
      <c r="H356" s="10" t="s">
        <v>20244</v>
      </c>
      <c r="I356" s="10" t="s">
        <v>48</v>
      </c>
      <c r="J356" s="10" t="s">
        <v>20245</v>
      </c>
      <c r="K356" s="10" t="s">
        <v>20246</v>
      </c>
      <c r="L356" s="10" t="s">
        <v>42</v>
      </c>
    </row>
    <row r="357" ht="15.75" customHeight="1">
      <c r="A357" s="64">
        <v>45476.0</v>
      </c>
      <c r="B357" s="55" t="str">
        <f>HYPERLINK("https://jobright.ai/jobs/info/6685e221adbfe96e189b7457?utm_campaign=1064&amp;utm_source=sheet", "Apply")</f>
        <v>Apply</v>
      </c>
      <c r="C357" s="10" t="s">
        <v>20247</v>
      </c>
      <c r="D357" s="56" t="s">
        <v>20248</v>
      </c>
      <c r="E357" s="10" t="s">
        <v>65</v>
      </c>
      <c r="F357" s="10" t="s">
        <v>20249</v>
      </c>
      <c r="G357" s="10" t="s">
        <v>19587</v>
      </c>
      <c r="H357" s="10" t="s">
        <v>17703</v>
      </c>
      <c r="I357" s="10" t="s">
        <v>48</v>
      </c>
      <c r="J357" s="10" t="s">
        <v>1960</v>
      </c>
      <c r="K357" s="10" t="s">
        <v>20250</v>
      </c>
      <c r="L357" s="10" t="s">
        <v>42</v>
      </c>
    </row>
    <row r="358" ht="15.75" customHeight="1">
      <c r="A358" s="64">
        <v>45475.0</v>
      </c>
      <c r="B358" s="55" t="str">
        <f>HYPERLINK("https://jobright.ai/jobs/info/6684741497b325197e9488e7?utm_campaign=1064&amp;utm_source=sheet", "Apply")</f>
        <v>Apply</v>
      </c>
      <c r="C358" s="10" t="s">
        <v>20251</v>
      </c>
      <c r="D358" s="56" t="s">
        <v>2252</v>
      </c>
      <c r="E358" s="10" t="s">
        <v>249</v>
      </c>
      <c r="F358" s="10" t="s">
        <v>2253</v>
      </c>
      <c r="G358" s="10" t="s">
        <v>19595</v>
      </c>
      <c r="H358" s="10" t="s">
        <v>996</v>
      </c>
      <c r="I358" s="10" t="s">
        <v>55</v>
      </c>
      <c r="K358" s="10" t="s">
        <v>20252</v>
      </c>
      <c r="L358" s="10" t="s">
        <v>42</v>
      </c>
    </row>
    <row r="359" ht="15.75" customHeight="1">
      <c r="A359" s="64">
        <v>45475.0</v>
      </c>
      <c r="B359" s="55" t="str">
        <f>HYPERLINK("https://jobright.ai/jobs/info/66844d4f57137359d9606d80?utm_campaign=1064&amp;utm_source=sheet", "Apply")</f>
        <v>Apply</v>
      </c>
      <c r="C359" s="10" t="s">
        <v>15985</v>
      </c>
      <c r="D359" s="56" t="s">
        <v>11530</v>
      </c>
      <c r="E359" s="10" t="s">
        <v>65</v>
      </c>
      <c r="F359" s="10" t="s">
        <v>259</v>
      </c>
      <c r="G359" s="10" t="s">
        <v>19587</v>
      </c>
      <c r="H359" s="10" t="s">
        <v>20253</v>
      </c>
      <c r="I359" s="10" t="s">
        <v>55</v>
      </c>
      <c r="J359" s="10" t="s">
        <v>1409</v>
      </c>
      <c r="K359" s="10" t="s">
        <v>19697</v>
      </c>
      <c r="L359" s="10" t="s">
        <v>42</v>
      </c>
    </row>
    <row r="360" ht="15.75" customHeight="1">
      <c r="A360" s="64">
        <v>45475.0</v>
      </c>
      <c r="B360" s="55" t="str">
        <f>HYPERLINK("https://jobright.ai/jobs/info/667df61ed01f1b50f25ca251?utm_campaign=1064&amp;utm_source=sheet", "Apply")</f>
        <v>Apply</v>
      </c>
      <c r="C360" s="10" t="s">
        <v>20254</v>
      </c>
      <c r="D360" s="56" t="s">
        <v>20255</v>
      </c>
      <c r="E360" s="10" t="s">
        <v>45</v>
      </c>
      <c r="F360" s="10" t="s">
        <v>14336</v>
      </c>
      <c r="G360" s="10" t="s">
        <v>19595</v>
      </c>
      <c r="H360" s="10" t="s">
        <v>167</v>
      </c>
      <c r="I360" s="10" t="s">
        <v>55</v>
      </c>
      <c r="K360" s="10" t="s">
        <v>20256</v>
      </c>
      <c r="L360" s="10" t="s">
        <v>42</v>
      </c>
    </row>
    <row r="361" ht="15.75" customHeight="1">
      <c r="A361" s="64">
        <v>45475.0</v>
      </c>
      <c r="B361" s="55" t="str">
        <f>HYPERLINK("https://jobright.ai/jobs/info/668d0ee05c1b1ddc8b1939e8?utm_campaign=1064&amp;utm_source=sheet", "Apply")</f>
        <v>Apply</v>
      </c>
      <c r="C361" s="10" t="s">
        <v>20257</v>
      </c>
      <c r="D361" s="56" t="s">
        <v>1650</v>
      </c>
      <c r="E361" s="10" t="s">
        <v>209</v>
      </c>
      <c r="F361" s="10" t="s">
        <v>1243</v>
      </c>
      <c r="G361" s="10" t="s">
        <v>19595</v>
      </c>
      <c r="H361" s="10" t="s">
        <v>609</v>
      </c>
      <c r="I361" s="10" t="s">
        <v>55</v>
      </c>
      <c r="K361" s="10" t="s">
        <v>20258</v>
      </c>
      <c r="L361" s="10" t="s">
        <v>42</v>
      </c>
    </row>
    <row r="362" ht="15.75" customHeight="1">
      <c r="A362" s="64">
        <v>45475.0</v>
      </c>
      <c r="B362" s="55" t="str">
        <f>HYPERLINK("https://jobright.ai/jobs/info/668386f04c38f18b71e21541?utm_campaign=1064&amp;utm_source=sheet", "Apply")</f>
        <v>Apply</v>
      </c>
      <c r="C362" s="10" t="s">
        <v>20259</v>
      </c>
      <c r="D362" s="56" t="s">
        <v>20260</v>
      </c>
      <c r="E362" s="10" t="s">
        <v>209</v>
      </c>
      <c r="F362" s="10" t="s">
        <v>2409</v>
      </c>
      <c r="G362" s="10" t="s">
        <v>19595</v>
      </c>
      <c r="H362" s="10" t="s">
        <v>882</v>
      </c>
      <c r="I362" s="10" t="s">
        <v>55</v>
      </c>
      <c r="K362" s="10" t="s">
        <v>20261</v>
      </c>
      <c r="L362" s="10" t="s">
        <v>42</v>
      </c>
    </row>
    <row r="363" ht="15.75" customHeight="1">
      <c r="A363" s="64">
        <v>45475.0</v>
      </c>
      <c r="B363" s="55" t="str">
        <f>HYPERLINK("https://jobright.ai/jobs/info/668471ac5288e149876b94c9?utm_campaign=1064&amp;utm_source=sheet", "Apply")</f>
        <v>Apply</v>
      </c>
      <c r="C363" s="10" t="s">
        <v>20262</v>
      </c>
      <c r="D363" s="56" t="s">
        <v>19755</v>
      </c>
      <c r="E363" s="10" t="s">
        <v>65</v>
      </c>
      <c r="F363" s="10" t="s">
        <v>14747</v>
      </c>
      <c r="G363" s="10" t="s">
        <v>19595</v>
      </c>
      <c r="H363" s="10" t="s">
        <v>152</v>
      </c>
      <c r="I363" s="10" t="s">
        <v>55</v>
      </c>
      <c r="K363" s="10" t="s">
        <v>19976</v>
      </c>
      <c r="L363" s="10" t="s">
        <v>42</v>
      </c>
    </row>
    <row r="364" ht="15.75" customHeight="1">
      <c r="A364" s="64">
        <v>45474.0</v>
      </c>
      <c r="B364" s="55" t="str">
        <f>HYPERLINK("https://jobright.ai/jobs/info/6671fab7a73fb614d44fa525?utm_campaign=1064&amp;utm_source=sheet", "Apply")</f>
        <v>Apply</v>
      </c>
      <c r="C364" s="10" t="s">
        <v>20263</v>
      </c>
      <c r="D364" s="56" t="s">
        <v>19598</v>
      </c>
      <c r="E364" s="10" t="s">
        <v>65</v>
      </c>
      <c r="F364" s="10" t="s">
        <v>1909</v>
      </c>
      <c r="G364" s="10" t="s">
        <v>19584</v>
      </c>
      <c r="H364" s="10" t="s">
        <v>3218</v>
      </c>
      <c r="I364" s="10" t="s">
        <v>55</v>
      </c>
      <c r="J364" s="10" t="s">
        <v>19599</v>
      </c>
      <c r="K364" s="10" t="s">
        <v>19600</v>
      </c>
      <c r="L364" s="10" t="s">
        <v>42</v>
      </c>
    </row>
    <row r="365" ht="15.75" customHeight="1">
      <c r="A365" s="64">
        <v>45474.0</v>
      </c>
      <c r="B365" s="55" t="str">
        <f>HYPERLINK("https://jobright.ai/jobs/info/6683534cff4382b2f8e416d4?utm_campaign=1064&amp;utm_source=sheet", "Apply")</f>
        <v>Apply</v>
      </c>
      <c r="C365" s="10" t="s">
        <v>15985</v>
      </c>
      <c r="D365" s="56" t="s">
        <v>11530</v>
      </c>
      <c r="E365" s="10" t="s">
        <v>65</v>
      </c>
      <c r="F365" s="10" t="s">
        <v>259</v>
      </c>
      <c r="G365" s="10" t="s">
        <v>19587</v>
      </c>
      <c r="H365" s="10" t="s">
        <v>13644</v>
      </c>
      <c r="I365" s="10" t="s">
        <v>55</v>
      </c>
      <c r="J365" s="10" t="s">
        <v>1409</v>
      </c>
      <c r="K365" s="10" t="s">
        <v>19697</v>
      </c>
      <c r="L365" s="10" t="s">
        <v>42</v>
      </c>
    </row>
    <row r="366" ht="15.75" customHeight="1">
      <c r="A366" s="64">
        <v>45474.0</v>
      </c>
      <c r="B366" s="55" t="str">
        <f>HYPERLINK("https://jobright.ai/jobs/info/6682c23a6fd38ffe465db578?utm_campaign=1064&amp;utm_source=sheet", "Apply")</f>
        <v>Apply</v>
      </c>
      <c r="C366" s="10" t="s">
        <v>19851</v>
      </c>
      <c r="D366" s="56" t="s">
        <v>20264</v>
      </c>
      <c r="E366" s="10" t="s">
        <v>209</v>
      </c>
      <c r="F366" s="10" t="s">
        <v>665</v>
      </c>
      <c r="G366" s="10" t="s">
        <v>19595</v>
      </c>
      <c r="H366" s="10" t="s">
        <v>636</v>
      </c>
      <c r="I366" s="10" t="s">
        <v>55</v>
      </c>
      <c r="K366" s="10" t="s">
        <v>20265</v>
      </c>
      <c r="L366" s="10" t="s">
        <v>42</v>
      </c>
    </row>
    <row r="367" ht="15.75" customHeight="1">
      <c r="A367" s="64">
        <v>45474.0</v>
      </c>
      <c r="B367" s="55" t="str">
        <f>HYPERLINK("https://jobright.ai/jobs/info/6683417aa77cf77fee2dd0e6?utm_campaign=1064&amp;utm_source=sheet", "Apply")</f>
        <v>Apply</v>
      </c>
      <c r="C367" s="10" t="s">
        <v>20266</v>
      </c>
      <c r="D367" s="56" t="s">
        <v>4322</v>
      </c>
      <c r="E367" s="10" t="s">
        <v>45</v>
      </c>
      <c r="F367" s="10" t="s">
        <v>4323</v>
      </c>
      <c r="G367" s="10" t="s">
        <v>19595</v>
      </c>
      <c r="H367" s="10" t="s">
        <v>636</v>
      </c>
      <c r="I367" s="10" t="s">
        <v>55</v>
      </c>
      <c r="J367" s="10" t="s">
        <v>3651</v>
      </c>
      <c r="K367" s="10" t="s">
        <v>20267</v>
      </c>
      <c r="L367" s="10" t="s">
        <v>42</v>
      </c>
    </row>
    <row r="368" ht="15.75" customHeight="1">
      <c r="A368" s="64">
        <v>45472.0</v>
      </c>
      <c r="B368" s="55" t="str">
        <f>HYPERLINK("https://jobright.ai/jobs/info/668058ec66532172b0eb42d7?utm_campaign=1064&amp;utm_source=sheet", "Apply")</f>
        <v>Apply</v>
      </c>
      <c r="C368" s="10" t="s">
        <v>20268</v>
      </c>
      <c r="D368" s="56" t="s">
        <v>1283</v>
      </c>
      <c r="E368" s="10" t="s">
        <v>137</v>
      </c>
      <c r="F368" s="10" t="s">
        <v>1284</v>
      </c>
      <c r="G368" s="10" t="s">
        <v>19584</v>
      </c>
      <c r="H368" s="10" t="s">
        <v>1285</v>
      </c>
      <c r="I368" s="10" t="s">
        <v>55</v>
      </c>
      <c r="K368" s="10" t="s">
        <v>20269</v>
      </c>
      <c r="L368" s="10" t="s">
        <v>42</v>
      </c>
    </row>
    <row r="369" ht="15.75" customHeight="1">
      <c r="A369" s="64">
        <v>45472.0</v>
      </c>
      <c r="B369" s="55" t="str">
        <f>HYPERLINK("https://jobright.ai/jobs/info/667fb79f61baf0073634fddf?utm_campaign=1064&amp;utm_source=sheet", "Apply")</f>
        <v>Apply</v>
      </c>
      <c r="C369" s="10" t="s">
        <v>20268</v>
      </c>
      <c r="D369" s="56" t="s">
        <v>1283</v>
      </c>
      <c r="E369" s="10" t="s">
        <v>137</v>
      </c>
      <c r="F369" s="10" t="s">
        <v>1284</v>
      </c>
      <c r="G369" s="10" t="s">
        <v>19584</v>
      </c>
      <c r="H369" s="10" t="s">
        <v>4001</v>
      </c>
      <c r="I369" s="10" t="s">
        <v>55</v>
      </c>
      <c r="K369" s="10" t="s">
        <v>20270</v>
      </c>
      <c r="L369" s="10" t="s">
        <v>42</v>
      </c>
    </row>
    <row r="370" ht="15.75" customHeight="1">
      <c r="A370" s="64">
        <v>45471.0</v>
      </c>
      <c r="B370" s="55" t="str">
        <f>HYPERLINK("https://jobright.ai/jobs/info/667f5227783e54dc254e7c0a?utm_campaign=1064&amp;utm_source=sheet", "Apply")</f>
        <v>Apply</v>
      </c>
      <c r="C370" s="10" t="s">
        <v>20271</v>
      </c>
      <c r="D370" s="56" t="s">
        <v>20272</v>
      </c>
      <c r="E370" s="10">
        <v>30565.0</v>
      </c>
      <c r="G370" s="10" t="s">
        <v>19595</v>
      </c>
      <c r="H370" s="10" t="s">
        <v>106</v>
      </c>
      <c r="I370" s="10" t="s">
        <v>55</v>
      </c>
      <c r="J370" s="10" t="s">
        <v>20273</v>
      </c>
      <c r="K370" s="10" t="s">
        <v>20274</v>
      </c>
      <c r="L370" s="10" t="s">
        <v>42</v>
      </c>
    </row>
    <row r="371" ht="15.75" customHeight="1">
      <c r="A371" s="64">
        <v>45471.0</v>
      </c>
      <c r="B371" s="55" t="str">
        <f>HYPERLINK("https://jobright.ai/jobs/info/6682af9b7041182c66b51a0e?utm_campaign=1064&amp;utm_source=sheet", "Apply")</f>
        <v>Apply</v>
      </c>
      <c r="C371" s="10" t="s">
        <v>20275</v>
      </c>
      <c r="D371" s="56" t="s">
        <v>20276</v>
      </c>
      <c r="E371" s="10">
        <v>7.0</v>
      </c>
      <c r="G371" s="10" t="s">
        <v>19587</v>
      </c>
      <c r="H371" s="10" t="s">
        <v>5245</v>
      </c>
      <c r="I371" s="10" t="s">
        <v>55</v>
      </c>
      <c r="K371" s="10" t="s">
        <v>20277</v>
      </c>
      <c r="L371" s="10" t="s">
        <v>42</v>
      </c>
    </row>
    <row r="372" ht="15.75" customHeight="1">
      <c r="A372" s="64">
        <v>45471.0</v>
      </c>
      <c r="B372" s="55" t="str">
        <f>HYPERLINK("https://jobright.ai/jobs/info/667e48b5a3378dce21400d30?utm_campaign=1064&amp;utm_source=sheet", "Apply")</f>
        <v>Apply</v>
      </c>
      <c r="C372" s="10" t="s">
        <v>20278</v>
      </c>
      <c r="D372" s="56" t="s">
        <v>11416</v>
      </c>
      <c r="E372" s="10" t="s">
        <v>137</v>
      </c>
      <c r="F372" s="10" t="s">
        <v>11417</v>
      </c>
      <c r="G372" s="10" t="s">
        <v>19587</v>
      </c>
      <c r="H372" s="10" t="s">
        <v>131</v>
      </c>
      <c r="I372" s="10" t="s">
        <v>55</v>
      </c>
      <c r="K372" s="10" t="s">
        <v>20279</v>
      </c>
      <c r="L372" s="10" t="s">
        <v>42</v>
      </c>
    </row>
    <row r="373" ht="15.75" customHeight="1">
      <c r="A373" s="64">
        <v>45470.0</v>
      </c>
      <c r="B373" s="55" t="str">
        <f>HYPERLINK("https://jobright.ai/jobs/info/667dd00c2724c00c820e40a3?utm_campaign=1064&amp;utm_source=sheet", "Apply")</f>
        <v>Apply</v>
      </c>
      <c r="C373" s="10" t="s">
        <v>20280</v>
      </c>
      <c r="D373" s="56" t="s">
        <v>20281</v>
      </c>
      <c r="E373" s="10" t="s">
        <v>276</v>
      </c>
      <c r="F373" s="10" t="s">
        <v>2639</v>
      </c>
      <c r="G373" s="10" t="s">
        <v>19584</v>
      </c>
      <c r="H373" s="10" t="s">
        <v>361</v>
      </c>
      <c r="I373" s="10" t="s">
        <v>48</v>
      </c>
      <c r="J373" s="10" t="s">
        <v>3651</v>
      </c>
      <c r="K373" s="10" t="s">
        <v>20282</v>
      </c>
      <c r="L373" s="10" t="s">
        <v>42</v>
      </c>
    </row>
    <row r="374" ht="15.75" customHeight="1">
      <c r="A374" s="64">
        <v>45470.0</v>
      </c>
      <c r="B374" s="55" t="str">
        <f>HYPERLINK("https://jobright.ai/jobs/info/667dd8088d93809a9317ae3f?utm_campaign=1064&amp;utm_source=sheet", "Apply")</f>
        <v>Apply</v>
      </c>
      <c r="C374" s="10" t="s">
        <v>20283</v>
      </c>
      <c r="D374" s="56" t="s">
        <v>1502</v>
      </c>
      <c r="E374" s="10">
        <v>10345.0</v>
      </c>
      <c r="G374" s="10" t="s">
        <v>19595</v>
      </c>
      <c r="H374" s="10" t="s">
        <v>106</v>
      </c>
      <c r="I374" s="10" t="s">
        <v>55</v>
      </c>
      <c r="J374" s="10" t="s">
        <v>4117</v>
      </c>
      <c r="K374" s="10" t="s">
        <v>20284</v>
      </c>
      <c r="L374" s="10" t="s">
        <v>42</v>
      </c>
    </row>
    <row r="375" ht="15.75" customHeight="1">
      <c r="A375" s="64">
        <v>45470.0</v>
      </c>
      <c r="B375" s="55" t="str">
        <f>HYPERLINK("https://jobright.ai/jobs/info/667dac79a59aa08a6b4d3d9d?utm_campaign=1064&amp;utm_source=sheet", "Apply")</f>
        <v>Apply</v>
      </c>
      <c r="C375" s="10" t="s">
        <v>20285</v>
      </c>
      <c r="D375" s="56" t="s">
        <v>16846</v>
      </c>
      <c r="E375" s="10" t="s">
        <v>79</v>
      </c>
      <c r="F375" s="10" t="s">
        <v>2122</v>
      </c>
      <c r="G375" s="10" t="s">
        <v>19584</v>
      </c>
      <c r="H375" s="10" t="s">
        <v>153</v>
      </c>
      <c r="I375" s="10" t="s">
        <v>55</v>
      </c>
      <c r="K375" s="10" t="s">
        <v>20286</v>
      </c>
      <c r="L375" s="10" t="s">
        <v>42</v>
      </c>
    </row>
    <row r="376" ht="15.75" customHeight="1">
      <c r="A376" s="64">
        <v>45470.0</v>
      </c>
      <c r="B376" s="55" t="str">
        <f>HYPERLINK("https://jobright.ai/jobs/info/667aa1af59959cdb9b43d0a2?utm_campaign=1064&amp;utm_source=sheet", "Apply")</f>
        <v>Apply</v>
      </c>
      <c r="C376" s="10" t="s">
        <v>20287</v>
      </c>
      <c r="D376" s="56" t="s">
        <v>1794</v>
      </c>
      <c r="E376" s="10" t="s">
        <v>65</v>
      </c>
      <c r="F376" s="10" t="s">
        <v>1795</v>
      </c>
      <c r="G376" s="10" t="s">
        <v>19584</v>
      </c>
      <c r="H376" s="10" t="s">
        <v>1796</v>
      </c>
      <c r="I376" s="10" t="s">
        <v>55</v>
      </c>
      <c r="J376" s="10" t="s">
        <v>1409</v>
      </c>
      <c r="K376" s="10" t="s">
        <v>20288</v>
      </c>
      <c r="L376" s="10" t="s">
        <v>42</v>
      </c>
    </row>
    <row r="377" ht="15.75" customHeight="1">
      <c r="A377" s="64">
        <v>45470.0</v>
      </c>
      <c r="B377" s="55" t="str">
        <f>HYPERLINK("https://jobright.ai/jobs/info/667e0017ab9b33e0617040fb?utm_campaign=1064&amp;utm_source=sheet", "Apply")</f>
        <v>Apply</v>
      </c>
      <c r="C377" s="10" t="s">
        <v>15985</v>
      </c>
      <c r="D377" s="56" t="s">
        <v>11530</v>
      </c>
      <c r="E377" s="10" t="s">
        <v>65</v>
      </c>
      <c r="F377" s="10" t="s">
        <v>259</v>
      </c>
      <c r="G377" s="10" t="s">
        <v>19587</v>
      </c>
      <c r="H377" s="10" t="s">
        <v>20289</v>
      </c>
      <c r="I377" s="10" t="s">
        <v>55</v>
      </c>
      <c r="J377" s="10" t="s">
        <v>1409</v>
      </c>
      <c r="K377" s="10" t="s">
        <v>19697</v>
      </c>
      <c r="L377" s="10" t="s">
        <v>42</v>
      </c>
    </row>
    <row r="378" ht="15.75" customHeight="1">
      <c r="A378" s="64">
        <v>45470.0</v>
      </c>
      <c r="B378" s="55" t="str">
        <f>HYPERLINK("https://jobright.ai/jobs/info/667e0c2348f3492b0f46ce24?utm_campaign=1064&amp;utm_source=sheet", "Apply")</f>
        <v>Apply</v>
      </c>
      <c r="C378" s="10" t="s">
        <v>15985</v>
      </c>
      <c r="D378" s="56" t="s">
        <v>11530</v>
      </c>
      <c r="E378" s="10" t="s">
        <v>65</v>
      </c>
      <c r="F378" s="10" t="s">
        <v>259</v>
      </c>
      <c r="G378" s="10" t="s">
        <v>19587</v>
      </c>
      <c r="H378" s="10" t="s">
        <v>14453</v>
      </c>
      <c r="I378" s="10" t="s">
        <v>55</v>
      </c>
      <c r="J378" s="10" t="s">
        <v>1409</v>
      </c>
      <c r="K378" s="10" t="s">
        <v>19697</v>
      </c>
      <c r="L378" s="10" t="s">
        <v>42</v>
      </c>
    </row>
    <row r="379" ht="15.75" customHeight="1">
      <c r="A379" s="64">
        <v>45470.0</v>
      </c>
      <c r="B379" s="55" t="str">
        <f>HYPERLINK("https://jobright.ai/jobs/info/667e0c2348f3492b0f46ce25?utm_campaign=1064&amp;utm_source=sheet", "Apply")</f>
        <v>Apply</v>
      </c>
      <c r="C379" s="10" t="s">
        <v>15985</v>
      </c>
      <c r="D379" s="56" t="s">
        <v>11530</v>
      </c>
      <c r="E379" s="10" t="s">
        <v>65</v>
      </c>
      <c r="F379" s="10" t="s">
        <v>259</v>
      </c>
      <c r="G379" s="10" t="s">
        <v>19587</v>
      </c>
      <c r="H379" s="10" t="s">
        <v>859</v>
      </c>
      <c r="I379" s="10" t="s">
        <v>55</v>
      </c>
      <c r="J379" s="10" t="s">
        <v>1409</v>
      </c>
      <c r="K379" s="10" t="s">
        <v>19697</v>
      </c>
      <c r="L379" s="10" t="s">
        <v>42</v>
      </c>
    </row>
    <row r="380" ht="15.75" customHeight="1">
      <c r="A380" s="64">
        <v>45470.0</v>
      </c>
      <c r="B380" s="55" t="str">
        <f>HYPERLINK("https://jobright.ai/jobs/info/667df67bd01f1b50f25ca97d?utm_campaign=1064&amp;utm_source=sheet", "Apply")</f>
        <v>Apply</v>
      </c>
      <c r="C380" s="10" t="s">
        <v>15985</v>
      </c>
      <c r="D380" s="56" t="s">
        <v>11530</v>
      </c>
      <c r="E380" s="10" t="s">
        <v>65</v>
      </c>
      <c r="F380" s="10" t="s">
        <v>259</v>
      </c>
      <c r="G380" s="10" t="s">
        <v>19587</v>
      </c>
      <c r="H380" s="10" t="s">
        <v>20290</v>
      </c>
      <c r="I380" s="10" t="s">
        <v>55</v>
      </c>
      <c r="J380" s="10" t="s">
        <v>1409</v>
      </c>
      <c r="K380" s="10" t="s">
        <v>19697</v>
      </c>
      <c r="L380" s="10" t="s">
        <v>42</v>
      </c>
    </row>
    <row r="381" ht="15.75" customHeight="1">
      <c r="A381" s="64">
        <v>45470.0</v>
      </c>
      <c r="B381" s="55" t="str">
        <f>HYPERLINK("https://jobright.ai/jobs/info/667db868bdd03d9fd8cf7836?utm_campaign=1064&amp;utm_source=sheet", "Apply")</f>
        <v>Apply</v>
      </c>
      <c r="C381" s="10" t="s">
        <v>20291</v>
      </c>
      <c r="D381" s="56" t="s">
        <v>20292</v>
      </c>
      <c r="E381" s="10" t="s">
        <v>45</v>
      </c>
      <c r="F381" s="10" t="s">
        <v>259</v>
      </c>
      <c r="G381" s="10" t="s">
        <v>19581</v>
      </c>
      <c r="H381" s="10" t="s">
        <v>4627</v>
      </c>
      <c r="I381" s="10" t="s">
        <v>48</v>
      </c>
      <c r="K381" s="10" t="s">
        <v>20293</v>
      </c>
      <c r="L381" s="10" t="s">
        <v>42</v>
      </c>
    </row>
    <row r="382" ht="15.75" customHeight="1">
      <c r="A382" s="64">
        <v>45470.0</v>
      </c>
      <c r="B382" s="55" t="str">
        <f>HYPERLINK("https://jobright.ai/jobs/info/667db868bdd03d9fd8cf7846?utm_campaign=1064&amp;utm_source=sheet", "Apply")</f>
        <v>Apply</v>
      </c>
      <c r="C382" s="10" t="s">
        <v>20294</v>
      </c>
      <c r="D382" s="56" t="s">
        <v>20292</v>
      </c>
      <c r="E382" s="10" t="s">
        <v>45</v>
      </c>
      <c r="F382" s="10" t="s">
        <v>259</v>
      </c>
      <c r="G382" s="10" t="s">
        <v>19581</v>
      </c>
      <c r="H382" s="10" t="s">
        <v>4627</v>
      </c>
      <c r="I382" s="10" t="s">
        <v>48</v>
      </c>
      <c r="K382" s="10" t="s">
        <v>20295</v>
      </c>
      <c r="L382" s="10" t="s">
        <v>42</v>
      </c>
    </row>
    <row r="383" ht="15.75" customHeight="1">
      <c r="A383" s="64">
        <v>45469.0</v>
      </c>
      <c r="B383" s="55" t="str">
        <f>HYPERLINK("https://jobright.ai/jobs/info/667cb71e7f13acf322d94889?utm_campaign=1064&amp;utm_source=sheet", "Apply")</f>
        <v>Apply</v>
      </c>
      <c r="C383" s="10" t="s">
        <v>19862</v>
      </c>
      <c r="D383" s="56" t="s">
        <v>1636</v>
      </c>
      <c r="E383" s="10">
        <v>6029.0</v>
      </c>
      <c r="G383" s="10" t="s">
        <v>19595</v>
      </c>
      <c r="H383" s="10" t="s">
        <v>170</v>
      </c>
      <c r="I383" s="10" t="s">
        <v>55</v>
      </c>
      <c r="J383" s="10" t="s">
        <v>20296</v>
      </c>
      <c r="K383" s="10" t="s">
        <v>20297</v>
      </c>
      <c r="L383" s="10" t="s">
        <v>42</v>
      </c>
    </row>
    <row r="384" ht="15.75" customHeight="1">
      <c r="A384" s="64">
        <v>45469.0</v>
      </c>
      <c r="B384" s="55" t="str">
        <f>HYPERLINK("https://jobright.ai/jobs/info/667cbc7e6c03d6aa6d804fab?utm_campaign=1064&amp;utm_source=sheet", "Apply")</f>
        <v>Apply</v>
      </c>
      <c r="C384" s="10" t="s">
        <v>20287</v>
      </c>
      <c r="D384" s="56" t="s">
        <v>1794</v>
      </c>
      <c r="E384" s="10" t="s">
        <v>65</v>
      </c>
      <c r="F384" s="10" t="s">
        <v>1795</v>
      </c>
      <c r="G384" s="10" t="s">
        <v>19584</v>
      </c>
      <c r="H384" s="10" t="s">
        <v>1796</v>
      </c>
      <c r="I384" s="10" t="s">
        <v>55</v>
      </c>
      <c r="J384" s="10" t="s">
        <v>1409</v>
      </c>
      <c r="K384" s="10" t="s">
        <v>20288</v>
      </c>
      <c r="L384" s="10" t="s">
        <v>42</v>
      </c>
    </row>
    <row r="385" ht="15.75" customHeight="1">
      <c r="A385" s="64">
        <v>45469.0</v>
      </c>
      <c r="B385" s="55" t="str">
        <f>HYPERLINK("https://jobright.ai/jobs/info/667caab4bddde2bdd60cd61c?utm_campaign=1064&amp;utm_source=sheet", "Apply")</f>
        <v>Apply</v>
      </c>
      <c r="C385" s="10" t="s">
        <v>20298</v>
      </c>
      <c r="D385" s="56" t="s">
        <v>20299</v>
      </c>
      <c r="E385" s="10" t="s">
        <v>65</v>
      </c>
      <c r="F385" s="10" t="s">
        <v>3225</v>
      </c>
      <c r="G385" s="10" t="s">
        <v>19595</v>
      </c>
      <c r="H385" s="10" t="s">
        <v>5456</v>
      </c>
      <c r="I385" s="10" t="s">
        <v>55</v>
      </c>
      <c r="K385" s="10" t="s">
        <v>20300</v>
      </c>
      <c r="L385" s="10" t="s">
        <v>42</v>
      </c>
    </row>
    <row r="386" ht="15.75" customHeight="1">
      <c r="A386" s="64">
        <v>45469.0</v>
      </c>
      <c r="B386" s="55" t="str">
        <f>HYPERLINK("https://jobright.ai/jobs/info/667c620ad7e33de70442fdf9?utm_campaign=1064&amp;utm_source=sheet", "Apply")</f>
        <v>Apply</v>
      </c>
      <c r="C386" s="10" t="s">
        <v>19862</v>
      </c>
      <c r="D386" s="56" t="s">
        <v>1636</v>
      </c>
      <c r="E386" s="10">
        <v>6029.0</v>
      </c>
      <c r="G386" s="10" t="s">
        <v>19595</v>
      </c>
      <c r="H386" s="10" t="s">
        <v>15113</v>
      </c>
      <c r="I386" s="10" t="s">
        <v>55</v>
      </c>
      <c r="J386" s="10" t="s">
        <v>20296</v>
      </c>
      <c r="K386" s="10" t="s">
        <v>20301</v>
      </c>
      <c r="L386" s="10" t="s">
        <v>42</v>
      </c>
    </row>
    <row r="387" ht="15.75" customHeight="1">
      <c r="A387" s="64">
        <v>45468.0</v>
      </c>
      <c r="B387" s="55" t="str">
        <f>HYPERLINK("https://jobright.ai/jobs/info/667b0eacbf9efe4d35de4776?utm_campaign=1064&amp;utm_source=sheet", "Apply")</f>
        <v>Apply</v>
      </c>
      <c r="C387" s="10" t="s">
        <v>15985</v>
      </c>
      <c r="D387" s="56" t="s">
        <v>11530</v>
      </c>
      <c r="E387" s="10" t="s">
        <v>65</v>
      </c>
      <c r="F387" s="10" t="s">
        <v>259</v>
      </c>
      <c r="G387" s="10" t="s">
        <v>19587</v>
      </c>
      <c r="H387" s="10" t="s">
        <v>14346</v>
      </c>
      <c r="I387" s="10" t="s">
        <v>55</v>
      </c>
      <c r="J387" s="10" t="s">
        <v>1409</v>
      </c>
      <c r="K387" s="10" t="s">
        <v>19697</v>
      </c>
      <c r="L387" s="10" t="s">
        <v>42</v>
      </c>
    </row>
    <row r="388" ht="15.75" customHeight="1">
      <c r="A388" s="64">
        <v>45468.0</v>
      </c>
      <c r="B388" s="55" t="str">
        <f>HYPERLINK("https://jobright.ai/jobs/info/667b5026269329a8d9289a29?utm_campaign=1064&amp;utm_source=sheet", "Apply")</f>
        <v>Apply</v>
      </c>
      <c r="C388" s="10" t="s">
        <v>20302</v>
      </c>
      <c r="D388" s="56" t="s">
        <v>9950</v>
      </c>
      <c r="E388" s="10" t="s">
        <v>45</v>
      </c>
      <c r="F388" s="10" t="s">
        <v>2409</v>
      </c>
      <c r="G388" s="10" t="s">
        <v>19595</v>
      </c>
      <c r="H388" s="10" t="s">
        <v>872</v>
      </c>
      <c r="I388" s="10" t="s">
        <v>55</v>
      </c>
      <c r="K388" s="10" t="s">
        <v>20239</v>
      </c>
      <c r="L388" s="10" t="s">
        <v>42</v>
      </c>
    </row>
    <row r="389" ht="15.75" customHeight="1">
      <c r="A389" s="64">
        <v>45468.0</v>
      </c>
      <c r="B389" s="55" t="str">
        <f>HYPERLINK("https://jobright.ai/jobs/info/667a4d9c5afaca18482a14e0?utm_campaign=1064&amp;utm_source=sheet", "Apply")</f>
        <v>Apply</v>
      </c>
      <c r="C389" s="10" t="s">
        <v>20303</v>
      </c>
      <c r="D389" s="56" t="s">
        <v>20264</v>
      </c>
      <c r="E389" s="10" t="s">
        <v>45</v>
      </c>
      <c r="F389" s="10" t="s">
        <v>18523</v>
      </c>
      <c r="G389" s="10" t="s">
        <v>19595</v>
      </c>
      <c r="H389" s="10" t="s">
        <v>405</v>
      </c>
      <c r="I389" s="10" t="s">
        <v>55</v>
      </c>
      <c r="J389" s="10" t="s">
        <v>20304</v>
      </c>
      <c r="K389" s="10" t="s">
        <v>20305</v>
      </c>
      <c r="L389" s="10" t="s">
        <v>42</v>
      </c>
    </row>
    <row r="390" ht="15.75" customHeight="1">
      <c r="A390" s="64">
        <v>45468.0</v>
      </c>
      <c r="B390" s="55" t="str">
        <f>HYPERLINK("https://jobright.ai/jobs/info/667a4915f26c35092978d350?utm_campaign=1064&amp;utm_source=sheet", "Apply")</f>
        <v>Apply</v>
      </c>
      <c r="C390" s="10" t="s">
        <v>20306</v>
      </c>
      <c r="D390" s="56" t="s">
        <v>20264</v>
      </c>
      <c r="E390" s="10" t="s">
        <v>45</v>
      </c>
      <c r="F390" s="10" t="s">
        <v>18523</v>
      </c>
      <c r="G390" s="10" t="s">
        <v>19595</v>
      </c>
      <c r="H390" s="10" t="s">
        <v>795</v>
      </c>
      <c r="I390" s="10" t="s">
        <v>55</v>
      </c>
      <c r="J390" s="10" t="s">
        <v>20304</v>
      </c>
      <c r="K390" s="10" t="s">
        <v>20305</v>
      </c>
      <c r="L390" s="10" t="s">
        <v>42</v>
      </c>
    </row>
    <row r="391" ht="15.75" customHeight="1">
      <c r="A391" s="64">
        <v>45467.0</v>
      </c>
      <c r="B391" s="55" t="str">
        <f>HYPERLINK("https://jobright.ai/jobs/info/667a01b5d55a22e58f6145ff?utm_campaign=1064&amp;utm_source=sheet", "Apply")</f>
        <v>Apply</v>
      </c>
      <c r="C391" s="10" t="s">
        <v>20307</v>
      </c>
      <c r="D391" s="56" t="s">
        <v>1794</v>
      </c>
      <c r="E391" s="10" t="s">
        <v>65</v>
      </c>
      <c r="F391" s="10" t="s">
        <v>1795</v>
      </c>
      <c r="G391" s="10" t="s">
        <v>19595</v>
      </c>
      <c r="H391" s="10" t="s">
        <v>1796</v>
      </c>
      <c r="I391" s="10" t="s">
        <v>55</v>
      </c>
      <c r="J391" s="10" t="s">
        <v>1984</v>
      </c>
      <c r="K391" s="10" t="s">
        <v>20308</v>
      </c>
      <c r="L391" s="10" t="s">
        <v>42</v>
      </c>
    </row>
    <row r="392" ht="15.75" customHeight="1">
      <c r="A392" s="64">
        <v>45467.0</v>
      </c>
      <c r="B392" s="55" t="str">
        <f>HYPERLINK("https://jobright.ai/jobs/info/6679ee8d1d0873c34231c25a?utm_campaign=1064&amp;utm_source=sheet", "Apply")</f>
        <v>Apply</v>
      </c>
      <c r="C392" s="10" t="s">
        <v>20309</v>
      </c>
      <c r="D392" s="56" t="s">
        <v>20310</v>
      </c>
      <c r="E392" s="10" t="s">
        <v>209</v>
      </c>
      <c r="F392" s="10" t="s">
        <v>2828</v>
      </c>
      <c r="G392" s="10" t="s">
        <v>19584</v>
      </c>
      <c r="H392" s="10" t="s">
        <v>73</v>
      </c>
      <c r="I392" s="10" t="s">
        <v>55</v>
      </c>
      <c r="K392" s="10" t="s">
        <v>20311</v>
      </c>
      <c r="L392" s="10" t="s">
        <v>42</v>
      </c>
    </row>
    <row r="393" ht="15.75" customHeight="1">
      <c r="A393" s="64">
        <v>45467.0</v>
      </c>
      <c r="B393" s="55" t="str">
        <f>HYPERLINK("https://jobright.ai/jobs/info/66795ed8dd14b36e4d97a563?utm_campaign=1064&amp;utm_source=sheet", "Apply")</f>
        <v>Apply</v>
      </c>
      <c r="C393" s="10" t="s">
        <v>20312</v>
      </c>
      <c r="D393" s="56" t="s">
        <v>20313</v>
      </c>
      <c r="E393" s="10" t="s">
        <v>79</v>
      </c>
      <c r="F393" s="10" t="s">
        <v>3770</v>
      </c>
      <c r="G393" s="10" t="s">
        <v>19584</v>
      </c>
      <c r="H393" s="10" t="s">
        <v>604</v>
      </c>
      <c r="I393" s="10" t="s">
        <v>55</v>
      </c>
      <c r="K393" s="10" t="s">
        <v>20314</v>
      </c>
      <c r="L393" s="10" t="s">
        <v>42</v>
      </c>
    </row>
    <row r="394" ht="15.75" customHeight="1">
      <c r="A394" s="64">
        <v>45465.0</v>
      </c>
      <c r="B394" s="55" t="str">
        <f>HYPERLINK("https://jobright.ai/jobs/info/6676d8574ffdc62f7b6796b9?utm_campaign=1064&amp;utm_source=sheet", "Apply")</f>
        <v>Apply</v>
      </c>
      <c r="C394" s="10" t="s">
        <v>20315</v>
      </c>
      <c r="D394" s="56" t="s">
        <v>20316</v>
      </c>
      <c r="E394" s="10" t="s">
        <v>45</v>
      </c>
      <c r="F394" s="10" t="s">
        <v>20317</v>
      </c>
      <c r="G394" s="10" t="s">
        <v>19587</v>
      </c>
      <c r="H394" s="10" t="s">
        <v>20318</v>
      </c>
      <c r="I394" s="10" t="s">
        <v>55</v>
      </c>
      <c r="J394" s="10" t="s">
        <v>10958</v>
      </c>
      <c r="K394" s="10" t="s">
        <v>20319</v>
      </c>
      <c r="L394" s="10" t="s">
        <v>42</v>
      </c>
    </row>
    <row r="395" ht="15.75" customHeight="1">
      <c r="A395" s="64">
        <v>45464.0</v>
      </c>
      <c r="B395" s="55" t="str">
        <f>HYPERLINK("https://jobright.ai/jobs/info/667627c174a49bf8010a1a44?utm_campaign=1064&amp;utm_source=sheet", "Apply")</f>
        <v>Apply</v>
      </c>
      <c r="C395" s="10" t="s">
        <v>20320</v>
      </c>
      <c r="D395" s="56" t="s">
        <v>20321</v>
      </c>
      <c r="E395" s="10" t="s">
        <v>45</v>
      </c>
      <c r="F395" s="10" t="s">
        <v>1893</v>
      </c>
      <c r="G395" s="10" t="s">
        <v>19584</v>
      </c>
      <c r="H395" s="10" t="s">
        <v>20322</v>
      </c>
      <c r="I395" s="10" t="s">
        <v>55</v>
      </c>
      <c r="J395" s="10" t="s">
        <v>20323</v>
      </c>
      <c r="K395" s="10" t="s">
        <v>20324</v>
      </c>
      <c r="L395" s="10" t="s">
        <v>42</v>
      </c>
    </row>
    <row r="396" ht="15.75" customHeight="1">
      <c r="A396" s="64">
        <v>45464.0</v>
      </c>
      <c r="B396" s="55" t="str">
        <f>HYPERLINK("https://jobright.ai/jobs/info/6677a17282327573f52bfd3e?utm_campaign=1064&amp;utm_source=sheet", "Apply")</f>
        <v>Apply</v>
      </c>
      <c r="C396" s="10" t="s">
        <v>20325</v>
      </c>
      <c r="D396" s="56" t="s">
        <v>20326</v>
      </c>
      <c r="E396" s="10" t="s">
        <v>65</v>
      </c>
      <c r="F396" s="10" t="s">
        <v>20327</v>
      </c>
      <c r="G396" s="10" t="s">
        <v>19587</v>
      </c>
      <c r="H396" s="10" t="s">
        <v>20328</v>
      </c>
      <c r="I396" s="10" t="s">
        <v>55</v>
      </c>
      <c r="J396" s="10" t="s">
        <v>521</v>
      </c>
      <c r="K396" s="10" t="s">
        <v>20329</v>
      </c>
      <c r="L396" s="10" t="s">
        <v>42</v>
      </c>
    </row>
    <row r="397" ht="15.75" customHeight="1">
      <c r="A397" s="64">
        <v>45464.0</v>
      </c>
      <c r="B397" s="55" t="str">
        <f>HYPERLINK("https://jobright.ai/jobs/info/6676018ff1b86992c36464da?utm_campaign=1064&amp;utm_source=sheet", "Apply")</f>
        <v>Apply</v>
      </c>
      <c r="C397" s="10" t="s">
        <v>20330</v>
      </c>
      <c r="D397" s="56" t="s">
        <v>11530</v>
      </c>
      <c r="E397" s="10" t="s">
        <v>65</v>
      </c>
      <c r="F397" s="10" t="s">
        <v>259</v>
      </c>
      <c r="G397" s="10" t="s">
        <v>19587</v>
      </c>
      <c r="H397" s="10" t="s">
        <v>5254</v>
      </c>
      <c r="I397" s="10" t="s">
        <v>55</v>
      </c>
      <c r="J397" s="10" t="s">
        <v>1409</v>
      </c>
      <c r="K397" s="10" t="s">
        <v>19697</v>
      </c>
      <c r="L397" s="10" t="s">
        <v>42</v>
      </c>
    </row>
    <row r="398" ht="15.75" customHeight="1">
      <c r="A398" s="64">
        <v>45464.0</v>
      </c>
      <c r="B398" s="55" t="str">
        <f>HYPERLINK("https://jobright.ai/jobs/info/6677a21d82327573f52c0a63?utm_campaign=1064&amp;utm_source=sheet", "Apply")</f>
        <v>Apply</v>
      </c>
      <c r="C398" s="10" t="s">
        <v>20331</v>
      </c>
      <c r="D398" s="56" t="s">
        <v>3645</v>
      </c>
      <c r="E398" s="10" t="s">
        <v>45</v>
      </c>
      <c r="F398" s="10" t="s">
        <v>1700</v>
      </c>
      <c r="G398" s="10" t="s">
        <v>19584</v>
      </c>
      <c r="H398" s="10" t="s">
        <v>5895</v>
      </c>
      <c r="I398" s="10" t="s">
        <v>55</v>
      </c>
      <c r="K398" s="10" t="s">
        <v>19905</v>
      </c>
      <c r="L398" s="10" t="s">
        <v>42</v>
      </c>
    </row>
    <row r="399" ht="15.75" customHeight="1">
      <c r="A399" s="64">
        <v>45464.0</v>
      </c>
      <c r="B399" s="55" t="str">
        <f>HYPERLINK("https://jobright.ai/jobs/info/667963f1f6b36b4aa01a415a?utm_campaign=1064&amp;utm_source=sheet", "Apply")</f>
        <v>Apply</v>
      </c>
      <c r="C399" s="10" t="s">
        <v>20332</v>
      </c>
      <c r="D399" s="56" t="s">
        <v>20333</v>
      </c>
      <c r="E399" s="10" t="s">
        <v>65</v>
      </c>
      <c r="F399" s="10" t="s">
        <v>1234</v>
      </c>
      <c r="G399" s="10" t="s">
        <v>19595</v>
      </c>
      <c r="H399" s="10" t="s">
        <v>96</v>
      </c>
      <c r="I399" s="10" t="s">
        <v>55</v>
      </c>
      <c r="J399" s="10" t="s">
        <v>20334</v>
      </c>
      <c r="K399" s="10" t="s">
        <v>20335</v>
      </c>
      <c r="L399" s="10" t="s">
        <v>42</v>
      </c>
    </row>
    <row r="400" ht="15.75" customHeight="1">
      <c r="A400" s="64">
        <v>45464.0</v>
      </c>
      <c r="B400" s="55" t="str">
        <f>HYPERLINK("https://jobright.ai/jobs/info/66754ec8c85b56be4ffcba9c?utm_campaign=1064&amp;utm_source=sheet", "Apply")</f>
        <v>Apply</v>
      </c>
      <c r="C400" s="10" t="s">
        <v>20336</v>
      </c>
      <c r="D400" s="56" t="s">
        <v>20337</v>
      </c>
      <c r="E400" s="10">
        <v>12074.0</v>
      </c>
      <c r="G400" s="10" t="s">
        <v>19584</v>
      </c>
      <c r="H400" s="10" t="s">
        <v>4800</v>
      </c>
      <c r="I400" s="10" t="s">
        <v>55</v>
      </c>
      <c r="K400" s="10" t="s">
        <v>20338</v>
      </c>
      <c r="L400" s="10" t="s">
        <v>42</v>
      </c>
    </row>
    <row r="401" ht="15.75" customHeight="1">
      <c r="A401" s="64">
        <v>45463.0</v>
      </c>
      <c r="B401" s="55" t="str">
        <f>HYPERLINK("https://jobright.ai/jobs/info/6675ce44fde6a7756c636062?utm_campaign=1064&amp;utm_source=sheet", "Apply")</f>
        <v>Apply</v>
      </c>
      <c r="C401" s="10" t="s">
        <v>15985</v>
      </c>
      <c r="D401" s="56" t="s">
        <v>11530</v>
      </c>
      <c r="E401" s="10" t="s">
        <v>65</v>
      </c>
      <c r="F401" s="10" t="s">
        <v>259</v>
      </c>
      <c r="G401" s="10" t="s">
        <v>19587</v>
      </c>
      <c r="H401" s="10" t="s">
        <v>20339</v>
      </c>
      <c r="I401" s="10" t="s">
        <v>55</v>
      </c>
      <c r="J401" s="10" t="s">
        <v>1409</v>
      </c>
      <c r="K401" s="10" t="s">
        <v>19697</v>
      </c>
      <c r="L401" s="10" t="s">
        <v>42</v>
      </c>
    </row>
    <row r="402" ht="15.75" customHeight="1">
      <c r="A402" s="64">
        <v>45463.0</v>
      </c>
      <c r="B402" s="55" t="str">
        <f>HYPERLINK("https://jobright.ai/jobs/info/66748d01c67424e3abb97580?utm_campaign=1064&amp;utm_source=sheet", "Apply")</f>
        <v>Apply</v>
      </c>
      <c r="C402" s="10" t="s">
        <v>19624</v>
      </c>
      <c r="D402" s="56" t="s">
        <v>19625</v>
      </c>
      <c r="E402" s="10" t="s">
        <v>65</v>
      </c>
      <c r="F402" s="10" t="s">
        <v>1234</v>
      </c>
      <c r="G402" s="10" t="s">
        <v>19595</v>
      </c>
      <c r="H402" s="10" t="s">
        <v>19626</v>
      </c>
      <c r="I402" s="10" t="s">
        <v>55</v>
      </c>
      <c r="K402" s="10" t="s">
        <v>20340</v>
      </c>
      <c r="L402" s="10" t="s">
        <v>42</v>
      </c>
    </row>
    <row r="403" ht="15.75" customHeight="1">
      <c r="A403" s="64">
        <v>45463.0</v>
      </c>
      <c r="B403" s="55" t="str">
        <f>HYPERLINK("https://jobright.ai/jobs/info/6673c9db445e452af4b61647?utm_campaign=1064&amp;utm_source=sheet", "Apply")</f>
        <v>Apply</v>
      </c>
      <c r="C403" s="10" t="s">
        <v>15985</v>
      </c>
      <c r="D403" s="56" t="s">
        <v>11530</v>
      </c>
      <c r="E403" s="10" t="s">
        <v>65</v>
      </c>
      <c r="F403" s="10" t="s">
        <v>259</v>
      </c>
      <c r="G403" s="10" t="s">
        <v>19587</v>
      </c>
      <c r="H403" s="10" t="s">
        <v>791</v>
      </c>
      <c r="I403" s="10" t="s">
        <v>55</v>
      </c>
      <c r="J403" s="10" t="s">
        <v>1409</v>
      </c>
      <c r="K403" s="10" t="s">
        <v>19697</v>
      </c>
      <c r="L403" s="10" t="s">
        <v>42</v>
      </c>
    </row>
    <row r="404" ht="15.75" customHeight="1">
      <c r="A404" s="64">
        <v>45462.0</v>
      </c>
      <c r="B404" s="55" t="str">
        <f>HYPERLINK("https://jobright.ai/jobs/info/666c8749f630f8a398e00d07?utm_campaign=1064&amp;utm_source=sheet", "Apply")</f>
        <v>Apply</v>
      </c>
      <c r="C404" s="10" t="s">
        <v>19851</v>
      </c>
      <c r="D404" s="56" t="s">
        <v>7595</v>
      </c>
      <c r="E404" s="10" t="s">
        <v>65</v>
      </c>
      <c r="F404" s="10" t="s">
        <v>205</v>
      </c>
      <c r="G404" s="10" t="s">
        <v>19595</v>
      </c>
      <c r="H404" s="10" t="s">
        <v>354</v>
      </c>
      <c r="I404" s="10" t="s">
        <v>55</v>
      </c>
      <c r="K404" s="10" t="s">
        <v>20341</v>
      </c>
      <c r="L404" s="10" t="s">
        <v>42</v>
      </c>
    </row>
    <row r="405" ht="15.75" customHeight="1">
      <c r="A405" s="64">
        <v>45462.0</v>
      </c>
      <c r="B405" s="55" t="str">
        <f>HYPERLINK("https://jobright.ai/jobs/info/6677adfcdc7be138508a359e?utm_campaign=1064&amp;utm_source=sheet", "Apply")</f>
        <v>Apply</v>
      </c>
      <c r="C405" s="10" t="s">
        <v>19637</v>
      </c>
      <c r="D405" s="56" t="s">
        <v>7670</v>
      </c>
      <c r="E405" s="10" t="s">
        <v>45</v>
      </c>
      <c r="G405" s="10" t="s">
        <v>19584</v>
      </c>
      <c r="H405" s="10" t="s">
        <v>1049</v>
      </c>
      <c r="I405" s="10" t="s">
        <v>55</v>
      </c>
      <c r="K405" s="10" t="s">
        <v>20342</v>
      </c>
      <c r="L405" s="10" t="s">
        <v>42</v>
      </c>
    </row>
    <row r="406" ht="15.75" customHeight="1">
      <c r="A406" s="64">
        <v>45462.0</v>
      </c>
      <c r="B406" s="55" t="str">
        <f>HYPERLINK("https://jobright.ai/jobs/info/66758a77e9630e29ff214110?utm_campaign=1064&amp;utm_source=sheet", "Apply")</f>
        <v>Apply</v>
      </c>
      <c r="C406" s="10" t="s">
        <v>20343</v>
      </c>
      <c r="D406" s="56" t="s">
        <v>20344</v>
      </c>
      <c r="G406" s="10" t="s">
        <v>19595</v>
      </c>
      <c r="H406" s="10" t="s">
        <v>20345</v>
      </c>
      <c r="I406" s="10" t="s">
        <v>55</v>
      </c>
      <c r="J406" s="10" t="s">
        <v>3651</v>
      </c>
      <c r="K406" s="10" t="s">
        <v>20346</v>
      </c>
      <c r="L406" s="10" t="s">
        <v>42</v>
      </c>
    </row>
    <row r="407" ht="15.75" customHeight="1">
      <c r="A407" s="64">
        <v>45462.0</v>
      </c>
      <c r="B407" s="55" t="str">
        <f>HYPERLINK("https://jobright.ai/jobs/info/6672aeb6243fbab5d485baa2?utm_campaign=1064&amp;utm_source=sheet", "Apply")</f>
        <v>Apply</v>
      </c>
      <c r="C407" s="10" t="s">
        <v>20347</v>
      </c>
      <c r="D407" s="56" t="s">
        <v>15361</v>
      </c>
      <c r="E407" s="10" t="s">
        <v>71</v>
      </c>
      <c r="F407" s="10" t="s">
        <v>15362</v>
      </c>
      <c r="G407" s="10" t="s">
        <v>19584</v>
      </c>
      <c r="H407" s="10" t="s">
        <v>636</v>
      </c>
      <c r="I407" s="10" t="s">
        <v>55</v>
      </c>
      <c r="K407" s="10" t="s">
        <v>20348</v>
      </c>
      <c r="L407" s="10" t="s">
        <v>42</v>
      </c>
    </row>
    <row r="408" ht="15.75" customHeight="1">
      <c r="A408" s="64">
        <v>45462.0</v>
      </c>
      <c r="B408" s="55" t="str">
        <f>HYPERLINK("https://jobright.ai/jobs/info/6672a36205bfcd773488ba4f?utm_campaign=1064&amp;utm_source=sheet", "Apply")</f>
        <v>Apply</v>
      </c>
      <c r="C408" s="10" t="s">
        <v>20349</v>
      </c>
      <c r="D408" s="56" t="s">
        <v>20350</v>
      </c>
      <c r="E408" s="10" t="s">
        <v>137</v>
      </c>
      <c r="F408" s="10" t="s">
        <v>2673</v>
      </c>
      <c r="G408" s="10" t="s">
        <v>19584</v>
      </c>
      <c r="H408" s="10" t="s">
        <v>4852</v>
      </c>
      <c r="I408" s="10" t="s">
        <v>55</v>
      </c>
      <c r="J408" s="10" t="s">
        <v>366</v>
      </c>
      <c r="K408" s="10" t="s">
        <v>20351</v>
      </c>
      <c r="L408" s="10" t="s">
        <v>42</v>
      </c>
    </row>
    <row r="409" ht="15.75" customHeight="1">
      <c r="A409" s="64">
        <v>45461.0</v>
      </c>
      <c r="B409" s="55" t="str">
        <f>HYPERLINK("https://jobright.ai/jobs/info/6677b2d4d57a2b58a480d1c7?utm_campaign=1064&amp;utm_source=sheet", "Apply")</f>
        <v>Apply</v>
      </c>
      <c r="C409" s="10" t="s">
        <v>19851</v>
      </c>
      <c r="D409" s="56" t="s">
        <v>20352</v>
      </c>
      <c r="E409" s="10" t="s">
        <v>65</v>
      </c>
      <c r="F409" s="10" t="s">
        <v>2617</v>
      </c>
      <c r="G409" s="10" t="s">
        <v>19595</v>
      </c>
      <c r="H409" s="10" t="s">
        <v>20353</v>
      </c>
      <c r="I409" s="10" t="s">
        <v>55</v>
      </c>
      <c r="J409" s="10" t="s">
        <v>3221</v>
      </c>
      <c r="K409" s="10" t="s">
        <v>20354</v>
      </c>
      <c r="L409" s="10" t="s">
        <v>42</v>
      </c>
    </row>
    <row r="410" ht="15.75" customHeight="1">
      <c r="A410" s="64">
        <v>45461.0</v>
      </c>
      <c r="B410" s="55" t="str">
        <f>HYPERLINK("https://jobright.ai/jobs/info/66710f19408631965ab60626?utm_campaign=1064&amp;utm_source=sheet", "Apply")</f>
        <v>Apply</v>
      </c>
      <c r="C410" s="10" t="s">
        <v>20355</v>
      </c>
      <c r="D410" s="56" t="s">
        <v>2174</v>
      </c>
      <c r="E410" s="10">
        <v>294.0</v>
      </c>
      <c r="G410" s="10" t="s">
        <v>19595</v>
      </c>
      <c r="H410" s="10" t="s">
        <v>96</v>
      </c>
      <c r="I410" s="10" t="s">
        <v>55</v>
      </c>
      <c r="J410" s="10" t="s">
        <v>1608</v>
      </c>
      <c r="K410" s="10" t="s">
        <v>20356</v>
      </c>
      <c r="L410" s="10" t="s">
        <v>42</v>
      </c>
    </row>
    <row r="411" ht="15.75" customHeight="1">
      <c r="A411" s="64">
        <v>45461.0</v>
      </c>
      <c r="B411" s="55" t="str">
        <f>HYPERLINK("https://jobright.ai/jobs/info/6670ff6b250d2b1eca10a6fe?utm_campaign=1064&amp;utm_source=sheet", "Apply")</f>
        <v>Apply</v>
      </c>
      <c r="C411" s="10" t="s">
        <v>19821</v>
      </c>
      <c r="D411" s="56" t="s">
        <v>19822</v>
      </c>
      <c r="E411" s="10" t="s">
        <v>45</v>
      </c>
      <c r="F411" s="10" t="s">
        <v>2414</v>
      </c>
      <c r="G411" s="10" t="s">
        <v>19587</v>
      </c>
      <c r="H411" s="10" t="s">
        <v>882</v>
      </c>
      <c r="I411" s="10" t="s">
        <v>55</v>
      </c>
      <c r="K411" s="10" t="s">
        <v>19823</v>
      </c>
      <c r="L411" s="10" t="s">
        <v>42</v>
      </c>
    </row>
    <row r="412" ht="15.75" customHeight="1">
      <c r="A412" s="64">
        <v>45461.0</v>
      </c>
      <c r="B412" s="55" t="str">
        <f>HYPERLINK("https://jobright.ai/jobs/info/667244e4bd2830cd1a1013c3?utm_campaign=1064&amp;utm_source=sheet", "Apply")</f>
        <v>Apply</v>
      </c>
      <c r="C412" s="10" t="s">
        <v>20357</v>
      </c>
      <c r="D412" s="56" t="s">
        <v>11462</v>
      </c>
      <c r="E412" s="10" t="s">
        <v>45</v>
      </c>
      <c r="F412" s="10" t="s">
        <v>11463</v>
      </c>
      <c r="G412" s="10" t="s">
        <v>19587</v>
      </c>
      <c r="H412" s="10" t="s">
        <v>20358</v>
      </c>
      <c r="I412" s="10" t="s">
        <v>55</v>
      </c>
      <c r="J412" s="10" t="s">
        <v>20359</v>
      </c>
      <c r="K412" s="10" t="s">
        <v>20360</v>
      </c>
      <c r="L412" s="10" t="s">
        <v>42</v>
      </c>
    </row>
    <row r="413" ht="15.75" customHeight="1">
      <c r="A413" s="64">
        <v>45461.0</v>
      </c>
      <c r="B413" s="55" t="str">
        <f>HYPERLINK("https://jobright.ai/jobs/info/6671ef391924329b05c7d1f2?utm_campaign=1064&amp;utm_source=sheet", "Apply")</f>
        <v>Apply</v>
      </c>
      <c r="C413" s="10" t="s">
        <v>20361</v>
      </c>
      <c r="D413" s="56" t="s">
        <v>20362</v>
      </c>
      <c r="E413" s="10">
        <v>741.0</v>
      </c>
      <c r="G413" s="10" t="s">
        <v>19587</v>
      </c>
      <c r="H413" s="10" t="s">
        <v>20363</v>
      </c>
      <c r="I413" s="10" t="s">
        <v>55</v>
      </c>
      <c r="J413" s="10" t="s">
        <v>20364</v>
      </c>
      <c r="K413" s="10" t="s">
        <v>20365</v>
      </c>
      <c r="L413" s="10" t="s">
        <v>42</v>
      </c>
    </row>
    <row r="414" ht="15.75" customHeight="1">
      <c r="A414" s="64">
        <v>45460.0</v>
      </c>
      <c r="B414" s="55" t="str">
        <f>HYPERLINK("https://jobright.ai/jobs/info/6673c0d80a60b4e0d6da3c17?utm_campaign=1064&amp;utm_source=sheet", "Apply")</f>
        <v>Apply</v>
      </c>
      <c r="C414" s="10" t="s">
        <v>20366</v>
      </c>
      <c r="D414" s="56" t="s">
        <v>19755</v>
      </c>
      <c r="E414" s="10" t="s">
        <v>65</v>
      </c>
      <c r="F414" s="10" t="s">
        <v>14747</v>
      </c>
      <c r="G414" s="10" t="s">
        <v>19595</v>
      </c>
      <c r="H414" s="10" t="s">
        <v>4001</v>
      </c>
      <c r="I414" s="10" t="s">
        <v>55</v>
      </c>
      <c r="K414" s="10" t="s">
        <v>19976</v>
      </c>
      <c r="L414" s="10" t="s">
        <v>42</v>
      </c>
    </row>
    <row r="415" ht="15.75" customHeight="1">
      <c r="A415" s="64">
        <v>45460.0</v>
      </c>
      <c r="B415" s="55" t="str">
        <f>HYPERLINK("https://jobright.ai/jobs/info/6677143b3ab189f6697e9b28?utm_campaign=1064&amp;utm_source=sheet", "Apply")</f>
        <v>Apply</v>
      </c>
      <c r="C415" s="10" t="s">
        <v>20367</v>
      </c>
      <c r="D415" s="56" t="s">
        <v>20368</v>
      </c>
      <c r="E415" s="10" t="s">
        <v>249</v>
      </c>
      <c r="F415" s="10" t="s">
        <v>1506</v>
      </c>
      <c r="G415" s="10" t="s">
        <v>19587</v>
      </c>
      <c r="H415" s="10" t="s">
        <v>5616</v>
      </c>
      <c r="I415" s="10" t="s">
        <v>55</v>
      </c>
      <c r="J415" s="10" t="s">
        <v>20369</v>
      </c>
      <c r="L415" s="10" t="s">
        <v>42</v>
      </c>
    </row>
    <row r="416" ht="15.75" customHeight="1">
      <c r="A416" s="64">
        <v>45460.0</v>
      </c>
      <c r="B416" s="55" t="str">
        <f>HYPERLINK("https://jobright.ai/jobs/info/66708f211722ac77c119ffd8?utm_campaign=1064&amp;utm_source=sheet", "Apply")</f>
        <v>Apply</v>
      </c>
      <c r="C416" s="10" t="s">
        <v>20370</v>
      </c>
      <c r="D416" s="56" t="s">
        <v>9178</v>
      </c>
      <c r="E416" s="10" t="s">
        <v>209</v>
      </c>
      <c r="F416" s="10" t="s">
        <v>1695</v>
      </c>
      <c r="G416" s="10" t="s">
        <v>19584</v>
      </c>
      <c r="H416" s="10" t="s">
        <v>9179</v>
      </c>
      <c r="I416" s="10" t="s">
        <v>55</v>
      </c>
      <c r="K416" s="10" t="s">
        <v>20371</v>
      </c>
      <c r="L416" s="10" t="s">
        <v>42</v>
      </c>
    </row>
    <row r="417" ht="15.75" customHeight="1">
      <c r="A417" s="64">
        <v>45458.0</v>
      </c>
      <c r="B417" s="55" t="str">
        <f>HYPERLINK("https://jobright.ai/jobs/info/6675ce8cfde6a7756c63654f?utm_campaign=1064&amp;utm_source=sheet", "Apply")</f>
        <v>Apply</v>
      </c>
      <c r="C417" s="10" t="s">
        <v>20372</v>
      </c>
      <c r="D417" s="56" t="s">
        <v>20373</v>
      </c>
      <c r="E417" s="10" t="s">
        <v>276</v>
      </c>
      <c r="F417" s="10" t="s">
        <v>665</v>
      </c>
      <c r="G417" s="10" t="s">
        <v>19595</v>
      </c>
      <c r="H417" s="10" t="s">
        <v>902</v>
      </c>
      <c r="I417" s="10" t="s">
        <v>55</v>
      </c>
      <c r="K417" s="10" t="s">
        <v>20374</v>
      </c>
      <c r="L417" s="10" t="s">
        <v>42</v>
      </c>
    </row>
    <row r="418" ht="15.75" customHeight="1">
      <c r="A418" s="64">
        <v>45458.0</v>
      </c>
      <c r="B418" s="55" t="str">
        <f>HYPERLINK("https://jobright.ai/jobs/info/6677c7ab64f2e472ffd6345a?utm_campaign=1064&amp;utm_source=sheet", "Apply")</f>
        <v>Apply</v>
      </c>
      <c r="C418" s="10" t="s">
        <v>20375</v>
      </c>
      <c r="D418" s="56" t="s">
        <v>20376</v>
      </c>
      <c r="F418" s="10" t="s">
        <v>2617</v>
      </c>
      <c r="G418" s="10" t="s">
        <v>19595</v>
      </c>
      <c r="H418" s="10" t="s">
        <v>113</v>
      </c>
      <c r="I418" s="10" t="s">
        <v>55</v>
      </c>
      <c r="K418" s="10" t="s">
        <v>20377</v>
      </c>
      <c r="L418" s="10" t="s">
        <v>42</v>
      </c>
    </row>
    <row r="419" ht="15.75" customHeight="1">
      <c r="A419" s="64">
        <v>45458.0</v>
      </c>
      <c r="B419" s="55" t="str">
        <f>HYPERLINK("https://jobright.ai/jobs/info/66741a7e58f25362ea0da75d?utm_campaign=1064&amp;utm_source=sheet", "Apply")</f>
        <v>Apply</v>
      </c>
      <c r="C419" s="10" t="s">
        <v>16216</v>
      </c>
      <c r="D419" s="56" t="s">
        <v>20378</v>
      </c>
      <c r="E419" s="10" t="s">
        <v>137</v>
      </c>
      <c r="F419" s="10" t="s">
        <v>13583</v>
      </c>
      <c r="G419" s="10" t="s">
        <v>19860</v>
      </c>
      <c r="H419" s="10" t="s">
        <v>96</v>
      </c>
      <c r="I419" s="10" t="s">
        <v>55</v>
      </c>
      <c r="J419" s="10" t="s">
        <v>1984</v>
      </c>
      <c r="K419" s="10" t="s">
        <v>20379</v>
      </c>
      <c r="L419" s="10" t="s">
        <v>42</v>
      </c>
    </row>
    <row r="420" ht="15.75" customHeight="1">
      <c r="A420" s="64">
        <v>45458.0</v>
      </c>
      <c r="B420" s="55" t="str">
        <f>HYPERLINK("https://jobright.ai/jobs/info/6676c25ec9dc0237d722b842?utm_campaign=1064&amp;utm_source=sheet", "Apply")</f>
        <v>Apply</v>
      </c>
      <c r="C420" s="10" t="s">
        <v>20380</v>
      </c>
      <c r="D420" s="56" t="s">
        <v>4465</v>
      </c>
      <c r="E420" s="10" t="s">
        <v>209</v>
      </c>
      <c r="F420" s="10" t="s">
        <v>4466</v>
      </c>
      <c r="G420" s="10" t="s">
        <v>19595</v>
      </c>
      <c r="H420" s="10" t="s">
        <v>15802</v>
      </c>
      <c r="I420" s="10" t="s">
        <v>55</v>
      </c>
      <c r="J420" s="10" t="s">
        <v>20381</v>
      </c>
      <c r="K420" s="10" t="s">
        <v>20382</v>
      </c>
      <c r="L420" s="10" t="s">
        <v>42</v>
      </c>
    </row>
    <row r="421" ht="15.75" customHeight="1">
      <c r="A421" s="64">
        <v>45457.0</v>
      </c>
      <c r="B421" s="55" t="str">
        <f>HYPERLINK("https://jobright.ai/jobs/info/6675d3995e546ebdd783a6e3?utm_campaign=1064&amp;utm_source=sheet", "Apply")</f>
        <v>Apply</v>
      </c>
      <c r="C421" s="10" t="s">
        <v>20383</v>
      </c>
      <c r="D421" s="56" t="s">
        <v>3645</v>
      </c>
      <c r="E421" s="10" t="s">
        <v>45</v>
      </c>
      <c r="F421" s="10" t="s">
        <v>1700</v>
      </c>
      <c r="G421" s="10" t="s">
        <v>19584</v>
      </c>
      <c r="H421" s="10" t="s">
        <v>882</v>
      </c>
      <c r="I421" s="10" t="s">
        <v>55</v>
      </c>
      <c r="K421" s="10" t="s">
        <v>20384</v>
      </c>
      <c r="L421" s="10" t="s">
        <v>42</v>
      </c>
    </row>
    <row r="422" ht="15.75" customHeight="1">
      <c r="A422" s="64">
        <v>45457.0</v>
      </c>
      <c r="B422" s="55" t="str">
        <f>HYPERLINK("https://jobright.ai/jobs/info/6675d83628c07253dad69f5c?utm_campaign=1064&amp;utm_source=sheet", "Apply")</f>
        <v>Apply</v>
      </c>
      <c r="C422" s="10" t="s">
        <v>20385</v>
      </c>
      <c r="D422" s="56" t="s">
        <v>3645</v>
      </c>
      <c r="E422" s="10" t="s">
        <v>45</v>
      </c>
      <c r="F422" s="10" t="s">
        <v>1700</v>
      </c>
      <c r="G422" s="10" t="s">
        <v>19584</v>
      </c>
      <c r="H422" s="10" t="s">
        <v>762</v>
      </c>
      <c r="I422" s="10" t="s">
        <v>55</v>
      </c>
      <c r="K422" s="10" t="s">
        <v>20384</v>
      </c>
      <c r="L422" s="10" t="s">
        <v>42</v>
      </c>
    </row>
    <row r="423" ht="15.75" customHeight="1">
      <c r="A423" s="64">
        <v>45457.0</v>
      </c>
      <c r="B423" s="55" t="str">
        <f>HYPERLINK("https://jobright.ai/jobs/info/666c83a41cdb951cdbe5fb66?utm_campaign=1064&amp;utm_source=sheet", "Apply")</f>
        <v>Apply</v>
      </c>
      <c r="C423" s="10" t="s">
        <v>20386</v>
      </c>
      <c r="D423" s="56" t="s">
        <v>8385</v>
      </c>
      <c r="E423" s="10">
        <v>2610.0</v>
      </c>
      <c r="G423" s="10" t="s">
        <v>19584</v>
      </c>
      <c r="H423" s="10" t="s">
        <v>956</v>
      </c>
      <c r="I423" s="10" t="s">
        <v>55</v>
      </c>
      <c r="K423" s="10" t="s">
        <v>8387</v>
      </c>
      <c r="L423" s="10" t="s">
        <v>42</v>
      </c>
    </row>
    <row r="424" ht="15.75" customHeight="1">
      <c r="A424" s="64">
        <v>45457.0</v>
      </c>
      <c r="B424" s="55" t="str">
        <f>HYPERLINK("https://jobright.ai/jobs/info/666c83a41cdb951cdbe5fb67?utm_campaign=1064&amp;utm_source=sheet", "Apply")</f>
        <v>Apply</v>
      </c>
      <c r="C424" s="10" t="s">
        <v>20386</v>
      </c>
      <c r="D424" s="56" t="s">
        <v>8385</v>
      </c>
      <c r="E424" s="10">
        <v>2610.0</v>
      </c>
      <c r="G424" s="10" t="s">
        <v>19584</v>
      </c>
      <c r="H424" s="10" t="s">
        <v>956</v>
      </c>
      <c r="I424" s="10" t="s">
        <v>55</v>
      </c>
      <c r="J424" s="10" t="s">
        <v>20057</v>
      </c>
      <c r="K424" s="10" t="s">
        <v>20058</v>
      </c>
      <c r="L424" s="10" t="s">
        <v>42</v>
      </c>
    </row>
    <row r="425" ht="15.75" customHeight="1">
      <c r="A425" s="64">
        <v>45457.0</v>
      </c>
      <c r="B425" s="55" t="str">
        <f>HYPERLINK("https://jobright.ai/jobs/info/666c83dc1cdb951cdbe5fe4e?utm_campaign=1064&amp;utm_source=sheet", "Apply")</f>
        <v>Apply</v>
      </c>
      <c r="C425" s="10" t="s">
        <v>20386</v>
      </c>
      <c r="D425" s="56" t="s">
        <v>8385</v>
      </c>
      <c r="E425" s="10">
        <v>2610.0</v>
      </c>
      <c r="G425" s="10" t="s">
        <v>19584</v>
      </c>
      <c r="H425" s="10" t="s">
        <v>956</v>
      </c>
      <c r="I425" s="10" t="s">
        <v>55</v>
      </c>
      <c r="J425" s="10" t="s">
        <v>8386</v>
      </c>
      <c r="K425" s="10" t="s">
        <v>8390</v>
      </c>
      <c r="L425" s="10" t="s">
        <v>42</v>
      </c>
    </row>
    <row r="426" ht="15.75" customHeight="1">
      <c r="A426" s="64">
        <v>45457.0</v>
      </c>
      <c r="B426" s="55" t="str">
        <f>HYPERLINK("https://jobright.ai/jobs/info/66759f1e86a9490f868ba811?utm_campaign=1064&amp;utm_source=sheet", "Apply")</f>
        <v>Apply</v>
      </c>
      <c r="C426" s="10" t="s">
        <v>20383</v>
      </c>
      <c r="D426" s="56" t="s">
        <v>3645</v>
      </c>
      <c r="E426" s="10" t="s">
        <v>45</v>
      </c>
      <c r="F426" s="10" t="s">
        <v>1700</v>
      </c>
      <c r="G426" s="10" t="s">
        <v>19584</v>
      </c>
      <c r="H426" s="10" t="s">
        <v>20387</v>
      </c>
      <c r="I426" s="10" t="s">
        <v>55</v>
      </c>
      <c r="K426" s="10" t="s">
        <v>20384</v>
      </c>
      <c r="L426" s="10" t="s">
        <v>42</v>
      </c>
    </row>
    <row r="427" ht="15.75" customHeight="1">
      <c r="A427" s="64">
        <v>45457.0</v>
      </c>
      <c r="B427" s="55" t="str">
        <f>HYPERLINK("https://jobright.ai/jobs/info/6675a391a05c85bb25afaa8d?utm_campaign=1064&amp;utm_source=sheet", "Apply")</f>
        <v>Apply</v>
      </c>
      <c r="C427" s="10" t="s">
        <v>20385</v>
      </c>
      <c r="D427" s="56" t="s">
        <v>3645</v>
      </c>
      <c r="E427" s="10" t="s">
        <v>45</v>
      </c>
      <c r="F427" s="10" t="s">
        <v>1700</v>
      </c>
      <c r="G427" s="10" t="s">
        <v>19584</v>
      </c>
      <c r="H427" s="10" t="s">
        <v>819</v>
      </c>
      <c r="I427" s="10" t="s">
        <v>55</v>
      </c>
      <c r="K427" s="10" t="s">
        <v>20384</v>
      </c>
      <c r="L427" s="10" t="s">
        <v>42</v>
      </c>
    </row>
    <row r="428" ht="15.75" customHeight="1">
      <c r="A428" s="64">
        <v>45457.0</v>
      </c>
      <c r="B428" s="55" t="str">
        <f>HYPERLINK("https://jobright.ai/jobs/info/666cab834a97ba78092ebb49?utm_campaign=1064&amp;utm_source=sheet", "Apply")</f>
        <v>Apply</v>
      </c>
      <c r="C428" s="10" t="s">
        <v>19851</v>
      </c>
      <c r="D428" s="56" t="s">
        <v>7595</v>
      </c>
      <c r="E428" s="10" t="s">
        <v>65</v>
      </c>
      <c r="F428" s="10" t="s">
        <v>205</v>
      </c>
      <c r="G428" s="10" t="s">
        <v>19595</v>
      </c>
      <c r="H428" s="10" t="s">
        <v>354</v>
      </c>
      <c r="I428" s="10" t="s">
        <v>55</v>
      </c>
      <c r="K428" s="10" t="s">
        <v>20341</v>
      </c>
      <c r="L428" s="10" t="s">
        <v>42</v>
      </c>
    </row>
    <row r="429" ht="15.75" customHeight="1">
      <c r="A429" s="64">
        <v>45456.0</v>
      </c>
      <c r="B429" s="55" t="str">
        <f>HYPERLINK("https://jobright.ai/jobs/info/6672d3d4c48414916dc8fd29?utm_campaign=1064&amp;utm_source=sheet", "Apply")</f>
        <v>Apply</v>
      </c>
      <c r="C429" s="10" t="s">
        <v>20388</v>
      </c>
      <c r="D429" s="56" t="s">
        <v>20389</v>
      </c>
      <c r="E429" s="10">
        <v>32.0</v>
      </c>
      <c r="G429" s="10" t="s">
        <v>19584</v>
      </c>
      <c r="H429" s="10" t="s">
        <v>3189</v>
      </c>
      <c r="I429" s="10" t="s">
        <v>55</v>
      </c>
      <c r="K429" s="10" t="s">
        <v>20390</v>
      </c>
      <c r="L429" s="10" t="s">
        <v>42</v>
      </c>
    </row>
    <row r="430" ht="15.75" customHeight="1">
      <c r="A430" s="64">
        <v>45456.0</v>
      </c>
      <c r="B430" s="55" t="str">
        <f>HYPERLINK("https://jobright.ai/jobs/info/666c2d40e7a9453112c0e748?utm_campaign=1064&amp;utm_source=sheet", "Apply")</f>
        <v>Apply</v>
      </c>
      <c r="C430" s="10" t="s">
        <v>20391</v>
      </c>
      <c r="D430" s="56" t="s">
        <v>19822</v>
      </c>
      <c r="E430" s="10" t="s">
        <v>45</v>
      </c>
      <c r="F430" s="10" t="s">
        <v>2414</v>
      </c>
      <c r="G430" s="10" t="s">
        <v>19587</v>
      </c>
      <c r="H430" s="10" t="s">
        <v>912</v>
      </c>
      <c r="I430" s="10" t="s">
        <v>55</v>
      </c>
      <c r="K430" s="10" t="s">
        <v>19896</v>
      </c>
      <c r="L430" s="10" t="s">
        <v>42</v>
      </c>
    </row>
    <row r="431" ht="15.75" customHeight="1">
      <c r="A431" s="64">
        <v>45456.0</v>
      </c>
      <c r="B431" s="55" t="str">
        <f>HYPERLINK("https://jobright.ai/jobs/info/666ab9e61d95d08d25bcf662?utm_campaign=1064&amp;utm_source=sheet", "Apply")</f>
        <v>Apply</v>
      </c>
      <c r="C431" s="10" t="s">
        <v>19603</v>
      </c>
      <c r="D431" s="56" t="s">
        <v>15361</v>
      </c>
      <c r="E431" s="10" t="s">
        <v>71</v>
      </c>
      <c r="F431" s="10" t="s">
        <v>15362</v>
      </c>
      <c r="G431" s="10" t="s">
        <v>19581</v>
      </c>
      <c r="H431" s="10" t="s">
        <v>636</v>
      </c>
      <c r="I431" s="10" t="s">
        <v>55</v>
      </c>
      <c r="K431" s="10" t="s">
        <v>20392</v>
      </c>
      <c r="L431" s="10" t="s">
        <v>42</v>
      </c>
    </row>
    <row r="432" ht="15.75" customHeight="1">
      <c r="A432" s="64">
        <v>45455.0</v>
      </c>
      <c r="B432" s="55" t="str">
        <f>HYPERLINK("https://jobright.ai/jobs/info/6640a17ed4bcafc323f53d00?utm_campaign=1064&amp;utm_source=sheet", "Apply")</f>
        <v>Apply</v>
      </c>
      <c r="C432" s="10" t="s">
        <v>20393</v>
      </c>
      <c r="D432" s="56" t="s">
        <v>20394</v>
      </c>
      <c r="E432" s="10" t="s">
        <v>45</v>
      </c>
      <c r="F432" s="10" t="s">
        <v>20395</v>
      </c>
      <c r="G432" s="10" t="s">
        <v>19587</v>
      </c>
      <c r="H432" s="10" t="s">
        <v>20396</v>
      </c>
      <c r="I432" s="10" t="s">
        <v>55</v>
      </c>
      <c r="J432" s="10" t="s">
        <v>20397</v>
      </c>
      <c r="K432" s="10" t="s">
        <v>20398</v>
      </c>
      <c r="L432" s="10" t="s">
        <v>42</v>
      </c>
    </row>
    <row r="433" ht="15.75" customHeight="1">
      <c r="A433" s="64">
        <v>45455.0</v>
      </c>
      <c r="B433" s="55" t="str">
        <f>HYPERLINK("https://jobright.ai/jobs/info/666a51a6917cd5c57f0bff38?utm_campaign=1064&amp;utm_source=sheet", "Apply")</f>
        <v>Apply</v>
      </c>
      <c r="C433" s="10" t="s">
        <v>20399</v>
      </c>
      <c r="D433" s="56" t="s">
        <v>196</v>
      </c>
      <c r="E433" s="10" t="s">
        <v>71</v>
      </c>
      <c r="F433" s="10" t="s">
        <v>197</v>
      </c>
      <c r="G433" s="10" t="s">
        <v>19595</v>
      </c>
      <c r="H433" s="10" t="s">
        <v>193</v>
      </c>
      <c r="I433" s="10" t="s">
        <v>55</v>
      </c>
      <c r="K433" s="10" t="s">
        <v>20400</v>
      </c>
      <c r="L433" s="10" t="s">
        <v>42</v>
      </c>
    </row>
    <row r="434" ht="15.75" customHeight="1">
      <c r="A434" s="64">
        <v>45455.0</v>
      </c>
      <c r="B434" s="55" t="str">
        <f>HYPERLINK("https://jobright.ai/jobs/info/66690b61d012eff80f844008?utm_campaign=1064&amp;utm_source=sheet", "Apply")</f>
        <v>Apply</v>
      </c>
      <c r="C434" s="10" t="s">
        <v>19624</v>
      </c>
      <c r="D434" s="56" t="s">
        <v>19625</v>
      </c>
      <c r="E434" s="10" t="s">
        <v>65</v>
      </c>
      <c r="F434" s="10" t="s">
        <v>1234</v>
      </c>
      <c r="G434" s="10" t="s">
        <v>19595</v>
      </c>
      <c r="H434" s="10" t="s">
        <v>19626</v>
      </c>
      <c r="I434" s="10" t="s">
        <v>55</v>
      </c>
      <c r="K434" s="10" t="s">
        <v>20401</v>
      </c>
      <c r="L434" s="10" t="s">
        <v>42</v>
      </c>
    </row>
    <row r="435" ht="15.75" customHeight="1">
      <c r="A435" s="64">
        <v>45455.0</v>
      </c>
      <c r="B435" s="55" t="str">
        <f>HYPERLINK("https://jobright.ai/jobs/info/6669edaf7102a8756b23a004?utm_campaign=1064&amp;utm_source=sheet", "Apply")</f>
        <v>Apply</v>
      </c>
      <c r="C435" s="10" t="s">
        <v>20402</v>
      </c>
      <c r="D435" s="56" t="s">
        <v>20403</v>
      </c>
      <c r="E435" s="10" t="s">
        <v>65</v>
      </c>
      <c r="F435" s="10" t="s">
        <v>1124</v>
      </c>
      <c r="G435" s="10" t="s">
        <v>19595</v>
      </c>
      <c r="H435" s="10" t="s">
        <v>20404</v>
      </c>
      <c r="I435" s="10" t="s">
        <v>55</v>
      </c>
      <c r="J435" s="10" t="s">
        <v>1797</v>
      </c>
      <c r="K435" s="10" t="s">
        <v>20405</v>
      </c>
      <c r="L435" s="10" t="s">
        <v>42</v>
      </c>
    </row>
    <row r="436" ht="15.75" customHeight="1">
      <c r="A436" s="64">
        <v>45454.0</v>
      </c>
      <c r="B436" s="55" t="str">
        <f>HYPERLINK("https://jobright.ai/jobs/info/6647918f38faf2292634acec?utm_campaign=1064&amp;utm_source=sheet", "Apply")</f>
        <v>Apply</v>
      </c>
      <c r="C436" s="10" t="s">
        <v>20406</v>
      </c>
      <c r="D436" s="56" t="s">
        <v>20407</v>
      </c>
      <c r="E436" s="10" t="s">
        <v>249</v>
      </c>
      <c r="F436" s="10" t="s">
        <v>20408</v>
      </c>
      <c r="G436" s="10" t="s">
        <v>19584</v>
      </c>
      <c r="H436" s="10" t="s">
        <v>359</v>
      </c>
      <c r="I436" s="10" t="s">
        <v>55</v>
      </c>
      <c r="K436" s="10" t="s">
        <v>20409</v>
      </c>
      <c r="L436" s="10" t="s">
        <v>42</v>
      </c>
    </row>
    <row r="437" ht="15.75" customHeight="1">
      <c r="A437" s="64">
        <v>45454.0</v>
      </c>
      <c r="B437" s="55" t="str">
        <f>HYPERLINK("https://jobright.ai/jobs/info/6668b16ab978427ed77c1b31?utm_campaign=1064&amp;utm_source=sheet", "Apply")</f>
        <v>Apply</v>
      </c>
      <c r="C437" s="10" t="s">
        <v>20410</v>
      </c>
      <c r="D437" s="56" t="s">
        <v>3358</v>
      </c>
      <c r="E437" s="10" t="s">
        <v>65</v>
      </c>
      <c r="F437" s="10" t="s">
        <v>3359</v>
      </c>
      <c r="G437" s="10" t="s">
        <v>19587</v>
      </c>
      <c r="H437" s="10" t="s">
        <v>20411</v>
      </c>
      <c r="I437" s="10" t="s">
        <v>55</v>
      </c>
      <c r="J437" s="10" t="s">
        <v>20412</v>
      </c>
      <c r="K437" s="10" t="s">
        <v>20413</v>
      </c>
      <c r="L437" s="10" t="s">
        <v>42</v>
      </c>
    </row>
    <row r="438" ht="15.75" customHeight="1">
      <c r="A438" s="64">
        <v>45453.0</v>
      </c>
      <c r="B438" s="55" t="str">
        <f>HYPERLINK("https://jobright.ai/jobs/info/66679f88a7ea1a8f547a3823?utm_campaign=1064&amp;utm_source=sheet", "Apply")</f>
        <v>Apply</v>
      </c>
      <c r="C438" s="10" t="s">
        <v>20152</v>
      </c>
      <c r="D438" s="56" t="s">
        <v>20414</v>
      </c>
      <c r="E438" s="10" t="s">
        <v>137</v>
      </c>
      <c r="F438" s="10" t="s">
        <v>20415</v>
      </c>
      <c r="G438" s="10" t="s">
        <v>19584</v>
      </c>
      <c r="H438" s="10" t="s">
        <v>108</v>
      </c>
      <c r="I438" s="10" t="s">
        <v>55</v>
      </c>
      <c r="K438" s="10" t="s">
        <v>20416</v>
      </c>
      <c r="L438" s="10" t="s">
        <v>42</v>
      </c>
    </row>
    <row r="439" ht="15.75" customHeight="1">
      <c r="A439" s="64">
        <v>45453.0</v>
      </c>
      <c r="B439" s="55" t="str">
        <f>HYPERLINK("https://jobright.ai/jobs/info/66795bc5dcb1db3fc098eebf?utm_campaign=1064&amp;utm_source=sheet", "Apply")</f>
        <v>Apply</v>
      </c>
      <c r="C439" s="10" t="s">
        <v>20417</v>
      </c>
      <c r="D439" s="56" t="s">
        <v>20418</v>
      </c>
      <c r="E439" s="10" t="s">
        <v>79</v>
      </c>
      <c r="F439" s="10" t="s">
        <v>20419</v>
      </c>
      <c r="G439" s="10" t="s">
        <v>19587</v>
      </c>
      <c r="H439" s="10" t="s">
        <v>572</v>
      </c>
      <c r="I439" s="10" t="s">
        <v>55</v>
      </c>
      <c r="K439" s="10" t="s">
        <v>20420</v>
      </c>
      <c r="L439" s="10" t="s">
        <v>42</v>
      </c>
    </row>
    <row r="440" ht="15.75" customHeight="1">
      <c r="A440" s="64">
        <v>45453.0</v>
      </c>
      <c r="B440" s="55" t="str">
        <f>HYPERLINK("https://jobright.ai/jobs/info/6667ce8c0e75e6484ca3f1b2?utm_campaign=1064&amp;utm_source=sheet", "Apply")</f>
        <v>Apply</v>
      </c>
      <c r="C440" s="10" t="s">
        <v>20421</v>
      </c>
      <c r="D440" s="56" t="s">
        <v>8558</v>
      </c>
      <c r="E440" s="10" t="s">
        <v>45</v>
      </c>
      <c r="F440" s="10" t="s">
        <v>5016</v>
      </c>
      <c r="G440" s="10" t="s">
        <v>19584</v>
      </c>
      <c r="H440" s="10" t="s">
        <v>20422</v>
      </c>
      <c r="I440" s="10" t="s">
        <v>55</v>
      </c>
      <c r="K440" s="10" t="s">
        <v>20423</v>
      </c>
      <c r="L440" s="10" t="s">
        <v>42</v>
      </c>
    </row>
    <row r="441" ht="15.75" customHeight="1">
      <c r="A441" s="64">
        <v>45451.0</v>
      </c>
      <c r="B441" s="55" t="str">
        <f>HYPERLINK("https://jobright.ai/jobs/info/6677cdb974ec1a95a89af887?utm_campaign=1064&amp;utm_source=sheet", "Apply")</f>
        <v>Apply</v>
      </c>
      <c r="C441" s="10" t="s">
        <v>20383</v>
      </c>
      <c r="D441" s="56" t="s">
        <v>3645</v>
      </c>
      <c r="E441" s="10" t="s">
        <v>45</v>
      </c>
      <c r="F441" s="10" t="s">
        <v>1700</v>
      </c>
      <c r="G441" s="10" t="s">
        <v>19584</v>
      </c>
      <c r="H441" s="10" t="s">
        <v>882</v>
      </c>
      <c r="I441" s="10" t="s">
        <v>55</v>
      </c>
      <c r="K441" s="10" t="s">
        <v>20384</v>
      </c>
      <c r="L441" s="10" t="s">
        <v>42</v>
      </c>
    </row>
    <row r="442" ht="15.75" customHeight="1">
      <c r="A442" s="64">
        <v>45451.0</v>
      </c>
      <c r="B442" s="55" t="str">
        <f>HYPERLINK("https://jobright.ai/jobs/info/6677d26397271e26801e2cc8?utm_campaign=1064&amp;utm_source=sheet", "Apply")</f>
        <v>Apply</v>
      </c>
      <c r="C442" s="10" t="s">
        <v>2007</v>
      </c>
      <c r="D442" s="56" t="s">
        <v>1662</v>
      </c>
      <c r="E442" s="10" t="s">
        <v>209</v>
      </c>
      <c r="F442" s="10" t="s">
        <v>1663</v>
      </c>
      <c r="G442" s="10" t="s">
        <v>19595</v>
      </c>
      <c r="H442" s="10" t="s">
        <v>167</v>
      </c>
      <c r="I442" s="10" t="s">
        <v>55</v>
      </c>
      <c r="J442" s="10" t="s">
        <v>20424</v>
      </c>
      <c r="K442" s="10" t="s">
        <v>20425</v>
      </c>
      <c r="L442" s="10" t="s">
        <v>42</v>
      </c>
    </row>
    <row r="443" ht="15.75" customHeight="1">
      <c r="A443" s="64">
        <v>45450.0</v>
      </c>
      <c r="B443" s="55" t="str">
        <f>HYPERLINK("https://jobright.ai/jobs/info/6663958714a8f172c1ad183c?utm_campaign=1064&amp;utm_source=sheet", "Apply")</f>
        <v>Apply</v>
      </c>
      <c r="C443" s="10" t="s">
        <v>20426</v>
      </c>
      <c r="D443" s="56" t="s">
        <v>8698</v>
      </c>
      <c r="E443" s="10" t="s">
        <v>249</v>
      </c>
      <c r="F443" s="10" t="s">
        <v>3180</v>
      </c>
      <c r="G443" s="10" t="s">
        <v>19584</v>
      </c>
      <c r="H443" s="10" t="s">
        <v>188</v>
      </c>
      <c r="I443" s="10" t="s">
        <v>252</v>
      </c>
      <c r="K443" s="10" t="s">
        <v>20427</v>
      </c>
      <c r="L443" s="10" t="s">
        <v>42</v>
      </c>
    </row>
    <row r="444" ht="15.75" customHeight="1">
      <c r="A444" s="64">
        <v>45450.0</v>
      </c>
      <c r="B444" s="55" t="str">
        <f>HYPERLINK("https://jobright.ai/jobs/info/66638c7a7b1dd828bc116824?utm_campaign=1064&amp;utm_source=sheet", "Apply")</f>
        <v>Apply</v>
      </c>
      <c r="C444" s="10" t="s">
        <v>20428</v>
      </c>
      <c r="D444" s="56" t="s">
        <v>20429</v>
      </c>
      <c r="E444" s="10" t="s">
        <v>45</v>
      </c>
      <c r="F444" s="10" t="s">
        <v>18194</v>
      </c>
      <c r="G444" s="10" t="s">
        <v>19587</v>
      </c>
      <c r="H444" s="10" t="s">
        <v>20430</v>
      </c>
      <c r="I444" s="10" t="s">
        <v>55</v>
      </c>
      <c r="K444" s="10" t="s">
        <v>20431</v>
      </c>
      <c r="L444" s="10" t="s">
        <v>42</v>
      </c>
    </row>
    <row r="445" ht="15.75" customHeight="1">
      <c r="A445" s="64">
        <v>45450.0</v>
      </c>
      <c r="B445" s="55" t="str">
        <f>HYPERLINK("https://jobright.ai/jobs/info/6675ba32044b6b83ef0d3cd3?utm_campaign=1064&amp;utm_source=sheet", "Apply")</f>
        <v>Apply</v>
      </c>
      <c r="C445" s="10" t="s">
        <v>20383</v>
      </c>
      <c r="D445" s="56" t="s">
        <v>3645</v>
      </c>
      <c r="E445" s="10" t="s">
        <v>45</v>
      </c>
      <c r="F445" s="10" t="s">
        <v>1700</v>
      </c>
      <c r="G445" s="10" t="s">
        <v>19584</v>
      </c>
      <c r="H445" s="10" t="s">
        <v>20387</v>
      </c>
      <c r="I445" s="10" t="s">
        <v>55</v>
      </c>
      <c r="K445" s="10" t="s">
        <v>20384</v>
      </c>
      <c r="L445" s="10" t="s">
        <v>42</v>
      </c>
    </row>
    <row r="446" ht="15.75" customHeight="1">
      <c r="A446" s="64">
        <v>45450.0</v>
      </c>
      <c r="B446" s="55" t="str">
        <f>HYPERLINK("https://jobright.ai/jobs/info/6675ea62a266c24fd0a15689?utm_campaign=1064&amp;utm_source=sheet", "Apply")</f>
        <v>Apply</v>
      </c>
      <c r="C446" s="10" t="s">
        <v>15985</v>
      </c>
      <c r="D446" s="56" t="s">
        <v>11530</v>
      </c>
      <c r="E446" s="10" t="s">
        <v>65</v>
      </c>
      <c r="F446" s="10" t="s">
        <v>259</v>
      </c>
      <c r="G446" s="10" t="s">
        <v>19587</v>
      </c>
      <c r="H446" s="10" t="s">
        <v>851</v>
      </c>
      <c r="I446" s="10" t="s">
        <v>55</v>
      </c>
      <c r="J446" s="10" t="s">
        <v>1409</v>
      </c>
      <c r="K446" s="10" t="s">
        <v>19697</v>
      </c>
      <c r="L446" s="10" t="s">
        <v>42</v>
      </c>
    </row>
    <row r="447" ht="15.75" customHeight="1">
      <c r="A447" s="64">
        <v>45450.0</v>
      </c>
      <c r="B447" s="55" t="str">
        <f>HYPERLINK("https://jobright.ai/jobs/info/6675ac3a6d8340c59f8e4812?utm_campaign=1064&amp;utm_source=sheet", "Apply")</f>
        <v>Apply</v>
      </c>
      <c r="C447" s="10" t="s">
        <v>20432</v>
      </c>
      <c r="D447" s="56" t="s">
        <v>20433</v>
      </c>
      <c r="E447" s="10" t="s">
        <v>65</v>
      </c>
      <c r="F447" s="10" t="s">
        <v>8108</v>
      </c>
      <c r="G447" s="10" t="s">
        <v>19587</v>
      </c>
      <c r="H447" s="10" t="s">
        <v>20434</v>
      </c>
      <c r="I447" s="10" t="s">
        <v>55</v>
      </c>
      <c r="J447" s="10" t="s">
        <v>20435</v>
      </c>
      <c r="K447" s="10" t="s">
        <v>20436</v>
      </c>
      <c r="L447" s="10" t="s">
        <v>42</v>
      </c>
    </row>
    <row r="448" ht="15.75" customHeight="1">
      <c r="A448" s="64">
        <v>45450.0</v>
      </c>
      <c r="B448" s="55" t="str">
        <f>HYPERLINK("https://jobright.ai/jobs/info/66634cb5d61d5d3f7474672a?utm_campaign=1064&amp;utm_source=sheet", "Apply")</f>
        <v>Apply</v>
      </c>
      <c r="C448" s="10" t="s">
        <v>20437</v>
      </c>
      <c r="D448" s="56" t="s">
        <v>20438</v>
      </c>
      <c r="E448" s="10" t="s">
        <v>71</v>
      </c>
      <c r="F448" s="10" t="s">
        <v>20439</v>
      </c>
      <c r="G448" s="10" t="s">
        <v>19587</v>
      </c>
      <c r="H448" s="10" t="s">
        <v>251</v>
      </c>
      <c r="I448" s="10" t="s">
        <v>252</v>
      </c>
      <c r="K448" s="10" t="s">
        <v>20440</v>
      </c>
      <c r="L448" s="10" t="s">
        <v>42</v>
      </c>
    </row>
    <row r="449" ht="15.75" customHeight="1">
      <c r="A449" s="64">
        <v>45450.0</v>
      </c>
      <c r="B449" s="55" t="str">
        <f>HYPERLINK("https://jobright.ai/jobs/info/6667d03a0e75e6484ca3f6d6?utm_campaign=1064&amp;utm_source=sheet", "Apply")</f>
        <v>Apply</v>
      </c>
      <c r="C449" s="10" t="s">
        <v>20441</v>
      </c>
      <c r="D449" s="56" t="s">
        <v>1496</v>
      </c>
      <c r="E449" s="10" t="s">
        <v>45</v>
      </c>
      <c r="F449" s="10" t="s">
        <v>1497</v>
      </c>
      <c r="G449" s="10" t="s">
        <v>19584</v>
      </c>
      <c r="H449" s="10" t="s">
        <v>9278</v>
      </c>
      <c r="I449" s="10" t="s">
        <v>55</v>
      </c>
      <c r="K449" s="10" t="s">
        <v>20442</v>
      </c>
      <c r="L449" s="10" t="s">
        <v>42</v>
      </c>
    </row>
    <row r="450" ht="15.75" customHeight="1">
      <c r="A450" s="64">
        <v>45450.0</v>
      </c>
      <c r="B450" s="55" t="str">
        <f>HYPERLINK("https://jobright.ai/jobs/info/6667d36c0e75e6484ca3fef9?utm_campaign=1064&amp;utm_source=sheet", "Apply")</f>
        <v>Apply</v>
      </c>
      <c r="C450" s="10" t="s">
        <v>20443</v>
      </c>
      <c r="D450" s="56" t="s">
        <v>1496</v>
      </c>
      <c r="E450" s="10" t="s">
        <v>45</v>
      </c>
      <c r="F450" s="10" t="s">
        <v>1497</v>
      </c>
      <c r="G450" s="10" t="s">
        <v>19581</v>
      </c>
      <c r="H450" s="10" t="s">
        <v>1533</v>
      </c>
      <c r="I450" s="10" t="s">
        <v>55</v>
      </c>
      <c r="K450" s="10" t="s">
        <v>20444</v>
      </c>
      <c r="L450" s="10" t="s">
        <v>42</v>
      </c>
    </row>
    <row r="451" ht="15.75" customHeight="1">
      <c r="A451" s="64">
        <v>45449.0</v>
      </c>
      <c r="B451" s="55" t="str">
        <f>HYPERLINK("https://jobright.ai/jobs/info/66748d93c67424e3abb97eeb?utm_campaign=1064&amp;utm_source=sheet", "Apply")</f>
        <v>Apply</v>
      </c>
      <c r="C451" s="10" t="s">
        <v>20320</v>
      </c>
      <c r="D451" s="56" t="s">
        <v>20321</v>
      </c>
      <c r="E451" s="10" t="s">
        <v>45</v>
      </c>
      <c r="F451" s="10" t="s">
        <v>1893</v>
      </c>
      <c r="G451" s="10" t="s">
        <v>19584</v>
      </c>
      <c r="H451" s="10" t="s">
        <v>20322</v>
      </c>
      <c r="I451" s="10" t="s">
        <v>55</v>
      </c>
      <c r="J451" s="10" t="s">
        <v>20323</v>
      </c>
      <c r="K451" s="10" t="s">
        <v>20324</v>
      </c>
      <c r="L451" s="10" t="s">
        <v>42</v>
      </c>
    </row>
    <row r="452" ht="15.75" customHeight="1">
      <c r="A452" s="64">
        <v>45449.0</v>
      </c>
      <c r="B452" s="55" t="str">
        <f>HYPERLINK("https://jobright.ai/jobs/info/6661f2d125bcd4e28e66000b?utm_campaign=1064&amp;utm_source=sheet", "Apply")</f>
        <v>Apply</v>
      </c>
      <c r="C452" s="10" t="s">
        <v>20445</v>
      </c>
      <c r="D452" s="56" t="s">
        <v>1662</v>
      </c>
      <c r="E452" s="10" t="s">
        <v>209</v>
      </c>
      <c r="F452" s="10" t="s">
        <v>1663</v>
      </c>
      <c r="G452" s="10" t="s">
        <v>19581</v>
      </c>
      <c r="H452" s="10" t="s">
        <v>167</v>
      </c>
      <c r="I452" s="10" t="s">
        <v>55</v>
      </c>
      <c r="J452" s="10" t="s">
        <v>20446</v>
      </c>
      <c r="K452" s="10" t="s">
        <v>20447</v>
      </c>
      <c r="L452" s="10" t="s">
        <v>42</v>
      </c>
    </row>
    <row r="453" ht="15.75" customHeight="1">
      <c r="A453" s="64">
        <v>45449.0</v>
      </c>
      <c r="B453" s="55" t="str">
        <f>HYPERLINK("https://jobright.ai/jobs/info/6661e886124098479143ab93?utm_campaign=1064&amp;utm_source=sheet", "Apply")</f>
        <v>Apply</v>
      </c>
      <c r="C453" s="10" t="s">
        <v>20448</v>
      </c>
      <c r="D453" s="56" t="s">
        <v>20449</v>
      </c>
      <c r="E453" s="10" t="s">
        <v>45</v>
      </c>
      <c r="F453" s="10" t="s">
        <v>1234</v>
      </c>
      <c r="G453" s="10" t="s">
        <v>19584</v>
      </c>
      <c r="H453" s="10" t="s">
        <v>845</v>
      </c>
      <c r="I453" s="10" t="s">
        <v>48</v>
      </c>
      <c r="J453" s="10" t="s">
        <v>20450</v>
      </c>
      <c r="K453" s="10" t="s">
        <v>20451</v>
      </c>
      <c r="L453" s="10" t="s">
        <v>42</v>
      </c>
    </row>
    <row r="454" ht="15.75" customHeight="1">
      <c r="A454" s="64">
        <v>45449.0</v>
      </c>
      <c r="B454" s="55" t="str">
        <f>HYPERLINK("https://jobright.ai/jobs/info/6661df8ba2bcc67388aeafc6?utm_campaign=1064&amp;utm_source=sheet", "Apply")</f>
        <v>Apply</v>
      </c>
      <c r="C454" s="10" t="s">
        <v>20452</v>
      </c>
      <c r="D454" s="56" t="s">
        <v>1662</v>
      </c>
      <c r="E454" s="10" t="s">
        <v>209</v>
      </c>
      <c r="F454" s="10" t="s">
        <v>1663</v>
      </c>
      <c r="G454" s="10" t="s">
        <v>19587</v>
      </c>
      <c r="H454" s="10" t="s">
        <v>167</v>
      </c>
      <c r="I454" s="10" t="s">
        <v>55</v>
      </c>
      <c r="K454" s="10" t="s">
        <v>20453</v>
      </c>
      <c r="L454" s="10" t="s">
        <v>42</v>
      </c>
    </row>
    <row r="455" ht="15.75" customHeight="1">
      <c r="A455" s="64">
        <v>45449.0</v>
      </c>
      <c r="B455" s="55" t="str">
        <f>HYPERLINK("https://jobright.ai/jobs/info/66611f4c5702e551bacab9d4?utm_campaign=1064&amp;utm_source=sheet", "Apply")</f>
        <v>Apply</v>
      </c>
      <c r="C455" s="10" t="s">
        <v>20454</v>
      </c>
      <c r="D455" s="56" t="s">
        <v>19840</v>
      </c>
      <c r="E455" s="10" t="s">
        <v>45</v>
      </c>
      <c r="F455" s="10" t="s">
        <v>4072</v>
      </c>
      <c r="G455" s="10" t="s">
        <v>19581</v>
      </c>
      <c r="H455" s="10" t="s">
        <v>313</v>
      </c>
      <c r="I455" s="10" t="s">
        <v>55</v>
      </c>
      <c r="K455" s="10" t="s">
        <v>20455</v>
      </c>
      <c r="L455" s="10" t="s">
        <v>42</v>
      </c>
    </row>
    <row r="456" ht="15.75" customHeight="1">
      <c r="A456" s="64">
        <v>45448.0</v>
      </c>
      <c r="B456" s="55" t="str">
        <f>HYPERLINK("https://jobright.ai/jobs/info/6657d1dee5ee7e7a7e092c33?utm_campaign=1064&amp;utm_source=sheet", "Apply")</f>
        <v>Apply</v>
      </c>
      <c r="C456" s="10" t="s">
        <v>20456</v>
      </c>
      <c r="D456" s="56" t="s">
        <v>20457</v>
      </c>
      <c r="E456" s="10" t="s">
        <v>71</v>
      </c>
      <c r="F456" s="10" t="s">
        <v>6481</v>
      </c>
      <c r="G456" s="10" t="s">
        <v>19581</v>
      </c>
      <c r="H456" s="10" t="s">
        <v>251</v>
      </c>
      <c r="I456" s="10" t="s">
        <v>252</v>
      </c>
      <c r="K456" s="10" t="s">
        <v>20458</v>
      </c>
      <c r="L456" s="10" t="s">
        <v>42</v>
      </c>
    </row>
    <row r="457" ht="15.75" customHeight="1">
      <c r="A457" s="64">
        <v>45448.0</v>
      </c>
      <c r="B457" s="55" t="str">
        <f>HYPERLINK("https://jobright.ai/jobs/info/66680832d19f25c2c7cd0c8d?utm_campaign=1064&amp;utm_source=sheet", "Apply")</f>
        <v>Apply</v>
      </c>
      <c r="C457" s="10" t="s">
        <v>20459</v>
      </c>
      <c r="D457" s="56" t="s">
        <v>20460</v>
      </c>
      <c r="E457" s="10" t="s">
        <v>209</v>
      </c>
      <c r="F457" s="10" t="s">
        <v>20461</v>
      </c>
      <c r="G457" s="10" t="s">
        <v>19595</v>
      </c>
      <c r="H457" s="10" t="s">
        <v>1015</v>
      </c>
      <c r="I457" s="10" t="s">
        <v>55</v>
      </c>
      <c r="K457" s="10" t="s">
        <v>20462</v>
      </c>
      <c r="L457" s="10" t="s">
        <v>42</v>
      </c>
    </row>
    <row r="458" ht="15.75" customHeight="1">
      <c r="A458" s="64">
        <v>45448.0</v>
      </c>
      <c r="B458" s="55" t="str">
        <f>HYPERLINK("https://jobright.ai/jobs/info/666b0932e6e35e9733a50731?utm_campaign=1064&amp;utm_source=sheet", "Apply")</f>
        <v>Apply</v>
      </c>
      <c r="C458" s="10" t="s">
        <v>19851</v>
      </c>
      <c r="D458" s="56" t="s">
        <v>20039</v>
      </c>
      <c r="E458" s="10" t="s">
        <v>45</v>
      </c>
      <c r="F458" s="10" t="s">
        <v>2409</v>
      </c>
      <c r="G458" s="10" t="s">
        <v>19595</v>
      </c>
      <c r="H458" s="10" t="s">
        <v>20463</v>
      </c>
      <c r="I458" s="10" t="s">
        <v>55</v>
      </c>
      <c r="K458" s="10" t="s">
        <v>20040</v>
      </c>
      <c r="L458" s="10" t="s">
        <v>42</v>
      </c>
    </row>
    <row r="459" ht="15.75" customHeight="1">
      <c r="A459" s="64">
        <v>45448.0</v>
      </c>
      <c r="B459" s="55" t="str">
        <f>HYPERLINK("https://jobright.ai/jobs/info/66680de2d19f25c2c7cd16af?utm_campaign=1064&amp;utm_source=sheet", "Apply")</f>
        <v>Apply</v>
      </c>
      <c r="C459" s="10" t="s">
        <v>20464</v>
      </c>
      <c r="D459" s="56" t="s">
        <v>17512</v>
      </c>
      <c r="E459" s="10" t="s">
        <v>45</v>
      </c>
      <c r="F459" s="10" t="s">
        <v>259</v>
      </c>
      <c r="G459" s="10" t="s">
        <v>19587</v>
      </c>
      <c r="H459" s="10" t="s">
        <v>965</v>
      </c>
      <c r="I459" s="10" t="s">
        <v>55</v>
      </c>
      <c r="K459" s="10" t="s">
        <v>20465</v>
      </c>
      <c r="L459" s="10" t="s">
        <v>42</v>
      </c>
    </row>
    <row r="460" ht="15.75" customHeight="1">
      <c r="A460" s="64">
        <v>45448.0</v>
      </c>
      <c r="B460" s="55" t="str">
        <f>HYPERLINK("https://jobright.ai/jobs/info/66680d5bd19f25c2c7cd15f2?utm_campaign=1064&amp;utm_source=sheet", "Apply")</f>
        <v>Apply</v>
      </c>
      <c r="C460" s="10" t="s">
        <v>20466</v>
      </c>
      <c r="D460" s="56" t="s">
        <v>20467</v>
      </c>
      <c r="E460" s="10" t="s">
        <v>45</v>
      </c>
      <c r="F460" s="10" t="s">
        <v>2409</v>
      </c>
      <c r="G460" s="10" t="s">
        <v>19595</v>
      </c>
      <c r="H460" s="10" t="s">
        <v>799</v>
      </c>
      <c r="I460" s="10" t="s">
        <v>55</v>
      </c>
      <c r="K460" s="10" t="s">
        <v>20468</v>
      </c>
      <c r="L460" s="10" t="s">
        <v>42</v>
      </c>
    </row>
    <row r="461" ht="15.75" customHeight="1">
      <c r="A461" s="64">
        <v>45448.0</v>
      </c>
      <c r="B461" s="55" t="str">
        <f>HYPERLINK("https://jobright.ai/jobs/info/6662922ad207c74779ac7305?utm_campaign=1064&amp;utm_source=sheet", "Apply")</f>
        <v>Apply</v>
      </c>
      <c r="C461" s="10" t="s">
        <v>20469</v>
      </c>
      <c r="D461" s="56" t="s">
        <v>15475</v>
      </c>
      <c r="E461" s="10" t="s">
        <v>79</v>
      </c>
      <c r="F461" s="10" t="s">
        <v>3770</v>
      </c>
      <c r="G461" s="10" t="s">
        <v>19587</v>
      </c>
      <c r="H461" s="10" t="s">
        <v>15476</v>
      </c>
      <c r="I461" s="10" t="s">
        <v>55</v>
      </c>
      <c r="K461" s="10" t="s">
        <v>20470</v>
      </c>
      <c r="L461" s="10" t="s">
        <v>42</v>
      </c>
    </row>
    <row r="462" ht="15.75" customHeight="1">
      <c r="A462" s="64">
        <v>45447.0</v>
      </c>
      <c r="B462" s="55" t="str">
        <f>HYPERLINK("https://jobright.ai/jobs/info/665e26fa19acbbe738f6e9c2?utm_campaign=1064&amp;utm_source=sheet", "Apply")</f>
        <v>Apply</v>
      </c>
      <c r="C462" s="10" t="s">
        <v>20417</v>
      </c>
      <c r="D462" s="56" t="s">
        <v>20418</v>
      </c>
      <c r="E462" s="10" t="s">
        <v>79</v>
      </c>
      <c r="F462" s="10" t="s">
        <v>20419</v>
      </c>
      <c r="G462" s="10" t="s">
        <v>19587</v>
      </c>
      <c r="H462" s="10" t="s">
        <v>572</v>
      </c>
      <c r="I462" s="10" t="s">
        <v>55</v>
      </c>
      <c r="K462" s="10" t="s">
        <v>20420</v>
      </c>
      <c r="L462" s="10" t="s">
        <v>42</v>
      </c>
    </row>
    <row r="463" ht="15.75" customHeight="1">
      <c r="A463" s="64">
        <v>45447.0</v>
      </c>
      <c r="B463" s="55" t="str">
        <f>HYPERLINK("https://jobright.ai/jobs/info/66681e3d1c2d3f9f50323e1a?utm_campaign=1064&amp;utm_source=sheet", "Apply")</f>
        <v>Apply</v>
      </c>
      <c r="C463" s="10" t="s">
        <v>20471</v>
      </c>
      <c r="D463" s="56" t="s">
        <v>2269</v>
      </c>
      <c r="E463" s="10" t="s">
        <v>45</v>
      </c>
      <c r="F463" s="10" t="s">
        <v>665</v>
      </c>
      <c r="G463" s="10" t="s">
        <v>19587</v>
      </c>
      <c r="H463" s="10" t="s">
        <v>2275</v>
      </c>
      <c r="I463" s="10" t="s">
        <v>55</v>
      </c>
      <c r="K463" s="10" t="s">
        <v>20472</v>
      </c>
      <c r="L463" s="10" t="s">
        <v>42</v>
      </c>
    </row>
    <row r="464" ht="15.75" customHeight="1">
      <c r="A464" s="64">
        <v>45446.0</v>
      </c>
      <c r="B464" s="55" t="str">
        <f>HYPERLINK("https://jobright.ai/jobs/info/665e609858035cc2c9bbfc1c?utm_campaign=1064&amp;utm_source=sheet", "Apply")</f>
        <v>Apply</v>
      </c>
      <c r="C464" s="10" t="s">
        <v>15985</v>
      </c>
      <c r="D464" s="56" t="s">
        <v>11530</v>
      </c>
      <c r="E464" s="10" t="s">
        <v>65</v>
      </c>
      <c r="F464" s="10" t="s">
        <v>259</v>
      </c>
      <c r="G464" s="10" t="s">
        <v>19587</v>
      </c>
      <c r="H464" s="10" t="s">
        <v>3097</v>
      </c>
      <c r="I464" s="10" t="s">
        <v>55</v>
      </c>
      <c r="J464" s="10" t="s">
        <v>1409</v>
      </c>
      <c r="K464" s="10" t="s">
        <v>19697</v>
      </c>
      <c r="L464" s="10" t="s">
        <v>42</v>
      </c>
    </row>
    <row r="465" ht="15.75" customHeight="1">
      <c r="A465" s="64">
        <v>45446.0</v>
      </c>
      <c r="B465" s="55" t="str">
        <f>HYPERLINK("https://jobright.ai/jobs/info/665da5f61fa849e7498548e9?utm_campaign=1064&amp;utm_source=sheet", "Apply")</f>
        <v>Apply</v>
      </c>
      <c r="C465" s="10" t="s">
        <v>20473</v>
      </c>
      <c r="D465" s="56" t="s">
        <v>20474</v>
      </c>
      <c r="E465" s="10" t="s">
        <v>45</v>
      </c>
      <c r="F465" s="10" t="s">
        <v>2409</v>
      </c>
      <c r="G465" s="10" t="s">
        <v>19595</v>
      </c>
      <c r="H465" s="10" t="s">
        <v>1260</v>
      </c>
      <c r="I465" s="10" t="s">
        <v>55</v>
      </c>
      <c r="J465" s="10" t="s">
        <v>20475</v>
      </c>
      <c r="K465" s="10" t="s">
        <v>20476</v>
      </c>
      <c r="L465" s="10" t="s">
        <v>42</v>
      </c>
    </row>
    <row r="466" ht="15.75" customHeight="1">
      <c r="A466" s="64">
        <v>45446.0</v>
      </c>
      <c r="B466" s="55" t="str">
        <f>HYPERLINK("https://jobright.ai/jobs/info/666317f7002f50c4a22e5e2b?utm_campaign=1064&amp;utm_source=sheet", "Apply")</f>
        <v>Apply</v>
      </c>
      <c r="C466" s="10" t="s">
        <v>5444</v>
      </c>
      <c r="D466" s="56" t="s">
        <v>20477</v>
      </c>
      <c r="E466" s="10" t="s">
        <v>209</v>
      </c>
      <c r="F466" s="10" t="s">
        <v>3898</v>
      </c>
      <c r="G466" s="10" t="s">
        <v>19587</v>
      </c>
      <c r="H466" s="10" t="s">
        <v>20478</v>
      </c>
      <c r="I466" s="10" t="s">
        <v>55</v>
      </c>
      <c r="K466" s="10" t="s">
        <v>20479</v>
      </c>
      <c r="L466" s="10" t="s">
        <v>42</v>
      </c>
    </row>
    <row r="467" ht="15.75" customHeight="1">
      <c r="A467" s="64">
        <v>45446.0</v>
      </c>
      <c r="B467" s="55" t="str">
        <f>HYPERLINK("https://jobright.ai/jobs/info/66682ed69d7e47024a78032a?utm_campaign=1064&amp;utm_source=sheet", "Apply")</f>
        <v>Apply</v>
      </c>
      <c r="C467" s="10" t="s">
        <v>20480</v>
      </c>
      <c r="D467" s="56" t="s">
        <v>2269</v>
      </c>
      <c r="E467" s="10" t="s">
        <v>45</v>
      </c>
      <c r="F467" s="10" t="s">
        <v>665</v>
      </c>
      <c r="G467" s="10" t="s">
        <v>19584</v>
      </c>
      <c r="H467" s="10" t="s">
        <v>9053</v>
      </c>
      <c r="I467" s="10" t="s">
        <v>55</v>
      </c>
      <c r="J467" s="10" t="s">
        <v>20481</v>
      </c>
      <c r="K467" s="10" t="s">
        <v>20482</v>
      </c>
      <c r="L467" s="10" t="s">
        <v>42</v>
      </c>
    </row>
    <row r="468" ht="15.75" customHeight="1">
      <c r="A468" s="64">
        <v>45446.0</v>
      </c>
      <c r="B468" s="55" t="str">
        <f>HYPERLINK("https://jobright.ai/jobs/info/66681fbf1c2d3f9f50324212?utm_campaign=1064&amp;utm_source=sheet", "Apply")</f>
        <v>Apply</v>
      </c>
      <c r="C468" s="10" t="s">
        <v>20271</v>
      </c>
      <c r="D468" s="56" t="s">
        <v>20272</v>
      </c>
      <c r="E468" s="10">
        <v>30565.0</v>
      </c>
      <c r="G468" s="10" t="s">
        <v>19595</v>
      </c>
      <c r="H468" s="10" t="s">
        <v>20483</v>
      </c>
      <c r="I468" s="10" t="s">
        <v>55</v>
      </c>
      <c r="J468" s="10" t="s">
        <v>20273</v>
      </c>
      <c r="K468" s="10" t="s">
        <v>20274</v>
      </c>
      <c r="L468" s="10" t="s">
        <v>42</v>
      </c>
    </row>
    <row r="469" ht="15.75" customHeight="1">
      <c r="A469" s="64">
        <v>45444.0</v>
      </c>
      <c r="B469" s="55" t="str">
        <f>HYPERLINK("https://jobright.ai/jobs/info/6677dccefbac42152a145f4a?utm_campaign=1064&amp;utm_source=sheet", "Apply")</f>
        <v>Apply</v>
      </c>
      <c r="C469" s="10" t="s">
        <v>20484</v>
      </c>
      <c r="D469" s="56" t="s">
        <v>15589</v>
      </c>
      <c r="E469" s="59">
        <v>45301.0</v>
      </c>
      <c r="F469" s="10" t="s">
        <v>370</v>
      </c>
      <c r="G469" s="10" t="s">
        <v>19595</v>
      </c>
      <c r="H469" s="10" t="s">
        <v>15590</v>
      </c>
      <c r="I469" s="10" t="s">
        <v>55</v>
      </c>
      <c r="K469" s="10" t="s">
        <v>20485</v>
      </c>
      <c r="L469" s="10" t="s">
        <v>42</v>
      </c>
    </row>
    <row r="470" ht="15.75" customHeight="1">
      <c r="A470" s="64">
        <v>45444.0</v>
      </c>
      <c r="B470" s="55" t="str">
        <f>HYPERLINK("https://jobright.ai/jobs/info/6662782bd90a04f6be80a18a?utm_campaign=1064&amp;utm_source=sheet", "Apply")</f>
        <v>Apply</v>
      </c>
      <c r="C470" s="10" t="s">
        <v>20486</v>
      </c>
      <c r="D470" s="56" t="s">
        <v>14728</v>
      </c>
      <c r="E470" s="10" t="s">
        <v>65</v>
      </c>
      <c r="F470" s="10" t="s">
        <v>3906</v>
      </c>
      <c r="G470" s="10" t="s">
        <v>19581</v>
      </c>
      <c r="H470" s="10" t="s">
        <v>96</v>
      </c>
      <c r="I470" s="10" t="s">
        <v>55</v>
      </c>
      <c r="J470" s="10" t="s">
        <v>19513</v>
      </c>
      <c r="K470" s="10" t="s">
        <v>20487</v>
      </c>
      <c r="L470" s="10" t="s">
        <v>42</v>
      </c>
    </row>
    <row r="471" ht="15.75" customHeight="1">
      <c r="A471" s="64">
        <v>45444.0</v>
      </c>
      <c r="B471" s="55" t="str">
        <f>HYPERLINK("https://jobright.ai/jobs/info/66684f9390e17dfadf831905?utm_campaign=1064&amp;utm_source=sheet", "Apply")</f>
        <v>Apply</v>
      </c>
      <c r="C471" s="10" t="s">
        <v>20488</v>
      </c>
      <c r="D471" s="56" t="s">
        <v>1559</v>
      </c>
      <c r="E471" s="10" t="s">
        <v>45</v>
      </c>
      <c r="F471" s="10" t="s">
        <v>1485</v>
      </c>
      <c r="G471" s="10" t="s">
        <v>19581</v>
      </c>
      <c r="H471" s="10" t="s">
        <v>1560</v>
      </c>
      <c r="I471" s="10" t="s">
        <v>55</v>
      </c>
      <c r="K471" s="10" t="s">
        <v>1561</v>
      </c>
      <c r="L471" s="10" t="s">
        <v>42</v>
      </c>
    </row>
    <row r="472" ht="15.75" customHeight="1">
      <c r="A472" s="64">
        <v>45443.0</v>
      </c>
      <c r="B472" s="55" t="str">
        <f>HYPERLINK("https://jobright.ai/jobs/info/665a6b2963841fecb5a5b5ff?utm_campaign=1064&amp;utm_source=sheet", "Apply")</f>
        <v>Apply</v>
      </c>
      <c r="C472" s="10" t="s">
        <v>20489</v>
      </c>
      <c r="D472" s="56" t="s">
        <v>20490</v>
      </c>
      <c r="E472" s="10">
        <v>15.0</v>
      </c>
      <c r="G472" s="10" t="s">
        <v>19581</v>
      </c>
      <c r="H472" s="10" t="s">
        <v>434</v>
      </c>
      <c r="I472" s="10" t="s">
        <v>55</v>
      </c>
      <c r="J472" s="10" t="s">
        <v>1421</v>
      </c>
      <c r="K472" s="10" t="s">
        <v>20491</v>
      </c>
      <c r="L472" s="10" t="s">
        <v>42</v>
      </c>
    </row>
    <row r="473" ht="15.75" customHeight="1">
      <c r="A473" s="64">
        <v>45443.0</v>
      </c>
      <c r="B473" s="55" t="str">
        <f>HYPERLINK("https://jobright.ai/jobs/info/665a148ca4eed4db57250235?utm_campaign=1064&amp;utm_source=sheet", "Apply")</f>
        <v>Apply</v>
      </c>
      <c r="C473" s="10" t="s">
        <v>20492</v>
      </c>
      <c r="D473" s="56" t="s">
        <v>2220</v>
      </c>
      <c r="E473" s="10" t="s">
        <v>45</v>
      </c>
      <c r="F473" s="10" t="s">
        <v>2221</v>
      </c>
      <c r="G473" s="10" t="s">
        <v>19584</v>
      </c>
      <c r="H473" s="10" t="s">
        <v>956</v>
      </c>
      <c r="I473" s="10" t="s">
        <v>55</v>
      </c>
      <c r="K473" s="10" t="s">
        <v>7614</v>
      </c>
      <c r="L473" s="10" t="s">
        <v>42</v>
      </c>
    </row>
    <row r="474" ht="15.75" customHeight="1">
      <c r="A474" s="64">
        <v>45442.0</v>
      </c>
      <c r="B474" s="55" t="str">
        <f>HYPERLINK("https://jobright.ai/jobs/info/667490567ec77479dcaeb304?utm_campaign=1064&amp;utm_source=sheet", "Apply")</f>
        <v>Apply</v>
      </c>
      <c r="C474" s="10" t="s">
        <v>20320</v>
      </c>
      <c r="D474" s="56" t="s">
        <v>20321</v>
      </c>
      <c r="E474" s="10" t="s">
        <v>45</v>
      </c>
      <c r="F474" s="10" t="s">
        <v>1893</v>
      </c>
      <c r="G474" s="10" t="s">
        <v>19584</v>
      </c>
      <c r="H474" s="10" t="s">
        <v>20322</v>
      </c>
      <c r="I474" s="10" t="s">
        <v>55</v>
      </c>
      <c r="J474" s="10" t="s">
        <v>20323</v>
      </c>
      <c r="K474" s="10" t="s">
        <v>20324</v>
      </c>
      <c r="L474" s="10" t="s">
        <v>42</v>
      </c>
    </row>
    <row r="475" ht="15.75" customHeight="1">
      <c r="A475" s="64">
        <v>45441.0</v>
      </c>
      <c r="B475" s="55" t="str">
        <f>HYPERLINK("https://jobright.ai/jobs/info/667e9bf28bb72220804fd6a4?utm_campaign=1064&amp;utm_source=sheet", "Apply")</f>
        <v>Apply</v>
      </c>
      <c r="C475" s="10" t="s">
        <v>20493</v>
      </c>
      <c r="D475" s="56" t="s">
        <v>18495</v>
      </c>
      <c r="E475" s="10" t="s">
        <v>276</v>
      </c>
      <c r="F475" s="10" t="s">
        <v>1243</v>
      </c>
      <c r="G475" s="10" t="s">
        <v>19595</v>
      </c>
      <c r="H475" s="10" t="s">
        <v>10635</v>
      </c>
      <c r="I475" s="10" t="s">
        <v>55</v>
      </c>
      <c r="K475" s="10" t="s">
        <v>20494</v>
      </c>
      <c r="L475" s="10" t="s">
        <v>42</v>
      </c>
    </row>
    <row r="476" ht="15.75" customHeight="1">
      <c r="A476" s="64">
        <v>45441.0</v>
      </c>
      <c r="B476" s="55" t="str">
        <f>HYPERLINK("https://jobright.ai/jobs/info/66569c741b4274d4153eed49?utm_campaign=1064&amp;utm_source=sheet", "Apply")</f>
        <v>Apply</v>
      </c>
      <c r="C476" s="10" t="s">
        <v>20068</v>
      </c>
      <c r="D476" s="56" t="s">
        <v>19822</v>
      </c>
      <c r="E476" s="10" t="s">
        <v>45</v>
      </c>
      <c r="F476" s="10" t="s">
        <v>2414</v>
      </c>
      <c r="G476" s="10" t="s">
        <v>19587</v>
      </c>
      <c r="H476" s="10" t="s">
        <v>12606</v>
      </c>
      <c r="I476" s="10" t="s">
        <v>55</v>
      </c>
      <c r="J476" s="10" t="s">
        <v>20070</v>
      </c>
      <c r="K476" s="10" t="s">
        <v>19823</v>
      </c>
      <c r="L476" s="10" t="s">
        <v>42</v>
      </c>
    </row>
    <row r="477" ht="15.75" customHeight="1">
      <c r="A477" s="64">
        <v>45441.0</v>
      </c>
      <c r="B477" s="55" t="str">
        <f>HYPERLINK("https://jobright.ai/jobs/info/66577dc32238ccc87dfe3efd?utm_campaign=1064&amp;utm_source=sheet", "Apply")</f>
        <v>Apply</v>
      </c>
      <c r="C477" s="10" t="s">
        <v>20495</v>
      </c>
      <c r="D477" s="56" t="s">
        <v>20496</v>
      </c>
      <c r="E477" s="10" t="s">
        <v>79</v>
      </c>
      <c r="F477" s="10" t="s">
        <v>331</v>
      </c>
      <c r="G477" s="10" t="s">
        <v>19581</v>
      </c>
      <c r="H477" s="10" t="s">
        <v>170</v>
      </c>
      <c r="I477" s="10" t="s">
        <v>48</v>
      </c>
      <c r="K477" s="10" t="s">
        <v>20497</v>
      </c>
      <c r="L477" s="10" t="s">
        <v>42</v>
      </c>
    </row>
    <row r="478" ht="15.75" customHeight="1">
      <c r="A478" s="64">
        <v>45441.0</v>
      </c>
      <c r="B478" s="55" t="str">
        <f>HYPERLINK("https://jobright.ai/jobs/info/666d5d383c31df6386af501e?utm_campaign=1064&amp;utm_source=sheet", "Apply")</f>
        <v>Apply</v>
      </c>
      <c r="C478" s="10" t="s">
        <v>20498</v>
      </c>
      <c r="D478" s="56" t="s">
        <v>20499</v>
      </c>
      <c r="E478" s="10" t="s">
        <v>71</v>
      </c>
      <c r="F478" s="10" t="s">
        <v>20500</v>
      </c>
      <c r="G478" s="10" t="s">
        <v>19584</v>
      </c>
      <c r="H478" s="10" t="s">
        <v>113</v>
      </c>
      <c r="I478" s="10" t="s">
        <v>55</v>
      </c>
      <c r="J478" s="10" t="s">
        <v>1608</v>
      </c>
      <c r="K478" s="10" t="s">
        <v>20501</v>
      </c>
      <c r="L478" s="10" t="s">
        <v>42</v>
      </c>
    </row>
    <row r="479" ht="15.75" customHeight="1">
      <c r="A479" s="64">
        <v>45440.0</v>
      </c>
      <c r="B479" s="55" t="str">
        <f>HYPERLINK("https://jobright.ai/jobs/info/665610e837e53f4a7d295dac?utm_campaign=1064&amp;utm_source=sheet", "Apply")</f>
        <v>Apply</v>
      </c>
      <c r="C479" s="10" t="s">
        <v>20502</v>
      </c>
      <c r="D479" s="56" t="s">
        <v>5422</v>
      </c>
      <c r="E479" s="10" t="s">
        <v>45</v>
      </c>
      <c r="F479" s="10" t="s">
        <v>1695</v>
      </c>
      <c r="G479" s="10" t="s">
        <v>19595</v>
      </c>
      <c r="H479" s="10" t="s">
        <v>361</v>
      </c>
      <c r="I479" s="10" t="s">
        <v>55</v>
      </c>
      <c r="K479" s="10" t="s">
        <v>20503</v>
      </c>
      <c r="L479" s="10" t="s">
        <v>42</v>
      </c>
    </row>
    <row r="480" ht="15.75" customHeight="1">
      <c r="A480" s="64">
        <v>45439.0</v>
      </c>
      <c r="B480" s="55" t="str">
        <f>HYPERLINK("https://jobright.ai/jobs/info/66688424f8309f8de12c5782?utm_campaign=1064&amp;utm_source=sheet", "Apply")</f>
        <v>Apply</v>
      </c>
      <c r="C480" s="10" t="s">
        <v>20504</v>
      </c>
      <c r="D480" s="56" t="s">
        <v>1453</v>
      </c>
      <c r="E480" s="10" t="s">
        <v>45</v>
      </c>
      <c r="F480" s="10" t="s">
        <v>1454</v>
      </c>
      <c r="G480" s="10" t="s">
        <v>19584</v>
      </c>
      <c r="H480" s="10" t="s">
        <v>12336</v>
      </c>
      <c r="I480" s="10" t="s">
        <v>48</v>
      </c>
      <c r="K480" s="10" t="s">
        <v>20505</v>
      </c>
      <c r="L480" s="10" t="s">
        <v>42</v>
      </c>
    </row>
    <row r="481" ht="15.75" customHeight="1">
      <c r="A481" s="64">
        <v>45439.0</v>
      </c>
      <c r="B481" s="55" t="str">
        <f>HYPERLINK("https://jobright.ai/jobs/info/66688424f8309f8de12c577a?utm_campaign=1064&amp;utm_source=sheet", "Apply")</f>
        <v>Apply</v>
      </c>
      <c r="C481" s="10" t="s">
        <v>20506</v>
      </c>
      <c r="D481" s="56" t="s">
        <v>8803</v>
      </c>
      <c r="E481" s="10">
        <v>8.0</v>
      </c>
      <c r="G481" s="10" t="s">
        <v>19587</v>
      </c>
      <c r="H481" s="10" t="s">
        <v>2275</v>
      </c>
      <c r="I481" s="10" t="s">
        <v>55</v>
      </c>
      <c r="K481" s="10" t="s">
        <v>20507</v>
      </c>
      <c r="L481" s="10" t="s">
        <v>42</v>
      </c>
    </row>
    <row r="482" ht="15.75" customHeight="1">
      <c r="A482" s="64">
        <v>45436.0</v>
      </c>
      <c r="B482" s="55" t="str">
        <f>HYPERLINK("https://jobright.ai/jobs/info/6678035422d70373ceb6cdc5?utm_campaign=1064&amp;utm_source=sheet", "Apply")</f>
        <v>Apply</v>
      </c>
      <c r="C482" s="10" t="s">
        <v>20508</v>
      </c>
      <c r="D482" s="56" t="s">
        <v>20509</v>
      </c>
      <c r="E482" s="10" t="s">
        <v>79</v>
      </c>
      <c r="F482" s="10" t="s">
        <v>20510</v>
      </c>
      <c r="G482" s="10" t="s">
        <v>19584</v>
      </c>
      <c r="H482" s="10" t="s">
        <v>20511</v>
      </c>
      <c r="I482" s="10" t="s">
        <v>55</v>
      </c>
      <c r="K482" s="10" t="s">
        <v>20512</v>
      </c>
      <c r="L482" s="10" t="s">
        <v>42</v>
      </c>
    </row>
    <row r="483" ht="15.75" customHeight="1">
      <c r="A483" s="64">
        <v>45436.0</v>
      </c>
      <c r="B483" s="55" t="str">
        <f>HYPERLINK("https://jobright.ai/jobs/info/66688fff7f6ba556721b6c2b?utm_campaign=1064&amp;utm_source=sheet", "Apply")</f>
        <v>Apply</v>
      </c>
      <c r="C483" s="10" t="s">
        <v>20513</v>
      </c>
      <c r="D483" s="56" t="s">
        <v>1559</v>
      </c>
      <c r="E483" s="10" t="s">
        <v>45</v>
      </c>
      <c r="F483" s="10" t="s">
        <v>1485</v>
      </c>
      <c r="G483" s="10" t="s">
        <v>19584</v>
      </c>
      <c r="H483" s="10" t="s">
        <v>1560</v>
      </c>
      <c r="I483" s="10" t="s">
        <v>55</v>
      </c>
      <c r="K483" s="10" t="s">
        <v>20514</v>
      </c>
      <c r="L483" s="10" t="s">
        <v>42</v>
      </c>
    </row>
    <row r="484" ht="15.75" customHeight="1">
      <c r="A484" s="64">
        <v>45435.0</v>
      </c>
      <c r="B484" s="55" t="str">
        <f>HYPERLINK("https://jobright.ai/jobs/info/6677e75e8edbb3fe78f31bd3?utm_campaign=1064&amp;utm_source=sheet", "Apply")</f>
        <v>Apply</v>
      </c>
      <c r="C484" s="10" t="s">
        <v>20515</v>
      </c>
      <c r="D484" s="56" t="s">
        <v>3589</v>
      </c>
      <c r="E484" s="10" t="s">
        <v>45</v>
      </c>
      <c r="F484" s="10" t="s">
        <v>2554</v>
      </c>
      <c r="G484" s="10" t="s">
        <v>19584</v>
      </c>
      <c r="H484" s="10" t="s">
        <v>7783</v>
      </c>
      <c r="I484" s="10" t="s">
        <v>55</v>
      </c>
      <c r="K484" s="10" t="s">
        <v>20516</v>
      </c>
      <c r="L484" s="10" t="s">
        <v>42</v>
      </c>
    </row>
    <row r="485" ht="15.75" customHeight="1">
      <c r="A485" s="64">
        <v>45435.0</v>
      </c>
      <c r="B485" s="55" t="str">
        <f>HYPERLINK("https://jobright.ai/jobs/info/6677e6fc8edbb3fe78f31421?utm_campaign=1064&amp;utm_source=sheet", "Apply")</f>
        <v>Apply</v>
      </c>
      <c r="C485" s="10" t="s">
        <v>20517</v>
      </c>
      <c r="D485" s="56" t="s">
        <v>20518</v>
      </c>
      <c r="E485" s="10">
        <v>81.0</v>
      </c>
      <c r="G485" s="10" t="s">
        <v>19587</v>
      </c>
      <c r="H485" s="10" t="s">
        <v>165</v>
      </c>
      <c r="I485" s="10" t="s">
        <v>55</v>
      </c>
      <c r="K485" s="10" t="s">
        <v>20519</v>
      </c>
      <c r="L485" s="10" t="s">
        <v>42</v>
      </c>
    </row>
    <row r="486" ht="15.75" customHeight="1">
      <c r="A486" s="64">
        <v>45435.0</v>
      </c>
      <c r="B486" s="55" t="str">
        <f>HYPERLINK("https://jobright.ai/jobs/info/664f7e6e60f7f1f1de80d63f?utm_campaign=1064&amp;utm_source=sheet", "Apply")</f>
        <v>Apply</v>
      </c>
      <c r="C486" s="10" t="s">
        <v>4331</v>
      </c>
      <c r="D486" s="56" t="s">
        <v>20520</v>
      </c>
      <c r="E486" s="10" t="s">
        <v>45</v>
      </c>
      <c r="F486" s="10" t="s">
        <v>7548</v>
      </c>
      <c r="G486" s="10" t="s">
        <v>19584</v>
      </c>
      <c r="H486" s="10" t="s">
        <v>19264</v>
      </c>
      <c r="I486" s="10" t="s">
        <v>55</v>
      </c>
      <c r="K486" s="10" t="s">
        <v>20521</v>
      </c>
      <c r="L486" s="10" t="s">
        <v>42</v>
      </c>
    </row>
    <row r="487" ht="15.75" customHeight="1">
      <c r="A487" s="64">
        <v>45435.0</v>
      </c>
      <c r="B487" s="55" t="str">
        <f>HYPERLINK("https://jobright.ai/jobs/info/664f885db4296966b65ee48a?utm_campaign=1064&amp;utm_source=sheet", "Apply")</f>
        <v>Apply</v>
      </c>
      <c r="C487" s="10" t="s">
        <v>20386</v>
      </c>
      <c r="D487" s="56" t="s">
        <v>8385</v>
      </c>
      <c r="E487" s="10">
        <v>2610.0</v>
      </c>
      <c r="G487" s="10" t="s">
        <v>19584</v>
      </c>
      <c r="H487" s="10" t="s">
        <v>96</v>
      </c>
      <c r="I487" s="10" t="s">
        <v>55</v>
      </c>
      <c r="J487" s="10" t="s">
        <v>8386</v>
      </c>
      <c r="K487" s="10" t="s">
        <v>8387</v>
      </c>
      <c r="L487" s="10" t="s">
        <v>42</v>
      </c>
    </row>
    <row r="488" ht="15.75" customHeight="1">
      <c r="A488" s="64">
        <v>45435.0</v>
      </c>
      <c r="B488" s="55" t="str">
        <f>HYPERLINK("https://jobright.ai/jobs/info/664f885db4296966b65ee47c?utm_campaign=1064&amp;utm_source=sheet", "Apply")</f>
        <v>Apply</v>
      </c>
      <c r="C488" s="10" t="s">
        <v>20386</v>
      </c>
      <c r="D488" s="56" t="s">
        <v>8385</v>
      </c>
      <c r="E488" s="10">
        <v>2610.0</v>
      </c>
      <c r="G488" s="10" t="s">
        <v>19584</v>
      </c>
      <c r="H488" s="10" t="s">
        <v>96</v>
      </c>
      <c r="I488" s="10" t="s">
        <v>55</v>
      </c>
      <c r="J488" s="10" t="s">
        <v>20057</v>
      </c>
      <c r="K488" s="10" t="s">
        <v>20058</v>
      </c>
      <c r="L488" s="10" t="s">
        <v>42</v>
      </c>
    </row>
    <row r="489" ht="15.75" customHeight="1">
      <c r="A489" s="64">
        <v>45435.0</v>
      </c>
      <c r="B489" s="55" t="str">
        <f>HYPERLINK("https://jobright.ai/jobs/info/6677ed5e2ffca2bcf66921e2?utm_campaign=1064&amp;utm_source=sheet", "Apply")</f>
        <v>Apply</v>
      </c>
      <c r="C489" s="10" t="s">
        <v>20522</v>
      </c>
      <c r="D489" s="56" t="s">
        <v>20523</v>
      </c>
      <c r="E489" s="10" t="s">
        <v>249</v>
      </c>
      <c r="F489" s="10" t="s">
        <v>2588</v>
      </c>
      <c r="G489" s="10" t="s">
        <v>19587</v>
      </c>
      <c r="H489" s="10" t="s">
        <v>20524</v>
      </c>
      <c r="I489" s="10" t="s">
        <v>55</v>
      </c>
      <c r="J489" s="10" t="s">
        <v>20525</v>
      </c>
      <c r="K489" s="10" t="s">
        <v>20526</v>
      </c>
      <c r="L489" s="10" t="s">
        <v>42</v>
      </c>
    </row>
    <row r="490" ht="15.75" customHeight="1">
      <c r="A490" s="64">
        <v>45435.0</v>
      </c>
      <c r="B490" s="55" t="str">
        <f>HYPERLINK("https://jobright.ai/jobs/info/6677ecb32ffca2bcf6691481?utm_campaign=1064&amp;utm_source=sheet", "Apply")</f>
        <v>Apply</v>
      </c>
      <c r="C490" s="10" t="s">
        <v>20212</v>
      </c>
      <c r="D490" s="56" t="s">
        <v>20527</v>
      </c>
      <c r="E490" s="10" t="s">
        <v>45</v>
      </c>
      <c r="F490" s="10" t="s">
        <v>4022</v>
      </c>
      <c r="G490" s="10" t="s">
        <v>19584</v>
      </c>
      <c r="H490" s="10" t="s">
        <v>251</v>
      </c>
      <c r="I490" s="10" t="s">
        <v>252</v>
      </c>
      <c r="L490" s="10" t="s">
        <v>42</v>
      </c>
    </row>
    <row r="491" ht="15.75" customHeight="1">
      <c r="A491" s="64">
        <v>45434.0</v>
      </c>
      <c r="B491" s="55" t="str">
        <f>HYPERLINK("https://jobright.ai/jobs/info/667633afe272243dcd4f6371?utm_campaign=1064&amp;utm_source=sheet", "Apply")</f>
        <v>Apply</v>
      </c>
      <c r="C491" s="10" t="s">
        <v>20528</v>
      </c>
      <c r="D491" s="56" t="s">
        <v>20529</v>
      </c>
      <c r="E491" s="10" t="s">
        <v>65</v>
      </c>
      <c r="F491" s="10" t="s">
        <v>2617</v>
      </c>
      <c r="G491" s="10" t="s">
        <v>19595</v>
      </c>
      <c r="H491" s="10" t="s">
        <v>16338</v>
      </c>
      <c r="I491" s="10" t="s">
        <v>55</v>
      </c>
      <c r="K491" s="10" t="s">
        <v>20530</v>
      </c>
      <c r="L491" s="10" t="s">
        <v>42</v>
      </c>
    </row>
    <row r="492" ht="15.75" customHeight="1">
      <c r="A492" s="64">
        <v>45434.0</v>
      </c>
      <c r="B492" s="55" t="str">
        <f>HYPERLINK("https://jobright.ai/jobs/info/66503f0518e78dcdfb60e133?utm_campaign=1064&amp;utm_source=sheet", "Apply")</f>
        <v>Apply</v>
      </c>
      <c r="C492" s="10" t="s">
        <v>15985</v>
      </c>
      <c r="D492" s="56" t="s">
        <v>11530</v>
      </c>
      <c r="E492" s="10" t="s">
        <v>65</v>
      </c>
      <c r="F492" s="10" t="s">
        <v>259</v>
      </c>
      <c r="G492" s="10" t="s">
        <v>19587</v>
      </c>
      <c r="H492" s="10" t="s">
        <v>20531</v>
      </c>
      <c r="I492" s="10" t="s">
        <v>55</v>
      </c>
      <c r="J492" s="10" t="s">
        <v>1409</v>
      </c>
      <c r="K492" s="10" t="s">
        <v>19697</v>
      </c>
      <c r="L492" s="10" t="s">
        <v>42</v>
      </c>
    </row>
    <row r="493" ht="15.75" customHeight="1">
      <c r="A493" s="64">
        <v>45433.0</v>
      </c>
      <c r="B493" s="55" t="str">
        <f>HYPERLINK("https://jobright.ai/jobs/info/664d3b17ecdb88912c95bd7b?utm_campaign=1064&amp;utm_source=sheet", "Apply")</f>
        <v>Apply</v>
      </c>
      <c r="C493" s="10" t="s">
        <v>20532</v>
      </c>
      <c r="D493" s="56" t="s">
        <v>20533</v>
      </c>
      <c r="E493" s="10" t="s">
        <v>137</v>
      </c>
      <c r="F493" s="10" t="s">
        <v>20534</v>
      </c>
      <c r="G493" s="10" t="s">
        <v>19595</v>
      </c>
      <c r="H493" s="10" t="s">
        <v>113</v>
      </c>
      <c r="I493" s="10" t="s">
        <v>55</v>
      </c>
      <c r="K493" s="10" t="s">
        <v>20535</v>
      </c>
      <c r="L493" s="10" t="s">
        <v>42</v>
      </c>
    </row>
    <row r="494" ht="15.75" customHeight="1">
      <c r="A494" s="64">
        <v>45433.0</v>
      </c>
      <c r="B494" s="55" t="str">
        <f>HYPERLINK("https://jobright.ai/jobs/info/664d02f2124370dcd92dd7ca?utm_campaign=1064&amp;utm_source=sheet", "Apply")</f>
        <v>Apply</v>
      </c>
      <c r="C494" s="10" t="s">
        <v>19624</v>
      </c>
      <c r="D494" s="56" t="s">
        <v>19625</v>
      </c>
      <c r="E494" s="10" t="s">
        <v>65</v>
      </c>
      <c r="F494" s="10" t="s">
        <v>1234</v>
      </c>
      <c r="G494" s="10" t="s">
        <v>19595</v>
      </c>
      <c r="H494" s="10" t="s">
        <v>19626</v>
      </c>
      <c r="I494" s="10" t="s">
        <v>55</v>
      </c>
      <c r="K494" s="10" t="s">
        <v>20536</v>
      </c>
      <c r="L494" s="10" t="s">
        <v>42</v>
      </c>
    </row>
    <row r="495" ht="15.75" customHeight="1">
      <c r="A495" s="64">
        <v>45433.0</v>
      </c>
      <c r="B495" s="55" t="str">
        <f>HYPERLINK("https://jobright.ai/jobs/info/66749de43bb0335d41b2d33d?utm_campaign=1064&amp;utm_source=sheet", "Apply")</f>
        <v>Apply</v>
      </c>
      <c r="C495" s="10" t="s">
        <v>19757</v>
      </c>
      <c r="D495" s="56" t="s">
        <v>8385</v>
      </c>
      <c r="E495" s="10">
        <v>2610.0</v>
      </c>
      <c r="G495" s="10" t="s">
        <v>19584</v>
      </c>
      <c r="H495" s="10" t="s">
        <v>3196</v>
      </c>
      <c r="I495" s="10" t="s">
        <v>55</v>
      </c>
      <c r="K495" s="10" t="s">
        <v>20058</v>
      </c>
      <c r="L495" s="10" t="s">
        <v>42</v>
      </c>
    </row>
    <row r="496" ht="15.75" customHeight="1">
      <c r="A496" s="64">
        <v>45433.0</v>
      </c>
      <c r="B496" s="55" t="str">
        <f>HYPERLINK("https://jobright.ai/jobs/info/66743cedc8cea9b1765b1456?utm_campaign=1064&amp;utm_source=sheet", "Apply")</f>
        <v>Apply</v>
      </c>
      <c r="C496" s="10" t="s">
        <v>20325</v>
      </c>
      <c r="D496" s="56" t="s">
        <v>20326</v>
      </c>
      <c r="E496" s="10" t="s">
        <v>65</v>
      </c>
      <c r="F496" s="10" t="s">
        <v>20327</v>
      </c>
      <c r="G496" s="10" t="s">
        <v>19587</v>
      </c>
      <c r="H496" s="10" t="s">
        <v>819</v>
      </c>
      <c r="I496" s="10" t="s">
        <v>55</v>
      </c>
      <c r="K496" s="10" t="s">
        <v>20329</v>
      </c>
      <c r="L496" s="10" t="s">
        <v>42</v>
      </c>
    </row>
    <row r="497" ht="15.75" customHeight="1">
      <c r="A497" s="64">
        <v>45432.0</v>
      </c>
      <c r="B497" s="55" t="str">
        <f>HYPERLINK("https://jobright.ai/jobs/info/664cac1d4277716ebecb3346?utm_campaign=1064&amp;utm_source=sheet", "Apply")</f>
        <v>Apply</v>
      </c>
      <c r="C497" s="10" t="s">
        <v>20537</v>
      </c>
      <c r="D497" s="56" t="s">
        <v>1502</v>
      </c>
      <c r="E497" s="10">
        <v>10345.0</v>
      </c>
      <c r="G497" s="10" t="s">
        <v>19595</v>
      </c>
      <c r="H497" s="10" t="s">
        <v>106</v>
      </c>
      <c r="I497" s="10" t="s">
        <v>55</v>
      </c>
      <c r="J497" s="10" t="s">
        <v>1960</v>
      </c>
      <c r="K497" s="10" t="s">
        <v>20538</v>
      </c>
      <c r="L497" s="10" t="s">
        <v>42</v>
      </c>
    </row>
    <row r="498" ht="15.75" customHeight="1">
      <c r="A498" s="64">
        <v>45432.0</v>
      </c>
      <c r="B498" s="55" t="str">
        <f>HYPERLINK("https://jobright.ai/jobs/info/664d8e1000b4ce6cd06ff10f?utm_campaign=1064&amp;utm_source=sheet", "Apply")</f>
        <v>Apply</v>
      </c>
      <c r="C498" s="10" t="s">
        <v>20539</v>
      </c>
      <c r="D498" s="56" t="s">
        <v>20540</v>
      </c>
      <c r="E498" s="10" t="s">
        <v>249</v>
      </c>
      <c r="F498" s="10" t="s">
        <v>2588</v>
      </c>
      <c r="G498" s="10" t="s">
        <v>19595</v>
      </c>
      <c r="H498" s="10" t="s">
        <v>18544</v>
      </c>
      <c r="I498" s="10" t="s">
        <v>55</v>
      </c>
      <c r="J498" s="10" t="s">
        <v>1409</v>
      </c>
      <c r="K498" s="10" t="s">
        <v>20541</v>
      </c>
      <c r="L498" s="10" t="s">
        <v>42</v>
      </c>
    </row>
    <row r="499" ht="15.75" customHeight="1">
      <c r="A499" s="64">
        <v>45429.0</v>
      </c>
      <c r="B499" s="55" t="str">
        <f>HYPERLINK("https://jobright.ai/jobs/info/664724d2b105ba42d9b9998c?utm_campaign=1064&amp;utm_source=sheet", "Apply")</f>
        <v>Apply</v>
      </c>
      <c r="C499" s="10" t="s">
        <v>19821</v>
      </c>
      <c r="D499" s="56" t="s">
        <v>19822</v>
      </c>
      <c r="E499" s="10" t="s">
        <v>45</v>
      </c>
      <c r="F499" s="10" t="s">
        <v>2414</v>
      </c>
      <c r="G499" s="10" t="s">
        <v>19587</v>
      </c>
      <c r="H499" s="10" t="s">
        <v>152</v>
      </c>
      <c r="I499" s="10" t="s">
        <v>55</v>
      </c>
      <c r="K499" s="10" t="s">
        <v>19823</v>
      </c>
      <c r="L499" s="10" t="s">
        <v>42</v>
      </c>
    </row>
    <row r="500" ht="15.75" customHeight="1">
      <c r="A500" s="64">
        <v>45429.0</v>
      </c>
      <c r="B500" s="55" t="str">
        <f>HYPERLINK("https://jobright.ai/jobs/info/664c042cfbd546c5d46dfa21?utm_campaign=1064&amp;utm_source=sheet", "Apply")</f>
        <v>Apply</v>
      </c>
      <c r="C500" s="10" t="s">
        <v>20542</v>
      </c>
      <c r="D500" s="56" t="s">
        <v>19755</v>
      </c>
      <c r="E500" s="10" t="s">
        <v>65</v>
      </c>
      <c r="F500" s="10" t="s">
        <v>14747</v>
      </c>
      <c r="G500" s="10" t="s">
        <v>19595</v>
      </c>
      <c r="H500" s="10" t="s">
        <v>6071</v>
      </c>
      <c r="I500" s="10" t="s">
        <v>55</v>
      </c>
      <c r="K500" s="10" t="s">
        <v>19976</v>
      </c>
      <c r="L500" s="10" t="s">
        <v>42</v>
      </c>
    </row>
    <row r="501" ht="15.75" customHeight="1">
      <c r="A501" s="64">
        <v>45429.0</v>
      </c>
      <c r="B501" s="55" t="str">
        <f>HYPERLINK("https://jobright.ai/jobs/info/6646ce658380b0a17db5e9e7?utm_campaign=1064&amp;utm_source=sheet", "Apply")</f>
        <v>Apply</v>
      </c>
      <c r="C501" s="10" t="s">
        <v>19624</v>
      </c>
      <c r="D501" s="56" t="s">
        <v>19625</v>
      </c>
      <c r="E501" s="10" t="s">
        <v>65</v>
      </c>
      <c r="F501" s="10" t="s">
        <v>1234</v>
      </c>
      <c r="G501" s="10" t="s">
        <v>19595</v>
      </c>
      <c r="H501" s="10" t="s">
        <v>19626</v>
      </c>
      <c r="I501" s="10" t="s">
        <v>55</v>
      </c>
      <c r="K501" s="10" t="s">
        <v>20543</v>
      </c>
      <c r="L501" s="10" t="s">
        <v>42</v>
      </c>
    </row>
    <row r="502" ht="15.75" customHeight="1">
      <c r="A502" s="64">
        <v>45429.0</v>
      </c>
      <c r="B502" s="55" t="str">
        <f>HYPERLINK("https://jobright.ai/jobs/info/66472e009612899bc6777052?utm_campaign=1064&amp;utm_source=sheet", "Apply")</f>
        <v>Apply</v>
      </c>
      <c r="C502" s="10" t="s">
        <v>20544</v>
      </c>
      <c r="D502" s="56" t="s">
        <v>20545</v>
      </c>
      <c r="E502" s="10" t="s">
        <v>249</v>
      </c>
      <c r="F502" s="10" t="s">
        <v>20546</v>
      </c>
      <c r="G502" s="10" t="s">
        <v>19595</v>
      </c>
      <c r="H502" s="10" t="s">
        <v>1560</v>
      </c>
      <c r="I502" s="10" t="s">
        <v>55</v>
      </c>
      <c r="K502" s="10" t="s">
        <v>20547</v>
      </c>
      <c r="L502" s="10" t="s">
        <v>42</v>
      </c>
    </row>
    <row r="503" ht="15.75" customHeight="1">
      <c r="A503" s="64">
        <v>45429.0</v>
      </c>
      <c r="B503" s="55" t="str">
        <f>HYPERLINK("https://jobright.ai/jobs/info/66691843ef71c96a7fcbcd77?utm_campaign=1064&amp;utm_source=sheet", "Apply")</f>
        <v>Apply</v>
      </c>
      <c r="C503" s="10" t="s">
        <v>20406</v>
      </c>
      <c r="D503" s="56" t="s">
        <v>20407</v>
      </c>
      <c r="E503" s="10" t="s">
        <v>249</v>
      </c>
      <c r="F503" s="10" t="s">
        <v>20408</v>
      </c>
      <c r="G503" s="10" t="s">
        <v>19584</v>
      </c>
      <c r="H503" s="10" t="s">
        <v>20548</v>
      </c>
      <c r="I503" s="10" t="s">
        <v>55</v>
      </c>
      <c r="K503" s="10" t="s">
        <v>20409</v>
      </c>
      <c r="L503" s="10" t="s">
        <v>42</v>
      </c>
    </row>
    <row r="504" ht="15.75" customHeight="1">
      <c r="A504" s="64">
        <v>45428.0</v>
      </c>
      <c r="B504" s="55" t="str">
        <f>HYPERLINK("https://jobright.ai/jobs/info/6645b9bb77391b3c277a484a?utm_campaign=1064&amp;utm_source=sheet", "Apply")</f>
        <v>Apply</v>
      </c>
      <c r="C504" s="10" t="s">
        <v>20549</v>
      </c>
      <c r="D504" s="56" t="s">
        <v>20550</v>
      </c>
      <c r="E504" s="10" t="s">
        <v>65</v>
      </c>
      <c r="G504" s="10" t="s">
        <v>19595</v>
      </c>
      <c r="H504" s="10" t="s">
        <v>2006</v>
      </c>
      <c r="I504" s="10" t="s">
        <v>55</v>
      </c>
      <c r="J504" s="10" t="s">
        <v>1409</v>
      </c>
      <c r="K504" s="10" t="s">
        <v>20551</v>
      </c>
      <c r="L504" s="10" t="s">
        <v>42</v>
      </c>
    </row>
    <row r="505" ht="15.75" customHeight="1">
      <c r="A505" s="64">
        <v>45428.0</v>
      </c>
      <c r="B505" s="55" t="str">
        <f>HYPERLINK("https://jobright.ai/jobs/info/664571a44fa0104876f4d8c3?utm_campaign=1064&amp;utm_source=sheet", "Apply")</f>
        <v>Apply</v>
      </c>
      <c r="C505" s="10" t="s">
        <v>20068</v>
      </c>
      <c r="D505" s="56" t="s">
        <v>19822</v>
      </c>
      <c r="E505" s="10" t="s">
        <v>45</v>
      </c>
      <c r="F505" s="10" t="s">
        <v>2414</v>
      </c>
      <c r="G505" s="10" t="s">
        <v>19587</v>
      </c>
      <c r="H505" s="10" t="s">
        <v>18794</v>
      </c>
      <c r="I505" s="10" t="s">
        <v>55</v>
      </c>
      <c r="J505" s="10" t="s">
        <v>20070</v>
      </c>
      <c r="K505" s="10" t="s">
        <v>19823</v>
      </c>
      <c r="L505" s="10" t="s">
        <v>42</v>
      </c>
    </row>
    <row r="506" ht="15.75" customHeight="1">
      <c r="A506" s="64">
        <v>45428.0</v>
      </c>
      <c r="B506" s="55" t="str">
        <f>HYPERLINK("https://jobright.ai/jobs/info/6645a66c6b3d3aed0ef13a79?utm_campaign=1064&amp;utm_source=sheet", "Apply")</f>
        <v>Apply</v>
      </c>
      <c r="C506" s="10" t="s">
        <v>20552</v>
      </c>
      <c r="D506" s="56" t="s">
        <v>1295</v>
      </c>
      <c r="E506" s="10" t="s">
        <v>71</v>
      </c>
      <c r="F506" s="10" t="s">
        <v>1296</v>
      </c>
      <c r="G506" s="10" t="s">
        <v>19584</v>
      </c>
      <c r="H506" s="10" t="s">
        <v>1298</v>
      </c>
      <c r="I506" s="10" t="s">
        <v>55</v>
      </c>
      <c r="K506" s="10" t="s">
        <v>20553</v>
      </c>
      <c r="L506" s="10" t="s">
        <v>42</v>
      </c>
    </row>
    <row r="507" ht="15.75" customHeight="1">
      <c r="A507" s="64">
        <v>45427.0</v>
      </c>
      <c r="B507" s="55" t="str">
        <f>HYPERLINK("https://jobright.ai/jobs/info/6645608dda5de70cfccb2708?utm_campaign=1064&amp;utm_source=sheet", "Apply")</f>
        <v>Apply</v>
      </c>
      <c r="C507" s="10" t="s">
        <v>20554</v>
      </c>
      <c r="D507" s="56" t="s">
        <v>20555</v>
      </c>
      <c r="E507" s="10" t="s">
        <v>276</v>
      </c>
      <c r="G507" s="10" t="s">
        <v>19584</v>
      </c>
      <c r="H507" s="10" t="s">
        <v>251</v>
      </c>
      <c r="I507" s="10" t="s">
        <v>252</v>
      </c>
      <c r="J507" s="10" t="s">
        <v>1984</v>
      </c>
      <c r="K507" s="10" t="s">
        <v>20556</v>
      </c>
      <c r="L507" s="10" t="s">
        <v>42</v>
      </c>
    </row>
    <row r="508" ht="15.75" customHeight="1">
      <c r="A508" s="64">
        <v>45427.0</v>
      </c>
      <c r="B508" s="55" t="str">
        <f>HYPERLINK("https://jobright.ai/jobs/info/666c5bd622d2daf784e1200a?utm_campaign=1064&amp;utm_source=sheet", "Apply")</f>
        <v>Apply</v>
      </c>
      <c r="C508" s="10" t="s">
        <v>19621</v>
      </c>
      <c r="D508" s="56" t="s">
        <v>12422</v>
      </c>
      <c r="E508" s="10" t="s">
        <v>276</v>
      </c>
      <c r="G508" s="10" t="s">
        <v>19595</v>
      </c>
      <c r="H508" s="10" t="s">
        <v>20557</v>
      </c>
      <c r="I508" s="10" t="s">
        <v>55</v>
      </c>
      <c r="K508" s="10" t="s">
        <v>20000</v>
      </c>
      <c r="L508" s="10" t="s">
        <v>42</v>
      </c>
    </row>
    <row r="509" ht="15.75" customHeight="1">
      <c r="A509" s="64">
        <v>45427.0</v>
      </c>
      <c r="B509" s="55" t="str">
        <f>HYPERLINK("https://jobright.ai/jobs/info/666c37399dae7f4f872a1740?utm_campaign=1064&amp;utm_source=sheet", "Apply")</f>
        <v>Apply</v>
      </c>
      <c r="C509" s="10" t="s">
        <v>20558</v>
      </c>
      <c r="D509" s="56" t="s">
        <v>20559</v>
      </c>
      <c r="E509" s="10">
        <v>102.0</v>
      </c>
      <c r="G509" s="10" t="s">
        <v>19595</v>
      </c>
      <c r="H509" s="10" t="s">
        <v>1031</v>
      </c>
      <c r="I509" s="10" t="s">
        <v>55</v>
      </c>
      <c r="K509" s="10" t="s">
        <v>20560</v>
      </c>
      <c r="L509" s="10" t="s">
        <v>42</v>
      </c>
    </row>
    <row r="510" ht="15.75" customHeight="1">
      <c r="A510" s="64">
        <v>45427.0</v>
      </c>
      <c r="B510" s="55" t="str">
        <f>HYPERLINK("https://jobright.ai/jobs/info/6669205fc327d9911b6d4ca8?utm_campaign=1064&amp;utm_source=sheet", "Apply")</f>
        <v>Apply</v>
      </c>
      <c r="C510" s="10" t="s">
        <v>20561</v>
      </c>
      <c r="D510" s="56" t="s">
        <v>1496</v>
      </c>
      <c r="E510" s="10" t="s">
        <v>45</v>
      </c>
      <c r="F510" s="10" t="s">
        <v>1497</v>
      </c>
      <c r="G510" s="10" t="s">
        <v>19581</v>
      </c>
      <c r="H510" s="10" t="s">
        <v>1533</v>
      </c>
      <c r="I510" s="10" t="s">
        <v>55</v>
      </c>
      <c r="K510" s="10" t="s">
        <v>20562</v>
      </c>
      <c r="L510" s="10" t="s">
        <v>42</v>
      </c>
    </row>
    <row r="511" ht="15.75" customHeight="1">
      <c r="A511" s="64">
        <v>45426.0</v>
      </c>
      <c r="B511" s="55" t="str">
        <f>HYPERLINK("https://jobright.ai/jobs/info/6643a7d5702f65b60c0995d3?utm_campaign=1064&amp;utm_source=sheet", "Apply")</f>
        <v>Apply</v>
      </c>
      <c r="C511" s="10" t="s">
        <v>20563</v>
      </c>
      <c r="D511" s="56" t="s">
        <v>20564</v>
      </c>
      <c r="E511" s="10" t="s">
        <v>137</v>
      </c>
      <c r="F511" s="10" t="s">
        <v>85</v>
      </c>
      <c r="G511" s="10" t="s">
        <v>19584</v>
      </c>
      <c r="H511" s="10" t="s">
        <v>959</v>
      </c>
      <c r="I511" s="10" t="s">
        <v>55</v>
      </c>
      <c r="J511" s="10" t="s">
        <v>20565</v>
      </c>
      <c r="K511" s="10" t="s">
        <v>20566</v>
      </c>
      <c r="L511" s="10" t="s">
        <v>42</v>
      </c>
    </row>
    <row r="512" ht="15.75" customHeight="1">
      <c r="A512" s="64">
        <v>45426.0</v>
      </c>
      <c r="B512" s="55" t="str">
        <f>HYPERLINK("https://jobright.ai/jobs/info/6644177d1577949cb00da781?utm_campaign=1064&amp;utm_source=sheet", "Apply")</f>
        <v>Apply</v>
      </c>
      <c r="C512" s="10" t="s">
        <v>15985</v>
      </c>
      <c r="D512" s="56" t="s">
        <v>11530</v>
      </c>
      <c r="E512" s="10" t="s">
        <v>65</v>
      </c>
      <c r="F512" s="10" t="s">
        <v>259</v>
      </c>
      <c r="G512" s="10" t="s">
        <v>19587</v>
      </c>
      <c r="H512" s="10" t="s">
        <v>14480</v>
      </c>
      <c r="I512" s="10" t="s">
        <v>55</v>
      </c>
      <c r="J512" s="10" t="s">
        <v>1409</v>
      </c>
      <c r="K512" s="10" t="s">
        <v>19697</v>
      </c>
      <c r="L512" s="10" t="s">
        <v>42</v>
      </c>
    </row>
    <row r="513" ht="15.75" customHeight="1">
      <c r="A513" s="64">
        <v>45426.0</v>
      </c>
      <c r="B513" s="55" t="str">
        <f>HYPERLINK("https://jobright.ai/jobs/info/666920bcc327d9911b6d52dd?utm_campaign=1064&amp;utm_source=sheet", "Apply")</f>
        <v>Apply</v>
      </c>
      <c r="C513" s="10" t="s">
        <v>20567</v>
      </c>
      <c r="D513" s="56" t="s">
        <v>1496</v>
      </c>
      <c r="E513" s="10" t="s">
        <v>45</v>
      </c>
      <c r="F513" s="10" t="s">
        <v>1497</v>
      </c>
      <c r="G513" s="10" t="s">
        <v>19581</v>
      </c>
      <c r="H513" s="10" t="s">
        <v>1533</v>
      </c>
      <c r="I513" s="10" t="s">
        <v>55</v>
      </c>
      <c r="K513" s="10" t="s">
        <v>20568</v>
      </c>
      <c r="L513" s="10" t="s">
        <v>42</v>
      </c>
    </row>
    <row r="514" ht="15.75" customHeight="1">
      <c r="A514" s="64">
        <v>45424.0</v>
      </c>
      <c r="B514" s="55" t="str">
        <f>HYPERLINK("https://jobright.ai/jobs/info/665c4d90d30c5e46620b0411?utm_campaign=1064&amp;utm_source=sheet", "Apply")</f>
        <v>Apply</v>
      </c>
      <c r="C514" s="10" t="s">
        <v>20569</v>
      </c>
      <c r="D514" s="56" t="s">
        <v>1505</v>
      </c>
      <c r="E514" s="10" t="s">
        <v>137</v>
      </c>
      <c r="F514" s="10" t="s">
        <v>1506</v>
      </c>
      <c r="G514" s="10" t="s">
        <v>19595</v>
      </c>
      <c r="H514" s="10" t="s">
        <v>382</v>
      </c>
      <c r="I514" s="10" t="s">
        <v>55</v>
      </c>
      <c r="K514" s="10" t="s">
        <v>15679</v>
      </c>
      <c r="L514" s="10" t="s">
        <v>42</v>
      </c>
    </row>
    <row r="515" ht="15.75" customHeight="1">
      <c r="A515" s="64">
        <v>45423.0</v>
      </c>
      <c r="B515" s="55" t="str">
        <f>HYPERLINK("https://jobright.ai/jobs/info/666930d432b5c01ae0397761?utm_campaign=1064&amp;utm_source=sheet", "Apply")</f>
        <v>Apply</v>
      </c>
      <c r="C515" s="10" t="s">
        <v>3748</v>
      </c>
      <c r="D515" s="56" t="s">
        <v>2314</v>
      </c>
      <c r="E515" s="10" t="s">
        <v>209</v>
      </c>
      <c r="F515" s="10" t="s">
        <v>2315</v>
      </c>
      <c r="G515" s="10" t="s">
        <v>19595</v>
      </c>
      <c r="H515" s="10" t="s">
        <v>7099</v>
      </c>
      <c r="I515" s="10" t="s">
        <v>55</v>
      </c>
      <c r="K515" s="10" t="s">
        <v>20570</v>
      </c>
      <c r="L515" s="10" t="s">
        <v>42</v>
      </c>
    </row>
    <row r="516" ht="15.75" customHeight="1">
      <c r="A516" s="64">
        <v>45422.0</v>
      </c>
      <c r="B516" s="55" t="str">
        <f>HYPERLINK("https://jobright.ai/jobs/info/666930fb32b5c01ae0397a25?utm_campaign=1064&amp;utm_source=sheet", "Apply")</f>
        <v>Apply</v>
      </c>
      <c r="C516" s="10" t="s">
        <v>20571</v>
      </c>
      <c r="D516" s="56" t="s">
        <v>1496</v>
      </c>
      <c r="E516" s="10" t="s">
        <v>45</v>
      </c>
      <c r="F516" s="10" t="s">
        <v>1497</v>
      </c>
      <c r="G516" s="10" t="s">
        <v>19595</v>
      </c>
      <c r="H516" s="10" t="s">
        <v>20572</v>
      </c>
      <c r="I516" s="10" t="s">
        <v>55</v>
      </c>
      <c r="K516" s="10" t="s">
        <v>20573</v>
      </c>
      <c r="L516" s="10" t="s">
        <v>42</v>
      </c>
    </row>
    <row r="517" ht="15.75" customHeight="1">
      <c r="A517" s="64">
        <v>45420.0</v>
      </c>
      <c r="B517" s="55" t="str">
        <f>HYPERLINK("https://jobright.ai/jobs/info/6669316232b5c01ae0398031?utm_campaign=1064&amp;utm_source=sheet", "Apply")</f>
        <v>Apply</v>
      </c>
      <c r="C517" s="10" t="s">
        <v>20574</v>
      </c>
      <c r="D517" s="56" t="s">
        <v>9182</v>
      </c>
      <c r="E517" s="10" t="s">
        <v>45</v>
      </c>
      <c r="F517" s="10" t="s">
        <v>9183</v>
      </c>
      <c r="G517" s="10" t="s">
        <v>19584</v>
      </c>
      <c r="H517" s="10" t="s">
        <v>20575</v>
      </c>
      <c r="I517" s="10" t="s">
        <v>55</v>
      </c>
      <c r="K517" s="10" t="s">
        <v>20576</v>
      </c>
      <c r="L517" s="10" t="s">
        <v>42</v>
      </c>
    </row>
    <row r="518" ht="15.75" customHeight="1">
      <c r="A518" s="64">
        <v>45419.0</v>
      </c>
      <c r="B518" s="55" t="str">
        <f>HYPERLINK("https://jobright.ai/jobs/info/6669316e32b5c01ae03980d0?utm_campaign=1064&amp;utm_source=sheet", "Apply")</f>
        <v>Apply</v>
      </c>
      <c r="C518" s="10" t="s">
        <v>20577</v>
      </c>
      <c r="D518" s="56" t="s">
        <v>1453</v>
      </c>
      <c r="E518" s="10" t="s">
        <v>45</v>
      </c>
      <c r="F518" s="10" t="s">
        <v>1454</v>
      </c>
      <c r="G518" s="10" t="s">
        <v>19584</v>
      </c>
      <c r="H518" s="10" t="s">
        <v>20578</v>
      </c>
      <c r="I518" s="10" t="s">
        <v>48</v>
      </c>
      <c r="K518" s="10" t="s">
        <v>20579</v>
      </c>
      <c r="L518" s="10" t="s">
        <v>42</v>
      </c>
    </row>
    <row r="519" ht="15.75" customHeight="1">
      <c r="A519" s="64">
        <v>45415.0</v>
      </c>
      <c r="B519" s="55" t="str">
        <f>HYPERLINK("https://jobright.ai/jobs/info/663463341d37a6d41b653099?utm_campaign=1064&amp;utm_source=sheet", "Apply")</f>
        <v>Apply</v>
      </c>
      <c r="C519" s="10" t="s">
        <v>20580</v>
      </c>
      <c r="D519" s="56" t="s">
        <v>20193</v>
      </c>
      <c r="E519" s="10" t="s">
        <v>276</v>
      </c>
      <c r="G519" s="10" t="s">
        <v>19595</v>
      </c>
      <c r="H519" s="10" t="s">
        <v>144</v>
      </c>
      <c r="I519" s="10" t="s">
        <v>55</v>
      </c>
      <c r="J519" s="10" t="s">
        <v>13738</v>
      </c>
      <c r="K519" s="10" t="s">
        <v>20581</v>
      </c>
      <c r="L519" s="10" t="s">
        <v>42</v>
      </c>
    </row>
    <row r="520" ht="15.75" customHeight="1">
      <c r="A520" s="64">
        <v>45414.0</v>
      </c>
      <c r="B520" s="55" t="str">
        <f>HYPERLINK("https://jobright.ai/jobs/info/663355baf375e3cac02cab00?utm_campaign=1064&amp;utm_source=sheet", "Apply")</f>
        <v>Apply</v>
      </c>
      <c r="C520" s="10" t="s">
        <v>20582</v>
      </c>
      <c r="D520" s="56" t="s">
        <v>20583</v>
      </c>
      <c r="E520" s="10" t="s">
        <v>249</v>
      </c>
      <c r="F520" s="10" t="s">
        <v>3662</v>
      </c>
      <c r="G520" s="10" t="s">
        <v>19587</v>
      </c>
      <c r="H520" s="10" t="s">
        <v>20584</v>
      </c>
      <c r="I520" s="10" t="s">
        <v>55</v>
      </c>
      <c r="K520" s="10" t="s">
        <v>20585</v>
      </c>
      <c r="L520" s="10" t="s">
        <v>42</v>
      </c>
    </row>
    <row r="521" ht="15.75" customHeight="1">
      <c r="A521" s="64">
        <v>45414.0</v>
      </c>
      <c r="B521" s="55" t="str">
        <f>HYPERLINK("https://jobright.ai/jobs/info/666940138f0265d34931b34f?utm_campaign=1064&amp;utm_source=sheet", "Apply")</f>
        <v>Apply</v>
      </c>
      <c r="C521" s="10" t="s">
        <v>20586</v>
      </c>
      <c r="D521" s="56" t="s">
        <v>9182</v>
      </c>
      <c r="E521" s="10" t="s">
        <v>45</v>
      </c>
      <c r="F521" s="10" t="s">
        <v>9183</v>
      </c>
      <c r="G521" s="10" t="s">
        <v>19587</v>
      </c>
      <c r="H521" s="10" t="s">
        <v>20587</v>
      </c>
      <c r="I521" s="10" t="s">
        <v>55</v>
      </c>
      <c r="K521" s="10" t="s">
        <v>20588</v>
      </c>
      <c r="L521" s="10" t="s">
        <v>42</v>
      </c>
    </row>
    <row r="522" ht="15.75" customHeight="1">
      <c r="A522" s="64"/>
      <c r="D522" s="56"/>
    </row>
    <row r="523" ht="15.75" customHeight="1">
      <c r="A523" s="64"/>
      <c r="D523" s="56"/>
    </row>
    <row r="524" ht="15.75" customHeight="1">
      <c r="A524" s="64"/>
      <c r="D524" s="56"/>
    </row>
    <row r="525" ht="15.75" customHeight="1">
      <c r="A525" s="64"/>
      <c r="D525" s="56"/>
    </row>
    <row r="526" ht="15.75" customHeight="1">
      <c r="A526" s="64"/>
      <c r="D526" s="56"/>
    </row>
    <row r="527" ht="15.75" customHeight="1">
      <c r="A527" s="64"/>
      <c r="D527" s="56"/>
    </row>
    <row r="528" ht="15.75" customHeight="1">
      <c r="A528" s="64"/>
      <c r="D528" s="56"/>
    </row>
    <row r="529" ht="15.75" customHeight="1">
      <c r="A529" s="64"/>
      <c r="D529" s="56"/>
    </row>
    <row r="530" ht="15.75" customHeight="1">
      <c r="A530" s="64"/>
      <c r="D530" s="56"/>
    </row>
    <row r="531" ht="15.75" customHeight="1">
      <c r="A531" s="64"/>
      <c r="D531" s="56"/>
    </row>
    <row r="532">
      <c r="A532" s="64"/>
      <c r="D532" s="56"/>
    </row>
    <row r="533">
      <c r="A533" s="64"/>
      <c r="D533" s="56"/>
    </row>
    <row r="534">
      <c r="A534" s="64"/>
      <c r="D534" s="56"/>
    </row>
    <row r="535">
      <c r="A535" s="64"/>
      <c r="D535" s="56"/>
    </row>
    <row r="536">
      <c r="A536" s="64"/>
      <c r="D536" s="56"/>
    </row>
    <row r="537">
      <c r="A537" s="64"/>
      <c r="D537" s="56"/>
    </row>
    <row r="538">
      <c r="A538" s="64"/>
      <c r="D538" s="56"/>
    </row>
    <row r="539">
      <c r="A539" s="64"/>
      <c r="D539" s="56"/>
    </row>
    <row r="540">
      <c r="A540" s="64"/>
      <c r="D540" s="56"/>
    </row>
    <row r="541">
      <c r="A541" s="64"/>
      <c r="D541" s="56"/>
    </row>
    <row r="542">
      <c r="A542" s="64"/>
      <c r="D542" s="56"/>
    </row>
    <row r="543">
      <c r="A543" s="64"/>
      <c r="D543" s="56"/>
    </row>
    <row r="544">
      <c r="A544" s="64"/>
      <c r="D544" s="56"/>
    </row>
    <row r="545">
      <c r="A545" s="64"/>
      <c r="D545" s="56"/>
    </row>
    <row r="546">
      <c r="A546" s="64"/>
      <c r="D546" s="56"/>
    </row>
    <row r="547">
      <c r="A547" s="64"/>
      <c r="D547" s="56"/>
    </row>
    <row r="548">
      <c r="A548" s="64"/>
      <c r="D548" s="56"/>
    </row>
    <row r="549">
      <c r="A549" s="64"/>
      <c r="D549" s="56"/>
    </row>
    <row r="550">
      <c r="A550" s="64"/>
      <c r="D550" s="56"/>
    </row>
    <row r="551">
      <c r="A551" s="64"/>
      <c r="D551" s="56"/>
    </row>
    <row r="552">
      <c r="A552" s="64"/>
      <c r="D552" s="56"/>
    </row>
    <row r="553">
      <c r="A553" s="64"/>
      <c r="D553" s="56"/>
    </row>
    <row r="554">
      <c r="A554" s="64"/>
      <c r="D554" s="56"/>
    </row>
    <row r="555">
      <c r="A555" s="64"/>
      <c r="D555" s="56"/>
    </row>
    <row r="556">
      <c r="A556" s="64"/>
      <c r="D556" s="56"/>
    </row>
    <row r="557">
      <c r="A557" s="64"/>
      <c r="D557" s="56"/>
    </row>
    <row r="558">
      <c r="A558" s="64"/>
      <c r="D558" s="56"/>
    </row>
    <row r="559">
      <c r="A559" s="64"/>
      <c r="D559" s="56"/>
    </row>
    <row r="560">
      <c r="A560" s="64"/>
      <c r="D560" s="56"/>
    </row>
    <row r="561">
      <c r="A561" s="64"/>
      <c r="D561" s="56"/>
    </row>
    <row r="562">
      <c r="A562" s="64"/>
      <c r="D562" s="56"/>
    </row>
    <row r="563">
      <c r="A563" s="64"/>
      <c r="D563" s="56"/>
    </row>
    <row r="564">
      <c r="A564" s="64"/>
      <c r="D564" s="56"/>
    </row>
    <row r="565">
      <c r="A565" s="64"/>
      <c r="D565" s="56"/>
    </row>
    <row r="566">
      <c r="A566" s="64"/>
      <c r="D566" s="56"/>
    </row>
    <row r="567">
      <c r="A567" s="64"/>
      <c r="D567" s="56"/>
    </row>
    <row r="568">
      <c r="A568" s="64"/>
      <c r="D568" s="56"/>
    </row>
    <row r="569">
      <c r="A569" s="64"/>
      <c r="D569" s="56"/>
    </row>
    <row r="570">
      <c r="A570" s="64"/>
      <c r="D570" s="56"/>
    </row>
    <row r="571">
      <c r="A571" s="64"/>
      <c r="D571" s="56"/>
    </row>
    <row r="572">
      <c r="A572" s="64"/>
      <c r="D572" s="56"/>
    </row>
    <row r="573">
      <c r="A573" s="64"/>
      <c r="D573" s="56"/>
    </row>
    <row r="574">
      <c r="A574" s="64"/>
      <c r="D574" s="56"/>
    </row>
    <row r="575">
      <c r="A575" s="66"/>
      <c r="D575" s="56"/>
    </row>
    <row r="576">
      <c r="A576" s="66"/>
      <c r="D576" s="56"/>
    </row>
    <row r="577">
      <c r="A577" s="66"/>
      <c r="D577" s="56"/>
    </row>
    <row r="578">
      <c r="A578" s="66"/>
      <c r="D578" s="56"/>
    </row>
    <row r="579">
      <c r="A579" s="66"/>
      <c r="D579" s="56"/>
    </row>
    <row r="580">
      <c r="A580" s="66"/>
      <c r="D580" s="63"/>
    </row>
    <row r="581">
      <c r="A581" s="66"/>
      <c r="D581" s="63"/>
    </row>
    <row r="582">
      <c r="A582" s="66"/>
      <c r="D582" s="63"/>
    </row>
    <row r="583">
      <c r="A583" s="66"/>
      <c r="D583" s="63"/>
    </row>
    <row r="584">
      <c r="A584" s="66"/>
      <c r="D584" s="63"/>
    </row>
    <row r="585">
      <c r="A585" s="66"/>
      <c r="D585" s="63"/>
    </row>
    <row r="586">
      <c r="A586" s="66"/>
      <c r="D586" s="63"/>
    </row>
    <row r="587">
      <c r="A587" s="66"/>
      <c r="D587" s="63"/>
    </row>
    <row r="588">
      <c r="A588" s="66"/>
      <c r="D588" s="63"/>
    </row>
    <row r="589">
      <c r="A589" s="66"/>
      <c r="D589" s="63"/>
    </row>
    <row r="590">
      <c r="A590" s="66"/>
      <c r="D590" s="63"/>
    </row>
    <row r="591">
      <c r="A591" s="66"/>
      <c r="D591" s="63"/>
    </row>
    <row r="592">
      <c r="A592" s="66"/>
      <c r="D592" s="63"/>
    </row>
    <row r="593">
      <c r="A593" s="66"/>
      <c r="D593" s="63"/>
    </row>
    <row r="594">
      <c r="A594" s="66"/>
      <c r="D594" s="63"/>
    </row>
    <row r="595">
      <c r="A595" s="66"/>
      <c r="D595" s="63"/>
    </row>
    <row r="596">
      <c r="A596" s="66"/>
      <c r="D596" s="63"/>
    </row>
    <row r="597">
      <c r="A597" s="66"/>
      <c r="D597" s="63"/>
    </row>
    <row r="598">
      <c r="A598" s="66"/>
      <c r="D598" s="63"/>
    </row>
    <row r="599">
      <c r="A599" s="66"/>
      <c r="D599" s="63"/>
    </row>
    <row r="600">
      <c r="A600" s="66"/>
      <c r="D600" s="63"/>
    </row>
    <row r="601">
      <c r="A601" s="66"/>
      <c r="D601" s="63"/>
    </row>
    <row r="602">
      <c r="A602" s="66"/>
      <c r="D602" s="63"/>
    </row>
    <row r="603">
      <c r="A603" s="66"/>
      <c r="D603" s="63"/>
    </row>
    <row r="604">
      <c r="A604" s="66"/>
      <c r="D604" s="63"/>
    </row>
    <row r="605">
      <c r="A605" s="66"/>
      <c r="D605" s="63"/>
    </row>
    <row r="606">
      <c r="A606" s="66"/>
      <c r="D606" s="63"/>
    </row>
    <row r="607">
      <c r="A607" s="66"/>
      <c r="D607" s="63"/>
    </row>
    <row r="608">
      <c r="A608" s="67"/>
      <c r="D608" s="63"/>
    </row>
    <row r="609">
      <c r="A609" s="67"/>
      <c r="D609" s="63"/>
    </row>
    <row r="610">
      <c r="A610" s="67"/>
      <c r="D610" s="63"/>
    </row>
    <row r="611">
      <c r="A611" s="67"/>
      <c r="D611" s="63"/>
    </row>
    <row r="612">
      <c r="A612" s="67"/>
      <c r="D612" s="63"/>
    </row>
    <row r="613">
      <c r="A613" s="67"/>
      <c r="D613" s="63"/>
    </row>
    <row r="614">
      <c r="A614" s="67"/>
      <c r="D614" s="63"/>
    </row>
    <row r="615">
      <c r="A615" s="67"/>
      <c r="D615" s="63"/>
    </row>
    <row r="616">
      <c r="A616" s="67"/>
      <c r="D616" s="63"/>
    </row>
    <row r="617">
      <c r="A617" s="67"/>
      <c r="D617" s="63"/>
    </row>
    <row r="618">
      <c r="A618" s="67"/>
      <c r="D618" s="63"/>
    </row>
    <row r="619">
      <c r="A619" s="67"/>
      <c r="D619" s="63"/>
    </row>
    <row r="620">
      <c r="A620" s="67"/>
      <c r="D620" s="63"/>
    </row>
    <row r="621">
      <c r="A621" s="67"/>
      <c r="D621" s="63"/>
    </row>
    <row r="622">
      <c r="A622" s="67"/>
      <c r="D622" s="63"/>
    </row>
    <row r="623">
      <c r="A623" s="67"/>
      <c r="D623" s="63"/>
    </row>
    <row r="624">
      <c r="A624" s="67"/>
      <c r="D624" s="63"/>
    </row>
    <row r="625">
      <c r="A625" s="67"/>
      <c r="D625" s="63"/>
    </row>
    <row r="626">
      <c r="A626" s="67"/>
      <c r="D626" s="63"/>
    </row>
    <row r="627">
      <c r="A627" s="67"/>
      <c r="D627" s="63"/>
    </row>
    <row r="628">
      <c r="A628" s="67"/>
      <c r="D628" s="63"/>
    </row>
    <row r="629">
      <c r="A629" s="67"/>
      <c r="D629" s="63"/>
    </row>
    <row r="630">
      <c r="A630" s="67"/>
      <c r="D630" s="63"/>
    </row>
    <row r="631">
      <c r="A631" s="67"/>
      <c r="D631" s="63"/>
    </row>
    <row r="632">
      <c r="A632" s="67"/>
      <c r="D632" s="63"/>
    </row>
    <row r="633">
      <c r="A633" s="67"/>
      <c r="D633" s="63"/>
    </row>
    <row r="634">
      <c r="A634" s="67"/>
      <c r="D634" s="63"/>
    </row>
    <row r="635">
      <c r="A635" s="67"/>
      <c r="D635" s="63"/>
    </row>
    <row r="636">
      <c r="A636" s="67"/>
      <c r="D636" s="63"/>
    </row>
    <row r="637">
      <c r="A637" s="67"/>
      <c r="D637" s="63"/>
    </row>
    <row r="638">
      <c r="A638" s="67"/>
      <c r="D638" s="63"/>
    </row>
    <row r="639">
      <c r="A639" s="67"/>
      <c r="D639" s="63"/>
    </row>
    <row r="640">
      <c r="A640" s="67"/>
      <c r="D640" s="63"/>
    </row>
    <row r="641">
      <c r="A641" s="67"/>
      <c r="D641" s="63"/>
    </row>
    <row r="642">
      <c r="A642" s="67"/>
      <c r="D642" s="63"/>
    </row>
    <row r="643">
      <c r="A643" s="67"/>
      <c r="D643" s="63"/>
    </row>
    <row r="644">
      <c r="A644" s="67"/>
      <c r="D644" s="63"/>
    </row>
    <row r="645">
      <c r="A645" s="67"/>
      <c r="D645" s="63"/>
    </row>
    <row r="646">
      <c r="A646" s="67"/>
      <c r="D646" s="63"/>
    </row>
    <row r="647">
      <c r="A647" s="67"/>
      <c r="D647" s="63"/>
    </row>
    <row r="648">
      <c r="A648" s="67"/>
      <c r="D648" s="63"/>
    </row>
    <row r="649">
      <c r="A649" s="67"/>
      <c r="D649" s="63"/>
    </row>
    <row r="650">
      <c r="A650" s="67"/>
      <c r="D650" s="63"/>
    </row>
    <row r="651">
      <c r="A651" s="67"/>
      <c r="D651" s="63"/>
    </row>
    <row r="652">
      <c r="A652" s="67"/>
      <c r="D652" s="63"/>
    </row>
    <row r="653">
      <c r="A653" s="67"/>
      <c r="D653" s="63"/>
    </row>
    <row r="654">
      <c r="A654" s="67"/>
      <c r="D654" s="63"/>
    </row>
    <row r="655">
      <c r="A655" s="67"/>
      <c r="D655" s="63"/>
    </row>
    <row r="656">
      <c r="A656" s="67"/>
      <c r="D656" s="63"/>
    </row>
    <row r="657">
      <c r="A657" s="67"/>
      <c r="D657" s="63"/>
    </row>
    <row r="658">
      <c r="A658" s="67"/>
      <c r="D658" s="63"/>
    </row>
    <row r="659">
      <c r="A659" s="67"/>
      <c r="D659" s="63"/>
    </row>
    <row r="660">
      <c r="A660" s="67"/>
      <c r="D660" s="63"/>
    </row>
    <row r="661">
      <c r="A661" s="67"/>
      <c r="D661" s="63"/>
    </row>
    <row r="662">
      <c r="A662" s="67"/>
      <c r="D662" s="63"/>
    </row>
    <row r="663">
      <c r="A663" s="67"/>
      <c r="D663" s="63"/>
    </row>
    <row r="664">
      <c r="A664" s="67"/>
      <c r="D664" s="63"/>
    </row>
    <row r="665">
      <c r="A665" s="67"/>
      <c r="D665" s="63"/>
    </row>
    <row r="666">
      <c r="A666" s="67"/>
      <c r="D666" s="63"/>
    </row>
    <row r="667">
      <c r="A667" s="67"/>
      <c r="D667" s="63"/>
    </row>
    <row r="668">
      <c r="A668" s="67"/>
      <c r="D668" s="63"/>
    </row>
    <row r="669">
      <c r="A669" s="67"/>
      <c r="D669" s="63"/>
    </row>
    <row r="670">
      <c r="A670" s="67"/>
      <c r="D670" s="63"/>
    </row>
    <row r="671">
      <c r="A671" s="67"/>
      <c r="D671" s="63"/>
    </row>
    <row r="672">
      <c r="A672" s="67"/>
      <c r="D672" s="63"/>
    </row>
    <row r="673">
      <c r="A673" s="67"/>
      <c r="D673" s="63"/>
    </row>
    <row r="674">
      <c r="A674" s="67"/>
      <c r="D674" s="63"/>
    </row>
    <row r="675">
      <c r="A675" s="67"/>
      <c r="D675" s="63"/>
    </row>
    <row r="676">
      <c r="A676" s="67"/>
      <c r="D676" s="63"/>
    </row>
    <row r="677">
      <c r="A677" s="67"/>
      <c r="D677" s="63"/>
    </row>
    <row r="678">
      <c r="A678" s="67"/>
      <c r="D678" s="63"/>
    </row>
    <row r="679">
      <c r="A679" s="67"/>
      <c r="D679" s="63"/>
    </row>
    <row r="680">
      <c r="A680" s="67"/>
      <c r="D680" s="63"/>
    </row>
    <row r="681">
      <c r="A681" s="67"/>
      <c r="D681" s="63"/>
    </row>
    <row r="682">
      <c r="A682" s="68"/>
      <c r="D682" s="63"/>
    </row>
    <row r="683">
      <c r="A683" s="68"/>
      <c r="D683" s="63"/>
    </row>
    <row r="684">
      <c r="A684" s="68"/>
      <c r="D684" s="63"/>
    </row>
    <row r="685">
      <c r="A685" s="68"/>
      <c r="D685" s="63"/>
    </row>
    <row r="686">
      <c r="A686" s="68"/>
      <c r="D686" s="63"/>
    </row>
    <row r="687">
      <c r="A687" s="68"/>
      <c r="D687" s="63"/>
    </row>
    <row r="688">
      <c r="A688" s="68"/>
      <c r="D688" s="63"/>
    </row>
    <row r="689">
      <c r="A689" s="68"/>
      <c r="D689" s="63"/>
    </row>
    <row r="690">
      <c r="A690" s="68"/>
      <c r="D690" s="63"/>
    </row>
    <row r="691">
      <c r="A691" s="68"/>
      <c r="D691" s="63"/>
    </row>
    <row r="692">
      <c r="A692" s="68"/>
      <c r="D692" s="63"/>
    </row>
    <row r="693">
      <c r="A693" s="68"/>
      <c r="D693" s="63"/>
    </row>
    <row r="694">
      <c r="A694" s="68"/>
      <c r="D694" s="63"/>
    </row>
    <row r="695">
      <c r="A695" s="68"/>
      <c r="D695" s="63"/>
    </row>
    <row r="696">
      <c r="A696" s="68"/>
      <c r="D696" s="63"/>
    </row>
    <row r="697">
      <c r="A697" s="64"/>
      <c r="D697" s="63"/>
    </row>
    <row r="698">
      <c r="A698" s="64"/>
      <c r="D698" s="63"/>
    </row>
    <row r="699">
      <c r="A699" s="64"/>
      <c r="D699" s="63"/>
    </row>
    <row r="700">
      <c r="A700" s="64"/>
      <c r="D700" s="63"/>
    </row>
    <row r="701">
      <c r="A701" s="64"/>
      <c r="D701" s="63"/>
    </row>
    <row r="702">
      <c r="A702" s="64"/>
      <c r="D702" s="63"/>
    </row>
    <row r="703">
      <c r="A703" s="64"/>
      <c r="D703" s="63"/>
    </row>
    <row r="704">
      <c r="A704" s="64"/>
      <c r="D704" s="63"/>
    </row>
    <row r="705">
      <c r="A705" s="64"/>
      <c r="D705" s="63"/>
    </row>
    <row r="706">
      <c r="A706" s="64"/>
      <c r="D706" s="63"/>
    </row>
    <row r="707">
      <c r="A707" s="64"/>
      <c r="D707" s="63"/>
    </row>
    <row r="708">
      <c r="A708" s="64"/>
      <c r="D708" s="63"/>
    </row>
    <row r="709">
      <c r="A709" s="64"/>
      <c r="D709" s="63"/>
    </row>
    <row r="710">
      <c r="A710" s="64"/>
      <c r="D710" s="63"/>
    </row>
    <row r="711">
      <c r="A711" s="64"/>
      <c r="D711" s="63"/>
    </row>
    <row r="712">
      <c r="A712" s="64"/>
      <c r="D712" s="63"/>
    </row>
    <row r="713">
      <c r="A713" s="64"/>
      <c r="D713" s="63"/>
    </row>
    <row r="714">
      <c r="A714" s="64"/>
      <c r="D714" s="63"/>
    </row>
    <row r="715">
      <c r="A715" s="64"/>
      <c r="D715" s="63"/>
    </row>
    <row r="716">
      <c r="A716" s="64"/>
      <c r="D716" s="63"/>
    </row>
    <row r="717">
      <c r="A717" s="64"/>
      <c r="D717" s="63"/>
    </row>
    <row r="718">
      <c r="A718" s="64"/>
      <c r="D718" s="63"/>
    </row>
    <row r="719">
      <c r="A719" s="64"/>
      <c r="D719" s="63"/>
    </row>
    <row r="720">
      <c r="A720" s="64"/>
      <c r="D720" s="63"/>
    </row>
    <row r="721">
      <c r="A721" s="66"/>
      <c r="D721" s="63"/>
    </row>
    <row r="722">
      <c r="A722" s="66"/>
      <c r="D722" s="63"/>
    </row>
    <row r="723">
      <c r="A723" s="66"/>
      <c r="D723" s="63"/>
    </row>
    <row r="724">
      <c r="A724" s="66"/>
      <c r="D724" s="63"/>
    </row>
    <row r="725">
      <c r="A725" s="66"/>
      <c r="D725" s="63"/>
    </row>
    <row r="726">
      <c r="A726" s="66"/>
      <c r="D726" s="63"/>
    </row>
    <row r="727">
      <c r="A727" s="66"/>
      <c r="D727" s="63"/>
    </row>
    <row r="728">
      <c r="A728" s="66"/>
      <c r="D728" s="63"/>
    </row>
    <row r="729">
      <c r="A729" s="64"/>
      <c r="D729" s="63"/>
    </row>
    <row r="730">
      <c r="A730" s="64"/>
      <c r="D730" s="63"/>
    </row>
    <row r="731">
      <c r="A731" s="64"/>
      <c r="D731" s="63"/>
    </row>
    <row r="732">
      <c r="A732" s="64"/>
      <c r="D732" s="63"/>
    </row>
    <row r="733">
      <c r="A733" s="64"/>
      <c r="D733" s="63"/>
    </row>
    <row r="734">
      <c r="A734" s="64"/>
      <c r="D734" s="63"/>
    </row>
    <row r="735">
      <c r="A735" s="64"/>
      <c r="D735" s="63"/>
    </row>
    <row r="736">
      <c r="A736" s="64"/>
      <c r="D736" s="63"/>
    </row>
    <row r="737">
      <c r="A737" s="66"/>
      <c r="D737" s="63"/>
    </row>
    <row r="738">
      <c r="A738" s="66"/>
      <c r="D738" s="63"/>
    </row>
    <row r="739">
      <c r="A739" s="66"/>
      <c r="D739" s="63"/>
    </row>
    <row r="740">
      <c r="A740" s="66"/>
      <c r="D740" s="63"/>
    </row>
    <row r="741">
      <c r="A741" s="66"/>
      <c r="D741" s="63"/>
    </row>
    <row r="742">
      <c r="A742" s="66"/>
      <c r="D742" s="63"/>
    </row>
    <row r="743">
      <c r="A743" s="64"/>
      <c r="D743" s="63"/>
    </row>
    <row r="744">
      <c r="A744" s="64"/>
      <c r="D744" s="63"/>
    </row>
    <row r="745">
      <c r="A745" s="64"/>
      <c r="D745" s="63"/>
    </row>
    <row r="746">
      <c r="A746" s="64"/>
      <c r="D746" s="63"/>
    </row>
    <row r="747">
      <c r="A747" s="64"/>
      <c r="D747" s="63"/>
    </row>
    <row r="748">
      <c r="A748" s="64"/>
      <c r="D748" s="63"/>
    </row>
    <row r="749">
      <c r="A749" s="66"/>
      <c r="D749" s="63"/>
    </row>
    <row r="750">
      <c r="A750" s="66"/>
      <c r="D750" s="63"/>
    </row>
    <row r="751">
      <c r="A751" s="66"/>
      <c r="D751" s="63"/>
    </row>
    <row r="752">
      <c r="A752" s="66"/>
      <c r="D752" s="63"/>
    </row>
    <row r="753">
      <c r="A753" s="64"/>
      <c r="D753" s="63"/>
    </row>
    <row r="754">
      <c r="A754" s="64"/>
      <c r="D754" s="63"/>
    </row>
    <row r="755">
      <c r="A755" s="64"/>
      <c r="D755" s="63"/>
    </row>
    <row r="756">
      <c r="A756" s="64"/>
      <c r="D756" s="63"/>
    </row>
    <row r="757">
      <c r="A757" s="64"/>
      <c r="D757" s="63"/>
    </row>
    <row r="758">
      <c r="A758" s="64"/>
      <c r="D758" s="63"/>
    </row>
    <row r="759">
      <c r="A759" s="64"/>
      <c r="D759" s="63"/>
    </row>
    <row r="760">
      <c r="A760" s="64"/>
      <c r="D760" s="63"/>
    </row>
    <row r="761">
      <c r="D761" s="63"/>
      <c r="F761" s="70"/>
    </row>
    <row r="762">
      <c r="D762" s="63"/>
      <c r="F762" s="70"/>
    </row>
    <row r="763">
      <c r="D763" s="63"/>
      <c r="F763" s="70"/>
    </row>
    <row r="764">
      <c r="D764" s="63"/>
      <c r="F764" s="70"/>
    </row>
    <row r="765">
      <c r="D765" s="63"/>
      <c r="F765" s="70"/>
    </row>
    <row r="766">
      <c r="D766" s="63"/>
      <c r="F766" s="70"/>
    </row>
    <row r="767">
      <c r="D767" s="63"/>
      <c r="F767" s="70"/>
    </row>
    <row r="768">
      <c r="D768" s="63"/>
      <c r="F768" s="70"/>
    </row>
    <row r="769">
      <c r="D769" s="63"/>
      <c r="F769" s="70"/>
    </row>
    <row r="770">
      <c r="D770" s="63"/>
      <c r="F770" s="70"/>
    </row>
    <row r="771">
      <c r="D771" s="63"/>
      <c r="F771" s="70"/>
    </row>
    <row r="772">
      <c r="D772" s="63"/>
      <c r="F772" s="70"/>
    </row>
    <row r="773">
      <c r="D773" s="63"/>
      <c r="F773" s="70"/>
    </row>
    <row r="774">
      <c r="D774" s="63"/>
      <c r="F774" s="70"/>
    </row>
    <row r="775">
      <c r="D775" s="63"/>
      <c r="F775" s="70"/>
    </row>
    <row r="776">
      <c r="D776" s="63"/>
      <c r="F776" s="70"/>
    </row>
    <row r="777">
      <c r="D777" s="63"/>
      <c r="F777" s="66"/>
    </row>
    <row r="778">
      <c r="D778" s="63"/>
      <c r="F778" s="64"/>
    </row>
    <row r="779">
      <c r="D779" s="63"/>
      <c r="F779" s="64"/>
    </row>
    <row r="780">
      <c r="D780" s="63"/>
      <c r="F780" s="64"/>
    </row>
    <row r="781">
      <c r="D781" s="63"/>
      <c r="F781" s="64"/>
    </row>
    <row r="782">
      <c r="D782" s="63"/>
      <c r="F782" s="64"/>
    </row>
    <row r="783">
      <c r="D783" s="63"/>
      <c r="F783" s="64"/>
    </row>
    <row r="784">
      <c r="D784" s="63"/>
      <c r="F784" s="64"/>
    </row>
    <row r="785">
      <c r="D785" s="63"/>
      <c r="F785" s="64"/>
    </row>
    <row r="786">
      <c r="D786" s="63"/>
      <c r="F786" s="64"/>
    </row>
    <row r="787">
      <c r="D787" s="63"/>
      <c r="F787" s="66"/>
    </row>
    <row r="788">
      <c r="D788" s="63"/>
      <c r="F788" s="66"/>
    </row>
    <row r="789">
      <c r="D789" s="63"/>
      <c r="F789" s="66"/>
    </row>
    <row r="790">
      <c r="D790" s="63"/>
      <c r="F790" s="66"/>
    </row>
    <row r="791">
      <c r="D791" s="63"/>
      <c r="F791" s="66"/>
    </row>
    <row r="792">
      <c r="D792" s="63"/>
      <c r="F792" s="66"/>
    </row>
    <row r="793">
      <c r="D793" s="63"/>
      <c r="F793" s="64"/>
    </row>
    <row r="794">
      <c r="D794" s="63"/>
      <c r="F794" s="64"/>
    </row>
    <row r="795">
      <c r="D795" s="63"/>
      <c r="F795" s="64"/>
    </row>
    <row r="796">
      <c r="D796" s="63"/>
      <c r="F796" s="64"/>
    </row>
    <row r="797">
      <c r="D797" s="63"/>
      <c r="F797" s="64"/>
    </row>
    <row r="798">
      <c r="D798" s="63"/>
      <c r="F798" s="64"/>
    </row>
    <row r="799">
      <c r="D799" s="63"/>
      <c r="F799" s="66"/>
    </row>
    <row r="800">
      <c r="D800" s="63"/>
      <c r="F800" s="66"/>
    </row>
    <row r="801">
      <c r="D801" s="63"/>
      <c r="F801" s="66"/>
    </row>
    <row r="802">
      <c r="D802" s="63"/>
      <c r="F802" s="66"/>
    </row>
    <row r="803">
      <c r="D803" s="63"/>
      <c r="F803" s="64"/>
    </row>
    <row r="804">
      <c r="D804" s="63"/>
      <c r="F804" s="64"/>
    </row>
    <row r="805">
      <c r="D805" s="63"/>
      <c r="F805" s="64"/>
    </row>
    <row r="806">
      <c r="D806" s="63"/>
      <c r="F806" s="64"/>
    </row>
    <row r="807">
      <c r="D807" s="63"/>
      <c r="F807" s="64"/>
    </row>
    <row r="808">
      <c r="D808" s="63"/>
      <c r="F808" s="64"/>
    </row>
    <row r="809">
      <c r="D809" s="63"/>
      <c r="F809" s="64"/>
    </row>
    <row r="810">
      <c r="D810" s="63"/>
      <c r="F810" s="64"/>
    </row>
    <row r="811">
      <c r="D811" s="63"/>
      <c r="F811" s="64"/>
    </row>
    <row r="812">
      <c r="D812" s="63"/>
      <c r="F812" s="64"/>
    </row>
    <row r="813">
      <c r="D813" s="63"/>
      <c r="F813" s="64"/>
    </row>
    <row r="814">
      <c r="D814" s="63"/>
      <c r="F814" s="64"/>
    </row>
    <row r="815">
      <c r="D815" s="63"/>
      <c r="F815" s="64"/>
    </row>
    <row r="816">
      <c r="D816" s="63"/>
      <c r="F816" s="64"/>
    </row>
    <row r="817">
      <c r="D817" s="63"/>
      <c r="F817" s="64"/>
    </row>
    <row r="818">
      <c r="D818" s="63"/>
      <c r="F818" s="71"/>
    </row>
    <row r="819">
      <c r="D819" s="63"/>
      <c r="F819" s="71"/>
    </row>
    <row r="820">
      <c r="D820" s="63"/>
      <c r="F820" s="71"/>
    </row>
    <row r="821">
      <c r="D821" s="63"/>
      <c r="F821" s="71"/>
    </row>
    <row r="822">
      <c r="D822" s="63"/>
      <c r="F822" s="71"/>
    </row>
    <row r="823">
      <c r="D823" s="63"/>
      <c r="F823" s="71"/>
    </row>
    <row r="824">
      <c r="D824" s="63"/>
      <c r="F824" s="71"/>
    </row>
    <row r="825">
      <c r="D825" s="63"/>
      <c r="F825" s="71"/>
    </row>
    <row r="826">
      <c r="D826" s="63"/>
      <c r="F826" s="71"/>
    </row>
    <row r="827">
      <c r="D827" s="63"/>
      <c r="F827" s="71"/>
    </row>
    <row r="828">
      <c r="D828" s="63"/>
    </row>
    <row r="829">
      <c r="D829" s="63"/>
    </row>
    <row r="830">
      <c r="D830" s="63"/>
    </row>
    <row r="831">
      <c r="D831" s="63"/>
    </row>
    <row r="832">
      <c r="D832" s="63"/>
    </row>
    <row r="833">
      <c r="D833" s="63"/>
    </row>
    <row r="834">
      <c r="D834" s="63"/>
    </row>
    <row r="835">
      <c r="D835" s="63"/>
    </row>
    <row r="836">
      <c r="D836" s="63"/>
    </row>
    <row r="837">
      <c r="D837" s="63"/>
    </row>
    <row r="838">
      <c r="D838" s="63"/>
    </row>
    <row r="839">
      <c r="D839" s="63"/>
    </row>
    <row r="840">
      <c r="D840" s="63"/>
    </row>
    <row r="841">
      <c r="D841" s="63"/>
    </row>
    <row r="842">
      <c r="D842" s="63"/>
    </row>
    <row r="843">
      <c r="D843" s="63"/>
    </row>
    <row r="844">
      <c r="D844" s="63"/>
    </row>
    <row r="845">
      <c r="D845" s="63"/>
    </row>
    <row r="846">
      <c r="D846" s="63"/>
    </row>
    <row r="847">
      <c r="D847" s="63"/>
    </row>
    <row r="848">
      <c r="D848" s="63"/>
    </row>
    <row r="849">
      <c r="D849" s="63"/>
    </row>
    <row r="850">
      <c r="D850" s="63"/>
    </row>
    <row r="851">
      <c r="D851" s="63"/>
    </row>
    <row r="852">
      <c r="D852" s="63"/>
    </row>
    <row r="853">
      <c r="D853" s="63"/>
    </row>
    <row r="854">
      <c r="D854" s="63"/>
    </row>
    <row r="855">
      <c r="D855" s="63"/>
    </row>
    <row r="856">
      <c r="D856" s="63"/>
    </row>
    <row r="857">
      <c r="D857" s="63"/>
    </row>
    <row r="858">
      <c r="D858" s="63"/>
    </row>
    <row r="859">
      <c r="D859" s="63"/>
    </row>
    <row r="860">
      <c r="D860" s="63"/>
    </row>
    <row r="861">
      <c r="D861" s="63"/>
    </row>
    <row r="862">
      <c r="D862" s="63"/>
    </row>
    <row r="863">
      <c r="D863" s="63"/>
    </row>
    <row r="864">
      <c r="D864" s="63"/>
    </row>
    <row r="865">
      <c r="D865" s="63"/>
    </row>
    <row r="866">
      <c r="D866" s="63"/>
    </row>
    <row r="867">
      <c r="D867" s="63"/>
    </row>
    <row r="868">
      <c r="D868" s="63"/>
    </row>
    <row r="869">
      <c r="D869" s="63"/>
    </row>
    <row r="870">
      <c r="D870" s="63"/>
    </row>
    <row r="871">
      <c r="D871" s="63"/>
    </row>
    <row r="872">
      <c r="D872" s="63"/>
    </row>
    <row r="873">
      <c r="D873" s="63"/>
    </row>
    <row r="874">
      <c r="D874" s="63"/>
    </row>
    <row r="875">
      <c r="D875" s="63"/>
    </row>
    <row r="876">
      <c r="D876" s="63"/>
    </row>
    <row r="877">
      <c r="D877" s="63"/>
    </row>
    <row r="878">
      <c r="D878" s="63"/>
    </row>
    <row r="879">
      <c r="D879" s="63"/>
    </row>
    <row r="880">
      <c r="D880" s="63"/>
    </row>
    <row r="881">
      <c r="D881" s="63"/>
    </row>
    <row r="882">
      <c r="D882" s="63"/>
    </row>
    <row r="883">
      <c r="D883" s="63"/>
    </row>
    <row r="884">
      <c r="D884" s="63"/>
    </row>
    <row r="885">
      <c r="D885" s="63"/>
    </row>
    <row r="886">
      <c r="D886" s="63"/>
    </row>
    <row r="887">
      <c r="D887" s="63"/>
    </row>
    <row r="888">
      <c r="D888" s="63"/>
    </row>
    <row r="889">
      <c r="D889" s="63"/>
    </row>
    <row r="890">
      <c r="D890" s="63"/>
    </row>
    <row r="891">
      <c r="D891" s="63"/>
    </row>
    <row r="892">
      <c r="D892" s="63"/>
    </row>
    <row r="893">
      <c r="D893" s="63"/>
    </row>
    <row r="894">
      <c r="D894" s="63"/>
    </row>
    <row r="895">
      <c r="D895" s="63"/>
    </row>
    <row r="896">
      <c r="D896" s="63"/>
    </row>
    <row r="897">
      <c r="D897" s="63"/>
    </row>
    <row r="898">
      <c r="D898" s="63"/>
    </row>
    <row r="899">
      <c r="D899" s="63"/>
    </row>
    <row r="900">
      <c r="D900" s="63"/>
    </row>
    <row r="901">
      <c r="D901" s="63"/>
    </row>
    <row r="902">
      <c r="D902" s="63"/>
    </row>
    <row r="903">
      <c r="D903" s="63"/>
    </row>
    <row r="904">
      <c r="D904" s="63"/>
    </row>
    <row r="905">
      <c r="D905" s="63"/>
    </row>
    <row r="906">
      <c r="D906" s="63"/>
    </row>
    <row r="907">
      <c r="D907" s="63"/>
    </row>
    <row r="908">
      <c r="D908" s="63"/>
    </row>
    <row r="909">
      <c r="D909" s="63"/>
    </row>
    <row r="910">
      <c r="D910" s="63"/>
    </row>
    <row r="911">
      <c r="D911" s="63"/>
    </row>
    <row r="912">
      <c r="D912" s="63"/>
    </row>
    <row r="913">
      <c r="D913" s="63"/>
    </row>
    <row r="914">
      <c r="D914" s="63"/>
    </row>
    <row r="915">
      <c r="D915" s="63"/>
    </row>
    <row r="916">
      <c r="D916" s="63"/>
    </row>
    <row r="917">
      <c r="D917" s="63"/>
    </row>
    <row r="918">
      <c r="D918" s="63"/>
    </row>
    <row r="919">
      <c r="D919" s="63"/>
    </row>
    <row r="920">
      <c r="D920" s="63"/>
    </row>
    <row r="921">
      <c r="D921" s="63"/>
    </row>
    <row r="922">
      <c r="D922" s="63"/>
    </row>
    <row r="923">
      <c r="D923" s="63"/>
    </row>
    <row r="924">
      <c r="D924" s="63"/>
    </row>
    <row r="925">
      <c r="D925" s="63"/>
    </row>
    <row r="926">
      <c r="D926" s="63"/>
    </row>
    <row r="927">
      <c r="D927" s="63"/>
    </row>
    <row r="928">
      <c r="D928" s="63"/>
    </row>
    <row r="929">
      <c r="D929" s="63"/>
    </row>
    <row r="930">
      <c r="D930" s="63"/>
    </row>
    <row r="931">
      <c r="D931" s="63"/>
    </row>
    <row r="932">
      <c r="D932" s="63"/>
    </row>
    <row r="933">
      <c r="D933" s="63"/>
    </row>
    <row r="934">
      <c r="D934" s="63"/>
    </row>
    <row r="935">
      <c r="D935" s="63"/>
    </row>
    <row r="936">
      <c r="D936" s="63"/>
    </row>
    <row r="937">
      <c r="D937" s="63"/>
    </row>
    <row r="938">
      <c r="D938" s="63"/>
    </row>
    <row r="939">
      <c r="D939" s="63"/>
    </row>
    <row r="940">
      <c r="D940" s="63"/>
    </row>
    <row r="941">
      <c r="D941" s="63"/>
    </row>
    <row r="942">
      <c r="D942" s="63"/>
    </row>
    <row r="943">
      <c r="D943" s="63"/>
    </row>
    <row r="944">
      <c r="D944" s="63"/>
    </row>
    <row r="945">
      <c r="D945" s="63"/>
    </row>
    <row r="946">
      <c r="D946" s="63"/>
    </row>
    <row r="947">
      <c r="D947" s="63"/>
    </row>
    <row r="948">
      <c r="D948" s="63"/>
    </row>
    <row r="949">
      <c r="D949" s="63"/>
    </row>
    <row r="950">
      <c r="D950" s="63"/>
    </row>
    <row r="951">
      <c r="D951" s="63"/>
    </row>
    <row r="952">
      <c r="D952" s="63"/>
    </row>
    <row r="953">
      <c r="D953" s="63"/>
    </row>
    <row r="954">
      <c r="D954" s="63"/>
    </row>
    <row r="955">
      <c r="D955" s="63"/>
    </row>
    <row r="956">
      <c r="D956" s="63"/>
    </row>
    <row r="957">
      <c r="D957" s="63"/>
    </row>
    <row r="958">
      <c r="D958" s="63"/>
    </row>
    <row r="959">
      <c r="D959" s="63"/>
    </row>
    <row r="960">
      <c r="D960" s="63"/>
    </row>
    <row r="961">
      <c r="D961" s="63"/>
    </row>
    <row r="962">
      <c r="D962" s="63"/>
    </row>
    <row r="963">
      <c r="D963" s="63"/>
    </row>
    <row r="964">
      <c r="D964" s="63"/>
    </row>
    <row r="965">
      <c r="D965" s="63"/>
    </row>
    <row r="966">
      <c r="D966" s="63"/>
    </row>
    <row r="967">
      <c r="D967" s="63"/>
    </row>
    <row r="968">
      <c r="D968" s="63"/>
    </row>
    <row r="969">
      <c r="D969" s="63"/>
    </row>
    <row r="970">
      <c r="D970" s="63"/>
    </row>
    <row r="971">
      <c r="D971" s="63"/>
    </row>
    <row r="972">
      <c r="D972" s="63"/>
    </row>
    <row r="973">
      <c r="D973" s="63"/>
    </row>
    <row r="974">
      <c r="D974" s="63"/>
    </row>
    <row r="975">
      <c r="D975" s="63"/>
    </row>
    <row r="976">
      <c r="D976" s="63"/>
    </row>
    <row r="977">
      <c r="D977" s="63"/>
    </row>
    <row r="978">
      <c r="D978" s="63"/>
    </row>
    <row r="979">
      <c r="D979" s="63"/>
    </row>
    <row r="980">
      <c r="D980" s="63"/>
    </row>
    <row r="981">
      <c r="D981" s="63"/>
    </row>
    <row r="982">
      <c r="D982" s="63"/>
    </row>
    <row r="983">
      <c r="D983" s="63"/>
    </row>
    <row r="984">
      <c r="D984" s="63"/>
    </row>
    <row r="985">
      <c r="D985" s="63"/>
    </row>
    <row r="986">
      <c r="D986" s="63"/>
    </row>
    <row r="987">
      <c r="D987" s="63"/>
    </row>
    <row r="988">
      <c r="D988" s="63"/>
    </row>
    <row r="989">
      <c r="D989" s="63"/>
    </row>
    <row r="990">
      <c r="D990" s="63"/>
    </row>
    <row r="991">
      <c r="D991" s="63"/>
    </row>
    <row r="992">
      <c r="D992" s="63"/>
    </row>
    <row r="993">
      <c r="D993" s="63"/>
    </row>
    <row r="994">
      <c r="D994" s="63"/>
    </row>
    <row r="995">
      <c r="D995" s="63"/>
    </row>
    <row r="996">
      <c r="D996" s="63"/>
    </row>
    <row r="997">
      <c r="D997" s="63"/>
    </row>
    <row r="998">
      <c r="D998" s="63"/>
    </row>
    <row r="999">
      <c r="D999" s="63"/>
    </row>
    <row r="1000">
      <c r="D1000" s="63"/>
    </row>
  </sheetData>
  <autoFilter ref="$A$1:$J$531"/>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4">
        <v>45500.0</v>
      </c>
      <c r="B2" s="55" t="str">
        <f>HYPERLINK("https://jobright.ai/jobs/info/66a46a443d73b8ffff0c4220?utm_campaign=1058&amp;utm_source=sheet", "Apply")</f>
        <v>Apply</v>
      </c>
      <c r="C2" s="10" t="s">
        <v>20589</v>
      </c>
      <c r="D2" s="56" t="s">
        <v>20590</v>
      </c>
      <c r="E2" s="10" t="s">
        <v>249</v>
      </c>
      <c r="F2" s="10" t="s">
        <v>20591</v>
      </c>
      <c r="G2" s="10" t="s">
        <v>20592</v>
      </c>
      <c r="H2" s="10" t="s">
        <v>188</v>
      </c>
      <c r="I2" s="10" t="s">
        <v>55</v>
      </c>
      <c r="K2" s="10" t="s">
        <v>20593</v>
      </c>
      <c r="L2" s="10" t="s">
        <v>42</v>
      </c>
    </row>
    <row r="3" ht="15.75" customHeight="1">
      <c r="A3" s="66">
        <v>45500.0</v>
      </c>
      <c r="B3" s="55" t="str">
        <f>HYPERLINK("https://jobright.ai/jobs/info/66a460725493e4914e93f41c?utm_campaign=1058&amp;utm_source=sheet", "Apply")</f>
        <v>Apply</v>
      </c>
      <c r="C3" s="10" t="s">
        <v>20594</v>
      </c>
      <c r="D3" s="56" t="s">
        <v>20595</v>
      </c>
      <c r="E3" s="10" t="s">
        <v>45</v>
      </c>
      <c r="F3" s="10" t="s">
        <v>3811</v>
      </c>
      <c r="G3" s="10" t="s">
        <v>20592</v>
      </c>
      <c r="H3" s="10" t="s">
        <v>17809</v>
      </c>
      <c r="I3" s="10" t="s">
        <v>55</v>
      </c>
      <c r="K3" s="10" t="s">
        <v>20596</v>
      </c>
      <c r="L3" s="10" t="s">
        <v>42</v>
      </c>
    </row>
    <row r="4" ht="15.75" customHeight="1">
      <c r="A4" s="66">
        <v>45500.0</v>
      </c>
      <c r="B4" s="55" t="str">
        <f>HYPERLINK("https://jobright.ai/jobs/info/66a460625493e4914e93f31e?utm_campaign=1058&amp;utm_source=sheet", "Apply")</f>
        <v>Apply</v>
      </c>
      <c r="C4" s="10" t="s">
        <v>20597</v>
      </c>
      <c r="D4" s="56" t="s">
        <v>20598</v>
      </c>
      <c r="E4" s="10">
        <v>3.0</v>
      </c>
      <c r="G4" s="10" t="s">
        <v>20592</v>
      </c>
      <c r="H4" s="10" t="s">
        <v>20599</v>
      </c>
      <c r="I4" s="10" t="s">
        <v>55</v>
      </c>
      <c r="J4" s="10" t="s">
        <v>14835</v>
      </c>
      <c r="K4" s="10" t="s">
        <v>20600</v>
      </c>
      <c r="L4" s="10" t="s">
        <v>42</v>
      </c>
    </row>
    <row r="5" ht="15.75" customHeight="1">
      <c r="A5" s="66">
        <v>45500.0</v>
      </c>
      <c r="B5" s="55" t="str">
        <f>HYPERLINK("https://jobright.ai/jobs/info/66a460725493e4914e93f41e?utm_campaign=1058&amp;utm_source=sheet", "Apply")</f>
        <v>Apply</v>
      </c>
      <c r="C5" s="10" t="s">
        <v>20594</v>
      </c>
      <c r="D5" s="56" t="s">
        <v>20595</v>
      </c>
      <c r="E5" s="10" t="s">
        <v>45</v>
      </c>
      <c r="F5" s="10" t="s">
        <v>3811</v>
      </c>
      <c r="G5" s="10" t="s">
        <v>20592</v>
      </c>
      <c r="H5" s="10" t="s">
        <v>20601</v>
      </c>
      <c r="I5" s="10" t="s">
        <v>55</v>
      </c>
      <c r="K5" s="10" t="s">
        <v>20596</v>
      </c>
      <c r="L5" s="10" t="s">
        <v>42</v>
      </c>
    </row>
    <row r="6" ht="15.75" customHeight="1">
      <c r="A6" s="66">
        <v>45500.0</v>
      </c>
      <c r="B6" s="55" t="str">
        <f>HYPERLINK("https://jobright.ai/jobs/info/66a45d622cbd0428278b1232?utm_campaign=1058&amp;utm_source=sheet", "Apply")</f>
        <v>Apply</v>
      </c>
      <c r="C6" s="10" t="s">
        <v>20594</v>
      </c>
      <c r="D6" s="56" t="s">
        <v>20595</v>
      </c>
      <c r="E6" s="10" t="s">
        <v>45</v>
      </c>
      <c r="F6" s="10" t="s">
        <v>3811</v>
      </c>
      <c r="G6" s="10" t="s">
        <v>20592</v>
      </c>
      <c r="H6" s="10" t="s">
        <v>17764</v>
      </c>
      <c r="I6" s="10" t="s">
        <v>55</v>
      </c>
      <c r="K6" s="10" t="s">
        <v>20596</v>
      </c>
      <c r="L6" s="10" t="s">
        <v>42</v>
      </c>
    </row>
    <row r="7" ht="15.75" customHeight="1">
      <c r="A7" s="66">
        <v>45500.0</v>
      </c>
      <c r="B7" s="55" t="str">
        <f>HYPERLINK("https://jobright.ai/jobs/info/66a46586d3c950e558a8aea8?utm_campaign=1058&amp;utm_source=sheet", "Apply")</f>
        <v>Apply</v>
      </c>
      <c r="C7" s="10" t="s">
        <v>20594</v>
      </c>
      <c r="D7" s="56" t="s">
        <v>20595</v>
      </c>
      <c r="E7" s="10" t="s">
        <v>45</v>
      </c>
      <c r="F7" s="10" t="s">
        <v>3811</v>
      </c>
      <c r="G7" s="10" t="s">
        <v>20592</v>
      </c>
      <c r="H7" s="10" t="s">
        <v>20602</v>
      </c>
      <c r="I7" s="10" t="s">
        <v>55</v>
      </c>
      <c r="K7" s="10" t="s">
        <v>20596</v>
      </c>
      <c r="L7" s="10" t="s">
        <v>42</v>
      </c>
    </row>
    <row r="8" ht="15.75" customHeight="1">
      <c r="A8" s="66">
        <v>45500.0</v>
      </c>
      <c r="B8" s="55" t="str">
        <f>HYPERLINK("https://jobright.ai/jobs/info/66a4545d35221a64f9014665?utm_campaign=1058&amp;utm_source=sheet", "Apply")</f>
        <v>Apply</v>
      </c>
      <c r="C8" s="10" t="s">
        <v>20594</v>
      </c>
      <c r="D8" s="56" t="s">
        <v>20595</v>
      </c>
      <c r="E8" s="10" t="s">
        <v>45</v>
      </c>
      <c r="F8" s="10" t="s">
        <v>3811</v>
      </c>
      <c r="G8" s="10" t="s">
        <v>20592</v>
      </c>
      <c r="H8" s="10" t="s">
        <v>20603</v>
      </c>
      <c r="I8" s="10" t="s">
        <v>55</v>
      </c>
      <c r="K8" s="10" t="s">
        <v>20596</v>
      </c>
      <c r="L8" s="10" t="s">
        <v>42</v>
      </c>
    </row>
    <row r="9" ht="15.75" customHeight="1">
      <c r="A9" s="66">
        <v>45500.0</v>
      </c>
      <c r="B9" s="55" t="str">
        <f>HYPERLINK("https://jobright.ai/jobs/info/66a4545d35221a64f9014669?utm_campaign=1058&amp;utm_source=sheet", "Apply")</f>
        <v>Apply</v>
      </c>
      <c r="C9" s="10" t="s">
        <v>20594</v>
      </c>
      <c r="D9" s="56" t="s">
        <v>20595</v>
      </c>
      <c r="E9" s="10" t="s">
        <v>45</v>
      </c>
      <c r="F9" s="10" t="s">
        <v>3811</v>
      </c>
      <c r="G9" s="10" t="s">
        <v>20592</v>
      </c>
      <c r="H9" s="10" t="s">
        <v>20604</v>
      </c>
      <c r="I9" s="10" t="s">
        <v>55</v>
      </c>
      <c r="K9" s="10" t="s">
        <v>20596</v>
      </c>
      <c r="L9" s="10" t="s">
        <v>42</v>
      </c>
    </row>
    <row r="10" ht="15.75" customHeight="1">
      <c r="A10" s="66">
        <v>45499.0</v>
      </c>
      <c r="B10" s="55" t="str">
        <f>HYPERLINK("https://jobright.ai/jobs/info/66a431388d3eebff0ac37878?utm_campaign=1058&amp;utm_source=sheet", "Apply")</f>
        <v>Apply</v>
      </c>
      <c r="C10" s="10" t="s">
        <v>20605</v>
      </c>
      <c r="D10" s="56" t="s">
        <v>20606</v>
      </c>
      <c r="E10" s="10" t="s">
        <v>276</v>
      </c>
      <c r="F10" s="10" t="s">
        <v>1506</v>
      </c>
      <c r="G10" s="10" t="s">
        <v>20592</v>
      </c>
      <c r="H10" s="10" t="s">
        <v>19065</v>
      </c>
      <c r="I10" s="10" t="s">
        <v>55</v>
      </c>
      <c r="K10" s="10" t="s">
        <v>20607</v>
      </c>
      <c r="L10" s="10" t="s">
        <v>42</v>
      </c>
    </row>
    <row r="11" ht="15.75" customHeight="1">
      <c r="A11" s="66">
        <v>45499.0</v>
      </c>
      <c r="B11" s="55" t="str">
        <f>HYPERLINK("https://jobright.ai/jobs/info/66a42dac2e54ed503b6ca291?utm_campaign=1058&amp;utm_source=sheet", "Apply")</f>
        <v>Apply</v>
      </c>
      <c r="C11" s="10" t="s">
        <v>20608</v>
      </c>
      <c r="D11" s="56" t="s">
        <v>14498</v>
      </c>
      <c r="E11" s="10" t="s">
        <v>79</v>
      </c>
      <c r="F11" s="10" t="s">
        <v>14499</v>
      </c>
      <c r="G11" s="10" t="s">
        <v>20609</v>
      </c>
      <c r="H11" s="10" t="s">
        <v>251</v>
      </c>
      <c r="I11" s="10" t="s">
        <v>252</v>
      </c>
      <c r="J11" s="10" t="s">
        <v>1729</v>
      </c>
      <c r="K11" s="10" t="s">
        <v>20610</v>
      </c>
      <c r="L11" s="10" t="s">
        <v>42</v>
      </c>
    </row>
    <row r="12" ht="15.75" customHeight="1">
      <c r="A12" s="66">
        <v>45499.0</v>
      </c>
      <c r="B12" s="55" t="str">
        <f>HYPERLINK("https://jobright.ai/jobs/info/66a442d8408fbcb850a86da2?utm_campaign=1058&amp;utm_source=sheet", "Apply")</f>
        <v>Apply</v>
      </c>
      <c r="C12" s="10" t="s">
        <v>20611</v>
      </c>
      <c r="D12" s="56" t="s">
        <v>11095</v>
      </c>
      <c r="E12" s="10" t="s">
        <v>45</v>
      </c>
      <c r="F12" s="10" t="s">
        <v>11096</v>
      </c>
      <c r="G12" s="10" t="s">
        <v>20592</v>
      </c>
      <c r="H12" s="10" t="s">
        <v>20612</v>
      </c>
      <c r="I12" s="10" t="s">
        <v>55</v>
      </c>
      <c r="J12" s="10" t="s">
        <v>1165</v>
      </c>
      <c r="K12" s="10" t="s">
        <v>20613</v>
      </c>
      <c r="L12" s="10" t="s">
        <v>42</v>
      </c>
    </row>
    <row r="13" ht="15.75" customHeight="1">
      <c r="A13" s="66">
        <v>45499.0</v>
      </c>
      <c r="B13" s="55" t="str">
        <f>HYPERLINK("https://jobright.ai/jobs/info/66a4307d299cb8484b231cae?utm_campaign=1058&amp;utm_source=sheet", "Apply")</f>
        <v>Apply</v>
      </c>
      <c r="C13" s="10" t="s">
        <v>20611</v>
      </c>
      <c r="D13" s="56" t="s">
        <v>11095</v>
      </c>
      <c r="E13" s="10" t="s">
        <v>45</v>
      </c>
      <c r="F13" s="10" t="s">
        <v>11096</v>
      </c>
      <c r="G13" s="10" t="s">
        <v>20592</v>
      </c>
      <c r="H13" s="10" t="s">
        <v>20614</v>
      </c>
      <c r="I13" s="10" t="s">
        <v>55</v>
      </c>
      <c r="J13" s="10" t="s">
        <v>1165</v>
      </c>
      <c r="K13" s="10" t="s">
        <v>20613</v>
      </c>
      <c r="L13" s="10" t="s">
        <v>42</v>
      </c>
    </row>
    <row r="14" ht="15.75" customHeight="1">
      <c r="A14" s="66">
        <v>45499.0</v>
      </c>
      <c r="B14" s="55" t="str">
        <f>HYPERLINK("https://jobright.ai/jobs/info/66a4314b8d3eebff0ac37a62?utm_campaign=1058&amp;utm_source=sheet", "Apply")</f>
        <v>Apply</v>
      </c>
      <c r="C14" s="10" t="s">
        <v>20615</v>
      </c>
      <c r="D14" s="56" t="s">
        <v>20616</v>
      </c>
      <c r="E14" s="10" t="s">
        <v>45</v>
      </c>
      <c r="F14" s="10" t="s">
        <v>6432</v>
      </c>
      <c r="G14" s="10" t="s">
        <v>20592</v>
      </c>
      <c r="H14" s="10" t="s">
        <v>152</v>
      </c>
      <c r="I14" s="10" t="s">
        <v>55</v>
      </c>
      <c r="K14" s="10" t="s">
        <v>20617</v>
      </c>
      <c r="L14" s="10" t="s">
        <v>42</v>
      </c>
    </row>
    <row r="15" ht="15.75" customHeight="1">
      <c r="A15" s="66">
        <v>45499.0</v>
      </c>
      <c r="B15" s="55" t="str">
        <f>HYPERLINK("https://jobright.ai/jobs/info/66a431e14e8ee49f8dc76a3c?utm_campaign=1058&amp;utm_source=sheet", "Apply")</f>
        <v>Apply</v>
      </c>
      <c r="C15" s="10" t="s">
        <v>20618</v>
      </c>
      <c r="D15" s="56" t="s">
        <v>20619</v>
      </c>
      <c r="E15" s="10" t="s">
        <v>276</v>
      </c>
      <c r="G15" s="10" t="s">
        <v>20609</v>
      </c>
      <c r="H15" s="10" t="s">
        <v>4292</v>
      </c>
      <c r="I15" s="10" t="s">
        <v>55</v>
      </c>
      <c r="J15" s="10" t="s">
        <v>20620</v>
      </c>
      <c r="K15" s="10" t="s">
        <v>20621</v>
      </c>
      <c r="L15" s="10" t="s">
        <v>42</v>
      </c>
    </row>
    <row r="16" ht="15.75" customHeight="1">
      <c r="A16" s="66">
        <v>45499.0</v>
      </c>
      <c r="B16" s="55" t="str">
        <f>HYPERLINK("https://jobright.ai/jobs/info/66a4275fe04bd1eb8f643cbd?utm_campaign=1058&amp;utm_source=sheet", "Apply")</f>
        <v>Apply</v>
      </c>
      <c r="C16" s="10" t="s">
        <v>20622</v>
      </c>
      <c r="D16" s="56" t="s">
        <v>20623</v>
      </c>
      <c r="E16" s="10" t="s">
        <v>45</v>
      </c>
      <c r="F16" s="10" t="s">
        <v>2409</v>
      </c>
      <c r="G16" s="10" t="s">
        <v>20624</v>
      </c>
      <c r="H16" s="10" t="s">
        <v>1041</v>
      </c>
      <c r="I16" s="10" t="s">
        <v>55</v>
      </c>
      <c r="K16" s="10" t="s">
        <v>20625</v>
      </c>
      <c r="L16" s="10" t="s">
        <v>42</v>
      </c>
    </row>
    <row r="17" ht="15.75" customHeight="1">
      <c r="A17" s="66">
        <v>45499.0</v>
      </c>
      <c r="B17" s="55" t="str">
        <f>HYPERLINK("https://jobright.ai/jobs/info/66a420605660965e6b312394?utm_campaign=1058&amp;utm_source=sheet", "Apply")</f>
        <v>Apply</v>
      </c>
      <c r="C17" s="10" t="s">
        <v>20626</v>
      </c>
      <c r="D17" s="56" t="s">
        <v>2548</v>
      </c>
      <c r="E17" s="10" t="s">
        <v>45</v>
      </c>
      <c r="F17" s="10" t="s">
        <v>2549</v>
      </c>
      <c r="G17" s="10" t="s">
        <v>20609</v>
      </c>
      <c r="H17" s="10" t="s">
        <v>628</v>
      </c>
      <c r="I17" s="10" t="s">
        <v>48</v>
      </c>
      <c r="K17" s="10" t="s">
        <v>20627</v>
      </c>
      <c r="L17" s="10" t="s">
        <v>42</v>
      </c>
    </row>
    <row r="18" ht="15.75" customHeight="1">
      <c r="A18" s="66">
        <v>45499.0</v>
      </c>
      <c r="B18" s="55" t="str">
        <f>HYPERLINK("https://jobright.ai/jobs/info/66a420605660965e6b312397?utm_campaign=1058&amp;utm_source=sheet", "Apply")</f>
        <v>Apply</v>
      </c>
      <c r="C18" s="10" t="s">
        <v>20628</v>
      </c>
      <c r="D18" s="56" t="s">
        <v>20629</v>
      </c>
      <c r="E18" s="10" t="s">
        <v>209</v>
      </c>
      <c r="F18" s="10" t="s">
        <v>20630</v>
      </c>
      <c r="G18" s="10" t="s">
        <v>20592</v>
      </c>
      <c r="H18" s="10" t="s">
        <v>791</v>
      </c>
      <c r="I18" s="10" t="s">
        <v>55</v>
      </c>
      <c r="J18" s="10" t="s">
        <v>2555</v>
      </c>
      <c r="K18" s="10" t="s">
        <v>20631</v>
      </c>
      <c r="L18" s="10" t="s">
        <v>42</v>
      </c>
    </row>
    <row r="19" ht="15.75" customHeight="1">
      <c r="A19" s="66">
        <v>45499.0</v>
      </c>
      <c r="B19" s="55" t="str">
        <f>HYPERLINK("https://jobright.ai/jobs/info/66a3fd65d61cea1521a46e45?utm_campaign=1058&amp;utm_source=sheet", "Apply")</f>
        <v>Apply</v>
      </c>
      <c r="C19" s="10" t="s">
        <v>20632</v>
      </c>
      <c r="D19" s="56" t="s">
        <v>20633</v>
      </c>
      <c r="G19" s="10" t="s">
        <v>20624</v>
      </c>
      <c r="H19" s="10" t="s">
        <v>723</v>
      </c>
      <c r="I19" s="10" t="s">
        <v>55</v>
      </c>
      <c r="J19" s="10" t="s">
        <v>9875</v>
      </c>
      <c r="K19" s="10" t="s">
        <v>20634</v>
      </c>
      <c r="L19" s="10" t="s">
        <v>42</v>
      </c>
    </row>
    <row r="20" ht="15.75" customHeight="1">
      <c r="A20" s="66">
        <v>45499.0</v>
      </c>
      <c r="B20" s="55" t="str">
        <f>HYPERLINK("https://jobright.ai/jobs/info/66a3ef3d87fb29a0df318f10?utm_campaign=1058&amp;utm_source=sheet", "Apply")</f>
        <v>Apply</v>
      </c>
      <c r="C20" s="10" t="s">
        <v>20635</v>
      </c>
      <c r="D20" s="56" t="s">
        <v>20636</v>
      </c>
      <c r="E20" s="10" t="s">
        <v>137</v>
      </c>
      <c r="F20" s="10" t="s">
        <v>20637</v>
      </c>
      <c r="G20" s="10" t="s">
        <v>20592</v>
      </c>
      <c r="H20" s="10" t="s">
        <v>1696</v>
      </c>
      <c r="I20" s="10" t="s">
        <v>55</v>
      </c>
      <c r="K20" s="10" t="s">
        <v>20638</v>
      </c>
      <c r="L20" s="10" t="s">
        <v>42</v>
      </c>
    </row>
    <row r="21" ht="15.75" customHeight="1">
      <c r="A21" s="66">
        <v>45499.0</v>
      </c>
      <c r="B21" s="55" t="str">
        <f>HYPERLINK("https://jobright.ai/jobs/info/66a3e85cb020465e7d35cc25?utm_campaign=1058&amp;utm_source=sheet", "Apply")</f>
        <v>Apply</v>
      </c>
      <c r="C21" s="10" t="s">
        <v>20639</v>
      </c>
      <c r="D21" s="56" t="s">
        <v>20640</v>
      </c>
      <c r="E21" s="10">
        <v>92.0</v>
      </c>
      <c r="G21" s="10" t="s">
        <v>20592</v>
      </c>
      <c r="H21" s="10" t="s">
        <v>20641</v>
      </c>
      <c r="I21" s="10" t="s">
        <v>55</v>
      </c>
      <c r="K21" s="10" t="s">
        <v>20642</v>
      </c>
      <c r="L21" s="10" t="s">
        <v>42</v>
      </c>
    </row>
    <row r="22" ht="15.75" customHeight="1">
      <c r="A22" s="66">
        <v>45499.0</v>
      </c>
      <c r="B22" s="55" t="str">
        <f>HYPERLINK("https://jobright.ai/jobs/info/66a3ef8387fb29a0df31951d?utm_campaign=1058&amp;utm_source=sheet", "Apply")</f>
        <v>Apply</v>
      </c>
      <c r="C22" s="10" t="s">
        <v>20643</v>
      </c>
      <c r="D22" s="56" t="s">
        <v>20644</v>
      </c>
      <c r="E22" s="10" t="s">
        <v>45</v>
      </c>
      <c r="F22" s="10" t="s">
        <v>20645</v>
      </c>
      <c r="G22" s="10" t="s">
        <v>20592</v>
      </c>
      <c r="H22" s="10" t="s">
        <v>20646</v>
      </c>
      <c r="I22" s="10" t="s">
        <v>55</v>
      </c>
      <c r="K22" s="10" t="s">
        <v>20647</v>
      </c>
      <c r="L22" s="10" t="s">
        <v>42</v>
      </c>
    </row>
    <row r="23" ht="15.75" customHeight="1">
      <c r="A23" s="66">
        <v>45499.0</v>
      </c>
      <c r="B23" s="55" t="str">
        <f>HYPERLINK("https://jobright.ai/jobs/info/66a3e18cfa1e56eccb8f567c?utm_campaign=1058&amp;utm_source=sheet", "Apply")</f>
        <v>Apply</v>
      </c>
      <c r="C23" s="10" t="s">
        <v>20643</v>
      </c>
      <c r="D23" s="56" t="s">
        <v>20644</v>
      </c>
      <c r="E23" s="10" t="s">
        <v>45</v>
      </c>
      <c r="F23" s="10" t="s">
        <v>20645</v>
      </c>
      <c r="G23" s="10" t="s">
        <v>20592</v>
      </c>
      <c r="H23" s="10" t="s">
        <v>18957</v>
      </c>
      <c r="I23" s="10" t="s">
        <v>55</v>
      </c>
      <c r="K23" s="10" t="s">
        <v>20647</v>
      </c>
      <c r="L23" s="10" t="s">
        <v>42</v>
      </c>
    </row>
    <row r="24" ht="15.75" customHeight="1">
      <c r="A24" s="66">
        <v>45499.0</v>
      </c>
      <c r="B24" s="55" t="str">
        <f>HYPERLINK("https://jobright.ai/jobs/info/66a3f4e35fcbfa8457ce1416?utm_campaign=1058&amp;utm_source=sheet", "Apply")</f>
        <v>Apply</v>
      </c>
      <c r="C24" s="10" t="s">
        <v>20648</v>
      </c>
      <c r="D24" s="56" t="s">
        <v>20649</v>
      </c>
      <c r="E24" s="10">
        <v>235.0</v>
      </c>
      <c r="G24" s="10" t="s">
        <v>20609</v>
      </c>
      <c r="H24" s="10" t="s">
        <v>965</v>
      </c>
      <c r="I24" s="10" t="s">
        <v>55</v>
      </c>
      <c r="J24" s="10" t="s">
        <v>20650</v>
      </c>
      <c r="K24" s="10" t="s">
        <v>20651</v>
      </c>
      <c r="L24" s="10" t="s">
        <v>42</v>
      </c>
    </row>
    <row r="25" ht="15.75" customHeight="1">
      <c r="A25" s="66">
        <v>45499.0</v>
      </c>
      <c r="B25" s="55" t="str">
        <f>HYPERLINK("https://jobright.ai/jobs/info/66a3a02410c4de85bf475e2e?utm_campaign=1058&amp;utm_source=sheet", "Apply")</f>
        <v>Apply</v>
      </c>
      <c r="C25" s="10" t="s">
        <v>20611</v>
      </c>
      <c r="D25" s="56" t="s">
        <v>11095</v>
      </c>
      <c r="E25" s="10" t="s">
        <v>45</v>
      </c>
      <c r="F25" s="10" t="s">
        <v>11096</v>
      </c>
      <c r="G25" s="10" t="s">
        <v>20592</v>
      </c>
      <c r="H25" s="10" t="s">
        <v>20652</v>
      </c>
      <c r="I25" s="10" t="s">
        <v>55</v>
      </c>
      <c r="J25" s="10" t="s">
        <v>1165</v>
      </c>
      <c r="K25" s="10" t="s">
        <v>20613</v>
      </c>
      <c r="L25" s="10" t="s">
        <v>42</v>
      </c>
    </row>
    <row r="26" ht="15.75" customHeight="1">
      <c r="A26" s="66">
        <v>45499.0</v>
      </c>
      <c r="B26" s="55" t="str">
        <f>HYPERLINK("https://jobright.ai/jobs/info/66a3b1d9cc8f335cd486c4f6?utm_campaign=1058&amp;utm_source=sheet", "Apply")</f>
        <v>Apply</v>
      </c>
      <c r="C26" s="10" t="s">
        <v>20653</v>
      </c>
      <c r="D26" s="56" t="s">
        <v>18547</v>
      </c>
      <c r="E26" s="10" t="s">
        <v>45</v>
      </c>
      <c r="F26" s="10" t="s">
        <v>1266</v>
      </c>
      <c r="G26" s="10" t="s">
        <v>20624</v>
      </c>
      <c r="H26" s="10" t="s">
        <v>4627</v>
      </c>
      <c r="I26" s="10" t="s">
        <v>55</v>
      </c>
      <c r="K26" s="10" t="s">
        <v>20654</v>
      </c>
      <c r="L26" s="10" t="s">
        <v>42</v>
      </c>
    </row>
    <row r="27" ht="15.75" customHeight="1">
      <c r="A27" s="66">
        <v>45499.0</v>
      </c>
      <c r="B27" s="55" t="str">
        <f>HYPERLINK("https://jobright.ai/jobs/info/66a3b1e2cc8f335cd486c5b4?utm_campaign=1058&amp;utm_source=sheet", "Apply")</f>
        <v>Apply</v>
      </c>
      <c r="C27" s="10" t="s">
        <v>20655</v>
      </c>
      <c r="D27" s="56" t="s">
        <v>1388</v>
      </c>
      <c r="E27" s="10" t="s">
        <v>71</v>
      </c>
      <c r="F27" s="10" t="s">
        <v>1389</v>
      </c>
      <c r="G27" s="10" t="s">
        <v>20609</v>
      </c>
      <c r="H27" s="10" t="s">
        <v>958</v>
      </c>
      <c r="I27" s="10" t="s">
        <v>55</v>
      </c>
      <c r="K27" s="10" t="s">
        <v>20656</v>
      </c>
      <c r="L27" s="10" t="s">
        <v>42</v>
      </c>
    </row>
    <row r="28" ht="15.75" customHeight="1">
      <c r="A28" s="66">
        <v>45499.0</v>
      </c>
      <c r="B28" s="55" t="str">
        <f>HYPERLINK("https://jobright.ai/jobs/info/66a393bdb64c538c2cb5846b?utm_campaign=1058&amp;utm_source=sheet", "Apply")</f>
        <v>Apply</v>
      </c>
      <c r="C28" s="10" t="s">
        <v>20657</v>
      </c>
      <c r="D28" s="56" t="s">
        <v>20623</v>
      </c>
      <c r="E28" s="10" t="s">
        <v>45</v>
      </c>
      <c r="F28" s="10" t="s">
        <v>2409</v>
      </c>
      <c r="G28" s="10" t="s">
        <v>20624</v>
      </c>
      <c r="H28" s="10" t="s">
        <v>1041</v>
      </c>
      <c r="I28" s="10" t="s">
        <v>55</v>
      </c>
      <c r="K28" s="10" t="s">
        <v>20658</v>
      </c>
      <c r="L28" s="10" t="s">
        <v>42</v>
      </c>
    </row>
    <row r="29" ht="15.75" customHeight="1">
      <c r="A29" s="66">
        <v>45499.0</v>
      </c>
      <c r="B29" s="55" t="str">
        <f>HYPERLINK("https://jobright.ai/jobs/info/664de0840790ade97e15e9a2?utm_campaign=1058&amp;utm_source=sheet", "Apply")</f>
        <v>Apply</v>
      </c>
      <c r="C29" s="10" t="s">
        <v>20659</v>
      </c>
      <c r="D29" s="56" t="s">
        <v>20660</v>
      </c>
      <c r="E29" s="10" t="s">
        <v>209</v>
      </c>
      <c r="F29" s="10" t="s">
        <v>19187</v>
      </c>
      <c r="G29" s="10" t="s">
        <v>20592</v>
      </c>
      <c r="H29" s="10" t="s">
        <v>3634</v>
      </c>
      <c r="I29" s="10" t="s">
        <v>55</v>
      </c>
      <c r="K29" s="10" t="s">
        <v>20661</v>
      </c>
      <c r="L29" s="10" t="s">
        <v>42</v>
      </c>
    </row>
    <row r="30" ht="15.75" customHeight="1">
      <c r="A30" s="66">
        <v>45499.0</v>
      </c>
      <c r="B30" s="55" t="str">
        <f>HYPERLINK("https://jobright.ai/jobs/info/664de04f0790ade97e15e547?utm_campaign=1058&amp;utm_source=sheet", "Apply")</f>
        <v>Apply</v>
      </c>
      <c r="C30" s="10" t="s">
        <v>20662</v>
      </c>
      <c r="D30" s="56" t="s">
        <v>5854</v>
      </c>
      <c r="E30" s="10" t="s">
        <v>209</v>
      </c>
      <c r="F30" s="10" t="s">
        <v>1695</v>
      </c>
      <c r="G30" s="10" t="s">
        <v>20624</v>
      </c>
      <c r="H30" s="10" t="s">
        <v>860</v>
      </c>
      <c r="I30" s="10" t="s">
        <v>55</v>
      </c>
      <c r="K30" s="10" t="s">
        <v>6065</v>
      </c>
      <c r="L30" s="10" t="s">
        <v>42</v>
      </c>
    </row>
    <row r="31" ht="15.75" customHeight="1">
      <c r="A31" s="66">
        <v>45499.0</v>
      </c>
      <c r="B31" s="55" t="str">
        <f>HYPERLINK("https://jobright.ai/jobs/info/6675e1b3e95c1a0a225b9032?utm_campaign=1058&amp;utm_source=sheet", "Apply")</f>
        <v>Apply</v>
      </c>
      <c r="C31" s="10" t="s">
        <v>20611</v>
      </c>
      <c r="D31" s="56" t="s">
        <v>11095</v>
      </c>
      <c r="E31" s="10" t="s">
        <v>45</v>
      </c>
      <c r="F31" s="10" t="s">
        <v>11096</v>
      </c>
      <c r="G31" s="10" t="s">
        <v>20592</v>
      </c>
      <c r="H31" s="10" t="s">
        <v>20663</v>
      </c>
      <c r="I31" s="10" t="s">
        <v>55</v>
      </c>
      <c r="J31" s="10" t="s">
        <v>20664</v>
      </c>
      <c r="K31" s="10" t="s">
        <v>20613</v>
      </c>
      <c r="L31" s="10" t="s">
        <v>42</v>
      </c>
    </row>
    <row r="32" ht="15.75" customHeight="1">
      <c r="A32" s="66">
        <v>45499.0</v>
      </c>
      <c r="B32" s="55" t="str">
        <f>HYPERLINK("https://jobright.ai/jobs/info/667d79087f52fab5a9ba2689?utm_campaign=1058&amp;utm_source=sheet", "Apply")</f>
        <v>Apply</v>
      </c>
      <c r="C32" s="10" t="s">
        <v>20665</v>
      </c>
      <c r="D32" s="56" t="s">
        <v>20666</v>
      </c>
      <c r="E32" s="10" t="s">
        <v>209</v>
      </c>
      <c r="F32" s="10" t="s">
        <v>20667</v>
      </c>
      <c r="G32" s="10" t="s">
        <v>20624</v>
      </c>
      <c r="H32" s="10" t="s">
        <v>411</v>
      </c>
      <c r="I32" s="10" t="s">
        <v>55</v>
      </c>
      <c r="K32" s="10" t="s">
        <v>20668</v>
      </c>
      <c r="L32" s="10" t="s">
        <v>42</v>
      </c>
    </row>
    <row r="33" ht="15.75" customHeight="1">
      <c r="A33" s="66">
        <v>45499.0</v>
      </c>
      <c r="B33" s="55" t="str">
        <f>HYPERLINK("https://jobright.ai/jobs/info/668a89e6f1daf4dd47884121?utm_campaign=1058&amp;utm_source=sheet", "Apply")</f>
        <v>Apply</v>
      </c>
      <c r="C33" s="10" t="s">
        <v>20611</v>
      </c>
      <c r="D33" s="56" t="s">
        <v>11095</v>
      </c>
      <c r="E33" s="10" t="s">
        <v>45</v>
      </c>
      <c r="F33" s="10" t="s">
        <v>11096</v>
      </c>
      <c r="G33" s="10" t="s">
        <v>20592</v>
      </c>
      <c r="H33" s="10" t="s">
        <v>835</v>
      </c>
      <c r="I33" s="10" t="s">
        <v>55</v>
      </c>
      <c r="J33" s="10" t="s">
        <v>20664</v>
      </c>
      <c r="K33" s="10" t="s">
        <v>20613</v>
      </c>
      <c r="L33" s="10" t="s">
        <v>42</v>
      </c>
    </row>
    <row r="34" ht="15.75" customHeight="1">
      <c r="A34" s="66">
        <v>45499.0</v>
      </c>
      <c r="B34" s="55" t="str">
        <f>HYPERLINK("https://jobright.ai/jobs/info/668688b99db87c158112a805?utm_campaign=1058&amp;utm_source=sheet", "Apply")</f>
        <v>Apply</v>
      </c>
      <c r="C34" s="10" t="s">
        <v>20669</v>
      </c>
      <c r="D34" s="56" t="s">
        <v>20670</v>
      </c>
      <c r="E34" s="10" t="s">
        <v>45</v>
      </c>
      <c r="F34" s="10" t="s">
        <v>7760</v>
      </c>
      <c r="G34" s="10" t="s">
        <v>20624</v>
      </c>
      <c r="H34" s="10" t="s">
        <v>3042</v>
      </c>
      <c r="I34" s="10" t="s">
        <v>55</v>
      </c>
      <c r="K34" s="10" t="s">
        <v>20671</v>
      </c>
      <c r="L34" s="10" t="s">
        <v>42</v>
      </c>
    </row>
    <row r="35" ht="15.75" customHeight="1">
      <c r="A35" s="66">
        <v>45499.0</v>
      </c>
      <c r="B35" s="55" t="str">
        <f>HYPERLINK("https://jobright.ai/jobs/info/6677b8ec9c2d9fa5bf08966b?utm_campaign=1058&amp;utm_source=sheet", "Apply")</f>
        <v>Apply</v>
      </c>
      <c r="C35" s="10" t="s">
        <v>20672</v>
      </c>
      <c r="D35" s="56" t="s">
        <v>20660</v>
      </c>
      <c r="E35" s="10" t="s">
        <v>209</v>
      </c>
      <c r="F35" s="10" t="s">
        <v>19187</v>
      </c>
      <c r="G35" s="10" t="s">
        <v>20592</v>
      </c>
      <c r="H35" s="10" t="s">
        <v>167</v>
      </c>
      <c r="I35" s="10" t="s">
        <v>55</v>
      </c>
      <c r="K35" s="10" t="s">
        <v>20673</v>
      </c>
      <c r="L35" s="10" t="s">
        <v>42</v>
      </c>
    </row>
    <row r="36" ht="15.75" customHeight="1">
      <c r="A36" s="66">
        <v>45499.0</v>
      </c>
      <c r="B36" s="55" t="str">
        <f>HYPERLINK("https://jobright.ai/jobs/info/6677e7238edbb3fe78f317c9?utm_campaign=1058&amp;utm_source=sheet", "Apply")</f>
        <v>Apply</v>
      </c>
      <c r="C36" s="10" t="s">
        <v>20674</v>
      </c>
      <c r="D36" s="56" t="s">
        <v>20675</v>
      </c>
      <c r="E36" s="10" t="s">
        <v>45</v>
      </c>
      <c r="F36" s="10" t="s">
        <v>20676</v>
      </c>
      <c r="G36" s="10" t="s">
        <v>20592</v>
      </c>
      <c r="H36" s="10" t="s">
        <v>20677</v>
      </c>
      <c r="I36" s="10" t="s">
        <v>55</v>
      </c>
      <c r="J36" s="10" t="s">
        <v>20678</v>
      </c>
      <c r="K36" s="10" t="s">
        <v>20679</v>
      </c>
      <c r="L36" s="10" t="s">
        <v>42</v>
      </c>
    </row>
    <row r="37" ht="15.75" customHeight="1">
      <c r="A37" s="66">
        <v>45499.0</v>
      </c>
      <c r="B37" s="55" t="str">
        <f>HYPERLINK("https://jobright.ai/jobs/info/66a3363c04b256a198cb56bf?utm_campaign=1058&amp;utm_source=sheet", "Apply")</f>
        <v>Apply</v>
      </c>
      <c r="C37" s="10" t="s">
        <v>20611</v>
      </c>
      <c r="D37" s="56" t="s">
        <v>11095</v>
      </c>
      <c r="E37" s="10" t="s">
        <v>45</v>
      </c>
      <c r="F37" s="10" t="s">
        <v>11096</v>
      </c>
      <c r="G37" s="10" t="s">
        <v>20592</v>
      </c>
      <c r="H37" s="10" t="s">
        <v>2888</v>
      </c>
      <c r="I37" s="10" t="s">
        <v>55</v>
      </c>
      <c r="J37" s="10" t="s">
        <v>1165</v>
      </c>
      <c r="K37" s="10" t="s">
        <v>20613</v>
      </c>
      <c r="L37" s="10" t="s">
        <v>42</v>
      </c>
    </row>
    <row r="38" ht="15.75" customHeight="1">
      <c r="A38" s="66">
        <v>45499.0</v>
      </c>
      <c r="B38" s="55" t="str">
        <f>HYPERLINK("https://jobright.ai/jobs/info/66a32d6a28557607c2baca62?utm_campaign=1058&amp;utm_source=sheet", "Apply")</f>
        <v>Apply</v>
      </c>
      <c r="C38" s="10" t="s">
        <v>20680</v>
      </c>
      <c r="D38" s="56" t="s">
        <v>7823</v>
      </c>
      <c r="E38" s="10" t="s">
        <v>45</v>
      </c>
      <c r="F38" s="10" t="s">
        <v>2409</v>
      </c>
      <c r="G38" s="10" t="s">
        <v>20609</v>
      </c>
      <c r="H38" s="10" t="s">
        <v>773</v>
      </c>
      <c r="I38" s="10" t="s">
        <v>252</v>
      </c>
      <c r="J38" s="10" t="s">
        <v>20681</v>
      </c>
      <c r="K38" s="10" t="s">
        <v>20682</v>
      </c>
      <c r="L38" s="10" t="s">
        <v>42</v>
      </c>
    </row>
    <row r="39" ht="15.75" customHeight="1">
      <c r="A39" s="66">
        <v>45499.0</v>
      </c>
      <c r="B39" s="55" t="str">
        <f>HYPERLINK("https://jobright.ai/jobs/info/66a31c9757451938439e992b?utm_campaign=1058&amp;utm_source=sheet", "Apply")</f>
        <v>Apply</v>
      </c>
      <c r="C39" s="10" t="s">
        <v>20683</v>
      </c>
      <c r="D39" s="56" t="s">
        <v>20684</v>
      </c>
      <c r="E39" s="10" t="s">
        <v>45</v>
      </c>
      <c r="F39" s="10" t="s">
        <v>2409</v>
      </c>
      <c r="G39" s="10" t="s">
        <v>20624</v>
      </c>
      <c r="H39" s="10" t="s">
        <v>20685</v>
      </c>
      <c r="I39" s="10" t="s">
        <v>55</v>
      </c>
      <c r="K39" s="10" t="s">
        <v>20686</v>
      </c>
      <c r="L39" s="10" t="s">
        <v>42</v>
      </c>
    </row>
    <row r="40" ht="15.75" customHeight="1">
      <c r="A40" s="66">
        <v>45499.0</v>
      </c>
      <c r="B40" s="55" t="str">
        <f>HYPERLINK("https://jobright.ai/jobs/info/66a32d7328557607c2bacb5c?utm_campaign=1058&amp;utm_source=sheet", "Apply")</f>
        <v>Apply</v>
      </c>
      <c r="C40" s="10" t="s">
        <v>20687</v>
      </c>
      <c r="D40" s="56" t="s">
        <v>5200</v>
      </c>
      <c r="E40" s="10" t="s">
        <v>45</v>
      </c>
      <c r="F40" s="10" t="s">
        <v>2617</v>
      </c>
      <c r="G40" s="10" t="s">
        <v>20609</v>
      </c>
      <c r="H40" s="10" t="s">
        <v>773</v>
      </c>
      <c r="I40" s="10" t="s">
        <v>55</v>
      </c>
      <c r="J40" s="10" t="s">
        <v>20681</v>
      </c>
      <c r="K40" s="10" t="s">
        <v>20682</v>
      </c>
      <c r="L40" s="10" t="s">
        <v>42</v>
      </c>
    </row>
    <row r="41" ht="15.75" customHeight="1">
      <c r="A41" s="66">
        <v>45499.0</v>
      </c>
      <c r="B41" s="55" t="str">
        <f>HYPERLINK("https://jobright.ai/jobs/info/66a2fc017d87c2086e260a6d?utm_campaign=1058&amp;utm_source=sheet", "Apply")</f>
        <v>Apply</v>
      </c>
      <c r="C41" s="10" t="s">
        <v>20688</v>
      </c>
      <c r="D41" s="56" t="s">
        <v>15827</v>
      </c>
      <c r="E41" s="10" t="s">
        <v>79</v>
      </c>
      <c r="F41" s="10" t="s">
        <v>15828</v>
      </c>
      <c r="G41" s="10" t="s">
        <v>20592</v>
      </c>
      <c r="H41" s="10" t="s">
        <v>346</v>
      </c>
      <c r="I41" s="10" t="s">
        <v>55</v>
      </c>
      <c r="K41" s="10" t="s">
        <v>15830</v>
      </c>
      <c r="L41" s="10" t="s">
        <v>42</v>
      </c>
    </row>
    <row r="42" ht="15.75" customHeight="1">
      <c r="A42" s="66">
        <v>45499.0</v>
      </c>
      <c r="B42" s="55" t="str">
        <f>HYPERLINK("https://jobright.ai/jobs/info/66a4315d8d3eebff0ac37bda?utm_campaign=1058&amp;utm_source=sheet", "Apply")</f>
        <v>Apply</v>
      </c>
      <c r="C42" s="10" t="s">
        <v>7594</v>
      </c>
      <c r="D42" s="56" t="s">
        <v>20689</v>
      </c>
      <c r="E42" s="10" t="s">
        <v>45</v>
      </c>
      <c r="F42" s="10" t="s">
        <v>20690</v>
      </c>
      <c r="G42" s="10" t="s">
        <v>20624</v>
      </c>
      <c r="H42" s="10" t="s">
        <v>835</v>
      </c>
      <c r="I42" s="10" t="s">
        <v>55</v>
      </c>
      <c r="K42" s="10" t="s">
        <v>20691</v>
      </c>
      <c r="L42" s="10" t="s">
        <v>42</v>
      </c>
    </row>
    <row r="43" ht="15.75" customHeight="1">
      <c r="A43" s="66">
        <v>45499.0</v>
      </c>
      <c r="B43" s="55" t="str">
        <f>HYPERLINK("https://jobright.ai/jobs/info/66a4315d8d3eebff0ac37bd7?utm_campaign=1058&amp;utm_source=sheet", "Apply")</f>
        <v>Apply</v>
      </c>
      <c r="C43" s="10" t="s">
        <v>20692</v>
      </c>
      <c r="D43" s="56" t="s">
        <v>20689</v>
      </c>
      <c r="E43" s="10" t="s">
        <v>45</v>
      </c>
      <c r="F43" s="10" t="s">
        <v>20690</v>
      </c>
      <c r="G43" s="10" t="s">
        <v>20624</v>
      </c>
      <c r="H43" s="10" t="s">
        <v>354</v>
      </c>
      <c r="I43" s="10" t="s">
        <v>55</v>
      </c>
      <c r="K43" s="10" t="s">
        <v>20691</v>
      </c>
      <c r="L43" s="10" t="s">
        <v>42</v>
      </c>
    </row>
    <row r="44" ht="15.75" customHeight="1">
      <c r="A44" s="66">
        <v>45499.0</v>
      </c>
      <c r="B44" s="55" t="str">
        <f>HYPERLINK("https://jobright.ai/jobs/info/66a4523a68a55d33e67ee1d4?utm_campaign=1058&amp;utm_source=sheet", "Apply")</f>
        <v>Apply</v>
      </c>
      <c r="C44" s="10" t="s">
        <v>3748</v>
      </c>
      <c r="D44" s="56" t="s">
        <v>20693</v>
      </c>
      <c r="E44" s="10">
        <v>18.0</v>
      </c>
      <c r="G44" s="10" t="s">
        <v>20592</v>
      </c>
      <c r="H44" s="10" t="s">
        <v>20694</v>
      </c>
      <c r="I44" s="10" t="s">
        <v>55</v>
      </c>
      <c r="K44" s="10" t="s">
        <v>20695</v>
      </c>
      <c r="L44" s="10" t="s">
        <v>42</v>
      </c>
    </row>
    <row r="45" ht="15.75" customHeight="1">
      <c r="A45" s="66">
        <v>45498.0</v>
      </c>
      <c r="B45" s="55" t="str">
        <f>HYPERLINK("https://jobright.ai/jobs/info/66a2f50166a78c16dec90eba?utm_campaign=1058&amp;utm_source=sheet", "Apply")</f>
        <v>Apply</v>
      </c>
      <c r="C45" s="10" t="s">
        <v>20696</v>
      </c>
      <c r="D45" s="56" t="s">
        <v>20697</v>
      </c>
      <c r="E45" s="10" t="s">
        <v>209</v>
      </c>
      <c r="F45" s="10" t="s">
        <v>2617</v>
      </c>
      <c r="G45" s="10" t="s">
        <v>20592</v>
      </c>
      <c r="H45" s="10" t="s">
        <v>11436</v>
      </c>
      <c r="I45" s="10" t="s">
        <v>55</v>
      </c>
      <c r="J45" s="10" t="s">
        <v>20698</v>
      </c>
      <c r="K45" s="10" t="s">
        <v>20699</v>
      </c>
      <c r="L45" s="10" t="s">
        <v>42</v>
      </c>
    </row>
    <row r="46" ht="15.75" customHeight="1">
      <c r="A46" s="66">
        <v>45498.0</v>
      </c>
      <c r="B46" s="55" t="str">
        <f>HYPERLINK("https://jobright.ai/jobs/info/66a2feec6199d057adefb842?utm_campaign=1058&amp;utm_source=sheet", "Apply")</f>
        <v>Apply</v>
      </c>
      <c r="C46" s="10" t="s">
        <v>20700</v>
      </c>
      <c r="D46" s="56" t="s">
        <v>11095</v>
      </c>
      <c r="E46" s="10" t="s">
        <v>45</v>
      </c>
      <c r="F46" s="10" t="s">
        <v>11096</v>
      </c>
      <c r="G46" s="10" t="s">
        <v>20592</v>
      </c>
      <c r="H46" s="10" t="s">
        <v>4075</v>
      </c>
      <c r="I46" s="10" t="s">
        <v>55</v>
      </c>
      <c r="J46" s="10" t="s">
        <v>1165</v>
      </c>
      <c r="K46" s="10" t="s">
        <v>20613</v>
      </c>
      <c r="L46" s="10" t="s">
        <v>42</v>
      </c>
    </row>
    <row r="47" ht="15.75" customHeight="1">
      <c r="A47" s="66">
        <v>45498.0</v>
      </c>
      <c r="B47" s="55" t="str">
        <f>HYPERLINK("https://jobright.ai/jobs/info/66a2f51c66a78c16dec91199?utm_campaign=1058&amp;utm_source=sheet", "Apply")</f>
        <v>Apply</v>
      </c>
      <c r="C47" s="10" t="s">
        <v>20701</v>
      </c>
      <c r="D47" s="56" t="s">
        <v>1794</v>
      </c>
      <c r="E47" s="10" t="s">
        <v>65</v>
      </c>
      <c r="F47" s="10" t="s">
        <v>1795</v>
      </c>
      <c r="G47" s="10" t="s">
        <v>20609</v>
      </c>
      <c r="H47" s="10" t="s">
        <v>1796</v>
      </c>
      <c r="I47" s="10" t="s">
        <v>55</v>
      </c>
      <c r="J47" s="10" t="s">
        <v>1409</v>
      </c>
      <c r="K47" s="10" t="s">
        <v>20702</v>
      </c>
      <c r="L47" s="10" t="s">
        <v>42</v>
      </c>
    </row>
    <row r="48" ht="15.75" customHeight="1">
      <c r="A48" s="66">
        <v>45498.0</v>
      </c>
      <c r="B48" s="55" t="str">
        <f>HYPERLINK("https://jobright.ai/jobs/info/66a2bb87f2f497226957658b?utm_campaign=1058&amp;utm_source=sheet", "Apply")</f>
        <v>Apply</v>
      </c>
      <c r="C48" s="10" t="s">
        <v>20703</v>
      </c>
      <c r="D48" s="56" t="s">
        <v>204</v>
      </c>
      <c r="E48" s="10" t="s">
        <v>45</v>
      </c>
      <c r="F48" s="10" t="s">
        <v>205</v>
      </c>
      <c r="G48" s="10" t="s">
        <v>20624</v>
      </c>
      <c r="H48" s="10" t="s">
        <v>153</v>
      </c>
      <c r="I48" s="10" t="s">
        <v>55</v>
      </c>
      <c r="K48" s="10" t="s">
        <v>20704</v>
      </c>
      <c r="L48" s="10" t="s">
        <v>42</v>
      </c>
    </row>
    <row r="49" ht="15.75" customHeight="1">
      <c r="A49" s="66">
        <v>45498.0</v>
      </c>
      <c r="B49" s="55" t="str">
        <f>HYPERLINK("https://jobright.ai/jobs/info/66a408139d6a30be4effa271?utm_campaign=1058&amp;utm_source=sheet", "Apply")</f>
        <v>Apply</v>
      </c>
      <c r="C49" s="10" t="s">
        <v>20705</v>
      </c>
      <c r="D49" s="56" t="s">
        <v>5694</v>
      </c>
      <c r="E49" s="10" t="s">
        <v>45</v>
      </c>
      <c r="F49" s="10" t="s">
        <v>471</v>
      </c>
      <c r="G49" s="10" t="s">
        <v>20609</v>
      </c>
      <c r="H49" s="10" t="s">
        <v>20706</v>
      </c>
      <c r="I49" s="10" t="s">
        <v>55</v>
      </c>
      <c r="K49" s="10" t="s">
        <v>20707</v>
      </c>
      <c r="L49" s="10" t="s">
        <v>42</v>
      </c>
    </row>
    <row r="50" ht="15.75" customHeight="1">
      <c r="A50" s="66">
        <v>45498.0</v>
      </c>
      <c r="B50" s="55" t="str">
        <f>HYPERLINK("https://jobright.ai/jobs/info/66a2aa33022211b3c86216bf?utm_campaign=1058&amp;utm_source=sheet", "Apply")</f>
        <v>Apply</v>
      </c>
      <c r="C50" s="10" t="s">
        <v>20701</v>
      </c>
      <c r="D50" s="56" t="s">
        <v>1794</v>
      </c>
      <c r="E50" s="10" t="s">
        <v>65</v>
      </c>
      <c r="F50" s="10" t="s">
        <v>1795</v>
      </c>
      <c r="G50" s="10" t="s">
        <v>20609</v>
      </c>
      <c r="H50" s="10" t="s">
        <v>1796</v>
      </c>
      <c r="I50" s="10" t="s">
        <v>55</v>
      </c>
      <c r="J50" s="10" t="s">
        <v>1409</v>
      </c>
      <c r="K50" s="10" t="s">
        <v>20702</v>
      </c>
      <c r="L50" s="10" t="s">
        <v>42</v>
      </c>
    </row>
    <row r="51" ht="15.75" customHeight="1">
      <c r="A51" s="66">
        <v>45498.0</v>
      </c>
      <c r="B51" s="55" t="str">
        <f>HYPERLINK("https://jobright.ai/jobs/info/66a29933d090d41dcbafd5b9?utm_campaign=1058&amp;utm_source=sheet", "Apply")</f>
        <v>Apply</v>
      </c>
      <c r="C51" s="10" t="s">
        <v>2297</v>
      </c>
      <c r="D51" s="56" t="s">
        <v>357</v>
      </c>
      <c r="E51" s="10" t="s">
        <v>45</v>
      </c>
      <c r="F51" s="10" t="s">
        <v>358</v>
      </c>
      <c r="G51" s="10" t="s">
        <v>20609</v>
      </c>
      <c r="H51" s="10" t="s">
        <v>359</v>
      </c>
      <c r="I51" s="10" t="s">
        <v>55</v>
      </c>
      <c r="K51" s="10" t="s">
        <v>20708</v>
      </c>
      <c r="L51" s="10" t="s">
        <v>42</v>
      </c>
    </row>
    <row r="52" ht="15.75" customHeight="1">
      <c r="A52" s="66">
        <v>45498.0</v>
      </c>
      <c r="B52" s="55" t="str">
        <f>HYPERLINK("https://jobright.ai/jobs/info/66a292f1dce5676bbecdfff9?utm_campaign=1058&amp;utm_source=sheet", "Apply")</f>
        <v>Apply</v>
      </c>
      <c r="C52" s="10" t="s">
        <v>20709</v>
      </c>
      <c r="D52" s="56" t="s">
        <v>20710</v>
      </c>
      <c r="E52" s="10" t="s">
        <v>45</v>
      </c>
      <c r="F52" s="10" t="s">
        <v>20711</v>
      </c>
      <c r="G52" s="10" t="s">
        <v>20592</v>
      </c>
      <c r="H52" s="10" t="s">
        <v>167</v>
      </c>
      <c r="I52" s="10" t="s">
        <v>55</v>
      </c>
      <c r="J52" s="10" t="s">
        <v>1960</v>
      </c>
      <c r="K52" s="10" t="s">
        <v>20712</v>
      </c>
      <c r="L52" s="10" t="s">
        <v>42</v>
      </c>
    </row>
    <row r="53" ht="15.75" customHeight="1">
      <c r="A53" s="66">
        <v>45498.0</v>
      </c>
      <c r="B53" s="55" t="str">
        <f>HYPERLINK("https://jobright.ai/jobs/info/66a29933d090d41dcbafd5c8?utm_campaign=1058&amp;utm_source=sheet", "Apply")</f>
        <v>Apply</v>
      </c>
      <c r="C53" s="10" t="s">
        <v>20713</v>
      </c>
      <c r="D53" s="56" t="s">
        <v>20714</v>
      </c>
      <c r="E53" s="10" t="s">
        <v>79</v>
      </c>
      <c r="F53" s="10" t="s">
        <v>486</v>
      </c>
      <c r="G53" s="10" t="s">
        <v>20624</v>
      </c>
      <c r="H53" s="10" t="s">
        <v>96</v>
      </c>
      <c r="I53" s="10" t="s">
        <v>48</v>
      </c>
      <c r="K53" s="10" t="s">
        <v>20715</v>
      </c>
      <c r="L53" s="10" t="s">
        <v>42</v>
      </c>
    </row>
    <row r="54" ht="15.75" customHeight="1">
      <c r="A54" s="66">
        <v>45498.0</v>
      </c>
      <c r="B54" s="55" t="str">
        <f>HYPERLINK("https://jobright.ai/jobs/info/66a3da9e9f1d4690f1a40afc?utm_campaign=1058&amp;utm_source=sheet", "Apply")</f>
        <v>Apply</v>
      </c>
      <c r="C54" s="10" t="s">
        <v>20669</v>
      </c>
      <c r="D54" s="56" t="s">
        <v>20670</v>
      </c>
      <c r="E54" s="10" t="s">
        <v>45</v>
      </c>
      <c r="F54" s="10" t="s">
        <v>7760</v>
      </c>
      <c r="G54" s="10" t="s">
        <v>20624</v>
      </c>
      <c r="H54" s="10" t="s">
        <v>20716</v>
      </c>
      <c r="I54" s="10" t="s">
        <v>55</v>
      </c>
      <c r="K54" s="10" t="s">
        <v>20717</v>
      </c>
      <c r="L54" s="10" t="s">
        <v>42</v>
      </c>
    </row>
    <row r="55" ht="15.75" customHeight="1">
      <c r="A55" s="66">
        <v>45498.0</v>
      </c>
      <c r="B55" s="55" t="str">
        <f>HYPERLINK("https://jobright.ai/jobs/info/66a28ac083c567e434299a58?utm_campaign=1058&amp;utm_source=sheet", "Apply")</f>
        <v>Apply</v>
      </c>
      <c r="C55" s="10" t="s">
        <v>20718</v>
      </c>
      <c r="D55" s="56" t="s">
        <v>20719</v>
      </c>
      <c r="E55" s="10" t="s">
        <v>65</v>
      </c>
      <c r="F55" s="10" t="s">
        <v>731</v>
      </c>
      <c r="G55" s="10" t="s">
        <v>20592</v>
      </c>
      <c r="H55" s="10" t="s">
        <v>20720</v>
      </c>
      <c r="I55" s="10" t="s">
        <v>55</v>
      </c>
      <c r="K55" s="10" t="s">
        <v>20721</v>
      </c>
      <c r="L55" s="10" t="s">
        <v>42</v>
      </c>
    </row>
    <row r="56" ht="15.75" customHeight="1">
      <c r="A56" s="66">
        <v>45498.0</v>
      </c>
      <c r="B56" s="55" t="str">
        <f>HYPERLINK("https://jobright.ai/jobs/info/66a28377eba8f49c259e0512?utm_campaign=1058&amp;utm_source=sheet", "Apply")</f>
        <v>Apply</v>
      </c>
      <c r="C56" s="10" t="s">
        <v>20722</v>
      </c>
      <c r="D56" s="56" t="s">
        <v>20723</v>
      </c>
      <c r="E56" s="10" t="s">
        <v>65</v>
      </c>
      <c r="F56" s="10" t="s">
        <v>6299</v>
      </c>
      <c r="G56" s="10" t="s">
        <v>20609</v>
      </c>
      <c r="H56" s="10" t="s">
        <v>1097</v>
      </c>
      <c r="I56" s="10" t="s">
        <v>55</v>
      </c>
      <c r="K56" s="10" t="s">
        <v>20724</v>
      </c>
      <c r="L56" s="10" t="s">
        <v>42</v>
      </c>
    </row>
    <row r="57" ht="15.75" customHeight="1">
      <c r="A57" s="66">
        <v>45498.0</v>
      </c>
      <c r="B57" s="55" t="str">
        <f>HYPERLINK("https://jobright.ai/jobs/info/66a3dadb9f1d4690f1a40f8e?utm_campaign=1058&amp;utm_source=sheet", "Apply")</f>
        <v>Apply</v>
      </c>
      <c r="C57" s="10" t="s">
        <v>20725</v>
      </c>
      <c r="D57" s="56" t="s">
        <v>20590</v>
      </c>
      <c r="E57" s="10" t="s">
        <v>249</v>
      </c>
      <c r="F57" s="10" t="s">
        <v>20591</v>
      </c>
      <c r="G57" s="10" t="s">
        <v>20592</v>
      </c>
      <c r="H57" s="10" t="s">
        <v>188</v>
      </c>
      <c r="I57" s="10" t="s">
        <v>55</v>
      </c>
      <c r="K57" s="10" t="s">
        <v>20593</v>
      </c>
      <c r="L57" s="10" t="s">
        <v>42</v>
      </c>
    </row>
    <row r="58" ht="15.75" customHeight="1">
      <c r="A58" s="66">
        <v>45498.0</v>
      </c>
      <c r="B58" s="55" t="str">
        <f>HYPERLINK("https://jobright.ai/jobs/info/66a24c6a8f8ac2b9c97308fe?utm_campaign=1058&amp;utm_source=sheet", "Apply")</f>
        <v>Apply</v>
      </c>
      <c r="C58" s="10" t="s">
        <v>20726</v>
      </c>
      <c r="D58" s="56" t="s">
        <v>20727</v>
      </c>
      <c r="E58" s="10" t="s">
        <v>71</v>
      </c>
      <c r="F58" s="10" t="s">
        <v>2098</v>
      </c>
      <c r="G58" s="10" t="s">
        <v>20624</v>
      </c>
      <c r="H58" s="10" t="s">
        <v>96</v>
      </c>
      <c r="I58" s="10" t="s">
        <v>55</v>
      </c>
      <c r="K58" s="10" t="s">
        <v>20728</v>
      </c>
      <c r="L58" s="10" t="s">
        <v>42</v>
      </c>
    </row>
    <row r="59" ht="15.75" customHeight="1">
      <c r="A59" s="66">
        <v>45498.0</v>
      </c>
      <c r="B59" s="55" t="str">
        <f>HYPERLINK("https://jobright.ai/jobs/info/66a23f5d90f019998daf747c?utm_campaign=1058&amp;utm_source=sheet", "Apply")</f>
        <v>Apply</v>
      </c>
      <c r="C59" s="10" t="s">
        <v>20729</v>
      </c>
      <c r="D59" s="56" t="s">
        <v>20730</v>
      </c>
      <c r="E59" s="10" t="s">
        <v>276</v>
      </c>
      <c r="F59" s="10" t="s">
        <v>1893</v>
      </c>
      <c r="G59" s="10" t="s">
        <v>20624</v>
      </c>
      <c r="H59" s="10" t="s">
        <v>794</v>
      </c>
      <c r="I59" s="10" t="s">
        <v>55</v>
      </c>
      <c r="K59" s="10" t="s">
        <v>20731</v>
      </c>
      <c r="L59" s="10" t="s">
        <v>42</v>
      </c>
    </row>
    <row r="60" ht="15.75" customHeight="1">
      <c r="A60" s="66">
        <v>45498.0</v>
      </c>
      <c r="B60" s="55" t="str">
        <f>HYPERLINK("https://jobright.ai/jobs/info/66862bee323f5e12beea4c67?utm_campaign=1058&amp;utm_source=sheet", "Apply")</f>
        <v>Apply</v>
      </c>
      <c r="C60" s="10" t="s">
        <v>20732</v>
      </c>
      <c r="D60" s="56" t="s">
        <v>11095</v>
      </c>
      <c r="E60" s="10" t="s">
        <v>45</v>
      </c>
      <c r="F60" s="10" t="s">
        <v>11096</v>
      </c>
      <c r="G60" s="10" t="s">
        <v>20592</v>
      </c>
      <c r="H60" s="10" t="s">
        <v>6199</v>
      </c>
      <c r="I60" s="10" t="s">
        <v>55</v>
      </c>
      <c r="J60" s="10" t="s">
        <v>20664</v>
      </c>
      <c r="K60" s="10" t="s">
        <v>20613</v>
      </c>
      <c r="L60" s="10" t="s">
        <v>42</v>
      </c>
    </row>
    <row r="61" ht="15.75" customHeight="1">
      <c r="A61" s="66">
        <v>45498.0</v>
      </c>
      <c r="B61" s="55" t="str">
        <f>HYPERLINK("https://jobright.ai/jobs/info/664c3dc31ab6a5164a338ded?utm_campaign=1058&amp;utm_source=sheet", "Apply")</f>
        <v>Apply</v>
      </c>
      <c r="C61" s="10" t="s">
        <v>20611</v>
      </c>
      <c r="D61" s="56" t="s">
        <v>11095</v>
      </c>
      <c r="E61" s="10" t="s">
        <v>45</v>
      </c>
      <c r="F61" s="10" t="s">
        <v>11096</v>
      </c>
      <c r="G61" s="10" t="s">
        <v>20592</v>
      </c>
      <c r="H61" s="10" t="s">
        <v>7019</v>
      </c>
      <c r="I61" s="10" t="s">
        <v>55</v>
      </c>
      <c r="J61" s="10" t="s">
        <v>20733</v>
      </c>
      <c r="K61" s="10" t="s">
        <v>20613</v>
      </c>
      <c r="L61" s="10" t="s">
        <v>42</v>
      </c>
    </row>
    <row r="62" ht="15.75" customHeight="1">
      <c r="A62" s="66">
        <v>45498.0</v>
      </c>
      <c r="B62" s="55" t="str">
        <f>HYPERLINK("https://jobright.ai/jobs/info/6675d84128c07253dad6a066?utm_campaign=1058&amp;utm_source=sheet", "Apply")</f>
        <v>Apply</v>
      </c>
      <c r="C62" s="10" t="s">
        <v>20611</v>
      </c>
      <c r="D62" s="56" t="s">
        <v>11095</v>
      </c>
      <c r="E62" s="10" t="s">
        <v>45</v>
      </c>
      <c r="F62" s="10" t="s">
        <v>11096</v>
      </c>
      <c r="G62" s="10" t="s">
        <v>20592</v>
      </c>
      <c r="H62" s="10" t="s">
        <v>994</v>
      </c>
      <c r="I62" s="10" t="s">
        <v>55</v>
      </c>
      <c r="J62" s="10" t="s">
        <v>20664</v>
      </c>
      <c r="K62" s="10" t="s">
        <v>20613</v>
      </c>
      <c r="L62" s="10" t="s">
        <v>42</v>
      </c>
    </row>
    <row r="63" ht="15.75" customHeight="1">
      <c r="A63" s="66">
        <v>45498.0</v>
      </c>
      <c r="B63" s="55" t="str">
        <f>HYPERLINK("https://jobright.ai/jobs/info/66a22fb3ad01bcaed1ade87c?utm_campaign=1058&amp;utm_source=sheet", "Apply")</f>
        <v>Apply</v>
      </c>
      <c r="C63" s="10" t="s">
        <v>20611</v>
      </c>
      <c r="D63" s="56" t="s">
        <v>11095</v>
      </c>
      <c r="E63" s="10" t="s">
        <v>45</v>
      </c>
      <c r="F63" s="10" t="s">
        <v>11096</v>
      </c>
      <c r="G63" s="10" t="s">
        <v>20592</v>
      </c>
      <c r="H63" s="10" t="s">
        <v>661</v>
      </c>
      <c r="I63" s="10" t="s">
        <v>55</v>
      </c>
      <c r="J63" s="10" t="s">
        <v>1165</v>
      </c>
      <c r="K63" s="10" t="s">
        <v>20613</v>
      </c>
      <c r="L63" s="10" t="s">
        <v>42</v>
      </c>
    </row>
    <row r="64" ht="15.75" customHeight="1">
      <c r="A64" s="66">
        <v>45498.0</v>
      </c>
      <c r="B64" s="55" t="str">
        <f>HYPERLINK("https://jobright.ai/jobs/info/664c3555689b13b2faeeb5e1?utm_campaign=1058&amp;utm_source=sheet", "Apply")</f>
        <v>Apply</v>
      </c>
      <c r="C64" s="10" t="s">
        <v>20734</v>
      </c>
      <c r="D64" s="56" t="s">
        <v>20735</v>
      </c>
      <c r="E64" s="10" t="s">
        <v>45</v>
      </c>
      <c r="F64" s="10" t="s">
        <v>1922</v>
      </c>
      <c r="G64" s="10" t="s">
        <v>20624</v>
      </c>
      <c r="H64" s="10" t="s">
        <v>628</v>
      </c>
      <c r="I64" s="10" t="s">
        <v>55</v>
      </c>
      <c r="K64" s="10" t="s">
        <v>20736</v>
      </c>
      <c r="L64" s="10" t="s">
        <v>42</v>
      </c>
    </row>
    <row r="65" ht="15.75" customHeight="1">
      <c r="A65" s="66">
        <v>45498.0</v>
      </c>
      <c r="B65" s="55" t="str">
        <f>HYPERLINK("https://jobright.ai/jobs/info/66852d1887b788694694a8cb?utm_campaign=1058&amp;utm_source=sheet", "Apply")</f>
        <v>Apply</v>
      </c>
      <c r="C65" s="10" t="s">
        <v>20737</v>
      </c>
      <c r="D65" s="56" t="s">
        <v>20738</v>
      </c>
      <c r="E65" s="10">
        <v>3852.0</v>
      </c>
      <c r="G65" s="10" t="s">
        <v>20592</v>
      </c>
      <c r="H65" s="10" t="s">
        <v>780</v>
      </c>
      <c r="I65" s="10" t="s">
        <v>55</v>
      </c>
      <c r="K65" s="10" t="s">
        <v>20739</v>
      </c>
      <c r="L65" s="10" t="s">
        <v>42</v>
      </c>
    </row>
    <row r="66" ht="15.75" customHeight="1">
      <c r="A66" s="66">
        <v>45498.0</v>
      </c>
      <c r="B66" s="55" t="str">
        <f>HYPERLINK("https://jobright.ai/jobs/info/66a2658b8450fad8aa49d3fb?utm_campaign=1058&amp;utm_source=sheet", "Apply")</f>
        <v>Apply</v>
      </c>
      <c r="C66" s="10" t="s">
        <v>20740</v>
      </c>
      <c r="D66" s="56" t="s">
        <v>20741</v>
      </c>
      <c r="E66" s="10">
        <v>14.0</v>
      </c>
      <c r="G66" s="10" t="s">
        <v>20592</v>
      </c>
      <c r="H66" s="10" t="s">
        <v>20716</v>
      </c>
      <c r="I66" s="10" t="s">
        <v>55</v>
      </c>
      <c r="K66" s="10" t="s">
        <v>20742</v>
      </c>
      <c r="L66" s="10" t="s">
        <v>42</v>
      </c>
    </row>
    <row r="67" ht="15.75" customHeight="1">
      <c r="A67" s="66">
        <v>45498.0</v>
      </c>
      <c r="B67" s="55" t="str">
        <f>HYPERLINK("https://jobright.ai/jobs/info/66a200932be4c7b2f0be47a5?utm_campaign=1058&amp;utm_source=sheet", "Apply")</f>
        <v>Apply</v>
      </c>
      <c r="C67" s="10" t="s">
        <v>20743</v>
      </c>
      <c r="D67" s="56" t="s">
        <v>20744</v>
      </c>
      <c r="E67" s="10" t="s">
        <v>249</v>
      </c>
      <c r="F67" s="10" t="s">
        <v>2964</v>
      </c>
      <c r="G67" s="10" t="s">
        <v>20609</v>
      </c>
      <c r="H67" s="10" t="s">
        <v>16686</v>
      </c>
      <c r="I67" s="10" t="s">
        <v>55</v>
      </c>
      <c r="K67" s="10" t="s">
        <v>20745</v>
      </c>
      <c r="L67" s="10" t="s">
        <v>42</v>
      </c>
    </row>
    <row r="68" ht="15.75" customHeight="1">
      <c r="A68" s="66">
        <v>45498.0</v>
      </c>
      <c r="B68" s="55" t="str">
        <f>HYPERLINK("https://jobright.ai/jobs/info/6627f118b5b4f73d03703dc5?utm_campaign=1058&amp;utm_source=sheet", "Apply")</f>
        <v>Apply</v>
      </c>
      <c r="C68" s="10" t="s">
        <v>4899</v>
      </c>
      <c r="D68" s="56" t="s">
        <v>20746</v>
      </c>
      <c r="G68" s="10" t="s">
        <v>20624</v>
      </c>
      <c r="H68" s="10" t="s">
        <v>863</v>
      </c>
      <c r="I68" s="10" t="s">
        <v>55</v>
      </c>
      <c r="K68" s="10" t="s">
        <v>20747</v>
      </c>
      <c r="L68" s="10" t="s">
        <v>42</v>
      </c>
    </row>
    <row r="69" ht="15.75" customHeight="1">
      <c r="A69" s="66">
        <v>45498.0</v>
      </c>
      <c r="B69" s="55" t="str">
        <f>HYPERLINK("https://jobright.ai/jobs/info/66a1d83e774f913ffb073e5a?utm_campaign=1058&amp;utm_source=sheet", "Apply")</f>
        <v>Apply</v>
      </c>
      <c r="C69" s="10" t="s">
        <v>20611</v>
      </c>
      <c r="D69" s="56" t="s">
        <v>11095</v>
      </c>
      <c r="E69" s="10" t="s">
        <v>45</v>
      </c>
      <c r="F69" s="10" t="s">
        <v>11096</v>
      </c>
      <c r="G69" s="10" t="s">
        <v>20592</v>
      </c>
      <c r="H69" s="10" t="s">
        <v>835</v>
      </c>
      <c r="I69" s="10" t="s">
        <v>55</v>
      </c>
      <c r="J69" s="10" t="s">
        <v>1165</v>
      </c>
      <c r="K69" s="10" t="s">
        <v>20613</v>
      </c>
      <c r="L69" s="10" t="s">
        <v>42</v>
      </c>
    </row>
    <row r="70" ht="15.75" customHeight="1">
      <c r="A70" s="66">
        <v>45498.0</v>
      </c>
      <c r="B70" s="55" t="str">
        <f>HYPERLINK("https://jobright.ai/jobs/info/66a1d83e774f913ffb073e62?utm_campaign=1058&amp;utm_source=sheet", "Apply")</f>
        <v>Apply</v>
      </c>
      <c r="C70" s="10" t="s">
        <v>20611</v>
      </c>
      <c r="D70" s="56" t="s">
        <v>11095</v>
      </c>
      <c r="E70" s="10" t="s">
        <v>45</v>
      </c>
      <c r="F70" s="10" t="s">
        <v>11096</v>
      </c>
      <c r="G70" s="10" t="s">
        <v>20592</v>
      </c>
      <c r="H70" s="10" t="s">
        <v>8466</v>
      </c>
      <c r="I70" s="10" t="s">
        <v>55</v>
      </c>
      <c r="J70" s="10" t="s">
        <v>1165</v>
      </c>
      <c r="K70" s="10" t="s">
        <v>20613</v>
      </c>
      <c r="L70" s="10" t="s">
        <v>42</v>
      </c>
    </row>
    <row r="71" ht="15.75" customHeight="1">
      <c r="A71" s="66">
        <v>45498.0</v>
      </c>
      <c r="B71" s="55" t="str">
        <f>HYPERLINK("https://jobright.ai/jobs/info/66a1d83e774f913ffb073e6e?utm_campaign=1058&amp;utm_source=sheet", "Apply")</f>
        <v>Apply</v>
      </c>
      <c r="C71" s="10" t="s">
        <v>20611</v>
      </c>
      <c r="D71" s="56" t="s">
        <v>11095</v>
      </c>
      <c r="E71" s="10" t="s">
        <v>45</v>
      </c>
      <c r="F71" s="10" t="s">
        <v>11096</v>
      </c>
      <c r="G71" s="10" t="s">
        <v>20592</v>
      </c>
      <c r="H71" s="10" t="s">
        <v>6973</v>
      </c>
      <c r="I71" s="10" t="s">
        <v>55</v>
      </c>
      <c r="J71" s="10" t="s">
        <v>1165</v>
      </c>
      <c r="K71" s="10" t="s">
        <v>20613</v>
      </c>
      <c r="L71" s="10" t="s">
        <v>42</v>
      </c>
    </row>
    <row r="72" ht="15.75" customHeight="1">
      <c r="A72" s="66">
        <v>45498.0</v>
      </c>
      <c r="B72" s="55" t="str">
        <f>HYPERLINK("https://jobright.ai/jobs/info/66a1d83e774f913ffb073e76?utm_campaign=1058&amp;utm_source=sheet", "Apply")</f>
        <v>Apply</v>
      </c>
      <c r="C72" s="10" t="s">
        <v>20611</v>
      </c>
      <c r="D72" s="56" t="s">
        <v>11095</v>
      </c>
      <c r="E72" s="10" t="s">
        <v>45</v>
      </c>
      <c r="F72" s="10" t="s">
        <v>11096</v>
      </c>
      <c r="G72" s="10" t="s">
        <v>20592</v>
      </c>
      <c r="H72" s="10" t="s">
        <v>20748</v>
      </c>
      <c r="I72" s="10" t="s">
        <v>55</v>
      </c>
      <c r="J72" s="10" t="s">
        <v>1165</v>
      </c>
      <c r="K72" s="10" t="s">
        <v>20613</v>
      </c>
      <c r="L72" s="10" t="s">
        <v>42</v>
      </c>
    </row>
    <row r="73" ht="15.75" customHeight="1">
      <c r="A73" s="66">
        <v>45498.0</v>
      </c>
      <c r="B73" s="55" t="str">
        <f>HYPERLINK("https://jobright.ai/jobs/info/66a1f514be29db5ba38602ae?utm_campaign=1058&amp;utm_source=sheet", "Apply")</f>
        <v>Apply</v>
      </c>
      <c r="C73" s="10" t="s">
        <v>20749</v>
      </c>
      <c r="D73" s="56" t="s">
        <v>20750</v>
      </c>
      <c r="E73" s="10" t="s">
        <v>79</v>
      </c>
      <c r="F73" s="10" t="s">
        <v>11233</v>
      </c>
      <c r="G73" s="10" t="s">
        <v>20609</v>
      </c>
      <c r="H73" s="10" t="s">
        <v>13770</v>
      </c>
      <c r="I73" s="10" t="s">
        <v>55</v>
      </c>
      <c r="K73" s="10" t="s">
        <v>20751</v>
      </c>
      <c r="L73" s="10" t="s">
        <v>42</v>
      </c>
    </row>
    <row r="74" ht="15.75" customHeight="1">
      <c r="A74" s="66">
        <v>45498.0</v>
      </c>
      <c r="B74" s="55" t="str">
        <f>HYPERLINK("https://jobright.ai/jobs/info/66a225b8642c1d827779ddb2?utm_campaign=1058&amp;utm_source=sheet", "Apply")</f>
        <v>Apply</v>
      </c>
      <c r="C74" s="10" t="s">
        <v>20752</v>
      </c>
      <c r="D74" s="56" t="s">
        <v>5159</v>
      </c>
      <c r="E74" s="10" t="s">
        <v>45</v>
      </c>
      <c r="F74" s="10" t="s">
        <v>1893</v>
      </c>
      <c r="G74" s="10" t="s">
        <v>20592</v>
      </c>
      <c r="H74" s="10" t="s">
        <v>965</v>
      </c>
      <c r="I74" s="10" t="s">
        <v>55</v>
      </c>
      <c r="K74" s="10" t="s">
        <v>20753</v>
      </c>
      <c r="L74" s="10" t="s">
        <v>42</v>
      </c>
    </row>
    <row r="75" ht="15.75" customHeight="1">
      <c r="A75" s="66">
        <v>45498.0</v>
      </c>
      <c r="B75" s="55" t="str">
        <f>HYPERLINK("https://jobright.ai/jobs/info/66a1c551b6c6b56a063ac250?utm_campaign=1058&amp;utm_source=sheet", "Apply")</f>
        <v>Apply</v>
      </c>
      <c r="C75" s="10" t="s">
        <v>20754</v>
      </c>
      <c r="D75" s="56" t="s">
        <v>1671</v>
      </c>
      <c r="E75" s="10" t="s">
        <v>65</v>
      </c>
      <c r="F75" s="10" t="s">
        <v>1234</v>
      </c>
      <c r="G75" s="10" t="s">
        <v>20624</v>
      </c>
      <c r="H75" s="10" t="s">
        <v>1672</v>
      </c>
      <c r="I75" s="10" t="s">
        <v>55</v>
      </c>
      <c r="K75" s="10" t="s">
        <v>20755</v>
      </c>
      <c r="L75" s="10" t="s">
        <v>42</v>
      </c>
    </row>
    <row r="76" ht="15.75" customHeight="1">
      <c r="A76" s="66">
        <v>45498.0</v>
      </c>
      <c r="B76" s="55" t="str">
        <f>HYPERLINK("https://jobright.ai/jobs/info/66a1afe0099e1efc505306e8?utm_campaign=1058&amp;utm_source=sheet", "Apply")</f>
        <v>Apply</v>
      </c>
      <c r="C76" s="10" t="s">
        <v>20594</v>
      </c>
      <c r="D76" s="56" t="s">
        <v>20595</v>
      </c>
      <c r="E76" s="10" t="s">
        <v>45</v>
      </c>
      <c r="F76" s="10" t="s">
        <v>3811</v>
      </c>
      <c r="G76" s="10" t="s">
        <v>20592</v>
      </c>
      <c r="H76" s="10" t="s">
        <v>20756</v>
      </c>
      <c r="I76" s="10" t="s">
        <v>55</v>
      </c>
      <c r="K76" s="10" t="s">
        <v>20596</v>
      </c>
      <c r="L76" s="10" t="s">
        <v>42</v>
      </c>
    </row>
    <row r="77" ht="15.75" customHeight="1">
      <c r="A77" s="66">
        <v>45498.0</v>
      </c>
      <c r="B77" s="55" t="str">
        <f>HYPERLINK("https://jobright.ai/jobs/info/66a1afe0099e1efc50530717?utm_campaign=1058&amp;utm_source=sheet", "Apply")</f>
        <v>Apply</v>
      </c>
      <c r="C77" s="10" t="s">
        <v>20594</v>
      </c>
      <c r="D77" s="56" t="s">
        <v>20595</v>
      </c>
      <c r="E77" s="10" t="s">
        <v>45</v>
      </c>
      <c r="F77" s="10" t="s">
        <v>3811</v>
      </c>
      <c r="G77" s="10" t="s">
        <v>20592</v>
      </c>
      <c r="H77" s="10" t="s">
        <v>20757</v>
      </c>
      <c r="I77" s="10" t="s">
        <v>55</v>
      </c>
      <c r="K77" s="10" t="s">
        <v>20596</v>
      </c>
      <c r="L77" s="10" t="s">
        <v>42</v>
      </c>
    </row>
    <row r="78" ht="15.75" customHeight="1">
      <c r="A78" s="66">
        <v>45498.0</v>
      </c>
      <c r="B78" s="55" t="str">
        <f>HYPERLINK("https://jobright.ai/jobs/info/66a1afe5099e1efc5053077f?utm_campaign=1058&amp;utm_source=sheet", "Apply")</f>
        <v>Apply</v>
      </c>
      <c r="C78" s="10" t="s">
        <v>20594</v>
      </c>
      <c r="D78" s="56" t="s">
        <v>20595</v>
      </c>
      <c r="E78" s="10" t="s">
        <v>45</v>
      </c>
      <c r="F78" s="10" t="s">
        <v>3811</v>
      </c>
      <c r="G78" s="10" t="s">
        <v>20592</v>
      </c>
      <c r="H78" s="10" t="s">
        <v>20758</v>
      </c>
      <c r="I78" s="10" t="s">
        <v>55</v>
      </c>
      <c r="K78" s="10" t="s">
        <v>20596</v>
      </c>
      <c r="L78" s="10" t="s">
        <v>42</v>
      </c>
    </row>
    <row r="79" ht="15.75" customHeight="1">
      <c r="A79" s="66">
        <v>45498.0</v>
      </c>
      <c r="B79" s="55" t="str">
        <f>HYPERLINK("https://jobright.ai/jobs/info/66a1afe5099e1efc5053078b?utm_campaign=1058&amp;utm_source=sheet", "Apply")</f>
        <v>Apply</v>
      </c>
      <c r="C79" s="10" t="s">
        <v>20594</v>
      </c>
      <c r="D79" s="56" t="s">
        <v>20595</v>
      </c>
      <c r="E79" s="10" t="s">
        <v>45</v>
      </c>
      <c r="F79" s="10" t="s">
        <v>3811</v>
      </c>
      <c r="G79" s="10" t="s">
        <v>20592</v>
      </c>
      <c r="H79" s="10" t="s">
        <v>3449</v>
      </c>
      <c r="I79" s="10" t="s">
        <v>55</v>
      </c>
      <c r="K79" s="10" t="s">
        <v>20596</v>
      </c>
      <c r="L79" s="10" t="s">
        <v>42</v>
      </c>
    </row>
    <row r="80" ht="15.75" customHeight="1">
      <c r="A80" s="66">
        <v>45498.0</v>
      </c>
      <c r="B80" s="55" t="str">
        <f>HYPERLINK("https://jobright.ai/jobs/info/66a1afe5099e1efc50530818?utm_campaign=1058&amp;utm_source=sheet", "Apply")</f>
        <v>Apply</v>
      </c>
      <c r="C80" s="10" t="s">
        <v>20594</v>
      </c>
      <c r="D80" s="56" t="s">
        <v>20595</v>
      </c>
      <c r="E80" s="10" t="s">
        <v>45</v>
      </c>
      <c r="F80" s="10" t="s">
        <v>3811</v>
      </c>
      <c r="G80" s="10" t="s">
        <v>20592</v>
      </c>
      <c r="H80" s="10" t="s">
        <v>20759</v>
      </c>
      <c r="I80" s="10" t="s">
        <v>55</v>
      </c>
      <c r="K80" s="10" t="s">
        <v>20596</v>
      </c>
      <c r="L80" s="10" t="s">
        <v>42</v>
      </c>
    </row>
    <row r="81" ht="15.75" customHeight="1">
      <c r="A81" s="66">
        <v>45498.0</v>
      </c>
      <c r="B81" s="55" t="str">
        <f>HYPERLINK("https://jobright.ai/jobs/info/66a1afea099e1efc5053085c?utm_campaign=1058&amp;utm_source=sheet", "Apply")</f>
        <v>Apply</v>
      </c>
      <c r="C81" s="10" t="s">
        <v>20594</v>
      </c>
      <c r="D81" s="56" t="s">
        <v>20595</v>
      </c>
      <c r="E81" s="10" t="s">
        <v>45</v>
      </c>
      <c r="F81" s="10" t="s">
        <v>3811</v>
      </c>
      <c r="G81" s="10" t="s">
        <v>20592</v>
      </c>
      <c r="H81" s="10" t="s">
        <v>20760</v>
      </c>
      <c r="I81" s="10" t="s">
        <v>55</v>
      </c>
      <c r="K81" s="10" t="s">
        <v>20596</v>
      </c>
      <c r="L81" s="10" t="s">
        <v>42</v>
      </c>
    </row>
    <row r="82" ht="15.75" customHeight="1">
      <c r="A82" s="66">
        <v>45498.0</v>
      </c>
      <c r="B82" s="55" t="str">
        <f>HYPERLINK("https://jobright.ai/jobs/info/66a1afea099e1efc505308b3?utm_campaign=1058&amp;utm_source=sheet", "Apply")</f>
        <v>Apply</v>
      </c>
      <c r="C82" s="10" t="s">
        <v>20594</v>
      </c>
      <c r="D82" s="56" t="s">
        <v>20595</v>
      </c>
      <c r="E82" s="10" t="s">
        <v>45</v>
      </c>
      <c r="F82" s="10" t="s">
        <v>3811</v>
      </c>
      <c r="G82" s="10" t="s">
        <v>20592</v>
      </c>
      <c r="H82" s="10" t="s">
        <v>20761</v>
      </c>
      <c r="I82" s="10" t="s">
        <v>55</v>
      </c>
      <c r="K82" s="10" t="s">
        <v>20596</v>
      </c>
      <c r="L82" s="10" t="s">
        <v>42</v>
      </c>
    </row>
    <row r="83" ht="15.75" customHeight="1">
      <c r="A83" s="66">
        <v>45498.0</v>
      </c>
      <c r="B83" s="55" t="str">
        <f>HYPERLINK("https://jobright.ai/jobs/info/66a1afea099e1efc505308ba?utm_campaign=1058&amp;utm_source=sheet", "Apply")</f>
        <v>Apply</v>
      </c>
      <c r="C83" s="10" t="s">
        <v>20594</v>
      </c>
      <c r="D83" s="56" t="s">
        <v>20595</v>
      </c>
      <c r="E83" s="10" t="s">
        <v>45</v>
      </c>
      <c r="F83" s="10" t="s">
        <v>3811</v>
      </c>
      <c r="G83" s="10" t="s">
        <v>20592</v>
      </c>
      <c r="H83" s="10" t="s">
        <v>4073</v>
      </c>
      <c r="I83" s="10" t="s">
        <v>55</v>
      </c>
      <c r="K83" s="10" t="s">
        <v>20596</v>
      </c>
      <c r="L83" s="10" t="s">
        <v>42</v>
      </c>
    </row>
    <row r="84" ht="15.75" customHeight="1">
      <c r="A84" s="66">
        <v>45498.0</v>
      </c>
      <c r="B84" s="55" t="str">
        <f>HYPERLINK("https://jobright.ai/jobs/info/66a1b4f5349d237c2fa6c074?utm_campaign=1058&amp;utm_source=sheet", "Apply")</f>
        <v>Apply</v>
      </c>
      <c r="C84" s="10" t="s">
        <v>20594</v>
      </c>
      <c r="D84" s="56" t="s">
        <v>20595</v>
      </c>
      <c r="E84" s="10" t="s">
        <v>45</v>
      </c>
      <c r="F84" s="10" t="s">
        <v>3811</v>
      </c>
      <c r="G84" s="10" t="s">
        <v>20592</v>
      </c>
      <c r="H84" s="10" t="s">
        <v>20002</v>
      </c>
      <c r="I84" s="10" t="s">
        <v>55</v>
      </c>
      <c r="K84" s="10" t="s">
        <v>20596</v>
      </c>
      <c r="L84" s="10" t="s">
        <v>42</v>
      </c>
    </row>
    <row r="85" ht="15.75" customHeight="1">
      <c r="A85" s="66">
        <v>45498.0</v>
      </c>
      <c r="B85" s="55" t="str">
        <f>HYPERLINK("https://jobright.ai/jobs/info/66a1aff1099e1efc50530930?utm_campaign=1058&amp;utm_source=sheet", "Apply")</f>
        <v>Apply</v>
      </c>
      <c r="C85" s="10" t="s">
        <v>20594</v>
      </c>
      <c r="D85" s="56" t="s">
        <v>20595</v>
      </c>
      <c r="E85" s="10" t="s">
        <v>45</v>
      </c>
      <c r="F85" s="10" t="s">
        <v>3811</v>
      </c>
      <c r="G85" s="10" t="s">
        <v>20592</v>
      </c>
      <c r="H85" s="10" t="s">
        <v>20762</v>
      </c>
      <c r="I85" s="10" t="s">
        <v>55</v>
      </c>
      <c r="K85" s="10" t="s">
        <v>20596</v>
      </c>
      <c r="L85" s="10" t="s">
        <v>42</v>
      </c>
    </row>
    <row r="86" ht="15.75" customHeight="1">
      <c r="A86" s="66">
        <v>45498.0</v>
      </c>
      <c r="B86" s="55" t="str">
        <f>HYPERLINK("https://jobright.ai/jobs/info/66a1b4fa349d237c2fa6c130?utm_campaign=1058&amp;utm_source=sheet", "Apply")</f>
        <v>Apply</v>
      </c>
      <c r="C86" s="10" t="s">
        <v>20594</v>
      </c>
      <c r="D86" s="56" t="s">
        <v>20595</v>
      </c>
      <c r="E86" s="10" t="s">
        <v>45</v>
      </c>
      <c r="F86" s="10" t="s">
        <v>3811</v>
      </c>
      <c r="G86" s="10" t="s">
        <v>20592</v>
      </c>
      <c r="H86" s="10" t="s">
        <v>20763</v>
      </c>
      <c r="I86" s="10" t="s">
        <v>55</v>
      </c>
      <c r="K86" s="10" t="s">
        <v>20596</v>
      </c>
      <c r="L86" s="10" t="s">
        <v>42</v>
      </c>
    </row>
    <row r="87" ht="15.75" customHeight="1">
      <c r="A87" s="66">
        <v>45498.0</v>
      </c>
      <c r="B87" s="55" t="str">
        <f>HYPERLINK("https://jobright.ai/jobs/info/66a1b4ff349d237c2fa6c1ef?utm_campaign=1058&amp;utm_source=sheet", "Apply")</f>
        <v>Apply</v>
      </c>
      <c r="C87" s="10" t="s">
        <v>20594</v>
      </c>
      <c r="D87" s="56" t="s">
        <v>20595</v>
      </c>
      <c r="E87" s="10" t="s">
        <v>45</v>
      </c>
      <c r="F87" s="10" t="s">
        <v>3811</v>
      </c>
      <c r="G87" s="10" t="s">
        <v>20592</v>
      </c>
      <c r="H87" s="10" t="s">
        <v>20764</v>
      </c>
      <c r="I87" s="10" t="s">
        <v>55</v>
      </c>
      <c r="K87" s="10" t="s">
        <v>20596</v>
      </c>
      <c r="L87" s="10" t="s">
        <v>42</v>
      </c>
    </row>
    <row r="88" ht="15.75" customHeight="1">
      <c r="A88" s="66">
        <v>45498.0</v>
      </c>
      <c r="B88" s="55" t="str">
        <f>HYPERLINK("https://jobright.ai/jobs/info/66a1b503349d237c2fa6c27b?utm_campaign=1058&amp;utm_source=sheet", "Apply")</f>
        <v>Apply</v>
      </c>
      <c r="C88" s="10" t="s">
        <v>20594</v>
      </c>
      <c r="D88" s="56" t="s">
        <v>20595</v>
      </c>
      <c r="E88" s="10" t="s">
        <v>45</v>
      </c>
      <c r="F88" s="10" t="s">
        <v>3811</v>
      </c>
      <c r="G88" s="10" t="s">
        <v>20592</v>
      </c>
      <c r="H88" s="10" t="s">
        <v>20765</v>
      </c>
      <c r="I88" s="10" t="s">
        <v>55</v>
      </c>
      <c r="K88" s="10" t="s">
        <v>20596</v>
      </c>
      <c r="L88" s="10" t="s">
        <v>42</v>
      </c>
    </row>
    <row r="89" ht="15.75" customHeight="1">
      <c r="A89" s="66">
        <v>45498.0</v>
      </c>
      <c r="B89" s="55" t="str">
        <f>HYPERLINK("https://jobright.ai/jobs/info/66a1b503349d237c2fa6c28f?utm_campaign=1058&amp;utm_source=sheet", "Apply")</f>
        <v>Apply</v>
      </c>
      <c r="C89" s="10" t="s">
        <v>20594</v>
      </c>
      <c r="D89" s="56" t="s">
        <v>20595</v>
      </c>
      <c r="E89" s="10" t="s">
        <v>45</v>
      </c>
      <c r="F89" s="10" t="s">
        <v>3811</v>
      </c>
      <c r="G89" s="10" t="s">
        <v>20592</v>
      </c>
      <c r="H89" s="10" t="s">
        <v>20766</v>
      </c>
      <c r="I89" s="10" t="s">
        <v>55</v>
      </c>
      <c r="K89" s="10" t="s">
        <v>20596</v>
      </c>
      <c r="L89" s="10" t="s">
        <v>42</v>
      </c>
    </row>
    <row r="90" ht="15.75" customHeight="1">
      <c r="A90" s="66">
        <v>45498.0</v>
      </c>
      <c r="B90" s="55" t="str">
        <f>HYPERLINK("https://jobright.ai/jobs/info/669ea8f60d86c6d524e485b6?utm_campaign=1058&amp;utm_source=sheet", "Apply")</f>
        <v>Apply</v>
      </c>
      <c r="C90" s="10" t="s">
        <v>20767</v>
      </c>
      <c r="D90" s="56" t="s">
        <v>20768</v>
      </c>
      <c r="E90" s="10" t="s">
        <v>137</v>
      </c>
      <c r="F90" s="10" t="s">
        <v>14336</v>
      </c>
      <c r="G90" s="10" t="s">
        <v>20624</v>
      </c>
      <c r="H90" s="10" t="s">
        <v>1036</v>
      </c>
      <c r="I90" s="10" t="s">
        <v>55</v>
      </c>
      <c r="K90" s="10" t="s">
        <v>20769</v>
      </c>
      <c r="L90" s="10" t="s">
        <v>42</v>
      </c>
    </row>
    <row r="91" ht="15.75" customHeight="1">
      <c r="A91" s="66">
        <v>45498.0</v>
      </c>
      <c r="B91" s="55" t="str">
        <f>HYPERLINK("https://jobright.ai/jobs/info/66a1a9ccc21cf5f1f4e2e601?utm_campaign=1058&amp;utm_source=sheet", "Apply")</f>
        <v>Apply</v>
      </c>
      <c r="C91" s="10" t="s">
        <v>20743</v>
      </c>
      <c r="D91" s="56" t="s">
        <v>20744</v>
      </c>
      <c r="E91" s="10" t="s">
        <v>249</v>
      </c>
      <c r="F91" s="10" t="s">
        <v>2964</v>
      </c>
      <c r="G91" s="10" t="s">
        <v>20609</v>
      </c>
      <c r="H91" s="10" t="s">
        <v>16489</v>
      </c>
      <c r="I91" s="10" t="s">
        <v>55</v>
      </c>
      <c r="K91" s="10" t="s">
        <v>20770</v>
      </c>
      <c r="L91" s="10" t="s">
        <v>42</v>
      </c>
    </row>
    <row r="92" ht="15.75" customHeight="1">
      <c r="A92" s="66">
        <v>45498.0</v>
      </c>
      <c r="B92" s="55" t="str">
        <f>HYPERLINK("https://jobright.ai/jobs/info/66a35752b1561ee63493e791?utm_campaign=1058&amp;utm_source=sheet", "Apply")</f>
        <v>Apply</v>
      </c>
      <c r="C92" s="10" t="s">
        <v>20771</v>
      </c>
      <c r="D92" s="56" t="s">
        <v>1675</v>
      </c>
      <c r="E92" s="10" t="s">
        <v>45</v>
      </c>
      <c r="F92" s="10" t="s">
        <v>1676</v>
      </c>
      <c r="G92" s="10" t="s">
        <v>20592</v>
      </c>
      <c r="H92" s="10" t="s">
        <v>1677</v>
      </c>
      <c r="I92" s="10" t="s">
        <v>55</v>
      </c>
      <c r="J92" s="10" t="s">
        <v>20772</v>
      </c>
      <c r="K92" s="10" t="s">
        <v>20773</v>
      </c>
      <c r="L92" s="10" t="s">
        <v>42</v>
      </c>
    </row>
    <row r="93" ht="15.75" customHeight="1">
      <c r="A93" s="66">
        <v>45498.0</v>
      </c>
      <c r="B93" s="55" t="str">
        <f>HYPERLINK("https://jobright.ai/jobs/info/66a35752b1561ee63493e790?utm_campaign=1058&amp;utm_source=sheet", "Apply")</f>
        <v>Apply</v>
      </c>
      <c r="C93" s="10" t="s">
        <v>20774</v>
      </c>
      <c r="D93" s="56" t="s">
        <v>1675</v>
      </c>
      <c r="E93" s="10" t="s">
        <v>45</v>
      </c>
      <c r="F93" s="10" t="s">
        <v>1676</v>
      </c>
      <c r="G93" s="10" t="s">
        <v>20609</v>
      </c>
      <c r="H93" s="10" t="s">
        <v>1677</v>
      </c>
      <c r="I93" s="10" t="s">
        <v>55</v>
      </c>
      <c r="J93" s="10" t="s">
        <v>20772</v>
      </c>
      <c r="K93" s="10" t="s">
        <v>20775</v>
      </c>
      <c r="L93" s="10" t="s">
        <v>42</v>
      </c>
    </row>
    <row r="94" ht="15.75" customHeight="1">
      <c r="A94" s="66">
        <v>45498.0</v>
      </c>
      <c r="B94" s="55" t="str">
        <f>HYPERLINK("https://jobright.ai/jobs/info/66a35752b1561ee63493e79b?utm_campaign=1058&amp;utm_source=sheet", "Apply")</f>
        <v>Apply</v>
      </c>
      <c r="C94" s="10" t="s">
        <v>20771</v>
      </c>
      <c r="D94" s="56" t="s">
        <v>1675</v>
      </c>
      <c r="E94" s="10" t="s">
        <v>45</v>
      </c>
      <c r="F94" s="10" t="s">
        <v>1676</v>
      </c>
      <c r="G94" s="10" t="s">
        <v>20592</v>
      </c>
      <c r="H94" s="10" t="s">
        <v>1677</v>
      </c>
      <c r="I94" s="10" t="s">
        <v>55</v>
      </c>
      <c r="J94" s="10" t="s">
        <v>20772</v>
      </c>
      <c r="K94" s="10" t="s">
        <v>20776</v>
      </c>
      <c r="L94" s="10" t="s">
        <v>42</v>
      </c>
    </row>
    <row r="95" ht="15.75" customHeight="1">
      <c r="A95" s="66">
        <v>45497.0</v>
      </c>
      <c r="B95" s="55" t="str">
        <f>HYPERLINK("https://jobright.ai/jobs/info/66a19af879b79d29681d64f6?utm_campaign=1058&amp;utm_source=sheet", "Apply")</f>
        <v>Apply</v>
      </c>
      <c r="C95" s="10" t="s">
        <v>20777</v>
      </c>
      <c r="D95" s="56" t="s">
        <v>20778</v>
      </c>
      <c r="E95" s="10" t="s">
        <v>137</v>
      </c>
      <c r="F95" s="10" t="s">
        <v>2119</v>
      </c>
      <c r="G95" s="10" t="s">
        <v>20609</v>
      </c>
      <c r="H95" s="10" t="s">
        <v>167</v>
      </c>
      <c r="I95" s="10" t="s">
        <v>48</v>
      </c>
      <c r="K95" s="10" t="s">
        <v>20779</v>
      </c>
      <c r="L95" s="10" t="s">
        <v>42</v>
      </c>
    </row>
    <row r="96" ht="15.75" customHeight="1">
      <c r="A96" s="66">
        <v>45497.0</v>
      </c>
      <c r="B96" s="55" t="str">
        <f>HYPERLINK("https://jobright.ai/jobs/info/66a19b0379b79d29681d6520?utm_campaign=1058&amp;utm_source=sheet", "Apply")</f>
        <v>Apply</v>
      </c>
      <c r="C96" s="10" t="s">
        <v>20780</v>
      </c>
      <c r="D96" s="56" t="s">
        <v>20697</v>
      </c>
      <c r="E96" s="10" t="s">
        <v>209</v>
      </c>
      <c r="F96" s="10" t="s">
        <v>2617</v>
      </c>
      <c r="G96" s="10" t="s">
        <v>20592</v>
      </c>
      <c r="H96" s="10" t="s">
        <v>20781</v>
      </c>
      <c r="I96" s="10" t="s">
        <v>55</v>
      </c>
      <c r="J96" s="10" t="s">
        <v>20698</v>
      </c>
      <c r="K96" s="10" t="s">
        <v>20699</v>
      </c>
      <c r="L96" s="10" t="s">
        <v>42</v>
      </c>
    </row>
    <row r="97" ht="15.75" customHeight="1">
      <c r="A97" s="66">
        <v>45497.0</v>
      </c>
      <c r="B97" s="55" t="str">
        <f>HYPERLINK("https://jobright.ai/jobs/info/66a18566ec62c1887db9eaf9?utm_campaign=1058&amp;utm_source=sheet", "Apply")</f>
        <v>Apply</v>
      </c>
      <c r="C97" s="10" t="s">
        <v>20611</v>
      </c>
      <c r="D97" s="56" t="s">
        <v>11095</v>
      </c>
      <c r="E97" s="10" t="s">
        <v>45</v>
      </c>
      <c r="F97" s="10" t="s">
        <v>11096</v>
      </c>
      <c r="G97" s="10" t="s">
        <v>20592</v>
      </c>
      <c r="H97" s="10" t="s">
        <v>661</v>
      </c>
      <c r="I97" s="10" t="s">
        <v>55</v>
      </c>
      <c r="J97" s="10" t="s">
        <v>1165</v>
      </c>
      <c r="K97" s="10" t="s">
        <v>20613</v>
      </c>
      <c r="L97" s="10" t="s">
        <v>42</v>
      </c>
    </row>
    <row r="98" ht="15.75" customHeight="1">
      <c r="A98" s="66">
        <v>45497.0</v>
      </c>
      <c r="B98" s="55" t="str">
        <f>HYPERLINK("https://jobright.ai/jobs/info/66a1a9ccc21cf5f1f4e2e655?utm_campaign=1058&amp;utm_source=sheet", "Apply")</f>
        <v>Apply</v>
      </c>
      <c r="C98" s="10" t="s">
        <v>20782</v>
      </c>
      <c r="D98" s="56" t="s">
        <v>1707</v>
      </c>
      <c r="E98" s="10" t="s">
        <v>45</v>
      </c>
      <c r="F98" s="10" t="s">
        <v>1708</v>
      </c>
      <c r="G98" s="10" t="s">
        <v>20624</v>
      </c>
      <c r="H98" s="10" t="s">
        <v>20783</v>
      </c>
      <c r="I98" s="10" t="s">
        <v>55</v>
      </c>
      <c r="K98" s="10" t="s">
        <v>20784</v>
      </c>
      <c r="L98" s="10" t="s">
        <v>42</v>
      </c>
    </row>
    <row r="99" ht="15.75" customHeight="1">
      <c r="A99" s="66">
        <v>45497.0</v>
      </c>
      <c r="B99" s="55" t="str">
        <f>HYPERLINK("https://jobright.ai/jobs/info/66a184b5e6f51d676c026a2c?utm_campaign=1058&amp;utm_source=sheet", "Apply")</f>
        <v>Apply</v>
      </c>
      <c r="C99" s="10" t="s">
        <v>20785</v>
      </c>
      <c r="D99" s="56" t="s">
        <v>20786</v>
      </c>
      <c r="E99" s="10" t="s">
        <v>45</v>
      </c>
      <c r="F99" s="10" t="s">
        <v>7760</v>
      </c>
      <c r="G99" s="10" t="s">
        <v>20624</v>
      </c>
      <c r="H99" s="10" t="s">
        <v>856</v>
      </c>
      <c r="I99" s="10" t="s">
        <v>55</v>
      </c>
      <c r="K99" s="10" t="s">
        <v>20787</v>
      </c>
      <c r="L99" s="10" t="s">
        <v>42</v>
      </c>
    </row>
    <row r="100" ht="15.75" customHeight="1">
      <c r="A100" s="66">
        <v>45497.0</v>
      </c>
      <c r="B100" s="55" t="str">
        <f>HYPERLINK("https://jobright.ai/jobs/info/66a12be834afed6024626bd3?utm_campaign=1058&amp;utm_source=sheet", "Apply")</f>
        <v>Apply</v>
      </c>
      <c r="C100" s="10" t="s">
        <v>20788</v>
      </c>
      <c r="D100" s="56" t="s">
        <v>363</v>
      </c>
      <c r="E100" s="10" t="s">
        <v>209</v>
      </c>
      <c r="F100" s="10" t="s">
        <v>364</v>
      </c>
      <c r="G100" s="10" t="s">
        <v>20609</v>
      </c>
      <c r="H100" s="10" t="s">
        <v>365</v>
      </c>
      <c r="I100" s="10" t="s">
        <v>48</v>
      </c>
      <c r="J100" s="10" t="s">
        <v>366</v>
      </c>
      <c r="K100" s="10" t="s">
        <v>20789</v>
      </c>
      <c r="L100" s="10" t="s">
        <v>42</v>
      </c>
    </row>
    <row r="101" ht="15.75" customHeight="1">
      <c r="A101" s="66">
        <v>45497.0</v>
      </c>
      <c r="B101" s="55" t="str">
        <f>HYPERLINK("https://jobright.ai/jobs/info/66a111fb4237786245447430?utm_campaign=1058&amp;utm_source=sheet", "Apply")</f>
        <v>Apply</v>
      </c>
      <c r="C101" s="10" t="s">
        <v>20790</v>
      </c>
      <c r="D101" s="56" t="s">
        <v>11095</v>
      </c>
      <c r="E101" s="10" t="s">
        <v>45</v>
      </c>
      <c r="F101" s="10" t="s">
        <v>11096</v>
      </c>
      <c r="G101" s="10" t="s">
        <v>20592</v>
      </c>
      <c r="H101" s="10" t="s">
        <v>20791</v>
      </c>
      <c r="I101" s="10" t="s">
        <v>55</v>
      </c>
      <c r="J101" s="10" t="s">
        <v>1165</v>
      </c>
      <c r="K101" s="10" t="s">
        <v>20613</v>
      </c>
      <c r="L101" s="10" t="s">
        <v>42</v>
      </c>
    </row>
    <row r="102" ht="15.75" customHeight="1">
      <c r="A102" s="66">
        <v>45497.0</v>
      </c>
      <c r="B102" s="55" t="str">
        <f>HYPERLINK("https://jobright.ai/jobs/info/66a111fb4237786245447443?utm_campaign=1058&amp;utm_source=sheet", "Apply")</f>
        <v>Apply</v>
      </c>
      <c r="C102" s="10" t="s">
        <v>20611</v>
      </c>
      <c r="D102" s="56" t="s">
        <v>11095</v>
      </c>
      <c r="E102" s="10" t="s">
        <v>45</v>
      </c>
      <c r="F102" s="10" t="s">
        <v>11096</v>
      </c>
      <c r="G102" s="10" t="s">
        <v>20592</v>
      </c>
      <c r="H102" s="10" t="s">
        <v>935</v>
      </c>
      <c r="I102" s="10" t="s">
        <v>55</v>
      </c>
      <c r="J102" s="10" t="s">
        <v>1165</v>
      </c>
      <c r="K102" s="10" t="s">
        <v>20613</v>
      </c>
      <c r="L102" s="10" t="s">
        <v>42</v>
      </c>
    </row>
    <row r="103" ht="15.75" customHeight="1">
      <c r="A103" s="66">
        <v>45497.0</v>
      </c>
      <c r="B103" s="55" t="str">
        <f>HYPERLINK("https://jobright.ai/jobs/info/66a10e6677417df7b9f091cd?utm_campaign=1058&amp;utm_source=sheet", "Apply")</f>
        <v>Apply</v>
      </c>
      <c r="C103" s="10" t="s">
        <v>20792</v>
      </c>
      <c r="D103" s="56" t="s">
        <v>20793</v>
      </c>
      <c r="E103" s="10" t="s">
        <v>249</v>
      </c>
      <c r="F103" s="10" t="s">
        <v>2409</v>
      </c>
      <c r="G103" s="10" t="s">
        <v>20624</v>
      </c>
      <c r="H103" s="10" t="s">
        <v>1328</v>
      </c>
      <c r="I103" s="10" t="s">
        <v>55</v>
      </c>
      <c r="J103" s="10" t="s">
        <v>1409</v>
      </c>
      <c r="K103" s="10" t="s">
        <v>20794</v>
      </c>
      <c r="L103" s="10" t="s">
        <v>42</v>
      </c>
    </row>
    <row r="104" ht="15.75" customHeight="1">
      <c r="A104" s="66">
        <v>45497.0</v>
      </c>
      <c r="B104" s="55" t="str">
        <f>HYPERLINK("https://jobright.ai/jobs/info/667b5c07144544f4c57b5216?utm_campaign=1058&amp;utm_source=sheet", "Apply")</f>
        <v>Apply</v>
      </c>
      <c r="C104" s="10" t="s">
        <v>20795</v>
      </c>
      <c r="D104" s="56" t="s">
        <v>13236</v>
      </c>
      <c r="E104" s="10" t="s">
        <v>249</v>
      </c>
      <c r="F104" s="10" t="s">
        <v>13237</v>
      </c>
      <c r="G104" s="10" t="s">
        <v>20609</v>
      </c>
      <c r="H104" s="10" t="s">
        <v>3218</v>
      </c>
      <c r="I104" s="10" t="s">
        <v>48</v>
      </c>
      <c r="K104" s="10" t="s">
        <v>20796</v>
      </c>
      <c r="L104" s="10" t="s">
        <v>42</v>
      </c>
    </row>
    <row r="105" ht="15.75" customHeight="1">
      <c r="A105" s="66">
        <v>45497.0</v>
      </c>
      <c r="B105" s="55" t="str">
        <f>HYPERLINK("https://jobright.ai/jobs/info/66a3a1bc4764b8fc86218f7d?utm_campaign=1058&amp;utm_source=sheet", "Apply")</f>
        <v>Apply</v>
      </c>
      <c r="C105" s="10" t="s">
        <v>20611</v>
      </c>
      <c r="D105" s="56" t="s">
        <v>11095</v>
      </c>
      <c r="E105" s="10" t="s">
        <v>45</v>
      </c>
      <c r="F105" s="10" t="s">
        <v>11096</v>
      </c>
      <c r="G105" s="10" t="s">
        <v>20592</v>
      </c>
      <c r="H105" s="10" t="s">
        <v>20797</v>
      </c>
      <c r="I105" s="10" t="s">
        <v>55</v>
      </c>
      <c r="J105" s="10" t="s">
        <v>20664</v>
      </c>
      <c r="K105" s="10" t="s">
        <v>20613</v>
      </c>
      <c r="L105" s="10" t="s">
        <v>42</v>
      </c>
    </row>
    <row r="106" ht="15.75" customHeight="1">
      <c r="A106" s="66">
        <v>45497.0</v>
      </c>
      <c r="B106" s="55" t="str">
        <f>HYPERLINK("https://jobright.ai/jobs/info/66a23e0c591ddbc27da15d80?utm_campaign=1058&amp;utm_source=sheet", "Apply")</f>
        <v>Apply</v>
      </c>
      <c r="C106" s="10" t="s">
        <v>20798</v>
      </c>
      <c r="D106" s="56" t="s">
        <v>196</v>
      </c>
      <c r="E106" s="10" t="s">
        <v>71</v>
      </c>
      <c r="F106" s="10" t="s">
        <v>197</v>
      </c>
      <c r="G106" s="10" t="s">
        <v>20592</v>
      </c>
      <c r="H106" s="10" t="s">
        <v>20799</v>
      </c>
      <c r="I106" s="10" t="s">
        <v>55</v>
      </c>
      <c r="K106" s="10" t="s">
        <v>20800</v>
      </c>
      <c r="L106" s="10" t="s">
        <v>42</v>
      </c>
    </row>
    <row r="107" ht="15.75" customHeight="1">
      <c r="A107" s="66">
        <v>45497.0</v>
      </c>
      <c r="B107" s="55" t="str">
        <f>HYPERLINK("https://jobright.ai/jobs/info/6684e4cbb57bbac4cad72545?utm_campaign=1058&amp;utm_source=sheet", "Apply")</f>
        <v>Apply</v>
      </c>
      <c r="C107" s="10" t="s">
        <v>20611</v>
      </c>
      <c r="D107" s="56" t="s">
        <v>11095</v>
      </c>
      <c r="E107" s="10" t="s">
        <v>45</v>
      </c>
      <c r="F107" s="10" t="s">
        <v>11096</v>
      </c>
      <c r="G107" s="10" t="s">
        <v>20592</v>
      </c>
      <c r="H107" s="10" t="s">
        <v>996</v>
      </c>
      <c r="I107" s="10" t="s">
        <v>55</v>
      </c>
      <c r="J107" s="10" t="s">
        <v>20664</v>
      </c>
      <c r="K107" s="10" t="s">
        <v>20613</v>
      </c>
      <c r="L107" s="10" t="s">
        <v>42</v>
      </c>
    </row>
    <row r="108" ht="15.75" customHeight="1">
      <c r="A108" s="66">
        <v>45497.0</v>
      </c>
      <c r="B108" s="55" t="str">
        <f>HYPERLINK("https://jobright.ai/jobs/info/6684d0c1722afc8d603ee546?utm_campaign=1058&amp;utm_source=sheet", "Apply")</f>
        <v>Apply</v>
      </c>
      <c r="C108" s="10" t="s">
        <v>20801</v>
      </c>
      <c r="D108" s="56" t="s">
        <v>20802</v>
      </c>
      <c r="E108" s="10" t="s">
        <v>276</v>
      </c>
      <c r="F108" s="10" t="s">
        <v>331</v>
      </c>
      <c r="G108" s="10" t="s">
        <v>20609</v>
      </c>
      <c r="H108" s="10" t="s">
        <v>605</v>
      </c>
      <c r="I108" s="10" t="s">
        <v>55</v>
      </c>
      <c r="J108" s="10" t="s">
        <v>1409</v>
      </c>
      <c r="K108" s="10" t="s">
        <v>20803</v>
      </c>
      <c r="L108" s="10" t="s">
        <v>42</v>
      </c>
    </row>
    <row r="109" ht="15.75" customHeight="1">
      <c r="A109" s="66">
        <v>45497.0</v>
      </c>
      <c r="B109" s="55" t="str">
        <f>HYPERLINK("https://jobright.ai/jobs/info/6683f2343277bfbb22b48bbd?utm_campaign=1058&amp;utm_source=sheet", "Apply")</f>
        <v>Apply</v>
      </c>
      <c r="C109" s="10" t="s">
        <v>20611</v>
      </c>
      <c r="D109" s="56" t="s">
        <v>11095</v>
      </c>
      <c r="E109" s="10" t="s">
        <v>45</v>
      </c>
      <c r="F109" s="10" t="s">
        <v>11096</v>
      </c>
      <c r="G109" s="10" t="s">
        <v>20592</v>
      </c>
      <c r="H109" s="10" t="s">
        <v>11927</v>
      </c>
      <c r="I109" s="10" t="s">
        <v>55</v>
      </c>
      <c r="J109" s="10" t="s">
        <v>20664</v>
      </c>
      <c r="K109" s="10" t="s">
        <v>20613</v>
      </c>
      <c r="L109" s="10" t="s">
        <v>42</v>
      </c>
    </row>
    <row r="110" ht="15.75" customHeight="1">
      <c r="A110" s="66">
        <v>45497.0</v>
      </c>
      <c r="B110" s="55" t="str">
        <f>HYPERLINK("https://jobright.ai/jobs/info/66848daff77b2c8f7053f307?utm_campaign=1058&amp;utm_source=sheet", "Apply")</f>
        <v>Apply</v>
      </c>
      <c r="C110" s="10" t="s">
        <v>20611</v>
      </c>
      <c r="D110" s="56" t="s">
        <v>11095</v>
      </c>
      <c r="E110" s="10" t="s">
        <v>45</v>
      </c>
      <c r="F110" s="10" t="s">
        <v>11096</v>
      </c>
      <c r="G110" s="10" t="s">
        <v>20592</v>
      </c>
      <c r="H110" s="10" t="s">
        <v>168</v>
      </c>
      <c r="I110" s="10" t="s">
        <v>55</v>
      </c>
      <c r="J110" s="10" t="s">
        <v>20664</v>
      </c>
      <c r="K110" s="10" t="s">
        <v>20613</v>
      </c>
      <c r="L110" s="10" t="s">
        <v>42</v>
      </c>
    </row>
    <row r="111" ht="15.75" customHeight="1">
      <c r="A111" s="66">
        <v>45497.0</v>
      </c>
      <c r="B111" s="55" t="str">
        <f>HYPERLINK("https://jobright.ai/jobs/info/668543edf9a1794ebc977e6e?utm_campaign=1058&amp;utm_source=sheet", "Apply")</f>
        <v>Apply</v>
      </c>
      <c r="C111" s="10" t="s">
        <v>20611</v>
      </c>
      <c r="D111" s="56" t="s">
        <v>11095</v>
      </c>
      <c r="E111" s="10" t="s">
        <v>45</v>
      </c>
      <c r="F111" s="10" t="s">
        <v>11096</v>
      </c>
      <c r="G111" s="10" t="s">
        <v>20592</v>
      </c>
      <c r="H111" s="10" t="s">
        <v>20804</v>
      </c>
      <c r="I111" s="10" t="s">
        <v>55</v>
      </c>
      <c r="J111" s="10" t="s">
        <v>20664</v>
      </c>
      <c r="K111" s="10" t="s">
        <v>20613</v>
      </c>
      <c r="L111" s="10" t="s">
        <v>42</v>
      </c>
    </row>
    <row r="112" ht="15.75" customHeight="1">
      <c r="A112" s="66">
        <v>45497.0</v>
      </c>
      <c r="B112" s="55" t="str">
        <f>HYPERLINK("https://jobright.ai/jobs/info/6686ac2c114345e05a6c55a2?utm_campaign=1058&amp;utm_source=sheet", "Apply")</f>
        <v>Apply</v>
      </c>
      <c r="C112" s="10" t="s">
        <v>20805</v>
      </c>
      <c r="D112" s="56" t="s">
        <v>20806</v>
      </c>
      <c r="E112" s="10" t="s">
        <v>45</v>
      </c>
      <c r="F112" s="10" t="s">
        <v>20807</v>
      </c>
      <c r="G112" s="10" t="s">
        <v>20609</v>
      </c>
      <c r="H112" s="10" t="s">
        <v>326</v>
      </c>
      <c r="I112" s="10" t="s">
        <v>55</v>
      </c>
      <c r="K112" s="10" t="s">
        <v>20808</v>
      </c>
      <c r="L112" s="10" t="s">
        <v>42</v>
      </c>
    </row>
    <row r="113" ht="15.75" customHeight="1">
      <c r="A113" s="66">
        <v>45497.0</v>
      </c>
      <c r="B113" s="55" t="str">
        <f>HYPERLINK("https://jobright.ai/jobs/info/66a0bdc33e5497b3123d844b?utm_campaign=1058&amp;utm_source=sheet", "Apply")</f>
        <v>Apply</v>
      </c>
      <c r="C113" s="10" t="s">
        <v>20611</v>
      </c>
      <c r="D113" s="56" t="s">
        <v>11095</v>
      </c>
      <c r="E113" s="10" t="s">
        <v>45</v>
      </c>
      <c r="F113" s="10" t="s">
        <v>11096</v>
      </c>
      <c r="G113" s="10" t="s">
        <v>20592</v>
      </c>
      <c r="H113" s="10" t="s">
        <v>16744</v>
      </c>
      <c r="I113" s="10" t="s">
        <v>55</v>
      </c>
      <c r="J113" s="10" t="s">
        <v>20664</v>
      </c>
      <c r="K113" s="10" t="s">
        <v>20613</v>
      </c>
      <c r="L113" s="10" t="s">
        <v>42</v>
      </c>
    </row>
    <row r="114" ht="15.75" customHeight="1">
      <c r="A114" s="66">
        <v>45497.0</v>
      </c>
      <c r="B114" s="55" t="str">
        <f>HYPERLINK("https://jobright.ai/jobs/info/66a0b3a6716fe1907112f744?utm_campaign=1058&amp;utm_source=sheet", "Apply")</f>
        <v>Apply</v>
      </c>
      <c r="C114" s="10" t="s">
        <v>20809</v>
      </c>
      <c r="D114" s="56" t="s">
        <v>20810</v>
      </c>
      <c r="G114" s="10" t="s">
        <v>20592</v>
      </c>
      <c r="H114" s="10" t="s">
        <v>20811</v>
      </c>
      <c r="I114" s="10" t="s">
        <v>55</v>
      </c>
      <c r="K114" s="10" t="s">
        <v>20812</v>
      </c>
      <c r="L114" s="10" t="s">
        <v>42</v>
      </c>
    </row>
    <row r="115" ht="15.75" customHeight="1">
      <c r="A115" s="66">
        <v>45497.0</v>
      </c>
      <c r="B115" s="55" t="str">
        <f>HYPERLINK("https://jobright.ai/jobs/info/66a0b3ad716fe1907112f7d4?utm_campaign=1058&amp;utm_source=sheet", "Apply")</f>
        <v>Apply</v>
      </c>
      <c r="C115" s="10" t="s">
        <v>20813</v>
      </c>
      <c r="D115" s="56" t="s">
        <v>15315</v>
      </c>
      <c r="E115" s="10" t="s">
        <v>45</v>
      </c>
      <c r="F115" s="10" t="s">
        <v>15316</v>
      </c>
      <c r="G115" s="10" t="s">
        <v>20592</v>
      </c>
      <c r="H115" s="10" t="s">
        <v>20814</v>
      </c>
      <c r="I115" s="10" t="s">
        <v>55</v>
      </c>
      <c r="K115" s="10" t="s">
        <v>20815</v>
      </c>
      <c r="L115" s="10" t="s">
        <v>42</v>
      </c>
    </row>
    <row r="116" ht="15.75" customHeight="1">
      <c r="A116" s="66">
        <v>45497.0</v>
      </c>
      <c r="B116" s="55" t="str">
        <f>HYPERLINK("https://jobright.ai/jobs/info/66a090c4bc9d921ce56c8d82?utm_campaign=1058&amp;utm_source=sheet", "Apply")</f>
        <v>Apply</v>
      </c>
      <c r="C116" s="10" t="s">
        <v>20816</v>
      </c>
      <c r="D116" s="56" t="s">
        <v>15315</v>
      </c>
      <c r="E116" s="10" t="s">
        <v>45</v>
      </c>
      <c r="F116" s="10" t="s">
        <v>15316</v>
      </c>
      <c r="G116" s="10" t="s">
        <v>20624</v>
      </c>
      <c r="H116" s="10" t="s">
        <v>20817</v>
      </c>
      <c r="I116" s="10" t="s">
        <v>55</v>
      </c>
      <c r="K116" s="10" t="s">
        <v>20815</v>
      </c>
      <c r="L116" s="10" t="s">
        <v>42</v>
      </c>
    </row>
    <row r="117" ht="15.75" customHeight="1">
      <c r="A117" s="66">
        <v>45497.0</v>
      </c>
      <c r="B117" s="55" t="str">
        <f>HYPERLINK("https://jobright.ai/jobs/info/66a11627de97f55c0168f843?utm_campaign=1058&amp;utm_source=sheet", "Apply")</f>
        <v>Apply</v>
      </c>
      <c r="C117" s="10" t="s">
        <v>20643</v>
      </c>
      <c r="D117" s="56" t="s">
        <v>20644</v>
      </c>
      <c r="E117" s="10" t="s">
        <v>45</v>
      </c>
      <c r="F117" s="10" t="s">
        <v>20645</v>
      </c>
      <c r="G117" s="10" t="s">
        <v>20592</v>
      </c>
      <c r="H117" s="10" t="s">
        <v>765</v>
      </c>
      <c r="I117" s="10" t="s">
        <v>55</v>
      </c>
      <c r="K117" s="10" t="s">
        <v>20647</v>
      </c>
      <c r="L117" s="10" t="s">
        <v>42</v>
      </c>
    </row>
    <row r="118" ht="15.75" customHeight="1">
      <c r="A118" s="66">
        <v>45497.0</v>
      </c>
      <c r="B118" s="55" t="str">
        <f>HYPERLINK("https://jobright.ai/jobs/info/66a1badd91191f45df57dd02?utm_campaign=1058&amp;utm_source=sheet", "Apply")</f>
        <v>Apply</v>
      </c>
      <c r="C118" s="10" t="s">
        <v>20818</v>
      </c>
      <c r="D118" s="56" t="s">
        <v>20819</v>
      </c>
      <c r="E118" s="10" t="s">
        <v>79</v>
      </c>
      <c r="F118" s="10" t="s">
        <v>20820</v>
      </c>
      <c r="G118" s="10" t="s">
        <v>20624</v>
      </c>
      <c r="H118" s="10" t="s">
        <v>723</v>
      </c>
      <c r="I118" s="10" t="s">
        <v>55</v>
      </c>
      <c r="K118" s="10" t="s">
        <v>20821</v>
      </c>
      <c r="L118" s="10" t="s">
        <v>42</v>
      </c>
    </row>
    <row r="119" ht="15.75" customHeight="1">
      <c r="A119" s="66">
        <v>45497.0</v>
      </c>
      <c r="B119" s="55" t="str">
        <f>HYPERLINK("https://jobright.ai/jobs/info/66a098d12cf08baabd689bee?utm_campaign=1058&amp;utm_source=sheet", "Apply")</f>
        <v>Apply</v>
      </c>
      <c r="C119" s="10" t="s">
        <v>20594</v>
      </c>
      <c r="D119" s="56" t="s">
        <v>20595</v>
      </c>
      <c r="E119" s="10" t="s">
        <v>45</v>
      </c>
      <c r="F119" s="10" t="s">
        <v>3811</v>
      </c>
      <c r="G119" s="10" t="s">
        <v>20592</v>
      </c>
      <c r="H119" s="10" t="s">
        <v>20822</v>
      </c>
      <c r="I119" s="10" t="s">
        <v>55</v>
      </c>
      <c r="K119" s="10" t="s">
        <v>20596</v>
      </c>
      <c r="L119" s="10" t="s">
        <v>42</v>
      </c>
    </row>
    <row r="120" ht="15.75" customHeight="1">
      <c r="A120" s="66">
        <v>45497.0</v>
      </c>
      <c r="B120" s="55" t="str">
        <f>HYPERLINK("https://jobright.ai/jobs/info/66a07935f493ff248a603553?utm_campaign=1058&amp;utm_source=sheet", "Apply")</f>
        <v>Apply</v>
      </c>
      <c r="C120" s="10" t="s">
        <v>20594</v>
      </c>
      <c r="D120" s="56" t="s">
        <v>20595</v>
      </c>
      <c r="E120" s="10" t="s">
        <v>45</v>
      </c>
      <c r="F120" s="10" t="s">
        <v>3811</v>
      </c>
      <c r="G120" s="10" t="s">
        <v>20592</v>
      </c>
      <c r="H120" s="10" t="s">
        <v>11168</v>
      </c>
      <c r="I120" s="10" t="s">
        <v>55</v>
      </c>
      <c r="K120" s="10" t="s">
        <v>20596</v>
      </c>
      <c r="L120" s="10" t="s">
        <v>42</v>
      </c>
    </row>
    <row r="121" ht="15.75" customHeight="1">
      <c r="A121" s="66">
        <v>45497.0</v>
      </c>
      <c r="B121" s="55" t="str">
        <f>HYPERLINK("https://jobright.ai/jobs/info/66a07935f493ff248a603557?utm_campaign=1058&amp;utm_source=sheet", "Apply")</f>
        <v>Apply</v>
      </c>
      <c r="C121" s="10" t="s">
        <v>20594</v>
      </c>
      <c r="D121" s="56" t="s">
        <v>20595</v>
      </c>
      <c r="E121" s="10" t="s">
        <v>45</v>
      </c>
      <c r="F121" s="10" t="s">
        <v>3811</v>
      </c>
      <c r="G121" s="10" t="s">
        <v>20592</v>
      </c>
      <c r="H121" s="10" t="s">
        <v>20823</v>
      </c>
      <c r="I121" s="10" t="s">
        <v>55</v>
      </c>
      <c r="K121" s="10" t="s">
        <v>20596</v>
      </c>
      <c r="L121" s="10" t="s">
        <v>42</v>
      </c>
    </row>
    <row r="122" ht="15.75" customHeight="1">
      <c r="A122" s="66">
        <v>45497.0</v>
      </c>
      <c r="B122" s="55" t="str">
        <f>HYPERLINK("https://jobright.ai/jobs/info/66a07935f493ff248a60355b?utm_campaign=1058&amp;utm_source=sheet", "Apply")</f>
        <v>Apply</v>
      </c>
      <c r="C122" s="10" t="s">
        <v>20594</v>
      </c>
      <c r="D122" s="56" t="s">
        <v>20595</v>
      </c>
      <c r="E122" s="10" t="s">
        <v>45</v>
      </c>
      <c r="F122" s="10" t="s">
        <v>3811</v>
      </c>
      <c r="G122" s="10" t="s">
        <v>20592</v>
      </c>
      <c r="H122" s="10" t="s">
        <v>20824</v>
      </c>
      <c r="I122" s="10" t="s">
        <v>55</v>
      </c>
      <c r="K122" s="10" t="s">
        <v>20596</v>
      </c>
      <c r="L122" s="10" t="s">
        <v>42</v>
      </c>
    </row>
    <row r="123" ht="15.75" customHeight="1">
      <c r="A123" s="66">
        <v>45497.0</v>
      </c>
      <c r="B123" s="55" t="str">
        <f>HYPERLINK("https://jobright.ai/jobs/info/66a07935f493ff248a603558?utm_campaign=1058&amp;utm_source=sheet", "Apply")</f>
        <v>Apply</v>
      </c>
      <c r="C123" s="10" t="s">
        <v>20594</v>
      </c>
      <c r="D123" s="56" t="s">
        <v>20595</v>
      </c>
      <c r="E123" s="10" t="s">
        <v>45</v>
      </c>
      <c r="F123" s="10" t="s">
        <v>3811</v>
      </c>
      <c r="G123" s="10" t="s">
        <v>20592</v>
      </c>
      <c r="H123" s="10" t="s">
        <v>20825</v>
      </c>
      <c r="I123" s="10" t="s">
        <v>55</v>
      </c>
      <c r="K123" s="10" t="s">
        <v>20596</v>
      </c>
      <c r="L123" s="10" t="s">
        <v>42</v>
      </c>
    </row>
    <row r="124" ht="15.75" customHeight="1">
      <c r="A124" s="66">
        <v>45497.0</v>
      </c>
      <c r="B124" s="55" t="str">
        <f>HYPERLINK("https://jobright.ai/jobs/info/66a07935f493ff248a60355d?utm_campaign=1058&amp;utm_source=sheet", "Apply")</f>
        <v>Apply</v>
      </c>
      <c r="C124" s="10" t="s">
        <v>20594</v>
      </c>
      <c r="D124" s="56" t="s">
        <v>20595</v>
      </c>
      <c r="E124" s="10" t="s">
        <v>45</v>
      </c>
      <c r="F124" s="10" t="s">
        <v>3811</v>
      </c>
      <c r="G124" s="10" t="s">
        <v>20592</v>
      </c>
      <c r="H124" s="10" t="s">
        <v>20826</v>
      </c>
      <c r="I124" s="10" t="s">
        <v>55</v>
      </c>
      <c r="K124" s="10" t="s">
        <v>20596</v>
      </c>
      <c r="L124" s="10" t="s">
        <v>42</v>
      </c>
    </row>
    <row r="125" ht="15.75" customHeight="1">
      <c r="A125" s="66">
        <v>45497.0</v>
      </c>
      <c r="B125" s="55" t="str">
        <f>HYPERLINK("https://jobright.ai/jobs/info/66a07935f493ff248a603563?utm_campaign=1058&amp;utm_source=sheet", "Apply")</f>
        <v>Apply</v>
      </c>
      <c r="C125" s="10" t="s">
        <v>20594</v>
      </c>
      <c r="D125" s="56" t="s">
        <v>20595</v>
      </c>
      <c r="E125" s="10" t="s">
        <v>45</v>
      </c>
      <c r="F125" s="10" t="s">
        <v>3811</v>
      </c>
      <c r="G125" s="10" t="s">
        <v>20592</v>
      </c>
      <c r="H125" s="10" t="s">
        <v>20827</v>
      </c>
      <c r="I125" s="10" t="s">
        <v>55</v>
      </c>
      <c r="K125" s="10" t="s">
        <v>20596</v>
      </c>
      <c r="L125" s="10" t="s">
        <v>42</v>
      </c>
    </row>
    <row r="126" ht="15.75" customHeight="1">
      <c r="A126" s="66">
        <v>45497.0</v>
      </c>
      <c r="B126" s="55" t="str">
        <f>HYPERLINK("https://jobright.ai/jobs/info/66a07935f493ff248a60355c?utm_campaign=1058&amp;utm_source=sheet", "Apply")</f>
        <v>Apply</v>
      </c>
      <c r="C126" s="10" t="s">
        <v>20594</v>
      </c>
      <c r="D126" s="56" t="s">
        <v>20595</v>
      </c>
      <c r="E126" s="10" t="s">
        <v>45</v>
      </c>
      <c r="F126" s="10" t="s">
        <v>3811</v>
      </c>
      <c r="G126" s="10" t="s">
        <v>20592</v>
      </c>
      <c r="H126" s="10" t="s">
        <v>20828</v>
      </c>
      <c r="I126" s="10" t="s">
        <v>55</v>
      </c>
      <c r="K126" s="10" t="s">
        <v>20596</v>
      </c>
      <c r="L126" s="10" t="s">
        <v>42</v>
      </c>
    </row>
    <row r="127" ht="15.75" customHeight="1">
      <c r="A127" s="66">
        <v>45497.0</v>
      </c>
      <c r="B127" s="55" t="str">
        <f>HYPERLINK("https://jobright.ai/jobs/info/66a07935f493ff248a603564?utm_campaign=1058&amp;utm_source=sheet", "Apply")</f>
        <v>Apply</v>
      </c>
      <c r="C127" s="10" t="s">
        <v>20594</v>
      </c>
      <c r="D127" s="56" t="s">
        <v>20595</v>
      </c>
      <c r="E127" s="10" t="s">
        <v>45</v>
      </c>
      <c r="F127" s="10" t="s">
        <v>3811</v>
      </c>
      <c r="G127" s="10" t="s">
        <v>20592</v>
      </c>
      <c r="H127" s="10" t="s">
        <v>20829</v>
      </c>
      <c r="I127" s="10" t="s">
        <v>55</v>
      </c>
      <c r="K127" s="10" t="s">
        <v>20596</v>
      </c>
      <c r="L127" s="10" t="s">
        <v>42</v>
      </c>
    </row>
    <row r="128" ht="15.75" customHeight="1">
      <c r="A128" s="66">
        <v>45497.0</v>
      </c>
      <c r="B128" s="55" t="str">
        <f>HYPERLINK("https://jobright.ai/jobs/info/66a07935f493ff248a603565?utm_campaign=1058&amp;utm_source=sheet", "Apply")</f>
        <v>Apply</v>
      </c>
      <c r="C128" s="10" t="s">
        <v>20594</v>
      </c>
      <c r="D128" s="56" t="s">
        <v>20595</v>
      </c>
      <c r="E128" s="10" t="s">
        <v>45</v>
      </c>
      <c r="F128" s="10" t="s">
        <v>3811</v>
      </c>
      <c r="G128" s="10" t="s">
        <v>20592</v>
      </c>
      <c r="H128" s="10" t="s">
        <v>20830</v>
      </c>
      <c r="I128" s="10" t="s">
        <v>55</v>
      </c>
      <c r="K128" s="10" t="s">
        <v>20596</v>
      </c>
      <c r="L128" s="10" t="s">
        <v>42</v>
      </c>
    </row>
    <row r="129" ht="15.75" customHeight="1">
      <c r="A129" s="66">
        <v>45497.0</v>
      </c>
      <c r="B129" s="55" t="str">
        <f>HYPERLINK("https://jobright.ai/jobs/info/66a07935f493ff248a603567?utm_campaign=1058&amp;utm_source=sheet", "Apply")</f>
        <v>Apply</v>
      </c>
      <c r="C129" s="10" t="s">
        <v>20594</v>
      </c>
      <c r="D129" s="56" t="s">
        <v>20595</v>
      </c>
      <c r="E129" s="10" t="s">
        <v>45</v>
      </c>
      <c r="F129" s="10" t="s">
        <v>3811</v>
      </c>
      <c r="G129" s="10" t="s">
        <v>20592</v>
      </c>
      <c r="H129" s="10" t="s">
        <v>20831</v>
      </c>
      <c r="I129" s="10" t="s">
        <v>55</v>
      </c>
      <c r="K129" s="10" t="s">
        <v>20596</v>
      </c>
      <c r="L129" s="10" t="s">
        <v>42</v>
      </c>
    </row>
    <row r="130" ht="15.75" customHeight="1">
      <c r="A130" s="66">
        <v>45497.0</v>
      </c>
      <c r="B130" s="55" t="str">
        <f>HYPERLINK("https://jobright.ai/jobs/info/66a07935f493ff248a603569?utm_campaign=1058&amp;utm_source=sheet", "Apply")</f>
        <v>Apply</v>
      </c>
      <c r="C130" s="10" t="s">
        <v>20594</v>
      </c>
      <c r="D130" s="56" t="s">
        <v>20595</v>
      </c>
      <c r="E130" s="10" t="s">
        <v>45</v>
      </c>
      <c r="F130" s="10" t="s">
        <v>3811</v>
      </c>
      <c r="G130" s="10" t="s">
        <v>20592</v>
      </c>
      <c r="H130" s="10" t="s">
        <v>20832</v>
      </c>
      <c r="I130" s="10" t="s">
        <v>55</v>
      </c>
      <c r="K130" s="10" t="s">
        <v>20596</v>
      </c>
      <c r="L130" s="10" t="s">
        <v>42</v>
      </c>
    </row>
    <row r="131" ht="15.75" customHeight="1">
      <c r="A131" s="66">
        <v>45497.0</v>
      </c>
      <c r="B131" s="55" t="str">
        <f>HYPERLINK("https://jobright.ai/jobs/info/66a07935f493ff248a60356b?utm_campaign=1058&amp;utm_source=sheet", "Apply")</f>
        <v>Apply</v>
      </c>
      <c r="C131" s="10" t="s">
        <v>20594</v>
      </c>
      <c r="D131" s="56" t="s">
        <v>20595</v>
      </c>
      <c r="E131" s="10" t="s">
        <v>45</v>
      </c>
      <c r="F131" s="10" t="s">
        <v>3811</v>
      </c>
      <c r="G131" s="10" t="s">
        <v>20592</v>
      </c>
      <c r="H131" s="10" t="s">
        <v>20833</v>
      </c>
      <c r="I131" s="10" t="s">
        <v>55</v>
      </c>
      <c r="K131" s="10" t="s">
        <v>20596</v>
      </c>
      <c r="L131" s="10" t="s">
        <v>42</v>
      </c>
    </row>
    <row r="132" ht="15.75" customHeight="1">
      <c r="A132" s="66">
        <v>45497.0</v>
      </c>
      <c r="B132" s="55" t="str">
        <f>HYPERLINK("https://jobright.ai/jobs/info/66a07935f493ff248a60356d?utm_campaign=1058&amp;utm_source=sheet", "Apply")</f>
        <v>Apply</v>
      </c>
      <c r="C132" s="10" t="s">
        <v>20594</v>
      </c>
      <c r="D132" s="56" t="s">
        <v>20595</v>
      </c>
      <c r="E132" s="10" t="s">
        <v>45</v>
      </c>
      <c r="F132" s="10" t="s">
        <v>3811</v>
      </c>
      <c r="G132" s="10" t="s">
        <v>20592</v>
      </c>
      <c r="H132" s="10" t="s">
        <v>20834</v>
      </c>
      <c r="I132" s="10" t="s">
        <v>55</v>
      </c>
      <c r="K132" s="10" t="s">
        <v>20596</v>
      </c>
      <c r="L132" s="10" t="s">
        <v>42</v>
      </c>
    </row>
    <row r="133" ht="15.75" customHeight="1">
      <c r="A133" s="66">
        <v>45497.0</v>
      </c>
      <c r="B133" s="55" t="str">
        <f>HYPERLINK("https://jobright.ai/jobs/info/66a07935f493ff248a60356c?utm_campaign=1058&amp;utm_source=sheet", "Apply")</f>
        <v>Apply</v>
      </c>
      <c r="C133" s="10" t="s">
        <v>20594</v>
      </c>
      <c r="D133" s="56" t="s">
        <v>20595</v>
      </c>
      <c r="E133" s="10" t="s">
        <v>45</v>
      </c>
      <c r="F133" s="10" t="s">
        <v>3811</v>
      </c>
      <c r="G133" s="10" t="s">
        <v>20592</v>
      </c>
      <c r="H133" s="10" t="s">
        <v>20835</v>
      </c>
      <c r="I133" s="10" t="s">
        <v>55</v>
      </c>
      <c r="K133" s="10" t="s">
        <v>20596</v>
      </c>
      <c r="L133" s="10" t="s">
        <v>42</v>
      </c>
    </row>
    <row r="134" ht="15.75" customHeight="1">
      <c r="A134" s="66">
        <v>45497.0</v>
      </c>
      <c r="B134" s="55" t="str">
        <f>HYPERLINK("https://jobright.ai/jobs/info/66a07935f493ff248a60356f?utm_campaign=1058&amp;utm_source=sheet", "Apply")</f>
        <v>Apply</v>
      </c>
      <c r="C134" s="10" t="s">
        <v>20594</v>
      </c>
      <c r="D134" s="56" t="s">
        <v>20595</v>
      </c>
      <c r="E134" s="10" t="s">
        <v>45</v>
      </c>
      <c r="F134" s="10" t="s">
        <v>3811</v>
      </c>
      <c r="G134" s="10" t="s">
        <v>20592</v>
      </c>
      <c r="H134" s="10" t="s">
        <v>20836</v>
      </c>
      <c r="I134" s="10" t="s">
        <v>55</v>
      </c>
      <c r="K134" s="10" t="s">
        <v>20596</v>
      </c>
      <c r="L134" s="10" t="s">
        <v>42</v>
      </c>
    </row>
    <row r="135" ht="15.75" customHeight="1">
      <c r="A135" s="66">
        <v>45497.0</v>
      </c>
      <c r="B135" s="55" t="str">
        <f>HYPERLINK("https://jobright.ai/jobs/info/66a07935f493ff248a603576?utm_campaign=1058&amp;utm_source=sheet", "Apply")</f>
        <v>Apply</v>
      </c>
      <c r="C135" s="10" t="s">
        <v>20594</v>
      </c>
      <c r="D135" s="56" t="s">
        <v>20595</v>
      </c>
      <c r="E135" s="10" t="s">
        <v>45</v>
      </c>
      <c r="F135" s="10" t="s">
        <v>3811</v>
      </c>
      <c r="G135" s="10" t="s">
        <v>20592</v>
      </c>
      <c r="H135" s="10" t="s">
        <v>20837</v>
      </c>
      <c r="I135" s="10" t="s">
        <v>55</v>
      </c>
      <c r="K135" s="10" t="s">
        <v>20596</v>
      </c>
      <c r="L135" s="10" t="s">
        <v>42</v>
      </c>
    </row>
    <row r="136" ht="15.75" customHeight="1">
      <c r="A136" s="66">
        <v>45497.0</v>
      </c>
      <c r="B136" s="55" t="str">
        <f>HYPERLINK("https://jobright.ai/jobs/info/66a07935f493ff248a603571?utm_campaign=1058&amp;utm_source=sheet", "Apply")</f>
        <v>Apply</v>
      </c>
      <c r="C136" s="10" t="s">
        <v>20594</v>
      </c>
      <c r="D136" s="56" t="s">
        <v>20595</v>
      </c>
      <c r="E136" s="10" t="s">
        <v>45</v>
      </c>
      <c r="F136" s="10" t="s">
        <v>3811</v>
      </c>
      <c r="G136" s="10" t="s">
        <v>20592</v>
      </c>
      <c r="H136" s="10" t="s">
        <v>6161</v>
      </c>
      <c r="I136" s="10" t="s">
        <v>55</v>
      </c>
      <c r="K136" s="10" t="s">
        <v>20596</v>
      </c>
      <c r="L136" s="10" t="s">
        <v>42</v>
      </c>
    </row>
    <row r="137" ht="15.75" customHeight="1">
      <c r="A137" s="66">
        <v>45497.0</v>
      </c>
      <c r="B137" s="55" t="str">
        <f>HYPERLINK("https://jobright.ai/jobs/info/66a07935f493ff248a603575?utm_campaign=1058&amp;utm_source=sheet", "Apply")</f>
        <v>Apply</v>
      </c>
      <c r="C137" s="10" t="s">
        <v>20594</v>
      </c>
      <c r="D137" s="56" t="s">
        <v>20595</v>
      </c>
      <c r="E137" s="10" t="s">
        <v>45</v>
      </c>
      <c r="F137" s="10" t="s">
        <v>3811</v>
      </c>
      <c r="G137" s="10" t="s">
        <v>20592</v>
      </c>
      <c r="H137" s="10" t="s">
        <v>14558</v>
      </c>
      <c r="I137" s="10" t="s">
        <v>55</v>
      </c>
      <c r="K137" s="10" t="s">
        <v>20596</v>
      </c>
      <c r="L137" s="10" t="s">
        <v>42</v>
      </c>
    </row>
    <row r="138" ht="15.75" customHeight="1">
      <c r="A138" s="66">
        <v>45497.0</v>
      </c>
      <c r="B138" s="55" t="str">
        <f>HYPERLINK("https://jobright.ai/jobs/info/66a066f3585b612183432b14?utm_campaign=1058&amp;utm_source=sheet", "Apply")</f>
        <v>Apply</v>
      </c>
      <c r="C138" s="10" t="s">
        <v>20594</v>
      </c>
      <c r="D138" s="56" t="s">
        <v>20595</v>
      </c>
      <c r="E138" s="10" t="s">
        <v>45</v>
      </c>
      <c r="F138" s="10" t="s">
        <v>3811</v>
      </c>
      <c r="G138" s="10" t="s">
        <v>20592</v>
      </c>
      <c r="H138" s="10" t="s">
        <v>20838</v>
      </c>
      <c r="I138" s="10" t="s">
        <v>55</v>
      </c>
      <c r="K138" s="10" t="s">
        <v>20596</v>
      </c>
      <c r="L138" s="10" t="s">
        <v>42</v>
      </c>
    </row>
    <row r="139" ht="15.75" customHeight="1">
      <c r="A139" s="66">
        <v>45497.0</v>
      </c>
      <c r="B139" s="55" t="str">
        <f>HYPERLINK("https://jobright.ai/jobs/info/66a066eb585b612183432a4d?utm_campaign=1058&amp;utm_source=sheet", "Apply")</f>
        <v>Apply</v>
      </c>
      <c r="C139" s="10" t="s">
        <v>20594</v>
      </c>
      <c r="D139" s="56" t="s">
        <v>20595</v>
      </c>
      <c r="E139" s="10" t="s">
        <v>45</v>
      </c>
      <c r="F139" s="10" t="s">
        <v>3811</v>
      </c>
      <c r="G139" s="10" t="s">
        <v>20592</v>
      </c>
      <c r="H139" s="10" t="s">
        <v>20839</v>
      </c>
      <c r="I139" s="10" t="s">
        <v>55</v>
      </c>
      <c r="K139" s="10" t="s">
        <v>20596</v>
      </c>
      <c r="L139" s="10" t="s">
        <v>42</v>
      </c>
    </row>
    <row r="140" ht="15.75" customHeight="1">
      <c r="A140" s="66">
        <v>45497.0</v>
      </c>
      <c r="B140" s="55" t="str">
        <f>HYPERLINK("https://jobright.ai/jobs/info/66a066f3585b612183432b1c?utm_campaign=1058&amp;utm_source=sheet", "Apply")</f>
        <v>Apply</v>
      </c>
      <c r="C140" s="10" t="s">
        <v>20594</v>
      </c>
      <c r="D140" s="56" t="s">
        <v>20595</v>
      </c>
      <c r="E140" s="10" t="s">
        <v>45</v>
      </c>
      <c r="F140" s="10" t="s">
        <v>3811</v>
      </c>
      <c r="G140" s="10" t="s">
        <v>20592</v>
      </c>
      <c r="H140" s="10" t="s">
        <v>4880</v>
      </c>
      <c r="I140" s="10" t="s">
        <v>55</v>
      </c>
      <c r="K140" s="10" t="s">
        <v>20596</v>
      </c>
      <c r="L140" s="10" t="s">
        <v>42</v>
      </c>
    </row>
    <row r="141" ht="15.75" customHeight="1">
      <c r="A141" s="66">
        <v>45497.0</v>
      </c>
      <c r="B141" s="55" t="str">
        <f>HYPERLINK("https://jobright.ai/jobs/info/66a065bc0e159f780df65065?utm_campaign=1058&amp;utm_source=sheet", "Apply")</f>
        <v>Apply</v>
      </c>
      <c r="C141" s="10" t="s">
        <v>20594</v>
      </c>
      <c r="D141" s="56" t="s">
        <v>20595</v>
      </c>
      <c r="E141" s="10" t="s">
        <v>45</v>
      </c>
      <c r="F141" s="10" t="s">
        <v>3811</v>
      </c>
      <c r="G141" s="10" t="s">
        <v>20592</v>
      </c>
      <c r="H141" s="10" t="s">
        <v>20840</v>
      </c>
      <c r="I141" s="10" t="s">
        <v>55</v>
      </c>
      <c r="K141" s="10" t="s">
        <v>20596</v>
      </c>
      <c r="L141" s="10" t="s">
        <v>42</v>
      </c>
    </row>
    <row r="142" ht="15.75" customHeight="1">
      <c r="A142" s="66">
        <v>45497.0</v>
      </c>
      <c r="B142" s="55" t="str">
        <f>HYPERLINK("https://jobright.ai/jobs/info/66a065ec0e159f780df654a0?utm_campaign=1058&amp;utm_source=sheet", "Apply")</f>
        <v>Apply</v>
      </c>
      <c r="C142" s="10" t="s">
        <v>20594</v>
      </c>
      <c r="D142" s="56" t="s">
        <v>20595</v>
      </c>
      <c r="E142" s="10" t="s">
        <v>45</v>
      </c>
      <c r="F142" s="10" t="s">
        <v>3811</v>
      </c>
      <c r="G142" s="10" t="s">
        <v>20592</v>
      </c>
      <c r="H142" s="10" t="s">
        <v>20841</v>
      </c>
      <c r="I142" s="10" t="s">
        <v>55</v>
      </c>
      <c r="K142" s="10" t="s">
        <v>20596</v>
      </c>
      <c r="L142" s="10" t="s">
        <v>42</v>
      </c>
    </row>
    <row r="143" ht="15.75" customHeight="1">
      <c r="A143" s="66">
        <v>45497.0</v>
      </c>
      <c r="B143" s="55" t="str">
        <f>HYPERLINK("https://jobright.ai/jobs/info/66a1439159051cfbf53a8019?utm_campaign=1058&amp;utm_source=sheet", "Apply")</f>
        <v>Apply</v>
      </c>
      <c r="C143" s="10" t="s">
        <v>10658</v>
      </c>
      <c r="D143" s="56" t="s">
        <v>20842</v>
      </c>
      <c r="E143" s="10">
        <v>2002.0</v>
      </c>
      <c r="G143" s="10" t="s">
        <v>20624</v>
      </c>
      <c r="H143" s="10" t="s">
        <v>1007</v>
      </c>
      <c r="I143" s="10" t="s">
        <v>55</v>
      </c>
      <c r="J143" s="10" t="s">
        <v>20843</v>
      </c>
      <c r="K143" s="10" t="s">
        <v>20844</v>
      </c>
      <c r="L143" s="10" t="s">
        <v>42</v>
      </c>
    </row>
    <row r="144" ht="15.75" customHeight="1">
      <c r="A144" s="66">
        <v>45497.0</v>
      </c>
      <c r="B144" s="55" t="str">
        <f>HYPERLINK("https://jobright.ai/jobs/info/66a1b6b9201fec70230d490b?utm_campaign=1058&amp;utm_source=sheet", "Apply")</f>
        <v>Apply</v>
      </c>
      <c r="C144" s="10" t="s">
        <v>20611</v>
      </c>
      <c r="D144" s="56" t="s">
        <v>11095</v>
      </c>
      <c r="E144" s="10" t="s">
        <v>45</v>
      </c>
      <c r="F144" s="10" t="s">
        <v>11096</v>
      </c>
      <c r="G144" s="10" t="s">
        <v>20592</v>
      </c>
      <c r="H144" s="10" t="s">
        <v>20748</v>
      </c>
      <c r="I144" s="10" t="s">
        <v>55</v>
      </c>
      <c r="J144" s="10" t="s">
        <v>1165</v>
      </c>
      <c r="K144" s="10" t="s">
        <v>20613</v>
      </c>
      <c r="L144" s="10" t="s">
        <v>42</v>
      </c>
    </row>
    <row r="145" ht="15.75" customHeight="1">
      <c r="A145" s="66">
        <v>45497.0</v>
      </c>
      <c r="B145" s="55" t="str">
        <f>HYPERLINK("https://jobright.ai/jobs/info/66a46190134e1be99a594394?utm_campaign=1058&amp;utm_source=sheet", "Apply")</f>
        <v>Apply</v>
      </c>
      <c r="C145" s="10" t="s">
        <v>20845</v>
      </c>
      <c r="D145" s="56" t="s">
        <v>15475</v>
      </c>
      <c r="E145" s="10" t="s">
        <v>79</v>
      </c>
      <c r="F145" s="10" t="s">
        <v>3770</v>
      </c>
      <c r="G145" s="10" t="s">
        <v>20592</v>
      </c>
      <c r="H145" s="10" t="s">
        <v>15476</v>
      </c>
      <c r="I145" s="10" t="s">
        <v>55</v>
      </c>
      <c r="K145" s="10" t="s">
        <v>17079</v>
      </c>
      <c r="L145" s="10" t="s">
        <v>42</v>
      </c>
    </row>
    <row r="146" ht="15.75" customHeight="1">
      <c r="A146" s="66">
        <v>45496.0</v>
      </c>
      <c r="B146" s="55" t="str">
        <f>HYPERLINK("https://jobright.ai/jobs/info/66a063eab7c3431a09f4dfe1?utm_campaign=1058&amp;utm_source=sheet", "Apply")</f>
        <v>Apply</v>
      </c>
      <c r="C146" s="10" t="s">
        <v>20816</v>
      </c>
      <c r="D146" s="56" t="s">
        <v>15315</v>
      </c>
      <c r="E146" s="10" t="s">
        <v>45</v>
      </c>
      <c r="F146" s="10" t="s">
        <v>15316</v>
      </c>
      <c r="G146" s="10" t="s">
        <v>20624</v>
      </c>
      <c r="H146" s="10" t="s">
        <v>13556</v>
      </c>
      <c r="I146" s="10" t="s">
        <v>55</v>
      </c>
      <c r="K146" s="10" t="s">
        <v>20815</v>
      </c>
      <c r="L146" s="10" t="s">
        <v>42</v>
      </c>
    </row>
    <row r="147" ht="15.75" customHeight="1">
      <c r="A147" s="66">
        <v>45496.0</v>
      </c>
      <c r="B147" s="55" t="str">
        <f>HYPERLINK("https://jobright.ai/jobs/info/66a063eab7c3431a09f4e017?utm_campaign=1058&amp;utm_source=sheet", "Apply")</f>
        <v>Apply</v>
      </c>
      <c r="C147" s="10" t="s">
        <v>20846</v>
      </c>
      <c r="D147" s="56" t="s">
        <v>15315</v>
      </c>
      <c r="E147" s="10" t="s">
        <v>45</v>
      </c>
      <c r="F147" s="10" t="s">
        <v>15316</v>
      </c>
      <c r="G147" s="10" t="s">
        <v>20624</v>
      </c>
      <c r="H147" s="10" t="s">
        <v>20847</v>
      </c>
      <c r="I147" s="10" t="s">
        <v>55</v>
      </c>
      <c r="K147" s="10" t="s">
        <v>20815</v>
      </c>
      <c r="L147" s="10" t="s">
        <v>42</v>
      </c>
    </row>
    <row r="148" ht="15.75" customHeight="1">
      <c r="A148" s="66">
        <v>45496.0</v>
      </c>
      <c r="B148" s="55" t="str">
        <f>HYPERLINK("https://jobright.ai/jobs/info/66a065cc0e159f780df65161?utm_campaign=1058&amp;utm_source=sheet", "Apply")</f>
        <v>Apply</v>
      </c>
      <c r="C148" s="10" t="s">
        <v>20848</v>
      </c>
      <c r="D148" s="56" t="s">
        <v>20849</v>
      </c>
      <c r="E148" s="10" t="s">
        <v>137</v>
      </c>
      <c r="F148" s="10" t="s">
        <v>2617</v>
      </c>
      <c r="G148" s="10" t="s">
        <v>20624</v>
      </c>
      <c r="H148" s="10" t="s">
        <v>20850</v>
      </c>
      <c r="I148" s="10" t="s">
        <v>55</v>
      </c>
      <c r="K148" s="10" t="s">
        <v>20851</v>
      </c>
      <c r="L148" s="10" t="s">
        <v>42</v>
      </c>
    </row>
    <row r="149" ht="15.75" customHeight="1">
      <c r="A149" s="66">
        <v>45496.0</v>
      </c>
      <c r="B149" s="55" t="str">
        <f>HYPERLINK("https://jobright.ai/jobs/info/66a0328676c2695220a63c98?utm_campaign=1058&amp;utm_source=sheet", "Apply")</f>
        <v>Apply</v>
      </c>
      <c r="C149" s="10" t="s">
        <v>20852</v>
      </c>
      <c r="D149" s="56" t="s">
        <v>15988</v>
      </c>
      <c r="E149" s="10" t="s">
        <v>65</v>
      </c>
      <c r="F149" s="10" t="s">
        <v>15989</v>
      </c>
      <c r="G149" s="10" t="s">
        <v>20609</v>
      </c>
      <c r="H149" s="10" t="s">
        <v>174</v>
      </c>
      <c r="I149" s="10" t="s">
        <v>55</v>
      </c>
      <c r="K149" s="10" t="s">
        <v>20853</v>
      </c>
      <c r="L149" s="10" t="s">
        <v>42</v>
      </c>
    </row>
    <row r="150" ht="15.75" customHeight="1">
      <c r="A150" s="66">
        <v>45496.0</v>
      </c>
      <c r="B150" s="55" t="str">
        <f>HYPERLINK("https://jobright.ai/jobs/info/66a0596409bbc0a620c99552?utm_campaign=1058&amp;utm_source=sheet", "Apply")</f>
        <v>Apply</v>
      </c>
      <c r="C150" s="10" t="s">
        <v>20643</v>
      </c>
      <c r="D150" s="56" t="s">
        <v>20644</v>
      </c>
      <c r="E150" s="10" t="s">
        <v>45</v>
      </c>
      <c r="F150" s="10" t="s">
        <v>20645</v>
      </c>
      <c r="G150" s="10" t="s">
        <v>20592</v>
      </c>
      <c r="H150" s="10" t="s">
        <v>661</v>
      </c>
      <c r="I150" s="10" t="s">
        <v>55</v>
      </c>
      <c r="K150" s="10" t="s">
        <v>20647</v>
      </c>
      <c r="L150" s="10" t="s">
        <v>42</v>
      </c>
    </row>
    <row r="151" ht="15.75" customHeight="1">
      <c r="A151" s="66">
        <v>45496.0</v>
      </c>
      <c r="B151" s="55" t="str">
        <f>HYPERLINK("https://jobright.ai/jobs/info/66a036b8ec394efcfcabed7d?utm_campaign=1058&amp;utm_source=sheet", "Apply")</f>
        <v>Apply</v>
      </c>
      <c r="C151" s="10" t="s">
        <v>20854</v>
      </c>
      <c r="D151" s="56" t="s">
        <v>6189</v>
      </c>
      <c r="E151" s="10" t="s">
        <v>45</v>
      </c>
      <c r="F151" s="10" t="s">
        <v>6190</v>
      </c>
      <c r="G151" s="10" t="s">
        <v>20592</v>
      </c>
      <c r="H151" s="10" t="s">
        <v>958</v>
      </c>
      <c r="I151" s="10" t="s">
        <v>55</v>
      </c>
      <c r="K151" s="10" t="s">
        <v>20855</v>
      </c>
      <c r="L151" s="10" t="s">
        <v>42</v>
      </c>
    </row>
    <row r="152" ht="15.75" customHeight="1">
      <c r="A152" s="66">
        <v>45496.0</v>
      </c>
      <c r="B152" s="55" t="str">
        <f>HYPERLINK("https://jobright.ai/jobs/info/66a02c5ab9065c2c99e9e4e1?utm_campaign=1058&amp;utm_source=sheet", "Apply")</f>
        <v>Apply</v>
      </c>
      <c r="C152" s="10" t="s">
        <v>20856</v>
      </c>
      <c r="D152" s="56" t="s">
        <v>20857</v>
      </c>
      <c r="E152" s="10">
        <v>3.0</v>
      </c>
      <c r="G152" s="10" t="s">
        <v>20592</v>
      </c>
      <c r="H152" s="10" t="s">
        <v>165</v>
      </c>
      <c r="I152" s="10" t="s">
        <v>48</v>
      </c>
      <c r="K152" s="10" t="s">
        <v>20858</v>
      </c>
      <c r="L152" s="10" t="s">
        <v>42</v>
      </c>
    </row>
    <row r="153" ht="15.75" customHeight="1">
      <c r="A153" s="66">
        <v>45496.0</v>
      </c>
      <c r="B153" s="55" t="str">
        <f>HYPERLINK("https://jobright.ai/jobs/info/66a0518282dde0352ff4156b?utm_campaign=1058&amp;utm_source=sheet", "Apply")</f>
        <v>Apply</v>
      </c>
      <c r="C153" s="10" t="s">
        <v>20643</v>
      </c>
      <c r="D153" s="56" t="s">
        <v>20644</v>
      </c>
      <c r="E153" s="10" t="s">
        <v>45</v>
      </c>
      <c r="F153" s="10" t="s">
        <v>20645</v>
      </c>
      <c r="G153" s="10" t="s">
        <v>20592</v>
      </c>
      <c r="H153" s="10" t="s">
        <v>18960</v>
      </c>
      <c r="I153" s="10" t="s">
        <v>55</v>
      </c>
      <c r="K153" s="10" t="s">
        <v>20647</v>
      </c>
      <c r="L153" s="10" t="s">
        <v>42</v>
      </c>
    </row>
    <row r="154" ht="15.75" customHeight="1">
      <c r="A154" s="66">
        <v>45496.0</v>
      </c>
      <c r="B154" s="55" t="str">
        <f>HYPERLINK("https://jobright.ai/jobs/info/66a039cc2987217d073ecc2a?utm_campaign=1058&amp;utm_source=sheet", "Apply")</f>
        <v>Apply</v>
      </c>
      <c r="C154" s="10" t="s">
        <v>20859</v>
      </c>
      <c r="D154" s="56" t="s">
        <v>20860</v>
      </c>
      <c r="E154" s="10" t="s">
        <v>79</v>
      </c>
      <c r="G154" s="10" t="s">
        <v>20592</v>
      </c>
      <c r="H154" s="10" t="s">
        <v>16971</v>
      </c>
      <c r="I154" s="10" t="s">
        <v>55</v>
      </c>
      <c r="K154" s="10" t="s">
        <v>20861</v>
      </c>
      <c r="L154" s="10" t="s">
        <v>42</v>
      </c>
    </row>
    <row r="155" ht="15.75" customHeight="1">
      <c r="A155" s="66">
        <v>45496.0</v>
      </c>
      <c r="B155" s="55" t="str">
        <f>HYPERLINK("https://jobright.ai/jobs/info/667df601d01f1b50f25ca122?utm_campaign=1058&amp;utm_source=sheet", "Apply")</f>
        <v>Apply</v>
      </c>
      <c r="C155" s="10" t="s">
        <v>20862</v>
      </c>
      <c r="D155" s="56" t="s">
        <v>7035</v>
      </c>
      <c r="E155" s="10" t="s">
        <v>45</v>
      </c>
      <c r="F155" s="10" t="s">
        <v>2824</v>
      </c>
      <c r="G155" s="10" t="s">
        <v>20609</v>
      </c>
      <c r="H155" s="10" t="s">
        <v>251</v>
      </c>
      <c r="I155" s="10" t="s">
        <v>252</v>
      </c>
      <c r="K155" s="10" t="s">
        <v>20863</v>
      </c>
      <c r="L155" s="10" t="s">
        <v>42</v>
      </c>
    </row>
    <row r="156" ht="15.75" customHeight="1">
      <c r="A156" s="66">
        <v>45496.0</v>
      </c>
      <c r="B156" s="55" t="str">
        <f>HYPERLINK("https://jobright.ai/jobs/info/66a02133238b946e0a9fb6c5?utm_campaign=1058&amp;utm_source=sheet", "Apply")</f>
        <v>Apply</v>
      </c>
      <c r="C156" s="10" t="s">
        <v>20864</v>
      </c>
      <c r="D156" s="56" t="s">
        <v>17947</v>
      </c>
      <c r="G156" s="10" t="s">
        <v>20609</v>
      </c>
      <c r="H156" s="10" t="s">
        <v>20865</v>
      </c>
      <c r="I156" s="10" t="s">
        <v>55</v>
      </c>
      <c r="K156" s="10" t="s">
        <v>20866</v>
      </c>
      <c r="L156" s="10" t="s">
        <v>42</v>
      </c>
    </row>
    <row r="157" ht="15.75" customHeight="1">
      <c r="A157" s="66">
        <v>45496.0</v>
      </c>
      <c r="B157" s="55" t="str">
        <f>HYPERLINK("https://jobright.ai/jobs/info/66a0042a7f05eedcfa578589?utm_campaign=1058&amp;utm_source=sheet", "Apply")</f>
        <v>Apply</v>
      </c>
      <c r="C157" s="10" t="s">
        <v>20867</v>
      </c>
      <c r="D157" s="56" t="s">
        <v>16064</v>
      </c>
      <c r="G157" s="10" t="s">
        <v>20592</v>
      </c>
      <c r="H157" s="10" t="s">
        <v>4724</v>
      </c>
      <c r="I157" s="10" t="s">
        <v>55</v>
      </c>
      <c r="K157" s="10" t="s">
        <v>20868</v>
      </c>
      <c r="L157" s="10" t="s">
        <v>42</v>
      </c>
    </row>
    <row r="158" ht="15.75" customHeight="1">
      <c r="A158" s="66">
        <v>45496.0</v>
      </c>
      <c r="B158" s="55" t="str">
        <f>HYPERLINK("https://jobright.ai/jobs/info/669ff62913edbe300687033c?utm_campaign=1058&amp;utm_source=sheet", "Apply")</f>
        <v>Apply</v>
      </c>
      <c r="C158" s="10" t="s">
        <v>20869</v>
      </c>
      <c r="D158" s="56" t="s">
        <v>20697</v>
      </c>
      <c r="E158" s="10" t="s">
        <v>209</v>
      </c>
      <c r="F158" s="10" t="s">
        <v>2617</v>
      </c>
      <c r="G158" s="10" t="s">
        <v>20592</v>
      </c>
      <c r="H158" s="10" t="s">
        <v>12987</v>
      </c>
      <c r="I158" s="10" t="s">
        <v>55</v>
      </c>
      <c r="J158" s="10" t="s">
        <v>20870</v>
      </c>
      <c r="K158" s="10" t="s">
        <v>20699</v>
      </c>
      <c r="L158" s="10" t="s">
        <v>42</v>
      </c>
    </row>
    <row r="159" ht="15.75" customHeight="1">
      <c r="A159" s="66">
        <v>45496.0</v>
      </c>
      <c r="B159" s="55" t="str">
        <f>HYPERLINK("https://jobright.ai/jobs/info/669fe413b5682d011c297f4e?utm_campaign=1058&amp;utm_source=sheet", "Apply")</f>
        <v>Apply</v>
      </c>
      <c r="C159" s="10" t="s">
        <v>20871</v>
      </c>
      <c r="D159" s="56" t="s">
        <v>16311</v>
      </c>
      <c r="E159" s="10" t="s">
        <v>45</v>
      </c>
      <c r="F159" s="10" t="s">
        <v>16312</v>
      </c>
      <c r="G159" s="10" t="s">
        <v>20609</v>
      </c>
      <c r="H159" s="10" t="s">
        <v>6484</v>
      </c>
      <c r="I159" s="10" t="s">
        <v>55</v>
      </c>
      <c r="K159" s="10" t="s">
        <v>20872</v>
      </c>
      <c r="L159" s="10" t="s">
        <v>42</v>
      </c>
    </row>
    <row r="160" ht="15.75" customHeight="1">
      <c r="A160" s="66">
        <v>45496.0</v>
      </c>
      <c r="B160" s="55" t="str">
        <f>HYPERLINK("https://jobright.ai/jobs/info/669ff5fa61ec93789be646a7?utm_campaign=1058&amp;utm_source=sheet", "Apply")</f>
        <v>Apply</v>
      </c>
      <c r="C160" s="10" t="s">
        <v>20873</v>
      </c>
      <c r="D160" s="56" t="s">
        <v>6189</v>
      </c>
      <c r="E160" s="10" t="s">
        <v>45</v>
      </c>
      <c r="F160" s="10" t="s">
        <v>6190</v>
      </c>
      <c r="G160" s="10" t="s">
        <v>20592</v>
      </c>
      <c r="H160" s="10" t="s">
        <v>780</v>
      </c>
      <c r="I160" s="10" t="s">
        <v>55</v>
      </c>
      <c r="K160" s="10" t="s">
        <v>20855</v>
      </c>
      <c r="L160" s="10" t="s">
        <v>42</v>
      </c>
    </row>
    <row r="161" ht="15.75" customHeight="1">
      <c r="A161" s="66">
        <v>45496.0</v>
      </c>
      <c r="B161" s="55" t="str">
        <f>HYPERLINK("https://jobright.ai/jobs/info/66a00160a4a9d243b7e56ae1?utm_campaign=1058&amp;utm_source=sheet", "Apply")</f>
        <v>Apply</v>
      </c>
      <c r="C161" s="10" t="s">
        <v>20874</v>
      </c>
      <c r="D161" s="56" t="s">
        <v>20875</v>
      </c>
      <c r="E161" s="10" t="s">
        <v>209</v>
      </c>
      <c r="F161" s="10" t="s">
        <v>6984</v>
      </c>
      <c r="G161" s="10" t="s">
        <v>20624</v>
      </c>
      <c r="H161" s="10" t="s">
        <v>7704</v>
      </c>
      <c r="I161" s="10" t="s">
        <v>55</v>
      </c>
      <c r="K161" s="10" t="s">
        <v>20876</v>
      </c>
      <c r="L161" s="10" t="s">
        <v>42</v>
      </c>
    </row>
    <row r="162" ht="15.75" customHeight="1">
      <c r="A162" s="66">
        <v>45496.0</v>
      </c>
      <c r="B162" s="55" t="str">
        <f>HYPERLINK("https://jobright.ai/jobs/info/669fdae6a8a919031f05f3ee?utm_campaign=1058&amp;utm_source=sheet", "Apply")</f>
        <v>Apply</v>
      </c>
      <c r="C162" s="10" t="s">
        <v>20643</v>
      </c>
      <c r="D162" s="56" t="s">
        <v>20644</v>
      </c>
      <c r="E162" s="10" t="s">
        <v>45</v>
      </c>
      <c r="F162" s="10" t="s">
        <v>20645</v>
      </c>
      <c r="G162" s="10" t="s">
        <v>20592</v>
      </c>
      <c r="H162" s="10" t="s">
        <v>10430</v>
      </c>
      <c r="I162" s="10" t="s">
        <v>55</v>
      </c>
      <c r="K162" s="10" t="s">
        <v>20647</v>
      </c>
      <c r="L162" s="10" t="s">
        <v>42</v>
      </c>
    </row>
    <row r="163" ht="15.75" customHeight="1">
      <c r="A163" s="66">
        <v>45496.0</v>
      </c>
      <c r="B163" s="55" t="str">
        <f>HYPERLINK("https://jobright.ai/jobs/info/669fa8a8ef9053e1471db464?utm_campaign=1058&amp;utm_source=sheet", "Apply")</f>
        <v>Apply</v>
      </c>
      <c r="C163" s="10" t="s">
        <v>20877</v>
      </c>
      <c r="D163" s="56" t="s">
        <v>20878</v>
      </c>
      <c r="E163" s="10" t="s">
        <v>65</v>
      </c>
      <c r="F163" s="10" t="s">
        <v>20879</v>
      </c>
      <c r="G163" s="10" t="s">
        <v>20592</v>
      </c>
      <c r="H163" s="10" t="s">
        <v>9979</v>
      </c>
      <c r="I163" s="10" t="s">
        <v>55</v>
      </c>
      <c r="J163" s="10" t="s">
        <v>20880</v>
      </c>
      <c r="K163" s="10" t="s">
        <v>20881</v>
      </c>
      <c r="L163" s="10" t="s">
        <v>42</v>
      </c>
    </row>
    <row r="164" ht="15.75" customHeight="1">
      <c r="A164" s="66">
        <v>45496.0</v>
      </c>
      <c r="B164" s="55" t="str">
        <f>HYPERLINK("https://jobright.ai/jobs/info/66838c9b2c4a444fbfe64610?utm_campaign=1058&amp;utm_source=sheet", "Apply")</f>
        <v>Apply</v>
      </c>
      <c r="C164" s="10" t="s">
        <v>20882</v>
      </c>
      <c r="D164" s="56" t="s">
        <v>11095</v>
      </c>
      <c r="E164" s="10" t="s">
        <v>45</v>
      </c>
      <c r="F164" s="10" t="s">
        <v>11096</v>
      </c>
      <c r="G164" s="10" t="s">
        <v>20592</v>
      </c>
      <c r="H164" s="10" t="s">
        <v>20883</v>
      </c>
      <c r="I164" s="10" t="s">
        <v>55</v>
      </c>
      <c r="J164" s="10" t="s">
        <v>20664</v>
      </c>
      <c r="K164" s="10" t="s">
        <v>20613</v>
      </c>
      <c r="L164" s="10" t="s">
        <v>42</v>
      </c>
    </row>
    <row r="165" ht="15.75" customHeight="1">
      <c r="A165" s="66">
        <v>45496.0</v>
      </c>
      <c r="B165" s="55" t="str">
        <f>HYPERLINK("https://jobright.ai/jobs/info/6683926a12c00be519a72971?utm_campaign=1058&amp;utm_source=sheet", "Apply")</f>
        <v>Apply</v>
      </c>
      <c r="C165" s="10" t="s">
        <v>20700</v>
      </c>
      <c r="D165" s="56" t="s">
        <v>11095</v>
      </c>
      <c r="E165" s="10" t="s">
        <v>45</v>
      </c>
      <c r="F165" s="10" t="s">
        <v>11096</v>
      </c>
      <c r="G165" s="10" t="s">
        <v>20592</v>
      </c>
      <c r="H165" s="10" t="s">
        <v>4123</v>
      </c>
      <c r="I165" s="10" t="s">
        <v>55</v>
      </c>
      <c r="J165" s="10" t="s">
        <v>20664</v>
      </c>
      <c r="K165" s="10" t="s">
        <v>20613</v>
      </c>
      <c r="L165" s="10" t="s">
        <v>42</v>
      </c>
    </row>
    <row r="166" ht="15.75" customHeight="1">
      <c r="A166" s="66">
        <v>45496.0</v>
      </c>
      <c r="B166" s="55" t="str">
        <f>HYPERLINK("https://jobright.ai/jobs/info/66626edcf69509faa21ea49a?utm_campaign=1058&amp;utm_source=sheet", "Apply")</f>
        <v>Apply</v>
      </c>
      <c r="C166" s="10" t="s">
        <v>20884</v>
      </c>
      <c r="D166" s="56" t="s">
        <v>20885</v>
      </c>
      <c r="E166" s="10" t="s">
        <v>45</v>
      </c>
      <c r="F166" s="10" t="s">
        <v>20886</v>
      </c>
      <c r="G166" s="10" t="s">
        <v>20592</v>
      </c>
      <c r="H166" s="10" t="s">
        <v>854</v>
      </c>
      <c r="I166" s="10" t="s">
        <v>48</v>
      </c>
      <c r="K166" s="10" t="s">
        <v>20887</v>
      </c>
      <c r="L166" s="10" t="s">
        <v>42</v>
      </c>
    </row>
    <row r="167" ht="15.75" customHeight="1">
      <c r="A167" s="66">
        <v>45496.0</v>
      </c>
      <c r="B167" s="55" t="str">
        <f>HYPERLINK("https://jobright.ai/jobs/info/66a225bc642c1d827779de3e?utm_campaign=1058&amp;utm_source=sheet", "Apply")</f>
        <v>Apply</v>
      </c>
      <c r="C167" s="10" t="s">
        <v>20888</v>
      </c>
      <c r="D167" s="56" t="s">
        <v>20889</v>
      </c>
      <c r="E167" s="10" t="s">
        <v>65</v>
      </c>
      <c r="F167" s="10" t="s">
        <v>1506</v>
      </c>
      <c r="G167" s="10" t="s">
        <v>20609</v>
      </c>
      <c r="H167" s="10" t="s">
        <v>795</v>
      </c>
      <c r="I167" s="10" t="s">
        <v>55</v>
      </c>
      <c r="J167" s="10" t="s">
        <v>20890</v>
      </c>
      <c r="K167" s="10" t="s">
        <v>20891</v>
      </c>
      <c r="L167" s="10" t="s">
        <v>42</v>
      </c>
    </row>
    <row r="168" ht="15.75" customHeight="1">
      <c r="A168" s="66">
        <v>45496.0</v>
      </c>
      <c r="B168" s="55" t="str">
        <f>HYPERLINK("https://jobright.ai/jobs/info/6683a5d32858e264224703f0?utm_campaign=1058&amp;utm_source=sheet", "Apply")</f>
        <v>Apply</v>
      </c>
      <c r="C168" s="10" t="s">
        <v>20700</v>
      </c>
      <c r="D168" s="56" t="s">
        <v>11095</v>
      </c>
      <c r="E168" s="10" t="s">
        <v>45</v>
      </c>
      <c r="F168" s="10" t="s">
        <v>11096</v>
      </c>
      <c r="G168" s="10" t="s">
        <v>20592</v>
      </c>
      <c r="H168" s="10" t="s">
        <v>3050</v>
      </c>
      <c r="I168" s="10" t="s">
        <v>55</v>
      </c>
      <c r="J168" s="10" t="s">
        <v>20664</v>
      </c>
      <c r="K168" s="10" t="s">
        <v>20613</v>
      </c>
      <c r="L168" s="10" t="s">
        <v>42</v>
      </c>
    </row>
    <row r="169" ht="15.75" customHeight="1">
      <c r="A169" s="66">
        <v>45496.0</v>
      </c>
      <c r="B169" s="55" t="str">
        <f>HYPERLINK("https://jobright.ai/jobs/info/66834126a77cf77fee2dcacf?utm_campaign=1058&amp;utm_source=sheet", "Apply")</f>
        <v>Apply</v>
      </c>
      <c r="C169" s="10" t="s">
        <v>2297</v>
      </c>
      <c r="D169" s="56" t="s">
        <v>11358</v>
      </c>
      <c r="E169" s="10" t="s">
        <v>71</v>
      </c>
      <c r="F169" s="10" t="s">
        <v>2824</v>
      </c>
      <c r="G169" s="10" t="s">
        <v>20609</v>
      </c>
      <c r="H169" s="10" t="s">
        <v>131</v>
      </c>
      <c r="I169" s="10" t="s">
        <v>55</v>
      </c>
      <c r="K169" s="10" t="s">
        <v>20892</v>
      </c>
      <c r="L169" s="10" t="s">
        <v>42</v>
      </c>
    </row>
    <row r="170" ht="15.75" customHeight="1">
      <c r="A170" s="66">
        <v>45496.0</v>
      </c>
      <c r="B170" s="55" t="str">
        <f>HYPERLINK("https://jobright.ai/jobs/info/66833ae560002e71662cd90e?utm_campaign=1058&amp;utm_source=sheet", "Apply")</f>
        <v>Apply</v>
      </c>
      <c r="C170" s="10" t="s">
        <v>2297</v>
      </c>
      <c r="D170" s="56" t="s">
        <v>10002</v>
      </c>
      <c r="E170" s="10" t="s">
        <v>276</v>
      </c>
      <c r="F170" s="10" t="s">
        <v>10003</v>
      </c>
      <c r="G170" s="10" t="s">
        <v>20609</v>
      </c>
      <c r="H170" s="10" t="s">
        <v>131</v>
      </c>
      <c r="I170" s="10" t="s">
        <v>55</v>
      </c>
      <c r="K170" s="10" t="s">
        <v>20892</v>
      </c>
      <c r="L170" s="10" t="s">
        <v>42</v>
      </c>
    </row>
    <row r="171" ht="15.75" customHeight="1">
      <c r="A171" s="66">
        <v>45496.0</v>
      </c>
      <c r="B171" s="55" t="str">
        <f>HYPERLINK("https://jobright.ai/jobs/info/669f3568513d45c522bb262f?utm_campaign=1058&amp;utm_source=sheet", "Apply")</f>
        <v>Apply</v>
      </c>
      <c r="C171" s="10" t="s">
        <v>20893</v>
      </c>
      <c r="D171" s="56" t="s">
        <v>11095</v>
      </c>
      <c r="E171" s="10" t="s">
        <v>45</v>
      </c>
      <c r="F171" s="10" t="s">
        <v>11096</v>
      </c>
      <c r="G171" s="10" t="s">
        <v>20592</v>
      </c>
      <c r="H171" s="10" t="s">
        <v>16734</v>
      </c>
      <c r="I171" s="10" t="s">
        <v>55</v>
      </c>
      <c r="J171" s="10" t="s">
        <v>1165</v>
      </c>
      <c r="K171" s="10" t="s">
        <v>20613</v>
      </c>
      <c r="L171" s="10" t="s">
        <v>42</v>
      </c>
    </row>
    <row r="172" ht="15.75" customHeight="1">
      <c r="A172" s="66">
        <v>45496.0</v>
      </c>
      <c r="B172" s="55" t="str">
        <f>HYPERLINK("https://jobright.ai/jobs/info/669f3568513d45c522bb2636?utm_campaign=1058&amp;utm_source=sheet", "Apply")</f>
        <v>Apply</v>
      </c>
      <c r="C172" s="10" t="s">
        <v>20611</v>
      </c>
      <c r="D172" s="56" t="s">
        <v>11095</v>
      </c>
      <c r="E172" s="10" t="s">
        <v>45</v>
      </c>
      <c r="F172" s="10" t="s">
        <v>11096</v>
      </c>
      <c r="G172" s="10" t="s">
        <v>20592</v>
      </c>
      <c r="H172" s="10" t="s">
        <v>935</v>
      </c>
      <c r="I172" s="10" t="s">
        <v>55</v>
      </c>
      <c r="J172" s="10" t="s">
        <v>1165</v>
      </c>
      <c r="K172" s="10" t="s">
        <v>20613</v>
      </c>
      <c r="L172" s="10" t="s">
        <v>42</v>
      </c>
    </row>
    <row r="173" ht="15.75" customHeight="1">
      <c r="A173" s="66">
        <v>45496.0</v>
      </c>
      <c r="B173" s="55" t="str">
        <f>HYPERLINK("https://jobright.ai/jobs/info/669f3568513d45c522bb2656?utm_campaign=1058&amp;utm_source=sheet", "Apply")</f>
        <v>Apply</v>
      </c>
      <c r="C173" s="10" t="s">
        <v>20611</v>
      </c>
      <c r="D173" s="56" t="s">
        <v>11095</v>
      </c>
      <c r="E173" s="10" t="s">
        <v>45</v>
      </c>
      <c r="F173" s="10" t="s">
        <v>11096</v>
      </c>
      <c r="G173" s="10" t="s">
        <v>20592</v>
      </c>
      <c r="H173" s="10" t="s">
        <v>20762</v>
      </c>
      <c r="I173" s="10" t="s">
        <v>55</v>
      </c>
      <c r="J173" s="10" t="s">
        <v>1165</v>
      </c>
      <c r="K173" s="10" t="s">
        <v>20613</v>
      </c>
      <c r="L173" s="10" t="s">
        <v>42</v>
      </c>
    </row>
    <row r="174" ht="15.75" customHeight="1">
      <c r="A174" s="66">
        <v>45496.0</v>
      </c>
      <c r="B174" s="55" t="str">
        <f>HYPERLINK("https://jobright.ai/jobs/info/669f5db600394fadee70ceb4?utm_campaign=1058&amp;utm_source=sheet", "Apply")</f>
        <v>Apply</v>
      </c>
      <c r="C174" s="10" t="s">
        <v>20894</v>
      </c>
      <c r="D174" s="56" t="s">
        <v>20895</v>
      </c>
      <c r="E174" s="10" t="s">
        <v>45</v>
      </c>
      <c r="F174" s="10" t="s">
        <v>20896</v>
      </c>
      <c r="G174" s="10" t="s">
        <v>20592</v>
      </c>
      <c r="H174" s="10" t="s">
        <v>969</v>
      </c>
      <c r="I174" s="10" t="s">
        <v>55</v>
      </c>
      <c r="K174" s="10" t="s">
        <v>20897</v>
      </c>
      <c r="L174" s="10" t="s">
        <v>42</v>
      </c>
    </row>
    <row r="175" ht="15.75" customHeight="1">
      <c r="A175" s="66">
        <v>45496.0</v>
      </c>
      <c r="B175" s="55" t="str">
        <f>HYPERLINK("https://jobright.ai/jobs/info/669f2deba571b80522232920?utm_campaign=1058&amp;utm_source=sheet", "Apply")</f>
        <v>Apply</v>
      </c>
      <c r="C175" s="10" t="s">
        <v>20898</v>
      </c>
      <c r="D175" s="56" t="s">
        <v>2077</v>
      </c>
      <c r="E175" s="10" t="s">
        <v>45</v>
      </c>
      <c r="F175" s="10" t="s">
        <v>1234</v>
      </c>
      <c r="G175" s="10" t="s">
        <v>20592</v>
      </c>
      <c r="H175" s="10" t="s">
        <v>2078</v>
      </c>
      <c r="I175" s="10" t="s">
        <v>55</v>
      </c>
      <c r="J175" s="10" t="s">
        <v>20899</v>
      </c>
      <c r="K175" s="10" t="s">
        <v>20900</v>
      </c>
      <c r="L175" s="10" t="s">
        <v>42</v>
      </c>
    </row>
    <row r="176" ht="15.75" customHeight="1">
      <c r="A176" s="66">
        <v>45496.0</v>
      </c>
      <c r="B176" s="55" t="str">
        <f>HYPERLINK("https://jobright.ai/jobs/info/66a0384bf54d4e37ee753b44?utm_campaign=1058&amp;utm_source=sheet", "Apply")</f>
        <v>Apply</v>
      </c>
      <c r="C176" s="10" t="s">
        <v>20901</v>
      </c>
      <c r="D176" s="56" t="s">
        <v>20689</v>
      </c>
      <c r="E176" s="10" t="s">
        <v>45</v>
      </c>
      <c r="F176" s="10" t="s">
        <v>20690</v>
      </c>
      <c r="G176" s="10" t="s">
        <v>20592</v>
      </c>
      <c r="H176" s="10" t="s">
        <v>20902</v>
      </c>
      <c r="I176" s="10" t="s">
        <v>55</v>
      </c>
      <c r="K176" s="10" t="s">
        <v>20903</v>
      </c>
      <c r="L176" s="10" t="s">
        <v>42</v>
      </c>
    </row>
    <row r="177" ht="15.75" customHeight="1">
      <c r="A177" s="66">
        <v>45496.0</v>
      </c>
      <c r="B177" s="55" t="str">
        <f>HYPERLINK("https://jobright.ai/jobs/info/669fa01423c3d3b512dfe712?utm_campaign=1058&amp;utm_source=sheet", "Apply")</f>
        <v>Apply</v>
      </c>
      <c r="C177" s="10" t="s">
        <v>20904</v>
      </c>
      <c r="D177" s="56" t="s">
        <v>20905</v>
      </c>
      <c r="E177" s="10" t="s">
        <v>79</v>
      </c>
      <c r="F177" s="10" t="s">
        <v>20906</v>
      </c>
      <c r="G177" s="10" t="s">
        <v>20592</v>
      </c>
      <c r="H177" s="10" t="s">
        <v>661</v>
      </c>
      <c r="I177" s="10" t="s">
        <v>55</v>
      </c>
      <c r="K177" s="10" t="s">
        <v>20907</v>
      </c>
      <c r="L177" s="10" t="s">
        <v>42</v>
      </c>
    </row>
    <row r="178" ht="15.75" customHeight="1">
      <c r="A178" s="66">
        <v>45496.0</v>
      </c>
      <c r="B178" s="55" t="str">
        <f>HYPERLINK("https://jobright.ai/jobs/info/66a02c76b9065c2c99e9e6db?utm_campaign=1058&amp;utm_source=sheet", "Apply")</f>
        <v>Apply</v>
      </c>
      <c r="C178" s="10" t="s">
        <v>20908</v>
      </c>
      <c r="D178" s="56" t="s">
        <v>20909</v>
      </c>
      <c r="E178" s="10" t="s">
        <v>65</v>
      </c>
      <c r="F178" s="10" t="s">
        <v>7058</v>
      </c>
      <c r="G178" s="10" t="s">
        <v>20609</v>
      </c>
      <c r="H178" s="10" t="s">
        <v>20910</v>
      </c>
      <c r="I178" s="10" t="s">
        <v>55</v>
      </c>
      <c r="K178" s="10" t="s">
        <v>20911</v>
      </c>
      <c r="L178" s="10" t="s">
        <v>42</v>
      </c>
    </row>
    <row r="179" ht="15.75" customHeight="1">
      <c r="A179" s="66">
        <v>45496.0</v>
      </c>
      <c r="B179" s="55" t="str">
        <f>HYPERLINK("https://jobright.ai/jobs/info/66a063fbb7c3431a09f4e1a2?utm_campaign=1058&amp;utm_source=sheet", "Apply")</f>
        <v>Apply</v>
      </c>
      <c r="C179" s="10" t="s">
        <v>20912</v>
      </c>
      <c r="D179" s="56" t="s">
        <v>20913</v>
      </c>
      <c r="E179" s="10" t="s">
        <v>45</v>
      </c>
      <c r="F179" s="10" t="s">
        <v>20914</v>
      </c>
      <c r="G179" s="10" t="s">
        <v>20592</v>
      </c>
      <c r="H179" s="10" t="s">
        <v>20915</v>
      </c>
      <c r="I179" s="10" t="s">
        <v>55</v>
      </c>
      <c r="J179" s="10" t="s">
        <v>3125</v>
      </c>
      <c r="K179" s="10" t="s">
        <v>20916</v>
      </c>
      <c r="L179" s="10" t="s">
        <v>42</v>
      </c>
    </row>
    <row r="180" ht="15.75" customHeight="1">
      <c r="A180" s="66">
        <v>45495.0</v>
      </c>
      <c r="B180" s="55" t="str">
        <f>HYPERLINK("https://jobright.ai/jobs/info/669f013817d5dad297a567c1?utm_campaign=1058&amp;utm_source=sheet", "Apply")</f>
        <v>Apply</v>
      </c>
      <c r="C180" s="10" t="s">
        <v>20917</v>
      </c>
      <c r="D180" s="56" t="s">
        <v>1636</v>
      </c>
      <c r="E180" s="10">
        <v>6029.0</v>
      </c>
      <c r="G180" s="10" t="s">
        <v>20624</v>
      </c>
      <c r="H180" s="10" t="s">
        <v>170</v>
      </c>
      <c r="I180" s="10" t="s">
        <v>55</v>
      </c>
      <c r="J180" s="10" t="s">
        <v>1637</v>
      </c>
      <c r="K180" s="10" t="s">
        <v>20918</v>
      </c>
      <c r="L180" s="10" t="s">
        <v>42</v>
      </c>
    </row>
    <row r="181" ht="15.75" customHeight="1">
      <c r="A181" s="66">
        <v>45495.0</v>
      </c>
      <c r="B181" s="55" t="str">
        <f>HYPERLINK("https://jobright.ai/jobs/info/669ef076af1a2711e79000a6?utm_campaign=1058&amp;utm_source=sheet", "Apply")</f>
        <v>Apply</v>
      </c>
      <c r="C181" s="10" t="s">
        <v>20919</v>
      </c>
      <c r="D181" s="56" t="s">
        <v>20697</v>
      </c>
      <c r="E181" s="10" t="s">
        <v>209</v>
      </c>
      <c r="F181" s="10" t="s">
        <v>2617</v>
      </c>
      <c r="G181" s="10" t="s">
        <v>20592</v>
      </c>
      <c r="H181" s="10" t="s">
        <v>20920</v>
      </c>
      <c r="I181" s="10" t="s">
        <v>55</v>
      </c>
      <c r="J181" s="10" t="s">
        <v>20698</v>
      </c>
      <c r="K181" s="10" t="s">
        <v>20699</v>
      </c>
      <c r="L181" s="10" t="s">
        <v>42</v>
      </c>
    </row>
    <row r="182" ht="15.75" customHeight="1">
      <c r="A182" s="66">
        <v>45495.0</v>
      </c>
      <c r="B182" s="55" t="str">
        <f>HYPERLINK("https://jobright.ai/jobs/info/669eeb09ca00356aa1b920e3?utm_campaign=1058&amp;utm_source=sheet", "Apply")</f>
        <v>Apply</v>
      </c>
      <c r="C182" s="10" t="s">
        <v>20643</v>
      </c>
      <c r="D182" s="56" t="s">
        <v>20644</v>
      </c>
      <c r="E182" s="10" t="s">
        <v>45</v>
      </c>
      <c r="F182" s="10" t="s">
        <v>20645</v>
      </c>
      <c r="G182" s="10" t="s">
        <v>20592</v>
      </c>
      <c r="H182" s="10" t="s">
        <v>20921</v>
      </c>
      <c r="I182" s="10" t="s">
        <v>55</v>
      </c>
      <c r="K182" s="10" t="s">
        <v>20647</v>
      </c>
      <c r="L182" s="10" t="s">
        <v>42</v>
      </c>
    </row>
    <row r="183" ht="15.75" customHeight="1">
      <c r="A183" s="66">
        <v>45495.0</v>
      </c>
      <c r="B183" s="55" t="str">
        <f>HYPERLINK("https://jobright.ai/jobs/info/669edcda0a1a20b818bda1f2?utm_campaign=1058&amp;utm_source=sheet", "Apply")</f>
        <v>Apply</v>
      </c>
      <c r="C183" s="10" t="s">
        <v>20922</v>
      </c>
      <c r="D183" s="56" t="s">
        <v>1794</v>
      </c>
      <c r="E183" s="10" t="s">
        <v>65</v>
      </c>
      <c r="F183" s="10" t="s">
        <v>1795</v>
      </c>
      <c r="G183" s="10" t="s">
        <v>20592</v>
      </c>
      <c r="H183" s="10" t="s">
        <v>1796</v>
      </c>
      <c r="I183" s="10" t="s">
        <v>55</v>
      </c>
      <c r="J183" s="10" t="s">
        <v>1761</v>
      </c>
      <c r="K183" s="10" t="s">
        <v>20923</v>
      </c>
      <c r="L183" s="10" t="s">
        <v>42</v>
      </c>
    </row>
    <row r="184" ht="15.75" customHeight="1">
      <c r="A184" s="66">
        <v>45495.0</v>
      </c>
      <c r="B184" s="55" t="str">
        <f>HYPERLINK("https://jobright.ai/jobs/info/669fc37c5fc481811c0e65ae?utm_campaign=1058&amp;utm_source=sheet", "Apply")</f>
        <v>Apply</v>
      </c>
      <c r="C184" s="10" t="s">
        <v>20924</v>
      </c>
      <c r="D184" s="56" t="s">
        <v>20925</v>
      </c>
      <c r="E184" s="10">
        <v>826.0</v>
      </c>
      <c r="G184" s="10" t="s">
        <v>20592</v>
      </c>
      <c r="H184" s="10" t="s">
        <v>2635</v>
      </c>
      <c r="I184" s="10" t="s">
        <v>55</v>
      </c>
      <c r="J184" s="10" t="s">
        <v>20926</v>
      </c>
      <c r="K184" s="10" t="s">
        <v>20927</v>
      </c>
      <c r="L184" s="10" t="s">
        <v>42</v>
      </c>
    </row>
    <row r="185" ht="15.75" customHeight="1">
      <c r="A185" s="66">
        <v>45495.0</v>
      </c>
      <c r="B185" s="55" t="str">
        <f>HYPERLINK("https://jobright.ai/jobs/info/669ee05f6d37918f3bac857d?utm_campaign=1058&amp;utm_source=sheet", "Apply")</f>
        <v>Apply</v>
      </c>
      <c r="C185" s="10" t="s">
        <v>20928</v>
      </c>
      <c r="D185" s="56" t="s">
        <v>20929</v>
      </c>
      <c r="E185" s="10" t="s">
        <v>65</v>
      </c>
      <c r="F185" s="10" t="s">
        <v>2409</v>
      </c>
      <c r="G185" s="10" t="s">
        <v>20624</v>
      </c>
      <c r="H185" s="10" t="s">
        <v>3263</v>
      </c>
      <c r="I185" s="10" t="s">
        <v>55</v>
      </c>
      <c r="K185" s="10" t="s">
        <v>20930</v>
      </c>
      <c r="L185" s="10" t="s">
        <v>42</v>
      </c>
    </row>
    <row r="186" ht="15.75" customHeight="1">
      <c r="A186" s="66">
        <v>45495.0</v>
      </c>
      <c r="B186" s="55" t="str">
        <f>HYPERLINK("https://jobright.ai/jobs/info/669ea8f60d86c6d524e4851b?utm_campaign=1058&amp;utm_source=sheet", "Apply")</f>
        <v>Apply</v>
      </c>
      <c r="C186" s="10" t="s">
        <v>20931</v>
      </c>
      <c r="D186" s="56" t="s">
        <v>20932</v>
      </c>
      <c r="E186" s="10" t="s">
        <v>65</v>
      </c>
      <c r="F186" s="10" t="s">
        <v>12539</v>
      </c>
      <c r="G186" s="10" t="s">
        <v>20609</v>
      </c>
      <c r="H186" s="10" t="s">
        <v>20933</v>
      </c>
      <c r="I186" s="10" t="s">
        <v>55</v>
      </c>
      <c r="K186" s="10" t="s">
        <v>20934</v>
      </c>
      <c r="L186" s="10" t="s">
        <v>42</v>
      </c>
    </row>
    <row r="187" ht="15.75" customHeight="1">
      <c r="A187" s="66">
        <v>45495.0</v>
      </c>
      <c r="B187" s="55" t="str">
        <f>HYPERLINK("https://jobright.ai/jobs/info/66994d7b631d3c62754166ce?utm_campaign=1058&amp;utm_source=sheet", "Apply")</f>
        <v>Apply</v>
      </c>
      <c r="C187" s="10" t="s">
        <v>20935</v>
      </c>
      <c r="D187" s="56" t="s">
        <v>2600</v>
      </c>
      <c r="E187" s="10" t="s">
        <v>79</v>
      </c>
      <c r="F187" s="10" t="s">
        <v>2601</v>
      </c>
      <c r="G187" s="10" t="s">
        <v>20609</v>
      </c>
      <c r="H187" s="10" t="s">
        <v>2602</v>
      </c>
      <c r="I187" s="10" t="s">
        <v>55</v>
      </c>
      <c r="K187" s="10" t="s">
        <v>20936</v>
      </c>
      <c r="L187" s="10" t="s">
        <v>42</v>
      </c>
    </row>
    <row r="188" ht="15.75" customHeight="1">
      <c r="A188" s="66">
        <v>45495.0</v>
      </c>
      <c r="B188" s="55" t="str">
        <f>HYPERLINK("https://jobright.ai/jobs/info/669e87eefd9fb1454f0b3a36?utm_campaign=1058&amp;utm_source=sheet", "Apply")</f>
        <v>Apply</v>
      </c>
      <c r="C188" s="10" t="s">
        <v>20937</v>
      </c>
      <c r="D188" s="56" t="s">
        <v>20938</v>
      </c>
      <c r="E188" s="59">
        <v>45301.0</v>
      </c>
      <c r="F188" s="10" t="s">
        <v>20939</v>
      </c>
      <c r="G188" s="10" t="s">
        <v>20609</v>
      </c>
      <c r="H188" s="10" t="s">
        <v>165</v>
      </c>
      <c r="I188" s="10" t="s">
        <v>55</v>
      </c>
      <c r="J188" s="10" t="s">
        <v>2609</v>
      </c>
      <c r="K188" s="10" t="s">
        <v>20940</v>
      </c>
      <c r="L188" s="10" t="s">
        <v>42</v>
      </c>
    </row>
    <row r="189" ht="15.75" customHeight="1">
      <c r="A189" s="66">
        <v>45495.0</v>
      </c>
      <c r="B189" s="55" t="str">
        <f>HYPERLINK("https://jobright.ai/jobs/info/669e92fd1fc72dfa202d1301?utm_campaign=1058&amp;utm_source=sheet", "Apply")</f>
        <v>Apply</v>
      </c>
      <c r="C189" s="10" t="s">
        <v>20941</v>
      </c>
      <c r="D189" s="56" t="s">
        <v>4878</v>
      </c>
      <c r="E189" s="10" t="s">
        <v>45</v>
      </c>
      <c r="F189" s="10" t="s">
        <v>4879</v>
      </c>
      <c r="G189" s="10" t="s">
        <v>20592</v>
      </c>
      <c r="H189" s="10" t="s">
        <v>11168</v>
      </c>
      <c r="I189" s="10" t="s">
        <v>55</v>
      </c>
      <c r="K189" s="10" t="s">
        <v>20942</v>
      </c>
      <c r="L189" s="10" t="s">
        <v>42</v>
      </c>
    </row>
    <row r="190" ht="15.75" customHeight="1">
      <c r="A190" s="66">
        <v>45495.0</v>
      </c>
      <c r="B190" s="55" t="str">
        <f>HYPERLINK("https://jobright.ai/jobs/info/669eaef317d5ed9a58b844a2?utm_campaign=1058&amp;utm_source=sheet", "Apply")</f>
        <v>Apply</v>
      </c>
      <c r="C190" s="10" t="s">
        <v>20643</v>
      </c>
      <c r="D190" s="56" t="s">
        <v>20644</v>
      </c>
      <c r="E190" s="10" t="s">
        <v>45</v>
      </c>
      <c r="F190" s="10" t="s">
        <v>20645</v>
      </c>
      <c r="G190" s="10" t="s">
        <v>20592</v>
      </c>
      <c r="H190" s="10" t="s">
        <v>16707</v>
      </c>
      <c r="I190" s="10" t="s">
        <v>55</v>
      </c>
      <c r="K190" s="10" t="s">
        <v>20647</v>
      </c>
      <c r="L190" s="10" t="s">
        <v>42</v>
      </c>
    </row>
    <row r="191" ht="15.75" customHeight="1">
      <c r="A191" s="66">
        <v>45495.0</v>
      </c>
      <c r="B191" s="55" t="str">
        <f>HYPERLINK("https://jobright.ai/jobs/info/66a2732f2a3efa6cf5867bbe?utm_campaign=1058&amp;utm_source=sheet", "Apply")</f>
        <v>Apply</v>
      </c>
      <c r="C191" s="10" t="s">
        <v>20943</v>
      </c>
      <c r="D191" s="56" t="s">
        <v>196</v>
      </c>
      <c r="E191" s="10" t="s">
        <v>71</v>
      </c>
      <c r="F191" s="10" t="s">
        <v>197</v>
      </c>
      <c r="G191" s="10" t="s">
        <v>20609</v>
      </c>
      <c r="H191" s="10" t="s">
        <v>193</v>
      </c>
      <c r="I191" s="10" t="s">
        <v>55</v>
      </c>
      <c r="J191" s="10" t="s">
        <v>1804</v>
      </c>
      <c r="K191" s="10" t="s">
        <v>20944</v>
      </c>
      <c r="L191" s="10" t="s">
        <v>42</v>
      </c>
    </row>
    <row r="192" ht="15.75" customHeight="1">
      <c r="A192" s="66">
        <v>45495.0</v>
      </c>
      <c r="B192" s="55" t="str">
        <f>HYPERLINK("https://jobright.ai/jobs/info/669e7b3348c0502967efc274?utm_campaign=1058&amp;utm_source=sheet", "Apply")</f>
        <v>Apply</v>
      </c>
      <c r="C192" s="10" t="s">
        <v>20931</v>
      </c>
      <c r="D192" s="56" t="s">
        <v>3231</v>
      </c>
      <c r="E192" s="10" t="s">
        <v>276</v>
      </c>
      <c r="F192" s="10" t="s">
        <v>2554</v>
      </c>
      <c r="G192" s="10" t="s">
        <v>20609</v>
      </c>
      <c r="H192" s="10" t="s">
        <v>20945</v>
      </c>
      <c r="I192" s="10" t="s">
        <v>55</v>
      </c>
      <c r="K192" s="10" t="s">
        <v>20946</v>
      </c>
      <c r="L192" s="10" t="s">
        <v>42</v>
      </c>
    </row>
    <row r="193" ht="15.75" customHeight="1">
      <c r="A193" s="66">
        <v>45495.0</v>
      </c>
      <c r="B193" s="55" t="str">
        <f>HYPERLINK("https://jobright.ai/jobs/info/66a246c86dde01000490c69e?utm_campaign=1058&amp;utm_source=sheet", "Apply")</f>
        <v>Apply</v>
      </c>
      <c r="C193" s="10" t="s">
        <v>20740</v>
      </c>
      <c r="D193" s="56" t="s">
        <v>20947</v>
      </c>
      <c r="E193" s="10" t="s">
        <v>65</v>
      </c>
      <c r="F193" s="10" t="s">
        <v>7760</v>
      </c>
      <c r="G193" s="10" t="s">
        <v>20592</v>
      </c>
      <c r="H193" s="10" t="s">
        <v>20716</v>
      </c>
      <c r="I193" s="10" t="s">
        <v>55</v>
      </c>
      <c r="K193" s="10" t="s">
        <v>20742</v>
      </c>
      <c r="L193" s="10" t="s">
        <v>42</v>
      </c>
    </row>
    <row r="194" ht="15.75" customHeight="1">
      <c r="A194" s="66">
        <v>45495.0</v>
      </c>
      <c r="B194" s="55" t="str">
        <f>HYPERLINK("https://jobright.ai/jobs/info/669df8b3af8d82a28cdd04ed?utm_campaign=1058&amp;utm_source=sheet", "Apply")</f>
        <v>Apply</v>
      </c>
      <c r="C194" s="10" t="s">
        <v>20948</v>
      </c>
      <c r="D194" s="56" t="s">
        <v>20949</v>
      </c>
      <c r="E194" s="10" t="s">
        <v>45</v>
      </c>
      <c r="F194" s="10" t="s">
        <v>1512</v>
      </c>
      <c r="G194" s="10" t="s">
        <v>20592</v>
      </c>
      <c r="H194" s="10" t="s">
        <v>20950</v>
      </c>
      <c r="I194" s="10" t="s">
        <v>55</v>
      </c>
      <c r="K194" s="10" t="s">
        <v>20951</v>
      </c>
      <c r="L194" s="10" t="s">
        <v>42</v>
      </c>
    </row>
    <row r="195" ht="15.75" customHeight="1">
      <c r="A195" s="66">
        <v>45495.0</v>
      </c>
      <c r="B195" s="55" t="str">
        <f>HYPERLINK("https://jobright.ai/jobs/info/66484acb5b3fae022671cd5d?utm_campaign=1058&amp;utm_source=sheet", "Apply")</f>
        <v>Apply</v>
      </c>
      <c r="C195" s="10" t="s">
        <v>20611</v>
      </c>
      <c r="D195" s="56" t="s">
        <v>11095</v>
      </c>
      <c r="E195" s="10" t="s">
        <v>45</v>
      </c>
      <c r="F195" s="10" t="s">
        <v>11096</v>
      </c>
      <c r="G195" s="10" t="s">
        <v>20592</v>
      </c>
      <c r="H195" s="10" t="s">
        <v>966</v>
      </c>
      <c r="I195" s="10" t="s">
        <v>55</v>
      </c>
      <c r="J195" s="10" t="s">
        <v>20664</v>
      </c>
      <c r="K195" s="10" t="s">
        <v>20613</v>
      </c>
      <c r="L195" s="10" t="s">
        <v>42</v>
      </c>
    </row>
    <row r="196" ht="15.75" customHeight="1">
      <c r="A196" s="66">
        <v>45495.0</v>
      </c>
      <c r="B196" s="55" t="str">
        <f>HYPERLINK("https://jobright.ai/jobs/info/6697d3e0e88f59b31e6d7d3b?utm_campaign=1058&amp;utm_source=sheet", "Apply")</f>
        <v>Apply</v>
      </c>
      <c r="C196" s="10" t="s">
        <v>20952</v>
      </c>
      <c r="D196" s="56" t="s">
        <v>20953</v>
      </c>
      <c r="E196" s="10" t="s">
        <v>137</v>
      </c>
      <c r="F196" s="10" t="s">
        <v>1506</v>
      </c>
      <c r="G196" s="10" t="s">
        <v>20592</v>
      </c>
      <c r="H196" s="10" t="s">
        <v>17767</v>
      </c>
      <c r="I196" s="10" t="s">
        <v>55</v>
      </c>
      <c r="K196" s="10" t="s">
        <v>20954</v>
      </c>
      <c r="L196" s="10" t="s">
        <v>42</v>
      </c>
    </row>
    <row r="197" ht="15.75" customHeight="1">
      <c r="A197" s="66">
        <v>45495.0</v>
      </c>
      <c r="B197" s="55" t="str">
        <f>HYPERLINK("https://jobright.ai/jobs/info/669e857c6fcd424695e733aa?utm_campaign=1058&amp;utm_source=sheet", "Apply")</f>
        <v>Apply</v>
      </c>
      <c r="C197" s="10" t="s">
        <v>20955</v>
      </c>
      <c r="D197" s="56" t="s">
        <v>20956</v>
      </c>
      <c r="E197" s="10" t="s">
        <v>276</v>
      </c>
      <c r="F197" s="10" t="s">
        <v>1266</v>
      </c>
      <c r="G197" s="10" t="s">
        <v>20624</v>
      </c>
      <c r="H197" s="10" t="s">
        <v>920</v>
      </c>
      <c r="I197" s="10" t="s">
        <v>55</v>
      </c>
      <c r="K197" s="10" t="s">
        <v>20957</v>
      </c>
      <c r="L197" s="10" t="s">
        <v>42</v>
      </c>
    </row>
    <row r="198" ht="15.75" customHeight="1">
      <c r="A198" s="66">
        <v>45495.0</v>
      </c>
      <c r="B198" s="55" t="str">
        <f>HYPERLINK("https://jobright.ai/jobs/info/669ee718335dddbe62d7cff8?utm_campaign=1058&amp;utm_source=sheet", "Apply")</f>
        <v>Apply</v>
      </c>
      <c r="C198" s="10" t="s">
        <v>20958</v>
      </c>
      <c r="D198" s="56" t="s">
        <v>20959</v>
      </c>
      <c r="E198" s="10" t="s">
        <v>45</v>
      </c>
      <c r="F198" s="10" t="s">
        <v>2409</v>
      </c>
      <c r="G198" s="10" t="s">
        <v>20592</v>
      </c>
      <c r="H198" s="10" t="s">
        <v>4001</v>
      </c>
      <c r="I198" s="10" t="s">
        <v>55</v>
      </c>
      <c r="K198" s="10" t="s">
        <v>20960</v>
      </c>
      <c r="L198" s="10" t="s">
        <v>42</v>
      </c>
    </row>
    <row r="199" ht="15.75" customHeight="1">
      <c r="A199" s="66">
        <v>45495.0</v>
      </c>
      <c r="B199" s="55" t="str">
        <f>HYPERLINK("https://jobright.ai/jobs/info/669ee05f6d37918f3bac8585?utm_campaign=1058&amp;utm_source=sheet", "Apply")</f>
        <v>Apply</v>
      </c>
      <c r="C199" s="10" t="s">
        <v>20961</v>
      </c>
      <c r="D199" s="56" t="s">
        <v>2077</v>
      </c>
      <c r="E199" s="10" t="s">
        <v>45</v>
      </c>
      <c r="F199" s="10" t="s">
        <v>1234</v>
      </c>
      <c r="G199" s="10" t="s">
        <v>20609</v>
      </c>
      <c r="H199" s="10" t="s">
        <v>2078</v>
      </c>
      <c r="I199" s="10" t="s">
        <v>55</v>
      </c>
      <c r="J199" s="10" t="s">
        <v>3125</v>
      </c>
      <c r="K199" s="10" t="s">
        <v>20962</v>
      </c>
      <c r="L199" s="10" t="s">
        <v>42</v>
      </c>
    </row>
    <row r="200" ht="15.75" customHeight="1">
      <c r="A200" s="66">
        <v>45495.0</v>
      </c>
      <c r="B200" s="55" t="str">
        <f>HYPERLINK("https://jobright.ai/jobs/info/669ee05f6d37918f3bac8586?utm_campaign=1058&amp;utm_source=sheet", "Apply")</f>
        <v>Apply</v>
      </c>
      <c r="C200" s="10" t="s">
        <v>20898</v>
      </c>
      <c r="D200" s="56" t="s">
        <v>2077</v>
      </c>
      <c r="E200" s="10" t="s">
        <v>45</v>
      </c>
      <c r="F200" s="10" t="s">
        <v>1234</v>
      </c>
      <c r="G200" s="10" t="s">
        <v>20592</v>
      </c>
      <c r="H200" s="10" t="s">
        <v>2078</v>
      </c>
      <c r="I200" s="10" t="s">
        <v>55</v>
      </c>
      <c r="J200" s="10" t="s">
        <v>20899</v>
      </c>
      <c r="K200" s="10" t="s">
        <v>20900</v>
      </c>
      <c r="L200" s="10" t="s">
        <v>42</v>
      </c>
    </row>
    <row r="201" ht="15.75" customHeight="1">
      <c r="A201" s="66">
        <v>45495.0</v>
      </c>
      <c r="B201" s="55" t="str">
        <f>HYPERLINK("https://jobright.ai/jobs/info/669f4e92c15f574281df26b8?utm_campaign=1058&amp;utm_source=sheet", "Apply")</f>
        <v>Apply</v>
      </c>
      <c r="C201" s="10" t="s">
        <v>20788</v>
      </c>
      <c r="D201" s="56" t="s">
        <v>363</v>
      </c>
      <c r="E201" s="10" t="s">
        <v>209</v>
      </c>
      <c r="F201" s="10" t="s">
        <v>364</v>
      </c>
      <c r="G201" s="10" t="s">
        <v>20609</v>
      </c>
      <c r="H201" s="10" t="s">
        <v>511</v>
      </c>
      <c r="I201" s="10" t="s">
        <v>55</v>
      </c>
      <c r="J201" s="10" t="s">
        <v>366</v>
      </c>
      <c r="K201" s="10" t="s">
        <v>20789</v>
      </c>
      <c r="L201" s="10" t="s">
        <v>42</v>
      </c>
    </row>
    <row r="202" ht="15.75" customHeight="1">
      <c r="A202" s="66">
        <v>45495.0</v>
      </c>
      <c r="B202" s="55" t="str">
        <f>HYPERLINK("https://jobright.ai/jobs/info/669f077f6d12f12113095f27?utm_campaign=1058&amp;utm_source=sheet", "Apply")</f>
        <v>Apply</v>
      </c>
      <c r="C202" s="10" t="s">
        <v>4331</v>
      </c>
      <c r="D202" s="56" t="s">
        <v>2314</v>
      </c>
      <c r="E202" s="10" t="s">
        <v>209</v>
      </c>
      <c r="F202" s="10" t="s">
        <v>2315</v>
      </c>
      <c r="G202" s="10" t="s">
        <v>20592</v>
      </c>
      <c r="H202" s="10" t="s">
        <v>5148</v>
      </c>
      <c r="I202" s="10" t="s">
        <v>55</v>
      </c>
      <c r="K202" s="10" t="s">
        <v>20963</v>
      </c>
      <c r="L202" s="10" t="s">
        <v>42</v>
      </c>
    </row>
    <row r="203" ht="15.75" customHeight="1">
      <c r="A203" s="66">
        <v>45495.0</v>
      </c>
      <c r="B203" s="55" t="str">
        <f>HYPERLINK("https://jobright.ai/jobs/info/669eba4bd9dab4d724384add?utm_campaign=1058&amp;utm_source=sheet", "Apply")</f>
        <v>Apply</v>
      </c>
      <c r="C203" s="10" t="s">
        <v>20643</v>
      </c>
      <c r="D203" s="56" t="s">
        <v>20644</v>
      </c>
      <c r="E203" s="10" t="s">
        <v>45</v>
      </c>
      <c r="F203" s="10" t="s">
        <v>20645</v>
      </c>
      <c r="G203" s="10" t="s">
        <v>20592</v>
      </c>
      <c r="H203" s="10" t="s">
        <v>20964</v>
      </c>
      <c r="I203" s="10" t="s">
        <v>55</v>
      </c>
      <c r="K203" s="10" t="s">
        <v>20647</v>
      </c>
      <c r="L203" s="10" t="s">
        <v>42</v>
      </c>
    </row>
    <row r="204" ht="15.75" customHeight="1">
      <c r="A204" s="66">
        <v>45494.0</v>
      </c>
      <c r="B204" s="55" t="str">
        <f>HYPERLINK("https://jobright.ai/jobs/info/66469c21e232a930ae08d101?utm_campaign=1058&amp;utm_source=sheet", "Apply")</f>
        <v>Apply</v>
      </c>
      <c r="C204" s="10" t="s">
        <v>20611</v>
      </c>
      <c r="D204" s="56" t="s">
        <v>11095</v>
      </c>
      <c r="E204" s="10" t="s">
        <v>45</v>
      </c>
      <c r="F204" s="10" t="s">
        <v>11096</v>
      </c>
      <c r="G204" s="10" t="s">
        <v>20592</v>
      </c>
      <c r="H204" s="10" t="s">
        <v>930</v>
      </c>
      <c r="I204" s="10" t="s">
        <v>55</v>
      </c>
      <c r="J204" s="10" t="s">
        <v>20965</v>
      </c>
      <c r="K204" s="10" t="s">
        <v>20613</v>
      </c>
      <c r="L204" s="10" t="s">
        <v>42</v>
      </c>
    </row>
    <row r="205" ht="15.75" customHeight="1">
      <c r="A205" s="66">
        <v>45494.0</v>
      </c>
      <c r="B205" s="55" t="str">
        <f>HYPERLINK("https://jobright.ai/jobs/info/6675dcecd40a616e23782bf6?utm_campaign=1058&amp;utm_source=sheet", "Apply")</f>
        <v>Apply</v>
      </c>
      <c r="C205" s="10" t="s">
        <v>20611</v>
      </c>
      <c r="D205" s="56" t="s">
        <v>11095</v>
      </c>
      <c r="E205" s="10" t="s">
        <v>45</v>
      </c>
      <c r="F205" s="10" t="s">
        <v>11096</v>
      </c>
      <c r="G205" s="10" t="s">
        <v>20592</v>
      </c>
      <c r="H205" s="10" t="s">
        <v>17217</v>
      </c>
      <c r="I205" s="10" t="s">
        <v>55</v>
      </c>
      <c r="J205" s="10" t="s">
        <v>20664</v>
      </c>
      <c r="K205" s="10" t="s">
        <v>20613</v>
      </c>
      <c r="L205" s="10" t="s">
        <v>42</v>
      </c>
    </row>
    <row r="206" ht="15.75" customHeight="1">
      <c r="A206" s="66">
        <v>45494.0</v>
      </c>
      <c r="B206" s="55" t="str">
        <f>HYPERLINK("https://jobright.ai/jobs/info/66484ad45b3fae022671cd93?utm_campaign=1058&amp;utm_source=sheet", "Apply")</f>
        <v>Apply</v>
      </c>
      <c r="C206" s="10" t="s">
        <v>20611</v>
      </c>
      <c r="D206" s="56" t="s">
        <v>11095</v>
      </c>
      <c r="E206" s="10" t="s">
        <v>45</v>
      </c>
      <c r="F206" s="10" t="s">
        <v>11096</v>
      </c>
      <c r="G206" s="10" t="s">
        <v>20592</v>
      </c>
      <c r="H206" s="10" t="s">
        <v>20966</v>
      </c>
      <c r="I206" s="10" t="s">
        <v>55</v>
      </c>
      <c r="J206" s="10" t="s">
        <v>20664</v>
      </c>
      <c r="K206" s="10" t="s">
        <v>20613</v>
      </c>
      <c r="L206" s="10" t="s">
        <v>42</v>
      </c>
    </row>
    <row r="207" ht="15.75" customHeight="1">
      <c r="A207" s="66">
        <v>45494.0</v>
      </c>
      <c r="B207" s="55" t="str">
        <f>HYPERLINK("https://jobright.ai/jobs/info/669d0e9d882781b0ee6b8d8e?utm_campaign=1058&amp;utm_source=sheet", "Apply")</f>
        <v>Apply</v>
      </c>
      <c r="C207" s="10" t="s">
        <v>20967</v>
      </c>
      <c r="D207" s="56" t="s">
        <v>20968</v>
      </c>
      <c r="E207" s="10" t="s">
        <v>79</v>
      </c>
      <c r="F207" s="10" t="s">
        <v>20969</v>
      </c>
      <c r="G207" s="10" t="s">
        <v>20592</v>
      </c>
      <c r="H207" s="10" t="s">
        <v>525</v>
      </c>
      <c r="I207" s="10" t="s">
        <v>55</v>
      </c>
      <c r="K207" s="10" t="s">
        <v>20970</v>
      </c>
      <c r="L207" s="10" t="s">
        <v>42</v>
      </c>
    </row>
    <row r="208" ht="15.75" customHeight="1">
      <c r="A208" s="66">
        <v>45494.0</v>
      </c>
      <c r="B208" s="55" t="str">
        <f>HYPERLINK("https://jobright.ai/jobs/info/6648c684c271880be5e5c110?utm_campaign=1058&amp;utm_source=sheet", "Apply")</f>
        <v>Apply</v>
      </c>
      <c r="C208" s="10" t="s">
        <v>20611</v>
      </c>
      <c r="D208" s="56" t="s">
        <v>11095</v>
      </c>
      <c r="E208" s="10" t="s">
        <v>45</v>
      </c>
      <c r="F208" s="10" t="s">
        <v>11096</v>
      </c>
      <c r="G208" s="10" t="s">
        <v>20592</v>
      </c>
      <c r="H208" s="10" t="s">
        <v>892</v>
      </c>
      <c r="I208" s="10" t="s">
        <v>55</v>
      </c>
      <c r="J208" s="10" t="s">
        <v>20664</v>
      </c>
      <c r="K208" s="10" t="s">
        <v>20613</v>
      </c>
      <c r="L208" s="10" t="s">
        <v>42</v>
      </c>
    </row>
    <row r="209" ht="15.75" customHeight="1">
      <c r="A209" s="66">
        <v>45494.0</v>
      </c>
      <c r="B209" s="55" t="str">
        <f>HYPERLINK("https://jobright.ai/jobs/info/6663a67d1fcd0b606a5b4ead?utm_campaign=1058&amp;utm_source=sheet", "Apply")</f>
        <v>Apply</v>
      </c>
      <c r="C209" s="10" t="s">
        <v>20611</v>
      </c>
      <c r="D209" s="56" t="s">
        <v>11095</v>
      </c>
      <c r="E209" s="10" t="s">
        <v>45</v>
      </c>
      <c r="F209" s="10" t="s">
        <v>11096</v>
      </c>
      <c r="G209" s="10" t="s">
        <v>20592</v>
      </c>
      <c r="H209" s="10" t="s">
        <v>20971</v>
      </c>
      <c r="I209" s="10" t="s">
        <v>55</v>
      </c>
      <c r="J209" s="10" t="s">
        <v>20664</v>
      </c>
      <c r="K209" s="10" t="s">
        <v>20613</v>
      </c>
      <c r="L209" s="10" t="s">
        <v>42</v>
      </c>
    </row>
    <row r="210" ht="15.75" customHeight="1">
      <c r="A210" s="66">
        <v>45494.0</v>
      </c>
      <c r="B210" s="55" t="str">
        <f>HYPERLINK("https://jobright.ai/jobs/info/6663a6561fcd0b606a5b4bf1?utm_campaign=1058&amp;utm_source=sheet", "Apply")</f>
        <v>Apply</v>
      </c>
      <c r="C210" s="10" t="s">
        <v>20611</v>
      </c>
      <c r="D210" s="56" t="s">
        <v>11095</v>
      </c>
      <c r="E210" s="10" t="s">
        <v>45</v>
      </c>
      <c r="F210" s="10" t="s">
        <v>11096</v>
      </c>
      <c r="G210" s="10" t="s">
        <v>20592</v>
      </c>
      <c r="H210" s="10" t="s">
        <v>20972</v>
      </c>
      <c r="I210" s="10" t="s">
        <v>55</v>
      </c>
      <c r="J210" s="10" t="s">
        <v>20973</v>
      </c>
      <c r="K210" s="10" t="s">
        <v>20613</v>
      </c>
      <c r="L210" s="10" t="s">
        <v>42</v>
      </c>
    </row>
    <row r="211" ht="15.75" customHeight="1">
      <c r="A211" s="66">
        <v>45494.0</v>
      </c>
      <c r="B211" s="55" t="str">
        <f>HYPERLINK("https://jobright.ai/jobs/info/6648ad3c359075b25e466abb?utm_campaign=1058&amp;utm_source=sheet", "Apply")</f>
        <v>Apply</v>
      </c>
      <c r="C211" s="10" t="s">
        <v>20611</v>
      </c>
      <c r="D211" s="56" t="s">
        <v>11095</v>
      </c>
      <c r="E211" s="10" t="s">
        <v>45</v>
      </c>
      <c r="F211" s="10" t="s">
        <v>11096</v>
      </c>
      <c r="G211" s="10" t="s">
        <v>20592</v>
      </c>
      <c r="H211" s="10" t="s">
        <v>216</v>
      </c>
      <c r="I211" s="10" t="s">
        <v>55</v>
      </c>
      <c r="J211" s="10" t="s">
        <v>20965</v>
      </c>
      <c r="K211" s="10" t="s">
        <v>20613</v>
      </c>
      <c r="L211" s="10" t="s">
        <v>42</v>
      </c>
    </row>
    <row r="212" ht="15.75" customHeight="1">
      <c r="A212" s="66">
        <v>45494.0</v>
      </c>
      <c r="B212" s="55" t="str">
        <f>HYPERLINK("https://jobright.ai/jobs/info/6675e1b3e95c1a0a225b9046?utm_campaign=1058&amp;utm_source=sheet", "Apply")</f>
        <v>Apply</v>
      </c>
      <c r="C212" s="10" t="s">
        <v>20700</v>
      </c>
      <c r="D212" s="56" t="s">
        <v>11095</v>
      </c>
      <c r="E212" s="10" t="s">
        <v>45</v>
      </c>
      <c r="F212" s="10" t="s">
        <v>11096</v>
      </c>
      <c r="G212" s="10" t="s">
        <v>20592</v>
      </c>
      <c r="H212" s="10" t="s">
        <v>19502</v>
      </c>
      <c r="I212" s="10" t="s">
        <v>55</v>
      </c>
      <c r="J212" s="10" t="s">
        <v>20664</v>
      </c>
      <c r="K212" s="10" t="s">
        <v>20613</v>
      </c>
      <c r="L212" s="10" t="s">
        <v>42</v>
      </c>
    </row>
    <row r="213" ht="15.75" customHeight="1">
      <c r="A213" s="66">
        <v>45494.0</v>
      </c>
      <c r="B213" s="55" t="str">
        <f>HYPERLINK("https://jobright.ai/jobs/info/66469785f7c3c34d659f5297?utm_campaign=1058&amp;utm_source=sheet", "Apply")</f>
        <v>Apply</v>
      </c>
      <c r="C213" s="10" t="s">
        <v>20611</v>
      </c>
      <c r="D213" s="56" t="s">
        <v>11095</v>
      </c>
      <c r="E213" s="10" t="s">
        <v>45</v>
      </c>
      <c r="F213" s="10" t="s">
        <v>11096</v>
      </c>
      <c r="G213" s="10" t="s">
        <v>20592</v>
      </c>
      <c r="H213" s="10" t="s">
        <v>977</v>
      </c>
      <c r="I213" s="10" t="s">
        <v>55</v>
      </c>
      <c r="J213" s="10" t="s">
        <v>20664</v>
      </c>
      <c r="K213" s="10" t="s">
        <v>20613</v>
      </c>
      <c r="L213" s="10" t="s">
        <v>42</v>
      </c>
    </row>
    <row r="214" ht="15.75" customHeight="1">
      <c r="A214" s="66">
        <v>45494.0</v>
      </c>
      <c r="B214" s="55" t="str">
        <f>HYPERLINK("https://jobright.ai/jobs/info/66759366bad9224db7bb720e?utm_campaign=1058&amp;utm_source=sheet", "Apply")</f>
        <v>Apply</v>
      </c>
      <c r="C214" s="10" t="s">
        <v>20611</v>
      </c>
      <c r="D214" s="56" t="s">
        <v>11095</v>
      </c>
      <c r="E214" s="10" t="s">
        <v>45</v>
      </c>
      <c r="F214" s="10" t="s">
        <v>11096</v>
      </c>
      <c r="G214" s="10" t="s">
        <v>20592</v>
      </c>
      <c r="H214" s="10" t="s">
        <v>873</v>
      </c>
      <c r="I214" s="10" t="s">
        <v>55</v>
      </c>
      <c r="J214" s="10" t="s">
        <v>20973</v>
      </c>
      <c r="K214" s="10" t="s">
        <v>20613</v>
      </c>
      <c r="L214" s="10" t="s">
        <v>42</v>
      </c>
    </row>
    <row r="215" ht="15.75" customHeight="1">
      <c r="A215" s="66">
        <v>45494.0</v>
      </c>
      <c r="B215" s="55" t="str">
        <f>HYPERLINK("https://jobright.ai/jobs/info/664857f646d4347e63fbb9d2?utm_campaign=1058&amp;utm_source=sheet", "Apply")</f>
        <v>Apply</v>
      </c>
      <c r="C215" s="10" t="s">
        <v>20611</v>
      </c>
      <c r="D215" s="56" t="s">
        <v>11095</v>
      </c>
      <c r="E215" s="10" t="s">
        <v>45</v>
      </c>
      <c r="F215" s="10" t="s">
        <v>11096</v>
      </c>
      <c r="G215" s="10" t="s">
        <v>20592</v>
      </c>
      <c r="H215" s="10" t="s">
        <v>3093</v>
      </c>
      <c r="I215" s="10" t="s">
        <v>55</v>
      </c>
      <c r="J215" s="10" t="s">
        <v>20664</v>
      </c>
      <c r="K215" s="10" t="s">
        <v>20613</v>
      </c>
      <c r="L215" s="10" t="s">
        <v>42</v>
      </c>
    </row>
    <row r="216" ht="15.75" customHeight="1">
      <c r="A216" s="66">
        <v>45494.0</v>
      </c>
      <c r="B216" s="55" t="str">
        <f>HYPERLINK("https://jobright.ai/jobs/info/6648580046d4347e63fbba2a?utm_campaign=1058&amp;utm_source=sheet", "Apply")</f>
        <v>Apply</v>
      </c>
      <c r="C216" s="10" t="s">
        <v>20611</v>
      </c>
      <c r="D216" s="56" t="s">
        <v>11095</v>
      </c>
      <c r="E216" s="10" t="s">
        <v>45</v>
      </c>
      <c r="F216" s="10" t="s">
        <v>11096</v>
      </c>
      <c r="G216" s="10" t="s">
        <v>20592</v>
      </c>
      <c r="H216" s="10" t="s">
        <v>20974</v>
      </c>
      <c r="I216" s="10" t="s">
        <v>55</v>
      </c>
      <c r="J216" s="10" t="s">
        <v>20965</v>
      </c>
      <c r="K216" s="10" t="s">
        <v>20613</v>
      </c>
      <c r="L216" s="10" t="s">
        <v>42</v>
      </c>
    </row>
    <row r="217" ht="15.75" customHeight="1">
      <c r="A217" s="66">
        <v>45494.0</v>
      </c>
      <c r="B217" s="55" t="str">
        <f>HYPERLINK("https://jobright.ai/jobs/info/6645b003629cff6b62b4105b?utm_campaign=1058&amp;utm_source=sheet", "Apply")</f>
        <v>Apply</v>
      </c>
      <c r="C217" s="10" t="s">
        <v>20611</v>
      </c>
      <c r="D217" s="56" t="s">
        <v>11095</v>
      </c>
      <c r="E217" s="10" t="s">
        <v>45</v>
      </c>
      <c r="F217" s="10" t="s">
        <v>11096</v>
      </c>
      <c r="G217" s="10" t="s">
        <v>20592</v>
      </c>
      <c r="H217" s="10" t="s">
        <v>2123</v>
      </c>
      <c r="I217" s="10" t="s">
        <v>55</v>
      </c>
      <c r="J217" s="10" t="s">
        <v>20664</v>
      </c>
      <c r="K217" s="10" t="s">
        <v>20613</v>
      </c>
      <c r="L217" s="10" t="s">
        <v>42</v>
      </c>
    </row>
    <row r="218" ht="15.75" customHeight="1">
      <c r="A218" s="66">
        <v>45494.0</v>
      </c>
      <c r="B218" s="55" t="str">
        <f>HYPERLINK("https://jobright.ai/jobs/info/6677d6a15793f82273cb2f6c?utm_campaign=1058&amp;utm_source=sheet", "Apply")</f>
        <v>Apply</v>
      </c>
      <c r="C218" s="10" t="s">
        <v>20975</v>
      </c>
      <c r="D218" s="56" t="s">
        <v>6108</v>
      </c>
      <c r="E218" s="10" t="s">
        <v>45</v>
      </c>
      <c r="F218" s="10" t="s">
        <v>1695</v>
      </c>
      <c r="G218" s="10" t="s">
        <v>20592</v>
      </c>
      <c r="H218" s="10" t="s">
        <v>966</v>
      </c>
      <c r="I218" s="10" t="s">
        <v>55</v>
      </c>
      <c r="K218" s="10" t="s">
        <v>20976</v>
      </c>
      <c r="L218" s="10" t="s">
        <v>42</v>
      </c>
    </row>
    <row r="219" ht="15.75" customHeight="1">
      <c r="A219" s="66">
        <v>45494.0</v>
      </c>
      <c r="B219" s="55" t="str">
        <f>HYPERLINK("https://jobright.ai/jobs/info/6675782d73c7976a8f14c5f8?utm_campaign=1058&amp;utm_source=sheet", "Apply")</f>
        <v>Apply</v>
      </c>
      <c r="C219" s="10" t="s">
        <v>20611</v>
      </c>
      <c r="D219" s="56" t="s">
        <v>11095</v>
      </c>
      <c r="E219" s="10" t="s">
        <v>45</v>
      </c>
      <c r="F219" s="10" t="s">
        <v>11096</v>
      </c>
      <c r="G219" s="10" t="s">
        <v>20592</v>
      </c>
      <c r="H219" s="10" t="s">
        <v>20977</v>
      </c>
      <c r="I219" s="10" t="s">
        <v>55</v>
      </c>
      <c r="J219" s="10" t="s">
        <v>20973</v>
      </c>
      <c r="K219" s="10" t="s">
        <v>20613</v>
      </c>
      <c r="L219" s="10" t="s">
        <v>42</v>
      </c>
    </row>
    <row r="220" ht="15.75" customHeight="1">
      <c r="A220" s="66">
        <v>45494.0</v>
      </c>
      <c r="B220" s="55" t="str">
        <f>HYPERLINK("https://jobright.ai/jobs/info/6651c32736f20287baea7b0a?utm_campaign=1058&amp;utm_source=sheet", "Apply")</f>
        <v>Apply</v>
      </c>
      <c r="C220" s="10" t="s">
        <v>20611</v>
      </c>
      <c r="D220" s="56" t="s">
        <v>11095</v>
      </c>
      <c r="E220" s="10" t="s">
        <v>45</v>
      </c>
      <c r="F220" s="10" t="s">
        <v>11096</v>
      </c>
      <c r="G220" s="10" t="s">
        <v>20592</v>
      </c>
      <c r="H220" s="10" t="s">
        <v>20978</v>
      </c>
      <c r="I220" s="10" t="s">
        <v>55</v>
      </c>
      <c r="J220" s="10" t="s">
        <v>20965</v>
      </c>
      <c r="K220" s="10" t="s">
        <v>20613</v>
      </c>
      <c r="L220" s="10" t="s">
        <v>42</v>
      </c>
    </row>
    <row r="221" ht="15.75" customHeight="1">
      <c r="A221" s="66">
        <v>45493.0</v>
      </c>
      <c r="B221" s="55" t="str">
        <f>HYPERLINK("https://jobright.ai/jobs/info/669c1ab5077ee6ac459facdb?utm_campaign=1058&amp;utm_source=sheet", "Apply")</f>
        <v>Apply</v>
      </c>
      <c r="C221" s="10" t="s">
        <v>20979</v>
      </c>
      <c r="D221" s="56" t="s">
        <v>20980</v>
      </c>
      <c r="E221" s="10" t="s">
        <v>71</v>
      </c>
      <c r="F221" s="10" t="s">
        <v>1700</v>
      </c>
      <c r="G221" s="10" t="s">
        <v>20592</v>
      </c>
      <c r="H221" s="10" t="s">
        <v>20981</v>
      </c>
      <c r="I221" s="10" t="s">
        <v>55</v>
      </c>
      <c r="K221" s="10" t="s">
        <v>20982</v>
      </c>
      <c r="L221" s="10" t="s">
        <v>42</v>
      </c>
    </row>
    <row r="222" ht="15.75" customHeight="1">
      <c r="A222" s="66">
        <v>45493.0</v>
      </c>
      <c r="B222" s="55" t="str">
        <f>HYPERLINK("https://jobright.ai/jobs/info/669c4506f318798ab2b04802?utm_campaign=1058&amp;utm_source=sheet", "Apply")</f>
        <v>Apply</v>
      </c>
      <c r="C222" s="10" t="s">
        <v>20983</v>
      </c>
      <c r="D222" s="56" t="s">
        <v>5130</v>
      </c>
      <c r="E222" s="10" t="s">
        <v>65</v>
      </c>
      <c r="F222" s="10" t="s">
        <v>331</v>
      </c>
      <c r="G222" s="10" t="s">
        <v>20609</v>
      </c>
      <c r="H222" s="10" t="s">
        <v>882</v>
      </c>
      <c r="I222" s="10" t="s">
        <v>55</v>
      </c>
      <c r="K222" s="10" t="s">
        <v>20984</v>
      </c>
      <c r="L222" s="10" t="s">
        <v>42</v>
      </c>
    </row>
    <row r="223" ht="15.75" customHeight="1">
      <c r="A223" s="66">
        <v>45493.0</v>
      </c>
      <c r="B223" s="55" t="str">
        <f>HYPERLINK("https://jobright.ai/jobs/info/669c8862f56d0fc278eead64?utm_campaign=1058&amp;utm_source=sheet", "Apply")</f>
        <v>Apply</v>
      </c>
      <c r="C223" s="10" t="s">
        <v>20985</v>
      </c>
      <c r="D223" s="56" t="s">
        <v>2220</v>
      </c>
      <c r="E223" s="10" t="s">
        <v>45</v>
      </c>
      <c r="F223" s="10" t="s">
        <v>2221</v>
      </c>
      <c r="G223" s="10" t="s">
        <v>20609</v>
      </c>
      <c r="H223" s="10" t="s">
        <v>6620</v>
      </c>
      <c r="I223" s="10" t="s">
        <v>48</v>
      </c>
      <c r="K223" s="10" t="s">
        <v>7614</v>
      </c>
      <c r="L223" s="10" t="s">
        <v>42</v>
      </c>
    </row>
    <row r="224" ht="15.75" customHeight="1">
      <c r="A224" s="66">
        <v>45493.0</v>
      </c>
      <c r="B224" s="55" t="str">
        <f>HYPERLINK("https://jobright.ai/jobs/info/669c4506f318798ab2b04837?utm_campaign=1058&amp;utm_source=sheet", "Apply")</f>
        <v>Apply</v>
      </c>
      <c r="C224" s="10" t="s">
        <v>20986</v>
      </c>
      <c r="D224" s="56" t="s">
        <v>12288</v>
      </c>
      <c r="E224" s="10" t="s">
        <v>209</v>
      </c>
      <c r="F224" s="10" t="s">
        <v>2617</v>
      </c>
      <c r="G224" s="10" t="s">
        <v>20592</v>
      </c>
      <c r="H224" s="10" t="s">
        <v>6620</v>
      </c>
      <c r="I224" s="10" t="s">
        <v>55</v>
      </c>
      <c r="K224" s="10" t="s">
        <v>7614</v>
      </c>
      <c r="L224" s="10" t="s">
        <v>42</v>
      </c>
    </row>
    <row r="225" ht="15.75" customHeight="1">
      <c r="A225" s="66">
        <v>45493.0</v>
      </c>
      <c r="B225" s="55" t="str">
        <f>HYPERLINK("https://jobright.ai/jobs/info/669c453cf318798ab2b04e57?utm_campaign=1058&amp;utm_source=sheet", "Apply")</f>
        <v>Apply</v>
      </c>
      <c r="C225" s="10" t="s">
        <v>20987</v>
      </c>
      <c r="D225" s="56" t="s">
        <v>4448</v>
      </c>
      <c r="E225" s="10" t="s">
        <v>71</v>
      </c>
      <c r="F225" s="10" t="s">
        <v>4449</v>
      </c>
      <c r="G225" s="10" t="s">
        <v>20624</v>
      </c>
      <c r="H225" s="10" t="s">
        <v>4458</v>
      </c>
      <c r="I225" s="10" t="s">
        <v>55</v>
      </c>
      <c r="K225" s="10" t="s">
        <v>4450</v>
      </c>
      <c r="L225" s="10" t="s">
        <v>42</v>
      </c>
    </row>
    <row r="226" ht="15.75" customHeight="1">
      <c r="A226" s="66">
        <v>45493.0</v>
      </c>
      <c r="B226" s="55" t="str">
        <f>HYPERLINK("https://jobright.ai/jobs/info/669c453cf318798ab2b04e6e?utm_campaign=1058&amp;utm_source=sheet", "Apply")</f>
        <v>Apply</v>
      </c>
      <c r="C226" s="10" t="s">
        <v>20987</v>
      </c>
      <c r="D226" s="56" t="s">
        <v>4448</v>
      </c>
      <c r="E226" s="10" t="s">
        <v>71</v>
      </c>
      <c r="F226" s="10" t="s">
        <v>4449</v>
      </c>
      <c r="G226" s="10" t="s">
        <v>20624</v>
      </c>
      <c r="H226" s="10" t="s">
        <v>1786</v>
      </c>
      <c r="I226" s="10" t="s">
        <v>55</v>
      </c>
      <c r="K226" s="10" t="s">
        <v>4450</v>
      </c>
      <c r="L226" s="10" t="s">
        <v>42</v>
      </c>
    </row>
    <row r="227" ht="15.75" customHeight="1">
      <c r="A227" s="66">
        <v>45493.0</v>
      </c>
      <c r="B227" s="55" t="str">
        <f>HYPERLINK("https://jobright.ai/jobs/info/669c453cf318798ab2b04eb0?utm_campaign=1058&amp;utm_source=sheet", "Apply")</f>
        <v>Apply</v>
      </c>
      <c r="C227" s="10" t="s">
        <v>20987</v>
      </c>
      <c r="D227" s="56" t="s">
        <v>4448</v>
      </c>
      <c r="E227" s="10" t="s">
        <v>71</v>
      </c>
      <c r="F227" s="10" t="s">
        <v>4449</v>
      </c>
      <c r="G227" s="10" t="s">
        <v>20624</v>
      </c>
      <c r="H227" s="10" t="s">
        <v>636</v>
      </c>
      <c r="I227" s="10" t="s">
        <v>55</v>
      </c>
      <c r="K227" s="10" t="s">
        <v>4450</v>
      </c>
      <c r="L227" s="10" t="s">
        <v>42</v>
      </c>
    </row>
    <row r="228" ht="15.75" customHeight="1">
      <c r="A228" s="66">
        <v>45493.0</v>
      </c>
      <c r="B228" s="55" t="str">
        <f>HYPERLINK("https://jobright.ai/jobs/info/669c4542f318798ab2b04f77?utm_campaign=1058&amp;utm_source=sheet", "Apply")</f>
        <v>Apply</v>
      </c>
      <c r="C228" s="10" t="s">
        <v>20988</v>
      </c>
      <c r="D228" s="56" t="s">
        <v>4448</v>
      </c>
      <c r="E228" s="10" t="s">
        <v>71</v>
      </c>
      <c r="F228" s="10" t="s">
        <v>4449</v>
      </c>
      <c r="G228" s="10" t="s">
        <v>20609</v>
      </c>
      <c r="H228" s="10" t="s">
        <v>4458</v>
      </c>
      <c r="I228" s="10" t="s">
        <v>55</v>
      </c>
      <c r="K228" s="10" t="s">
        <v>4450</v>
      </c>
      <c r="L228" s="10" t="s">
        <v>42</v>
      </c>
    </row>
    <row r="229" ht="15.75" customHeight="1">
      <c r="A229" s="66">
        <v>45493.0</v>
      </c>
      <c r="B229" s="55" t="str">
        <f>HYPERLINK("https://jobright.ai/jobs/info/669c454ff318798ab2b050ec?utm_campaign=1058&amp;utm_source=sheet", "Apply")</f>
        <v>Apply</v>
      </c>
      <c r="C229" s="10" t="s">
        <v>20987</v>
      </c>
      <c r="D229" s="56" t="s">
        <v>4448</v>
      </c>
      <c r="E229" s="10" t="s">
        <v>71</v>
      </c>
      <c r="F229" s="10" t="s">
        <v>4449</v>
      </c>
      <c r="G229" s="10" t="s">
        <v>20624</v>
      </c>
      <c r="H229" s="10" t="s">
        <v>5432</v>
      </c>
      <c r="I229" s="10" t="s">
        <v>55</v>
      </c>
      <c r="K229" s="10" t="s">
        <v>4450</v>
      </c>
      <c r="L229" s="10" t="s">
        <v>42</v>
      </c>
    </row>
    <row r="230" ht="15.75" customHeight="1">
      <c r="A230" s="66">
        <v>45493.0</v>
      </c>
      <c r="B230" s="55" t="str">
        <f>HYPERLINK("https://jobright.ai/jobs/info/669c454ff318798ab2b05121?utm_campaign=1058&amp;utm_source=sheet", "Apply")</f>
        <v>Apply</v>
      </c>
      <c r="C230" s="10" t="s">
        <v>20988</v>
      </c>
      <c r="D230" s="56" t="s">
        <v>4448</v>
      </c>
      <c r="E230" s="10" t="s">
        <v>71</v>
      </c>
      <c r="F230" s="10" t="s">
        <v>4449</v>
      </c>
      <c r="G230" s="10" t="s">
        <v>20609</v>
      </c>
      <c r="H230" s="10" t="s">
        <v>20989</v>
      </c>
      <c r="I230" s="10" t="s">
        <v>55</v>
      </c>
      <c r="K230" s="10" t="s">
        <v>4450</v>
      </c>
      <c r="L230" s="10" t="s">
        <v>42</v>
      </c>
    </row>
    <row r="231" ht="15.75" customHeight="1">
      <c r="A231" s="66">
        <v>45493.0</v>
      </c>
      <c r="B231" s="55" t="str">
        <f>HYPERLINK("https://jobright.ai/jobs/info/669c455af318798ab2b05251?utm_campaign=1058&amp;utm_source=sheet", "Apply")</f>
        <v>Apply</v>
      </c>
      <c r="C231" s="10" t="s">
        <v>20988</v>
      </c>
      <c r="D231" s="56" t="s">
        <v>4448</v>
      </c>
      <c r="E231" s="10" t="s">
        <v>71</v>
      </c>
      <c r="F231" s="10" t="s">
        <v>4449</v>
      </c>
      <c r="G231" s="10" t="s">
        <v>20609</v>
      </c>
      <c r="H231" s="10" t="s">
        <v>20990</v>
      </c>
      <c r="I231" s="10" t="s">
        <v>55</v>
      </c>
      <c r="K231" s="10" t="s">
        <v>4450</v>
      </c>
      <c r="L231" s="10" t="s">
        <v>42</v>
      </c>
    </row>
    <row r="232" ht="15.75" customHeight="1">
      <c r="A232" s="66">
        <v>45493.0</v>
      </c>
      <c r="B232" s="55" t="str">
        <f>HYPERLINK("https://jobright.ai/jobs/info/669c455af318798ab2b05254?utm_campaign=1058&amp;utm_source=sheet", "Apply")</f>
        <v>Apply</v>
      </c>
      <c r="C232" s="10" t="s">
        <v>20987</v>
      </c>
      <c r="D232" s="56" t="s">
        <v>4448</v>
      </c>
      <c r="E232" s="10" t="s">
        <v>71</v>
      </c>
      <c r="F232" s="10" t="s">
        <v>4449</v>
      </c>
      <c r="G232" s="10" t="s">
        <v>20624</v>
      </c>
      <c r="H232" s="10" t="s">
        <v>2602</v>
      </c>
      <c r="I232" s="10" t="s">
        <v>55</v>
      </c>
      <c r="K232" s="10" t="s">
        <v>4450</v>
      </c>
      <c r="L232" s="10" t="s">
        <v>42</v>
      </c>
    </row>
    <row r="233" ht="15.75" customHeight="1">
      <c r="A233" s="66">
        <v>45493.0</v>
      </c>
      <c r="B233" s="55" t="str">
        <f>HYPERLINK("https://jobright.ai/jobs/info/667f59ea17e959dc66d2b25b?utm_campaign=1058&amp;utm_source=sheet", "Apply")</f>
        <v>Apply</v>
      </c>
      <c r="C233" s="10" t="s">
        <v>20611</v>
      </c>
      <c r="D233" s="56" t="s">
        <v>11095</v>
      </c>
      <c r="E233" s="10" t="s">
        <v>45</v>
      </c>
      <c r="F233" s="10" t="s">
        <v>11096</v>
      </c>
      <c r="G233" s="10" t="s">
        <v>20592</v>
      </c>
      <c r="H233" s="10" t="s">
        <v>20991</v>
      </c>
      <c r="I233" s="10" t="s">
        <v>55</v>
      </c>
      <c r="J233" s="10" t="s">
        <v>20664</v>
      </c>
      <c r="K233" s="10" t="s">
        <v>20613</v>
      </c>
      <c r="L233" s="10" t="s">
        <v>42</v>
      </c>
    </row>
    <row r="234" ht="15.75" customHeight="1">
      <c r="A234" s="66">
        <v>45493.0</v>
      </c>
      <c r="B234" s="55" t="str">
        <f>HYPERLINK("https://jobright.ai/jobs/info/66a3f91ec344e12ad5440eef?utm_campaign=1058&amp;utm_source=sheet", "Apply")</f>
        <v>Apply</v>
      </c>
      <c r="C234" s="10" t="s">
        <v>20992</v>
      </c>
      <c r="D234" s="56" t="s">
        <v>20993</v>
      </c>
      <c r="E234" s="10">
        <v>197.0</v>
      </c>
      <c r="G234" s="10" t="s">
        <v>20592</v>
      </c>
      <c r="H234" s="10" t="s">
        <v>930</v>
      </c>
      <c r="I234" s="10" t="s">
        <v>55</v>
      </c>
      <c r="K234" s="10" t="s">
        <v>20994</v>
      </c>
      <c r="L234" s="10" t="s">
        <v>42</v>
      </c>
    </row>
    <row r="235" ht="15.75" customHeight="1">
      <c r="A235" s="66">
        <v>45493.0</v>
      </c>
      <c r="B235" s="55" t="str">
        <f>HYPERLINK("https://jobright.ai/jobs/info/6675a7906fb7d4bb72dd74ee?utm_campaign=1058&amp;utm_source=sheet", "Apply")</f>
        <v>Apply</v>
      </c>
      <c r="C235" s="10" t="s">
        <v>20611</v>
      </c>
      <c r="D235" s="56" t="s">
        <v>11095</v>
      </c>
      <c r="E235" s="10" t="s">
        <v>45</v>
      </c>
      <c r="F235" s="10" t="s">
        <v>11096</v>
      </c>
      <c r="G235" s="10" t="s">
        <v>20592</v>
      </c>
      <c r="H235" s="10" t="s">
        <v>20002</v>
      </c>
      <c r="I235" s="10" t="s">
        <v>55</v>
      </c>
      <c r="J235" s="10" t="s">
        <v>20664</v>
      </c>
      <c r="K235" s="10" t="s">
        <v>20613</v>
      </c>
      <c r="L235" s="10" t="s">
        <v>42</v>
      </c>
    </row>
    <row r="236" ht="15.75" customHeight="1">
      <c r="A236" s="66">
        <v>45493.0</v>
      </c>
      <c r="B236" s="55" t="str">
        <f>HYPERLINK("https://jobright.ai/jobs/info/667f6cd87334a672aaca1f06?utm_campaign=1058&amp;utm_source=sheet", "Apply")</f>
        <v>Apply</v>
      </c>
      <c r="C236" s="10" t="s">
        <v>20611</v>
      </c>
      <c r="D236" s="56" t="s">
        <v>11095</v>
      </c>
      <c r="E236" s="10" t="s">
        <v>45</v>
      </c>
      <c r="F236" s="10" t="s">
        <v>11096</v>
      </c>
      <c r="G236" s="10" t="s">
        <v>20592</v>
      </c>
      <c r="H236" s="10" t="s">
        <v>4362</v>
      </c>
      <c r="I236" s="10" t="s">
        <v>55</v>
      </c>
      <c r="J236" s="10" t="s">
        <v>20664</v>
      </c>
      <c r="K236" s="10" t="s">
        <v>20613</v>
      </c>
      <c r="L236" s="10" t="s">
        <v>42</v>
      </c>
    </row>
    <row r="237" ht="15.75" customHeight="1">
      <c r="A237" s="66">
        <v>45493.0</v>
      </c>
      <c r="B237" s="55" t="str">
        <f>HYPERLINK("https://jobright.ai/jobs/info/667f4f5d3215408025c9e4a3?utm_campaign=1058&amp;utm_source=sheet", "Apply")</f>
        <v>Apply</v>
      </c>
      <c r="C237" s="10" t="s">
        <v>20611</v>
      </c>
      <c r="D237" s="56" t="s">
        <v>11095</v>
      </c>
      <c r="E237" s="10" t="s">
        <v>45</v>
      </c>
      <c r="F237" s="10" t="s">
        <v>11096</v>
      </c>
      <c r="G237" s="10" t="s">
        <v>20592</v>
      </c>
      <c r="H237" s="10" t="s">
        <v>20995</v>
      </c>
      <c r="I237" s="10" t="s">
        <v>55</v>
      </c>
      <c r="J237" s="10" t="s">
        <v>20664</v>
      </c>
      <c r="K237" s="10" t="s">
        <v>20613</v>
      </c>
      <c r="L237" s="10" t="s">
        <v>42</v>
      </c>
    </row>
    <row r="238" ht="15.75" customHeight="1">
      <c r="A238" s="66">
        <v>45493.0</v>
      </c>
      <c r="B238" s="55" t="str">
        <f>HYPERLINK("https://jobright.ai/jobs/info/66a3f967c344e12ad5441453?utm_campaign=1058&amp;utm_source=sheet", "Apply")</f>
        <v>Apply</v>
      </c>
      <c r="C238" s="10" t="s">
        <v>20996</v>
      </c>
      <c r="D238" s="56" t="s">
        <v>20590</v>
      </c>
      <c r="E238" s="10" t="s">
        <v>249</v>
      </c>
      <c r="F238" s="10" t="s">
        <v>20591</v>
      </c>
      <c r="G238" s="10" t="s">
        <v>20592</v>
      </c>
      <c r="H238" s="10" t="s">
        <v>188</v>
      </c>
      <c r="I238" s="10" t="s">
        <v>55</v>
      </c>
      <c r="K238" s="10" t="s">
        <v>20593</v>
      </c>
      <c r="L238" s="10" t="s">
        <v>42</v>
      </c>
    </row>
    <row r="239" ht="15.75" customHeight="1">
      <c r="A239" s="66">
        <v>45493.0</v>
      </c>
      <c r="B239" s="55" t="str">
        <f>HYPERLINK("https://jobright.ai/jobs/info/6662a13780c546db936f82b4?utm_campaign=1058&amp;utm_source=sheet", "Apply")</f>
        <v>Apply</v>
      </c>
      <c r="C239" s="10" t="s">
        <v>20611</v>
      </c>
      <c r="D239" s="56" t="s">
        <v>11095</v>
      </c>
      <c r="E239" s="10" t="s">
        <v>45</v>
      </c>
      <c r="F239" s="10" t="s">
        <v>11096</v>
      </c>
      <c r="G239" s="10" t="s">
        <v>20592</v>
      </c>
      <c r="H239" s="10" t="s">
        <v>20997</v>
      </c>
      <c r="I239" s="10" t="s">
        <v>55</v>
      </c>
      <c r="J239" s="10" t="s">
        <v>20664</v>
      </c>
      <c r="K239" s="10" t="s">
        <v>20613</v>
      </c>
      <c r="L239" s="10" t="s">
        <v>42</v>
      </c>
    </row>
    <row r="240" ht="15.75" customHeight="1">
      <c r="A240" s="66">
        <v>45493.0</v>
      </c>
      <c r="B240" s="55" t="str">
        <f>HYPERLINK("https://jobright.ai/jobs/info/6645b003629cff6b62b4109e?utm_campaign=1058&amp;utm_source=sheet", "Apply")</f>
        <v>Apply</v>
      </c>
      <c r="C240" s="10" t="s">
        <v>20611</v>
      </c>
      <c r="D240" s="56" t="s">
        <v>11095</v>
      </c>
      <c r="E240" s="10" t="s">
        <v>45</v>
      </c>
      <c r="F240" s="10" t="s">
        <v>11096</v>
      </c>
      <c r="G240" s="10" t="s">
        <v>20592</v>
      </c>
      <c r="H240" s="10" t="s">
        <v>628</v>
      </c>
      <c r="I240" s="10" t="s">
        <v>55</v>
      </c>
      <c r="J240" s="10" t="s">
        <v>20664</v>
      </c>
      <c r="K240" s="10" t="s">
        <v>20613</v>
      </c>
      <c r="L240" s="10" t="s">
        <v>42</v>
      </c>
    </row>
    <row r="241" ht="15.75" customHeight="1">
      <c r="A241" s="66">
        <v>45493.0</v>
      </c>
      <c r="B241" s="55" t="str">
        <f>HYPERLINK("https://jobright.ai/jobs/info/6662a7a6b94cf50777138f9d?utm_campaign=1058&amp;utm_source=sheet", "Apply")</f>
        <v>Apply</v>
      </c>
      <c r="C241" s="10" t="s">
        <v>20611</v>
      </c>
      <c r="D241" s="56" t="s">
        <v>11095</v>
      </c>
      <c r="E241" s="10" t="s">
        <v>45</v>
      </c>
      <c r="F241" s="10" t="s">
        <v>11096</v>
      </c>
      <c r="G241" s="10" t="s">
        <v>20592</v>
      </c>
      <c r="H241" s="10" t="s">
        <v>20978</v>
      </c>
      <c r="I241" s="10" t="s">
        <v>55</v>
      </c>
      <c r="J241" s="10" t="s">
        <v>20965</v>
      </c>
      <c r="K241" s="10" t="s">
        <v>20613</v>
      </c>
      <c r="L241" s="10" t="s">
        <v>42</v>
      </c>
    </row>
    <row r="242" ht="15.75" customHeight="1">
      <c r="A242" s="66">
        <v>45493.0</v>
      </c>
      <c r="B242" s="55" t="str">
        <f>HYPERLINK("https://jobright.ai/jobs/info/667f520d783e54dc254e7aa7?utm_campaign=1058&amp;utm_source=sheet", "Apply")</f>
        <v>Apply</v>
      </c>
      <c r="C242" s="10" t="s">
        <v>20611</v>
      </c>
      <c r="D242" s="56" t="s">
        <v>11095</v>
      </c>
      <c r="E242" s="10" t="s">
        <v>45</v>
      </c>
      <c r="F242" s="10" t="s">
        <v>11096</v>
      </c>
      <c r="G242" s="10" t="s">
        <v>20592</v>
      </c>
      <c r="H242" s="10" t="s">
        <v>872</v>
      </c>
      <c r="I242" s="10" t="s">
        <v>55</v>
      </c>
      <c r="J242" s="10" t="s">
        <v>20664</v>
      </c>
      <c r="K242" s="10" t="s">
        <v>20613</v>
      </c>
      <c r="L242" s="10" t="s">
        <v>42</v>
      </c>
    </row>
    <row r="243" ht="15.75" customHeight="1">
      <c r="A243" s="66">
        <v>45493.0</v>
      </c>
      <c r="B243" s="55" t="str">
        <f>HYPERLINK("https://jobright.ai/jobs/info/667fa00668d5f108040adcc8?utm_campaign=1058&amp;utm_source=sheet", "Apply")</f>
        <v>Apply</v>
      </c>
      <c r="C243" s="10" t="s">
        <v>20611</v>
      </c>
      <c r="D243" s="56" t="s">
        <v>11095</v>
      </c>
      <c r="E243" s="10" t="s">
        <v>45</v>
      </c>
      <c r="F243" s="10" t="s">
        <v>11096</v>
      </c>
      <c r="G243" s="10" t="s">
        <v>20592</v>
      </c>
      <c r="H243" s="10" t="s">
        <v>20998</v>
      </c>
      <c r="I243" s="10" t="s">
        <v>55</v>
      </c>
      <c r="J243" s="10" t="s">
        <v>20664</v>
      </c>
      <c r="K243" s="10" t="s">
        <v>20613</v>
      </c>
      <c r="L243" s="10" t="s">
        <v>42</v>
      </c>
    </row>
    <row r="244" ht="15.75" customHeight="1">
      <c r="A244" s="66">
        <v>45493.0</v>
      </c>
      <c r="B244" s="55" t="str">
        <f>HYPERLINK("https://jobright.ai/jobs/info/667f4f513215408025c9e404?utm_campaign=1058&amp;utm_source=sheet", "Apply")</f>
        <v>Apply</v>
      </c>
      <c r="C244" s="10" t="s">
        <v>20611</v>
      </c>
      <c r="D244" s="56" t="s">
        <v>11095</v>
      </c>
      <c r="E244" s="10" t="s">
        <v>45</v>
      </c>
      <c r="F244" s="10" t="s">
        <v>11096</v>
      </c>
      <c r="G244" s="10" t="s">
        <v>20592</v>
      </c>
      <c r="H244" s="10" t="s">
        <v>20999</v>
      </c>
      <c r="I244" s="10" t="s">
        <v>55</v>
      </c>
      <c r="J244" s="10" t="s">
        <v>20664</v>
      </c>
      <c r="K244" s="10" t="s">
        <v>20613</v>
      </c>
      <c r="L244" s="10" t="s">
        <v>42</v>
      </c>
    </row>
    <row r="245" ht="15.75" customHeight="1">
      <c r="A245" s="66">
        <v>45493.0</v>
      </c>
      <c r="B245" s="55" t="str">
        <f>HYPERLINK("https://jobright.ai/jobs/info/6675ea16a266c24fd0a151c3?utm_campaign=1058&amp;utm_source=sheet", "Apply")</f>
        <v>Apply</v>
      </c>
      <c r="C245" s="10" t="s">
        <v>20611</v>
      </c>
      <c r="D245" s="56" t="s">
        <v>11095</v>
      </c>
      <c r="E245" s="10" t="s">
        <v>45</v>
      </c>
      <c r="F245" s="10" t="s">
        <v>11096</v>
      </c>
      <c r="G245" s="10" t="s">
        <v>20592</v>
      </c>
      <c r="H245" s="10" t="s">
        <v>21000</v>
      </c>
      <c r="I245" s="10" t="s">
        <v>55</v>
      </c>
      <c r="J245" s="10" t="s">
        <v>20664</v>
      </c>
      <c r="K245" s="10" t="s">
        <v>20613</v>
      </c>
      <c r="L245" s="10" t="s">
        <v>42</v>
      </c>
    </row>
    <row r="246" ht="15.75" customHeight="1">
      <c r="A246" s="66">
        <v>45493.0</v>
      </c>
      <c r="B246" s="55" t="str">
        <f>HYPERLINK("https://jobright.ai/jobs/info/667f9ff868d5f108040adc25?utm_campaign=1058&amp;utm_source=sheet", "Apply")</f>
        <v>Apply</v>
      </c>
      <c r="C246" s="10" t="s">
        <v>21001</v>
      </c>
      <c r="D246" s="56" t="s">
        <v>20806</v>
      </c>
      <c r="E246" s="10" t="s">
        <v>45</v>
      </c>
      <c r="F246" s="10" t="s">
        <v>20807</v>
      </c>
      <c r="G246" s="10" t="s">
        <v>20624</v>
      </c>
      <c r="H246" s="10" t="s">
        <v>361</v>
      </c>
      <c r="I246" s="10" t="s">
        <v>55</v>
      </c>
      <c r="K246" s="10" t="s">
        <v>21002</v>
      </c>
      <c r="L246" s="10" t="s">
        <v>42</v>
      </c>
    </row>
    <row r="247" ht="15.75" customHeight="1">
      <c r="A247" s="66">
        <v>45493.0</v>
      </c>
      <c r="B247" s="55" t="str">
        <f>HYPERLINK("https://jobright.ai/jobs/info/669c51e18008632ed3282640?utm_campaign=1058&amp;utm_source=sheet", "Apply")</f>
        <v>Apply</v>
      </c>
      <c r="C247" s="10" t="s">
        <v>21003</v>
      </c>
      <c r="D247" s="56" t="s">
        <v>21004</v>
      </c>
      <c r="E247" s="10" t="s">
        <v>137</v>
      </c>
      <c r="F247" s="10" t="s">
        <v>21005</v>
      </c>
      <c r="G247" s="10" t="s">
        <v>20592</v>
      </c>
      <c r="H247" s="10" t="s">
        <v>21006</v>
      </c>
      <c r="I247" s="10" t="s">
        <v>55</v>
      </c>
      <c r="J247" s="10" t="s">
        <v>1608</v>
      </c>
      <c r="K247" s="10" t="s">
        <v>21007</v>
      </c>
      <c r="L247" s="10" t="s">
        <v>42</v>
      </c>
    </row>
    <row r="248" ht="15.75" customHeight="1">
      <c r="A248" s="66">
        <v>45493.0</v>
      </c>
      <c r="B248" s="55" t="str">
        <f>HYPERLINK("https://jobright.ai/jobs/info/669b3fb6a4d30cc55a248a19?utm_campaign=1058&amp;utm_source=sheet", "Apply")</f>
        <v>Apply</v>
      </c>
      <c r="C248" s="10" t="s">
        <v>20611</v>
      </c>
      <c r="D248" s="56" t="s">
        <v>11095</v>
      </c>
      <c r="E248" s="10" t="s">
        <v>45</v>
      </c>
      <c r="F248" s="10" t="s">
        <v>11096</v>
      </c>
      <c r="G248" s="10" t="s">
        <v>20592</v>
      </c>
      <c r="H248" s="10" t="s">
        <v>21008</v>
      </c>
      <c r="I248" s="10" t="s">
        <v>55</v>
      </c>
      <c r="J248" s="10" t="s">
        <v>1165</v>
      </c>
      <c r="K248" s="10" t="s">
        <v>20613</v>
      </c>
      <c r="L248" s="10" t="s">
        <v>42</v>
      </c>
    </row>
    <row r="249" ht="15.75" customHeight="1">
      <c r="A249" s="66">
        <v>45493.0</v>
      </c>
      <c r="B249" s="55" t="str">
        <f>HYPERLINK("https://jobright.ai/jobs/info/669c62340641517343ceb79a?utm_campaign=1058&amp;utm_source=sheet", "Apply")</f>
        <v>Apply</v>
      </c>
      <c r="C249" s="10" t="s">
        <v>20643</v>
      </c>
      <c r="D249" s="56" t="s">
        <v>20644</v>
      </c>
      <c r="E249" s="10" t="s">
        <v>45</v>
      </c>
      <c r="F249" s="10" t="s">
        <v>20645</v>
      </c>
      <c r="G249" s="10" t="s">
        <v>20592</v>
      </c>
      <c r="H249" s="10" t="s">
        <v>661</v>
      </c>
      <c r="I249" s="10" t="s">
        <v>55</v>
      </c>
      <c r="K249" s="10" t="s">
        <v>21009</v>
      </c>
      <c r="L249" s="10" t="s">
        <v>42</v>
      </c>
    </row>
    <row r="250" ht="15.75" customHeight="1">
      <c r="A250" s="66">
        <v>45493.0</v>
      </c>
      <c r="B250" s="55" t="str">
        <f>HYPERLINK("https://jobright.ai/jobs/info/662b18d3239fe42c8b2e5060?utm_campaign=1058&amp;utm_source=sheet", "Apply")</f>
        <v>Apply</v>
      </c>
      <c r="C250" s="10" t="s">
        <v>21010</v>
      </c>
      <c r="D250" s="56" t="s">
        <v>21011</v>
      </c>
      <c r="E250" s="10" t="s">
        <v>45</v>
      </c>
      <c r="F250" s="10" t="s">
        <v>21012</v>
      </c>
      <c r="G250" s="10" t="s">
        <v>20592</v>
      </c>
      <c r="H250" s="10" t="s">
        <v>1796</v>
      </c>
      <c r="I250" s="10" t="s">
        <v>55</v>
      </c>
      <c r="K250" s="10" t="s">
        <v>21013</v>
      </c>
      <c r="L250" s="10" t="s">
        <v>42</v>
      </c>
    </row>
    <row r="251" ht="15.75" customHeight="1">
      <c r="A251" s="66">
        <v>45492.0</v>
      </c>
      <c r="B251" s="55" t="str">
        <f>HYPERLINK("https://jobright.ai/jobs/info/669b08aca74e7e350e8cd82f?utm_campaign=1058&amp;utm_source=sheet", "Apply")</f>
        <v>Apply</v>
      </c>
      <c r="C251" s="10" t="s">
        <v>21014</v>
      </c>
      <c r="D251" s="56" t="s">
        <v>21015</v>
      </c>
      <c r="E251" s="10" t="s">
        <v>45</v>
      </c>
      <c r="F251" s="10" t="s">
        <v>2617</v>
      </c>
      <c r="G251" s="10" t="s">
        <v>20592</v>
      </c>
      <c r="H251" s="10" t="s">
        <v>3324</v>
      </c>
      <c r="I251" s="10" t="s">
        <v>55</v>
      </c>
      <c r="K251" s="10" t="s">
        <v>21016</v>
      </c>
      <c r="L251" s="10" t="s">
        <v>42</v>
      </c>
    </row>
    <row r="252" ht="15.75" customHeight="1">
      <c r="A252" s="66">
        <v>45492.0</v>
      </c>
      <c r="B252" s="55" t="str">
        <f>HYPERLINK("https://jobright.ai/jobs/info/669afdc56857f87d380fcc32?utm_campaign=1058&amp;utm_source=sheet", "Apply")</f>
        <v>Apply</v>
      </c>
      <c r="C252" s="10" t="s">
        <v>21017</v>
      </c>
      <c r="D252" s="56" t="s">
        <v>3402</v>
      </c>
      <c r="E252" s="10" t="s">
        <v>45</v>
      </c>
      <c r="F252" s="10" t="s">
        <v>3403</v>
      </c>
      <c r="G252" s="10" t="s">
        <v>20609</v>
      </c>
      <c r="H252" s="10" t="s">
        <v>2006</v>
      </c>
      <c r="I252" s="10" t="s">
        <v>55</v>
      </c>
      <c r="K252" s="10" t="s">
        <v>21018</v>
      </c>
      <c r="L252" s="10" t="s">
        <v>42</v>
      </c>
    </row>
    <row r="253" ht="15.75" customHeight="1">
      <c r="A253" s="66">
        <v>45492.0</v>
      </c>
      <c r="B253" s="55" t="str">
        <f>HYPERLINK("https://jobright.ai/jobs/info/669ae2b0f776b6fd3c6f9ceb?utm_campaign=1058&amp;utm_source=sheet", "Apply")</f>
        <v>Apply</v>
      </c>
      <c r="C253" s="10" t="s">
        <v>20643</v>
      </c>
      <c r="D253" s="56" t="s">
        <v>20644</v>
      </c>
      <c r="E253" s="10" t="s">
        <v>45</v>
      </c>
      <c r="F253" s="10" t="s">
        <v>20645</v>
      </c>
      <c r="G253" s="10" t="s">
        <v>20592</v>
      </c>
      <c r="H253" s="10" t="s">
        <v>10777</v>
      </c>
      <c r="I253" s="10" t="s">
        <v>55</v>
      </c>
      <c r="K253" s="10" t="s">
        <v>21009</v>
      </c>
      <c r="L253" s="10" t="s">
        <v>42</v>
      </c>
    </row>
    <row r="254" ht="15.75" customHeight="1">
      <c r="A254" s="66">
        <v>45492.0</v>
      </c>
      <c r="B254" s="55" t="str">
        <f>HYPERLINK("https://jobright.ai/jobs/info/669ae07bceee32d833887c7d?utm_campaign=1058&amp;utm_source=sheet", "Apply")</f>
        <v>Apply</v>
      </c>
      <c r="C254" s="10" t="s">
        <v>21019</v>
      </c>
      <c r="D254" s="56" t="s">
        <v>8067</v>
      </c>
      <c r="E254" s="10" t="s">
        <v>79</v>
      </c>
      <c r="F254" s="10" t="s">
        <v>665</v>
      </c>
      <c r="G254" s="10" t="s">
        <v>20609</v>
      </c>
      <c r="H254" s="10" t="s">
        <v>3622</v>
      </c>
      <c r="I254" s="10" t="s">
        <v>55</v>
      </c>
      <c r="K254" s="10" t="s">
        <v>21020</v>
      </c>
      <c r="L254" s="10" t="s">
        <v>42</v>
      </c>
    </row>
    <row r="255" ht="15.75" customHeight="1">
      <c r="A255" s="66">
        <v>45492.0</v>
      </c>
      <c r="B255" s="55" t="str">
        <f>HYPERLINK("https://jobright.ai/jobs/info/669ac2190147025a8fd9a87b?utm_campaign=1058&amp;utm_source=sheet", "Apply")</f>
        <v>Apply</v>
      </c>
      <c r="C255" s="10" t="s">
        <v>21021</v>
      </c>
      <c r="D255" s="56" t="s">
        <v>2220</v>
      </c>
      <c r="E255" s="10" t="s">
        <v>45</v>
      </c>
      <c r="F255" s="10" t="s">
        <v>2221</v>
      </c>
      <c r="G255" s="10" t="s">
        <v>20624</v>
      </c>
      <c r="H255" s="10" t="s">
        <v>6620</v>
      </c>
      <c r="I255" s="10" t="s">
        <v>55</v>
      </c>
      <c r="J255" s="10" t="s">
        <v>21022</v>
      </c>
      <c r="K255" s="10" t="s">
        <v>7614</v>
      </c>
      <c r="L255" s="10" t="s">
        <v>42</v>
      </c>
    </row>
    <row r="256" ht="15.75" customHeight="1">
      <c r="A256" s="66">
        <v>45492.0</v>
      </c>
      <c r="B256" s="55" t="str">
        <f>HYPERLINK("https://jobright.ai/jobs/info/669aa0e21550284ce0293430?utm_campaign=1058&amp;utm_source=sheet", "Apply")</f>
        <v>Apply</v>
      </c>
      <c r="C256" s="10" t="s">
        <v>21023</v>
      </c>
      <c r="D256" s="56" t="s">
        <v>7098</v>
      </c>
      <c r="E256" s="10" t="s">
        <v>45</v>
      </c>
      <c r="F256" s="10" t="s">
        <v>5372</v>
      </c>
      <c r="G256" s="10" t="s">
        <v>20609</v>
      </c>
      <c r="H256" s="10" t="s">
        <v>636</v>
      </c>
      <c r="I256" s="10" t="s">
        <v>55</v>
      </c>
      <c r="J256" s="10" t="s">
        <v>21024</v>
      </c>
      <c r="K256" s="10" t="s">
        <v>21025</v>
      </c>
      <c r="L256" s="10" t="s">
        <v>42</v>
      </c>
    </row>
    <row r="257" ht="15.75" customHeight="1">
      <c r="A257" s="66">
        <v>45492.0</v>
      </c>
      <c r="B257" s="55" t="str">
        <f>HYPERLINK("https://jobright.ai/jobs/info/66a3f97ec344e12ad54415be?utm_campaign=1058&amp;utm_source=sheet", "Apply")</f>
        <v>Apply</v>
      </c>
      <c r="C257" s="10" t="s">
        <v>21026</v>
      </c>
      <c r="D257" s="56" t="s">
        <v>20590</v>
      </c>
      <c r="E257" s="10" t="s">
        <v>249</v>
      </c>
      <c r="F257" s="10" t="s">
        <v>20591</v>
      </c>
      <c r="G257" s="10" t="s">
        <v>20592</v>
      </c>
      <c r="H257" s="10" t="s">
        <v>188</v>
      </c>
      <c r="I257" s="10" t="s">
        <v>55</v>
      </c>
      <c r="K257" s="10" t="s">
        <v>20593</v>
      </c>
      <c r="L257" s="10" t="s">
        <v>42</v>
      </c>
    </row>
    <row r="258" ht="15.75" customHeight="1">
      <c r="A258" s="66">
        <v>45492.0</v>
      </c>
      <c r="B258" s="55" t="str">
        <f>HYPERLINK("https://jobright.ai/jobs/info/669d1aca1e37f365816fcef9?utm_campaign=1058&amp;utm_source=sheet", "Apply")</f>
        <v>Apply</v>
      </c>
      <c r="C258" s="10" t="s">
        <v>21027</v>
      </c>
      <c r="D258" s="56" t="s">
        <v>1600</v>
      </c>
      <c r="E258" s="10" t="s">
        <v>45</v>
      </c>
      <c r="F258" s="10" t="s">
        <v>1601</v>
      </c>
      <c r="G258" s="10" t="s">
        <v>20624</v>
      </c>
      <c r="H258" s="10" t="s">
        <v>251</v>
      </c>
      <c r="I258" s="10" t="s">
        <v>252</v>
      </c>
      <c r="J258" s="10" t="s">
        <v>3651</v>
      </c>
      <c r="K258" s="10" t="s">
        <v>21028</v>
      </c>
      <c r="L258" s="10" t="s">
        <v>42</v>
      </c>
    </row>
    <row r="259" ht="15.75" customHeight="1">
      <c r="A259" s="66">
        <v>45492.0</v>
      </c>
      <c r="B259" s="55" t="str">
        <f>HYPERLINK("https://jobright.ai/jobs/info/66a3a1bc4764b8fc86218f7c?utm_campaign=1058&amp;utm_source=sheet", "Apply")</f>
        <v>Apply</v>
      </c>
      <c r="C259" s="10" t="s">
        <v>21029</v>
      </c>
      <c r="D259" s="56" t="s">
        <v>4670</v>
      </c>
      <c r="E259" s="10" t="s">
        <v>45</v>
      </c>
      <c r="F259" s="10" t="s">
        <v>4671</v>
      </c>
      <c r="G259" s="10" t="s">
        <v>20624</v>
      </c>
      <c r="H259" s="10" t="s">
        <v>229</v>
      </c>
      <c r="I259" s="10" t="s">
        <v>55</v>
      </c>
      <c r="K259" s="10" t="s">
        <v>21030</v>
      </c>
      <c r="L259" s="10" t="s">
        <v>42</v>
      </c>
    </row>
    <row r="260" ht="15.75" customHeight="1">
      <c r="A260" s="66">
        <v>45492.0</v>
      </c>
      <c r="B260" s="55" t="str">
        <f>HYPERLINK("https://jobright.ai/jobs/info/66a24d564c8e52547bd6269d?utm_campaign=1058&amp;utm_source=sheet", "Apply")</f>
        <v>Apply</v>
      </c>
      <c r="C260" s="10" t="s">
        <v>2297</v>
      </c>
      <c r="D260" s="56" t="s">
        <v>10981</v>
      </c>
      <c r="E260" s="10" t="s">
        <v>45</v>
      </c>
      <c r="F260" s="10" t="s">
        <v>10982</v>
      </c>
      <c r="G260" s="10" t="s">
        <v>20609</v>
      </c>
      <c r="H260" s="10" t="s">
        <v>661</v>
      </c>
      <c r="I260" s="10" t="s">
        <v>55</v>
      </c>
      <c r="J260" s="10" t="s">
        <v>1960</v>
      </c>
      <c r="K260" s="10" t="s">
        <v>21031</v>
      </c>
      <c r="L260" s="10" t="s">
        <v>42</v>
      </c>
    </row>
    <row r="261" ht="15.75" customHeight="1">
      <c r="A261" s="66">
        <v>45492.0</v>
      </c>
      <c r="B261" s="55" t="str">
        <f>HYPERLINK("https://jobright.ai/jobs/info/66a3a02a10c4de85bf475f06?utm_campaign=1058&amp;utm_source=sheet", "Apply")</f>
        <v>Apply</v>
      </c>
      <c r="C261" s="10" t="s">
        <v>21032</v>
      </c>
      <c r="D261" s="56" t="s">
        <v>4642</v>
      </c>
      <c r="E261" s="10" t="s">
        <v>45</v>
      </c>
      <c r="F261" s="10" t="s">
        <v>4643</v>
      </c>
      <c r="G261" s="10" t="s">
        <v>20592</v>
      </c>
      <c r="H261" s="10" t="s">
        <v>251</v>
      </c>
      <c r="I261" s="10" t="s">
        <v>252</v>
      </c>
      <c r="J261" s="10" t="s">
        <v>21033</v>
      </c>
      <c r="K261" s="10" t="s">
        <v>21034</v>
      </c>
      <c r="L261" s="10" t="s">
        <v>42</v>
      </c>
    </row>
    <row r="262" ht="15.75" customHeight="1">
      <c r="A262" s="66">
        <v>45492.0</v>
      </c>
      <c r="B262" s="55" t="str">
        <f>HYPERLINK("https://jobright.ai/jobs/info/669e4f234761975356c351c5?utm_campaign=1058&amp;utm_source=sheet", "Apply")</f>
        <v>Apply</v>
      </c>
      <c r="C262" s="10" t="s">
        <v>21035</v>
      </c>
      <c r="D262" s="56" t="s">
        <v>21036</v>
      </c>
      <c r="E262" s="10" t="s">
        <v>276</v>
      </c>
      <c r="F262" s="10" t="s">
        <v>21037</v>
      </c>
      <c r="G262" s="10" t="s">
        <v>20592</v>
      </c>
      <c r="H262" s="10" t="s">
        <v>170</v>
      </c>
      <c r="I262" s="10" t="s">
        <v>55</v>
      </c>
      <c r="J262" s="10" t="s">
        <v>17452</v>
      </c>
      <c r="K262" s="10" t="s">
        <v>21038</v>
      </c>
      <c r="L262" s="10" t="s">
        <v>42</v>
      </c>
    </row>
    <row r="263" ht="15.75" customHeight="1">
      <c r="A263" s="66">
        <v>45492.0</v>
      </c>
      <c r="B263" s="55" t="str">
        <f>HYPERLINK("https://jobright.ai/jobs/info/66a393bdb64c538c2cb584a3?utm_campaign=1058&amp;utm_source=sheet", "Apply")</f>
        <v>Apply</v>
      </c>
      <c r="C263" s="10" t="s">
        <v>20611</v>
      </c>
      <c r="D263" s="56" t="s">
        <v>11095</v>
      </c>
      <c r="E263" s="10" t="s">
        <v>45</v>
      </c>
      <c r="F263" s="10" t="s">
        <v>11096</v>
      </c>
      <c r="G263" s="10" t="s">
        <v>20592</v>
      </c>
      <c r="H263" s="10" t="s">
        <v>21039</v>
      </c>
      <c r="I263" s="10" t="s">
        <v>55</v>
      </c>
      <c r="J263" s="10" t="s">
        <v>20664</v>
      </c>
      <c r="K263" s="10" t="s">
        <v>20613</v>
      </c>
      <c r="L263" s="10" t="s">
        <v>42</v>
      </c>
    </row>
    <row r="264" ht="15.75" customHeight="1">
      <c r="A264" s="66">
        <v>45492.0</v>
      </c>
      <c r="B264" s="55" t="str">
        <f>HYPERLINK("https://jobright.ai/jobs/info/66a383e3302d222abe63e629?utm_campaign=1058&amp;utm_source=sheet", "Apply")</f>
        <v>Apply</v>
      </c>
      <c r="C264" s="10" t="s">
        <v>21040</v>
      </c>
      <c r="D264" s="56" t="s">
        <v>21041</v>
      </c>
      <c r="E264" s="10" t="s">
        <v>45</v>
      </c>
      <c r="F264" s="10" t="s">
        <v>21042</v>
      </c>
      <c r="G264" s="10" t="s">
        <v>20609</v>
      </c>
      <c r="H264" s="10" t="s">
        <v>9492</v>
      </c>
      <c r="I264" s="10" t="s">
        <v>55</v>
      </c>
      <c r="K264" s="10" t="s">
        <v>21043</v>
      </c>
      <c r="L264" s="10" t="s">
        <v>42</v>
      </c>
    </row>
    <row r="265" ht="15.75" customHeight="1">
      <c r="A265" s="66">
        <v>45492.0</v>
      </c>
      <c r="B265" s="55" t="str">
        <f>HYPERLINK("https://jobright.ai/jobs/info/669e3a25e01d13c184ac352d?utm_campaign=1058&amp;utm_source=sheet", "Apply")</f>
        <v>Apply</v>
      </c>
      <c r="C265" s="10" t="s">
        <v>21044</v>
      </c>
      <c r="D265" s="56" t="s">
        <v>21045</v>
      </c>
      <c r="E265" s="10" t="s">
        <v>71</v>
      </c>
      <c r="F265" s="10" t="s">
        <v>21046</v>
      </c>
      <c r="G265" s="10" t="s">
        <v>20609</v>
      </c>
      <c r="H265" s="10" t="s">
        <v>4652</v>
      </c>
      <c r="I265" s="10" t="s">
        <v>55</v>
      </c>
      <c r="J265" s="10" t="s">
        <v>2217</v>
      </c>
      <c r="K265" s="10" t="s">
        <v>21047</v>
      </c>
      <c r="L265" s="10" t="s">
        <v>42</v>
      </c>
    </row>
    <row r="266" ht="15.75" customHeight="1">
      <c r="A266" s="66">
        <v>45492.0</v>
      </c>
      <c r="B266" s="55" t="str">
        <f>HYPERLINK("https://jobright.ai/jobs/info/6687efff8d77caa13731f955?utm_campaign=1058&amp;utm_source=sheet", "Apply")</f>
        <v>Apply</v>
      </c>
      <c r="C266" s="10" t="s">
        <v>20611</v>
      </c>
      <c r="D266" s="56" t="s">
        <v>11095</v>
      </c>
      <c r="E266" s="10" t="s">
        <v>45</v>
      </c>
      <c r="F266" s="10" t="s">
        <v>11096</v>
      </c>
      <c r="G266" s="10" t="s">
        <v>20592</v>
      </c>
      <c r="H266" s="10" t="s">
        <v>472</v>
      </c>
      <c r="I266" s="10" t="s">
        <v>55</v>
      </c>
      <c r="J266" s="10" t="s">
        <v>20664</v>
      </c>
      <c r="K266" s="10" t="s">
        <v>20613</v>
      </c>
      <c r="L266" s="10" t="s">
        <v>42</v>
      </c>
    </row>
    <row r="267" ht="15.75" customHeight="1">
      <c r="A267" s="64">
        <v>45492.0</v>
      </c>
      <c r="B267" s="55" t="str">
        <f>HYPERLINK("https://jobright.ai/jobs/info/6675864a24f553052c296c27?utm_campaign=1058&amp;utm_source=sheet", "Apply")</f>
        <v>Apply</v>
      </c>
      <c r="C267" s="10" t="s">
        <v>20611</v>
      </c>
      <c r="D267" s="56" t="s">
        <v>11095</v>
      </c>
      <c r="E267" s="10" t="s">
        <v>45</v>
      </c>
      <c r="F267" s="10" t="s">
        <v>11096</v>
      </c>
      <c r="G267" s="10" t="s">
        <v>20592</v>
      </c>
      <c r="H267" s="10" t="s">
        <v>19416</v>
      </c>
      <c r="I267" s="10" t="s">
        <v>55</v>
      </c>
      <c r="J267" s="10" t="s">
        <v>20965</v>
      </c>
      <c r="K267" s="10" t="s">
        <v>20613</v>
      </c>
      <c r="L267" s="10" t="s">
        <v>42</v>
      </c>
    </row>
    <row r="268" ht="15.75" customHeight="1">
      <c r="A268" s="64">
        <v>45492.0</v>
      </c>
      <c r="B268" s="55" t="str">
        <f>HYPERLINK("https://jobright.ai/jobs/info/667e0248ae99fb6a149786c4?utm_campaign=1058&amp;utm_source=sheet", "Apply")</f>
        <v>Apply</v>
      </c>
      <c r="C268" s="10" t="s">
        <v>21048</v>
      </c>
      <c r="D268" s="56" t="s">
        <v>1780</v>
      </c>
      <c r="E268" s="10" t="s">
        <v>45</v>
      </c>
      <c r="F268" s="10" t="s">
        <v>1781</v>
      </c>
      <c r="G268" s="10" t="s">
        <v>20592</v>
      </c>
      <c r="H268" s="10" t="s">
        <v>106</v>
      </c>
      <c r="I268" s="10" t="s">
        <v>55</v>
      </c>
      <c r="K268" s="10" t="s">
        <v>21049</v>
      </c>
      <c r="L268" s="10" t="s">
        <v>42</v>
      </c>
    </row>
    <row r="269" ht="15.75" customHeight="1">
      <c r="A269" s="64">
        <v>45492.0</v>
      </c>
      <c r="B269" s="55" t="str">
        <f>HYPERLINK("https://jobright.ai/jobs/info/669b15e982115d4d29b78968?utm_campaign=1058&amp;utm_source=sheet", "Apply")</f>
        <v>Apply</v>
      </c>
      <c r="C269" s="10" t="s">
        <v>21050</v>
      </c>
      <c r="D269" s="56" t="s">
        <v>16419</v>
      </c>
      <c r="E269" s="10" t="s">
        <v>45</v>
      </c>
      <c r="F269" s="10" t="s">
        <v>12539</v>
      </c>
      <c r="G269" s="10" t="s">
        <v>20592</v>
      </c>
      <c r="H269" s="10" t="s">
        <v>572</v>
      </c>
      <c r="I269" s="10" t="s">
        <v>55</v>
      </c>
      <c r="K269" s="10" t="s">
        <v>21051</v>
      </c>
      <c r="L269" s="10" t="s">
        <v>42</v>
      </c>
    </row>
    <row r="270" ht="15.75" customHeight="1">
      <c r="A270" s="64">
        <v>45492.0</v>
      </c>
      <c r="B270" s="55" t="str">
        <f>HYPERLINK("https://jobright.ai/jobs/info/6675b054242bc4c930f29bc2?utm_campaign=1058&amp;utm_source=sheet", "Apply")</f>
        <v>Apply</v>
      </c>
      <c r="C270" s="10" t="s">
        <v>20611</v>
      </c>
      <c r="D270" s="56" t="s">
        <v>11095</v>
      </c>
      <c r="E270" s="10" t="s">
        <v>45</v>
      </c>
      <c r="F270" s="10" t="s">
        <v>11096</v>
      </c>
      <c r="G270" s="10" t="s">
        <v>20592</v>
      </c>
      <c r="H270" s="10" t="s">
        <v>948</v>
      </c>
      <c r="I270" s="10" t="s">
        <v>55</v>
      </c>
      <c r="J270" s="10" t="s">
        <v>20664</v>
      </c>
      <c r="K270" s="10" t="s">
        <v>20613</v>
      </c>
      <c r="L270" s="10" t="s">
        <v>42</v>
      </c>
    </row>
    <row r="271" ht="15.75" customHeight="1">
      <c r="A271" s="64">
        <v>45492.0</v>
      </c>
      <c r="B271" s="55" t="str">
        <f>HYPERLINK("https://jobright.ai/jobs/info/6677acb2dc7be138508a1cbc?utm_campaign=1058&amp;utm_source=sheet", "Apply")</f>
        <v>Apply</v>
      </c>
      <c r="C271" s="10" t="s">
        <v>21052</v>
      </c>
      <c r="D271" s="56" t="s">
        <v>1600</v>
      </c>
      <c r="E271" s="10" t="s">
        <v>45</v>
      </c>
      <c r="F271" s="10" t="s">
        <v>1601</v>
      </c>
      <c r="G271" s="10" t="s">
        <v>20592</v>
      </c>
      <c r="H271" s="10" t="s">
        <v>251</v>
      </c>
      <c r="I271" s="10" t="s">
        <v>252</v>
      </c>
      <c r="J271" s="10" t="s">
        <v>21053</v>
      </c>
      <c r="K271" s="10" t="s">
        <v>21054</v>
      </c>
      <c r="L271" s="10" t="s">
        <v>42</v>
      </c>
    </row>
    <row r="272" ht="15.75" customHeight="1">
      <c r="A272" s="64">
        <v>45492.0</v>
      </c>
      <c r="B272" s="55" t="str">
        <f>HYPERLINK("https://jobright.ai/jobs/info/669a56e7e5e22a61c3ec9130?utm_campaign=1058&amp;utm_source=sheet", "Apply")</f>
        <v>Apply</v>
      </c>
      <c r="C272" s="10" t="s">
        <v>21055</v>
      </c>
      <c r="D272" s="56" t="s">
        <v>13400</v>
      </c>
      <c r="E272" s="10" t="s">
        <v>276</v>
      </c>
      <c r="F272" s="10" t="s">
        <v>3770</v>
      </c>
      <c r="G272" s="10" t="s">
        <v>20609</v>
      </c>
      <c r="H272" s="10" t="s">
        <v>278</v>
      </c>
      <c r="I272" s="10" t="s">
        <v>55</v>
      </c>
      <c r="J272" s="10" t="s">
        <v>1761</v>
      </c>
      <c r="K272" s="10" t="s">
        <v>21056</v>
      </c>
      <c r="L272" s="10" t="s">
        <v>42</v>
      </c>
    </row>
    <row r="273" ht="15.75" customHeight="1">
      <c r="A273" s="64">
        <v>45492.0</v>
      </c>
      <c r="B273" s="55" t="str">
        <f>HYPERLINK("https://jobright.ai/jobs/info/669a2261acd112fab64845b6?utm_campaign=1058&amp;utm_source=sheet", "Apply")</f>
        <v>Apply</v>
      </c>
      <c r="C273" s="10" t="s">
        <v>20674</v>
      </c>
      <c r="D273" s="56" t="s">
        <v>20675</v>
      </c>
      <c r="E273" s="10" t="s">
        <v>45</v>
      </c>
      <c r="F273" s="10" t="s">
        <v>20676</v>
      </c>
      <c r="G273" s="10" t="s">
        <v>20592</v>
      </c>
      <c r="H273" s="10" t="s">
        <v>2137</v>
      </c>
      <c r="I273" s="10" t="s">
        <v>55</v>
      </c>
      <c r="J273" s="10" t="s">
        <v>20678</v>
      </c>
      <c r="K273" s="10" t="s">
        <v>20679</v>
      </c>
      <c r="L273" s="10" t="s">
        <v>42</v>
      </c>
    </row>
    <row r="274" ht="15.75" customHeight="1">
      <c r="A274" s="64">
        <v>45492.0</v>
      </c>
      <c r="B274" s="55" t="str">
        <f>HYPERLINK("https://jobright.ai/jobs/info/6699f17b6a75402e67c08014?utm_campaign=1058&amp;utm_source=sheet", "Apply")</f>
        <v>Apply</v>
      </c>
      <c r="C274" s="10" t="s">
        <v>20931</v>
      </c>
      <c r="D274" s="56" t="s">
        <v>17559</v>
      </c>
      <c r="G274" s="10" t="s">
        <v>20609</v>
      </c>
      <c r="H274" s="10" t="s">
        <v>939</v>
      </c>
      <c r="I274" s="10" t="s">
        <v>48</v>
      </c>
      <c r="J274" s="10" t="s">
        <v>1409</v>
      </c>
      <c r="K274" s="10" t="s">
        <v>21057</v>
      </c>
      <c r="L274" s="10" t="s">
        <v>42</v>
      </c>
    </row>
    <row r="275" ht="15.75" customHeight="1">
      <c r="A275" s="64">
        <v>45492.0</v>
      </c>
      <c r="B275" s="55" t="str">
        <f>HYPERLINK("https://jobright.ai/jobs/info/6699edacf896430e7f54804f?utm_campaign=1058&amp;utm_source=sheet", "Apply")</f>
        <v>Apply</v>
      </c>
      <c r="C275" s="10" t="s">
        <v>10658</v>
      </c>
      <c r="D275" s="56" t="s">
        <v>5159</v>
      </c>
      <c r="E275" s="10" t="s">
        <v>45</v>
      </c>
      <c r="F275" s="10" t="s">
        <v>1893</v>
      </c>
      <c r="G275" s="10" t="s">
        <v>20592</v>
      </c>
      <c r="H275" s="10" t="s">
        <v>965</v>
      </c>
      <c r="I275" s="10" t="s">
        <v>55</v>
      </c>
      <c r="K275" s="10" t="s">
        <v>21058</v>
      </c>
      <c r="L275" s="10" t="s">
        <v>42</v>
      </c>
    </row>
    <row r="276" ht="15.75" customHeight="1">
      <c r="A276" s="64">
        <v>45492.0</v>
      </c>
      <c r="B276" s="55" t="str">
        <f>HYPERLINK("https://jobright.ai/jobs/info/669aeedb69a1ff428c94f2ed?utm_campaign=1058&amp;utm_source=sheet", "Apply")</f>
        <v>Apply</v>
      </c>
      <c r="C276" s="10" t="s">
        <v>21059</v>
      </c>
      <c r="D276" s="56" t="s">
        <v>21060</v>
      </c>
      <c r="E276" s="10">
        <v>74.0</v>
      </c>
      <c r="G276" s="10" t="s">
        <v>20592</v>
      </c>
      <c r="H276" s="10" t="s">
        <v>159</v>
      </c>
      <c r="I276" s="10" t="s">
        <v>55</v>
      </c>
      <c r="J276" s="10" t="s">
        <v>7794</v>
      </c>
      <c r="K276" s="10" t="s">
        <v>21061</v>
      </c>
      <c r="L276" s="10" t="s">
        <v>42</v>
      </c>
    </row>
    <row r="277" ht="15.75" customHeight="1">
      <c r="A277" s="64">
        <v>45492.0</v>
      </c>
      <c r="B277" s="55" t="str">
        <f>HYPERLINK("https://jobright.ai/jobs/info/669ab4becd7c91ab75e8aadc?utm_campaign=1058&amp;utm_source=sheet", "Apply")</f>
        <v>Apply</v>
      </c>
      <c r="C277" s="10" t="s">
        <v>21017</v>
      </c>
      <c r="D277" s="56" t="s">
        <v>3402</v>
      </c>
      <c r="E277" s="10" t="s">
        <v>45</v>
      </c>
      <c r="F277" s="10" t="s">
        <v>3403</v>
      </c>
      <c r="G277" s="10" t="s">
        <v>20609</v>
      </c>
      <c r="H277" s="10" t="s">
        <v>21062</v>
      </c>
      <c r="I277" s="10" t="s">
        <v>55</v>
      </c>
      <c r="K277" s="10" t="s">
        <v>21018</v>
      </c>
      <c r="L277" s="10" t="s">
        <v>42</v>
      </c>
    </row>
    <row r="278" ht="15.75" customHeight="1">
      <c r="A278" s="64">
        <v>45491.0</v>
      </c>
      <c r="B278" s="55" t="str">
        <f>HYPERLINK("https://jobright.ai/jobs/info/6699a85fdf0d9bbecaf38c7e?utm_campaign=1058&amp;utm_source=sheet", "Apply")</f>
        <v>Apply</v>
      </c>
      <c r="C278" s="10" t="s">
        <v>21063</v>
      </c>
      <c r="D278" s="56" t="s">
        <v>21064</v>
      </c>
      <c r="E278" s="10" t="s">
        <v>79</v>
      </c>
      <c r="F278" s="10" t="s">
        <v>21065</v>
      </c>
      <c r="G278" s="10" t="s">
        <v>20592</v>
      </c>
      <c r="H278" s="10" t="s">
        <v>5074</v>
      </c>
      <c r="I278" s="10" t="s">
        <v>48</v>
      </c>
      <c r="J278" s="10" t="s">
        <v>21066</v>
      </c>
      <c r="K278" s="10" t="s">
        <v>21067</v>
      </c>
      <c r="L278" s="10" t="s">
        <v>42</v>
      </c>
    </row>
    <row r="279" ht="15.75" customHeight="1">
      <c r="A279" s="64">
        <v>45491.0</v>
      </c>
      <c r="B279" s="55" t="str">
        <f>HYPERLINK("https://jobright.ai/jobs/info/6699a2ea631eb495dff5b87d?utm_campaign=1058&amp;utm_source=sheet", "Apply")</f>
        <v>Apply</v>
      </c>
      <c r="C279" s="10" t="s">
        <v>21068</v>
      </c>
      <c r="D279" s="56" t="s">
        <v>21069</v>
      </c>
      <c r="E279" s="10" t="s">
        <v>71</v>
      </c>
      <c r="F279" s="10" t="s">
        <v>3906</v>
      </c>
      <c r="G279" s="10" t="s">
        <v>20609</v>
      </c>
      <c r="H279" s="10" t="s">
        <v>170</v>
      </c>
      <c r="I279" s="10" t="s">
        <v>55</v>
      </c>
      <c r="J279" s="10" t="s">
        <v>2127</v>
      </c>
      <c r="K279" s="10" t="s">
        <v>21070</v>
      </c>
      <c r="L279" s="10" t="s">
        <v>42</v>
      </c>
    </row>
    <row r="280" ht="15.75" customHeight="1">
      <c r="A280" s="64">
        <v>45491.0</v>
      </c>
      <c r="B280" s="55" t="str">
        <f>HYPERLINK("https://jobright.ai/jobs/info/6699dd264c9013d269ad3076?utm_campaign=1058&amp;utm_source=sheet", "Apply")</f>
        <v>Apply</v>
      </c>
      <c r="C280" s="10" t="s">
        <v>20643</v>
      </c>
      <c r="D280" s="56" t="s">
        <v>20644</v>
      </c>
      <c r="E280" s="10" t="s">
        <v>45</v>
      </c>
      <c r="F280" s="10" t="s">
        <v>20645</v>
      </c>
      <c r="G280" s="10" t="s">
        <v>20592</v>
      </c>
      <c r="H280" s="10" t="s">
        <v>21071</v>
      </c>
      <c r="I280" s="10" t="s">
        <v>55</v>
      </c>
      <c r="K280" s="10" t="s">
        <v>21009</v>
      </c>
      <c r="L280" s="10" t="s">
        <v>42</v>
      </c>
    </row>
    <row r="281" ht="15.75" customHeight="1">
      <c r="A281" s="64">
        <v>45491.0</v>
      </c>
      <c r="B281" s="55" t="str">
        <f>HYPERLINK("https://jobright.ai/jobs/info/66999cd5830db724f81aae54?utm_campaign=1058&amp;utm_source=sheet", "Apply")</f>
        <v>Apply</v>
      </c>
      <c r="C281" s="10" t="s">
        <v>20643</v>
      </c>
      <c r="D281" s="56" t="s">
        <v>20644</v>
      </c>
      <c r="E281" s="10" t="s">
        <v>45</v>
      </c>
      <c r="F281" s="10" t="s">
        <v>20645</v>
      </c>
      <c r="G281" s="10" t="s">
        <v>20592</v>
      </c>
      <c r="H281" s="10" t="s">
        <v>810</v>
      </c>
      <c r="I281" s="10" t="s">
        <v>55</v>
      </c>
      <c r="K281" s="10" t="s">
        <v>21009</v>
      </c>
      <c r="L281" s="10" t="s">
        <v>42</v>
      </c>
    </row>
    <row r="282" ht="15.75" customHeight="1">
      <c r="A282" s="64">
        <v>45491.0</v>
      </c>
      <c r="B282" s="55" t="str">
        <f>HYPERLINK("https://jobright.ai/jobs/info/66998e62d1ca770d2bb5ae11?utm_campaign=1058&amp;utm_source=sheet", "Apply")</f>
        <v>Apply</v>
      </c>
      <c r="C282" s="10" t="s">
        <v>21072</v>
      </c>
      <c r="D282" s="56" t="s">
        <v>7739</v>
      </c>
      <c r="E282" s="10" t="s">
        <v>45</v>
      </c>
      <c r="F282" s="10" t="s">
        <v>2409</v>
      </c>
      <c r="G282" s="10" t="s">
        <v>20624</v>
      </c>
      <c r="H282" s="10" t="s">
        <v>21073</v>
      </c>
      <c r="I282" s="10" t="s">
        <v>55</v>
      </c>
      <c r="K282" s="10" t="s">
        <v>21074</v>
      </c>
      <c r="L282" s="10" t="s">
        <v>42</v>
      </c>
    </row>
    <row r="283" ht="15.75" customHeight="1">
      <c r="A283" s="64">
        <v>45491.0</v>
      </c>
      <c r="B283" s="55" t="str">
        <f>HYPERLINK("https://jobright.ai/jobs/info/669ffc18412b679d59f3ed99?utm_campaign=1058&amp;utm_source=sheet", "Apply")</f>
        <v>Apply</v>
      </c>
      <c r="C283" s="10" t="s">
        <v>21075</v>
      </c>
      <c r="D283" s="56" t="s">
        <v>14623</v>
      </c>
      <c r="E283" s="10" t="s">
        <v>276</v>
      </c>
      <c r="F283" s="10" t="s">
        <v>1485</v>
      </c>
      <c r="G283" s="10" t="s">
        <v>20609</v>
      </c>
      <c r="H283" s="10" t="s">
        <v>1172</v>
      </c>
      <c r="I283" s="10" t="s">
        <v>55</v>
      </c>
      <c r="J283" s="10" t="s">
        <v>14624</v>
      </c>
      <c r="K283" s="10" t="s">
        <v>21076</v>
      </c>
      <c r="L283" s="10" t="s">
        <v>42</v>
      </c>
    </row>
    <row r="284" ht="15.75" customHeight="1">
      <c r="A284" s="64">
        <v>45491.0</v>
      </c>
      <c r="B284" s="55" t="str">
        <f>HYPERLINK("https://jobright.ai/jobs/info/66996e6fa41ce254938c5a78?utm_campaign=1058&amp;utm_source=sheet", "Apply")</f>
        <v>Apply</v>
      </c>
      <c r="C284" s="10" t="s">
        <v>21077</v>
      </c>
      <c r="D284" s="56" t="s">
        <v>21078</v>
      </c>
      <c r="E284" s="10" t="s">
        <v>276</v>
      </c>
      <c r="F284" s="10" t="s">
        <v>1485</v>
      </c>
      <c r="G284" s="10" t="s">
        <v>20609</v>
      </c>
      <c r="H284" s="10" t="s">
        <v>12271</v>
      </c>
      <c r="I284" s="10" t="s">
        <v>55</v>
      </c>
      <c r="K284" s="10" t="s">
        <v>21079</v>
      </c>
      <c r="L284" s="10" t="s">
        <v>42</v>
      </c>
    </row>
    <row r="285" ht="15.75" customHeight="1">
      <c r="A285" s="64">
        <v>45491.0</v>
      </c>
      <c r="B285" s="55" t="str">
        <f>HYPERLINK("https://jobright.ai/jobs/info/66996050e56fdd691f9cfaba?utm_campaign=1058&amp;utm_source=sheet", "Apply")</f>
        <v>Apply</v>
      </c>
      <c r="C285" s="10" t="s">
        <v>21080</v>
      </c>
      <c r="D285" s="56" t="s">
        <v>21081</v>
      </c>
      <c r="E285" s="10" t="s">
        <v>249</v>
      </c>
      <c r="G285" s="10" t="s">
        <v>20624</v>
      </c>
      <c r="H285" s="10" t="s">
        <v>21082</v>
      </c>
      <c r="I285" s="10" t="s">
        <v>55</v>
      </c>
      <c r="K285" s="10" t="s">
        <v>21083</v>
      </c>
      <c r="L285" s="10" t="s">
        <v>42</v>
      </c>
    </row>
    <row r="286" ht="15.75" customHeight="1">
      <c r="A286" s="64">
        <v>45491.0</v>
      </c>
      <c r="B286" s="55" t="str">
        <f>HYPERLINK("https://jobright.ai/jobs/info/66994a10788ef9279e8e8d55?utm_campaign=1058&amp;utm_source=sheet", "Apply")</f>
        <v>Apply</v>
      </c>
      <c r="C286" s="10" t="s">
        <v>20611</v>
      </c>
      <c r="D286" s="56" t="s">
        <v>11095</v>
      </c>
      <c r="E286" s="10" t="s">
        <v>45</v>
      </c>
      <c r="F286" s="10" t="s">
        <v>11096</v>
      </c>
      <c r="G286" s="10" t="s">
        <v>20592</v>
      </c>
      <c r="H286" s="10" t="s">
        <v>131</v>
      </c>
      <c r="I286" s="10" t="s">
        <v>55</v>
      </c>
      <c r="J286" s="10" t="s">
        <v>20664</v>
      </c>
      <c r="K286" s="10" t="s">
        <v>20613</v>
      </c>
      <c r="L286" s="10" t="s">
        <v>42</v>
      </c>
    </row>
    <row r="287" ht="15.75" customHeight="1">
      <c r="A287" s="64">
        <v>45491.0</v>
      </c>
      <c r="B287" s="55" t="str">
        <f>HYPERLINK("https://jobright.ai/jobs/info/66994a8b4eef6966d6c9fef3?utm_campaign=1058&amp;utm_source=sheet", "Apply")</f>
        <v>Apply</v>
      </c>
      <c r="C287" s="10" t="s">
        <v>21084</v>
      </c>
      <c r="D287" s="56" t="s">
        <v>21085</v>
      </c>
      <c r="E287" s="10" t="s">
        <v>65</v>
      </c>
      <c r="F287" s="10" t="s">
        <v>21086</v>
      </c>
      <c r="G287" s="10" t="s">
        <v>20624</v>
      </c>
      <c r="H287" s="10" t="s">
        <v>159</v>
      </c>
      <c r="I287" s="10" t="s">
        <v>55</v>
      </c>
      <c r="K287" s="10" t="s">
        <v>21087</v>
      </c>
      <c r="L287" s="10" t="s">
        <v>42</v>
      </c>
    </row>
    <row r="288" ht="15.75" customHeight="1">
      <c r="A288" s="64">
        <v>45491.0</v>
      </c>
      <c r="B288" s="55" t="str">
        <f>HYPERLINK("https://jobright.ai/jobs/info/669965b965897324e5001a67?utm_campaign=1058&amp;utm_source=sheet", "Apply")</f>
        <v>Apply</v>
      </c>
      <c r="C288" s="10" t="s">
        <v>20988</v>
      </c>
      <c r="D288" s="56" t="s">
        <v>4448</v>
      </c>
      <c r="E288" s="10" t="s">
        <v>71</v>
      </c>
      <c r="F288" s="10" t="s">
        <v>4449</v>
      </c>
      <c r="G288" s="10" t="s">
        <v>20609</v>
      </c>
      <c r="H288" s="10" t="s">
        <v>628</v>
      </c>
      <c r="I288" s="10" t="s">
        <v>55</v>
      </c>
      <c r="K288" s="10" t="s">
        <v>4450</v>
      </c>
      <c r="L288" s="10" t="s">
        <v>42</v>
      </c>
    </row>
    <row r="289" ht="15.75" customHeight="1">
      <c r="A289" s="64">
        <v>45491.0</v>
      </c>
      <c r="B289" s="55" t="str">
        <f>HYPERLINK("https://jobright.ai/jobs/info/66a260c397a3a7c64f0cc7ca?utm_campaign=1058&amp;utm_source=sheet", "Apply")</f>
        <v>Apply</v>
      </c>
      <c r="C289" s="10" t="s">
        <v>21088</v>
      </c>
      <c r="D289" s="56" t="s">
        <v>21089</v>
      </c>
      <c r="E289" s="10">
        <v>4327.0</v>
      </c>
      <c r="G289" s="10" t="s">
        <v>20592</v>
      </c>
      <c r="H289" s="10" t="s">
        <v>13689</v>
      </c>
      <c r="I289" s="10" t="s">
        <v>55</v>
      </c>
      <c r="J289" s="10" t="s">
        <v>4124</v>
      </c>
      <c r="K289" s="10" t="s">
        <v>21090</v>
      </c>
      <c r="L289" s="10" t="s">
        <v>42</v>
      </c>
    </row>
    <row r="290" ht="15.75" customHeight="1">
      <c r="A290" s="64">
        <v>45491.0</v>
      </c>
      <c r="B290" s="55" t="str">
        <f>HYPERLINK("https://jobright.ai/jobs/info/669d09a1fc1b9f558ef00f96?utm_campaign=1058&amp;utm_source=sheet", "Apply")</f>
        <v>Apply</v>
      </c>
      <c r="C290" s="10" t="s">
        <v>20611</v>
      </c>
      <c r="D290" s="56" t="s">
        <v>11095</v>
      </c>
      <c r="E290" s="10" t="s">
        <v>45</v>
      </c>
      <c r="F290" s="10" t="s">
        <v>11096</v>
      </c>
      <c r="G290" s="10" t="s">
        <v>20592</v>
      </c>
      <c r="H290" s="10" t="s">
        <v>13678</v>
      </c>
      <c r="I290" s="10" t="s">
        <v>55</v>
      </c>
      <c r="J290" s="10" t="s">
        <v>1165</v>
      </c>
      <c r="K290" s="10" t="s">
        <v>20613</v>
      </c>
      <c r="L290" s="10" t="s">
        <v>42</v>
      </c>
    </row>
    <row r="291" ht="15.75" customHeight="1">
      <c r="A291" s="64">
        <v>45491.0</v>
      </c>
      <c r="B291" s="55" t="str">
        <f>HYPERLINK("https://jobright.ai/jobs/info/66a23755a3cccf144e9880a3?utm_campaign=1058&amp;utm_source=sheet", "Apply")</f>
        <v>Apply</v>
      </c>
      <c r="C291" s="10" t="s">
        <v>2297</v>
      </c>
      <c r="D291" s="56" t="s">
        <v>21091</v>
      </c>
      <c r="E291" s="10" t="s">
        <v>249</v>
      </c>
      <c r="F291" s="10" t="s">
        <v>2950</v>
      </c>
      <c r="G291" s="10" t="s">
        <v>20609</v>
      </c>
      <c r="H291" s="10" t="s">
        <v>113</v>
      </c>
      <c r="I291" s="10" t="s">
        <v>55</v>
      </c>
      <c r="K291" s="10" t="s">
        <v>21092</v>
      </c>
      <c r="L291" s="10" t="s">
        <v>42</v>
      </c>
    </row>
    <row r="292" ht="15.75" customHeight="1">
      <c r="A292" s="64">
        <v>45491.0</v>
      </c>
      <c r="B292" s="55" t="str">
        <f>HYPERLINK("https://jobright.ai/jobs/info/6698f764967a910d444faec6?utm_campaign=1058&amp;utm_source=sheet", "Apply")</f>
        <v>Apply</v>
      </c>
      <c r="C292" s="10" t="s">
        <v>21093</v>
      </c>
      <c r="D292" s="56" t="s">
        <v>12648</v>
      </c>
      <c r="E292" s="10">
        <v>5518.0</v>
      </c>
      <c r="G292" s="10" t="s">
        <v>20609</v>
      </c>
      <c r="H292" s="10" t="s">
        <v>152</v>
      </c>
      <c r="I292" s="10" t="s">
        <v>55</v>
      </c>
      <c r="J292" s="10" t="s">
        <v>581</v>
      </c>
      <c r="K292" s="10" t="s">
        <v>19582</v>
      </c>
      <c r="L292" s="10" t="s">
        <v>42</v>
      </c>
    </row>
    <row r="293" ht="15.75" customHeight="1">
      <c r="A293" s="64">
        <v>45491.0</v>
      </c>
      <c r="B293" s="55" t="str">
        <f>HYPERLINK("https://jobright.ai/jobs/info/6677d17a97271e26801e1ce3?utm_campaign=1058&amp;utm_source=sheet", "Apply")</f>
        <v>Apply</v>
      </c>
      <c r="C293" s="10" t="s">
        <v>21094</v>
      </c>
      <c r="D293" s="56" t="s">
        <v>21095</v>
      </c>
      <c r="E293" s="10" t="s">
        <v>276</v>
      </c>
      <c r="F293" s="10" t="s">
        <v>21096</v>
      </c>
      <c r="G293" s="10" t="s">
        <v>20624</v>
      </c>
      <c r="H293" s="10" t="s">
        <v>9989</v>
      </c>
      <c r="I293" s="10" t="s">
        <v>55</v>
      </c>
      <c r="K293" s="10" t="s">
        <v>21097</v>
      </c>
      <c r="L293" s="10" t="s">
        <v>42</v>
      </c>
    </row>
    <row r="294" ht="15.75" customHeight="1">
      <c r="A294" s="64">
        <v>45491.0</v>
      </c>
      <c r="B294" s="55" t="str">
        <f>HYPERLINK("https://jobright.ai/jobs/info/667cf4ddbfcdafe412391276?utm_campaign=1058&amp;utm_source=sheet", "Apply")</f>
        <v>Apply</v>
      </c>
      <c r="C294" s="10" t="s">
        <v>20611</v>
      </c>
      <c r="D294" s="56" t="s">
        <v>11095</v>
      </c>
      <c r="E294" s="10" t="s">
        <v>45</v>
      </c>
      <c r="F294" s="10" t="s">
        <v>11096</v>
      </c>
      <c r="G294" s="10" t="s">
        <v>20592</v>
      </c>
      <c r="H294" s="10" t="s">
        <v>4908</v>
      </c>
      <c r="I294" s="10" t="s">
        <v>55</v>
      </c>
      <c r="J294" s="10" t="s">
        <v>20664</v>
      </c>
      <c r="K294" s="10" t="s">
        <v>20613</v>
      </c>
      <c r="L294" s="10" t="s">
        <v>42</v>
      </c>
    </row>
    <row r="295" ht="15.75" customHeight="1">
      <c r="A295" s="64">
        <v>45491.0</v>
      </c>
      <c r="B295" s="55" t="str">
        <f>HYPERLINK("https://jobright.ai/jobs/info/667cfc9aa9415a3ca6b278be?utm_campaign=1058&amp;utm_source=sheet", "Apply")</f>
        <v>Apply</v>
      </c>
      <c r="C295" s="10" t="s">
        <v>20611</v>
      </c>
      <c r="D295" s="56" t="s">
        <v>11095</v>
      </c>
      <c r="E295" s="10" t="s">
        <v>45</v>
      </c>
      <c r="F295" s="10" t="s">
        <v>11096</v>
      </c>
      <c r="G295" s="10" t="s">
        <v>20592</v>
      </c>
      <c r="H295" s="10" t="s">
        <v>6086</v>
      </c>
      <c r="I295" s="10" t="s">
        <v>55</v>
      </c>
      <c r="J295" s="10" t="s">
        <v>20664</v>
      </c>
      <c r="K295" s="10" t="s">
        <v>20613</v>
      </c>
      <c r="L295" s="10" t="s">
        <v>42</v>
      </c>
    </row>
    <row r="296" ht="15.75" customHeight="1">
      <c r="A296" s="64">
        <v>45491.0</v>
      </c>
      <c r="B296" s="55" t="str">
        <f>HYPERLINK("https://jobright.ai/jobs/info/6675ac716d8340c59f8e4c3e?utm_campaign=1058&amp;utm_source=sheet", "Apply")</f>
        <v>Apply</v>
      </c>
      <c r="C296" s="10" t="s">
        <v>20611</v>
      </c>
      <c r="D296" s="56" t="s">
        <v>11095</v>
      </c>
      <c r="E296" s="10" t="s">
        <v>45</v>
      </c>
      <c r="F296" s="10" t="s">
        <v>11096</v>
      </c>
      <c r="G296" s="10" t="s">
        <v>20592</v>
      </c>
      <c r="H296" s="10" t="s">
        <v>19566</v>
      </c>
      <c r="I296" s="10" t="s">
        <v>55</v>
      </c>
      <c r="J296" s="10" t="s">
        <v>20664</v>
      </c>
      <c r="K296" s="10" t="s">
        <v>20613</v>
      </c>
      <c r="L296" s="10" t="s">
        <v>42</v>
      </c>
    </row>
    <row r="297" ht="15.75" customHeight="1">
      <c r="A297" s="64">
        <v>45491.0</v>
      </c>
      <c r="B297" s="55" t="str">
        <f>HYPERLINK("https://jobright.ai/jobs/info/667cf4e8bfcdafe4123912a7?utm_campaign=1058&amp;utm_source=sheet", "Apply")</f>
        <v>Apply</v>
      </c>
      <c r="C297" s="10" t="s">
        <v>20611</v>
      </c>
      <c r="D297" s="56" t="s">
        <v>11095</v>
      </c>
      <c r="E297" s="10" t="s">
        <v>45</v>
      </c>
      <c r="F297" s="10" t="s">
        <v>11096</v>
      </c>
      <c r="G297" s="10" t="s">
        <v>20592</v>
      </c>
      <c r="H297" s="10" t="s">
        <v>11441</v>
      </c>
      <c r="I297" s="10" t="s">
        <v>55</v>
      </c>
      <c r="J297" s="10" t="s">
        <v>20664</v>
      </c>
      <c r="K297" s="10" t="s">
        <v>20613</v>
      </c>
      <c r="L297" s="10" t="s">
        <v>42</v>
      </c>
    </row>
    <row r="298" ht="15.75" customHeight="1">
      <c r="A298" s="64">
        <v>45491.0</v>
      </c>
      <c r="B298" s="55" t="str">
        <f>HYPERLINK("https://jobright.ai/jobs/info/6698ef599976c90946153561?utm_campaign=1058&amp;utm_source=sheet", "Apply")</f>
        <v>Apply</v>
      </c>
      <c r="C298" s="10" t="s">
        <v>21098</v>
      </c>
      <c r="D298" s="56" t="s">
        <v>21099</v>
      </c>
      <c r="E298" s="10" t="s">
        <v>65</v>
      </c>
      <c r="F298" s="10" t="s">
        <v>1465</v>
      </c>
      <c r="G298" s="10" t="s">
        <v>20609</v>
      </c>
      <c r="H298" s="10" t="s">
        <v>809</v>
      </c>
      <c r="I298" s="10" t="s">
        <v>55</v>
      </c>
      <c r="K298" s="10" t="s">
        <v>21100</v>
      </c>
      <c r="L298" s="10" t="s">
        <v>42</v>
      </c>
    </row>
    <row r="299" ht="15.75" customHeight="1">
      <c r="A299" s="64">
        <v>45491.0</v>
      </c>
      <c r="B299" s="55" t="str">
        <f>HYPERLINK("https://jobright.ai/jobs/info/6698aa203e064c1baa86ce53?utm_campaign=1058&amp;utm_source=sheet", "Apply")</f>
        <v>Apply</v>
      </c>
      <c r="C299" s="10" t="s">
        <v>21101</v>
      </c>
      <c r="D299" s="56" t="s">
        <v>2077</v>
      </c>
      <c r="E299" s="10" t="s">
        <v>45</v>
      </c>
      <c r="F299" s="10" t="s">
        <v>1234</v>
      </c>
      <c r="G299" s="10" t="s">
        <v>20624</v>
      </c>
      <c r="H299" s="10" t="s">
        <v>2078</v>
      </c>
      <c r="I299" s="10" t="s">
        <v>55</v>
      </c>
      <c r="J299" s="10" t="s">
        <v>10706</v>
      </c>
      <c r="K299" s="10" t="s">
        <v>21102</v>
      </c>
      <c r="L299" s="10" t="s">
        <v>42</v>
      </c>
    </row>
    <row r="300" ht="15.75" customHeight="1">
      <c r="A300" s="64">
        <v>45491.0</v>
      </c>
      <c r="B300" s="55" t="str">
        <f>HYPERLINK("https://jobright.ai/jobs/info/66988dc6c6a5e47355769d01?utm_campaign=1058&amp;utm_source=sheet", "Apply")</f>
        <v>Apply</v>
      </c>
      <c r="C300" s="10" t="s">
        <v>21103</v>
      </c>
      <c r="D300" s="56" t="s">
        <v>21104</v>
      </c>
      <c r="E300" s="10" t="s">
        <v>65</v>
      </c>
      <c r="F300" s="10" t="s">
        <v>21105</v>
      </c>
      <c r="G300" s="10" t="s">
        <v>20592</v>
      </c>
      <c r="H300" s="10" t="s">
        <v>621</v>
      </c>
      <c r="I300" s="10" t="s">
        <v>48</v>
      </c>
      <c r="J300" s="10" t="s">
        <v>2742</v>
      </c>
      <c r="K300" s="10" t="s">
        <v>21106</v>
      </c>
      <c r="L300" s="10" t="s">
        <v>42</v>
      </c>
    </row>
    <row r="301" ht="15.75" customHeight="1">
      <c r="A301" s="64">
        <v>45491.0</v>
      </c>
      <c r="B301" s="55" t="str">
        <f>HYPERLINK("https://jobright.ai/jobs/info/669965b565897324e5001988?utm_campaign=1058&amp;utm_source=sheet", "Apply")</f>
        <v>Apply</v>
      </c>
      <c r="C301" s="10" t="s">
        <v>21107</v>
      </c>
      <c r="D301" s="56" t="s">
        <v>21108</v>
      </c>
      <c r="E301" s="10" t="s">
        <v>65</v>
      </c>
      <c r="F301" s="10" t="s">
        <v>8589</v>
      </c>
      <c r="G301" s="10" t="s">
        <v>20592</v>
      </c>
      <c r="H301" s="10" t="s">
        <v>21109</v>
      </c>
      <c r="I301" s="10" t="s">
        <v>55</v>
      </c>
      <c r="K301" s="10" t="s">
        <v>21110</v>
      </c>
      <c r="L301" s="10" t="s">
        <v>42</v>
      </c>
    </row>
    <row r="302" ht="15.75" customHeight="1">
      <c r="A302" s="64">
        <v>45491.0</v>
      </c>
      <c r="B302" s="55" t="str">
        <f>HYPERLINK("https://jobright.ai/jobs/info/6698727a71d79b41ac627948?utm_campaign=1058&amp;utm_source=sheet", "Apply")</f>
        <v>Apply</v>
      </c>
      <c r="C302" s="10" t="s">
        <v>20594</v>
      </c>
      <c r="D302" s="56" t="s">
        <v>20595</v>
      </c>
      <c r="E302" s="10" t="s">
        <v>45</v>
      </c>
      <c r="F302" s="10" t="s">
        <v>3811</v>
      </c>
      <c r="G302" s="10" t="s">
        <v>20592</v>
      </c>
      <c r="H302" s="10" t="s">
        <v>6918</v>
      </c>
      <c r="I302" s="10" t="s">
        <v>55</v>
      </c>
      <c r="K302" s="10" t="s">
        <v>21111</v>
      </c>
      <c r="L302" s="10" t="s">
        <v>42</v>
      </c>
    </row>
    <row r="303" ht="15.75" customHeight="1">
      <c r="A303" s="64">
        <v>45491.0</v>
      </c>
      <c r="B303" s="55" t="str">
        <f>HYPERLINK("https://jobright.ai/jobs/info/669925d1cd4eace260f0d8fa?utm_campaign=1058&amp;utm_source=sheet", "Apply")</f>
        <v>Apply</v>
      </c>
      <c r="C303" s="10" t="s">
        <v>21112</v>
      </c>
      <c r="D303" s="56" t="s">
        <v>21113</v>
      </c>
      <c r="E303" s="10" t="s">
        <v>249</v>
      </c>
      <c r="F303" s="10" t="s">
        <v>10157</v>
      </c>
      <c r="G303" s="10" t="s">
        <v>20624</v>
      </c>
      <c r="H303" s="10" t="s">
        <v>21114</v>
      </c>
      <c r="I303" s="10" t="s">
        <v>48</v>
      </c>
      <c r="J303" s="10" t="s">
        <v>521</v>
      </c>
      <c r="K303" s="10" t="s">
        <v>21115</v>
      </c>
      <c r="L303" s="10" t="s">
        <v>42</v>
      </c>
    </row>
    <row r="304" ht="15.75" customHeight="1">
      <c r="A304" s="64">
        <v>45490.0</v>
      </c>
      <c r="B304" s="55" t="str">
        <f>HYPERLINK("https://jobright.ai/jobs/info/66983cf53fd096c6a4d6034f?utm_campaign=1058&amp;utm_source=sheet", "Apply")</f>
        <v>Apply</v>
      </c>
      <c r="C304" s="10" t="s">
        <v>2297</v>
      </c>
      <c r="D304" s="56" t="s">
        <v>21091</v>
      </c>
      <c r="E304" s="10" t="s">
        <v>249</v>
      </c>
      <c r="F304" s="10" t="s">
        <v>2950</v>
      </c>
      <c r="G304" s="10" t="s">
        <v>20609</v>
      </c>
      <c r="H304" s="10" t="s">
        <v>3270</v>
      </c>
      <c r="I304" s="10" t="s">
        <v>55</v>
      </c>
      <c r="K304" s="10" t="s">
        <v>21092</v>
      </c>
      <c r="L304" s="10" t="s">
        <v>42</v>
      </c>
    </row>
    <row r="305" ht="15.75" customHeight="1">
      <c r="A305" s="64">
        <v>45490.0</v>
      </c>
      <c r="B305" s="55" t="str">
        <f>HYPERLINK("https://jobright.ai/jobs/info/66982b18b3e885f9679db05c?utm_campaign=1058&amp;utm_source=sheet", "Apply")</f>
        <v>Apply</v>
      </c>
      <c r="C305" s="10" t="s">
        <v>21116</v>
      </c>
      <c r="D305" s="56" t="s">
        <v>1538</v>
      </c>
      <c r="E305" s="10" t="s">
        <v>45</v>
      </c>
      <c r="F305" s="10" t="s">
        <v>1274</v>
      </c>
      <c r="G305" s="10" t="s">
        <v>20609</v>
      </c>
      <c r="H305" s="10" t="s">
        <v>21117</v>
      </c>
      <c r="I305" s="10" t="s">
        <v>55</v>
      </c>
      <c r="K305" s="10" t="s">
        <v>21118</v>
      </c>
      <c r="L305" s="10" t="s">
        <v>42</v>
      </c>
    </row>
    <row r="306" ht="15.75" customHeight="1">
      <c r="A306" s="64">
        <v>45490.0</v>
      </c>
      <c r="B306" s="55" t="str">
        <f>HYPERLINK("https://jobright.ai/jobs/info/669834c342f8a0cca17e17ec?utm_campaign=1058&amp;utm_source=sheet", "Apply")</f>
        <v>Apply</v>
      </c>
      <c r="C306" s="10" t="s">
        <v>21119</v>
      </c>
      <c r="D306" s="56" t="s">
        <v>21120</v>
      </c>
      <c r="E306" s="10" t="s">
        <v>249</v>
      </c>
      <c r="G306" s="10" t="s">
        <v>20624</v>
      </c>
      <c r="H306" s="10" t="s">
        <v>245</v>
      </c>
      <c r="I306" s="10" t="s">
        <v>55</v>
      </c>
      <c r="J306" s="10" t="s">
        <v>1906</v>
      </c>
      <c r="K306" s="10" t="s">
        <v>21121</v>
      </c>
      <c r="L306" s="10" t="s">
        <v>42</v>
      </c>
    </row>
    <row r="307" ht="15.75" customHeight="1">
      <c r="A307" s="64">
        <v>45490.0</v>
      </c>
      <c r="B307" s="55" t="str">
        <f>HYPERLINK("https://jobright.ai/jobs/info/669831a93c469b4f459769f3?utm_campaign=1058&amp;utm_source=sheet", "Apply")</f>
        <v>Apply</v>
      </c>
      <c r="C307" s="10" t="s">
        <v>21122</v>
      </c>
      <c r="D307" s="56" t="s">
        <v>16295</v>
      </c>
      <c r="E307" s="10" t="s">
        <v>45</v>
      </c>
      <c r="F307" s="10" t="s">
        <v>16296</v>
      </c>
      <c r="G307" s="10" t="s">
        <v>20592</v>
      </c>
      <c r="H307" s="10" t="s">
        <v>16297</v>
      </c>
      <c r="I307" s="10" t="s">
        <v>55</v>
      </c>
      <c r="J307" s="10" t="s">
        <v>2555</v>
      </c>
      <c r="K307" s="10" t="s">
        <v>21123</v>
      </c>
      <c r="L307" s="10" t="s">
        <v>42</v>
      </c>
    </row>
    <row r="308" ht="15.75" customHeight="1">
      <c r="A308" s="64">
        <v>45490.0</v>
      </c>
      <c r="B308" s="55" t="str">
        <f>HYPERLINK("https://jobright.ai/jobs/info/66982707e7362e3de0263a21?utm_campaign=1058&amp;utm_source=sheet", "Apply")</f>
        <v>Apply</v>
      </c>
      <c r="C308" s="10" t="s">
        <v>21124</v>
      </c>
      <c r="D308" s="56" t="s">
        <v>21125</v>
      </c>
      <c r="E308" s="10" t="s">
        <v>65</v>
      </c>
      <c r="F308" s="10" t="s">
        <v>1084</v>
      </c>
      <c r="G308" s="10" t="s">
        <v>20592</v>
      </c>
      <c r="H308" s="10" t="s">
        <v>1018</v>
      </c>
      <c r="I308" s="10" t="s">
        <v>55</v>
      </c>
      <c r="K308" s="10" t="s">
        <v>21126</v>
      </c>
      <c r="L308" s="10" t="s">
        <v>42</v>
      </c>
    </row>
    <row r="309" ht="15.75" customHeight="1">
      <c r="A309" s="64">
        <v>45490.0</v>
      </c>
      <c r="B309" s="55" t="str">
        <f>HYPERLINK("https://jobright.ai/jobs/info/669d0c889a5037d44da6fd7b?utm_campaign=1058&amp;utm_source=sheet", "Apply")</f>
        <v>Apply</v>
      </c>
      <c r="C309" s="10" t="s">
        <v>20611</v>
      </c>
      <c r="D309" s="56" t="s">
        <v>11095</v>
      </c>
      <c r="E309" s="10" t="s">
        <v>45</v>
      </c>
      <c r="F309" s="10" t="s">
        <v>11096</v>
      </c>
      <c r="G309" s="10" t="s">
        <v>20592</v>
      </c>
      <c r="H309" s="10" t="s">
        <v>21127</v>
      </c>
      <c r="I309" s="10" t="s">
        <v>55</v>
      </c>
      <c r="J309" s="10" t="s">
        <v>1165</v>
      </c>
      <c r="K309" s="10" t="s">
        <v>20613</v>
      </c>
      <c r="L309" s="10" t="s">
        <v>42</v>
      </c>
    </row>
    <row r="310" ht="15.75" customHeight="1">
      <c r="A310" s="64">
        <v>45490.0</v>
      </c>
      <c r="B310" s="55" t="str">
        <f>HYPERLINK("https://jobright.ai/jobs/info/66a0f51cf57f1c3ae4c32741?utm_campaign=1058&amp;utm_source=sheet", "Apply")</f>
        <v>Apply</v>
      </c>
      <c r="C310" s="10" t="s">
        <v>21128</v>
      </c>
      <c r="D310" s="56" t="s">
        <v>21129</v>
      </c>
      <c r="E310" s="10" t="s">
        <v>71</v>
      </c>
      <c r="F310" s="10" t="s">
        <v>1922</v>
      </c>
      <c r="G310" s="10" t="s">
        <v>20609</v>
      </c>
      <c r="H310" s="10" t="s">
        <v>16737</v>
      </c>
      <c r="I310" s="10" t="s">
        <v>55</v>
      </c>
      <c r="K310" s="10" t="s">
        <v>21130</v>
      </c>
      <c r="L310" s="10" t="s">
        <v>42</v>
      </c>
    </row>
    <row r="311" ht="15.75" customHeight="1">
      <c r="A311" s="64">
        <v>45490.0</v>
      </c>
      <c r="B311" s="55" t="str">
        <f>HYPERLINK("https://jobright.ai/jobs/info/66984edd6ace611cbf3c77ea?utm_campaign=1058&amp;utm_source=sheet", "Apply")</f>
        <v>Apply</v>
      </c>
      <c r="C311" s="10" t="s">
        <v>21131</v>
      </c>
      <c r="D311" s="56" t="s">
        <v>21132</v>
      </c>
      <c r="E311" s="10" t="s">
        <v>45</v>
      </c>
      <c r="F311" s="10" t="s">
        <v>1922</v>
      </c>
      <c r="G311" s="10" t="s">
        <v>20624</v>
      </c>
      <c r="H311" s="10" t="s">
        <v>4079</v>
      </c>
      <c r="I311" s="10" t="s">
        <v>55</v>
      </c>
      <c r="K311" s="10" t="s">
        <v>21133</v>
      </c>
      <c r="L311" s="10" t="s">
        <v>42</v>
      </c>
    </row>
    <row r="312" ht="15.75" customHeight="1">
      <c r="A312" s="64">
        <v>45490.0</v>
      </c>
      <c r="B312" s="55" t="str">
        <f>HYPERLINK("https://jobright.ai/jobs/info/66a0ee48b3fb11bcb3dad36e?utm_campaign=1058&amp;utm_source=sheet", "Apply")</f>
        <v>Apply</v>
      </c>
      <c r="C312" s="10" t="s">
        <v>21134</v>
      </c>
      <c r="D312" s="56" t="s">
        <v>17559</v>
      </c>
      <c r="G312" s="10" t="s">
        <v>20624</v>
      </c>
      <c r="H312" s="10" t="s">
        <v>939</v>
      </c>
      <c r="I312" s="10" t="s">
        <v>55</v>
      </c>
      <c r="K312" s="10" t="s">
        <v>21135</v>
      </c>
      <c r="L312" s="10" t="s">
        <v>42</v>
      </c>
    </row>
    <row r="313" ht="15.75" customHeight="1">
      <c r="A313" s="64">
        <v>45490.0</v>
      </c>
      <c r="B313" s="55" t="str">
        <f>HYPERLINK("https://jobright.ai/jobs/info/669a4faf2885e142e98dece0?utm_campaign=1058&amp;utm_source=sheet", "Apply")</f>
        <v>Apply</v>
      </c>
      <c r="C313" s="10" t="s">
        <v>20992</v>
      </c>
      <c r="D313" s="56" t="s">
        <v>20993</v>
      </c>
      <c r="E313" s="10">
        <v>197.0</v>
      </c>
      <c r="G313" s="10" t="s">
        <v>20592</v>
      </c>
      <c r="H313" s="10" t="s">
        <v>20974</v>
      </c>
      <c r="I313" s="10" t="s">
        <v>55</v>
      </c>
      <c r="K313" s="10" t="s">
        <v>21136</v>
      </c>
      <c r="L313" s="10" t="s">
        <v>42</v>
      </c>
    </row>
    <row r="314" ht="15.75" customHeight="1">
      <c r="A314" s="64">
        <v>45490.0</v>
      </c>
      <c r="B314" s="55" t="str">
        <f>HYPERLINK("https://jobright.ai/jobs/info/669fd07142744ff6f3a380d3?utm_campaign=1058&amp;utm_source=sheet", "Apply")</f>
        <v>Apply</v>
      </c>
      <c r="C314" s="10" t="s">
        <v>21137</v>
      </c>
      <c r="D314" s="56" t="s">
        <v>1707</v>
      </c>
      <c r="E314" s="10" t="s">
        <v>45</v>
      </c>
      <c r="F314" s="10" t="s">
        <v>1708</v>
      </c>
      <c r="G314" s="10" t="s">
        <v>20609</v>
      </c>
      <c r="H314" s="10" t="s">
        <v>3320</v>
      </c>
      <c r="I314" s="10" t="s">
        <v>55</v>
      </c>
      <c r="K314" s="10" t="s">
        <v>21138</v>
      </c>
      <c r="L314" s="10" t="s">
        <v>42</v>
      </c>
    </row>
    <row r="315" ht="15.75" customHeight="1">
      <c r="A315" s="64">
        <v>45490.0</v>
      </c>
      <c r="B315" s="55" t="str">
        <f>HYPERLINK("https://jobright.ai/jobs/info/669ceaf8dec5ac38588dcb31?utm_campaign=1058&amp;utm_source=sheet", "Apply")</f>
        <v>Apply</v>
      </c>
      <c r="C315" s="10" t="s">
        <v>20611</v>
      </c>
      <c r="D315" s="56" t="s">
        <v>11095</v>
      </c>
      <c r="E315" s="10" t="s">
        <v>45</v>
      </c>
      <c r="F315" s="10" t="s">
        <v>11096</v>
      </c>
      <c r="G315" s="10" t="s">
        <v>20592</v>
      </c>
      <c r="H315" s="10" t="s">
        <v>131</v>
      </c>
      <c r="I315" s="10" t="s">
        <v>55</v>
      </c>
      <c r="J315" s="10" t="s">
        <v>1165</v>
      </c>
      <c r="K315" s="10" t="s">
        <v>20613</v>
      </c>
      <c r="L315" s="10" t="s">
        <v>42</v>
      </c>
    </row>
    <row r="316" ht="15.75" customHeight="1">
      <c r="A316" s="64">
        <v>45490.0</v>
      </c>
      <c r="B316" s="55" t="str">
        <f>HYPERLINK("https://jobright.ai/jobs/info/6697aea16e40d22ddb4a9f63?utm_campaign=1058&amp;utm_source=sheet", "Apply")</f>
        <v>Apply</v>
      </c>
      <c r="C316" s="10" t="s">
        <v>21139</v>
      </c>
      <c r="D316" s="56" t="s">
        <v>21140</v>
      </c>
      <c r="E316" s="10" t="s">
        <v>79</v>
      </c>
      <c r="F316" s="10" t="s">
        <v>21141</v>
      </c>
      <c r="G316" s="10" t="s">
        <v>20609</v>
      </c>
      <c r="H316" s="10" t="s">
        <v>165</v>
      </c>
      <c r="I316" s="10" t="s">
        <v>55</v>
      </c>
      <c r="K316" s="10" t="s">
        <v>21142</v>
      </c>
      <c r="L316" s="10" t="s">
        <v>42</v>
      </c>
    </row>
    <row r="317" ht="15.75" customHeight="1">
      <c r="A317" s="64">
        <v>45490.0</v>
      </c>
      <c r="B317" s="55" t="str">
        <f>HYPERLINK("https://jobright.ai/jobs/info/667bb2dfb49b956dfaaef288?utm_campaign=1058&amp;utm_source=sheet", "Apply")</f>
        <v>Apply</v>
      </c>
      <c r="C317" s="10" t="s">
        <v>20611</v>
      </c>
      <c r="D317" s="56" t="s">
        <v>11095</v>
      </c>
      <c r="E317" s="10" t="s">
        <v>45</v>
      </c>
      <c r="F317" s="10" t="s">
        <v>11096</v>
      </c>
      <c r="G317" s="10" t="s">
        <v>20592</v>
      </c>
      <c r="H317" s="10" t="s">
        <v>326</v>
      </c>
      <c r="I317" s="10" t="s">
        <v>55</v>
      </c>
      <c r="J317" s="10" t="s">
        <v>20664</v>
      </c>
      <c r="K317" s="10" t="s">
        <v>20613</v>
      </c>
      <c r="L317" s="10" t="s">
        <v>42</v>
      </c>
    </row>
    <row r="318" ht="15.75" customHeight="1">
      <c r="A318" s="64">
        <v>45490.0</v>
      </c>
      <c r="B318" s="55" t="str">
        <f>HYPERLINK("https://jobright.ai/jobs/info/6697d17b09c40b09ee105c6c?utm_campaign=1058&amp;utm_source=sheet", "Apply")</f>
        <v>Apply</v>
      </c>
      <c r="C318" s="10" t="s">
        <v>21143</v>
      </c>
      <c r="D318" s="56" t="s">
        <v>543</v>
      </c>
      <c r="E318" s="10" t="s">
        <v>65</v>
      </c>
      <c r="F318" s="10" t="s">
        <v>544</v>
      </c>
      <c r="G318" s="10" t="s">
        <v>20624</v>
      </c>
      <c r="H318" s="10" t="s">
        <v>218</v>
      </c>
      <c r="I318" s="10" t="s">
        <v>55</v>
      </c>
      <c r="J318" s="10" t="s">
        <v>21144</v>
      </c>
      <c r="K318" s="10" t="s">
        <v>21145</v>
      </c>
      <c r="L318" s="10" t="s">
        <v>42</v>
      </c>
    </row>
    <row r="319" ht="15.75" customHeight="1">
      <c r="A319" s="64">
        <v>45490.0</v>
      </c>
      <c r="B319" s="55" t="str">
        <f>HYPERLINK("https://jobright.ai/jobs/info/66254c9c64f7538c7b12cf1b?utm_campaign=1058&amp;utm_source=sheet", "Apply")</f>
        <v>Apply</v>
      </c>
      <c r="C319" s="10" t="s">
        <v>21146</v>
      </c>
      <c r="D319" s="56" t="s">
        <v>16327</v>
      </c>
      <c r="E319" s="10" t="s">
        <v>65</v>
      </c>
      <c r="F319" s="10" t="s">
        <v>2274</v>
      </c>
      <c r="G319" s="10" t="s">
        <v>20592</v>
      </c>
      <c r="H319" s="10" t="s">
        <v>948</v>
      </c>
      <c r="I319" s="10" t="s">
        <v>55</v>
      </c>
      <c r="K319" s="10" t="s">
        <v>21147</v>
      </c>
      <c r="L319" s="10" t="s">
        <v>42</v>
      </c>
    </row>
    <row r="320" ht="15.75" customHeight="1">
      <c r="A320" s="64">
        <v>45490.0</v>
      </c>
      <c r="B320" s="55" t="str">
        <f>HYPERLINK("https://jobright.ai/jobs/info/6677e8948edbb3fe78f334ad?utm_campaign=1058&amp;utm_source=sheet", "Apply")</f>
        <v>Apply</v>
      </c>
      <c r="C320" s="10" t="s">
        <v>21146</v>
      </c>
      <c r="D320" s="56" t="s">
        <v>16327</v>
      </c>
      <c r="E320" s="10" t="s">
        <v>65</v>
      </c>
      <c r="F320" s="10" t="s">
        <v>2274</v>
      </c>
      <c r="G320" s="10" t="s">
        <v>20592</v>
      </c>
      <c r="H320" s="10" t="s">
        <v>11956</v>
      </c>
      <c r="I320" s="10" t="s">
        <v>55</v>
      </c>
      <c r="K320" s="10" t="s">
        <v>21147</v>
      </c>
      <c r="L320" s="10" t="s">
        <v>42</v>
      </c>
    </row>
    <row r="321" ht="15.75" customHeight="1">
      <c r="A321" s="64">
        <v>45490.0</v>
      </c>
      <c r="B321" s="55" t="str">
        <f>HYPERLINK("https://jobright.ai/jobs/info/667b52b1777bd4167efd19c9?utm_campaign=1058&amp;utm_source=sheet", "Apply")</f>
        <v>Apply</v>
      </c>
      <c r="C321" s="10" t="s">
        <v>20611</v>
      </c>
      <c r="D321" s="56" t="s">
        <v>11095</v>
      </c>
      <c r="E321" s="10" t="s">
        <v>45</v>
      </c>
      <c r="F321" s="10" t="s">
        <v>11096</v>
      </c>
      <c r="G321" s="10" t="s">
        <v>20592</v>
      </c>
      <c r="H321" s="10" t="s">
        <v>21148</v>
      </c>
      <c r="I321" s="10" t="s">
        <v>55</v>
      </c>
      <c r="J321" s="10" t="s">
        <v>20664</v>
      </c>
      <c r="K321" s="10" t="s">
        <v>20613</v>
      </c>
      <c r="L321" s="10" t="s">
        <v>42</v>
      </c>
    </row>
    <row r="322" ht="15.75" customHeight="1">
      <c r="A322" s="64">
        <v>45490.0</v>
      </c>
      <c r="B322" s="55" t="str">
        <f>HYPERLINK("https://jobright.ai/jobs/info/6698b3f140809dc571c7feab?utm_campaign=1058&amp;utm_source=sheet", "Apply")</f>
        <v>Apply</v>
      </c>
      <c r="C322" s="10" t="s">
        <v>20611</v>
      </c>
      <c r="D322" s="56" t="s">
        <v>11095</v>
      </c>
      <c r="E322" s="10" t="s">
        <v>45</v>
      </c>
      <c r="F322" s="10" t="s">
        <v>11096</v>
      </c>
      <c r="G322" s="10" t="s">
        <v>20592</v>
      </c>
      <c r="H322" s="10" t="s">
        <v>986</v>
      </c>
      <c r="I322" s="10" t="s">
        <v>55</v>
      </c>
      <c r="J322" s="10" t="s">
        <v>1165</v>
      </c>
      <c r="K322" s="10" t="s">
        <v>20613</v>
      </c>
      <c r="L322" s="10" t="s">
        <v>42</v>
      </c>
    </row>
    <row r="323" ht="15.75" customHeight="1">
      <c r="A323" s="64">
        <v>45490.0</v>
      </c>
      <c r="B323" s="55" t="str">
        <f>HYPERLINK("https://jobright.ai/jobs/info/6698b3f140809dc571c7fec9?utm_campaign=1058&amp;utm_source=sheet", "Apply")</f>
        <v>Apply</v>
      </c>
      <c r="C323" s="10" t="s">
        <v>20611</v>
      </c>
      <c r="D323" s="56" t="s">
        <v>11095</v>
      </c>
      <c r="E323" s="10" t="s">
        <v>45</v>
      </c>
      <c r="F323" s="10" t="s">
        <v>11096</v>
      </c>
      <c r="G323" s="10" t="s">
        <v>20592</v>
      </c>
      <c r="H323" s="10" t="s">
        <v>891</v>
      </c>
      <c r="I323" s="10" t="s">
        <v>55</v>
      </c>
      <c r="J323" s="10" t="s">
        <v>1165</v>
      </c>
      <c r="K323" s="10" t="s">
        <v>20613</v>
      </c>
      <c r="L323" s="10" t="s">
        <v>42</v>
      </c>
    </row>
    <row r="324" ht="15.75" customHeight="1">
      <c r="A324" s="64">
        <v>45490.0</v>
      </c>
      <c r="B324" s="55" t="str">
        <f>HYPERLINK("https://jobright.ai/jobs/info/6697789fe3948f1e41f0c411?utm_campaign=1058&amp;utm_source=sheet", "Apply")</f>
        <v>Apply</v>
      </c>
      <c r="C324" s="10" t="s">
        <v>21149</v>
      </c>
      <c r="D324" s="56" t="s">
        <v>21150</v>
      </c>
      <c r="E324" s="10" t="s">
        <v>276</v>
      </c>
      <c r="F324" s="10" t="s">
        <v>12383</v>
      </c>
      <c r="G324" s="10" t="s">
        <v>20592</v>
      </c>
      <c r="H324" s="10" t="s">
        <v>21151</v>
      </c>
      <c r="I324" s="10" t="s">
        <v>55</v>
      </c>
      <c r="J324" s="10" t="s">
        <v>4117</v>
      </c>
      <c r="K324" s="10" t="s">
        <v>21152</v>
      </c>
      <c r="L324" s="10" t="s">
        <v>42</v>
      </c>
    </row>
    <row r="325" ht="15.75" customHeight="1">
      <c r="A325" s="64">
        <v>45490.0</v>
      </c>
      <c r="B325" s="55" t="str">
        <f>HYPERLINK("https://jobright.ai/jobs/info/669753a45d7825fc35caa249?utm_campaign=1058&amp;utm_source=sheet", "Apply")</f>
        <v>Apply</v>
      </c>
      <c r="C325" s="10" t="s">
        <v>21153</v>
      </c>
      <c r="D325" s="56" t="s">
        <v>21154</v>
      </c>
      <c r="E325" s="10" t="s">
        <v>249</v>
      </c>
      <c r="F325" s="10" t="s">
        <v>16130</v>
      </c>
      <c r="G325" s="10" t="s">
        <v>20609</v>
      </c>
      <c r="H325" s="10" t="s">
        <v>1254</v>
      </c>
      <c r="I325" s="10" t="s">
        <v>55</v>
      </c>
      <c r="J325" s="10" t="s">
        <v>21155</v>
      </c>
      <c r="K325" s="10" t="s">
        <v>21156</v>
      </c>
      <c r="L325" s="10" t="s">
        <v>42</v>
      </c>
    </row>
    <row r="326" ht="15.75" customHeight="1">
      <c r="A326" s="64">
        <v>45490.0</v>
      </c>
      <c r="B326" s="55" t="str">
        <f>HYPERLINK("https://jobright.ai/jobs/info/66974b581b16bcca963078b9?utm_campaign=1058&amp;utm_source=sheet", "Apply")</f>
        <v>Apply</v>
      </c>
      <c r="C326" s="10" t="s">
        <v>20611</v>
      </c>
      <c r="D326" s="56" t="s">
        <v>11095</v>
      </c>
      <c r="E326" s="10" t="s">
        <v>45</v>
      </c>
      <c r="F326" s="10" t="s">
        <v>11096</v>
      </c>
      <c r="G326" s="10" t="s">
        <v>20592</v>
      </c>
      <c r="H326" s="10" t="s">
        <v>5908</v>
      </c>
      <c r="I326" s="10" t="s">
        <v>55</v>
      </c>
      <c r="J326" s="10" t="s">
        <v>1165</v>
      </c>
      <c r="K326" s="10" t="s">
        <v>20613</v>
      </c>
      <c r="L326" s="10" t="s">
        <v>42</v>
      </c>
    </row>
    <row r="327" ht="15.75" customHeight="1">
      <c r="A327" s="64">
        <v>45490.0</v>
      </c>
      <c r="B327" s="55" t="str">
        <f>HYPERLINK("https://jobright.ai/jobs/info/6699edb7f896430e7f548130?utm_campaign=1058&amp;utm_source=sheet", "Apply")</f>
        <v>Apply</v>
      </c>
      <c r="C327" s="10" t="s">
        <v>21157</v>
      </c>
      <c r="D327" s="56" t="s">
        <v>21125</v>
      </c>
      <c r="E327" s="10" t="s">
        <v>65</v>
      </c>
      <c r="F327" s="10" t="s">
        <v>1084</v>
      </c>
      <c r="G327" s="10" t="s">
        <v>20592</v>
      </c>
      <c r="H327" s="10" t="s">
        <v>1018</v>
      </c>
      <c r="I327" s="10" t="s">
        <v>55</v>
      </c>
      <c r="K327" s="10" t="s">
        <v>21126</v>
      </c>
      <c r="L327" s="10" t="s">
        <v>42</v>
      </c>
    </row>
    <row r="328" ht="15.75" customHeight="1">
      <c r="A328" s="64">
        <v>45490.0</v>
      </c>
      <c r="B328" s="55" t="str">
        <f>HYPERLINK("https://jobright.ai/jobs/info/669772d66e4cfd6f8eca2e97?utm_campaign=1058&amp;utm_source=sheet", "Apply")</f>
        <v>Apply</v>
      </c>
      <c r="C328" s="10" t="s">
        <v>21158</v>
      </c>
      <c r="D328" s="56" t="s">
        <v>21159</v>
      </c>
      <c r="E328" s="10" t="s">
        <v>79</v>
      </c>
      <c r="F328" s="10" t="s">
        <v>21160</v>
      </c>
      <c r="G328" s="10" t="s">
        <v>20624</v>
      </c>
      <c r="H328" s="10" t="s">
        <v>235</v>
      </c>
      <c r="I328" s="10" t="s">
        <v>48</v>
      </c>
      <c r="J328" s="10" t="s">
        <v>2450</v>
      </c>
      <c r="K328" s="10" t="s">
        <v>21161</v>
      </c>
      <c r="L328" s="10" t="s">
        <v>42</v>
      </c>
    </row>
    <row r="329" ht="15.75" customHeight="1">
      <c r="A329" s="64">
        <v>45490.0</v>
      </c>
      <c r="B329" s="55" t="str">
        <f>HYPERLINK("https://jobright.ai/jobs/info/66987a6b6e29d64e8d08d39e?utm_campaign=1058&amp;utm_source=sheet", "Apply")</f>
        <v>Apply</v>
      </c>
      <c r="C329" s="10" t="s">
        <v>21101</v>
      </c>
      <c r="D329" s="56" t="s">
        <v>2077</v>
      </c>
      <c r="E329" s="10" t="s">
        <v>45</v>
      </c>
      <c r="F329" s="10" t="s">
        <v>1234</v>
      </c>
      <c r="G329" s="10" t="s">
        <v>20624</v>
      </c>
      <c r="H329" s="10" t="s">
        <v>2078</v>
      </c>
      <c r="I329" s="10" t="s">
        <v>55</v>
      </c>
      <c r="J329" s="10" t="s">
        <v>10706</v>
      </c>
      <c r="K329" s="10" t="s">
        <v>20900</v>
      </c>
      <c r="L329" s="10" t="s">
        <v>42</v>
      </c>
    </row>
    <row r="330" ht="15.75" customHeight="1">
      <c r="A330" s="64">
        <v>45490.0</v>
      </c>
      <c r="B330" s="55" t="str">
        <f>HYPERLINK("https://jobright.ai/jobs/info/669840ae5abb93a84eb825a3?utm_campaign=1058&amp;utm_source=sheet", "Apply")</f>
        <v>Apply</v>
      </c>
      <c r="C330" s="10" t="s">
        <v>21162</v>
      </c>
      <c r="D330" s="56" t="s">
        <v>5388</v>
      </c>
      <c r="E330" s="10" t="s">
        <v>65</v>
      </c>
      <c r="F330" s="10" t="s">
        <v>239</v>
      </c>
      <c r="G330" s="10" t="s">
        <v>20609</v>
      </c>
      <c r="H330" s="10" t="s">
        <v>152</v>
      </c>
      <c r="I330" s="10" t="s">
        <v>55</v>
      </c>
      <c r="K330" s="10" t="s">
        <v>21163</v>
      </c>
      <c r="L330" s="10" t="s">
        <v>42</v>
      </c>
    </row>
    <row r="331" ht="15.75" customHeight="1">
      <c r="A331" s="64">
        <v>45490.0</v>
      </c>
      <c r="B331" s="55" t="str">
        <f>HYPERLINK("https://jobright.ai/jobs/info/66986a1f612f94d945991162?utm_campaign=1058&amp;utm_source=sheet", "Apply")</f>
        <v>Apply</v>
      </c>
      <c r="C331" s="10" t="s">
        <v>21131</v>
      </c>
      <c r="D331" s="56" t="s">
        <v>21164</v>
      </c>
      <c r="E331" s="10" t="s">
        <v>45</v>
      </c>
      <c r="F331" s="10" t="s">
        <v>2617</v>
      </c>
      <c r="G331" s="10" t="s">
        <v>20624</v>
      </c>
      <c r="H331" s="10" t="s">
        <v>4079</v>
      </c>
      <c r="I331" s="10" t="s">
        <v>55</v>
      </c>
      <c r="K331" s="10" t="s">
        <v>21133</v>
      </c>
      <c r="L331" s="10" t="s">
        <v>42</v>
      </c>
    </row>
    <row r="332" ht="15.75" customHeight="1">
      <c r="A332" s="64">
        <v>45490.0</v>
      </c>
      <c r="B332" s="55" t="str">
        <f>HYPERLINK("https://jobright.ai/jobs/info/6697d3e0e88f59b31e6d7cba?utm_campaign=1058&amp;utm_source=sheet", "Apply")</f>
        <v>Apply</v>
      </c>
      <c r="C332" s="10" t="s">
        <v>2297</v>
      </c>
      <c r="D332" s="56" t="s">
        <v>18171</v>
      </c>
      <c r="E332" s="10" t="s">
        <v>65</v>
      </c>
      <c r="F332" s="10" t="s">
        <v>4022</v>
      </c>
      <c r="G332" s="10" t="s">
        <v>20609</v>
      </c>
      <c r="H332" s="10" t="s">
        <v>245</v>
      </c>
      <c r="I332" s="10" t="s">
        <v>55</v>
      </c>
      <c r="K332" s="10" t="s">
        <v>21165</v>
      </c>
      <c r="L332" s="10" t="s">
        <v>42</v>
      </c>
    </row>
    <row r="333" ht="15.75" customHeight="1">
      <c r="A333" s="64">
        <v>45490.0</v>
      </c>
      <c r="B333" s="55" t="str">
        <f>HYPERLINK("https://jobright.ai/jobs/info/66981d7de0097c674f1868c7?utm_campaign=1058&amp;utm_source=sheet", "Apply")</f>
        <v>Apply</v>
      </c>
      <c r="C333" s="10" t="s">
        <v>21166</v>
      </c>
      <c r="D333" s="56" t="s">
        <v>5098</v>
      </c>
      <c r="E333" s="10" t="s">
        <v>209</v>
      </c>
      <c r="F333" s="10" t="s">
        <v>259</v>
      </c>
      <c r="G333" s="10" t="s">
        <v>20609</v>
      </c>
      <c r="H333" s="10" t="s">
        <v>7763</v>
      </c>
      <c r="I333" s="10" t="s">
        <v>48</v>
      </c>
      <c r="K333" s="10" t="s">
        <v>5099</v>
      </c>
      <c r="L333" s="10" t="s">
        <v>42</v>
      </c>
    </row>
    <row r="334" ht="15.75" customHeight="1">
      <c r="A334" s="64">
        <v>45489.0</v>
      </c>
      <c r="B334" s="55" t="str">
        <f>HYPERLINK("https://jobright.ai/jobs/info/6697126cff29392ce4bfb951?utm_campaign=1058&amp;utm_source=sheet", "Apply")</f>
        <v>Apply</v>
      </c>
      <c r="C334" s="10" t="s">
        <v>21167</v>
      </c>
      <c r="D334" s="56" t="s">
        <v>1863</v>
      </c>
      <c r="E334" s="10" t="s">
        <v>249</v>
      </c>
      <c r="F334" s="10" t="s">
        <v>1864</v>
      </c>
      <c r="G334" s="10" t="s">
        <v>20609</v>
      </c>
      <c r="H334" s="10" t="s">
        <v>1865</v>
      </c>
      <c r="I334" s="10" t="s">
        <v>55</v>
      </c>
      <c r="K334" s="10" t="s">
        <v>21168</v>
      </c>
      <c r="L334" s="10" t="s">
        <v>42</v>
      </c>
    </row>
    <row r="335" ht="15.75" customHeight="1">
      <c r="A335" s="64">
        <v>45489.0</v>
      </c>
      <c r="B335" s="55" t="str">
        <f>HYPERLINK("https://jobright.ai/jobs/info/66970c0eac76ee9b417daa0c?utm_campaign=1058&amp;utm_source=sheet", "Apply")</f>
        <v>Apply</v>
      </c>
      <c r="C335" s="10" t="s">
        <v>21169</v>
      </c>
      <c r="D335" s="56" t="s">
        <v>21170</v>
      </c>
      <c r="E335" s="10" t="s">
        <v>137</v>
      </c>
      <c r="F335" s="10" t="s">
        <v>21171</v>
      </c>
      <c r="G335" s="10" t="s">
        <v>20624</v>
      </c>
      <c r="H335" s="10" t="s">
        <v>152</v>
      </c>
      <c r="I335" s="10" t="s">
        <v>55</v>
      </c>
      <c r="K335" s="10" t="s">
        <v>21172</v>
      </c>
      <c r="L335" s="10" t="s">
        <v>42</v>
      </c>
    </row>
    <row r="336" ht="15.75" customHeight="1">
      <c r="A336" s="64">
        <v>45489.0</v>
      </c>
      <c r="B336" s="55" t="str">
        <f>HYPERLINK("https://jobright.ai/jobs/info/66971dd2f9b34528d1b2a6c6?utm_campaign=1058&amp;utm_source=sheet", "Apply")</f>
        <v>Apply</v>
      </c>
      <c r="C336" s="10" t="s">
        <v>21173</v>
      </c>
      <c r="D336" s="56" t="s">
        <v>21174</v>
      </c>
      <c r="E336" s="10" t="s">
        <v>65</v>
      </c>
      <c r="F336" s="10" t="s">
        <v>2409</v>
      </c>
      <c r="G336" s="10" t="s">
        <v>20592</v>
      </c>
      <c r="H336" s="10" t="s">
        <v>661</v>
      </c>
      <c r="I336" s="10" t="s">
        <v>55</v>
      </c>
      <c r="K336" s="10" t="s">
        <v>21175</v>
      </c>
      <c r="L336" s="10" t="s">
        <v>42</v>
      </c>
    </row>
    <row r="337" ht="15.75" customHeight="1">
      <c r="A337" s="64">
        <v>45489.0</v>
      </c>
      <c r="B337" s="55" t="str">
        <f>HYPERLINK("https://jobright.ai/jobs/info/66970e7d1756c5bd638246e6?utm_campaign=1058&amp;utm_source=sheet", "Apply")</f>
        <v>Apply</v>
      </c>
      <c r="C337" s="10" t="s">
        <v>21176</v>
      </c>
      <c r="D337" s="56" t="s">
        <v>21177</v>
      </c>
      <c r="E337" s="10" t="s">
        <v>65</v>
      </c>
      <c r="F337" s="10" t="s">
        <v>3124</v>
      </c>
      <c r="G337" s="10" t="s">
        <v>20609</v>
      </c>
      <c r="H337" s="10" t="s">
        <v>146</v>
      </c>
      <c r="I337" s="10" t="s">
        <v>55</v>
      </c>
      <c r="K337" s="10" t="s">
        <v>21178</v>
      </c>
      <c r="L337" s="10" t="s">
        <v>42</v>
      </c>
    </row>
    <row r="338" ht="15.75" customHeight="1">
      <c r="A338" s="64">
        <v>45489.0</v>
      </c>
      <c r="B338" s="55" t="str">
        <f>HYPERLINK("https://jobright.ai/jobs/info/66972b6c06dfa812f834c5a8?utm_campaign=1058&amp;utm_source=sheet", "Apply")</f>
        <v>Apply</v>
      </c>
      <c r="C338" s="10" t="s">
        <v>21179</v>
      </c>
      <c r="D338" s="56" t="s">
        <v>20684</v>
      </c>
      <c r="E338" s="10" t="s">
        <v>45</v>
      </c>
      <c r="F338" s="10" t="s">
        <v>2409</v>
      </c>
      <c r="G338" s="10" t="s">
        <v>20624</v>
      </c>
      <c r="H338" s="10" t="s">
        <v>3741</v>
      </c>
      <c r="I338" s="10" t="s">
        <v>55</v>
      </c>
      <c r="K338" s="10" t="s">
        <v>21180</v>
      </c>
      <c r="L338" s="10" t="s">
        <v>42</v>
      </c>
    </row>
    <row r="339" ht="15.75" customHeight="1">
      <c r="A339" s="64">
        <v>45489.0</v>
      </c>
      <c r="B339" s="55" t="str">
        <f>HYPERLINK("https://jobright.ai/jobs/info/669703f802c012c979e067ea?utm_campaign=1058&amp;utm_source=sheet", "Apply")</f>
        <v>Apply</v>
      </c>
      <c r="C339" s="10" t="s">
        <v>20992</v>
      </c>
      <c r="D339" s="56" t="s">
        <v>20993</v>
      </c>
      <c r="E339" s="10">
        <v>197.0</v>
      </c>
      <c r="G339" s="10" t="s">
        <v>20592</v>
      </c>
      <c r="H339" s="10" t="s">
        <v>10054</v>
      </c>
      <c r="I339" s="10" t="s">
        <v>55</v>
      </c>
      <c r="K339" s="10" t="s">
        <v>21136</v>
      </c>
      <c r="L339" s="10" t="s">
        <v>42</v>
      </c>
    </row>
    <row r="340" ht="15.75" customHeight="1">
      <c r="A340" s="64">
        <v>45489.0</v>
      </c>
      <c r="B340" s="55" t="str">
        <f>HYPERLINK("https://jobright.ai/jobs/info/6696cd4284666fd223938492?utm_campaign=1058&amp;utm_source=sheet", "Apply")</f>
        <v>Apply</v>
      </c>
      <c r="C340" s="10" t="s">
        <v>21181</v>
      </c>
      <c r="D340" s="56" t="s">
        <v>11792</v>
      </c>
      <c r="E340" s="10" t="s">
        <v>65</v>
      </c>
      <c r="F340" s="10" t="s">
        <v>7857</v>
      </c>
      <c r="G340" s="10" t="s">
        <v>20609</v>
      </c>
      <c r="H340" s="10" t="s">
        <v>819</v>
      </c>
      <c r="I340" s="10" t="s">
        <v>55</v>
      </c>
      <c r="K340" s="10" t="s">
        <v>21182</v>
      </c>
      <c r="L340" s="10" t="s">
        <v>42</v>
      </c>
    </row>
    <row r="341" ht="15.75" customHeight="1">
      <c r="A341" s="64">
        <v>45489.0</v>
      </c>
      <c r="B341" s="55" t="str">
        <f>HYPERLINK("https://jobright.ai/jobs/info/6696d0c761a66dfe612808bc?utm_campaign=1058&amp;utm_source=sheet", "Apply")</f>
        <v>Apply</v>
      </c>
      <c r="C341" s="10" t="s">
        <v>21183</v>
      </c>
      <c r="D341" s="56" t="s">
        <v>6736</v>
      </c>
      <c r="E341" s="10" t="s">
        <v>65</v>
      </c>
      <c r="F341" s="10" t="s">
        <v>1234</v>
      </c>
      <c r="G341" s="10" t="s">
        <v>20609</v>
      </c>
      <c r="H341" s="10" t="s">
        <v>6737</v>
      </c>
      <c r="I341" s="10" t="s">
        <v>55</v>
      </c>
      <c r="J341" s="10" t="s">
        <v>21184</v>
      </c>
      <c r="K341" s="10" t="s">
        <v>21185</v>
      </c>
      <c r="L341" s="10" t="s">
        <v>42</v>
      </c>
    </row>
    <row r="342" ht="15.75" customHeight="1">
      <c r="A342" s="64">
        <v>45489.0</v>
      </c>
      <c r="B342" s="55" t="str">
        <f>HYPERLINK("https://jobright.ai/jobs/info/6696b87eb16cc216073c2c3a?utm_campaign=1058&amp;utm_source=sheet", "Apply")</f>
        <v>Apply</v>
      </c>
      <c r="C342" s="10" t="s">
        <v>21186</v>
      </c>
      <c r="D342" s="56" t="s">
        <v>14442</v>
      </c>
      <c r="E342" s="10" t="s">
        <v>45</v>
      </c>
      <c r="F342" s="10" t="s">
        <v>14443</v>
      </c>
      <c r="G342" s="10" t="s">
        <v>20592</v>
      </c>
      <c r="H342" s="10" t="s">
        <v>21187</v>
      </c>
      <c r="I342" s="10" t="s">
        <v>55</v>
      </c>
      <c r="K342" s="10" t="s">
        <v>21188</v>
      </c>
      <c r="L342" s="10" t="s">
        <v>42</v>
      </c>
    </row>
    <row r="343" ht="15.75" customHeight="1">
      <c r="A343" s="64">
        <v>45489.0</v>
      </c>
      <c r="B343" s="55" t="str">
        <f>HYPERLINK("https://jobright.ai/jobs/info/66968c662f9015b29dd1b898?utm_campaign=1058&amp;utm_source=sheet", "Apply")</f>
        <v>Apply</v>
      </c>
      <c r="C343" s="10" t="s">
        <v>21189</v>
      </c>
      <c r="D343" s="56" t="s">
        <v>16705</v>
      </c>
      <c r="E343" s="10" t="s">
        <v>276</v>
      </c>
      <c r="F343" s="10" t="s">
        <v>1065</v>
      </c>
      <c r="G343" s="10" t="s">
        <v>20592</v>
      </c>
      <c r="H343" s="10" t="s">
        <v>1033</v>
      </c>
      <c r="I343" s="10" t="s">
        <v>55</v>
      </c>
      <c r="K343" s="10" t="s">
        <v>21190</v>
      </c>
      <c r="L343" s="10" t="s">
        <v>42</v>
      </c>
    </row>
    <row r="344" ht="15.75" customHeight="1">
      <c r="A344" s="64">
        <v>45489.0</v>
      </c>
      <c r="B344" s="55" t="str">
        <f>HYPERLINK("https://jobright.ai/jobs/info/669688f1eb7ca7d1c4210a60?utm_campaign=1058&amp;utm_source=sheet", "Apply")</f>
        <v>Apply</v>
      </c>
      <c r="C344" s="10" t="s">
        <v>21191</v>
      </c>
      <c r="D344" s="56" t="s">
        <v>21192</v>
      </c>
      <c r="E344" s="59">
        <v>45301.0</v>
      </c>
      <c r="F344" s="10" t="s">
        <v>3965</v>
      </c>
      <c r="G344" s="10" t="s">
        <v>20609</v>
      </c>
      <c r="H344" s="10" t="s">
        <v>2123</v>
      </c>
      <c r="I344" s="10" t="s">
        <v>55</v>
      </c>
      <c r="K344" s="10" t="s">
        <v>21193</v>
      </c>
      <c r="L344" s="10" t="s">
        <v>42</v>
      </c>
    </row>
    <row r="345" ht="15.75" customHeight="1">
      <c r="A345" s="64">
        <v>45489.0</v>
      </c>
      <c r="B345" s="55" t="str">
        <f>HYPERLINK("https://jobright.ai/jobs/info/669a4fb82885e142e98ded52?utm_campaign=1058&amp;utm_source=sheet", "Apply")</f>
        <v>Apply</v>
      </c>
      <c r="C345" s="10" t="s">
        <v>21194</v>
      </c>
      <c r="D345" s="56" t="s">
        <v>21195</v>
      </c>
      <c r="E345" s="10" t="s">
        <v>79</v>
      </c>
      <c r="F345" s="10" t="s">
        <v>21196</v>
      </c>
      <c r="G345" s="10" t="s">
        <v>20609</v>
      </c>
      <c r="H345" s="10" t="s">
        <v>21197</v>
      </c>
      <c r="I345" s="10" t="s">
        <v>55</v>
      </c>
      <c r="J345" s="10" t="s">
        <v>1189</v>
      </c>
      <c r="K345" s="10" t="s">
        <v>21198</v>
      </c>
      <c r="L345" s="10" t="s">
        <v>42</v>
      </c>
    </row>
    <row r="346" ht="15.75" customHeight="1">
      <c r="A346" s="64">
        <v>45489.0</v>
      </c>
      <c r="B346" s="55" t="str">
        <f>HYPERLINK("https://jobright.ai/jobs/info/669b849adc17d926fd68483d?utm_campaign=1058&amp;utm_source=sheet", "Apply")</f>
        <v>Apply</v>
      </c>
      <c r="C346" s="10" t="s">
        <v>21149</v>
      </c>
      <c r="D346" s="56" t="s">
        <v>21150</v>
      </c>
      <c r="E346" s="10" t="s">
        <v>276</v>
      </c>
      <c r="F346" s="10" t="s">
        <v>12383</v>
      </c>
      <c r="G346" s="10" t="s">
        <v>20592</v>
      </c>
      <c r="H346" s="10" t="s">
        <v>21151</v>
      </c>
      <c r="I346" s="10" t="s">
        <v>55</v>
      </c>
      <c r="J346" s="10" t="s">
        <v>4117</v>
      </c>
      <c r="K346" s="10" t="s">
        <v>21152</v>
      </c>
      <c r="L346" s="10" t="s">
        <v>42</v>
      </c>
    </row>
    <row r="347" ht="15.75" customHeight="1">
      <c r="A347" s="64">
        <v>45489.0</v>
      </c>
      <c r="B347" s="55" t="str">
        <f>HYPERLINK("https://jobright.ai/jobs/info/667c19772b8263fa603a9455?utm_campaign=1058&amp;utm_source=sheet", "Apply")</f>
        <v>Apply</v>
      </c>
      <c r="C347" s="10" t="s">
        <v>20611</v>
      </c>
      <c r="D347" s="56" t="s">
        <v>11095</v>
      </c>
      <c r="E347" s="10" t="s">
        <v>45</v>
      </c>
      <c r="F347" s="10" t="s">
        <v>11096</v>
      </c>
      <c r="G347" s="10" t="s">
        <v>20592</v>
      </c>
      <c r="H347" s="10" t="s">
        <v>957</v>
      </c>
      <c r="I347" s="10" t="s">
        <v>55</v>
      </c>
      <c r="J347" s="10" t="s">
        <v>20733</v>
      </c>
      <c r="K347" s="10" t="s">
        <v>20613</v>
      </c>
      <c r="L347" s="10" t="s">
        <v>42</v>
      </c>
    </row>
    <row r="348" ht="15.75" customHeight="1">
      <c r="A348" s="64">
        <v>45489.0</v>
      </c>
      <c r="B348" s="55" t="str">
        <f>HYPERLINK("https://jobright.ai/jobs/info/667c07e53bb63afb4af97623?utm_campaign=1058&amp;utm_source=sheet", "Apply")</f>
        <v>Apply</v>
      </c>
      <c r="C348" s="10" t="s">
        <v>20611</v>
      </c>
      <c r="D348" s="56" t="s">
        <v>11095</v>
      </c>
      <c r="E348" s="10" t="s">
        <v>45</v>
      </c>
      <c r="F348" s="10" t="s">
        <v>11096</v>
      </c>
      <c r="G348" s="10" t="s">
        <v>20592</v>
      </c>
      <c r="H348" s="10" t="s">
        <v>1796</v>
      </c>
      <c r="I348" s="10" t="s">
        <v>55</v>
      </c>
      <c r="J348" s="10" t="s">
        <v>20664</v>
      </c>
      <c r="K348" s="10" t="s">
        <v>20613</v>
      </c>
      <c r="L348" s="10" t="s">
        <v>42</v>
      </c>
    </row>
    <row r="349" ht="15.75" customHeight="1">
      <c r="A349" s="64">
        <v>45489.0</v>
      </c>
      <c r="B349" s="55" t="str">
        <f>HYPERLINK("https://jobright.ai/jobs/info/66975f9c48e5c34d96cb0e2b?utm_campaign=1058&amp;utm_source=sheet", "Apply")</f>
        <v>Apply</v>
      </c>
      <c r="C349" s="10" t="s">
        <v>21199</v>
      </c>
      <c r="D349" s="56" t="s">
        <v>7225</v>
      </c>
      <c r="E349" s="10" t="s">
        <v>71</v>
      </c>
      <c r="F349" s="10" t="s">
        <v>1587</v>
      </c>
      <c r="G349" s="10" t="s">
        <v>20592</v>
      </c>
      <c r="H349" s="10" t="s">
        <v>3847</v>
      </c>
      <c r="I349" s="10" t="s">
        <v>48</v>
      </c>
      <c r="K349" s="10" t="s">
        <v>21200</v>
      </c>
      <c r="L349" s="10" t="s">
        <v>42</v>
      </c>
    </row>
    <row r="350" ht="15.75" customHeight="1">
      <c r="A350" s="64">
        <v>45489.0</v>
      </c>
      <c r="B350" s="55" t="str">
        <f>HYPERLINK("https://jobright.ai/jobs/info/6696ee8c131daa9222d41118?utm_campaign=1058&amp;utm_source=sheet", "Apply")</f>
        <v>Apply</v>
      </c>
      <c r="C350" s="10" t="s">
        <v>21201</v>
      </c>
      <c r="D350" s="56" t="s">
        <v>21202</v>
      </c>
      <c r="E350" s="10" t="s">
        <v>276</v>
      </c>
      <c r="F350" s="10" t="s">
        <v>2454</v>
      </c>
      <c r="G350" s="10" t="s">
        <v>20609</v>
      </c>
      <c r="H350" s="10" t="s">
        <v>1045</v>
      </c>
      <c r="I350" s="10" t="s">
        <v>55</v>
      </c>
      <c r="K350" s="10" t="s">
        <v>21203</v>
      </c>
      <c r="L350" s="10" t="s">
        <v>42</v>
      </c>
    </row>
    <row r="351" ht="15.75" customHeight="1">
      <c r="A351" s="64">
        <v>45489.0</v>
      </c>
      <c r="B351" s="55" t="str">
        <f>HYPERLINK("https://jobright.ai/jobs/info/6696f75d0e9dd8848c3c67fb?utm_campaign=1058&amp;utm_source=sheet", "Apply")</f>
        <v>Apply</v>
      </c>
      <c r="C351" s="10" t="s">
        <v>21204</v>
      </c>
      <c r="D351" s="56" t="s">
        <v>3293</v>
      </c>
      <c r="E351" s="10" t="s">
        <v>209</v>
      </c>
      <c r="F351" s="10" t="s">
        <v>1587</v>
      </c>
      <c r="G351" s="10" t="s">
        <v>20609</v>
      </c>
      <c r="H351" s="10" t="s">
        <v>168</v>
      </c>
      <c r="I351" s="10" t="s">
        <v>55</v>
      </c>
      <c r="J351" s="10" t="s">
        <v>1761</v>
      </c>
      <c r="K351" s="10" t="s">
        <v>21205</v>
      </c>
      <c r="L351" s="10" t="s">
        <v>42</v>
      </c>
    </row>
    <row r="352" ht="15.75" customHeight="1">
      <c r="A352" s="64">
        <v>45489.0</v>
      </c>
      <c r="B352" s="55" t="str">
        <f>HYPERLINK("https://jobright.ai/jobs/info/6695d6c23ef039e1ea032b5a?utm_campaign=1058&amp;utm_source=sheet", "Apply")</f>
        <v>Apply</v>
      </c>
      <c r="C352" s="10" t="s">
        <v>21206</v>
      </c>
      <c r="D352" s="56" t="s">
        <v>21207</v>
      </c>
      <c r="E352" s="59">
        <v>45301.0</v>
      </c>
      <c r="F352" s="10" t="s">
        <v>11271</v>
      </c>
      <c r="G352" s="10" t="s">
        <v>20592</v>
      </c>
      <c r="H352" s="10" t="s">
        <v>1263</v>
      </c>
      <c r="I352" s="10" t="s">
        <v>55</v>
      </c>
      <c r="J352" s="10" t="s">
        <v>21208</v>
      </c>
      <c r="K352" s="10" t="s">
        <v>21209</v>
      </c>
      <c r="L352" s="10" t="s">
        <v>42</v>
      </c>
    </row>
    <row r="353" ht="15.75" customHeight="1">
      <c r="A353" s="64">
        <v>45489.0</v>
      </c>
      <c r="B353" s="55" t="str">
        <f>HYPERLINK("https://jobright.ai/jobs/info/6696bb3d3629e72b95a6069d?utm_campaign=1058&amp;utm_source=sheet", "Apply")</f>
        <v>Apply</v>
      </c>
      <c r="C353" s="10" t="s">
        <v>21210</v>
      </c>
      <c r="D353" s="56" t="s">
        <v>19758</v>
      </c>
      <c r="E353" s="10" t="s">
        <v>45</v>
      </c>
      <c r="F353" s="10" t="s">
        <v>19759</v>
      </c>
      <c r="G353" s="10" t="s">
        <v>20609</v>
      </c>
      <c r="H353" s="10" t="s">
        <v>96</v>
      </c>
      <c r="I353" s="10" t="s">
        <v>55</v>
      </c>
      <c r="J353" s="10" t="s">
        <v>2742</v>
      </c>
      <c r="K353" s="10" t="s">
        <v>21211</v>
      </c>
      <c r="L353" s="10" t="s">
        <v>42</v>
      </c>
    </row>
    <row r="354" ht="15.75" customHeight="1">
      <c r="A354" s="64">
        <v>45489.0</v>
      </c>
      <c r="B354" s="55" t="str">
        <f>HYPERLINK("https://jobright.ai/jobs/info/6696db8b2a7ddfeaec1c7bbc?utm_campaign=1058&amp;utm_source=sheet", "Apply")</f>
        <v>Apply</v>
      </c>
      <c r="C354" s="10" t="s">
        <v>21212</v>
      </c>
      <c r="D354" s="56" t="s">
        <v>16358</v>
      </c>
      <c r="E354" s="10" t="s">
        <v>65</v>
      </c>
      <c r="F354" s="10" t="s">
        <v>1376</v>
      </c>
      <c r="G354" s="10" t="s">
        <v>20624</v>
      </c>
      <c r="H354" s="10" t="s">
        <v>3860</v>
      </c>
      <c r="I354" s="10" t="s">
        <v>55</v>
      </c>
      <c r="K354" s="10" t="s">
        <v>21213</v>
      </c>
      <c r="L354" s="10" t="s">
        <v>42</v>
      </c>
    </row>
    <row r="355" ht="15.75" customHeight="1">
      <c r="A355" s="64">
        <v>45489.0</v>
      </c>
      <c r="B355" s="55" t="str">
        <f>HYPERLINK("https://jobright.ai/jobs/info/66996062e56fdd691f9cfc12?utm_campaign=1058&amp;utm_source=sheet", "Apply")</f>
        <v>Apply</v>
      </c>
      <c r="C355" s="10" t="s">
        <v>20935</v>
      </c>
      <c r="D355" s="56" t="s">
        <v>2600</v>
      </c>
      <c r="E355" s="10" t="s">
        <v>79</v>
      </c>
      <c r="F355" s="10" t="s">
        <v>2601</v>
      </c>
      <c r="G355" s="10" t="s">
        <v>20609</v>
      </c>
      <c r="H355" s="10" t="s">
        <v>3480</v>
      </c>
      <c r="I355" s="10" t="s">
        <v>55</v>
      </c>
      <c r="K355" s="10" t="s">
        <v>20936</v>
      </c>
      <c r="L355" s="10" t="s">
        <v>42</v>
      </c>
    </row>
    <row r="356" ht="15.75" customHeight="1">
      <c r="A356" s="64">
        <v>45488.0</v>
      </c>
      <c r="B356" s="55" t="str">
        <f>HYPERLINK("https://jobright.ai/jobs/info/6695b2898ab1c2f1e1d3ab9b?utm_campaign=1058&amp;utm_source=sheet", "Apply")</f>
        <v>Apply</v>
      </c>
      <c r="C356" s="10" t="s">
        <v>20931</v>
      </c>
      <c r="D356" s="56" t="s">
        <v>21214</v>
      </c>
      <c r="E356" s="10" t="s">
        <v>209</v>
      </c>
      <c r="F356" s="10" t="s">
        <v>3770</v>
      </c>
      <c r="G356" s="10" t="s">
        <v>20609</v>
      </c>
      <c r="H356" s="10" t="s">
        <v>810</v>
      </c>
      <c r="I356" s="10" t="s">
        <v>55</v>
      </c>
      <c r="K356" s="10" t="s">
        <v>21215</v>
      </c>
      <c r="L356" s="10" t="s">
        <v>42</v>
      </c>
    </row>
    <row r="357" ht="15.75" customHeight="1">
      <c r="A357" s="64">
        <v>45488.0</v>
      </c>
      <c r="B357" s="55" t="str">
        <f>HYPERLINK("https://jobright.ai/jobs/info/6695b2a58ab1c2f1e1d3adcf?utm_campaign=1058&amp;utm_source=sheet", "Apply")</f>
        <v>Apply</v>
      </c>
      <c r="C357" s="10" t="s">
        <v>20643</v>
      </c>
      <c r="D357" s="56" t="s">
        <v>20644</v>
      </c>
      <c r="E357" s="10" t="s">
        <v>45</v>
      </c>
      <c r="F357" s="10" t="s">
        <v>20645</v>
      </c>
      <c r="G357" s="10" t="s">
        <v>20592</v>
      </c>
      <c r="H357" s="10" t="s">
        <v>15431</v>
      </c>
      <c r="I357" s="10" t="s">
        <v>55</v>
      </c>
      <c r="K357" s="10" t="s">
        <v>21009</v>
      </c>
      <c r="L357" s="10" t="s">
        <v>42</v>
      </c>
    </row>
    <row r="358" ht="15.75" customHeight="1">
      <c r="A358" s="64">
        <v>45488.0</v>
      </c>
      <c r="B358" s="55" t="str">
        <f>HYPERLINK("https://jobright.ai/jobs/info/6695a261269fbf3bad980b32?utm_campaign=1058&amp;utm_source=sheet", "Apply")</f>
        <v>Apply</v>
      </c>
      <c r="C358" s="10" t="s">
        <v>20611</v>
      </c>
      <c r="D358" s="56" t="s">
        <v>11095</v>
      </c>
      <c r="E358" s="10" t="s">
        <v>45</v>
      </c>
      <c r="F358" s="10" t="s">
        <v>11096</v>
      </c>
      <c r="G358" s="10" t="s">
        <v>20592</v>
      </c>
      <c r="H358" s="10" t="s">
        <v>16741</v>
      </c>
      <c r="I358" s="10" t="s">
        <v>55</v>
      </c>
      <c r="J358" s="10" t="s">
        <v>1165</v>
      </c>
      <c r="K358" s="10" t="s">
        <v>20613</v>
      </c>
      <c r="L358" s="10" t="s">
        <v>42</v>
      </c>
    </row>
    <row r="359" ht="15.75" customHeight="1">
      <c r="A359" s="64">
        <v>45488.0</v>
      </c>
      <c r="B359" s="55" t="str">
        <f>HYPERLINK("https://jobright.ai/jobs/info/6695a261269fbf3bad980b2e?utm_campaign=1058&amp;utm_source=sheet", "Apply")</f>
        <v>Apply</v>
      </c>
      <c r="C359" s="10" t="s">
        <v>20611</v>
      </c>
      <c r="D359" s="56" t="s">
        <v>11095</v>
      </c>
      <c r="E359" s="10" t="s">
        <v>45</v>
      </c>
      <c r="F359" s="10" t="s">
        <v>11096</v>
      </c>
      <c r="G359" s="10" t="s">
        <v>20592</v>
      </c>
      <c r="H359" s="10" t="s">
        <v>892</v>
      </c>
      <c r="I359" s="10" t="s">
        <v>55</v>
      </c>
      <c r="J359" s="10" t="s">
        <v>1165</v>
      </c>
      <c r="K359" s="10" t="s">
        <v>20613</v>
      </c>
      <c r="L359" s="10" t="s">
        <v>42</v>
      </c>
    </row>
    <row r="360" ht="15.75" customHeight="1">
      <c r="A360" s="64">
        <v>45488.0</v>
      </c>
      <c r="B360" s="55" t="str">
        <f>HYPERLINK("https://jobright.ai/jobs/info/6695a261269fbf3bad980b30?utm_campaign=1058&amp;utm_source=sheet", "Apply")</f>
        <v>Apply</v>
      </c>
      <c r="C360" s="10" t="s">
        <v>20611</v>
      </c>
      <c r="D360" s="56" t="s">
        <v>11095</v>
      </c>
      <c r="E360" s="10" t="s">
        <v>45</v>
      </c>
      <c r="F360" s="10" t="s">
        <v>11096</v>
      </c>
      <c r="G360" s="10" t="s">
        <v>20592</v>
      </c>
      <c r="H360" s="10" t="s">
        <v>21216</v>
      </c>
      <c r="I360" s="10" t="s">
        <v>55</v>
      </c>
      <c r="J360" s="10" t="s">
        <v>1165</v>
      </c>
      <c r="K360" s="10" t="s">
        <v>20613</v>
      </c>
      <c r="L360" s="10" t="s">
        <v>42</v>
      </c>
    </row>
    <row r="361" ht="15.75" customHeight="1">
      <c r="A361" s="64">
        <v>45488.0</v>
      </c>
      <c r="B361" s="55" t="str">
        <f>HYPERLINK("https://jobright.ai/jobs/info/6695adf520a5a80f62b01de1?utm_campaign=1058&amp;utm_source=sheet", "Apply")</f>
        <v>Apply</v>
      </c>
      <c r="C361" s="10" t="s">
        <v>21217</v>
      </c>
      <c r="D361" s="56" t="s">
        <v>21218</v>
      </c>
      <c r="E361" s="10" t="s">
        <v>79</v>
      </c>
      <c r="F361" s="10" t="s">
        <v>651</v>
      </c>
      <c r="G361" s="10" t="s">
        <v>20592</v>
      </c>
      <c r="H361" s="10" t="s">
        <v>21219</v>
      </c>
      <c r="I361" s="10" t="s">
        <v>55</v>
      </c>
      <c r="J361" s="10" t="s">
        <v>21220</v>
      </c>
      <c r="K361" s="10" t="s">
        <v>21221</v>
      </c>
      <c r="L361" s="10" t="s">
        <v>42</v>
      </c>
    </row>
    <row r="362" ht="15.75" customHeight="1">
      <c r="A362" s="64">
        <v>45488.0</v>
      </c>
      <c r="B362" s="55" t="str">
        <f>HYPERLINK("https://jobright.ai/jobs/info/669597784f512a2795818337?utm_campaign=1058&amp;utm_source=sheet", "Apply")</f>
        <v>Apply</v>
      </c>
      <c r="C362" s="10" t="s">
        <v>20785</v>
      </c>
      <c r="D362" s="56" t="s">
        <v>20786</v>
      </c>
      <c r="E362" s="10" t="s">
        <v>45</v>
      </c>
      <c r="F362" s="10" t="s">
        <v>7760</v>
      </c>
      <c r="G362" s="10" t="s">
        <v>20624</v>
      </c>
      <c r="H362" s="10" t="s">
        <v>856</v>
      </c>
      <c r="I362" s="10" t="s">
        <v>55</v>
      </c>
      <c r="K362" s="10" t="s">
        <v>21222</v>
      </c>
      <c r="L362" s="10" t="s">
        <v>42</v>
      </c>
    </row>
    <row r="363" ht="15.75" customHeight="1">
      <c r="A363" s="64">
        <v>45488.0</v>
      </c>
      <c r="B363" s="55" t="str">
        <f>HYPERLINK("https://jobright.ai/jobs/info/6695950a99f444f1f8ded2ce?utm_campaign=1058&amp;utm_source=sheet", "Apply")</f>
        <v>Apply</v>
      </c>
      <c r="C363" s="10" t="s">
        <v>21223</v>
      </c>
      <c r="D363" s="56" t="s">
        <v>12738</v>
      </c>
      <c r="E363" s="10" t="s">
        <v>276</v>
      </c>
      <c r="F363" s="10" t="s">
        <v>1893</v>
      </c>
      <c r="G363" s="10" t="s">
        <v>20592</v>
      </c>
      <c r="H363" s="10" t="s">
        <v>278</v>
      </c>
      <c r="I363" s="10" t="s">
        <v>55</v>
      </c>
      <c r="J363" s="10" t="s">
        <v>1409</v>
      </c>
      <c r="K363" s="10" t="s">
        <v>21224</v>
      </c>
      <c r="L363" s="10" t="s">
        <v>42</v>
      </c>
    </row>
    <row r="364" ht="15.75" customHeight="1">
      <c r="A364" s="64">
        <v>45488.0</v>
      </c>
      <c r="B364" s="55" t="str">
        <f>HYPERLINK("https://jobright.ai/jobs/info/669546a5fc10172a3c8d3c1e?utm_campaign=1058&amp;utm_source=sheet", "Apply")</f>
        <v>Apply</v>
      </c>
      <c r="C364" s="10" t="s">
        <v>21225</v>
      </c>
      <c r="D364" s="56" t="s">
        <v>6651</v>
      </c>
      <c r="E364" s="10">
        <v>1152.0</v>
      </c>
      <c r="G364" s="10" t="s">
        <v>20609</v>
      </c>
      <c r="H364" s="10" t="s">
        <v>255</v>
      </c>
      <c r="I364" s="10" t="s">
        <v>55</v>
      </c>
      <c r="K364" s="10" t="s">
        <v>21226</v>
      </c>
      <c r="L364" s="10" t="s">
        <v>42</v>
      </c>
    </row>
    <row r="365" ht="15.75" customHeight="1">
      <c r="A365" s="64">
        <v>45488.0</v>
      </c>
      <c r="B365" s="55" t="str">
        <f>HYPERLINK("https://jobright.ai/jobs/info/66952d4f955bac430d1299c7?utm_campaign=1058&amp;utm_source=sheet", "Apply")</f>
        <v>Apply</v>
      </c>
      <c r="C365" s="10" t="s">
        <v>21227</v>
      </c>
      <c r="D365" s="56" t="s">
        <v>1684</v>
      </c>
      <c r="E365" s="10" t="s">
        <v>209</v>
      </c>
      <c r="F365" s="10" t="s">
        <v>1685</v>
      </c>
      <c r="G365" s="10" t="s">
        <v>20609</v>
      </c>
      <c r="H365" s="10" t="s">
        <v>810</v>
      </c>
      <c r="I365" s="10" t="s">
        <v>55</v>
      </c>
      <c r="J365" s="10" t="s">
        <v>21228</v>
      </c>
      <c r="K365" s="10" t="s">
        <v>21229</v>
      </c>
      <c r="L365" s="10" t="s">
        <v>42</v>
      </c>
    </row>
    <row r="366" ht="15.75" customHeight="1">
      <c r="A366" s="64">
        <v>45488.0</v>
      </c>
      <c r="B366" s="55" t="str">
        <f>HYPERLINK("https://jobright.ai/jobs/info/66952a9eb235ba8947e72b56?utm_campaign=1058&amp;utm_source=sheet", "Apply")</f>
        <v>Apply</v>
      </c>
      <c r="C366" s="10" t="s">
        <v>21227</v>
      </c>
      <c r="D366" s="56" t="s">
        <v>1684</v>
      </c>
      <c r="E366" s="10" t="s">
        <v>209</v>
      </c>
      <c r="F366" s="10" t="s">
        <v>1685</v>
      </c>
      <c r="G366" s="10" t="s">
        <v>20609</v>
      </c>
      <c r="H366" s="10" t="s">
        <v>807</v>
      </c>
      <c r="I366" s="10" t="s">
        <v>55</v>
      </c>
      <c r="J366" s="10" t="s">
        <v>21228</v>
      </c>
      <c r="K366" s="10" t="s">
        <v>21229</v>
      </c>
      <c r="L366" s="10" t="s">
        <v>42</v>
      </c>
    </row>
    <row r="367" ht="15.75" customHeight="1">
      <c r="A367" s="64">
        <v>45488.0</v>
      </c>
      <c r="B367" s="55" t="str">
        <f>HYPERLINK("https://jobright.ai/jobs/info/66952d56955bac430d129a10?utm_campaign=1058&amp;utm_source=sheet", "Apply")</f>
        <v>Apply</v>
      </c>
      <c r="C367" s="10" t="s">
        <v>21227</v>
      </c>
      <c r="D367" s="56" t="s">
        <v>1684</v>
      </c>
      <c r="E367" s="10" t="s">
        <v>209</v>
      </c>
      <c r="F367" s="10" t="s">
        <v>1685</v>
      </c>
      <c r="G367" s="10" t="s">
        <v>20609</v>
      </c>
      <c r="H367" s="10" t="s">
        <v>167</v>
      </c>
      <c r="I367" s="10" t="s">
        <v>55</v>
      </c>
      <c r="J367" s="10" t="s">
        <v>21228</v>
      </c>
      <c r="K367" s="10" t="s">
        <v>21229</v>
      </c>
      <c r="L367" s="10" t="s">
        <v>42</v>
      </c>
    </row>
    <row r="368" ht="15.75" customHeight="1">
      <c r="A368" s="64">
        <v>45488.0</v>
      </c>
      <c r="B368" s="55" t="str">
        <f>HYPERLINK("https://jobright.ai/jobs/info/66952d56955bac430d129a0f?utm_campaign=1058&amp;utm_source=sheet", "Apply")</f>
        <v>Apply</v>
      </c>
      <c r="C368" s="10" t="s">
        <v>21227</v>
      </c>
      <c r="D368" s="56" t="s">
        <v>1684</v>
      </c>
      <c r="E368" s="10" t="s">
        <v>209</v>
      </c>
      <c r="F368" s="10" t="s">
        <v>1685</v>
      </c>
      <c r="G368" s="10" t="s">
        <v>20609</v>
      </c>
      <c r="H368" s="10" t="s">
        <v>146</v>
      </c>
      <c r="I368" s="10" t="s">
        <v>55</v>
      </c>
      <c r="J368" s="10" t="s">
        <v>21228</v>
      </c>
      <c r="K368" s="10" t="s">
        <v>21229</v>
      </c>
      <c r="L368" s="10" t="s">
        <v>42</v>
      </c>
    </row>
    <row r="369" ht="15.75" customHeight="1">
      <c r="A369" s="64">
        <v>45488.0</v>
      </c>
      <c r="B369" s="55" t="str">
        <f>HYPERLINK("https://jobright.ai/jobs/info/669bbd2de3a4f784a697800a?utm_campaign=1058&amp;utm_source=sheet", "Apply")</f>
        <v>Apply</v>
      </c>
      <c r="C369" s="10" t="s">
        <v>21230</v>
      </c>
      <c r="D369" s="56" t="s">
        <v>21231</v>
      </c>
      <c r="E369" s="10" t="s">
        <v>65</v>
      </c>
      <c r="F369" s="10" t="s">
        <v>2968</v>
      </c>
      <c r="G369" s="10" t="s">
        <v>20609</v>
      </c>
      <c r="H369" s="10" t="s">
        <v>14188</v>
      </c>
      <c r="I369" s="10" t="s">
        <v>55</v>
      </c>
      <c r="K369" s="10" t="s">
        <v>21232</v>
      </c>
      <c r="L369" s="10" t="s">
        <v>42</v>
      </c>
    </row>
    <row r="370" ht="15.75" customHeight="1">
      <c r="A370" s="64">
        <v>45488.0</v>
      </c>
      <c r="B370" s="55" t="str">
        <f>HYPERLINK("https://jobright.ai/jobs/info/669a657eccbc474c18d0b04a?utm_campaign=1058&amp;utm_source=sheet", "Apply")</f>
        <v>Apply</v>
      </c>
      <c r="C370" s="10" t="s">
        <v>21233</v>
      </c>
      <c r="D370" s="56" t="s">
        <v>21234</v>
      </c>
      <c r="E370" s="10">
        <v>1952.0</v>
      </c>
      <c r="G370" s="10" t="s">
        <v>20624</v>
      </c>
      <c r="H370" s="10" t="s">
        <v>1047</v>
      </c>
      <c r="I370" s="10" t="s">
        <v>55</v>
      </c>
      <c r="K370" s="10" t="s">
        <v>21235</v>
      </c>
      <c r="L370" s="10" t="s">
        <v>42</v>
      </c>
    </row>
    <row r="371" ht="15.75" customHeight="1">
      <c r="A371" s="64">
        <v>45488.0</v>
      </c>
      <c r="B371" s="55" t="str">
        <f>HYPERLINK("https://jobright.ai/jobs/info/667d57a7aa63cf1b275d2aad?utm_campaign=1058&amp;utm_source=sheet", "Apply")</f>
        <v>Apply</v>
      </c>
      <c r="C371" s="10" t="s">
        <v>21236</v>
      </c>
      <c r="D371" s="56" t="s">
        <v>21237</v>
      </c>
      <c r="E371" s="10" t="s">
        <v>65</v>
      </c>
      <c r="F371" s="10" t="s">
        <v>21238</v>
      </c>
      <c r="G371" s="10" t="s">
        <v>20624</v>
      </c>
      <c r="H371" s="10" t="s">
        <v>572</v>
      </c>
      <c r="I371" s="10" t="s">
        <v>55</v>
      </c>
      <c r="K371" s="10" t="s">
        <v>21239</v>
      </c>
      <c r="L371" s="10" t="s">
        <v>42</v>
      </c>
    </row>
    <row r="372" ht="15.75" customHeight="1">
      <c r="A372" s="64">
        <v>45488.0</v>
      </c>
      <c r="B372" s="55" t="str">
        <f>HYPERLINK("https://jobright.ai/jobs/info/66975f9c48e5c34d96cb0e86?utm_campaign=1058&amp;utm_source=sheet", "Apply")</f>
        <v>Apply</v>
      </c>
      <c r="C372" s="10" t="s">
        <v>21240</v>
      </c>
      <c r="D372" s="56" t="s">
        <v>17367</v>
      </c>
      <c r="E372" s="10" t="s">
        <v>45</v>
      </c>
      <c r="G372" s="10" t="s">
        <v>20609</v>
      </c>
      <c r="H372" s="10" t="s">
        <v>609</v>
      </c>
      <c r="I372" s="10" t="s">
        <v>55</v>
      </c>
      <c r="J372" s="10" t="s">
        <v>21241</v>
      </c>
      <c r="K372" s="10" t="s">
        <v>21242</v>
      </c>
      <c r="L372" s="10" t="s">
        <v>42</v>
      </c>
    </row>
    <row r="373" ht="15.75" customHeight="1">
      <c r="A373" s="64">
        <v>45488.0</v>
      </c>
      <c r="B373" s="55" t="str">
        <f>HYPERLINK("https://jobright.ai/jobs/info/6695a0d6c508bc0fadf564ce?utm_campaign=1058&amp;utm_source=sheet", "Apply")</f>
        <v>Apply</v>
      </c>
      <c r="C373" s="10" t="s">
        <v>21243</v>
      </c>
      <c r="D373" s="56" t="s">
        <v>21244</v>
      </c>
      <c r="E373" s="10">
        <v>62.0</v>
      </c>
      <c r="G373" s="10" t="s">
        <v>20592</v>
      </c>
      <c r="H373" s="10" t="s">
        <v>21245</v>
      </c>
      <c r="I373" s="10" t="s">
        <v>55</v>
      </c>
      <c r="J373" s="10" t="s">
        <v>21246</v>
      </c>
      <c r="K373" s="10" t="s">
        <v>21247</v>
      </c>
      <c r="L373" s="10" t="s">
        <v>42</v>
      </c>
    </row>
    <row r="374" ht="15.75" customHeight="1">
      <c r="A374" s="64">
        <v>45488.0</v>
      </c>
      <c r="B374" s="55" t="str">
        <f>HYPERLINK("https://jobright.ai/jobs/info/6695d3bc934fd49f80ae6aca?utm_campaign=1058&amp;utm_source=sheet", "Apply")</f>
        <v>Apply</v>
      </c>
      <c r="C374" s="10" t="s">
        <v>21206</v>
      </c>
      <c r="D374" s="56" t="s">
        <v>1470</v>
      </c>
      <c r="E374" s="10">
        <v>9416.0</v>
      </c>
      <c r="G374" s="10" t="s">
        <v>20592</v>
      </c>
      <c r="H374" s="10" t="s">
        <v>21248</v>
      </c>
      <c r="I374" s="10" t="s">
        <v>55</v>
      </c>
      <c r="J374" s="10" t="s">
        <v>21208</v>
      </c>
      <c r="K374" s="10" t="s">
        <v>21249</v>
      </c>
      <c r="L374" s="10" t="s">
        <v>42</v>
      </c>
    </row>
    <row r="375" ht="15.75" customHeight="1">
      <c r="A375" s="64">
        <v>45487.0</v>
      </c>
      <c r="B375" s="55" t="str">
        <f>HYPERLINK("https://jobright.ai/jobs/info/6693e30ffb745b7e8841c334?utm_campaign=1058&amp;utm_source=sheet", "Apply")</f>
        <v>Apply</v>
      </c>
      <c r="C375" s="10" t="s">
        <v>21250</v>
      </c>
      <c r="D375" s="56" t="s">
        <v>21251</v>
      </c>
      <c r="E375" s="10" t="s">
        <v>249</v>
      </c>
      <c r="F375" s="10" t="s">
        <v>1084</v>
      </c>
      <c r="G375" s="10" t="s">
        <v>20609</v>
      </c>
      <c r="H375" s="10" t="s">
        <v>844</v>
      </c>
      <c r="I375" s="10" t="s">
        <v>55</v>
      </c>
      <c r="K375" s="10" t="s">
        <v>21252</v>
      </c>
      <c r="L375" s="10" t="s">
        <v>42</v>
      </c>
    </row>
    <row r="376" ht="15.75" customHeight="1">
      <c r="A376" s="64">
        <v>45487.0</v>
      </c>
      <c r="B376" s="55" t="str">
        <f>HYPERLINK("https://jobright.ai/jobs/info/669d1733cc2913c69c0f3dcc?utm_campaign=1058&amp;utm_source=sheet", "Apply")</f>
        <v>Apply</v>
      </c>
      <c r="C376" s="10" t="s">
        <v>20987</v>
      </c>
      <c r="D376" s="56" t="s">
        <v>4448</v>
      </c>
      <c r="E376" s="10" t="s">
        <v>71</v>
      </c>
      <c r="F376" s="10" t="s">
        <v>4449</v>
      </c>
      <c r="G376" s="10" t="s">
        <v>20624</v>
      </c>
      <c r="H376" s="10" t="s">
        <v>21253</v>
      </c>
      <c r="I376" s="10" t="s">
        <v>55</v>
      </c>
      <c r="K376" s="10" t="s">
        <v>4450</v>
      </c>
      <c r="L376" s="10" t="s">
        <v>42</v>
      </c>
    </row>
    <row r="377" ht="15.75" customHeight="1">
      <c r="A377" s="64">
        <v>45487.0</v>
      </c>
      <c r="B377" s="55" t="str">
        <f>HYPERLINK("https://jobright.ai/jobs/info/669d14846f6497fd2712f201?utm_campaign=1058&amp;utm_source=sheet", "Apply")</f>
        <v>Apply</v>
      </c>
      <c r="C377" s="10" t="s">
        <v>21254</v>
      </c>
      <c r="D377" s="56" t="s">
        <v>17518</v>
      </c>
      <c r="E377" s="10" t="s">
        <v>45</v>
      </c>
      <c r="F377" s="10" t="s">
        <v>2319</v>
      </c>
      <c r="G377" s="10" t="s">
        <v>20592</v>
      </c>
      <c r="H377" s="10" t="s">
        <v>575</v>
      </c>
      <c r="I377" s="10" t="s">
        <v>55</v>
      </c>
      <c r="J377" s="10" t="s">
        <v>13509</v>
      </c>
      <c r="K377" s="10" t="s">
        <v>21255</v>
      </c>
      <c r="L377" s="10" t="s">
        <v>42</v>
      </c>
    </row>
    <row r="378" ht="15.75" customHeight="1">
      <c r="A378" s="64">
        <v>45487.0</v>
      </c>
      <c r="B378" s="55" t="str">
        <f>HYPERLINK("https://jobright.ai/jobs/info/669d0c889a5037d44da6fe3e?utm_campaign=1058&amp;utm_source=sheet", "Apply")</f>
        <v>Apply</v>
      </c>
      <c r="C378" s="10" t="s">
        <v>20611</v>
      </c>
      <c r="D378" s="56" t="s">
        <v>11095</v>
      </c>
      <c r="E378" s="10" t="s">
        <v>45</v>
      </c>
      <c r="F378" s="10" t="s">
        <v>11096</v>
      </c>
      <c r="G378" s="10" t="s">
        <v>20592</v>
      </c>
      <c r="H378" s="10" t="s">
        <v>21256</v>
      </c>
      <c r="I378" s="10" t="s">
        <v>55</v>
      </c>
      <c r="J378" s="10" t="s">
        <v>20664</v>
      </c>
      <c r="K378" s="10" t="s">
        <v>20613</v>
      </c>
      <c r="L378" s="10" t="s">
        <v>42</v>
      </c>
    </row>
    <row r="379" ht="15.75" customHeight="1">
      <c r="A379" s="64">
        <v>45487.0</v>
      </c>
      <c r="B379" s="55" t="str">
        <f>HYPERLINK("https://jobright.ai/jobs/info/666c254241bd8bbbc79fda73?utm_campaign=1058&amp;utm_source=sheet", "Apply")</f>
        <v>Apply</v>
      </c>
      <c r="C379" s="10" t="s">
        <v>21001</v>
      </c>
      <c r="D379" s="56" t="s">
        <v>21257</v>
      </c>
      <c r="E379" s="10" t="s">
        <v>45</v>
      </c>
      <c r="F379" s="10" t="s">
        <v>2409</v>
      </c>
      <c r="G379" s="10" t="s">
        <v>20624</v>
      </c>
      <c r="H379" s="10" t="s">
        <v>361</v>
      </c>
      <c r="I379" s="10" t="s">
        <v>55</v>
      </c>
      <c r="K379" s="10" t="s">
        <v>21258</v>
      </c>
      <c r="L379" s="10" t="s">
        <v>42</v>
      </c>
    </row>
    <row r="380" ht="15.75" customHeight="1">
      <c r="A380" s="64">
        <v>45487.0</v>
      </c>
      <c r="B380" s="55" t="str">
        <f>HYPERLINK("https://jobright.ai/jobs/info/66322d666b896777a944f203?utm_campaign=1058&amp;utm_source=sheet", "Apply")</f>
        <v>Apply</v>
      </c>
      <c r="C380" s="10" t="s">
        <v>20611</v>
      </c>
      <c r="D380" s="56" t="s">
        <v>11095</v>
      </c>
      <c r="E380" s="10" t="s">
        <v>45</v>
      </c>
      <c r="F380" s="10" t="s">
        <v>11096</v>
      </c>
      <c r="G380" s="10" t="s">
        <v>20592</v>
      </c>
      <c r="H380" s="10" t="s">
        <v>765</v>
      </c>
      <c r="I380" s="10" t="s">
        <v>55</v>
      </c>
      <c r="J380" s="10" t="s">
        <v>20664</v>
      </c>
      <c r="K380" s="10" t="s">
        <v>20613</v>
      </c>
      <c r="L380" s="10" t="s">
        <v>42</v>
      </c>
    </row>
    <row r="381" ht="15.75" customHeight="1">
      <c r="A381" s="64">
        <v>45487.0</v>
      </c>
      <c r="B381" s="55" t="str">
        <f>HYPERLINK("https://jobright.ai/jobs/info/660ee832e8c22ba14b9ae451?utm_campaign=1058&amp;utm_source=sheet", "Apply")</f>
        <v>Apply</v>
      </c>
      <c r="C381" s="10" t="s">
        <v>2297</v>
      </c>
      <c r="D381" s="56" t="s">
        <v>5877</v>
      </c>
      <c r="E381" s="10" t="s">
        <v>79</v>
      </c>
      <c r="F381" s="10" t="s">
        <v>5878</v>
      </c>
      <c r="G381" s="10" t="s">
        <v>20609</v>
      </c>
      <c r="H381" s="10" t="s">
        <v>21259</v>
      </c>
      <c r="I381" s="10" t="s">
        <v>55</v>
      </c>
      <c r="K381" s="10" t="s">
        <v>21260</v>
      </c>
      <c r="L381" s="10" t="s">
        <v>42</v>
      </c>
    </row>
    <row r="382" ht="15.75" customHeight="1">
      <c r="A382" s="64">
        <v>45487.0</v>
      </c>
      <c r="B382" s="55" t="str">
        <f>HYPERLINK("https://jobright.ai/jobs/info/664e97c6f97ff61ecf83a6ce?utm_campaign=1058&amp;utm_source=sheet", "Apply")</f>
        <v>Apply</v>
      </c>
      <c r="C382" s="10" t="s">
        <v>21261</v>
      </c>
      <c r="D382" s="56" t="s">
        <v>1061</v>
      </c>
      <c r="E382" s="10" t="s">
        <v>209</v>
      </c>
      <c r="G382" s="10" t="s">
        <v>20609</v>
      </c>
      <c r="H382" s="10" t="s">
        <v>1097</v>
      </c>
      <c r="I382" s="10" t="s">
        <v>55</v>
      </c>
      <c r="K382" s="10" t="s">
        <v>21262</v>
      </c>
      <c r="L382" s="10" t="s">
        <v>42</v>
      </c>
    </row>
    <row r="383" ht="15.75" customHeight="1">
      <c r="A383" s="64">
        <v>45487.0</v>
      </c>
      <c r="B383" s="55" t="str">
        <f>HYPERLINK("https://jobright.ai/jobs/info/665ab56a7ebc9fed3966e76e?utm_campaign=1058&amp;utm_source=sheet", "Apply")</f>
        <v>Apply</v>
      </c>
      <c r="C383" s="10" t="s">
        <v>20700</v>
      </c>
      <c r="D383" s="56" t="s">
        <v>11095</v>
      </c>
      <c r="E383" s="10" t="s">
        <v>45</v>
      </c>
      <c r="F383" s="10" t="s">
        <v>11096</v>
      </c>
      <c r="G383" s="10" t="s">
        <v>20592</v>
      </c>
      <c r="H383" s="10" t="s">
        <v>21263</v>
      </c>
      <c r="I383" s="10" t="s">
        <v>55</v>
      </c>
      <c r="J383" s="10" t="s">
        <v>20664</v>
      </c>
      <c r="K383" s="10" t="s">
        <v>20613</v>
      </c>
      <c r="L383" s="10" t="s">
        <v>42</v>
      </c>
    </row>
    <row r="384" ht="15.75" customHeight="1">
      <c r="A384" s="64">
        <v>45487.0</v>
      </c>
      <c r="B384" s="55" t="str">
        <f>HYPERLINK("https://jobright.ai/jobs/info/6676bbca9b9f24e2dbdca47a?utm_campaign=1058&amp;utm_source=sheet", "Apply")</f>
        <v>Apply</v>
      </c>
      <c r="C384" s="10" t="s">
        <v>21264</v>
      </c>
      <c r="D384" s="56" t="s">
        <v>20660</v>
      </c>
      <c r="E384" s="10" t="s">
        <v>209</v>
      </c>
      <c r="F384" s="10" t="s">
        <v>19187</v>
      </c>
      <c r="G384" s="10" t="s">
        <v>20592</v>
      </c>
      <c r="H384" s="10" t="s">
        <v>153</v>
      </c>
      <c r="I384" s="10" t="s">
        <v>55</v>
      </c>
      <c r="K384" s="10" t="s">
        <v>21265</v>
      </c>
      <c r="L384" s="10" t="s">
        <v>42</v>
      </c>
    </row>
    <row r="385" ht="15.75" customHeight="1">
      <c r="A385" s="64">
        <v>45487.0</v>
      </c>
      <c r="B385" s="55" t="str">
        <f>HYPERLINK("https://jobright.ai/jobs/info/6506e60a5a4df4bae71c0f89?utm_campaign=1058&amp;utm_source=sheet", "Apply")</f>
        <v>Apply</v>
      </c>
      <c r="C385" s="10" t="s">
        <v>21266</v>
      </c>
      <c r="D385" s="56" t="s">
        <v>736</v>
      </c>
      <c r="E385" s="10" t="s">
        <v>276</v>
      </c>
      <c r="F385" s="10" t="s">
        <v>737</v>
      </c>
      <c r="G385" s="10" t="s">
        <v>20609</v>
      </c>
      <c r="H385" s="10" t="s">
        <v>738</v>
      </c>
      <c r="I385" s="10" t="s">
        <v>55</v>
      </c>
      <c r="J385" s="10" t="s">
        <v>1107</v>
      </c>
      <c r="K385" s="10" t="s">
        <v>21267</v>
      </c>
      <c r="L385" s="10" t="s">
        <v>42</v>
      </c>
    </row>
    <row r="386" ht="15.75" customHeight="1">
      <c r="A386" s="64">
        <v>45487.0</v>
      </c>
      <c r="B386" s="55" t="str">
        <f>HYPERLINK("https://jobright.ai/jobs/info/667abf2303ae0be6f1cb04d4?utm_campaign=1058&amp;utm_source=sheet", "Apply")</f>
        <v>Apply</v>
      </c>
      <c r="C386" s="10" t="s">
        <v>21268</v>
      </c>
      <c r="D386" s="56" t="s">
        <v>9746</v>
      </c>
      <c r="E386" s="10" t="s">
        <v>45</v>
      </c>
      <c r="F386" s="10" t="s">
        <v>9747</v>
      </c>
      <c r="G386" s="10" t="s">
        <v>20592</v>
      </c>
      <c r="H386" s="10" t="s">
        <v>278</v>
      </c>
      <c r="I386" s="10" t="s">
        <v>55</v>
      </c>
      <c r="K386" s="10" t="s">
        <v>21269</v>
      </c>
      <c r="L386" s="10" t="s">
        <v>42</v>
      </c>
    </row>
    <row r="387" ht="15.75" customHeight="1">
      <c r="A387" s="64">
        <v>45487.0</v>
      </c>
      <c r="B387" s="55" t="str">
        <f>HYPERLINK("https://jobright.ai/jobs/info/662fe8f8f1f0e5d7b41644c0?utm_campaign=1058&amp;utm_source=sheet", "Apply")</f>
        <v>Apply</v>
      </c>
      <c r="C387" s="10" t="s">
        <v>21270</v>
      </c>
      <c r="D387" s="56" t="s">
        <v>21095</v>
      </c>
      <c r="E387" s="10" t="s">
        <v>276</v>
      </c>
      <c r="F387" s="10" t="s">
        <v>21096</v>
      </c>
      <c r="G387" s="10" t="s">
        <v>20624</v>
      </c>
      <c r="H387" s="10" t="s">
        <v>14460</v>
      </c>
      <c r="I387" s="10" t="s">
        <v>48</v>
      </c>
      <c r="K387" s="10" t="s">
        <v>21271</v>
      </c>
      <c r="L387" s="10" t="s">
        <v>42</v>
      </c>
    </row>
    <row r="388" ht="15.75" customHeight="1">
      <c r="A388" s="64">
        <v>45487.0</v>
      </c>
      <c r="B388" s="55" t="str">
        <f>HYPERLINK("https://jobright.ai/jobs/info/6676d8404ffdc62f7b6795d4?utm_campaign=1058&amp;utm_source=sheet", "Apply")</f>
        <v>Apply</v>
      </c>
      <c r="C388" s="10" t="s">
        <v>21272</v>
      </c>
      <c r="D388" s="56" t="s">
        <v>16520</v>
      </c>
      <c r="E388" s="10" t="s">
        <v>45</v>
      </c>
      <c r="F388" s="10" t="s">
        <v>7288</v>
      </c>
      <c r="G388" s="10" t="s">
        <v>20624</v>
      </c>
      <c r="H388" s="10" t="s">
        <v>4799</v>
      </c>
      <c r="I388" s="10" t="s">
        <v>55</v>
      </c>
      <c r="K388" s="10" t="s">
        <v>16521</v>
      </c>
      <c r="L388" s="10" t="s">
        <v>42</v>
      </c>
    </row>
    <row r="389" ht="15.75" customHeight="1">
      <c r="A389" s="64">
        <v>45487.0</v>
      </c>
      <c r="B389" s="55" t="str">
        <f>HYPERLINK("https://jobright.ai/jobs/info/66250631829f460816ada730?utm_campaign=1058&amp;utm_source=sheet", "Apply")</f>
        <v>Apply</v>
      </c>
      <c r="C389" s="10" t="s">
        <v>21273</v>
      </c>
      <c r="D389" s="56" t="s">
        <v>20660</v>
      </c>
      <c r="E389" s="10" t="s">
        <v>209</v>
      </c>
      <c r="F389" s="10" t="s">
        <v>19187</v>
      </c>
      <c r="G389" s="10" t="s">
        <v>20592</v>
      </c>
      <c r="H389" s="10" t="s">
        <v>3253</v>
      </c>
      <c r="I389" s="10" t="s">
        <v>55</v>
      </c>
      <c r="K389" s="10" t="s">
        <v>21274</v>
      </c>
      <c r="L389" s="10" t="s">
        <v>42</v>
      </c>
    </row>
    <row r="390" ht="15.75" customHeight="1">
      <c r="A390" s="64">
        <v>45487.0</v>
      </c>
      <c r="B390" s="55" t="str">
        <f>HYPERLINK("https://jobright.ai/jobs/info/6675b06b242bc4c930f29d68?utm_campaign=1058&amp;utm_source=sheet", "Apply")</f>
        <v>Apply</v>
      </c>
      <c r="C390" s="10" t="s">
        <v>20611</v>
      </c>
      <c r="D390" s="56" t="s">
        <v>11095</v>
      </c>
      <c r="E390" s="10" t="s">
        <v>45</v>
      </c>
      <c r="F390" s="10" t="s">
        <v>11096</v>
      </c>
      <c r="G390" s="10" t="s">
        <v>20592</v>
      </c>
      <c r="H390" s="10" t="s">
        <v>21275</v>
      </c>
      <c r="I390" s="10" t="s">
        <v>55</v>
      </c>
      <c r="J390" s="10" t="s">
        <v>20965</v>
      </c>
      <c r="K390" s="10" t="s">
        <v>20613</v>
      </c>
      <c r="L390" s="10" t="s">
        <v>42</v>
      </c>
    </row>
    <row r="391" ht="15.75" customHeight="1">
      <c r="A391" s="64">
        <v>45487.0</v>
      </c>
      <c r="B391" s="55" t="str">
        <f>HYPERLINK("https://jobright.ai/jobs/info/6657cd031463f7308380d5ec?utm_campaign=1058&amp;utm_source=sheet", "Apply")</f>
        <v>Apply</v>
      </c>
      <c r="C391" s="10" t="s">
        <v>20611</v>
      </c>
      <c r="D391" s="56" t="s">
        <v>11095</v>
      </c>
      <c r="E391" s="10" t="s">
        <v>45</v>
      </c>
      <c r="F391" s="10" t="s">
        <v>11096</v>
      </c>
      <c r="G391" s="10" t="s">
        <v>20592</v>
      </c>
      <c r="H391" s="10" t="s">
        <v>819</v>
      </c>
      <c r="I391" s="10" t="s">
        <v>55</v>
      </c>
      <c r="J391" s="10" t="s">
        <v>20664</v>
      </c>
      <c r="K391" s="10" t="s">
        <v>20613</v>
      </c>
      <c r="L391" s="10" t="s">
        <v>42</v>
      </c>
    </row>
    <row r="392" ht="15.75" customHeight="1">
      <c r="A392" s="64">
        <v>45487.0</v>
      </c>
      <c r="B392" s="55" t="str">
        <f>HYPERLINK("https://jobright.ai/jobs/info/664e2058b45b688e7b70f95a?utm_campaign=1058&amp;utm_source=sheet", "Apply")</f>
        <v>Apply</v>
      </c>
      <c r="C392" s="10" t="s">
        <v>21276</v>
      </c>
      <c r="D392" s="56" t="s">
        <v>5854</v>
      </c>
      <c r="E392" s="10" t="s">
        <v>209</v>
      </c>
      <c r="F392" s="10" t="s">
        <v>1695</v>
      </c>
      <c r="G392" s="10" t="s">
        <v>20624</v>
      </c>
      <c r="H392" s="10" t="s">
        <v>860</v>
      </c>
      <c r="I392" s="10" t="s">
        <v>55</v>
      </c>
      <c r="K392" s="10" t="s">
        <v>6065</v>
      </c>
      <c r="L392" s="10" t="s">
        <v>42</v>
      </c>
    </row>
    <row r="393" ht="15.75" customHeight="1">
      <c r="A393" s="64">
        <v>45486.0</v>
      </c>
      <c r="B393" s="55" t="str">
        <f>HYPERLINK("https://jobright.ai/jobs/info/6697c98274e0e5d073fc76c2?utm_campaign=1058&amp;utm_source=sheet", "Apply")</f>
        <v>Apply</v>
      </c>
      <c r="C393" s="10" t="s">
        <v>20611</v>
      </c>
      <c r="D393" s="56" t="s">
        <v>11095</v>
      </c>
      <c r="E393" s="10" t="s">
        <v>45</v>
      </c>
      <c r="F393" s="10" t="s">
        <v>11096</v>
      </c>
      <c r="G393" s="10" t="s">
        <v>20592</v>
      </c>
      <c r="H393" s="10" t="s">
        <v>21277</v>
      </c>
      <c r="I393" s="10" t="s">
        <v>55</v>
      </c>
      <c r="J393" s="10" t="s">
        <v>20965</v>
      </c>
      <c r="K393" s="10" t="s">
        <v>20613</v>
      </c>
      <c r="L393" s="10" t="s">
        <v>42</v>
      </c>
    </row>
    <row r="394" ht="15.75" customHeight="1">
      <c r="A394" s="64">
        <v>45486.0</v>
      </c>
      <c r="B394" s="55" t="str">
        <f>HYPERLINK("https://jobright.ai/jobs/info/66548550dc70ef329d8209e1?utm_campaign=1058&amp;utm_source=sheet", "Apply")</f>
        <v>Apply</v>
      </c>
      <c r="C394" s="10" t="s">
        <v>21001</v>
      </c>
      <c r="D394" s="56" t="s">
        <v>21278</v>
      </c>
      <c r="E394" s="10">
        <v>596.0</v>
      </c>
      <c r="G394" s="10" t="s">
        <v>20624</v>
      </c>
      <c r="H394" s="10" t="s">
        <v>361</v>
      </c>
      <c r="I394" s="10" t="s">
        <v>55</v>
      </c>
      <c r="K394" s="10" t="s">
        <v>21279</v>
      </c>
      <c r="L394" s="10" t="s">
        <v>42</v>
      </c>
    </row>
    <row r="395" ht="15.75" customHeight="1">
      <c r="A395" s="64">
        <v>45486.0</v>
      </c>
      <c r="B395" s="55" t="str">
        <f>HYPERLINK("https://jobright.ai/jobs/info/662b303add225cab9b576e01?utm_campaign=1058&amp;utm_source=sheet", "Apply")</f>
        <v>Apply</v>
      </c>
      <c r="C395" s="10" t="s">
        <v>21280</v>
      </c>
      <c r="D395" s="56" t="s">
        <v>1061</v>
      </c>
      <c r="E395" s="10" t="s">
        <v>209</v>
      </c>
      <c r="G395" s="10" t="s">
        <v>20624</v>
      </c>
      <c r="H395" s="10" t="s">
        <v>879</v>
      </c>
      <c r="I395" s="10" t="s">
        <v>55</v>
      </c>
      <c r="K395" s="10" t="s">
        <v>21281</v>
      </c>
      <c r="L395" s="10" t="s">
        <v>42</v>
      </c>
    </row>
    <row r="396" ht="15.75" customHeight="1">
      <c r="A396" s="64">
        <v>45486.0</v>
      </c>
      <c r="B396" s="55" t="str">
        <f>HYPERLINK("https://jobright.ai/jobs/info/65f195de2518764ebd2955ee?utm_campaign=1058&amp;utm_source=sheet", "Apply")</f>
        <v>Apply</v>
      </c>
      <c r="C396" s="10" t="s">
        <v>21282</v>
      </c>
      <c r="D396" s="56" t="s">
        <v>716</v>
      </c>
      <c r="E396" s="10" t="s">
        <v>79</v>
      </c>
      <c r="F396" s="10" t="s">
        <v>717</v>
      </c>
      <c r="G396" s="10" t="s">
        <v>20609</v>
      </c>
      <c r="H396" s="10" t="s">
        <v>144</v>
      </c>
      <c r="I396" s="10" t="s">
        <v>48</v>
      </c>
      <c r="J396" s="10" t="s">
        <v>3290</v>
      </c>
      <c r="K396" s="10" t="s">
        <v>21283</v>
      </c>
      <c r="L396" s="10" t="s">
        <v>42</v>
      </c>
    </row>
    <row r="397" ht="15.75" customHeight="1">
      <c r="A397" s="64">
        <v>45486.0</v>
      </c>
      <c r="B397" s="55" t="str">
        <f>HYPERLINK("https://jobright.ai/jobs/info/6630ea4c8ad574ed183f2e35?utm_campaign=1058&amp;utm_source=sheet", "Apply")</f>
        <v>Apply</v>
      </c>
      <c r="C397" s="10" t="s">
        <v>20611</v>
      </c>
      <c r="D397" s="56" t="s">
        <v>11095</v>
      </c>
      <c r="E397" s="10" t="s">
        <v>45</v>
      </c>
      <c r="F397" s="10" t="s">
        <v>11096</v>
      </c>
      <c r="G397" s="10" t="s">
        <v>20592</v>
      </c>
      <c r="H397" s="10" t="s">
        <v>16932</v>
      </c>
      <c r="I397" s="10" t="s">
        <v>55</v>
      </c>
      <c r="J397" s="10" t="s">
        <v>20664</v>
      </c>
      <c r="K397" s="10" t="s">
        <v>20613</v>
      </c>
      <c r="L397" s="10" t="s">
        <v>42</v>
      </c>
    </row>
    <row r="398" ht="15.75" customHeight="1">
      <c r="A398" s="64">
        <v>45486.0</v>
      </c>
      <c r="B398" s="55" t="str">
        <f>HYPERLINK("https://jobright.ai/jobs/info/66502701a84f87e434e09e2a?utm_campaign=1058&amp;utm_source=sheet", "Apply")</f>
        <v>Apply</v>
      </c>
      <c r="C398" s="10" t="s">
        <v>20611</v>
      </c>
      <c r="D398" s="56" t="s">
        <v>11095</v>
      </c>
      <c r="E398" s="10" t="s">
        <v>45</v>
      </c>
      <c r="F398" s="10" t="s">
        <v>11096</v>
      </c>
      <c r="G398" s="10" t="s">
        <v>20592</v>
      </c>
      <c r="H398" s="10" t="s">
        <v>21284</v>
      </c>
      <c r="I398" s="10" t="s">
        <v>55</v>
      </c>
      <c r="J398" s="10" t="s">
        <v>20965</v>
      </c>
      <c r="K398" s="10" t="s">
        <v>20613</v>
      </c>
      <c r="L398" s="10" t="s">
        <v>42</v>
      </c>
    </row>
    <row r="399" ht="15.75" customHeight="1">
      <c r="A399" s="64">
        <v>45486.0</v>
      </c>
      <c r="B399" s="55" t="str">
        <f>HYPERLINK("https://jobright.ai/jobs/info/666451be085d8a72019c1c5a?utm_campaign=1058&amp;utm_source=sheet", "Apply")</f>
        <v>Apply</v>
      </c>
      <c r="C399" s="10" t="s">
        <v>20611</v>
      </c>
      <c r="D399" s="56" t="s">
        <v>11095</v>
      </c>
      <c r="E399" s="10" t="s">
        <v>45</v>
      </c>
      <c r="F399" s="10" t="s">
        <v>11096</v>
      </c>
      <c r="G399" s="10" t="s">
        <v>20592</v>
      </c>
      <c r="H399" s="10" t="s">
        <v>21285</v>
      </c>
      <c r="I399" s="10" t="s">
        <v>55</v>
      </c>
      <c r="J399" s="10" t="s">
        <v>20965</v>
      </c>
      <c r="K399" s="10" t="s">
        <v>20613</v>
      </c>
      <c r="L399" s="10" t="s">
        <v>42</v>
      </c>
    </row>
    <row r="400" ht="15.75" customHeight="1">
      <c r="A400" s="64">
        <v>45486.0</v>
      </c>
      <c r="B400" s="55" t="str">
        <f>HYPERLINK("https://jobright.ai/jobs/info/667620584b84ce845b7f1417?utm_campaign=1058&amp;utm_source=sheet", "Apply")</f>
        <v>Apply</v>
      </c>
      <c r="C400" s="10" t="s">
        <v>20611</v>
      </c>
      <c r="D400" s="56" t="s">
        <v>11095</v>
      </c>
      <c r="E400" s="10" t="s">
        <v>45</v>
      </c>
      <c r="F400" s="10" t="s">
        <v>11096</v>
      </c>
      <c r="G400" s="10" t="s">
        <v>20592</v>
      </c>
      <c r="H400" s="10" t="s">
        <v>21286</v>
      </c>
      <c r="I400" s="10" t="s">
        <v>55</v>
      </c>
      <c r="J400" s="10" t="s">
        <v>20664</v>
      </c>
      <c r="K400" s="10" t="s">
        <v>20613</v>
      </c>
      <c r="L400" s="10" t="s">
        <v>42</v>
      </c>
    </row>
    <row r="401" ht="15.75" customHeight="1">
      <c r="A401" s="64">
        <v>45486.0</v>
      </c>
      <c r="B401" s="55" t="str">
        <f>HYPERLINK("https://jobright.ai/jobs/info/6659b83a6a871ab4f1ee6f84?utm_campaign=1058&amp;utm_source=sheet", "Apply")</f>
        <v>Apply</v>
      </c>
      <c r="C401" s="10" t="s">
        <v>20611</v>
      </c>
      <c r="D401" s="56" t="s">
        <v>11095</v>
      </c>
      <c r="E401" s="10" t="s">
        <v>45</v>
      </c>
      <c r="F401" s="10" t="s">
        <v>11096</v>
      </c>
      <c r="G401" s="10" t="s">
        <v>20592</v>
      </c>
      <c r="H401" s="10" t="s">
        <v>21287</v>
      </c>
      <c r="I401" s="10" t="s">
        <v>55</v>
      </c>
      <c r="J401" s="10" t="s">
        <v>20664</v>
      </c>
      <c r="K401" s="10" t="s">
        <v>20613</v>
      </c>
      <c r="L401" s="10" t="s">
        <v>42</v>
      </c>
    </row>
    <row r="402" ht="15.75" customHeight="1">
      <c r="A402" s="64">
        <v>45486.0</v>
      </c>
      <c r="B402" s="55" t="str">
        <f>HYPERLINK("https://jobright.ai/jobs/info/6675ef783f0763b7548cf97c?utm_campaign=1058&amp;utm_source=sheet", "Apply")</f>
        <v>Apply</v>
      </c>
      <c r="C402" s="10" t="s">
        <v>20611</v>
      </c>
      <c r="D402" s="56" t="s">
        <v>11095</v>
      </c>
      <c r="E402" s="10" t="s">
        <v>45</v>
      </c>
      <c r="F402" s="10" t="s">
        <v>11096</v>
      </c>
      <c r="G402" s="10" t="s">
        <v>20592</v>
      </c>
      <c r="H402" s="10" t="s">
        <v>7824</v>
      </c>
      <c r="I402" s="10" t="s">
        <v>55</v>
      </c>
      <c r="J402" s="10" t="s">
        <v>20965</v>
      </c>
      <c r="K402" s="10" t="s">
        <v>20613</v>
      </c>
      <c r="L402" s="10" t="s">
        <v>42</v>
      </c>
    </row>
    <row r="403" ht="15.75" customHeight="1">
      <c r="A403" s="64">
        <v>45486.0</v>
      </c>
      <c r="B403" s="55" t="str">
        <f>HYPERLINK("https://jobright.ai/jobs/info/6675664706c286fadd13fc34?utm_campaign=1058&amp;utm_source=sheet", "Apply")</f>
        <v>Apply</v>
      </c>
      <c r="C403" s="10" t="s">
        <v>20611</v>
      </c>
      <c r="D403" s="56" t="s">
        <v>11095</v>
      </c>
      <c r="E403" s="10" t="s">
        <v>45</v>
      </c>
      <c r="F403" s="10" t="s">
        <v>11096</v>
      </c>
      <c r="G403" s="10" t="s">
        <v>20592</v>
      </c>
      <c r="H403" s="10" t="s">
        <v>245</v>
      </c>
      <c r="I403" s="10" t="s">
        <v>55</v>
      </c>
      <c r="J403" s="10" t="s">
        <v>20664</v>
      </c>
      <c r="K403" s="10" t="s">
        <v>20613</v>
      </c>
      <c r="L403" s="10" t="s">
        <v>42</v>
      </c>
    </row>
    <row r="404" ht="15.75" customHeight="1">
      <c r="A404" s="64">
        <v>45486.0</v>
      </c>
      <c r="B404" s="55" t="str">
        <f>HYPERLINK("https://jobright.ai/jobs/info/6639780ba01862156e5403ba?utm_campaign=1058&amp;utm_source=sheet", "Apply")</f>
        <v>Apply</v>
      </c>
      <c r="C404" s="10" t="s">
        <v>21288</v>
      </c>
      <c r="D404" s="56" t="s">
        <v>21289</v>
      </c>
      <c r="E404" s="10" t="s">
        <v>65</v>
      </c>
      <c r="F404" s="10" t="s">
        <v>21290</v>
      </c>
      <c r="G404" s="10" t="s">
        <v>20592</v>
      </c>
      <c r="H404" s="10" t="s">
        <v>21291</v>
      </c>
      <c r="I404" s="10" t="s">
        <v>55</v>
      </c>
      <c r="J404" s="10" t="s">
        <v>3294</v>
      </c>
      <c r="K404" s="10" t="s">
        <v>21292</v>
      </c>
      <c r="L404" s="10" t="s">
        <v>42</v>
      </c>
    </row>
    <row r="405" ht="15.75" customHeight="1">
      <c r="A405" s="64">
        <v>45486.0</v>
      </c>
      <c r="B405" s="55" t="str">
        <f>HYPERLINK("https://jobright.ai/jobs/info/6631cd1c85a9dfaed8f62446?utm_campaign=1058&amp;utm_source=sheet", "Apply")</f>
        <v>Apply</v>
      </c>
      <c r="C405" s="10" t="s">
        <v>20611</v>
      </c>
      <c r="D405" s="56" t="s">
        <v>11095</v>
      </c>
      <c r="E405" s="10" t="s">
        <v>45</v>
      </c>
      <c r="F405" s="10" t="s">
        <v>11096</v>
      </c>
      <c r="G405" s="10" t="s">
        <v>20592</v>
      </c>
      <c r="H405" s="10" t="s">
        <v>411</v>
      </c>
      <c r="I405" s="10" t="s">
        <v>55</v>
      </c>
      <c r="J405" s="10" t="s">
        <v>20664</v>
      </c>
      <c r="K405" s="10" t="s">
        <v>20613</v>
      </c>
      <c r="L405" s="10" t="s">
        <v>42</v>
      </c>
    </row>
    <row r="406" ht="15.75" customHeight="1">
      <c r="A406" s="64">
        <v>45486.0</v>
      </c>
      <c r="B406" s="55" t="str">
        <f>HYPERLINK("https://jobright.ai/jobs/info/65833bd4a3f34a19e032fd29?utm_campaign=1058&amp;utm_source=sheet", "Apply")</f>
        <v>Apply</v>
      </c>
      <c r="C406" s="10" t="s">
        <v>21293</v>
      </c>
      <c r="D406" s="56" t="s">
        <v>1941</v>
      </c>
      <c r="E406" s="10" t="s">
        <v>65</v>
      </c>
      <c r="F406" s="10" t="s">
        <v>1942</v>
      </c>
      <c r="G406" s="10" t="s">
        <v>20624</v>
      </c>
      <c r="H406" s="10" t="s">
        <v>1036</v>
      </c>
      <c r="I406" s="10" t="s">
        <v>55</v>
      </c>
      <c r="K406" s="10" t="s">
        <v>21294</v>
      </c>
      <c r="L406" s="10" t="s">
        <v>42</v>
      </c>
    </row>
    <row r="407" ht="15.75" customHeight="1">
      <c r="A407" s="64">
        <v>45486.0</v>
      </c>
      <c r="B407" s="55" t="str">
        <f>HYPERLINK("https://jobright.ai/jobs/info/665a9314f1a7e3b6dba61dbf?utm_campaign=1058&amp;utm_source=sheet", "Apply")</f>
        <v>Apply</v>
      </c>
      <c r="C407" s="10" t="s">
        <v>21295</v>
      </c>
      <c r="D407" s="56" t="s">
        <v>11095</v>
      </c>
      <c r="E407" s="10" t="s">
        <v>45</v>
      </c>
      <c r="F407" s="10" t="s">
        <v>11096</v>
      </c>
      <c r="G407" s="10" t="s">
        <v>20592</v>
      </c>
      <c r="H407" s="10" t="s">
        <v>21296</v>
      </c>
      <c r="I407" s="10" t="s">
        <v>55</v>
      </c>
      <c r="J407" s="10" t="s">
        <v>20664</v>
      </c>
      <c r="K407" s="10" t="s">
        <v>20613</v>
      </c>
      <c r="L407" s="10" t="s">
        <v>42</v>
      </c>
    </row>
    <row r="408" ht="15.75" customHeight="1">
      <c r="A408" s="64">
        <v>45486.0</v>
      </c>
      <c r="B408" s="55" t="str">
        <f>HYPERLINK("https://jobright.ai/jobs/info/6683ff9929646ce4f98c56a5?utm_campaign=1058&amp;utm_source=sheet", "Apply")</f>
        <v>Apply</v>
      </c>
      <c r="C408" s="10" t="s">
        <v>20611</v>
      </c>
      <c r="D408" s="56" t="s">
        <v>11095</v>
      </c>
      <c r="E408" s="10" t="s">
        <v>45</v>
      </c>
      <c r="F408" s="10" t="s">
        <v>11096</v>
      </c>
      <c r="G408" s="10" t="s">
        <v>20592</v>
      </c>
      <c r="H408" s="10" t="s">
        <v>152</v>
      </c>
      <c r="I408" s="10" t="s">
        <v>55</v>
      </c>
      <c r="J408" s="10" t="s">
        <v>20664</v>
      </c>
      <c r="K408" s="10" t="s">
        <v>20613</v>
      </c>
      <c r="L408" s="10" t="s">
        <v>42</v>
      </c>
    </row>
    <row r="409" ht="15.75" customHeight="1">
      <c r="A409" s="64">
        <v>45486.0</v>
      </c>
      <c r="B409" s="55" t="str">
        <f>HYPERLINK("https://jobright.ai/jobs/info/667608830f75793ae234d781?utm_campaign=1058&amp;utm_source=sheet", "Apply")</f>
        <v>Apply</v>
      </c>
      <c r="C409" s="10" t="s">
        <v>20611</v>
      </c>
      <c r="D409" s="56" t="s">
        <v>11095</v>
      </c>
      <c r="E409" s="10" t="s">
        <v>45</v>
      </c>
      <c r="F409" s="10" t="s">
        <v>11096</v>
      </c>
      <c r="G409" s="10" t="s">
        <v>20592</v>
      </c>
      <c r="H409" s="10" t="s">
        <v>896</v>
      </c>
      <c r="I409" s="10" t="s">
        <v>55</v>
      </c>
      <c r="J409" s="10" t="s">
        <v>20664</v>
      </c>
      <c r="K409" s="10" t="s">
        <v>20613</v>
      </c>
      <c r="L409" s="10" t="s">
        <v>42</v>
      </c>
    </row>
    <row r="410" ht="15.75" customHeight="1">
      <c r="A410" s="64">
        <v>45486.0</v>
      </c>
      <c r="B410" s="55" t="str">
        <f>HYPERLINK("https://jobright.ai/jobs/info/66744778fa2e16b323fa4cd5?utm_campaign=1058&amp;utm_source=sheet", "Apply")</f>
        <v>Apply</v>
      </c>
      <c r="C410" s="10" t="s">
        <v>21297</v>
      </c>
      <c r="D410" s="56" t="s">
        <v>20806</v>
      </c>
      <c r="E410" s="10" t="s">
        <v>45</v>
      </c>
      <c r="F410" s="10" t="s">
        <v>20807</v>
      </c>
      <c r="G410" s="10" t="s">
        <v>20624</v>
      </c>
      <c r="H410" s="10" t="s">
        <v>21298</v>
      </c>
      <c r="I410" s="10" t="s">
        <v>55</v>
      </c>
      <c r="K410" s="10" t="s">
        <v>21299</v>
      </c>
      <c r="L410" s="10" t="s">
        <v>42</v>
      </c>
    </row>
    <row r="411" ht="15.75" customHeight="1">
      <c r="A411" s="64">
        <v>45486.0</v>
      </c>
      <c r="B411" s="55" t="str">
        <f>HYPERLINK("https://jobright.ai/jobs/info/665723e1d2593765cc73c1f4?utm_campaign=1058&amp;utm_source=sheet", "Apply")</f>
        <v>Apply</v>
      </c>
      <c r="C411" s="10" t="s">
        <v>20611</v>
      </c>
      <c r="D411" s="56" t="s">
        <v>11095</v>
      </c>
      <c r="E411" s="10" t="s">
        <v>45</v>
      </c>
      <c r="F411" s="10" t="s">
        <v>11096</v>
      </c>
      <c r="G411" s="10" t="s">
        <v>20592</v>
      </c>
      <c r="H411" s="10" t="s">
        <v>174</v>
      </c>
      <c r="I411" s="10" t="s">
        <v>55</v>
      </c>
      <c r="J411" s="10" t="s">
        <v>20664</v>
      </c>
      <c r="K411" s="10" t="s">
        <v>20613</v>
      </c>
      <c r="L411" s="10" t="s">
        <v>42</v>
      </c>
    </row>
    <row r="412" ht="15.75" customHeight="1">
      <c r="A412" s="64">
        <v>45486.0</v>
      </c>
      <c r="B412" s="55" t="str">
        <f>HYPERLINK("https://jobright.ai/jobs/info/6676210b4b84ce845b7f1f64?utm_campaign=1058&amp;utm_source=sheet", "Apply")</f>
        <v>Apply</v>
      </c>
      <c r="C412" s="10" t="s">
        <v>20611</v>
      </c>
      <c r="D412" s="56" t="s">
        <v>11095</v>
      </c>
      <c r="E412" s="10" t="s">
        <v>45</v>
      </c>
      <c r="F412" s="10" t="s">
        <v>11096</v>
      </c>
      <c r="G412" s="10" t="s">
        <v>20592</v>
      </c>
      <c r="H412" s="10" t="s">
        <v>21300</v>
      </c>
      <c r="I412" s="10" t="s">
        <v>55</v>
      </c>
      <c r="J412" s="10" t="s">
        <v>20664</v>
      </c>
      <c r="K412" s="10" t="s">
        <v>20613</v>
      </c>
      <c r="L412" s="10" t="s">
        <v>42</v>
      </c>
    </row>
    <row r="413" ht="15.75" customHeight="1">
      <c r="A413" s="64">
        <v>45486.0</v>
      </c>
      <c r="B413" s="55" t="str">
        <f>HYPERLINK("https://jobright.ai/jobs/info/662c388f1d09d72887a189bc?utm_campaign=1058&amp;utm_source=sheet", "Apply")</f>
        <v>Apply</v>
      </c>
      <c r="C413" s="10" t="s">
        <v>2297</v>
      </c>
      <c r="D413" s="56" t="s">
        <v>21301</v>
      </c>
      <c r="E413" s="10" t="s">
        <v>65</v>
      </c>
      <c r="F413" s="10" t="s">
        <v>21302</v>
      </c>
      <c r="G413" s="10" t="s">
        <v>20609</v>
      </c>
      <c r="H413" s="10" t="s">
        <v>1000</v>
      </c>
      <c r="I413" s="10" t="s">
        <v>48</v>
      </c>
      <c r="J413" s="10" t="s">
        <v>1107</v>
      </c>
      <c r="K413" s="10" t="s">
        <v>21303</v>
      </c>
      <c r="L413" s="10" t="s">
        <v>42</v>
      </c>
    </row>
    <row r="414" ht="15.75" customHeight="1">
      <c r="A414" s="64">
        <v>45486.0</v>
      </c>
      <c r="B414" s="55" t="str">
        <f>HYPERLINK("https://jobright.ai/jobs/info/664ff5361fd1cde01cf0d6dd?utm_campaign=1058&amp;utm_source=sheet", "Apply")</f>
        <v>Apply</v>
      </c>
      <c r="C414" s="10" t="s">
        <v>20611</v>
      </c>
      <c r="D414" s="56" t="s">
        <v>11095</v>
      </c>
      <c r="E414" s="10" t="s">
        <v>45</v>
      </c>
      <c r="F414" s="10" t="s">
        <v>11096</v>
      </c>
      <c r="G414" s="10" t="s">
        <v>20592</v>
      </c>
      <c r="H414" s="10" t="s">
        <v>21304</v>
      </c>
      <c r="I414" s="10" t="s">
        <v>55</v>
      </c>
      <c r="J414" s="10" t="s">
        <v>20664</v>
      </c>
      <c r="K414" s="10" t="s">
        <v>20613</v>
      </c>
      <c r="L414" s="10" t="s">
        <v>42</v>
      </c>
    </row>
    <row r="415" ht="15.75" customHeight="1">
      <c r="A415" s="64">
        <v>45486.0</v>
      </c>
      <c r="B415" s="55" t="str">
        <f>HYPERLINK("https://jobright.ai/jobs/info/667609440f75793ae234e59c?utm_campaign=1058&amp;utm_source=sheet", "Apply")</f>
        <v>Apply</v>
      </c>
      <c r="C415" s="10" t="s">
        <v>20611</v>
      </c>
      <c r="D415" s="56" t="s">
        <v>11095</v>
      </c>
      <c r="E415" s="10" t="s">
        <v>45</v>
      </c>
      <c r="F415" s="10" t="s">
        <v>11096</v>
      </c>
      <c r="G415" s="10" t="s">
        <v>20592</v>
      </c>
      <c r="H415" s="10" t="s">
        <v>930</v>
      </c>
      <c r="I415" s="10" t="s">
        <v>55</v>
      </c>
      <c r="J415" s="10" t="s">
        <v>20965</v>
      </c>
      <c r="K415" s="10" t="s">
        <v>20613</v>
      </c>
      <c r="L415" s="10" t="s">
        <v>42</v>
      </c>
    </row>
    <row r="416" ht="15.75" customHeight="1">
      <c r="A416" s="64">
        <v>45486.0</v>
      </c>
      <c r="B416" s="55" t="str">
        <f>HYPERLINK("https://jobright.ai/jobs/info/667620fd4b84ce845b7f1e67?utm_campaign=1058&amp;utm_source=sheet", "Apply")</f>
        <v>Apply</v>
      </c>
      <c r="C416" s="10" t="s">
        <v>20700</v>
      </c>
      <c r="D416" s="56" t="s">
        <v>11095</v>
      </c>
      <c r="E416" s="10" t="s">
        <v>45</v>
      </c>
      <c r="F416" s="10" t="s">
        <v>11096</v>
      </c>
      <c r="G416" s="10" t="s">
        <v>20592</v>
      </c>
      <c r="H416" s="10" t="s">
        <v>859</v>
      </c>
      <c r="I416" s="10" t="s">
        <v>55</v>
      </c>
      <c r="J416" s="10" t="s">
        <v>20664</v>
      </c>
      <c r="K416" s="10" t="s">
        <v>20613</v>
      </c>
      <c r="L416" s="10" t="s">
        <v>42</v>
      </c>
    </row>
    <row r="417" ht="15.75" customHeight="1">
      <c r="A417" s="64">
        <v>45486.0</v>
      </c>
      <c r="B417" s="55" t="str">
        <f>HYPERLINK("https://jobright.ai/jobs/info/66769d2f391681eb9c091515?utm_campaign=1058&amp;utm_source=sheet", "Apply")</f>
        <v>Apply</v>
      </c>
      <c r="C417" s="10" t="s">
        <v>21305</v>
      </c>
      <c r="D417" s="56" t="s">
        <v>21306</v>
      </c>
      <c r="E417" s="10">
        <v>51.0</v>
      </c>
      <c r="G417" s="10" t="s">
        <v>20592</v>
      </c>
      <c r="H417" s="10" t="s">
        <v>3274</v>
      </c>
      <c r="I417" s="10" t="s">
        <v>55</v>
      </c>
      <c r="K417" s="10" t="s">
        <v>21307</v>
      </c>
      <c r="L417" s="10" t="s">
        <v>42</v>
      </c>
    </row>
    <row r="418" ht="15.75" customHeight="1">
      <c r="A418" s="64">
        <v>45486.0</v>
      </c>
      <c r="B418" s="55" t="str">
        <f>HYPERLINK("https://jobright.ai/jobs/info/66571b33ace48c3138bc1d24?utm_campaign=1058&amp;utm_source=sheet", "Apply")</f>
        <v>Apply</v>
      </c>
      <c r="C418" s="10" t="s">
        <v>20611</v>
      </c>
      <c r="D418" s="56" t="s">
        <v>11095</v>
      </c>
      <c r="E418" s="10" t="s">
        <v>45</v>
      </c>
      <c r="F418" s="10" t="s">
        <v>11096</v>
      </c>
      <c r="G418" s="10" t="s">
        <v>20592</v>
      </c>
      <c r="H418" s="10" t="s">
        <v>15952</v>
      </c>
      <c r="I418" s="10" t="s">
        <v>55</v>
      </c>
      <c r="J418" s="10" t="s">
        <v>20664</v>
      </c>
      <c r="K418" s="10" t="s">
        <v>20613</v>
      </c>
      <c r="L418" s="10" t="s">
        <v>42</v>
      </c>
    </row>
    <row r="419" ht="15.75" customHeight="1">
      <c r="A419" s="64">
        <v>45486.0</v>
      </c>
      <c r="B419" s="55" t="str">
        <f>HYPERLINK("https://jobright.ai/jobs/info/665026c0a84f87e434e098ce?utm_campaign=1058&amp;utm_source=sheet", "Apply")</f>
        <v>Apply</v>
      </c>
      <c r="C419" s="10" t="s">
        <v>20611</v>
      </c>
      <c r="D419" s="56" t="s">
        <v>11095</v>
      </c>
      <c r="E419" s="10" t="s">
        <v>45</v>
      </c>
      <c r="F419" s="10" t="s">
        <v>11096</v>
      </c>
      <c r="G419" s="10" t="s">
        <v>20592</v>
      </c>
      <c r="H419" s="10" t="s">
        <v>21308</v>
      </c>
      <c r="I419" s="10" t="s">
        <v>55</v>
      </c>
      <c r="J419" s="10" t="s">
        <v>20965</v>
      </c>
      <c r="K419" s="10" t="s">
        <v>20613</v>
      </c>
      <c r="L419" s="10" t="s">
        <v>42</v>
      </c>
    </row>
    <row r="420" ht="15.75" customHeight="1">
      <c r="A420" s="64">
        <v>45486.0</v>
      </c>
      <c r="B420" s="55" t="str">
        <f>HYPERLINK("https://jobright.ai/jobs/info/6675ea86a266c24fd0a158bf?utm_campaign=1058&amp;utm_source=sheet", "Apply")</f>
        <v>Apply</v>
      </c>
      <c r="C420" s="10" t="s">
        <v>20611</v>
      </c>
      <c r="D420" s="56" t="s">
        <v>11095</v>
      </c>
      <c r="E420" s="10" t="s">
        <v>45</v>
      </c>
      <c r="F420" s="10" t="s">
        <v>11096</v>
      </c>
      <c r="G420" s="10" t="s">
        <v>20592</v>
      </c>
      <c r="H420" s="10" t="s">
        <v>1006</v>
      </c>
      <c r="I420" s="10" t="s">
        <v>55</v>
      </c>
      <c r="J420" s="10" t="s">
        <v>20965</v>
      </c>
      <c r="K420" s="10" t="s">
        <v>20613</v>
      </c>
      <c r="L420" s="10" t="s">
        <v>42</v>
      </c>
    </row>
    <row r="421" ht="15.75" customHeight="1">
      <c r="A421" s="64">
        <v>45486.0</v>
      </c>
      <c r="B421" s="55" t="str">
        <f>HYPERLINK("https://jobright.ai/jobs/info/665a6b2963841fecb5a5b678?utm_campaign=1058&amp;utm_source=sheet", "Apply")</f>
        <v>Apply</v>
      </c>
      <c r="C421" s="10" t="s">
        <v>20611</v>
      </c>
      <c r="D421" s="56" t="s">
        <v>11095</v>
      </c>
      <c r="E421" s="10" t="s">
        <v>45</v>
      </c>
      <c r="F421" s="10" t="s">
        <v>11096</v>
      </c>
      <c r="G421" s="10" t="s">
        <v>20592</v>
      </c>
      <c r="H421" s="10" t="s">
        <v>21309</v>
      </c>
      <c r="I421" s="10" t="s">
        <v>55</v>
      </c>
      <c r="J421" s="10" t="s">
        <v>20664</v>
      </c>
      <c r="K421" s="10" t="s">
        <v>20613</v>
      </c>
      <c r="L421" s="10" t="s">
        <v>42</v>
      </c>
    </row>
    <row r="422" ht="15.75" customHeight="1">
      <c r="A422" s="64">
        <v>45486.0</v>
      </c>
      <c r="B422" s="55" t="str">
        <f>HYPERLINK("https://jobright.ai/jobs/info/664fd93de17834e563ff17cf?utm_campaign=1058&amp;utm_source=sheet", "Apply")</f>
        <v>Apply</v>
      </c>
      <c r="C422" s="10" t="s">
        <v>21310</v>
      </c>
      <c r="D422" s="56" t="s">
        <v>21311</v>
      </c>
      <c r="E422" s="10" t="s">
        <v>79</v>
      </c>
      <c r="F422" s="10" t="s">
        <v>21312</v>
      </c>
      <c r="G422" s="10" t="s">
        <v>20624</v>
      </c>
      <c r="H422" s="10" t="s">
        <v>434</v>
      </c>
      <c r="I422" s="10" t="s">
        <v>48</v>
      </c>
      <c r="J422" s="10" t="s">
        <v>1189</v>
      </c>
      <c r="K422" s="10" t="s">
        <v>21313</v>
      </c>
      <c r="L422" s="10" t="s">
        <v>42</v>
      </c>
    </row>
    <row r="423" ht="15.75" customHeight="1">
      <c r="A423" s="64">
        <v>45486.0</v>
      </c>
      <c r="B423" s="55" t="str">
        <f>HYPERLINK("https://jobright.ai/jobs/info/667601f7f1b86992c3646a75?utm_campaign=1058&amp;utm_source=sheet", "Apply")</f>
        <v>Apply</v>
      </c>
      <c r="C423" s="10" t="s">
        <v>20611</v>
      </c>
      <c r="D423" s="56" t="s">
        <v>11095</v>
      </c>
      <c r="E423" s="10" t="s">
        <v>45</v>
      </c>
      <c r="F423" s="10" t="s">
        <v>11096</v>
      </c>
      <c r="G423" s="10" t="s">
        <v>20592</v>
      </c>
      <c r="H423" s="10" t="s">
        <v>21314</v>
      </c>
      <c r="I423" s="10" t="s">
        <v>55</v>
      </c>
      <c r="J423" s="10" t="s">
        <v>20664</v>
      </c>
      <c r="K423" s="10" t="s">
        <v>20613</v>
      </c>
      <c r="L423" s="10" t="s">
        <v>42</v>
      </c>
    </row>
    <row r="424" ht="15.75" customHeight="1">
      <c r="A424" s="64">
        <v>45486.0</v>
      </c>
      <c r="B424" s="55" t="str">
        <f>HYPERLINK("https://jobright.ai/jobs/info/66760132f1b86992c3645eba?utm_campaign=1058&amp;utm_source=sheet", "Apply")</f>
        <v>Apply</v>
      </c>
      <c r="C424" s="10" t="s">
        <v>21315</v>
      </c>
      <c r="D424" s="56" t="s">
        <v>204</v>
      </c>
      <c r="E424" s="10" t="s">
        <v>45</v>
      </c>
      <c r="F424" s="10" t="s">
        <v>205</v>
      </c>
      <c r="G424" s="10" t="s">
        <v>20609</v>
      </c>
      <c r="H424" s="10" t="s">
        <v>153</v>
      </c>
      <c r="I424" s="10" t="s">
        <v>48</v>
      </c>
      <c r="K424" s="10" t="s">
        <v>21316</v>
      </c>
      <c r="L424" s="10" t="s">
        <v>42</v>
      </c>
    </row>
    <row r="425" ht="15.75" customHeight="1">
      <c r="A425" s="64">
        <v>45486.0</v>
      </c>
      <c r="B425" s="55" t="str">
        <f>HYPERLINK("https://jobright.ai/jobs/info/669217174e02a29a9452ff0f?utm_campaign=1058&amp;utm_source=sheet", "Apply")</f>
        <v>Apply</v>
      </c>
      <c r="C425" s="10" t="s">
        <v>21317</v>
      </c>
      <c r="D425" s="56" t="s">
        <v>21318</v>
      </c>
      <c r="E425" s="10" t="s">
        <v>209</v>
      </c>
      <c r="F425" s="10" t="s">
        <v>1893</v>
      </c>
      <c r="G425" s="10" t="s">
        <v>20624</v>
      </c>
      <c r="H425" s="10" t="s">
        <v>7305</v>
      </c>
      <c r="I425" s="10" t="s">
        <v>55</v>
      </c>
      <c r="K425" s="10" t="s">
        <v>21319</v>
      </c>
      <c r="L425" s="10" t="s">
        <v>42</v>
      </c>
    </row>
    <row r="426" ht="15.75" customHeight="1">
      <c r="A426" s="64">
        <v>45486.0</v>
      </c>
      <c r="B426" s="55" t="str">
        <f>HYPERLINK("https://jobright.ai/jobs/info/6692fc7a1df3a0692ba71458?utm_campaign=1058&amp;utm_source=sheet", "Apply")</f>
        <v>Apply</v>
      </c>
      <c r="C426" s="10" t="s">
        <v>21320</v>
      </c>
      <c r="D426" s="56" t="s">
        <v>21321</v>
      </c>
      <c r="E426" s="10" t="s">
        <v>65</v>
      </c>
      <c r="F426" s="10" t="s">
        <v>486</v>
      </c>
      <c r="G426" s="10" t="s">
        <v>20609</v>
      </c>
      <c r="H426" s="10" t="s">
        <v>1041</v>
      </c>
      <c r="I426" s="10" t="s">
        <v>55</v>
      </c>
      <c r="K426" s="10" t="s">
        <v>21322</v>
      </c>
      <c r="L426" s="10" t="s">
        <v>42</v>
      </c>
    </row>
    <row r="427" ht="15.75" customHeight="1">
      <c r="A427" s="64">
        <v>45485.0</v>
      </c>
      <c r="B427" s="55" t="str">
        <f>HYPERLINK("https://jobright.ai/jobs/info/6691c9c2cf3c8abe59ab6730?utm_campaign=1058&amp;utm_source=sheet", "Apply")</f>
        <v>Apply</v>
      </c>
      <c r="C427" s="10" t="s">
        <v>21323</v>
      </c>
      <c r="D427" s="56" t="s">
        <v>21324</v>
      </c>
      <c r="E427" s="10" t="s">
        <v>45</v>
      </c>
      <c r="F427" s="10" t="s">
        <v>1266</v>
      </c>
      <c r="G427" s="10" t="s">
        <v>20624</v>
      </c>
      <c r="H427" s="10" t="s">
        <v>974</v>
      </c>
      <c r="I427" s="10" t="s">
        <v>55</v>
      </c>
      <c r="K427" s="10" t="s">
        <v>21325</v>
      </c>
      <c r="L427" s="10" t="s">
        <v>42</v>
      </c>
    </row>
    <row r="428" ht="15.75" customHeight="1">
      <c r="A428" s="64">
        <v>45485.0</v>
      </c>
      <c r="B428" s="55" t="str">
        <f>HYPERLINK("https://jobright.ai/jobs/info/6691c77455fdc8d51c7e43cd?utm_campaign=1058&amp;utm_source=sheet", "Apply")</f>
        <v>Apply</v>
      </c>
      <c r="C428" s="10" t="s">
        <v>21326</v>
      </c>
      <c r="D428" s="56" t="s">
        <v>20039</v>
      </c>
      <c r="E428" s="10" t="s">
        <v>45</v>
      </c>
      <c r="F428" s="10" t="s">
        <v>2409</v>
      </c>
      <c r="G428" s="10" t="s">
        <v>20592</v>
      </c>
      <c r="H428" s="10" t="s">
        <v>232</v>
      </c>
      <c r="I428" s="10" t="s">
        <v>55</v>
      </c>
      <c r="J428" s="10" t="s">
        <v>21327</v>
      </c>
      <c r="K428" s="10" t="s">
        <v>21328</v>
      </c>
      <c r="L428" s="10" t="s">
        <v>42</v>
      </c>
    </row>
    <row r="429" ht="15.75" customHeight="1">
      <c r="A429" s="64">
        <v>45485.0</v>
      </c>
      <c r="B429" s="55" t="str">
        <f>HYPERLINK("https://jobright.ai/jobs/info/6691dee7e5dddfa7eaabd2bf?utm_campaign=1058&amp;utm_source=sheet", "Apply")</f>
        <v>Apply</v>
      </c>
      <c r="C429" s="10" t="s">
        <v>21329</v>
      </c>
      <c r="D429" s="56" t="s">
        <v>2522</v>
      </c>
      <c r="E429" s="10" t="s">
        <v>45</v>
      </c>
      <c r="F429" s="10" t="s">
        <v>1564</v>
      </c>
      <c r="G429" s="10" t="s">
        <v>20624</v>
      </c>
      <c r="H429" s="10" t="s">
        <v>845</v>
      </c>
      <c r="I429" s="10" t="s">
        <v>48</v>
      </c>
      <c r="J429" s="10" t="s">
        <v>2523</v>
      </c>
      <c r="K429" s="10" t="s">
        <v>21330</v>
      </c>
      <c r="L429" s="10" t="s">
        <v>42</v>
      </c>
    </row>
    <row r="430" ht="15.75" customHeight="1">
      <c r="A430" s="64">
        <v>45485.0</v>
      </c>
      <c r="B430" s="55" t="str">
        <f>HYPERLINK("https://jobright.ai/jobs/info/6691b8cdcc90539b647635d4?utm_campaign=1058&amp;utm_source=sheet", "Apply")</f>
        <v>Apply</v>
      </c>
      <c r="C430" s="10" t="s">
        <v>21323</v>
      </c>
      <c r="D430" s="56" t="s">
        <v>20806</v>
      </c>
      <c r="E430" s="10" t="s">
        <v>45</v>
      </c>
      <c r="F430" s="10" t="s">
        <v>20807</v>
      </c>
      <c r="G430" s="10" t="s">
        <v>20624</v>
      </c>
      <c r="H430" s="10" t="s">
        <v>974</v>
      </c>
      <c r="I430" s="10" t="s">
        <v>55</v>
      </c>
      <c r="K430" s="10" t="s">
        <v>21325</v>
      </c>
      <c r="L430" s="10" t="s">
        <v>42</v>
      </c>
    </row>
    <row r="431" ht="15.75" customHeight="1">
      <c r="A431" s="64">
        <v>45485.0</v>
      </c>
      <c r="B431" s="55" t="str">
        <f>HYPERLINK("https://jobright.ai/jobs/info/6691b43acdd4fd0eb3caecde?utm_campaign=1058&amp;utm_source=sheet", "Apply")</f>
        <v>Apply</v>
      </c>
      <c r="C431" s="10" t="s">
        <v>21331</v>
      </c>
      <c r="D431" s="56" t="s">
        <v>20660</v>
      </c>
      <c r="E431" s="10" t="s">
        <v>209</v>
      </c>
      <c r="F431" s="10" t="s">
        <v>19187</v>
      </c>
      <c r="G431" s="10" t="s">
        <v>20592</v>
      </c>
      <c r="H431" s="10" t="s">
        <v>3634</v>
      </c>
      <c r="I431" s="10" t="s">
        <v>55</v>
      </c>
      <c r="K431" s="10" t="s">
        <v>21265</v>
      </c>
      <c r="L431" s="10" t="s">
        <v>42</v>
      </c>
    </row>
    <row r="432" ht="15.75" customHeight="1">
      <c r="A432" s="64">
        <v>45485.0</v>
      </c>
      <c r="B432" s="55" t="str">
        <f>HYPERLINK("https://jobright.ai/jobs/info/669010044a77721ba220f2f0?utm_campaign=1058&amp;utm_source=sheet", "Apply")</f>
        <v>Apply</v>
      </c>
      <c r="C432" s="10" t="s">
        <v>21332</v>
      </c>
      <c r="D432" s="56" t="s">
        <v>9021</v>
      </c>
      <c r="E432" s="10" t="s">
        <v>209</v>
      </c>
      <c r="F432" s="10" t="s">
        <v>1833</v>
      </c>
      <c r="G432" s="10" t="s">
        <v>20624</v>
      </c>
      <c r="H432" s="10" t="s">
        <v>3320</v>
      </c>
      <c r="I432" s="10" t="s">
        <v>55</v>
      </c>
      <c r="K432" s="10" t="s">
        <v>21333</v>
      </c>
      <c r="L432" s="10" t="s">
        <v>42</v>
      </c>
    </row>
    <row r="433" ht="15.75" customHeight="1">
      <c r="A433" s="64">
        <v>45485.0</v>
      </c>
      <c r="B433" s="55" t="str">
        <f>HYPERLINK("https://jobright.ai/jobs/info/669179c34c0f79ebbd88d08f?utm_campaign=1058&amp;utm_source=sheet", "Apply")</f>
        <v>Apply</v>
      </c>
      <c r="C433" s="10" t="s">
        <v>21334</v>
      </c>
      <c r="D433" s="56" t="s">
        <v>21335</v>
      </c>
      <c r="E433" s="10" t="s">
        <v>249</v>
      </c>
      <c r="F433" s="10" t="s">
        <v>21336</v>
      </c>
      <c r="G433" s="10" t="s">
        <v>20624</v>
      </c>
      <c r="H433" s="10" t="s">
        <v>4813</v>
      </c>
      <c r="I433" s="10" t="s">
        <v>55</v>
      </c>
      <c r="K433" s="10" t="s">
        <v>21337</v>
      </c>
      <c r="L433" s="10" t="s">
        <v>42</v>
      </c>
    </row>
    <row r="434" ht="15.75" customHeight="1">
      <c r="A434" s="64">
        <v>45485.0</v>
      </c>
      <c r="B434" s="55" t="str">
        <f>HYPERLINK("https://jobright.ai/jobs/info/66751212fccfd24c9665ec13?utm_campaign=1058&amp;utm_source=sheet", "Apply")</f>
        <v>Apply</v>
      </c>
      <c r="C434" s="10" t="s">
        <v>21338</v>
      </c>
      <c r="D434" s="56" t="s">
        <v>11095</v>
      </c>
      <c r="E434" s="10" t="s">
        <v>45</v>
      </c>
      <c r="F434" s="10" t="s">
        <v>11096</v>
      </c>
      <c r="G434" s="10" t="s">
        <v>20592</v>
      </c>
      <c r="H434" s="10" t="s">
        <v>6362</v>
      </c>
      <c r="I434" s="10" t="s">
        <v>55</v>
      </c>
      <c r="J434" s="10" t="s">
        <v>20664</v>
      </c>
      <c r="K434" s="10" t="s">
        <v>20613</v>
      </c>
      <c r="L434" s="10" t="s">
        <v>42</v>
      </c>
    </row>
    <row r="435" ht="15.75" customHeight="1">
      <c r="A435" s="64">
        <v>45485.0</v>
      </c>
      <c r="B435" s="55" t="str">
        <f>HYPERLINK("https://jobright.ai/jobs/info/6674ce7ef7e94a7581ad2023?utm_campaign=1058&amp;utm_source=sheet", "Apply")</f>
        <v>Apply</v>
      </c>
      <c r="C435" s="10" t="s">
        <v>21153</v>
      </c>
      <c r="D435" s="56" t="s">
        <v>21154</v>
      </c>
      <c r="E435" s="10" t="s">
        <v>249</v>
      </c>
      <c r="F435" s="10" t="s">
        <v>16130</v>
      </c>
      <c r="G435" s="10" t="s">
        <v>20609</v>
      </c>
      <c r="H435" s="10" t="s">
        <v>19061</v>
      </c>
      <c r="I435" s="10" t="s">
        <v>55</v>
      </c>
      <c r="J435" s="10" t="s">
        <v>21155</v>
      </c>
      <c r="K435" s="10" t="s">
        <v>21156</v>
      </c>
      <c r="L435" s="10" t="s">
        <v>42</v>
      </c>
    </row>
    <row r="436" ht="15.75" customHeight="1">
      <c r="A436" s="64">
        <v>45485.0</v>
      </c>
      <c r="B436" s="55" t="str">
        <f>HYPERLINK("https://jobright.ai/jobs/info/66751b1a1345ca9e335e6f1e?utm_campaign=1058&amp;utm_source=sheet", "Apply")</f>
        <v>Apply</v>
      </c>
      <c r="C436" s="10" t="s">
        <v>20611</v>
      </c>
      <c r="D436" s="56" t="s">
        <v>11095</v>
      </c>
      <c r="E436" s="10" t="s">
        <v>45</v>
      </c>
      <c r="F436" s="10" t="s">
        <v>11096</v>
      </c>
      <c r="G436" s="10" t="s">
        <v>20592</v>
      </c>
      <c r="H436" s="10" t="s">
        <v>16744</v>
      </c>
      <c r="I436" s="10" t="s">
        <v>55</v>
      </c>
      <c r="J436" s="10" t="s">
        <v>20664</v>
      </c>
      <c r="K436" s="10" t="s">
        <v>20613</v>
      </c>
      <c r="L436" s="10" t="s">
        <v>42</v>
      </c>
    </row>
    <row r="437" ht="15.75" customHeight="1">
      <c r="A437" s="64">
        <v>45485.0</v>
      </c>
      <c r="B437" s="55" t="str">
        <f>HYPERLINK("https://jobright.ai/jobs/info/66a33fe96df6a1b9d22d599b?utm_campaign=1058&amp;utm_source=sheet", "Apply")</f>
        <v>Apply</v>
      </c>
      <c r="C437" s="10" t="s">
        <v>21339</v>
      </c>
      <c r="D437" s="56" t="s">
        <v>6809</v>
      </c>
      <c r="E437" s="10" t="s">
        <v>79</v>
      </c>
      <c r="F437" s="10" t="s">
        <v>4323</v>
      </c>
      <c r="G437" s="10" t="s">
        <v>20592</v>
      </c>
      <c r="H437" s="10" t="s">
        <v>6810</v>
      </c>
      <c r="I437" s="10" t="s">
        <v>55</v>
      </c>
      <c r="J437" s="10" t="s">
        <v>6811</v>
      </c>
      <c r="K437" s="10" t="s">
        <v>21340</v>
      </c>
      <c r="L437" s="10" t="s">
        <v>42</v>
      </c>
    </row>
    <row r="438" ht="15.75" customHeight="1">
      <c r="A438" s="64">
        <v>45485.0</v>
      </c>
      <c r="B438" s="55" t="str">
        <f>HYPERLINK("https://jobright.ai/jobs/info/6690c97550a8322cf99b8ecb?utm_campaign=1058&amp;utm_source=sheet", "Apply")</f>
        <v>Apply</v>
      </c>
      <c r="C438" s="10" t="s">
        <v>20643</v>
      </c>
      <c r="D438" s="56" t="s">
        <v>20644</v>
      </c>
      <c r="E438" s="10" t="s">
        <v>45</v>
      </c>
      <c r="F438" s="10" t="s">
        <v>20645</v>
      </c>
      <c r="G438" s="10" t="s">
        <v>20592</v>
      </c>
      <c r="H438" s="10" t="s">
        <v>1018</v>
      </c>
      <c r="I438" s="10" t="s">
        <v>55</v>
      </c>
      <c r="K438" s="10" t="s">
        <v>21009</v>
      </c>
      <c r="L438" s="10" t="s">
        <v>42</v>
      </c>
    </row>
    <row r="439" ht="15.75" customHeight="1">
      <c r="A439" s="64">
        <v>45485.0</v>
      </c>
      <c r="B439" s="55" t="str">
        <f>HYPERLINK("https://jobright.ai/jobs/info/6697359d55f25cd12fe91b32?utm_campaign=1058&amp;utm_source=sheet", "Apply")</f>
        <v>Apply</v>
      </c>
      <c r="C439" s="10" t="s">
        <v>21341</v>
      </c>
      <c r="D439" s="56" t="s">
        <v>2077</v>
      </c>
      <c r="E439" s="10" t="s">
        <v>45</v>
      </c>
      <c r="F439" s="10" t="s">
        <v>1234</v>
      </c>
      <c r="G439" s="10" t="s">
        <v>20609</v>
      </c>
      <c r="H439" s="10" t="s">
        <v>2078</v>
      </c>
      <c r="I439" s="10" t="s">
        <v>55</v>
      </c>
      <c r="J439" s="10" t="s">
        <v>10706</v>
      </c>
      <c r="K439" s="10" t="s">
        <v>21342</v>
      </c>
      <c r="L439" s="10" t="s">
        <v>42</v>
      </c>
    </row>
    <row r="440" ht="15.75" customHeight="1">
      <c r="A440" s="64">
        <v>45485.0</v>
      </c>
      <c r="B440" s="55" t="str">
        <f>HYPERLINK("https://jobright.ai/jobs/info/667b77b56d67dd6e98a669be?utm_campaign=1058&amp;utm_source=sheet", "Apply")</f>
        <v>Apply</v>
      </c>
      <c r="C440" s="10" t="s">
        <v>21343</v>
      </c>
      <c r="D440" s="56" t="s">
        <v>21344</v>
      </c>
      <c r="E440" s="10" t="s">
        <v>209</v>
      </c>
      <c r="F440" s="10" t="s">
        <v>2409</v>
      </c>
      <c r="G440" s="10" t="s">
        <v>20624</v>
      </c>
      <c r="H440" s="10" t="s">
        <v>21345</v>
      </c>
      <c r="I440" s="10" t="s">
        <v>55</v>
      </c>
      <c r="K440" s="10" t="s">
        <v>21346</v>
      </c>
      <c r="L440" s="10" t="s">
        <v>42</v>
      </c>
    </row>
    <row r="441" ht="15.75" customHeight="1">
      <c r="A441" s="64">
        <v>45485.0</v>
      </c>
      <c r="B441" s="55" t="str">
        <f>HYPERLINK("https://jobright.ai/jobs/info/669172682b5e177ed6cb03ce?utm_campaign=1058&amp;utm_source=sheet", "Apply")</f>
        <v>Apply</v>
      </c>
      <c r="C441" s="10" t="s">
        <v>21347</v>
      </c>
      <c r="D441" s="56" t="s">
        <v>21348</v>
      </c>
      <c r="E441" s="10" t="s">
        <v>45</v>
      </c>
      <c r="F441" s="10" t="s">
        <v>21349</v>
      </c>
      <c r="G441" s="10" t="s">
        <v>20624</v>
      </c>
      <c r="H441" s="10" t="s">
        <v>636</v>
      </c>
      <c r="I441" s="10" t="s">
        <v>55</v>
      </c>
      <c r="K441" s="10" t="s">
        <v>21350</v>
      </c>
      <c r="L441" s="10" t="s">
        <v>42</v>
      </c>
    </row>
    <row r="442" ht="15.75" customHeight="1">
      <c r="A442" s="64">
        <v>45485.0</v>
      </c>
      <c r="B442" s="55" t="str">
        <f>HYPERLINK("https://jobright.ai/jobs/info/6691d80fe3618e7075d74b69?utm_campaign=1058&amp;utm_source=sheet", "Apply")</f>
        <v>Apply</v>
      </c>
      <c r="C442" s="10" t="s">
        <v>21351</v>
      </c>
      <c r="D442" s="56" t="s">
        <v>14553</v>
      </c>
      <c r="E442" s="10">
        <v>10796.0</v>
      </c>
      <c r="G442" s="10" t="s">
        <v>20609</v>
      </c>
      <c r="H442" s="10" t="s">
        <v>14554</v>
      </c>
      <c r="I442" s="10" t="s">
        <v>55</v>
      </c>
      <c r="J442" s="10" t="s">
        <v>11147</v>
      </c>
      <c r="K442" s="10" t="s">
        <v>21352</v>
      </c>
      <c r="L442" s="10" t="s">
        <v>42</v>
      </c>
    </row>
    <row r="443" ht="15.75" customHeight="1">
      <c r="A443" s="64">
        <v>45485.0</v>
      </c>
      <c r="B443" s="55" t="str">
        <f>HYPERLINK("https://jobright.ai/jobs/info/669145af166407da661dae9d?utm_campaign=1058&amp;utm_source=sheet", "Apply")</f>
        <v>Apply</v>
      </c>
      <c r="C443" s="10" t="s">
        <v>21353</v>
      </c>
      <c r="D443" s="56" t="s">
        <v>21354</v>
      </c>
      <c r="E443" s="10" t="s">
        <v>209</v>
      </c>
      <c r="F443" s="10" t="s">
        <v>21355</v>
      </c>
      <c r="G443" s="10" t="s">
        <v>20609</v>
      </c>
      <c r="H443" s="10" t="s">
        <v>4868</v>
      </c>
      <c r="I443" s="10" t="s">
        <v>55</v>
      </c>
      <c r="K443" s="10" t="s">
        <v>21356</v>
      </c>
      <c r="L443" s="10" t="s">
        <v>42</v>
      </c>
    </row>
    <row r="444" ht="15.75" customHeight="1">
      <c r="A444" s="64">
        <v>45484.0</v>
      </c>
      <c r="B444" s="55" t="str">
        <f>HYPERLINK("https://jobright.ai/jobs/info/6690a7c044ba5bf941b3514a?utm_campaign=1058&amp;utm_source=sheet", "Apply")</f>
        <v>Apply</v>
      </c>
      <c r="C444" s="10" t="s">
        <v>20611</v>
      </c>
      <c r="D444" s="56" t="s">
        <v>11095</v>
      </c>
      <c r="E444" s="10" t="s">
        <v>45</v>
      </c>
      <c r="F444" s="10" t="s">
        <v>11096</v>
      </c>
      <c r="G444" s="10" t="s">
        <v>20592</v>
      </c>
      <c r="H444" s="10" t="s">
        <v>1030</v>
      </c>
      <c r="I444" s="10" t="s">
        <v>55</v>
      </c>
      <c r="J444" s="10" t="s">
        <v>20664</v>
      </c>
      <c r="K444" s="10" t="s">
        <v>20613</v>
      </c>
      <c r="L444" s="10" t="s">
        <v>42</v>
      </c>
    </row>
    <row r="445" ht="15.75" customHeight="1">
      <c r="A445" s="64">
        <v>45484.0</v>
      </c>
      <c r="B445" s="55" t="str">
        <f>HYPERLINK("https://jobright.ai/jobs/info/6690a7b144ba5bf941b350be?utm_campaign=1058&amp;utm_source=sheet", "Apply")</f>
        <v>Apply</v>
      </c>
      <c r="C445" s="10" t="s">
        <v>20611</v>
      </c>
      <c r="D445" s="56" t="s">
        <v>11095</v>
      </c>
      <c r="E445" s="10" t="s">
        <v>45</v>
      </c>
      <c r="F445" s="10" t="s">
        <v>11096</v>
      </c>
      <c r="G445" s="10" t="s">
        <v>20592</v>
      </c>
      <c r="H445" s="10" t="s">
        <v>21357</v>
      </c>
      <c r="I445" s="10" t="s">
        <v>55</v>
      </c>
      <c r="J445" s="10" t="s">
        <v>20733</v>
      </c>
      <c r="K445" s="10" t="s">
        <v>20613</v>
      </c>
      <c r="L445" s="10" t="s">
        <v>42</v>
      </c>
    </row>
    <row r="446" ht="15.75" customHeight="1">
      <c r="A446" s="64">
        <v>45484.0</v>
      </c>
      <c r="B446" s="55" t="str">
        <f>HYPERLINK("https://jobright.ai/jobs/info/6690c8f150a8322cf99b81c5?utm_campaign=1058&amp;utm_source=sheet", "Apply")</f>
        <v>Apply</v>
      </c>
      <c r="C446" s="10" t="s">
        <v>10658</v>
      </c>
      <c r="D446" s="56" t="s">
        <v>21358</v>
      </c>
      <c r="E446" s="10" t="s">
        <v>71</v>
      </c>
      <c r="F446" s="10" t="s">
        <v>1234</v>
      </c>
      <c r="G446" s="10" t="s">
        <v>20624</v>
      </c>
      <c r="H446" s="10" t="s">
        <v>4170</v>
      </c>
      <c r="I446" s="10" t="s">
        <v>55</v>
      </c>
      <c r="J446" s="10" t="s">
        <v>1873</v>
      </c>
      <c r="K446" s="10" t="s">
        <v>21359</v>
      </c>
      <c r="L446" s="10" t="s">
        <v>42</v>
      </c>
    </row>
    <row r="447" ht="15.75" customHeight="1">
      <c r="A447" s="64">
        <v>45484.0</v>
      </c>
      <c r="B447" s="55" t="str">
        <f>HYPERLINK("https://jobright.ai/jobs/info/6690c90850a8322cf99b8434?utm_campaign=1058&amp;utm_source=sheet", "Apply")</f>
        <v>Apply</v>
      </c>
      <c r="C447" s="10" t="s">
        <v>21360</v>
      </c>
      <c r="D447" s="56" t="s">
        <v>21361</v>
      </c>
      <c r="E447" s="10" t="s">
        <v>65</v>
      </c>
      <c r="F447" s="10" t="s">
        <v>4022</v>
      </c>
      <c r="G447" s="10" t="s">
        <v>20609</v>
      </c>
      <c r="H447" s="10" t="s">
        <v>1032</v>
      </c>
      <c r="I447" s="10" t="s">
        <v>55</v>
      </c>
      <c r="K447" s="10" t="s">
        <v>21362</v>
      </c>
      <c r="L447" s="10" t="s">
        <v>42</v>
      </c>
    </row>
    <row r="448" ht="15.75" customHeight="1">
      <c r="A448" s="64">
        <v>45484.0</v>
      </c>
      <c r="B448" s="55" t="str">
        <f>HYPERLINK("https://jobright.ai/jobs/info/66905a1af6b922c3462cbbc6?utm_campaign=1058&amp;utm_source=sheet", "Apply")</f>
        <v>Apply</v>
      </c>
      <c r="C448" s="10" t="s">
        <v>21363</v>
      </c>
      <c r="D448" s="56" t="s">
        <v>17559</v>
      </c>
      <c r="G448" s="10" t="s">
        <v>20624</v>
      </c>
      <c r="H448" s="10" t="s">
        <v>174</v>
      </c>
      <c r="I448" s="10" t="s">
        <v>55</v>
      </c>
      <c r="K448" s="10" t="s">
        <v>21364</v>
      </c>
      <c r="L448" s="10" t="s">
        <v>42</v>
      </c>
    </row>
    <row r="449" ht="15.75" customHeight="1">
      <c r="A449" s="64">
        <v>45484.0</v>
      </c>
      <c r="B449" s="55" t="str">
        <f>HYPERLINK("https://jobright.ai/jobs/info/6690cfcdb9480c9896c8ef89?utm_campaign=1058&amp;utm_source=sheet", "Apply")</f>
        <v>Apply</v>
      </c>
      <c r="C449" s="10" t="s">
        <v>21365</v>
      </c>
      <c r="D449" s="56" t="s">
        <v>21366</v>
      </c>
      <c r="E449" s="10" t="s">
        <v>45</v>
      </c>
      <c r="F449" s="10" t="s">
        <v>2409</v>
      </c>
      <c r="G449" s="10" t="s">
        <v>20624</v>
      </c>
      <c r="H449" s="10" t="s">
        <v>860</v>
      </c>
      <c r="I449" s="10" t="s">
        <v>55</v>
      </c>
      <c r="K449" s="10" t="s">
        <v>21367</v>
      </c>
      <c r="L449" s="10" t="s">
        <v>42</v>
      </c>
    </row>
    <row r="450" ht="15.75" customHeight="1">
      <c r="A450" s="64">
        <v>45484.0</v>
      </c>
      <c r="B450" s="55" t="str">
        <f>HYPERLINK("https://jobright.ai/jobs/info/6690bf58555345cb31083a68?utm_campaign=1058&amp;utm_source=sheet", "Apply")</f>
        <v>Apply</v>
      </c>
      <c r="C450" s="10" t="s">
        <v>21368</v>
      </c>
      <c r="D450" s="56" t="s">
        <v>21369</v>
      </c>
      <c r="E450" s="10" t="s">
        <v>276</v>
      </c>
      <c r="F450" s="10" t="s">
        <v>205</v>
      </c>
      <c r="G450" s="10" t="s">
        <v>20609</v>
      </c>
      <c r="H450" s="10" t="s">
        <v>860</v>
      </c>
      <c r="I450" s="10" t="s">
        <v>55</v>
      </c>
      <c r="K450" s="10" t="s">
        <v>21370</v>
      </c>
      <c r="L450" s="10" t="s">
        <v>42</v>
      </c>
    </row>
    <row r="451" ht="15.75" customHeight="1">
      <c r="A451" s="64">
        <v>45484.0</v>
      </c>
      <c r="B451" s="55" t="str">
        <f>HYPERLINK("https://jobright.ai/jobs/info/668cb6e9c5aa0957f9001a96?utm_campaign=1058&amp;utm_source=sheet", "Apply")</f>
        <v>Apply</v>
      </c>
      <c r="C451" s="10" t="s">
        <v>21371</v>
      </c>
      <c r="D451" s="56" t="s">
        <v>1650</v>
      </c>
      <c r="E451" s="10" t="s">
        <v>209</v>
      </c>
      <c r="F451" s="10" t="s">
        <v>1243</v>
      </c>
      <c r="G451" s="10" t="s">
        <v>20624</v>
      </c>
      <c r="H451" s="10" t="s">
        <v>106</v>
      </c>
      <c r="I451" s="10" t="s">
        <v>55</v>
      </c>
      <c r="K451" s="10" t="s">
        <v>21372</v>
      </c>
      <c r="L451" s="10" t="s">
        <v>42</v>
      </c>
    </row>
    <row r="452" ht="15.75" customHeight="1">
      <c r="A452" s="64">
        <v>45484.0</v>
      </c>
      <c r="B452" s="55" t="str">
        <f>HYPERLINK("https://jobright.ai/jobs/info/6692a08a26ba329262b1b6d2?utm_campaign=1058&amp;utm_source=sheet", "Apply")</f>
        <v>Apply</v>
      </c>
      <c r="C452" s="10" t="s">
        <v>21373</v>
      </c>
      <c r="D452" s="56" t="s">
        <v>2077</v>
      </c>
      <c r="E452" s="10" t="s">
        <v>45</v>
      </c>
      <c r="F452" s="10" t="s">
        <v>1234</v>
      </c>
      <c r="G452" s="10" t="s">
        <v>20592</v>
      </c>
      <c r="H452" s="10" t="s">
        <v>2078</v>
      </c>
      <c r="I452" s="10" t="s">
        <v>55</v>
      </c>
      <c r="J452" s="10" t="s">
        <v>10706</v>
      </c>
      <c r="K452" s="10" t="s">
        <v>21374</v>
      </c>
      <c r="L452" s="10" t="s">
        <v>42</v>
      </c>
    </row>
    <row r="453" ht="15.75" customHeight="1">
      <c r="A453" s="64">
        <v>45484.0</v>
      </c>
      <c r="B453" s="55" t="str">
        <f>HYPERLINK("https://jobright.ai/jobs/info/66900fd14a77721ba220edc0?utm_campaign=1058&amp;utm_source=sheet", "Apply")</f>
        <v>Apply</v>
      </c>
      <c r="C453" s="10" t="s">
        <v>21375</v>
      </c>
      <c r="D453" s="56" t="s">
        <v>21376</v>
      </c>
      <c r="E453" s="10" t="s">
        <v>79</v>
      </c>
      <c r="F453" s="10" t="s">
        <v>5585</v>
      </c>
      <c r="G453" s="10" t="s">
        <v>20592</v>
      </c>
      <c r="H453" s="10" t="s">
        <v>21377</v>
      </c>
      <c r="I453" s="10" t="s">
        <v>55</v>
      </c>
      <c r="K453" s="10" t="s">
        <v>21378</v>
      </c>
      <c r="L453" s="10" t="s">
        <v>42</v>
      </c>
    </row>
    <row r="454" ht="15.75" customHeight="1">
      <c r="A454" s="64">
        <v>45484.0</v>
      </c>
      <c r="B454" s="55" t="str">
        <f>HYPERLINK("https://jobright.ai/jobs/info/6690c9f250a8322cf99b9a0f?utm_campaign=1058&amp;utm_source=sheet", "Apply")</f>
        <v>Apply</v>
      </c>
      <c r="C454" s="10" t="s">
        <v>21379</v>
      </c>
      <c r="D454" s="56" t="s">
        <v>21380</v>
      </c>
      <c r="E454" s="10">
        <v>67626.0</v>
      </c>
      <c r="G454" s="10" t="s">
        <v>20592</v>
      </c>
      <c r="H454" s="10" t="s">
        <v>2222</v>
      </c>
      <c r="I454" s="10" t="s">
        <v>55</v>
      </c>
      <c r="J454" s="10" t="s">
        <v>21381</v>
      </c>
      <c r="K454" s="10" t="s">
        <v>21382</v>
      </c>
      <c r="L454" s="10" t="s">
        <v>42</v>
      </c>
    </row>
    <row r="455" ht="15.75" customHeight="1">
      <c r="A455" s="64">
        <v>45484.0</v>
      </c>
      <c r="B455" s="55" t="str">
        <f>HYPERLINK("https://jobright.ai/jobs/info/669110561275f0d7353dd28c?utm_campaign=1058&amp;utm_source=sheet", "Apply")</f>
        <v>Apply</v>
      </c>
      <c r="C455" s="10" t="s">
        <v>4630</v>
      </c>
      <c r="D455" s="56" t="s">
        <v>21383</v>
      </c>
      <c r="E455" s="10" t="s">
        <v>45</v>
      </c>
      <c r="F455" s="10" t="s">
        <v>205</v>
      </c>
      <c r="G455" s="10" t="s">
        <v>20624</v>
      </c>
      <c r="H455" s="10" t="s">
        <v>144</v>
      </c>
      <c r="I455" s="10" t="s">
        <v>55</v>
      </c>
      <c r="K455" s="10" t="s">
        <v>21384</v>
      </c>
      <c r="L455" s="10" t="s">
        <v>42</v>
      </c>
    </row>
    <row r="456" ht="15.75" customHeight="1">
      <c r="A456" s="64">
        <v>45484.0</v>
      </c>
      <c r="B456" s="55" t="str">
        <f>HYPERLINK("https://jobright.ai/jobs/info/668f514cb83c5343bfac7e67?utm_campaign=1058&amp;utm_source=sheet", "Apply")</f>
        <v>Apply</v>
      </c>
      <c r="C456" s="10" t="s">
        <v>21385</v>
      </c>
      <c r="D456" s="56" t="s">
        <v>1955</v>
      </c>
      <c r="E456" s="10" t="s">
        <v>45</v>
      </c>
      <c r="F456" s="10" t="s">
        <v>1234</v>
      </c>
      <c r="G456" s="10" t="s">
        <v>20624</v>
      </c>
      <c r="H456" s="10" t="s">
        <v>139</v>
      </c>
      <c r="I456" s="10" t="s">
        <v>55</v>
      </c>
      <c r="J456" s="10" t="s">
        <v>4117</v>
      </c>
      <c r="K456" s="10" t="s">
        <v>21386</v>
      </c>
      <c r="L456" s="10" t="s">
        <v>42</v>
      </c>
    </row>
    <row r="457" ht="15.75" customHeight="1">
      <c r="A457" s="64">
        <v>45484.0</v>
      </c>
      <c r="B457" s="55" t="str">
        <f>HYPERLINK("https://jobright.ai/jobs/info/669043939996333817a5b184?utm_campaign=1058&amp;utm_source=sheet", "Apply")</f>
        <v>Apply</v>
      </c>
      <c r="C457" s="10" t="s">
        <v>21387</v>
      </c>
      <c r="D457" s="56" t="s">
        <v>5461</v>
      </c>
      <c r="E457" s="10">
        <v>25.0</v>
      </c>
      <c r="G457" s="10" t="s">
        <v>20609</v>
      </c>
      <c r="H457" s="10" t="s">
        <v>983</v>
      </c>
      <c r="I457" s="10" t="s">
        <v>55</v>
      </c>
      <c r="J457" s="10" t="s">
        <v>1409</v>
      </c>
      <c r="K457" s="10" t="s">
        <v>21388</v>
      </c>
      <c r="L457" s="10" t="s">
        <v>42</v>
      </c>
    </row>
    <row r="458" ht="15.75" customHeight="1">
      <c r="A458" s="64">
        <v>45483.0</v>
      </c>
      <c r="B458" s="55" t="str">
        <f>HYPERLINK("https://jobright.ai/jobs/info/668f41d5e74ffdb5b6261864?utm_campaign=1058&amp;utm_source=sheet", "Apply")</f>
        <v>Apply</v>
      </c>
      <c r="C458" s="10" t="s">
        <v>21389</v>
      </c>
      <c r="D458" s="56" t="s">
        <v>21390</v>
      </c>
      <c r="E458" s="10" t="s">
        <v>79</v>
      </c>
      <c r="F458" s="10" t="s">
        <v>21391</v>
      </c>
      <c r="G458" s="10" t="s">
        <v>20592</v>
      </c>
      <c r="H458" s="10" t="s">
        <v>875</v>
      </c>
      <c r="I458" s="10" t="s">
        <v>55</v>
      </c>
      <c r="J458" s="10" t="s">
        <v>16681</v>
      </c>
      <c r="K458" s="10" t="s">
        <v>21392</v>
      </c>
      <c r="L458" s="10" t="s">
        <v>42</v>
      </c>
    </row>
    <row r="459" ht="15.75" customHeight="1">
      <c r="A459" s="64">
        <v>45483.0</v>
      </c>
      <c r="B459" s="55" t="str">
        <f>HYPERLINK("https://jobright.ai/jobs/info/668fe9252fc5ba37662c53f1?utm_campaign=1058&amp;utm_source=sheet", "Apply")</f>
        <v>Apply</v>
      </c>
      <c r="C459" s="10" t="s">
        <v>21393</v>
      </c>
      <c r="D459" s="56" t="s">
        <v>21394</v>
      </c>
      <c r="E459" s="10" t="s">
        <v>45</v>
      </c>
      <c r="F459" s="10" t="s">
        <v>2409</v>
      </c>
      <c r="G459" s="10" t="s">
        <v>20624</v>
      </c>
      <c r="H459" s="10" t="s">
        <v>9894</v>
      </c>
      <c r="I459" s="10" t="s">
        <v>55</v>
      </c>
      <c r="K459" s="10" t="s">
        <v>21395</v>
      </c>
      <c r="L459" s="10" t="s">
        <v>42</v>
      </c>
    </row>
    <row r="460" ht="15.75" customHeight="1">
      <c r="A460" s="64">
        <v>45483.0</v>
      </c>
      <c r="B460" s="55" t="str">
        <f>HYPERLINK("https://jobright.ai/jobs/info/668fe9252fc5ba37662c5421?utm_campaign=1058&amp;utm_source=sheet", "Apply")</f>
        <v>Apply</v>
      </c>
      <c r="C460" s="10" t="s">
        <v>21396</v>
      </c>
      <c r="D460" s="56" t="s">
        <v>21394</v>
      </c>
      <c r="E460" s="10" t="s">
        <v>45</v>
      </c>
      <c r="F460" s="10" t="s">
        <v>2409</v>
      </c>
      <c r="G460" s="10" t="s">
        <v>20624</v>
      </c>
      <c r="H460" s="10" t="s">
        <v>9894</v>
      </c>
      <c r="I460" s="10" t="s">
        <v>55</v>
      </c>
      <c r="K460" s="10" t="s">
        <v>21395</v>
      </c>
      <c r="L460" s="10" t="s">
        <v>42</v>
      </c>
    </row>
    <row r="461" ht="15.75" customHeight="1">
      <c r="A461" s="64">
        <v>45483.0</v>
      </c>
      <c r="B461" s="55" t="str">
        <f>HYPERLINK("https://jobright.ai/jobs/info/668fe76685be61dbaa64a0f5?utm_campaign=1058&amp;utm_source=sheet", "Apply")</f>
        <v>Apply</v>
      </c>
      <c r="C461" s="10" t="s">
        <v>21397</v>
      </c>
      <c r="D461" s="56" t="s">
        <v>21398</v>
      </c>
      <c r="E461" s="10" t="s">
        <v>45</v>
      </c>
      <c r="F461" s="10" t="s">
        <v>665</v>
      </c>
      <c r="G461" s="10" t="s">
        <v>20624</v>
      </c>
      <c r="H461" s="10" t="s">
        <v>21399</v>
      </c>
      <c r="I461" s="10" t="s">
        <v>55</v>
      </c>
      <c r="K461" s="10" t="s">
        <v>21400</v>
      </c>
      <c r="L461" s="10" t="s">
        <v>42</v>
      </c>
    </row>
    <row r="462" ht="15.75" customHeight="1">
      <c r="A462" s="64">
        <v>45483.0</v>
      </c>
      <c r="B462" s="55" t="str">
        <f>HYPERLINK("https://jobright.ai/jobs/info/66900ef25fce8cf04a522211?utm_campaign=1058&amp;utm_source=sheet", "Apply")</f>
        <v>Apply</v>
      </c>
      <c r="C462" s="10" t="s">
        <v>21401</v>
      </c>
      <c r="D462" s="56" t="s">
        <v>21402</v>
      </c>
      <c r="E462" s="10" t="s">
        <v>209</v>
      </c>
      <c r="F462" s="10" t="s">
        <v>21403</v>
      </c>
      <c r="G462" s="10" t="s">
        <v>20609</v>
      </c>
      <c r="H462" s="10" t="s">
        <v>117</v>
      </c>
      <c r="I462" s="10" t="s">
        <v>55</v>
      </c>
      <c r="J462" s="10" t="s">
        <v>21404</v>
      </c>
      <c r="K462" s="10" t="s">
        <v>21405</v>
      </c>
      <c r="L462" s="10" t="s">
        <v>42</v>
      </c>
    </row>
    <row r="463" ht="15.75" customHeight="1">
      <c r="A463" s="64">
        <v>45483.0</v>
      </c>
      <c r="B463" s="55" t="str">
        <f>HYPERLINK("https://jobright.ai/jobs/info/669001956322084f2d52cea0?utm_campaign=1058&amp;utm_source=sheet", "Apply")</f>
        <v>Apply</v>
      </c>
      <c r="C463" s="10" t="s">
        <v>2297</v>
      </c>
      <c r="D463" s="56" t="s">
        <v>6907</v>
      </c>
      <c r="E463" s="10" t="s">
        <v>137</v>
      </c>
      <c r="F463" s="10" t="s">
        <v>2806</v>
      </c>
      <c r="G463" s="10" t="s">
        <v>20609</v>
      </c>
      <c r="H463" s="10" t="s">
        <v>6918</v>
      </c>
      <c r="I463" s="10" t="s">
        <v>55</v>
      </c>
      <c r="K463" s="10" t="s">
        <v>21406</v>
      </c>
      <c r="L463" s="10" t="s">
        <v>42</v>
      </c>
    </row>
    <row r="464" ht="15.75" customHeight="1">
      <c r="A464" s="64">
        <v>45483.0</v>
      </c>
      <c r="B464" s="55" t="str">
        <f>HYPERLINK("https://jobright.ai/jobs/info/667208ac8b25e1143284a7e4?utm_campaign=1058&amp;utm_source=sheet", "Apply")</f>
        <v>Apply</v>
      </c>
      <c r="C464" s="10" t="s">
        <v>21407</v>
      </c>
      <c r="D464" s="56" t="s">
        <v>204</v>
      </c>
      <c r="E464" s="10" t="s">
        <v>45</v>
      </c>
      <c r="F464" s="10" t="s">
        <v>205</v>
      </c>
      <c r="G464" s="10" t="s">
        <v>20609</v>
      </c>
      <c r="H464" s="10" t="s">
        <v>153</v>
      </c>
      <c r="I464" s="10" t="s">
        <v>48</v>
      </c>
      <c r="K464" s="10" t="s">
        <v>21408</v>
      </c>
      <c r="L464" s="10" t="s">
        <v>42</v>
      </c>
    </row>
    <row r="465" ht="15.75" customHeight="1">
      <c r="A465" s="64">
        <v>45483.0</v>
      </c>
      <c r="B465" s="55" t="str">
        <f>HYPERLINK("https://jobright.ai/jobs/info/668fd2ca356b641823e30a5b?utm_campaign=1058&amp;utm_source=sheet", "Apply")</f>
        <v>Apply</v>
      </c>
      <c r="C465" s="10" t="s">
        <v>20611</v>
      </c>
      <c r="D465" s="56" t="s">
        <v>11095</v>
      </c>
      <c r="E465" s="10" t="s">
        <v>45</v>
      </c>
      <c r="F465" s="10" t="s">
        <v>11096</v>
      </c>
      <c r="G465" s="10" t="s">
        <v>20592</v>
      </c>
      <c r="H465" s="10" t="s">
        <v>21071</v>
      </c>
      <c r="I465" s="10" t="s">
        <v>55</v>
      </c>
      <c r="J465" s="10" t="s">
        <v>20664</v>
      </c>
      <c r="K465" s="10" t="s">
        <v>20613</v>
      </c>
      <c r="L465" s="10" t="s">
        <v>42</v>
      </c>
    </row>
    <row r="466" ht="15.75" customHeight="1">
      <c r="A466" s="64">
        <v>45483.0</v>
      </c>
      <c r="B466" s="55" t="str">
        <f>HYPERLINK("https://jobright.ai/jobs/info/668fd2bb356b641823e309f4?utm_campaign=1058&amp;utm_source=sheet", "Apply")</f>
        <v>Apply</v>
      </c>
      <c r="C466" s="10" t="s">
        <v>20611</v>
      </c>
      <c r="D466" s="56" t="s">
        <v>11095</v>
      </c>
      <c r="E466" s="10" t="s">
        <v>45</v>
      </c>
      <c r="F466" s="10" t="s">
        <v>11096</v>
      </c>
      <c r="G466" s="10" t="s">
        <v>20592</v>
      </c>
      <c r="H466" s="10" t="s">
        <v>21409</v>
      </c>
      <c r="I466" s="10" t="s">
        <v>55</v>
      </c>
      <c r="J466" s="10" t="s">
        <v>20664</v>
      </c>
      <c r="K466" s="10" t="s">
        <v>20613</v>
      </c>
      <c r="L466" s="10" t="s">
        <v>42</v>
      </c>
    </row>
    <row r="467" ht="15.75" customHeight="1">
      <c r="A467" s="64">
        <v>45483.0</v>
      </c>
      <c r="B467" s="55" t="str">
        <f>HYPERLINK("https://jobright.ai/jobs/info/668fd2bb356b641823e30a15?utm_campaign=1058&amp;utm_source=sheet", "Apply")</f>
        <v>Apply</v>
      </c>
      <c r="C467" s="10" t="s">
        <v>20611</v>
      </c>
      <c r="D467" s="56" t="s">
        <v>11095</v>
      </c>
      <c r="E467" s="10" t="s">
        <v>45</v>
      </c>
      <c r="F467" s="10" t="s">
        <v>11096</v>
      </c>
      <c r="G467" s="10" t="s">
        <v>20592</v>
      </c>
      <c r="H467" s="10" t="s">
        <v>154</v>
      </c>
      <c r="I467" s="10" t="s">
        <v>55</v>
      </c>
      <c r="J467" s="10" t="s">
        <v>20664</v>
      </c>
      <c r="K467" s="10" t="s">
        <v>20613</v>
      </c>
      <c r="L467" s="10" t="s">
        <v>42</v>
      </c>
    </row>
    <row r="468" ht="15.75" customHeight="1">
      <c r="A468" s="64">
        <v>45483.0</v>
      </c>
      <c r="B468" s="55" t="str">
        <f>HYPERLINK("https://jobright.ai/jobs/info/668fd2bb356b641823e30a27?utm_campaign=1058&amp;utm_source=sheet", "Apply")</f>
        <v>Apply</v>
      </c>
      <c r="C468" s="10" t="s">
        <v>20611</v>
      </c>
      <c r="D468" s="56" t="s">
        <v>11095</v>
      </c>
      <c r="E468" s="10" t="s">
        <v>45</v>
      </c>
      <c r="F468" s="10" t="s">
        <v>11096</v>
      </c>
      <c r="G468" s="10" t="s">
        <v>20592</v>
      </c>
      <c r="H468" s="10" t="s">
        <v>21410</v>
      </c>
      <c r="I468" s="10" t="s">
        <v>55</v>
      </c>
      <c r="J468" s="10" t="s">
        <v>20664</v>
      </c>
      <c r="K468" s="10" t="s">
        <v>20613</v>
      </c>
      <c r="L468" s="10" t="s">
        <v>42</v>
      </c>
    </row>
    <row r="469" ht="15.75" customHeight="1">
      <c r="A469" s="64">
        <v>45483.0</v>
      </c>
      <c r="B469" s="55" t="str">
        <f>HYPERLINK("https://jobright.ai/jobs/info/668fd2bb356b641823e30a2d?utm_campaign=1058&amp;utm_source=sheet", "Apply")</f>
        <v>Apply</v>
      </c>
      <c r="C469" s="10" t="s">
        <v>21411</v>
      </c>
      <c r="D469" s="56" t="s">
        <v>11095</v>
      </c>
      <c r="E469" s="10" t="s">
        <v>45</v>
      </c>
      <c r="F469" s="10" t="s">
        <v>11096</v>
      </c>
      <c r="G469" s="10" t="s">
        <v>20592</v>
      </c>
      <c r="H469" s="10" t="s">
        <v>2154</v>
      </c>
      <c r="I469" s="10" t="s">
        <v>55</v>
      </c>
      <c r="J469" s="10" t="s">
        <v>20664</v>
      </c>
      <c r="K469" s="10" t="s">
        <v>20613</v>
      </c>
      <c r="L469" s="10" t="s">
        <v>42</v>
      </c>
    </row>
    <row r="470" ht="15.75" customHeight="1">
      <c r="A470" s="64">
        <v>45483.0</v>
      </c>
      <c r="B470" s="55" t="str">
        <f>HYPERLINK("https://jobright.ai/jobs/info/667244cfbd2830cd1a1012ac?utm_campaign=1058&amp;utm_source=sheet", "Apply")</f>
        <v>Apply</v>
      </c>
      <c r="C470" s="10" t="s">
        <v>20611</v>
      </c>
      <c r="D470" s="56" t="s">
        <v>11095</v>
      </c>
      <c r="E470" s="10" t="s">
        <v>45</v>
      </c>
      <c r="F470" s="10" t="s">
        <v>11096</v>
      </c>
      <c r="G470" s="10" t="s">
        <v>20592</v>
      </c>
      <c r="H470" s="10" t="s">
        <v>12977</v>
      </c>
      <c r="I470" s="10" t="s">
        <v>55</v>
      </c>
      <c r="J470" s="10" t="s">
        <v>20664</v>
      </c>
      <c r="K470" s="10" t="s">
        <v>20613</v>
      </c>
      <c r="L470" s="10" t="s">
        <v>42</v>
      </c>
    </row>
    <row r="471" ht="15.75" customHeight="1">
      <c r="A471" s="64">
        <v>45483.0</v>
      </c>
      <c r="B471" s="55" t="str">
        <f>HYPERLINK("https://jobright.ai/jobs/info/66a0ee48b3fb11bcb3dad3e1?utm_campaign=1058&amp;utm_source=sheet", "Apply")</f>
        <v>Apply</v>
      </c>
      <c r="C471" s="10" t="s">
        <v>21412</v>
      </c>
      <c r="D471" s="56" t="s">
        <v>21413</v>
      </c>
      <c r="F471" s="10" t="s">
        <v>1922</v>
      </c>
      <c r="G471" s="10" t="s">
        <v>20592</v>
      </c>
      <c r="H471" s="10" t="s">
        <v>1030</v>
      </c>
      <c r="I471" s="10" t="s">
        <v>55</v>
      </c>
      <c r="K471" s="10" t="s">
        <v>21414</v>
      </c>
      <c r="L471" s="10" t="s">
        <v>42</v>
      </c>
    </row>
    <row r="472" ht="15.75" customHeight="1">
      <c r="A472" s="64">
        <v>45483.0</v>
      </c>
      <c r="B472" s="55" t="str">
        <f>HYPERLINK("https://jobright.ai/jobs/info/669110351275f0d7353dcfd9?utm_campaign=1058&amp;utm_source=sheet", "Apply")</f>
        <v>Apply</v>
      </c>
      <c r="C472" s="10" t="s">
        <v>21415</v>
      </c>
      <c r="D472" s="56" t="s">
        <v>4322</v>
      </c>
      <c r="E472" s="10" t="s">
        <v>45</v>
      </c>
      <c r="F472" s="10" t="s">
        <v>4323</v>
      </c>
      <c r="G472" s="10" t="s">
        <v>20592</v>
      </c>
      <c r="H472" s="10" t="s">
        <v>636</v>
      </c>
      <c r="I472" s="10" t="s">
        <v>55</v>
      </c>
      <c r="J472" s="10" t="s">
        <v>3651</v>
      </c>
      <c r="K472" s="10" t="s">
        <v>21416</v>
      </c>
      <c r="L472" s="10" t="s">
        <v>42</v>
      </c>
    </row>
    <row r="473" ht="15.75" customHeight="1">
      <c r="A473" s="64">
        <v>45483.0</v>
      </c>
      <c r="B473" s="55" t="str">
        <f>HYPERLINK("https://jobright.ai/jobs/info/6671c6a0eb6109503aa3ab02?utm_campaign=1058&amp;utm_source=sheet", "Apply")</f>
        <v>Apply</v>
      </c>
      <c r="C473" s="10" t="s">
        <v>21266</v>
      </c>
      <c r="D473" s="56" t="s">
        <v>7345</v>
      </c>
      <c r="E473" s="10" t="s">
        <v>45</v>
      </c>
      <c r="F473" s="10" t="s">
        <v>7346</v>
      </c>
      <c r="G473" s="10" t="s">
        <v>20609</v>
      </c>
      <c r="H473" s="10" t="s">
        <v>7347</v>
      </c>
      <c r="I473" s="10" t="s">
        <v>48</v>
      </c>
      <c r="J473" s="10" t="s">
        <v>7348</v>
      </c>
      <c r="K473" s="10" t="s">
        <v>21417</v>
      </c>
      <c r="L473" s="10" t="s">
        <v>42</v>
      </c>
    </row>
    <row r="474" ht="15.75" customHeight="1">
      <c r="A474" s="64">
        <v>45483.0</v>
      </c>
      <c r="B474" s="55" t="str">
        <f>HYPERLINK("https://jobright.ai/jobs/info/668e29cf54416b35b878ca11?utm_campaign=1058&amp;utm_source=sheet", "Apply")</f>
        <v>Apply</v>
      </c>
      <c r="C474" s="10" t="s">
        <v>21418</v>
      </c>
      <c r="D474" s="56" t="s">
        <v>21419</v>
      </c>
      <c r="E474" s="10" t="s">
        <v>79</v>
      </c>
      <c r="F474" s="10" t="s">
        <v>10270</v>
      </c>
      <c r="G474" s="10" t="s">
        <v>20592</v>
      </c>
      <c r="H474" s="10" t="s">
        <v>21420</v>
      </c>
      <c r="I474" s="10" t="s">
        <v>55</v>
      </c>
      <c r="K474" s="10" t="s">
        <v>21421</v>
      </c>
      <c r="L474" s="10" t="s">
        <v>42</v>
      </c>
    </row>
    <row r="475" ht="15.75" customHeight="1">
      <c r="A475" s="64">
        <v>45483.0</v>
      </c>
      <c r="B475" s="55" t="str">
        <f>HYPERLINK("https://jobright.ai/jobs/info/668ee57c902c429034a7a020?utm_campaign=1058&amp;utm_source=sheet", "Apply")</f>
        <v>Apply</v>
      </c>
      <c r="C475" s="10" t="s">
        <v>21422</v>
      </c>
      <c r="D475" s="56" t="s">
        <v>21423</v>
      </c>
      <c r="E475" s="10" t="s">
        <v>45</v>
      </c>
      <c r="F475" s="10" t="s">
        <v>2409</v>
      </c>
      <c r="G475" s="10" t="s">
        <v>20592</v>
      </c>
      <c r="H475" s="10" t="s">
        <v>4724</v>
      </c>
      <c r="I475" s="10" t="s">
        <v>55</v>
      </c>
      <c r="K475" s="10" t="s">
        <v>21424</v>
      </c>
      <c r="L475" s="10" t="s">
        <v>42</v>
      </c>
    </row>
    <row r="476" ht="15.75" customHeight="1">
      <c r="A476" s="64">
        <v>45483.0</v>
      </c>
      <c r="B476" s="55" t="str">
        <f>HYPERLINK("https://jobright.ai/jobs/info/668ee57c902c429034a79f84?utm_campaign=1058&amp;utm_source=sheet", "Apply")</f>
        <v>Apply</v>
      </c>
      <c r="C476" s="10" t="s">
        <v>21425</v>
      </c>
      <c r="D476" s="56" t="s">
        <v>21423</v>
      </c>
      <c r="E476" s="10" t="s">
        <v>45</v>
      </c>
      <c r="F476" s="10" t="s">
        <v>2409</v>
      </c>
      <c r="G476" s="10" t="s">
        <v>20624</v>
      </c>
      <c r="H476" s="10" t="s">
        <v>6214</v>
      </c>
      <c r="I476" s="10" t="s">
        <v>55</v>
      </c>
      <c r="K476" s="10" t="s">
        <v>21426</v>
      </c>
      <c r="L476" s="10" t="s">
        <v>42</v>
      </c>
    </row>
    <row r="477" ht="15.75" customHeight="1">
      <c r="A477" s="64">
        <v>45482.0</v>
      </c>
      <c r="B477" s="55" t="str">
        <f>HYPERLINK("https://jobright.ai/jobs/info/668e8a2906f3000f3f211faf?utm_campaign=1058&amp;utm_source=sheet", "Apply")</f>
        <v>Apply</v>
      </c>
      <c r="C477" s="10" t="s">
        <v>10658</v>
      </c>
      <c r="D477" s="56" t="s">
        <v>6758</v>
      </c>
      <c r="E477" s="10" t="s">
        <v>65</v>
      </c>
      <c r="F477" s="10" t="s">
        <v>1695</v>
      </c>
      <c r="G477" s="10" t="s">
        <v>20609</v>
      </c>
      <c r="H477" s="10" t="s">
        <v>3387</v>
      </c>
      <c r="I477" s="10" t="s">
        <v>55</v>
      </c>
      <c r="K477" s="10" t="s">
        <v>21427</v>
      </c>
      <c r="L477" s="10" t="s">
        <v>42</v>
      </c>
    </row>
    <row r="478" ht="15.75" customHeight="1">
      <c r="A478" s="64">
        <v>45482.0</v>
      </c>
      <c r="B478" s="55" t="str">
        <f>HYPERLINK("https://jobright.ai/jobs/info/668deb966da13c2496823ead?utm_campaign=1058&amp;utm_source=sheet", "Apply")</f>
        <v>Apply</v>
      </c>
      <c r="C478" s="10" t="s">
        <v>21428</v>
      </c>
      <c r="D478" s="56" t="s">
        <v>21429</v>
      </c>
      <c r="E478" s="10" t="s">
        <v>249</v>
      </c>
      <c r="F478" s="10" t="s">
        <v>1219</v>
      </c>
      <c r="G478" s="10" t="s">
        <v>20592</v>
      </c>
      <c r="H478" s="10" t="s">
        <v>21430</v>
      </c>
      <c r="I478" s="10" t="s">
        <v>55</v>
      </c>
      <c r="K478" s="10" t="s">
        <v>21431</v>
      </c>
      <c r="L478" s="10" t="s">
        <v>42</v>
      </c>
    </row>
    <row r="479" ht="15.75" customHeight="1">
      <c r="A479" s="64">
        <v>45482.0</v>
      </c>
      <c r="B479" s="55" t="str">
        <f>HYPERLINK("https://jobright.ai/jobs/info/666a5e79a19e01ec9ce4ed3a?utm_campaign=1058&amp;utm_source=sheet", "Apply")</f>
        <v>Apply</v>
      </c>
      <c r="C479" s="10" t="s">
        <v>20931</v>
      </c>
      <c r="D479" s="56" t="s">
        <v>21432</v>
      </c>
      <c r="E479" s="10" t="s">
        <v>209</v>
      </c>
      <c r="F479" s="10" t="s">
        <v>5602</v>
      </c>
      <c r="G479" s="10" t="s">
        <v>20609</v>
      </c>
      <c r="H479" s="10" t="s">
        <v>1263</v>
      </c>
      <c r="I479" s="10" t="s">
        <v>55</v>
      </c>
      <c r="K479" s="10" t="s">
        <v>21433</v>
      </c>
      <c r="L479" s="10" t="s">
        <v>42</v>
      </c>
    </row>
    <row r="480" ht="15.75" customHeight="1">
      <c r="A480" s="64">
        <v>45482.0</v>
      </c>
      <c r="B480" s="55" t="str">
        <f>HYPERLINK("https://jobright.ai/jobs/info/668dac2eb8f822826895dc15?utm_campaign=1058&amp;utm_source=sheet", "Apply")</f>
        <v>Apply</v>
      </c>
      <c r="C480" s="10" t="s">
        <v>21434</v>
      </c>
      <c r="D480" s="56" t="s">
        <v>1955</v>
      </c>
      <c r="E480" s="10" t="s">
        <v>45</v>
      </c>
      <c r="F480" s="10" t="s">
        <v>1234</v>
      </c>
      <c r="G480" s="10" t="s">
        <v>20592</v>
      </c>
      <c r="H480" s="10" t="s">
        <v>21435</v>
      </c>
      <c r="I480" s="10" t="s">
        <v>55</v>
      </c>
      <c r="J480" s="10" t="s">
        <v>1761</v>
      </c>
      <c r="K480" s="10" t="s">
        <v>21436</v>
      </c>
      <c r="L480" s="10" t="s">
        <v>42</v>
      </c>
    </row>
    <row r="481" ht="15.75" customHeight="1">
      <c r="A481" s="64">
        <v>45482.0</v>
      </c>
      <c r="B481" s="55" t="str">
        <f>HYPERLINK("https://jobright.ai/jobs/info/668d7870d5c4383256bc16cc?utm_campaign=1058&amp;utm_source=sheet", "Apply")</f>
        <v>Apply</v>
      </c>
      <c r="C481" s="10" t="s">
        <v>20643</v>
      </c>
      <c r="D481" s="56" t="s">
        <v>20644</v>
      </c>
      <c r="E481" s="10" t="s">
        <v>45</v>
      </c>
      <c r="F481" s="10" t="s">
        <v>20645</v>
      </c>
      <c r="G481" s="10" t="s">
        <v>20592</v>
      </c>
      <c r="H481" s="10" t="s">
        <v>21437</v>
      </c>
      <c r="I481" s="10" t="s">
        <v>55</v>
      </c>
      <c r="K481" s="10" t="s">
        <v>21009</v>
      </c>
      <c r="L481" s="10" t="s">
        <v>42</v>
      </c>
    </row>
    <row r="482" ht="15.75" customHeight="1">
      <c r="A482" s="64">
        <v>45482.0</v>
      </c>
      <c r="B482" s="55" t="str">
        <f>HYPERLINK("https://jobright.ai/jobs/info/668d785cd5c4383256bc154b?utm_campaign=1058&amp;utm_source=sheet", "Apply")</f>
        <v>Apply</v>
      </c>
      <c r="C482" s="10" t="s">
        <v>21438</v>
      </c>
      <c r="D482" s="56" t="s">
        <v>14788</v>
      </c>
      <c r="E482" s="59">
        <v>45301.0</v>
      </c>
      <c r="F482" s="10" t="s">
        <v>3180</v>
      </c>
      <c r="G482" s="10" t="s">
        <v>20624</v>
      </c>
      <c r="H482" s="10" t="s">
        <v>169</v>
      </c>
      <c r="I482" s="10" t="s">
        <v>55</v>
      </c>
      <c r="K482" s="10" t="s">
        <v>21439</v>
      </c>
      <c r="L482" s="10" t="s">
        <v>42</v>
      </c>
    </row>
    <row r="483" ht="15.75" customHeight="1">
      <c r="A483" s="64">
        <v>45482.0</v>
      </c>
      <c r="B483" s="55" t="str">
        <f>HYPERLINK("https://jobright.ai/jobs/info/6670aee6c54720eff27058f0?utm_campaign=1058&amp;utm_source=sheet", "Apply")</f>
        <v>Apply</v>
      </c>
      <c r="C483" s="10" t="s">
        <v>2297</v>
      </c>
      <c r="D483" s="56" t="s">
        <v>21440</v>
      </c>
      <c r="E483" s="10" t="s">
        <v>79</v>
      </c>
      <c r="F483" s="10" t="s">
        <v>19005</v>
      </c>
      <c r="G483" s="10" t="s">
        <v>20609</v>
      </c>
      <c r="H483" s="10" t="s">
        <v>911</v>
      </c>
      <c r="I483" s="10" t="s">
        <v>55</v>
      </c>
      <c r="K483" s="10" t="s">
        <v>21441</v>
      </c>
      <c r="L483" s="10" t="s">
        <v>42</v>
      </c>
    </row>
    <row r="484" ht="15.75" customHeight="1">
      <c r="A484" s="64">
        <v>45482.0</v>
      </c>
      <c r="B484" s="55" t="str">
        <f>HYPERLINK("https://jobright.ai/jobs/info/6679630df6b36b4aa01a325a?utm_campaign=1058&amp;utm_source=sheet", "Apply")</f>
        <v>Apply</v>
      </c>
      <c r="C484" s="10" t="s">
        <v>21442</v>
      </c>
      <c r="D484" s="56" t="s">
        <v>10975</v>
      </c>
      <c r="E484" s="10" t="s">
        <v>249</v>
      </c>
      <c r="F484" s="10" t="s">
        <v>1934</v>
      </c>
      <c r="G484" s="10" t="s">
        <v>20609</v>
      </c>
      <c r="H484" s="10" t="s">
        <v>1004</v>
      </c>
      <c r="I484" s="10" t="s">
        <v>55</v>
      </c>
      <c r="K484" s="10" t="s">
        <v>21443</v>
      </c>
      <c r="L484" s="10" t="s">
        <v>42</v>
      </c>
    </row>
    <row r="485" ht="15.75" customHeight="1">
      <c r="A485" s="64">
        <v>45482.0</v>
      </c>
      <c r="B485" s="55" t="str">
        <f>HYPERLINK("https://jobright.ai/jobs/info/668e76b57001c300f1fbb2a9?utm_campaign=1058&amp;utm_source=sheet", "Apply")</f>
        <v>Apply</v>
      </c>
      <c r="C485" s="10" t="s">
        <v>20611</v>
      </c>
      <c r="D485" s="56" t="s">
        <v>11095</v>
      </c>
      <c r="E485" s="10" t="s">
        <v>45</v>
      </c>
      <c r="F485" s="10" t="s">
        <v>11096</v>
      </c>
      <c r="G485" s="10" t="s">
        <v>20592</v>
      </c>
      <c r="H485" s="10" t="s">
        <v>16971</v>
      </c>
      <c r="I485" s="10" t="s">
        <v>55</v>
      </c>
      <c r="J485" s="10" t="s">
        <v>20664</v>
      </c>
      <c r="K485" s="10" t="s">
        <v>20613</v>
      </c>
      <c r="L485" s="10" t="s">
        <v>42</v>
      </c>
    </row>
    <row r="486" ht="15.75" customHeight="1">
      <c r="A486" s="64">
        <v>45482.0</v>
      </c>
      <c r="B486" s="55" t="str">
        <f>HYPERLINK("https://jobright.ai/jobs/info/668e1ea91442e86d6a4b3faf?utm_campaign=1058&amp;utm_source=sheet", "Apply")</f>
        <v>Apply</v>
      </c>
      <c r="C486" s="10" t="s">
        <v>20611</v>
      </c>
      <c r="D486" s="56" t="s">
        <v>11095</v>
      </c>
      <c r="E486" s="10" t="s">
        <v>45</v>
      </c>
      <c r="F486" s="10" t="s">
        <v>11096</v>
      </c>
      <c r="G486" s="10" t="s">
        <v>20592</v>
      </c>
      <c r="H486" s="10" t="s">
        <v>6759</v>
      </c>
      <c r="I486" s="10" t="s">
        <v>55</v>
      </c>
      <c r="J486" s="10" t="s">
        <v>20664</v>
      </c>
      <c r="K486" s="10" t="s">
        <v>20613</v>
      </c>
      <c r="L486" s="10" t="s">
        <v>42</v>
      </c>
    </row>
    <row r="487" ht="15.75" customHeight="1">
      <c r="A487" s="64">
        <v>45482.0</v>
      </c>
      <c r="B487" s="55" t="str">
        <f>HYPERLINK("https://jobright.ai/jobs/info/669662489695742e8c181886?utm_campaign=1058&amp;utm_source=sheet", "Apply")</f>
        <v>Apply</v>
      </c>
      <c r="C487" s="10" t="s">
        <v>21444</v>
      </c>
      <c r="D487" s="56" t="s">
        <v>1178</v>
      </c>
      <c r="E487" s="10" t="s">
        <v>137</v>
      </c>
      <c r="F487" s="10" t="s">
        <v>1179</v>
      </c>
      <c r="G487" s="10" t="s">
        <v>20592</v>
      </c>
      <c r="H487" s="10" t="s">
        <v>1254</v>
      </c>
      <c r="I487" s="10" t="s">
        <v>55</v>
      </c>
      <c r="K487" s="10" t="s">
        <v>21445</v>
      </c>
      <c r="L487" s="10" t="s">
        <v>42</v>
      </c>
    </row>
    <row r="488" ht="15.75" customHeight="1">
      <c r="A488" s="64">
        <v>45482.0</v>
      </c>
      <c r="B488" s="55" t="str">
        <f>HYPERLINK("https://jobright.ai/jobs/info/668d28e4e9464a99e8cabf32?utm_campaign=1058&amp;utm_source=sheet", "Apply")</f>
        <v>Apply</v>
      </c>
      <c r="C488" s="10" t="s">
        <v>20611</v>
      </c>
      <c r="D488" s="56" t="s">
        <v>11095</v>
      </c>
      <c r="E488" s="10" t="s">
        <v>45</v>
      </c>
      <c r="F488" s="10" t="s">
        <v>11096</v>
      </c>
      <c r="G488" s="10" t="s">
        <v>20592</v>
      </c>
      <c r="H488" s="10" t="s">
        <v>21446</v>
      </c>
      <c r="I488" s="10" t="s">
        <v>55</v>
      </c>
      <c r="J488" s="10" t="s">
        <v>20664</v>
      </c>
      <c r="K488" s="10" t="s">
        <v>20613</v>
      </c>
      <c r="L488" s="10" t="s">
        <v>42</v>
      </c>
    </row>
    <row r="489" ht="15.75" customHeight="1">
      <c r="A489" s="64">
        <v>45482.0</v>
      </c>
      <c r="B489" s="55" t="str">
        <f>HYPERLINK("https://jobright.ai/jobs/info/6670f6e7382db439f2c01034?utm_campaign=1058&amp;utm_source=sheet", "Apply")</f>
        <v>Apply</v>
      </c>
      <c r="C489" s="10" t="s">
        <v>20611</v>
      </c>
      <c r="D489" s="56" t="s">
        <v>11095</v>
      </c>
      <c r="E489" s="10" t="s">
        <v>45</v>
      </c>
      <c r="F489" s="10" t="s">
        <v>11096</v>
      </c>
      <c r="G489" s="10" t="s">
        <v>20592</v>
      </c>
      <c r="H489" s="10" t="s">
        <v>21447</v>
      </c>
      <c r="I489" s="10" t="s">
        <v>55</v>
      </c>
      <c r="J489" s="10" t="s">
        <v>20664</v>
      </c>
      <c r="K489" s="10" t="s">
        <v>20613</v>
      </c>
      <c r="L489" s="10" t="s">
        <v>42</v>
      </c>
    </row>
    <row r="490" ht="15.75" customHeight="1">
      <c r="A490" s="64">
        <v>45482.0</v>
      </c>
      <c r="B490" s="55" t="str">
        <f>HYPERLINK("https://jobright.ai/jobs/info/668536ba051ccec1a1d98def?utm_campaign=1058&amp;utm_source=sheet", "Apply")</f>
        <v>Apply</v>
      </c>
      <c r="C490" s="10" t="s">
        <v>21448</v>
      </c>
      <c r="D490" s="56" t="s">
        <v>21449</v>
      </c>
      <c r="E490" s="10" t="s">
        <v>65</v>
      </c>
      <c r="F490" s="10" t="s">
        <v>1184</v>
      </c>
      <c r="G490" s="10" t="s">
        <v>20609</v>
      </c>
      <c r="H490" s="10" t="s">
        <v>21450</v>
      </c>
      <c r="I490" s="10" t="s">
        <v>55</v>
      </c>
      <c r="J490" s="10" t="s">
        <v>1960</v>
      </c>
      <c r="K490" s="10" t="s">
        <v>21451</v>
      </c>
      <c r="L490" s="10" t="s">
        <v>42</v>
      </c>
    </row>
    <row r="491" ht="15.75" customHeight="1">
      <c r="A491" s="64">
        <v>45482.0</v>
      </c>
      <c r="B491" s="55" t="str">
        <f>HYPERLINK("https://jobright.ai/jobs/info/667d921c3d9d12ed42df5ae6?utm_campaign=1058&amp;utm_source=sheet", "Apply")</f>
        <v>Apply</v>
      </c>
      <c r="C491" s="10" t="s">
        <v>21233</v>
      </c>
      <c r="D491" s="56" t="s">
        <v>21452</v>
      </c>
      <c r="E491" s="10" t="s">
        <v>45</v>
      </c>
      <c r="F491" s="10" t="s">
        <v>2409</v>
      </c>
      <c r="G491" s="10" t="s">
        <v>20624</v>
      </c>
      <c r="H491" s="10" t="s">
        <v>1047</v>
      </c>
      <c r="I491" s="10" t="s">
        <v>55</v>
      </c>
      <c r="K491" s="10" t="s">
        <v>21235</v>
      </c>
      <c r="L491" s="10" t="s">
        <v>42</v>
      </c>
    </row>
    <row r="492" ht="15.75" customHeight="1">
      <c r="A492" s="64">
        <v>45482.0</v>
      </c>
      <c r="B492" s="55" t="str">
        <f>HYPERLINK("https://jobright.ai/jobs/info/668cc7f7a1023a7b515b5421?utm_campaign=1058&amp;utm_source=sheet", "Apply")</f>
        <v>Apply</v>
      </c>
      <c r="C492" s="10" t="s">
        <v>21453</v>
      </c>
      <c r="D492" s="56" t="s">
        <v>12377</v>
      </c>
      <c r="E492" s="10" t="s">
        <v>79</v>
      </c>
      <c r="G492" s="10" t="s">
        <v>20592</v>
      </c>
      <c r="H492" s="10" t="s">
        <v>12378</v>
      </c>
      <c r="I492" s="10" t="s">
        <v>55</v>
      </c>
      <c r="J492" s="10" t="s">
        <v>21454</v>
      </c>
      <c r="K492" s="10" t="s">
        <v>21455</v>
      </c>
      <c r="L492" s="10" t="s">
        <v>42</v>
      </c>
    </row>
    <row r="493" ht="15.75" customHeight="1">
      <c r="A493" s="64">
        <v>45481.0</v>
      </c>
      <c r="B493" s="55" t="str">
        <f>HYPERLINK("https://jobright.ai/jobs/info/668c73994eab7a4cfbe5427d?utm_campaign=1058&amp;utm_source=sheet", "Apply")</f>
        <v>Apply</v>
      </c>
      <c r="C493" s="10" t="s">
        <v>20740</v>
      </c>
      <c r="D493" s="56" t="s">
        <v>21456</v>
      </c>
      <c r="E493" s="10" t="s">
        <v>137</v>
      </c>
      <c r="F493" s="10" t="s">
        <v>12539</v>
      </c>
      <c r="G493" s="10" t="s">
        <v>20592</v>
      </c>
      <c r="H493" s="10" t="s">
        <v>96</v>
      </c>
      <c r="I493" s="10" t="s">
        <v>55</v>
      </c>
      <c r="J493" s="10" t="s">
        <v>1797</v>
      </c>
      <c r="K493" s="10" t="s">
        <v>21457</v>
      </c>
      <c r="L493" s="10" t="s">
        <v>42</v>
      </c>
    </row>
    <row r="494" ht="15.75" customHeight="1">
      <c r="A494" s="64">
        <v>45481.0</v>
      </c>
      <c r="B494" s="55" t="str">
        <f>HYPERLINK("https://jobright.ai/jobs/info/668d0ebf5c1b1ddc8b1936fd?utm_campaign=1058&amp;utm_source=sheet", "Apply")</f>
        <v>Apply</v>
      </c>
      <c r="C494" s="10" t="s">
        <v>10658</v>
      </c>
      <c r="D494" s="56" t="s">
        <v>2033</v>
      </c>
      <c r="E494" s="10" t="s">
        <v>209</v>
      </c>
      <c r="F494" s="10" t="s">
        <v>2034</v>
      </c>
      <c r="G494" s="10" t="s">
        <v>20592</v>
      </c>
      <c r="H494" s="10" t="s">
        <v>86</v>
      </c>
      <c r="I494" s="10" t="s">
        <v>55</v>
      </c>
      <c r="J494" s="10" t="s">
        <v>1608</v>
      </c>
      <c r="K494" s="10" t="s">
        <v>21458</v>
      </c>
      <c r="L494" s="10" t="s">
        <v>42</v>
      </c>
    </row>
    <row r="495" ht="15.75" customHeight="1">
      <c r="A495" s="64">
        <v>45481.0</v>
      </c>
      <c r="B495" s="55" t="str">
        <f>HYPERLINK("https://jobright.ai/jobs/info/668d0ebf5c1b1ddc8b19370b?utm_campaign=1058&amp;utm_source=sheet", "Apply")</f>
        <v>Apply</v>
      </c>
      <c r="C495" s="10" t="s">
        <v>10658</v>
      </c>
      <c r="D495" s="56" t="s">
        <v>2033</v>
      </c>
      <c r="E495" s="10" t="s">
        <v>209</v>
      </c>
      <c r="F495" s="10" t="s">
        <v>2034</v>
      </c>
      <c r="G495" s="10" t="s">
        <v>20592</v>
      </c>
      <c r="H495" s="10" t="s">
        <v>86</v>
      </c>
      <c r="I495" s="10" t="s">
        <v>55</v>
      </c>
      <c r="J495" s="10" t="s">
        <v>1608</v>
      </c>
      <c r="K495" s="10" t="s">
        <v>21459</v>
      </c>
      <c r="L495" s="10" t="s">
        <v>42</v>
      </c>
    </row>
    <row r="496" ht="15.75" customHeight="1">
      <c r="A496" s="64">
        <v>45481.0</v>
      </c>
      <c r="B496" s="55" t="str">
        <f>HYPERLINK("https://jobright.ai/jobs/info/6691299c19fd09214002b23b?utm_campaign=1058&amp;utm_source=sheet", "Apply")</f>
        <v>Apply</v>
      </c>
      <c r="C496" s="10" t="s">
        <v>21460</v>
      </c>
      <c r="D496" s="56" t="s">
        <v>13273</v>
      </c>
      <c r="E496" s="10" t="s">
        <v>45</v>
      </c>
      <c r="F496" s="10" t="s">
        <v>13274</v>
      </c>
      <c r="G496" s="10" t="s">
        <v>20609</v>
      </c>
      <c r="H496" s="10" t="s">
        <v>3791</v>
      </c>
      <c r="I496" s="10" t="s">
        <v>55</v>
      </c>
      <c r="K496" s="10" t="s">
        <v>21461</v>
      </c>
      <c r="L496" s="10" t="s">
        <v>42</v>
      </c>
    </row>
    <row r="497" ht="15.75" customHeight="1">
      <c r="A497" s="64">
        <v>45481.0</v>
      </c>
      <c r="B497" s="55" t="str">
        <f>HYPERLINK("https://jobright.ai/jobs/info/668fc1fba29d363c9aa76c50?utm_campaign=1058&amp;utm_source=sheet", "Apply")</f>
        <v>Apply</v>
      </c>
      <c r="C497" s="10" t="s">
        <v>21462</v>
      </c>
      <c r="D497" s="56" t="s">
        <v>13273</v>
      </c>
      <c r="E497" s="10" t="s">
        <v>45</v>
      </c>
      <c r="F497" s="10" t="s">
        <v>13274</v>
      </c>
      <c r="G497" s="10" t="s">
        <v>20592</v>
      </c>
      <c r="H497" s="10" t="s">
        <v>3847</v>
      </c>
      <c r="I497" s="10" t="s">
        <v>55</v>
      </c>
      <c r="K497" s="10" t="s">
        <v>14357</v>
      </c>
      <c r="L497" s="10" t="s">
        <v>42</v>
      </c>
    </row>
    <row r="498" ht="15.75" customHeight="1">
      <c r="A498" s="64">
        <v>45481.0</v>
      </c>
      <c r="B498" s="55" t="str">
        <f>HYPERLINK("https://jobright.ai/jobs/info/66592beefb1dd944df45ad64?utm_campaign=1058&amp;utm_source=sheet", "Apply")</f>
        <v>Apply</v>
      </c>
      <c r="C498" s="10" t="s">
        <v>21463</v>
      </c>
      <c r="D498" s="56" t="s">
        <v>21464</v>
      </c>
      <c r="E498" s="10" t="s">
        <v>209</v>
      </c>
      <c r="F498" s="10" t="s">
        <v>21465</v>
      </c>
      <c r="G498" s="10" t="s">
        <v>20624</v>
      </c>
      <c r="H498" s="10" t="s">
        <v>165</v>
      </c>
      <c r="I498" s="10" t="s">
        <v>55</v>
      </c>
      <c r="J498" s="10" t="s">
        <v>521</v>
      </c>
      <c r="K498" s="10" t="s">
        <v>21466</v>
      </c>
      <c r="L498" s="10" t="s">
        <v>42</v>
      </c>
    </row>
    <row r="499" ht="15.75" customHeight="1">
      <c r="A499" s="64">
        <v>45481.0</v>
      </c>
      <c r="B499" s="55" t="str">
        <f>HYPERLINK("https://jobright.ai/jobs/info/668bc74d882bb0e124cd4d65?utm_campaign=1058&amp;utm_source=sheet", "Apply")</f>
        <v>Apply</v>
      </c>
      <c r="C499" s="10" t="s">
        <v>21467</v>
      </c>
      <c r="D499" s="56" t="s">
        <v>20075</v>
      </c>
      <c r="E499" s="10" t="s">
        <v>45</v>
      </c>
      <c r="F499" s="10" t="s">
        <v>20076</v>
      </c>
      <c r="G499" s="10" t="s">
        <v>20624</v>
      </c>
      <c r="H499" s="10" t="s">
        <v>7721</v>
      </c>
      <c r="I499" s="10" t="s">
        <v>55</v>
      </c>
      <c r="K499" s="10" t="s">
        <v>21468</v>
      </c>
      <c r="L499" s="10" t="s">
        <v>42</v>
      </c>
    </row>
    <row r="500" ht="15.75" customHeight="1">
      <c r="A500" s="64">
        <v>45481.0</v>
      </c>
      <c r="B500" s="55" t="str">
        <f>HYPERLINK("https://jobright.ai/jobs/info/668ba730a5e515b2e7d73be2?utm_campaign=1058&amp;utm_source=sheet", "Apply")</f>
        <v>Apply</v>
      </c>
      <c r="C500" s="10" t="s">
        <v>21227</v>
      </c>
      <c r="D500" s="56" t="s">
        <v>1684</v>
      </c>
      <c r="E500" s="10" t="s">
        <v>209</v>
      </c>
      <c r="F500" s="10" t="s">
        <v>1685</v>
      </c>
      <c r="G500" s="10" t="s">
        <v>20609</v>
      </c>
      <c r="H500" s="10" t="s">
        <v>434</v>
      </c>
      <c r="I500" s="10" t="s">
        <v>55</v>
      </c>
      <c r="J500" s="10" t="s">
        <v>21228</v>
      </c>
      <c r="K500" s="10" t="s">
        <v>21229</v>
      </c>
      <c r="L500" s="10" t="s">
        <v>42</v>
      </c>
    </row>
    <row r="501" ht="15.75" customHeight="1">
      <c r="A501" s="64">
        <v>45481.0</v>
      </c>
      <c r="B501" s="55" t="str">
        <f>HYPERLINK("https://jobright.ai/jobs/info/668ba730a5e515b2e7d73be4?utm_campaign=1058&amp;utm_source=sheet", "Apply")</f>
        <v>Apply</v>
      </c>
      <c r="C501" s="10" t="s">
        <v>21227</v>
      </c>
      <c r="D501" s="56" t="s">
        <v>1684</v>
      </c>
      <c r="E501" s="10" t="s">
        <v>209</v>
      </c>
      <c r="F501" s="10" t="s">
        <v>1685</v>
      </c>
      <c r="G501" s="10" t="s">
        <v>20609</v>
      </c>
      <c r="H501" s="10" t="s">
        <v>131</v>
      </c>
      <c r="I501" s="10" t="s">
        <v>55</v>
      </c>
      <c r="J501" s="10" t="s">
        <v>21228</v>
      </c>
      <c r="K501" s="10" t="s">
        <v>21229</v>
      </c>
      <c r="L501" s="10" t="s">
        <v>42</v>
      </c>
    </row>
    <row r="502" ht="15.75" customHeight="1">
      <c r="A502" s="64">
        <v>45481.0</v>
      </c>
      <c r="B502" s="55" t="str">
        <f>HYPERLINK("https://jobright.ai/jobs/info/668ba42cddb42f9f981dd9fc?utm_campaign=1058&amp;utm_source=sheet", "Apply")</f>
        <v>Apply</v>
      </c>
      <c r="C502" s="10" t="s">
        <v>21227</v>
      </c>
      <c r="D502" s="56" t="s">
        <v>1684</v>
      </c>
      <c r="E502" s="10" t="s">
        <v>209</v>
      </c>
      <c r="F502" s="10" t="s">
        <v>1685</v>
      </c>
      <c r="G502" s="10" t="s">
        <v>20609</v>
      </c>
      <c r="H502" s="10" t="s">
        <v>994</v>
      </c>
      <c r="I502" s="10" t="s">
        <v>55</v>
      </c>
      <c r="J502" s="10" t="s">
        <v>21228</v>
      </c>
      <c r="K502" s="10" t="s">
        <v>21229</v>
      </c>
      <c r="L502" s="10" t="s">
        <v>42</v>
      </c>
    </row>
    <row r="503" ht="15.75" customHeight="1">
      <c r="A503" s="64">
        <v>45481.0</v>
      </c>
      <c r="B503" s="55" t="str">
        <f>HYPERLINK("https://jobright.ai/jobs/info/668ba42cddb42f9f981dd9ff?utm_campaign=1058&amp;utm_source=sheet", "Apply")</f>
        <v>Apply</v>
      </c>
      <c r="C503" s="10" t="s">
        <v>21227</v>
      </c>
      <c r="D503" s="56" t="s">
        <v>1684</v>
      </c>
      <c r="E503" s="10" t="s">
        <v>209</v>
      </c>
      <c r="F503" s="10" t="s">
        <v>1685</v>
      </c>
      <c r="G503" s="10" t="s">
        <v>20609</v>
      </c>
      <c r="H503" s="10" t="s">
        <v>188</v>
      </c>
      <c r="I503" s="10" t="s">
        <v>55</v>
      </c>
      <c r="J503" s="10" t="s">
        <v>21228</v>
      </c>
      <c r="K503" s="10" t="s">
        <v>21229</v>
      </c>
      <c r="L503" s="10" t="s">
        <v>42</v>
      </c>
    </row>
    <row r="504" ht="15.75" customHeight="1">
      <c r="A504" s="64">
        <v>45481.0</v>
      </c>
      <c r="B504" s="55" t="str">
        <f>HYPERLINK("https://jobright.ai/jobs/info/668ba42cddb42f9f981dd9fd?utm_campaign=1058&amp;utm_source=sheet", "Apply")</f>
        <v>Apply</v>
      </c>
      <c r="C504" s="10" t="s">
        <v>21227</v>
      </c>
      <c r="D504" s="56" t="s">
        <v>1684</v>
      </c>
      <c r="E504" s="10" t="s">
        <v>209</v>
      </c>
      <c r="F504" s="10" t="s">
        <v>1685</v>
      </c>
      <c r="G504" s="10" t="s">
        <v>20609</v>
      </c>
      <c r="H504" s="10" t="s">
        <v>144</v>
      </c>
      <c r="I504" s="10" t="s">
        <v>55</v>
      </c>
      <c r="J504" s="10" t="s">
        <v>21228</v>
      </c>
      <c r="K504" s="10" t="s">
        <v>21229</v>
      </c>
      <c r="L504" s="10" t="s">
        <v>42</v>
      </c>
    </row>
    <row r="505" ht="15.75" customHeight="1">
      <c r="A505" s="64">
        <v>45481.0</v>
      </c>
      <c r="B505" s="55" t="str">
        <f>HYPERLINK("https://jobright.ai/jobs/info/668ba42cddb42f9f981dd9fe?utm_campaign=1058&amp;utm_source=sheet", "Apply")</f>
        <v>Apply</v>
      </c>
      <c r="C505" s="10" t="s">
        <v>21227</v>
      </c>
      <c r="D505" s="56" t="s">
        <v>1684</v>
      </c>
      <c r="E505" s="10" t="s">
        <v>209</v>
      </c>
      <c r="F505" s="10" t="s">
        <v>1685</v>
      </c>
      <c r="G505" s="10" t="s">
        <v>20609</v>
      </c>
      <c r="H505" s="10" t="s">
        <v>794</v>
      </c>
      <c r="I505" s="10" t="s">
        <v>55</v>
      </c>
      <c r="J505" s="10" t="s">
        <v>21228</v>
      </c>
      <c r="K505" s="10" t="s">
        <v>21229</v>
      </c>
      <c r="L505" s="10" t="s">
        <v>42</v>
      </c>
    </row>
    <row r="506" ht="15.75" customHeight="1">
      <c r="A506" s="64">
        <v>45481.0</v>
      </c>
      <c r="B506" s="55" t="str">
        <f>HYPERLINK("https://jobright.ai/jobs/info/668b7b859f8be2511310f9c7?utm_campaign=1058&amp;utm_source=sheet", "Apply")</f>
        <v>Apply</v>
      </c>
      <c r="C506" s="10" t="s">
        <v>21469</v>
      </c>
      <c r="D506" s="56" t="s">
        <v>19672</v>
      </c>
      <c r="E506" s="10" t="s">
        <v>65</v>
      </c>
      <c r="F506" s="10" t="s">
        <v>2098</v>
      </c>
      <c r="G506" s="10" t="s">
        <v>20609</v>
      </c>
      <c r="H506" s="10" t="s">
        <v>21470</v>
      </c>
      <c r="I506" s="10" t="s">
        <v>55</v>
      </c>
      <c r="K506" s="10" t="s">
        <v>21471</v>
      </c>
      <c r="L506" s="10" t="s">
        <v>42</v>
      </c>
    </row>
    <row r="507" ht="15.75" customHeight="1">
      <c r="A507" s="64">
        <v>45481.0</v>
      </c>
      <c r="B507" s="55" t="str">
        <f>HYPERLINK("https://jobright.ai/jobs/info/668b4db636fc66f4e341ee3a?utm_campaign=1058&amp;utm_source=sheet", "Apply")</f>
        <v>Apply</v>
      </c>
      <c r="C507" s="10" t="s">
        <v>21472</v>
      </c>
      <c r="D507" s="56" t="s">
        <v>1955</v>
      </c>
      <c r="E507" s="10" t="s">
        <v>45</v>
      </c>
      <c r="F507" s="10" t="s">
        <v>1234</v>
      </c>
      <c r="G507" s="10" t="s">
        <v>20624</v>
      </c>
      <c r="H507" s="10" t="s">
        <v>139</v>
      </c>
      <c r="I507" s="10" t="s">
        <v>55</v>
      </c>
      <c r="J507" s="10" t="s">
        <v>1409</v>
      </c>
      <c r="K507" s="10" t="s">
        <v>19210</v>
      </c>
      <c r="L507" s="10" t="s">
        <v>42</v>
      </c>
    </row>
    <row r="508" ht="15.75" customHeight="1">
      <c r="A508" s="64">
        <v>45481.0</v>
      </c>
      <c r="B508" s="55" t="str">
        <f>HYPERLINK("https://jobright.ai/jobs/info/668b4db636fc66f4e341ee32?utm_campaign=1058&amp;utm_source=sheet", "Apply")</f>
        <v>Apply</v>
      </c>
      <c r="C508" s="10" t="s">
        <v>21473</v>
      </c>
      <c r="D508" s="56" t="s">
        <v>1955</v>
      </c>
      <c r="E508" s="10" t="s">
        <v>45</v>
      </c>
      <c r="F508" s="10" t="s">
        <v>1234</v>
      </c>
      <c r="G508" s="10" t="s">
        <v>20624</v>
      </c>
      <c r="H508" s="10" t="s">
        <v>139</v>
      </c>
      <c r="I508" s="10" t="s">
        <v>55</v>
      </c>
      <c r="J508" s="10" t="s">
        <v>521</v>
      </c>
      <c r="K508" s="10" t="s">
        <v>21474</v>
      </c>
      <c r="L508" s="10" t="s">
        <v>42</v>
      </c>
    </row>
    <row r="509" ht="15.75" customHeight="1">
      <c r="A509" s="64">
        <v>45481.0</v>
      </c>
      <c r="B509" s="55" t="str">
        <f>HYPERLINK("https://jobright.ai/jobs/info/668b4a4a31b621abadc21601?utm_campaign=1058&amp;utm_source=sheet", "Apply")</f>
        <v>Apply</v>
      </c>
      <c r="C509" s="10" t="s">
        <v>21469</v>
      </c>
      <c r="D509" s="56" t="s">
        <v>21475</v>
      </c>
      <c r="E509" s="59">
        <v>45301.0</v>
      </c>
      <c r="F509" s="10" t="s">
        <v>21476</v>
      </c>
      <c r="G509" s="10" t="s">
        <v>20609</v>
      </c>
      <c r="H509" s="10" t="s">
        <v>21470</v>
      </c>
      <c r="I509" s="10" t="s">
        <v>55</v>
      </c>
      <c r="K509" s="10" t="s">
        <v>21471</v>
      </c>
      <c r="L509" s="10" t="s">
        <v>42</v>
      </c>
    </row>
    <row r="510" ht="15.75" customHeight="1">
      <c r="A510" s="64">
        <v>45481.0</v>
      </c>
      <c r="B510" s="55" t="str">
        <f>HYPERLINK("https://jobright.ai/jobs/info/668c9129a04664baea38a648?utm_campaign=1058&amp;utm_source=sheet", "Apply")</f>
        <v>Apply</v>
      </c>
      <c r="C510" s="10" t="s">
        <v>21477</v>
      </c>
      <c r="D510" s="56" t="s">
        <v>21478</v>
      </c>
      <c r="E510" s="10" t="s">
        <v>45</v>
      </c>
      <c r="F510" s="10" t="s">
        <v>2617</v>
      </c>
      <c r="G510" s="10" t="s">
        <v>20624</v>
      </c>
      <c r="H510" s="10" t="s">
        <v>4960</v>
      </c>
      <c r="I510" s="10" t="s">
        <v>55</v>
      </c>
      <c r="K510" s="10" t="s">
        <v>21479</v>
      </c>
      <c r="L510" s="10" t="s">
        <v>42</v>
      </c>
    </row>
    <row r="511" ht="15.75" customHeight="1">
      <c r="A511" s="64">
        <v>45480.0</v>
      </c>
      <c r="B511" s="55" t="str">
        <f>HYPERLINK("https://jobright.ai/jobs/info/669d0f0d882781b0ee6b9738?utm_campaign=1058&amp;utm_source=sheet", "Apply")</f>
        <v>Apply</v>
      </c>
      <c r="C511" s="10" t="s">
        <v>2297</v>
      </c>
      <c r="D511" s="56" t="s">
        <v>21480</v>
      </c>
      <c r="E511" s="10" t="s">
        <v>249</v>
      </c>
      <c r="F511" s="10" t="s">
        <v>15258</v>
      </c>
      <c r="G511" s="10" t="s">
        <v>20609</v>
      </c>
      <c r="H511" s="10" t="s">
        <v>1008</v>
      </c>
      <c r="I511" s="10" t="s">
        <v>55</v>
      </c>
      <c r="J511" s="10" t="s">
        <v>1960</v>
      </c>
      <c r="K511" s="10" t="s">
        <v>21481</v>
      </c>
      <c r="L511" s="10" t="s">
        <v>42</v>
      </c>
    </row>
    <row r="512" ht="15.75" customHeight="1">
      <c r="A512" s="64">
        <v>45480.0</v>
      </c>
      <c r="B512" s="55" t="str">
        <f>HYPERLINK("https://jobright.ai/jobs/info/669cf75ae69f01075f02398b?utm_campaign=1058&amp;utm_source=sheet", "Apply")</f>
        <v>Apply</v>
      </c>
      <c r="C512" s="10" t="s">
        <v>20987</v>
      </c>
      <c r="D512" s="56" t="s">
        <v>4448</v>
      </c>
      <c r="E512" s="10" t="s">
        <v>71</v>
      </c>
      <c r="F512" s="10" t="s">
        <v>4449</v>
      </c>
      <c r="G512" s="10" t="s">
        <v>20624</v>
      </c>
      <c r="H512" s="10" t="s">
        <v>21482</v>
      </c>
      <c r="I512" s="10" t="s">
        <v>55</v>
      </c>
      <c r="K512" s="10" t="s">
        <v>4450</v>
      </c>
      <c r="L512" s="10" t="s">
        <v>42</v>
      </c>
    </row>
    <row r="513" ht="15.75" customHeight="1">
      <c r="A513" s="64">
        <v>45480.0</v>
      </c>
      <c r="B513" s="55" t="str">
        <f>HYPERLINK("https://jobright.ai/jobs/info/665921b8dc30f127d7d70cc1?utm_campaign=1058&amp;utm_source=sheet", "Apply")</f>
        <v>Apply</v>
      </c>
      <c r="C513" s="10" t="s">
        <v>21463</v>
      </c>
      <c r="D513" s="56" t="s">
        <v>21464</v>
      </c>
      <c r="E513" s="10" t="s">
        <v>209</v>
      </c>
      <c r="F513" s="10" t="s">
        <v>21465</v>
      </c>
      <c r="G513" s="10" t="s">
        <v>20624</v>
      </c>
      <c r="H513" s="10" t="s">
        <v>1260</v>
      </c>
      <c r="I513" s="10" t="s">
        <v>55</v>
      </c>
      <c r="J513" s="10" t="s">
        <v>521</v>
      </c>
      <c r="K513" s="10" t="s">
        <v>21466</v>
      </c>
      <c r="L513" s="10" t="s">
        <v>42</v>
      </c>
    </row>
    <row r="514" ht="15.75" customHeight="1">
      <c r="A514" s="64">
        <v>45479.0</v>
      </c>
      <c r="B514" s="55" t="str">
        <f>HYPERLINK("https://jobright.ai/jobs/info/668ff3a3e6aac4a147461a9c?utm_campaign=1058&amp;utm_source=sheet", "Apply")</f>
        <v>Apply</v>
      </c>
      <c r="C514" s="10" t="s">
        <v>21483</v>
      </c>
      <c r="D514" s="56" t="s">
        <v>21484</v>
      </c>
      <c r="E514" s="10" t="s">
        <v>65</v>
      </c>
      <c r="F514" s="10" t="s">
        <v>3225</v>
      </c>
      <c r="G514" s="10" t="s">
        <v>20624</v>
      </c>
      <c r="H514" s="10" t="s">
        <v>879</v>
      </c>
      <c r="I514" s="10" t="s">
        <v>55</v>
      </c>
      <c r="K514" s="10" t="s">
        <v>21485</v>
      </c>
      <c r="L514" s="10" t="s">
        <v>42</v>
      </c>
    </row>
    <row r="515" ht="15.75" customHeight="1">
      <c r="A515" s="64">
        <v>45479.0</v>
      </c>
      <c r="B515" s="55" t="str">
        <f>HYPERLINK("https://jobright.ai/jobs/info/669bb04f9cc20b26d98c07c3?utm_campaign=1058&amp;utm_source=sheet", "Apply")</f>
        <v>Apply</v>
      </c>
      <c r="C515" s="10" t="s">
        <v>20988</v>
      </c>
      <c r="D515" s="56" t="s">
        <v>4448</v>
      </c>
      <c r="E515" s="10" t="s">
        <v>71</v>
      </c>
      <c r="F515" s="10" t="s">
        <v>4449</v>
      </c>
      <c r="G515" s="10" t="s">
        <v>20609</v>
      </c>
      <c r="H515" s="10" t="s">
        <v>8246</v>
      </c>
      <c r="I515" s="10" t="s">
        <v>55</v>
      </c>
      <c r="K515" s="10" t="s">
        <v>4450</v>
      </c>
      <c r="L515" s="10" t="s">
        <v>42</v>
      </c>
    </row>
    <row r="516" ht="15.75" customHeight="1">
      <c r="A516" s="64">
        <v>45479.0</v>
      </c>
      <c r="B516" s="55" t="str">
        <f>HYPERLINK("https://jobright.ai/jobs/info/668d2f336cbb6889454a475f?utm_campaign=1058&amp;utm_source=sheet", "Apply")</f>
        <v>Apply</v>
      </c>
      <c r="C516" s="10" t="s">
        <v>20611</v>
      </c>
      <c r="D516" s="56" t="s">
        <v>11095</v>
      </c>
      <c r="E516" s="10" t="s">
        <v>45</v>
      </c>
      <c r="F516" s="10" t="s">
        <v>11096</v>
      </c>
      <c r="G516" s="10" t="s">
        <v>20592</v>
      </c>
      <c r="H516" s="10" t="s">
        <v>628</v>
      </c>
      <c r="I516" s="10" t="s">
        <v>55</v>
      </c>
      <c r="J516" s="10" t="s">
        <v>20664</v>
      </c>
      <c r="K516" s="10" t="s">
        <v>20613</v>
      </c>
      <c r="L516" s="10" t="s">
        <v>42</v>
      </c>
    </row>
    <row r="517" ht="15.75" customHeight="1">
      <c r="A517" s="64">
        <v>45479.0</v>
      </c>
      <c r="B517" s="55" t="str">
        <f>HYPERLINK("https://jobright.ai/jobs/info/668a8663c65b0798182027b3?utm_campaign=1058&amp;utm_source=sheet", "Apply")</f>
        <v>Apply</v>
      </c>
      <c r="C517" s="10" t="s">
        <v>20611</v>
      </c>
      <c r="D517" s="56" t="s">
        <v>11095</v>
      </c>
      <c r="E517" s="10" t="s">
        <v>45</v>
      </c>
      <c r="F517" s="10" t="s">
        <v>11096</v>
      </c>
      <c r="G517" s="10" t="s">
        <v>20592</v>
      </c>
      <c r="H517" s="10" t="s">
        <v>1015</v>
      </c>
      <c r="I517" s="10" t="s">
        <v>55</v>
      </c>
      <c r="J517" s="10" t="s">
        <v>20664</v>
      </c>
      <c r="K517" s="10" t="s">
        <v>20613</v>
      </c>
      <c r="L517" s="10" t="s">
        <v>42</v>
      </c>
    </row>
    <row r="518" ht="15.75" customHeight="1">
      <c r="A518" s="64">
        <v>45479.0</v>
      </c>
      <c r="B518" s="55" t="str">
        <f>HYPERLINK("https://jobright.ai/jobs/info/6675746031f584ec4862611a?utm_campaign=1058&amp;utm_source=sheet", "Apply")</f>
        <v>Apply</v>
      </c>
      <c r="C518" s="10" t="s">
        <v>20611</v>
      </c>
      <c r="D518" s="56" t="s">
        <v>11095</v>
      </c>
      <c r="E518" s="10" t="s">
        <v>45</v>
      </c>
      <c r="F518" s="10" t="s">
        <v>11096</v>
      </c>
      <c r="G518" s="10" t="s">
        <v>20592</v>
      </c>
      <c r="H518" s="10" t="s">
        <v>21486</v>
      </c>
      <c r="I518" s="10" t="s">
        <v>55</v>
      </c>
      <c r="J518" s="10" t="s">
        <v>20664</v>
      </c>
      <c r="K518" s="10" t="s">
        <v>20613</v>
      </c>
      <c r="L518" s="10" t="s">
        <v>42</v>
      </c>
    </row>
    <row r="519" ht="15.75" customHeight="1">
      <c r="A519" s="64">
        <v>45478.0</v>
      </c>
      <c r="B519" s="55" t="str">
        <f>HYPERLINK("https://jobright.ai/jobs/info/6688960867360f9e244e513e?utm_campaign=1058&amp;utm_source=sheet", "Apply")</f>
        <v>Apply</v>
      </c>
      <c r="C519" s="10" t="s">
        <v>21487</v>
      </c>
      <c r="D519" s="56" t="s">
        <v>21318</v>
      </c>
      <c r="E519" s="10" t="s">
        <v>209</v>
      </c>
      <c r="F519" s="10" t="s">
        <v>1893</v>
      </c>
      <c r="G519" s="10" t="s">
        <v>20624</v>
      </c>
      <c r="H519" s="10" t="s">
        <v>7305</v>
      </c>
      <c r="I519" s="10" t="s">
        <v>55</v>
      </c>
      <c r="K519" s="10" t="s">
        <v>21488</v>
      </c>
      <c r="L519" s="10" t="s">
        <v>42</v>
      </c>
    </row>
    <row r="520" ht="15.75" customHeight="1">
      <c r="A520" s="64">
        <v>45478.0</v>
      </c>
      <c r="B520" s="55" t="str">
        <f>HYPERLINK("https://jobright.ai/jobs/info/6688875e060c796bfbb93a3e?utm_campaign=1058&amp;utm_source=sheet", "Apply")</f>
        <v>Apply</v>
      </c>
      <c r="C520" s="10" t="s">
        <v>21487</v>
      </c>
      <c r="D520" s="56" t="s">
        <v>21318</v>
      </c>
      <c r="E520" s="10" t="s">
        <v>209</v>
      </c>
      <c r="F520" s="10" t="s">
        <v>1893</v>
      </c>
      <c r="G520" s="10" t="s">
        <v>20624</v>
      </c>
      <c r="H520" s="10" t="s">
        <v>21489</v>
      </c>
      <c r="I520" s="10" t="s">
        <v>55</v>
      </c>
      <c r="K520" s="10" t="s">
        <v>21490</v>
      </c>
      <c r="L520" s="10" t="s">
        <v>42</v>
      </c>
    </row>
    <row r="521" ht="15.75" customHeight="1">
      <c r="A521" s="64">
        <v>45478.0</v>
      </c>
      <c r="B521" s="55" t="str">
        <f>HYPERLINK("https://jobright.ai/jobs/info/66887085fd857308355f311c?utm_campaign=1058&amp;utm_source=sheet", "Apply")</f>
        <v>Apply</v>
      </c>
      <c r="C521" s="10" t="s">
        <v>21491</v>
      </c>
      <c r="D521" s="56" t="s">
        <v>21492</v>
      </c>
      <c r="E521" s="10" t="s">
        <v>65</v>
      </c>
      <c r="F521" s="10" t="s">
        <v>8589</v>
      </c>
      <c r="G521" s="10" t="s">
        <v>20592</v>
      </c>
      <c r="H521" s="10" t="s">
        <v>21493</v>
      </c>
      <c r="I521" s="10" t="s">
        <v>55</v>
      </c>
      <c r="K521" s="10" t="s">
        <v>21494</v>
      </c>
      <c r="L521" s="10" t="s">
        <v>42</v>
      </c>
    </row>
    <row r="522" ht="15.75" customHeight="1">
      <c r="A522" s="64">
        <v>45478.0</v>
      </c>
      <c r="B522" s="55" t="str">
        <f>HYPERLINK("https://jobright.ai/jobs/info/668850380abd1339a52502c8?utm_campaign=1058&amp;utm_source=sheet", "Apply")</f>
        <v>Apply</v>
      </c>
      <c r="C522" s="10" t="s">
        <v>21495</v>
      </c>
      <c r="D522" s="56" t="s">
        <v>18575</v>
      </c>
      <c r="F522" s="10" t="s">
        <v>2216</v>
      </c>
      <c r="G522" s="10" t="s">
        <v>20592</v>
      </c>
      <c r="H522" s="10" t="s">
        <v>5320</v>
      </c>
      <c r="I522" s="10" t="s">
        <v>55</v>
      </c>
      <c r="J522" s="10" t="s">
        <v>1761</v>
      </c>
      <c r="K522" s="10" t="s">
        <v>21496</v>
      </c>
      <c r="L522" s="10" t="s">
        <v>42</v>
      </c>
    </row>
    <row r="523" ht="15.75" customHeight="1">
      <c r="A523" s="64">
        <v>45478.0</v>
      </c>
      <c r="B523" s="55" t="str">
        <f>HYPERLINK("https://jobright.ai/jobs/info/66884ccee0a9adf406ff5d6a?utm_campaign=1058&amp;utm_source=sheet", "Apply")</f>
        <v>Apply</v>
      </c>
      <c r="C523" s="10" t="s">
        <v>21497</v>
      </c>
      <c r="D523" s="56" t="s">
        <v>21164</v>
      </c>
      <c r="E523" s="10" t="s">
        <v>45</v>
      </c>
      <c r="F523" s="10" t="s">
        <v>2617</v>
      </c>
      <c r="G523" s="10" t="s">
        <v>20624</v>
      </c>
      <c r="H523" s="10" t="s">
        <v>8562</v>
      </c>
      <c r="I523" s="10" t="s">
        <v>55</v>
      </c>
      <c r="K523" s="10" t="s">
        <v>21498</v>
      </c>
      <c r="L523" s="10" t="s">
        <v>42</v>
      </c>
    </row>
    <row r="524" ht="15.75" customHeight="1">
      <c r="A524" s="64">
        <v>45478.0</v>
      </c>
      <c r="B524" s="55" t="str">
        <f>HYPERLINK("https://jobright.ai/jobs/info/6688266b090bca6f85aea8c5?utm_campaign=1058&amp;utm_source=sheet", "Apply")</f>
        <v>Apply</v>
      </c>
      <c r="C524" s="10" t="s">
        <v>21497</v>
      </c>
      <c r="D524" s="56" t="s">
        <v>21499</v>
      </c>
      <c r="E524" s="10" t="s">
        <v>45</v>
      </c>
      <c r="F524" s="10" t="s">
        <v>2409</v>
      </c>
      <c r="G524" s="10" t="s">
        <v>20624</v>
      </c>
      <c r="H524" s="10" t="s">
        <v>8562</v>
      </c>
      <c r="I524" s="10" t="s">
        <v>55</v>
      </c>
      <c r="K524" s="10" t="s">
        <v>21498</v>
      </c>
      <c r="L524" s="10" t="s">
        <v>42</v>
      </c>
    </row>
    <row r="525" ht="15.75" customHeight="1">
      <c r="A525" s="64">
        <v>45478.0</v>
      </c>
      <c r="B525" s="55" t="str">
        <f>HYPERLINK("https://jobright.ai/jobs/info/6688223476fa2ac71305f2d5?utm_campaign=1058&amp;utm_source=sheet", "Apply")</f>
        <v>Apply</v>
      </c>
      <c r="C525" s="10" t="s">
        <v>21500</v>
      </c>
      <c r="D525" s="56" t="s">
        <v>20144</v>
      </c>
      <c r="E525" s="10" t="s">
        <v>276</v>
      </c>
      <c r="F525" s="10" t="s">
        <v>4901</v>
      </c>
      <c r="G525" s="10" t="s">
        <v>20609</v>
      </c>
      <c r="H525" s="10" t="s">
        <v>3317</v>
      </c>
      <c r="I525" s="10" t="s">
        <v>55</v>
      </c>
      <c r="K525" s="10" t="s">
        <v>21501</v>
      </c>
      <c r="L525" s="10" t="s">
        <v>42</v>
      </c>
    </row>
    <row r="526" ht="15.75" customHeight="1">
      <c r="A526" s="64">
        <v>45478.0</v>
      </c>
      <c r="B526" s="55" t="str">
        <f>HYPERLINK("https://jobright.ai/jobs/info/6684c304be0a4cb337df12bc?utm_campaign=1058&amp;utm_source=sheet", "Apply")</f>
        <v>Apply</v>
      </c>
      <c r="C526" s="10" t="s">
        <v>7594</v>
      </c>
      <c r="D526" s="56" t="s">
        <v>17702</v>
      </c>
      <c r="E526" s="10" t="s">
        <v>45</v>
      </c>
      <c r="F526" s="10" t="s">
        <v>2409</v>
      </c>
      <c r="G526" s="10" t="s">
        <v>20624</v>
      </c>
      <c r="H526" s="10" t="s">
        <v>21502</v>
      </c>
      <c r="I526" s="10" t="s">
        <v>55</v>
      </c>
      <c r="K526" s="10" t="s">
        <v>21503</v>
      </c>
      <c r="L526" s="10" t="s">
        <v>42</v>
      </c>
    </row>
    <row r="527" ht="15.75" customHeight="1">
      <c r="A527" s="64">
        <v>45478.0</v>
      </c>
      <c r="B527" s="55" t="str">
        <f>HYPERLINK("https://jobright.ai/jobs/info/6675cdddfde6a7756c635783?utm_campaign=1058&amp;utm_source=sheet", "Apply")</f>
        <v>Apply</v>
      </c>
      <c r="C527" s="10" t="s">
        <v>21504</v>
      </c>
      <c r="D527" s="56" t="s">
        <v>21505</v>
      </c>
      <c r="E527" s="10" t="s">
        <v>45</v>
      </c>
      <c r="F527" s="10" t="s">
        <v>21506</v>
      </c>
      <c r="G527" s="10" t="s">
        <v>20609</v>
      </c>
      <c r="H527" s="10" t="s">
        <v>914</v>
      </c>
      <c r="I527" s="10" t="s">
        <v>55</v>
      </c>
      <c r="K527" s="10" t="s">
        <v>21507</v>
      </c>
      <c r="L527" s="10" t="s">
        <v>42</v>
      </c>
    </row>
    <row r="528" ht="15.75" customHeight="1">
      <c r="A528" s="64">
        <v>45478.0</v>
      </c>
      <c r="B528" s="55" t="str">
        <f>HYPERLINK("https://jobright.ai/jobs/info/666b47ba5c2549fb6b38e422?utm_campaign=1058&amp;utm_source=sheet", "Apply")</f>
        <v>Apply</v>
      </c>
      <c r="C528" s="10" t="s">
        <v>21153</v>
      </c>
      <c r="D528" s="56" t="s">
        <v>21154</v>
      </c>
      <c r="E528" s="10" t="s">
        <v>249</v>
      </c>
      <c r="F528" s="10" t="s">
        <v>16130</v>
      </c>
      <c r="G528" s="10" t="s">
        <v>20609</v>
      </c>
      <c r="H528" s="10" t="s">
        <v>1263</v>
      </c>
      <c r="I528" s="10" t="s">
        <v>55</v>
      </c>
      <c r="J528" s="10" t="s">
        <v>21155</v>
      </c>
      <c r="K528" s="10" t="s">
        <v>21156</v>
      </c>
      <c r="L528" s="10" t="s">
        <v>42</v>
      </c>
    </row>
    <row r="529" ht="15.75" customHeight="1">
      <c r="A529" s="64">
        <v>45478.0</v>
      </c>
      <c r="B529" s="55" t="str">
        <f>HYPERLINK("https://jobright.ai/jobs/info/669a469cfc934eb2806413b5?utm_campaign=1058&amp;utm_source=sheet", "Apply")</f>
        <v>Apply</v>
      </c>
      <c r="C529" s="10" t="s">
        <v>21508</v>
      </c>
      <c r="D529" s="56" t="s">
        <v>1178</v>
      </c>
      <c r="E529" s="10" t="s">
        <v>137</v>
      </c>
      <c r="F529" s="10" t="s">
        <v>1179</v>
      </c>
      <c r="G529" s="10" t="s">
        <v>20592</v>
      </c>
      <c r="H529" s="10" t="s">
        <v>1254</v>
      </c>
      <c r="I529" s="10" t="s">
        <v>55</v>
      </c>
      <c r="K529" s="10" t="s">
        <v>21445</v>
      </c>
      <c r="L529" s="10" t="s">
        <v>42</v>
      </c>
    </row>
    <row r="530" ht="15.75" customHeight="1">
      <c r="A530" s="64">
        <v>45478.0</v>
      </c>
      <c r="B530" s="55" t="str">
        <f>HYPERLINK("https://jobright.ai/jobs/info/6690c4ce3406a0996a971583?utm_campaign=1058&amp;utm_source=sheet", "Apply")</f>
        <v>Apply</v>
      </c>
      <c r="C530" s="10" t="s">
        <v>2297</v>
      </c>
      <c r="D530" s="56" t="s">
        <v>21509</v>
      </c>
      <c r="E530" s="10" t="s">
        <v>65</v>
      </c>
      <c r="F530" s="10" t="s">
        <v>21510</v>
      </c>
      <c r="G530" s="10" t="s">
        <v>20609</v>
      </c>
      <c r="H530" s="10" t="s">
        <v>3022</v>
      </c>
      <c r="I530" s="10" t="s">
        <v>55</v>
      </c>
      <c r="K530" s="10" t="s">
        <v>21511</v>
      </c>
      <c r="L530" s="10" t="s">
        <v>42</v>
      </c>
    </row>
    <row r="531" ht="15.75" customHeight="1">
      <c r="A531" s="64">
        <v>45478.0</v>
      </c>
      <c r="B531" s="55" t="str">
        <f>HYPERLINK("https://jobright.ai/jobs/info/668835b8bc9ee9c419e99ff2?utm_campaign=1058&amp;utm_source=sheet", "Apply")</f>
        <v>Apply</v>
      </c>
      <c r="C531" s="10" t="s">
        <v>20871</v>
      </c>
      <c r="D531" s="56" t="s">
        <v>20403</v>
      </c>
      <c r="E531" s="10" t="s">
        <v>65</v>
      </c>
      <c r="F531" s="10" t="s">
        <v>1124</v>
      </c>
      <c r="G531" s="10" t="s">
        <v>20609</v>
      </c>
      <c r="H531" s="10" t="s">
        <v>21512</v>
      </c>
      <c r="I531" s="10" t="s">
        <v>55</v>
      </c>
      <c r="J531" s="10" t="s">
        <v>21513</v>
      </c>
      <c r="K531" s="10" t="s">
        <v>21514</v>
      </c>
      <c r="L531" s="10" t="s">
        <v>42</v>
      </c>
    </row>
    <row r="532" ht="15.75" customHeight="1">
      <c r="A532" s="64">
        <v>45477.0</v>
      </c>
      <c r="B532" s="55" t="str">
        <f>HYPERLINK("https://jobright.ai/jobs/info/6673542a1e558226485450e1?utm_campaign=1058&amp;utm_source=sheet", "Apply")</f>
        <v>Apply</v>
      </c>
      <c r="C532" s="10" t="s">
        <v>21515</v>
      </c>
      <c r="D532" s="56" t="s">
        <v>1989</v>
      </c>
      <c r="E532" s="10">
        <v>11491.0</v>
      </c>
      <c r="G532" s="10" t="s">
        <v>20624</v>
      </c>
      <c r="H532" s="10" t="s">
        <v>4261</v>
      </c>
      <c r="I532" s="10" t="s">
        <v>55</v>
      </c>
      <c r="K532" s="10" t="s">
        <v>21516</v>
      </c>
      <c r="L532" s="10" t="s">
        <v>42</v>
      </c>
    </row>
    <row r="533" ht="15.75" customHeight="1">
      <c r="A533" s="64">
        <v>45477.0</v>
      </c>
      <c r="B533" s="55" t="str">
        <f>HYPERLINK("https://jobright.ai/jobs/info/668688b99db87c158112a804?utm_campaign=1058&amp;utm_source=sheet", "Apply")</f>
        <v>Apply</v>
      </c>
      <c r="C533" s="10" t="s">
        <v>20669</v>
      </c>
      <c r="D533" s="56" t="s">
        <v>20670</v>
      </c>
      <c r="E533" s="10" t="s">
        <v>45</v>
      </c>
      <c r="F533" s="10" t="s">
        <v>7760</v>
      </c>
      <c r="G533" s="10" t="s">
        <v>20624</v>
      </c>
      <c r="H533" s="10" t="s">
        <v>3042</v>
      </c>
      <c r="I533" s="10" t="s">
        <v>55</v>
      </c>
      <c r="K533" s="10" t="s">
        <v>20671</v>
      </c>
      <c r="L533" s="10" t="s">
        <v>42</v>
      </c>
    </row>
    <row r="534" ht="15.75" customHeight="1">
      <c r="A534" s="64">
        <v>45477.0</v>
      </c>
      <c r="B534" s="55" t="str">
        <f>HYPERLINK("https://jobright.ai/jobs/info/6686631bf5ea752669984172?utm_campaign=1058&amp;utm_source=sheet", "Apply")</f>
        <v>Apply</v>
      </c>
      <c r="C534" s="10" t="s">
        <v>21517</v>
      </c>
      <c r="D534" s="56" t="s">
        <v>21518</v>
      </c>
      <c r="E534" s="10" t="s">
        <v>65</v>
      </c>
      <c r="G534" s="10" t="s">
        <v>20592</v>
      </c>
      <c r="H534" s="10" t="s">
        <v>21519</v>
      </c>
      <c r="I534" s="10" t="s">
        <v>55</v>
      </c>
      <c r="K534" s="10" t="s">
        <v>21520</v>
      </c>
      <c r="L534" s="10" t="s">
        <v>42</v>
      </c>
    </row>
    <row r="535" ht="15.75" customHeight="1">
      <c r="A535" s="64">
        <v>45477.0</v>
      </c>
      <c r="B535" s="55" t="str">
        <f>HYPERLINK("https://jobright.ai/jobs/info/66863386cde4220425047759?utm_campaign=1058&amp;utm_source=sheet", "Apply")</f>
        <v>Apply</v>
      </c>
      <c r="C535" s="10" t="s">
        <v>20869</v>
      </c>
      <c r="D535" s="56" t="s">
        <v>20697</v>
      </c>
      <c r="E535" s="10" t="s">
        <v>209</v>
      </c>
      <c r="F535" s="10" t="s">
        <v>2617</v>
      </c>
      <c r="G535" s="10" t="s">
        <v>20592</v>
      </c>
      <c r="H535" s="10" t="s">
        <v>777</v>
      </c>
      <c r="I535" s="10" t="s">
        <v>55</v>
      </c>
      <c r="J535" s="10" t="s">
        <v>20870</v>
      </c>
      <c r="K535" s="10" t="s">
        <v>21521</v>
      </c>
      <c r="L535" s="10" t="s">
        <v>42</v>
      </c>
    </row>
    <row r="536" ht="15.75" customHeight="1">
      <c r="A536" s="64">
        <v>45476.0</v>
      </c>
      <c r="B536" s="55" t="str">
        <f>HYPERLINK("https://jobright.ai/jobs/info/6685d9013aae3c4b011ad8bb?utm_campaign=1058&amp;utm_source=sheet", "Apply")</f>
        <v>Apply</v>
      </c>
      <c r="C536" s="10" t="s">
        <v>21522</v>
      </c>
      <c r="D536" s="56" t="s">
        <v>20264</v>
      </c>
      <c r="E536" s="10" t="s">
        <v>45</v>
      </c>
      <c r="F536" s="10" t="s">
        <v>18523</v>
      </c>
      <c r="G536" s="10" t="s">
        <v>20624</v>
      </c>
      <c r="H536" s="10" t="s">
        <v>21523</v>
      </c>
      <c r="I536" s="10" t="s">
        <v>55</v>
      </c>
      <c r="J536" s="10" t="s">
        <v>21524</v>
      </c>
      <c r="K536" s="10" t="s">
        <v>21525</v>
      </c>
      <c r="L536" s="10" t="s">
        <v>42</v>
      </c>
    </row>
    <row r="537" ht="15.75" customHeight="1">
      <c r="A537" s="64">
        <v>45476.0</v>
      </c>
      <c r="B537" s="55" t="str">
        <f>HYPERLINK("https://jobright.ai/jobs/info/66832174a46d7cc415a6e0af?utm_campaign=1058&amp;utm_source=sheet", "Apply")</f>
        <v>Apply</v>
      </c>
      <c r="C537" s="10" t="s">
        <v>7594</v>
      </c>
      <c r="D537" s="56" t="s">
        <v>17702</v>
      </c>
      <c r="E537" s="10" t="s">
        <v>45</v>
      </c>
      <c r="F537" s="10" t="s">
        <v>2409</v>
      </c>
      <c r="G537" s="10" t="s">
        <v>20624</v>
      </c>
      <c r="H537" s="10" t="s">
        <v>5946</v>
      </c>
      <c r="I537" s="10" t="s">
        <v>55</v>
      </c>
      <c r="K537" s="10" t="s">
        <v>21526</v>
      </c>
      <c r="L537" s="10" t="s">
        <v>42</v>
      </c>
    </row>
    <row r="538" ht="15.75" customHeight="1">
      <c r="A538" s="64">
        <v>45476.0</v>
      </c>
      <c r="B538" s="55" t="str">
        <f>HYPERLINK("https://jobright.ai/jobs/info/668566785afc77163088a74f?utm_campaign=1058&amp;utm_source=sheet", "Apply")</f>
        <v>Apply</v>
      </c>
      <c r="C538" s="10" t="s">
        <v>21527</v>
      </c>
      <c r="D538" s="56" t="s">
        <v>21528</v>
      </c>
      <c r="E538" s="10" t="s">
        <v>249</v>
      </c>
      <c r="F538" s="10" t="s">
        <v>20249</v>
      </c>
      <c r="G538" s="10" t="s">
        <v>20609</v>
      </c>
      <c r="H538" s="10" t="s">
        <v>4149</v>
      </c>
      <c r="I538" s="10" t="s">
        <v>55</v>
      </c>
      <c r="K538" s="10" t="s">
        <v>21529</v>
      </c>
      <c r="L538" s="10" t="s">
        <v>42</v>
      </c>
    </row>
    <row r="539" ht="15.75" customHeight="1">
      <c r="A539" s="64">
        <v>45476.0</v>
      </c>
      <c r="B539" s="55" t="str">
        <f>HYPERLINK("https://jobright.ai/jobs/info/668d2f606cbb6889454a4a36?utm_campaign=1058&amp;utm_source=sheet", "Apply")</f>
        <v>Apply</v>
      </c>
      <c r="C539" s="10" t="s">
        <v>21530</v>
      </c>
      <c r="D539" s="56" t="s">
        <v>14998</v>
      </c>
      <c r="E539" s="10" t="s">
        <v>79</v>
      </c>
      <c r="F539" s="10" t="s">
        <v>14999</v>
      </c>
      <c r="G539" s="10" t="s">
        <v>20609</v>
      </c>
      <c r="H539" s="10" t="s">
        <v>605</v>
      </c>
      <c r="I539" s="10" t="s">
        <v>55</v>
      </c>
      <c r="K539" s="10" t="s">
        <v>21531</v>
      </c>
      <c r="L539" s="10" t="s">
        <v>42</v>
      </c>
    </row>
    <row r="540" ht="15.75" customHeight="1">
      <c r="A540" s="64">
        <v>45476.0</v>
      </c>
      <c r="B540" s="55" t="str">
        <f>HYPERLINK("https://jobright.ai/jobs/info/6687ab55c927439a86858f76?utm_campaign=1058&amp;utm_source=sheet", "Apply")</f>
        <v>Apply</v>
      </c>
      <c r="C540" s="10" t="s">
        <v>21532</v>
      </c>
      <c r="D540" s="56" t="s">
        <v>21164</v>
      </c>
      <c r="E540" s="10" t="s">
        <v>45</v>
      </c>
      <c r="F540" s="10" t="s">
        <v>2617</v>
      </c>
      <c r="G540" s="10" t="s">
        <v>20624</v>
      </c>
      <c r="H540" s="10" t="s">
        <v>4079</v>
      </c>
      <c r="I540" s="10" t="s">
        <v>55</v>
      </c>
      <c r="K540" s="10" t="s">
        <v>21533</v>
      </c>
      <c r="L540" s="10" t="s">
        <v>42</v>
      </c>
    </row>
    <row r="541" ht="15.75" customHeight="1">
      <c r="A541" s="64">
        <v>45476.0</v>
      </c>
      <c r="B541" s="55" t="str">
        <f>HYPERLINK("https://jobright.ai/jobs/info/6685b5cc7a987717e839582e?utm_campaign=1058&amp;utm_source=sheet", "Apply")</f>
        <v>Apply</v>
      </c>
      <c r="C541" s="10" t="s">
        <v>21534</v>
      </c>
      <c r="D541" s="56" t="s">
        <v>21535</v>
      </c>
      <c r="E541" s="10" t="s">
        <v>276</v>
      </c>
      <c r="F541" s="10" t="s">
        <v>21536</v>
      </c>
      <c r="G541" s="10" t="s">
        <v>20592</v>
      </c>
      <c r="H541" s="10" t="s">
        <v>21537</v>
      </c>
      <c r="I541" s="10" t="s">
        <v>55</v>
      </c>
      <c r="K541" s="10" t="s">
        <v>21538</v>
      </c>
      <c r="L541" s="10" t="s">
        <v>42</v>
      </c>
    </row>
    <row r="542" ht="15.75" customHeight="1">
      <c r="A542" s="64">
        <v>45475.0</v>
      </c>
      <c r="B542" s="55" t="str">
        <f>HYPERLINK("https://jobright.ai/jobs/info/668490e623fbc70f728b9f4b?utm_campaign=1058&amp;utm_source=sheet", "Apply")</f>
        <v>Apply</v>
      </c>
      <c r="C542" s="10" t="s">
        <v>21539</v>
      </c>
      <c r="D542" s="56" t="s">
        <v>21540</v>
      </c>
      <c r="E542" s="10" t="s">
        <v>71</v>
      </c>
      <c r="F542" s="10" t="s">
        <v>21541</v>
      </c>
      <c r="G542" s="10" t="s">
        <v>20624</v>
      </c>
      <c r="H542" s="10" t="s">
        <v>898</v>
      </c>
      <c r="I542" s="10" t="s">
        <v>55</v>
      </c>
      <c r="J542" s="10" t="s">
        <v>1873</v>
      </c>
      <c r="K542" s="10" t="s">
        <v>21542</v>
      </c>
      <c r="L542" s="10" t="s">
        <v>42</v>
      </c>
    </row>
    <row r="543" ht="15.75" customHeight="1">
      <c r="A543" s="64">
        <v>45475.0</v>
      </c>
      <c r="B543" s="55" t="str">
        <f>HYPERLINK("https://jobright.ai/jobs/info/668497d7c724a14cd4277c93?utm_campaign=1058&amp;utm_source=sheet", "Apply")</f>
        <v>Apply</v>
      </c>
      <c r="C543" s="10" t="s">
        <v>21543</v>
      </c>
      <c r="D543" s="56" t="s">
        <v>15702</v>
      </c>
      <c r="E543" s="10" t="s">
        <v>65</v>
      </c>
      <c r="F543" s="10" t="s">
        <v>15703</v>
      </c>
      <c r="G543" s="10" t="s">
        <v>20592</v>
      </c>
      <c r="H543" s="10" t="s">
        <v>15704</v>
      </c>
      <c r="I543" s="10" t="s">
        <v>55</v>
      </c>
      <c r="K543" s="10" t="s">
        <v>21544</v>
      </c>
      <c r="L543" s="10" t="s">
        <v>42</v>
      </c>
    </row>
    <row r="544" ht="15.75" customHeight="1">
      <c r="A544" s="64">
        <v>45475.0</v>
      </c>
      <c r="B544" s="55" t="str">
        <f>HYPERLINK("https://jobright.ai/jobs/info/66847a19db6c47a02d8f52d7?utm_campaign=1058&amp;utm_source=sheet", "Apply")</f>
        <v>Apply</v>
      </c>
      <c r="C544" s="10" t="s">
        <v>21545</v>
      </c>
      <c r="D544" s="56" t="s">
        <v>21546</v>
      </c>
      <c r="E544" s="10" t="s">
        <v>249</v>
      </c>
      <c r="G544" s="10" t="s">
        <v>20609</v>
      </c>
      <c r="H544" s="10" t="s">
        <v>6265</v>
      </c>
      <c r="I544" s="10" t="s">
        <v>55</v>
      </c>
      <c r="K544" s="10" t="s">
        <v>21547</v>
      </c>
      <c r="L544" s="10" t="s">
        <v>42</v>
      </c>
    </row>
    <row r="545" ht="15.75" customHeight="1">
      <c r="A545" s="64">
        <v>45475.0</v>
      </c>
      <c r="B545" s="55" t="str">
        <f>HYPERLINK("https://jobright.ai/jobs/info/66844387d074e25fefa98b07?utm_campaign=1058&amp;utm_source=sheet", "Apply")</f>
        <v>Apply</v>
      </c>
      <c r="C545" s="10" t="s">
        <v>21548</v>
      </c>
      <c r="D545" s="56" t="s">
        <v>21549</v>
      </c>
      <c r="E545" s="10" t="s">
        <v>65</v>
      </c>
      <c r="F545" s="10" t="s">
        <v>21550</v>
      </c>
      <c r="G545" s="10" t="s">
        <v>20592</v>
      </c>
      <c r="H545" s="10" t="s">
        <v>152</v>
      </c>
      <c r="I545" s="10" t="s">
        <v>55</v>
      </c>
      <c r="K545" s="10" t="s">
        <v>21551</v>
      </c>
      <c r="L545" s="10" t="s">
        <v>42</v>
      </c>
    </row>
    <row r="546" ht="15.75" customHeight="1">
      <c r="A546" s="64">
        <v>45475.0</v>
      </c>
      <c r="B546" s="55" t="str">
        <f>HYPERLINK("https://jobright.ai/jobs/info/66844cfd57137359d96067b2?utm_campaign=1058&amp;utm_source=sheet", "Apply")</f>
        <v>Apply</v>
      </c>
      <c r="C546" s="10" t="s">
        <v>21552</v>
      </c>
      <c r="D546" s="56" t="s">
        <v>5130</v>
      </c>
      <c r="E546" s="10" t="s">
        <v>65</v>
      </c>
      <c r="F546" s="10" t="s">
        <v>331</v>
      </c>
      <c r="G546" s="10" t="s">
        <v>20624</v>
      </c>
      <c r="H546" s="10" t="s">
        <v>666</v>
      </c>
      <c r="I546" s="10" t="s">
        <v>55</v>
      </c>
      <c r="J546" s="10" t="s">
        <v>21553</v>
      </c>
      <c r="K546" s="10" t="s">
        <v>21554</v>
      </c>
      <c r="L546" s="10" t="s">
        <v>42</v>
      </c>
    </row>
    <row r="547" ht="15.75" customHeight="1">
      <c r="A547" s="64">
        <v>45475.0</v>
      </c>
      <c r="B547" s="55" t="str">
        <f>HYPERLINK("https://jobright.ai/jobs/info/66845488030332c425faf7cf?utm_campaign=1058&amp;utm_source=sheet", "Apply")</f>
        <v>Apply</v>
      </c>
      <c r="C547" s="10" t="s">
        <v>21555</v>
      </c>
      <c r="D547" s="56" t="s">
        <v>21556</v>
      </c>
      <c r="E547" s="10">
        <v>336.0</v>
      </c>
      <c r="G547" s="10" t="s">
        <v>20592</v>
      </c>
      <c r="H547" s="10" t="s">
        <v>3549</v>
      </c>
      <c r="I547" s="10" t="s">
        <v>55</v>
      </c>
      <c r="K547" s="10" t="s">
        <v>21557</v>
      </c>
      <c r="L547" s="10" t="s">
        <v>42</v>
      </c>
    </row>
    <row r="548" ht="15.75" customHeight="1">
      <c r="A548" s="64">
        <v>45475.0</v>
      </c>
      <c r="B548" s="55" t="str">
        <f>HYPERLINK("https://jobright.ai/jobs/info/6689245a0bf1ccd9dd54edaf?utm_campaign=1058&amp;utm_source=sheet", "Apply")</f>
        <v>Apply</v>
      </c>
      <c r="C548" s="10" t="s">
        <v>21558</v>
      </c>
      <c r="D548" s="56" t="s">
        <v>1178</v>
      </c>
      <c r="E548" s="10" t="s">
        <v>137</v>
      </c>
      <c r="F548" s="10" t="s">
        <v>1179</v>
      </c>
      <c r="G548" s="10" t="s">
        <v>20592</v>
      </c>
      <c r="H548" s="10" t="s">
        <v>1254</v>
      </c>
      <c r="I548" s="10" t="s">
        <v>55</v>
      </c>
      <c r="K548" s="10" t="s">
        <v>21445</v>
      </c>
      <c r="L548" s="10" t="s">
        <v>42</v>
      </c>
    </row>
    <row r="549" ht="15.75" customHeight="1">
      <c r="A549" s="64">
        <v>45475.0</v>
      </c>
      <c r="B549" s="55" t="str">
        <f>HYPERLINK("https://jobright.ai/jobs/info/668d0ee05c1b1ddc8b1939e9?utm_campaign=1058&amp;utm_source=sheet", "Apply")</f>
        <v>Apply</v>
      </c>
      <c r="C549" s="10" t="s">
        <v>21559</v>
      </c>
      <c r="D549" s="56" t="s">
        <v>1650</v>
      </c>
      <c r="E549" s="10" t="s">
        <v>209</v>
      </c>
      <c r="F549" s="10" t="s">
        <v>1243</v>
      </c>
      <c r="G549" s="10" t="s">
        <v>20592</v>
      </c>
      <c r="H549" s="10" t="s">
        <v>609</v>
      </c>
      <c r="I549" s="10" t="s">
        <v>55</v>
      </c>
      <c r="K549" s="10" t="s">
        <v>21560</v>
      </c>
      <c r="L549" s="10" t="s">
        <v>42</v>
      </c>
    </row>
    <row r="550" ht="15.75" customHeight="1">
      <c r="A550" s="64">
        <v>45475.0</v>
      </c>
      <c r="B550" s="55" t="str">
        <f>HYPERLINK("https://jobright.ai/jobs/info/66864110d07d259df164f170?utm_campaign=1058&amp;utm_source=sheet", "Apply")</f>
        <v>Apply</v>
      </c>
      <c r="C550" s="10" t="s">
        <v>21561</v>
      </c>
      <c r="D550" s="56" t="s">
        <v>13273</v>
      </c>
      <c r="E550" s="10" t="s">
        <v>45</v>
      </c>
      <c r="F550" s="10" t="s">
        <v>13274</v>
      </c>
      <c r="G550" s="10" t="s">
        <v>20592</v>
      </c>
      <c r="H550" s="10" t="s">
        <v>861</v>
      </c>
      <c r="I550" s="10" t="s">
        <v>55</v>
      </c>
      <c r="K550" s="10" t="s">
        <v>21562</v>
      </c>
      <c r="L550" s="10" t="s">
        <v>42</v>
      </c>
    </row>
    <row r="551" ht="15.75" customHeight="1">
      <c r="A551" s="64">
        <v>45475.0</v>
      </c>
      <c r="B551" s="55" t="str">
        <f>HYPERLINK("https://jobright.ai/jobs/info/6695f3065a520c9840838882?utm_campaign=1058&amp;utm_source=sheet", "Apply")</f>
        <v>Apply</v>
      </c>
      <c r="C551" s="10" t="s">
        <v>2297</v>
      </c>
      <c r="D551" s="56" t="s">
        <v>21563</v>
      </c>
      <c r="E551" s="10" t="s">
        <v>249</v>
      </c>
      <c r="F551" s="10" t="s">
        <v>21564</v>
      </c>
      <c r="G551" s="10" t="s">
        <v>20609</v>
      </c>
      <c r="H551" s="10" t="s">
        <v>117</v>
      </c>
      <c r="I551" s="10" t="s">
        <v>55</v>
      </c>
      <c r="K551" s="10" t="s">
        <v>21565</v>
      </c>
      <c r="L551" s="10" t="s">
        <v>42</v>
      </c>
    </row>
    <row r="552" ht="15.75" customHeight="1">
      <c r="A552" s="64">
        <v>45474.0</v>
      </c>
      <c r="B552" s="55" t="str">
        <f>HYPERLINK("https://jobright.ai/jobs/info/6683532fff4382b2f8e41437?utm_campaign=1058&amp;utm_source=sheet", "Apply")</f>
        <v>Apply</v>
      </c>
      <c r="C552" s="10" t="s">
        <v>21566</v>
      </c>
      <c r="D552" s="56" t="s">
        <v>1636</v>
      </c>
      <c r="E552" s="10">
        <v>6029.0</v>
      </c>
      <c r="G552" s="10" t="s">
        <v>20609</v>
      </c>
      <c r="H552" s="10" t="s">
        <v>170</v>
      </c>
      <c r="I552" s="10" t="s">
        <v>55</v>
      </c>
      <c r="J552" s="10" t="s">
        <v>1637</v>
      </c>
      <c r="K552" s="10" t="s">
        <v>21567</v>
      </c>
      <c r="L552" s="10" t="s">
        <v>42</v>
      </c>
    </row>
    <row r="553" ht="15.75" customHeight="1">
      <c r="A553" s="64">
        <v>45474.0</v>
      </c>
      <c r="B553" s="55" t="str">
        <f>HYPERLINK("https://jobright.ai/jobs/info/6683441e8264d4aa18e9919a?utm_campaign=1058&amp;utm_source=sheet", "Apply")</f>
        <v>Apply</v>
      </c>
      <c r="C553" s="10" t="s">
        <v>20869</v>
      </c>
      <c r="D553" s="56" t="s">
        <v>20697</v>
      </c>
      <c r="E553" s="10" t="s">
        <v>209</v>
      </c>
      <c r="F553" s="10" t="s">
        <v>2617</v>
      </c>
      <c r="G553" s="10" t="s">
        <v>20592</v>
      </c>
      <c r="H553" s="10" t="s">
        <v>4292</v>
      </c>
      <c r="I553" s="10" t="s">
        <v>55</v>
      </c>
      <c r="J553" s="10" t="s">
        <v>20870</v>
      </c>
      <c r="K553" s="10" t="s">
        <v>21521</v>
      </c>
      <c r="L553" s="10" t="s">
        <v>42</v>
      </c>
    </row>
    <row r="554" ht="15.75" customHeight="1">
      <c r="A554" s="64">
        <v>45474.0</v>
      </c>
      <c r="B554" s="55" t="str">
        <f>HYPERLINK("https://jobright.ai/jobs/info/668326befe80743b5aa36bad?utm_campaign=1058&amp;utm_source=sheet", "Apply")</f>
        <v>Apply</v>
      </c>
      <c r="C554" s="10" t="s">
        <v>21568</v>
      </c>
      <c r="D554" s="56" t="s">
        <v>15315</v>
      </c>
      <c r="E554" s="10" t="s">
        <v>45</v>
      </c>
      <c r="F554" s="10" t="s">
        <v>15316</v>
      </c>
      <c r="G554" s="10" t="s">
        <v>20592</v>
      </c>
      <c r="H554" s="10" t="s">
        <v>8727</v>
      </c>
      <c r="I554" s="10" t="s">
        <v>55</v>
      </c>
      <c r="K554" s="10" t="s">
        <v>21569</v>
      </c>
      <c r="L554" s="10" t="s">
        <v>42</v>
      </c>
    </row>
    <row r="555" ht="15.75" customHeight="1">
      <c r="A555" s="64">
        <v>45474.0</v>
      </c>
      <c r="B555" s="55" t="str">
        <f>HYPERLINK("https://jobright.ai/jobs/info/6683318e8dbe7d280774bca8?utm_campaign=1058&amp;utm_source=sheet", "Apply")</f>
        <v>Apply</v>
      </c>
      <c r="C555" s="10" t="s">
        <v>21570</v>
      </c>
      <c r="D555" s="56" t="s">
        <v>21571</v>
      </c>
      <c r="E555" s="10" t="s">
        <v>249</v>
      </c>
      <c r="F555" s="10" t="s">
        <v>3124</v>
      </c>
      <c r="G555" s="10" t="s">
        <v>20609</v>
      </c>
      <c r="H555" s="10" t="s">
        <v>3423</v>
      </c>
      <c r="I555" s="10" t="s">
        <v>55</v>
      </c>
      <c r="K555" s="10" t="s">
        <v>21572</v>
      </c>
      <c r="L555" s="10" t="s">
        <v>42</v>
      </c>
    </row>
    <row r="556" ht="15.75" customHeight="1">
      <c r="A556" s="64">
        <v>45474.0</v>
      </c>
      <c r="B556" s="55" t="str">
        <f>HYPERLINK("https://jobright.ai/jobs/info/668314e2e801c31bd9e07ad5?utm_campaign=1058&amp;utm_source=sheet", "Apply")</f>
        <v>Apply</v>
      </c>
      <c r="C556" s="10" t="s">
        <v>21570</v>
      </c>
      <c r="D556" s="56" t="s">
        <v>21571</v>
      </c>
      <c r="E556" s="10" t="s">
        <v>249</v>
      </c>
      <c r="F556" s="10" t="s">
        <v>3124</v>
      </c>
      <c r="G556" s="10" t="s">
        <v>20609</v>
      </c>
      <c r="H556" s="10" t="s">
        <v>21573</v>
      </c>
      <c r="I556" s="10" t="s">
        <v>55</v>
      </c>
      <c r="K556" s="10" t="s">
        <v>21572</v>
      </c>
      <c r="L556" s="10" t="s">
        <v>42</v>
      </c>
    </row>
    <row r="557" ht="15.75" customHeight="1">
      <c r="A557" s="64">
        <v>45474.0</v>
      </c>
      <c r="B557" s="55" t="str">
        <f>HYPERLINK("https://jobright.ai/jobs/info/668314e2e801c31bd9e07ad6?utm_campaign=1058&amp;utm_source=sheet", "Apply")</f>
        <v>Apply</v>
      </c>
      <c r="C557" s="10" t="s">
        <v>21570</v>
      </c>
      <c r="D557" s="56" t="s">
        <v>21571</v>
      </c>
      <c r="E557" s="10" t="s">
        <v>249</v>
      </c>
      <c r="F557" s="10" t="s">
        <v>3124</v>
      </c>
      <c r="G557" s="10" t="s">
        <v>20609</v>
      </c>
      <c r="H557" s="10" t="s">
        <v>19258</v>
      </c>
      <c r="I557" s="10" t="s">
        <v>55</v>
      </c>
      <c r="K557" s="10" t="s">
        <v>21572</v>
      </c>
      <c r="L557" s="10" t="s">
        <v>42</v>
      </c>
    </row>
    <row r="558" ht="15.75" customHeight="1">
      <c r="A558" s="64">
        <v>45474.0</v>
      </c>
      <c r="B558" s="55" t="str">
        <f>HYPERLINK("https://jobright.ai/jobs/info/6682d96fe473540dbcd0e8c5?utm_campaign=1058&amp;utm_source=sheet", "Apply")</f>
        <v>Apply</v>
      </c>
      <c r="C558" s="10" t="s">
        <v>21227</v>
      </c>
      <c r="D558" s="56" t="s">
        <v>1684</v>
      </c>
      <c r="E558" s="10" t="s">
        <v>209</v>
      </c>
      <c r="F558" s="10" t="s">
        <v>1685</v>
      </c>
      <c r="G558" s="10" t="s">
        <v>20609</v>
      </c>
      <c r="H558" s="10" t="s">
        <v>113</v>
      </c>
      <c r="I558" s="10" t="s">
        <v>55</v>
      </c>
      <c r="J558" s="10" t="s">
        <v>21228</v>
      </c>
      <c r="K558" s="10" t="s">
        <v>21229</v>
      </c>
      <c r="L558" s="10" t="s">
        <v>42</v>
      </c>
    </row>
    <row r="559" ht="15.75" customHeight="1">
      <c r="A559" s="64">
        <v>45474.0</v>
      </c>
      <c r="B559" s="55" t="str">
        <f>HYPERLINK("https://jobright.ai/jobs/info/6682d96fe473540dbcd0e8c6?utm_campaign=1058&amp;utm_source=sheet", "Apply")</f>
        <v>Apply</v>
      </c>
      <c r="C559" s="10" t="s">
        <v>21227</v>
      </c>
      <c r="D559" s="56" t="s">
        <v>1684</v>
      </c>
      <c r="E559" s="10" t="s">
        <v>209</v>
      </c>
      <c r="F559" s="10" t="s">
        <v>1685</v>
      </c>
      <c r="G559" s="10" t="s">
        <v>20609</v>
      </c>
      <c r="H559" s="10" t="s">
        <v>898</v>
      </c>
      <c r="I559" s="10" t="s">
        <v>55</v>
      </c>
      <c r="J559" s="10" t="s">
        <v>21228</v>
      </c>
      <c r="K559" s="10" t="s">
        <v>21229</v>
      </c>
      <c r="L559" s="10" t="s">
        <v>42</v>
      </c>
    </row>
    <row r="560" ht="15.75" customHeight="1">
      <c r="A560" s="64">
        <v>45474.0</v>
      </c>
      <c r="B560" s="55" t="str">
        <f>HYPERLINK("https://jobright.ai/jobs/info/6682d96fe473540dbcd0e8c7?utm_campaign=1058&amp;utm_source=sheet", "Apply")</f>
        <v>Apply</v>
      </c>
      <c r="C560" s="10" t="s">
        <v>21227</v>
      </c>
      <c r="D560" s="56" t="s">
        <v>1684</v>
      </c>
      <c r="E560" s="10" t="s">
        <v>209</v>
      </c>
      <c r="F560" s="10" t="s">
        <v>1685</v>
      </c>
      <c r="G560" s="10" t="s">
        <v>20609</v>
      </c>
      <c r="H560" s="10" t="s">
        <v>1254</v>
      </c>
      <c r="I560" s="10" t="s">
        <v>55</v>
      </c>
      <c r="J560" s="10" t="s">
        <v>21228</v>
      </c>
      <c r="K560" s="10" t="s">
        <v>21229</v>
      </c>
      <c r="L560" s="10" t="s">
        <v>42</v>
      </c>
    </row>
    <row r="561" ht="15.75" customHeight="1">
      <c r="A561" s="64">
        <v>45474.0</v>
      </c>
      <c r="B561" s="55" t="str">
        <f>HYPERLINK("https://jobright.ai/jobs/info/6682d96fe473540dbcd0e8c8?utm_campaign=1058&amp;utm_source=sheet", "Apply")</f>
        <v>Apply</v>
      </c>
      <c r="C561" s="10" t="s">
        <v>21227</v>
      </c>
      <c r="D561" s="56" t="s">
        <v>1684</v>
      </c>
      <c r="E561" s="10" t="s">
        <v>209</v>
      </c>
      <c r="F561" s="10" t="s">
        <v>1685</v>
      </c>
      <c r="G561" s="10" t="s">
        <v>20609</v>
      </c>
      <c r="H561" s="10" t="s">
        <v>165</v>
      </c>
      <c r="I561" s="10" t="s">
        <v>55</v>
      </c>
      <c r="J561" s="10" t="s">
        <v>21228</v>
      </c>
      <c r="K561" s="10" t="s">
        <v>21229</v>
      </c>
      <c r="L561" s="10" t="s">
        <v>42</v>
      </c>
    </row>
    <row r="562" ht="15.75" customHeight="1">
      <c r="A562" s="64">
        <v>45474.0</v>
      </c>
      <c r="B562" s="55" t="str">
        <f>HYPERLINK("https://jobright.ai/jobs/info/667ac5676fec2de82002a0bc?utm_campaign=1058&amp;utm_source=sheet", "Apply")</f>
        <v>Apply</v>
      </c>
      <c r="C562" s="10" t="s">
        <v>21574</v>
      </c>
      <c r="D562" s="56" t="s">
        <v>1178</v>
      </c>
      <c r="E562" s="10" t="s">
        <v>137</v>
      </c>
      <c r="F562" s="10" t="s">
        <v>1179</v>
      </c>
      <c r="G562" s="10" t="s">
        <v>20624</v>
      </c>
      <c r="H562" s="10" t="s">
        <v>1254</v>
      </c>
      <c r="I562" s="10" t="s">
        <v>55</v>
      </c>
      <c r="K562" s="10" t="s">
        <v>21445</v>
      </c>
      <c r="L562" s="10" t="s">
        <v>42</v>
      </c>
    </row>
    <row r="563" ht="15.75" customHeight="1">
      <c r="A563" s="64">
        <v>45474.0</v>
      </c>
      <c r="B563" s="55" t="str">
        <f>HYPERLINK("https://jobright.ai/jobs/info/66829d1d236c93dad9b91aaf?utm_campaign=1058&amp;utm_source=sheet", "Apply")</f>
        <v>Apply</v>
      </c>
      <c r="C563" s="10" t="s">
        <v>21575</v>
      </c>
      <c r="D563" s="56" t="s">
        <v>1178</v>
      </c>
      <c r="E563" s="10" t="s">
        <v>137</v>
      </c>
      <c r="F563" s="10" t="s">
        <v>1179</v>
      </c>
      <c r="G563" s="10" t="s">
        <v>20624</v>
      </c>
      <c r="H563" s="10" t="s">
        <v>1254</v>
      </c>
      <c r="I563" s="10" t="s">
        <v>55</v>
      </c>
      <c r="K563" s="10" t="s">
        <v>21576</v>
      </c>
      <c r="L563" s="10" t="s">
        <v>42</v>
      </c>
    </row>
    <row r="564" ht="15.75" customHeight="1">
      <c r="A564" s="64">
        <v>45474.0</v>
      </c>
      <c r="B564" s="55" t="str">
        <f>HYPERLINK("https://jobright.ai/jobs/info/66831d47bfa0ec6980790765?utm_campaign=1058&amp;utm_source=sheet", "Apply")</f>
        <v>Apply</v>
      </c>
      <c r="C564" s="10" t="s">
        <v>2297</v>
      </c>
      <c r="D564" s="56" t="s">
        <v>21509</v>
      </c>
      <c r="E564" s="10" t="s">
        <v>65</v>
      </c>
      <c r="F564" s="10" t="s">
        <v>21510</v>
      </c>
      <c r="G564" s="10" t="s">
        <v>20609</v>
      </c>
      <c r="H564" s="10" t="s">
        <v>21577</v>
      </c>
      <c r="I564" s="10" t="s">
        <v>55</v>
      </c>
      <c r="K564" s="10" t="s">
        <v>21578</v>
      </c>
      <c r="L564" s="10" t="s">
        <v>42</v>
      </c>
    </row>
    <row r="565" ht="15.75" customHeight="1">
      <c r="A565" s="64">
        <v>45474.0</v>
      </c>
      <c r="B565" s="55" t="str">
        <f>HYPERLINK("https://jobright.ai/jobs/info/668349110b681d66d86ddfd1?utm_campaign=1058&amp;utm_source=sheet", "Apply")</f>
        <v>Apply</v>
      </c>
      <c r="C565" s="10" t="s">
        <v>21566</v>
      </c>
      <c r="D565" s="56" t="s">
        <v>1636</v>
      </c>
      <c r="E565" s="10">
        <v>6029.0</v>
      </c>
      <c r="G565" s="10" t="s">
        <v>20609</v>
      </c>
      <c r="H565" s="10" t="s">
        <v>15113</v>
      </c>
      <c r="I565" s="10" t="s">
        <v>55</v>
      </c>
      <c r="J565" s="10" t="s">
        <v>1637</v>
      </c>
      <c r="K565" s="10" t="s">
        <v>21567</v>
      </c>
      <c r="L565" s="10" t="s">
        <v>42</v>
      </c>
    </row>
    <row r="566" ht="15.75" customHeight="1">
      <c r="A566" s="64">
        <v>45473.0</v>
      </c>
      <c r="B566" s="55" t="str">
        <f>HYPERLINK("https://jobright.ai/jobs/info/667f4f513215408025c9e47d?utm_campaign=1058&amp;utm_source=sheet", "Apply")</f>
        <v>Apply</v>
      </c>
      <c r="C566" s="10" t="s">
        <v>21305</v>
      </c>
      <c r="D566" s="56" t="s">
        <v>21579</v>
      </c>
      <c r="E566" s="10">
        <v>240.0</v>
      </c>
      <c r="G566" s="10" t="s">
        <v>20592</v>
      </c>
      <c r="H566" s="10" t="s">
        <v>3274</v>
      </c>
      <c r="I566" s="10" t="s">
        <v>55</v>
      </c>
      <c r="K566" s="10" t="s">
        <v>21580</v>
      </c>
      <c r="L566" s="10" t="s">
        <v>42</v>
      </c>
    </row>
    <row r="567" ht="15.75" customHeight="1">
      <c r="A567" s="64">
        <v>45473.0</v>
      </c>
      <c r="B567" s="55" t="str">
        <f>HYPERLINK("https://jobright.ai/jobs/info/66825432406d5fa26831ebc0?utm_campaign=1058&amp;utm_source=sheet", "Apply")</f>
        <v>Apply</v>
      </c>
      <c r="C567" s="10" t="s">
        <v>21581</v>
      </c>
      <c r="D567" s="56" t="s">
        <v>21582</v>
      </c>
      <c r="E567" s="10" t="s">
        <v>137</v>
      </c>
      <c r="F567" s="10" t="s">
        <v>21583</v>
      </c>
      <c r="G567" s="10" t="s">
        <v>20592</v>
      </c>
      <c r="H567" s="10" t="s">
        <v>811</v>
      </c>
      <c r="I567" s="10" t="s">
        <v>55</v>
      </c>
      <c r="K567" s="10" t="s">
        <v>21584</v>
      </c>
      <c r="L567" s="10" t="s">
        <v>42</v>
      </c>
    </row>
    <row r="568" ht="15.75" customHeight="1">
      <c r="A568" s="64">
        <v>45473.0</v>
      </c>
      <c r="B568" s="55" t="str">
        <f>HYPERLINK("https://jobright.ai/jobs/info/6681d81d049173fa673dd309?utm_campaign=1058&amp;utm_source=sheet", "Apply")</f>
        <v>Apply</v>
      </c>
      <c r="C568" s="10" t="s">
        <v>21581</v>
      </c>
      <c r="D568" s="56" t="s">
        <v>21582</v>
      </c>
      <c r="E568" s="10" t="s">
        <v>137</v>
      </c>
      <c r="F568" s="10" t="s">
        <v>21583</v>
      </c>
      <c r="G568" s="10" t="s">
        <v>20592</v>
      </c>
      <c r="H568" s="10" t="s">
        <v>979</v>
      </c>
      <c r="I568" s="10" t="s">
        <v>55</v>
      </c>
      <c r="K568" s="10" t="s">
        <v>21584</v>
      </c>
      <c r="L568" s="10" t="s">
        <v>42</v>
      </c>
    </row>
    <row r="569" ht="15.75" customHeight="1">
      <c r="A569" s="64">
        <v>45473.0</v>
      </c>
      <c r="B569" s="55" t="str">
        <f>HYPERLINK("https://jobright.ai/jobs/info/6681d81d049173fa673dd308?utm_campaign=1058&amp;utm_source=sheet", "Apply")</f>
        <v>Apply</v>
      </c>
      <c r="C569" s="10" t="s">
        <v>21581</v>
      </c>
      <c r="D569" s="56" t="s">
        <v>21582</v>
      </c>
      <c r="E569" s="10" t="s">
        <v>137</v>
      </c>
      <c r="F569" s="10" t="s">
        <v>21583</v>
      </c>
      <c r="G569" s="10" t="s">
        <v>20592</v>
      </c>
      <c r="H569" s="10" t="s">
        <v>812</v>
      </c>
      <c r="I569" s="10" t="s">
        <v>55</v>
      </c>
      <c r="K569" s="10" t="s">
        <v>21584</v>
      </c>
      <c r="L569" s="10" t="s">
        <v>42</v>
      </c>
    </row>
    <row r="570" ht="15.75" customHeight="1">
      <c r="A570" s="64">
        <v>45473.0</v>
      </c>
      <c r="B570" s="55" t="str">
        <f>HYPERLINK("https://jobright.ai/jobs/info/6681d819049173fa673dd2fe?utm_campaign=1058&amp;utm_source=sheet", "Apply")</f>
        <v>Apply</v>
      </c>
      <c r="C570" s="10" t="s">
        <v>21581</v>
      </c>
      <c r="D570" s="56" t="s">
        <v>21582</v>
      </c>
      <c r="E570" s="10" t="s">
        <v>137</v>
      </c>
      <c r="F570" s="10" t="s">
        <v>21583</v>
      </c>
      <c r="G570" s="10" t="s">
        <v>20592</v>
      </c>
      <c r="H570" s="10" t="s">
        <v>153</v>
      </c>
      <c r="I570" s="10" t="s">
        <v>55</v>
      </c>
      <c r="K570" s="10" t="s">
        <v>21584</v>
      </c>
      <c r="L570" s="10" t="s">
        <v>42</v>
      </c>
    </row>
    <row r="571" ht="15.75" customHeight="1">
      <c r="A571" s="64">
        <v>45473.0</v>
      </c>
      <c r="B571" s="55" t="str">
        <f>HYPERLINK("https://jobright.ai/jobs/info/6681d81d049173fa673dd306?utm_campaign=1058&amp;utm_source=sheet", "Apply")</f>
        <v>Apply</v>
      </c>
      <c r="C571" s="10" t="s">
        <v>21581</v>
      </c>
      <c r="D571" s="56" t="s">
        <v>21582</v>
      </c>
      <c r="E571" s="10" t="s">
        <v>137</v>
      </c>
      <c r="F571" s="10" t="s">
        <v>21583</v>
      </c>
      <c r="G571" s="10" t="s">
        <v>20592</v>
      </c>
      <c r="H571" s="10" t="s">
        <v>893</v>
      </c>
      <c r="I571" s="10" t="s">
        <v>55</v>
      </c>
      <c r="K571" s="10" t="s">
        <v>21584</v>
      </c>
      <c r="L571" s="10" t="s">
        <v>42</v>
      </c>
    </row>
    <row r="572" ht="15.75" customHeight="1">
      <c r="A572" s="64">
        <v>45473.0</v>
      </c>
      <c r="B572" s="55" t="str">
        <f>HYPERLINK("https://jobright.ai/jobs/info/6681d81d049173fa673dd307?utm_campaign=1058&amp;utm_source=sheet", "Apply")</f>
        <v>Apply</v>
      </c>
      <c r="C572" s="10" t="s">
        <v>21581</v>
      </c>
      <c r="D572" s="56" t="s">
        <v>21582</v>
      </c>
      <c r="E572" s="10" t="s">
        <v>137</v>
      </c>
      <c r="F572" s="10" t="s">
        <v>21583</v>
      </c>
      <c r="G572" s="10" t="s">
        <v>20592</v>
      </c>
      <c r="H572" s="10" t="s">
        <v>865</v>
      </c>
      <c r="I572" s="10" t="s">
        <v>55</v>
      </c>
      <c r="K572" s="10" t="s">
        <v>21584</v>
      </c>
      <c r="L572" s="10" t="s">
        <v>42</v>
      </c>
    </row>
    <row r="573" ht="15.75" customHeight="1">
      <c r="A573" s="64">
        <v>45473.0</v>
      </c>
      <c r="B573" s="55" t="str">
        <f>HYPERLINK("https://jobright.ai/jobs/info/6681d819049173fa673dd2ff?utm_campaign=1058&amp;utm_source=sheet", "Apply")</f>
        <v>Apply</v>
      </c>
      <c r="C573" s="10" t="s">
        <v>21581</v>
      </c>
      <c r="D573" s="56" t="s">
        <v>21582</v>
      </c>
      <c r="E573" s="10" t="s">
        <v>137</v>
      </c>
      <c r="F573" s="10" t="s">
        <v>21583</v>
      </c>
      <c r="G573" s="10" t="s">
        <v>20592</v>
      </c>
      <c r="H573" s="10" t="s">
        <v>822</v>
      </c>
      <c r="I573" s="10" t="s">
        <v>55</v>
      </c>
      <c r="K573" s="10" t="s">
        <v>21584</v>
      </c>
      <c r="L573" s="10" t="s">
        <v>42</v>
      </c>
    </row>
    <row r="574" ht="15.75" customHeight="1">
      <c r="A574" s="64">
        <v>45473.0</v>
      </c>
      <c r="B574" s="55" t="str">
        <f>HYPERLINK("https://jobright.ai/jobs/info/6681d81d049173fa673dd303?utm_campaign=1058&amp;utm_source=sheet", "Apply")</f>
        <v>Apply</v>
      </c>
      <c r="C574" s="10" t="s">
        <v>21581</v>
      </c>
      <c r="D574" s="56" t="s">
        <v>21582</v>
      </c>
      <c r="E574" s="10" t="s">
        <v>137</v>
      </c>
      <c r="F574" s="10" t="s">
        <v>21583</v>
      </c>
      <c r="G574" s="10" t="s">
        <v>20592</v>
      </c>
      <c r="H574" s="10" t="s">
        <v>813</v>
      </c>
      <c r="I574" s="10" t="s">
        <v>55</v>
      </c>
      <c r="K574" s="10" t="s">
        <v>21584</v>
      </c>
      <c r="L574" s="10" t="s">
        <v>42</v>
      </c>
    </row>
    <row r="575" ht="15.75" customHeight="1">
      <c r="A575" s="64">
        <v>45473.0</v>
      </c>
      <c r="B575" s="55" t="str">
        <f>HYPERLINK("https://jobright.ai/jobs/info/6681d81d049173fa673dd302?utm_campaign=1058&amp;utm_source=sheet", "Apply")</f>
        <v>Apply</v>
      </c>
      <c r="C575" s="10" t="s">
        <v>21581</v>
      </c>
      <c r="D575" s="56" t="s">
        <v>21582</v>
      </c>
      <c r="E575" s="10" t="s">
        <v>137</v>
      </c>
      <c r="F575" s="10" t="s">
        <v>21583</v>
      </c>
      <c r="G575" s="10" t="s">
        <v>20592</v>
      </c>
      <c r="H575" s="10" t="s">
        <v>943</v>
      </c>
      <c r="I575" s="10" t="s">
        <v>55</v>
      </c>
      <c r="K575" s="10" t="s">
        <v>21584</v>
      </c>
      <c r="L575" s="10" t="s">
        <v>42</v>
      </c>
    </row>
    <row r="576" ht="15.75" customHeight="1">
      <c r="A576" s="64">
        <v>45473.0</v>
      </c>
      <c r="B576" s="55" t="str">
        <f>HYPERLINK("https://jobright.ai/jobs/info/6681d819049173fa673dd300?utm_campaign=1058&amp;utm_source=sheet", "Apply")</f>
        <v>Apply</v>
      </c>
      <c r="C576" s="10" t="s">
        <v>21581</v>
      </c>
      <c r="D576" s="56" t="s">
        <v>21582</v>
      </c>
      <c r="E576" s="10" t="s">
        <v>137</v>
      </c>
      <c r="F576" s="10" t="s">
        <v>21583</v>
      </c>
      <c r="G576" s="10" t="s">
        <v>20592</v>
      </c>
      <c r="H576" s="10" t="s">
        <v>165</v>
      </c>
      <c r="I576" s="10" t="s">
        <v>55</v>
      </c>
      <c r="K576" s="10" t="s">
        <v>21584</v>
      </c>
      <c r="L576" s="10" t="s">
        <v>42</v>
      </c>
    </row>
    <row r="577" ht="15.75" customHeight="1">
      <c r="A577" s="64">
        <v>45473.0</v>
      </c>
      <c r="B577" s="55" t="str">
        <f>HYPERLINK("https://jobright.ai/jobs/info/6681d81d049173fa673dd301?utm_campaign=1058&amp;utm_source=sheet", "Apply")</f>
        <v>Apply</v>
      </c>
      <c r="C577" s="10" t="s">
        <v>21581</v>
      </c>
      <c r="D577" s="56" t="s">
        <v>21582</v>
      </c>
      <c r="E577" s="10" t="s">
        <v>137</v>
      </c>
      <c r="F577" s="10" t="s">
        <v>21583</v>
      </c>
      <c r="G577" s="10" t="s">
        <v>20592</v>
      </c>
      <c r="H577" s="10" t="s">
        <v>806</v>
      </c>
      <c r="I577" s="10" t="s">
        <v>55</v>
      </c>
      <c r="K577" s="10" t="s">
        <v>21584</v>
      </c>
      <c r="L577" s="10" t="s">
        <v>42</v>
      </c>
    </row>
    <row r="578" ht="15.75" customHeight="1">
      <c r="A578" s="64">
        <v>45473.0</v>
      </c>
      <c r="B578" s="55" t="str">
        <f>HYPERLINK("https://jobright.ai/jobs/info/6681d81d049173fa673dd305?utm_campaign=1058&amp;utm_source=sheet", "Apply")</f>
        <v>Apply</v>
      </c>
      <c r="C578" s="10" t="s">
        <v>21581</v>
      </c>
      <c r="D578" s="56" t="s">
        <v>21582</v>
      </c>
      <c r="E578" s="10" t="s">
        <v>137</v>
      </c>
      <c r="F578" s="10" t="s">
        <v>21583</v>
      </c>
      <c r="G578" s="10" t="s">
        <v>20592</v>
      </c>
      <c r="H578" s="10" t="s">
        <v>868</v>
      </c>
      <c r="I578" s="10" t="s">
        <v>55</v>
      </c>
      <c r="K578" s="10" t="s">
        <v>21584</v>
      </c>
      <c r="L578" s="10" t="s">
        <v>42</v>
      </c>
    </row>
    <row r="579" ht="15.75" customHeight="1">
      <c r="A579" s="64">
        <v>45473.0</v>
      </c>
      <c r="B579" s="55" t="str">
        <f>HYPERLINK("https://jobright.ai/jobs/info/6681d81d049173fa673dd304?utm_campaign=1058&amp;utm_source=sheet", "Apply")</f>
        <v>Apply</v>
      </c>
      <c r="C579" s="10" t="s">
        <v>21581</v>
      </c>
      <c r="D579" s="56" t="s">
        <v>21582</v>
      </c>
      <c r="E579" s="10" t="s">
        <v>137</v>
      </c>
      <c r="F579" s="10" t="s">
        <v>21583</v>
      </c>
      <c r="G579" s="10" t="s">
        <v>20592</v>
      </c>
      <c r="H579" s="10" t="s">
        <v>782</v>
      </c>
      <c r="I579" s="10" t="s">
        <v>55</v>
      </c>
      <c r="K579" s="10" t="s">
        <v>21584</v>
      </c>
      <c r="L579" s="10" t="s">
        <v>42</v>
      </c>
    </row>
    <row r="580" ht="15.75" customHeight="1">
      <c r="A580" s="64">
        <v>45473.0</v>
      </c>
      <c r="B580" s="55" t="str">
        <f>HYPERLINK("https://jobright.ai/jobs/info/6681d81d049173fa673dd314?utm_campaign=1058&amp;utm_source=sheet", "Apply")</f>
        <v>Apply</v>
      </c>
      <c r="C580" s="10" t="s">
        <v>21581</v>
      </c>
      <c r="D580" s="56" t="s">
        <v>21582</v>
      </c>
      <c r="E580" s="10" t="s">
        <v>137</v>
      </c>
      <c r="F580" s="10" t="s">
        <v>21583</v>
      </c>
      <c r="G580" s="10" t="s">
        <v>20592</v>
      </c>
      <c r="H580" s="10" t="s">
        <v>957</v>
      </c>
      <c r="I580" s="10" t="s">
        <v>55</v>
      </c>
      <c r="K580" s="10" t="s">
        <v>21584</v>
      </c>
      <c r="L580" s="10" t="s">
        <v>42</v>
      </c>
    </row>
    <row r="581" ht="15.75" customHeight="1">
      <c r="A581" s="64">
        <v>45473.0</v>
      </c>
      <c r="B581" s="55" t="str">
        <f>HYPERLINK("https://jobright.ai/jobs/info/6681d81d049173fa673dd30c?utm_campaign=1058&amp;utm_source=sheet", "Apply")</f>
        <v>Apply</v>
      </c>
      <c r="C581" s="10" t="s">
        <v>21581</v>
      </c>
      <c r="D581" s="56" t="s">
        <v>21582</v>
      </c>
      <c r="E581" s="10" t="s">
        <v>137</v>
      </c>
      <c r="F581" s="10" t="s">
        <v>21583</v>
      </c>
      <c r="G581" s="10" t="s">
        <v>20592</v>
      </c>
      <c r="H581" s="10" t="s">
        <v>853</v>
      </c>
      <c r="I581" s="10" t="s">
        <v>55</v>
      </c>
      <c r="K581" s="10" t="s">
        <v>21584</v>
      </c>
      <c r="L581" s="10" t="s">
        <v>42</v>
      </c>
    </row>
    <row r="582" ht="15.75" customHeight="1">
      <c r="A582" s="64">
        <v>45473.0</v>
      </c>
      <c r="B582" s="55" t="str">
        <f>HYPERLINK("https://jobright.ai/jobs/info/6681d81d049173fa673dd311?utm_campaign=1058&amp;utm_source=sheet", "Apply")</f>
        <v>Apply</v>
      </c>
      <c r="C582" s="10" t="s">
        <v>21581</v>
      </c>
      <c r="D582" s="56" t="s">
        <v>21582</v>
      </c>
      <c r="E582" s="10" t="s">
        <v>137</v>
      </c>
      <c r="F582" s="10" t="s">
        <v>21583</v>
      </c>
      <c r="G582" s="10" t="s">
        <v>20592</v>
      </c>
      <c r="H582" s="10" t="s">
        <v>926</v>
      </c>
      <c r="I582" s="10" t="s">
        <v>55</v>
      </c>
      <c r="K582" s="10" t="s">
        <v>21584</v>
      </c>
      <c r="L582" s="10" t="s">
        <v>42</v>
      </c>
    </row>
    <row r="583" ht="15.75" customHeight="1">
      <c r="A583" s="64">
        <v>45473.0</v>
      </c>
      <c r="B583" s="55" t="str">
        <f>HYPERLINK("https://jobright.ai/jobs/info/6681d81d049173fa673dd312?utm_campaign=1058&amp;utm_source=sheet", "Apply")</f>
        <v>Apply</v>
      </c>
      <c r="C583" s="10" t="s">
        <v>21581</v>
      </c>
      <c r="D583" s="56" t="s">
        <v>21582</v>
      </c>
      <c r="E583" s="10" t="s">
        <v>137</v>
      </c>
      <c r="F583" s="10" t="s">
        <v>21583</v>
      </c>
      <c r="G583" s="10" t="s">
        <v>20592</v>
      </c>
      <c r="H583" s="10" t="s">
        <v>1025</v>
      </c>
      <c r="I583" s="10" t="s">
        <v>55</v>
      </c>
      <c r="K583" s="10" t="s">
        <v>21584</v>
      </c>
      <c r="L583" s="10" t="s">
        <v>42</v>
      </c>
    </row>
    <row r="584" ht="15.75" customHeight="1">
      <c r="A584" s="64">
        <v>45473.0</v>
      </c>
      <c r="B584" s="55" t="str">
        <f>HYPERLINK("https://jobright.ai/jobs/info/6681d81d049173fa673dd30e?utm_campaign=1058&amp;utm_source=sheet", "Apply")</f>
        <v>Apply</v>
      </c>
      <c r="C584" s="10" t="s">
        <v>21581</v>
      </c>
      <c r="D584" s="56" t="s">
        <v>21582</v>
      </c>
      <c r="E584" s="10" t="s">
        <v>137</v>
      </c>
      <c r="F584" s="10" t="s">
        <v>21583</v>
      </c>
      <c r="G584" s="10" t="s">
        <v>20592</v>
      </c>
      <c r="H584" s="10" t="s">
        <v>972</v>
      </c>
      <c r="I584" s="10" t="s">
        <v>55</v>
      </c>
      <c r="K584" s="10" t="s">
        <v>21584</v>
      </c>
      <c r="L584" s="10" t="s">
        <v>42</v>
      </c>
    </row>
    <row r="585" ht="15.75" customHeight="1">
      <c r="A585" s="64">
        <v>45473.0</v>
      </c>
      <c r="B585" s="55" t="str">
        <f>HYPERLINK("https://jobright.ai/jobs/info/6681d81d049173fa673dd30a?utm_campaign=1058&amp;utm_source=sheet", "Apply")</f>
        <v>Apply</v>
      </c>
      <c r="C585" s="10" t="s">
        <v>21581</v>
      </c>
      <c r="D585" s="56" t="s">
        <v>21582</v>
      </c>
      <c r="E585" s="10" t="s">
        <v>137</v>
      </c>
      <c r="F585" s="10" t="s">
        <v>21583</v>
      </c>
      <c r="G585" s="10" t="s">
        <v>20592</v>
      </c>
      <c r="H585" s="10" t="s">
        <v>1029</v>
      </c>
      <c r="I585" s="10" t="s">
        <v>55</v>
      </c>
      <c r="K585" s="10" t="s">
        <v>21584</v>
      </c>
      <c r="L585" s="10" t="s">
        <v>42</v>
      </c>
    </row>
    <row r="586" ht="15.75" customHeight="1">
      <c r="A586" s="64">
        <v>45473.0</v>
      </c>
      <c r="B586" s="55" t="str">
        <f>HYPERLINK("https://jobright.ai/jobs/info/6681d81d049173fa673dd30b?utm_campaign=1058&amp;utm_source=sheet", "Apply")</f>
        <v>Apply</v>
      </c>
      <c r="C586" s="10" t="s">
        <v>21581</v>
      </c>
      <c r="D586" s="56" t="s">
        <v>21582</v>
      </c>
      <c r="E586" s="10" t="s">
        <v>137</v>
      </c>
      <c r="F586" s="10" t="s">
        <v>21583</v>
      </c>
      <c r="G586" s="10" t="s">
        <v>20592</v>
      </c>
      <c r="H586" s="10" t="s">
        <v>824</v>
      </c>
      <c r="I586" s="10" t="s">
        <v>55</v>
      </c>
      <c r="K586" s="10" t="s">
        <v>21584</v>
      </c>
      <c r="L586" s="10" t="s">
        <v>42</v>
      </c>
    </row>
    <row r="587" ht="15.75" customHeight="1">
      <c r="A587" s="64">
        <v>45473.0</v>
      </c>
      <c r="B587" s="55" t="str">
        <f>HYPERLINK("https://jobright.ai/jobs/info/6681d81d049173fa673dd30d?utm_campaign=1058&amp;utm_source=sheet", "Apply")</f>
        <v>Apply</v>
      </c>
      <c r="C587" s="10" t="s">
        <v>21581</v>
      </c>
      <c r="D587" s="56" t="s">
        <v>21582</v>
      </c>
      <c r="E587" s="10" t="s">
        <v>137</v>
      </c>
      <c r="F587" s="10" t="s">
        <v>21583</v>
      </c>
      <c r="G587" s="10" t="s">
        <v>20592</v>
      </c>
      <c r="H587" s="10" t="s">
        <v>786</v>
      </c>
      <c r="I587" s="10" t="s">
        <v>55</v>
      </c>
      <c r="K587" s="10" t="s">
        <v>21584</v>
      </c>
      <c r="L587" s="10" t="s">
        <v>42</v>
      </c>
    </row>
    <row r="588" ht="15.75" customHeight="1">
      <c r="A588" s="64">
        <v>45473.0</v>
      </c>
      <c r="B588" s="55" t="str">
        <f>HYPERLINK("https://jobright.ai/jobs/info/6681d81d049173fa673dd310?utm_campaign=1058&amp;utm_source=sheet", "Apply")</f>
        <v>Apply</v>
      </c>
      <c r="C588" s="10" t="s">
        <v>21581</v>
      </c>
      <c r="D588" s="56" t="s">
        <v>21582</v>
      </c>
      <c r="E588" s="10" t="s">
        <v>137</v>
      </c>
      <c r="F588" s="10" t="s">
        <v>21583</v>
      </c>
      <c r="G588" s="10" t="s">
        <v>20592</v>
      </c>
      <c r="H588" s="10" t="s">
        <v>1009</v>
      </c>
      <c r="I588" s="10" t="s">
        <v>55</v>
      </c>
      <c r="K588" s="10" t="s">
        <v>21584</v>
      </c>
      <c r="L588" s="10" t="s">
        <v>42</v>
      </c>
    </row>
    <row r="589" ht="15.75" customHeight="1">
      <c r="A589" s="64">
        <v>45473.0</v>
      </c>
      <c r="B589" s="55" t="str">
        <f>HYPERLINK("https://jobright.ai/jobs/info/6681d81d049173fa673dd313?utm_campaign=1058&amp;utm_source=sheet", "Apply")</f>
        <v>Apply</v>
      </c>
      <c r="C589" s="10" t="s">
        <v>21581</v>
      </c>
      <c r="D589" s="56" t="s">
        <v>21582</v>
      </c>
      <c r="E589" s="10" t="s">
        <v>137</v>
      </c>
      <c r="F589" s="10" t="s">
        <v>21583</v>
      </c>
      <c r="G589" s="10" t="s">
        <v>20592</v>
      </c>
      <c r="H589" s="10" t="s">
        <v>977</v>
      </c>
      <c r="I589" s="10" t="s">
        <v>55</v>
      </c>
      <c r="K589" s="10" t="s">
        <v>21584</v>
      </c>
      <c r="L589" s="10" t="s">
        <v>42</v>
      </c>
    </row>
    <row r="590" ht="15.75" customHeight="1">
      <c r="A590" s="64">
        <v>45473.0</v>
      </c>
      <c r="B590" s="55" t="str">
        <f>HYPERLINK("https://jobright.ai/jobs/info/6681d81d049173fa673dd30f?utm_campaign=1058&amp;utm_source=sheet", "Apply")</f>
        <v>Apply</v>
      </c>
      <c r="C590" s="10" t="s">
        <v>21581</v>
      </c>
      <c r="D590" s="56" t="s">
        <v>21582</v>
      </c>
      <c r="E590" s="10" t="s">
        <v>137</v>
      </c>
      <c r="F590" s="10" t="s">
        <v>21583</v>
      </c>
      <c r="G590" s="10" t="s">
        <v>20592</v>
      </c>
      <c r="H590" s="10" t="s">
        <v>1041</v>
      </c>
      <c r="I590" s="10" t="s">
        <v>55</v>
      </c>
      <c r="K590" s="10" t="s">
        <v>21584</v>
      </c>
      <c r="L590" s="10" t="s">
        <v>42</v>
      </c>
    </row>
    <row r="591" ht="15.75" customHeight="1">
      <c r="A591" s="64">
        <v>45473.0</v>
      </c>
      <c r="B591" s="55" t="str">
        <f>HYPERLINK("https://jobright.ai/jobs/info/6681d81d049173fa673dd320?utm_campaign=1058&amp;utm_source=sheet", "Apply")</f>
        <v>Apply</v>
      </c>
      <c r="C591" s="10" t="s">
        <v>21581</v>
      </c>
      <c r="D591" s="56" t="s">
        <v>21582</v>
      </c>
      <c r="E591" s="10" t="s">
        <v>137</v>
      </c>
      <c r="F591" s="10" t="s">
        <v>21583</v>
      </c>
      <c r="G591" s="10" t="s">
        <v>20592</v>
      </c>
      <c r="H591" s="10" t="s">
        <v>963</v>
      </c>
      <c r="I591" s="10" t="s">
        <v>55</v>
      </c>
      <c r="K591" s="10" t="s">
        <v>21584</v>
      </c>
      <c r="L591" s="10" t="s">
        <v>42</v>
      </c>
    </row>
    <row r="592" ht="15.75" customHeight="1">
      <c r="A592" s="64">
        <v>45473.0</v>
      </c>
      <c r="B592" s="55" t="str">
        <f>HYPERLINK("https://jobright.ai/jobs/info/6681d81d049173fa673dd315?utm_campaign=1058&amp;utm_source=sheet", "Apply")</f>
        <v>Apply</v>
      </c>
      <c r="C592" s="10" t="s">
        <v>21581</v>
      </c>
      <c r="D592" s="56" t="s">
        <v>21582</v>
      </c>
      <c r="E592" s="10" t="s">
        <v>137</v>
      </c>
      <c r="F592" s="10" t="s">
        <v>21583</v>
      </c>
      <c r="G592" s="10" t="s">
        <v>20592</v>
      </c>
      <c r="H592" s="10" t="s">
        <v>1017</v>
      </c>
      <c r="I592" s="10" t="s">
        <v>55</v>
      </c>
      <c r="K592" s="10" t="s">
        <v>21584</v>
      </c>
      <c r="L592" s="10" t="s">
        <v>42</v>
      </c>
    </row>
    <row r="593" ht="15.75" customHeight="1">
      <c r="A593" s="64">
        <v>45473.0</v>
      </c>
      <c r="B593" s="55" t="str">
        <f>HYPERLINK("https://jobright.ai/jobs/info/6681d81d049173fa673dd31c?utm_campaign=1058&amp;utm_source=sheet", "Apply")</f>
        <v>Apply</v>
      </c>
      <c r="C593" s="10" t="s">
        <v>21581</v>
      </c>
      <c r="D593" s="56" t="s">
        <v>21582</v>
      </c>
      <c r="E593" s="10" t="s">
        <v>137</v>
      </c>
      <c r="F593" s="10" t="s">
        <v>21583</v>
      </c>
      <c r="G593" s="10" t="s">
        <v>20592</v>
      </c>
      <c r="H593" s="10" t="s">
        <v>1000</v>
      </c>
      <c r="I593" s="10" t="s">
        <v>55</v>
      </c>
      <c r="K593" s="10" t="s">
        <v>21584</v>
      </c>
      <c r="L593" s="10" t="s">
        <v>42</v>
      </c>
    </row>
    <row r="594" ht="15.75" customHeight="1">
      <c r="A594" s="64">
        <v>45473.0</v>
      </c>
      <c r="B594" s="55" t="str">
        <f>HYPERLINK("https://jobright.ai/jobs/info/6681d81d049173fa673dd31d?utm_campaign=1058&amp;utm_source=sheet", "Apply")</f>
        <v>Apply</v>
      </c>
      <c r="C594" s="10" t="s">
        <v>21581</v>
      </c>
      <c r="D594" s="56" t="s">
        <v>21582</v>
      </c>
      <c r="E594" s="10" t="s">
        <v>137</v>
      </c>
      <c r="F594" s="10" t="s">
        <v>21583</v>
      </c>
      <c r="G594" s="10" t="s">
        <v>20592</v>
      </c>
      <c r="H594" s="10" t="s">
        <v>905</v>
      </c>
      <c r="I594" s="10" t="s">
        <v>55</v>
      </c>
      <c r="K594" s="10" t="s">
        <v>21584</v>
      </c>
      <c r="L594" s="10" t="s">
        <v>42</v>
      </c>
    </row>
    <row r="595" ht="15.75" customHeight="1">
      <c r="A595" s="64">
        <v>45473.0</v>
      </c>
      <c r="B595" s="55" t="str">
        <f>HYPERLINK("https://jobright.ai/jobs/info/6681d81d049173fa673dd31a?utm_campaign=1058&amp;utm_source=sheet", "Apply")</f>
        <v>Apply</v>
      </c>
      <c r="C595" s="10" t="s">
        <v>21581</v>
      </c>
      <c r="D595" s="56" t="s">
        <v>21582</v>
      </c>
      <c r="E595" s="10" t="s">
        <v>137</v>
      </c>
      <c r="F595" s="10" t="s">
        <v>21583</v>
      </c>
      <c r="G595" s="10" t="s">
        <v>20592</v>
      </c>
      <c r="H595" s="10" t="s">
        <v>828</v>
      </c>
      <c r="I595" s="10" t="s">
        <v>55</v>
      </c>
      <c r="K595" s="10" t="s">
        <v>21584</v>
      </c>
      <c r="L595" s="10" t="s">
        <v>42</v>
      </c>
    </row>
    <row r="596" ht="15.75" customHeight="1">
      <c r="A596" s="64">
        <v>45473.0</v>
      </c>
      <c r="B596" s="55" t="str">
        <f>HYPERLINK("https://jobright.ai/jobs/info/6681d81d049173fa673dd31e?utm_campaign=1058&amp;utm_source=sheet", "Apply")</f>
        <v>Apply</v>
      </c>
      <c r="C596" s="10" t="s">
        <v>21581</v>
      </c>
      <c r="D596" s="56" t="s">
        <v>21582</v>
      </c>
      <c r="E596" s="10" t="s">
        <v>137</v>
      </c>
      <c r="F596" s="10" t="s">
        <v>21583</v>
      </c>
      <c r="G596" s="10" t="s">
        <v>20592</v>
      </c>
      <c r="H596" s="10" t="s">
        <v>1035</v>
      </c>
      <c r="I596" s="10" t="s">
        <v>55</v>
      </c>
      <c r="K596" s="10" t="s">
        <v>21584</v>
      </c>
      <c r="L596" s="10" t="s">
        <v>42</v>
      </c>
    </row>
    <row r="597" ht="15.75" customHeight="1">
      <c r="A597" s="64">
        <v>45473.0</v>
      </c>
      <c r="B597" s="55" t="str">
        <f>HYPERLINK("https://jobright.ai/jobs/info/6681d81d049173fa673dd317?utm_campaign=1058&amp;utm_source=sheet", "Apply")</f>
        <v>Apply</v>
      </c>
      <c r="C597" s="10" t="s">
        <v>21581</v>
      </c>
      <c r="D597" s="56" t="s">
        <v>21582</v>
      </c>
      <c r="E597" s="10" t="s">
        <v>137</v>
      </c>
      <c r="F597" s="10" t="s">
        <v>21583</v>
      </c>
      <c r="G597" s="10" t="s">
        <v>20592</v>
      </c>
      <c r="H597" s="10" t="s">
        <v>877</v>
      </c>
      <c r="I597" s="10" t="s">
        <v>55</v>
      </c>
      <c r="K597" s="10" t="s">
        <v>21584</v>
      </c>
      <c r="L597" s="10" t="s">
        <v>42</v>
      </c>
    </row>
    <row r="598" ht="15.75" customHeight="1">
      <c r="A598" s="64">
        <v>45473.0</v>
      </c>
      <c r="B598" s="55" t="str">
        <f>HYPERLINK("https://jobright.ai/jobs/info/6681d81d049173fa673dd316?utm_campaign=1058&amp;utm_source=sheet", "Apply")</f>
        <v>Apply</v>
      </c>
      <c r="C598" s="10" t="s">
        <v>21581</v>
      </c>
      <c r="D598" s="56" t="s">
        <v>21582</v>
      </c>
      <c r="E598" s="10" t="s">
        <v>137</v>
      </c>
      <c r="F598" s="10" t="s">
        <v>21583</v>
      </c>
      <c r="G598" s="10" t="s">
        <v>20592</v>
      </c>
      <c r="H598" s="10" t="s">
        <v>1024</v>
      </c>
      <c r="I598" s="10" t="s">
        <v>55</v>
      </c>
      <c r="K598" s="10" t="s">
        <v>21584</v>
      </c>
      <c r="L598" s="10" t="s">
        <v>42</v>
      </c>
    </row>
    <row r="599" ht="15.75" customHeight="1">
      <c r="A599" s="64">
        <v>45473.0</v>
      </c>
      <c r="B599" s="55" t="str">
        <f>HYPERLINK("https://jobright.ai/jobs/info/6681d81d049173fa673dd31b?utm_campaign=1058&amp;utm_source=sheet", "Apply")</f>
        <v>Apply</v>
      </c>
      <c r="C599" s="10" t="s">
        <v>21581</v>
      </c>
      <c r="D599" s="56" t="s">
        <v>21582</v>
      </c>
      <c r="E599" s="10" t="s">
        <v>137</v>
      </c>
      <c r="F599" s="10" t="s">
        <v>21583</v>
      </c>
      <c r="G599" s="10" t="s">
        <v>20592</v>
      </c>
      <c r="H599" s="10" t="s">
        <v>895</v>
      </c>
      <c r="I599" s="10" t="s">
        <v>55</v>
      </c>
      <c r="K599" s="10" t="s">
        <v>21584</v>
      </c>
      <c r="L599" s="10" t="s">
        <v>42</v>
      </c>
    </row>
    <row r="600" ht="15.75" customHeight="1">
      <c r="A600" s="64">
        <v>45473.0</v>
      </c>
      <c r="B600" s="55" t="str">
        <f>HYPERLINK("https://jobright.ai/jobs/info/6681d81d049173fa673dd31f?utm_campaign=1058&amp;utm_source=sheet", "Apply")</f>
        <v>Apply</v>
      </c>
      <c r="C600" s="10" t="s">
        <v>21581</v>
      </c>
      <c r="D600" s="56" t="s">
        <v>21582</v>
      </c>
      <c r="E600" s="10" t="s">
        <v>137</v>
      </c>
      <c r="F600" s="10" t="s">
        <v>21583</v>
      </c>
      <c r="G600" s="10" t="s">
        <v>20592</v>
      </c>
      <c r="H600" s="10" t="s">
        <v>821</v>
      </c>
      <c r="I600" s="10" t="s">
        <v>55</v>
      </c>
      <c r="K600" s="10" t="s">
        <v>21584</v>
      </c>
      <c r="L600" s="10" t="s">
        <v>42</v>
      </c>
    </row>
    <row r="601" ht="15.75" customHeight="1">
      <c r="A601" s="64">
        <v>45473.0</v>
      </c>
      <c r="B601" s="55" t="str">
        <f>HYPERLINK("https://jobright.ai/jobs/info/6681d81d049173fa673dd319?utm_campaign=1058&amp;utm_source=sheet", "Apply")</f>
        <v>Apply</v>
      </c>
      <c r="C601" s="10" t="s">
        <v>21581</v>
      </c>
      <c r="D601" s="56" t="s">
        <v>21582</v>
      </c>
      <c r="E601" s="10" t="s">
        <v>137</v>
      </c>
      <c r="F601" s="10" t="s">
        <v>21583</v>
      </c>
      <c r="G601" s="10" t="s">
        <v>20592</v>
      </c>
      <c r="H601" s="10" t="s">
        <v>832</v>
      </c>
      <c r="I601" s="10" t="s">
        <v>55</v>
      </c>
      <c r="K601" s="10" t="s">
        <v>21584</v>
      </c>
      <c r="L601" s="10" t="s">
        <v>42</v>
      </c>
    </row>
    <row r="602" ht="15.75" customHeight="1">
      <c r="A602" s="64">
        <v>45473.0</v>
      </c>
      <c r="B602" s="55" t="str">
        <f>HYPERLINK("https://jobright.ai/jobs/info/6681d81d049173fa673dd318?utm_campaign=1058&amp;utm_source=sheet", "Apply")</f>
        <v>Apply</v>
      </c>
      <c r="C602" s="10" t="s">
        <v>21581</v>
      </c>
      <c r="D602" s="56" t="s">
        <v>21582</v>
      </c>
      <c r="E602" s="10" t="s">
        <v>137</v>
      </c>
      <c r="F602" s="10" t="s">
        <v>21583</v>
      </c>
      <c r="G602" s="10" t="s">
        <v>20592</v>
      </c>
      <c r="H602" s="10" t="s">
        <v>761</v>
      </c>
      <c r="I602" s="10" t="s">
        <v>55</v>
      </c>
      <c r="K602" s="10" t="s">
        <v>21584</v>
      </c>
      <c r="L602" s="10" t="s">
        <v>42</v>
      </c>
    </row>
    <row r="603" ht="15.75" customHeight="1">
      <c r="A603" s="64">
        <v>45473.0</v>
      </c>
      <c r="B603" s="55" t="str">
        <f>HYPERLINK("https://jobright.ai/jobs/info/6681d81d049173fa673dd321?utm_campaign=1058&amp;utm_source=sheet", "Apply")</f>
        <v>Apply</v>
      </c>
      <c r="C603" s="10" t="s">
        <v>21581</v>
      </c>
      <c r="D603" s="56" t="s">
        <v>21582</v>
      </c>
      <c r="E603" s="10" t="s">
        <v>137</v>
      </c>
      <c r="F603" s="10" t="s">
        <v>21583</v>
      </c>
      <c r="G603" s="10" t="s">
        <v>20592</v>
      </c>
      <c r="H603" s="10" t="s">
        <v>915</v>
      </c>
      <c r="I603" s="10" t="s">
        <v>55</v>
      </c>
      <c r="K603" s="10" t="s">
        <v>21584</v>
      </c>
      <c r="L603" s="10" t="s">
        <v>42</v>
      </c>
    </row>
    <row r="604" ht="15.75" customHeight="1">
      <c r="A604" s="64">
        <v>45473.0</v>
      </c>
      <c r="B604" s="55" t="str">
        <f>HYPERLINK("https://jobright.ai/jobs/info/6681d81d049173fa673dd322?utm_campaign=1058&amp;utm_source=sheet", "Apply")</f>
        <v>Apply</v>
      </c>
      <c r="C604" s="10" t="s">
        <v>21581</v>
      </c>
      <c r="D604" s="56" t="s">
        <v>21582</v>
      </c>
      <c r="E604" s="10" t="s">
        <v>137</v>
      </c>
      <c r="F604" s="10" t="s">
        <v>21583</v>
      </c>
      <c r="G604" s="10" t="s">
        <v>20592</v>
      </c>
      <c r="H604" s="10" t="s">
        <v>995</v>
      </c>
      <c r="I604" s="10" t="s">
        <v>55</v>
      </c>
      <c r="K604" s="10" t="s">
        <v>21584</v>
      </c>
      <c r="L604" s="10" t="s">
        <v>42</v>
      </c>
    </row>
    <row r="605" ht="15.75" customHeight="1">
      <c r="A605" s="64">
        <v>45473.0</v>
      </c>
      <c r="B605" s="55" t="str">
        <f>HYPERLINK("https://jobright.ai/jobs/info/6681d81d049173fa673dd323?utm_campaign=1058&amp;utm_source=sheet", "Apply")</f>
        <v>Apply</v>
      </c>
      <c r="C605" s="10" t="s">
        <v>21581</v>
      </c>
      <c r="D605" s="56" t="s">
        <v>21582</v>
      </c>
      <c r="E605" s="10" t="s">
        <v>137</v>
      </c>
      <c r="F605" s="10" t="s">
        <v>21583</v>
      </c>
      <c r="G605" s="10" t="s">
        <v>20592</v>
      </c>
      <c r="H605" s="10" t="s">
        <v>850</v>
      </c>
      <c r="I605" s="10" t="s">
        <v>55</v>
      </c>
      <c r="K605" s="10" t="s">
        <v>21584</v>
      </c>
      <c r="L605" s="10" t="s">
        <v>42</v>
      </c>
    </row>
    <row r="606" ht="15.75" customHeight="1">
      <c r="A606" s="64">
        <v>45473.0</v>
      </c>
      <c r="B606" s="55" t="str">
        <f>HYPERLINK("https://jobright.ai/jobs/info/6681d81d049173fa673dd324?utm_campaign=1058&amp;utm_source=sheet", "Apply")</f>
        <v>Apply</v>
      </c>
      <c r="C606" s="10" t="s">
        <v>21581</v>
      </c>
      <c r="D606" s="56" t="s">
        <v>21582</v>
      </c>
      <c r="E606" s="10" t="s">
        <v>137</v>
      </c>
      <c r="F606" s="10" t="s">
        <v>21583</v>
      </c>
      <c r="G606" s="10" t="s">
        <v>20592</v>
      </c>
      <c r="H606" s="10" t="s">
        <v>958</v>
      </c>
      <c r="I606" s="10" t="s">
        <v>55</v>
      </c>
      <c r="K606" s="10" t="s">
        <v>21584</v>
      </c>
      <c r="L606" s="10" t="s">
        <v>42</v>
      </c>
    </row>
    <row r="607" ht="15.75" customHeight="1">
      <c r="A607" s="64">
        <v>45473.0</v>
      </c>
      <c r="B607" s="55" t="str">
        <f>HYPERLINK("https://jobright.ai/jobs/info/6681d81d049173fa673dd325?utm_campaign=1058&amp;utm_source=sheet", "Apply")</f>
        <v>Apply</v>
      </c>
      <c r="C607" s="10" t="s">
        <v>21581</v>
      </c>
      <c r="D607" s="56" t="s">
        <v>21582</v>
      </c>
      <c r="E607" s="10" t="s">
        <v>137</v>
      </c>
      <c r="F607" s="10" t="s">
        <v>21583</v>
      </c>
      <c r="G607" s="10" t="s">
        <v>20592</v>
      </c>
      <c r="H607" s="10" t="s">
        <v>922</v>
      </c>
      <c r="I607" s="10" t="s">
        <v>55</v>
      </c>
      <c r="K607" s="10" t="s">
        <v>21584</v>
      </c>
      <c r="L607" s="10" t="s">
        <v>42</v>
      </c>
    </row>
    <row r="608" ht="15.75" customHeight="1">
      <c r="A608" s="64">
        <v>45473.0</v>
      </c>
      <c r="B608" s="55" t="str">
        <f>HYPERLINK("https://jobright.ai/jobs/info/6681d81d049173fa673dd326?utm_campaign=1058&amp;utm_source=sheet", "Apply")</f>
        <v>Apply</v>
      </c>
      <c r="C608" s="10" t="s">
        <v>21581</v>
      </c>
      <c r="D608" s="56" t="s">
        <v>21582</v>
      </c>
      <c r="E608" s="10" t="s">
        <v>137</v>
      </c>
      <c r="F608" s="10" t="s">
        <v>21583</v>
      </c>
      <c r="G608" s="10" t="s">
        <v>20592</v>
      </c>
      <c r="H608" s="10" t="s">
        <v>313</v>
      </c>
      <c r="I608" s="10" t="s">
        <v>55</v>
      </c>
      <c r="K608" s="10" t="s">
        <v>21584</v>
      </c>
      <c r="L608" s="10" t="s">
        <v>42</v>
      </c>
    </row>
    <row r="609" ht="15.75" customHeight="1">
      <c r="A609" s="64">
        <v>45473.0</v>
      </c>
      <c r="B609" s="55" t="str">
        <f>HYPERLINK("https://jobright.ai/jobs/info/6681d81d049173fa673dd327?utm_campaign=1058&amp;utm_source=sheet", "Apply")</f>
        <v>Apply</v>
      </c>
      <c r="C609" s="10" t="s">
        <v>21581</v>
      </c>
      <c r="D609" s="56" t="s">
        <v>21582</v>
      </c>
      <c r="E609" s="10" t="s">
        <v>137</v>
      </c>
      <c r="F609" s="10" t="s">
        <v>21583</v>
      </c>
      <c r="G609" s="10" t="s">
        <v>20592</v>
      </c>
      <c r="H609" s="10" t="s">
        <v>997</v>
      </c>
      <c r="I609" s="10" t="s">
        <v>55</v>
      </c>
      <c r="K609" s="10" t="s">
        <v>21584</v>
      </c>
      <c r="L609" s="10" t="s">
        <v>42</v>
      </c>
    </row>
    <row r="610" ht="15.75" customHeight="1">
      <c r="A610" s="64">
        <v>45473.0</v>
      </c>
      <c r="B610" s="55" t="str">
        <f>HYPERLINK("https://jobright.ai/jobs/info/6681f3ec71707ef104247cb7?utm_campaign=1058&amp;utm_source=sheet", "Apply")</f>
        <v>Apply</v>
      </c>
      <c r="C610" s="10" t="s">
        <v>21581</v>
      </c>
      <c r="D610" s="56" t="s">
        <v>21582</v>
      </c>
      <c r="E610" s="10" t="s">
        <v>137</v>
      </c>
      <c r="F610" s="10" t="s">
        <v>21583</v>
      </c>
      <c r="G610" s="10" t="s">
        <v>20592</v>
      </c>
      <c r="H610" s="10" t="s">
        <v>108</v>
      </c>
      <c r="I610" s="10" t="s">
        <v>55</v>
      </c>
      <c r="K610" s="10" t="s">
        <v>21584</v>
      </c>
      <c r="L610" s="10" t="s">
        <v>42</v>
      </c>
    </row>
    <row r="611" ht="15.75" customHeight="1">
      <c r="A611" s="64">
        <v>45473.0</v>
      </c>
      <c r="B611" s="55" t="str">
        <f>HYPERLINK("https://jobright.ai/jobs/info/6681f3ec71707ef104247cb9?utm_campaign=1058&amp;utm_source=sheet", "Apply")</f>
        <v>Apply</v>
      </c>
      <c r="C611" s="10" t="s">
        <v>21581</v>
      </c>
      <c r="D611" s="56" t="s">
        <v>21582</v>
      </c>
      <c r="E611" s="10" t="s">
        <v>137</v>
      </c>
      <c r="F611" s="10" t="s">
        <v>21583</v>
      </c>
      <c r="G611" s="10" t="s">
        <v>20592</v>
      </c>
      <c r="H611" s="10" t="s">
        <v>766</v>
      </c>
      <c r="I611" s="10" t="s">
        <v>55</v>
      </c>
      <c r="K611" s="10" t="s">
        <v>21584</v>
      </c>
      <c r="L611" s="10" t="s">
        <v>42</v>
      </c>
    </row>
    <row r="612" ht="15.75" customHeight="1">
      <c r="A612" s="64">
        <v>45473.0</v>
      </c>
      <c r="B612" s="55" t="str">
        <f>HYPERLINK("https://jobright.ai/jobs/info/6681f3ec71707ef104247cb8?utm_campaign=1058&amp;utm_source=sheet", "Apply")</f>
        <v>Apply</v>
      </c>
      <c r="C612" s="10" t="s">
        <v>21581</v>
      </c>
      <c r="D612" s="56" t="s">
        <v>21582</v>
      </c>
      <c r="E612" s="10" t="s">
        <v>137</v>
      </c>
      <c r="F612" s="10" t="s">
        <v>21583</v>
      </c>
      <c r="G612" s="10" t="s">
        <v>20592</v>
      </c>
      <c r="H612" s="10" t="s">
        <v>146</v>
      </c>
      <c r="I612" s="10" t="s">
        <v>55</v>
      </c>
      <c r="K612" s="10" t="s">
        <v>21584</v>
      </c>
      <c r="L612" s="10" t="s">
        <v>42</v>
      </c>
    </row>
    <row r="613" ht="15.75" customHeight="1">
      <c r="A613" s="64">
        <v>45473.0</v>
      </c>
      <c r="B613" s="55" t="str">
        <f>HYPERLINK("https://jobright.ai/jobs/info/6681f3ec71707ef104247cbc?utm_campaign=1058&amp;utm_source=sheet", "Apply")</f>
        <v>Apply</v>
      </c>
      <c r="C613" s="10" t="s">
        <v>21581</v>
      </c>
      <c r="D613" s="56" t="s">
        <v>21582</v>
      </c>
      <c r="E613" s="10" t="s">
        <v>137</v>
      </c>
      <c r="F613" s="10" t="s">
        <v>21583</v>
      </c>
      <c r="G613" s="10" t="s">
        <v>20592</v>
      </c>
      <c r="H613" s="10" t="s">
        <v>1033</v>
      </c>
      <c r="I613" s="10" t="s">
        <v>55</v>
      </c>
      <c r="K613" s="10" t="s">
        <v>21584</v>
      </c>
      <c r="L613" s="10" t="s">
        <v>42</v>
      </c>
    </row>
    <row r="614" ht="15.75" customHeight="1">
      <c r="A614" s="64">
        <v>45473.0</v>
      </c>
      <c r="B614" s="55" t="str">
        <f>HYPERLINK("https://jobright.ai/jobs/info/6681f3ec71707ef104247cbb?utm_campaign=1058&amp;utm_source=sheet", "Apply")</f>
        <v>Apply</v>
      </c>
      <c r="C614" s="10" t="s">
        <v>21581</v>
      </c>
      <c r="D614" s="56" t="s">
        <v>21582</v>
      </c>
      <c r="E614" s="10" t="s">
        <v>137</v>
      </c>
      <c r="F614" s="10" t="s">
        <v>21583</v>
      </c>
      <c r="G614" s="10" t="s">
        <v>20592</v>
      </c>
      <c r="H614" s="10" t="s">
        <v>989</v>
      </c>
      <c r="I614" s="10" t="s">
        <v>55</v>
      </c>
      <c r="K614" s="10" t="s">
        <v>21584</v>
      </c>
      <c r="L614" s="10" t="s">
        <v>42</v>
      </c>
    </row>
    <row r="615" ht="15.75" customHeight="1">
      <c r="A615" s="64">
        <v>45473.0</v>
      </c>
      <c r="B615" s="55" t="str">
        <f>HYPERLINK("https://jobright.ai/jobs/info/6681f3ec71707ef104247cba?utm_campaign=1058&amp;utm_source=sheet", "Apply")</f>
        <v>Apply</v>
      </c>
      <c r="C615" s="10" t="s">
        <v>21581</v>
      </c>
      <c r="D615" s="56" t="s">
        <v>21582</v>
      </c>
      <c r="E615" s="10" t="s">
        <v>137</v>
      </c>
      <c r="F615" s="10" t="s">
        <v>21583</v>
      </c>
      <c r="G615" s="10" t="s">
        <v>20592</v>
      </c>
      <c r="H615" s="10" t="s">
        <v>1001</v>
      </c>
      <c r="I615" s="10" t="s">
        <v>55</v>
      </c>
      <c r="K615" s="10" t="s">
        <v>21584</v>
      </c>
      <c r="L615" s="10" t="s">
        <v>42</v>
      </c>
    </row>
    <row r="616" ht="15.75" customHeight="1">
      <c r="A616" s="64">
        <v>45473.0</v>
      </c>
      <c r="B616" s="55" t="str">
        <f>HYPERLINK("https://jobright.ai/jobs/info/6681f3ec71707ef104247cc0?utm_campaign=1058&amp;utm_source=sheet", "Apply")</f>
        <v>Apply</v>
      </c>
      <c r="C616" s="10" t="s">
        <v>21581</v>
      </c>
      <c r="D616" s="56" t="s">
        <v>21582</v>
      </c>
      <c r="E616" s="10" t="s">
        <v>137</v>
      </c>
      <c r="F616" s="10" t="s">
        <v>21583</v>
      </c>
      <c r="G616" s="10" t="s">
        <v>20592</v>
      </c>
      <c r="H616" s="10" t="s">
        <v>768</v>
      </c>
      <c r="I616" s="10" t="s">
        <v>55</v>
      </c>
      <c r="K616" s="10" t="s">
        <v>21584</v>
      </c>
      <c r="L616" s="10" t="s">
        <v>42</v>
      </c>
    </row>
    <row r="617" ht="15.75" customHeight="1">
      <c r="A617" s="64">
        <v>45473.0</v>
      </c>
      <c r="B617" s="55" t="str">
        <f>HYPERLINK("https://jobright.ai/jobs/info/6681f3ec71707ef104247cbd?utm_campaign=1058&amp;utm_source=sheet", "Apply")</f>
        <v>Apply</v>
      </c>
      <c r="C617" s="10" t="s">
        <v>21581</v>
      </c>
      <c r="D617" s="56" t="s">
        <v>21582</v>
      </c>
      <c r="E617" s="10" t="s">
        <v>137</v>
      </c>
      <c r="F617" s="10" t="s">
        <v>21583</v>
      </c>
      <c r="G617" s="10" t="s">
        <v>20592</v>
      </c>
      <c r="H617" s="10" t="s">
        <v>759</v>
      </c>
      <c r="I617" s="10" t="s">
        <v>55</v>
      </c>
      <c r="K617" s="10" t="s">
        <v>21584</v>
      </c>
      <c r="L617" s="10" t="s">
        <v>42</v>
      </c>
    </row>
    <row r="618" ht="15.75" customHeight="1">
      <c r="A618" s="64">
        <v>45473.0</v>
      </c>
      <c r="B618" s="55" t="str">
        <f>HYPERLINK("https://jobright.ai/jobs/info/6681f3ec71707ef104247cbf?utm_campaign=1058&amp;utm_source=sheet", "Apply")</f>
        <v>Apply</v>
      </c>
      <c r="C618" s="10" t="s">
        <v>21581</v>
      </c>
      <c r="D618" s="56" t="s">
        <v>21582</v>
      </c>
      <c r="E618" s="10" t="s">
        <v>137</v>
      </c>
      <c r="F618" s="10" t="s">
        <v>21583</v>
      </c>
      <c r="G618" s="10" t="s">
        <v>20592</v>
      </c>
      <c r="H618" s="10" t="s">
        <v>955</v>
      </c>
      <c r="I618" s="10" t="s">
        <v>55</v>
      </c>
      <c r="K618" s="10" t="s">
        <v>21584</v>
      </c>
      <c r="L618" s="10" t="s">
        <v>42</v>
      </c>
    </row>
    <row r="619" ht="15.75" customHeight="1">
      <c r="A619" s="64">
        <v>45473.0</v>
      </c>
      <c r="B619" s="55" t="str">
        <f>HYPERLINK("https://jobright.ai/jobs/info/6681f3ec71707ef104247cc2?utm_campaign=1058&amp;utm_source=sheet", "Apply")</f>
        <v>Apply</v>
      </c>
      <c r="C619" s="10" t="s">
        <v>21581</v>
      </c>
      <c r="D619" s="56" t="s">
        <v>21582</v>
      </c>
      <c r="E619" s="10" t="s">
        <v>137</v>
      </c>
      <c r="F619" s="10" t="s">
        <v>21583</v>
      </c>
      <c r="G619" s="10" t="s">
        <v>20592</v>
      </c>
      <c r="H619" s="10" t="s">
        <v>858</v>
      </c>
      <c r="I619" s="10" t="s">
        <v>55</v>
      </c>
      <c r="K619" s="10" t="s">
        <v>21584</v>
      </c>
      <c r="L619" s="10" t="s">
        <v>42</v>
      </c>
    </row>
    <row r="620" ht="15.75" customHeight="1">
      <c r="A620" s="64">
        <v>45473.0</v>
      </c>
      <c r="B620" s="55" t="str">
        <f>HYPERLINK("https://jobright.ai/jobs/info/6681f3ec71707ef104247cc3?utm_campaign=1058&amp;utm_source=sheet", "Apply")</f>
        <v>Apply</v>
      </c>
      <c r="C620" s="10" t="s">
        <v>21581</v>
      </c>
      <c r="D620" s="56" t="s">
        <v>21582</v>
      </c>
      <c r="E620" s="10" t="s">
        <v>137</v>
      </c>
      <c r="F620" s="10" t="s">
        <v>21583</v>
      </c>
      <c r="G620" s="10" t="s">
        <v>20592</v>
      </c>
      <c r="H620" s="10" t="s">
        <v>798</v>
      </c>
      <c r="I620" s="10" t="s">
        <v>55</v>
      </c>
      <c r="K620" s="10" t="s">
        <v>21584</v>
      </c>
      <c r="L620" s="10" t="s">
        <v>42</v>
      </c>
    </row>
    <row r="621" ht="15.75" customHeight="1">
      <c r="A621" s="64">
        <v>45473.0</v>
      </c>
      <c r="B621" s="55" t="str">
        <f>HYPERLINK("https://jobright.ai/jobs/info/66820239a883f66b31b26885?utm_campaign=1058&amp;utm_source=sheet", "Apply")</f>
        <v>Apply</v>
      </c>
      <c r="C621" s="10" t="s">
        <v>21581</v>
      </c>
      <c r="D621" s="56" t="s">
        <v>21582</v>
      </c>
      <c r="E621" s="10" t="s">
        <v>137</v>
      </c>
      <c r="F621" s="10" t="s">
        <v>21583</v>
      </c>
      <c r="G621" s="10" t="s">
        <v>20592</v>
      </c>
      <c r="H621" s="10" t="s">
        <v>578</v>
      </c>
      <c r="I621" s="10" t="s">
        <v>55</v>
      </c>
      <c r="K621" s="10" t="s">
        <v>21584</v>
      </c>
      <c r="L621" s="10" t="s">
        <v>42</v>
      </c>
    </row>
    <row r="622" ht="15.75" customHeight="1">
      <c r="A622" s="64">
        <v>45473.0</v>
      </c>
      <c r="B622" s="55" t="str">
        <f>HYPERLINK("https://jobright.ai/jobs/info/66820239a883f66b31b26886?utm_campaign=1058&amp;utm_source=sheet", "Apply")</f>
        <v>Apply</v>
      </c>
      <c r="C622" s="10" t="s">
        <v>21581</v>
      </c>
      <c r="D622" s="56" t="s">
        <v>21582</v>
      </c>
      <c r="E622" s="10" t="s">
        <v>137</v>
      </c>
      <c r="F622" s="10" t="s">
        <v>21583</v>
      </c>
      <c r="G622" s="10" t="s">
        <v>20592</v>
      </c>
      <c r="H622" s="10" t="s">
        <v>1010</v>
      </c>
      <c r="I622" s="10" t="s">
        <v>55</v>
      </c>
      <c r="K622" s="10" t="s">
        <v>21584</v>
      </c>
      <c r="L622" s="10" t="s">
        <v>42</v>
      </c>
    </row>
    <row r="623" ht="15.75" customHeight="1">
      <c r="A623" s="64">
        <v>45473.0</v>
      </c>
      <c r="B623" s="55" t="str">
        <f>HYPERLINK("https://jobright.ai/jobs/info/66820239a883f66b31b26887?utm_campaign=1058&amp;utm_source=sheet", "Apply")</f>
        <v>Apply</v>
      </c>
      <c r="C623" s="10" t="s">
        <v>21581</v>
      </c>
      <c r="D623" s="56" t="s">
        <v>21582</v>
      </c>
      <c r="E623" s="10" t="s">
        <v>137</v>
      </c>
      <c r="F623" s="10" t="s">
        <v>21583</v>
      </c>
      <c r="G623" s="10" t="s">
        <v>20592</v>
      </c>
      <c r="H623" s="10" t="s">
        <v>825</v>
      </c>
      <c r="I623" s="10" t="s">
        <v>55</v>
      </c>
      <c r="K623" s="10" t="s">
        <v>21584</v>
      </c>
      <c r="L623" s="10" t="s">
        <v>42</v>
      </c>
    </row>
    <row r="624" ht="15.75" customHeight="1">
      <c r="A624" s="64">
        <v>45473.0</v>
      </c>
      <c r="B624" s="55" t="str">
        <f>HYPERLINK("https://jobright.ai/jobs/info/66820239a883f66b31b26888?utm_campaign=1058&amp;utm_source=sheet", "Apply")</f>
        <v>Apply</v>
      </c>
      <c r="C624" s="10" t="s">
        <v>21581</v>
      </c>
      <c r="D624" s="56" t="s">
        <v>21582</v>
      </c>
      <c r="E624" s="10" t="s">
        <v>137</v>
      </c>
      <c r="F624" s="10" t="s">
        <v>21583</v>
      </c>
      <c r="G624" s="10" t="s">
        <v>20592</v>
      </c>
      <c r="H624" s="10" t="s">
        <v>939</v>
      </c>
      <c r="I624" s="10" t="s">
        <v>55</v>
      </c>
      <c r="K624" s="10" t="s">
        <v>21584</v>
      </c>
      <c r="L624" s="10" t="s">
        <v>42</v>
      </c>
    </row>
    <row r="625" ht="15.75" customHeight="1">
      <c r="A625" s="64">
        <v>45473.0</v>
      </c>
      <c r="B625" s="55" t="str">
        <f>HYPERLINK("https://jobright.ai/jobs/info/66820239a883f66b31b26889?utm_campaign=1058&amp;utm_source=sheet", "Apply")</f>
        <v>Apply</v>
      </c>
      <c r="C625" s="10" t="s">
        <v>21581</v>
      </c>
      <c r="D625" s="56" t="s">
        <v>21582</v>
      </c>
      <c r="E625" s="10" t="s">
        <v>137</v>
      </c>
      <c r="F625" s="10" t="s">
        <v>21583</v>
      </c>
      <c r="G625" s="10" t="s">
        <v>20592</v>
      </c>
      <c r="H625" s="10" t="s">
        <v>790</v>
      </c>
      <c r="I625" s="10" t="s">
        <v>55</v>
      </c>
      <c r="K625" s="10" t="s">
        <v>21584</v>
      </c>
      <c r="L625" s="10" t="s">
        <v>42</v>
      </c>
    </row>
    <row r="626" ht="15.75" customHeight="1">
      <c r="A626" s="64">
        <v>45473.0</v>
      </c>
      <c r="B626" s="55" t="str">
        <f>HYPERLINK("https://jobright.ai/jobs/info/66820239a883f66b31b2688a?utm_campaign=1058&amp;utm_source=sheet", "Apply")</f>
        <v>Apply</v>
      </c>
      <c r="C626" s="10" t="s">
        <v>21581</v>
      </c>
      <c r="D626" s="56" t="s">
        <v>21582</v>
      </c>
      <c r="E626" s="10" t="s">
        <v>137</v>
      </c>
      <c r="F626" s="10" t="s">
        <v>21583</v>
      </c>
      <c r="G626" s="10" t="s">
        <v>20592</v>
      </c>
      <c r="H626" s="10" t="s">
        <v>967</v>
      </c>
      <c r="I626" s="10" t="s">
        <v>55</v>
      </c>
      <c r="K626" s="10" t="s">
        <v>21584</v>
      </c>
      <c r="L626" s="10" t="s">
        <v>42</v>
      </c>
    </row>
    <row r="627" ht="15.75" customHeight="1">
      <c r="A627" s="64">
        <v>45473.0</v>
      </c>
      <c r="B627" s="55" t="str">
        <f>HYPERLINK("https://jobright.ai/jobs/info/66820239a883f66b31b2688d?utm_campaign=1058&amp;utm_source=sheet", "Apply")</f>
        <v>Apply</v>
      </c>
      <c r="C627" s="10" t="s">
        <v>21581</v>
      </c>
      <c r="D627" s="56" t="s">
        <v>21582</v>
      </c>
      <c r="E627" s="10" t="s">
        <v>137</v>
      </c>
      <c r="F627" s="10" t="s">
        <v>21583</v>
      </c>
      <c r="G627" s="10" t="s">
        <v>20592</v>
      </c>
      <c r="H627" s="10" t="s">
        <v>945</v>
      </c>
      <c r="I627" s="10" t="s">
        <v>55</v>
      </c>
      <c r="K627" s="10" t="s">
        <v>21584</v>
      </c>
      <c r="L627" s="10" t="s">
        <v>42</v>
      </c>
    </row>
    <row r="628" ht="15.75" customHeight="1">
      <c r="A628" s="64">
        <v>45473.0</v>
      </c>
      <c r="B628" s="55" t="str">
        <f>HYPERLINK("https://jobright.ai/jobs/info/66820239a883f66b31b2688c?utm_campaign=1058&amp;utm_source=sheet", "Apply")</f>
        <v>Apply</v>
      </c>
      <c r="C628" s="10" t="s">
        <v>21581</v>
      </c>
      <c r="D628" s="56" t="s">
        <v>21582</v>
      </c>
      <c r="E628" s="10" t="s">
        <v>137</v>
      </c>
      <c r="F628" s="10" t="s">
        <v>21583</v>
      </c>
      <c r="G628" s="10" t="s">
        <v>20592</v>
      </c>
      <c r="H628" s="10" t="s">
        <v>867</v>
      </c>
      <c r="I628" s="10" t="s">
        <v>55</v>
      </c>
      <c r="K628" s="10" t="s">
        <v>21584</v>
      </c>
      <c r="L628" s="10" t="s">
        <v>42</v>
      </c>
    </row>
    <row r="629" ht="15.75" customHeight="1">
      <c r="A629" s="64">
        <v>45473.0</v>
      </c>
      <c r="B629" s="55" t="str">
        <f>HYPERLINK("https://jobright.ai/jobs/info/66820239a883f66b31b2688f?utm_campaign=1058&amp;utm_source=sheet", "Apply")</f>
        <v>Apply</v>
      </c>
      <c r="C629" s="10" t="s">
        <v>21581</v>
      </c>
      <c r="D629" s="56" t="s">
        <v>21582</v>
      </c>
      <c r="E629" s="10" t="s">
        <v>137</v>
      </c>
      <c r="F629" s="10" t="s">
        <v>21583</v>
      </c>
      <c r="G629" s="10" t="s">
        <v>20592</v>
      </c>
      <c r="H629" s="10" t="s">
        <v>927</v>
      </c>
      <c r="I629" s="10" t="s">
        <v>55</v>
      </c>
      <c r="K629" s="10" t="s">
        <v>21584</v>
      </c>
      <c r="L629" s="10" t="s">
        <v>42</v>
      </c>
    </row>
    <row r="630" ht="15.75" customHeight="1">
      <c r="A630" s="64">
        <v>45473.0</v>
      </c>
      <c r="B630" s="55" t="str">
        <f>HYPERLINK("https://jobright.ai/jobs/info/66820239a883f66b31b2688e?utm_campaign=1058&amp;utm_source=sheet", "Apply")</f>
        <v>Apply</v>
      </c>
      <c r="C630" s="10" t="s">
        <v>21581</v>
      </c>
      <c r="D630" s="56" t="s">
        <v>21582</v>
      </c>
      <c r="E630" s="10" t="s">
        <v>137</v>
      </c>
      <c r="F630" s="10" t="s">
        <v>21583</v>
      </c>
      <c r="G630" s="10" t="s">
        <v>20592</v>
      </c>
      <c r="H630" s="10" t="s">
        <v>1018</v>
      </c>
      <c r="I630" s="10" t="s">
        <v>55</v>
      </c>
      <c r="K630" s="10" t="s">
        <v>21584</v>
      </c>
      <c r="L630" s="10" t="s">
        <v>42</v>
      </c>
    </row>
    <row r="631" ht="15.75" customHeight="1">
      <c r="A631" s="64">
        <v>45473.0</v>
      </c>
      <c r="B631" s="55" t="str">
        <f>HYPERLINK("https://jobright.ai/jobs/info/66820239a883f66b31b2688b?utm_campaign=1058&amp;utm_source=sheet", "Apply")</f>
        <v>Apply</v>
      </c>
      <c r="C631" s="10" t="s">
        <v>21581</v>
      </c>
      <c r="D631" s="56" t="s">
        <v>21582</v>
      </c>
      <c r="E631" s="10" t="s">
        <v>137</v>
      </c>
      <c r="F631" s="10" t="s">
        <v>21583</v>
      </c>
      <c r="G631" s="10" t="s">
        <v>20592</v>
      </c>
      <c r="H631" s="10" t="s">
        <v>903</v>
      </c>
      <c r="I631" s="10" t="s">
        <v>55</v>
      </c>
      <c r="K631" s="10" t="s">
        <v>21584</v>
      </c>
      <c r="L631" s="10" t="s">
        <v>42</v>
      </c>
    </row>
    <row r="632" ht="15.75" customHeight="1">
      <c r="A632" s="64">
        <v>45473.0</v>
      </c>
      <c r="B632" s="55" t="str">
        <f>HYPERLINK("https://jobright.ai/jobs/info/668261c9c28c9c5ef7be0312?utm_campaign=1058&amp;utm_source=sheet", "Apply")</f>
        <v>Apply</v>
      </c>
      <c r="C632" s="10" t="s">
        <v>21581</v>
      </c>
      <c r="D632" s="56" t="s">
        <v>21582</v>
      </c>
      <c r="E632" s="10" t="s">
        <v>137</v>
      </c>
      <c r="F632" s="10" t="s">
        <v>21583</v>
      </c>
      <c r="G632" s="10" t="s">
        <v>20592</v>
      </c>
      <c r="H632" s="10" t="s">
        <v>951</v>
      </c>
      <c r="I632" s="10" t="s">
        <v>55</v>
      </c>
      <c r="K632" s="10" t="s">
        <v>21584</v>
      </c>
      <c r="L632" s="10" t="s">
        <v>42</v>
      </c>
    </row>
    <row r="633" ht="15.75" customHeight="1">
      <c r="A633" s="64">
        <v>45473.0</v>
      </c>
      <c r="B633" s="55" t="str">
        <f>HYPERLINK("https://jobright.ai/jobs/info/66829d6b236c93dad9b920b8?utm_campaign=1058&amp;utm_source=sheet", "Apply")</f>
        <v>Apply</v>
      </c>
      <c r="C633" s="10" t="s">
        <v>21581</v>
      </c>
      <c r="D633" s="56" t="s">
        <v>21582</v>
      </c>
      <c r="E633" s="10" t="s">
        <v>137</v>
      </c>
      <c r="F633" s="10" t="s">
        <v>21583</v>
      </c>
      <c r="G633" s="10" t="s">
        <v>20592</v>
      </c>
      <c r="H633" s="10" t="s">
        <v>887</v>
      </c>
      <c r="I633" s="10" t="s">
        <v>55</v>
      </c>
      <c r="K633" s="10" t="s">
        <v>21584</v>
      </c>
      <c r="L633" s="10" t="s">
        <v>42</v>
      </c>
    </row>
    <row r="634" ht="15.75" customHeight="1">
      <c r="A634" s="64">
        <v>45473.0</v>
      </c>
      <c r="B634" s="55" t="str">
        <f>HYPERLINK("https://jobright.ai/jobs/info/6681c66ccefd291014018881?utm_campaign=1058&amp;utm_source=sheet", "Apply")</f>
        <v>Apply</v>
      </c>
      <c r="C634" s="10" t="s">
        <v>21581</v>
      </c>
      <c r="D634" s="56" t="s">
        <v>21582</v>
      </c>
      <c r="E634" s="10" t="s">
        <v>137</v>
      </c>
      <c r="F634" s="10" t="s">
        <v>21583</v>
      </c>
      <c r="G634" s="10" t="s">
        <v>20592</v>
      </c>
      <c r="H634" s="10" t="s">
        <v>871</v>
      </c>
      <c r="I634" s="10" t="s">
        <v>55</v>
      </c>
      <c r="K634" s="10" t="s">
        <v>21584</v>
      </c>
      <c r="L634" s="10" t="s">
        <v>42</v>
      </c>
    </row>
    <row r="635" ht="15.75" customHeight="1">
      <c r="A635" s="64">
        <v>45473.0</v>
      </c>
      <c r="B635" s="55" t="str">
        <f>HYPERLINK("https://jobright.ai/jobs/info/6681c66ccefd291014018882?utm_campaign=1058&amp;utm_source=sheet", "Apply")</f>
        <v>Apply</v>
      </c>
      <c r="C635" s="10" t="s">
        <v>21581</v>
      </c>
      <c r="D635" s="56" t="s">
        <v>21582</v>
      </c>
      <c r="E635" s="10" t="s">
        <v>137</v>
      </c>
      <c r="F635" s="10" t="s">
        <v>21583</v>
      </c>
      <c r="G635" s="10" t="s">
        <v>20592</v>
      </c>
      <c r="H635" s="10" t="s">
        <v>785</v>
      </c>
      <c r="I635" s="10" t="s">
        <v>55</v>
      </c>
      <c r="K635" s="10" t="s">
        <v>21584</v>
      </c>
      <c r="L635" s="10" t="s">
        <v>42</v>
      </c>
    </row>
    <row r="636" ht="15.75" customHeight="1">
      <c r="A636" s="64">
        <v>45473.0</v>
      </c>
      <c r="B636" s="55" t="str">
        <f>HYPERLINK("https://jobright.ai/jobs/info/6681c66ccefd291014018884?utm_campaign=1058&amp;utm_source=sheet", "Apply")</f>
        <v>Apply</v>
      </c>
      <c r="C636" s="10" t="s">
        <v>21581</v>
      </c>
      <c r="D636" s="56" t="s">
        <v>21582</v>
      </c>
      <c r="E636" s="10" t="s">
        <v>137</v>
      </c>
      <c r="F636" s="10" t="s">
        <v>21583</v>
      </c>
      <c r="G636" s="10" t="s">
        <v>20592</v>
      </c>
      <c r="H636" s="10" t="s">
        <v>894</v>
      </c>
      <c r="I636" s="10" t="s">
        <v>55</v>
      </c>
      <c r="K636" s="10" t="s">
        <v>21584</v>
      </c>
      <c r="L636" s="10" t="s">
        <v>42</v>
      </c>
    </row>
    <row r="637" ht="15.75" customHeight="1">
      <c r="A637" s="64">
        <v>45473.0</v>
      </c>
      <c r="B637" s="55" t="str">
        <f>HYPERLINK("https://jobright.ai/jobs/info/6681c66ccefd291014018883?utm_campaign=1058&amp;utm_source=sheet", "Apply")</f>
        <v>Apply</v>
      </c>
      <c r="C637" s="10" t="s">
        <v>21581</v>
      </c>
      <c r="D637" s="56" t="s">
        <v>21582</v>
      </c>
      <c r="E637" s="10" t="s">
        <v>137</v>
      </c>
      <c r="F637" s="10" t="s">
        <v>21583</v>
      </c>
      <c r="G637" s="10" t="s">
        <v>20592</v>
      </c>
      <c r="H637" s="10" t="s">
        <v>423</v>
      </c>
      <c r="I637" s="10" t="s">
        <v>55</v>
      </c>
      <c r="K637" s="10" t="s">
        <v>21584</v>
      </c>
      <c r="L637" s="10" t="s">
        <v>42</v>
      </c>
    </row>
    <row r="638" ht="15.75" customHeight="1">
      <c r="A638" s="64">
        <v>45473.0</v>
      </c>
      <c r="B638" s="55" t="str">
        <f>HYPERLINK("https://jobright.ai/jobs/info/6681c66ccefd291014018885?utm_campaign=1058&amp;utm_source=sheet", "Apply")</f>
        <v>Apply</v>
      </c>
      <c r="C638" s="10" t="s">
        <v>21581</v>
      </c>
      <c r="D638" s="56" t="s">
        <v>21582</v>
      </c>
      <c r="E638" s="10" t="s">
        <v>137</v>
      </c>
      <c r="F638" s="10" t="s">
        <v>21583</v>
      </c>
      <c r="G638" s="10" t="s">
        <v>20592</v>
      </c>
      <c r="H638" s="10" t="s">
        <v>818</v>
      </c>
      <c r="I638" s="10" t="s">
        <v>55</v>
      </c>
      <c r="K638" s="10" t="s">
        <v>21584</v>
      </c>
      <c r="L638" s="10" t="s">
        <v>42</v>
      </c>
    </row>
    <row r="639" ht="15.75" customHeight="1">
      <c r="A639" s="64">
        <v>45473.0</v>
      </c>
      <c r="B639" s="55" t="str">
        <f>HYPERLINK("https://jobright.ai/jobs/info/6681c66ccefd291014018886?utm_campaign=1058&amp;utm_source=sheet", "Apply")</f>
        <v>Apply</v>
      </c>
      <c r="C639" s="10" t="s">
        <v>21581</v>
      </c>
      <c r="D639" s="56" t="s">
        <v>21582</v>
      </c>
      <c r="E639" s="10" t="s">
        <v>137</v>
      </c>
      <c r="F639" s="10" t="s">
        <v>21583</v>
      </c>
      <c r="G639" s="10" t="s">
        <v>20592</v>
      </c>
      <c r="H639" s="10" t="s">
        <v>804</v>
      </c>
      <c r="I639" s="10" t="s">
        <v>55</v>
      </c>
      <c r="K639" s="10" t="s">
        <v>21584</v>
      </c>
      <c r="L639" s="10" t="s">
        <v>42</v>
      </c>
    </row>
    <row r="640" ht="15.75" customHeight="1">
      <c r="A640" s="64">
        <v>45473.0</v>
      </c>
      <c r="B640" s="55" t="str">
        <f>HYPERLINK("https://jobright.ai/jobs/info/6681c66ccefd291014018891?utm_campaign=1058&amp;utm_source=sheet", "Apply")</f>
        <v>Apply</v>
      </c>
      <c r="C640" s="10" t="s">
        <v>21581</v>
      </c>
      <c r="D640" s="56" t="s">
        <v>21582</v>
      </c>
      <c r="E640" s="10" t="s">
        <v>137</v>
      </c>
      <c r="F640" s="10" t="s">
        <v>21583</v>
      </c>
      <c r="G640" s="10" t="s">
        <v>20592</v>
      </c>
      <c r="H640" s="10" t="s">
        <v>168</v>
      </c>
      <c r="I640" s="10" t="s">
        <v>55</v>
      </c>
      <c r="K640" s="10" t="s">
        <v>21584</v>
      </c>
      <c r="L640" s="10" t="s">
        <v>42</v>
      </c>
    </row>
    <row r="641" ht="15.75" customHeight="1">
      <c r="A641" s="64">
        <v>45473.0</v>
      </c>
      <c r="B641" s="55" t="str">
        <f>HYPERLINK("https://jobright.ai/jobs/info/6681c66ccefd291014018894?utm_campaign=1058&amp;utm_source=sheet", "Apply")</f>
        <v>Apply</v>
      </c>
      <c r="C641" s="10" t="s">
        <v>21581</v>
      </c>
      <c r="D641" s="56" t="s">
        <v>21582</v>
      </c>
      <c r="E641" s="10" t="s">
        <v>137</v>
      </c>
      <c r="F641" s="10" t="s">
        <v>21583</v>
      </c>
      <c r="G641" s="10" t="s">
        <v>20592</v>
      </c>
      <c r="H641" s="10" t="s">
        <v>232</v>
      </c>
      <c r="I641" s="10" t="s">
        <v>55</v>
      </c>
      <c r="K641" s="10" t="s">
        <v>21584</v>
      </c>
      <c r="L641" s="10" t="s">
        <v>42</v>
      </c>
    </row>
    <row r="642" ht="15.75" customHeight="1">
      <c r="A642" s="64">
        <v>45473.0</v>
      </c>
      <c r="B642" s="55" t="str">
        <f>HYPERLINK("https://jobright.ai/jobs/info/6681c66ccefd291014018890?utm_campaign=1058&amp;utm_source=sheet", "Apply")</f>
        <v>Apply</v>
      </c>
      <c r="C642" s="10" t="s">
        <v>21581</v>
      </c>
      <c r="D642" s="56" t="s">
        <v>21582</v>
      </c>
      <c r="E642" s="10" t="s">
        <v>137</v>
      </c>
      <c r="F642" s="10" t="s">
        <v>21583</v>
      </c>
      <c r="G642" s="10" t="s">
        <v>20592</v>
      </c>
      <c r="H642" s="10" t="s">
        <v>1043</v>
      </c>
      <c r="I642" s="10" t="s">
        <v>55</v>
      </c>
      <c r="K642" s="10" t="s">
        <v>21584</v>
      </c>
      <c r="L642" s="10" t="s">
        <v>42</v>
      </c>
    </row>
    <row r="643" ht="15.75" customHeight="1">
      <c r="A643" s="64">
        <v>45473.0</v>
      </c>
      <c r="B643" s="55" t="str">
        <f>HYPERLINK("https://jobright.ai/jobs/info/6681c66ccefd291014018897?utm_campaign=1058&amp;utm_source=sheet", "Apply")</f>
        <v>Apply</v>
      </c>
      <c r="C643" s="10" t="s">
        <v>21581</v>
      </c>
      <c r="D643" s="56" t="s">
        <v>21582</v>
      </c>
      <c r="E643" s="10" t="s">
        <v>137</v>
      </c>
      <c r="F643" s="10" t="s">
        <v>21583</v>
      </c>
      <c r="G643" s="10" t="s">
        <v>20592</v>
      </c>
      <c r="H643" s="10" t="s">
        <v>860</v>
      </c>
      <c r="I643" s="10" t="s">
        <v>55</v>
      </c>
      <c r="K643" s="10" t="s">
        <v>21584</v>
      </c>
      <c r="L643" s="10" t="s">
        <v>42</v>
      </c>
    </row>
    <row r="644" ht="15.75" customHeight="1">
      <c r="A644" s="64">
        <v>45473.0</v>
      </c>
      <c r="B644" s="55" t="str">
        <f>HYPERLINK("https://jobright.ai/jobs/info/6681c66ccefd291014018888?utm_campaign=1058&amp;utm_source=sheet", "Apply")</f>
        <v>Apply</v>
      </c>
      <c r="C644" s="10" t="s">
        <v>21581</v>
      </c>
      <c r="D644" s="56" t="s">
        <v>21582</v>
      </c>
      <c r="E644" s="10" t="s">
        <v>137</v>
      </c>
      <c r="F644" s="10" t="s">
        <v>21583</v>
      </c>
      <c r="G644" s="10" t="s">
        <v>20592</v>
      </c>
      <c r="H644" s="10" t="s">
        <v>932</v>
      </c>
      <c r="I644" s="10" t="s">
        <v>55</v>
      </c>
      <c r="K644" s="10" t="s">
        <v>21584</v>
      </c>
      <c r="L644" s="10" t="s">
        <v>42</v>
      </c>
    </row>
    <row r="645" ht="15.75" customHeight="1">
      <c r="A645" s="64">
        <v>45473.0</v>
      </c>
      <c r="B645" s="55" t="str">
        <f>HYPERLINK("https://jobright.ai/jobs/info/6681c66ccefd291014018893?utm_campaign=1058&amp;utm_source=sheet", "Apply")</f>
        <v>Apply</v>
      </c>
      <c r="C645" s="10" t="s">
        <v>21581</v>
      </c>
      <c r="D645" s="56" t="s">
        <v>21582</v>
      </c>
      <c r="E645" s="10" t="s">
        <v>137</v>
      </c>
      <c r="F645" s="10" t="s">
        <v>21583</v>
      </c>
      <c r="G645" s="10" t="s">
        <v>20592</v>
      </c>
      <c r="H645" s="10" t="s">
        <v>1030</v>
      </c>
      <c r="I645" s="10" t="s">
        <v>55</v>
      </c>
      <c r="K645" s="10" t="s">
        <v>21584</v>
      </c>
      <c r="L645" s="10" t="s">
        <v>42</v>
      </c>
    </row>
    <row r="646" ht="15.75" customHeight="1">
      <c r="A646" s="64">
        <v>45473.0</v>
      </c>
      <c r="B646" s="55" t="str">
        <f>HYPERLINK("https://jobright.ai/jobs/info/6681c66ccefd29101401888e?utm_campaign=1058&amp;utm_source=sheet", "Apply")</f>
        <v>Apply</v>
      </c>
      <c r="C646" s="10" t="s">
        <v>21581</v>
      </c>
      <c r="D646" s="56" t="s">
        <v>21582</v>
      </c>
      <c r="E646" s="10" t="s">
        <v>137</v>
      </c>
      <c r="F646" s="10" t="s">
        <v>21583</v>
      </c>
      <c r="G646" s="10" t="s">
        <v>20592</v>
      </c>
      <c r="H646" s="10" t="s">
        <v>776</v>
      </c>
      <c r="I646" s="10" t="s">
        <v>55</v>
      </c>
      <c r="K646" s="10" t="s">
        <v>21584</v>
      </c>
      <c r="L646" s="10" t="s">
        <v>42</v>
      </c>
    </row>
    <row r="647" ht="15.75" customHeight="1">
      <c r="A647" s="64">
        <v>45473.0</v>
      </c>
      <c r="B647" s="55" t="str">
        <f>HYPERLINK("https://jobright.ai/jobs/info/6681c66ccefd29101401888a?utm_campaign=1058&amp;utm_source=sheet", "Apply")</f>
        <v>Apply</v>
      </c>
      <c r="C647" s="10" t="s">
        <v>21581</v>
      </c>
      <c r="D647" s="56" t="s">
        <v>21582</v>
      </c>
      <c r="E647" s="10" t="s">
        <v>137</v>
      </c>
      <c r="F647" s="10" t="s">
        <v>21583</v>
      </c>
      <c r="G647" s="10" t="s">
        <v>20592</v>
      </c>
      <c r="H647" s="10" t="s">
        <v>956</v>
      </c>
      <c r="I647" s="10" t="s">
        <v>55</v>
      </c>
      <c r="K647" s="10" t="s">
        <v>21584</v>
      </c>
      <c r="L647" s="10" t="s">
        <v>42</v>
      </c>
    </row>
    <row r="648" ht="15.75" customHeight="1">
      <c r="A648" s="64">
        <v>45473.0</v>
      </c>
      <c r="B648" s="55" t="str">
        <f>HYPERLINK("https://jobright.ai/jobs/info/6681c66ccefd291014018887?utm_campaign=1058&amp;utm_source=sheet", "Apply")</f>
        <v>Apply</v>
      </c>
      <c r="C648" s="10" t="s">
        <v>21581</v>
      </c>
      <c r="D648" s="56" t="s">
        <v>21582</v>
      </c>
      <c r="E648" s="10" t="s">
        <v>137</v>
      </c>
      <c r="F648" s="10" t="s">
        <v>21583</v>
      </c>
      <c r="G648" s="10" t="s">
        <v>20592</v>
      </c>
      <c r="H648" s="10" t="s">
        <v>791</v>
      </c>
      <c r="I648" s="10" t="s">
        <v>55</v>
      </c>
      <c r="K648" s="10" t="s">
        <v>21584</v>
      </c>
      <c r="L648" s="10" t="s">
        <v>42</v>
      </c>
    </row>
    <row r="649" ht="15.75" customHeight="1">
      <c r="A649" s="64">
        <v>45473.0</v>
      </c>
      <c r="B649" s="55" t="str">
        <f>HYPERLINK("https://jobright.ai/jobs/info/6681c66ccefd29101401888d?utm_campaign=1058&amp;utm_source=sheet", "Apply")</f>
        <v>Apply</v>
      </c>
      <c r="C649" s="10" t="s">
        <v>21581</v>
      </c>
      <c r="D649" s="56" t="s">
        <v>21582</v>
      </c>
      <c r="E649" s="10" t="s">
        <v>137</v>
      </c>
      <c r="F649" s="10" t="s">
        <v>21583</v>
      </c>
      <c r="G649" s="10" t="s">
        <v>20592</v>
      </c>
      <c r="H649" s="10" t="s">
        <v>831</v>
      </c>
      <c r="I649" s="10" t="s">
        <v>55</v>
      </c>
      <c r="K649" s="10" t="s">
        <v>21584</v>
      </c>
      <c r="L649" s="10" t="s">
        <v>42</v>
      </c>
    </row>
    <row r="650" ht="15.75" customHeight="1">
      <c r="A650" s="64">
        <v>45473.0</v>
      </c>
      <c r="B650" s="55" t="str">
        <f>HYPERLINK("https://jobright.ai/jobs/info/6681c66ccefd291014018892?utm_campaign=1058&amp;utm_source=sheet", "Apply")</f>
        <v>Apply</v>
      </c>
      <c r="C650" s="10" t="s">
        <v>21581</v>
      </c>
      <c r="D650" s="56" t="s">
        <v>21582</v>
      </c>
      <c r="E650" s="10" t="s">
        <v>137</v>
      </c>
      <c r="F650" s="10" t="s">
        <v>21583</v>
      </c>
      <c r="G650" s="10" t="s">
        <v>20592</v>
      </c>
      <c r="H650" s="10" t="s">
        <v>854</v>
      </c>
      <c r="I650" s="10" t="s">
        <v>55</v>
      </c>
      <c r="K650" s="10" t="s">
        <v>21584</v>
      </c>
      <c r="L650" s="10" t="s">
        <v>42</v>
      </c>
    </row>
    <row r="651" ht="15.75" customHeight="1">
      <c r="A651" s="64">
        <v>45473.0</v>
      </c>
      <c r="B651" s="55" t="str">
        <f>HYPERLINK("https://jobright.ai/jobs/info/6681c66ccefd29101401888f?utm_campaign=1058&amp;utm_source=sheet", "Apply")</f>
        <v>Apply</v>
      </c>
      <c r="C651" s="10" t="s">
        <v>21581</v>
      </c>
      <c r="D651" s="56" t="s">
        <v>21582</v>
      </c>
      <c r="E651" s="10" t="s">
        <v>137</v>
      </c>
      <c r="F651" s="10" t="s">
        <v>21583</v>
      </c>
      <c r="G651" s="10" t="s">
        <v>20592</v>
      </c>
      <c r="H651" s="10" t="s">
        <v>1004</v>
      </c>
      <c r="I651" s="10" t="s">
        <v>55</v>
      </c>
      <c r="K651" s="10" t="s">
        <v>21584</v>
      </c>
      <c r="L651" s="10" t="s">
        <v>42</v>
      </c>
    </row>
    <row r="652" ht="15.75" customHeight="1">
      <c r="A652" s="64">
        <v>45473.0</v>
      </c>
      <c r="B652" s="55" t="str">
        <f>HYPERLINK("https://jobright.ai/jobs/info/6681c66ccefd29101401888c?utm_campaign=1058&amp;utm_source=sheet", "Apply")</f>
        <v>Apply</v>
      </c>
      <c r="C652" s="10" t="s">
        <v>21581</v>
      </c>
      <c r="D652" s="56" t="s">
        <v>21582</v>
      </c>
      <c r="E652" s="10" t="s">
        <v>137</v>
      </c>
      <c r="F652" s="10" t="s">
        <v>21583</v>
      </c>
      <c r="G652" s="10" t="s">
        <v>20592</v>
      </c>
      <c r="H652" s="10" t="s">
        <v>885</v>
      </c>
      <c r="I652" s="10" t="s">
        <v>55</v>
      </c>
      <c r="K652" s="10" t="s">
        <v>21584</v>
      </c>
      <c r="L652" s="10" t="s">
        <v>42</v>
      </c>
    </row>
    <row r="653" ht="15.75" customHeight="1">
      <c r="A653" s="64">
        <v>45473.0</v>
      </c>
      <c r="B653" s="55" t="str">
        <f>HYPERLINK("https://jobright.ai/jobs/info/6681c66ccefd291014018898?utm_campaign=1058&amp;utm_source=sheet", "Apply")</f>
        <v>Apply</v>
      </c>
      <c r="C653" s="10" t="s">
        <v>21581</v>
      </c>
      <c r="D653" s="56" t="s">
        <v>21582</v>
      </c>
      <c r="E653" s="10" t="s">
        <v>137</v>
      </c>
      <c r="F653" s="10" t="s">
        <v>21583</v>
      </c>
      <c r="G653" s="10" t="s">
        <v>20592</v>
      </c>
      <c r="H653" s="10" t="s">
        <v>906</v>
      </c>
      <c r="I653" s="10" t="s">
        <v>55</v>
      </c>
      <c r="K653" s="10" t="s">
        <v>21584</v>
      </c>
      <c r="L653" s="10" t="s">
        <v>42</v>
      </c>
    </row>
    <row r="654" ht="15.75" customHeight="1">
      <c r="A654" s="64">
        <v>45473.0</v>
      </c>
      <c r="B654" s="55" t="str">
        <f>HYPERLINK("https://jobright.ai/jobs/info/6681c66ccefd291014018889?utm_campaign=1058&amp;utm_source=sheet", "Apply")</f>
        <v>Apply</v>
      </c>
      <c r="C654" s="10" t="s">
        <v>21581</v>
      </c>
      <c r="D654" s="56" t="s">
        <v>21582</v>
      </c>
      <c r="E654" s="10" t="s">
        <v>137</v>
      </c>
      <c r="F654" s="10" t="s">
        <v>21583</v>
      </c>
      <c r="G654" s="10" t="s">
        <v>20592</v>
      </c>
      <c r="H654" s="10" t="s">
        <v>1021</v>
      </c>
      <c r="I654" s="10" t="s">
        <v>55</v>
      </c>
      <c r="K654" s="10" t="s">
        <v>21584</v>
      </c>
      <c r="L654" s="10" t="s">
        <v>42</v>
      </c>
    </row>
    <row r="655" ht="15.75" customHeight="1">
      <c r="A655" s="64">
        <v>45473.0</v>
      </c>
      <c r="B655" s="55" t="str">
        <f>HYPERLINK("https://jobright.ai/jobs/info/6681c66ccefd29101401888b?utm_campaign=1058&amp;utm_source=sheet", "Apply")</f>
        <v>Apply</v>
      </c>
      <c r="C655" s="10" t="s">
        <v>21581</v>
      </c>
      <c r="D655" s="56" t="s">
        <v>21582</v>
      </c>
      <c r="E655" s="10" t="s">
        <v>137</v>
      </c>
      <c r="F655" s="10" t="s">
        <v>21583</v>
      </c>
      <c r="G655" s="10" t="s">
        <v>20592</v>
      </c>
      <c r="H655" s="10" t="s">
        <v>7690</v>
      </c>
      <c r="I655" s="10" t="s">
        <v>55</v>
      </c>
      <c r="K655" s="10" t="s">
        <v>21584</v>
      </c>
      <c r="L655" s="10" t="s">
        <v>42</v>
      </c>
    </row>
    <row r="656" ht="15.75" customHeight="1">
      <c r="A656" s="64">
        <v>45473.0</v>
      </c>
      <c r="B656" s="55" t="str">
        <f>HYPERLINK("https://jobright.ai/jobs/info/6681c66ccefd291014018896?utm_campaign=1058&amp;utm_source=sheet", "Apply")</f>
        <v>Apply</v>
      </c>
      <c r="C656" s="10" t="s">
        <v>21581</v>
      </c>
      <c r="D656" s="56" t="s">
        <v>21582</v>
      </c>
      <c r="E656" s="10" t="s">
        <v>137</v>
      </c>
      <c r="F656" s="10" t="s">
        <v>21583</v>
      </c>
      <c r="G656" s="10" t="s">
        <v>20592</v>
      </c>
      <c r="H656" s="10" t="s">
        <v>994</v>
      </c>
      <c r="I656" s="10" t="s">
        <v>55</v>
      </c>
      <c r="K656" s="10" t="s">
        <v>21584</v>
      </c>
      <c r="L656" s="10" t="s">
        <v>42</v>
      </c>
    </row>
    <row r="657" ht="15.75" customHeight="1">
      <c r="A657" s="64">
        <v>45473.0</v>
      </c>
      <c r="B657" s="55" t="str">
        <f>HYPERLINK("https://jobright.ai/jobs/info/6681c66ccefd291014018895?utm_campaign=1058&amp;utm_source=sheet", "Apply")</f>
        <v>Apply</v>
      </c>
      <c r="C657" s="10" t="s">
        <v>21581</v>
      </c>
      <c r="D657" s="56" t="s">
        <v>21582</v>
      </c>
      <c r="E657" s="10" t="s">
        <v>137</v>
      </c>
      <c r="F657" s="10" t="s">
        <v>21583</v>
      </c>
      <c r="G657" s="10" t="s">
        <v>20592</v>
      </c>
      <c r="H657" s="10" t="s">
        <v>154</v>
      </c>
      <c r="I657" s="10" t="s">
        <v>55</v>
      </c>
      <c r="K657" s="10" t="s">
        <v>21584</v>
      </c>
      <c r="L657" s="10" t="s">
        <v>42</v>
      </c>
    </row>
    <row r="658" ht="15.75" customHeight="1">
      <c r="A658" s="64">
        <v>45473.0</v>
      </c>
      <c r="B658" s="55" t="str">
        <f>HYPERLINK("https://jobright.ai/jobs/info/6681c66ccefd29101401889b?utm_campaign=1058&amp;utm_source=sheet", "Apply")</f>
        <v>Apply</v>
      </c>
      <c r="C658" s="10" t="s">
        <v>21581</v>
      </c>
      <c r="D658" s="56" t="s">
        <v>21582</v>
      </c>
      <c r="E658" s="10" t="s">
        <v>137</v>
      </c>
      <c r="F658" s="10" t="s">
        <v>21583</v>
      </c>
      <c r="G658" s="10" t="s">
        <v>20592</v>
      </c>
      <c r="H658" s="10" t="s">
        <v>800</v>
      </c>
      <c r="I658" s="10" t="s">
        <v>55</v>
      </c>
      <c r="K658" s="10" t="s">
        <v>21584</v>
      </c>
      <c r="L658" s="10" t="s">
        <v>42</v>
      </c>
    </row>
    <row r="659" ht="15.75" customHeight="1">
      <c r="A659" s="64">
        <v>45473.0</v>
      </c>
      <c r="B659" s="55" t="str">
        <f>HYPERLINK("https://jobright.ai/jobs/info/6681c672cefd2910140188aa?utm_campaign=1058&amp;utm_source=sheet", "Apply")</f>
        <v>Apply</v>
      </c>
      <c r="C659" s="10" t="s">
        <v>21581</v>
      </c>
      <c r="D659" s="56" t="s">
        <v>21582</v>
      </c>
      <c r="E659" s="10" t="s">
        <v>137</v>
      </c>
      <c r="F659" s="10" t="s">
        <v>21583</v>
      </c>
      <c r="G659" s="10" t="s">
        <v>20592</v>
      </c>
      <c r="H659" s="10" t="s">
        <v>987</v>
      </c>
      <c r="I659" s="10" t="s">
        <v>55</v>
      </c>
      <c r="K659" s="10" t="s">
        <v>21584</v>
      </c>
      <c r="L659" s="10" t="s">
        <v>42</v>
      </c>
    </row>
    <row r="660" ht="15.75" customHeight="1">
      <c r="A660" s="64">
        <v>45473.0</v>
      </c>
      <c r="B660" s="55" t="str">
        <f>HYPERLINK("https://jobright.ai/jobs/info/6681c66ccefd29101401889f?utm_campaign=1058&amp;utm_source=sheet", "Apply")</f>
        <v>Apply</v>
      </c>
      <c r="C660" s="10" t="s">
        <v>21581</v>
      </c>
      <c r="D660" s="56" t="s">
        <v>21582</v>
      </c>
      <c r="E660" s="10" t="s">
        <v>137</v>
      </c>
      <c r="F660" s="10" t="s">
        <v>21583</v>
      </c>
      <c r="G660" s="10" t="s">
        <v>20592</v>
      </c>
      <c r="H660" s="10" t="s">
        <v>940</v>
      </c>
      <c r="I660" s="10" t="s">
        <v>55</v>
      </c>
      <c r="K660" s="10" t="s">
        <v>21584</v>
      </c>
      <c r="L660" s="10" t="s">
        <v>42</v>
      </c>
    </row>
    <row r="661" ht="15.75" customHeight="1">
      <c r="A661" s="64">
        <v>45473.0</v>
      </c>
      <c r="B661" s="55" t="str">
        <f>HYPERLINK("https://jobright.ai/jobs/info/6681c66ccefd29101401889c?utm_campaign=1058&amp;utm_source=sheet", "Apply")</f>
        <v>Apply</v>
      </c>
      <c r="C661" s="10" t="s">
        <v>21581</v>
      </c>
      <c r="D661" s="56" t="s">
        <v>21582</v>
      </c>
      <c r="E661" s="10" t="s">
        <v>137</v>
      </c>
      <c r="F661" s="10" t="s">
        <v>21583</v>
      </c>
      <c r="G661" s="10" t="s">
        <v>20592</v>
      </c>
      <c r="H661" s="10" t="s">
        <v>862</v>
      </c>
      <c r="I661" s="10" t="s">
        <v>55</v>
      </c>
      <c r="K661" s="10" t="s">
        <v>21584</v>
      </c>
      <c r="L661" s="10" t="s">
        <v>42</v>
      </c>
    </row>
    <row r="662" ht="15.75" customHeight="1">
      <c r="A662" s="64">
        <v>45473.0</v>
      </c>
      <c r="B662" s="55" t="str">
        <f>HYPERLINK("https://jobright.ai/jobs/info/6681c672cefd2910140188a9?utm_campaign=1058&amp;utm_source=sheet", "Apply")</f>
        <v>Apply</v>
      </c>
      <c r="C662" s="10" t="s">
        <v>21581</v>
      </c>
      <c r="D662" s="56" t="s">
        <v>21582</v>
      </c>
      <c r="E662" s="10" t="s">
        <v>137</v>
      </c>
      <c r="F662" s="10" t="s">
        <v>21583</v>
      </c>
      <c r="G662" s="10" t="s">
        <v>20592</v>
      </c>
      <c r="H662" s="10" t="s">
        <v>1016</v>
      </c>
      <c r="I662" s="10" t="s">
        <v>55</v>
      </c>
      <c r="K662" s="10" t="s">
        <v>21584</v>
      </c>
      <c r="L662" s="10" t="s">
        <v>42</v>
      </c>
    </row>
    <row r="663" ht="15.75" customHeight="1">
      <c r="A663" s="64">
        <v>45473.0</v>
      </c>
      <c r="B663" s="55" t="str">
        <f>HYPERLINK("https://jobright.ai/jobs/info/6681c66ccefd291014018899?utm_campaign=1058&amp;utm_source=sheet", "Apply")</f>
        <v>Apply</v>
      </c>
      <c r="C663" s="10" t="s">
        <v>21581</v>
      </c>
      <c r="D663" s="56" t="s">
        <v>21582</v>
      </c>
      <c r="E663" s="10" t="s">
        <v>137</v>
      </c>
      <c r="F663" s="10" t="s">
        <v>21583</v>
      </c>
      <c r="G663" s="10" t="s">
        <v>20592</v>
      </c>
      <c r="H663" s="10" t="s">
        <v>434</v>
      </c>
      <c r="I663" s="10" t="s">
        <v>55</v>
      </c>
      <c r="K663" s="10" t="s">
        <v>21584</v>
      </c>
      <c r="L663" s="10" t="s">
        <v>42</v>
      </c>
    </row>
    <row r="664" ht="15.75" customHeight="1">
      <c r="A664" s="64">
        <v>45473.0</v>
      </c>
      <c r="B664" s="55" t="str">
        <f>HYPERLINK("https://jobright.ai/jobs/info/6681c66ccefd29101401889e?utm_campaign=1058&amp;utm_source=sheet", "Apply")</f>
        <v>Apply</v>
      </c>
      <c r="C664" s="10" t="s">
        <v>21581</v>
      </c>
      <c r="D664" s="56" t="s">
        <v>21582</v>
      </c>
      <c r="E664" s="10" t="s">
        <v>137</v>
      </c>
      <c r="F664" s="10" t="s">
        <v>21583</v>
      </c>
      <c r="G664" s="10" t="s">
        <v>20592</v>
      </c>
      <c r="H664" s="10" t="s">
        <v>1026</v>
      </c>
      <c r="I664" s="10" t="s">
        <v>55</v>
      </c>
      <c r="K664" s="10" t="s">
        <v>21584</v>
      </c>
      <c r="L664" s="10" t="s">
        <v>42</v>
      </c>
    </row>
    <row r="665" ht="15.75" customHeight="1">
      <c r="A665" s="64">
        <v>45473.0</v>
      </c>
      <c r="B665" s="55" t="str">
        <f>HYPERLINK("https://jobright.ai/jobs/info/6681c66ccefd29101401889a?utm_campaign=1058&amp;utm_source=sheet", "Apply")</f>
        <v>Apply</v>
      </c>
      <c r="C665" s="10" t="s">
        <v>21581</v>
      </c>
      <c r="D665" s="56" t="s">
        <v>21582</v>
      </c>
      <c r="E665" s="10" t="s">
        <v>137</v>
      </c>
      <c r="F665" s="10" t="s">
        <v>21583</v>
      </c>
      <c r="G665" s="10" t="s">
        <v>20592</v>
      </c>
      <c r="H665" s="10" t="s">
        <v>839</v>
      </c>
      <c r="I665" s="10" t="s">
        <v>55</v>
      </c>
      <c r="K665" s="10" t="s">
        <v>21584</v>
      </c>
      <c r="L665" s="10" t="s">
        <v>42</v>
      </c>
    </row>
    <row r="666" ht="15.75" customHeight="1">
      <c r="A666" s="64">
        <v>45473.0</v>
      </c>
      <c r="B666" s="55" t="str">
        <f>HYPERLINK("https://jobright.ai/jobs/info/6681c66ccefd2910140188a4?utm_campaign=1058&amp;utm_source=sheet", "Apply")</f>
        <v>Apply</v>
      </c>
      <c r="C666" s="10" t="s">
        <v>21581</v>
      </c>
      <c r="D666" s="56" t="s">
        <v>21582</v>
      </c>
      <c r="E666" s="10" t="s">
        <v>137</v>
      </c>
      <c r="F666" s="10" t="s">
        <v>21583</v>
      </c>
      <c r="G666" s="10" t="s">
        <v>20592</v>
      </c>
      <c r="H666" s="10" t="s">
        <v>1015</v>
      </c>
      <c r="I666" s="10" t="s">
        <v>55</v>
      </c>
      <c r="K666" s="10" t="s">
        <v>21584</v>
      </c>
      <c r="L666" s="10" t="s">
        <v>42</v>
      </c>
    </row>
    <row r="667" ht="15.75" customHeight="1">
      <c r="A667" s="64">
        <v>45473.0</v>
      </c>
      <c r="B667" s="55" t="str">
        <f>HYPERLINK("https://jobright.ai/jobs/info/6681c66ccefd2910140188a5?utm_campaign=1058&amp;utm_source=sheet", "Apply")</f>
        <v>Apply</v>
      </c>
      <c r="C667" s="10" t="s">
        <v>21581</v>
      </c>
      <c r="D667" s="56" t="s">
        <v>21582</v>
      </c>
      <c r="E667" s="10" t="s">
        <v>137</v>
      </c>
      <c r="F667" s="10" t="s">
        <v>21583</v>
      </c>
      <c r="G667" s="10" t="s">
        <v>20592</v>
      </c>
      <c r="H667" s="10" t="s">
        <v>777</v>
      </c>
      <c r="I667" s="10" t="s">
        <v>55</v>
      </c>
      <c r="K667" s="10" t="s">
        <v>21584</v>
      </c>
      <c r="L667" s="10" t="s">
        <v>42</v>
      </c>
    </row>
    <row r="668" ht="15.75" customHeight="1">
      <c r="A668" s="64">
        <v>45473.0</v>
      </c>
      <c r="B668" s="55" t="str">
        <f>HYPERLINK("https://jobright.ai/jobs/info/6681c672cefd2910140188a6?utm_campaign=1058&amp;utm_source=sheet", "Apply")</f>
        <v>Apply</v>
      </c>
      <c r="C668" s="10" t="s">
        <v>21581</v>
      </c>
      <c r="D668" s="56" t="s">
        <v>21582</v>
      </c>
      <c r="E668" s="10" t="s">
        <v>137</v>
      </c>
      <c r="F668" s="10" t="s">
        <v>21583</v>
      </c>
      <c r="G668" s="10" t="s">
        <v>20592</v>
      </c>
      <c r="H668" s="10" t="s">
        <v>889</v>
      </c>
      <c r="I668" s="10" t="s">
        <v>55</v>
      </c>
      <c r="K668" s="10" t="s">
        <v>21584</v>
      </c>
      <c r="L668" s="10" t="s">
        <v>42</v>
      </c>
    </row>
    <row r="669" ht="15.75" customHeight="1">
      <c r="A669" s="64">
        <v>45473.0</v>
      </c>
      <c r="B669" s="55" t="str">
        <f>HYPERLINK("https://jobright.ai/jobs/info/6681c672cefd2910140188ab?utm_campaign=1058&amp;utm_source=sheet", "Apply")</f>
        <v>Apply</v>
      </c>
      <c r="C669" s="10" t="s">
        <v>21581</v>
      </c>
      <c r="D669" s="56" t="s">
        <v>21582</v>
      </c>
      <c r="E669" s="10" t="s">
        <v>137</v>
      </c>
      <c r="F669" s="10" t="s">
        <v>21583</v>
      </c>
      <c r="G669" s="10" t="s">
        <v>20592</v>
      </c>
      <c r="H669" s="10" t="s">
        <v>937</v>
      </c>
      <c r="I669" s="10" t="s">
        <v>55</v>
      </c>
      <c r="K669" s="10" t="s">
        <v>21584</v>
      </c>
      <c r="L669" s="10" t="s">
        <v>42</v>
      </c>
    </row>
    <row r="670" ht="15.75" customHeight="1">
      <c r="A670" s="64">
        <v>45473.0</v>
      </c>
      <c r="B670" s="55" t="str">
        <f>HYPERLINK("https://jobright.ai/jobs/info/6681c672cefd2910140188ad?utm_campaign=1058&amp;utm_source=sheet", "Apply")</f>
        <v>Apply</v>
      </c>
      <c r="C670" s="10" t="s">
        <v>21581</v>
      </c>
      <c r="D670" s="56" t="s">
        <v>21582</v>
      </c>
      <c r="E670" s="10" t="s">
        <v>137</v>
      </c>
      <c r="F670" s="10" t="s">
        <v>21583</v>
      </c>
      <c r="G670" s="10" t="s">
        <v>20592</v>
      </c>
      <c r="H670" s="10" t="s">
        <v>781</v>
      </c>
      <c r="I670" s="10" t="s">
        <v>55</v>
      </c>
      <c r="K670" s="10" t="s">
        <v>21584</v>
      </c>
      <c r="L670" s="10" t="s">
        <v>42</v>
      </c>
    </row>
    <row r="671" ht="15.75" customHeight="1">
      <c r="A671" s="64">
        <v>45473.0</v>
      </c>
      <c r="B671" s="55" t="str">
        <f>HYPERLINK("https://jobright.ai/jobs/info/6681c66ccefd2910140188a3?utm_campaign=1058&amp;utm_source=sheet", "Apply")</f>
        <v>Apply</v>
      </c>
      <c r="C671" s="10" t="s">
        <v>21581</v>
      </c>
      <c r="D671" s="56" t="s">
        <v>21582</v>
      </c>
      <c r="E671" s="10" t="s">
        <v>137</v>
      </c>
      <c r="F671" s="10" t="s">
        <v>21583</v>
      </c>
      <c r="G671" s="10" t="s">
        <v>20592</v>
      </c>
      <c r="H671" s="10" t="s">
        <v>988</v>
      </c>
      <c r="I671" s="10" t="s">
        <v>55</v>
      </c>
      <c r="K671" s="10" t="s">
        <v>21584</v>
      </c>
      <c r="L671" s="10" t="s">
        <v>42</v>
      </c>
    </row>
    <row r="672" ht="15.75" customHeight="1">
      <c r="A672" s="64">
        <v>45473.0</v>
      </c>
      <c r="B672" s="55" t="str">
        <f>HYPERLINK("https://jobright.ai/jobs/info/6681c672cefd2910140188a8?utm_campaign=1058&amp;utm_source=sheet", "Apply")</f>
        <v>Apply</v>
      </c>
      <c r="C672" s="10" t="s">
        <v>21581</v>
      </c>
      <c r="D672" s="56" t="s">
        <v>21582</v>
      </c>
      <c r="E672" s="10" t="s">
        <v>137</v>
      </c>
      <c r="F672" s="10" t="s">
        <v>21583</v>
      </c>
      <c r="G672" s="10" t="s">
        <v>20592</v>
      </c>
      <c r="H672" s="10" t="s">
        <v>668</v>
      </c>
      <c r="I672" s="10" t="s">
        <v>55</v>
      </c>
      <c r="K672" s="10" t="s">
        <v>21584</v>
      </c>
      <c r="L672" s="10" t="s">
        <v>42</v>
      </c>
    </row>
    <row r="673" ht="15.75" customHeight="1">
      <c r="A673" s="64">
        <v>45473.0</v>
      </c>
      <c r="B673" s="55" t="str">
        <f>HYPERLINK("https://jobright.ai/jobs/info/6681c66ccefd29101401889d?utm_campaign=1058&amp;utm_source=sheet", "Apply")</f>
        <v>Apply</v>
      </c>
      <c r="C673" s="10" t="s">
        <v>21581</v>
      </c>
      <c r="D673" s="56" t="s">
        <v>21582</v>
      </c>
      <c r="E673" s="10" t="s">
        <v>137</v>
      </c>
      <c r="F673" s="10" t="s">
        <v>21583</v>
      </c>
      <c r="G673" s="10" t="s">
        <v>20592</v>
      </c>
      <c r="H673" s="10" t="s">
        <v>970</v>
      </c>
      <c r="I673" s="10" t="s">
        <v>55</v>
      </c>
      <c r="K673" s="10" t="s">
        <v>21584</v>
      </c>
      <c r="L673" s="10" t="s">
        <v>42</v>
      </c>
    </row>
    <row r="674" ht="15.75" customHeight="1">
      <c r="A674" s="64">
        <v>45473.0</v>
      </c>
      <c r="B674" s="55" t="str">
        <f>HYPERLINK("https://jobright.ai/jobs/info/6681c66ccefd2910140188a1?utm_campaign=1058&amp;utm_source=sheet", "Apply")</f>
        <v>Apply</v>
      </c>
      <c r="C674" s="10" t="s">
        <v>21581</v>
      </c>
      <c r="D674" s="56" t="s">
        <v>21582</v>
      </c>
      <c r="E674" s="10" t="s">
        <v>137</v>
      </c>
      <c r="F674" s="10" t="s">
        <v>21583</v>
      </c>
      <c r="G674" s="10" t="s">
        <v>20592</v>
      </c>
      <c r="H674" s="10" t="s">
        <v>984</v>
      </c>
      <c r="I674" s="10" t="s">
        <v>55</v>
      </c>
      <c r="K674" s="10" t="s">
        <v>21584</v>
      </c>
      <c r="L674" s="10" t="s">
        <v>42</v>
      </c>
    </row>
    <row r="675" ht="15.75" customHeight="1">
      <c r="A675" s="64">
        <v>45473.0</v>
      </c>
      <c r="B675" s="55" t="str">
        <f>HYPERLINK("https://jobright.ai/jobs/info/6681c66ccefd2910140188a2?utm_campaign=1058&amp;utm_source=sheet", "Apply")</f>
        <v>Apply</v>
      </c>
      <c r="C675" s="10" t="s">
        <v>21581</v>
      </c>
      <c r="D675" s="56" t="s">
        <v>21582</v>
      </c>
      <c r="E675" s="10" t="s">
        <v>137</v>
      </c>
      <c r="F675" s="10" t="s">
        <v>21583</v>
      </c>
      <c r="G675" s="10" t="s">
        <v>20592</v>
      </c>
      <c r="H675" s="10" t="s">
        <v>935</v>
      </c>
      <c r="I675" s="10" t="s">
        <v>55</v>
      </c>
      <c r="K675" s="10" t="s">
        <v>21584</v>
      </c>
      <c r="L675" s="10" t="s">
        <v>42</v>
      </c>
    </row>
    <row r="676" ht="15.75" customHeight="1">
      <c r="A676" s="64">
        <v>45473.0</v>
      </c>
      <c r="B676" s="55" t="str">
        <f>HYPERLINK("https://jobright.ai/jobs/info/6681c66ccefd2910140188a0?utm_campaign=1058&amp;utm_source=sheet", "Apply")</f>
        <v>Apply</v>
      </c>
      <c r="C676" s="10" t="s">
        <v>21581</v>
      </c>
      <c r="D676" s="56" t="s">
        <v>21582</v>
      </c>
      <c r="E676" s="10" t="s">
        <v>137</v>
      </c>
      <c r="F676" s="10" t="s">
        <v>21583</v>
      </c>
      <c r="G676" s="10" t="s">
        <v>20592</v>
      </c>
      <c r="H676" s="10" t="s">
        <v>881</v>
      </c>
      <c r="I676" s="10" t="s">
        <v>55</v>
      </c>
      <c r="K676" s="10" t="s">
        <v>21584</v>
      </c>
      <c r="L676" s="10" t="s">
        <v>42</v>
      </c>
    </row>
    <row r="677" ht="15.75" customHeight="1">
      <c r="A677" s="64">
        <v>45473.0</v>
      </c>
      <c r="B677" s="55" t="str">
        <f>HYPERLINK("https://jobright.ai/jobs/info/6681c672cefd2910140188a7?utm_campaign=1058&amp;utm_source=sheet", "Apply")</f>
        <v>Apply</v>
      </c>
      <c r="C677" s="10" t="s">
        <v>21581</v>
      </c>
      <c r="D677" s="56" t="s">
        <v>21582</v>
      </c>
      <c r="E677" s="10" t="s">
        <v>137</v>
      </c>
      <c r="F677" s="10" t="s">
        <v>21583</v>
      </c>
      <c r="G677" s="10" t="s">
        <v>20592</v>
      </c>
      <c r="H677" s="10" t="s">
        <v>773</v>
      </c>
      <c r="I677" s="10" t="s">
        <v>55</v>
      </c>
      <c r="K677" s="10" t="s">
        <v>21584</v>
      </c>
      <c r="L677" s="10" t="s">
        <v>42</v>
      </c>
    </row>
    <row r="678" ht="15.75" customHeight="1">
      <c r="A678" s="64">
        <v>45473.0</v>
      </c>
      <c r="B678" s="55" t="str">
        <f>HYPERLINK("https://jobright.ai/jobs/info/6681c672cefd2910140188ac?utm_campaign=1058&amp;utm_source=sheet", "Apply")</f>
        <v>Apply</v>
      </c>
      <c r="C678" s="10" t="s">
        <v>21581</v>
      </c>
      <c r="D678" s="56" t="s">
        <v>21582</v>
      </c>
      <c r="E678" s="10" t="s">
        <v>137</v>
      </c>
      <c r="F678" s="10" t="s">
        <v>21583</v>
      </c>
      <c r="G678" s="10" t="s">
        <v>20592</v>
      </c>
      <c r="H678" s="10" t="s">
        <v>892</v>
      </c>
      <c r="I678" s="10" t="s">
        <v>55</v>
      </c>
      <c r="K678" s="10" t="s">
        <v>21584</v>
      </c>
      <c r="L678" s="10" t="s">
        <v>42</v>
      </c>
    </row>
    <row r="679" ht="15.75" customHeight="1">
      <c r="A679" s="64">
        <v>45473.0</v>
      </c>
      <c r="B679" s="55" t="str">
        <f>HYPERLINK("https://jobright.ai/jobs/info/6681c672cefd2910140188b5?utm_campaign=1058&amp;utm_source=sheet", "Apply")</f>
        <v>Apply</v>
      </c>
      <c r="C679" s="10" t="s">
        <v>21581</v>
      </c>
      <c r="D679" s="56" t="s">
        <v>21582</v>
      </c>
      <c r="E679" s="10" t="s">
        <v>137</v>
      </c>
      <c r="F679" s="10" t="s">
        <v>21583</v>
      </c>
      <c r="G679" s="10" t="s">
        <v>20592</v>
      </c>
      <c r="H679" s="10" t="s">
        <v>944</v>
      </c>
      <c r="I679" s="10" t="s">
        <v>55</v>
      </c>
      <c r="K679" s="10" t="s">
        <v>21584</v>
      </c>
      <c r="L679" s="10" t="s">
        <v>42</v>
      </c>
    </row>
    <row r="680" ht="15.75" customHeight="1">
      <c r="A680" s="64">
        <v>45473.0</v>
      </c>
      <c r="B680" s="55" t="str">
        <f>HYPERLINK("https://jobright.ai/jobs/info/6681c672cefd2910140188b3?utm_campaign=1058&amp;utm_source=sheet", "Apply")</f>
        <v>Apply</v>
      </c>
      <c r="C680" s="10" t="s">
        <v>21581</v>
      </c>
      <c r="D680" s="56" t="s">
        <v>21582</v>
      </c>
      <c r="E680" s="10" t="s">
        <v>137</v>
      </c>
      <c r="F680" s="10" t="s">
        <v>21583</v>
      </c>
      <c r="G680" s="10" t="s">
        <v>20592</v>
      </c>
      <c r="H680" s="10" t="s">
        <v>998</v>
      </c>
      <c r="I680" s="10" t="s">
        <v>55</v>
      </c>
      <c r="K680" s="10" t="s">
        <v>21584</v>
      </c>
      <c r="L680" s="10" t="s">
        <v>42</v>
      </c>
    </row>
    <row r="681" ht="15.75" customHeight="1">
      <c r="A681" s="64">
        <v>45473.0</v>
      </c>
      <c r="B681" s="55" t="str">
        <f>HYPERLINK("https://jobright.ai/jobs/info/6681c672cefd2910140188b1?utm_campaign=1058&amp;utm_source=sheet", "Apply")</f>
        <v>Apply</v>
      </c>
      <c r="C681" s="10" t="s">
        <v>21581</v>
      </c>
      <c r="D681" s="56" t="s">
        <v>21582</v>
      </c>
      <c r="E681" s="10" t="s">
        <v>137</v>
      </c>
      <c r="F681" s="10" t="s">
        <v>21583</v>
      </c>
      <c r="G681" s="10" t="s">
        <v>20592</v>
      </c>
      <c r="H681" s="10" t="s">
        <v>964</v>
      </c>
      <c r="I681" s="10" t="s">
        <v>55</v>
      </c>
      <c r="K681" s="10" t="s">
        <v>21584</v>
      </c>
      <c r="L681" s="10" t="s">
        <v>42</v>
      </c>
    </row>
    <row r="682" ht="15.75" customHeight="1">
      <c r="A682" s="64">
        <v>45473.0</v>
      </c>
      <c r="B682" s="55" t="str">
        <f>HYPERLINK("https://jobright.ai/jobs/info/6681c672cefd2910140188b6?utm_campaign=1058&amp;utm_source=sheet", "Apply")</f>
        <v>Apply</v>
      </c>
      <c r="C682" s="10" t="s">
        <v>21581</v>
      </c>
      <c r="D682" s="56" t="s">
        <v>21582</v>
      </c>
      <c r="E682" s="10" t="s">
        <v>137</v>
      </c>
      <c r="F682" s="10" t="s">
        <v>21583</v>
      </c>
      <c r="G682" s="10" t="s">
        <v>20592</v>
      </c>
      <c r="H682" s="10" t="s">
        <v>271</v>
      </c>
      <c r="I682" s="10" t="s">
        <v>55</v>
      </c>
      <c r="K682" s="10" t="s">
        <v>21584</v>
      </c>
      <c r="L682" s="10" t="s">
        <v>42</v>
      </c>
    </row>
    <row r="683" ht="15.75" customHeight="1">
      <c r="A683" s="64">
        <v>45473.0</v>
      </c>
      <c r="B683" s="55" t="str">
        <f>HYPERLINK("https://jobright.ai/jobs/info/6681c672cefd2910140188af?utm_campaign=1058&amp;utm_source=sheet", "Apply")</f>
        <v>Apply</v>
      </c>
      <c r="C683" s="10" t="s">
        <v>21581</v>
      </c>
      <c r="D683" s="56" t="s">
        <v>21582</v>
      </c>
      <c r="E683" s="10" t="s">
        <v>137</v>
      </c>
      <c r="F683" s="10" t="s">
        <v>21583</v>
      </c>
      <c r="G683" s="10" t="s">
        <v>20592</v>
      </c>
      <c r="H683" s="10" t="s">
        <v>1040</v>
      </c>
      <c r="I683" s="10" t="s">
        <v>55</v>
      </c>
      <c r="K683" s="10" t="s">
        <v>21584</v>
      </c>
      <c r="L683" s="10" t="s">
        <v>42</v>
      </c>
    </row>
    <row r="684" ht="15.75" customHeight="1">
      <c r="A684" s="64">
        <v>45473.0</v>
      </c>
      <c r="B684" s="55" t="str">
        <f>HYPERLINK("https://jobright.ai/jobs/info/6681c672cefd2910140188b8?utm_campaign=1058&amp;utm_source=sheet", "Apply")</f>
        <v>Apply</v>
      </c>
      <c r="C684" s="10" t="s">
        <v>21581</v>
      </c>
      <c r="D684" s="56" t="s">
        <v>21582</v>
      </c>
      <c r="E684" s="10" t="s">
        <v>137</v>
      </c>
      <c r="F684" s="10" t="s">
        <v>21583</v>
      </c>
      <c r="G684" s="10" t="s">
        <v>20592</v>
      </c>
      <c r="H684" s="10" t="s">
        <v>361</v>
      </c>
      <c r="I684" s="10" t="s">
        <v>55</v>
      </c>
      <c r="K684" s="10" t="s">
        <v>21584</v>
      </c>
      <c r="L684" s="10" t="s">
        <v>42</v>
      </c>
    </row>
    <row r="685" ht="15.75" customHeight="1">
      <c r="A685" s="64">
        <v>45473.0</v>
      </c>
      <c r="B685" s="55" t="str">
        <f>HYPERLINK("https://jobright.ai/jobs/info/6681c672cefd2910140188b9?utm_campaign=1058&amp;utm_source=sheet", "Apply")</f>
        <v>Apply</v>
      </c>
      <c r="C685" s="10" t="s">
        <v>21581</v>
      </c>
      <c r="D685" s="56" t="s">
        <v>21582</v>
      </c>
      <c r="E685" s="10" t="s">
        <v>137</v>
      </c>
      <c r="F685" s="10" t="s">
        <v>21583</v>
      </c>
      <c r="G685" s="10" t="s">
        <v>20592</v>
      </c>
      <c r="H685" s="10" t="s">
        <v>846</v>
      </c>
      <c r="I685" s="10" t="s">
        <v>55</v>
      </c>
      <c r="K685" s="10" t="s">
        <v>21584</v>
      </c>
      <c r="L685" s="10" t="s">
        <v>42</v>
      </c>
    </row>
    <row r="686" ht="15.75" customHeight="1">
      <c r="A686" s="64">
        <v>45473.0</v>
      </c>
      <c r="B686" s="55" t="str">
        <f>HYPERLINK("https://jobright.ai/jobs/info/6681c672cefd2910140188b4?utm_campaign=1058&amp;utm_source=sheet", "Apply")</f>
        <v>Apply</v>
      </c>
      <c r="C686" s="10" t="s">
        <v>21581</v>
      </c>
      <c r="D686" s="56" t="s">
        <v>21582</v>
      </c>
      <c r="E686" s="10" t="s">
        <v>137</v>
      </c>
      <c r="F686" s="10" t="s">
        <v>21583</v>
      </c>
      <c r="G686" s="10" t="s">
        <v>20592</v>
      </c>
      <c r="H686" s="10" t="s">
        <v>1042</v>
      </c>
      <c r="I686" s="10" t="s">
        <v>55</v>
      </c>
      <c r="K686" s="10" t="s">
        <v>21584</v>
      </c>
      <c r="L686" s="10" t="s">
        <v>42</v>
      </c>
    </row>
    <row r="687" ht="15.75" customHeight="1">
      <c r="A687" s="64">
        <v>45473.0</v>
      </c>
      <c r="B687" s="55" t="str">
        <f>HYPERLINK("https://jobright.ai/jobs/info/6681c672cefd2910140188b2?utm_campaign=1058&amp;utm_source=sheet", "Apply")</f>
        <v>Apply</v>
      </c>
      <c r="C687" s="10" t="s">
        <v>21581</v>
      </c>
      <c r="D687" s="56" t="s">
        <v>21582</v>
      </c>
      <c r="E687" s="10" t="s">
        <v>137</v>
      </c>
      <c r="F687" s="10" t="s">
        <v>21583</v>
      </c>
      <c r="G687" s="10" t="s">
        <v>20592</v>
      </c>
      <c r="H687" s="10" t="s">
        <v>794</v>
      </c>
      <c r="I687" s="10" t="s">
        <v>55</v>
      </c>
      <c r="K687" s="10" t="s">
        <v>21584</v>
      </c>
      <c r="L687" s="10" t="s">
        <v>42</v>
      </c>
    </row>
    <row r="688" ht="15.75" customHeight="1">
      <c r="A688" s="64">
        <v>45473.0</v>
      </c>
      <c r="B688" s="55" t="str">
        <f>HYPERLINK("https://jobright.ai/jobs/info/6681c672cefd2910140188ae?utm_campaign=1058&amp;utm_source=sheet", "Apply")</f>
        <v>Apply</v>
      </c>
      <c r="C688" s="10" t="s">
        <v>21581</v>
      </c>
      <c r="D688" s="56" t="s">
        <v>21582</v>
      </c>
      <c r="E688" s="10" t="s">
        <v>137</v>
      </c>
      <c r="F688" s="10" t="s">
        <v>21583</v>
      </c>
      <c r="G688" s="10" t="s">
        <v>20592</v>
      </c>
      <c r="H688" s="10" t="s">
        <v>661</v>
      </c>
      <c r="I688" s="10" t="s">
        <v>55</v>
      </c>
      <c r="K688" s="10" t="s">
        <v>21584</v>
      </c>
      <c r="L688" s="10" t="s">
        <v>42</v>
      </c>
    </row>
    <row r="689" ht="15.75" customHeight="1">
      <c r="A689" s="64">
        <v>45473.0</v>
      </c>
      <c r="B689" s="55" t="str">
        <f>HYPERLINK("https://jobright.ai/jobs/info/6681c672cefd2910140188b7?utm_campaign=1058&amp;utm_source=sheet", "Apply")</f>
        <v>Apply</v>
      </c>
      <c r="C689" s="10" t="s">
        <v>21581</v>
      </c>
      <c r="D689" s="56" t="s">
        <v>21582</v>
      </c>
      <c r="E689" s="10" t="s">
        <v>137</v>
      </c>
      <c r="F689" s="10" t="s">
        <v>21583</v>
      </c>
      <c r="G689" s="10" t="s">
        <v>20592</v>
      </c>
      <c r="H689" s="10" t="s">
        <v>993</v>
      </c>
      <c r="I689" s="10" t="s">
        <v>55</v>
      </c>
      <c r="K689" s="10" t="s">
        <v>21584</v>
      </c>
      <c r="L689" s="10" t="s">
        <v>42</v>
      </c>
    </row>
    <row r="690" ht="15.75" customHeight="1">
      <c r="A690" s="64">
        <v>45473.0</v>
      </c>
      <c r="B690" s="55" t="str">
        <f>HYPERLINK("https://jobright.ai/jobs/info/6681c672cefd2910140188b0?utm_campaign=1058&amp;utm_source=sheet", "Apply")</f>
        <v>Apply</v>
      </c>
      <c r="C690" s="10" t="s">
        <v>21581</v>
      </c>
      <c r="D690" s="56" t="s">
        <v>21582</v>
      </c>
      <c r="E690" s="10" t="s">
        <v>137</v>
      </c>
      <c r="F690" s="10" t="s">
        <v>21583</v>
      </c>
      <c r="G690" s="10" t="s">
        <v>20592</v>
      </c>
      <c r="H690" s="10" t="s">
        <v>842</v>
      </c>
      <c r="I690" s="10" t="s">
        <v>55</v>
      </c>
      <c r="K690" s="10" t="s">
        <v>21584</v>
      </c>
      <c r="L690" s="10" t="s">
        <v>42</v>
      </c>
    </row>
    <row r="691" ht="15.75" customHeight="1">
      <c r="A691" s="64">
        <v>45473.0</v>
      </c>
      <c r="B691" s="55" t="str">
        <f>HYPERLINK("https://jobright.ai/jobs/info/6681c672cefd2910140188ba?utm_campaign=1058&amp;utm_source=sheet", "Apply")</f>
        <v>Apply</v>
      </c>
      <c r="C691" s="10" t="s">
        <v>21581</v>
      </c>
      <c r="D691" s="56" t="s">
        <v>21582</v>
      </c>
      <c r="E691" s="10" t="s">
        <v>137</v>
      </c>
      <c r="F691" s="10" t="s">
        <v>21583</v>
      </c>
      <c r="G691" s="10" t="s">
        <v>20592</v>
      </c>
      <c r="H691" s="10" t="s">
        <v>942</v>
      </c>
      <c r="I691" s="10" t="s">
        <v>55</v>
      </c>
      <c r="K691" s="10" t="s">
        <v>21584</v>
      </c>
      <c r="L691" s="10" t="s">
        <v>42</v>
      </c>
    </row>
    <row r="692" ht="15.75" customHeight="1">
      <c r="A692" s="64">
        <v>45473.0</v>
      </c>
      <c r="B692" s="55" t="str">
        <f>HYPERLINK("https://jobright.ai/jobs/info/6681c672cefd2910140188c1?utm_campaign=1058&amp;utm_source=sheet", "Apply")</f>
        <v>Apply</v>
      </c>
      <c r="C692" s="10" t="s">
        <v>21581</v>
      </c>
      <c r="D692" s="56" t="s">
        <v>21582</v>
      </c>
      <c r="E692" s="10" t="s">
        <v>137</v>
      </c>
      <c r="F692" s="10" t="s">
        <v>21583</v>
      </c>
      <c r="G692" s="10" t="s">
        <v>20592</v>
      </c>
      <c r="H692" s="10" t="s">
        <v>833</v>
      </c>
      <c r="I692" s="10" t="s">
        <v>55</v>
      </c>
      <c r="K692" s="10" t="s">
        <v>21584</v>
      </c>
      <c r="L692" s="10" t="s">
        <v>42</v>
      </c>
    </row>
    <row r="693" ht="15.75" customHeight="1">
      <c r="A693" s="64">
        <v>45473.0</v>
      </c>
      <c r="B693" s="55" t="str">
        <f>HYPERLINK("https://jobright.ai/jobs/info/6681c672cefd2910140188be?utm_campaign=1058&amp;utm_source=sheet", "Apply")</f>
        <v>Apply</v>
      </c>
      <c r="C693" s="10" t="s">
        <v>21581</v>
      </c>
      <c r="D693" s="56" t="s">
        <v>21582</v>
      </c>
      <c r="E693" s="10" t="s">
        <v>137</v>
      </c>
      <c r="F693" s="10" t="s">
        <v>21583</v>
      </c>
      <c r="G693" s="10" t="s">
        <v>20592</v>
      </c>
      <c r="H693" s="10" t="s">
        <v>278</v>
      </c>
      <c r="I693" s="10" t="s">
        <v>55</v>
      </c>
      <c r="K693" s="10" t="s">
        <v>21584</v>
      </c>
      <c r="L693" s="10" t="s">
        <v>42</v>
      </c>
    </row>
    <row r="694" ht="15.75" customHeight="1">
      <c r="A694" s="64">
        <v>45473.0</v>
      </c>
      <c r="B694" s="55" t="str">
        <f>HYPERLINK("https://jobright.ai/jobs/info/6681c672cefd2910140188c0?utm_campaign=1058&amp;utm_source=sheet", "Apply")</f>
        <v>Apply</v>
      </c>
      <c r="C694" s="10" t="s">
        <v>21581</v>
      </c>
      <c r="D694" s="56" t="s">
        <v>21582</v>
      </c>
      <c r="E694" s="10" t="s">
        <v>137</v>
      </c>
      <c r="F694" s="10" t="s">
        <v>21583</v>
      </c>
      <c r="G694" s="10" t="s">
        <v>20592</v>
      </c>
      <c r="H694" s="10" t="s">
        <v>913</v>
      </c>
      <c r="I694" s="10" t="s">
        <v>55</v>
      </c>
      <c r="K694" s="10" t="s">
        <v>21584</v>
      </c>
      <c r="L694" s="10" t="s">
        <v>42</v>
      </c>
    </row>
    <row r="695" ht="15.75" customHeight="1">
      <c r="A695" s="64">
        <v>45473.0</v>
      </c>
      <c r="B695" s="55" t="str">
        <f>HYPERLINK("https://jobright.ai/jobs/info/6681c672cefd2910140188bd?utm_campaign=1058&amp;utm_source=sheet", "Apply")</f>
        <v>Apply</v>
      </c>
      <c r="C695" s="10" t="s">
        <v>21581</v>
      </c>
      <c r="D695" s="56" t="s">
        <v>21582</v>
      </c>
      <c r="E695" s="10" t="s">
        <v>137</v>
      </c>
      <c r="F695" s="10" t="s">
        <v>21583</v>
      </c>
      <c r="G695" s="10" t="s">
        <v>20592</v>
      </c>
      <c r="H695" s="10" t="s">
        <v>807</v>
      </c>
      <c r="I695" s="10" t="s">
        <v>55</v>
      </c>
      <c r="K695" s="10" t="s">
        <v>21584</v>
      </c>
      <c r="L695" s="10" t="s">
        <v>42</v>
      </c>
    </row>
    <row r="696" ht="15.75" customHeight="1">
      <c r="A696" s="64">
        <v>45473.0</v>
      </c>
      <c r="B696" s="55" t="str">
        <f>HYPERLINK("https://jobright.ai/jobs/info/6681c672cefd2910140188bc?utm_campaign=1058&amp;utm_source=sheet", "Apply")</f>
        <v>Apply</v>
      </c>
      <c r="C696" s="10" t="s">
        <v>21581</v>
      </c>
      <c r="D696" s="56" t="s">
        <v>21582</v>
      </c>
      <c r="E696" s="10" t="s">
        <v>137</v>
      </c>
      <c r="F696" s="10" t="s">
        <v>21583</v>
      </c>
      <c r="G696" s="10" t="s">
        <v>20592</v>
      </c>
      <c r="H696" s="10" t="s">
        <v>411</v>
      </c>
      <c r="I696" s="10" t="s">
        <v>55</v>
      </c>
      <c r="K696" s="10" t="s">
        <v>21584</v>
      </c>
      <c r="L696" s="10" t="s">
        <v>42</v>
      </c>
    </row>
    <row r="697" ht="15.75" customHeight="1">
      <c r="A697" s="64">
        <v>45473.0</v>
      </c>
      <c r="B697" s="55" t="str">
        <f>HYPERLINK("https://jobright.ai/jobs/info/6681c672cefd2910140188bf?utm_campaign=1058&amp;utm_source=sheet", "Apply")</f>
        <v>Apply</v>
      </c>
      <c r="C697" s="10" t="s">
        <v>21581</v>
      </c>
      <c r="D697" s="56" t="s">
        <v>21582</v>
      </c>
      <c r="E697" s="10" t="s">
        <v>137</v>
      </c>
      <c r="F697" s="10" t="s">
        <v>21583</v>
      </c>
      <c r="G697" s="10" t="s">
        <v>20592</v>
      </c>
      <c r="H697" s="10" t="s">
        <v>1005</v>
      </c>
      <c r="I697" s="10" t="s">
        <v>55</v>
      </c>
      <c r="K697" s="10" t="s">
        <v>21584</v>
      </c>
      <c r="L697" s="10" t="s">
        <v>42</v>
      </c>
    </row>
    <row r="698" ht="15.75" customHeight="1">
      <c r="A698" s="64">
        <v>45473.0</v>
      </c>
      <c r="B698" s="55" t="str">
        <f>HYPERLINK("https://jobright.ai/jobs/info/6681c672cefd2910140188bb?utm_campaign=1058&amp;utm_source=sheet", "Apply")</f>
        <v>Apply</v>
      </c>
      <c r="C698" s="10" t="s">
        <v>21581</v>
      </c>
      <c r="D698" s="56" t="s">
        <v>21582</v>
      </c>
      <c r="E698" s="10" t="s">
        <v>137</v>
      </c>
      <c r="F698" s="10" t="s">
        <v>21583</v>
      </c>
      <c r="G698" s="10" t="s">
        <v>20592</v>
      </c>
      <c r="H698" s="10" t="s">
        <v>928</v>
      </c>
      <c r="I698" s="10" t="s">
        <v>55</v>
      </c>
      <c r="K698" s="10" t="s">
        <v>21584</v>
      </c>
      <c r="L698" s="10" t="s">
        <v>42</v>
      </c>
    </row>
    <row r="699" ht="15.75" customHeight="1">
      <c r="A699" s="64">
        <v>45473.0</v>
      </c>
      <c r="B699" s="55" t="str">
        <f>HYPERLINK("https://jobright.ai/jobs/info/6681c672cefd2910140188c4?utm_campaign=1058&amp;utm_source=sheet", "Apply")</f>
        <v>Apply</v>
      </c>
      <c r="C699" s="10" t="s">
        <v>21581</v>
      </c>
      <c r="D699" s="56" t="s">
        <v>21582</v>
      </c>
      <c r="E699" s="10" t="s">
        <v>137</v>
      </c>
      <c r="F699" s="10" t="s">
        <v>21583</v>
      </c>
      <c r="G699" s="10" t="s">
        <v>20592</v>
      </c>
      <c r="H699" s="10" t="s">
        <v>941</v>
      </c>
      <c r="I699" s="10" t="s">
        <v>55</v>
      </c>
      <c r="K699" s="10" t="s">
        <v>21584</v>
      </c>
      <c r="L699" s="10" t="s">
        <v>42</v>
      </c>
    </row>
    <row r="700" ht="15.75" customHeight="1">
      <c r="A700" s="64">
        <v>45473.0</v>
      </c>
      <c r="B700" s="55" t="str">
        <f>HYPERLINK("https://jobright.ai/jobs/info/6681c672cefd2910140188c2?utm_campaign=1058&amp;utm_source=sheet", "Apply")</f>
        <v>Apply</v>
      </c>
      <c r="C700" s="10" t="s">
        <v>21581</v>
      </c>
      <c r="D700" s="56" t="s">
        <v>21582</v>
      </c>
      <c r="E700" s="10" t="s">
        <v>137</v>
      </c>
      <c r="F700" s="10" t="s">
        <v>21583</v>
      </c>
      <c r="G700" s="10" t="s">
        <v>20592</v>
      </c>
      <c r="H700" s="10" t="s">
        <v>925</v>
      </c>
      <c r="I700" s="10" t="s">
        <v>55</v>
      </c>
      <c r="K700" s="10" t="s">
        <v>21584</v>
      </c>
      <c r="L700" s="10" t="s">
        <v>42</v>
      </c>
    </row>
    <row r="701" ht="15.75" customHeight="1">
      <c r="A701" s="64">
        <v>45473.0</v>
      </c>
      <c r="B701" s="55" t="str">
        <f>HYPERLINK("https://jobright.ai/jobs/info/6681c672cefd2910140188c3?utm_campaign=1058&amp;utm_source=sheet", "Apply")</f>
        <v>Apply</v>
      </c>
      <c r="C701" s="10" t="s">
        <v>21581</v>
      </c>
      <c r="D701" s="56" t="s">
        <v>21582</v>
      </c>
      <c r="E701" s="10" t="s">
        <v>137</v>
      </c>
      <c r="F701" s="10" t="s">
        <v>21583</v>
      </c>
      <c r="G701" s="10" t="s">
        <v>20592</v>
      </c>
      <c r="H701" s="10" t="s">
        <v>1022</v>
      </c>
      <c r="I701" s="10" t="s">
        <v>55</v>
      </c>
      <c r="K701" s="10" t="s">
        <v>21584</v>
      </c>
      <c r="L701" s="10" t="s">
        <v>42</v>
      </c>
    </row>
    <row r="702" ht="15.75" customHeight="1">
      <c r="A702" s="64">
        <v>45473.0</v>
      </c>
      <c r="B702" s="55" t="str">
        <f>HYPERLINK("https://jobright.ai/jobs/info/6681e4a090f3c68b4124e67b?utm_campaign=1058&amp;utm_source=sheet", "Apply")</f>
        <v>Apply</v>
      </c>
      <c r="C702" s="10" t="s">
        <v>21581</v>
      </c>
      <c r="D702" s="56" t="s">
        <v>21582</v>
      </c>
      <c r="E702" s="10" t="s">
        <v>137</v>
      </c>
      <c r="F702" s="10" t="s">
        <v>21583</v>
      </c>
      <c r="G702" s="10" t="s">
        <v>20592</v>
      </c>
      <c r="H702" s="10" t="s">
        <v>978</v>
      </c>
      <c r="I702" s="10" t="s">
        <v>55</v>
      </c>
      <c r="K702" s="10" t="s">
        <v>21584</v>
      </c>
      <c r="L702" s="10" t="s">
        <v>42</v>
      </c>
    </row>
    <row r="703" ht="15.75" customHeight="1">
      <c r="A703" s="64">
        <v>45473.0</v>
      </c>
      <c r="B703" s="55" t="str">
        <f>HYPERLINK("https://jobright.ai/jobs/info/6681e4a090f3c68b4124e681?utm_campaign=1058&amp;utm_source=sheet", "Apply")</f>
        <v>Apply</v>
      </c>
      <c r="C703" s="10" t="s">
        <v>21581</v>
      </c>
      <c r="D703" s="56" t="s">
        <v>21582</v>
      </c>
      <c r="E703" s="10" t="s">
        <v>137</v>
      </c>
      <c r="F703" s="10" t="s">
        <v>21583</v>
      </c>
      <c r="G703" s="10" t="s">
        <v>20592</v>
      </c>
      <c r="H703" s="10" t="s">
        <v>991</v>
      </c>
      <c r="I703" s="10" t="s">
        <v>55</v>
      </c>
      <c r="K703" s="10" t="s">
        <v>21584</v>
      </c>
      <c r="L703" s="10" t="s">
        <v>42</v>
      </c>
    </row>
    <row r="704" ht="15.75" customHeight="1">
      <c r="A704" s="64">
        <v>45473.0</v>
      </c>
      <c r="B704" s="55" t="str">
        <f>HYPERLINK("https://jobright.ai/jobs/info/6681e4a090f3c68b4124e67e?utm_campaign=1058&amp;utm_source=sheet", "Apply")</f>
        <v>Apply</v>
      </c>
      <c r="C704" s="10" t="s">
        <v>21581</v>
      </c>
      <c r="D704" s="56" t="s">
        <v>21582</v>
      </c>
      <c r="E704" s="10" t="s">
        <v>137</v>
      </c>
      <c r="F704" s="10" t="s">
        <v>21583</v>
      </c>
      <c r="G704" s="10" t="s">
        <v>20592</v>
      </c>
      <c r="H704" s="10" t="s">
        <v>354</v>
      </c>
      <c r="I704" s="10" t="s">
        <v>55</v>
      </c>
      <c r="K704" s="10" t="s">
        <v>21584</v>
      </c>
      <c r="L704" s="10" t="s">
        <v>42</v>
      </c>
    </row>
    <row r="705" ht="15.75" customHeight="1">
      <c r="A705" s="64">
        <v>45473.0</v>
      </c>
      <c r="B705" s="55" t="str">
        <f>HYPERLINK("https://jobright.ai/jobs/info/6681e4a090f3c68b4124e67c?utm_campaign=1058&amp;utm_source=sheet", "Apply")</f>
        <v>Apply</v>
      </c>
      <c r="C705" s="10" t="s">
        <v>21581</v>
      </c>
      <c r="D705" s="56" t="s">
        <v>21582</v>
      </c>
      <c r="E705" s="10" t="s">
        <v>137</v>
      </c>
      <c r="F705" s="10" t="s">
        <v>21583</v>
      </c>
      <c r="G705" s="10" t="s">
        <v>20592</v>
      </c>
      <c r="H705" s="10" t="s">
        <v>968</v>
      </c>
      <c r="I705" s="10" t="s">
        <v>55</v>
      </c>
      <c r="K705" s="10" t="s">
        <v>21584</v>
      </c>
      <c r="L705" s="10" t="s">
        <v>42</v>
      </c>
    </row>
    <row r="706" ht="15.75" customHeight="1">
      <c r="A706" s="64">
        <v>45473.0</v>
      </c>
      <c r="B706" s="55" t="str">
        <f>HYPERLINK("https://jobright.ai/jobs/info/6681e4a090f3c68b4124e682?utm_campaign=1058&amp;utm_source=sheet", "Apply")</f>
        <v>Apply</v>
      </c>
      <c r="C706" s="10" t="s">
        <v>21581</v>
      </c>
      <c r="D706" s="56" t="s">
        <v>21582</v>
      </c>
      <c r="E706" s="10" t="s">
        <v>137</v>
      </c>
      <c r="F706" s="10" t="s">
        <v>21583</v>
      </c>
      <c r="G706" s="10" t="s">
        <v>20592</v>
      </c>
      <c r="H706" s="10" t="s">
        <v>880</v>
      </c>
      <c r="I706" s="10" t="s">
        <v>55</v>
      </c>
      <c r="K706" s="10" t="s">
        <v>21584</v>
      </c>
      <c r="L706" s="10" t="s">
        <v>42</v>
      </c>
    </row>
    <row r="707" ht="15.75" customHeight="1">
      <c r="A707" s="64">
        <v>45473.0</v>
      </c>
      <c r="B707" s="55" t="str">
        <f>HYPERLINK("https://jobright.ai/jobs/info/6681e4a090f3c68b4124e680?utm_campaign=1058&amp;utm_source=sheet", "Apply")</f>
        <v>Apply</v>
      </c>
      <c r="C707" s="10" t="s">
        <v>21581</v>
      </c>
      <c r="D707" s="56" t="s">
        <v>21582</v>
      </c>
      <c r="E707" s="10" t="s">
        <v>137</v>
      </c>
      <c r="F707" s="10" t="s">
        <v>21583</v>
      </c>
      <c r="G707" s="10" t="s">
        <v>20592</v>
      </c>
      <c r="H707" s="10" t="s">
        <v>799</v>
      </c>
      <c r="I707" s="10" t="s">
        <v>55</v>
      </c>
      <c r="K707" s="10" t="s">
        <v>21584</v>
      </c>
      <c r="L707" s="10" t="s">
        <v>42</v>
      </c>
    </row>
    <row r="708" ht="15.75" customHeight="1">
      <c r="A708" s="64">
        <v>45473.0</v>
      </c>
      <c r="B708" s="55" t="str">
        <f>HYPERLINK("https://jobright.ai/jobs/info/6681e4a090f3c68b4124e67f?utm_campaign=1058&amp;utm_source=sheet", "Apply")</f>
        <v>Apply</v>
      </c>
      <c r="C708" s="10" t="s">
        <v>21581</v>
      </c>
      <c r="D708" s="56" t="s">
        <v>21582</v>
      </c>
      <c r="E708" s="10" t="s">
        <v>137</v>
      </c>
      <c r="F708" s="10" t="s">
        <v>21583</v>
      </c>
      <c r="G708" s="10" t="s">
        <v>20592</v>
      </c>
      <c r="H708" s="10" t="s">
        <v>829</v>
      </c>
      <c r="I708" s="10" t="s">
        <v>55</v>
      </c>
      <c r="K708" s="10" t="s">
        <v>21584</v>
      </c>
      <c r="L708" s="10" t="s">
        <v>42</v>
      </c>
    </row>
    <row r="709" ht="15.75" customHeight="1">
      <c r="A709" s="64">
        <v>45473.0</v>
      </c>
      <c r="B709" s="55" t="str">
        <f>HYPERLINK("https://jobright.ai/jobs/info/6681e4a090f3c68b4124e67d?utm_campaign=1058&amp;utm_source=sheet", "Apply")</f>
        <v>Apply</v>
      </c>
      <c r="C709" s="10" t="s">
        <v>21581</v>
      </c>
      <c r="D709" s="56" t="s">
        <v>21582</v>
      </c>
      <c r="E709" s="10" t="s">
        <v>137</v>
      </c>
      <c r="F709" s="10" t="s">
        <v>21583</v>
      </c>
      <c r="G709" s="10" t="s">
        <v>20592</v>
      </c>
      <c r="H709" s="10" t="s">
        <v>847</v>
      </c>
      <c r="I709" s="10" t="s">
        <v>55</v>
      </c>
      <c r="K709" s="10" t="s">
        <v>21584</v>
      </c>
      <c r="L709" s="10" t="s">
        <v>42</v>
      </c>
    </row>
    <row r="710" ht="15.75" customHeight="1">
      <c r="A710" s="64">
        <v>45473.0</v>
      </c>
      <c r="B710" s="55" t="str">
        <f>HYPERLINK("https://jobright.ai/jobs/info/6681e4a090f3c68b4124e68a?utm_campaign=1058&amp;utm_source=sheet", "Apply")</f>
        <v>Apply</v>
      </c>
      <c r="C710" s="10" t="s">
        <v>21581</v>
      </c>
      <c r="D710" s="56" t="s">
        <v>21582</v>
      </c>
      <c r="E710" s="10" t="s">
        <v>137</v>
      </c>
      <c r="F710" s="10" t="s">
        <v>21583</v>
      </c>
      <c r="G710" s="10" t="s">
        <v>20592</v>
      </c>
      <c r="H710" s="10" t="s">
        <v>174</v>
      </c>
      <c r="I710" s="10" t="s">
        <v>55</v>
      </c>
      <c r="K710" s="10" t="s">
        <v>21584</v>
      </c>
      <c r="L710" s="10" t="s">
        <v>42</v>
      </c>
    </row>
    <row r="711" ht="15.75" customHeight="1">
      <c r="A711" s="64">
        <v>45473.0</v>
      </c>
      <c r="B711" s="55" t="str">
        <f>HYPERLINK("https://jobright.ai/jobs/info/6681e4a090f3c68b4124e689?utm_campaign=1058&amp;utm_source=sheet", "Apply")</f>
        <v>Apply</v>
      </c>
      <c r="C711" s="10" t="s">
        <v>21581</v>
      </c>
      <c r="D711" s="56" t="s">
        <v>21582</v>
      </c>
      <c r="E711" s="10" t="s">
        <v>137</v>
      </c>
      <c r="F711" s="10" t="s">
        <v>21583</v>
      </c>
      <c r="G711" s="10" t="s">
        <v>20592</v>
      </c>
      <c r="H711" s="10" t="s">
        <v>920</v>
      </c>
      <c r="I711" s="10" t="s">
        <v>55</v>
      </c>
      <c r="K711" s="10" t="s">
        <v>21584</v>
      </c>
      <c r="L711" s="10" t="s">
        <v>42</v>
      </c>
    </row>
    <row r="712" ht="15.75" customHeight="1">
      <c r="A712" s="64">
        <v>45473.0</v>
      </c>
      <c r="B712" s="55" t="str">
        <f>HYPERLINK("https://jobright.ai/jobs/info/6681e4a090f3c68b4124e688?utm_campaign=1058&amp;utm_source=sheet", "Apply")</f>
        <v>Apply</v>
      </c>
      <c r="C712" s="10" t="s">
        <v>21581</v>
      </c>
      <c r="D712" s="56" t="s">
        <v>21582</v>
      </c>
      <c r="E712" s="10" t="s">
        <v>137</v>
      </c>
      <c r="F712" s="10" t="s">
        <v>21583</v>
      </c>
      <c r="G712" s="10" t="s">
        <v>20592</v>
      </c>
      <c r="H712" s="10" t="s">
        <v>845</v>
      </c>
      <c r="I712" s="10" t="s">
        <v>55</v>
      </c>
      <c r="K712" s="10" t="s">
        <v>21584</v>
      </c>
      <c r="L712" s="10" t="s">
        <v>42</v>
      </c>
    </row>
    <row r="713" ht="15.75" customHeight="1">
      <c r="A713" s="64">
        <v>45473.0</v>
      </c>
      <c r="B713" s="55" t="str">
        <f>HYPERLINK("https://jobright.ai/jobs/info/6681e4a090f3c68b4124e685?utm_campaign=1058&amp;utm_source=sheet", "Apply")</f>
        <v>Apply</v>
      </c>
      <c r="C713" s="10" t="s">
        <v>21581</v>
      </c>
      <c r="D713" s="56" t="s">
        <v>21582</v>
      </c>
      <c r="E713" s="10" t="s">
        <v>137</v>
      </c>
      <c r="F713" s="10" t="s">
        <v>21583</v>
      </c>
      <c r="G713" s="10" t="s">
        <v>20592</v>
      </c>
      <c r="H713" s="10" t="s">
        <v>830</v>
      </c>
      <c r="I713" s="10" t="s">
        <v>55</v>
      </c>
      <c r="K713" s="10" t="s">
        <v>21584</v>
      </c>
      <c r="L713" s="10" t="s">
        <v>42</v>
      </c>
    </row>
    <row r="714" ht="15.75" customHeight="1">
      <c r="A714" s="64">
        <v>45473.0</v>
      </c>
      <c r="B714" s="55" t="str">
        <f>HYPERLINK("https://jobright.ai/jobs/info/6681e4a090f3c68b4124e687?utm_campaign=1058&amp;utm_source=sheet", "Apply")</f>
        <v>Apply</v>
      </c>
      <c r="C714" s="10" t="s">
        <v>21581</v>
      </c>
      <c r="D714" s="56" t="s">
        <v>21582</v>
      </c>
      <c r="E714" s="10" t="s">
        <v>137</v>
      </c>
      <c r="F714" s="10" t="s">
        <v>21583</v>
      </c>
      <c r="G714" s="10" t="s">
        <v>20592</v>
      </c>
      <c r="H714" s="10" t="s">
        <v>763</v>
      </c>
      <c r="I714" s="10" t="s">
        <v>55</v>
      </c>
      <c r="K714" s="10" t="s">
        <v>21584</v>
      </c>
      <c r="L714" s="10" t="s">
        <v>42</v>
      </c>
    </row>
    <row r="715" ht="15.75" customHeight="1">
      <c r="A715" s="64">
        <v>45473.0</v>
      </c>
      <c r="B715" s="55" t="str">
        <f>HYPERLINK("https://jobright.ai/jobs/info/6681e4a090f3c68b4124e68b?utm_campaign=1058&amp;utm_source=sheet", "Apply")</f>
        <v>Apply</v>
      </c>
      <c r="C715" s="10" t="s">
        <v>21581</v>
      </c>
      <c r="D715" s="56" t="s">
        <v>21582</v>
      </c>
      <c r="E715" s="10" t="s">
        <v>137</v>
      </c>
      <c r="F715" s="10" t="s">
        <v>21583</v>
      </c>
      <c r="G715" s="10" t="s">
        <v>20592</v>
      </c>
      <c r="H715" s="10" t="s">
        <v>878</v>
      </c>
      <c r="I715" s="10" t="s">
        <v>55</v>
      </c>
      <c r="K715" s="10" t="s">
        <v>21584</v>
      </c>
      <c r="L715" s="10" t="s">
        <v>42</v>
      </c>
    </row>
    <row r="716" ht="15.75" customHeight="1">
      <c r="A716" s="64">
        <v>45473.0</v>
      </c>
      <c r="B716" s="55" t="str">
        <f>HYPERLINK("https://jobright.ai/jobs/info/6681e4a090f3c68b4124e683?utm_campaign=1058&amp;utm_source=sheet", "Apply")</f>
        <v>Apply</v>
      </c>
      <c r="C716" s="10" t="s">
        <v>21581</v>
      </c>
      <c r="D716" s="56" t="s">
        <v>21582</v>
      </c>
      <c r="E716" s="10" t="s">
        <v>137</v>
      </c>
      <c r="F716" s="10" t="s">
        <v>21583</v>
      </c>
      <c r="G716" s="10" t="s">
        <v>20592</v>
      </c>
      <c r="H716" s="10" t="s">
        <v>1031</v>
      </c>
      <c r="I716" s="10" t="s">
        <v>55</v>
      </c>
      <c r="K716" s="10" t="s">
        <v>21584</v>
      </c>
      <c r="L716" s="10" t="s">
        <v>42</v>
      </c>
    </row>
    <row r="717" ht="15.75" customHeight="1">
      <c r="A717" s="64">
        <v>45473.0</v>
      </c>
      <c r="B717" s="55" t="str">
        <f>HYPERLINK("https://jobright.ai/jobs/info/6681e4a090f3c68b4124e684?utm_campaign=1058&amp;utm_source=sheet", "Apply")</f>
        <v>Apply</v>
      </c>
      <c r="C717" s="10" t="s">
        <v>21581</v>
      </c>
      <c r="D717" s="56" t="s">
        <v>21582</v>
      </c>
      <c r="E717" s="10" t="s">
        <v>137</v>
      </c>
      <c r="F717" s="10" t="s">
        <v>21583</v>
      </c>
      <c r="G717" s="10" t="s">
        <v>20592</v>
      </c>
      <c r="H717" s="10" t="s">
        <v>924</v>
      </c>
      <c r="I717" s="10" t="s">
        <v>55</v>
      </c>
      <c r="K717" s="10" t="s">
        <v>21584</v>
      </c>
      <c r="L717" s="10" t="s">
        <v>42</v>
      </c>
    </row>
    <row r="718" ht="15.75" customHeight="1">
      <c r="A718" s="64">
        <v>45473.0</v>
      </c>
      <c r="B718" s="55" t="str">
        <f>HYPERLINK("https://jobright.ai/jobs/info/6681e4a090f3c68b4124e686?utm_campaign=1058&amp;utm_source=sheet", "Apply")</f>
        <v>Apply</v>
      </c>
      <c r="C718" s="10" t="s">
        <v>21581</v>
      </c>
      <c r="D718" s="56" t="s">
        <v>21582</v>
      </c>
      <c r="E718" s="10" t="s">
        <v>137</v>
      </c>
      <c r="F718" s="10" t="s">
        <v>21583</v>
      </c>
      <c r="G718" s="10" t="s">
        <v>20592</v>
      </c>
      <c r="H718" s="10" t="s">
        <v>959</v>
      </c>
      <c r="I718" s="10" t="s">
        <v>55</v>
      </c>
      <c r="K718" s="10" t="s">
        <v>21584</v>
      </c>
      <c r="L718" s="10" t="s">
        <v>42</v>
      </c>
    </row>
    <row r="719" ht="15.75" customHeight="1">
      <c r="A719" s="64">
        <v>45473.0</v>
      </c>
      <c r="B719" s="55" t="str">
        <f>HYPERLINK("https://jobright.ai/jobs/info/6681e4a090f3c68b4124e68d?utm_campaign=1058&amp;utm_source=sheet", "Apply")</f>
        <v>Apply</v>
      </c>
      <c r="C719" s="10" t="s">
        <v>21581</v>
      </c>
      <c r="D719" s="56" t="s">
        <v>21582</v>
      </c>
      <c r="E719" s="10" t="s">
        <v>137</v>
      </c>
      <c r="F719" s="10" t="s">
        <v>21583</v>
      </c>
      <c r="G719" s="10" t="s">
        <v>20592</v>
      </c>
      <c r="H719" s="10" t="s">
        <v>780</v>
      </c>
      <c r="I719" s="10" t="s">
        <v>55</v>
      </c>
      <c r="K719" s="10" t="s">
        <v>21584</v>
      </c>
      <c r="L719" s="10" t="s">
        <v>42</v>
      </c>
    </row>
    <row r="720" ht="15.75" customHeight="1">
      <c r="A720" s="64">
        <v>45473.0</v>
      </c>
      <c r="B720" s="55" t="str">
        <f>HYPERLINK("https://jobright.ai/jobs/info/6682cef5ac1ecadd06f38f8d?utm_campaign=1058&amp;utm_source=sheet", "Apply")</f>
        <v>Apply</v>
      </c>
      <c r="C720" s="10" t="s">
        <v>21581</v>
      </c>
      <c r="D720" s="56" t="s">
        <v>21582</v>
      </c>
      <c r="E720" s="10" t="s">
        <v>137</v>
      </c>
      <c r="F720" s="10" t="s">
        <v>21583</v>
      </c>
      <c r="G720" s="10" t="s">
        <v>20592</v>
      </c>
      <c r="H720" s="10" t="s">
        <v>1050</v>
      </c>
      <c r="I720" s="10" t="s">
        <v>55</v>
      </c>
      <c r="K720" s="10" t="s">
        <v>21584</v>
      </c>
      <c r="L720" s="10" t="s">
        <v>42</v>
      </c>
    </row>
    <row r="721" ht="15.75" customHeight="1">
      <c r="A721" s="64">
        <v>45473.0</v>
      </c>
      <c r="B721" s="55" t="str">
        <f>HYPERLINK("https://jobright.ai/jobs/info/6682094d511f59cc1e8381d6?utm_campaign=1058&amp;utm_source=sheet", "Apply")</f>
        <v>Apply</v>
      </c>
      <c r="C721" s="10" t="s">
        <v>21581</v>
      </c>
      <c r="D721" s="56" t="s">
        <v>21582</v>
      </c>
      <c r="E721" s="10" t="s">
        <v>137</v>
      </c>
      <c r="F721" s="10" t="s">
        <v>21583</v>
      </c>
      <c r="G721" s="10" t="s">
        <v>20592</v>
      </c>
      <c r="H721" s="10" t="s">
        <v>875</v>
      </c>
      <c r="I721" s="10" t="s">
        <v>55</v>
      </c>
      <c r="K721" s="10" t="s">
        <v>21584</v>
      </c>
      <c r="L721" s="10" t="s">
        <v>42</v>
      </c>
    </row>
    <row r="722" ht="15.75" customHeight="1">
      <c r="A722" s="64">
        <v>45473.0</v>
      </c>
      <c r="B722" s="55" t="str">
        <f>HYPERLINK("https://jobright.ai/jobs/info/6682094d511f59cc1e8381d5?utm_campaign=1058&amp;utm_source=sheet", "Apply")</f>
        <v>Apply</v>
      </c>
      <c r="C722" s="10" t="s">
        <v>21581</v>
      </c>
      <c r="D722" s="56" t="s">
        <v>21582</v>
      </c>
      <c r="E722" s="10" t="s">
        <v>137</v>
      </c>
      <c r="F722" s="10" t="s">
        <v>21583</v>
      </c>
      <c r="G722" s="10" t="s">
        <v>20592</v>
      </c>
      <c r="H722" s="10" t="s">
        <v>1049</v>
      </c>
      <c r="I722" s="10" t="s">
        <v>55</v>
      </c>
      <c r="K722" s="10" t="s">
        <v>21584</v>
      </c>
      <c r="L722" s="10" t="s">
        <v>42</v>
      </c>
    </row>
    <row r="723" ht="15.75" customHeight="1">
      <c r="A723" s="64">
        <v>45473.0</v>
      </c>
      <c r="B723" s="55" t="str">
        <f>HYPERLINK("https://jobright.ai/jobs/info/6682094d511f59cc1e8381d7?utm_campaign=1058&amp;utm_source=sheet", "Apply")</f>
        <v>Apply</v>
      </c>
      <c r="C723" s="10" t="s">
        <v>21581</v>
      </c>
      <c r="D723" s="56" t="s">
        <v>21582</v>
      </c>
      <c r="E723" s="10" t="s">
        <v>137</v>
      </c>
      <c r="F723" s="10" t="s">
        <v>21583</v>
      </c>
      <c r="G723" s="10" t="s">
        <v>20592</v>
      </c>
      <c r="H723" s="10" t="s">
        <v>621</v>
      </c>
      <c r="I723" s="10" t="s">
        <v>55</v>
      </c>
      <c r="K723" s="10" t="s">
        <v>21584</v>
      </c>
      <c r="L723" s="10" t="s">
        <v>42</v>
      </c>
    </row>
    <row r="724" ht="15.75" customHeight="1">
      <c r="A724" s="64">
        <v>45473.0</v>
      </c>
      <c r="B724" s="55" t="str">
        <f>HYPERLINK("https://jobright.ai/jobs/info/66823382b2d753f576ee139b?utm_campaign=1058&amp;utm_source=sheet", "Apply")</f>
        <v>Apply</v>
      </c>
      <c r="C724" s="10" t="s">
        <v>21581</v>
      </c>
      <c r="D724" s="56" t="s">
        <v>21582</v>
      </c>
      <c r="E724" s="10" t="s">
        <v>137</v>
      </c>
      <c r="F724" s="10" t="s">
        <v>21583</v>
      </c>
      <c r="G724" s="10" t="s">
        <v>20592</v>
      </c>
      <c r="H724" s="10" t="s">
        <v>816</v>
      </c>
      <c r="I724" s="10" t="s">
        <v>55</v>
      </c>
      <c r="K724" s="10" t="s">
        <v>21584</v>
      </c>
      <c r="L724" s="10" t="s">
        <v>42</v>
      </c>
    </row>
    <row r="725" ht="15.75" customHeight="1">
      <c r="A725" s="64">
        <v>45473.0</v>
      </c>
      <c r="B725" s="55" t="str">
        <f>HYPERLINK("https://jobright.ai/jobs/info/66823382b2d753f576ee139c?utm_campaign=1058&amp;utm_source=sheet", "Apply")</f>
        <v>Apply</v>
      </c>
      <c r="C725" s="10" t="s">
        <v>21581</v>
      </c>
      <c r="D725" s="56" t="s">
        <v>21582</v>
      </c>
      <c r="E725" s="10" t="s">
        <v>137</v>
      </c>
      <c r="F725" s="10" t="s">
        <v>21583</v>
      </c>
      <c r="G725" s="10" t="s">
        <v>20592</v>
      </c>
      <c r="H725" s="10" t="s">
        <v>907</v>
      </c>
      <c r="I725" s="10" t="s">
        <v>55</v>
      </c>
      <c r="K725" s="10" t="s">
        <v>21584</v>
      </c>
      <c r="L725" s="10" t="s">
        <v>42</v>
      </c>
    </row>
    <row r="726" ht="15.75" customHeight="1">
      <c r="A726" s="64">
        <v>45473.0</v>
      </c>
      <c r="B726" s="55" t="str">
        <f>HYPERLINK("https://jobright.ai/jobs/info/66823382b2d753f576ee139d?utm_campaign=1058&amp;utm_source=sheet", "Apply")</f>
        <v>Apply</v>
      </c>
      <c r="C726" s="10" t="s">
        <v>21581</v>
      </c>
      <c r="D726" s="56" t="s">
        <v>21582</v>
      </c>
      <c r="E726" s="10" t="s">
        <v>137</v>
      </c>
      <c r="F726" s="10" t="s">
        <v>21583</v>
      </c>
      <c r="G726" s="10" t="s">
        <v>20592</v>
      </c>
      <c r="H726" s="10" t="s">
        <v>890</v>
      </c>
      <c r="I726" s="10" t="s">
        <v>55</v>
      </c>
      <c r="K726" s="10" t="s">
        <v>21584</v>
      </c>
      <c r="L726" s="10" t="s">
        <v>42</v>
      </c>
    </row>
    <row r="727" ht="15.75" customHeight="1">
      <c r="A727" s="64">
        <v>45473.0</v>
      </c>
      <c r="B727" s="55" t="str">
        <f>HYPERLINK("https://jobright.ai/jobs/info/66823382b2d753f576ee139e?utm_campaign=1058&amp;utm_source=sheet", "Apply")</f>
        <v>Apply</v>
      </c>
      <c r="C727" s="10" t="s">
        <v>21581</v>
      </c>
      <c r="D727" s="56" t="s">
        <v>21582</v>
      </c>
      <c r="E727" s="10" t="s">
        <v>137</v>
      </c>
      <c r="F727" s="10" t="s">
        <v>21583</v>
      </c>
      <c r="G727" s="10" t="s">
        <v>20592</v>
      </c>
      <c r="H727" s="10" t="s">
        <v>795</v>
      </c>
      <c r="I727" s="10" t="s">
        <v>55</v>
      </c>
      <c r="K727" s="10" t="s">
        <v>21584</v>
      </c>
      <c r="L727" s="10" t="s">
        <v>42</v>
      </c>
    </row>
    <row r="728" ht="15.75" customHeight="1">
      <c r="A728" s="64">
        <v>45473.0</v>
      </c>
      <c r="B728" s="55" t="str">
        <f>HYPERLINK("https://jobright.ai/jobs/info/6681b1b8a8ba421aa220fd31?utm_campaign=1058&amp;utm_source=sheet", "Apply")</f>
        <v>Apply</v>
      </c>
      <c r="C728" s="10" t="s">
        <v>21581</v>
      </c>
      <c r="D728" s="56" t="s">
        <v>21582</v>
      </c>
      <c r="E728" s="10" t="s">
        <v>137</v>
      </c>
      <c r="F728" s="10" t="s">
        <v>21583</v>
      </c>
      <c r="G728" s="10" t="s">
        <v>20592</v>
      </c>
      <c r="H728" s="10" t="s">
        <v>1011</v>
      </c>
      <c r="I728" s="10" t="s">
        <v>55</v>
      </c>
      <c r="K728" s="10" t="s">
        <v>21584</v>
      </c>
      <c r="L728" s="10" t="s">
        <v>42</v>
      </c>
    </row>
    <row r="729" ht="15.75" customHeight="1">
      <c r="A729" s="64">
        <v>45473.0</v>
      </c>
      <c r="B729" s="55" t="str">
        <f>HYPERLINK("https://jobright.ai/jobs/info/6681b1b8a8ba421aa220fd30?utm_campaign=1058&amp;utm_source=sheet", "Apply")</f>
        <v>Apply</v>
      </c>
      <c r="C729" s="10" t="s">
        <v>21581</v>
      </c>
      <c r="D729" s="56" t="s">
        <v>21582</v>
      </c>
      <c r="E729" s="10" t="s">
        <v>137</v>
      </c>
      <c r="F729" s="10" t="s">
        <v>21583</v>
      </c>
      <c r="G729" s="10" t="s">
        <v>20592</v>
      </c>
      <c r="H729" s="10" t="s">
        <v>996</v>
      </c>
      <c r="I729" s="10" t="s">
        <v>55</v>
      </c>
      <c r="K729" s="10" t="s">
        <v>21584</v>
      </c>
      <c r="L729" s="10" t="s">
        <v>42</v>
      </c>
    </row>
    <row r="730" ht="15.75" customHeight="1">
      <c r="A730" s="64">
        <v>45473.0</v>
      </c>
      <c r="B730" s="55" t="str">
        <f>HYPERLINK("https://jobright.ai/jobs/info/6681b1b8a8ba421aa220fd35?utm_campaign=1058&amp;utm_source=sheet", "Apply")</f>
        <v>Apply</v>
      </c>
      <c r="C730" s="10" t="s">
        <v>21581</v>
      </c>
      <c r="D730" s="56" t="s">
        <v>21582</v>
      </c>
      <c r="E730" s="10" t="s">
        <v>137</v>
      </c>
      <c r="F730" s="10" t="s">
        <v>21583</v>
      </c>
      <c r="G730" s="10" t="s">
        <v>20592</v>
      </c>
      <c r="H730" s="10" t="s">
        <v>771</v>
      </c>
      <c r="I730" s="10" t="s">
        <v>55</v>
      </c>
      <c r="K730" s="10" t="s">
        <v>21584</v>
      </c>
      <c r="L730" s="10" t="s">
        <v>42</v>
      </c>
    </row>
    <row r="731" ht="15.75" customHeight="1">
      <c r="A731" s="64">
        <v>45473.0</v>
      </c>
      <c r="B731" s="55" t="str">
        <f>HYPERLINK("https://jobright.ai/jobs/info/6681b1b8a8ba421aa220fd36?utm_campaign=1058&amp;utm_source=sheet", "Apply")</f>
        <v>Apply</v>
      </c>
      <c r="C731" s="10" t="s">
        <v>21581</v>
      </c>
      <c r="D731" s="56" t="s">
        <v>21582</v>
      </c>
      <c r="E731" s="10" t="s">
        <v>137</v>
      </c>
      <c r="F731" s="10" t="s">
        <v>21583</v>
      </c>
      <c r="G731" s="10" t="s">
        <v>20592</v>
      </c>
      <c r="H731" s="10" t="s">
        <v>899</v>
      </c>
      <c r="I731" s="10" t="s">
        <v>55</v>
      </c>
      <c r="K731" s="10" t="s">
        <v>21584</v>
      </c>
      <c r="L731" s="10" t="s">
        <v>42</v>
      </c>
    </row>
    <row r="732" ht="15.75" customHeight="1">
      <c r="A732" s="64">
        <v>45473.0</v>
      </c>
      <c r="B732" s="55" t="str">
        <f>HYPERLINK("https://jobright.ai/jobs/info/6681b1b8a8ba421aa220fd33?utm_campaign=1058&amp;utm_source=sheet", "Apply")</f>
        <v>Apply</v>
      </c>
      <c r="C732" s="10" t="s">
        <v>21581</v>
      </c>
      <c r="D732" s="56" t="s">
        <v>21582</v>
      </c>
      <c r="E732" s="10" t="s">
        <v>137</v>
      </c>
      <c r="F732" s="10" t="s">
        <v>21583</v>
      </c>
      <c r="G732" s="10" t="s">
        <v>20592</v>
      </c>
      <c r="H732" s="10" t="s">
        <v>948</v>
      </c>
      <c r="I732" s="10" t="s">
        <v>55</v>
      </c>
      <c r="K732" s="10" t="s">
        <v>21584</v>
      </c>
      <c r="L732" s="10" t="s">
        <v>42</v>
      </c>
    </row>
    <row r="733" ht="15.75" customHeight="1">
      <c r="A733" s="64">
        <v>45473.0</v>
      </c>
      <c r="B733" s="55" t="str">
        <f>HYPERLINK("https://jobright.ai/jobs/info/6681b1b8a8ba421aa220fd38?utm_campaign=1058&amp;utm_source=sheet", "Apply")</f>
        <v>Apply</v>
      </c>
      <c r="C733" s="10" t="s">
        <v>21581</v>
      </c>
      <c r="D733" s="56" t="s">
        <v>21582</v>
      </c>
      <c r="E733" s="10" t="s">
        <v>137</v>
      </c>
      <c r="F733" s="10" t="s">
        <v>21583</v>
      </c>
      <c r="G733" s="10" t="s">
        <v>20592</v>
      </c>
      <c r="H733" s="10" t="s">
        <v>843</v>
      </c>
      <c r="I733" s="10" t="s">
        <v>55</v>
      </c>
      <c r="K733" s="10" t="s">
        <v>21584</v>
      </c>
      <c r="L733" s="10" t="s">
        <v>42</v>
      </c>
    </row>
    <row r="734" ht="15.75" customHeight="1">
      <c r="A734" s="64">
        <v>45473.0</v>
      </c>
      <c r="B734" s="55" t="str">
        <f>HYPERLINK("https://jobright.ai/jobs/info/6681b1b8a8ba421aa220fd34?utm_campaign=1058&amp;utm_source=sheet", "Apply")</f>
        <v>Apply</v>
      </c>
      <c r="C734" s="10" t="s">
        <v>21581</v>
      </c>
      <c r="D734" s="56" t="s">
        <v>21582</v>
      </c>
      <c r="E734" s="10" t="s">
        <v>137</v>
      </c>
      <c r="F734" s="10" t="s">
        <v>21583</v>
      </c>
      <c r="G734" s="10" t="s">
        <v>20592</v>
      </c>
      <c r="H734" s="10" t="s">
        <v>779</v>
      </c>
      <c r="I734" s="10" t="s">
        <v>55</v>
      </c>
      <c r="K734" s="10" t="s">
        <v>21584</v>
      </c>
      <c r="L734" s="10" t="s">
        <v>42</v>
      </c>
    </row>
    <row r="735" ht="15.75" customHeight="1">
      <c r="A735" s="64">
        <v>45473.0</v>
      </c>
      <c r="B735" s="55" t="str">
        <f>HYPERLINK("https://jobright.ai/jobs/info/6681b1b8a8ba421aa220fd37?utm_campaign=1058&amp;utm_source=sheet", "Apply")</f>
        <v>Apply</v>
      </c>
      <c r="C735" s="10" t="s">
        <v>21581</v>
      </c>
      <c r="D735" s="56" t="s">
        <v>21582</v>
      </c>
      <c r="E735" s="10" t="s">
        <v>137</v>
      </c>
      <c r="F735" s="10" t="s">
        <v>21583</v>
      </c>
      <c r="G735" s="10" t="s">
        <v>20592</v>
      </c>
      <c r="H735" s="10" t="s">
        <v>841</v>
      </c>
      <c r="I735" s="10" t="s">
        <v>55</v>
      </c>
      <c r="K735" s="10" t="s">
        <v>21584</v>
      </c>
      <c r="L735" s="10" t="s">
        <v>42</v>
      </c>
    </row>
    <row r="736" ht="15.75" customHeight="1">
      <c r="A736" s="64">
        <v>45473.0</v>
      </c>
      <c r="B736" s="55" t="str">
        <f>HYPERLINK("https://jobright.ai/jobs/info/6681b1b8a8ba421aa220fd32?utm_campaign=1058&amp;utm_source=sheet", "Apply")</f>
        <v>Apply</v>
      </c>
      <c r="C736" s="10" t="s">
        <v>21581</v>
      </c>
      <c r="D736" s="56" t="s">
        <v>21582</v>
      </c>
      <c r="E736" s="10" t="s">
        <v>137</v>
      </c>
      <c r="F736" s="10" t="s">
        <v>21583</v>
      </c>
      <c r="G736" s="10" t="s">
        <v>20592</v>
      </c>
      <c r="H736" s="10" t="s">
        <v>572</v>
      </c>
      <c r="I736" s="10" t="s">
        <v>55</v>
      </c>
      <c r="K736" s="10" t="s">
        <v>21584</v>
      </c>
      <c r="L736" s="10" t="s">
        <v>42</v>
      </c>
    </row>
    <row r="737" ht="15.75" customHeight="1">
      <c r="A737" s="64">
        <v>45473.0</v>
      </c>
      <c r="B737" s="55" t="str">
        <f>HYPERLINK("https://jobright.ai/jobs/info/6681b1b8a8ba421aa220fd3a?utm_campaign=1058&amp;utm_source=sheet", "Apply")</f>
        <v>Apply</v>
      </c>
      <c r="C737" s="10" t="s">
        <v>21581</v>
      </c>
      <c r="D737" s="56" t="s">
        <v>21582</v>
      </c>
      <c r="E737" s="10" t="s">
        <v>137</v>
      </c>
      <c r="F737" s="10" t="s">
        <v>21583</v>
      </c>
      <c r="G737" s="10" t="s">
        <v>20592</v>
      </c>
      <c r="H737" s="10" t="s">
        <v>117</v>
      </c>
      <c r="I737" s="10" t="s">
        <v>55</v>
      </c>
      <c r="K737" s="10" t="s">
        <v>21584</v>
      </c>
      <c r="L737" s="10" t="s">
        <v>42</v>
      </c>
    </row>
    <row r="738" ht="15.75" customHeight="1">
      <c r="A738" s="64">
        <v>45473.0</v>
      </c>
      <c r="B738" s="55" t="str">
        <f>HYPERLINK("https://jobright.ai/jobs/info/6681b1b8a8ba421aa220fd39?utm_campaign=1058&amp;utm_source=sheet", "Apply")</f>
        <v>Apply</v>
      </c>
      <c r="C738" s="10" t="s">
        <v>21581</v>
      </c>
      <c r="D738" s="56" t="s">
        <v>21582</v>
      </c>
      <c r="E738" s="10" t="s">
        <v>137</v>
      </c>
      <c r="F738" s="10" t="s">
        <v>21583</v>
      </c>
      <c r="G738" s="10" t="s">
        <v>20592</v>
      </c>
      <c r="H738" s="10" t="s">
        <v>872</v>
      </c>
      <c r="I738" s="10" t="s">
        <v>55</v>
      </c>
      <c r="K738" s="10" t="s">
        <v>21584</v>
      </c>
      <c r="L738" s="10" t="s">
        <v>42</v>
      </c>
    </row>
    <row r="739" ht="15.75" customHeight="1">
      <c r="A739" s="64">
        <v>45473.0</v>
      </c>
      <c r="B739" s="55" t="str">
        <f>HYPERLINK("https://jobright.ai/jobs/info/6681b1b8a8ba421aa220fd3b?utm_campaign=1058&amp;utm_source=sheet", "Apply")</f>
        <v>Apply</v>
      </c>
      <c r="C739" s="10" t="s">
        <v>21581</v>
      </c>
      <c r="D739" s="56" t="s">
        <v>21582</v>
      </c>
      <c r="E739" s="10" t="s">
        <v>137</v>
      </c>
      <c r="F739" s="10" t="s">
        <v>21583</v>
      </c>
      <c r="G739" s="10" t="s">
        <v>20592</v>
      </c>
      <c r="H739" s="10" t="s">
        <v>983</v>
      </c>
      <c r="I739" s="10" t="s">
        <v>55</v>
      </c>
      <c r="K739" s="10" t="s">
        <v>21584</v>
      </c>
      <c r="L739" s="10" t="s">
        <v>42</v>
      </c>
    </row>
    <row r="740" ht="15.75" customHeight="1">
      <c r="A740" s="64">
        <v>45473.0</v>
      </c>
      <c r="B740" s="55" t="str">
        <f>HYPERLINK("https://jobright.ai/jobs/info/6681b1b8a8ba421aa220fd3d?utm_campaign=1058&amp;utm_source=sheet", "Apply")</f>
        <v>Apply</v>
      </c>
      <c r="C740" s="10" t="s">
        <v>21581</v>
      </c>
      <c r="D740" s="56" t="s">
        <v>21582</v>
      </c>
      <c r="E740" s="10" t="s">
        <v>137</v>
      </c>
      <c r="F740" s="10" t="s">
        <v>21583</v>
      </c>
      <c r="G740" s="10" t="s">
        <v>20592</v>
      </c>
      <c r="H740" s="10" t="s">
        <v>898</v>
      </c>
      <c r="I740" s="10" t="s">
        <v>55</v>
      </c>
      <c r="K740" s="10" t="s">
        <v>21584</v>
      </c>
      <c r="L740" s="10" t="s">
        <v>42</v>
      </c>
    </row>
    <row r="741" ht="15.75" customHeight="1">
      <c r="A741" s="64">
        <v>45473.0</v>
      </c>
      <c r="B741" s="55" t="str">
        <f>HYPERLINK("https://jobright.ai/jobs/info/6681b1b8a8ba421aa220fd48?utm_campaign=1058&amp;utm_source=sheet", "Apply")</f>
        <v>Apply</v>
      </c>
      <c r="C741" s="10" t="s">
        <v>21581</v>
      </c>
      <c r="D741" s="56" t="s">
        <v>21582</v>
      </c>
      <c r="E741" s="10" t="s">
        <v>137</v>
      </c>
      <c r="F741" s="10" t="s">
        <v>21583</v>
      </c>
      <c r="G741" s="10" t="s">
        <v>20592</v>
      </c>
      <c r="H741" s="10" t="s">
        <v>946</v>
      </c>
      <c r="I741" s="10" t="s">
        <v>55</v>
      </c>
      <c r="K741" s="10" t="s">
        <v>21584</v>
      </c>
      <c r="L741" s="10" t="s">
        <v>42</v>
      </c>
    </row>
    <row r="742" ht="15.75" customHeight="1">
      <c r="A742" s="64">
        <v>45473.0</v>
      </c>
      <c r="B742" s="55" t="str">
        <f>HYPERLINK("https://jobright.ai/jobs/info/6681b1b8a8ba421aa220fd45?utm_campaign=1058&amp;utm_source=sheet", "Apply")</f>
        <v>Apply</v>
      </c>
      <c r="C742" s="10" t="s">
        <v>21581</v>
      </c>
      <c r="D742" s="56" t="s">
        <v>21582</v>
      </c>
      <c r="E742" s="10" t="s">
        <v>137</v>
      </c>
      <c r="F742" s="10" t="s">
        <v>21583</v>
      </c>
      <c r="G742" s="10" t="s">
        <v>20592</v>
      </c>
      <c r="H742" s="10" t="s">
        <v>990</v>
      </c>
      <c r="I742" s="10" t="s">
        <v>55</v>
      </c>
      <c r="K742" s="10" t="s">
        <v>21584</v>
      </c>
      <c r="L742" s="10" t="s">
        <v>42</v>
      </c>
    </row>
    <row r="743" ht="15.75" customHeight="1">
      <c r="A743" s="64">
        <v>45473.0</v>
      </c>
      <c r="B743" s="55" t="str">
        <f>HYPERLINK("https://jobright.ai/jobs/info/6681b1b8a8ba421aa220fd3f?utm_campaign=1058&amp;utm_source=sheet", "Apply")</f>
        <v>Apply</v>
      </c>
      <c r="C743" s="10" t="s">
        <v>21581</v>
      </c>
      <c r="D743" s="56" t="s">
        <v>21582</v>
      </c>
      <c r="E743" s="10" t="s">
        <v>137</v>
      </c>
      <c r="F743" s="10" t="s">
        <v>21583</v>
      </c>
      <c r="G743" s="10" t="s">
        <v>20592</v>
      </c>
      <c r="H743" s="10" t="s">
        <v>765</v>
      </c>
      <c r="I743" s="10" t="s">
        <v>55</v>
      </c>
      <c r="K743" s="10" t="s">
        <v>21584</v>
      </c>
      <c r="L743" s="10" t="s">
        <v>42</v>
      </c>
    </row>
    <row r="744" ht="15.75" customHeight="1">
      <c r="A744" s="64">
        <v>45473.0</v>
      </c>
      <c r="B744" s="55" t="str">
        <f>HYPERLINK("https://jobright.ai/jobs/info/6681b1b8a8ba421aa220fd46?utm_campaign=1058&amp;utm_source=sheet", "Apply")</f>
        <v>Apply</v>
      </c>
      <c r="C744" s="10" t="s">
        <v>21581</v>
      </c>
      <c r="D744" s="56" t="s">
        <v>21582</v>
      </c>
      <c r="E744" s="10" t="s">
        <v>137</v>
      </c>
      <c r="F744" s="10" t="s">
        <v>21583</v>
      </c>
      <c r="G744" s="10" t="s">
        <v>20592</v>
      </c>
      <c r="H744" s="10" t="s">
        <v>796</v>
      </c>
      <c r="I744" s="10" t="s">
        <v>55</v>
      </c>
      <c r="K744" s="10" t="s">
        <v>21584</v>
      </c>
      <c r="L744" s="10" t="s">
        <v>42</v>
      </c>
    </row>
    <row r="745" ht="15.75" customHeight="1">
      <c r="A745" s="64">
        <v>45473.0</v>
      </c>
      <c r="B745" s="55" t="str">
        <f>HYPERLINK("https://jobright.ai/jobs/info/6681b1b8a8ba421aa220fd3e?utm_campaign=1058&amp;utm_source=sheet", "Apply")</f>
        <v>Apply</v>
      </c>
      <c r="C745" s="10" t="s">
        <v>21581</v>
      </c>
      <c r="D745" s="56" t="s">
        <v>21582</v>
      </c>
      <c r="E745" s="10" t="s">
        <v>137</v>
      </c>
      <c r="F745" s="10" t="s">
        <v>21583</v>
      </c>
      <c r="G745" s="10" t="s">
        <v>20592</v>
      </c>
      <c r="H745" s="10" t="s">
        <v>863</v>
      </c>
      <c r="I745" s="10" t="s">
        <v>55</v>
      </c>
      <c r="K745" s="10" t="s">
        <v>21584</v>
      </c>
      <c r="L745" s="10" t="s">
        <v>42</v>
      </c>
    </row>
    <row r="746" ht="15.75" customHeight="1">
      <c r="A746" s="64">
        <v>45473.0</v>
      </c>
      <c r="B746" s="55" t="str">
        <f>HYPERLINK("https://jobright.ai/jobs/info/6681b1b8a8ba421aa220fd42?utm_campaign=1058&amp;utm_source=sheet", "Apply")</f>
        <v>Apply</v>
      </c>
      <c r="C746" s="10" t="s">
        <v>21581</v>
      </c>
      <c r="D746" s="56" t="s">
        <v>21582</v>
      </c>
      <c r="E746" s="10" t="s">
        <v>137</v>
      </c>
      <c r="F746" s="10" t="s">
        <v>21583</v>
      </c>
      <c r="G746" s="10" t="s">
        <v>20592</v>
      </c>
      <c r="H746" s="10" t="s">
        <v>848</v>
      </c>
      <c r="I746" s="10" t="s">
        <v>55</v>
      </c>
      <c r="K746" s="10" t="s">
        <v>21584</v>
      </c>
      <c r="L746" s="10" t="s">
        <v>42</v>
      </c>
    </row>
    <row r="747" ht="15.75" customHeight="1">
      <c r="A747" s="64">
        <v>45473.0</v>
      </c>
      <c r="B747" s="55" t="str">
        <f>HYPERLINK("https://jobright.ai/jobs/info/6681b1b8a8ba421aa220fd3c?utm_campaign=1058&amp;utm_source=sheet", "Apply")</f>
        <v>Apply</v>
      </c>
      <c r="C747" s="10" t="s">
        <v>21581</v>
      </c>
      <c r="D747" s="56" t="s">
        <v>21582</v>
      </c>
      <c r="E747" s="10" t="s">
        <v>137</v>
      </c>
      <c r="F747" s="10" t="s">
        <v>21583</v>
      </c>
      <c r="G747" s="10" t="s">
        <v>20592</v>
      </c>
      <c r="H747" s="10" t="s">
        <v>974</v>
      </c>
      <c r="I747" s="10" t="s">
        <v>55</v>
      </c>
      <c r="K747" s="10" t="s">
        <v>21584</v>
      </c>
      <c r="L747" s="10" t="s">
        <v>42</v>
      </c>
    </row>
    <row r="748" ht="15.75" customHeight="1">
      <c r="A748" s="64">
        <v>45473.0</v>
      </c>
      <c r="B748" s="55" t="str">
        <f>HYPERLINK("https://jobright.ai/jobs/info/6681b1b8a8ba421aa220fd40?utm_campaign=1058&amp;utm_source=sheet", "Apply")</f>
        <v>Apply</v>
      </c>
      <c r="C748" s="10" t="s">
        <v>21581</v>
      </c>
      <c r="D748" s="56" t="s">
        <v>21582</v>
      </c>
      <c r="E748" s="10" t="s">
        <v>137</v>
      </c>
      <c r="F748" s="10" t="s">
        <v>21583</v>
      </c>
      <c r="G748" s="10" t="s">
        <v>20592</v>
      </c>
      <c r="H748" s="10" t="s">
        <v>505</v>
      </c>
      <c r="I748" s="10" t="s">
        <v>55</v>
      </c>
      <c r="K748" s="10" t="s">
        <v>21584</v>
      </c>
      <c r="L748" s="10" t="s">
        <v>42</v>
      </c>
    </row>
    <row r="749" ht="15.75" customHeight="1">
      <c r="A749" s="64">
        <v>45473.0</v>
      </c>
      <c r="B749" s="55" t="str">
        <f>HYPERLINK("https://jobright.ai/jobs/info/6681b1b8a8ba421aa220fd43?utm_campaign=1058&amp;utm_source=sheet", "Apply")</f>
        <v>Apply</v>
      </c>
      <c r="C749" s="10" t="s">
        <v>21581</v>
      </c>
      <c r="D749" s="56" t="s">
        <v>21582</v>
      </c>
      <c r="E749" s="10" t="s">
        <v>137</v>
      </c>
      <c r="F749" s="10" t="s">
        <v>21583</v>
      </c>
      <c r="G749" s="10" t="s">
        <v>20592</v>
      </c>
      <c r="H749" s="10" t="s">
        <v>762</v>
      </c>
      <c r="I749" s="10" t="s">
        <v>55</v>
      </c>
      <c r="K749" s="10" t="s">
        <v>21584</v>
      </c>
      <c r="L749" s="10" t="s">
        <v>42</v>
      </c>
    </row>
    <row r="750" ht="15.75" customHeight="1">
      <c r="A750" s="64">
        <v>45473.0</v>
      </c>
      <c r="B750" s="55" t="str">
        <f>HYPERLINK("https://jobright.ai/jobs/info/6681b1b8a8ba421aa220fd41?utm_campaign=1058&amp;utm_source=sheet", "Apply")</f>
        <v>Apply</v>
      </c>
      <c r="C750" s="10" t="s">
        <v>21581</v>
      </c>
      <c r="D750" s="56" t="s">
        <v>21582</v>
      </c>
      <c r="E750" s="10" t="s">
        <v>137</v>
      </c>
      <c r="F750" s="10" t="s">
        <v>21583</v>
      </c>
      <c r="G750" s="10" t="s">
        <v>20592</v>
      </c>
      <c r="H750" s="10" t="s">
        <v>950</v>
      </c>
      <c r="I750" s="10" t="s">
        <v>55</v>
      </c>
      <c r="K750" s="10" t="s">
        <v>21584</v>
      </c>
      <c r="L750" s="10" t="s">
        <v>42</v>
      </c>
    </row>
    <row r="751" ht="15.75" customHeight="1">
      <c r="A751" s="64">
        <v>45473.0</v>
      </c>
      <c r="B751" s="55" t="str">
        <f>HYPERLINK("https://jobright.ai/jobs/info/6681b1b8a8ba421aa220fd44?utm_campaign=1058&amp;utm_source=sheet", "Apply")</f>
        <v>Apply</v>
      </c>
      <c r="C751" s="10" t="s">
        <v>21581</v>
      </c>
      <c r="D751" s="56" t="s">
        <v>21582</v>
      </c>
      <c r="E751" s="10" t="s">
        <v>137</v>
      </c>
      <c r="F751" s="10" t="s">
        <v>21583</v>
      </c>
      <c r="G751" s="10" t="s">
        <v>20592</v>
      </c>
      <c r="H751" s="10" t="s">
        <v>901</v>
      </c>
      <c r="I751" s="10" t="s">
        <v>55</v>
      </c>
      <c r="K751" s="10" t="s">
        <v>21584</v>
      </c>
      <c r="L751" s="10" t="s">
        <v>42</v>
      </c>
    </row>
    <row r="752" ht="15.75" customHeight="1">
      <c r="A752" s="64">
        <v>45473.0</v>
      </c>
      <c r="B752" s="55" t="str">
        <f>HYPERLINK("https://jobright.ai/jobs/info/6681b1b8a8ba421aa220fd47?utm_campaign=1058&amp;utm_source=sheet", "Apply")</f>
        <v>Apply</v>
      </c>
      <c r="C752" s="10" t="s">
        <v>21581</v>
      </c>
      <c r="D752" s="56" t="s">
        <v>21582</v>
      </c>
      <c r="E752" s="10" t="s">
        <v>137</v>
      </c>
      <c r="F752" s="10" t="s">
        <v>21583</v>
      </c>
      <c r="G752" s="10" t="s">
        <v>20592</v>
      </c>
      <c r="H752" s="10" t="s">
        <v>605</v>
      </c>
      <c r="I752" s="10" t="s">
        <v>55</v>
      </c>
      <c r="K752" s="10" t="s">
        <v>21584</v>
      </c>
      <c r="L752" s="10" t="s">
        <v>42</v>
      </c>
    </row>
    <row r="753" ht="15.75" customHeight="1">
      <c r="A753" s="64">
        <v>45473.0</v>
      </c>
      <c r="B753" s="55" t="str">
        <f>HYPERLINK("https://jobright.ai/jobs/info/6681b1b8a8ba421aa220fd49?utm_campaign=1058&amp;utm_source=sheet", "Apply")</f>
        <v>Apply</v>
      </c>
      <c r="C753" s="10" t="s">
        <v>21581</v>
      </c>
      <c r="D753" s="56" t="s">
        <v>21582</v>
      </c>
      <c r="E753" s="10" t="s">
        <v>137</v>
      </c>
      <c r="F753" s="10" t="s">
        <v>21583</v>
      </c>
      <c r="G753" s="10" t="s">
        <v>20592</v>
      </c>
      <c r="H753" s="10" t="s">
        <v>1007</v>
      </c>
      <c r="I753" s="10" t="s">
        <v>55</v>
      </c>
      <c r="K753" s="10" t="s">
        <v>21584</v>
      </c>
      <c r="L753" s="10" t="s">
        <v>42</v>
      </c>
    </row>
    <row r="754" ht="15.75" customHeight="1">
      <c r="A754" s="64">
        <v>45473.0</v>
      </c>
      <c r="B754" s="55" t="str">
        <f>HYPERLINK("https://jobright.ai/jobs/info/6681b1b8a8ba421aa220fd52?utm_campaign=1058&amp;utm_source=sheet", "Apply")</f>
        <v>Apply</v>
      </c>
      <c r="C754" s="10" t="s">
        <v>21581</v>
      </c>
      <c r="D754" s="56" t="s">
        <v>21582</v>
      </c>
      <c r="E754" s="10" t="s">
        <v>137</v>
      </c>
      <c r="F754" s="10" t="s">
        <v>21583</v>
      </c>
      <c r="G754" s="10" t="s">
        <v>20592</v>
      </c>
      <c r="H754" s="10" t="s">
        <v>999</v>
      </c>
      <c r="I754" s="10" t="s">
        <v>55</v>
      </c>
      <c r="K754" s="10" t="s">
        <v>21584</v>
      </c>
      <c r="L754" s="10" t="s">
        <v>42</v>
      </c>
    </row>
    <row r="755" ht="15.75" customHeight="1">
      <c r="A755" s="64">
        <v>45473.0</v>
      </c>
      <c r="B755" s="55" t="str">
        <f>HYPERLINK("https://jobright.ai/jobs/info/6681b1b8a8ba421aa220fd4a?utm_campaign=1058&amp;utm_source=sheet", "Apply")</f>
        <v>Apply</v>
      </c>
      <c r="C755" s="10" t="s">
        <v>21581</v>
      </c>
      <c r="D755" s="56" t="s">
        <v>21582</v>
      </c>
      <c r="E755" s="10" t="s">
        <v>137</v>
      </c>
      <c r="F755" s="10" t="s">
        <v>21583</v>
      </c>
      <c r="G755" s="10" t="s">
        <v>20592</v>
      </c>
      <c r="H755" s="10" t="s">
        <v>965</v>
      </c>
      <c r="I755" s="10" t="s">
        <v>55</v>
      </c>
      <c r="K755" s="10" t="s">
        <v>21584</v>
      </c>
      <c r="L755" s="10" t="s">
        <v>42</v>
      </c>
    </row>
    <row r="756" ht="15.75" customHeight="1">
      <c r="A756" s="64">
        <v>45473.0</v>
      </c>
      <c r="B756" s="55" t="str">
        <f>HYPERLINK("https://jobright.ai/jobs/info/6681b1b8a8ba421aa220fd50?utm_campaign=1058&amp;utm_source=sheet", "Apply")</f>
        <v>Apply</v>
      </c>
      <c r="C756" s="10" t="s">
        <v>21581</v>
      </c>
      <c r="D756" s="56" t="s">
        <v>21582</v>
      </c>
      <c r="E756" s="10" t="s">
        <v>137</v>
      </c>
      <c r="F756" s="10" t="s">
        <v>21583</v>
      </c>
      <c r="G756" s="10" t="s">
        <v>20592</v>
      </c>
      <c r="H756" s="10" t="s">
        <v>1032</v>
      </c>
      <c r="I756" s="10" t="s">
        <v>55</v>
      </c>
      <c r="K756" s="10" t="s">
        <v>21584</v>
      </c>
      <c r="L756" s="10" t="s">
        <v>42</v>
      </c>
    </row>
    <row r="757" ht="15.75" customHeight="1">
      <c r="A757" s="64">
        <v>45473.0</v>
      </c>
      <c r="B757" s="55" t="str">
        <f>HYPERLINK("https://jobright.ai/jobs/info/6681b1b8a8ba421aa220fd4e?utm_campaign=1058&amp;utm_source=sheet", "Apply")</f>
        <v>Apply</v>
      </c>
      <c r="C757" s="10" t="s">
        <v>21581</v>
      </c>
      <c r="D757" s="56" t="s">
        <v>21582</v>
      </c>
      <c r="E757" s="10" t="s">
        <v>137</v>
      </c>
      <c r="F757" s="10" t="s">
        <v>21583</v>
      </c>
      <c r="G757" s="10" t="s">
        <v>20592</v>
      </c>
      <c r="H757" s="10" t="s">
        <v>139</v>
      </c>
      <c r="I757" s="10" t="s">
        <v>55</v>
      </c>
      <c r="K757" s="10" t="s">
        <v>21584</v>
      </c>
      <c r="L757" s="10" t="s">
        <v>42</v>
      </c>
    </row>
    <row r="758" ht="15.75" customHeight="1">
      <c r="A758" s="64">
        <v>45473.0</v>
      </c>
      <c r="B758" s="55" t="str">
        <f>HYPERLINK("https://jobright.ai/jobs/info/6681b1b8a8ba421aa220fd4b?utm_campaign=1058&amp;utm_source=sheet", "Apply")</f>
        <v>Apply</v>
      </c>
      <c r="C758" s="10" t="s">
        <v>21581</v>
      </c>
      <c r="D758" s="56" t="s">
        <v>21582</v>
      </c>
      <c r="E758" s="10" t="s">
        <v>137</v>
      </c>
      <c r="F758" s="10" t="s">
        <v>21583</v>
      </c>
      <c r="G758" s="10" t="s">
        <v>20592</v>
      </c>
      <c r="H758" s="10" t="s">
        <v>770</v>
      </c>
      <c r="I758" s="10" t="s">
        <v>55</v>
      </c>
      <c r="K758" s="10" t="s">
        <v>21584</v>
      </c>
      <c r="L758" s="10" t="s">
        <v>42</v>
      </c>
    </row>
    <row r="759" ht="15.75" customHeight="1">
      <c r="A759" s="64">
        <v>45473.0</v>
      </c>
      <c r="B759" s="55" t="str">
        <f>HYPERLINK("https://jobright.ai/jobs/info/6681b1b8a8ba421aa220fd4f?utm_campaign=1058&amp;utm_source=sheet", "Apply")</f>
        <v>Apply</v>
      </c>
      <c r="C759" s="10" t="s">
        <v>21581</v>
      </c>
      <c r="D759" s="56" t="s">
        <v>21582</v>
      </c>
      <c r="E759" s="10" t="s">
        <v>137</v>
      </c>
      <c r="F759" s="10" t="s">
        <v>21583</v>
      </c>
      <c r="G759" s="10" t="s">
        <v>20592</v>
      </c>
      <c r="H759" s="10" t="s">
        <v>152</v>
      </c>
      <c r="I759" s="10" t="s">
        <v>55</v>
      </c>
      <c r="K759" s="10" t="s">
        <v>21584</v>
      </c>
      <c r="L759" s="10" t="s">
        <v>42</v>
      </c>
    </row>
    <row r="760" ht="15.75" customHeight="1">
      <c r="A760" s="64">
        <v>45473.0</v>
      </c>
      <c r="B760" s="55" t="str">
        <f>HYPERLINK("https://jobright.ai/jobs/info/6681b1b8a8ba421aa220fd4c?utm_campaign=1058&amp;utm_source=sheet", "Apply")</f>
        <v>Apply</v>
      </c>
      <c r="C760" s="10" t="s">
        <v>21581</v>
      </c>
      <c r="D760" s="56" t="s">
        <v>21582</v>
      </c>
      <c r="E760" s="10" t="s">
        <v>137</v>
      </c>
      <c r="F760" s="10" t="s">
        <v>21583</v>
      </c>
      <c r="G760" s="10" t="s">
        <v>20592</v>
      </c>
      <c r="H760" s="10" t="s">
        <v>805</v>
      </c>
      <c r="I760" s="10" t="s">
        <v>55</v>
      </c>
      <c r="K760" s="10" t="s">
        <v>21584</v>
      </c>
      <c r="L760" s="10" t="s">
        <v>42</v>
      </c>
    </row>
    <row r="761" ht="15.75" customHeight="1">
      <c r="A761" s="64">
        <v>45473.0</v>
      </c>
      <c r="B761" s="55" t="str">
        <f>HYPERLINK("https://jobright.ai/jobs/info/6681b1b8a8ba421aa220fd4d?utm_campaign=1058&amp;utm_source=sheet", "Apply")</f>
        <v>Apply</v>
      </c>
      <c r="C761" s="10" t="s">
        <v>21581</v>
      </c>
      <c r="D761" s="56" t="s">
        <v>21582</v>
      </c>
      <c r="E761" s="10" t="s">
        <v>137</v>
      </c>
      <c r="F761" s="10" t="s">
        <v>21583</v>
      </c>
      <c r="G761" s="10" t="s">
        <v>20592</v>
      </c>
      <c r="H761" s="10" t="s">
        <v>1023</v>
      </c>
      <c r="I761" s="10" t="s">
        <v>55</v>
      </c>
      <c r="K761" s="10" t="s">
        <v>21584</v>
      </c>
      <c r="L761" s="10" t="s">
        <v>42</v>
      </c>
    </row>
    <row r="762" ht="15.75" customHeight="1">
      <c r="A762" s="64">
        <v>45473.0</v>
      </c>
      <c r="B762" s="55" t="str">
        <f>HYPERLINK("https://jobright.ai/jobs/info/6681b1b8a8ba421aa220fd51?utm_campaign=1058&amp;utm_source=sheet", "Apply")</f>
        <v>Apply</v>
      </c>
      <c r="C762" s="10" t="s">
        <v>21581</v>
      </c>
      <c r="D762" s="56" t="s">
        <v>21582</v>
      </c>
      <c r="E762" s="10" t="s">
        <v>137</v>
      </c>
      <c r="F762" s="10" t="s">
        <v>21583</v>
      </c>
      <c r="G762" s="10" t="s">
        <v>20592</v>
      </c>
      <c r="H762" s="10" t="s">
        <v>823</v>
      </c>
      <c r="I762" s="10" t="s">
        <v>55</v>
      </c>
      <c r="K762" s="10" t="s">
        <v>21584</v>
      </c>
      <c r="L762" s="10" t="s">
        <v>42</v>
      </c>
    </row>
    <row r="763" ht="15.75" customHeight="1">
      <c r="A763" s="64">
        <v>45473.0</v>
      </c>
      <c r="B763" s="55" t="str">
        <f>HYPERLINK("https://jobright.ai/jobs/info/6681b1b8a8ba421aa220fd57?utm_campaign=1058&amp;utm_source=sheet", "Apply")</f>
        <v>Apply</v>
      </c>
      <c r="C763" s="10" t="s">
        <v>21581</v>
      </c>
      <c r="D763" s="56" t="s">
        <v>21582</v>
      </c>
      <c r="E763" s="10" t="s">
        <v>137</v>
      </c>
      <c r="F763" s="10" t="s">
        <v>21583</v>
      </c>
      <c r="G763" s="10" t="s">
        <v>20592</v>
      </c>
      <c r="H763" s="10" t="s">
        <v>405</v>
      </c>
      <c r="I763" s="10" t="s">
        <v>55</v>
      </c>
      <c r="K763" s="10" t="s">
        <v>21584</v>
      </c>
      <c r="L763" s="10" t="s">
        <v>42</v>
      </c>
    </row>
    <row r="764" ht="15.75" customHeight="1">
      <c r="A764" s="64">
        <v>45473.0</v>
      </c>
      <c r="B764" s="55" t="str">
        <f>HYPERLINK("https://jobright.ai/jobs/info/6681b1b8a8ba421aa220fd53?utm_campaign=1058&amp;utm_source=sheet", "Apply")</f>
        <v>Apply</v>
      </c>
      <c r="C764" s="10" t="s">
        <v>21581</v>
      </c>
      <c r="D764" s="56" t="s">
        <v>21582</v>
      </c>
      <c r="E764" s="10" t="s">
        <v>137</v>
      </c>
      <c r="F764" s="10" t="s">
        <v>21583</v>
      </c>
      <c r="G764" s="10" t="s">
        <v>20592</v>
      </c>
      <c r="H764" s="10" t="s">
        <v>1013</v>
      </c>
      <c r="I764" s="10" t="s">
        <v>55</v>
      </c>
      <c r="K764" s="10" t="s">
        <v>21584</v>
      </c>
      <c r="L764" s="10" t="s">
        <v>42</v>
      </c>
    </row>
    <row r="765" ht="15.75" customHeight="1">
      <c r="A765" s="64">
        <v>45473.0</v>
      </c>
      <c r="B765" s="55" t="str">
        <f>HYPERLINK("https://jobright.ai/jobs/info/6681b1b8a8ba421aa220fd54?utm_campaign=1058&amp;utm_source=sheet", "Apply")</f>
        <v>Apply</v>
      </c>
      <c r="C765" s="10" t="s">
        <v>21581</v>
      </c>
      <c r="D765" s="56" t="s">
        <v>21582</v>
      </c>
      <c r="E765" s="10" t="s">
        <v>137</v>
      </c>
      <c r="F765" s="10" t="s">
        <v>21583</v>
      </c>
      <c r="G765" s="10" t="s">
        <v>20592</v>
      </c>
      <c r="H765" s="10" t="s">
        <v>882</v>
      </c>
      <c r="I765" s="10" t="s">
        <v>55</v>
      </c>
      <c r="K765" s="10" t="s">
        <v>21584</v>
      </c>
      <c r="L765" s="10" t="s">
        <v>42</v>
      </c>
    </row>
    <row r="766" ht="15.75" customHeight="1">
      <c r="A766" s="64">
        <v>45473.0</v>
      </c>
      <c r="B766" s="55" t="str">
        <f>HYPERLINK("https://jobright.ai/jobs/info/6681b1b8a8ba421aa220fd55?utm_campaign=1058&amp;utm_source=sheet", "Apply")</f>
        <v>Apply</v>
      </c>
      <c r="C766" s="10" t="s">
        <v>21581</v>
      </c>
      <c r="D766" s="56" t="s">
        <v>21582</v>
      </c>
      <c r="E766" s="10" t="s">
        <v>137</v>
      </c>
      <c r="F766" s="10" t="s">
        <v>21583</v>
      </c>
      <c r="G766" s="10" t="s">
        <v>20592</v>
      </c>
      <c r="H766" s="10" t="s">
        <v>764</v>
      </c>
      <c r="I766" s="10" t="s">
        <v>55</v>
      </c>
      <c r="K766" s="10" t="s">
        <v>21584</v>
      </c>
      <c r="L766" s="10" t="s">
        <v>42</v>
      </c>
    </row>
    <row r="767" ht="15.75" customHeight="1">
      <c r="A767" s="64">
        <v>45473.0</v>
      </c>
      <c r="B767" s="55" t="str">
        <f>HYPERLINK("https://jobright.ai/jobs/info/6681b1b8a8ba421aa220fd56?utm_campaign=1058&amp;utm_source=sheet", "Apply")</f>
        <v>Apply</v>
      </c>
      <c r="C767" s="10" t="s">
        <v>21581</v>
      </c>
      <c r="D767" s="56" t="s">
        <v>21582</v>
      </c>
      <c r="E767" s="10" t="s">
        <v>137</v>
      </c>
      <c r="F767" s="10" t="s">
        <v>21583</v>
      </c>
      <c r="G767" s="10" t="s">
        <v>20592</v>
      </c>
      <c r="H767" s="10" t="s">
        <v>919</v>
      </c>
      <c r="I767" s="10" t="s">
        <v>55</v>
      </c>
      <c r="K767" s="10" t="s">
        <v>21584</v>
      </c>
      <c r="L767" s="10" t="s">
        <v>42</v>
      </c>
    </row>
    <row r="768" ht="15.75" customHeight="1">
      <c r="A768" s="64">
        <v>45473.0</v>
      </c>
      <c r="B768" s="55" t="str">
        <f>HYPERLINK("https://jobright.ai/jobs/info/66824b76112a9108beba3bf3?utm_campaign=1058&amp;utm_source=sheet", "Apply")</f>
        <v>Apply</v>
      </c>
      <c r="C768" s="10" t="s">
        <v>21581</v>
      </c>
      <c r="D768" s="56" t="s">
        <v>21582</v>
      </c>
      <c r="E768" s="10" t="s">
        <v>137</v>
      </c>
      <c r="F768" s="10" t="s">
        <v>21583</v>
      </c>
      <c r="G768" s="10" t="s">
        <v>20592</v>
      </c>
      <c r="H768" s="10" t="s">
        <v>966</v>
      </c>
      <c r="I768" s="10" t="s">
        <v>55</v>
      </c>
      <c r="K768" s="10" t="s">
        <v>21584</v>
      </c>
      <c r="L768" s="10" t="s">
        <v>42</v>
      </c>
    </row>
    <row r="769" ht="15.75" customHeight="1">
      <c r="A769" s="64">
        <v>45473.0</v>
      </c>
      <c r="B769" s="55" t="str">
        <f>HYPERLINK("https://jobright.ai/jobs/info/66824b76112a9108beba3bf4?utm_campaign=1058&amp;utm_source=sheet", "Apply")</f>
        <v>Apply</v>
      </c>
      <c r="C769" s="10" t="s">
        <v>21581</v>
      </c>
      <c r="D769" s="56" t="s">
        <v>21582</v>
      </c>
      <c r="E769" s="10" t="s">
        <v>137</v>
      </c>
      <c r="F769" s="10" t="s">
        <v>21583</v>
      </c>
      <c r="G769" s="10" t="s">
        <v>20592</v>
      </c>
      <c r="H769" s="10" t="s">
        <v>708</v>
      </c>
      <c r="I769" s="10" t="s">
        <v>55</v>
      </c>
      <c r="K769" s="10" t="s">
        <v>21584</v>
      </c>
      <c r="L769" s="10" t="s">
        <v>42</v>
      </c>
    </row>
    <row r="770" ht="15.75" customHeight="1">
      <c r="A770" s="64">
        <v>45473.0</v>
      </c>
      <c r="B770" s="55" t="str">
        <f>HYPERLINK("https://jobright.ai/jobs/info/668296af2c48423eb5831fe6?utm_campaign=1058&amp;utm_source=sheet", "Apply")</f>
        <v>Apply</v>
      </c>
      <c r="C770" s="10" t="s">
        <v>21581</v>
      </c>
      <c r="D770" s="56" t="s">
        <v>21582</v>
      </c>
      <c r="E770" s="10" t="s">
        <v>137</v>
      </c>
      <c r="F770" s="10" t="s">
        <v>21583</v>
      </c>
      <c r="G770" s="10" t="s">
        <v>20592</v>
      </c>
      <c r="H770" s="10" t="s">
        <v>797</v>
      </c>
      <c r="I770" s="10" t="s">
        <v>55</v>
      </c>
      <c r="K770" s="10" t="s">
        <v>21584</v>
      </c>
      <c r="L770" s="10" t="s">
        <v>42</v>
      </c>
    </row>
    <row r="771" ht="15.75" customHeight="1">
      <c r="A771" s="64">
        <v>45473.0</v>
      </c>
      <c r="B771" s="55" t="str">
        <f>HYPERLINK("https://jobright.ai/jobs/info/6681d8f03769b4051db00b7e?utm_campaign=1058&amp;utm_source=sheet", "Apply")</f>
        <v>Apply</v>
      </c>
      <c r="C771" s="10" t="s">
        <v>21581</v>
      </c>
      <c r="D771" s="56" t="s">
        <v>21582</v>
      </c>
      <c r="E771" s="10" t="s">
        <v>137</v>
      </c>
      <c r="F771" s="10" t="s">
        <v>21583</v>
      </c>
      <c r="G771" s="10" t="s">
        <v>20592</v>
      </c>
      <c r="H771" s="10" t="s">
        <v>923</v>
      </c>
      <c r="I771" s="10" t="s">
        <v>55</v>
      </c>
      <c r="K771" s="10" t="s">
        <v>21584</v>
      </c>
      <c r="L771" s="10" t="s">
        <v>42</v>
      </c>
    </row>
    <row r="772" ht="15.75" customHeight="1">
      <c r="A772" s="64">
        <v>45473.0</v>
      </c>
      <c r="B772" s="55" t="str">
        <f>HYPERLINK("https://jobright.ai/jobs/info/6681d8f03769b4051db00b7d?utm_campaign=1058&amp;utm_source=sheet", "Apply")</f>
        <v>Apply</v>
      </c>
      <c r="C772" s="10" t="s">
        <v>21581</v>
      </c>
      <c r="D772" s="56" t="s">
        <v>21582</v>
      </c>
      <c r="E772" s="10" t="s">
        <v>137</v>
      </c>
      <c r="F772" s="10" t="s">
        <v>21583</v>
      </c>
      <c r="G772" s="10" t="s">
        <v>20592</v>
      </c>
      <c r="H772" s="10" t="s">
        <v>933</v>
      </c>
      <c r="I772" s="10" t="s">
        <v>55</v>
      </c>
      <c r="K772" s="10" t="s">
        <v>21584</v>
      </c>
      <c r="L772" s="10" t="s">
        <v>42</v>
      </c>
    </row>
    <row r="773" ht="15.75" customHeight="1">
      <c r="A773" s="64">
        <v>45473.0</v>
      </c>
      <c r="B773" s="55" t="str">
        <f>HYPERLINK("https://jobright.ai/jobs/info/6681d8f03769b4051db00b7f?utm_campaign=1058&amp;utm_source=sheet", "Apply")</f>
        <v>Apply</v>
      </c>
      <c r="C773" s="10" t="s">
        <v>21581</v>
      </c>
      <c r="D773" s="56" t="s">
        <v>21582</v>
      </c>
      <c r="E773" s="10" t="s">
        <v>137</v>
      </c>
      <c r="F773" s="10" t="s">
        <v>21583</v>
      </c>
      <c r="G773" s="10" t="s">
        <v>20592</v>
      </c>
      <c r="H773" s="10" t="s">
        <v>834</v>
      </c>
      <c r="I773" s="10" t="s">
        <v>55</v>
      </c>
      <c r="K773" s="10" t="s">
        <v>21584</v>
      </c>
      <c r="L773" s="10" t="s">
        <v>42</v>
      </c>
    </row>
    <row r="774" ht="15.75" customHeight="1">
      <c r="A774" s="64">
        <v>45473.0</v>
      </c>
      <c r="B774" s="55" t="str">
        <f>HYPERLINK("https://jobright.ai/jobs/info/6681d8f03769b4051db00b80?utm_campaign=1058&amp;utm_source=sheet", "Apply")</f>
        <v>Apply</v>
      </c>
      <c r="C774" s="10" t="s">
        <v>21581</v>
      </c>
      <c r="D774" s="56" t="s">
        <v>21582</v>
      </c>
      <c r="E774" s="10" t="s">
        <v>137</v>
      </c>
      <c r="F774" s="10" t="s">
        <v>21583</v>
      </c>
      <c r="G774" s="10" t="s">
        <v>20592</v>
      </c>
      <c r="H774" s="10" t="s">
        <v>1012</v>
      </c>
      <c r="I774" s="10" t="s">
        <v>55</v>
      </c>
      <c r="K774" s="10" t="s">
        <v>21584</v>
      </c>
      <c r="L774" s="10" t="s">
        <v>42</v>
      </c>
    </row>
    <row r="775" ht="15.75" customHeight="1">
      <c r="A775" s="64">
        <v>45473.0</v>
      </c>
      <c r="B775" s="55" t="str">
        <f>HYPERLINK("https://jobright.ai/jobs/info/6681d8f03769b4051db00b84?utm_campaign=1058&amp;utm_source=sheet", "Apply")</f>
        <v>Apply</v>
      </c>
      <c r="C775" s="10" t="s">
        <v>21581</v>
      </c>
      <c r="D775" s="56" t="s">
        <v>21582</v>
      </c>
      <c r="E775" s="10" t="s">
        <v>137</v>
      </c>
      <c r="F775" s="10" t="s">
        <v>21583</v>
      </c>
      <c r="G775" s="10" t="s">
        <v>20592</v>
      </c>
      <c r="H775" s="10" t="s">
        <v>836</v>
      </c>
      <c r="I775" s="10" t="s">
        <v>55</v>
      </c>
      <c r="K775" s="10" t="s">
        <v>21584</v>
      </c>
      <c r="L775" s="10" t="s">
        <v>42</v>
      </c>
    </row>
    <row r="776" ht="15.75" customHeight="1">
      <c r="A776" s="64">
        <v>45473.0</v>
      </c>
      <c r="B776" s="55" t="str">
        <f>HYPERLINK("https://jobright.ai/jobs/info/6681d8f03769b4051db00b82?utm_campaign=1058&amp;utm_source=sheet", "Apply")</f>
        <v>Apply</v>
      </c>
      <c r="C776" s="10" t="s">
        <v>21581</v>
      </c>
      <c r="D776" s="56" t="s">
        <v>21582</v>
      </c>
      <c r="E776" s="10" t="s">
        <v>137</v>
      </c>
      <c r="F776" s="10" t="s">
        <v>21583</v>
      </c>
      <c r="G776" s="10" t="s">
        <v>20592</v>
      </c>
      <c r="H776" s="10" t="s">
        <v>106</v>
      </c>
      <c r="I776" s="10" t="s">
        <v>55</v>
      </c>
      <c r="K776" s="10" t="s">
        <v>21584</v>
      </c>
      <c r="L776" s="10" t="s">
        <v>42</v>
      </c>
    </row>
    <row r="777" ht="15.75" customHeight="1">
      <c r="A777" s="64">
        <v>45473.0</v>
      </c>
      <c r="B777" s="55" t="str">
        <f>HYPERLINK("https://jobright.ai/jobs/info/6681d8f03769b4051db00b83?utm_campaign=1058&amp;utm_source=sheet", "Apply")</f>
        <v>Apply</v>
      </c>
      <c r="C777" s="10" t="s">
        <v>21581</v>
      </c>
      <c r="D777" s="56" t="s">
        <v>21582</v>
      </c>
      <c r="E777" s="10" t="s">
        <v>137</v>
      </c>
      <c r="F777" s="10" t="s">
        <v>21583</v>
      </c>
      <c r="G777" s="10" t="s">
        <v>20592</v>
      </c>
      <c r="H777" s="10" t="s">
        <v>1003</v>
      </c>
      <c r="I777" s="10" t="s">
        <v>55</v>
      </c>
      <c r="K777" s="10" t="s">
        <v>21584</v>
      </c>
      <c r="L777" s="10" t="s">
        <v>42</v>
      </c>
    </row>
    <row r="778" ht="15.75" customHeight="1">
      <c r="A778" s="64">
        <v>45473.0</v>
      </c>
      <c r="B778" s="55" t="str">
        <f>HYPERLINK("https://jobright.ai/jobs/info/6681d8f03769b4051db00b81?utm_campaign=1058&amp;utm_source=sheet", "Apply")</f>
        <v>Apply</v>
      </c>
      <c r="C778" s="10" t="s">
        <v>21581</v>
      </c>
      <c r="D778" s="56" t="s">
        <v>21582</v>
      </c>
      <c r="E778" s="10" t="s">
        <v>137</v>
      </c>
      <c r="F778" s="10" t="s">
        <v>21583</v>
      </c>
      <c r="G778" s="10" t="s">
        <v>20592</v>
      </c>
      <c r="H778" s="10" t="s">
        <v>886</v>
      </c>
      <c r="I778" s="10" t="s">
        <v>55</v>
      </c>
      <c r="K778" s="10" t="s">
        <v>21584</v>
      </c>
      <c r="L778" s="10" t="s">
        <v>42</v>
      </c>
    </row>
    <row r="779" ht="15.75" customHeight="1">
      <c r="A779" s="64">
        <v>45473.0</v>
      </c>
      <c r="B779" s="55" t="str">
        <f>HYPERLINK("https://jobright.ai/jobs/info/6681d8f03769b4051db00b86?utm_campaign=1058&amp;utm_source=sheet", "Apply")</f>
        <v>Apply</v>
      </c>
      <c r="C779" s="10" t="s">
        <v>21581</v>
      </c>
      <c r="D779" s="56" t="s">
        <v>21582</v>
      </c>
      <c r="E779" s="10" t="s">
        <v>137</v>
      </c>
      <c r="F779" s="10" t="s">
        <v>21583</v>
      </c>
      <c r="G779" s="10" t="s">
        <v>20592</v>
      </c>
      <c r="H779" s="10" t="s">
        <v>808</v>
      </c>
      <c r="I779" s="10" t="s">
        <v>55</v>
      </c>
      <c r="K779" s="10" t="s">
        <v>21584</v>
      </c>
      <c r="L779" s="10" t="s">
        <v>42</v>
      </c>
    </row>
    <row r="780" ht="15.75" customHeight="1">
      <c r="A780" s="64">
        <v>45473.0</v>
      </c>
      <c r="B780" s="55" t="str">
        <f>HYPERLINK("https://jobright.ai/jobs/info/6681d8f03769b4051db00b88?utm_campaign=1058&amp;utm_source=sheet", "Apply")</f>
        <v>Apply</v>
      </c>
      <c r="C780" s="10" t="s">
        <v>21581</v>
      </c>
      <c r="D780" s="56" t="s">
        <v>21582</v>
      </c>
      <c r="E780" s="10" t="s">
        <v>137</v>
      </c>
      <c r="F780" s="10" t="s">
        <v>21583</v>
      </c>
      <c r="G780" s="10" t="s">
        <v>20592</v>
      </c>
      <c r="H780" s="10" t="s">
        <v>936</v>
      </c>
      <c r="I780" s="10" t="s">
        <v>55</v>
      </c>
      <c r="K780" s="10" t="s">
        <v>21584</v>
      </c>
      <c r="L780" s="10" t="s">
        <v>42</v>
      </c>
    </row>
    <row r="781" ht="15.75" customHeight="1">
      <c r="A781" s="64">
        <v>45473.0</v>
      </c>
      <c r="B781" s="55" t="str">
        <f>HYPERLINK("https://jobright.ai/jobs/info/6681d8f03769b4051db00b91?utm_campaign=1058&amp;utm_source=sheet", "Apply")</f>
        <v>Apply</v>
      </c>
      <c r="C781" s="10" t="s">
        <v>21581</v>
      </c>
      <c r="D781" s="56" t="s">
        <v>21582</v>
      </c>
      <c r="E781" s="10" t="s">
        <v>137</v>
      </c>
      <c r="F781" s="10" t="s">
        <v>21583</v>
      </c>
      <c r="G781" s="10" t="s">
        <v>20592</v>
      </c>
      <c r="H781" s="10" t="s">
        <v>986</v>
      </c>
      <c r="I781" s="10" t="s">
        <v>55</v>
      </c>
      <c r="K781" s="10" t="s">
        <v>21584</v>
      </c>
      <c r="L781" s="10" t="s">
        <v>42</v>
      </c>
    </row>
    <row r="782" ht="15.75" customHeight="1">
      <c r="A782" s="64">
        <v>45473.0</v>
      </c>
      <c r="B782" s="55" t="str">
        <f>HYPERLINK("https://jobright.ai/jobs/info/6681d8f03769b4051db00b87?utm_campaign=1058&amp;utm_source=sheet", "Apply")</f>
        <v>Apply</v>
      </c>
      <c r="C782" s="10" t="s">
        <v>21581</v>
      </c>
      <c r="D782" s="56" t="s">
        <v>21582</v>
      </c>
      <c r="E782" s="10" t="s">
        <v>137</v>
      </c>
      <c r="F782" s="10" t="s">
        <v>21583</v>
      </c>
      <c r="G782" s="10" t="s">
        <v>20592</v>
      </c>
      <c r="H782" s="10" t="s">
        <v>738</v>
      </c>
      <c r="I782" s="10" t="s">
        <v>55</v>
      </c>
      <c r="K782" s="10" t="s">
        <v>21584</v>
      </c>
      <c r="L782" s="10" t="s">
        <v>42</v>
      </c>
    </row>
    <row r="783" ht="15.75" customHeight="1">
      <c r="A783" s="64">
        <v>45473.0</v>
      </c>
      <c r="B783" s="55" t="str">
        <f>HYPERLINK("https://jobright.ai/jobs/info/6681d8f03769b4051db00b8e?utm_campaign=1058&amp;utm_source=sheet", "Apply")</f>
        <v>Apply</v>
      </c>
      <c r="C783" s="10" t="s">
        <v>21581</v>
      </c>
      <c r="D783" s="56" t="s">
        <v>21582</v>
      </c>
      <c r="E783" s="10" t="s">
        <v>137</v>
      </c>
      <c r="F783" s="10" t="s">
        <v>21583</v>
      </c>
      <c r="G783" s="10" t="s">
        <v>20592</v>
      </c>
      <c r="H783" s="10" t="s">
        <v>879</v>
      </c>
      <c r="I783" s="10" t="s">
        <v>55</v>
      </c>
      <c r="K783" s="10" t="s">
        <v>21584</v>
      </c>
      <c r="L783" s="10" t="s">
        <v>42</v>
      </c>
    </row>
    <row r="784" ht="15.75" customHeight="1">
      <c r="A784" s="64">
        <v>45473.0</v>
      </c>
      <c r="B784" s="55" t="str">
        <f>HYPERLINK("https://jobright.ai/jobs/info/6681d8f03769b4051db00b92?utm_campaign=1058&amp;utm_source=sheet", "Apply")</f>
        <v>Apply</v>
      </c>
      <c r="C784" s="10" t="s">
        <v>21581</v>
      </c>
      <c r="D784" s="56" t="s">
        <v>21582</v>
      </c>
      <c r="E784" s="10" t="s">
        <v>137</v>
      </c>
      <c r="F784" s="10" t="s">
        <v>21583</v>
      </c>
      <c r="G784" s="10" t="s">
        <v>20592</v>
      </c>
      <c r="H784" s="10" t="s">
        <v>897</v>
      </c>
      <c r="I784" s="10" t="s">
        <v>55</v>
      </c>
      <c r="K784" s="10" t="s">
        <v>21584</v>
      </c>
      <c r="L784" s="10" t="s">
        <v>42</v>
      </c>
    </row>
    <row r="785" ht="15.75" customHeight="1">
      <c r="A785" s="64">
        <v>45473.0</v>
      </c>
      <c r="B785" s="55" t="str">
        <f>HYPERLINK("https://jobright.ai/jobs/info/6681d8f03769b4051db00b8d?utm_campaign=1058&amp;utm_source=sheet", "Apply")</f>
        <v>Apply</v>
      </c>
      <c r="C785" s="10" t="s">
        <v>21581</v>
      </c>
      <c r="D785" s="56" t="s">
        <v>21582</v>
      </c>
      <c r="E785" s="10" t="s">
        <v>137</v>
      </c>
      <c r="F785" s="10" t="s">
        <v>21583</v>
      </c>
      <c r="G785" s="10" t="s">
        <v>20592</v>
      </c>
      <c r="H785" s="10" t="s">
        <v>859</v>
      </c>
      <c r="I785" s="10" t="s">
        <v>55</v>
      </c>
      <c r="K785" s="10" t="s">
        <v>21584</v>
      </c>
      <c r="L785" s="10" t="s">
        <v>42</v>
      </c>
    </row>
    <row r="786" ht="15.75" customHeight="1">
      <c r="A786" s="64">
        <v>45473.0</v>
      </c>
      <c r="B786" s="55" t="str">
        <f>HYPERLINK("https://jobright.ai/jobs/info/6681d8f03769b4051db00b85?utm_campaign=1058&amp;utm_source=sheet", "Apply")</f>
        <v>Apply</v>
      </c>
      <c r="C786" s="10" t="s">
        <v>21581</v>
      </c>
      <c r="D786" s="56" t="s">
        <v>21582</v>
      </c>
      <c r="E786" s="10" t="s">
        <v>137</v>
      </c>
      <c r="F786" s="10" t="s">
        <v>21583</v>
      </c>
      <c r="G786" s="10" t="s">
        <v>20592</v>
      </c>
      <c r="H786" s="10" t="s">
        <v>870</v>
      </c>
      <c r="I786" s="10" t="s">
        <v>55</v>
      </c>
      <c r="K786" s="10" t="s">
        <v>21584</v>
      </c>
      <c r="L786" s="10" t="s">
        <v>42</v>
      </c>
    </row>
    <row r="787" ht="15.75" customHeight="1">
      <c r="A787" s="64">
        <v>45473.0</v>
      </c>
      <c r="B787" s="55" t="str">
        <f>HYPERLINK("https://jobright.ai/jobs/info/6681d8f03769b4051db00b8f?utm_campaign=1058&amp;utm_source=sheet", "Apply")</f>
        <v>Apply</v>
      </c>
      <c r="C787" s="10" t="s">
        <v>21581</v>
      </c>
      <c r="D787" s="56" t="s">
        <v>21582</v>
      </c>
      <c r="E787" s="10" t="s">
        <v>137</v>
      </c>
      <c r="F787" s="10" t="s">
        <v>21583</v>
      </c>
      <c r="G787" s="10" t="s">
        <v>20592</v>
      </c>
      <c r="H787" s="10" t="s">
        <v>849</v>
      </c>
      <c r="I787" s="10" t="s">
        <v>55</v>
      </c>
      <c r="K787" s="10" t="s">
        <v>21584</v>
      </c>
      <c r="L787" s="10" t="s">
        <v>42</v>
      </c>
    </row>
    <row r="788" ht="15.75" customHeight="1">
      <c r="A788" s="64">
        <v>45473.0</v>
      </c>
      <c r="B788" s="55" t="str">
        <f>HYPERLINK("https://jobright.ai/jobs/info/6681d8f03769b4051db00b8c?utm_campaign=1058&amp;utm_source=sheet", "Apply")</f>
        <v>Apply</v>
      </c>
      <c r="C788" s="10" t="s">
        <v>21581</v>
      </c>
      <c r="D788" s="56" t="s">
        <v>21582</v>
      </c>
      <c r="E788" s="10" t="s">
        <v>137</v>
      </c>
      <c r="F788" s="10" t="s">
        <v>21583</v>
      </c>
      <c r="G788" s="10" t="s">
        <v>20592</v>
      </c>
      <c r="H788" s="10" t="s">
        <v>757</v>
      </c>
      <c r="I788" s="10" t="s">
        <v>55</v>
      </c>
      <c r="K788" s="10" t="s">
        <v>21584</v>
      </c>
      <c r="L788" s="10" t="s">
        <v>42</v>
      </c>
    </row>
    <row r="789" ht="15.75" customHeight="1">
      <c r="A789" s="64">
        <v>45473.0</v>
      </c>
      <c r="B789" s="55" t="str">
        <f>HYPERLINK("https://jobright.ai/jobs/info/6681d8f03769b4051db00b90?utm_campaign=1058&amp;utm_source=sheet", "Apply")</f>
        <v>Apply</v>
      </c>
      <c r="C789" s="10" t="s">
        <v>21581</v>
      </c>
      <c r="D789" s="56" t="s">
        <v>21582</v>
      </c>
      <c r="E789" s="10" t="s">
        <v>137</v>
      </c>
      <c r="F789" s="10" t="s">
        <v>21583</v>
      </c>
      <c r="G789" s="10" t="s">
        <v>20592</v>
      </c>
      <c r="H789" s="10" t="s">
        <v>1020</v>
      </c>
      <c r="I789" s="10" t="s">
        <v>55</v>
      </c>
      <c r="K789" s="10" t="s">
        <v>21584</v>
      </c>
      <c r="L789" s="10" t="s">
        <v>42</v>
      </c>
    </row>
    <row r="790" ht="15.75" customHeight="1">
      <c r="A790" s="64">
        <v>45473.0</v>
      </c>
      <c r="B790" s="55" t="str">
        <f>HYPERLINK("https://jobright.ai/jobs/info/6681d8f03769b4051db00b8b?utm_campaign=1058&amp;utm_source=sheet", "Apply")</f>
        <v>Apply</v>
      </c>
      <c r="C790" s="10" t="s">
        <v>21581</v>
      </c>
      <c r="D790" s="56" t="s">
        <v>21582</v>
      </c>
      <c r="E790" s="10" t="s">
        <v>137</v>
      </c>
      <c r="F790" s="10" t="s">
        <v>21583</v>
      </c>
      <c r="G790" s="10" t="s">
        <v>20592</v>
      </c>
      <c r="H790" s="10" t="s">
        <v>1028</v>
      </c>
      <c r="I790" s="10" t="s">
        <v>55</v>
      </c>
      <c r="K790" s="10" t="s">
        <v>21584</v>
      </c>
      <c r="L790" s="10" t="s">
        <v>42</v>
      </c>
    </row>
    <row r="791" ht="15.75" customHeight="1">
      <c r="A791" s="64">
        <v>45473.0</v>
      </c>
      <c r="B791" s="55" t="str">
        <f>HYPERLINK("https://jobright.ai/jobs/info/6681d8f03769b4051db00b89?utm_campaign=1058&amp;utm_source=sheet", "Apply")</f>
        <v>Apply</v>
      </c>
      <c r="C791" s="10" t="s">
        <v>21581</v>
      </c>
      <c r="D791" s="56" t="s">
        <v>21582</v>
      </c>
      <c r="E791" s="10" t="s">
        <v>137</v>
      </c>
      <c r="F791" s="10" t="s">
        <v>21583</v>
      </c>
      <c r="G791" s="10" t="s">
        <v>20592</v>
      </c>
      <c r="H791" s="10" t="s">
        <v>801</v>
      </c>
      <c r="I791" s="10" t="s">
        <v>55</v>
      </c>
      <c r="K791" s="10" t="s">
        <v>21584</v>
      </c>
      <c r="L791" s="10" t="s">
        <v>42</v>
      </c>
    </row>
    <row r="792" ht="15.75" customHeight="1">
      <c r="A792" s="64">
        <v>45473.0</v>
      </c>
      <c r="B792" s="55" t="str">
        <f>HYPERLINK("https://jobright.ai/jobs/info/6681d8f03769b4051db00b8a?utm_campaign=1058&amp;utm_source=sheet", "Apply")</f>
        <v>Apply</v>
      </c>
      <c r="C792" s="10" t="s">
        <v>21581</v>
      </c>
      <c r="D792" s="56" t="s">
        <v>21582</v>
      </c>
      <c r="E792" s="10" t="s">
        <v>137</v>
      </c>
      <c r="F792" s="10" t="s">
        <v>21583</v>
      </c>
      <c r="G792" s="10" t="s">
        <v>20592</v>
      </c>
      <c r="H792" s="10" t="s">
        <v>917</v>
      </c>
      <c r="I792" s="10" t="s">
        <v>55</v>
      </c>
      <c r="K792" s="10" t="s">
        <v>21584</v>
      </c>
      <c r="L792" s="10" t="s">
        <v>42</v>
      </c>
    </row>
    <row r="793" ht="15.75" customHeight="1">
      <c r="A793" s="64">
        <v>45473.0</v>
      </c>
      <c r="B793" s="55" t="str">
        <f>HYPERLINK("https://jobright.ai/jobs/info/6681d8f03769b4051db00b96?utm_campaign=1058&amp;utm_source=sheet", "Apply")</f>
        <v>Apply</v>
      </c>
      <c r="C793" s="10" t="s">
        <v>21581</v>
      </c>
      <c r="D793" s="56" t="s">
        <v>21582</v>
      </c>
      <c r="E793" s="10" t="s">
        <v>137</v>
      </c>
      <c r="F793" s="10" t="s">
        <v>21583</v>
      </c>
      <c r="G793" s="10" t="s">
        <v>20592</v>
      </c>
      <c r="H793" s="10" t="s">
        <v>914</v>
      </c>
      <c r="I793" s="10" t="s">
        <v>55</v>
      </c>
      <c r="K793" s="10" t="s">
        <v>21584</v>
      </c>
      <c r="L793" s="10" t="s">
        <v>42</v>
      </c>
    </row>
    <row r="794" ht="15.75" customHeight="1">
      <c r="A794" s="64">
        <v>45473.0</v>
      </c>
      <c r="B794" s="55" t="str">
        <f>HYPERLINK("https://jobright.ai/jobs/info/6681d8f03769b4051db00b93?utm_campaign=1058&amp;utm_source=sheet", "Apply")</f>
        <v>Apply</v>
      </c>
      <c r="C794" s="10" t="s">
        <v>21581</v>
      </c>
      <c r="D794" s="56" t="s">
        <v>21582</v>
      </c>
      <c r="E794" s="10" t="s">
        <v>137</v>
      </c>
      <c r="F794" s="10" t="s">
        <v>21583</v>
      </c>
      <c r="G794" s="10" t="s">
        <v>20592</v>
      </c>
      <c r="H794" s="10" t="s">
        <v>767</v>
      </c>
      <c r="I794" s="10" t="s">
        <v>55</v>
      </c>
      <c r="K794" s="10" t="s">
        <v>21584</v>
      </c>
      <c r="L794" s="10" t="s">
        <v>42</v>
      </c>
    </row>
    <row r="795" ht="15.75" customHeight="1">
      <c r="A795" s="64">
        <v>45473.0</v>
      </c>
      <c r="B795" s="55" t="str">
        <f>HYPERLINK("https://jobright.ai/jobs/info/6681d8f03769b4051db00b97?utm_campaign=1058&amp;utm_source=sheet", "Apply")</f>
        <v>Apply</v>
      </c>
      <c r="C795" s="10" t="s">
        <v>21581</v>
      </c>
      <c r="D795" s="56" t="s">
        <v>21582</v>
      </c>
      <c r="E795" s="10" t="s">
        <v>137</v>
      </c>
      <c r="F795" s="10" t="s">
        <v>21583</v>
      </c>
      <c r="G795" s="10" t="s">
        <v>20592</v>
      </c>
      <c r="H795" s="10" t="s">
        <v>864</v>
      </c>
      <c r="I795" s="10" t="s">
        <v>55</v>
      </c>
      <c r="K795" s="10" t="s">
        <v>21584</v>
      </c>
      <c r="L795" s="10" t="s">
        <v>42</v>
      </c>
    </row>
    <row r="796" ht="15.75" customHeight="1">
      <c r="A796" s="64">
        <v>45473.0</v>
      </c>
      <c r="B796" s="55" t="str">
        <f>HYPERLINK("https://jobright.ai/jobs/info/6681d8f03769b4051db00b98?utm_campaign=1058&amp;utm_source=sheet", "Apply")</f>
        <v>Apply</v>
      </c>
      <c r="C796" s="10" t="s">
        <v>21581</v>
      </c>
      <c r="D796" s="56" t="s">
        <v>21582</v>
      </c>
      <c r="E796" s="10" t="s">
        <v>137</v>
      </c>
      <c r="F796" s="10" t="s">
        <v>21583</v>
      </c>
      <c r="G796" s="10" t="s">
        <v>20592</v>
      </c>
      <c r="H796" s="10" t="s">
        <v>840</v>
      </c>
      <c r="I796" s="10" t="s">
        <v>55</v>
      </c>
      <c r="K796" s="10" t="s">
        <v>21584</v>
      </c>
      <c r="L796" s="10" t="s">
        <v>42</v>
      </c>
    </row>
    <row r="797" ht="15.75" customHeight="1">
      <c r="A797" s="64">
        <v>45473.0</v>
      </c>
      <c r="B797" s="55" t="str">
        <f>HYPERLINK("https://jobright.ai/jobs/info/6681d8f03769b4051db00b99?utm_campaign=1058&amp;utm_source=sheet", "Apply")</f>
        <v>Apply</v>
      </c>
      <c r="C797" s="10" t="s">
        <v>21581</v>
      </c>
      <c r="D797" s="56" t="s">
        <v>21582</v>
      </c>
      <c r="E797" s="10" t="s">
        <v>137</v>
      </c>
      <c r="F797" s="10" t="s">
        <v>21583</v>
      </c>
      <c r="G797" s="10" t="s">
        <v>20592</v>
      </c>
      <c r="H797" s="10" t="s">
        <v>793</v>
      </c>
      <c r="I797" s="10" t="s">
        <v>55</v>
      </c>
      <c r="K797" s="10" t="s">
        <v>21584</v>
      </c>
      <c r="L797" s="10" t="s">
        <v>42</v>
      </c>
    </row>
    <row r="798" ht="15.75" customHeight="1">
      <c r="A798" s="64">
        <v>45473.0</v>
      </c>
      <c r="B798" s="55" t="str">
        <f>HYPERLINK("https://jobright.ai/jobs/info/6681d8f03769b4051db00b94?utm_campaign=1058&amp;utm_source=sheet", "Apply")</f>
        <v>Apply</v>
      </c>
      <c r="C798" s="10" t="s">
        <v>21581</v>
      </c>
      <c r="D798" s="56" t="s">
        <v>21582</v>
      </c>
      <c r="E798" s="10" t="s">
        <v>137</v>
      </c>
      <c r="F798" s="10" t="s">
        <v>21583</v>
      </c>
      <c r="G798" s="10" t="s">
        <v>20592</v>
      </c>
      <c r="H798" s="10" t="s">
        <v>938</v>
      </c>
      <c r="I798" s="10" t="s">
        <v>55</v>
      </c>
      <c r="K798" s="10" t="s">
        <v>21584</v>
      </c>
      <c r="L798" s="10" t="s">
        <v>42</v>
      </c>
    </row>
    <row r="799" ht="15.75" customHeight="1">
      <c r="A799" s="64">
        <v>45473.0</v>
      </c>
      <c r="B799" s="55" t="str">
        <f>HYPERLINK("https://jobright.ai/jobs/info/6681d8f03769b4051db00b95?utm_campaign=1058&amp;utm_source=sheet", "Apply")</f>
        <v>Apply</v>
      </c>
      <c r="C799" s="10" t="s">
        <v>21581</v>
      </c>
      <c r="D799" s="56" t="s">
        <v>21582</v>
      </c>
      <c r="E799" s="10" t="s">
        <v>137</v>
      </c>
      <c r="F799" s="10" t="s">
        <v>21583</v>
      </c>
      <c r="G799" s="10" t="s">
        <v>20592</v>
      </c>
      <c r="H799" s="10" t="s">
        <v>837</v>
      </c>
      <c r="I799" s="10" t="s">
        <v>55</v>
      </c>
      <c r="K799" s="10" t="s">
        <v>21584</v>
      </c>
      <c r="L799" s="10" t="s">
        <v>42</v>
      </c>
    </row>
    <row r="800" ht="15.75" customHeight="1">
      <c r="A800" s="64">
        <v>45473.0</v>
      </c>
      <c r="B800" s="55" t="str">
        <f>HYPERLINK("https://jobright.ai/jobs/info/6681a974127400923c6621cc?utm_campaign=1058&amp;utm_source=sheet", "Apply")</f>
        <v>Apply</v>
      </c>
      <c r="C800" s="10" t="s">
        <v>21581</v>
      </c>
      <c r="D800" s="56" t="s">
        <v>21582</v>
      </c>
      <c r="E800" s="10" t="s">
        <v>137</v>
      </c>
      <c r="F800" s="10" t="s">
        <v>21583</v>
      </c>
      <c r="G800" s="10" t="s">
        <v>20592</v>
      </c>
      <c r="H800" s="10" t="s">
        <v>992</v>
      </c>
      <c r="I800" s="10" t="s">
        <v>55</v>
      </c>
      <c r="K800" s="10" t="s">
        <v>21584</v>
      </c>
      <c r="L800" s="10" t="s">
        <v>42</v>
      </c>
    </row>
    <row r="801" ht="15.75" customHeight="1">
      <c r="A801" s="64">
        <v>45473.0</v>
      </c>
      <c r="B801" s="55" t="str">
        <f>HYPERLINK("https://jobright.ai/jobs/info/6681a974127400923c6621ce?utm_campaign=1058&amp;utm_source=sheet", "Apply")</f>
        <v>Apply</v>
      </c>
      <c r="C801" s="10" t="s">
        <v>21581</v>
      </c>
      <c r="D801" s="56" t="s">
        <v>21582</v>
      </c>
      <c r="E801" s="10" t="s">
        <v>137</v>
      </c>
      <c r="F801" s="10" t="s">
        <v>21583</v>
      </c>
      <c r="G801" s="10" t="s">
        <v>20592</v>
      </c>
      <c r="H801" s="10" t="s">
        <v>769</v>
      </c>
      <c r="I801" s="10" t="s">
        <v>55</v>
      </c>
      <c r="K801" s="10" t="s">
        <v>21584</v>
      </c>
      <c r="L801" s="10" t="s">
        <v>42</v>
      </c>
    </row>
    <row r="802" ht="15.75" customHeight="1">
      <c r="A802" s="64">
        <v>45473.0</v>
      </c>
      <c r="B802" s="55" t="str">
        <f>HYPERLINK("https://jobright.ai/jobs/info/6681a974127400923c6621cd?utm_campaign=1058&amp;utm_source=sheet", "Apply")</f>
        <v>Apply</v>
      </c>
      <c r="C802" s="10" t="s">
        <v>21581</v>
      </c>
      <c r="D802" s="56" t="s">
        <v>21582</v>
      </c>
      <c r="E802" s="10" t="s">
        <v>137</v>
      </c>
      <c r="F802" s="10" t="s">
        <v>21583</v>
      </c>
      <c r="G802" s="10" t="s">
        <v>20592</v>
      </c>
      <c r="H802" s="10" t="s">
        <v>802</v>
      </c>
      <c r="I802" s="10" t="s">
        <v>55</v>
      </c>
      <c r="K802" s="10" t="s">
        <v>21584</v>
      </c>
      <c r="L802" s="10" t="s">
        <v>42</v>
      </c>
    </row>
    <row r="803" ht="15.75" customHeight="1">
      <c r="A803" s="64">
        <v>45473.0</v>
      </c>
      <c r="B803" s="55" t="str">
        <f>HYPERLINK("https://jobright.ai/jobs/info/6681a974127400923c6621d2?utm_campaign=1058&amp;utm_source=sheet", "Apply")</f>
        <v>Apply</v>
      </c>
      <c r="C803" s="10" t="s">
        <v>21581</v>
      </c>
      <c r="D803" s="56" t="s">
        <v>21582</v>
      </c>
      <c r="E803" s="10" t="s">
        <v>137</v>
      </c>
      <c r="F803" s="10" t="s">
        <v>21583</v>
      </c>
      <c r="G803" s="10" t="s">
        <v>20592</v>
      </c>
      <c r="H803" s="10" t="s">
        <v>857</v>
      </c>
      <c r="I803" s="10" t="s">
        <v>55</v>
      </c>
      <c r="K803" s="10" t="s">
        <v>21584</v>
      </c>
      <c r="L803" s="10" t="s">
        <v>42</v>
      </c>
    </row>
    <row r="804" ht="15.75" customHeight="1">
      <c r="A804" s="64">
        <v>45473.0</v>
      </c>
      <c r="B804" s="55" t="str">
        <f>HYPERLINK("https://jobright.ai/jobs/info/6681a974127400923c6621cf?utm_campaign=1058&amp;utm_source=sheet", "Apply")</f>
        <v>Apply</v>
      </c>
      <c r="C804" s="10" t="s">
        <v>21581</v>
      </c>
      <c r="D804" s="56" t="s">
        <v>21582</v>
      </c>
      <c r="E804" s="10" t="s">
        <v>137</v>
      </c>
      <c r="F804" s="10" t="s">
        <v>21583</v>
      </c>
      <c r="G804" s="10" t="s">
        <v>20592</v>
      </c>
      <c r="H804" s="10" t="s">
        <v>909</v>
      </c>
      <c r="I804" s="10" t="s">
        <v>55</v>
      </c>
      <c r="K804" s="10" t="s">
        <v>21584</v>
      </c>
      <c r="L804" s="10" t="s">
        <v>42</v>
      </c>
    </row>
    <row r="805" ht="15.75" customHeight="1">
      <c r="A805" s="64">
        <v>45473.0</v>
      </c>
      <c r="B805" s="55" t="str">
        <f>HYPERLINK("https://jobright.ai/jobs/info/6681a974127400923c6621d0?utm_campaign=1058&amp;utm_source=sheet", "Apply")</f>
        <v>Apply</v>
      </c>
      <c r="C805" s="10" t="s">
        <v>21581</v>
      </c>
      <c r="D805" s="56" t="s">
        <v>21582</v>
      </c>
      <c r="E805" s="10" t="s">
        <v>137</v>
      </c>
      <c r="F805" s="10" t="s">
        <v>21583</v>
      </c>
      <c r="G805" s="10" t="s">
        <v>20592</v>
      </c>
      <c r="H805" s="10" t="s">
        <v>916</v>
      </c>
      <c r="I805" s="10" t="s">
        <v>55</v>
      </c>
      <c r="K805" s="10" t="s">
        <v>21584</v>
      </c>
      <c r="L805" s="10" t="s">
        <v>42</v>
      </c>
    </row>
    <row r="806" ht="15.75" customHeight="1">
      <c r="A806" s="64">
        <v>45473.0</v>
      </c>
      <c r="B806" s="55" t="str">
        <f>HYPERLINK("https://jobright.ai/jobs/info/6681a974127400923c6621d3?utm_campaign=1058&amp;utm_source=sheet", "Apply")</f>
        <v>Apply</v>
      </c>
      <c r="C806" s="10" t="s">
        <v>21581</v>
      </c>
      <c r="D806" s="56" t="s">
        <v>21582</v>
      </c>
      <c r="E806" s="10" t="s">
        <v>137</v>
      </c>
      <c r="F806" s="10" t="s">
        <v>21583</v>
      </c>
      <c r="G806" s="10" t="s">
        <v>20592</v>
      </c>
      <c r="H806" s="10" t="s">
        <v>947</v>
      </c>
      <c r="I806" s="10" t="s">
        <v>55</v>
      </c>
      <c r="K806" s="10" t="s">
        <v>21584</v>
      </c>
      <c r="L806" s="10" t="s">
        <v>42</v>
      </c>
    </row>
    <row r="807" ht="15.75" customHeight="1">
      <c r="A807" s="64">
        <v>45473.0</v>
      </c>
      <c r="B807" s="55" t="str">
        <f>HYPERLINK("https://jobright.ai/jobs/info/6681a974127400923c6621d1?utm_campaign=1058&amp;utm_source=sheet", "Apply")</f>
        <v>Apply</v>
      </c>
      <c r="C807" s="10" t="s">
        <v>21581</v>
      </c>
      <c r="D807" s="56" t="s">
        <v>21582</v>
      </c>
      <c r="E807" s="10" t="s">
        <v>137</v>
      </c>
      <c r="F807" s="10" t="s">
        <v>21583</v>
      </c>
      <c r="G807" s="10" t="s">
        <v>20592</v>
      </c>
      <c r="H807" s="10" t="s">
        <v>803</v>
      </c>
      <c r="I807" s="10" t="s">
        <v>55</v>
      </c>
      <c r="K807" s="10" t="s">
        <v>21584</v>
      </c>
      <c r="L807" s="10" t="s">
        <v>42</v>
      </c>
    </row>
    <row r="808" ht="15.75" customHeight="1">
      <c r="A808" s="64">
        <v>45473.0</v>
      </c>
      <c r="B808" s="55" t="str">
        <f>HYPERLINK("https://jobright.ai/jobs/info/6681add5f81a97b0515c48ba?utm_campaign=1058&amp;utm_source=sheet", "Apply")</f>
        <v>Apply</v>
      </c>
      <c r="C808" s="10" t="s">
        <v>21581</v>
      </c>
      <c r="D808" s="56" t="s">
        <v>21582</v>
      </c>
      <c r="E808" s="10" t="s">
        <v>137</v>
      </c>
      <c r="F808" s="10" t="s">
        <v>21583</v>
      </c>
      <c r="G808" s="10" t="s">
        <v>20592</v>
      </c>
      <c r="H808" s="10" t="s">
        <v>783</v>
      </c>
      <c r="I808" s="10" t="s">
        <v>55</v>
      </c>
      <c r="K808" s="10" t="s">
        <v>21584</v>
      </c>
      <c r="L808" s="10" t="s">
        <v>42</v>
      </c>
    </row>
    <row r="809" ht="15.75" customHeight="1">
      <c r="A809" s="64">
        <v>45473.0</v>
      </c>
      <c r="B809" s="55" t="str">
        <f>HYPERLINK("https://jobright.ai/jobs/info/6681add5f81a97b0515c48bc?utm_campaign=1058&amp;utm_source=sheet", "Apply")</f>
        <v>Apply</v>
      </c>
      <c r="C809" s="10" t="s">
        <v>21581</v>
      </c>
      <c r="D809" s="56" t="s">
        <v>21582</v>
      </c>
      <c r="E809" s="10" t="s">
        <v>137</v>
      </c>
      <c r="F809" s="10" t="s">
        <v>21583</v>
      </c>
      <c r="G809" s="10" t="s">
        <v>20592</v>
      </c>
      <c r="H809" s="10" t="s">
        <v>876</v>
      </c>
      <c r="I809" s="10" t="s">
        <v>55</v>
      </c>
      <c r="K809" s="10" t="s">
        <v>21584</v>
      </c>
      <c r="L809" s="10" t="s">
        <v>42</v>
      </c>
    </row>
    <row r="810" ht="15.75" customHeight="1">
      <c r="A810" s="64">
        <v>45473.0</v>
      </c>
      <c r="B810" s="55" t="str">
        <f>HYPERLINK("https://jobright.ai/jobs/info/6681add5f81a97b0515c48bb?utm_campaign=1058&amp;utm_source=sheet", "Apply")</f>
        <v>Apply</v>
      </c>
      <c r="C810" s="10" t="s">
        <v>21581</v>
      </c>
      <c r="D810" s="56" t="s">
        <v>21582</v>
      </c>
      <c r="E810" s="10" t="s">
        <v>137</v>
      </c>
      <c r="F810" s="10" t="s">
        <v>21583</v>
      </c>
      <c r="G810" s="10" t="s">
        <v>20592</v>
      </c>
      <c r="H810" s="10" t="s">
        <v>787</v>
      </c>
      <c r="I810" s="10" t="s">
        <v>55</v>
      </c>
      <c r="K810" s="10" t="s">
        <v>21584</v>
      </c>
      <c r="L810" s="10" t="s">
        <v>42</v>
      </c>
    </row>
    <row r="811" ht="15.75" customHeight="1">
      <c r="A811" s="64">
        <v>45473.0</v>
      </c>
      <c r="B811" s="55" t="str">
        <f>HYPERLINK("https://jobright.ai/jobs/info/6681add5f81a97b0515c48bd?utm_campaign=1058&amp;utm_source=sheet", "Apply")</f>
        <v>Apply</v>
      </c>
      <c r="C811" s="10" t="s">
        <v>21581</v>
      </c>
      <c r="D811" s="56" t="s">
        <v>21582</v>
      </c>
      <c r="E811" s="10" t="s">
        <v>137</v>
      </c>
      <c r="F811" s="10" t="s">
        <v>21583</v>
      </c>
      <c r="G811" s="10" t="s">
        <v>20592</v>
      </c>
      <c r="H811" s="10" t="s">
        <v>167</v>
      </c>
      <c r="I811" s="10" t="s">
        <v>55</v>
      </c>
      <c r="K811" s="10" t="s">
        <v>21584</v>
      </c>
      <c r="L811" s="10" t="s">
        <v>42</v>
      </c>
    </row>
    <row r="812" ht="15.75" customHeight="1">
      <c r="A812" s="64">
        <v>45473.0</v>
      </c>
      <c r="B812" s="55" t="str">
        <f>HYPERLINK("https://jobright.ai/jobs/info/6681a5a0e2513bb044b9d096?utm_campaign=1058&amp;utm_source=sheet", "Apply")</f>
        <v>Apply</v>
      </c>
      <c r="C812" s="10" t="s">
        <v>21581</v>
      </c>
      <c r="D812" s="56" t="s">
        <v>21582</v>
      </c>
      <c r="E812" s="10" t="s">
        <v>137</v>
      </c>
      <c r="F812" s="10" t="s">
        <v>21583</v>
      </c>
      <c r="G812" s="10" t="s">
        <v>20592</v>
      </c>
      <c r="H812" s="10" t="s">
        <v>760</v>
      </c>
      <c r="I812" s="10" t="s">
        <v>55</v>
      </c>
      <c r="K812" s="10" t="s">
        <v>21584</v>
      </c>
      <c r="L812" s="10" t="s">
        <v>42</v>
      </c>
    </row>
    <row r="813" ht="15.75" customHeight="1">
      <c r="A813" s="64">
        <v>45473.0</v>
      </c>
      <c r="B813" s="55" t="str">
        <f>HYPERLINK("https://jobright.ai/jobs/info/6681a5a0e2513bb044b9d094?utm_campaign=1058&amp;utm_source=sheet", "Apply")</f>
        <v>Apply</v>
      </c>
      <c r="C813" s="10" t="s">
        <v>21581</v>
      </c>
      <c r="D813" s="56" t="s">
        <v>21582</v>
      </c>
      <c r="E813" s="10" t="s">
        <v>137</v>
      </c>
      <c r="F813" s="10" t="s">
        <v>21583</v>
      </c>
      <c r="G813" s="10" t="s">
        <v>20592</v>
      </c>
      <c r="H813" s="10" t="s">
        <v>819</v>
      </c>
      <c r="I813" s="10" t="s">
        <v>55</v>
      </c>
      <c r="K813" s="10" t="s">
        <v>21584</v>
      </c>
      <c r="L813" s="10" t="s">
        <v>42</v>
      </c>
    </row>
    <row r="814" ht="15.75" customHeight="1">
      <c r="A814" s="64">
        <v>45473.0</v>
      </c>
      <c r="B814" s="55" t="str">
        <f>HYPERLINK("https://jobright.ai/jobs/info/6681a5a0e2513bb044b9d095?utm_campaign=1058&amp;utm_source=sheet", "Apply")</f>
        <v>Apply</v>
      </c>
      <c r="C814" s="10" t="s">
        <v>21581</v>
      </c>
      <c r="D814" s="56" t="s">
        <v>21582</v>
      </c>
      <c r="E814" s="10" t="s">
        <v>137</v>
      </c>
      <c r="F814" s="10" t="s">
        <v>21583</v>
      </c>
      <c r="G814" s="10" t="s">
        <v>20592</v>
      </c>
      <c r="H814" s="10" t="s">
        <v>815</v>
      </c>
      <c r="I814" s="10" t="s">
        <v>55</v>
      </c>
      <c r="K814" s="10" t="s">
        <v>21584</v>
      </c>
      <c r="L814" s="10" t="s">
        <v>42</v>
      </c>
    </row>
    <row r="815" ht="15.75" customHeight="1">
      <c r="A815" s="64">
        <v>45473.0</v>
      </c>
      <c r="B815" s="55" t="str">
        <f>HYPERLINK("https://jobright.ai/jobs/info/6681a5a0e2513bb044b9d097?utm_campaign=1058&amp;utm_source=sheet", "Apply")</f>
        <v>Apply</v>
      </c>
      <c r="C815" s="10" t="s">
        <v>21581</v>
      </c>
      <c r="D815" s="56" t="s">
        <v>21582</v>
      </c>
      <c r="E815" s="10" t="s">
        <v>137</v>
      </c>
      <c r="F815" s="10" t="s">
        <v>21583</v>
      </c>
      <c r="G815" s="10" t="s">
        <v>20592</v>
      </c>
      <c r="H815" s="10" t="s">
        <v>73</v>
      </c>
      <c r="I815" s="10" t="s">
        <v>55</v>
      </c>
      <c r="K815" s="10" t="s">
        <v>21584</v>
      </c>
      <c r="L815" s="10" t="s">
        <v>42</v>
      </c>
    </row>
    <row r="816" ht="15.75" customHeight="1">
      <c r="A816" s="64">
        <v>45473.0</v>
      </c>
      <c r="B816" s="55" t="str">
        <f>HYPERLINK("https://jobright.ai/jobs/info/6681a5a0e2513bb044b9d09b?utm_campaign=1058&amp;utm_source=sheet", "Apply")</f>
        <v>Apply</v>
      </c>
      <c r="C816" s="10" t="s">
        <v>21581</v>
      </c>
      <c r="D816" s="56" t="s">
        <v>21582</v>
      </c>
      <c r="E816" s="10" t="s">
        <v>137</v>
      </c>
      <c r="F816" s="10" t="s">
        <v>21583</v>
      </c>
      <c r="G816" s="10" t="s">
        <v>20592</v>
      </c>
      <c r="H816" s="10" t="s">
        <v>792</v>
      </c>
      <c r="I816" s="10" t="s">
        <v>55</v>
      </c>
      <c r="K816" s="10" t="s">
        <v>21584</v>
      </c>
      <c r="L816" s="10" t="s">
        <v>42</v>
      </c>
    </row>
    <row r="817" ht="15.75" customHeight="1">
      <c r="A817" s="64">
        <v>45473.0</v>
      </c>
      <c r="B817" s="55" t="str">
        <f>HYPERLINK("https://jobright.ai/jobs/info/6681a5a0e2513bb044b9d099?utm_campaign=1058&amp;utm_source=sheet", "Apply")</f>
        <v>Apply</v>
      </c>
      <c r="C817" s="10" t="s">
        <v>21581</v>
      </c>
      <c r="D817" s="56" t="s">
        <v>21582</v>
      </c>
      <c r="E817" s="10" t="s">
        <v>137</v>
      </c>
      <c r="F817" s="10" t="s">
        <v>21583</v>
      </c>
      <c r="G817" s="10" t="s">
        <v>20592</v>
      </c>
      <c r="H817" s="10" t="s">
        <v>788</v>
      </c>
      <c r="I817" s="10" t="s">
        <v>55</v>
      </c>
      <c r="K817" s="10" t="s">
        <v>21584</v>
      </c>
      <c r="L817" s="10" t="s">
        <v>42</v>
      </c>
    </row>
    <row r="818" ht="15.75" customHeight="1">
      <c r="A818" s="64">
        <v>45473.0</v>
      </c>
      <c r="B818" s="55" t="str">
        <f>HYPERLINK("https://jobright.ai/jobs/info/6681a5a0e2513bb044b9d09c?utm_campaign=1058&amp;utm_source=sheet", "Apply")</f>
        <v>Apply</v>
      </c>
      <c r="C818" s="10" t="s">
        <v>21581</v>
      </c>
      <c r="D818" s="56" t="s">
        <v>21582</v>
      </c>
      <c r="E818" s="10" t="s">
        <v>137</v>
      </c>
      <c r="F818" s="10" t="s">
        <v>21583</v>
      </c>
      <c r="G818" s="10" t="s">
        <v>20592</v>
      </c>
      <c r="H818" s="10" t="s">
        <v>809</v>
      </c>
      <c r="I818" s="10" t="s">
        <v>55</v>
      </c>
      <c r="K818" s="10" t="s">
        <v>21584</v>
      </c>
      <c r="L818" s="10" t="s">
        <v>42</v>
      </c>
    </row>
    <row r="819" ht="15.75" customHeight="1">
      <c r="A819" s="64">
        <v>45473.0</v>
      </c>
      <c r="B819" s="55" t="str">
        <f>HYPERLINK("https://jobright.ai/jobs/info/6681a5a0e2513bb044b9d09a?utm_campaign=1058&amp;utm_source=sheet", "Apply")</f>
        <v>Apply</v>
      </c>
      <c r="C819" s="10" t="s">
        <v>21581</v>
      </c>
      <c r="D819" s="56" t="s">
        <v>21582</v>
      </c>
      <c r="E819" s="10" t="s">
        <v>137</v>
      </c>
      <c r="F819" s="10" t="s">
        <v>21583</v>
      </c>
      <c r="G819" s="10" t="s">
        <v>20592</v>
      </c>
      <c r="H819" s="10" t="s">
        <v>874</v>
      </c>
      <c r="I819" s="10" t="s">
        <v>55</v>
      </c>
      <c r="K819" s="10" t="s">
        <v>21584</v>
      </c>
      <c r="L819" s="10" t="s">
        <v>42</v>
      </c>
    </row>
    <row r="820" ht="15.75" customHeight="1">
      <c r="A820" s="64">
        <v>45473.0</v>
      </c>
      <c r="B820" s="55" t="str">
        <f>HYPERLINK("https://jobright.ai/jobs/info/6681a5a0e2513bb044b9d098?utm_campaign=1058&amp;utm_source=sheet", "Apply")</f>
        <v>Apply</v>
      </c>
      <c r="C820" s="10" t="s">
        <v>21581</v>
      </c>
      <c r="D820" s="56" t="s">
        <v>21582</v>
      </c>
      <c r="E820" s="10" t="s">
        <v>137</v>
      </c>
      <c r="F820" s="10" t="s">
        <v>21583</v>
      </c>
      <c r="G820" s="10" t="s">
        <v>20592</v>
      </c>
      <c r="H820" s="10" t="s">
        <v>826</v>
      </c>
      <c r="I820" s="10" t="s">
        <v>55</v>
      </c>
      <c r="K820" s="10" t="s">
        <v>21584</v>
      </c>
      <c r="L820" s="10" t="s">
        <v>42</v>
      </c>
    </row>
    <row r="821" ht="15.75" customHeight="1">
      <c r="A821" s="64">
        <v>45473.0</v>
      </c>
      <c r="B821" s="55" t="str">
        <f>HYPERLINK("https://jobright.ai/jobs/info/6681a5a0e2513bb044b9d09e?utm_campaign=1058&amp;utm_source=sheet", "Apply")</f>
        <v>Apply</v>
      </c>
      <c r="C821" s="10" t="s">
        <v>21581</v>
      </c>
      <c r="D821" s="56" t="s">
        <v>21582</v>
      </c>
      <c r="E821" s="10" t="s">
        <v>137</v>
      </c>
      <c r="F821" s="10" t="s">
        <v>21583</v>
      </c>
      <c r="G821" s="10" t="s">
        <v>20592</v>
      </c>
      <c r="H821" s="10" t="s">
        <v>131</v>
      </c>
      <c r="I821" s="10" t="s">
        <v>55</v>
      </c>
      <c r="K821" s="10" t="s">
        <v>21584</v>
      </c>
      <c r="L821" s="10" t="s">
        <v>42</v>
      </c>
    </row>
    <row r="822" ht="15.75" customHeight="1">
      <c r="A822" s="64">
        <v>45473.0</v>
      </c>
      <c r="B822" s="55" t="str">
        <f>HYPERLINK("https://jobright.ai/jobs/info/6681a5a0e2513bb044b9d09d?utm_campaign=1058&amp;utm_source=sheet", "Apply")</f>
        <v>Apply</v>
      </c>
      <c r="C822" s="10" t="s">
        <v>21581</v>
      </c>
      <c r="D822" s="56" t="s">
        <v>21582</v>
      </c>
      <c r="E822" s="10" t="s">
        <v>137</v>
      </c>
      <c r="F822" s="10" t="s">
        <v>21583</v>
      </c>
      <c r="G822" s="10" t="s">
        <v>20592</v>
      </c>
      <c r="H822" s="10" t="s">
        <v>891</v>
      </c>
      <c r="I822" s="10" t="s">
        <v>55</v>
      </c>
      <c r="K822" s="10" t="s">
        <v>21584</v>
      </c>
      <c r="L822" s="10" t="s">
        <v>42</v>
      </c>
    </row>
    <row r="823" ht="15.75" customHeight="1">
      <c r="A823" s="64">
        <v>45473.0</v>
      </c>
      <c r="B823" s="55" t="str">
        <f>HYPERLINK("https://jobright.ai/jobs/info/6681a5a0e2513bb044b9d09f?utm_campaign=1058&amp;utm_source=sheet", "Apply")</f>
        <v>Apply</v>
      </c>
      <c r="C823" s="10" t="s">
        <v>21581</v>
      </c>
      <c r="D823" s="56" t="s">
        <v>21582</v>
      </c>
      <c r="E823" s="10" t="s">
        <v>137</v>
      </c>
      <c r="F823" s="10" t="s">
        <v>21583</v>
      </c>
      <c r="G823" s="10" t="s">
        <v>20592</v>
      </c>
      <c r="H823" s="10" t="s">
        <v>391</v>
      </c>
      <c r="I823" s="10" t="s">
        <v>55</v>
      </c>
      <c r="K823" s="10" t="s">
        <v>21584</v>
      </c>
      <c r="L823" s="10" t="s">
        <v>42</v>
      </c>
    </row>
    <row r="824" ht="15.75" customHeight="1">
      <c r="A824" s="64">
        <v>45473.0</v>
      </c>
      <c r="B824" s="55" t="str">
        <f>HYPERLINK("https://jobright.ai/jobs/info/6681a5a0e2513bb044b9d0a0?utm_campaign=1058&amp;utm_source=sheet", "Apply")</f>
        <v>Apply</v>
      </c>
      <c r="C824" s="10" t="s">
        <v>21581</v>
      </c>
      <c r="D824" s="56" t="s">
        <v>21582</v>
      </c>
      <c r="E824" s="10" t="s">
        <v>137</v>
      </c>
      <c r="F824" s="10" t="s">
        <v>21583</v>
      </c>
      <c r="G824" s="10" t="s">
        <v>20592</v>
      </c>
      <c r="H824" s="10" t="s">
        <v>884</v>
      </c>
      <c r="I824" s="10" t="s">
        <v>55</v>
      </c>
      <c r="K824" s="10" t="s">
        <v>21584</v>
      </c>
      <c r="L824" s="10" t="s">
        <v>42</v>
      </c>
    </row>
    <row r="825" ht="15.75" customHeight="1">
      <c r="A825" s="64">
        <v>45473.0</v>
      </c>
      <c r="B825" s="55" t="str">
        <f>HYPERLINK("https://jobright.ai/jobs/info/6681a5a0e2513bb044b9d0a1?utm_campaign=1058&amp;utm_source=sheet", "Apply")</f>
        <v>Apply</v>
      </c>
      <c r="C825" s="10" t="s">
        <v>21581</v>
      </c>
      <c r="D825" s="56" t="s">
        <v>21582</v>
      </c>
      <c r="E825" s="10" t="s">
        <v>137</v>
      </c>
      <c r="F825" s="10" t="s">
        <v>21583</v>
      </c>
      <c r="G825" s="10" t="s">
        <v>20592</v>
      </c>
      <c r="H825" s="10" t="s">
        <v>113</v>
      </c>
      <c r="I825" s="10" t="s">
        <v>55</v>
      </c>
      <c r="K825" s="10" t="s">
        <v>21584</v>
      </c>
      <c r="L825" s="10" t="s">
        <v>42</v>
      </c>
    </row>
    <row r="826" ht="15.75" customHeight="1">
      <c r="A826" s="64">
        <v>45473.0</v>
      </c>
      <c r="B826" s="55" t="str">
        <f>HYPERLINK("https://jobright.ai/jobs/info/6681a978127400923c6621d5?utm_campaign=1058&amp;utm_source=sheet", "Apply")</f>
        <v>Apply</v>
      </c>
      <c r="C826" s="10" t="s">
        <v>21581</v>
      </c>
      <c r="D826" s="56" t="s">
        <v>21582</v>
      </c>
      <c r="E826" s="10" t="s">
        <v>137</v>
      </c>
      <c r="F826" s="10" t="s">
        <v>21583</v>
      </c>
      <c r="G826" s="10" t="s">
        <v>20592</v>
      </c>
      <c r="H826" s="10" t="s">
        <v>962</v>
      </c>
      <c r="I826" s="10" t="s">
        <v>55</v>
      </c>
      <c r="K826" s="10" t="s">
        <v>21584</v>
      </c>
      <c r="L826" s="10" t="s">
        <v>42</v>
      </c>
    </row>
    <row r="827" ht="15.75" customHeight="1">
      <c r="A827" s="64">
        <v>45473.0</v>
      </c>
      <c r="B827" s="55" t="str">
        <f>HYPERLINK("https://jobright.ai/jobs/info/6681a978127400923c6621d6?utm_campaign=1058&amp;utm_source=sheet", "Apply")</f>
        <v>Apply</v>
      </c>
      <c r="C827" s="10" t="s">
        <v>21581</v>
      </c>
      <c r="D827" s="56" t="s">
        <v>21582</v>
      </c>
      <c r="E827" s="10" t="s">
        <v>137</v>
      </c>
      <c r="F827" s="10" t="s">
        <v>21583</v>
      </c>
      <c r="G827" s="10" t="s">
        <v>20592</v>
      </c>
      <c r="H827" s="10" t="s">
        <v>817</v>
      </c>
      <c r="I827" s="10" t="s">
        <v>55</v>
      </c>
      <c r="K827" s="10" t="s">
        <v>21584</v>
      </c>
      <c r="L827" s="10" t="s">
        <v>42</v>
      </c>
    </row>
    <row r="828" ht="15.75" customHeight="1">
      <c r="A828" s="64">
        <v>45473.0</v>
      </c>
      <c r="B828" s="55" t="str">
        <f>HYPERLINK("https://jobright.ai/jobs/info/6681a978127400923c6621d8?utm_campaign=1058&amp;utm_source=sheet", "Apply")</f>
        <v>Apply</v>
      </c>
      <c r="C828" s="10" t="s">
        <v>21581</v>
      </c>
      <c r="D828" s="56" t="s">
        <v>21582</v>
      </c>
      <c r="E828" s="10" t="s">
        <v>137</v>
      </c>
      <c r="F828" s="10" t="s">
        <v>21583</v>
      </c>
      <c r="G828" s="10" t="s">
        <v>20592</v>
      </c>
      <c r="H828" s="10" t="s">
        <v>1019</v>
      </c>
      <c r="I828" s="10" t="s">
        <v>55</v>
      </c>
      <c r="K828" s="10" t="s">
        <v>21584</v>
      </c>
      <c r="L828" s="10" t="s">
        <v>42</v>
      </c>
    </row>
    <row r="829" ht="15.75" customHeight="1">
      <c r="A829" s="64">
        <v>45473.0</v>
      </c>
      <c r="B829" s="55" t="str">
        <f>HYPERLINK("https://jobright.ai/jobs/info/6681a978127400923c6621d7?utm_campaign=1058&amp;utm_source=sheet", "Apply")</f>
        <v>Apply</v>
      </c>
      <c r="C829" s="10" t="s">
        <v>21581</v>
      </c>
      <c r="D829" s="56" t="s">
        <v>21582</v>
      </c>
      <c r="E829" s="10" t="s">
        <v>137</v>
      </c>
      <c r="F829" s="10" t="s">
        <v>21583</v>
      </c>
      <c r="G829" s="10" t="s">
        <v>20592</v>
      </c>
      <c r="H829" s="10" t="s">
        <v>904</v>
      </c>
      <c r="I829" s="10" t="s">
        <v>55</v>
      </c>
      <c r="K829" s="10" t="s">
        <v>21584</v>
      </c>
      <c r="L829" s="10" t="s">
        <v>42</v>
      </c>
    </row>
    <row r="830" ht="15.75" customHeight="1">
      <c r="A830" s="64">
        <v>45473.0</v>
      </c>
      <c r="B830" s="55" t="str">
        <f>HYPERLINK("https://jobright.ai/jobs/info/6681a978127400923c6621d9?utm_campaign=1058&amp;utm_source=sheet", "Apply")</f>
        <v>Apply</v>
      </c>
      <c r="C830" s="10" t="s">
        <v>21581</v>
      </c>
      <c r="D830" s="56" t="s">
        <v>21582</v>
      </c>
      <c r="E830" s="10" t="s">
        <v>137</v>
      </c>
      <c r="F830" s="10" t="s">
        <v>21583</v>
      </c>
      <c r="G830" s="10" t="s">
        <v>20592</v>
      </c>
      <c r="H830" s="10" t="s">
        <v>814</v>
      </c>
      <c r="I830" s="10" t="s">
        <v>55</v>
      </c>
      <c r="K830" s="10" t="s">
        <v>21584</v>
      </c>
      <c r="L830" s="10" t="s">
        <v>42</v>
      </c>
    </row>
    <row r="831" ht="15.75" customHeight="1">
      <c r="A831" s="64">
        <v>45473.0</v>
      </c>
      <c r="B831" s="55" t="str">
        <f>HYPERLINK("https://jobright.ai/jobs/info/6681a978127400923c6621db?utm_campaign=1058&amp;utm_source=sheet", "Apply")</f>
        <v>Apply</v>
      </c>
      <c r="C831" s="10" t="s">
        <v>21581</v>
      </c>
      <c r="D831" s="56" t="s">
        <v>21582</v>
      </c>
      <c r="E831" s="10" t="s">
        <v>137</v>
      </c>
      <c r="F831" s="10" t="s">
        <v>21583</v>
      </c>
      <c r="G831" s="10" t="s">
        <v>20592</v>
      </c>
      <c r="H831" s="10" t="s">
        <v>949</v>
      </c>
      <c r="I831" s="10" t="s">
        <v>55</v>
      </c>
      <c r="K831" s="10" t="s">
        <v>21584</v>
      </c>
      <c r="L831" s="10" t="s">
        <v>42</v>
      </c>
    </row>
    <row r="832" ht="15.75" customHeight="1">
      <c r="A832" s="64">
        <v>45473.0</v>
      </c>
      <c r="B832" s="55" t="str">
        <f>HYPERLINK("https://jobright.ai/jobs/info/6681a978127400923c6621da?utm_campaign=1058&amp;utm_source=sheet", "Apply")</f>
        <v>Apply</v>
      </c>
      <c r="C832" s="10" t="s">
        <v>21581</v>
      </c>
      <c r="D832" s="56" t="s">
        <v>21582</v>
      </c>
      <c r="E832" s="10" t="s">
        <v>137</v>
      </c>
      <c r="F832" s="10" t="s">
        <v>21583</v>
      </c>
      <c r="G832" s="10" t="s">
        <v>20592</v>
      </c>
      <c r="H832" s="10" t="s">
        <v>1044</v>
      </c>
      <c r="I832" s="10" t="s">
        <v>55</v>
      </c>
      <c r="K832" s="10" t="s">
        <v>21584</v>
      </c>
      <c r="L832" s="10" t="s">
        <v>42</v>
      </c>
    </row>
    <row r="833" ht="15.75" customHeight="1">
      <c r="A833" s="64">
        <v>45473.0</v>
      </c>
      <c r="B833" s="55" t="str">
        <f>HYPERLINK("https://jobright.ai/jobs/info/6681a978127400923c6621dc?utm_campaign=1058&amp;utm_source=sheet", "Apply")</f>
        <v>Apply</v>
      </c>
      <c r="C833" s="10" t="s">
        <v>21581</v>
      </c>
      <c r="D833" s="56" t="s">
        <v>21582</v>
      </c>
      <c r="E833" s="10" t="s">
        <v>137</v>
      </c>
      <c r="F833" s="10" t="s">
        <v>21583</v>
      </c>
      <c r="G833" s="10" t="s">
        <v>20592</v>
      </c>
      <c r="H833" s="10" t="s">
        <v>188</v>
      </c>
      <c r="I833" s="10" t="s">
        <v>55</v>
      </c>
      <c r="K833" s="10" t="s">
        <v>21584</v>
      </c>
      <c r="L833" s="10" t="s">
        <v>42</v>
      </c>
    </row>
    <row r="834" ht="15.75" customHeight="1">
      <c r="A834" s="64">
        <v>45473.0</v>
      </c>
      <c r="B834" s="55" t="str">
        <f>HYPERLINK("https://jobright.ai/jobs/info/6681a978127400923c6621e4?utm_campaign=1058&amp;utm_source=sheet", "Apply")</f>
        <v>Apply</v>
      </c>
      <c r="C834" s="10" t="s">
        <v>21581</v>
      </c>
      <c r="D834" s="56" t="s">
        <v>21582</v>
      </c>
      <c r="E834" s="10" t="s">
        <v>137</v>
      </c>
      <c r="F834" s="10" t="s">
        <v>21583</v>
      </c>
      <c r="G834" s="10" t="s">
        <v>20592</v>
      </c>
      <c r="H834" s="10" t="s">
        <v>896</v>
      </c>
      <c r="I834" s="10" t="s">
        <v>55</v>
      </c>
      <c r="K834" s="10" t="s">
        <v>21584</v>
      </c>
      <c r="L834" s="10" t="s">
        <v>42</v>
      </c>
    </row>
    <row r="835" ht="15.75" customHeight="1">
      <c r="A835" s="64">
        <v>45473.0</v>
      </c>
      <c r="B835" s="55" t="str">
        <f>HYPERLINK("https://jobright.ai/jobs/info/6681a978127400923c6621e2?utm_campaign=1058&amp;utm_source=sheet", "Apply")</f>
        <v>Apply</v>
      </c>
      <c r="C835" s="10" t="s">
        <v>21581</v>
      </c>
      <c r="D835" s="56" t="s">
        <v>21582</v>
      </c>
      <c r="E835" s="10" t="s">
        <v>137</v>
      </c>
      <c r="F835" s="10" t="s">
        <v>21583</v>
      </c>
      <c r="G835" s="10" t="s">
        <v>20592</v>
      </c>
      <c r="H835" s="10" t="s">
        <v>86</v>
      </c>
      <c r="I835" s="10" t="s">
        <v>55</v>
      </c>
      <c r="K835" s="10" t="s">
        <v>21584</v>
      </c>
      <c r="L835" s="10" t="s">
        <v>42</v>
      </c>
    </row>
    <row r="836" ht="15.75" customHeight="1">
      <c r="A836" s="64">
        <v>45473.0</v>
      </c>
      <c r="B836" s="55" t="str">
        <f>HYPERLINK("https://jobright.ai/jobs/info/6681a978127400923c6621e5?utm_campaign=1058&amp;utm_source=sheet", "Apply")</f>
        <v>Apply</v>
      </c>
      <c r="C836" s="10" t="s">
        <v>21581</v>
      </c>
      <c r="D836" s="56" t="s">
        <v>21582</v>
      </c>
      <c r="E836" s="10" t="s">
        <v>137</v>
      </c>
      <c r="F836" s="10" t="s">
        <v>21583</v>
      </c>
      <c r="G836" s="10" t="s">
        <v>20592</v>
      </c>
      <c r="H836" s="10" t="s">
        <v>931</v>
      </c>
      <c r="I836" s="10" t="s">
        <v>55</v>
      </c>
      <c r="K836" s="10" t="s">
        <v>21584</v>
      </c>
      <c r="L836" s="10" t="s">
        <v>42</v>
      </c>
    </row>
    <row r="837" ht="15.75" customHeight="1">
      <c r="A837" s="64">
        <v>45473.0</v>
      </c>
      <c r="B837" s="55" t="str">
        <f>HYPERLINK("https://jobright.ai/jobs/info/6681a978127400923c6621e6?utm_campaign=1058&amp;utm_source=sheet", "Apply")</f>
        <v>Apply</v>
      </c>
      <c r="C837" s="10" t="s">
        <v>21581</v>
      </c>
      <c r="D837" s="56" t="s">
        <v>21582</v>
      </c>
      <c r="E837" s="10" t="s">
        <v>137</v>
      </c>
      <c r="F837" s="10" t="s">
        <v>21583</v>
      </c>
      <c r="G837" s="10" t="s">
        <v>20592</v>
      </c>
      <c r="H837" s="10" t="s">
        <v>929</v>
      </c>
      <c r="I837" s="10" t="s">
        <v>55</v>
      </c>
      <c r="K837" s="10" t="s">
        <v>21584</v>
      </c>
      <c r="L837" s="10" t="s">
        <v>42</v>
      </c>
    </row>
    <row r="838" ht="15.75" customHeight="1">
      <c r="A838" s="64">
        <v>45473.0</v>
      </c>
      <c r="B838" s="55" t="str">
        <f>HYPERLINK("https://jobright.ai/jobs/info/6681a978127400923c6621e1?utm_campaign=1058&amp;utm_source=sheet", "Apply")</f>
        <v>Apply</v>
      </c>
      <c r="C838" s="10" t="s">
        <v>21581</v>
      </c>
      <c r="D838" s="56" t="s">
        <v>21582</v>
      </c>
      <c r="E838" s="10" t="s">
        <v>137</v>
      </c>
      <c r="F838" s="10" t="s">
        <v>21583</v>
      </c>
      <c r="G838" s="10" t="s">
        <v>20592</v>
      </c>
      <c r="H838" s="10" t="s">
        <v>774</v>
      </c>
      <c r="I838" s="10" t="s">
        <v>55</v>
      </c>
      <c r="K838" s="10" t="s">
        <v>21584</v>
      </c>
      <c r="L838" s="10" t="s">
        <v>42</v>
      </c>
    </row>
    <row r="839" ht="15.75" customHeight="1">
      <c r="A839" s="64">
        <v>45473.0</v>
      </c>
      <c r="B839" s="55" t="str">
        <f>HYPERLINK("https://jobright.ai/jobs/info/6681a978127400923c6621df?utm_campaign=1058&amp;utm_source=sheet", "Apply")</f>
        <v>Apply</v>
      </c>
      <c r="C839" s="10" t="s">
        <v>21581</v>
      </c>
      <c r="D839" s="56" t="s">
        <v>21582</v>
      </c>
      <c r="E839" s="10" t="s">
        <v>137</v>
      </c>
      <c r="F839" s="10" t="s">
        <v>21583</v>
      </c>
      <c r="G839" s="10" t="s">
        <v>20592</v>
      </c>
      <c r="H839" s="10" t="s">
        <v>976</v>
      </c>
      <c r="I839" s="10" t="s">
        <v>55</v>
      </c>
      <c r="K839" s="10" t="s">
        <v>21584</v>
      </c>
      <c r="L839" s="10" t="s">
        <v>42</v>
      </c>
    </row>
    <row r="840" ht="15.75" customHeight="1">
      <c r="A840" s="64">
        <v>45473.0</v>
      </c>
      <c r="B840" s="55" t="str">
        <f>HYPERLINK("https://jobright.ai/jobs/info/6681a978127400923c6621e0?utm_campaign=1058&amp;utm_source=sheet", "Apply")</f>
        <v>Apply</v>
      </c>
      <c r="C840" s="10" t="s">
        <v>21581</v>
      </c>
      <c r="D840" s="56" t="s">
        <v>21582</v>
      </c>
      <c r="E840" s="10" t="s">
        <v>137</v>
      </c>
      <c r="F840" s="10" t="s">
        <v>21583</v>
      </c>
      <c r="G840" s="10" t="s">
        <v>20592</v>
      </c>
      <c r="H840" s="10" t="s">
        <v>1046</v>
      </c>
      <c r="I840" s="10" t="s">
        <v>55</v>
      </c>
      <c r="K840" s="10" t="s">
        <v>21584</v>
      </c>
      <c r="L840" s="10" t="s">
        <v>42</v>
      </c>
    </row>
    <row r="841" ht="15.75" customHeight="1">
      <c r="A841" s="64">
        <v>45473.0</v>
      </c>
      <c r="B841" s="55" t="str">
        <f>HYPERLINK("https://jobright.ai/jobs/info/6681a978127400923c6621e3?utm_campaign=1058&amp;utm_source=sheet", "Apply")</f>
        <v>Apply</v>
      </c>
      <c r="C841" s="10" t="s">
        <v>21581</v>
      </c>
      <c r="D841" s="56" t="s">
        <v>21582</v>
      </c>
      <c r="E841" s="10" t="s">
        <v>137</v>
      </c>
      <c r="F841" s="10" t="s">
        <v>21583</v>
      </c>
      <c r="G841" s="10" t="s">
        <v>20592</v>
      </c>
      <c r="H841" s="10" t="s">
        <v>969</v>
      </c>
      <c r="I841" s="10" t="s">
        <v>55</v>
      </c>
      <c r="K841" s="10" t="s">
        <v>21584</v>
      </c>
      <c r="L841" s="10" t="s">
        <v>42</v>
      </c>
    </row>
    <row r="842" ht="15.75" customHeight="1">
      <c r="A842" s="64">
        <v>45473.0</v>
      </c>
      <c r="B842" s="55" t="str">
        <f>HYPERLINK("https://jobright.ai/jobs/info/6681a978127400923c6621dd?utm_campaign=1058&amp;utm_source=sheet", "Apply")</f>
        <v>Apply</v>
      </c>
      <c r="C842" s="10" t="s">
        <v>21581</v>
      </c>
      <c r="D842" s="56" t="s">
        <v>21582</v>
      </c>
      <c r="E842" s="10" t="s">
        <v>137</v>
      </c>
      <c r="F842" s="10" t="s">
        <v>21583</v>
      </c>
      <c r="G842" s="10" t="s">
        <v>20592</v>
      </c>
      <c r="H842" s="10" t="s">
        <v>852</v>
      </c>
      <c r="I842" s="10" t="s">
        <v>55</v>
      </c>
      <c r="K842" s="10" t="s">
        <v>21584</v>
      </c>
      <c r="L842" s="10" t="s">
        <v>42</v>
      </c>
    </row>
    <row r="843" ht="15.75" customHeight="1">
      <c r="A843" s="64">
        <v>45473.0</v>
      </c>
      <c r="B843" s="55" t="str">
        <f>HYPERLINK("https://jobright.ai/jobs/info/6681a978127400923c6621de?utm_campaign=1058&amp;utm_source=sheet", "Apply")</f>
        <v>Apply</v>
      </c>
      <c r="C843" s="10" t="s">
        <v>21581</v>
      </c>
      <c r="D843" s="56" t="s">
        <v>21582</v>
      </c>
      <c r="E843" s="10" t="s">
        <v>137</v>
      </c>
      <c r="F843" s="10" t="s">
        <v>21583</v>
      </c>
      <c r="G843" s="10" t="s">
        <v>20592</v>
      </c>
      <c r="H843" s="10" t="s">
        <v>245</v>
      </c>
      <c r="I843" s="10" t="s">
        <v>55</v>
      </c>
      <c r="K843" s="10" t="s">
        <v>21584</v>
      </c>
      <c r="L843" s="10" t="s">
        <v>42</v>
      </c>
    </row>
    <row r="844" ht="15.75" customHeight="1">
      <c r="A844" s="64">
        <v>45473.0</v>
      </c>
      <c r="B844" s="55" t="str">
        <f>HYPERLINK("https://jobright.ai/jobs/info/6681a978127400923c6621f0?utm_campaign=1058&amp;utm_source=sheet", "Apply")</f>
        <v>Apply</v>
      </c>
      <c r="C844" s="10" t="s">
        <v>21581</v>
      </c>
      <c r="D844" s="56" t="s">
        <v>21582</v>
      </c>
      <c r="E844" s="10" t="s">
        <v>137</v>
      </c>
      <c r="F844" s="10" t="s">
        <v>21583</v>
      </c>
      <c r="G844" s="10" t="s">
        <v>20592</v>
      </c>
      <c r="H844" s="10" t="s">
        <v>1008</v>
      </c>
      <c r="I844" s="10" t="s">
        <v>55</v>
      </c>
      <c r="K844" s="10" t="s">
        <v>21584</v>
      </c>
      <c r="L844" s="10" t="s">
        <v>42</v>
      </c>
    </row>
    <row r="845" ht="15.75" customHeight="1">
      <c r="A845" s="64">
        <v>45473.0</v>
      </c>
      <c r="B845" s="55" t="str">
        <f>HYPERLINK("https://jobright.ai/jobs/info/6681a978127400923c6621ed?utm_campaign=1058&amp;utm_source=sheet", "Apply")</f>
        <v>Apply</v>
      </c>
      <c r="C845" s="10" t="s">
        <v>21581</v>
      </c>
      <c r="D845" s="56" t="s">
        <v>21582</v>
      </c>
      <c r="E845" s="10" t="s">
        <v>137</v>
      </c>
      <c r="F845" s="10" t="s">
        <v>21583</v>
      </c>
      <c r="G845" s="10" t="s">
        <v>20592</v>
      </c>
      <c r="H845" s="10" t="s">
        <v>810</v>
      </c>
      <c r="I845" s="10" t="s">
        <v>55</v>
      </c>
      <c r="K845" s="10" t="s">
        <v>21584</v>
      </c>
      <c r="L845" s="10" t="s">
        <v>42</v>
      </c>
    </row>
    <row r="846" ht="15.75" customHeight="1">
      <c r="A846" s="64">
        <v>45473.0</v>
      </c>
      <c r="B846" s="55" t="str">
        <f>HYPERLINK("https://jobright.ai/jobs/info/6681a978127400923c6621e8?utm_campaign=1058&amp;utm_source=sheet", "Apply")</f>
        <v>Apply</v>
      </c>
      <c r="C846" s="10" t="s">
        <v>21581</v>
      </c>
      <c r="D846" s="56" t="s">
        <v>21582</v>
      </c>
      <c r="E846" s="10" t="s">
        <v>137</v>
      </c>
      <c r="F846" s="10" t="s">
        <v>21583</v>
      </c>
      <c r="G846" s="10" t="s">
        <v>20592</v>
      </c>
      <c r="H846" s="10" t="s">
        <v>1037</v>
      </c>
      <c r="I846" s="10" t="s">
        <v>55</v>
      </c>
      <c r="K846" s="10" t="s">
        <v>21584</v>
      </c>
      <c r="L846" s="10" t="s">
        <v>42</v>
      </c>
    </row>
    <row r="847" ht="15.75" customHeight="1">
      <c r="A847" s="64">
        <v>45473.0</v>
      </c>
      <c r="B847" s="55" t="str">
        <f>HYPERLINK("https://jobright.ai/jobs/info/6681a978127400923c6621ea?utm_campaign=1058&amp;utm_source=sheet", "Apply")</f>
        <v>Apply</v>
      </c>
      <c r="C847" s="10" t="s">
        <v>21581</v>
      </c>
      <c r="D847" s="56" t="s">
        <v>21582</v>
      </c>
      <c r="E847" s="10" t="s">
        <v>137</v>
      </c>
      <c r="F847" s="10" t="s">
        <v>21583</v>
      </c>
      <c r="G847" s="10" t="s">
        <v>20592</v>
      </c>
      <c r="H847" s="10" t="s">
        <v>1006</v>
      </c>
      <c r="I847" s="10" t="s">
        <v>55</v>
      </c>
      <c r="K847" s="10" t="s">
        <v>21584</v>
      </c>
      <c r="L847" s="10" t="s">
        <v>42</v>
      </c>
    </row>
    <row r="848" ht="15.75" customHeight="1">
      <c r="A848" s="64">
        <v>45473.0</v>
      </c>
      <c r="B848" s="55" t="str">
        <f>HYPERLINK("https://jobright.ai/jobs/info/6681a978127400923c6621e9?utm_campaign=1058&amp;utm_source=sheet", "Apply")</f>
        <v>Apply</v>
      </c>
      <c r="C848" s="10" t="s">
        <v>21581</v>
      </c>
      <c r="D848" s="56" t="s">
        <v>21582</v>
      </c>
      <c r="E848" s="10" t="s">
        <v>137</v>
      </c>
      <c r="F848" s="10" t="s">
        <v>21583</v>
      </c>
      <c r="G848" s="10" t="s">
        <v>20592</v>
      </c>
      <c r="H848" s="10" t="s">
        <v>934</v>
      </c>
      <c r="I848" s="10" t="s">
        <v>55</v>
      </c>
      <c r="K848" s="10" t="s">
        <v>21584</v>
      </c>
      <c r="L848" s="10" t="s">
        <v>42</v>
      </c>
    </row>
    <row r="849" ht="15.75" customHeight="1">
      <c r="A849" s="64">
        <v>45473.0</v>
      </c>
      <c r="B849" s="55" t="str">
        <f>HYPERLINK("https://jobright.ai/jobs/info/6681a978127400923c6621eb?utm_campaign=1058&amp;utm_source=sheet", "Apply")</f>
        <v>Apply</v>
      </c>
      <c r="C849" s="10" t="s">
        <v>21581</v>
      </c>
      <c r="D849" s="56" t="s">
        <v>21582</v>
      </c>
      <c r="E849" s="10" t="s">
        <v>137</v>
      </c>
      <c r="F849" s="10" t="s">
        <v>21583</v>
      </c>
      <c r="G849" s="10" t="s">
        <v>20592</v>
      </c>
      <c r="H849" s="10" t="s">
        <v>952</v>
      </c>
      <c r="I849" s="10" t="s">
        <v>55</v>
      </c>
      <c r="K849" s="10" t="s">
        <v>21584</v>
      </c>
      <c r="L849" s="10" t="s">
        <v>42</v>
      </c>
    </row>
    <row r="850" ht="15.75" customHeight="1">
      <c r="A850" s="64">
        <v>45473.0</v>
      </c>
      <c r="B850" s="55" t="str">
        <f>HYPERLINK("https://jobright.ai/jobs/info/6681a978127400923c6621e7?utm_campaign=1058&amp;utm_source=sheet", "Apply")</f>
        <v>Apply</v>
      </c>
      <c r="C850" s="10" t="s">
        <v>21581</v>
      </c>
      <c r="D850" s="56" t="s">
        <v>21582</v>
      </c>
      <c r="E850" s="10" t="s">
        <v>137</v>
      </c>
      <c r="F850" s="10" t="s">
        <v>21583</v>
      </c>
      <c r="G850" s="10" t="s">
        <v>20592</v>
      </c>
      <c r="H850" s="10" t="s">
        <v>775</v>
      </c>
      <c r="I850" s="10" t="s">
        <v>55</v>
      </c>
      <c r="K850" s="10" t="s">
        <v>21584</v>
      </c>
      <c r="L850" s="10" t="s">
        <v>42</v>
      </c>
    </row>
    <row r="851" ht="15.75" customHeight="1">
      <c r="A851" s="64">
        <v>45473.0</v>
      </c>
      <c r="B851" s="55" t="str">
        <f>HYPERLINK("https://jobright.ai/jobs/info/6681a978127400923c6621ee?utm_campaign=1058&amp;utm_source=sheet", "Apply")</f>
        <v>Apply</v>
      </c>
      <c r="C851" s="10" t="s">
        <v>21581</v>
      </c>
      <c r="D851" s="56" t="s">
        <v>21582</v>
      </c>
      <c r="E851" s="10" t="s">
        <v>137</v>
      </c>
      <c r="F851" s="10" t="s">
        <v>21583</v>
      </c>
      <c r="G851" s="10" t="s">
        <v>20592</v>
      </c>
      <c r="H851" s="10" t="s">
        <v>1045</v>
      </c>
      <c r="I851" s="10" t="s">
        <v>55</v>
      </c>
      <c r="K851" s="10" t="s">
        <v>21584</v>
      </c>
      <c r="L851" s="10" t="s">
        <v>42</v>
      </c>
    </row>
    <row r="852" ht="15.75" customHeight="1">
      <c r="A852" s="64">
        <v>45473.0</v>
      </c>
      <c r="B852" s="55" t="str">
        <f>HYPERLINK("https://jobright.ai/jobs/info/6681a978127400923c6621ef?utm_campaign=1058&amp;utm_source=sheet", "Apply")</f>
        <v>Apply</v>
      </c>
      <c r="C852" s="10" t="s">
        <v>21581</v>
      </c>
      <c r="D852" s="56" t="s">
        <v>21582</v>
      </c>
      <c r="E852" s="10" t="s">
        <v>137</v>
      </c>
      <c r="F852" s="10" t="s">
        <v>21583</v>
      </c>
      <c r="G852" s="10" t="s">
        <v>20592</v>
      </c>
      <c r="H852" s="10" t="s">
        <v>866</v>
      </c>
      <c r="I852" s="10" t="s">
        <v>55</v>
      </c>
      <c r="K852" s="10" t="s">
        <v>21584</v>
      </c>
      <c r="L852" s="10" t="s">
        <v>42</v>
      </c>
    </row>
    <row r="853" ht="15.75" customHeight="1">
      <c r="A853" s="64">
        <v>45473.0</v>
      </c>
      <c r="B853" s="55" t="str">
        <f>HYPERLINK("https://jobright.ai/jobs/info/6681a978127400923c6621ec?utm_campaign=1058&amp;utm_source=sheet", "Apply")</f>
        <v>Apply</v>
      </c>
      <c r="C853" s="10" t="s">
        <v>21581</v>
      </c>
      <c r="D853" s="56" t="s">
        <v>21582</v>
      </c>
      <c r="E853" s="10" t="s">
        <v>137</v>
      </c>
      <c r="F853" s="10" t="s">
        <v>21583</v>
      </c>
      <c r="G853" s="10" t="s">
        <v>20592</v>
      </c>
      <c r="H853" s="10" t="s">
        <v>900</v>
      </c>
      <c r="I853" s="10" t="s">
        <v>55</v>
      </c>
      <c r="K853" s="10" t="s">
        <v>21584</v>
      </c>
      <c r="L853" s="10" t="s">
        <v>42</v>
      </c>
    </row>
    <row r="854" ht="15.75" customHeight="1">
      <c r="A854" s="64">
        <v>45473.0</v>
      </c>
      <c r="B854" s="55" t="str">
        <f>HYPERLINK("https://jobright.ai/jobs/info/6681a978127400923c6621f7?utm_campaign=1058&amp;utm_source=sheet", "Apply")</f>
        <v>Apply</v>
      </c>
      <c r="C854" s="10" t="s">
        <v>21581</v>
      </c>
      <c r="D854" s="56" t="s">
        <v>21582</v>
      </c>
      <c r="E854" s="10" t="s">
        <v>137</v>
      </c>
      <c r="F854" s="10" t="s">
        <v>21583</v>
      </c>
      <c r="G854" s="10" t="s">
        <v>20592</v>
      </c>
      <c r="H854" s="10" t="s">
        <v>975</v>
      </c>
      <c r="I854" s="10" t="s">
        <v>55</v>
      </c>
      <c r="K854" s="10" t="s">
        <v>21584</v>
      </c>
      <c r="L854" s="10" t="s">
        <v>42</v>
      </c>
    </row>
    <row r="855" ht="15.75" customHeight="1">
      <c r="A855" s="64">
        <v>45473.0</v>
      </c>
      <c r="B855" s="55" t="str">
        <f>HYPERLINK("https://jobright.ai/jobs/info/6681a978127400923c6621f2?utm_campaign=1058&amp;utm_source=sheet", "Apply")</f>
        <v>Apply</v>
      </c>
      <c r="C855" s="10" t="s">
        <v>21581</v>
      </c>
      <c r="D855" s="56" t="s">
        <v>21582</v>
      </c>
      <c r="E855" s="10" t="s">
        <v>137</v>
      </c>
      <c r="F855" s="10" t="s">
        <v>21583</v>
      </c>
      <c r="G855" s="10" t="s">
        <v>20592</v>
      </c>
      <c r="H855" s="10" t="s">
        <v>838</v>
      </c>
      <c r="I855" s="10" t="s">
        <v>55</v>
      </c>
      <c r="K855" s="10" t="s">
        <v>21584</v>
      </c>
      <c r="L855" s="10" t="s">
        <v>42</v>
      </c>
    </row>
    <row r="856" ht="15.75" customHeight="1">
      <c r="A856" s="64">
        <v>45473.0</v>
      </c>
      <c r="B856" s="55" t="str">
        <f>HYPERLINK("https://jobright.ai/jobs/info/6681a978127400923c6621f4?utm_campaign=1058&amp;utm_source=sheet", "Apply")</f>
        <v>Apply</v>
      </c>
      <c r="C856" s="10" t="s">
        <v>21581</v>
      </c>
      <c r="D856" s="56" t="s">
        <v>21582</v>
      </c>
      <c r="E856" s="10" t="s">
        <v>137</v>
      </c>
      <c r="F856" s="10" t="s">
        <v>21583</v>
      </c>
      <c r="G856" s="10" t="s">
        <v>20592</v>
      </c>
      <c r="H856" s="10" t="s">
        <v>216</v>
      </c>
      <c r="I856" s="10" t="s">
        <v>55</v>
      </c>
      <c r="K856" s="10" t="s">
        <v>21584</v>
      </c>
      <c r="L856" s="10" t="s">
        <v>42</v>
      </c>
    </row>
    <row r="857" ht="15.75" customHeight="1">
      <c r="A857" s="64">
        <v>45473.0</v>
      </c>
      <c r="B857" s="55" t="str">
        <f>HYPERLINK("https://jobright.ai/jobs/info/6681a978127400923c6621f6?utm_campaign=1058&amp;utm_source=sheet", "Apply")</f>
        <v>Apply</v>
      </c>
      <c r="C857" s="10" t="s">
        <v>21581</v>
      </c>
      <c r="D857" s="56" t="s">
        <v>21582</v>
      </c>
      <c r="E857" s="10" t="s">
        <v>137</v>
      </c>
      <c r="F857" s="10" t="s">
        <v>21583</v>
      </c>
      <c r="G857" s="10" t="s">
        <v>20592</v>
      </c>
      <c r="H857" s="10" t="s">
        <v>908</v>
      </c>
      <c r="I857" s="10" t="s">
        <v>55</v>
      </c>
      <c r="K857" s="10" t="s">
        <v>21584</v>
      </c>
      <c r="L857" s="10" t="s">
        <v>42</v>
      </c>
    </row>
    <row r="858" ht="15.75" customHeight="1">
      <c r="A858" s="64">
        <v>45473.0</v>
      </c>
      <c r="B858" s="55" t="str">
        <f>HYPERLINK("https://jobright.ai/jobs/info/6681a978127400923c6621f5?utm_campaign=1058&amp;utm_source=sheet", "Apply")</f>
        <v>Apply</v>
      </c>
      <c r="C858" s="10" t="s">
        <v>21581</v>
      </c>
      <c r="D858" s="56" t="s">
        <v>21582</v>
      </c>
      <c r="E858" s="10" t="s">
        <v>137</v>
      </c>
      <c r="F858" s="10" t="s">
        <v>21583</v>
      </c>
      <c r="G858" s="10" t="s">
        <v>20592</v>
      </c>
      <c r="H858" s="10" t="s">
        <v>835</v>
      </c>
      <c r="I858" s="10" t="s">
        <v>55</v>
      </c>
      <c r="K858" s="10" t="s">
        <v>21584</v>
      </c>
      <c r="L858" s="10" t="s">
        <v>42</v>
      </c>
    </row>
    <row r="859" ht="15.75" customHeight="1">
      <c r="A859" s="64">
        <v>45473.0</v>
      </c>
      <c r="B859" s="55" t="str">
        <f>HYPERLINK("https://jobright.ai/jobs/info/6681a978127400923c6621f1?utm_campaign=1058&amp;utm_source=sheet", "Apply")</f>
        <v>Apply</v>
      </c>
      <c r="C859" s="10" t="s">
        <v>21581</v>
      </c>
      <c r="D859" s="56" t="s">
        <v>21582</v>
      </c>
      <c r="E859" s="10" t="s">
        <v>137</v>
      </c>
      <c r="F859" s="10" t="s">
        <v>21583</v>
      </c>
      <c r="G859" s="10" t="s">
        <v>20592</v>
      </c>
      <c r="H859" s="10" t="s">
        <v>1051</v>
      </c>
      <c r="I859" s="10" t="s">
        <v>55</v>
      </c>
      <c r="K859" s="10" t="s">
        <v>21584</v>
      </c>
      <c r="L859" s="10" t="s">
        <v>42</v>
      </c>
    </row>
    <row r="860" ht="15.75" customHeight="1">
      <c r="A860" s="64">
        <v>45473.0</v>
      </c>
      <c r="B860" s="55" t="str">
        <f>HYPERLINK("https://jobright.ai/jobs/info/6681a978127400923c6621f8?utm_campaign=1058&amp;utm_source=sheet", "Apply")</f>
        <v>Apply</v>
      </c>
      <c r="C860" s="10" t="s">
        <v>21581</v>
      </c>
      <c r="D860" s="56" t="s">
        <v>21582</v>
      </c>
      <c r="E860" s="10" t="s">
        <v>137</v>
      </c>
      <c r="F860" s="10" t="s">
        <v>21583</v>
      </c>
      <c r="G860" s="10" t="s">
        <v>20592</v>
      </c>
      <c r="H860" s="10" t="s">
        <v>912</v>
      </c>
      <c r="I860" s="10" t="s">
        <v>55</v>
      </c>
      <c r="K860" s="10" t="s">
        <v>21584</v>
      </c>
      <c r="L860" s="10" t="s">
        <v>42</v>
      </c>
    </row>
    <row r="861" ht="15.75" customHeight="1">
      <c r="A861" s="64">
        <v>45473.0</v>
      </c>
      <c r="B861" s="55" t="str">
        <f>HYPERLINK("https://jobright.ai/jobs/info/6681a978127400923c6621f3?utm_campaign=1058&amp;utm_source=sheet", "Apply")</f>
        <v>Apply</v>
      </c>
      <c r="C861" s="10" t="s">
        <v>21581</v>
      </c>
      <c r="D861" s="56" t="s">
        <v>21582</v>
      </c>
      <c r="E861" s="10" t="s">
        <v>137</v>
      </c>
      <c r="F861" s="10" t="s">
        <v>21583</v>
      </c>
      <c r="G861" s="10" t="s">
        <v>20592</v>
      </c>
      <c r="H861" s="10" t="s">
        <v>820</v>
      </c>
      <c r="I861" s="10" t="s">
        <v>55</v>
      </c>
      <c r="K861" s="10" t="s">
        <v>21584</v>
      </c>
      <c r="L861" s="10" t="s">
        <v>42</v>
      </c>
    </row>
    <row r="862" ht="15.75" customHeight="1">
      <c r="A862" s="64">
        <v>45473.0</v>
      </c>
      <c r="B862" s="55" t="str">
        <f>HYPERLINK("https://jobright.ai/jobs/info/6681add5f81a97b0515c48bf?utm_campaign=1058&amp;utm_source=sheet", "Apply")</f>
        <v>Apply</v>
      </c>
      <c r="C862" s="10" t="s">
        <v>21581</v>
      </c>
      <c r="D862" s="56" t="s">
        <v>21582</v>
      </c>
      <c r="E862" s="10" t="s">
        <v>137</v>
      </c>
      <c r="F862" s="10" t="s">
        <v>21583</v>
      </c>
      <c r="G862" s="10" t="s">
        <v>20592</v>
      </c>
      <c r="H862" s="10" t="s">
        <v>1002</v>
      </c>
      <c r="I862" s="10" t="s">
        <v>55</v>
      </c>
      <c r="K862" s="10" t="s">
        <v>21584</v>
      </c>
      <c r="L862" s="10" t="s">
        <v>42</v>
      </c>
    </row>
    <row r="863" ht="15.75" customHeight="1">
      <c r="A863" s="64">
        <v>45473.0</v>
      </c>
      <c r="B863" s="55" t="str">
        <f>HYPERLINK("https://jobright.ai/jobs/info/6681add5f81a97b0515c48c0?utm_campaign=1058&amp;utm_source=sheet", "Apply")</f>
        <v>Apply</v>
      </c>
      <c r="C863" s="10" t="s">
        <v>21581</v>
      </c>
      <c r="D863" s="56" t="s">
        <v>21582</v>
      </c>
      <c r="E863" s="10" t="s">
        <v>137</v>
      </c>
      <c r="F863" s="10" t="s">
        <v>21583</v>
      </c>
      <c r="G863" s="10" t="s">
        <v>20592</v>
      </c>
      <c r="H863" s="10" t="s">
        <v>883</v>
      </c>
      <c r="I863" s="10" t="s">
        <v>55</v>
      </c>
      <c r="K863" s="10" t="s">
        <v>21584</v>
      </c>
      <c r="L863" s="10" t="s">
        <v>42</v>
      </c>
    </row>
    <row r="864" ht="15.75" customHeight="1">
      <c r="A864" s="64">
        <v>45473.0</v>
      </c>
      <c r="B864" s="55" t="str">
        <f>HYPERLINK("https://jobright.ai/jobs/info/6681add5f81a97b0515c48c1?utm_campaign=1058&amp;utm_source=sheet", "Apply")</f>
        <v>Apply</v>
      </c>
      <c r="C864" s="10" t="s">
        <v>21581</v>
      </c>
      <c r="D864" s="56" t="s">
        <v>21582</v>
      </c>
      <c r="E864" s="10" t="s">
        <v>137</v>
      </c>
      <c r="F864" s="10" t="s">
        <v>21583</v>
      </c>
      <c r="G864" s="10" t="s">
        <v>20592</v>
      </c>
      <c r="H864" s="10" t="s">
        <v>861</v>
      </c>
      <c r="I864" s="10" t="s">
        <v>55</v>
      </c>
      <c r="K864" s="10" t="s">
        <v>21584</v>
      </c>
      <c r="L864" s="10" t="s">
        <v>42</v>
      </c>
    </row>
    <row r="865" ht="15.75" customHeight="1">
      <c r="A865" s="64">
        <v>45473.0</v>
      </c>
      <c r="B865" s="55" t="str">
        <f>HYPERLINK("https://jobright.ai/jobs/info/6681add5f81a97b0515c48c2?utm_campaign=1058&amp;utm_source=sheet", "Apply")</f>
        <v>Apply</v>
      </c>
      <c r="C865" s="10" t="s">
        <v>21581</v>
      </c>
      <c r="D865" s="56" t="s">
        <v>21582</v>
      </c>
      <c r="E865" s="10" t="s">
        <v>137</v>
      </c>
      <c r="F865" s="10" t="s">
        <v>21583</v>
      </c>
      <c r="G865" s="10" t="s">
        <v>20592</v>
      </c>
      <c r="H865" s="10" t="s">
        <v>1052</v>
      </c>
      <c r="I865" s="10" t="s">
        <v>55</v>
      </c>
      <c r="K865" s="10" t="s">
        <v>21584</v>
      </c>
      <c r="L865" s="10" t="s">
        <v>42</v>
      </c>
    </row>
    <row r="866" ht="15.75" customHeight="1">
      <c r="A866" s="64">
        <v>45473.0</v>
      </c>
      <c r="B866" s="55" t="str">
        <f>HYPERLINK("https://jobright.ai/jobs/info/6681add5f81a97b0515c48c4?utm_campaign=1058&amp;utm_source=sheet", "Apply")</f>
        <v>Apply</v>
      </c>
      <c r="C866" s="10" t="s">
        <v>21581</v>
      </c>
      <c r="D866" s="56" t="s">
        <v>21582</v>
      </c>
      <c r="E866" s="10" t="s">
        <v>137</v>
      </c>
      <c r="F866" s="10" t="s">
        <v>21583</v>
      </c>
      <c r="G866" s="10" t="s">
        <v>20592</v>
      </c>
      <c r="H866" s="10" t="s">
        <v>930</v>
      </c>
      <c r="I866" s="10" t="s">
        <v>55</v>
      </c>
      <c r="K866" s="10" t="s">
        <v>21584</v>
      </c>
      <c r="L866" s="10" t="s">
        <v>42</v>
      </c>
    </row>
    <row r="867" ht="15.75" customHeight="1">
      <c r="A867" s="64">
        <v>45473.0</v>
      </c>
      <c r="B867" s="55" t="str">
        <f>HYPERLINK("https://jobright.ai/jobs/info/6681add5f81a97b0515c48c8?utm_campaign=1058&amp;utm_source=sheet", "Apply")</f>
        <v>Apply</v>
      </c>
      <c r="C867" s="10" t="s">
        <v>21581</v>
      </c>
      <c r="D867" s="56" t="s">
        <v>21582</v>
      </c>
      <c r="E867" s="10" t="s">
        <v>137</v>
      </c>
      <c r="F867" s="10" t="s">
        <v>21583</v>
      </c>
      <c r="G867" s="10" t="s">
        <v>20592</v>
      </c>
      <c r="H867" s="10" t="s">
        <v>1014</v>
      </c>
      <c r="I867" s="10" t="s">
        <v>55</v>
      </c>
      <c r="K867" s="10" t="s">
        <v>21584</v>
      </c>
      <c r="L867" s="10" t="s">
        <v>42</v>
      </c>
    </row>
    <row r="868" ht="15.75" customHeight="1">
      <c r="A868" s="64">
        <v>45473.0</v>
      </c>
      <c r="B868" s="55" t="str">
        <f>HYPERLINK("https://jobright.ai/jobs/info/6681add5f81a97b0515c48c3?utm_campaign=1058&amp;utm_source=sheet", "Apply")</f>
        <v>Apply</v>
      </c>
      <c r="C868" s="10" t="s">
        <v>21581</v>
      </c>
      <c r="D868" s="56" t="s">
        <v>21582</v>
      </c>
      <c r="E868" s="10" t="s">
        <v>137</v>
      </c>
      <c r="F868" s="10" t="s">
        <v>21583</v>
      </c>
      <c r="G868" s="10" t="s">
        <v>20592</v>
      </c>
      <c r="H868" s="10" t="s">
        <v>921</v>
      </c>
      <c r="I868" s="10" t="s">
        <v>55</v>
      </c>
      <c r="K868" s="10" t="s">
        <v>21584</v>
      </c>
      <c r="L868" s="10" t="s">
        <v>42</v>
      </c>
    </row>
    <row r="869" ht="15.75" customHeight="1">
      <c r="A869" s="64">
        <v>45473.0</v>
      </c>
      <c r="B869" s="55" t="str">
        <f>HYPERLINK("https://jobright.ai/jobs/info/6681add5f81a97b0515c48c6?utm_campaign=1058&amp;utm_source=sheet", "Apply")</f>
        <v>Apply</v>
      </c>
      <c r="C869" s="10" t="s">
        <v>21581</v>
      </c>
      <c r="D869" s="56" t="s">
        <v>21582</v>
      </c>
      <c r="E869" s="10" t="s">
        <v>137</v>
      </c>
      <c r="F869" s="10" t="s">
        <v>21583</v>
      </c>
      <c r="G869" s="10" t="s">
        <v>20592</v>
      </c>
      <c r="H869" s="10" t="s">
        <v>844</v>
      </c>
      <c r="I869" s="10" t="s">
        <v>55</v>
      </c>
      <c r="K869" s="10" t="s">
        <v>21584</v>
      </c>
      <c r="L869" s="10" t="s">
        <v>42</v>
      </c>
    </row>
    <row r="870" ht="15.75" customHeight="1">
      <c r="A870" s="64">
        <v>45473.0</v>
      </c>
      <c r="B870" s="55" t="str">
        <f>HYPERLINK("https://jobright.ai/jobs/info/6681add5f81a97b0515c48c5?utm_campaign=1058&amp;utm_source=sheet", "Apply")</f>
        <v>Apply</v>
      </c>
      <c r="C870" s="10" t="s">
        <v>21581</v>
      </c>
      <c r="D870" s="56" t="s">
        <v>21582</v>
      </c>
      <c r="E870" s="10" t="s">
        <v>137</v>
      </c>
      <c r="F870" s="10" t="s">
        <v>21583</v>
      </c>
      <c r="G870" s="10" t="s">
        <v>20592</v>
      </c>
      <c r="H870" s="10" t="s">
        <v>856</v>
      </c>
      <c r="I870" s="10" t="s">
        <v>55</v>
      </c>
      <c r="K870" s="10" t="s">
        <v>21584</v>
      </c>
      <c r="L870" s="10" t="s">
        <v>42</v>
      </c>
    </row>
    <row r="871" ht="15.75" customHeight="1">
      <c r="A871" s="64">
        <v>45473.0</v>
      </c>
      <c r="B871" s="55" t="str">
        <f>HYPERLINK("https://jobright.ai/jobs/info/6681add5f81a97b0515c48d4?utm_campaign=1058&amp;utm_source=sheet", "Apply")</f>
        <v>Apply</v>
      </c>
      <c r="C871" s="10" t="s">
        <v>21581</v>
      </c>
      <c r="D871" s="56" t="s">
        <v>21582</v>
      </c>
      <c r="E871" s="10" t="s">
        <v>137</v>
      </c>
      <c r="F871" s="10" t="s">
        <v>21583</v>
      </c>
      <c r="G871" s="10" t="s">
        <v>20592</v>
      </c>
      <c r="H871" s="10" t="s">
        <v>961</v>
      </c>
      <c r="I871" s="10" t="s">
        <v>55</v>
      </c>
      <c r="K871" s="10" t="s">
        <v>21584</v>
      </c>
      <c r="L871" s="10" t="s">
        <v>42</v>
      </c>
    </row>
    <row r="872" ht="15.75" customHeight="1">
      <c r="A872" s="64">
        <v>45473.0</v>
      </c>
      <c r="B872" s="55" t="str">
        <f>HYPERLINK("https://jobright.ai/jobs/info/6681add5f81a97b0515c48da?utm_campaign=1058&amp;utm_source=sheet", "Apply")</f>
        <v>Apply</v>
      </c>
      <c r="C872" s="10" t="s">
        <v>21581</v>
      </c>
      <c r="D872" s="56" t="s">
        <v>21582</v>
      </c>
      <c r="E872" s="10" t="s">
        <v>137</v>
      </c>
      <c r="F872" s="10" t="s">
        <v>21583</v>
      </c>
      <c r="G872" s="10" t="s">
        <v>20592</v>
      </c>
      <c r="H872" s="10" t="s">
        <v>1048</v>
      </c>
      <c r="I872" s="10" t="s">
        <v>55</v>
      </c>
      <c r="K872" s="10" t="s">
        <v>21584</v>
      </c>
      <c r="L872" s="10" t="s">
        <v>42</v>
      </c>
    </row>
    <row r="873" ht="15.75" customHeight="1">
      <c r="A873" s="64">
        <v>45473.0</v>
      </c>
      <c r="B873" s="55" t="str">
        <f>HYPERLINK("https://jobright.ai/jobs/info/6681add5f81a97b0515c48db?utm_campaign=1058&amp;utm_source=sheet", "Apply")</f>
        <v>Apply</v>
      </c>
      <c r="C873" s="10" t="s">
        <v>21581</v>
      </c>
      <c r="D873" s="56" t="s">
        <v>21582</v>
      </c>
      <c r="E873" s="10" t="s">
        <v>137</v>
      </c>
      <c r="F873" s="10" t="s">
        <v>21583</v>
      </c>
      <c r="G873" s="10" t="s">
        <v>20592</v>
      </c>
      <c r="H873" s="10" t="s">
        <v>772</v>
      </c>
      <c r="I873" s="10" t="s">
        <v>55</v>
      </c>
      <c r="K873" s="10" t="s">
        <v>21584</v>
      </c>
      <c r="L873" s="10" t="s">
        <v>42</v>
      </c>
    </row>
    <row r="874" ht="15.75" customHeight="1">
      <c r="A874" s="64">
        <v>45473.0</v>
      </c>
      <c r="B874" s="55" t="str">
        <f>HYPERLINK("https://jobright.ai/jobs/info/6681add5f81a97b0515c48cc?utm_campaign=1058&amp;utm_source=sheet", "Apply")</f>
        <v>Apply</v>
      </c>
      <c r="C874" s="10" t="s">
        <v>21581</v>
      </c>
      <c r="D874" s="56" t="s">
        <v>21582</v>
      </c>
      <c r="E874" s="10" t="s">
        <v>137</v>
      </c>
      <c r="F874" s="10" t="s">
        <v>21583</v>
      </c>
      <c r="G874" s="10" t="s">
        <v>20592</v>
      </c>
      <c r="H874" s="10" t="s">
        <v>229</v>
      </c>
      <c r="I874" s="10" t="s">
        <v>55</v>
      </c>
      <c r="K874" s="10" t="s">
        <v>21584</v>
      </c>
      <c r="L874" s="10" t="s">
        <v>42</v>
      </c>
    </row>
    <row r="875" ht="15.75" customHeight="1">
      <c r="A875" s="64">
        <v>45473.0</v>
      </c>
      <c r="B875" s="55" t="str">
        <f>HYPERLINK("https://jobright.ai/jobs/info/6681add5f81a97b0515c48d2?utm_campaign=1058&amp;utm_source=sheet", "Apply")</f>
        <v>Apply</v>
      </c>
      <c r="C875" s="10" t="s">
        <v>21581</v>
      </c>
      <c r="D875" s="56" t="s">
        <v>21582</v>
      </c>
      <c r="E875" s="10" t="s">
        <v>137</v>
      </c>
      <c r="F875" s="10" t="s">
        <v>21583</v>
      </c>
      <c r="G875" s="10" t="s">
        <v>20592</v>
      </c>
      <c r="H875" s="10" t="s">
        <v>902</v>
      </c>
      <c r="I875" s="10" t="s">
        <v>55</v>
      </c>
      <c r="K875" s="10" t="s">
        <v>21584</v>
      </c>
      <c r="L875" s="10" t="s">
        <v>42</v>
      </c>
    </row>
    <row r="876" ht="15.75" customHeight="1">
      <c r="A876" s="64">
        <v>45473.0</v>
      </c>
      <c r="B876" s="55" t="str">
        <f>HYPERLINK("https://jobright.ai/jobs/info/6681add5f81a97b0515c48cf?utm_campaign=1058&amp;utm_source=sheet", "Apply")</f>
        <v>Apply</v>
      </c>
      <c r="C876" s="10" t="s">
        <v>21581</v>
      </c>
      <c r="D876" s="56" t="s">
        <v>21582</v>
      </c>
      <c r="E876" s="10" t="s">
        <v>137</v>
      </c>
      <c r="F876" s="10" t="s">
        <v>21583</v>
      </c>
      <c r="G876" s="10" t="s">
        <v>20592</v>
      </c>
      <c r="H876" s="10" t="s">
        <v>971</v>
      </c>
      <c r="I876" s="10" t="s">
        <v>55</v>
      </c>
      <c r="K876" s="10" t="s">
        <v>21584</v>
      </c>
      <c r="L876" s="10" t="s">
        <v>42</v>
      </c>
    </row>
    <row r="877" ht="15.75" customHeight="1">
      <c r="A877" s="64">
        <v>45473.0</v>
      </c>
      <c r="B877" s="55" t="str">
        <f>HYPERLINK("https://jobright.ai/jobs/info/6681add5f81a97b0515c48d9?utm_campaign=1058&amp;utm_source=sheet", "Apply")</f>
        <v>Apply</v>
      </c>
      <c r="C877" s="10" t="s">
        <v>21581</v>
      </c>
      <c r="D877" s="56" t="s">
        <v>21582</v>
      </c>
      <c r="E877" s="10" t="s">
        <v>137</v>
      </c>
      <c r="F877" s="10" t="s">
        <v>21583</v>
      </c>
      <c r="G877" s="10" t="s">
        <v>20592</v>
      </c>
      <c r="H877" s="10" t="s">
        <v>954</v>
      </c>
      <c r="I877" s="10" t="s">
        <v>55</v>
      </c>
      <c r="K877" s="10" t="s">
        <v>21584</v>
      </c>
      <c r="L877" s="10" t="s">
        <v>42</v>
      </c>
    </row>
    <row r="878" ht="15.75" customHeight="1">
      <c r="A878" s="64">
        <v>45473.0</v>
      </c>
      <c r="B878" s="55" t="str">
        <f>HYPERLINK("https://jobright.ai/jobs/info/6681add5f81a97b0515c48d8?utm_campaign=1058&amp;utm_source=sheet", "Apply")</f>
        <v>Apply</v>
      </c>
      <c r="C878" s="10" t="s">
        <v>21581</v>
      </c>
      <c r="D878" s="56" t="s">
        <v>21582</v>
      </c>
      <c r="E878" s="10" t="s">
        <v>137</v>
      </c>
      <c r="F878" s="10" t="s">
        <v>21583</v>
      </c>
      <c r="G878" s="10" t="s">
        <v>20592</v>
      </c>
      <c r="H878" s="10" t="s">
        <v>851</v>
      </c>
      <c r="I878" s="10" t="s">
        <v>55</v>
      </c>
      <c r="K878" s="10" t="s">
        <v>21584</v>
      </c>
      <c r="L878" s="10" t="s">
        <v>42</v>
      </c>
    </row>
    <row r="879" ht="15.75" customHeight="1">
      <c r="A879" s="64">
        <v>45473.0</v>
      </c>
      <c r="B879" s="55" t="str">
        <f>HYPERLINK("https://jobright.ai/jobs/info/6681add5f81a97b0515c48cb?utm_campaign=1058&amp;utm_source=sheet", "Apply")</f>
        <v>Apply</v>
      </c>
      <c r="C879" s="10" t="s">
        <v>21581</v>
      </c>
      <c r="D879" s="56" t="s">
        <v>21582</v>
      </c>
      <c r="E879" s="10" t="s">
        <v>137</v>
      </c>
      <c r="F879" s="10" t="s">
        <v>21583</v>
      </c>
      <c r="G879" s="10" t="s">
        <v>20592</v>
      </c>
      <c r="H879" s="10" t="s">
        <v>973</v>
      </c>
      <c r="I879" s="10" t="s">
        <v>55</v>
      </c>
      <c r="K879" s="10" t="s">
        <v>21584</v>
      </c>
      <c r="L879" s="10" t="s">
        <v>42</v>
      </c>
    </row>
    <row r="880" ht="15.75" customHeight="1">
      <c r="A880" s="64">
        <v>45473.0</v>
      </c>
      <c r="B880" s="55" t="str">
        <f>HYPERLINK("https://jobright.ai/jobs/info/6681add5f81a97b0515c48d3?utm_campaign=1058&amp;utm_source=sheet", "Apply")</f>
        <v>Apply</v>
      </c>
      <c r="C880" s="10" t="s">
        <v>21581</v>
      </c>
      <c r="D880" s="56" t="s">
        <v>21582</v>
      </c>
      <c r="E880" s="10" t="s">
        <v>137</v>
      </c>
      <c r="F880" s="10" t="s">
        <v>21583</v>
      </c>
      <c r="G880" s="10" t="s">
        <v>20592</v>
      </c>
      <c r="H880" s="10" t="s">
        <v>1034</v>
      </c>
      <c r="I880" s="10" t="s">
        <v>55</v>
      </c>
      <c r="K880" s="10" t="s">
        <v>21584</v>
      </c>
      <c r="L880" s="10" t="s">
        <v>42</v>
      </c>
    </row>
    <row r="881" ht="15.75" customHeight="1">
      <c r="A881" s="64">
        <v>45473.0</v>
      </c>
      <c r="B881" s="55" t="str">
        <f>HYPERLINK("https://jobright.ai/jobs/info/6681add5f81a97b0515c48d6?utm_campaign=1058&amp;utm_source=sheet", "Apply")</f>
        <v>Apply</v>
      </c>
      <c r="C881" s="10" t="s">
        <v>21581</v>
      </c>
      <c r="D881" s="56" t="s">
        <v>21582</v>
      </c>
      <c r="E881" s="10" t="s">
        <v>137</v>
      </c>
      <c r="F881" s="10" t="s">
        <v>21583</v>
      </c>
      <c r="G881" s="10" t="s">
        <v>20592</v>
      </c>
      <c r="H881" s="10" t="s">
        <v>918</v>
      </c>
      <c r="I881" s="10" t="s">
        <v>55</v>
      </c>
      <c r="K881" s="10" t="s">
        <v>21584</v>
      </c>
      <c r="L881" s="10" t="s">
        <v>42</v>
      </c>
    </row>
    <row r="882" ht="15.75" customHeight="1">
      <c r="A882" s="64">
        <v>45473.0</v>
      </c>
      <c r="B882" s="55" t="str">
        <f>HYPERLINK("https://jobright.ai/jobs/info/6681add5f81a97b0515c48ce?utm_campaign=1058&amp;utm_source=sheet", "Apply")</f>
        <v>Apply</v>
      </c>
      <c r="C882" s="10" t="s">
        <v>21581</v>
      </c>
      <c r="D882" s="56" t="s">
        <v>21582</v>
      </c>
      <c r="E882" s="10" t="s">
        <v>137</v>
      </c>
      <c r="F882" s="10" t="s">
        <v>21583</v>
      </c>
      <c r="G882" s="10" t="s">
        <v>20592</v>
      </c>
      <c r="H882" s="10" t="s">
        <v>1027</v>
      </c>
      <c r="I882" s="10" t="s">
        <v>55</v>
      </c>
      <c r="K882" s="10" t="s">
        <v>21584</v>
      </c>
      <c r="L882" s="10" t="s">
        <v>42</v>
      </c>
    </row>
    <row r="883" ht="15.75" customHeight="1">
      <c r="A883" s="64">
        <v>45473.0</v>
      </c>
      <c r="B883" s="55" t="str">
        <f>HYPERLINK("https://jobright.ai/jobs/info/6681add5f81a97b0515c48d7?utm_campaign=1058&amp;utm_source=sheet", "Apply")</f>
        <v>Apply</v>
      </c>
      <c r="C883" s="10" t="s">
        <v>21581</v>
      </c>
      <c r="D883" s="56" t="s">
        <v>21582</v>
      </c>
      <c r="E883" s="10" t="s">
        <v>137</v>
      </c>
      <c r="F883" s="10" t="s">
        <v>21583</v>
      </c>
      <c r="G883" s="10" t="s">
        <v>20592</v>
      </c>
      <c r="H883" s="10" t="s">
        <v>784</v>
      </c>
      <c r="I883" s="10" t="s">
        <v>55</v>
      </c>
      <c r="K883" s="10" t="s">
        <v>21584</v>
      </c>
      <c r="L883" s="10" t="s">
        <v>42</v>
      </c>
    </row>
    <row r="884" ht="15.75" customHeight="1">
      <c r="A884" s="64">
        <v>45473.0</v>
      </c>
      <c r="B884" s="55" t="str">
        <f>HYPERLINK("https://jobright.ai/jobs/info/6681add5f81a97b0515c48cd?utm_campaign=1058&amp;utm_source=sheet", "Apply")</f>
        <v>Apply</v>
      </c>
      <c r="C884" s="10" t="s">
        <v>21581</v>
      </c>
      <c r="D884" s="56" t="s">
        <v>21582</v>
      </c>
      <c r="E884" s="10" t="s">
        <v>137</v>
      </c>
      <c r="F884" s="10" t="s">
        <v>21583</v>
      </c>
      <c r="G884" s="10" t="s">
        <v>20592</v>
      </c>
      <c r="H884" s="10" t="s">
        <v>960</v>
      </c>
      <c r="I884" s="10" t="s">
        <v>55</v>
      </c>
      <c r="K884" s="10" t="s">
        <v>21584</v>
      </c>
      <c r="L884" s="10" t="s">
        <v>42</v>
      </c>
    </row>
    <row r="885" ht="15.75" customHeight="1">
      <c r="A885" s="64">
        <v>45473.0</v>
      </c>
      <c r="B885" s="55" t="str">
        <f>HYPERLINK("https://jobright.ai/jobs/info/6681add5f81a97b0515c48d5?utm_campaign=1058&amp;utm_source=sheet", "Apply")</f>
        <v>Apply</v>
      </c>
      <c r="C885" s="10" t="s">
        <v>21581</v>
      </c>
      <c r="D885" s="56" t="s">
        <v>21582</v>
      </c>
      <c r="E885" s="10" t="s">
        <v>137</v>
      </c>
      <c r="F885" s="10" t="s">
        <v>21583</v>
      </c>
      <c r="G885" s="10" t="s">
        <v>20592</v>
      </c>
      <c r="H885" s="10" t="s">
        <v>985</v>
      </c>
      <c r="I885" s="10" t="s">
        <v>55</v>
      </c>
      <c r="K885" s="10" t="s">
        <v>21584</v>
      </c>
      <c r="L885" s="10" t="s">
        <v>42</v>
      </c>
    </row>
    <row r="886" ht="15.75" customHeight="1">
      <c r="A886" s="64">
        <v>45473.0</v>
      </c>
      <c r="B886" s="55" t="str">
        <f>HYPERLINK("https://jobright.ai/jobs/info/6681add5f81a97b0515c48d1?utm_campaign=1058&amp;utm_source=sheet", "Apply")</f>
        <v>Apply</v>
      </c>
      <c r="C886" s="10" t="s">
        <v>21581</v>
      </c>
      <c r="D886" s="56" t="s">
        <v>21582</v>
      </c>
      <c r="E886" s="10" t="s">
        <v>137</v>
      </c>
      <c r="F886" s="10" t="s">
        <v>21583</v>
      </c>
      <c r="G886" s="10" t="s">
        <v>20592</v>
      </c>
      <c r="H886" s="10" t="s">
        <v>982</v>
      </c>
      <c r="I886" s="10" t="s">
        <v>55</v>
      </c>
      <c r="K886" s="10" t="s">
        <v>21584</v>
      </c>
      <c r="L886" s="10" t="s">
        <v>42</v>
      </c>
    </row>
    <row r="887" ht="15.75" customHeight="1">
      <c r="A887" s="64">
        <v>45473.0</v>
      </c>
      <c r="B887" s="55" t="str">
        <f>HYPERLINK("https://jobright.ai/jobs/info/6681add5f81a97b0515c48ca?utm_campaign=1058&amp;utm_source=sheet", "Apply")</f>
        <v>Apply</v>
      </c>
      <c r="C887" s="10" t="s">
        <v>21581</v>
      </c>
      <c r="D887" s="56" t="s">
        <v>21582</v>
      </c>
      <c r="E887" s="10" t="s">
        <v>137</v>
      </c>
      <c r="F887" s="10" t="s">
        <v>21583</v>
      </c>
      <c r="G887" s="10" t="s">
        <v>20592</v>
      </c>
      <c r="H887" s="10" t="s">
        <v>1047</v>
      </c>
      <c r="I887" s="10" t="s">
        <v>55</v>
      </c>
      <c r="K887" s="10" t="s">
        <v>21584</v>
      </c>
      <c r="L887" s="10" t="s">
        <v>42</v>
      </c>
    </row>
    <row r="888" ht="15.75" customHeight="1">
      <c r="A888" s="64">
        <v>45473.0</v>
      </c>
      <c r="B888" s="55" t="str">
        <f>HYPERLINK("https://jobright.ai/jobs/info/6681add5f81a97b0515c48c9?utm_campaign=1058&amp;utm_source=sheet", "Apply")</f>
        <v>Apply</v>
      </c>
      <c r="C888" s="10" t="s">
        <v>21581</v>
      </c>
      <c r="D888" s="56" t="s">
        <v>21582</v>
      </c>
      <c r="E888" s="10" t="s">
        <v>137</v>
      </c>
      <c r="F888" s="10" t="s">
        <v>21583</v>
      </c>
      <c r="G888" s="10" t="s">
        <v>20592</v>
      </c>
      <c r="H888" s="10" t="s">
        <v>980</v>
      </c>
      <c r="I888" s="10" t="s">
        <v>55</v>
      </c>
      <c r="K888" s="10" t="s">
        <v>21584</v>
      </c>
      <c r="L888" s="10" t="s">
        <v>42</v>
      </c>
    </row>
    <row r="889" ht="15.75" customHeight="1">
      <c r="A889" s="64">
        <v>45473.0</v>
      </c>
      <c r="B889" s="55" t="str">
        <f>HYPERLINK("https://jobright.ai/jobs/info/6681add5f81a97b0515c48e0?utm_campaign=1058&amp;utm_source=sheet", "Apply")</f>
        <v>Apply</v>
      </c>
      <c r="C889" s="10" t="s">
        <v>21581</v>
      </c>
      <c r="D889" s="56" t="s">
        <v>21582</v>
      </c>
      <c r="E889" s="10" t="s">
        <v>137</v>
      </c>
      <c r="F889" s="10" t="s">
        <v>21583</v>
      </c>
      <c r="G889" s="10" t="s">
        <v>20592</v>
      </c>
      <c r="H889" s="10" t="s">
        <v>869</v>
      </c>
      <c r="I889" s="10" t="s">
        <v>55</v>
      </c>
      <c r="K889" s="10" t="s">
        <v>21584</v>
      </c>
      <c r="L889" s="10" t="s">
        <v>42</v>
      </c>
    </row>
    <row r="890" ht="15.75" customHeight="1">
      <c r="A890" s="64">
        <v>45473.0</v>
      </c>
      <c r="B890" s="55" t="str">
        <f>HYPERLINK("https://jobright.ai/jobs/info/6681add5f81a97b0515c48dc?utm_campaign=1058&amp;utm_source=sheet", "Apply")</f>
        <v>Apply</v>
      </c>
      <c r="C890" s="10" t="s">
        <v>21581</v>
      </c>
      <c r="D890" s="56" t="s">
        <v>21582</v>
      </c>
      <c r="E890" s="10" t="s">
        <v>137</v>
      </c>
      <c r="F890" s="10" t="s">
        <v>21583</v>
      </c>
      <c r="G890" s="10" t="s">
        <v>20592</v>
      </c>
      <c r="H890" s="10" t="s">
        <v>1038</v>
      </c>
      <c r="I890" s="10" t="s">
        <v>55</v>
      </c>
      <c r="K890" s="10" t="s">
        <v>21584</v>
      </c>
      <c r="L890" s="10" t="s">
        <v>42</v>
      </c>
    </row>
    <row r="891" ht="15.75" customHeight="1">
      <c r="A891" s="64">
        <v>45473.0</v>
      </c>
      <c r="B891" s="55" t="str">
        <f>HYPERLINK("https://jobright.ai/jobs/info/6681add5f81a97b0515c48dd?utm_campaign=1058&amp;utm_source=sheet", "Apply")</f>
        <v>Apply</v>
      </c>
      <c r="C891" s="10" t="s">
        <v>21581</v>
      </c>
      <c r="D891" s="56" t="s">
        <v>21582</v>
      </c>
      <c r="E891" s="10" t="s">
        <v>137</v>
      </c>
      <c r="F891" s="10" t="s">
        <v>21583</v>
      </c>
      <c r="G891" s="10" t="s">
        <v>20592</v>
      </c>
      <c r="H891" s="10" t="s">
        <v>609</v>
      </c>
      <c r="I891" s="10" t="s">
        <v>55</v>
      </c>
      <c r="K891" s="10" t="s">
        <v>21584</v>
      </c>
      <c r="L891" s="10" t="s">
        <v>42</v>
      </c>
    </row>
    <row r="892" ht="15.75" customHeight="1">
      <c r="A892" s="64">
        <v>45473.0</v>
      </c>
      <c r="B892" s="55" t="str">
        <f>HYPERLINK("https://jobright.ai/jobs/info/6681add5f81a97b0515c48e2?utm_campaign=1058&amp;utm_source=sheet", "Apply")</f>
        <v>Apply</v>
      </c>
      <c r="C892" s="10" t="s">
        <v>21581</v>
      </c>
      <c r="D892" s="56" t="s">
        <v>21582</v>
      </c>
      <c r="E892" s="10" t="s">
        <v>137</v>
      </c>
      <c r="F892" s="10" t="s">
        <v>21583</v>
      </c>
      <c r="G892" s="10" t="s">
        <v>20592</v>
      </c>
      <c r="H892" s="10" t="s">
        <v>789</v>
      </c>
      <c r="I892" s="10" t="s">
        <v>55</v>
      </c>
      <c r="K892" s="10" t="s">
        <v>21584</v>
      </c>
      <c r="L892" s="10" t="s">
        <v>42</v>
      </c>
    </row>
    <row r="893" ht="15.75" customHeight="1">
      <c r="A893" s="64">
        <v>45473.0</v>
      </c>
      <c r="B893" s="55" t="str">
        <f>HYPERLINK("https://jobright.ai/jobs/info/6681add5f81a97b0515c48df?utm_campaign=1058&amp;utm_source=sheet", "Apply")</f>
        <v>Apply</v>
      </c>
      <c r="C893" s="10" t="s">
        <v>21581</v>
      </c>
      <c r="D893" s="56" t="s">
        <v>21582</v>
      </c>
      <c r="E893" s="10" t="s">
        <v>137</v>
      </c>
      <c r="F893" s="10" t="s">
        <v>21583</v>
      </c>
      <c r="G893" s="10" t="s">
        <v>20592</v>
      </c>
      <c r="H893" s="10" t="s">
        <v>981</v>
      </c>
      <c r="I893" s="10" t="s">
        <v>55</v>
      </c>
      <c r="K893" s="10" t="s">
        <v>21584</v>
      </c>
      <c r="L893" s="10" t="s">
        <v>42</v>
      </c>
    </row>
    <row r="894" ht="15.75" customHeight="1">
      <c r="A894" s="64">
        <v>45473.0</v>
      </c>
      <c r="B894" s="55" t="str">
        <f>HYPERLINK("https://jobright.ai/jobs/info/6681add5f81a97b0515c48e1?utm_campaign=1058&amp;utm_source=sheet", "Apply")</f>
        <v>Apply</v>
      </c>
      <c r="C894" s="10" t="s">
        <v>21581</v>
      </c>
      <c r="D894" s="56" t="s">
        <v>21582</v>
      </c>
      <c r="E894" s="10" t="s">
        <v>137</v>
      </c>
      <c r="F894" s="10" t="s">
        <v>21583</v>
      </c>
      <c r="G894" s="10" t="s">
        <v>20592</v>
      </c>
      <c r="H894" s="10" t="s">
        <v>910</v>
      </c>
      <c r="I894" s="10" t="s">
        <v>55</v>
      </c>
      <c r="K894" s="10" t="s">
        <v>21584</v>
      </c>
      <c r="L894" s="10" t="s">
        <v>42</v>
      </c>
    </row>
    <row r="895" ht="15.75" customHeight="1">
      <c r="A895" s="64">
        <v>45473.0</v>
      </c>
      <c r="B895" s="55" t="str">
        <f>HYPERLINK("https://jobright.ai/jobs/info/6681add5f81a97b0515c48de?utm_campaign=1058&amp;utm_source=sheet", "Apply")</f>
        <v>Apply</v>
      </c>
      <c r="C895" s="10" t="s">
        <v>21581</v>
      </c>
      <c r="D895" s="56" t="s">
        <v>21582</v>
      </c>
      <c r="E895" s="10" t="s">
        <v>137</v>
      </c>
      <c r="F895" s="10" t="s">
        <v>21583</v>
      </c>
      <c r="G895" s="10" t="s">
        <v>20592</v>
      </c>
      <c r="H895" s="10" t="s">
        <v>778</v>
      </c>
      <c r="I895" s="10" t="s">
        <v>55</v>
      </c>
      <c r="K895" s="10" t="s">
        <v>21584</v>
      </c>
      <c r="L895" s="10" t="s">
        <v>42</v>
      </c>
    </row>
    <row r="896" ht="15.75" customHeight="1">
      <c r="A896" s="64">
        <v>45473.0</v>
      </c>
      <c r="B896" s="55" t="str">
        <f>HYPERLINK("https://jobright.ai/jobs/info/6681add5f81a97b0515c48e4?utm_campaign=1058&amp;utm_source=sheet", "Apply")</f>
        <v>Apply</v>
      </c>
      <c r="C896" s="10" t="s">
        <v>21581</v>
      </c>
      <c r="D896" s="56" t="s">
        <v>21582</v>
      </c>
      <c r="E896" s="10" t="s">
        <v>137</v>
      </c>
      <c r="F896" s="10" t="s">
        <v>21583</v>
      </c>
      <c r="G896" s="10" t="s">
        <v>20592</v>
      </c>
      <c r="H896" s="10" t="s">
        <v>1039</v>
      </c>
      <c r="I896" s="10" t="s">
        <v>55</v>
      </c>
      <c r="K896" s="10" t="s">
        <v>21584</v>
      </c>
      <c r="L896" s="10" t="s">
        <v>42</v>
      </c>
    </row>
    <row r="897" ht="15.75" customHeight="1">
      <c r="A897" s="64">
        <v>45473.0</v>
      </c>
      <c r="B897" s="55" t="str">
        <f>HYPERLINK("https://jobright.ai/jobs/info/6681add5f81a97b0515c48e5?utm_campaign=1058&amp;utm_source=sheet", "Apply")</f>
        <v>Apply</v>
      </c>
      <c r="C897" s="10" t="s">
        <v>21581</v>
      </c>
      <c r="D897" s="56" t="s">
        <v>21582</v>
      </c>
      <c r="E897" s="10" t="s">
        <v>137</v>
      </c>
      <c r="F897" s="10" t="s">
        <v>21583</v>
      </c>
      <c r="G897" s="10" t="s">
        <v>20592</v>
      </c>
      <c r="H897" s="10" t="s">
        <v>1036</v>
      </c>
      <c r="I897" s="10" t="s">
        <v>55</v>
      </c>
      <c r="K897" s="10" t="s">
        <v>21584</v>
      </c>
      <c r="L897" s="10" t="s">
        <v>42</v>
      </c>
    </row>
    <row r="898" ht="15.75" customHeight="1">
      <c r="A898" s="64">
        <v>45473.0</v>
      </c>
      <c r="B898" s="55" t="str">
        <f>HYPERLINK("https://jobright.ai/jobs/info/6681add5f81a97b0515c48e3?utm_campaign=1058&amp;utm_source=sheet", "Apply")</f>
        <v>Apply</v>
      </c>
      <c r="C898" s="10" t="s">
        <v>21581</v>
      </c>
      <c r="D898" s="56" t="s">
        <v>21582</v>
      </c>
      <c r="E898" s="10" t="s">
        <v>137</v>
      </c>
      <c r="F898" s="10" t="s">
        <v>21583</v>
      </c>
      <c r="G898" s="10" t="s">
        <v>20592</v>
      </c>
      <c r="H898" s="10" t="s">
        <v>953</v>
      </c>
      <c r="I898" s="10" t="s">
        <v>55</v>
      </c>
      <c r="K898" s="10" t="s">
        <v>21584</v>
      </c>
      <c r="L898" s="10" t="s">
        <v>42</v>
      </c>
    </row>
    <row r="899" ht="15.75" customHeight="1">
      <c r="A899" s="64">
        <v>45473.0</v>
      </c>
      <c r="B899" s="55" t="str">
        <f>HYPERLINK("https://jobright.ai/jobs/info/6681a5a0e2513bb044b9d0aa?utm_campaign=1058&amp;utm_source=sheet", "Apply")</f>
        <v>Apply</v>
      </c>
      <c r="C899" s="10" t="s">
        <v>21581</v>
      </c>
      <c r="D899" s="56" t="s">
        <v>21582</v>
      </c>
      <c r="E899" s="10" t="s">
        <v>137</v>
      </c>
      <c r="F899" s="10" t="s">
        <v>21583</v>
      </c>
      <c r="G899" s="10" t="s">
        <v>20592</v>
      </c>
      <c r="H899" s="10" t="s">
        <v>873</v>
      </c>
      <c r="I899" s="10" t="s">
        <v>55</v>
      </c>
      <c r="K899" s="10" t="s">
        <v>21584</v>
      </c>
      <c r="L899" s="10" t="s">
        <v>42</v>
      </c>
    </row>
    <row r="900" ht="15.75" customHeight="1">
      <c r="A900" s="64">
        <v>45473.0</v>
      </c>
      <c r="B900" s="55" t="str">
        <f>HYPERLINK("https://jobright.ai/jobs/info/6681a5a0e2513bb044b9d0ab?utm_campaign=1058&amp;utm_source=sheet", "Apply")</f>
        <v>Apply</v>
      </c>
      <c r="C900" s="10" t="s">
        <v>21581</v>
      </c>
      <c r="D900" s="56" t="s">
        <v>21582</v>
      </c>
      <c r="E900" s="10" t="s">
        <v>137</v>
      </c>
      <c r="F900" s="10" t="s">
        <v>21583</v>
      </c>
      <c r="G900" s="10" t="s">
        <v>20592</v>
      </c>
      <c r="H900" s="10" t="s">
        <v>827</v>
      </c>
      <c r="I900" s="10" t="s">
        <v>55</v>
      </c>
      <c r="K900" s="10" t="s">
        <v>21584</v>
      </c>
      <c r="L900" s="10" t="s">
        <v>42</v>
      </c>
    </row>
    <row r="901" ht="15.75" customHeight="1">
      <c r="A901" s="64">
        <v>45473.0</v>
      </c>
      <c r="B901" s="55" t="str">
        <f>HYPERLINK("https://jobright.ai/jobs/info/6681a5a0e2513bb044b9d0ad?utm_campaign=1058&amp;utm_source=sheet", "Apply")</f>
        <v>Apply</v>
      </c>
      <c r="C901" s="10" t="s">
        <v>21581</v>
      </c>
      <c r="D901" s="56" t="s">
        <v>21582</v>
      </c>
      <c r="E901" s="10" t="s">
        <v>137</v>
      </c>
      <c r="F901" s="10" t="s">
        <v>21583</v>
      </c>
      <c r="G901" s="10" t="s">
        <v>20592</v>
      </c>
      <c r="H901" s="10" t="s">
        <v>607</v>
      </c>
      <c r="I901" s="10" t="s">
        <v>55</v>
      </c>
      <c r="K901" s="10" t="s">
        <v>21584</v>
      </c>
      <c r="L901" s="10" t="s">
        <v>42</v>
      </c>
    </row>
    <row r="902" ht="15.75" customHeight="1">
      <c r="A902" s="64">
        <v>45473.0</v>
      </c>
      <c r="B902" s="55" t="str">
        <f>HYPERLINK("https://jobright.ai/jobs/info/6681a5a0e2513bb044b9d0ac?utm_campaign=1058&amp;utm_source=sheet", "Apply")</f>
        <v>Apply</v>
      </c>
      <c r="C902" s="10" t="s">
        <v>21581</v>
      </c>
      <c r="D902" s="56" t="s">
        <v>21582</v>
      </c>
      <c r="E902" s="10" t="s">
        <v>137</v>
      </c>
      <c r="F902" s="10" t="s">
        <v>21583</v>
      </c>
      <c r="G902" s="10" t="s">
        <v>20592</v>
      </c>
      <c r="H902" s="10" t="s">
        <v>888</v>
      </c>
      <c r="I902" s="10" t="s">
        <v>55</v>
      </c>
      <c r="K902" s="10" t="s">
        <v>21584</v>
      </c>
      <c r="L902" s="10" t="s">
        <v>42</v>
      </c>
    </row>
    <row r="903" ht="15.75" customHeight="1">
      <c r="A903" s="64">
        <v>45473.0</v>
      </c>
      <c r="B903" s="55" t="str">
        <f>HYPERLINK("https://jobright.ai/jobs/info/667fa01968d5f108040ade4f?utm_campaign=1058&amp;utm_source=sheet", "Apply")</f>
        <v>Apply</v>
      </c>
      <c r="C903" s="10" t="s">
        <v>21585</v>
      </c>
      <c r="D903" s="56" t="s">
        <v>20697</v>
      </c>
      <c r="E903" s="10" t="s">
        <v>209</v>
      </c>
      <c r="F903" s="10" t="s">
        <v>2617</v>
      </c>
      <c r="G903" s="10" t="s">
        <v>20592</v>
      </c>
      <c r="H903" s="10" t="s">
        <v>16749</v>
      </c>
      <c r="I903" s="10" t="s">
        <v>55</v>
      </c>
      <c r="J903" s="10" t="s">
        <v>5777</v>
      </c>
      <c r="K903" s="10" t="s">
        <v>21521</v>
      </c>
      <c r="L903" s="10" t="s">
        <v>42</v>
      </c>
    </row>
    <row r="904" ht="15.75" customHeight="1">
      <c r="A904" s="64">
        <v>45473.0</v>
      </c>
      <c r="B904" s="55" t="str">
        <f>HYPERLINK("https://jobright.ai/jobs/info/667f9b955060667d3c167df9?utm_campaign=1058&amp;utm_source=sheet", "Apply")</f>
        <v>Apply</v>
      </c>
      <c r="C904" s="10" t="s">
        <v>21585</v>
      </c>
      <c r="D904" s="56" t="s">
        <v>20697</v>
      </c>
      <c r="E904" s="10" t="s">
        <v>209</v>
      </c>
      <c r="F904" s="10" t="s">
        <v>2617</v>
      </c>
      <c r="G904" s="10" t="s">
        <v>20592</v>
      </c>
      <c r="H904" s="10" t="s">
        <v>21586</v>
      </c>
      <c r="I904" s="10" t="s">
        <v>55</v>
      </c>
      <c r="J904" s="10" t="s">
        <v>5777</v>
      </c>
      <c r="K904" s="10" t="s">
        <v>21521</v>
      </c>
      <c r="L904" s="10" t="s">
        <v>42</v>
      </c>
    </row>
    <row r="905" ht="15.75" customHeight="1">
      <c r="A905" s="64">
        <v>45472.0</v>
      </c>
      <c r="B905" s="55" t="str">
        <f>HYPERLINK("https://jobright.ai/jobs/info/66804891a512f2495b1c4437?utm_campaign=1058&amp;utm_source=sheet", "Apply")</f>
        <v>Apply</v>
      </c>
      <c r="C905" s="10" t="s">
        <v>21587</v>
      </c>
      <c r="D905" s="56" t="s">
        <v>21588</v>
      </c>
      <c r="E905" s="10" t="s">
        <v>209</v>
      </c>
      <c r="F905" s="10" t="s">
        <v>5776</v>
      </c>
      <c r="G905" s="10" t="s">
        <v>20609</v>
      </c>
      <c r="H905" s="10" t="s">
        <v>21357</v>
      </c>
      <c r="I905" s="10" t="s">
        <v>55</v>
      </c>
      <c r="J905" s="10" t="s">
        <v>1984</v>
      </c>
      <c r="K905" s="10" t="s">
        <v>21589</v>
      </c>
      <c r="L905" s="10" t="s">
        <v>42</v>
      </c>
    </row>
    <row r="906" ht="15.75" customHeight="1">
      <c r="A906" s="64">
        <v>45472.0</v>
      </c>
      <c r="B906" s="55" t="str">
        <f>HYPERLINK("https://jobright.ai/jobs/info/667e73fc196ca8ca36226bb0?utm_campaign=1058&amp;utm_source=sheet", "Apply")</f>
        <v>Apply</v>
      </c>
      <c r="C906" s="10" t="s">
        <v>21590</v>
      </c>
      <c r="D906" s="56" t="s">
        <v>21591</v>
      </c>
      <c r="G906" s="10" t="s">
        <v>20592</v>
      </c>
      <c r="H906" s="10" t="s">
        <v>7747</v>
      </c>
      <c r="I906" s="10" t="s">
        <v>55</v>
      </c>
      <c r="J906" s="10" t="s">
        <v>21592</v>
      </c>
      <c r="K906" s="10" t="s">
        <v>21593</v>
      </c>
      <c r="L906" s="10" t="s">
        <v>42</v>
      </c>
    </row>
    <row r="907" ht="15.75" customHeight="1">
      <c r="A907" s="64">
        <v>45472.0</v>
      </c>
      <c r="B907" s="55" t="str">
        <f>HYPERLINK("https://jobright.ai/jobs/info/667fba7a387af1b86c51b7a5?utm_campaign=1058&amp;utm_source=sheet", "Apply")</f>
        <v>Apply</v>
      </c>
      <c r="C907" s="10" t="s">
        <v>20869</v>
      </c>
      <c r="D907" s="56" t="s">
        <v>20697</v>
      </c>
      <c r="E907" s="10" t="s">
        <v>209</v>
      </c>
      <c r="F907" s="10" t="s">
        <v>2617</v>
      </c>
      <c r="G907" s="10" t="s">
        <v>20592</v>
      </c>
      <c r="H907" s="10" t="s">
        <v>21594</v>
      </c>
      <c r="I907" s="10" t="s">
        <v>55</v>
      </c>
      <c r="J907" s="10" t="s">
        <v>20698</v>
      </c>
      <c r="K907" s="10" t="s">
        <v>21521</v>
      </c>
      <c r="L907" s="10" t="s">
        <v>42</v>
      </c>
    </row>
    <row r="908" ht="15.75" customHeight="1">
      <c r="A908" s="64">
        <v>45472.0</v>
      </c>
      <c r="B908" s="55" t="str">
        <f>HYPERLINK("https://jobright.ai/jobs/info/667fa9d5676548f56bf947d6?utm_campaign=1058&amp;utm_source=sheet", "Apply")</f>
        <v>Apply</v>
      </c>
      <c r="C908" s="10" t="s">
        <v>21149</v>
      </c>
      <c r="D908" s="56" t="s">
        <v>21150</v>
      </c>
      <c r="E908" s="10" t="s">
        <v>276</v>
      </c>
      <c r="F908" s="10" t="s">
        <v>12383</v>
      </c>
      <c r="G908" s="10" t="s">
        <v>20592</v>
      </c>
      <c r="H908" s="10" t="s">
        <v>21595</v>
      </c>
      <c r="I908" s="10" t="s">
        <v>55</v>
      </c>
      <c r="J908" s="10" t="s">
        <v>4117</v>
      </c>
      <c r="K908" s="10" t="s">
        <v>21152</v>
      </c>
      <c r="L908" s="10" t="s">
        <v>42</v>
      </c>
    </row>
    <row r="909" ht="15.75" customHeight="1">
      <c r="A909" s="64">
        <v>45472.0</v>
      </c>
      <c r="B909" s="55" t="str">
        <f>HYPERLINK("https://jobright.ai/jobs/info/667f6cc07334a672aaca1c96?utm_campaign=1058&amp;utm_source=sheet", "Apply")</f>
        <v>Apply</v>
      </c>
      <c r="C909" s="10" t="s">
        <v>20594</v>
      </c>
      <c r="D909" s="56" t="s">
        <v>20595</v>
      </c>
      <c r="E909" s="10" t="s">
        <v>45</v>
      </c>
      <c r="F909" s="10" t="s">
        <v>3811</v>
      </c>
      <c r="G909" s="10" t="s">
        <v>20592</v>
      </c>
      <c r="H909" s="10" t="s">
        <v>21596</v>
      </c>
      <c r="I909" s="10" t="s">
        <v>55</v>
      </c>
      <c r="K909" s="10" t="s">
        <v>21111</v>
      </c>
      <c r="L909" s="10" t="s">
        <v>42</v>
      </c>
    </row>
    <row r="910" ht="15.75" customHeight="1">
      <c r="A910" s="64">
        <v>45471.0</v>
      </c>
      <c r="B910" s="55" t="str">
        <f>HYPERLINK("https://jobright.ai/jobs/info/667f70a2c5dc114da8da707a?utm_campaign=1058&amp;utm_source=sheet", "Apply")</f>
        <v>Apply</v>
      </c>
      <c r="C910" s="10" t="s">
        <v>21597</v>
      </c>
      <c r="D910" s="56" t="s">
        <v>12939</v>
      </c>
      <c r="E910" s="10" t="s">
        <v>45</v>
      </c>
      <c r="F910" s="10" t="s">
        <v>665</v>
      </c>
      <c r="G910" s="10" t="s">
        <v>20624</v>
      </c>
      <c r="H910" s="10" t="s">
        <v>799</v>
      </c>
      <c r="I910" s="10" t="s">
        <v>55</v>
      </c>
      <c r="K910" s="10" t="s">
        <v>21598</v>
      </c>
      <c r="L910" s="10" t="s">
        <v>42</v>
      </c>
    </row>
    <row r="911" ht="15.75" customHeight="1">
      <c r="A911" s="64">
        <v>45471.0</v>
      </c>
      <c r="B911" s="55" t="str">
        <f>HYPERLINK("https://jobright.ai/jobs/info/667ec1dd54cf07d22d227c04?utm_campaign=1058&amp;utm_source=sheet", "Apply")</f>
        <v>Apply</v>
      </c>
      <c r="C911" s="10" t="s">
        <v>21227</v>
      </c>
      <c r="D911" s="56" t="s">
        <v>1684</v>
      </c>
      <c r="E911" s="10" t="s">
        <v>209</v>
      </c>
      <c r="F911" s="10" t="s">
        <v>1685</v>
      </c>
      <c r="G911" s="10" t="s">
        <v>20609</v>
      </c>
      <c r="H911" s="10" t="s">
        <v>872</v>
      </c>
      <c r="I911" s="10" t="s">
        <v>55</v>
      </c>
      <c r="J911" s="10" t="s">
        <v>21228</v>
      </c>
      <c r="K911" s="10" t="s">
        <v>21229</v>
      </c>
      <c r="L911" s="10" t="s">
        <v>42</v>
      </c>
    </row>
    <row r="912" ht="15.75" customHeight="1">
      <c r="A912" s="64">
        <v>45471.0</v>
      </c>
      <c r="B912" s="55" t="str">
        <f>HYPERLINK("https://jobright.ai/jobs/info/6680de3a7cc102559adda596?utm_campaign=1058&amp;utm_source=sheet", "Apply")</f>
        <v>Apply</v>
      </c>
      <c r="C912" s="10" t="s">
        <v>21599</v>
      </c>
      <c r="D912" s="56" t="s">
        <v>13273</v>
      </c>
      <c r="E912" s="10" t="s">
        <v>45</v>
      </c>
      <c r="F912" s="10" t="s">
        <v>13274</v>
      </c>
      <c r="G912" s="10" t="s">
        <v>20592</v>
      </c>
      <c r="H912" s="10" t="s">
        <v>2078</v>
      </c>
      <c r="I912" s="10" t="s">
        <v>55</v>
      </c>
      <c r="K912" s="10" t="s">
        <v>14550</v>
      </c>
      <c r="L912" s="10" t="s">
        <v>42</v>
      </c>
    </row>
    <row r="913" ht="15.75" customHeight="1">
      <c r="A913" s="64">
        <v>45471.0</v>
      </c>
      <c r="B913" s="55" t="str">
        <f>HYPERLINK("https://jobright.ai/jobs/info/667f0fa844a5e5bb25f5641a?utm_campaign=1058&amp;utm_source=sheet", "Apply")</f>
        <v>Apply</v>
      </c>
      <c r="C913" s="10" t="s">
        <v>21597</v>
      </c>
      <c r="D913" s="56" t="s">
        <v>12939</v>
      </c>
      <c r="E913" s="10" t="s">
        <v>45</v>
      </c>
      <c r="F913" s="10" t="s">
        <v>665</v>
      </c>
      <c r="G913" s="10" t="s">
        <v>20592</v>
      </c>
      <c r="H913" s="10" t="s">
        <v>14005</v>
      </c>
      <c r="I913" s="10" t="s">
        <v>55</v>
      </c>
      <c r="K913" s="10" t="s">
        <v>21600</v>
      </c>
      <c r="L913" s="10" t="s">
        <v>42</v>
      </c>
    </row>
    <row r="914" ht="15.75" customHeight="1">
      <c r="A914" s="64">
        <v>45470.0</v>
      </c>
      <c r="B914" s="55" t="str">
        <f>HYPERLINK("https://jobright.ai/jobs/info/666342d306fc88ab0d0af7c9?utm_campaign=1058&amp;utm_source=sheet", "Apply")</f>
        <v>Apply</v>
      </c>
      <c r="C914" s="10" t="s">
        <v>21601</v>
      </c>
      <c r="D914" s="56" t="s">
        <v>243</v>
      </c>
      <c r="E914" s="10" t="s">
        <v>45</v>
      </c>
      <c r="F914" s="10" t="s">
        <v>244</v>
      </c>
      <c r="G914" s="10" t="s">
        <v>20624</v>
      </c>
      <c r="H914" s="10" t="s">
        <v>245</v>
      </c>
      <c r="I914" s="10" t="s">
        <v>48</v>
      </c>
      <c r="K914" s="10" t="s">
        <v>21602</v>
      </c>
      <c r="L914" s="10" t="s">
        <v>42</v>
      </c>
    </row>
    <row r="915" ht="15.75" customHeight="1">
      <c r="A915" s="64">
        <v>45470.0</v>
      </c>
      <c r="B915" s="55" t="str">
        <f>HYPERLINK("https://jobright.ai/jobs/info/667dfca663c037a1350fd16b?utm_campaign=1058&amp;utm_source=sheet", "Apply")</f>
        <v>Apply</v>
      </c>
      <c r="C915" s="10" t="s">
        <v>21568</v>
      </c>
      <c r="D915" s="56" t="s">
        <v>15315</v>
      </c>
      <c r="E915" s="10" t="s">
        <v>45</v>
      </c>
      <c r="F915" s="10" t="s">
        <v>15316</v>
      </c>
      <c r="G915" s="10" t="s">
        <v>20592</v>
      </c>
      <c r="H915" s="10" t="s">
        <v>21603</v>
      </c>
      <c r="I915" s="10" t="s">
        <v>55</v>
      </c>
      <c r="K915" s="10" t="s">
        <v>21569</v>
      </c>
      <c r="L915" s="10" t="s">
        <v>42</v>
      </c>
    </row>
    <row r="916" ht="15.75" customHeight="1">
      <c r="A916" s="64">
        <v>45470.0</v>
      </c>
      <c r="B916" s="55" t="str">
        <f>HYPERLINK("https://jobright.ai/jobs/info/667dffcdab9b33e061703b39?utm_campaign=1058&amp;utm_source=sheet", "Apply")</f>
        <v>Apply</v>
      </c>
      <c r="C916" s="10" t="s">
        <v>21604</v>
      </c>
      <c r="D916" s="56" t="s">
        <v>21605</v>
      </c>
      <c r="E916" s="10" t="s">
        <v>209</v>
      </c>
      <c r="F916" s="10" t="s">
        <v>2409</v>
      </c>
      <c r="G916" s="10" t="s">
        <v>20609</v>
      </c>
      <c r="H916" s="10" t="s">
        <v>3093</v>
      </c>
      <c r="I916" s="10" t="s">
        <v>55</v>
      </c>
      <c r="K916" s="10" t="s">
        <v>21606</v>
      </c>
      <c r="L916" s="10" t="s">
        <v>42</v>
      </c>
    </row>
    <row r="917" ht="15.75" customHeight="1">
      <c r="A917" s="64">
        <v>45470.0</v>
      </c>
      <c r="B917" s="55" t="str">
        <f>HYPERLINK("https://jobright.ai/jobs/info/667dffd9ab9b33e061703bb9?utm_campaign=1058&amp;utm_source=sheet", "Apply")</f>
        <v>Apply</v>
      </c>
      <c r="C917" s="10" t="s">
        <v>21607</v>
      </c>
      <c r="D917" s="56" t="s">
        <v>2069</v>
      </c>
      <c r="E917" s="10" t="s">
        <v>65</v>
      </c>
      <c r="F917" s="10" t="s">
        <v>1663</v>
      </c>
      <c r="G917" s="10" t="s">
        <v>20592</v>
      </c>
      <c r="H917" s="10" t="s">
        <v>2070</v>
      </c>
      <c r="I917" s="10" t="s">
        <v>55</v>
      </c>
      <c r="J917" s="10" t="s">
        <v>15312</v>
      </c>
      <c r="K917" s="10" t="s">
        <v>17383</v>
      </c>
      <c r="L917" s="10" t="s">
        <v>42</v>
      </c>
    </row>
    <row r="918" ht="15.75" customHeight="1">
      <c r="A918" s="64">
        <v>45470.0</v>
      </c>
      <c r="B918" s="55" t="str">
        <f>HYPERLINK("https://jobright.ai/jobs/info/667dfca663c037a1350fd1bd?utm_campaign=1058&amp;utm_source=sheet", "Apply")</f>
        <v>Apply</v>
      </c>
      <c r="C918" s="10" t="s">
        <v>21608</v>
      </c>
      <c r="D918" s="56" t="s">
        <v>2069</v>
      </c>
      <c r="E918" s="10" t="s">
        <v>65</v>
      </c>
      <c r="F918" s="10" t="s">
        <v>1663</v>
      </c>
      <c r="G918" s="10" t="s">
        <v>20624</v>
      </c>
      <c r="H918" s="10" t="s">
        <v>2070</v>
      </c>
      <c r="I918" s="10" t="s">
        <v>55</v>
      </c>
      <c r="K918" s="10" t="s">
        <v>21609</v>
      </c>
      <c r="L918" s="10" t="s">
        <v>42</v>
      </c>
    </row>
    <row r="919" ht="15.75" customHeight="1">
      <c r="A919" s="64">
        <v>45470.0</v>
      </c>
      <c r="B919" s="55" t="str">
        <f>HYPERLINK("https://jobright.ai/jobs/info/667cfa8adfea4cf625833bf4?utm_campaign=1058&amp;utm_source=sheet", "Apply")</f>
        <v>Apply</v>
      </c>
      <c r="C919" s="10" t="s">
        <v>21610</v>
      </c>
      <c r="D919" s="56" t="s">
        <v>7823</v>
      </c>
      <c r="E919" s="10" t="s">
        <v>45</v>
      </c>
      <c r="F919" s="10" t="s">
        <v>2409</v>
      </c>
      <c r="G919" s="10" t="s">
        <v>20624</v>
      </c>
      <c r="H919" s="10" t="s">
        <v>7824</v>
      </c>
      <c r="I919" s="10" t="s">
        <v>55</v>
      </c>
      <c r="J919" s="10" t="s">
        <v>7825</v>
      </c>
      <c r="K919" s="10" t="s">
        <v>21611</v>
      </c>
      <c r="L919" s="10" t="s">
        <v>42</v>
      </c>
    </row>
    <row r="920" ht="15.75" customHeight="1">
      <c r="A920" s="64">
        <v>45470.0</v>
      </c>
      <c r="B920" s="55" t="str">
        <f>HYPERLINK("https://jobright.ai/jobs/info/667cecd8d22aee88a5efc783?utm_campaign=1058&amp;utm_source=sheet", "Apply")</f>
        <v>Apply</v>
      </c>
      <c r="C920" s="10" t="s">
        <v>21612</v>
      </c>
      <c r="D920" s="56" t="s">
        <v>7823</v>
      </c>
      <c r="E920" s="10" t="s">
        <v>45</v>
      </c>
      <c r="F920" s="10" t="s">
        <v>2409</v>
      </c>
      <c r="G920" s="10" t="s">
        <v>20624</v>
      </c>
      <c r="H920" s="10" t="s">
        <v>7824</v>
      </c>
      <c r="I920" s="10" t="s">
        <v>55</v>
      </c>
      <c r="J920" s="10" t="s">
        <v>7825</v>
      </c>
      <c r="K920" s="10" t="s">
        <v>7826</v>
      </c>
      <c r="L920" s="10" t="s">
        <v>42</v>
      </c>
    </row>
    <row r="921" ht="15.75" customHeight="1">
      <c r="A921" s="64">
        <v>45470.0</v>
      </c>
      <c r="B921" s="55" t="str">
        <f>HYPERLINK("https://jobright.ai/jobs/info/667cd5af69583c2fc08b212e?utm_campaign=1058&amp;utm_source=sheet", "Apply")</f>
        <v>Apply</v>
      </c>
      <c r="C921" s="10" t="s">
        <v>7838</v>
      </c>
      <c r="D921" s="56" t="s">
        <v>5200</v>
      </c>
      <c r="E921" s="10" t="s">
        <v>45</v>
      </c>
      <c r="F921" s="10" t="s">
        <v>2617</v>
      </c>
      <c r="G921" s="10" t="s">
        <v>20624</v>
      </c>
      <c r="H921" s="10" t="s">
        <v>7824</v>
      </c>
      <c r="I921" s="10" t="s">
        <v>55</v>
      </c>
      <c r="J921" s="10" t="s">
        <v>7825</v>
      </c>
      <c r="K921" s="10" t="s">
        <v>7826</v>
      </c>
      <c r="L921" s="10" t="s">
        <v>42</v>
      </c>
    </row>
    <row r="922" ht="15.75" customHeight="1">
      <c r="A922" s="64">
        <v>45469.0</v>
      </c>
      <c r="B922" s="55" t="str">
        <f>HYPERLINK("https://jobright.ai/jobs/info/667c9ffac08973d614a46780?utm_campaign=1058&amp;utm_source=sheet", "Apply")</f>
        <v>Apply</v>
      </c>
      <c r="C922" s="10" t="s">
        <v>21613</v>
      </c>
      <c r="D922" s="56" t="s">
        <v>2298</v>
      </c>
      <c r="E922" s="10" t="s">
        <v>65</v>
      </c>
      <c r="F922" s="10" t="s">
        <v>1274</v>
      </c>
      <c r="G922" s="10" t="s">
        <v>20609</v>
      </c>
      <c r="H922" s="10" t="s">
        <v>4848</v>
      </c>
      <c r="I922" s="10" t="s">
        <v>55</v>
      </c>
      <c r="K922" s="10" t="s">
        <v>21614</v>
      </c>
      <c r="L922" s="10" t="s">
        <v>42</v>
      </c>
    </row>
    <row r="923" ht="15.75" customHeight="1">
      <c r="A923" s="64">
        <v>45469.0</v>
      </c>
      <c r="B923" s="55" t="str">
        <f>HYPERLINK("https://jobright.ai/jobs/info/667d9d5536f412392903f230?utm_campaign=1058&amp;utm_source=sheet", "Apply")</f>
        <v>Apply</v>
      </c>
      <c r="C923" s="10" t="s">
        <v>21615</v>
      </c>
      <c r="D923" s="56" t="s">
        <v>1794</v>
      </c>
      <c r="E923" s="10" t="s">
        <v>65</v>
      </c>
      <c r="F923" s="10" t="s">
        <v>1795</v>
      </c>
      <c r="G923" s="10" t="s">
        <v>20592</v>
      </c>
      <c r="H923" s="10" t="s">
        <v>1796</v>
      </c>
      <c r="I923" s="10" t="s">
        <v>55</v>
      </c>
      <c r="J923" s="10" t="s">
        <v>1761</v>
      </c>
      <c r="K923" s="10" t="s">
        <v>21616</v>
      </c>
      <c r="L923" s="10" t="s">
        <v>42</v>
      </c>
    </row>
    <row r="924" ht="15.75" customHeight="1">
      <c r="A924" s="64">
        <v>45469.0</v>
      </c>
      <c r="B924" s="55" t="str">
        <f>HYPERLINK("https://jobright.ai/jobs/info/667c95638b79c077c3ac1df1?utm_campaign=1058&amp;utm_source=sheet", "Apply")</f>
        <v>Apply</v>
      </c>
      <c r="C924" s="10" t="s">
        <v>21617</v>
      </c>
      <c r="D924" s="56" t="s">
        <v>21618</v>
      </c>
      <c r="E924" s="10">
        <v>3412.0</v>
      </c>
      <c r="G924" s="10" t="s">
        <v>20592</v>
      </c>
      <c r="H924" s="10" t="s">
        <v>8168</v>
      </c>
      <c r="I924" s="10" t="s">
        <v>48</v>
      </c>
      <c r="J924" s="10" t="s">
        <v>1608</v>
      </c>
      <c r="K924" s="10" t="s">
        <v>21619</v>
      </c>
      <c r="L924" s="10" t="s">
        <v>42</v>
      </c>
    </row>
    <row r="925" ht="15.75" customHeight="1">
      <c r="A925" s="64">
        <v>45469.0</v>
      </c>
      <c r="B925" s="55" t="str">
        <f>HYPERLINK("https://jobright.ai/jobs/info/667af3671a33bc49a0863539?utm_campaign=1058&amp;utm_source=sheet", "Apply")</f>
        <v>Apply</v>
      </c>
      <c r="C925" s="10" t="s">
        <v>21620</v>
      </c>
      <c r="D925" s="56" t="s">
        <v>15368</v>
      </c>
      <c r="E925" s="10" t="s">
        <v>137</v>
      </c>
      <c r="F925" s="10" t="s">
        <v>259</v>
      </c>
      <c r="G925" s="10" t="s">
        <v>20609</v>
      </c>
      <c r="H925" s="10" t="s">
        <v>251</v>
      </c>
      <c r="I925" s="10" t="s">
        <v>252</v>
      </c>
      <c r="K925" s="10" t="s">
        <v>21621</v>
      </c>
      <c r="L925" s="10" t="s">
        <v>42</v>
      </c>
    </row>
    <row r="926" ht="15.75" customHeight="1">
      <c r="A926" s="64">
        <v>45469.0</v>
      </c>
      <c r="B926" s="55" t="str">
        <f>HYPERLINK("https://jobright.ai/jobs/info/667b9c8433ce9451a5d3f791?utm_campaign=1058&amp;utm_source=sheet", "Apply")</f>
        <v>Apply</v>
      </c>
      <c r="C926" s="10" t="s">
        <v>21622</v>
      </c>
      <c r="D926" s="56" t="s">
        <v>21623</v>
      </c>
      <c r="E926" s="10" t="s">
        <v>249</v>
      </c>
      <c r="F926" s="10" t="s">
        <v>18269</v>
      </c>
      <c r="G926" s="10" t="s">
        <v>20624</v>
      </c>
      <c r="H926" s="10" t="s">
        <v>21624</v>
      </c>
      <c r="I926" s="10" t="s">
        <v>55</v>
      </c>
      <c r="K926" s="10" t="s">
        <v>21625</v>
      </c>
      <c r="L926" s="10" t="s">
        <v>42</v>
      </c>
    </row>
    <row r="927" ht="15.75" customHeight="1">
      <c r="A927" s="64">
        <v>45468.0</v>
      </c>
      <c r="B927" s="55" t="str">
        <f>HYPERLINK("https://jobright.ai/jobs/info/667b4fba269329a8d9289213?utm_campaign=1058&amp;utm_source=sheet", "Apply")</f>
        <v>Apply</v>
      </c>
      <c r="C927" s="10" t="s">
        <v>21072</v>
      </c>
      <c r="D927" s="56" t="s">
        <v>7739</v>
      </c>
      <c r="E927" s="10" t="s">
        <v>45</v>
      </c>
      <c r="F927" s="10" t="s">
        <v>2409</v>
      </c>
      <c r="G927" s="10" t="s">
        <v>20624</v>
      </c>
      <c r="H927" s="10" t="s">
        <v>21073</v>
      </c>
      <c r="I927" s="10" t="s">
        <v>55</v>
      </c>
      <c r="K927" s="10" t="s">
        <v>21626</v>
      </c>
      <c r="L927" s="10" t="s">
        <v>42</v>
      </c>
    </row>
    <row r="928" ht="15.75" customHeight="1">
      <c r="A928" s="64">
        <v>45468.0</v>
      </c>
      <c r="B928" s="55" t="str">
        <f>HYPERLINK("https://jobright.ai/jobs/info/6679775e22283fc0c7337766?utm_campaign=1058&amp;utm_source=sheet", "Apply")</f>
        <v>Apply</v>
      </c>
      <c r="C928" s="10" t="s">
        <v>21332</v>
      </c>
      <c r="D928" s="56" t="s">
        <v>9021</v>
      </c>
      <c r="E928" s="10" t="s">
        <v>209</v>
      </c>
      <c r="F928" s="10" t="s">
        <v>1833</v>
      </c>
      <c r="G928" s="10" t="s">
        <v>20624</v>
      </c>
      <c r="H928" s="10" t="s">
        <v>3320</v>
      </c>
      <c r="I928" s="10" t="s">
        <v>55</v>
      </c>
      <c r="K928" s="10" t="s">
        <v>21333</v>
      </c>
      <c r="L928" s="10" t="s">
        <v>42</v>
      </c>
    </row>
    <row r="929" ht="15.75" customHeight="1">
      <c r="A929" s="64">
        <v>45468.0</v>
      </c>
      <c r="B929" s="55" t="str">
        <f>HYPERLINK("https://jobright.ai/jobs/info/667b596246c6f972c505d77e?utm_campaign=1058&amp;utm_source=sheet", "Apply")</f>
        <v>Apply</v>
      </c>
      <c r="C929" s="10" t="s">
        <v>21627</v>
      </c>
      <c r="D929" s="56" t="s">
        <v>7692</v>
      </c>
      <c r="E929" s="10" t="s">
        <v>249</v>
      </c>
      <c r="F929" s="10" t="s">
        <v>7693</v>
      </c>
      <c r="G929" s="10" t="s">
        <v>20609</v>
      </c>
      <c r="H929" s="10" t="s">
        <v>159</v>
      </c>
      <c r="I929" s="10" t="s">
        <v>55</v>
      </c>
      <c r="K929" s="10" t="s">
        <v>21628</v>
      </c>
      <c r="L929" s="10" t="s">
        <v>42</v>
      </c>
    </row>
    <row r="930" ht="15.75" customHeight="1">
      <c r="A930" s="64">
        <v>45467.0</v>
      </c>
      <c r="B930" s="55" t="str">
        <f>HYPERLINK("https://jobright.ai/jobs/info/6679e14ad366b107b36b6cbc?utm_campaign=1058&amp;utm_source=sheet", "Apply")</f>
        <v>Apply</v>
      </c>
      <c r="C930" s="10" t="s">
        <v>21629</v>
      </c>
      <c r="D930" s="56" t="s">
        <v>21630</v>
      </c>
      <c r="E930" s="10" t="s">
        <v>79</v>
      </c>
      <c r="F930" s="10" t="s">
        <v>10</v>
      </c>
      <c r="G930" s="10" t="s">
        <v>20609</v>
      </c>
      <c r="H930" s="10" t="s">
        <v>1018</v>
      </c>
      <c r="I930" s="10" t="s">
        <v>55</v>
      </c>
      <c r="K930" s="10" t="s">
        <v>21631</v>
      </c>
      <c r="L930" s="10" t="s">
        <v>42</v>
      </c>
    </row>
    <row r="931" ht="15.75" customHeight="1">
      <c r="A931" s="64">
        <v>45467.0</v>
      </c>
      <c r="B931" s="55" t="str">
        <f>HYPERLINK("https://jobright.ai/jobs/info/6679b27e67c58f13394f6d01?utm_campaign=1058&amp;utm_source=sheet", "Apply")</f>
        <v>Apply</v>
      </c>
      <c r="C931" s="10" t="s">
        <v>21632</v>
      </c>
      <c r="D931" s="56" t="s">
        <v>21633</v>
      </c>
      <c r="E931" s="10" t="s">
        <v>209</v>
      </c>
      <c r="F931" s="10" t="s">
        <v>2431</v>
      </c>
      <c r="G931" s="10" t="s">
        <v>20624</v>
      </c>
      <c r="H931" s="10" t="s">
        <v>108</v>
      </c>
      <c r="I931" s="10" t="s">
        <v>55</v>
      </c>
      <c r="K931" s="10" t="s">
        <v>21634</v>
      </c>
      <c r="L931" s="10" t="s">
        <v>42</v>
      </c>
    </row>
    <row r="932" ht="15.75" customHeight="1">
      <c r="A932" s="64">
        <v>45466.0</v>
      </c>
      <c r="B932" s="55" t="str">
        <f>HYPERLINK("https://jobright.ai/jobs/info/6672080d8b25e1143284a293?utm_campaign=1058&amp;utm_source=sheet", "Apply")</f>
        <v>Apply</v>
      </c>
      <c r="C932" s="10" t="s">
        <v>21635</v>
      </c>
      <c r="D932" s="56" t="s">
        <v>21636</v>
      </c>
      <c r="E932" s="10" t="s">
        <v>45</v>
      </c>
      <c r="F932" s="10" t="s">
        <v>21637</v>
      </c>
      <c r="G932" s="10" t="s">
        <v>20609</v>
      </c>
      <c r="H932" s="10" t="s">
        <v>21638</v>
      </c>
      <c r="I932" s="10" t="s">
        <v>48</v>
      </c>
      <c r="J932" s="10" t="s">
        <v>2590</v>
      </c>
      <c r="K932" s="10" t="s">
        <v>21639</v>
      </c>
      <c r="L932" s="10" t="s">
        <v>42</v>
      </c>
    </row>
    <row r="933" ht="15.75" customHeight="1">
      <c r="A933" s="64">
        <v>45465.0</v>
      </c>
      <c r="B933" s="55" t="str">
        <f>HYPERLINK("https://jobright.ai/jobs/info/667638415a93920dc6d835d7?utm_campaign=1058&amp;utm_source=sheet", "Apply")</f>
        <v>Apply</v>
      </c>
      <c r="C933" s="10" t="s">
        <v>20594</v>
      </c>
      <c r="D933" s="56" t="s">
        <v>20595</v>
      </c>
      <c r="E933" s="10" t="s">
        <v>45</v>
      </c>
      <c r="F933" s="10" t="s">
        <v>3811</v>
      </c>
      <c r="G933" s="10" t="s">
        <v>20592</v>
      </c>
      <c r="H933" s="10" t="s">
        <v>21640</v>
      </c>
      <c r="I933" s="10" t="s">
        <v>55</v>
      </c>
      <c r="K933" s="10" t="s">
        <v>21111</v>
      </c>
      <c r="L933" s="10" t="s">
        <v>42</v>
      </c>
    </row>
    <row r="934" ht="15.75" customHeight="1">
      <c r="A934" s="64">
        <v>45464.0</v>
      </c>
      <c r="B934" s="55" t="str">
        <f>HYPERLINK("https://jobright.ai/jobs/info/6676277f74a49bf8010a168b?utm_campaign=1058&amp;utm_source=sheet", "Apply")</f>
        <v>Apply</v>
      </c>
      <c r="C934" s="10" t="s">
        <v>21641</v>
      </c>
      <c r="D934" s="56" t="s">
        <v>21015</v>
      </c>
      <c r="E934" s="10" t="s">
        <v>45</v>
      </c>
      <c r="F934" s="10" t="s">
        <v>2617</v>
      </c>
      <c r="G934" s="10" t="s">
        <v>20592</v>
      </c>
      <c r="H934" s="10" t="s">
        <v>1010</v>
      </c>
      <c r="I934" s="10" t="s">
        <v>55</v>
      </c>
      <c r="K934" s="10" t="s">
        <v>21642</v>
      </c>
      <c r="L934" s="10" t="s">
        <v>42</v>
      </c>
    </row>
    <row r="935" ht="15.75" customHeight="1">
      <c r="A935" s="64">
        <v>45464.0</v>
      </c>
      <c r="B935" s="55" t="str">
        <f>HYPERLINK("https://jobright.ai/jobs/info/6675171a59005313f1c82837?utm_campaign=1058&amp;utm_source=sheet", "Apply")</f>
        <v>Apply</v>
      </c>
      <c r="C935" s="10" t="s">
        <v>21643</v>
      </c>
      <c r="D935" s="56" t="s">
        <v>1360</v>
      </c>
      <c r="E935" s="10" t="s">
        <v>79</v>
      </c>
      <c r="F935" s="10" t="s">
        <v>1361</v>
      </c>
      <c r="G935" s="10" t="s">
        <v>20624</v>
      </c>
      <c r="H935" s="10" t="s">
        <v>96</v>
      </c>
      <c r="I935" s="10" t="s">
        <v>55</v>
      </c>
      <c r="K935" s="10" t="s">
        <v>1362</v>
      </c>
      <c r="L935" s="10" t="s">
        <v>42</v>
      </c>
    </row>
    <row r="936" ht="15.75" customHeight="1">
      <c r="A936" s="64">
        <v>45463.0</v>
      </c>
      <c r="B936" s="55" t="str">
        <f>HYPERLINK("https://jobright.ai/jobs/info/6675ce4dfde6a7756c6360ea?utm_campaign=1058&amp;utm_source=sheet", "Apply")</f>
        <v>Apply</v>
      </c>
      <c r="C936" s="10" t="s">
        <v>21644</v>
      </c>
      <c r="D936" s="56" t="s">
        <v>19638</v>
      </c>
      <c r="E936" s="10">
        <v>31208.0</v>
      </c>
      <c r="G936" s="10" t="s">
        <v>20592</v>
      </c>
      <c r="H936" s="10" t="s">
        <v>21645</v>
      </c>
      <c r="I936" s="10" t="s">
        <v>55</v>
      </c>
      <c r="J936" s="10" t="s">
        <v>1729</v>
      </c>
      <c r="K936" s="10" t="s">
        <v>21646</v>
      </c>
      <c r="L936" s="10" t="s">
        <v>42</v>
      </c>
    </row>
    <row r="937" ht="15.75" customHeight="1">
      <c r="A937" s="64">
        <v>45463.0</v>
      </c>
      <c r="B937" s="55" t="str">
        <f>HYPERLINK("https://jobright.ai/jobs/info/66754449e46d8e8bcc8aeec7?utm_campaign=1058&amp;utm_source=sheet", "Apply")</f>
        <v>Apply</v>
      </c>
      <c r="C937" s="10" t="s">
        <v>21647</v>
      </c>
      <c r="D937" s="56" t="s">
        <v>7739</v>
      </c>
      <c r="E937" s="10" t="s">
        <v>45</v>
      </c>
      <c r="F937" s="10" t="s">
        <v>2409</v>
      </c>
      <c r="G937" s="10" t="s">
        <v>20624</v>
      </c>
      <c r="H937" s="10" t="s">
        <v>11297</v>
      </c>
      <c r="I937" s="10" t="s">
        <v>55</v>
      </c>
      <c r="K937" s="10" t="s">
        <v>21648</v>
      </c>
      <c r="L937" s="10" t="s">
        <v>42</v>
      </c>
    </row>
    <row r="938" ht="15.75" customHeight="1">
      <c r="A938" s="64">
        <v>45463.0</v>
      </c>
      <c r="B938" s="55" t="str">
        <f>HYPERLINK("https://jobright.ai/jobs/info/66754456e46d8e8bcc8aef5e?utm_campaign=1058&amp;utm_source=sheet", "Apply")</f>
        <v>Apply</v>
      </c>
      <c r="C938" s="10" t="s">
        <v>21649</v>
      </c>
      <c r="D938" s="56" t="s">
        <v>7739</v>
      </c>
      <c r="E938" s="10" t="s">
        <v>45</v>
      </c>
      <c r="F938" s="10" t="s">
        <v>2409</v>
      </c>
      <c r="G938" s="10" t="s">
        <v>20624</v>
      </c>
      <c r="H938" s="10" t="s">
        <v>21650</v>
      </c>
      <c r="I938" s="10" t="s">
        <v>55</v>
      </c>
      <c r="K938" s="10" t="s">
        <v>21651</v>
      </c>
      <c r="L938" s="10" t="s">
        <v>42</v>
      </c>
    </row>
    <row r="939" ht="15.75" customHeight="1">
      <c r="A939" s="64">
        <v>45463.0</v>
      </c>
      <c r="B939" s="55" t="str">
        <f>HYPERLINK("https://jobright.ai/jobs/info/66747e57d8033409f2da2de8?utm_campaign=1058&amp;utm_source=sheet", "Apply")</f>
        <v>Apply</v>
      </c>
      <c r="C939" s="10" t="s">
        <v>21652</v>
      </c>
      <c r="D939" s="56" t="s">
        <v>11777</v>
      </c>
      <c r="E939" s="10" t="s">
        <v>45</v>
      </c>
      <c r="F939" s="10" t="s">
        <v>2409</v>
      </c>
      <c r="G939" s="10" t="s">
        <v>20624</v>
      </c>
      <c r="H939" s="10" t="s">
        <v>21653</v>
      </c>
      <c r="I939" s="10" t="s">
        <v>55</v>
      </c>
      <c r="K939" s="10" t="s">
        <v>21654</v>
      </c>
      <c r="L939" s="10" t="s">
        <v>42</v>
      </c>
    </row>
    <row r="940" ht="15.75" customHeight="1">
      <c r="A940" s="64">
        <v>45463.0</v>
      </c>
      <c r="B940" s="55" t="str">
        <f>HYPERLINK("https://jobright.ai/jobs/info/6686a83ed4be2b4f08f25abb?utm_campaign=1058&amp;utm_source=sheet", "Apply")</f>
        <v>Apply</v>
      </c>
      <c r="C940" s="10" t="s">
        <v>21068</v>
      </c>
      <c r="D940" s="56" t="s">
        <v>21655</v>
      </c>
      <c r="E940" s="10" t="s">
        <v>137</v>
      </c>
      <c r="F940" s="10" t="s">
        <v>318</v>
      </c>
      <c r="G940" s="10" t="s">
        <v>20609</v>
      </c>
      <c r="H940" s="10" t="s">
        <v>1978</v>
      </c>
      <c r="I940" s="10" t="s">
        <v>55</v>
      </c>
      <c r="K940" s="10" t="s">
        <v>21656</v>
      </c>
      <c r="L940" s="10" t="s">
        <v>42</v>
      </c>
    </row>
    <row r="941" ht="15.75" customHeight="1">
      <c r="A941" s="64">
        <v>45463.0</v>
      </c>
      <c r="B941" s="55" t="str">
        <f>HYPERLINK("https://jobright.ai/jobs/info/66756ff5d6fc00345300bbc9?utm_campaign=1058&amp;utm_source=sheet", "Apply")</f>
        <v>Apply</v>
      </c>
      <c r="C941" s="10" t="s">
        <v>21657</v>
      </c>
      <c r="D941" s="56" t="s">
        <v>21658</v>
      </c>
      <c r="E941" s="10" t="s">
        <v>71</v>
      </c>
      <c r="F941" s="10" t="s">
        <v>21659</v>
      </c>
      <c r="G941" s="10" t="s">
        <v>20592</v>
      </c>
      <c r="H941" s="10" t="s">
        <v>13456</v>
      </c>
      <c r="I941" s="10" t="s">
        <v>55</v>
      </c>
      <c r="J941" s="10" t="s">
        <v>1761</v>
      </c>
      <c r="K941" s="10" t="s">
        <v>21660</v>
      </c>
      <c r="L941" s="10" t="s">
        <v>42</v>
      </c>
    </row>
    <row r="942" ht="15.75" customHeight="1">
      <c r="A942" s="64">
        <v>45463.0</v>
      </c>
      <c r="B942" s="55" t="str">
        <f>HYPERLINK("https://jobright.ai/jobs/info/6676b44aa2f49d4e236dd348?utm_campaign=1058&amp;utm_source=sheet", "Apply")</f>
        <v>Apply</v>
      </c>
      <c r="C942" s="10" t="s">
        <v>21661</v>
      </c>
      <c r="D942" s="56" t="s">
        <v>4448</v>
      </c>
      <c r="E942" s="10" t="s">
        <v>71</v>
      </c>
      <c r="F942" s="10" t="s">
        <v>4449</v>
      </c>
      <c r="G942" s="10" t="s">
        <v>20609</v>
      </c>
      <c r="H942" s="10" t="s">
        <v>21662</v>
      </c>
      <c r="I942" s="10" t="s">
        <v>55</v>
      </c>
      <c r="K942" s="10" t="s">
        <v>4450</v>
      </c>
      <c r="L942" s="10" t="s">
        <v>42</v>
      </c>
    </row>
    <row r="943" ht="15.75" customHeight="1">
      <c r="A943" s="64">
        <v>45463.0</v>
      </c>
      <c r="B943" s="55" t="str">
        <f>HYPERLINK("https://jobright.ai/jobs/info/66746a9eafaefe573cace9eb?utm_campaign=1058&amp;utm_source=sheet", "Apply")</f>
        <v>Apply</v>
      </c>
      <c r="C943" s="10" t="s">
        <v>21663</v>
      </c>
      <c r="D943" s="56" t="s">
        <v>20248</v>
      </c>
      <c r="E943" s="10" t="s">
        <v>65</v>
      </c>
      <c r="F943" s="10" t="s">
        <v>20249</v>
      </c>
      <c r="G943" s="10" t="s">
        <v>20609</v>
      </c>
      <c r="H943" s="10" t="s">
        <v>17703</v>
      </c>
      <c r="I943" s="10" t="s">
        <v>55</v>
      </c>
      <c r="J943" s="10" t="s">
        <v>14288</v>
      </c>
      <c r="K943" s="10" t="s">
        <v>21664</v>
      </c>
      <c r="L943" s="10" t="s">
        <v>42</v>
      </c>
    </row>
    <row r="944" ht="15.75" customHeight="1">
      <c r="A944" s="64">
        <v>45463.0</v>
      </c>
      <c r="B944" s="55" t="str">
        <f>HYPERLINK("https://jobright.ai/jobs/info/66745ddf6d0c13fd67e48b2b?utm_campaign=1058&amp;utm_source=sheet", "Apply")</f>
        <v>Apply</v>
      </c>
      <c r="C944" s="10" t="s">
        <v>21665</v>
      </c>
      <c r="D944" s="56" t="s">
        <v>21666</v>
      </c>
      <c r="E944" s="10" t="s">
        <v>276</v>
      </c>
      <c r="F944" s="10" t="s">
        <v>14654</v>
      </c>
      <c r="G944" s="10" t="s">
        <v>20624</v>
      </c>
      <c r="H944" s="10" t="s">
        <v>1008</v>
      </c>
      <c r="I944" s="10" t="s">
        <v>55</v>
      </c>
      <c r="J944" s="10" t="s">
        <v>1409</v>
      </c>
      <c r="K944" s="10" t="s">
        <v>21667</v>
      </c>
      <c r="L944" s="10" t="s">
        <v>42</v>
      </c>
    </row>
    <row r="945" ht="15.75" customHeight="1">
      <c r="A945" s="64">
        <v>45462.0</v>
      </c>
      <c r="B945" s="55" t="str">
        <f>HYPERLINK("https://jobright.ai/jobs/info/66736e5a21f478e9a4d0fcf0?utm_campaign=1058&amp;utm_source=sheet", "Apply")</f>
        <v>Apply</v>
      </c>
      <c r="C945" s="10" t="s">
        <v>20869</v>
      </c>
      <c r="D945" s="56" t="s">
        <v>20697</v>
      </c>
      <c r="E945" s="10" t="s">
        <v>209</v>
      </c>
      <c r="F945" s="10" t="s">
        <v>2617</v>
      </c>
      <c r="G945" s="10" t="s">
        <v>20592</v>
      </c>
      <c r="H945" s="10" t="s">
        <v>21668</v>
      </c>
      <c r="I945" s="10" t="s">
        <v>55</v>
      </c>
      <c r="J945" s="10" t="s">
        <v>20698</v>
      </c>
      <c r="K945" s="10" t="s">
        <v>21669</v>
      </c>
      <c r="L945" s="10" t="s">
        <v>42</v>
      </c>
    </row>
    <row r="946" ht="15.75" customHeight="1">
      <c r="A946" s="64">
        <v>45462.0</v>
      </c>
      <c r="B946" s="55" t="str">
        <f>HYPERLINK("https://jobright.ai/jobs/info/6675c36e2c5358baace99202?utm_campaign=1058&amp;utm_source=sheet", "Apply")</f>
        <v>Apply</v>
      </c>
      <c r="C946" s="10" t="s">
        <v>21670</v>
      </c>
      <c r="D946" s="56" t="s">
        <v>3645</v>
      </c>
      <c r="E946" s="10" t="s">
        <v>45</v>
      </c>
      <c r="F946" s="10" t="s">
        <v>1700</v>
      </c>
      <c r="G946" s="10" t="s">
        <v>20624</v>
      </c>
      <c r="H946" s="10" t="s">
        <v>8908</v>
      </c>
      <c r="I946" s="10" t="s">
        <v>55</v>
      </c>
      <c r="K946" s="10" t="s">
        <v>19905</v>
      </c>
      <c r="L946" s="10" t="s">
        <v>42</v>
      </c>
    </row>
    <row r="947" ht="15.75" customHeight="1">
      <c r="A947" s="64">
        <v>45462.0</v>
      </c>
      <c r="B947" s="55" t="str">
        <f>HYPERLINK("https://jobright.ai/jobs/info/66745e1b6d0c13fd67e4900a?utm_campaign=1058&amp;utm_source=sheet", "Apply")</f>
        <v>Apply</v>
      </c>
      <c r="C947" s="10" t="s">
        <v>21661</v>
      </c>
      <c r="D947" s="56" t="s">
        <v>4448</v>
      </c>
      <c r="E947" s="10" t="s">
        <v>71</v>
      </c>
      <c r="F947" s="10" t="s">
        <v>4449</v>
      </c>
      <c r="G947" s="10" t="s">
        <v>20609</v>
      </c>
      <c r="H947" s="10" t="s">
        <v>5432</v>
      </c>
      <c r="I947" s="10" t="s">
        <v>55</v>
      </c>
      <c r="K947" s="10" t="s">
        <v>4450</v>
      </c>
      <c r="L947" s="10" t="s">
        <v>42</v>
      </c>
    </row>
    <row r="948" ht="15.75" customHeight="1">
      <c r="A948" s="64">
        <v>45462.0</v>
      </c>
      <c r="B948" s="55" t="str">
        <f>HYPERLINK("https://jobright.ai/jobs/info/66745e266d0c13fd67e49144?utm_campaign=1058&amp;utm_source=sheet", "Apply")</f>
        <v>Apply</v>
      </c>
      <c r="C948" s="10" t="s">
        <v>21661</v>
      </c>
      <c r="D948" s="56" t="s">
        <v>4448</v>
      </c>
      <c r="E948" s="10" t="s">
        <v>71</v>
      </c>
      <c r="F948" s="10" t="s">
        <v>4449</v>
      </c>
      <c r="G948" s="10" t="s">
        <v>20609</v>
      </c>
      <c r="H948" s="10" t="s">
        <v>21671</v>
      </c>
      <c r="I948" s="10" t="s">
        <v>55</v>
      </c>
      <c r="K948" s="10" t="s">
        <v>4450</v>
      </c>
      <c r="L948" s="10" t="s">
        <v>42</v>
      </c>
    </row>
    <row r="949" ht="15.75" customHeight="1">
      <c r="A949" s="64">
        <v>45462.0</v>
      </c>
      <c r="B949" s="55" t="str">
        <f>HYPERLINK("https://jobright.ai/jobs/info/66745e326d0c13fd67e492c7?utm_campaign=1058&amp;utm_source=sheet", "Apply")</f>
        <v>Apply</v>
      </c>
      <c r="C949" s="10" t="s">
        <v>21661</v>
      </c>
      <c r="D949" s="56" t="s">
        <v>4448</v>
      </c>
      <c r="E949" s="10" t="s">
        <v>71</v>
      </c>
      <c r="F949" s="10" t="s">
        <v>4449</v>
      </c>
      <c r="G949" s="10" t="s">
        <v>20609</v>
      </c>
      <c r="H949" s="10" t="s">
        <v>21672</v>
      </c>
      <c r="I949" s="10" t="s">
        <v>55</v>
      </c>
      <c r="K949" s="10" t="s">
        <v>4450</v>
      </c>
      <c r="L949" s="10" t="s">
        <v>42</v>
      </c>
    </row>
    <row r="950" ht="15.75" customHeight="1">
      <c r="A950" s="64">
        <v>45462.0</v>
      </c>
      <c r="B950" s="55" t="str">
        <f>HYPERLINK("https://jobright.ai/jobs/info/66745e326d0c13fd67e49308?utm_campaign=1058&amp;utm_source=sheet", "Apply")</f>
        <v>Apply</v>
      </c>
      <c r="C950" s="10" t="s">
        <v>21661</v>
      </c>
      <c r="D950" s="56" t="s">
        <v>4448</v>
      </c>
      <c r="E950" s="10" t="s">
        <v>71</v>
      </c>
      <c r="F950" s="10" t="s">
        <v>4449</v>
      </c>
      <c r="G950" s="10" t="s">
        <v>20609</v>
      </c>
      <c r="H950" s="10" t="s">
        <v>21673</v>
      </c>
      <c r="I950" s="10" t="s">
        <v>55</v>
      </c>
      <c r="K950" s="10" t="s">
        <v>4450</v>
      </c>
      <c r="L950" s="10" t="s">
        <v>42</v>
      </c>
    </row>
    <row r="951" ht="15.75" customHeight="1">
      <c r="A951" s="64">
        <v>45462.0</v>
      </c>
      <c r="B951" s="55" t="str">
        <f>HYPERLINK("https://jobright.ai/jobs/info/66745e496d0c13fd67e49684?utm_campaign=1058&amp;utm_source=sheet", "Apply")</f>
        <v>Apply</v>
      </c>
      <c r="C951" s="10" t="s">
        <v>21661</v>
      </c>
      <c r="D951" s="56" t="s">
        <v>4448</v>
      </c>
      <c r="E951" s="10" t="s">
        <v>71</v>
      </c>
      <c r="F951" s="10" t="s">
        <v>4449</v>
      </c>
      <c r="G951" s="10" t="s">
        <v>20609</v>
      </c>
      <c r="H951" s="10" t="s">
        <v>21674</v>
      </c>
      <c r="I951" s="10" t="s">
        <v>55</v>
      </c>
      <c r="K951" s="10" t="s">
        <v>4450</v>
      </c>
      <c r="L951" s="10" t="s">
        <v>42</v>
      </c>
    </row>
    <row r="952" ht="15.75" customHeight="1">
      <c r="A952" s="64">
        <v>45462.0</v>
      </c>
      <c r="B952" s="55" t="str">
        <f>HYPERLINK("https://jobright.ai/jobs/info/66746b11afaefe573cacf6be?utm_campaign=1058&amp;utm_source=sheet", "Apply")</f>
        <v>Apply</v>
      </c>
      <c r="C952" s="10" t="s">
        <v>21661</v>
      </c>
      <c r="D952" s="56" t="s">
        <v>4448</v>
      </c>
      <c r="E952" s="10" t="s">
        <v>71</v>
      </c>
      <c r="F952" s="10" t="s">
        <v>4449</v>
      </c>
      <c r="G952" s="10" t="s">
        <v>20609</v>
      </c>
      <c r="H952" s="10" t="s">
        <v>21286</v>
      </c>
      <c r="I952" s="10" t="s">
        <v>55</v>
      </c>
      <c r="K952" s="10" t="s">
        <v>4450</v>
      </c>
      <c r="L952" s="10" t="s">
        <v>42</v>
      </c>
    </row>
    <row r="953" ht="15.75" customHeight="1">
      <c r="A953" s="64">
        <v>45462.0</v>
      </c>
      <c r="B953" s="55" t="str">
        <f>HYPERLINK("https://jobright.ai/jobs/info/66759f6786a9490f868baef4?utm_campaign=1058&amp;utm_source=sheet", "Apply")</f>
        <v>Apply</v>
      </c>
      <c r="C953" s="10" t="s">
        <v>21675</v>
      </c>
      <c r="D953" s="56" t="s">
        <v>3645</v>
      </c>
      <c r="E953" s="10" t="s">
        <v>45</v>
      </c>
      <c r="F953" s="10" t="s">
        <v>1700</v>
      </c>
      <c r="G953" s="10" t="s">
        <v>20624</v>
      </c>
      <c r="H953" s="10" t="s">
        <v>938</v>
      </c>
      <c r="I953" s="10" t="s">
        <v>55</v>
      </c>
      <c r="K953" s="10" t="s">
        <v>19905</v>
      </c>
      <c r="L953" s="10" t="s">
        <v>42</v>
      </c>
    </row>
    <row r="954" ht="15.75" customHeight="1">
      <c r="A954" s="64">
        <v>45462.0</v>
      </c>
      <c r="B954" s="55" t="str">
        <f>HYPERLINK("https://jobright.ai/jobs/info/66744a8488040d7a1d92cbac?utm_campaign=1058&amp;utm_source=sheet", "Apply")</f>
        <v>Apply</v>
      </c>
      <c r="C954" s="10" t="s">
        <v>21676</v>
      </c>
      <c r="D954" s="56" t="s">
        <v>17797</v>
      </c>
      <c r="E954" s="10" t="s">
        <v>65</v>
      </c>
      <c r="F954" s="10" t="s">
        <v>1234</v>
      </c>
      <c r="G954" s="10" t="s">
        <v>20592</v>
      </c>
      <c r="H954" s="10" t="s">
        <v>96</v>
      </c>
      <c r="I954" s="10" t="s">
        <v>55</v>
      </c>
      <c r="J954" s="10" t="s">
        <v>21677</v>
      </c>
      <c r="K954" s="10" t="s">
        <v>21678</v>
      </c>
      <c r="L954" s="10" t="s">
        <v>42</v>
      </c>
    </row>
    <row r="955" ht="15.75" customHeight="1">
      <c r="A955" s="64">
        <v>45462.0</v>
      </c>
      <c r="B955" s="55" t="str">
        <f>HYPERLINK("https://jobright.ai/jobs/info/667acc78ed1008d97a686009?utm_campaign=1058&amp;utm_source=sheet", "Apply")</f>
        <v>Apply</v>
      </c>
      <c r="C955" s="10" t="s">
        <v>21679</v>
      </c>
      <c r="D955" s="56" t="s">
        <v>21680</v>
      </c>
      <c r="E955" s="10">
        <v>27.0</v>
      </c>
      <c r="G955" s="10" t="s">
        <v>20609</v>
      </c>
      <c r="H955" s="10" t="s">
        <v>7393</v>
      </c>
      <c r="I955" s="10" t="s">
        <v>55</v>
      </c>
      <c r="K955" s="10" t="s">
        <v>21681</v>
      </c>
      <c r="L955" s="10" t="s">
        <v>42</v>
      </c>
    </row>
    <row r="956" ht="15.75" customHeight="1">
      <c r="A956" s="64">
        <v>45462.0</v>
      </c>
      <c r="B956" s="55" t="str">
        <f>HYPERLINK("https://jobright.ai/jobs/info/66758a83e9630e29ff2141b3?utm_campaign=1058&amp;utm_source=sheet", "Apply")</f>
        <v>Apply</v>
      </c>
      <c r="C956" s="10" t="s">
        <v>21682</v>
      </c>
      <c r="D956" s="56" t="s">
        <v>3645</v>
      </c>
      <c r="E956" s="10" t="s">
        <v>45</v>
      </c>
      <c r="F956" s="10" t="s">
        <v>1700</v>
      </c>
      <c r="G956" s="10" t="s">
        <v>20624</v>
      </c>
      <c r="H956" s="10" t="s">
        <v>854</v>
      </c>
      <c r="I956" s="10" t="s">
        <v>55</v>
      </c>
      <c r="K956" s="10" t="s">
        <v>19905</v>
      </c>
      <c r="L956" s="10" t="s">
        <v>42</v>
      </c>
    </row>
    <row r="957" ht="15.75" customHeight="1">
      <c r="A957" s="64">
        <v>45462.0</v>
      </c>
      <c r="B957" s="55" t="str">
        <f>HYPERLINK("https://jobright.ai/jobs/info/6675818bb8ac7f4a9d6b97d8?utm_campaign=1058&amp;utm_source=sheet", "Apply")</f>
        <v>Apply</v>
      </c>
      <c r="C957" s="10" t="s">
        <v>21675</v>
      </c>
      <c r="D957" s="56" t="s">
        <v>3645</v>
      </c>
      <c r="E957" s="10" t="s">
        <v>45</v>
      </c>
      <c r="F957" s="10" t="s">
        <v>1700</v>
      </c>
      <c r="G957" s="10" t="s">
        <v>20624</v>
      </c>
      <c r="H957" s="10" t="s">
        <v>1029</v>
      </c>
      <c r="I957" s="10" t="s">
        <v>55</v>
      </c>
      <c r="K957" s="10" t="s">
        <v>19905</v>
      </c>
      <c r="L957" s="10" t="s">
        <v>42</v>
      </c>
    </row>
    <row r="958" ht="15.75" customHeight="1">
      <c r="A958" s="64">
        <v>45462.0</v>
      </c>
      <c r="B958" s="55" t="str">
        <f>HYPERLINK("https://jobright.ai/jobs/info/6675818bb8ac7f4a9d6b97f1?utm_campaign=1058&amp;utm_source=sheet", "Apply")</f>
        <v>Apply</v>
      </c>
      <c r="C958" s="10" t="s">
        <v>21682</v>
      </c>
      <c r="D958" s="56" t="s">
        <v>3645</v>
      </c>
      <c r="E958" s="10" t="s">
        <v>45</v>
      </c>
      <c r="F958" s="10" t="s">
        <v>1700</v>
      </c>
      <c r="G958" s="10" t="s">
        <v>20624</v>
      </c>
      <c r="H958" s="10" t="s">
        <v>505</v>
      </c>
      <c r="I958" s="10" t="s">
        <v>55</v>
      </c>
      <c r="K958" s="10" t="s">
        <v>19905</v>
      </c>
      <c r="L958" s="10" t="s">
        <v>42</v>
      </c>
    </row>
    <row r="959" ht="15.75" customHeight="1">
      <c r="A959" s="64">
        <v>45462.0</v>
      </c>
      <c r="B959" s="55" t="str">
        <f>HYPERLINK("https://jobright.ai/jobs/info/666cdc25631c0eca38a5f176?utm_campaign=1058&amp;utm_source=sheet", "Apply")</f>
        <v>Apply</v>
      </c>
      <c r="C959" s="10" t="s">
        <v>21683</v>
      </c>
      <c r="D959" s="56" t="s">
        <v>2202</v>
      </c>
      <c r="E959" s="10" t="s">
        <v>249</v>
      </c>
      <c r="F959" s="10" t="s">
        <v>1234</v>
      </c>
      <c r="G959" s="10" t="s">
        <v>20592</v>
      </c>
      <c r="H959" s="10" t="s">
        <v>2203</v>
      </c>
      <c r="I959" s="10" t="s">
        <v>55</v>
      </c>
      <c r="K959" s="10" t="s">
        <v>21684</v>
      </c>
      <c r="L959" s="10" t="s">
        <v>42</v>
      </c>
    </row>
    <row r="960" ht="15.75" customHeight="1">
      <c r="A960" s="64">
        <v>45462.0</v>
      </c>
      <c r="B960" s="55" t="str">
        <f>HYPERLINK("https://jobright.ai/jobs/info/667013a8be39a40bb5ec3635?utm_campaign=1058&amp;utm_source=sheet", "Apply")</f>
        <v>Apply</v>
      </c>
      <c r="C960" s="10" t="s">
        <v>21685</v>
      </c>
      <c r="D960" s="56" t="s">
        <v>16800</v>
      </c>
      <c r="E960" s="10" t="s">
        <v>45</v>
      </c>
      <c r="F960" s="10" t="s">
        <v>15603</v>
      </c>
      <c r="G960" s="10" t="s">
        <v>20592</v>
      </c>
      <c r="H960" s="10" t="s">
        <v>10840</v>
      </c>
      <c r="I960" s="10" t="s">
        <v>55</v>
      </c>
      <c r="K960" s="10" t="s">
        <v>16802</v>
      </c>
      <c r="L960" s="10" t="s">
        <v>42</v>
      </c>
    </row>
    <row r="961" ht="15.75" customHeight="1">
      <c r="A961" s="64">
        <v>45462.0</v>
      </c>
      <c r="B961" s="55" t="str">
        <f>HYPERLINK("https://jobright.ai/jobs/info/667005fc945d64a7331caca4?utm_campaign=1058&amp;utm_source=sheet", "Apply")</f>
        <v>Apply</v>
      </c>
      <c r="C961" s="10" t="s">
        <v>21686</v>
      </c>
      <c r="D961" s="56" t="s">
        <v>16800</v>
      </c>
      <c r="E961" s="10" t="s">
        <v>45</v>
      </c>
      <c r="F961" s="10" t="s">
        <v>15603</v>
      </c>
      <c r="G961" s="10" t="s">
        <v>20592</v>
      </c>
      <c r="H961" s="10" t="s">
        <v>16682</v>
      </c>
      <c r="I961" s="10" t="s">
        <v>55</v>
      </c>
      <c r="K961" s="10" t="s">
        <v>16802</v>
      </c>
      <c r="L961" s="10" t="s">
        <v>42</v>
      </c>
    </row>
    <row r="962" ht="15.75" customHeight="1">
      <c r="A962" s="64">
        <v>45462.0</v>
      </c>
      <c r="B962" s="55" t="str">
        <f>HYPERLINK("https://jobright.ai/jobs/info/6675c8823b408d33d560268b?utm_campaign=1058&amp;utm_source=sheet", "Apply")</f>
        <v>Apply</v>
      </c>
      <c r="C962" s="10" t="s">
        <v>21687</v>
      </c>
      <c r="D962" s="56" t="s">
        <v>15348</v>
      </c>
      <c r="E962" s="10">
        <v>333.0</v>
      </c>
      <c r="G962" s="10" t="s">
        <v>20592</v>
      </c>
      <c r="H962" s="10" t="s">
        <v>15349</v>
      </c>
      <c r="I962" s="10" t="s">
        <v>55</v>
      </c>
      <c r="K962" s="10" t="s">
        <v>21688</v>
      </c>
      <c r="L962" s="10" t="s">
        <v>42</v>
      </c>
    </row>
    <row r="963" ht="15.75" customHeight="1">
      <c r="A963" s="64">
        <v>45461.0</v>
      </c>
      <c r="B963" s="55" t="str">
        <f>HYPERLINK("https://jobright.ai/jobs/info/6672181b47d0a67405d0f64c?utm_campaign=1058&amp;utm_source=sheet", "Apply")</f>
        <v>Apply</v>
      </c>
      <c r="C963" s="10" t="s">
        <v>21689</v>
      </c>
      <c r="D963" s="56" t="s">
        <v>20684</v>
      </c>
      <c r="E963" s="10" t="s">
        <v>45</v>
      </c>
      <c r="F963" s="10" t="s">
        <v>2409</v>
      </c>
      <c r="G963" s="10" t="s">
        <v>20624</v>
      </c>
      <c r="H963" s="10" t="s">
        <v>3741</v>
      </c>
      <c r="I963" s="10" t="s">
        <v>55</v>
      </c>
      <c r="K963" s="10" t="s">
        <v>21690</v>
      </c>
      <c r="L963" s="10" t="s">
        <v>42</v>
      </c>
    </row>
    <row r="964" ht="15.75" customHeight="1">
      <c r="A964" s="64">
        <v>45461.0</v>
      </c>
      <c r="B964" s="55" t="str">
        <f>HYPERLINK("https://jobright.ai/jobs/info/6675ce6cfde6a7756c63634e?utm_campaign=1058&amp;utm_source=sheet", "Apply")</f>
        <v>Apply</v>
      </c>
      <c r="C964" s="10" t="s">
        <v>21691</v>
      </c>
      <c r="D964" s="56" t="s">
        <v>4448</v>
      </c>
      <c r="E964" s="10" t="s">
        <v>71</v>
      </c>
      <c r="F964" s="10" t="s">
        <v>4449</v>
      </c>
      <c r="G964" s="10" t="s">
        <v>20624</v>
      </c>
      <c r="H964" s="10" t="s">
        <v>21692</v>
      </c>
      <c r="I964" s="10" t="s">
        <v>55</v>
      </c>
      <c r="K964" s="10" t="s">
        <v>4450</v>
      </c>
      <c r="L964" s="10" t="s">
        <v>42</v>
      </c>
    </row>
    <row r="965" ht="15.75" customHeight="1">
      <c r="A965" s="64">
        <v>45461.0</v>
      </c>
      <c r="B965" s="55" t="str">
        <f>HYPERLINK("https://jobright.ai/jobs/info/6675c8d53b408d33d5602e0c?utm_campaign=1058&amp;utm_source=sheet", "Apply")</f>
        <v>Apply</v>
      </c>
      <c r="C965" s="10" t="s">
        <v>21693</v>
      </c>
      <c r="D965" s="56" t="s">
        <v>21694</v>
      </c>
      <c r="E965" s="10">
        <v>8.0</v>
      </c>
      <c r="G965" s="10" t="s">
        <v>20592</v>
      </c>
      <c r="H965" s="10" t="s">
        <v>21695</v>
      </c>
      <c r="I965" s="10" t="s">
        <v>55</v>
      </c>
      <c r="K965" s="10" t="s">
        <v>21696</v>
      </c>
      <c r="L965" s="10" t="s">
        <v>42</v>
      </c>
    </row>
    <row r="966" ht="15.75" customHeight="1">
      <c r="A966" s="64">
        <v>45461.0</v>
      </c>
      <c r="B966" s="55" t="str">
        <f>HYPERLINK("https://jobright.ai/jobs/info/6677b26ad57a2b58a480c9fa?utm_campaign=1058&amp;utm_source=sheet", "Apply")</f>
        <v>Apply</v>
      </c>
      <c r="C966" s="10" t="s">
        <v>21682</v>
      </c>
      <c r="D966" s="56" t="s">
        <v>3645</v>
      </c>
      <c r="E966" s="10" t="s">
        <v>45</v>
      </c>
      <c r="F966" s="10" t="s">
        <v>1700</v>
      </c>
      <c r="G966" s="10" t="s">
        <v>20624</v>
      </c>
      <c r="H966" s="10" t="s">
        <v>2909</v>
      </c>
      <c r="I966" s="10" t="s">
        <v>55</v>
      </c>
      <c r="K966" s="10" t="s">
        <v>19905</v>
      </c>
      <c r="L966" s="10" t="s">
        <v>42</v>
      </c>
    </row>
    <row r="967" ht="15.75" customHeight="1">
      <c r="A967" s="64">
        <v>45461.0</v>
      </c>
      <c r="B967" s="55" t="str">
        <f>HYPERLINK("https://jobright.ai/jobs/info/667477a8a404bed17039965e?utm_campaign=1058&amp;utm_source=sheet", "Apply")</f>
        <v>Apply</v>
      </c>
      <c r="C967" s="10" t="s">
        <v>21697</v>
      </c>
      <c r="D967" s="56" t="s">
        <v>4448</v>
      </c>
      <c r="E967" s="10" t="s">
        <v>71</v>
      </c>
      <c r="F967" s="10" t="s">
        <v>4449</v>
      </c>
      <c r="G967" s="10" t="s">
        <v>20624</v>
      </c>
      <c r="H967" s="10" t="s">
        <v>21698</v>
      </c>
      <c r="I967" s="10" t="s">
        <v>55</v>
      </c>
      <c r="K967" s="10" t="s">
        <v>4450</v>
      </c>
      <c r="L967" s="10" t="s">
        <v>42</v>
      </c>
    </row>
    <row r="968" ht="15.75" customHeight="1">
      <c r="A968" s="64">
        <v>45461.0</v>
      </c>
      <c r="B968" s="55" t="str">
        <f>HYPERLINK("https://jobright.ai/jobs/info/667477a8a404bed1703996d8?utm_campaign=1058&amp;utm_source=sheet", "Apply")</f>
        <v>Apply</v>
      </c>
      <c r="C968" s="10" t="s">
        <v>21697</v>
      </c>
      <c r="D968" s="56" t="s">
        <v>4448</v>
      </c>
      <c r="E968" s="10" t="s">
        <v>71</v>
      </c>
      <c r="F968" s="10" t="s">
        <v>4449</v>
      </c>
      <c r="G968" s="10" t="s">
        <v>20624</v>
      </c>
      <c r="H968" s="10" t="s">
        <v>21699</v>
      </c>
      <c r="I968" s="10" t="s">
        <v>55</v>
      </c>
      <c r="K968" s="10" t="s">
        <v>4450</v>
      </c>
      <c r="L968" s="10" t="s">
        <v>42</v>
      </c>
    </row>
    <row r="969" ht="15.75" customHeight="1">
      <c r="A969" s="64">
        <v>45461.0</v>
      </c>
      <c r="B969" s="55" t="str">
        <f>HYPERLINK("https://jobright.ai/jobs/info/6671e278e6c615480ce38bf7?utm_campaign=1058&amp;utm_source=sheet", "Apply")</f>
        <v>Apply</v>
      </c>
      <c r="C969" s="10" t="s">
        <v>21568</v>
      </c>
      <c r="D969" s="56" t="s">
        <v>15315</v>
      </c>
      <c r="E969" s="10" t="s">
        <v>45</v>
      </c>
      <c r="F969" s="10" t="s">
        <v>15316</v>
      </c>
      <c r="G969" s="10" t="s">
        <v>20592</v>
      </c>
      <c r="H969" s="10" t="s">
        <v>8727</v>
      </c>
      <c r="I969" s="10" t="s">
        <v>55</v>
      </c>
      <c r="K969" s="10" t="s">
        <v>21569</v>
      </c>
      <c r="L969" s="10" t="s">
        <v>42</v>
      </c>
    </row>
    <row r="970" ht="15.75" customHeight="1">
      <c r="A970" s="64">
        <v>45461.0</v>
      </c>
      <c r="B970" s="55" t="str">
        <f>HYPERLINK("https://jobright.ai/jobs/info/667477d6a404bed17039997b?utm_campaign=1058&amp;utm_source=sheet", "Apply")</f>
        <v>Apply</v>
      </c>
      <c r="C970" s="10" t="s">
        <v>20869</v>
      </c>
      <c r="D970" s="56" t="s">
        <v>20697</v>
      </c>
      <c r="E970" s="10" t="s">
        <v>209</v>
      </c>
      <c r="F970" s="10" t="s">
        <v>2617</v>
      </c>
      <c r="G970" s="10" t="s">
        <v>20592</v>
      </c>
      <c r="H970" s="10" t="s">
        <v>13196</v>
      </c>
      <c r="I970" s="10" t="s">
        <v>55</v>
      </c>
      <c r="J970" s="10" t="s">
        <v>20698</v>
      </c>
      <c r="K970" s="10" t="s">
        <v>21669</v>
      </c>
      <c r="L970" s="10" t="s">
        <v>42</v>
      </c>
    </row>
    <row r="971" ht="15.75" customHeight="1">
      <c r="A971" s="64">
        <v>45461.0</v>
      </c>
      <c r="B971" s="55" t="str">
        <f>HYPERLINK("https://jobright.ai/jobs/info/6671ceae3a5607a134ff3699?utm_campaign=1058&amp;utm_source=sheet", "Apply")</f>
        <v>Apply</v>
      </c>
      <c r="C971" s="10" t="s">
        <v>21700</v>
      </c>
      <c r="D971" s="56" t="s">
        <v>3645</v>
      </c>
      <c r="E971" s="10" t="s">
        <v>45</v>
      </c>
      <c r="F971" s="10" t="s">
        <v>1700</v>
      </c>
      <c r="G971" s="10" t="s">
        <v>20624</v>
      </c>
      <c r="H971" s="10" t="s">
        <v>21701</v>
      </c>
      <c r="I971" s="10" t="s">
        <v>55</v>
      </c>
      <c r="K971" s="10" t="s">
        <v>19905</v>
      </c>
      <c r="L971" s="10" t="s">
        <v>42</v>
      </c>
    </row>
    <row r="972" ht="15.75" customHeight="1">
      <c r="A972" s="64">
        <v>45461.0</v>
      </c>
      <c r="B972" s="55" t="str">
        <f>HYPERLINK("https://jobright.ai/jobs/info/667477d6a404bed1703999e2?utm_campaign=1058&amp;utm_source=sheet", "Apply")</f>
        <v>Apply</v>
      </c>
      <c r="C972" s="10" t="s">
        <v>21702</v>
      </c>
      <c r="D972" s="56" t="s">
        <v>4448</v>
      </c>
      <c r="E972" s="10" t="s">
        <v>71</v>
      </c>
      <c r="F972" s="10" t="s">
        <v>4449</v>
      </c>
      <c r="G972" s="10" t="s">
        <v>20624</v>
      </c>
      <c r="H972" s="10" t="s">
        <v>21692</v>
      </c>
      <c r="I972" s="10" t="s">
        <v>55</v>
      </c>
      <c r="K972" s="10" t="s">
        <v>4450</v>
      </c>
      <c r="L972" s="10" t="s">
        <v>42</v>
      </c>
    </row>
    <row r="973" ht="15.75" customHeight="1">
      <c r="A973" s="64">
        <v>45461.0</v>
      </c>
      <c r="B973" s="55" t="str">
        <f>HYPERLINK("https://jobright.ai/jobs/info/6671c6dceb6109503aa3ad78?utm_campaign=1058&amp;utm_source=sheet", "Apply")</f>
        <v>Apply</v>
      </c>
      <c r="C973" s="10" t="s">
        <v>21700</v>
      </c>
      <c r="D973" s="56" t="s">
        <v>3645</v>
      </c>
      <c r="E973" s="10" t="s">
        <v>45</v>
      </c>
      <c r="F973" s="10" t="s">
        <v>1700</v>
      </c>
      <c r="G973" s="10" t="s">
        <v>20624</v>
      </c>
      <c r="H973" s="10" t="s">
        <v>843</v>
      </c>
      <c r="I973" s="10" t="s">
        <v>55</v>
      </c>
      <c r="K973" s="10" t="s">
        <v>19905</v>
      </c>
      <c r="L973" s="10" t="s">
        <v>42</v>
      </c>
    </row>
    <row r="974" ht="15.75" customHeight="1">
      <c r="A974" s="64">
        <v>45461.0</v>
      </c>
      <c r="B974" s="55" t="str">
        <f>HYPERLINK("https://jobright.ai/jobs/info/66716e0619e1b94c19ca8e32?utm_campaign=1058&amp;utm_source=sheet", "Apply")</f>
        <v>Apply</v>
      </c>
      <c r="C974" s="10" t="s">
        <v>21703</v>
      </c>
      <c r="D974" s="56" t="s">
        <v>2157</v>
      </c>
      <c r="E974" s="10" t="s">
        <v>45</v>
      </c>
      <c r="F974" s="10" t="s">
        <v>2158</v>
      </c>
      <c r="G974" s="10" t="s">
        <v>20592</v>
      </c>
      <c r="H974" s="10" t="s">
        <v>628</v>
      </c>
      <c r="I974" s="10" t="s">
        <v>55</v>
      </c>
      <c r="J974" s="10" t="s">
        <v>21704</v>
      </c>
      <c r="K974" s="10" t="s">
        <v>21705</v>
      </c>
      <c r="L974" s="10" t="s">
        <v>42</v>
      </c>
    </row>
    <row r="975" ht="15.75" customHeight="1">
      <c r="A975" s="64">
        <v>45461.0</v>
      </c>
      <c r="B975" s="55" t="str">
        <f>HYPERLINK("https://jobright.ai/jobs/info/66710853a9f37447c9b49dd5?utm_campaign=1058&amp;utm_source=sheet", "Apply")</f>
        <v>Apply</v>
      </c>
      <c r="C975" s="10" t="s">
        <v>20597</v>
      </c>
      <c r="D975" s="56" t="s">
        <v>21706</v>
      </c>
      <c r="E975" s="10" t="s">
        <v>137</v>
      </c>
      <c r="F975" s="10" t="s">
        <v>21707</v>
      </c>
      <c r="G975" s="10" t="s">
        <v>20592</v>
      </c>
      <c r="H975" s="10" t="s">
        <v>21708</v>
      </c>
      <c r="I975" s="10" t="s">
        <v>55</v>
      </c>
      <c r="J975" s="10" t="s">
        <v>14835</v>
      </c>
      <c r="K975" s="10" t="s">
        <v>21709</v>
      </c>
      <c r="L975" s="10" t="s">
        <v>42</v>
      </c>
    </row>
    <row r="976" ht="15.75" customHeight="1">
      <c r="A976" s="64">
        <v>45460.0</v>
      </c>
      <c r="B976" s="55" t="str">
        <f>HYPERLINK("https://jobright.ai/jobs/info/66708cf827f2855eff25f895?utm_campaign=1058&amp;utm_source=sheet", "Apply")</f>
        <v>Apply</v>
      </c>
      <c r="C976" s="10" t="s">
        <v>21710</v>
      </c>
      <c r="D976" s="56" t="s">
        <v>20337</v>
      </c>
      <c r="E976" s="10">
        <v>12074.0</v>
      </c>
      <c r="G976" s="10" t="s">
        <v>20609</v>
      </c>
      <c r="H976" s="10" t="s">
        <v>4800</v>
      </c>
      <c r="I976" s="10" t="s">
        <v>55</v>
      </c>
      <c r="J976" s="10" t="s">
        <v>1984</v>
      </c>
      <c r="K976" s="10" t="s">
        <v>8297</v>
      </c>
      <c r="L976" s="10" t="s">
        <v>42</v>
      </c>
    </row>
    <row r="977" ht="15.75" customHeight="1">
      <c r="A977" s="64">
        <v>45460.0</v>
      </c>
      <c r="B977" s="55" t="str">
        <f>HYPERLINK("https://jobright.ai/jobs/info/66700d01e92e2bc2dce831e3?utm_campaign=1058&amp;utm_source=sheet", "Apply")</f>
        <v>Apply</v>
      </c>
      <c r="C977" s="10" t="s">
        <v>21711</v>
      </c>
      <c r="D977" s="56" t="s">
        <v>16800</v>
      </c>
      <c r="E977" s="10" t="s">
        <v>45</v>
      </c>
      <c r="F977" s="10" t="s">
        <v>15603</v>
      </c>
      <c r="G977" s="10" t="s">
        <v>20592</v>
      </c>
      <c r="H977" s="10" t="s">
        <v>7662</v>
      </c>
      <c r="I977" s="10" t="s">
        <v>55</v>
      </c>
      <c r="K977" s="10" t="s">
        <v>16975</v>
      </c>
      <c r="L977" s="10" t="s">
        <v>42</v>
      </c>
    </row>
    <row r="978" ht="15.75" customHeight="1">
      <c r="A978" s="64">
        <v>45460.0</v>
      </c>
      <c r="B978" s="55" t="str">
        <f>HYPERLINK("https://jobright.ai/jobs/info/666ff238c76a5d427a1484cf?utm_campaign=1058&amp;utm_source=sheet", "Apply")</f>
        <v>Apply</v>
      </c>
      <c r="C978" s="10" t="s">
        <v>21712</v>
      </c>
      <c r="D978" s="56" t="s">
        <v>16800</v>
      </c>
      <c r="E978" s="10" t="s">
        <v>45</v>
      </c>
      <c r="F978" s="10" t="s">
        <v>15603</v>
      </c>
      <c r="G978" s="10" t="s">
        <v>20592</v>
      </c>
      <c r="H978" s="10" t="s">
        <v>21713</v>
      </c>
      <c r="I978" s="10" t="s">
        <v>55</v>
      </c>
      <c r="K978" s="10" t="s">
        <v>16975</v>
      </c>
      <c r="L978" s="10" t="s">
        <v>42</v>
      </c>
    </row>
    <row r="979" ht="15.75" customHeight="1">
      <c r="A979" s="64">
        <v>45460.0</v>
      </c>
      <c r="B979" s="55" t="str">
        <f>HYPERLINK("https://jobright.ai/jobs/info/666ff238c76a5d427a1484ce?utm_campaign=1058&amp;utm_source=sheet", "Apply")</f>
        <v>Apply</v>
      </c>
      <c r="C979" s="10" t="s">
        <v>21712</v>
      </c>
      <c r="D979" s="56" t="s">
        <v>16800</v>
      </c>
      <c r="E979" s="10" t="s">
        <v>45</v>
      </c>
      <c r="F979" s="10" t="s">
        <v>15603</v>
      </c>
      <c r="G979" s="10" t="s">
        <v>20592</v>
      </c>
      <c r="H979" s="10" t="s">
        <v>21714</v>
      </c>
      <c r="I979" s="10" t="s">
        <v>55</v>
      </c>
      <c r="K979" s="10" t="s">
        <v>16975</v>
      </c>
      <c r="L979" s="10" t="s">
        <v>42</v>
      </c>
    </row>
    <row r="980" ht="15.75" customHeight="1">
      <c r="A980" s="64">
        <v>45460.0</v>
      </c>
      <c r="B980" s="55" t="str">
        <f>HYPERLINK("https://jobright.ai/jobs/info/666ff238c76a5d427a1484de?utm_campaign=1058&amp;utm_source=sheet", "Apply")</f>
        <v>Apply</v>
      </c>
      <c r="C980" s="10" t="s">
        <v>21712</v>
      </c>
      <c r="D980" s="56" t="s">
        <v>16800</v>
      </c>
      <c r="E980" s="10" t="s">
        <v>45</v>
      </c>
      <c r="F980" s="10" t="s">
        <v>15603</v>
      </c>
      <c r="G980" s="10" t="s">
        <v>20592</v>
      </c>
      <c r="H980" s="10" t="s">
        <v>21715</v>
      </c>
      <c r="I980" s="10" t="s">
        <v>55</v>
      </c>
      <c r="K980" s="10" t="s">
        <v>16975</v>
      </c>
      <c r="L980" s="10" t="s">
        <v>42</v>
      </c>
    </row>
    <row r="981" ht="15.75" customHeight="1">
      <c r="A981" s="64">
        <v>45460.0</v>
      </c>
      <c r="B981" s="55" t="str">
        <f>HYPERLINK("https://jobright.ai/jobs/info/666ff238c76a5d427a1484d2?utm_campaign=1058&amp;utm_source=sheet", "Apply")</f>
        <v>Apply</v>
      </c>
      <c r="C981" s="10" t="s">
        <v>21712</v>
      </c>
      <c r="D981" s="56" t="s">
        <v>16800</v>
      </c>
      <c r="E981" s="10" t="s">
        <v>45</v>
      </c>
      <c r="F981" s="10" t="s">
        <v>15603</v>
      </c>
      <c r="G981" s="10" t="s">
        <v>20592</v>
      </c>
      <c r="H981" s="10" t="s">
        <v>21716</v>
      </c>
      <c r="I981" s="10" t="s">
        <v>55</v>
      </c>
      <c r="K981" s="10" t="s">
        <v>16975</v>
      </c>
      <c r="L981" s="10" t="s">
        <v>42</v>
      </c>
    </row>
    <row r="982" ht="15.75" customHeight="1">
      <c r="A982" s="64">
        <v>45460.0</v>
      </c>
      <c r="B982" s="55" t="str">
        <f>HYPERLINK("https://jobright.ai/jobs/info/666ff238c76a5d427a1484dc?utm_campaign=1058&amp;utm_source=sheet", "Apply")</f>
        <v>Apply</v>
      </c>
      <c r="C982" s="10" t="s">
        <v>21712</v>
      </c>
      <c r="D982" s="56" t="s">
        <v>16800</v>
      </c>
      <c r="E982" s="10" t="s">
        <v>45</v>
      </c>
      <c r="F982" s="10" t="s">
        <v>15603</v>
      </c>
      <c r="G982" s="10" t="s">
        <v>20592</v>
      </c>
      <c r="H982" s="10" t="s">
        <v>21717</v>
      </c>
      <c r="I982" s="10" t="s">
        <v>55</v>
      </c>
      <c r="K982" s="10" t="s">
        <v>16975</v>
      </c>
      <c r="L982" s="10" t="s">
        <v>42</v>
      </c>
    </row>
    <row r="983" ht="15.75" customHeight="1">
      <c r="A983" s="64">
        <v>45460.0</v>
      </c>
      <c r="B983" s="55" t="str">
        <f>HYPERLINK("https://jobright.ai/jobs/info/666ff238c76a5d427a1484e3?utm_campaign=1058&amp;utm_source=sheet", "Apply")</f>
        <v>Apply</v>
      </c>
      <c r="C983" s="10" t="s">
        <v>21712</v>
      </c>
      <c r="D983" s="56" t="s">
        <v>16800</v>
      </c>
      <c r="E983" s="10" t="s">
        <v>45</v>
      </c>
      <c r="F983" s="10" t="s">
        <v>15603</v>
      </c>
      <c r="G983" s="10" t="s">
        <v>20592</v>
      </c>
      <c r="H983" s="10" t="s">
        <v>21718</v>
      </c>
      <c r="I983" s="10" t="s">
        <v>55</v>
      </c>
      <c r="K983" s="10" t="s">
        <v>16975</v>
      </c>
      <c r="L983" s="10" t="s">
        <v>42</v>
      </c>
    </row>
    <row r="984" ht="15.75" customHeight="1">
      <c r="A984" s="64">
        <v>45460.0</v>
      </c>
      <c r="B984" s="55" t="str">
        <f>HYPERLINK("https://jobright.ai/jobs/info/666ff238c76a5d427a1484e5?utm_campaign=1058&amp;utm_source=sheet", "Apply")</f>
        <v>Apply</v>
      </c>
      <c r="C984" s="10" t="s">
        <v>21712</v>
      </c>
      <c r="D984" s="56" t="s">
        <v>16800</v>
      </c>
      <c r="E984" s="10" t="s">
        <v>45</v>
      </c>
      <c r="F984" s="10" t="s">
        <v>15603</v>
      </c>
      <c r="G984" s="10" t="s">
        <v>20592</v>
      </c>
      <c r="H984" s="10" t="s">
        <v>21719</v>
      </c>
      <c r="I984" s="10" t="s">
        <v>55</v>
      </c>
      <c r="K984" s="10" t="s">
        <v>16975</v>
      </c>
      <c r="L984" s="10" t="s">
        <v>42</v>
      </c>
    </row>
    <row r="985" ht="15.75" customHeight="1">
      <c r="A985" s="64">
        <v>45460.0</v>
      </c>
      <c r="B985" s="55" t="str">
        <f>HYPERLINK("https://jobright.ai/jobs/info/666ff238c76a5d427a1484bf?utm_campaign=1058&amp;utm_source=sheet", "Apply")</f>
        <v>Apply</v>
      </c>
      <c r="C985" s="10" t="s">
        <v>21711</v>
      </c>
      <c r="D985" s="56" t="s">
        <v>16800</v>
      </c>
      <c r="E985" s="10" t="s">
        <v>45</v>
      </c>
      <c r="F985" s="10" t="s">
        <v>15603</v>
      </c>
      <c r="G985" s="10" t="s">
        <v>20592</v>
      </c>
      <c r="H985" s="10" t="s">
        <v>21720</v>
      </c>
      <c r="I985" s="10" t="s">
        <v>55</v>
      </c>
      <c r="K985" s="10" t="s">
        <v>16975</v>
      </c>
      <c r="L985" s="10" t="s">
        <v>42</v>
      </c>
    </row>
    <row r="986" ht="15.75" customHeight="1">
      <c r="A986" s="64">
        <v>45460.0</v>
      </c>
      <c r="B986" s="55" t="str">
        <f>HYPERLINK("https://jobright.ai/jobs/info/666ff238c76a5d427a1484d4?utm_campaign=1058&amp;utm_source=sheet", "Apply")</f>
        <v>Apply</v>
      </c>
      <c r="C986" s="10" t="s">
        <v>21712</v>
      </c>
      <c r="D986" s="56" t="s">
        <v>16800</v>
      </c>
      <c r="E986" s="10" t="s">
        <v>45</v>
      </c>
      <c r="F986" s="10" t="s">
        <v>15603</v>
      </c>
      <c r="G986" s="10" t="s">
        <v>20592</v>
      </c>
      <c r="H986" s="10" t="s">
        <v>21721</v>
      </c>
      <c r="I986" s="10" t="s">
        <v>55</v>
      </c>
      <c r="K986" s="10" t="s">
        <v>16975</v>
      </c>
      <c r="L986" s="10" t="s">
        <v>42</v>
      </c>
    </row>
    <row r="987" ht="15.75" customHeight="1">
      <c r="A987" s="64">
        <v>45460.0</v>
      </c>
      <c r="B987" s="55" t="str">
        <f>HYPERLINK("https://jobright.ai/jobs/info/666ff238c76a5d427a1484d6?utm_campaign=1058&amp;utm_source=sheet", "Apply")</f>
        <v>Apply</v>
      </c>
      <c r="C987" s="10" t="s">
        <v>21712</v>
      </c>
      <c r="D987" s="56" t="s">
        <v>16800</v>
      </c>
      <c r="E987" s="10" t="s">
        <v>45</v>
      </c>
      <c r="F987" s="10" t="s">
        <v>15603</v>
      </c>
      <c r="G987" s="10" t="s">
        <v>20592</v>
      </c>
      <c r="H987" s="10" t="s">
        <v>21722</v>
      </c>
      <c r="I987" s="10" t="s">
        <v>55</v>
      </c>
      <c r="K987" s="10" t="s">
        <v>16975</v>
      </c>
      <c r="L987" s="10" t="s">
        <v>42</v>
      </c>
    </row>
    <row r="988" ht="15.75" customHeight="1">
      <c r="A988" s="64">
        <v>45460.0</v>
      </c>
      <c r="B988" s="55" t="str">
        <f>HYPERLINK("https://jobright.ai/jobs/info/666ff238c76a5d427a1484d5?utm_campaign=1058&amp;utm_source=sheet", "Apply")</f>
        <v>Apply</v>
      </c>
      <c r="C988" s="10" t="s">
        <v>21712</v>
      </c>
      <c r="D988" s="56" t="s">
        <v>16800</v>
      </c>
      <c r="E988" s="10" t="s">
        <v>45</v>
      </c>
      <c r="F988" s="10" t="s">
        <v>15603</v>
      </c>
      <c r="G988" s="10" t="s">
        <v>20592</v>
      </c>
      <c r="H988" s="10" t="s">
        <v>21723</v>
      </c>
      <c r="I988" s="10" t="s">
        <v>55</v>
      </c>
      <c r="K988" s="10" t="s">
        <v>16975</v>
      </c>
      <c r="L988" s="10" t="s">
        <v>42</v>
      </c>
    </row>
    <row r="989" ht="15.75" customHeight="1">
      <c r="A989" s="64">
        <v>45460.0</v>
      </c>
      <c r="B989" s="55" t="str">
        <f>HYPERLINK("https://jobright.ai/jobs/info/666ff238c76a5d427a1484db?utm_campaign=1058&amp;utm_source=sheet", "Apply")</f>
        <v>Apply</v>
      </c>
      <c r="C989" s="10" t="s">
        <v>21712</v>
      </c>
      <c r="D989" s="56" t="s">
        <v>16800</v>
      </c>
      <c r="E989" s="10" t="s">
        <v>45</v>
      </c>
      <c r="F989" s="10" t="s">
        <v>15603</v>
      </c>
      <c r="G989" s="10" t="s">
        <v>20592</v>
      </c>
      <c r="H989" s="10" t="s">
        <v>21724</v>
      </c>
      <c r="I989" s="10" t="s">
        <v>55</v>
      </c>
      <c r="K989" s="10" t="s">
        <v>16975</v>
      </c>
      <c r="L989" s="10" t="s">
        <v>42</v>
      </c>
    </row>
    <row r="990" ht="15.75" customHeight="1">
      <c r="A990" s="64">
        <v>45460.0</v>
      </c>
      <c r="B990" s="55" t="str">
        <f>HYPERLINK("https://jobright.ai/jobs/info/666ff238c76a5d427a1484d8?utm_campaign=1058&amp;utm_source=sheet", "Apply")</f>
        <v>Apply</v>
      </c>
      <c r="C990" s="10" t="s">
        <v>21712</v>
      </c>
      <c r="D990" s="56" t="s">
        <v>16800</v>
      </c>
      <c r="E990" s="10" t="s">
        <v>45</v>
      </c>
      <c r="F990" s="10" t="s">
        <v>15603</v>
      </c>
      <c r="G990" s="10" t="s">
        <v>20592</v>
      </c>
      <c r="H990" s="10" t="s">
        <v>21725</v>
      </c>
      <c r="I990" s="10" t="s">
        <v>55</v>
      </c>
      <c r="K990" s="10" t="s">
        <v>16975</v>
      </c>
      <c r="L990" s="10" t="s">
        <v>42</v>
      </c>
    </row>
    <row r="991" ht="15.75" customHeight="1">
      <c r="A991" s="64">
        <v>45460.0</v>
      </c>
      <c r="B991" s="55" t="str">
        <f>HYPERLINK("https://jobright.ai/jobs/info/666ff238c76a5d427a1484c5?utm_campaign=1058&amp;utm_source=sheet", "Apply")</f>
        <v>Apply</v>
      </c>
      <c r="C991" s="10" t="s">
        <v>21726</v>
      </c>
      <c r="D991" s="56" t="s">
        <v>16800</v>
      </c>
      <c r="E991" s="10" t="s">
        <v>45</v>
      </c>
      <c r="F991" s="10" t="s">
        <v>15603</v>
      </c>
      <c r="G991" s="10" t="s">
        <v>20592</v>
      </c>
      <c r="H991" s="10" t="s">
        <v>21727</v>
      </c>
      <c r="I991" s="10" t="s">
        <v>55</v>
      </c>
      <c r="K991" s="10" t="s">
        <v>16975</v>
      </c>
      <c r="L991" s="10" t="s">
        <v>42</v>
      </c>
    </row>
    <row r="992" ht="15.75" customHeight="1">
      <c r="A992" s="64">
        <v>45460.0</v>
      </c>
      <c r="B992" s="55" t="str">
        <f>HYPERLINK("https://jobright.ai/jobs/info/666ff238c76a5d427a1484da?utm_campaign=1058&amp;utm_source=sheet", "Apply")</f>
        <v>Apply</v>
      </c>
      <c r="C992" s="10" t="s">
        <v>21712</v>
      </c>
      <c r="D992" s="56" t="s">
        <v>16800</v>
      </c>
      <c r="E992" s="10" t="s">
        <v>45</v>
      </c>
      <c r="F992" s="10" t="s">
        <v>15603</v>
      </c>
      <c r="G992" s="10" t="s">
        <v>20592</v>
      </c>
      <c r="H992" s="10" t="s">
        <v>21728</v>
      </c>
      <c r="I992" s="10" t="s">
        <v>55</v>
      </c>
      <c r="K992" s="10" t="s">
        <v>16975</v>
      </c>
      <c r="L992" s="10" t="s">
        <v>42</v>
      </c>
    </row>
    <row r="993" ht="15.75" customHeight="1">
      <c r="A993" s="64">
        <v>45460.0</v>
      </c>
      <c r="B993" s="55" t="str">
        <f>HYPERLINK("https://jobright.ai/jobs/info/666ff238c76a5d427a1484e1?utm_campaign=1058&amp;utm_source=sheet", "Apply")</f>
        <v>Apply</v>
      </c>
      <c r="C993" s="10" t="s">
        <v>21712</v>
      </c>
      <c r="D993" s="56" t="s">
        <v>16800</v>
      </c>
      <c r="E993" s="10" t="s">
        <v>45</v>
      </c>
      <c r="F993" s="10" t="s">
        <v>15603</v>
      </c>
      <c r="G993" s="10" t="s">
        <v>20592</v>
      </c>
      <c r="H993" s="10" t="s">
        <v>21729</v>
      </c>
      <c r="I993" s="10" t="s">
        <v>55</v>
      </c>
      <c r="K993" s="10" t="s">
        <v>16975</v>
      </c>
      <c r="L993" s="10" t="s">
        <v>42</v>
      </c>
    </row>
    <row r="994" ht="15.75" customHeight="1">
      <c r="A994" s="64">
        <v>45460.0</v>
      </c>
      <c r="B994" s="55" t="str">
        <f>HYPERLINK("https://jobright.ai/jobs/info/666ff238c76a5d427a1484dd?utm_campaign=1058&amp;utm_source=sheet", "Apply")</f>
        <v>Apply</v>
      </c>
      <c r="C994" s="10" t="s">
        <v>21712</v>
      </c>
      <c r="D994" s="56" t="s">
        <v>16800</v>
      </c>
      <c r="E994" s="10" t="s">
        <v>45</v>
      </c>
      <c r="F994" s="10" t="s">
        <v>15603</v>
      </c>
      <c r="G994" s="10" t="s">
        <v>20592</v>
      </c>
      <c r="H994" s="10" t="s">
        <v>21730</v>
      </c>
      <c r="I994" s="10" t="s">
        <v>55</v>
      </c>
      <c r="K994" s="10" t="s">
        <v>16975</v>
      </c>
      <c r="L994" s="10" t="s">
        <v>42</v>
      </c>
    </row>
    <row r="995" ht="15.75" customHeight="1">
      <c r="A995" s="64">
        <v>45460.0</v>
      </c>
      <c r="B995" s="55" t="str">
        <f>HYPERLINK("https://jobright.ai/jobs/info/666ff238c76a5d427a1484c1?utm_campaign=1058&amp;utm_source=sheet", "Apply")</f>
        <v>Apply</v>
      </c>
      <c r="C995" s="10" t="s">
        <v>21685</v>
      </c>
      <c r="D995" s="56" t="s">
        <v>16800</v>
      </c>
      <c r="E995" s="10" t="s">
        <v>45</v>
      </c>
      <c r="F995" s="10" t="s">
        <v>15603</v>
      </c>
      <c r="G995" s="10" t="s">
        <v>20592</v>
      </c>
      <c r="H995" s="10" t="s">
        <v>21731</v>
      </c>
      <c r="I995" s="10" t="s">
        <v>55</v>
      </c>
      <c r="K995" s="10" t="s">
        <v>16975</v>
      </c>
      <c r="L995" s="10" t="s">
        <v>42</v>
      </c>
    </row>
    <row r="996" ht="15.75" customHeight="1">
      <c r="A996" s="64">
        <v>45460.0</v>
      </c>
      <c r="B996" s="55" t="str">
        <f>HYPERLINK("https://jobright.ai/jobs/info/666ff238c76a5d427a1484e0?utm_campaign=1058&amp;utm_source=sheet", "Apply")</f>
        <v>Apply</v>
      </c>
      <c r="C996" s="10" t="s">
        <v>21712</v>
      </c>
      <c r="D996" s="56" t="s">
        <v>16800</v>
      </c>
      <c r="E996" s="10" t="s">
        <v>45</v>
      </c>
      <c r="F996" s="10" t="s">
        <v>15603</v>
      </c>
      <c r="G996" s="10" t="s">
        <v>20592</v>
      </c>
      <c r="H996" s="10" t="s">
        <v>21732</v>
      </c>
      <c r="I996" s="10" t="s">
        <v>55</v>
      </c>
      <c r="K996" s="10" t="s">
        <v>16975</v>
      </c>
      <c r="L996" s="10" t="s">
        <v>42</v>
      </c>
    </row>
    <row r="997" ht="15.75" customHeight="1">
      <c r="A997" s="64">
        <v>45460.0</v>
      </c>
      <c r="B997" s="55" t="str">
        <f>HYPERLINK("https://jobright.ai/jobs/info/666ff238c76a5d427a1484c6?utm_campaign=1058&amp;utm_source=sheet", "Apply")</f>
        <v>Apply</v>
      </c>
      <c r="C997" s="10" t="s">
        <v>21686</v>
      </c>
      <c r="D997" s="56" t="s">
        <v>16800</v>
      </c>
      <c r="E997" s="10" t="s">
        <v>45</v>
      </c>
      <c r="F997" s="10" t="s">
        <v>15603</v>
      </c>
      <c r="G997" s="10" t="s">
        <v>20592</v>
      </c>
      <c r="H997" s="10" t="s">
        <v>21733</v>
      </c>
      <c r="I997" s="10" t="s">
        <v>55</v>
      </c>
      <c r="K997" s="10" t="s">
        <v>16975</v>
      </c>
      <c r="L997" s="10" t="s">
        <v>42</v>
      </c>
    </row>
    <row r="998" ht="15.75" customHeight="1">
      <c r="A998" s="64">
        <v>45460.0</v>
      </c>
      <c r="B998" s="55" t="str">
        <f>HYPERLINK("https://jobright.ai/jobs/info/66727e4e8ce3decedf254171?utm_campaign=1058&amp;utm_source=sheet", "Apply")</f>
        <v>Apply</v>
      </c>
      <c r="C998" s="10" t="s">
        <v>21734</v>
      </c>
      <c r="D998" s="56" t="s">
        <v>15335</v>
      </c>
      <c r="E998" s="10" t="s">
        <v>249</v>
      </c>
      <c r="F998" s="10" t="s">
        <v>15336</v>
      </c>
      <c r="G998" s="10" t="s">
        <v>20609</v>
      </c>
      <c r="H998" s="10" t="s">
        <v>15337</v>
      </c>
      <c r="I998" s="10" t="s">
        <v>55</v>
      </c>
      <c r="K998" s="10" t="s">
        <v>21735</v>
      </c>
      <c r="L998" s="10" t="s">
        <v>42</v>
      </c>
    </row>
    <row r="999" ht="15.75" customHeight="1">
      <c r="A999" s="64">
        <v>45458.0</v>
      </c>
      <c r="B999" s="55" t="str">
        <f>HYPERLINK("https://jobright.ai/jobs/info/6677c3182b6ed5133f444d63?utm_campaign=1058&amp;utm_source=sheet", "Apply")</f>
        <v>Apply</v>
      </c>
      <c r="C999" s="10" t="s">
        <v>21736</v>
      </c>
      <c r="D999" s="56" t="s">
        <v>196</v>
      </c>
      <c r="E999" s="10" t="s">
        <v>71</v>
      </c>
      <c r="F999" s="10" t="s">
        <v>197</v>
      </c>
      <c r="G999" s="10" t="s">
        <v>20624</v>
      </c>
      <c r="H999" s="10" t="s">
        <v>193</v>
      </c>
      <c r="I999" s="10" t="s">
        <v>55</v>
      </c>
      <c r="K999" s="10" t="s">
        <v>8376</v>
      </c>
      <c r="L999" s="10" t="s">
        <v>42</v>
      </c>
    </row>
    <row r="1000" ht="15.75" customHeight="1">
      <c r="A1000" s="64">
        <v>45458.0</v>
      </c>
      <c r="B1000" s="55" t="str">
        <f>HYPERLINK("https://jobright.ai/jobs/info/6676cb790367cb83573cd94c?utm_campaign=1058&amp;utm_source=sheet", "Apply")</f>
        <v>Apply</v>
      </c>
      <c r="C1000" s="10" t="s">
        <v>21737</v>
      </c>
      <c r="D1000" s="56" t="s">
        <v>4448</v>
      </c>
      <c r="E1000" s="10" t="s">
        <v>71</v>
      </c>
      <c r="F1000" s="10" t="s">
        <v>4449</v>
      </c>
      <c r="G1000" s="10" t="s">
        <v>20624</v>
      </c>
      <c r="H1000" s="10" t="s">
        <v>21738</v>
      </c>
      <c r="I1000" s="10" t="s">
        <v>55</v>
      </c>
      <c r="K1000" s="10" t="s">
        <v>21739</v>
      </c>
      <c r="L1000" s="10" t="s">
        <v>42</v>
      </c>
    </row>
    <row r="1001" ht="15.75" customHeight="1">
      <c r="A1001" s="64">
        <v>45458.0</v>
      </c>
      <c r="B1001" s="55" t="str">
        <f>HYPERLINK("https://jobright.ai/jobs/info/665fbe13c4028d4876bfa0f6?utm_campaign=1058&amp;utm_source=sheet", "Apply")</f>
        <v>Apply</v>
      </c>
      <c r="C1001" s="10" t="s">
        <v>21740</v>
      </c>
      <c r="D1001" s="56" t="s">
        <v>21741</v>
      </c>
      <c r="E1001" s="10" t="s">
        <v>209</v>
      </c>
      <c r="F1001" s="10" t="s">
        <v>21742</v>
      </c>
      <c r="G1001" s="10" t="s">
        <v>20624</v>
      </c>
      <c r="H1001" s="10" t="s">
        <v>168</v>
      </c>
      <c r="I1001" s="10" t="s">
        <v>55</v>
      </c>
      <c r="J1001" s="10" t="s">
        <v>21743</v>
      </c>
      <c r="K1001" s="10" t="s">
        <v>21744</v>
      </c>
      <c r="L1001" s="10" t="s">
        <v>42</v>
      </c>
    </row>
    <row r="1002" ht="15.75" customHeight="1">
      <c r="A1002" s="64">
        <v>45458.0</v>
      </c>
      <c r="B1002" s="55" t="str">
        <f>HYPERLINK("https://jobright.ai/jobs/info/6676c27fc9dc0237d722ba3f?utm_campaign=1058&amp;utm_source=sheet", "Apply")</f>
        <v>Apply</v>
      </c>
      <c r="C1002" s="10" t="s">
        <v>21745</v>
      </c>
      <c r="D1002" s="56" t="s">
        <v>3645</v>
      </c>
      <c r="E1002" s="10" t="s">
        <v>45</v>
      </c>
      <c r="F1002" s="10" t="s">
        <v>1700</v>
      </c>
      <c r="G1002" s="10" t="s">
        <v>20624</v>
      </c>
      <c r="H1002" s="10" t="s">
        <v>144</v>
      </c>
      <c r="I1002" s="10" t="s">
        <v>55</v>
      </c>
      <c r="K1002" s="10" t="s">
        <v>19905</v>
      </c>
      <c r="L1002" s="10" t="s">
        <v>42</v>
      </c>
    </row>
    <row r="1003" ht="15.75" customHeight="1">
      <c r="A1003" s="64">
        <v>45458.0</v>
      </c>
      <c r="B1003" s="55" t="str">
        <f>HYPERLINK("https://jobright.ai/jobs/info/666d96ece33cd5cb0593d560?utm_campaign=1058&amp;utm_source=sheet", "Apply")</f>
        <v>Apply</v>
      </c>
      <c r="C1003" s="10" t="s">
        <v>21272</v>
      </c>
      <c r="D1003" s="56" t="s">
        <v>16997</v>
      </c>
      <c r="E1003" s="10" t="s">
        <v>45</v>
      </c>
      <c r="F1003" s="10" t="s">
        <v>16998</v>
      </c>
      <c r="G1003" s="10" t="s">
        <v>20624</v>
      </c>
      <c r="H1003" s="10" t="s">
        <v>4799</v>
      </c>
      <c r="I1003" s="10" t="s">
        <v>55</v>
      </c>
      <c r="K1003" s="10" t="s">
        <v>21746</v>
      </c>
      <c r="L1003" s="10" t="s">
        <v>42</v>
      </c>
    </row>
    <row r="1004" ht="15.75" customHeight="1">
      <c r="A1004" s="64">
        <v>45457.0</v>
      </c>
      <c r="B1004" s="55" t="str">
        <f>HYPERLINK("https://jobright.ai/jobs/info/6675d38e5e546ebdd783a69f?utm_campaign=1058&amp;utm_source=sheet", "Apply")</f>
        <v>Apply</v>
      </c>
      <c r="C1004" s="10" t="s">
        <v>21747</v>
      </c>
      <c r="D1004" s="56" t="s">
        <v>3645</v>
      </c>
      <c r="E1004" s="10" t="s">
        <v>45</v>
      </c>
      <c r="F1004" s="10" t="s">
        <v>1700</v>
      </c>
      <c r="G1004" s="10" t="s">
        <v>20624</v>
      </c>
      <c r="H1004" s="10" t="s">
        <v>423</v>
      </c>
      <c r="I1004" s="10" t="s">
        <v>55</v>
      </c>
      <c r="K1004" s="10" t="s">
        <v>19905</v>
      </c>
      <c r="L1004" s="10" t="s">
        <v>42</v>
      </c>
    </row>
    <row r="1005" ht="15.75" customHeight="1">
      <c r="A1005" s="64">
        <v>45457.0</v>
      </c>
      <c r="B1005" s="55" t="str">
        <f>HYPERLINK("https://jobright.ai/jobs/info/6675c39b2c5358baace994b0?utm_campaign=1058&amp;utm_source=sheet", "Apply")</f>
        <v>Apply</v>
      </c>
      <c r="C1005" s="10" t="s">
        <v>21737</v>
      </c>
      <c r="D1005" s="56" t="s">
        <v>4448</v>
      </c>
      <c r="E1005" s="10" t="s">
        <v>71</v>
      </c>
      <c r="F1005" s="10" t="s">
        <v>4449</v>
      </c>
      <c r="G1005" s="10" t="s">
        <v>20624</v>
      </c>
      <c r="H1005" s="10" t="s">
        <v>21748</v>
      </c>
      <c r="I1005" s="10" t="s">
        <v>55</v>
      </c>
      <c r="K1005" s="10" t="s">
        <v>21739</v>
      </c>
      <c r="L1005" s="10" t="s">
        <v>42</v>
      </c>
    </row>
    <row r="1006" ht="15.75" customHeight="1">
      <c r="A1006" s="64">
        <v>45457.0</v>
      </c>
      <c r="B1006" s="55" t="str">
        <f>HYPERLINK("https://jobright.ai/jobs/info/6675c3a62c5358baace99622?utm_campaign=1058&amp;utm_source=sheet", "Apply")</f>
        <v>Apply</v>
      </c>
      <c r="C1006" s="10" t="s">
        <v>21749</v>
      </c>
      <c r="D1006" s="56" t="s">
        <v>21750</v>
      </c>
      <c r="E1006" s="10" t="s">
        <v>45</v>
      </c>
      <c r="F1006" s="10" t="s">
        <v>2926</v>
      </c>
      <c r="G1006" s="10" t="s">
        <v>20592</v>
      </c>
      <c r="H1006" s="10" t="s">
        <v>21751</v>
      </c>
      <c r="I1006" s="10" t="s">
        <v>55</v>
      </c>
      <c r="K1006" s="10" t="s">
        <v>21752</v>
      </c>
      <c r="L1006" s="10" t="s">
        <v>42</v>
      </c>
    </row>
    <row r="1007" ht="15.75" customHeight="1">
      <c r="A1007" s="64">
        <v>45457.0</v>
      </c>
      <c r="B1007" s="55" t="str">
        <f>HYPERLINK("https://jobright.ai/jobs/info/666c76db9950332dd659bd6e?utm_campaign=1058&amp;utm_source=sheet", "Apply")</f>
        <v>Apply</v>
      </c>
      <c r="C1007" s="10" t="s">
        <v>21753</v>
      </c>
      <c r="D1007" s="56" t="s">
        <v>21234</v>
      </c>
      <c r="E1007" s="10">
        <v>1952.0</v>
      </c>
      <c r="G1007" s="10" t="s">
        <v>20624</v>
      </c>
      <c r="H1007" s="10" t="s">
        <v>1047</v>
      </c>
      <c r="I1007" s="10" t="s">
        <v>55</v>
      </c>
      <c r="K1007" s="10" t="s">
        <v>21754</v>
      </c>
      <c r="L1007" s="10" t="s">
        <v>42</v>
      </c>
    </row>
    <row r="1008" ht="15.75" customHeight="1">
      <c r="A1008" s="64">
        <v>45457.0</v>
      </c>
      <c r="B1008" s="55" t="str">
        <f>HYPERLINK("https://jobright.ai/jobs/info/666c770d9950332dd659c0b1?utm_campaign=1058&amp;utm_source=sheet", "Apply")</f>
        <v>Apply</v>
      </c>
      <c r="C1008" s="10" t="s">
        <v>10658</v>
      </c>
      <c r="D1008" s="56" t="s">
        <v>5159</v>
      </c>
      <c r="E1008" s="10" t="s">
        <v>45</v>
      </c>
      <c r="F1008" s="10" t="s">
        <v>1893</v>
      </c>
      <c r="G1008" s="10" t="s">
        <v>20592</v>
      </c>
      <c r="H1008" s="10" t="s">
        <v>965</v>
      </c>
      <c r="I1008" s="10" t="s">
        <v>55</v>
      </c>
      <c r="K1008" s="10" t="s">
        <v>21755</v>
      </c>
      <c r="L1008" s="10" t="s">
        <v>42</v>
      </c>
    </row>
    <row r="1009" ht="15.75" customHeight="1">
      <c r="A1009" s="64">
        <v>45457.0</v>
      </c>
      <c r="B1009" s="55" t="str">
        <f>HYPERLINK("https://jobright.ai/jobs/info/66758f72cf62a6c71414ddf3?utm_campaign=1058&amp;utm_source=sheet", "Apply")</f>
        <v>Apply</v>
      </c>
      <c r="C1009" s="10" t="s">
        <v>21670</v>
      </c>
      <c r="D1009" s="56" t="s">
        <v>3645</v>
      </c>
      <c r="E1009" s="10" t="s">
        <v>45</v>
      </c>
      <c r="F1009" s="10" t="s">
        <v>1700</v>
      </c>
      <c r="G1009" s="10" t="s">
        <v>20624</v>
      </c>
      <c r="H1009" s="10" t="s">
        <v>1007</v>
      </c>
      <c r="I1009" s="10" t="s">
        <v>55</v>
      </c>
      <c r="K1009" s="10" t="s">
        <v>19905</v>
      </c>
      <c r="L1009" s="10" t="s">
        <v>42</v>
      </c>
    </row>
    <row r="1010" ht="15.75" customHeight="1">
      <c r="A1010" s="64">
        <v>45457.0</v>
      </c>
      <c r="B1010" s="55" t="str">
        <f>HYPERLINK("https://jobright.ai/jobs/info/6672e7b9d742a3597e9ab724?utm_campaign=1058&amp;utm_source=sheet", "Apply")</f>
        <v>Apply</v>
      </c>
      <c r="C1010" s="10" t="s">
        <v>21756</v>
      </c>
      <c r="D1010" s="56" t="s">
        <v>4448</v>
      </c>
      <c r="E1010" s="10" t="s">
        <v>71</v>
      </c>
      <c r="F1010" s="10" t="s">
        <v>4449</v>
      </c>
      <c r="G1010" s="10" t="s">
        <v>20624</v>
      </c>
      <c r="H1010" s="10" t="s">
        <v>21672</v>
      </c>
      <c r="I1010" s="10" t="s">
        <v>55</v>
      </c>
      <c r="K1010" s="10" t="s">
        <v>21739</v>
      </c>
      <c r="L1010" s="10" t="s">
        <v>42</v>
      </c>
    </row>
    <row r="1011" ht="15.75" customHeight="1">
      <c r="A1011" s="64">
        <v>45457.0</v>
      </c>
      <c r="B1011" s="55" t="str">
        <f>HYPERLINK("https://jobright.ai/jobs/info/6675780673c7976a8f14c3ad?utm_campaign=1058&amp;utm_source=sheet", "Apply")</f>
        <v>Apply</v>
      </c>
      <c r="C1011" s="10" t="s">
        <v>21757</v>
      </c>
      <c r="D1011" s="56" t="s">
        <v>1364</v>
      </c>
      <c r="E1011" s="10" t="s">
        <v>137</v>
      </c>
      <c r="F1011" s="10" t="s">
        <v>1365</v>
      </c>
      <c r="G1011" s="10" t="s">
        <v>20624</v>
      </c>
      <c r="H1011" s="10" t="s">
        <v>113</v>
      </c>
      <c r="I1011" s="10" t="s">
        <v>55</v>
      </c>
      <c r="K1011" s="10" t="s">
        <v>21758</v>
      </c>
      <c r="L1011" s="10" t="s">
        <v>42</v>
      </c>
    </row>
    <row r="1012" ht="15.75" customHeight="1">
      <c r="A1012" s="64">
        <v>45457.0</v>
      </c>
      <c r="B1012" s="55" t="str">
        <f>HYPERLINK("https://jobright.ai/jobs/info/66756bc6e2a826d24a0e0598?utm_campaign=1058&amp;utm_source=sheet", "Apply")</f>
        <v>Apply</v>
      </c>
      <c r="C1012" s="10" t="s">
        <v>21759</v>
      </c>
      <c r="D1012" s="56" t="s">
        <v>21760</v>
      </c>
      <c r="G1012" s="10" t="s">
        <v>20592</v>
      </c>
      <c r="H1012" s="10" t="s">
        <v>4868</v>
      </c>
      <c r="I1012" s="10" t="s">
        <v>55</v>
      </c>
      <c r="K1012" s="10" t="s">
        <v>21761</v>
      </c>
      <c r="L1012" s="10" t="s">
        <v>42</v>
      </c>
    </row>
    <row r="1013" ht="15.75" customHeight="1">
      <c r="A1013" s="64">
        <v>45457.0</v>
      </c>
      <c r="B1013" s="55" t="str">
        <f>HYPERLINK("https://jobright.ai/jobs/info/666be905cb38dc6ee3e0f1ab?utm_campaign=1058&amp;utm_source=sheet", "Apply")</f>
        <v>Apply</v>
      </c>
      <c r="C1013" s="10" t="s">
        <v>21762</v>
      </c>
      <c r="D1013" s="56" t="s">
        <v>15302</v>
      </c>
      <c r="E1013" s="10" t="s">
        <v>71</v>
      </c>
      <c r="F1013" s="10" t="s">
        <v>15281</v>
      </c>
      <c r="G1013" s="10" t="s">
        <v>20592</v>
      </c>
      <c r="H1013" s="10" t="s">
        <v>902</v>
      </c>
      <c r="I1013" s="10" t="s">
        <v>55</v>
      </c>
      <c r="K1013" s="10" t="s">
        <v>21763</v>
      </c>
      <c r="L1013" s="10" t="s">
        <v>42</v>
      </c>
    </row>
    <row r="1014" ht="15.75" customHeight="1">
      <c r="A1014" s="64">
        <v>45456.0</v>
      </c>
      <c r="B1014" s="55" t="str">
        <f>HYPERLINK("https://jobright.ai/jobs/info/666b47915c2549fb6b38e0b8?utm_campaign=1058&amp;utm_source=sheet", "Apply")</f>
        <v>Apply</v>
      </c>
      <c r="C1014" s="10" t="s">
        <v>21764</v>
      </c>
      <c r="D1014" s="56" t="s">
        <v>2202</v>
      </c>
      <c r="E1014" s="10" t="s">
        <v>249</v>
      </c>
      <c r="F1014" s="10" t="s">
        <v>1234</v>
      </c>
      <c r="G1014" s="10" t="s">
        <v>20592</v>
      </c>
      <c r="H1014" s="10" t="s">
        <v>2203</v>
      </c>
      <c r="I1014" s="10" t="s">
        <v>55</v>
      </c>
      <c r="K1014" s="10" t="s">
        <v>21765</v>
      </c>
      <c r="L1014" s="10" t="s">
        <v>42</v>
      </c>
    </row>
    <row r="1015" ht="15.75" customHeight="1">
      <c r="A1015" s="64">
        <v>45456.0</v>
      </c>
      <c r="B1015" s="55" t="str">
        <f>HYPERLINK("https://jobright.ai/jobs/info/666b530afb7205891b4dd6f1?utm_campaign=1058&amp;utm_source=sheet", "Apply")</f>
        <v>Apply</v>
      </c>
      <c r="C1015" s="10" t="s">
        <v>21766</v>
      </c>
      <c r="D1015" s="56" t="s">
        <v>3645</v>
      </c>
      <c r="E1015" s="10" t="s">
        <v>45</v>
      </c>
      <c r="F1015" s="10" t="s">
        <v>1700</v>
      </c>
      <c r="G1015" s="10" t="s">
        <v>20624</v>
      </c>
      <c r="H1015" s="10" t="s">
        <v>762</v>
      </c>
      <c r="I1015" s="10" t="s">
        <v>55</v>
      </c>
      <c r="K1015" s="10" t="s">
        <v>19905</v>
      </c>
      <c r="L1015" s="10" t="s">
        <v>42</v>
      </c>
    </row>
    <row r="1016" ht="15.75" customHeight="1">
      <c r="A1016" s="64">
        <v>45456.0</v>
      </c>
      <c r="B1016" s="55" t="str">
        <f>HYPERLINK("https://jobright.ai/jobs/info/666b394389d295d4f2f2edd3?utm_campaign=1058&amp;utm_source=sheet", "Apply")</f>
        <v>Apply</v>
      </c>
      <c r="C1016" s="10" t="s">
        <v>21747</v>
      </c>
      <c r="D1016" s="56" t="s">
        <v>3645</v>
      </c>
      <c r="E1016" s="10" t="s">
        <v>45</v>
      </c>
      <c r="F1016" s="10" t="s">
        <v>1700</v>
      </c>
      <c r="G1016" s="10" t="s">
        <v>20624</v>
      </c>
      <c r="H1016" s="10" t="s">
        <v>216</v>
      </c>
      <c r="I1016" s="10" t="s">
        <v>55</v>
      </c>
      <c r="K1016" s="10" t="s">
        <v>19905</v>
      </c>
      <c r="L1016" s="10" t="s">
        <v>42</v>
      </c>
    </row>
    <row r="1017" ht="15.75" customHeight="1">
      <c r="A1017" s="64">
        <v>45456.0</v>
      </c>
      <c r="B1017" s="55" t="str">
        <f>HYPERLINK("https://jobright.ai/jobs/info/666b3d777a387139ef1f2543?utm_campaign=1058&amp;utm_source=sheet", "Apply")</f>
        <v>Apply</v>
      </c>
      <c r="C1017" s="10" t="s">
        <v>21766</v>
      </c>
      <c r="D1017" s="56" t="s">
        <v>3645</v>
      </c>
      <c r="E1017" s="10" t="s">
        <v>45</v>
      </c>
      <c r="F1017" s="10" t="s">
        <v>1700</v>
      </c>
      <c r="G1017" s="10" t="s">
        <v>20624</v>
      </c>
      <c r="H1017" s="10" t="s">
        <v>819</v>
      </c>
      <c r="I1017" s="10" t="s">
        <v>55</v>
      </c>
      <c r="K1017" s="10" t="s">
        <v>19905</v>
      </c>
      <c r="L1017" s="10" t="s">
        <v>42</v>
      </c>
    </row>
    <row r="1018" ht="15.75" customHeight="1">
      <c r="A1018" s="64">
        <v>45456.0</v>
      </c>
      <c r="B1018" s="55" t="str">
        <f>HYPERLINK("https://jobright.ai/jobs/info/666b30a18a84e6c4c01848ee?utm_campaign=1058&amp;utm_source=sheet", "Apply")</f>
        <v>Apply</v>
      </c>
      <c r="C1018" s="10" t="s">
        <v>21745</v>
      </c>
      <c r="D1018" s="56" t="s">
        <v>3645</v>
      </c>
      <c r="E1018" s="10" t="s">
        <v>45</v>
      </c>
      <c r="F1018" s="10" t="s">
        <v>1700</v>
      </c>
      <c r="G1018" s="10" t="s">
        <v>20624</v>
      </c>
      <c r="H1018" s="10" t="s">
        <v>4170</v>
      </c>
      <c r="I1018" s="10" t="s">
        <v>55</v>
      </c>
      <c r="K1018" s="10" t="s">
        <v>19905</v>
      </c>
      <c r="L1018" s="10" t="s">
        <v>42</v>
      </c>
    </row>
    <row r="1019" ht="15.75" customHeight="1">
      <c r="A1019" s="64">
        <v>45456.0</v>
      </c>
      <c r="B1019" s="55" t="str">
        <f>HYPERLINK("https://jobright.ai/jobs/info/666b3d777a387139ef1f2562?utm_campaign=1058&amp;utm_source=sheet", "Apply")</f>
        <v>Apply</v>
      </c>
      <c r="C1019" s="10" t="s">
        <v>21767</v>
      </c>
      <c r="D1019" s="56" t="s">
        <v>3645</v>
      </c>
      <c r="E1019" s="10" t="s">
        <v>45</v>
      </c>
      <c r="F1019" s="10" t="s">
        <v>1700</v>
      </c>
      <c r="G1019" s="10" t="s">
        <v>20624</v>
      </c>
      <c r="H1019" s="10" t="s">
        <v>966</v>
      </c>
      <c r="I1019" s="10" t="s">
        <v>55</v>
      </c>
      <c r="K1019" s="10" t="s">
        <v>19905</v>
      </c>
      <c r="L1019" s="10" t="s">
        <v>42</v>
      </c>
    </row>
    <row r="1020" ht="15.75" customHeight="1">
      <c r="A1020" s="64">
        <v>45455.0</v>
      </c>
      <c r="B1020" s="55" t="str">
        <f>HYPERLINK("https://jobright.ai/jobs/info/6669f93e206eeca2b342a750?utm_campaign=1058&amp;utm_source=sheet", "Apply")</f>
        <v>Apply</v>
      </c>
      <c r="C1020" s="10" t="s">
        <v>21768</v>
      </c>
      <c r="D1020" s="56" t="s">
        <v>2202</v>
      </c>
      <c r="E1020" s="10" t="s">
        <v>249</v>
      </c>
      <c r="F1020" s="10" t="s">
        <v>1234</v>
      </c>
      <c r="G1020" s="10" t="s">
        <v>20624</v>
      </c>
      <c r="H1020" s="10" t="s">
        <v>2203</v>
      </c>
      <c r="I1020" s="10" t="s">
        <v>55</v>
      </c>
      <c r="K1020" s="10" t="s">
        <v>2204</v>
      </c>
      <c r="L1020" s="10" t="s">
        <v>42</v>
      </c>
    </row>
    <row r="1021" ht="15.75" customHeight="1">
      <c r="A1021" s="64">
        <v>45455.0</v>
      </c>
      <c r="B1021" s="55" t="str">
        <f>HYPERLINK("https://jobright.ai/jobs/info/666a04200561b1d069fcd183?utm_campaign=1058&amp;utm_source=sheet", "Apply")</f>
        <v>Apply</v>
      </c>
      <c r="C1021" s="10" t="s">
        <v>21769</v>
      </c>
      <c r="D1021" s="56" t="s">
        <v>2202</v>
      </c>
      <c r="E1021" s="10" t="s">
        <v>249</v>
      </c>
      <c r="F1021" s="10" t="s">
        <v>1234</v>
      </c>
      <c r="G1021" s="10" t="s">
        <v>20624</v>
      </c>
      <c r="H1021" s="10" t="s">
        <v>2203</v>
      </c>
      <c r="I1021" s="10" t="s">
        <v>55</v>
      </c>
      <c r="K1021" s="10" t="s">
        <v>2204</v>
      </c>
      <c r="L1021" s="10" t="s">
        <v>42</v>
      </c>
    </row>
    <row r="1022" ht="15.75" customHeight="1">
      <c r="A1022" s="64">
        <v>45455.0</v>
      </c>
      <c r="B1022" s="55" t="str">
        <f>HYPERLINK("https://jobright.ai/jobs/info/66421d2270937fa3afb4915e?utm_campaign=1058&amp;utm_source=sheet", "Apply")</f>
        <v>Apply</v>
      </c>
      <c r="C1022" s="10" t="s">
        <v>15342</v>
      </c>
      <c r="D1022" s="56" t="s">
        <v>2202</v>
      </c>
      <c r="E1022" s="10" t="s">
        <v>249</v>
      </c>
      <c r="F1022" s="10" t="s">
        <v>1234</v>
      </c>
      <c r="G1022" s="10" t="s">
        <v>20624</v>
      </c>
      <c r="H1022" s="10" t="s">
        <v>2203</v>
      </c>
      <c r="I1022" s="10" t="s">
        <v>55</v>
      </c>
      <c r="K1022" s="10" t="s">
        <v>2204</v>
      </c>
      <c r="L1022" s="10" t="s">
        <v>42</v>
      </c>
    </row>
    <row r="1023" ht="15.75" customHeight="1">
      <c r="A1023" s="64">
        <v>45455.0</v>
      </c>
      <c r="B1023" s="55" t="str">
        <f>HYPERLINK("https://jobright.ai/jobs/info/6672f06d09fa87accf6a4d30?utm_campaign=1058&amp;utm_source=sheet", "Apply")</f>
        <v>Apply</v>
      </c>
      <c r="C1023" s="10" t="s">
        <v>21737</v>
      </c>
      <c r="D1023" s="56" t="s">
        <v>4448</v>
      </c>
      <c r="E1023" s="10" t="s">
        <v>71</v>
      </c>
      <c r="F1023" s="10" t="s">
        <v>4449</v>
      </c>
      <c r="G1023" s="10" t="s">
        <v>20624</v>
      </c>
      <c r="H1023" s="10" t="s">
        <v>2123</v>
      </c>
      <c r="I1023" s="10" t="s">
        <v>55</v>
      </c>
      <c r="K1023" s="10" t="s">
        <v>21739</v>
      </c>
      <c r="L1023" s="10" t="s">
        <v>42</v>
      </c>
    </row>
    <row r="1024" ht="15.75" customHeight="1">
      <c r="A1024" s="64">
        <v>45455.0</v>
      </c>
      <c r="B1024" s="55" t="str">
        <f>HYPERLINK("https://jobright.ai/jobs/info/664ceed781c2ac98bc134856?utm_campaign=1058&amp;utm_source=sheet", "Apply")</f>
        <v>Apply</v>
      </c>
      <c r="C1024" s="10" t="s">
        <v>20894</v>
      </c>
      <c r="D1024" s="56" t="s">
        <v>20895</v>
      </c>
      <c r="E1024" s="10" t="s">
        <v>45</v>
      </c>
      <c r="F1024" s="10" t="s">
        <v>20896</v>
      </c>
      <c r="G1024" s="10" t="s">
        <v>20592</v>
      </c>
      <c r="H1024" s="10" t="s">
        <v>969</v>
      </c>
      <c r="I1024" s="10" t="s">
        <v>55</v>
      </c>
      <c r="K1024" s="10" t="s">
        <v>20897</v>
      </c>
      <c r="L1024" s="10" t="s">
        <v>42</v>
      </c>
    </row>
    <row r="1025" ht="15.75" customHeight="1">
      <c r="A1025" s="64">
        <v>45455.0</v>
      </c>
      <c r="B1025" s="55" t="str">
        <f>HYPERLINK("https://jobright.ai/jobs/info/666a9cc77bb7de0f13cd945a?utm_campaign=1058&amp;utm_source=sheet", "Apply")</f>
        <v>Apply</v>
      </c>
      <c r="C1025" s="10" t="s">
        <v>20813</v>
      </c>
      <c r="D1025" s="56" t="s">
        <v>15315</v>
      </c>
      <c r="E1025" s="10" t="s">
        <v>45</v>
      </c>
      <c r="F1025" s="10" t="s">
        <v>15316</v>
      </c>
      <c r="G1025" s="10" t="s">
        <v>20592</v>
      </c>
      <c r="H1025" s="10" t="s">
        <v>21770</v>
      </c>
      <c r="I1025" s="10" t="s">
        <v>55</v>
      </c>
      <c r="K1025" s="10" t="s">
        <v>21569</v>
      </c>
      <c r="L1025" s="10" t="s">
        <v>42</v>
      </c>
    </row>
    <row r="1026" ht="15.75" customHeight="1">
      <c r="A1026" s="64">
        <v>45455.0</v>
      </c>
      <c r="B1026" s="55" t="str">
        <f>HYPERLINK("https://jobright.ai/jobs/info/666a541f2e0a56242cd634e8?utm_campaign=1058&amp;utm_source=sheet", "Apply")</f>
        <v>Apply</v>
      </c>
      <c r="C1026" s="10" t="s">
        <v>21771</v>
      </c>
      <c r="D1026" s="56" t="s">
        <v>21772</v>
      </c>
      <c r="E1026" s="10" t="s">
        <v>45</v>
      </c>
      <c r="F1026" s="10" t="s">
        <v>7760</v>
      </c>
      <c r="G1026" s="10" t="s">
        <v>20624</v>
      </c>
      <c r="H1026" s="10" t="s">
        <v>19244</v>
      </c>
      <c r="I1026" s="10" t="s">
        <v>55</v>
      </c>
      <c r="K1026" s="10" t="s">
        <v>21773</v>
      </c>
      <c r="L1026" s="10" t="s">
        <v>42</v>
      </c>
    </row>
    <row r="1027" ht="15.75" customHeight="1">
      <c r="A1027" s="64">
        <v>45455.0</v>
      </c>
      <c r="B1027" s="55" t="str">
        <f>HYPERLINK("https://jobright.ai/jobs/info/666a5c3db776bae6e34f3f94?utm_campaign=1058&amp;utm_source=sheet", "Apply")</f>
        <v>Apply</v>
      </c>
      <c r="C1027" s="10" t="s">
        <v>21774</v>
      </c>
      <c r="D1027" s="56" t="s">
        <v>11095</v>
      </c>
      <c r="E1027" s="10" t="s">
        <v>45</v>
      </c>
      <c r="F1027" s="10" t="s">
        <v>11096</v>
      </c>
      <c r="G1027" s="10" t="s">
        <v>20592</v>
      </c>
      <c r="H1027" s="10" t="s">
        <v>16721</v>
      </c>
      <c r="I1027" s="10" t="s">
        <v>55</v>
      </c>
      <c r="J1027" s="10" t="s">
        <v>20664</v>
      </c>
      <c r="K1027" s="10" t="s">
        <v>20613</v>
      </c>
      <c r="L1027" s="10" t="s">
        <v>42</v>
      </c>
    </row>
    <row r="1028" ht="15.75" customHeight="1">
      <c r="A1028" s="64">
        <v>45454.0</v>
      </c>
      <c r="B1028" s="55" t="str">
        <f>HYPERLINK("https://jobright.ai/jobs/info/6668eaba03ac5afee7b10311?utm_campaign=1058&amp;utm_source=sheet", "Apply")</f>
        <v>Apply</v>
      </c>
      <c r="C1028" s="10" t="s">
        <v>21775</v>
      </c>
      <c r="D1028" s="56" t="s">
        <v>21776</v>
      </c>
      <c r="E1028" s="10" t="s">
        <v>65</v>
      </c>
      <c r="F1028" s="10" t="s">
        <v>1234</v>
      </c>
      <c r="G1028" s="10" t="s">
        <v>20592</v>
      </c>
      <c r="H1028" s="10" t="s">
        <v>21777</v>
      </c>
      <c r="I1028" s="10" t="s">
        <v>55</v>
      </c>
      <c r="J1028" s="10" t="s">
        <v>1409</v>
      </c>
      <c r="K1028" s="10" t="s">
        <v>21778</v>
      </c>
      <c r="L1028" s="10" t="s">
        <v>42</v>
      </c>
    </row>
    <row r="1029" ht="15.75" customHeight="1">
      <c r="A1029" s="64">
        <v>45454.0</v>
      </c>
      <c r="B1029" s="55" t="str">
        <f>HYPERLINK("https://jobright.ai/jobs/info/667abede03ae0be6f1caff2a?utm_campaign=1058&amp;utm_source=sheet", "Apply")</f>
        <v>Apply</v>
      </c>
      <c r="C1029" s="10" t="s">
        <v>21779</v>
      </c>
      <c r="D1029" s="56" t="s">
        <v>6972</v>
      </c>
      <c r="E1029" s="10" t="s">
        <v>65</v>
      </c>
      <c r="F1029" s="10" t="s">
        <v>1485</v>
      </c>
      <c r="G1029" s="10" t="s">
        <v>20624</v>
      </c>
      <c r="H1029" s="10" t="s">
        <v>21780</v>
      </c>
      <c r="I1029" s="10" t="s">
        <v>55</v>
      </c>
      <c r="J1029" s="10" t="s">
        <v>21781</v>
      </c>
      <c r="K1029" s="10" t="s">
        <v>21782</v>
      </c>
      <c r="L1029" s="10" t="s">
        <v>42</v>
      </c>
    </row>
    <row r="1030" ht="15.75" customHeight="1">
      <c r="A1030" s="64">
        <v>45454.0</v>
      </c>
      <c r="B1030" s="55" t="str">
        <f>HYPERLINK("https://jobright.ai/jobs/info/667283038781854cc12ee945?utm_campaign=1058&amp;utm_source=sheet", "Apply")</f>
        <v>Apply</v>
      </c>
      <c r="C1030" s="10" t="s">
        <v>21734</v>
      </c>
      <c r="D1030" s="56" t="s">
        <v>15335</v>
      </c>
      <c r="E1030" s="10" t="s">
        <v>249</v>
      </c>
      <c r="F1030" s="10" t="s">
        <v>15336</v>
      </c>
      <c r="G1030" s="10" t="s">
        <v>20609</v>
      </c>
      <c r="H1030" s="10" t="s">
        <v>15337</v>
      </c>
      <c r="I1030" s="10" t="s">
        <v>55</v>
      </c>
      <c r="K1030" s="10" t="s">
        <v>21735</v>
      </c>
      <c r="L1030" s="10" t="s">
        <v>42</v>
      </c>
    </row>
    <row r="1031" ht="15.75" customHeight="1">
      <c r="A1031" s="64">
        <v>45453.0</v>
      </c>
      <c r="B1031" s="55" t="str">
        <f>HYPERLINK("https://jobright.ai/jobs/info/66592beefb1dd944df45ad4b?utm_campaign=1058&amp;utm_source=sheet", "Apply")</f>
        <v>Apply</v>
      </c>
      <c r="C1031" s="10" t="s">
        <v>21783</v>
      </c>
      <c r="D1031" s="56" t="s">
        <v>2202</v>
      </c>
      <c r="E1031" s="10" t="s">
        <v>249</v>
      </c>
      <c r="F1031" s="10" t="s">
        <v>1234</v>
      </c>
      <c r="G1031" s="10" t="s">
        <v>20592</v>
      </c>
      <c r="H1031" s="10" t="s">
        <v>2203</v>
      </c>
      <c r="I1031" s="10" t="s">
        <v>55</v>
      </c>
      <c r="K1031" s="10" t="s">
        <v>21784</v>
      </c>
      <c r="L1031" s="10" t="s">
        <v>42</v>
      </c>
    </row>
    <row r="1032" ht="15.75" customHeight="1">
      <c r="A1032" s="64">
        <v>45453.0</v>
      </c>
      <c r="B1032" s="55" t="str">
        <f>HYPERLINK("https://jobright.ai/jobs/info/66672cb5b5e2e46e1c4ffad3?utm_campaign=1058&amp;utm_source=sheet", "Apply")</f>
        <v>Apply</v>
      </c>
      <c r="C1032" s="10" t="s">
        <v>20931</v>
      </c>
      <c r="D1032" s="56" t="s">
        <v>17504</v>
      </c>
      <c r="E1032" s="10" t="s">
        <v>79</v>
      </c>
      <c r="F1032" s="10" t="s">
        <v>2824</v>
      </c>
      <c r="G1032" s="10" t="s">
        <v>20609</v>
      </c>
      <c r="H1032" s="10" t="s">
        <v>17505</v>
      </c>
      <c r="I1032" s="10" t="s">
        <v>55</v>
      </c>
      <c r="J1032" s="10" t="s">
        <v>12636</v>
      </c>
      <c r="K1032" s="10" t="s">
        <v>21785</v>
      </c>
      <c r="L1032" s="10" t="s">
        <v>42</v>
      </c>
    </row>
    <row r="1033" ht="15.75" customHeight="1">
      <c r="A1033" s="64">
        <v>45453.0</v>
      </c>
      <c r="B1033" s="55" t="str">
        <f>HYPERLINK("https://jobright.ai/jobs/info/6679784822283fc0c73387b6?utm_campaign=1058&amp;utm_source=sheet", "Apply")</f>
        <v>Apply</v>
      </c>
      <c r="C1033" s="10" t="s">
        <v>21786</v>
      </c>
      <c r="D1033" s="56" t="s">
        <v>21787</v>
      </c>
      <c r="E1033" s="10" t="s">
        <v>65</v>
      </c>
      <c r="F1033" s="10" t="s">
        <v>13595</v>
      </c>
      <c r="G1033" s="10" t="s">
        <v>20624</v>
      </c>
      <c r="H1033" s="10" t="s">
        <v>932</v>
      </c>
      <c r="I1033" s="10" t="s">
        <v>55</v>
      </c>
      <c r="K1033" s="10" t="s">
        <v>21788</v>
      </c>
      <c r="L1033" s="10" t="s">
        <v>42</v>
      </c>
    </row>
    <row r="1034" ht="15.75" customHeight="1">
      <c r="A1034" s="64">
        <v>45453.0</v>
      </c>
      <c r="B1034" s="55" t="str">
        <f>HYPERLINK("https://jobright.ai/jobs/info/666937c782917d36f1d901e7?utm_campaign=1058&amp;utm_source=sheet", "Apply")</f>
        <v>Apply</v>
      </c>
      <c r="C1034" s="10" t="s">
        <v>21789</v>
      </c>
      <c r="D1034" s="56" t="s">
        <v>13273</v>
      </c>
      <c r="E1034" s="10" t="s">
        <v>45</v>
      </c>
      <c r="F1034" s="10" t="s">
        <v>13274</v>
      </c>
      <c r="G1034" s="10" t="s">
        <v>20592</v>
      </c>
      <c r="H1034" s="10" t="s">
        <v>955</v>
      </c>
      <c r="I1034" s="10" t="s">
        <v>55</v>
      </c>
      <c r="K1034" s="10" t="s">
        <v>21790</v>
      </c>
      <c r="L1034" s="10" t="s">
        <v>42</v>
      </c>
    </row>
    <row r="1035" ht="15.75" customHeight="1">
      <c r="A1035" s="64">
        <v>45453.0</v>
      </c>
      <c r="B1035" s="55" t="str">
        <f>HYPERLINK("https://jobright.ai/jobs/info/6667ce8c0e75e6484ca3f1f2?utm_campaign=1058&amp;utm_source=sheet", "Apply")</f>
        <v>Apply</v>
      </c>
      <c r="C1035" s="10" t="s">
        <v>21791</v>
      </c>
      <c r="D1035" s="56" t="s">
        <v>1453</v>
      </c>
      <c r="E1035" s="10" t="s">
        <v>45</v>
      </c>
      <c r="F1035" s="10" t="s">
        <v>1454</v>
      </c>
      <c r="G1035" s="10" t="s">
        <v>20624</v>
      </c>
      <c r="H1035" s="10" t="s">
        <v>2247</v>
      </c>
      <c r="I1035" s="10" t="s">
        <v>55</v>
      </c>
      <c r="K1035" s="10" t="s">
        <v>21792</v>
      </c>
      <c r="L1035" s="10" t="s">
        <v>42</v>
      </c>
    </row>
    <row r="1036" ht="15.75" customHeight="1">
      <c r="A1036" s="64">
        <v>45451.0</v>
      </c>
      <c r="B1036" s="55" t="str">
        <f>HYPERLINK("https://jobright.ai/jobs/info/6677c86464f2e472ffd6421b?utm_campaign=1058&amp;utm_source=sheet", "Apply")</f>
        <v>Apply</v>
      </c>
      <c r="C1036" s="10" t="s">
        <v>21793</v>
      </c>
      <c r="D1036" s="56" t="s">
        <v>196</v>
      </c>
      <c r="E1036" s="10" t="s">
        <v>71</v>
      </c>
      <c r="F1036" s="10" t="s">
        <v>197</v>
      </c>
      <c r="G1036" s="10" t="s">
        <v>20592</v>
      </c>
      <c r="H1036" s="10" t="s">
        <v>193</v>
      </c>
      <c r="I1036" s="10" t="s">
        <v>55</v>
      </c>
      <c r="K1036" s="10" t="s">
        <v>21794</v>
      </c>
      <c r="L1036" s="10" t="s">
        <v>42</v>
      </c>
    </row>
    <row r="1037" ht="15.75" customHeight="1">
      <c r="A1037" s="64">
        <v>45451.0</v>
      </c>
      <c r="B1037" s="55" t="str">
        <f>HYPERLINK("https://jobright.ai/jobs/info/6677d7345793f82273cb3955?utm_campaign=1058&amp;utm_source=sheet", "Apply")</f>
        <v>Apply</v>
      </c>
      <c r="C1037" s="10" t="s">
        <v>21795</v>
      </c>
      <c r="D1037" s="56" t="s">
        <v>20215</v>
      </c>
      <c r="E1037" s="10" t="s">
        <v>71</v>
      </c>
      <c r="F1037" s="10" t="s">
        <v>20216</v>
      </c>
      <c r="G1037" s="10" t="s">
        <v>20592</v>
      </c>
      <c r="H1037" s="10" t="s">
        <v>17673</v>
      </c>
      <c r="I1037" s="10" t="s">
        <v>55</v>
      </c>
      <c r="J1037" s="10" t="s">
        <v>21796</v>
      </c>
      <c r="K1037" s="10" t="s">
        <v>21797</v>
      </c>
      <c r="L1037" s="10" t="s">
        <v>42</v>
      </c>
    </row>
    <row r="1038" ht="15.75" customHeight="1">
      <c r="A1038" s="64">
        <v>45450.0</v>
      </c>
      <c r="B1038" s="55" t="str">
        <f>HYPERLINK("https://jobright.ai/jobs/info/6675a7756fb7d4bb72dd7326?utm_campaign=1058&amp;utm_source=sheet", "Apply")</f>
        <v>Apply</v>
      </c>
      <c r="C1038" s="10" t="s">
        <v>21798</v>
      </c>
      <c r="D1038" s="56" t="s">
        <v>21799</v>
      </c>
      <c r="E1038" s="10" t="s">
        <v>249</v>
      </c>
      <c r="F1038" s="10" t="s">
        <v>1695</v>
      </c>
      <c r="G1038" s="10" t="s">
        <v>20592</v>
      </c>
      <c r="H1038" s="10" t="s">
        <v>1017</v>
      </c>
      <c r="I1038" s="10" t="s">
        <v>55</v>
      </c>
      <c r="K1038" s="10" t="s">
        <v>21800</v>
      </c>
      <c r="L1038" s="10" t="s">
        <v>42</v>
      </c>
    </row>
    <row r="1039" ht="15.75" customHeight="1">
      <c r="A1039" s="64">
        <v>45450.0</v>
      </c>
      <c r="B1039" s="55" t="str">
        <f>HYPERLINK("https://jobright.ai/jobs/info/6667d23e0e75e6484ca3fc15?utm_campaign=1058&amp;utm_source=sheet", "Apply")</f>
        <v>Apply</v>
      </c>
      <c r="C1039" s="10" t="s">
        <v>21801</v>
      </c>
      <c r="D1039" s="56" t="s">
        <v>21423</v>
      </c>
      <c r="E1039" s="10" t="s">
        <v>45</v>
      </c>
      <c r="F1039" s="10" t="s">
        <v>2409</v>
      </c>
      <c r="G1039" s="10" t="s">
        <v>20592</v>
      </c>
      <c r="H1039" s="10" t="s">
        <v>5398</v>
      </c>
      <c r="I1039" s="10" t="s">
        <v>55</v>
      </c>
      <c r="J1039" s="10" t="s">
        <v>4548</v>
      </c>
      <c r="K1039" s="10" t="s">
        <v>21802</v>
      </c>
      <c r="L1039" s="10" t="s">
        <v>42</v>
      </c>
    </row>
    <row r="1040" ht="15.75" customHeight="1">
      <c r="A1040" s="64">
        <v>45450.0</v>
      </c>
      <c r="B1040" s="55" t="str">
        <f>HYPERLINK("https://jobright.ai/jobs/info/6667d3220e75e6484ca3fe33?utm_campaign=1058&amp;utm_source=sheet", "Apply")</f>
        <v>Apply</v>
      </c>
      <c r="C1040" s="10" t="s">
        <v>21803</v>
      </c>
      <c r="D1040" s="56" t="s">
        <v>2273</v>
      </c>
      <c r="E1040" s="10" t="s">
        <v>45</v>
      </c>
      <c r="F1040" s="10" t="s">
        <v>2274</v>
      </c>
      <c r="G1040" s="10" t="s">
        <v>20624</v>
      </c>
      <c r="H1040" s="10" t="s">
        <v>2275</v>
      </c>
      <c r="I1040" s="10" t="s">
        <v>55</v>
      </c>
      <c r="K1040" s="10" t="s">
        <v>21804</v>
      </c>
      <c r="L1040" s="10" t="s">
        <v>42</v>
      </c>
    </row>
    <row r="1041" ht="15.75" customHeight="1">
      <c r="A1041" s="64">
        <v>45449.0</v>
      </c>
      <c r="B1041" s="55" t="str">
        <f>HYPERLINK("https://jobright.ai/jobs/info/66620ab4ca7d711e983d8608?utm_campaign=1058&amp;utm_source=sheet", "Apply")</f>
        <v>Apply</v>
      </c>
      <c r="C1041" s="10" t="s">
        <v>21805</v>
      </c>
      <c r="D1041" s="56" t="s">
        <v>3129</v>
      </c>
      <c r="E1041" s="10" t="s">
        <v>45</v>
      </c>
      <c r="F1041" s="10" t="s">
        <v>2409</v>
      </c>
      <c r="G1041" s="10" t="s">
        <v>20624</v>
      </c>
      <c r="H1041" s="10" t="s">
        <v>5991</v>
      </c>
      <c r="I1041" s="10" t="s">
        <v>55</v>
      </c>
      <c r="K1041" s="10" t="s">
        <v>21806</v>
      </c>
      <c r="L1041" s="10" t="s">
        <v>42</v>
      </c>
    </row>
    <row r="1042" ht="15.75" customHeight="1">
      <c r="A1042" s="64">
        <v>45449.0</v>
      </c>
      <c r="B1042" s="55" t="str">
        <f>HYPERLINK("https://jobright.ai/jobs/info/6661eaa71725212c997e90d5?utm_campaign=1058&amp;utm_source=sheet", "Apply")</f>
        <v>Apply</v>
      </c>
      <c r="C1042" s="10" t="s">
        <v>21807</v>
      </c>
      <c r="D1042" s="56" t="s">
        <v>1662</v>
      </c>
      <c r="E1042" s="10" t="s">
        <v>209</v>
      </c>
      <c r="F1042" s="10" t="s">
        <v>1663</v>
      </c>
      <c r="G1042" s="10" t="s">
        <v>20592</v>
      </c>
      <c r="H1042" s="10" t="s">
        <v>167</v>
      </c>
      <c r="I1042" s="10" t="s">
        <v>55</v>
      </c>
      <c r="J1042" s="10" t="s">
        <v>2234</v>
      </c>
      <c r="K1042" s="10" t="s">
        <v>20453</v>
      </c>
      <c r="L1042" s="10" t="s">
        <v>42</v>
      </c>
    </row>
    <row r="1043" ht="15.75" customHeight="1">
      <c r="A1043" s="64">
        <v>45449.0</v>
      </c>
      <c r="B1043" s="55" t="str">
        <f>HYPERLINK("https://jobright.ai/jobs/info/6661fce4eca34b283334950a?utm_campaign=1058&amp;utm_source=sheet", "Apply")</f>
        <v>Apply</v>
      </c>
      <c r="C1043" s="10" t="s">
        <v>21808</v>
      </c>
      <c r="D1043" s="56" t="s">
        <v>1662</v>
      </c>
      <c r="E1043" s="10" t="s">
        <v>209</v>
      </c>
      <c r="F1043" s="10" t="s">
        <v>1663</v>
      </c>
      <c r="G1043" s="10" t="s">
        <v>20609</v>
      </c>
      <c r="H1043" s="10" t="s">
        <v>167</v>
      </c>
      <c r="I1043" s="10" t="s">
        <v>48</v>
      </c>
      <c r="J1043" s="10" t="s">
        <v>1729</v>
      </c>
      <c r="K1043" s="10" t="s">
        <v>21809</v>
      </c>
      <c r="L1043" s="10" t="s">
        <v>42</v>
      </c>
    </row>
    <row r="1044" ht="15.75" customHeight="1">
      <c r="A1044" s="64">
        <v>45449.0</v>
      </c>
      <c r="B1044" s="55" t="str">
        <f>HYPERLINK("https://jobright.ai/jobs/info/666ad2ae05f14dc72483bd8c?utm_campaign=1058&amp;utm_source=sheet", "Apply")</f>
        <v>Apply</v>
      </c>
      <c r="C1044" s="10" t="s">
        <v>21810</v>
      </c>
      <c r="D1044" s="56" t="s">
        <v>284</v>
      </c>
      <c r="E1044" s="10" t="s">
        <v>45</v>
      </c>
      <c r="F1044" s="10" t="s">
        <v>285</v>
      </c>
      <c r="G1044" s="10" t="s">
        <v>20624</v>
      </c>
      <c r="H1044" s="10" t="s">
        <v>229</v>
      </c>
      <c r="I1044" s="10" t="s">
        <v>55</v>
      </c>
      <c r="K1044" s="10" t="s">
        <v>21811</v>
      </c>
      <c r="L1044" s="10" t="s">
        <v>42</v>
      </c>
    </row>
    <row r="1045" ht="15.75" customHeight="1">
      <c r="A1045" s="64">
        <v>45449.0</v>
      </c>
      <c r="B1045" s="55" t="str">
        <f>HYPERLINK("https://jobright.ai/jobs/info/6662272ab96c844a074b326d?utm_campaign=1058&amp;utm_source=sheet", "Apply")</f>
        <v>Apply</v>
      </c>
      <c r="C1045" s="10" t="s">
        <v>21812</v>
      </c>
      <c r="D1045" s="56" t="s">
        <v>14112</v>
      </c>
      <c r="E1045" s="10" t="s">
        <v>45</v>
      </c>
      <c r="F1045" s="10" t="s">
        <v>14113</v>
      </c>
      <c r="G1045" s="10" t="s">
        <v>20609</v>
      </c>
      <c r="H1045" s="10" t="s">
        <v>636</v>
      </c>
      <c r="I1045" s="10" t="s">
        <v>48</v>
      </c>
      <c r="K1045" s="10" t="s">
        <v>21813</v>
      </c>
      <c r="L1045" s="10" t="s">
        <v>42</v>
      </c>
    </row>
    <row r="1046" ht="15.75" customHeight="1">
      <c r="A1046" s="64">
        <v>45449.0</v>
      </c>
      <c r="B1046" s="55" t="str">
        <f>HYPERLINK("https://jobright.ai/jobs/info/6667d59d0e75e6484ca40546?utm_campaign=1058&amp;utm_source=sheet", "Apply")</f>
        <v>Apply</v>
      </c>
      <c r="C1046" s="10" t="s">
        <v>21814</v>
      </c>
      <c r="D1046" s="56" t="s">
        <v>17074</v>
      </c>
      <c r="E1046" s="10">
        <v>4581.0</v>
      </c>
      <c r="G1046" s="10" t="s">
        <v>20592</v>
      </c>
      <c r="H1046" s="10" t="s">
        <v>21815</v>
      </c>
      <c r="I1046" s="10" t="s">
        <v>55</v>
      </c>
      <c r="J1046" s="10" t="s">
        <v>4496</v>
      </c>
      <c r="K1046" s="10" t="s">
        <v>21816</v>
      </c>
      <c r="L1046" s="10" t="s">
        <v>42</v>
      </c>
    </row>
    <row r="1047" ht="15.75" customHeight="1">
      <c r="A1047" s="64">
        <v>45448.0</v>
      </c>
      <c r="B1047" s="55" t="str">
        <f>HYPERLINK("https://jobright.ai/jobs/info/6662e037fddc63def8c5f2d9?utm_campaign=1058&amp;utm_source=sheet", "Apply")</f>
        <v>Apply</v>
      </c>
      <c r="C1047" s="10" t="s">
        <v>21817</v>
      </c>
      <c r="D1047" s="56" t="s">
        <v>21818</v>
      </c>
      <c r="E1047" s="10" t="s">
        <v>209</v>
      </c>
      <c r="F1047" s="10" t="s">
        <v>21819</v>
      </c>
      <c r="G1047" s="10" t="s">
        <v>20592</v>
      </c>
      <c r="H1047" s="10" t="s">
        <v>5245</v>
      </c>
      <c r="I1047" s="10" t="s">
        <v>55</v>
      </c>
      <c r="K1047" s="10" t="s">
        <v>21820</v>
      </c>
      <c r="L1047" s="10" t="s">
        <v>42</v>
      </c>
    </row>
    <row r="1048" ht="15.75" customHeight="1">
      <c r="A1048" s="64">
        <v>45448.0</v>
      </c>
      <c r="B1048" s="55" t="str">
        <f>HYPERLINK("https://jobright.ai/jobs/info/664ed9ea11e7c2120d5ed088?utm_campaign=1058&amp;utm_source=sheet", "Apply")</f>
        <v>Apply</v>
      </c>
      <c r="C1048" s="10" t="s">
        <v>21821</v>
      </c>
      <c r="D1048" s="56" t="s">
        <v>7035</v>
      </c>
      <c r="E1048" s="10" t="s">
        <v>45</v>
      </c>
      <c r="F1048" s="10" t="s">
        <v>2824</v>
      </c>
      <c r="G1048" s="10" t="s">
        <v>20609</v>
      </c>
      <c r="H1048" s="10" t="s">
        <v>3218</v>
      </c>
      <c r="I1048" s="10" t="s">
        <v>55</v>
      </c>
      <c r="J1048" s="10" t="s">
        <v>7037</v>
      </c>
      <c r="K1048" s="10" t="s">
        <v>21822</v>
      </c>
      <c r="L1048" s="10" t="s">
        <v>42</v>
      </c>
    </row>
    <row r="1049" ht="15.75" customHeight="1">
      <c r="A1049" s="64">
        <v>45448.0</v>
      </c>
      <c r="B1049" s="55" t="str">
        <f>HYPERLINK("https://jobright.ai/jobs/info/6668090dd19f25c2c7cd0ebc?utm_campaign=1058&amp;utm_source=sheet", "Apply")</f>
        <v>Apply</v>
      </c>
      <c r="C1049" s="10" t="s">
        <v>21823</v>
      </c>
      <c r="D1049" s="56" t="s">
        <v>11095</v>
      </c>
      <c r="E1049" s="10" t="s">
        <v>45</v>
      </c>
      <c r="F1049" s="10" t="s">
        <v>11096</v>
      </c>
      <c r="G1049" s="10" t="s">
        <v>20592</v>
      </c>
      <c r="H1049" s="10" t="s">
        <v>16932</v>
      </c>
      <c r="I1049" s="10" t="s">
        <v>55</v>
      </c>
      <c r="J1049" s="10" t="s">
        <v>21824</v>
      </c>
      <c r="K1049" s="10" t="s">
        <v>21825</v>
      </c>
      <c r="L1049" s="10" t="s">
        <v>42</v>
      </c>
    </row>
    <row r="1050" ht="15.75" customHeight="1">
      <c r="A1050" s="64">
        <v>45447.0</v>
      </c>
      <c r="B1050" s="55" t="str">
        <f>HYPERLINK("https://jobright.ai/jobs/info/665f62e4d29f1fbd98c5070b?utm_campaign=1058&amp;utm_source=sheet", "Apply")</f>
        <v>Apply</v>
      </c>
      <c r="C1050" s="10" t="s">
        <v>21826</v>
      </c>
      <c r="D1050" s="56" t="s">
        <v>21827</v>
      </c>
      <c r="E1050" s="10" t="s">
        <v>45</v>
      </c>
      <c r="F1050" s="10" t="s">
        <v>2409</v>
      </c>
      <c r="G1050" s="10" t="s">
        <v>20624</v>
      </c>
      <c r="H1050" s="10" t="s">
        <v>994</v>
      </c>
      <c r="I1050" s="10" t="s">
        <v>55</v>
      </c>
      <c r="K1050" s="10" t="s">
        <v>21828</v>
      </c>
      <c r="L1050" s="10" t="s">
        <v>42</v>
      </c>
    </row>
    <row r="1051" ht="15.75" customHeight="1">
      <c r="A1051" s="64">
        <v>45447.0</v>
      </c>
      <c r="B1051" s="55" t="str">
        <f>HYPERLINK("https://jobright.ai/jobs/info/662409db19c6498be397bf34?utm_campaign=1058&amp;utm_source=sheet", "Apply")</f>
        <v>Apply</v>
      </c>
      <c r="C1051" s="10" t="s">
        <v>21740</v>
      </c>
      <c r="D1051" s="56" t="s">
        <v>21741</v>
      </c>
      <c r="E1051" s="10" t="s">
        <v>209</v>
      </c>
      <c r="F1051" s="10" t="s">
        <v>21742</v>
      </c>
      <c r="G1051" s="10" t="s">
        <v>20624</v>
      </c>
      <c r="H1051" s="10" t="s">
        <v>168</v>
      </c>
      <c r="I1051" s="10" t="s">
        <v>55</v>
      </c>
      <c r="J1051" s="10" t="s">
        <v>21743</v>
      </c>
      <c r="K1051" s="10" t="s">
        <v>21829</v>
      </c>
      <c r="L1051" s="10" t="s">
        <v>42</v>
      </c>
    </row>
    <row r="1052" ht="15.75" customHeight="1">
      <c r="A1052" s="64">
        <v>45447.0</v>
      </c>
      <c r="B1052" s="55" t="str">
        <f>HYPERLINK("https://jobright.ai/jobs/info/665eace4e9d88fa167143baf?utm_campaign=1058&amp;utm_source=sheet", "Apply")</f>
        <v>Apply</v>
      </c>
      <c r="C1052" s="10" t="s">
        <v>21830</v>
      </c>
      <c r="D1052" s="56" t="s">
        <v>12377</v>
      </c>
      <c r="E1052" s="10" t="s">
        <v>79</v>
      </c>
      <c r="G1052" s="10" t="s">
        <v>20592</v>
      </c>
      <c r="H1052" s="10" t="s">
        <v>12378</v>
      </c>
      <c r="I1052" s="10" t="s">
        <v>55</v>
      </c>
      <c r="J1052" s="10" t="s">
        <v>21454</v>
      </c>
      <c r="K1052" s="10" t="s">
        <v>21831</v>
      </c>
      <c r="L1052" s="10" t="s">
        <v>42</v>
      </c>
    </row>
    <row r="1053" ht="15.75" customHeight="1">
      <c r="A1053" s="64">
        <v>45447.0</v>
      </c>
      <c r="B1053" s="55" t="str">
        <f>HYPERLINK("https://jobright.ai/jobs/info/66681e3d1c2d3f9f50323dd3?utm_campaign=1058&amp;utm_source=sheet", "Apply")</f>
        <v>Apply</v>
      </c>
      <c r="C1053" s="10" t="s">
        <v>21832</v>
      </c>
      <c r="D1053" s="56" t="s">
        <v>1453</v>
      </c>
      <c r="E1053" s="10" t="s">
        <v>45</v>
      </c>
      <c r="F1053" s="10" t="s">
        <v>1454</v>
      </c>
      <c r="G1053" s="10" t="s">
        <v>20609</v>
      </c>
      <c r="H1053" s="10" t="s">
        <v>12336</v>
      </c>
      <c r="I1053" s="10" t="s">
        <v>48</v>
      </c>
      <c r="K1053" s="10" t="s">
        <v>21833</v>
      </c>
      <c r="L1053" s="10" t="s">
        <v>42</v>
      </c>
    </row>
    <row r="1054" ht="15.75" customHeight="1">
      <c r="A1054" s="64">
        <v>45447.0</v>
      </c>
      <c r="B1054" s="55" t="str">
        <f>HYPERLINK("https://jobright.ai/jobs/info/66629243d207c74779ac74bb?utm_campaign=1058&amp;utm_source=sheet", "Apply")</f>
        <v>Apply</v>
      </c>
      <c r="C1054" s="10" t="s">
        <v>21834</v>
      </c>
      <c r="D1054" s="56" t="s">
        <v>21835</v>
      </c>
      <c r="E1054" s="10" t="s">
        <v>249</v>
      </c>
      <c r="F1054" s="10" t="s">
        <v>21836</v>
      </c>
      <c r="G1054" s="10" t="s">
        <v>20624</v>
      </c>
      <c r="H1054" s="10" t="s">
        <v>2275</v>
      </c>
      <c r="I1054" s="10" t="s">
        <v>55</v>
      </c>
      <c r="K1054" s="10" t="s">
        <v>21837</v>
      </c>
      <c r="L1054" s="10" t="s">
        <v>42</v>
      </c>
    </row>
    <row r="1055" ht="15.75" customHeight="1">
      <c r="A1055" s="64">
        <v>45446.0</v>
      </c>
      <c r="B1055" s="55" t="str">
        <f>HYPERLINK("https://jobright.ai/jobs/info/66682c739d7e47024a77fd00?utm_campaign=1058&amp;utm_source=sheet", "Apply")</f>
        <v>Apply</v>
      </c>
      <c r="C1055" s="10" t="s">
        <v>21823</v>
      </c>
      <c r="D1055" s="56" t="s">
        <v>11095</v>
      </c>
      <c r="E1055" s="10" t="s">
        <v>45</v>
      </c>
      <c r="F1055" s="10" t="s">
        <v>11096</v>
      </c>
      <c r="G1055" s="10" t="s">
        <v>20592</v>
      </c>
      <c r="H1055" s="10" t="s">
        <v>1032</v>
      </c>
      <c r="I1055" s="10" t="s">
        <v>55</v>
      </c>
      <c r="J1055" s="10" t="s">
        <v>21824</v>
      </c>
      <c r="K1055" s="10" t="s">
        <v>21825</v>
      </c>
      <c r="L1055" s="10" t="s">
        <v>42</v>
      </c>
    </row>
    <row r="1056" ht="15.75" customHeight="1">
      <c r="A1056" s="64">
        <v>45446.0</v>
      </c>
      <c r="B1056" s="55" t="str">
        <f>HYPERLINK("https://jobright.ai/jobs/info/66682d0d9d7e47024a77ff1f?utm_campaign=1058&amp;utm_source=sheet", "Apply")</f>
        <v>Apply</v>
      </c>
      <c r="C1056" s="10" t="s">
        <v>21838</v>
      </c>
      <c r="D1056" s="56" t="s">
        <v>1453</v>
      </c>
      <c r="E1056" s="10" t="s">
        <v>45</v>
      </c>
      <c r="F1056" s="10" t="s">
        <v>1454</v>
      </c>
      <c r="G1056" s="10" t="s">
        <v>20624</v>
      </c>
      <c r="H1056" s="10" t="s">
        <v>2247</v>
      </c>
      <c r="I1056" s="10" t="s">
        <v>48</v>
      </c>
      <c r="K1056" s="10" t="s">
        <v>21839</v>
      </c>
      <c r="L1056" s="10" t="s">
        <v>42</v>
      </c>
    </row>
    <row r="1057" ht="15.75" customHeight="1">
      <c r="A1057" s="64">
        <v>45446.0</v>
      </c>
      <c r="B1057" s="55" t="str">
        <f>HYPERLINK("https://jobright.ai/jobs/info/66629267d207c74779ac7686?utm_campaign=1058&amp;utm_source=sheet", "Apply")</f>
        <v>Apply</v>
      </c>
      <c r="C1057" s="10" t="s">
        <v>21840</v>
      </c>
      <c r="D1057" s="56" t="s">
        <v>21841</v>
      </c>
      <c r="E1057" s="10" t="s">
        <v>65</v>
      </c>
      <c r="F1057" s="10" t="s">
        <v>21842</v>
      </c>
      <c r="G1057" s="10" t="s">
        <v>20624</v>
      </c>
      <c r="H1057" s="10" t="s">
        <v>1466</v>
      </c>
      <c r="I1057" s="10" t="s">
        <v>48</v>
      </c>
      <c r="K1057" s="10" t="s">
        <v>21843</v>
      </c>
      <c r="L1057" s="10" t="s">
        <v>42</v>
      </c>
    </row>
    <row r="1058" ht="15.75" customHeight="1">
      <c r="A1058" s="64">
        <v>45446.0</v>
      </c>
      <c r="B1058" s="55" t="str">
        <f>HYPERLINK("https://jobright.ai/jobs/info/6662925bd207c74779ac761a?utm_campaign=1058&amp;utm_source=sheet", "Apply")</f>
        <v>Apply</v>
      </c>
      <c r="C1058" s="10" t="s">
        <v>21844</v>
      </c>
      <c r="D1058" s="56" t="s">
        <v>5461</v>
      </c>
      <c r="E1058" s="10">
        <v>25.0</v>
      </c>
      <c r="G1058" s="10" t="s">
        <v>20624</v>
      </c>
      <c r="H1058" s="10" t="s">
        <v>983</v>
      </c>
      <c r="I1058" s="10" t="s">
        <v>55</v>
      </c>
      <c r="J1058" s="10" t="s">
        <v>1409</v>
      </c>
      <c r="K1058" s="10" t="s">
        <v>21845</v>
      </c>
      <c r="L1058" s="10" t="s">
        <v>42</v>
      </c>
    </row>
    <row r="1059" ht="15.75" customHeight="1">
      <c r="A1059" s="64">
        <v>45444.0</v>
      </c>
      <c r="B1059" s="55" t="str">
        <f>HYPERLINK("https://jobright.ai/jobs/info/6677d6b95793f82273cb30ce?utm_campaign=1058&amp;utm_source=sheet", "Apply")</f>
        <v>Apply</v>
      </c>
      <c r="C1059" s="10" t="s">
        <v>21846</v>
      </c>
      <c r="D1059" s="56" t="s">
        <v>21847</v>
      </c>
      <c r="E1059" s="10" t="s">
        <v>65</v>
      </c>
      <c r="F1059" s="10" t="s">
        <v>21848</v>
      </c>
      <c r="G1059" s="10" t="s">
        <v>20609</v>
      </c>
      <c r="H1059" s="10" t="s">
        <v>21849</v>
      </c>
      <c r="I1059" s="10" t="s">
        <v>55</v>
      </c>
      <c r="K1059" s="10" t="s">
        <v>21850</v>
      </c>
      <c r="L1059" s="10" t="s">
        <v>42</v>
      </c>
    </row>
    <row r="1060" ht="15.75" customHeight="1">
      <c r="A1060" s="64">
        <v>45444.0</v>
      </c>
      <c r="B1060" s="55" t="str">
        <f>HYPERLINK("https://jobright.ai/jobs/info/6662f378cf6330077502311f?utm_campaign=1058&amp;utm_source=sheet", "Apply")</f>
        <v>Apply</v>
      </c>
      <c r="C1060" s="10" t="s">
        <v>21334</v>
      </c>
      <c r="D1060" s="56" t="s">
        <v>2125</v>
      </c>
      <c r="E1060" s="10" t="s">
        <v>209</v>
      </c>
      <c r="F1060" s="10" t="s">
        <v>693</v>
      </c>
      <c r="G1060" s="10" t="s">
        <v>20624</v>
      </c>
      <c r="H1060" s="10" t="s">
        <v>10430</v>
      </c>
      <c r="I1060" s="10" t="s">
        <v>55</v>
      </c>
      <c r="K1060" s="10" t="s">
        <v>21851</v>
      </c>
      <c r="L1060" s="10" t="s">
        <v>42</v>
      </c>
    </row>
    <row r="1061" ht="15.75" customHeight="1">
      <c r="A1061" s="64">
        <v>45443.0</v>
      </c>
      <c r="B1061" s="55" t="str">
        <f>HYPERLINK("https://jobright.ai/jobs/info/665930663d10c7e42aba6950?utm_campaign=1058&amp;utm_source=sheet", "Apply")</f>
        <v>Apply</v>
      </c>
      <c r="C1061" s="10" t="s">
        <v>21852</v>
      </c>
      <c r="D1061" s="56" t="s">
        <v>21853</v>
      </c>
      <c r="E1061" s="10" t="s">
        <v>79</v>
      </c>
      <c r="F1061" s="10" t="s">
        <v>21854</v>
      </c>
      <c r="G1061" s="10" t="s">
        <v>20624</v>
      </c>
      <c r="H1061" s="10" t="s">
        <v>3314</v>
      </c>
      <c r="I1061" s="10" t="s">
        <v>55</v>
      </c>
      <c r="K1061" s="10" t="s">
        <v>21855</v>
      </c>
      <c r="L1061" s="10" t="s">
        <v>42</v>
      </c>
    </row>
    <row r="1062" ht="15.75" customHeight="1">
      <c r="A1062" s="64">
        <v>45443.0</v>
      </c>
      <c r="B1062" s="55" t="str">
        <f>HYPERLINK("https://jobright.ai/jobs/info/6675f3642617111d53a4452a?utm_campaign=1058&amp;utm_source=sheet", "Apply")</f>
        <v>Apply</v>
      </c>
      <c r="C1062" s="10" t="s">
        <v>20846</v>
      </c>
      <c r="D1062" s="56" t="s">
        <v>15315</v>
      </c>
      <c r="E1062" s="10" t="s">
        <v>45</v>
      </c>
      <c r="F1062" s="10" t="s">
        <v>15316</v>
      </c>
      <c r="G1062" s="10" t="s">
        <v>20624</v>
      </c>
      <c r="H1062" s="10" t="s">
        <v>21856</v>
      </c>
      <c r="I1062" s="10" t="s">
        <v>55</v>
      </c>
      <c r="K1062" s="10" t="s">
        <v>21569</v>
      </c>
      <c r="L1062" s="10" t="s">
        <v>42</v>
      </c>
    </row>
    <row r="1063" ht="15.75" customHeight="1">
      <c r="A1063" s="64">
        <v>45442.0</v>
      </c>
      <c r="B1063" s="55" t="str">
        <f>HYPERLINK("https://jobright.ai/jobs/info/66728f2b59024765d363c74e?utm_campaign=1058&amp;utm_source=sheet", "Apply")</f>
        <v>Apply</v>
      </c>
      <c r="C1063" s="10" t="s">
        <v>21857</v>
      </c>
      <c r="D1063" s="56" t="s">
        <v>21858</v>
      </c>
      <c r="E1063" s="10" t="s">
        <v>65</v>
      </c>
      <c r="F1063" s="10" t="s">
        <v>13595</v>
      </c>
      <c r="G1063" s="10" t="s">
        <v>20624</v>
      </c>
      <c r="H1063" s="10" t="s">
        <v>1130</v>
      </c>
      <c r="I1063" s="10" t="s">
        <v>55</v>
      </c>
      <c r="K1063" s="10" t="s">
        <v>21859</v>
      </c>
      <c r="L1063" s="10" t="s">
        <v>42</v>
      </c>
    </row>
    <row r="1064" ht="15.75" customHeight="1">
      <c r="A1064" s="64">
        <v>45442.0</v>
      </c>
      <c r="B1064" s="55" t="str">
        <f>HYPERLINK("https://jobright.ai/jobs/info/665d81552492096ac068ffb1?utm_campaign=1058&amp;utm_source=sheet", "Apply")</f>
        <v>Apply</v>
      </c>
      <c r="C1064" s="10" t="s">
        <v>21860</v>
      </c>
      <c r="D1064" s="56" t="s">
        <v>1491</v>
      </c>
      <c r="E1064" s="10" t="s">
        <v>71</v>
      </c>
      <c r="F1064" s="10" t="s">
        <v>1492</v>
      </c>
      <c r="G1064" s="10" t="s">
        <v>20624</v>
      </c>
      <c r="H1064" s="10" t="s">
        <v>252</v>
      </c>
      <c r="I1064" s="10" t="s">
        <v>48</v>
      </c>
      <c r="K1064" s="10" t="s">
        <v>21861</v>
      </c>
      <c r="L1064" s="10" t="s">
        <v>42</v>
      </c>
    </row>
    <row r="1065" ht="15.75" customHeight="1">
      <c r="A1065" s="64">
        <v>45441.0</v>
      </c>
      <c r="B1065" s="55" t="str">
        <f>HYPERLINK("https://jobright.ai/jobs/info/6657856402664855bc0fd955?utm_campaign=1058&amp;utm_source=sheet", "Apply")</f>
        <v>Apply</v>
      </c>
      <c r="C1065" s="10" t="s">
        <v>21862</v>
      </c>
      <c r="D1065" s="56" t="s">
        <v>3129</v>
      </c>
      <c r="E1065" s="10" t="s">
        <v>45</v>
      </c>
      <c r="F1065" s="10" t="s">
        <v>2409</v>
      </c>
      <c r="G1065" s="10" t="s">
        <v>20624</v>
      </c>
      <c r="H1065" s="10" t="s">
        <v>5991</v>
      </c>
      <c r="I1065" s="10" t="s">
        <v>55</v>
      </c>
      <c r="K1065" s="10" t="s">
        <v>21863</v>
      </c>
      <c r="L1065" s="10" t="s">
        <v>42</v>
      </c>
    </row>
    <row r="1066" ht="15.75" customHeight="1">
      <c r="A1066" s="64">
        <v>45441.0</v>
      </c>
      <c r="B1066" s="55" t="str">
        <f>HYPERLINK("https://jobright.ai/jobs/info/66578f4976b69f778e81596f?utm_campaign=1058&amp;utm_source=sheet", "Apply")</f>
        <v>Apply</v>
      </c>
      <c r="C1066" s="10" t="s">
        <v>21864</v>
      </c>
      <c r="D1066" s="56" t="s">
        <v>21865</v>
      </c>
      <c r="E1066" s="10">
        <v>122.0</v>
      </c>
      <c r="G1066" s="10" t="s">
        <v>20592</v>
      </c>
      <c r="H1066" s="10" t="s">
        <v>21866</v>
      </c>
      <c r="I1066" s="10" t="s">
        <v>55</v>
      </c>
      <c r="K1066" s="10" t="s">
        <v>21867</v>
      </c>
      <c r="L1066" s="10" t="s">
        <v>42</v>
      </c>
    </row>
    <row r="1067" ht="15.75" customHeight="1">
      <c r="A1067" s="64">
        <v>45441.0</v>
      </c>
      <c r="B1067" s="55" t="str">
        <f>HYPERLINK("https://jobright.ai/jobs/info/665d81602492096ac06900bc?utm_campaign=1058&amp;utm_source=sheet", "Apply")</f>
        <v>Apply</v>
      </c>
      <c r="C1067" s="10" t="s">
        <v>21868</v>
      </c>
      <c r="D1067" s="56" t="s">
        <v>21869</v>
      </c>
      <c r="E1067" s="10" t="s">
        <v>71</v>
      </c>
      <c r="F1067" s="10" t="s">
        <v>21870</v>
      </c>
      <c r="G1067" s="10" t="s">
        <v>20592</v>
      </c>
      <c r="H1067" s="10" t="s">
        <v>21871</v>
      </c>
      <c r="I1067" s="10" t="s">
        <v>48</v>
      </c>
      <c r="K1067" s="10" t="s">
        <v>21872</v>
      </c>
      <c r="L1067" s="10" t="s">
        <v>42</v>
      </c>
    </row>
    <row r="1068" ht="15.75" customHeight="1">
      <c r="A1068" s="64">
        <v>45440.0</v>
      </c>
      <c r="B1068" s="55" t="str">
        <f>HYPERLINK("https://jobright.ai/jobs/info/6646b8d6d7e269e028599f19?utm_campaign=1058&amp;utm_source=sheet", "Apply")</f>
        <v>Apply</v>
      </c>
      <c r="C1068" s="10" t="s">
        <v>21873</v>
      </c>
      <c r="D1068" s="56" t="s">
        <v>21874</v>
      </c>
      <c r="E1068" s="10" t="s">
        <v>45</v>
      </c>
      <c r="F1068" s="10" t="s">
        <v>15869</v>
      </c>
      <c r="G1068" s="10" t="s">
        <v>20592</v>
      </c>
      <c r="H1068" s="10" t="s">
        <v>994</v>
      </c>
      <c r="I1068" s="10" t="s">
        <v>55</v>
      </c>
      <c r="K1068" s="10" t="s">
        <v>21875</v>
      </c>
      <c r="L1068" s="10" t="s">
        <v>42</v>
      </c>
    </row>
    <row r="1069" ht="15.75" customHeight="1">
      <c r="A1069" s="64">
        <v>45440.0</v>
      </c>
      <c r="B1069" s="55" t="str">
        <f>HYPERLINK("https://jobright.ai/jobs/info/66561c24aeb54c2aad038f6f?utm_campaign=1058&amp;utm_source=sheet", "Apply")</f>
        <v>Apply</v>
      </c>
      <c r="C1069" s="10" t="s">
        <v>21876</v>
      </c>
      <c r="D1069" s="56" t="s">
        <v>284</v>
      </c>
      <c r="E1069" s="10" t="s">
        <v>45</v>
      </c>
      <c r="F1069" s="10" t="s">
        <v>285</v>
      </c>
      <c r="G1069" s="10" t="s">
        <v>20609</v>
      </c>
      <c r="H1069" s="10" t="s">
        <v>229</v>
      </c>
      <c r="I1069" s="10" t="s">
        <v>55</v>
      </c>
      <c r="K1069" s="10" t="s">
        <v>21877</v>
      </c>
      <c r="L1069" s="10" t="s">
        <v>42</v>
      </c>
    </row>
    <row r="1070" ht="15.75" customHeight="1">
      <c r="A1070" s="64">
        <v>45440.0</v>
      </c>
      <c r="B1070" s="55" t="str">
        <f>HYPERLINK("https://jobright.ai/jobs/info/66562de9e98acd41bfdd0838?utm_campaign=1058&amp;utm_source=sheet", "Apply")</f>
        <v>Apply</v>
      </c>
      <c r="C1070" s="10" t="s">
        <v>21878</v>
      </c>
      <c r="D1070" s="56" t="s">
        <v>5159</v>
      </c>
      <c r="E1070" s="10" t="s">
        <v>45</v>
      </c>
      <c r="F1070" s="10" t="s">
        <v>1893</v>
      </c>
      <c r="G1070" s="10" t="s">
        <v>20592</v>
      </c>
      <c r="H1070" s="10" t="s">
        <v>965</v>
      </c>
      <c r="I1070" s="10" t="s">
        <v>55</v>
      </c>
      <c r="K1070" s="10" t="s">
        <v>21879</v>
      </c>
      <c r="L1070" s="10" t="s">
        <v>42</v>
      </c>
    </row>
    <row r="1071" ht="15.75" customHeight="1">
      <c r="A1071" s="64">
        <v>45440.0</v>
      </c>
      <c r="B1071" s="55" t="str">
        <f>HYPERLINK("https://jobright.ai/jobs/info/667d6ebe52c05eba497b17a3?utm_campaign=1058&amp;utm_source=sheet", "Apply")</f>
        <v>Apply</v>
      </c>
      <c r="C1071" s="10" t="s">
        <v>21880</v>
      </c>
      <c r="D1071" s="56" t="s">
        <v>1502</v>
      </c>
      <c r="E1071" s="10">
        <v>10345.0</v>
      </c>
      <c r="G1071" s="10" t="s">
        <v>20624</v>
      </c>
      <c r="H1071" s="10" t="s">
        <v>106</v>
      </c>
      <c r="I1071" s="10" t="s">
        <v>55</v>
      </c>
      <c r="J1071" s="10" t="s">
        <v>15297</v>
      </c>
      <c r="K1071" s="10" t="s">
        <v>21881</v>
      </c>
      <c r="L1071" s="10" t="s">
        <v>42</v>
      </c>
    </row>
    <row r="1072" ht="15.75" customHeight="1">
      <c r="A1072" s="64">
        <v>45440.0</v>
      </c>
      <c r="B1072" s="55" t="str">
        <f>HYPERLINK("https://jobright.ai/jobs/info/667d50cc4180bfa316baa9f3?utm_campaign=1058&amp;utm_source=sheet", "Apply")</f>
        <v>Apply</v>
      </c>
      <c r="C1072" s="10" t="s">
        <v>10658</v>
      </c>
      <c r="D1072" s="56" t="s">
        <v>5159</v>
      </c>
      <c r="E1072" s="10" t="s">
        <v>45</v>
      </c>
      <c r="F1072" s="10" t="s">
        <v>1893</v>
      </c>
      <c r="G1072" s="10" t="s">
        <v>20592</v>
      </c>
      <c r="H1072" s="10" t="s">
        <v>965</v>
      </c>
      <c r="I1072" s="10" t="s">
        <v>55</v>
      </c>
      <c r="K1072" s="10" t="s">
        <v>21882</v>
      </c>
      <c r="L1072" s="10" t="s">
        <v>42</v>
      </c>
    </row>
    <row r="1073" ht="15.75" customHeight="1">
      <c r="A1073" s="64">
        <v>45438.0</v>
      </c>
      <c r="B1073" s="55" t="str">
        <f>HYPERLINK("https://jobright.ai/jobs/info/667aab45a579680bce9197e4?utm_campaign=1058&amp;utm_source=sheet", "Apply")</f>
        <v>Apply</v>
      </c>
      <c r="C1073" s="10" t="s">
        <v>21883</v>
      </c>
      <c r="D1073" s="56" t="s">
        <v>18017</v>
      </c>
      <c r="E1073" s="10" t="s">
        <v>65</v>
      </c>
      <c r="F1073" s="10" t="s">
        <v>3898</v>
      </c>
      <c r="G1073" s="10" t="s">
        <v>20592</v>
      </c>
      <c r="H1073" s="10" t="s">
        <v>21884</v>
      </c>
      <c r="I1073" s="10" t="s">
        <v>55</v>
      </c>
      <c r="K1073" s="10" t="s">
        <v>21885</v>
      </c>
      <c r="L1073" s="10" t="s">
        <v>42</v>
      </c>
    </row>
    <row r="1074" ht="15.75" customHeight="1">
      <c r="A1074" s="64">
        <v>45437.0</v>
      </c>
      <c r="B1074" s="55" t="str">
        <f>HYPERLINK("https://jobright.ai/jobs/info/6677ddebfbac42152a1474cb?utm_campaign=1058&amp;utm_source=sheet", "Apply")</f>
        <v>Apply</v>
      </c>
      <c r="C1074" s="10" t="s">
        <v>21886</v>
      </c>
      <c r="D1074" s="56" t="s">
        <v>5461</v>
      </c>
      <c r="E1074" s="10">
        <v>25.0</v>
      </c>
      <c r="G1074" s="10" t="s">
        <v>20624</v>
      </c>
      <c r="H1074" s="10" t="s">
        <v>958</v>
      </c>
      <c r="I1074" s="10" t="s">
        <v>55</v>
      </c>
      <c r="J1074" s="10" t="s">
        <v>1409</v>
      </c>
      <c r="K1074" s="10" t="s">
        <v>21887</v>
      </c>
      <c r="L1074" s="10" t="s">
        <v>42</v>
      </c>
    </row>
    <row r="1075" ht="15.75" customHeight="1">
      <c r="A1075" s="64">
        <v>45437.0</v>
      </c>
      <c r="B1075" s="55" t="str">
        <f>HYPERLINK("https://jobright.ai/jobs/info/6677de24fbac42152a147954?utm_campaign=1058&amp;utm_source=sheet", "Apply")</f>
        <v>Apply</v>
      </c>
      <c r="C1075" s="10" t="s">
        <v>21888</v>
      </c>
      <c r="D1075" s="56" t="s">
        <v>21889</v>
      </c>
      <c r="E1075" s="10" t="s">
        <v>249</v>
      </c>
      <c r="F1075" s="10" t="s">
        <v>2409</v>
      </c>
      <c r="G1075" s="10" t="s">
        <v>20624</v>
      </c>
      <c r="H1075" s="10" t="s">
        <v>967</v>
      </c>
      <c r="I1075" s="10" t="s">
        <v>55</v>
      </c>
      <c r="K1075" s="10" t="s">
        <v>21890</v>
      </c>
      <c r="L1075" s="10" t="s">
        <v>42</v>
      </c>
    </row>
    <row r="1076" ht="15.75" customHeight="1">
      <c r="A1076" s="64">
        <v>45436.0</v>
      </c>
      <c r="B1076" s="55" t="str">
        <f>HYPERLINK("https://jobright.ai/jobs/info/6651101261bb8b7eb53a128e?utm_campaign=1058&amp;utm_source=sheet", "Apply")</f>
        <v>Apply</v>
      </c>
      <c r="C1076" s="10" t="s">
        <v>21891</v>
      </c>
      <c r="D1076" s="56" t="s">
        <v>21452</v>
      </c>
      <c r="E1076" s="10" t="s">
        <v>45</v>
      </c>
      <c r="F1076" s="10" t="s">
        <v>2409</v>
      </c>
      <c r="G1076" s="10" t="s">
        <v>20624</v>
      </c>
      <c r="H1076" s="10" t="s">
        <v>785</v>
      </c>
      <c r="I1076" s="10" t="s">
        <v>55</v>
      </c>
      <c r="K1076" s="10" t="s">
        <v>21754</v>
      </c>
      <c r="L1076" s="10" t="s">
        <v>42</v>
      </c>
    </row>
    <row r="1077" ht="15.75" customHeight="1">
      <c r="A1077" s="64">
        <v>45436.0</v>
      </c>
      <c r="B1077" s="55" t="str">
        <f>HYPERLINK("https://jobright.ai/jobs/info/66510835e3fed1d91cdc47c6?utm_campaign=1058&amp;utm_source=sheet", "Apply")</f>
        <v>Apply</v>
      </c>
      <c r="C1077" s="10" t="s">
        <v>21891</v>
      </c>
      <c r="D1077" s="56" t="s">
        <v>21892</v>
      </c>
      <c r="E1077" s="10" t="s">
        <v>65</v>
      </c>
      <c r="F1077" s="10" t="s">
        <v>2409</v>
      </c>
      <c r="G1077" s="10" t="s">
        <v>20624</v>
      </c>
      <c r="H1077" s="10" t="s">
        <v>785</v>
      </c>
      <c r="I1077" s="10" t="s">
        <v>55</v>
      </c>
      <c r="K1077" s="10" t="s">
        <v>21754</v>
      </c>
      <c r="L1077" s="10" t="s">
        <v>42</v>
      </c>
    </row>
    <row r="1078" ht="15.75" customHeight="1">
      <c r="A1078" s="64">
        <v>45436.0</v>
      </c>
      <c r="B1078" s="55" t="str">
        <f>HYPERLINK("https://jobright.ai/jobs/info/6650e1caa19708e4f1efb98b?utm_campaign=1058&amp;utm_source=sheet", "Apply")</f>
        <v>Apply</v>
      </c>
      <c r="C1078" s="10" t="s">
        <v>21876</v>
      </c>
      <c r="D1078" s="56" t="s">
        <v>284</v>
      </c>
      <c r="E1078" s="10" t="s">
        <v>45</v>
      </c>
      <c r="F1078" s="10" t="s">
        <v>285</v>
      </c>
      <c r="G1078" s="10" t="s">
        <v>20609</v>
      </c>
      <c r="H1078" s="10" t="s">
        <v>229</v>
      </c>
      <c r="I1078" s="10" t="s">
        <v>55</v>
      </c>
      <c r="K1078" s="10" t="s">
        <v>21877</v>
      </c>
      <c r="L1078" s="10" t="s">
        <v>42</v>
      </c>
    </row>
    <row r="1079" ht="15.75" customHeight="1">
      <c r="A1079" s="64">
        <v>45436.0</v>
      </c>
      <c r="B1079" s="55" t="str">
        <f>HYPERLINK("https://jobright.ai/jobs/info/6677e1ec783a239da841793f?utm_campaign=1058&amp;utm_source=sheet", "Apply")</f>
        <v>Apply</v>
      </c>
      <c r="C1079" s="10" t="s">
        <v>21893</v>
      </c>
      <c r="D1079" s="56" t="s">
        <v>1505</v>
      </c>
      <c r="E1079" s="10" t="s">
        <v>137</v>
      </c>
      <c r="F1079" s="10" t="s">
        <v>1506</v>
      </c>
      <c r="G1079" s="10" t="s">
        <v>20592</v>
      </c>
      <c r="H1079" s="10" t="s">
        <v>382</v>
      </c>
      <c r="I1079" s="10" t="s">
        <v>55</v>
      </c>
      <c r="J1079" s="10" t="s">
        <v>21894</v>
      </c>
      <c r="K1079" s="10" t="s">
        <v>21895</v>
      </c>
      <c r="L1079" s="10" t="s">
        <v>42</v>
      </c>
    </row>
    <row r="1080" ht="15.75" customHeight="1">
      <c r="A1080" s="64">
        <v>45436.0</v>
      </c>
      <c r="B1080" s="55" t="str">
        <f>HYPERLINK("https://jobright.ai/jobs/info/6651012956ef4a14c50f9194?utm_campaign=1058&amp;utm_source=sheet", "Apply")</f>
        <v>Apply</v>
      </c>
      <c r="C1080" s="10" t="s">
        <v>21896</v>
      </c>
      <c r="D1080" s="56" t="s">
        <v>21897</v>
      </c>
      <c r="E1080" s="10" t="s">
        <v>45</v>
      </c>
      <c r="F1080" s="10" t="s">
        <v>21898</v>
      </c>
      <c r="G1080" s="10" t="s">
        <v>20592</v>
      </c>
      <c r="H1080" s="10" t="s">
        <v>20652</v>
      </c>
      <c r="I1080" s="10" t="s">
        <v>55</v>
      </c>
      <c r="K1080" s="10" t="s">
        <v>21899</v>
      </c>
      <c r="L1080" s="10" t="s">
        <v>42</v>
      </c>
    </row>
    <row r="1081" ht="15.75" customHeight="1">
      <c r="A1081" s="64">
        <v>45436.0</v>
      </c>
      <c r="B1081" s="55" t="str">
        <f>HYPERLINK("https://jobright.ai/jobs/info/66689b387cff9ea738f805c5?utm_campaign=1058&amp;utm_source=sheet", "Apply")</f>
        <v>Apply</v>
      </c>
      <c r="C1081" s="10" t="s">
        <v>21900</v>
      </c>
      <c r="D1081" s="56" t="s">
        <v>21423</v>
      </c>
      <c r="E1081" s="10" t="s">
        <v>45</v>
      </c>
      <c r="F1081" s="10" t="s">
        <v>2409</v>
      </c>
      <c r="G1081" s="10" t="s">
        <v>20592</v>
      </c>
      <c r="H1081" s="10" t="s">
        <v>4214</v>
      </c>
      <c r="I1081" s="10" t="s">
        <v>55</v>
      </c>
      <c r="K1081" s="10" t="s">
        <v>21901</v>
      </c>
      <c r="L1081" s="10" t="s">
        <v>42</v>
      </c>
    </row>
    <row r="1082" ht="15.75" customHeight="1">
      <c r="A1082" s="64">
        <v>45436.0</v>
      </c>
      <c r="B1082" s="55" t="str">
        <f>HYPERLINK("https://jobright.ai/jobs/info/66688fff7f6ba556721b6c64?utm_campaign=1058&amp;utm_source=sheet", "Apply")</f>
        <v>Apply</v>
      </c>
      <c r="C1082" s="10" t="s">
        <v>21896</v>
      </c>
      <c r="D1082" s="56" t="s">
        <v>21897</v>
      </c>
      <c r="E1082" s="10" t="s">
        <v>45</v>
      </c>
      <c r="F1082" s="10" t="s">
        <v>21898</v>
      </c>
      <c r="G1082" s="10" t="s">
        <v>20592</v>
      </c>
      <c r="H1082" s="10" t="s">
        <v>21902</v>
      </c>
      <c r="I1082" s="10" t="s">
        <v>252</v>
      </c>
      <c r="K1082" s="10" t="s">
        <v>21899</v>
      </c>
      <c r="L1082" s="10" t="s">
        <v>42</v>
      </c>
    </row>
    <row r="1083" ht="15.75" customHeight="1">
      <c r="A1083" s="64">
        <v>45436.0</v>
      </c>
      <c r="B1083" s="55" t="str">
        <f>HYPERLINK("https://jobright.ai/jobs/info/66689b387cff9ea738f80653?utm_campaign=1058&amp;utm_source=sheet", "Apply")</f>
        <v>Apply</v>
      </c>
      <c r="C1083" s="10" t="s">
        <v>2297</v>
      </c>
      <c r="D1083" s="56" t="s">
        <v>21480</v>
      </c>
      <c r="E1083" s="10" t="s">
        <v>249</v>
      </c>
      <c r="F1083" s="10" t="s">
        <v>15258</v>
      </c>
      <c r="G1083" s="10" t="s">
        <v>20609</v>
      </c>
      <c r="H1083" s="10" t="s">
        <v>1008</v>
      </c>
      <c r="I1083" s="10" t="s">
        <v>55</v>
      </c>
      <c r="J1083" s="10" t="s">
        <v>1960</v>
      </c>
      <c r="K1083" s="10" t="s">
        <v>21481</v>
      </c>
      <c r="L1083" s="10" t="s">
        <v>42</v>
      </c>
    </row>
    <row r="1084" ht="15.75" customHeight="1">
      <c r="A1084" s="64">
        <v>45435.0</v>
      </c>
      <c r="B1084" s="55" t="str">
        <f>HYPERLINK("https://jobright.ai/jobs/info/6677e1ec783a239da8417974?utm_campaign=1058&amp;utm_source=sheet", "Apply")</f>
        <v>Apply</v>
      </c>
      <c r="C1084" s="10" t="s">
        <v>21903</v>
      </c>
      <c r="D1084" s="56" t="s">
        <v>1505</v>
      </c>
      <c r="E1084" s="10" t="s">
        <v>137</v>
      </c>
      <c r="F1084" s="10" t="s">
        <v>1506</v>
      </c>
      <c r="G1084" s="10" t="s">
        <v>20592</v>
      </c>
      <c r="H1084" s="10" t="s">
        <v>382</v>
      </c>
      <c r="I1084" s="10" t="s">
        <v>55</v>
      </c>
      <c r="J1084" s="10" t="s">
        <v>21904</v>
      </c>
      <c r="K1084" s="10" t="s">
        <v>21905</v>
      </c>
      <c r="L1084" s="10" t="s">
        <v>42</v>
      </c>
    </row>
    <row r="1085" ht="15.75" customHeight="1">
      <c r="A1085" s="64">
        <v>45435.0</v>
      </c>
      <c r="B1085" s="55" t="str">
        <f>HYPERLINK("https://jobright.ai/jobs/info/6677e391783a239da8419af3?utm_campaign=1058&amp;utm_source=sheet", "Apply")</f>
        <v>Apply</v>
      </c>
      <c r="C1085" s="10" t="s">
        <v>296</v>
      </c>
      <c r="D1085" s="56" t="s">
        <v>10224</v>
      </c>
      <c r="E1085" s="10" t="s">
        <v>65</v>
      </c>
      <c r="F1085" s="10" t="s">
        <v>10225</v>
      </c>
      <c r="G1085" s="10" t="s">
        <v>20624</v>
      </c>
      <c r="H1085" s="10" t="s">
        <v>607</v>
      </c>
      <c r="I1085" s="10" t="s">
        <v>55</v>
      </c>
      <c r="K1085" s="10" t="s">
        <v>21906</v>
      </c>
      <c r="L1085" s="10" t="s">
        <v>42</v>
      </c>
    </row>
    <row r="1086" ht="15.75" customHeight="1">
      <c r="A1086" s="64">
        <v>45435.0</v>
      </c>
      <c r="B1086" s="55" t="str">
        <f>HYPERLINK("https://jobright.ai/jobs/info/6677e75e8edbb3fe78f31c57?utm_campaign=1058&amp;utm_source=sheet", "Apply")</f>
        <v>Apply</v>
      </c>
      <c r="C1086" s="10" t="s">
        <v>21907</v>
      </c>
      <c r="D1086" s="56" t="s">
        <v>21750</v>
      </c>
      <c r="E1086" s="10" t="s">
        <v>45</v>
      </c>
      <c r="F1086" s="10" t="s">
        <v>2926</v>
      </c>
      <c r="G1086" s="10" t="s">
        <v>20592</v>
      </c>
      <c r="H1086" s="10" t="s">
        <v>21751</v>
      </c>
      <c r="I1086" s="10" t="s">
        <v>55</v>
      </c>
      <c r="K1086" s="10" t="s">
        <v>21908</v>
      </c>
      <c r="L1086" s="10" t="s">
        <v>42</v>
      </c>
    </row>
    <row r="1087" ht="15.75" customHeight="1">
      <c r="A1087" s="64">
        <v>45435.0</v>
      </c>
      <c r="B1087" s="55" t="str">
        <f>HYPERLINK("https://jobright.ai/jobs/info/6677ed182ffca2bcf6691cac?utm_campaign=1058&amp;utm_source=sheet", "Apply")</f>
        <v>Apply</v>
      </c>
      <c r="C1087" s="10" t="s">
        <v>21909</v>
      </c>
      <c r="D1087" s="56" t="s">
        <v>196</v>
      </c>
      <c r="E1087" s="10" t="s">
        <v>71</v>
      </c>
      <c r="F1087" s="10" t="s">
        <v>197</v>
      </c>
      <c r="G1087" s="10" t="s">
        <v>20592</v>
      </c>
      <c r="H1087" s="10" t="s">
        <v>738</v>
      </c>
      <c r="I1087" s="10" t="s">
        <v>55</v>
      </c>
      <c r="K1087" s="10" t="s">
        <v>21910</v>
      </c>
      <c r="L1087" s="10" t="s">
        <v>42</v>
      </c>
    </row>
    <row r="1088" ht="15.75" customHeight="1">
      <c r="A1088" s="64">
        <v>45435.0</v>
      </c>
      <c r="B1088" s="55" t="str">
        <f>HYPERLINK("https://jobright.ai/jobs/info/6677ec962ffca2bcf66912c3?utm_campaign=1058&amp;utm_source=sheet", "Apply")</f>
        <v>Apply</v>
      </c>
      <c r="C1088" s="10" t="s">
        <v>21911</v>
      </c>
      <c r="D1088" s="56" t="s">
        <v>2069</v>
      </c>
      <c r="E1088" s="10" t="s">
        <v>65</v>
      </c>
      <c r="F1088" s="10" t="s">
        <v>1663</v>
      </c>
      <c r="G1088" s="10" t="s">
        <v>20609</v>
      </c>
      <c r="H1088" s="10" t="s">
        <v>2070</v>
      </c>
      <c r="I1088" s="10" t="s">
        <v>55</v>
      </c>
      <c r="J1088" s="10" t="s">
        <v>15312</v>
      </c>
      <c r="K1088" s="10" t="s">
        <v>17383</v>
      </c>
      <c r="L1088" s="10" t="s">
        <v>42</v>
      </c>
    </row>
    <row r="1089" ht="15.75" customHeight="1">
      <c r="A1089" s="64">
        <v>45435.0</v>
      </c>
      <c r="B1089" s="55" t="str">
        <f>HYPERLINK("https://jobright.ai/jobs/info/6677ed712ffca2bcf669237a?utm_campaign=1058&amp;utm_source=sheet", "Apply")</f>
        <v>Apply</v>
      </c>
      <c r="C1089" s="10" t="s">
        <v>21912</v>
      </c>
      <c r="D1089" s="56" t="s">
        <v>21913</v>
      </c>
      <c r="E1089" s="10" t="s">
        <v>79</v>
      </c>
      <c r="F1089" s="10" t="s">
        <v>2409</v>
      </c>
      <c r="G1089" s="10" t="s">
        <v>20624</v>
      </c>
      <c r="H1089" s="10" t="s">
        <v>21914</v>
      </c>
      <c r="I1089" s="10" t="s">
        <v>55</v>
      </c>
      <c r="K1089" s="10" t="s">
        <v>21915</v>
      </c>
      <c r="L1089" s="10" t="s">
        <v>42</v>
      </c>
    </row>
    <row r="1090" ht="15.75" customHeight="1">
      <c r="A1090" s="64">
        <v>45435.0</v>
      </c>
      <c r="B1090" s="55" t="str">
        <f>HYPERLINK("https://jobright.ai/jobs/info/6677ecdc2ffca2bcf66917af?utm_campaign=1058&amp;utm_source=sheet", "Apply")</f>
        <v>Apply</v>
      </c>
      <c r="C1090" s="10" t="s">
        <v>21916</v>
      </c>
      <c r="D1090" s="56" t="s">
        <v>12738</v>
      </c>
      <c r="E1090" s="10" t="s">
        <v>276</v>
      </c>
      <c r="F1090" s="10" t="s">
        <v>1893</v>
      </c>
      <c r="G1090" s="10" t="s">
        <v>20592</v>
      </c>
      <c r="H1090" s="10" t="s">
        <v>278</v>
      </c>
      <c r="I1090" s="10" t="s">
        <v>55</v>
      </c>
      <c r="J1090" s="10" t="s">
        <v>1409</v>
      </c>
      <c r="K1090" s="10" t="s">
        <v>21917</v>
      </c>
      <c r="L1090" s="10" t="s">
        <v>42</v>
      </c>
    </row>
    <row r="1091" ht="15.75" customHeight="1">
      <c r="A1091" s="64">
        <v>45435.0</v>
      </c>
      <c r="B1091" s="55" t="str">
        <f>HYPERLINK("https://jobright.ai/jobs/info/664eb966441ecf4d17eb317d?utm_campaign=1058&amp;utm_source=sheet", "Apply")</f>
        <v>Apply</v>
      </c>
      <c r="C1091" s="10" t="s">
        <v>21918</v>
      </c>
      <c r="D1091" s="56" t="s">
        <v>21919</v>
      </c>
      <c r="E1091" s="10" t="s">
        <v>79</v>
      </c>
      <c r="F1091" s="10" t="s">
        <v>2651</v>
      </c>
      <c r="G1091" s="10" t="s">
        <v>20609</v>
      </c>
      <c r="H1091" s="10" t="s">
        <v>6856</v>
      </c>
      <c r="I1091" s="10" t="s">
        <v>55</v>
      </c>
      <c r="K1091" s="10" t="s">
        <v>21920</v>
      </c>
      <c r="L1091" s="10" t="s">
        <v>42</v>
      </c>
    </row>
    <row r="1092" ht="15.75" customHeight="1">
      <c r="A1092" s="64">
        <v>45435.0</v>
      </c>
      <c r="B1092" s="55" t="str">
        <f>HYPERLINK("https://jobright.ai/jobs/info/666904ae2dac6f47f4671749?utm_campaign=1058&amp;utm_source=sheet", "Apply")</f>
        <v>Apply</v>
      </c>
      <c r="C1092" s="10" t="s">
        <v>21921</v>
      </c>
      <c r="D1092" s="56" t="s">
        <v>21423</v>
      </c>
      <c r="E1092" s="10" t="s">
        <v>45</v>
      </c>
      <c r="F1092" s="10" t="s">
        <v>2409</v>
      </c>
      <c r="G1092" s="10" t="s">
        <v>20624</v>
      </c>
      <c r="H1092" s="10" t="s">
        <v>763</v>
      </c>
      <c r="I1092" s="10" t="s">
        <v>55</v>
      </c>
      <c r="K1092" s="10" t="s">
        <v>21922</v>
      </c>
      <c r="L1092" s="10" t="s">
        <v>42</v>
      </c>
    </row>
    <row r="1093" ht="15.75" customHeight="1">
      <c r="A1093" s="64">
        <v>45435.0</v>
      </c>
      <c r="B1093" s="55" t="str">
        <f>HYPERLINK("https://jobright.ai/jobs/info/667e94cebaa2e1d8e5e1e82c?utm_campaign=1058&amp;utm_source=sheet", "Apply")</f>
        <v>Apply</v>
      </c>
      <c r="C1093" s="10" t="s">
        <v>21886</v>
      </c>
      <c r="D1093" s="56" t="s">
        <v>5461</v>
      </c>
      <c r="E1093" s="10">
        <v>25.0</v>
      </c>
      <c r="G1093" s="10" t="s">
        <v>20624</v>
      </c>
      <c r="H1093" s="10" t="s">
        <v>958</v>
      </c>
      <c r="I1093" s="10" t="s">
        <v>55</v>
      </c>
      <c r="J1093" s="10" t="s">
        <v>1409</v>
      </c>
      <c r="K1093" s="10" t="s">
        <v>21923</v>
      </c>
      <c r="L1093" s="10" t="s">
        <v>42</v>
      </c>
    </row>
    <row r="1094" ht="15.75" customHeight="1">
      <c r="A1094" s="64">
        <v>45435.0</v>
      </c>
      <c r="B1094" s="55" t="str">
        <f>HYPERLINK("https://jobright.ai/jobs/info/665d81882492096ac06903f1?utm_campaign=1058&amp;utm_source=sheet", "Apply")</f>
        <v>Apply</v>
      </c>
      <c r="C1094" s="10" t="s">
        <v>21924</v>
      </c>
      <c r="D1094" s="56" t="s">
        <v>21835</v>
      </c>
      <c r="E1094" s="10" t="s">
        <v>249</v>
      </c>
      <c r="F1094" s="10" t="s">
        <v>21836</v>
      </c>
      <c r="G1094" s="10" t="s">
        <v>20609</v>
      </c>
      <c r="H1094" s="10" t="s">
        <v>2275</v>
      </c>
      <c r="I1094" s="10" t="s">
        <v>55</v>
      </c>
      <c r="K1094" s="10" t="s">
        <v>21925</v>
      </c>
      <c r="L1094" s="10" t="s">
        <v>42</v>
      </c>
    </row>
    <row r="1095" ht="15.75" customHeight="1">
      <c r="A1095" s="64">
        <v>45434.0</v>
      </c>
      <c r="B1095" s="55" t="str">
        <f>HYPERLINK("https://jobright.ai/jobs/info/664ea5db4e197fc8adcf78d3?utm_campaign=1058&amp;utm_source=sheet", "Apply")</f>
        <v>Apply</v>
      </c>
      <c r="C1095" s="10" t="s">
        <v>21926</v>
      </c>
      <c r="D1095" s="56" t="s">
        <v>21927</v>
      </c>
      <c r="E1095" s="10" t="s">
        <v>79</v>
      </c>
      <c r="F1095" s="10" t="s">
        <v>11362</v>
      </c>
      <c r="G1095" s="10" t="s">
        <v>20624</v>
      </c>
      <c r="H1095" s="10" t="s">
        <v>96</v>
      </c>
      <c r="I1095" s="10" t="s">
        <v>55</v>
      </c>
      <c r="J1095" s="10" t="s">
        <v>10306</v>
      </c>
      <c r="K1095" s="10" t="s">
        <v>21928</v>
      </c>
      <c r="L1095" s="10" t="s">
        <v>42</v>
      </c>
    </row>
    <row r="1096" ht="15.75" customHeight="1">
      <c r="A1096" s="64">
        <v>45434.0</v>
      </c>
      <c r="B1096" s="55" t="str">
        <f>HYPERLINK("https://jobright.ai/jobs/info/664eb114cd9154b3e60121a7?utm_campaign=1058&amp;utm_source=sheet", "Apply")</f>
        <v>Apply</v>
      </c>
      <c r="C1096" s="10" t="s">
        <v>21876</v>
      </c>
      <c r="D1096" s="56" t="s">
        <v>284</v>
      </c>
      <c r="E1096" s="10" t="s">
        <v>45</v>
      </c>
      <c r="F1096" s="10" t="s">
        <v>285</v>
      </c>
      <c r="G1096" s="10" t="s">
        <v>20609</v>
      </c>
      <c r="H1096" s="10" t="s">
        <v>229</v>
      </c>
      <c r="I1096" s="10" t="s">
        <v>55</v>
      </c>
      <c r="K1096" s="10" t="s">
        <v>21877</v>
      </c>
      <c r="L1096" s="10" t="s">
        <v>42</v>
      </c>
    </row>
    <row r="1097" ht="15.75" customHeight="1">
      <c r="A1097" s="64">
        <v>45434.0</v>
      </c>
      <c r="B1097" s="55" t="str">
        <f>HYPERLINK("https://jobright.ai/jobs/info/664ea6434e197fc8adcf81c3?utm_campaign=1058&amp;utm_source=sheet", "Apply")</f>
        <v>Apply</v>
      </c>
      <c r="C1097" s="10" t="s">
        <v>21929</v>
      </c>
      <c r="D1097" s="56" t="s">
        <v>21930</v>
      </c>
      <c r="E1097" s="10" t="s">
        <v>65</v>
      </c>
      <c r="F1097" s="10" t="s">
        <v>1922</v>
      </c>
      <c r="G1097" s="10" t="s">
        <v>20592</v>
      </c>
      <c r="H1097" s="10" t="s">
        <v>21931</v>
      </c>
      <c r="I1097" s="10" t="s">
        <v>55</v>
      </c>
      <c r="K1097" s="10" t="s">
        <v>21932</v>
      </c>
      <c r="L1097" s="10" t="s">
        <v>42</v>
      </c>
    </row>
    <row r="1098" ht="15.75" customHeight="1">
      <c r="A1098" s="64">
        <v>45434.0</v>
      </c>
      <c r="B1098" s="55" t="str">
        <f>HYPERLINK("https://jobright.ai/jobs/info/66763373e272243dcd4f5f04?utm_campaign=1058&amp;utm_source=sheet", "Apply")</f>
        <v>Apply</v>
      </c>
      <c r="C1098" s="10" t="s">
        <v>21933</v>
      </c>
      <c r="D1098" s="56" t="s">
        <v>12711</v>
      </c>
      <c r="F1098" s="10" t="s">
        <v>12712</v>
      </c>
      <c r="G1098" s="10" t="s">
        <v>20592</v>
      </c>
      <c r="H1098" s="10" t="s">
        <v>12713</v>
      </c>
      <c r="I1098" s="10" t="s">
        <v>55</v>
      </c>
      <c r="K1098" s="10" t="s">
        <v>21934</v>
      </c>
      <c r="L1098" s="10" t="s">
        <v>42</v>
      </c>
    </row>
    <row r="1099" ht="15.75" customHeight="1">
      <c r="A1099" s="64">
        <v>45434.0</v>
      </c>
      <c r="B1099" s="55" t="str">
        <f>HYPERLINK("https://jobright.ai/jobs/info/664e36805ea75b6f96bedfe7?utm_campaign=1058&amp;utm_source=sheet", "Apply")</f>
        <v>Apply</v>
      </c>
      <c r="C1099" s="10" t="s">
        <v>21935</v>
      </c>
      <c r="D1099" s="56" t="s">
        <v>21936</v>
      </c>
      <c r="E1099" s="10" t="s">
        <v>137</v>
      </c>
      <c r="F1099" s="10" t="s">
        <v>21937</v>
      </c>
      <c r="G1099" s="10" t="s">
        <v>20592</v>
      </c>
      <c r="H1099" s="10" t="s">
        <v>628</v>
      </c>
      <c r="I1099" s="10" t="s">
        <v>55</v>
      </c>
      <c r="K1099" s="10" t="s">
        <v>21938</v>
      </c>
      <c r="L1099" s="10" t="s">
        <v>42</v>
      </c>
    </row>
    <row r="1100" ht="15.75" customHeight="1">
      <c r="A1100" s="64">
        <v>45434.0</v>
      </c>
      <c r="B1100" s="55" t="str">
        <f>HYPERLINK("https://jobright.ai/jobs/info/664d859c7d073e53a0012fe5?utm_campaign=1058&amp;utm_source=sheet", "Apply")</f>
        <v>Apply</v>
      </c>
      <c r="C1100" s="10" t="s">
        <v>21939</v>
      </c>
      <c r="D1100" s="56" t="s">
        <v>21940</v>
      </c>
      <c r="E1100" s="10" t="s">
        <v>65</v>
      </c>
      <c r="F1100" s="10" t="s">
        <v>2828</v>
      </c>
      <c r="G1100" s="10" t="s">
        <v>20624</v>
      </c>
      <c r="H1100" s="10" t="s">
        <v>174</v>
      </c>
      <c r="I1100" s="10" t="s">
        <v>55</v>
      </c>
      <c r="K1100" s="10" t="s">
        <v>21941</v>
      </c>
      <c r="L1100" s="10" t="s">
        <v>42</v>
      </c>
    </row>
    <row r="1101" ht="15.75" customHeight="1">
      <c r="A1101" s="64">
        <v>45434.0</v>
      </c>
      <c r="B1101" s="55" t="str">
        <f>HYPERLINK("https://jobright.ai/jobs/info/664eb9d8441ecf4d17eb3be7?utm_campaign=1058&amp;utm_source=sheet", "Apply")</f>
        <v>Apply</v>
      </c>
      <c r="C1101" s="10" t="s">
        <v>21918</v>
      </c>
      <c r="D1101" s="56" t="s">
        <v>21942</v>
      </c>
      <c r="E1101" s="10" t="s">
        <v>65</v>
      </c>
      <c r="F1101" s="10" t="s">
        <v>3418</v>
      </c>
      <c r="G1101" s="10" t="s">
        <v>20609</v>
      </c>
      <c r="H1101" s="10" t="s">
        <v>6856</v>
      </c>
      <c r="I1101" s="10" t="s">
        <v>55</v>
      </c>
      <c r="K1101" s="10" t="s">
        <v>21943</v>
      </c>
      <c r="L1101" s="10" t="s">
        <v>42</v>
      </c>
    </row>
    <row r="1102" ht="15.75" customHeight="1">
      <c r="A1102" s="64">
        <v>45433.0</v>
      </c>
      <c r="B1102" s="55" t="str">
        <f>HYPERLINK("https://jobright.ai/jobs/info/667439c64bad03f9b038ab4b?utm_campaign=1058&amp;utm_source=sheet", "Apply")</f>
        <v>Apply</v>
      </c>
      <c r="C1102" s="10" t="s">
        <v>2297</v>
      </c>
      <c r="D1102" s="56" t="s">
        <v>21944</v>
      </c>
      <c r="E1102" s="10">
        <v>717.0</v>
      </c>
      <c r="G1102" s="10" t="s">
        <v>20609</v>
      </c>
      <c r="H1102" s="10" t="s">
        <v>19767</v>
      </c>
      <c r="I1102" s="10" t="s">
        <v>55</v>
      </c>
      <c r="J1102" s="10" t="s">
        <v>8269</v>
      </c>
      <c r="K1102" s="10" t="s">
        <v>21945</v>
      </c>
      <c r="L1102" s="10" t="s">
        <v>42</v>
      </c>
    </row>
    <row r="1103" ht="15.75" customHeight="1">
      <c r="A1103" s="64">
        <v>45433.0</v>
      </c>
      <c r="B1103" s="55" t="str">
        <f>HYPERLINK("https://jobright.ai/jobs/info/66742c7b668628c49c215df9?utm_campaign=1058&amp;utm_source=sheet", "Apply")</f>
        <v>Apply</v>
      </c>
      <c r="C1103" s="10" t="s">
        <v>21846</v>
      </c>
      <c r="D1103" s="56" t="s">
        <v>21946</v>
      </c>
      <c r="E1103" s="10" t="s">
        <v>209</v>
      </c>
      <c r="F1103" s="10" t="s">
        <v>21947</v>
      </c>
      <c r="G1103" s="10" t="s">
        <v>20609</v>
      </c>
      <c r="H1103" s="10" t="s">
        <v>21849</v>
      </c>
      <c r="I1103" s="10" t="s">
        <v>55</v>
      </c>
      <c r="K1103" s="10" t="s">
        <v>21850</v>
      </c>
      <c r="L1103" s="10" t="s">
        <v>42</v>
      </c>
    </row>
    <row r="1104" ht="15.75" customHeight="1">
      <c r="A1104" s="64">
        <v>45433.0</v>
      </c>
      <c r="B1104" s="55" t="str">
        <f>HYPERLINK("https://jobright.ai/jobs/info/66741e8d8f8ed70066b4c1ad?utm_campaign=1058&amp;utm_source=sheet", "Apply")</f>
        <v>Apply</v>
      </c>
      <c r="C1104" s="10" t="s">
        <v>21948</v>
      </c>
      <c r="D1104" s="56" t="s">
        <v>21949</v>
      </c>
      <c r="E1104" s="10" t="s">
        <v>45</v>
      </c>
      <c r="F1104" s="10" t="s">
        <v>2409</v>
      </c>
      <c r="G1104" s="10" t="s">
        <v>20592</v>
      </c>
      <c r="H1104" s="10" t="s">
        <v>913</v>
      </c>
      <c r="I1104" s="10" t="s">
        <v>55</v>
      </c>
      <c r="J1104" s="10" t="s">
        <v>21950</v>
      </c>
      <c r="K1104" s="10" t="s">
        <v>21951</v>
      </c>
      <c r="L1104" s="10" t="s">
        <v>42</v>
      </c>
    </row>
    <row r="1105" ht="15.75" customHeight="1">
      <c r="A1105" s="64">
        <v>45432.0</v>
      </c>
      <c r="B1105" s="55" t="str">
        <f>HYPERLINK("https://jobright.ai/jobs/info/664ba9468a1dc28554e0d997?utm_campaign=1058&amp;utm_source=sheet", "Apply")</f>
        <v>Apply</v>
      </c>
      <c r="C1105" s="10" t="s">
        <v>21952</v>
      </c>
      <c r="D1105" s="56" t="s">
        <v>2022</v>
      </c>
      <c r="E1105" s="10" t="s">
        <v>45</v>
      </c>
      <c r="F1105" s="10" t="s">
        <v>1893</v>
      </c>
      <c r="G1105" s="10" t="s">
        <v>20592</v>
      </c>
      <c r="H1105" s="10" t="s">
        <v>159</v>
      </c>
      <c r="I1105" s="10" t="s">
        <v>55</v>
      </c>
      <c r="K1105" s="10" t="s">
        <v>21953</v>
      </c>
      <c r="L1105" s="10" t="s">
        <v>42</v>
      </c>
    </row>
    <row r="1106" ht="15.75" customHeight="1">
      <c r="A1106" s="64">
        <v>45432.0</v>
      </c>
      <c r="B1106" s="55" t="str">
        <f>HYPERLINK("https://jobright.ai/jobs/info/664b7fc76dbebeabf888298d?utm_campaign=1058&amp;utm_source=sheet", "Apply")</f>
        <v>Apply</v>
      </c>
      <c r="C1106" s="10" t="s">
        <v>21954</v>
      </c>
      <c r="D1106" s="56" t="s">
        <v>21897</v>
      </c>
      <c r="E1106" s="10" t="s">
        <v>45</v>
      </c>
      <c r="F1106" s="10" t="s">
        <v>21898</v>
      </c>
      <c r="G1106" s="10" t="s">
        <v>20592</v>
      </c>
      <c r="H1106" s="10" t="s">
        <v>12977</v>
      </c>
      <c r="I1106" s="10" t="s">
        <v>55</v>
      </c>
      <c r="K1106" s="10" t="s">
        <v>21899</v>
      </c>
      <c r="L1106" s="10" t="s">
        <v>42</v>
      </c>
    </row>
    <row r="1107" ht="15.75" customHeight="1">
      <c r="A1107" s="64">
        <v>45431.0</v>
      </c>
      <c r="B1107" s="55" t="str">
        <f>HYPERLINK("https://jobright.ai/jobs/info/667179a8b1932a0172d217ad?utm_campaign=1058&amp;utm_source=sheet", "Apply")</f>
        <v>Apply</v>
      </c>
      <c r="C1107" s="10" t="s">
        <v>21955</v>
      </c>
      <c r="D1107" s="56" t="s">
        <v>21956</v>
      </c>
      <c r="E1107" s="10">
        <v>6.0</v>
      </c>
      <c r="G1107" s="10" t="s">
        <v>20592</v>
      </c>
      <c r="H1107" s="10" t="s">
        <v>8441</v>
      </c>
      <c r="I1107" s="10" t="s">
        <v>55</v>
      </c>
      <c r="K1107" s="10" t="s">
        <v>21957</v>
      </c>
      <c r="L1107" s="10" t="s">
        <v>42</v>
      </c>
    </row>
    <row r="1108" ht="15.75" customHeight="1">
      <c r="A1108" s="64">
        <v>45428.0</v>
      </c>
      <c r="B1108" s="55" t="str">
        <f>HYPERLINK("https://jobright.ai/jobs/info/665d81dc2492096ac0690a06?utm_campaign=1058&amp;utm_source=sheet", "Apply")</f>
        <v>Apply</v>
      </c>
      <c r="C1108" s="10" t="s">
        <v>21958</v>
      </c>
      <c r="D1108" s="56" t="s">
        <v>21959</v>
      </c>
      <c r="E1108" s="10" t="s">
        <v>65</v>
      </c>
      <c r="F1108" s="10" t="s">
        <v>13237</v>
      </c>
      <c r="G1108" s="10" t="s">
        <v>20592</v>
      </c>
      <c r="H1108" s="10" t="s">
        <v>19303</v>
      </c>
      <c r="I1108" s="10" t="s">
        <v>55</v>
      </c>
      <c r="K1108" s="10" t="s">
        <v>21960</v>
      </c>
      <c r="L1108" s="10" t="s">
        <v>42</v>
      </c>
    </row>
    <row r="1109" ht="15.75" customHeight="1">
      <c r="A1109" s="64">
        <v>45427.0</v>
      </c>
      <c r="B1109" s="55" t="str">
        <f>HYPERLINK("https://jobright.ai/jobs/info/664606315aa3d6cf11e20fac?utm_campaign=1058&amp;utm_source=sheet", "Apply")</f>
        <v>Apply</v>
      </c>
      <c r="C1109" s="10" t="s">
        <v>21961</v>
      </c>
      <c r="D1109" s="56" t="s">
        <v>21944</v>
      </c>
      <c r="E1109" s="10">
        <v>717.0</v>
      </c>
      <c r="G1109" s="10" t="s">
        <v>20624</v>
      </c>
      <c r="H1109" s="10" t="s">
        <v>21962</v>
      </c>
      <c r="I1109" s="10" t="s">
        <v>48</v>
      </c>
      <c r="K1109" s="10" t="s">
        <v>21963</v>
      </c>
      <c r="L1109" s="10" t="s">
        <v>42</v>
      </c>
    </row>
    <row r="1110" ht="15.75" customHeight="1">
      <c r="A1110" s="64">
        <v>45427.0</v>
      </c>
      <c r="B1110" s="55" t="str">
        <f>HYPERLINK("https://jobright.ai/jobs/info/666047bc955342fff1672086?utm_campaign=1058&amp;utm_source=sheet", "Apply")</f>
        <v>Apply</v>
      </c>
      <c r="C1110" s="10" t="s">
        <v>21964</v>
      </c>
      <c r="D1110" s="56" t="s">
        <v>191</v>
      </c>
      <c r="E1110" s="10" t="s">
        <v>65</v>
      </c>
      <c r="F1110" s="10" t="s">
        <v>192</v>
      </c>
      <c r="G1110" s="10" t="s">
        <v>20609</v>
      </c>
      <c r="H1110" s="10" t="s">
        <v>193</v>
      </c>
      <c r="I1110" s="10" t="s">
        <v>55</v>
      </c>
      <c r="K1110" s="10" t="s">
        <v>21965</v>
      </c>
      <c r="L1110" s="10" t="s">
        <v>42</v>
      </c>
    </row>
    <row r="1111" ht="15.75" customHeight="1">
      <c r="A1111" s="64">
        <v>45427.0</v>
      </c>
      <c r="B1111" s="55" t="str">
        <f>HYPERLINK("https://jobright.ai/jobs/info/66448ac582e22a1af25d1e61?utm_campaign=1058&amp;utm_source=sheet", "Apply")</f>
        <v>Apply</v>
      </c>
      <c r="C1111" s="10" t="s">
        <v>21966</v>
      </c>
      <c r="D1111" s="56" t="s">
        <v>18606</v>
      </c>
      <c r="E1111" s="10" t="s">
        <v>45</v>
      </c>
      <c r="F1111" s="10" t="s">
        <v>2319</v>
      </c>
      <c r="G1111" s="10" t="s">
        <v>20609</v>
      </c>
      <c r="H1111" s="10" t="s">
        <v>18607</v>
      </c>
      <c r="I1111" s="10" t="s">
        <v>55</v>
      </c>
      <c r="J1111" s="10" t="s">
        <v>21967</v>
      </c>
      <c r="K1111" s="10" t="s">
        <v>21968</v>
      </c>
      <c r="L1111" s="10" t="s">
        <v>42</v>
      </c>
    </row>
    <row r="1112" ht="15.75" customHeight="1">
      <c r="A1112" s="64">
        <v>45427.0</v>
      </c>
      <c r="B1112" s="55" t="str">
        <f>HYPERLINK("https://jobright.ai/jobs/info/666292d9d207c74779ac7ebf?utm_campaign=1058&amp;utm_source=sheet", "Apply")</f>
        <v>Apply</v>
      </c>
      <c r="C1112" s="10" t="s">
        <v>21969</v>
      </c>
      <c r="D1112" s="56" t="s">
        <v>21970</v>
      </c>
      <c r="E1112" s="10" t="s">
        <v>249</v>
      </c>
      <c r="F1112" s="10" t="s">
        <v>21971</v>
      </c>
      <c r="G1112" s="10" t="s">
        <v>20592</v>
      </c>
      <c r="H1112" s="10" t="s">
        <v>11846</v>
      </c>
      <c r="I1112" s="10" t="s">
        <v>55</v>
      </c>
      <c r="K1112" s="10" t="s">
        <v>21972</v>
      </c>
      <c r="L1112" s="10" t="s">
        <v>42</v>
      </c>
    </row>
    <row r="1113" ht="15.75" customHeight="1">
      <c r="A1113" s="64">
        <v>45426.0</v>
      </c>
      <c r="B1113" s="55" t="str">
        <f>HYPERLINK("https://jobright.ai/jobs/info/6642ec265e1ebefc410c7969?utm_campaign=1058&amp;utm_source=sheet", "Apply")</f>
        <v>Apply</v>
      </c>
      <c r="C1113" s="10" t="s">
        <v>21973</v>
      </c>
      <c r="D1113" s="56" t="s">
        <v>17559</v>
      </c>
      <c r="G1113" s="10" t="s">
        <v>20592</v>
      </c>
      <c r="H1113" s="10" t="s">
        <v>939</v>
      </c>
      <c r="I1113" s="10" t="s">
        <v>55</v>
      </c>
      <c r="K1113" s="10" t="s">
        <v>21974</v>
      </c>
      <c r="L1113" s="10" t="s">
        <v>42</v>
      </c>
    </row>
    <row r="1114" ht="15.75" customHeight="1">
      <c r="A1114" s="64">
        <v>45425.0</v>
      </c>
      <c r="B1114" s="55" t="str">
        <f>HYPERLINK("https://jobright.ai/jobs/info/66692646e4014402c8870edc?utm_campaign=1058&amp;utm_source=sheet", "Apply")</f>
        <v>Apply</v>
      </c>
      <c r="C1114" s="10" t="s">
        <v>21975</v>
      </c>
      <c r="D1114" s="56" t="s">
        <v>21976</v>
      </c>
      <c r="E1114" s="10" t="s">
        <v>79</v>
      </c>
      <c r="F1114" s="10" t="s">
        <v>7548</v>
      </c>
      <c r="G1114" s="10" t="s">
        <v>20592</v>
      </c>
      <c r="H1114" s="10" t="s">
        <v>843</v>
      </c>
      <c r="I1114" s="10" t="s">
        <v>55</v>
      </c>
      <c r="K1114" s="10" t="s">
        <v>21977</v>
      </c>
      <c r="L1114" s="10" t="s">
        <v>42</v>
      </c>
    </row>
    <row r="1115" ht="15.75" customHeight="1">
      <c r="A1115" s="64">
        <v>45422.0</v>
      </c>
      <c r="B1115" s="55" t="str">
        <f>HYPERLINK("https://jobright.ai/jobs/info/663de3545ed5725640194c4a?utm_campaign=1058&amp;utm_source=sheet", "Apply")</f>
        <v>Apply</v>
      </c>
      <c r="C1115" s="10" t="s">
        <v>21978</v>
      </c>
      <c r="D1115" s="56" t="s">
        <v>21979</v>
      </c>
      <c r="E1115" s="10" t="s">
        <v>249</v>
      </c>
      <c r="F1115" s="10" t="s">
        <v>3212</v>
      </c>
      <c r="G1115" s="10" t="s">
        <v>20609</v>
      </c>
      <c r="H1115" s="10" t="s">
        <v>938</v>
      </c>
      <c r="I1115" s="10" t="s">
        <v>55</v>
      </c>
      <c r="K1115" s="10" t="s">
        <v>21980</v>
      </c>
      <c r="L1115" s="10" t="s">
        <v>42</v>
      </c>
    </row>
    <row r="1116" ht="15.75" customHeight="1">
      <c r="A1116" s="64">
        <v>45421.0</v>
      </c>
      <c r="B1116" s="55" t="str">
        <f>HYPERLINK("https://jobright.ai/jobs/info/663cbdfd7d058fb08c355c33?utm_campaign=1058&amp;utm_source=sheet", "Apply")</f>
        <v>Apply</v>
      </c>
      <c r="C1116" s="10" t="s">
        <v>21966</v>
      </c>
      <c r="D1116" s="56" t="s">
        <v>18606</v>
      </c>
      <c r="E1116" s="10" t="s">
        <v>45</v>
      </c>
      <c r="F1116" s="10" t="s">
        <v>2319</v>
      </c>
      <c r="G1116" s="10" t="s">
        <v>20609</v>
      </c>
      <c r="H1116" s="10" t="s">
        <v>9486</v>
      </c>
      <c r="I1116" s="10" t="s">
        <v>55</v>
      </c>
      <c r="J1116" s="10" t="s">
        <v>21967</v>
      </c>
      <c r="K1116" s="10" t="s">
        <v>21968</v>
      </c>
      <c r="L1116" s="10" t="s">
        <v>42</v>
      </c>
    </row>
    <row r="1117" ht="15.75" customHeight="1">
      <c r="A1117" s="64">
        <v>45421.0</v>
      </c>
      <c r="B1117" s="55" t="str">
        <f>HYPERLINK("https://jobright.ai/jobs/info/663c9bd9650e13a5790f06b4?utm_campaign=1058&amp;utm_source=sheet", "Apply")</f>
        <v>Apply</v>
      </c>
      <c r="C1117" s="10" t="s">
        <v>21966</v>
      </c>
      <c r="D1117" s="56" t="s">
        <v>18606</v>
      </c>
      <c r="E1117" s="10" t="s">
        <v>45</v>
      </c>
      <c r="F1117" s="10" t="s">
        <v>2319</v>
      </c>
      <c r="G1117" s="10" t="s">
        <v>20609</v>
      </c>
      <c r="H1117" s="10" t="s">
        <v>18611</v>
      </c>
      <c r="I1117" s="10" t="s">
        <v>55</v>
      </c>
      <c r="J1117" s="10" t="s">
        <v>21967</v>
      </c>
      <c r="K1117" s="10" t="s">
        <v>21968</v>
      </c>
      <c r="L1117" s="10" t="s">
        <v>42</v>
      </c>
    </row>
    <row r="1118" ht="15.75" customHeight="1">
      <c r="A1118" s="64">
        <v>45421.0</v>
      </c>
      <c r="B1118" s="55" t="str">
        <f>HYPERLINK("https://jobright.ai/jobs/info/663c94651d1cf4395b8e8293?utm_campaign=1058&amp;utm_source=sheet", "Apply")</f>
        <v>Apply</v>
      </c>
      <c r="C1118" s="10" t="s">
        <v>21966</v>
      </c>
      <c r="D1118" s="56" t="s">
        <v>18606</v>
      </c>
      <c r="E1118" s="10" t="s">
        <v>45</v>
      </c>
      <c r="F1118" s="10" t="s">
        <v>2319</v>
      </c>
      <c r="G1118" s="10" t="s">
        <v>20609</v>
      </c>
      <c r="H1118" s="10" t="s">
        <v>18609</v>
      </c>
      <c r="I1118" s="10" t="s">
        <v>55</v>
      </c>
      <c r="J1118" s="10" t="s">
        <v>21967</v>
      </c>
      <c r="K1118" s="10" t="s">
        <v>21968</v>
      </c>
      <c r="L1118" s="10" t="s">
        <v>42</v>
      </c>
    </row>
    <row r="1119" ht="15.75" customHeight="1">
      <c r="A1119" s="64">
        <v>45421.0</v>
      </c>
      <c r="B1119" s="55" t="str">
        <f>HYPERLINK("https://jobright.ai/jobs/info/663c94651d1cf4395b8e8294?utm_campaign=1058&amp;utm_source=sheet", "Apply")</f>
        <v>Apply</v>
      </c>
      <c r="C1119" s="10" t="s">
        <v>21966</v>
      </c>
      <c r="D1119" s="56" t="s">
        <v>18606</v>
      </c>
      <c r="E1119" s="10" t="s">
        <v>45</v>
      </c>
      <c r="F1119" s="10" t="s">
        <v>2319</v>
      </c>
      <c r="G1119" s="10" t="s">
        <v>20609</v>
      </c>
      <c r="H1119" s="10" t="s">
        <v>18610</v>
      </c>
      <c r="I1119" s="10" t="s">
        <v>55</v>
      </c>
      <c r="J1119" s="10" t="s">
        <v>21967</v>
      </c>
      <c r="K1119" s="10" t="s">
        <v>21968</v>
      </c>
      <c r="L1119" s="10" t="s">
        <v>42</v>
      </c>
    </row>
    <row r="1120" ht="15.75" customHeight="1">
      <c r="A1120" s="64">
        <v>45421.0</v>
      </c>
      <c r="B1120" s="55" t="str">
        <f>HYPERLINK("https://jobright.ai/jobs/info/66420400385e583079b24ef8?utm_campaign=1058&amp;utm_source=sheet", "Apply")</f>
        <v>Apply</v>
      </c>
      <c r="C1120" s="10" t="s">
        <v>21981</v>
      </c>
      <c r="D1120" s="56" t="s">
        <v>17559</v>
      </c>
      <c r="G1120" s="10" t="s">
        <v>20592</v>
      </c>
      <c r="H1120" s="10" t="s">
        <v>939</v>
      </c>
      <c r="I1120" s="10" t="s">
        <v>55</v>
      </c>
      <c r="K1120" s="10" t="s">
        <v>21982</v>
      </c>
      <c r="L1120" s="10" t="s">
        <v>42</v>
      </c>
    </row>
    <row r="1121" ht="15.75" customHeight="1">
      <c r="A1121" s="64">
        <v>45421.0</v>
      </c>
      <c r="B1121" s="55" t="str">
        <f>HYPERLINK("https://jobright.ai/jobs/info/663c609d78a30a1d1f4f7274?utm_campaign=1058&amp;utm_source=sheet", "Apply")</f>
        <v>Apply</v>
      </c>
      <c r="C1121" s="10" t="s">
        <v>21978</v>
      </c>
      <c r="D1121" s="56" t="s">
        <v>21979</v>
      </c>
      <c r="E1121" s="10" t="s">
        <v>249</v>
      </c>
      <c r="F1121" s="10" t="s">
        <v>3212</v>
      </c>
      <c r="G1121" s="10" t="s">
        <v>20609</v>
      </c>
      <c r="H1121" s="10" t="s">
        <v>938</v>
      </c>
      <c r="I1121" s="10" t="s">
        <v>55</v>
      </c>
      <c r="K1121" s="10" t="s">
        <v>21980</v>
      </c>
      <c r="L1121" s="10" t="s">
        <v>42</v>
      </c>
    </row>
    <row r="1122" ht="15.75" customHeight="1">
      <c r="A1122" s="64">
        <v>45420.0</v>
      </c>
      <c r="B1122" s="55" t="str">
        <f>HYPERLINK("https://jobright.ai/jobs/info/663c2c981fd874d756c1eca1?utm_campaign=1058&amp;utm_source=sheet", "Apply")</f>
        <v>Apply</v>
      </c>
      <c r="C1122" s="10" t="s">
        <v>21983</v>
      </c>
      <c r="D1122" s="56" t="s">
        <v>21402</v>
      </c>
      <c r="E1122" s="10" t="s">
        <v>209</v>
      </c>
      <c r="F1122" s="10" t="s">
        <v>21403</v>
      </c>
      <c r="G1122" s="10" t="s">
        <v>20609</v>
      </c>
      <c r="H1122" s="10" t="s">
        <v>21984</v>
      </c>
      <c r="I1122" s="10" t="s">
        <v>55</v>
      </c>
      <c r="J1122" s="10" t="s">
        <v>21404</v>
      </c>
      <c r="K1122" s="10" t="s">
        <v>21985</v>
      </c>
      <c r="L1122" s="10" t="s">
        <v>42</v>
      </c>
    </row>
    <row r="1123" ht="15.75" customHeight="1">
      <c r="A1123" s="64">
        <v>45420.0</v>
      </c>
      <c r="B1123" s="55" t="str">
        <f>HYPERLINK("https://jobright.ai/jobs/info/663bbf14d664bd08fbe311d0?utm_campaign=1058&amp;utm_source=sheet", "Apply")</f>
        <v>Apply</v>
      </c>
      <c r="C1123" s="10" t="s">
        <v>9070</v>
      </c>
      <c r="D1123" s="56" t="s">
        <v>2220</v>
      </c>
      <c r="E1123" s="10" t="s">
        <v>45</v>
      </c>
      <c r="F1123" s="10" t="s">
        <v>2221</v>
      </c>
      <c r="G1123" s="10" t="s">
        <v>20609</v>
      </c>
      <c r="H1123" s="10" t="s">
        <v>956</v>
      </c>
      <c r="I1123" s="10" t="s">
        <v>55</v>
      </c>
      <c r="K1123" s="10" t="s">
        <v>7614</v>
      </c>
      <c r="L1123" s="10" t="s">
        <v>42</v>
      </c>
    </row>
    <row r="1124" ht="15.75" customHeight="1">
      <c r="A1124" s="64">
        <v>45420.0</v>
      </c>
      <c r="B1124" s="55" t="str">
        <f>HYPERLINK("https://jobright.ai/jobs/info/666292fcd207c74779ac814f?utm_campaign=1058&amp;utm_source=sheet", "Apply")</f>
        <v>Apply</v>
      </c>
      <c r="C1124" s="10" t="s">
        <v>21986</v>
      </c>
      <c r="D1124" s="56" t="s">
        <v>21970</v>
      </c>
      <c r="E1124" s="10" t="s">
        <v>249</v>
      </c>
      <c r="F1124" s="10" t="s">
        <v>21971</v>
      </c>
      <c r="G1124" s="10" t="s">
        <v>20592</v>
      </c>
      <c r="H1124" s="10" t="s">
        <v>17115</v>
      </c>
      <c r="I1124" s="10" t="s">
        <v>55</v>
      </c>
      <c r="J1124" s="10" t="s">
        <v>21987</v>
      </c>
      <c r="K1124" s="10" t="s">
        <v>21988</v>
      </c>
      <c r="L1124" s="10" t="s">
        <v>42</v>
      </c>
    </row>
    <row r="1125" ht="15.75" customHeight="1">
      <c r="A1125" s="64">
        <v>45420.0</v>
      </c>
      <c r="B1125" s="55" t="str">
        <f>HYPERLINK("https://jobright.ai/jobs/info/6669313b32b5c01ae0397dcc?utm_campaign=1058&amp;utm_source=sheet", "Apply")</f>
        <v>Apply</v>
      </c>
      <c r="C1125" s="10" t="s">
        <v>21989</v>
      </c>
      <c r="D1125" s="56" t="s">
        <v>15772</v>
      </c>
      <c r="E1125" s="10" t="s">
        <v>209</v>
      </c>
      <c r="F1125" s="10" t="s">
        <v>568</v>
      </c>
      <c r="G1125" s="10" t="s">
        <v>20624</v>
      </c>
      <c r="H1125" s="10" t="s">
        <v>21990</v>
      </c>
      <c r="I1125" s="10" t="s">
        <v>55</v>
      </c>
      <c r="K1125" s="10" t="s">
        <v>21991</v>
      </c>
      <c r="L1125" s="10" t="s">
        <v>42</v>
      </c>
    </row>
    <row r="1126" ht="15.75" customHeight="1">
      <c r="A1126" s="64">
        <v>45419.0</v>
      </c>
      <c r="B1126" s="55" t="str">
        <f>HYPERLINK("https://jobright.ai/jobs/info/663a50c831e0fb7347b07d88?utm_campaign=1058&amp;utm_source=sheet", "Apply")</f>
        <v>Apply</v>
      </c>
      <c r="C1126" s="10" t="s">
        <v>10658</v>
      </c>
      <c r="D1126" s="56" t="s">
        <v>5159</v>
      </c>
      <c r="E1126" s="10" t="s">
        <v>45</v>
      </c>
      <c r="F1126" s="10" t="s">
        <v>1893</v>
      </c>
      <c r="G1126" s="10" t="s">
        <v>20624</v>
      </c>
      <c r="H1126" s="10" t="s">
        <v>965</v>
      </c>
      <c r="I1126" s="10" t="s">
        <v>55</v>
      </c>
      <c r="K1126" s="10" t="s">
        <v>21992</v>
      </c>
      <c r="L1126" s="10" t="s">
        <v>42</v>
      </c>
    </row>
    <row r="1127" ht="15.75" customHeight="1">
      <c r="A1127" s="64">
        <v>45419.0</v>
      </c>
      <c r="B1127" s="55" t="str">
        <f>HYPERLINK("https://jobright.ai/jobs/info/6669318532b5c01ae0398237?utm_campaign=1058&amp;utm_source=sheet", "Apply")</f>
        <v>Apply</v>
      </c>
      <c r="C1127" s="10" t="s">
        <v>21993</v>
      </c>
      <c r="D1127" s="56" t="s">
        <v>21994</v>
      </c>
      <c r="E1127" s="10" t="s">
        <v>249</v>
      </c>
      <c r="F1127" s="10" t="s">
        <v>1506</v>
      </c>
      <c r="G1127" s="10" t="s">
        <v>20592</v>
      </c>
      <c r="H1127" s="10" t="s">
        <v>21995</v>
      </c>
      <c r="I1127" s="10" t="s">
        <v>55</v>
      </c>
      <c r="K1127" s="10" t="s">
        <v>21996</v>
      </c>
      <c r="L1127" s="10" t="s">
        <v>42</v>
      </c>
    </row>
    <row r="1128" ht="15.75" customHeight="1">
      <c r="A1128" s="64">
        <v>45418.0</v>
      </c>
      <c r="B1128" s="55" t="str">
        <f>HYPERLINK("https://jobright.ai/jobs/info/66421cef70937fa3afb48cbd?utm_campaign=1058&amp;utm_source=sheet", "Apply")</f>
        <v>Apply</v>
      </c>
      <c r="C1128" s="10" t="s">
        <v>21997</v>
      </c>
      <c r="D1128" s="56" t="s">
        <v>21998</v>
      </c>
      <c r="G1128" s="10" t="s">
        <v>20609</v>
      </c>
      <c r="H1128" s="10" t="s">
        <v>21999</v>
      </c>
      <c r="I1128" s="10" t="s">
        <v>55</v>
      </c>
      <c r="K1128" s="10" t="s">
        <v>22000</v>
      </c>
      <c r="L1128" s="10" t="s">
        <v>42</v>
      </c>
    </row>
    <row r="1129" ht="15.75" customHeight="1">
      <c r="A1129" s="64">
        <v>45418.0</v>
      </c>
      <c r="B1129" s="55" t="str">
        <f>HYPERLINK("https://jobright.ai/jobs/info/663910cd7fc3266d1328e950?utm_campaign=1058&amp;utm_source=sheet", "Apply")</f>
        <v>Apply</v>
      </c>
      <c r="C1129" s="10" t="s">
        <v>22001</v>
      </c>
      <c r="D1129" s="56" t="s">
        <v>9263</v>
      </c>
      <c r="E1129" s="10" t="s">
        <v>249</v>
      </c>
      <c r="F1129" s="10" t="s">
        <v>3080</v>
      </c>
      <c r="G1129" s="10" t="s">
        <v>20609</v>
      </c>
      <c r="H1129" s="10" t="s">
        <v>9264</v>
      </c>
      <c r="I1129" s="10" t="s">
        <v>55</v>
      </c>
      <c r="K1129" s="10" t="s">
        <v>22002</v>
      </c>
      <c r="L1129" s="10" t="s">
        <v>42</v>
      </c>
    </row>
    <row r="1130" ht="15.75" customHeight="1">
      <c r="A1130" s="64">
        <v>45415.0</v>
      </c>
      <c r="B1130" s="55" t="str">
        <f>HYPERLINK("https://jobright.ai/jobs/info/66357dda479bf79e5f0237b8?utm_campaign=1058&amp;utm_source=sheet", "Apply")</f>
        <v>Apply</v>
      </c>
      <c r="C1130" s="10" t="s">
        <v>22003</v>
      </c>
      <c r="D1130" s="56" t="s">
        <v>20623</v>
      </c>
      <c r="E1130" s="10" t="s">
        <v>45</v>
      </c>
      <c r="F1130" s="10" t="s">
        <v>2409</v>
      </c>
      <c r="G1130" s="10" t="s">
        <v>20624</v>
      </c>
      <c r="H1130" s="10" t="s">
        <v>942</v>
      </c>
      <c r="I1130" s="10" t="s">
        <v>55</v>
      </c>
      <c r="K1130" s="10" t="s">
        <v>22004</v>
      </c>
      <c r="L1130" s="10" t="s">
        <v>42</v>
      </c>
    </row>
    <row r="1131" ht="15.75" customHeight="1">
      <c r="A1131" s="64">
        <v>45415.0</v>
      </c>
      <c r="B1131" s="55" t="str">
        <f>HYPERLINK("https://jobright.ai/jobs/info/66357deb479bf79e5f023939?utm_campaign=1058&amp;utm_source=sheet", "Apply")</f>
        <v>Apply</v>
      </c>
      <c r="C1131" s="10" t="s">
        <v>21477</v>
      </c>
      <c r="D1131" s="56" t="s">
        <v>20623</v>
      </c>
      <c r="E1131" s="10" t="s">
        <v>45</v>
      </c>
      <c r="F1131" s="10" t="s">
        <v>2409</v>
      </c>
      <c r="G1131" s="10" t="s">
        <v>20624</v>
      </c>
      <c r="H1131" s="10" t="s">
        <v>942</v>
      </c>
      <c r="I1131" s="10" t="s">
        <v>55</v>
      </c>
      <c r="K1131" s="10" t="s">
        <v>22004</v>
      </c>
      <c r="L1131" s="10" t="s">
        <v>42</v>
      </c>
    </row>
    <row r="1132" ht="15.75" customHeight="1">
      <c r="A1132" s="64">
        <v>45413.0</v>
      </c>
      <c r="B1132" s="55" t="str">
        <f>HYPERLINK("https://jobright.ai/jobs/info/6632d251173158cb8cf71270?utm_campaign=1058&amp;utm_source=sheet", "Apply")</f>
        <v>Apply</v>
      </c>
      <c r="C1132" s="10" t="s">
        <v>22005</v>
      </c>
      <c r="D1132" s="56" t="s">
        <v>7225</v>
      </c>
      <c r="E1132" s="10" t="s">
        <v>71</v>
      </c>
      <c r="F1132" s="10" t="s">
        <v>1587</v>
      </c>
      <c r="G1132" s="10" t="s">
        <v>20592</v>
      </c>
      <c r="H1132" s="10" t="s">
        <v>3847</v>
      </c>
      <c r="I1132" s="10" t="s">
        <v>55</v>
      </c>
      <c r="K1132" s="10" t="s">
        <v>22006</v>
      </c>
      <c r="L1132" s="10" t="s">
        <v>42</v>
      </c>
    </row>
    <row r="1133" ht="15.75" customHeight="1">
      <c r="A1133" s="64">
        <v>45413.0</v>
      </c>
      <c r="B1133" s="55" t="str">
        <f>HYPERLINK("https://jobright.ai/jobs/info/668152e79d8bf4c4e96b5389?utm_campaign=1058&amp;utm_source=sheet", "Apply")</f>
        <v>Apply</v>
      </c>
      <c r="C1133" s="10" t="s">
        <v>22007</v>
      </c>
      <c r="D1133" s="56" t="s">
        <v>2922</v>
      </c>
      <c r="E1133" s="10" t="s">
        <v>45</v>
      </c>
      <c r="F1133" s="10" t="s">
        <v>1234</v>
      </c>
      <c r="G1133" s="10" t="s">
        <v>20592</v>
      </c>
      <c r="H1133" s="10" t="s">
        <v>965</v>
      </c>
      <c r="I1133" s="10" t="s">
        <v>55</v>
      </c>
      <c r="J1133" s="10" t="s">
        <v>4117</v>
      </c>
      <c r="K1133" s="10" t="s">
        <v>22008</v>
      </c>
      <c r="L1133" s="10" t="s">
        <v>42</v>
      </c>
    </row>
    <row r="1134">
      <c r="A1134" s="64"/>
      <c r="D1134" s="56"/>
    </row>
    <row r="1135">
      <c r="A1135" s="64"/>
      <c r="D1135" s="56"/>
    </row>
    <row r="1136">
      <c r="A1136" s="64"/>
      <c r="D1136" s="56"/>
    </row>
    <row r="1137">
      <c r="A1137" s="64"/>
      <c r="D1137" s="56"/>
    </row>
    <row r="1138">
      <c r="A1138" s="64"/>
      <c r="D1138" s="56"/>
    </row>
    <row r="1139">
      <c r="A1139" s="64"/>
      <c r="D1139" s="56"/>
    </row>
    <row r="1140">
      <c r="A1140" s="64"/>
      <c r="D1140" s="56"/>
    </row>
    <row r="1141">
      <c r="A1141" s="64"/>
      <c r="D1141" s="56"/>
    </row>
    <row r="1142">
      <c r="A1142" s="64"/>
      <c r="D1142" s="56"/>
    </row>
    <row r="1143">
      <c r="A1143" s="64"/>
      <c r="D1143" s="56"/>
    </row>
    <row r="1144">
      <c r="A1144" s="64"/>
      <c r="D1144" s="56"/>
    </row>
    <row r="1145">
      <c r="A1145" s="64"/>
      <c r="D1145" s="56"/>
    </row>
    <row r="1146">
      <c r="A1146" s="64"/>
      <c r="D1146" s="56"/>
    </row>
    <row r="1147">
      <c r="A1147" s="64"/>
      <c r="D1147" s="56"/>
    </row>
    <row r="1148">
      <c r="A1148" s="64"/>
      <c r="D1148" s="56"/>
    </row>
    <row r="1149">
      <c r="A1149" s="64"/>
      <c r="D1149" s="56"/>
    </row>
    <row r="1150">
      <c r="A1150" s="64"/>
      <c r="D1150" s="56"/>
    </row>
    <row r="1151">
      <c r="A1151" s="64"/>
      <c r="D1151" s="56"/>
    </row>
    <row r="1152">
      <c r="A1152" s="64"/>
      <c r="D1152" s="56"/>
    </row>
    <row r="1153">
      <c r="A1153" s="64"/>
      <c r="D1153" s="56"/>
    </row>
    <row r="1154">
      <c r="A1154" s="64"/>
      <c r="D1154" s="56"/>
    </row>
    <row r="1155">
      <c r="A1155" s="64"/>
      <c r="D1155" s="56"/>
    </row>
    <row r="1156">
      <c r="A1156" s="64"/>
      <c r="D1156" s="56"/>
    </row>
    <row r="1157">
      <c r="A1157" s="64"/>
      <c r="D1157" s="56"/>
    </row>
    <row r="1158">
      <c r="A1158" s="64"/>
      <c r="D1158" s="56"/>
    </row>
    <row r="1159">
      <c r="A1159" s="64"/>
      <c r="D1159" s="56"/>
    </row>
    <row r="1160">
      <c r="A1160" s="64"/>
      <c r="D1160" s="56"/>
    </row>
    <row r="1161">
      <c r="A1161" s="64"/>
      <c r="D1161" s="56"/>
    </row>
    <row r="1162">
      <c r="A1162" s="64"/>
      <c r="D1162" s="56"/>
    </row>
    <row r="1163">
      <c r="A1163" s="64"/>
      <c r="D1163" s="56"/>
    </row>
    <row r="1164">
      <c r="A1164" s="64"/>
      <c r="D1164" s="56"/>
    </row>
    <row r="1165">
      <c r="A1165" s="64"/>
      <c r="D1165" s="56"/>
    </row>
    <row r="1166">
      <c r="A1166" s="64"/>
      <c r="D1166" s="56"/>
    </row>
    <row r="1167">
      <c r="A1167" s="64"/>
      <c r="D1167" s="56"/>
    </row>
    <row r="1168">
      <c r="A1168" s="64"/>
      <c r="D1168" s="56"/>
    </row>
    <row r="1169">
      <c r="A1169" s="64"/>
      <c r="D1169" s="56"/>
    </row>
    <row r="1170">
      <c r="A1170" s="64"/>
      <c r="D1170" s="56"/>
    </row>
    <row r="1171">
      <c r="A1171" s="64"/>
      <c r="D1171" s="56"/>
    </row>
    <row r="1172">
      <c r="A1172" s="64"/>
      <c r="D1172" s="56"/>
    </row>
    <row r="1173">
      <c r="A1173" s="64"/>
      <c r="D1173" s="56"/>
    </row>
    <row r="1174">
      <c r="A1174" s="64"/>
      <c r="D1174" s="56"/>
    </row>
    <row r="1175">
      <c r="A1175" s="64"/>
      <c r="D1175" s="56"/>
    </row>
    <row r="1176">
      <c r="A1176" s="64"/>
      <c r="D1176" s="56"/>
    </row>
    <row r="1177">
      <c r="A1177" s="64"/>
      <c r="D1177" s="56"/>
    </row>
    <row r="1178">
      <c r="A1178" s="64"/>
      <c r="D1178" s="56"/>
    </row>
    <row r="1179">
      <c r="A1179" s="64"/>
      <c r="D1179" s="56"/>
    </row>
    <row r="1180">
      <c r="A1180" s="64"/>
      <c r="D1180" s="56"/>
    </row>
    <row r="1181">
      <c r="A1181" s="64"/>
      <c r="D1181" s="56"/>
    </row>
    <row r="1182">
      <c r="A1182" s="64"/>
      <c r="D1182" s="56"/>
    </row>
    <row r="1183">
      <c r="A1183" s="64"/>
      <c r="D1183" s="56"/>
    </row>
    <row r="1184">
      <c r="A1184" s="64"/>
      <c r="D1184" s="56"/>
    </row>
    <row r="1185">
      <c r="A1185" s="64"/>
      <c r="D1185" s="56"/>
    </row>
    <row r="1186">
      <c r="A1186" s="64"/>
      <c r="D1186" s="56"/>
    </row>
    <row r="1187">
      <c r="A1187" s="64"/>
      <c r="D1187" s="56"/>
    </row>
    <row r="1188">
      <c r="A1188" s="64"/>
      <c r="D1188" s="56"/>
    </row>
    <row r="1189">
      <c r="A1189" s="64"/>
      <c r="D1189" s="56"/>
    </row>
    <row r="1190">
      <c r="A1190" s="64"/>
      <c r="D1190" s="56"/>
    </row>
    <row r="1191">
      <c r="A1191" s="64"/>
      <c r="D1191" s="56"/>
    </row>
    <row r="1192">
      <c r="A1192" s="64"/>
      <c r="D1192" s="56"/>
    </row>
    <row r="1193">
      <c r="A1193" s="64"/>
      <c r="D1193" s="56"/>
    </row>
    <row r="1194">
      <c r="A1194" s="64"/>
      <c r="D1194" s="56"/>
    </row>
    <row r="1195">
      <c r="A1195" s="64"/>
      <c r="D1195" s="56"/>
    </row>
    <row r="1196">
      <c r="A1196" s="64"/>
      <c r="D1196" s="56"/>
    </row>
    <row r="1197">
      <c r="A1197" s="64"/>
      <c r="D1197" s="56"/>
    </row>
    <row r="1198">
      <c r="A1198" s="64"/>
      <c r="D1198" s="56"/>
    </row>
    <row r="1199">
      <c r="A1199" s="64"/>
      <c r="D1199" s="56"/>
    </row>
    <row r="1200">
      <c r="A1200" s="64"/>
      <c r="D1200" s="56"/>
    </row>
    <row r="1201">
      <c r="A1201" s="64"/>
      <c r="D1201" s="56"/>
    </row>
    <row r="1202">
      <c r="A1202" s="64"/>
      <c r="D1202" s="56"/>
    </row>
    <row r="1203">
      <c r="A1203" s="64"/>
      <c r="D1203" s="56"/>
    </row>
    <row r="1204">
      <c r="A1204" s="64"/>
      <c r="D1204" s="56"/>
    </row>
    <row r="1205">
      <c r="A1205" s="64"/>
      <c r="D1205" s="56"/>
    </row>
    <row r="1206">
      <c r="A1206" s="64"/>
      <c r="D1206" s="56"/>
    </row>
    <row r="1207">
      <c r="A1207" s="64"/>
      <c r="D1207" s="56"/>
    </row>
    <row r="1208">
      <c r="A1208" s="64"/>
      <c r="D1208" s="56"/>
    </row>
    <row r="1209">
      <c r="A1209" s="64"/>
      <c r="D1209" s="56"/>
    </row>
    <row r="1210">
      <c r="A1210" s="64"/>
      <c r="D1210" s="56"/>
    </row>
    <row r="1211">
      <c r="A1211" s="64"/>
      <c r="D1211" s="56"/>
    </row>
    <row r="1212">
      <c r="A1212" s="64"/>
      <c r="D1212" s="56"/>
    </row>
    <row r="1213">
      <c r="A1213" s="64"/>
      <c r="D1213" s="56"/>
    </row>
    <row r="1214">
      <c r="A1214" s="64"/>
      <c r="D1214" s="56"/>
    </row>
    <row r="1215">
      <c r="A1215" s="64"/>
      <c r="D1215" s="56"/>
    </row>
    <row r="1216">
      <c r="A1216" s="64"/>
      <c r="D1216" s="56"/>
    </row>
    <row r="1217">
      <c r="A1217" s="64"/>
      <c r="D1217" s="56"/>
    </row>
    <row r="1218">
      <c r="A1218" s="64"/>
      <c r="D1218" s="56"/>
    </row>
    <row r="1219">
      <c r="A1219" s="64"/>
      <c r="D1219" s="56"/>
    </row>
    <row r="1220">
      <c r="A1220" s="64"/>
      <c r="D1220" s="56"/>
    </row>
    <row r="1221">
      <c r="A1221" s="64"/>
      <c r="D1221" s="56"/>
    </row>
    <row r="1222">
      <c r="A1222" s="64"/>
      <c r="D1222" s="56"/>
    </row>
    <row r="1223">
      <c r="A1223" s="64"/>
      <c r="D1223" s="56"/>
    </row>
    <row r="1224">
      <c r="A1224" s="64"/>
      <c r="D1224" s="56"/>
    </row>
    <row r="1225">
      <c r="A1225" s="64"/>
      <c r="D1225" s="56"/>
    </row>
    <row r="1226">
      <c r="A1226" s="64"/>
      <c r="D1226" s="56"/>
    </row>
    <row r="1227">
      <c r="A1227" s="64"/>
      <c r="D1227" s="56"/>
    </row>
    <row r="1228">
      <c r="A1228" s="64"/>
      <c r="D1228" s="56"/>
    </row>
    <row r="1229">
      <c r="A1229" s="64"/>
      <c r="D1229" s="56"/>
    </row>
    <row r="1230">
      <c r="A1230" s="64"/>
      <c r="D1230" s="56"/>
    </row>
    <row r="1231">
      <c r="A1231" s="64"/>
      <c r="D1231" s="56"/>
    </row>
    <row r="1232">
      <c r="A1232" s="64"/>
      <c r="D1232" s="56"/>
    </row>
    <row r="1233">
      <c r="A1233" s="64"/>
      <c r="D1233" s="56"/>
    </row>
    <row r="1234">
      <c r="A1234" s="64"/>
      <c r="D1234" s="56"/>
    </row>
    <row r="1235">
      <c r="A1235" s="64"/>
      <c r="D1235" s="56"/>
    </row>
    <row r="1236">
      <c r="A1236" s="64"/>
      <c r="D1236" s="56"/>
    </row>
    <row r="1237">
      <c r="A1237" s="64"/>
      <c r="D1237" s="56"/>
    </row>
    <row r="1238">
      <c r="A1238" s="64"/>
      <c r="D1238" s="56"/>
    </row>
    <row r="1239">
      <c r="A1239" s="64"/>
      <c r="D1239" s="56"/>
    </row>
    <row r="1240">
      <c r="A1240" s="64"/>
      <c r="D1240" s="56"/>
    </row>
    <row r="1241">
      <c r="A1241" s="64"/>
      <c r="D1241" s="63"/>
    </row>
    <row r="1242">
      <c r="A1242" s="64"/>
      <c r="D1242" s="56"/>
    </row>
    <row r="1243">
      <c r="A1243" s="64"/>
      <c r="D1243" s="56"/>
    </row>
    <row r="1244">
      <c r="A1244" s="64"/>
      <c r="D1244" s="56"/>
    </row>
    <row r="1245">
      <c r="A1245" s="64"/>
      <c r="D1245" s="56"/>
    </row>
    <row r="1246">
      <c r="A1246" s="64"/>
      <c r="D1246" s="56"/>
    </row>
    <row r="1247">
      <c r="A1247" s="64"/>
      <c r="D1247" s="56"/>
    </row>
    <row r="1248">
      <c r="A1248" s="64"/>
      <c r="D1248" s="63"/>
    </row>
    <row r="1249">
      <c r="A1249" s="64"/>
      <c r="D1249" s="63"/>
    </row>
    <row r="1250">
      <c r="A1250" s="64"/>
      <c r="D1250" s="63"/>
    </row>
    <row r="1251">
      <c r="A1251" s="64"/>
      <c r="D1251" s="63"/>
    </row>
    <row r="1252">
      <c r="A1252" s="64"/>
      <c r="D1252" s="63"/>
    </row>
    <row r="1253">
      <c r="A1253" s="64"/>
      <c r="D1253" s="63"/>
    </row>
    <row r="1254">
      <c r="A1254" s="64"/>
      <c r="D1254" s="63"/>
    </row>
    <row r="1255">
      <c r="A1255" s="64"/>
      <c r="D1255" s="63"/>
    </row>
    <row r="1256">
      <c r="A1256" s="64"/>
      <c r="D1256" s="63"/>
    </row>
    <row r="1257">
      <c r="A1257" s="64"/>
      <c r="D1257" s="63"/>
    </row>
    <row r="1258">
      <c r="A1258" s="64"/>
      <c r="D1258" s="63"/>
    </row>
    <row r="1259">
      <c r="A1259" s="64"/>
      <c r="D1259" s="63"/>
    </row>
    <row r="1260">
      <c r="A1260" s="64"/>
      <c r="D1260" s="63"/>
    </row>
    <row r="1261">
      <c r="A1261" s="64"/>
      <c r="D1261" s="63"/>
    </row>
    <row r="1262">
      <c r="A1262" s="64"/>
      <c r="D1262" s="63"/>
    </row>
    <row r="1263">
      <c r="A1263" s="64"/>
      <c r="D1263" s="63"/>
    </row>
    <row r="1264">
      <c r="A1264" s="64"/>
      <c r="D1264" s="63"/>
    </row>
    <row r="1265">
      <c r="A1265" s="64"/>
      <c r="D1265" s="63"/>
    </row>
    <row r="1266">
      <c r="A1266" s="64"/>
      <c r="D1266" s="63"/>
    </row>
    <row r="1267">
      <c r="A1267" s="64"/>
      <c r="D1267" s="63"/>
    </row>
    <row r="1268">
      <c r="A1268" s="64"/>
      <c r="D1268" s="63"/>
    </row>
    <row r="1269">
      <c r="A1269" s="64"/>
      <c r="D1269" s="63"/>
    </row>
    <row r="1270">
      <c r="A1270" s="64"/>
      <c r="D1270" s="63"/>
    </row>
    <row r="1271">
      <c r="A1271" s="64"/>
      <c r="D1271" s="63"/>
    </row>
    <row r="1272">
      <c r="A1272" s="64"/>
      <c r="D1272" s="63"/>
    </row>
    <row r="1273">
      <c r="A1273" s="64"/>
      <c r="D1273" s="63"/>
    </row>
    <row r="1274">
      <c r="A1274" s="64"/>
      <c r="D1274" s="63"/>
    </row>
    <row r="1275">
      <c r="A1275" s="64"/>
      <c r="D1275" s="63"/>
    </row>
    <row r="1276">
      <c r="A1276" s="64"/>
      <c r="D1276" s="63"/>
    </row>
    <row r="1277">
      <c r="A1277" s="64"/>
      <c r="D1277" s="63"/>
    </row>
    <row r="1278">
      <c r="A1278" s="64"/>
      <c r="D1278" s="63"/>
    </row>
    <row r="1279">
      <c r="A1279" s="64"/>
      <c r="D1279" s="63"/>
    </row>
    <row r="1280">
      <c r="A1280" s="64"/>
      <c r="D1280" s="63"/>
    </row>
    <row r="1281">
      <c r="A1281" s="64"/>
      <c r="D1281" s="63"/>
    </row>
    <row r="1282">
      <c r="A1282" s="64"/>
      <c r="D1282" s="63"/>
    </row>
    <row r="1283">
      <c r="A1283" s="64"/>
      <c r="D1283" s="63"/>
    </row>
    <row r="1284">
      <c r="A1284" s="64"/>
      <c r="D1284" s="63"/>
    </row>
    <row r="1285">
      <c r="A1285" s="64"/>
      <c r="D1285" s="63"/>
    </row>
    <row r="1286">
      <c r="A1286" s="64"/>
      <c r="D1286" s="63"/>
    </row>
    <row r="1287">
      <c r="A1287" s="64"/>
      <c r="D1287" s="63"/>
    </row>
    <row r="1288">
      <c r="A1288" s="64"/>
      <c r="D1288" s="63"/>
    </row>
    <row r="1289">
      <c r="A1289" s="64"/>
      <c r="D1289" s="63"/>
    </row>
    <row r="1290">
      <c r="A1290" s="64"/>
      <c r="D1290" s="63"/>
    </row>
    <row r="1291">
      <c r="A1291" s="64"/>
      <c r="D1291" s="63"/>
    </row>
    <row r="1292">
      <c r="A1292" s="64"/>
      <c r="D1292" s="63"/>
    </row>
    <row r="1293">
      <c r="A1293" s="64"/>
      <c r="D1293" s="63"/>
    </row>
    <row r="1294">
      <c r="A1294" s="64"/>
      <c r="D1294" s="63"/>
    </row>
    <row r="1295">
      <c r="A1295" s="64"/>
      <c r="D1295" s="63"/>
    </row>
    <row r="1296">
      <c r="A1296" s="64"/>
      <c r="D1296" s="63"/>
    </row>
    <row r="1297">
      <c r="A1297" s="64"/>
      <c r="D1297" s="63"/>
    </row>
    <row r="1298">
      <c r="A1298" s="64"/>
      <c r="D1298" s="63"/>
    </row>
    <row r="1299">
      <c r="A1299" s="64"/>
      <c r="D1299" s="63"/>
    </row>
    <row r="1300">
      <c r="A1300" s="64"/>
      <c r="D1300" s="63"/>
    </row>
    <row r="1301">
      <c r="A1301" s="64"/>
      <c r="D1301" s="63"/>
    </row>
    <row r="1302">
      <c r="A1302" s="64"/>
      <c r="D1302" s="63"/>
    </row>
    <row r="1303">
      <c r="A1303" s="64"/>
      <c r="D1303" s="63"/>
    </row>
    <row r="1304">
      <c r="A1304" s="64"/>
      <c r="D1304" s="63"/>
    </row>
    <row r="1305">
      <c r="A1305" s="64"/>
      <c r="D1305" s="63"/>
    </row>
    <row r="1306">
      <c r="A1306" s="64"/>
      <c r="D1306" s="63"/>
    </row>
    <row r="1307">
      <c r="A1307" s="64"/>
      <c r="D1307" s="63"/>
    </row>
    <row r="1308">
      <c r="A1308" s="64"/>
      <c r="D1308" s="63"/>
    </row>
    <row r="1309">
      <c r="A1309" s="64"/>
      <c r="D1309" s="63"/>
    </row>
    <row r="1310">
      <c r="A1310" s="64"/>
      <c r="D1310" s="63"/>
    </row>
    <row r="1311">
      <c r="A1311" s="64"/>
      <c r="D1311" s="63"/>
    </row>
    <row r="1312">
      <c r="A1312" s="64"/>
      <c r="D1312" s="63"/>
    </row>
    <row r="1313">
      <c r="A1313" s="64"/>
      <c r="D1313" s="63"/>
    </row>
    <row r="1314">
      <c r="A1314" s="64"/>
      <c r="D1314" s="63"/>
    </row>
    <row r="1315">
      <c r="A1315" s="64"/>
      <c r="D1315" s="63"/>
    </row>
    <row r="1316">
      <c r="A1316" s="64"/>
      <c r="D1316" s="63"/>
    </row>
    <row r="1317">
      <c r="A1317" s="64"/>
      <c r="D1317" s="63"/>
    </row>
    <row r="1318">
      <c r="A1318" s="64"/>
      <c r="D1318" s="63"/>
    </row>
    <row r="1319">
      <c r="A1319" s="64"/>
      <c r="D1319" s="63"/>
    </row>
    <row r="1320">
      <c r="A1320" s="64"/>
      <c r="D1320" s="63"/>
    </row>
    <row r="1321">
      <c r="A1321" s="64"/>
      <c r="D1321" s="63"/>
    </row>
    <row r="1322">
      <c r="A1322" s="64"/>
      <c r="D1322" s="63"/>
    </row>
    <row r="1323">
      <c r="A1323" s="64"/>
      <c r="D1323" s="63"/>
    </row>
    <row r="1324">
      <c r="A1324" s="64"/>
      <c r="D1324" s="63"/>
    </row>
    <row r="1325">
      <c r="A1325" s="64"/>
      <c r="D1325" s="63"/>
    </row>
    <row r="1326">
      <c r="A1326" s="64"/>
      <c r="D1326" s="63"/>
    </row>
    <row r="1327">
      <c r="A1327" s="64"/>
      <c r="D1327" s="63"/>
    </row>
    <row r="1328">
      <c r="A1328" s="64"/>
      <c r="D1328" s="63"/>
    </row>
    <row r="1329">
      <c r="A1329" s="64"/>
      <c r="D1329" s="63"/>
    </row>
    <row r="1330">
      <c r="A1330" s="64"/>
      <c r="D1330" s="63"/>
    </row>
    <row r="1331">
      <c r="A1331" s="64"/>
      <c r="D1331" s="63"/>
    </row>
    <row r="1332">
      <c r="A1332" s="64"/>
      <c r="D1332" s="63"/>
    </row>
    <row r="1333">
      <c r="A1333" s="64"/>
      <c r="D1333" s="63"/>
    </row>
    <row r="1334">
      <c r="A1334" s="64"/>
      <c r="D1334" s="63"/>
    </row>
    <row r="1335">
      <c r="A1335" s="64"/>
      <c r="D1335" s="63"/>
    </row>
    <row r="1336">
      <c r="A1336" s="64"/>
      <c r="D1336" s="63"/>
    </row>
    <row r="1337">
      <c r="A1337" s="64"/>
      <c r="D1337" s="63"/>
    </row>
    <row r="1338">
      <c r="A1338" s="64"/>
      <c r="D1338" s="63"/>
    </row>
    <row r="1339">
      <c r="A1339" s="64"/>
      <c r="D1339" s="63"/>
    </row>
    <row r="1340">
      <c r="A1340" s="64"/>
      <c r="D1340" s="63"/>
    </row>
    <row r="1341">
      <c r="A1341" s="64"/>
      <c r="D1341" s="63"/>
    </row>
    <row r="1342">
      <c r="A1342" s="64"/>
      <c r="D1342" s="63"/>
    </row>
    <row r="1343">
      <c r="A1343" s="64"/>
      <c r="D1343" s="63"/>
    </row>
    <row r="1344">
      <c r="A1344" s="64"/>
      <c r="D1344" s="63"/>
    </row>
    <row r="1345">
      <c r="A1345" s="64"/>
      <c r="D1345" s="63"/>
    </row>
    <row r="1346">
      <c r="A1346" s="64"/>
      <c r="D1346" s="63"/>
    </row>
    <row r="1347">
      <c r="A1347" s="64"/>
      <c r="D1347" s="63"/>
    </row>
    <row r="1348">
      <c r="A1348" s="64"/>
      <c r="D1348" s="63"/>
    </row>
    <row r="1349">
      <c r="A1349" s="64"/>
      <c r="D1349" s="63"/>
    </row>
    <row r="1350">
      <c r="A1350" s="64"/>
      <c r="D1350" s="63"/>
    </row>
    <row r="1351">
      <c r="A1351" s="64"/>
      <c r="D1351" s="63"/>
    </row>
    <row r="1352">
      <c r="A1352" s="64"/>
      <c r="D1352" s="63"/>
    </row>
    <row r="1353">
      <c r="A1353" s="64"/>
      <c r="D1353" s="63"/>
    </row>
    <row r="1354">
      <c r="A1354" s="64"/>
      <c r="D1354" s="63"/>
    </row>
    <row r="1355">
      <c r="A1355" s="64"/>
      <c r="D1355" s="63"/>
    </row>
    <row r="1356">
      <c r="A1356" s="64"/>
      <c r="D1356" s="63"/>
    </row>
    <row r="1357">
      <c r="A1357" s="64"/>
      <c r="D1357" s="63"/>
    </row>
    <row r="1358">
      <c r="A1358" s="64"/>
      <c r="D1358" s="63"/>
    </row>
    <row r="1359">
      <c r="A1359" s="64"/>
      <c r="D1359" s="63"/>
    </row>
    <row r="1360">
      <c r="A1360" s="64"/>
      <c r="D1360" s="63"/>
    </row>
    <row r="1361">
      <c r="A1361" s="64"/>
      <c r="D1361" s="63"/>
    </row>
    <row r="1362">
      <c r="A1362" s="64"/>
      <c r="D1362" s="63"/>
    </row>
    <row r="1363">
      <c r="A1363" s="64"/>
      <c r="D1363" s="63"/>
    </row>
    <row r="1364">
      <c r="A1364" s="64"/>
      <c r="D1364" s="63"/>
    </row>
    <row r="1365">
      <c r="A1365" s="64"/>
      <c r="D1365" s="63"/>
    </row>
    <row r="1366">
      <c r="A1366" s="64"/>
      <c r="D1366" s="63"/>
    </row>
    <row r="1367">
      <c r="A1367" s="64"/>
      <c r="D1367" s="63"/>
    </row>
    <row r="1368">
      <c r="A1368" s="64"/>
      <c r="D1368" s="63"/>
    </row>
    <row r="1369">
      <c r="A1369" s="64"/>
      <c r="D1369" s="63"/>
    </row>
    <row r="1370">
      <c r="A1370" s="64"/>
      <c r="D1370" s="63"/>
    </row>
    <row r="1371">
      <c r="A1371" s="64"/>
      <c r="D1371" s="63"/>
    </row>
    <row r="1372">
      <c r="A1372" s="64"/>
      <c r="D1372" s="63"/>
    </row>
    <row r="1373">
      <c r="A1373" s="64"/>
      <c r="D1373" s="63"/>
    </row>
    <row r="1374">
      <c r="A1374" s="66"/>
      <c r="D1374" s="63"/>
    </row>
    <row r="1375">
      <c r="A1375" s="66"/>
      <c r="D1375" s="63"/>
    </row>
    <row r="1376">
      <c r="A1376" s="66"/>
      <c r="D1376" s="63"/>
    </row>
    <row r="1377">
      <c r="A1377" s="66"/>
      <c r="D1377" s="63"/>
    </row>
    <row r="1378">
      <c r="A1378" s="66"/>
      <c r="D1378" s="63"/>
    </row>
    <row r="1379">
      <c r="A1379" s="66"/>
      <c r="D1379" s="63"/>
    </row>
    <row r="1380">
      <c r="A1380" s="66"/>
      <c r="D1380" s="63"/>
    </row>
    <row r="1381">
      <c r="A1381" s="66"/>
      <c r="D1381" s="63"/>
    </row>
    <row r="1382">
      <c r="A1382" s="66"/>
      <c r="D1382" s="63"/>
    </row>
    <row r="1383">
      <c r="A1383" s="66"/>
      <c r="D1383" s="63"/>
    </row>
    <row r="1384">
      <c r="A1384" s="66"/>
      <c r="D1384" s="63"/>
    </row>
    <row r="1385">
      <c r="A1385" s="66"/>
      <c r="D1385" s="63"/>
    </row>
    <row r="1386">
      <c r="A1386" s="66"/>
      <c r="D1386" s="63"/>
    </row>
    <row r="1387">
      <c r="A1387" s="66"/>
      <c r="D1387" s="63"/>
    </row>
    <row r="1388">
      <c r="A1388" s="66"/>
      <c r="D1388" s="63"/>
    </row>
    <row r="1389">
      <c r="A1389" s="66"/>
      <c r="D1389" s="63"/>
    </row>
    <row r="1390">
      <c r="A1390" s="66"/>
      <c r="D1390" s="63"/>
    </row>
    <row r="1391">
      <c r="A1391" s="66"/>
      <c r="D1391" s="63"/>
    </row>
    <row r="1392">
      <c r="A1392" s="66"/>
      <c r="D1392" s="63"/>
    </row>
    <row r="1393">
      <c r="A1393" s="66"/>
      <c r="D1393" s="63"/>
    </row>
    <row r="1394">
      <c r="A1394" s="66"/>
      <c r="D1394" s="62"/>
    </row>
    <row r="1395">
      <c r="A1395" s="66"/>
      <c r="D1395" s="63"/>
    </row>
    <row r="1396">
      <c r="A1396" s="66"/>
      <c r="D1396" s="63"/>
    </row>
    <row r="1397">
      <c r="A1397" s="66"/>
      <c r="D1397" s="63"/>
    </row>
    <row r="1398">
      <c r="A1398" s="66"/>
      <c r="D1398" s="63"/>
    </row>
    <row r="1399">
      <c r="A1399" s="66"/>
      <c r="D1399" s="63"/>
    </row>
    <row r="1400">
      <c r="A1400" s="66"/>
      <c r="D1400" s="63"/>
    </row>
    <row r="1401">
      <c r="A1401" s="66"/>
      <c r="D1401" s="63"/>
    </row>
    <row r="1402">
      <c r="A1402" s="66"/>
      <c r="D1402" s="63"/>
    </row>
    <row r="1403">
      <c r="A1403" s="66"/>
      <c r="D1403" s="63"/>
    </row>
    <row r="1404">
      <c r="A1404" s="66"/>
      <c r="D1404" s="63"/>
    </row>
    <row r="1405">
      <c r="A1405" s="66"/>
      <c r="D1405" s="63"/>
    </row>
    <row r="1406">
      <c r="A1406" s="66"/>
      <c r="D1406" s="63"/>
    </row>
    <row r="1407">
      <c r="A1407" s="66"/>
      <c r="D1407" s="63"/>
    </row>
    <row r="1408">
      <c r="A1408" s="66"/>
      <c r="D1408" s="63"/>
    </row>
    <row r="1409">
      <c r="A1409" s="66"/>
      <c r="D1409" s="63"/>
    </row>
    <row r="1410">
      <c r="A1410" s="66"/>
      <c r="D1410" s="63"/>
    </row>
    <row r="1411">
      <c r="A1411" s="66"/>
      <c r="D1411" s="63"/>
    </row>
    <row r="1412">
      <c r="A1412" s="66"/>
      <c r="D1412" s="63"/>
    </row>
    <row r="1413">
      <c r="A1413" s="66"/>
      <c r="D1413" s="63"/>
    </row>
    <row r="1414">
      <c r="A1414" s="66"/>
      <c r="D1414" s="63"/>
    </row>
    <row r="1415">
      <c r="A1415" s="66"/>
      <c r="D1415" s="63"/>
    </row>
    <row r="1416">
      <c r="A1416" s="66"/>
      <c r="D1416" s="63"/>
    </row>
    <row r="1417">
      <c r="A1417" s="66"/>
      <c r="D1417" s="63"/>
    </row>
    <row r="1418">
      <c r="A1418" s="66"/>
      <c r="D1418" s="63"/>
    </row>
    <row r="1419">
      <c r="A1419" s="66"/>
      <c r="D1419" s="63"/>
    </row>
    <row r="1420">
      <c r="A1420" s="66"/>
      <c r="D1420" s="63"/>
    </row>
    <row r="1421">
      <c r="A1421" s="66"/>
      <c r="D1421" s="63"/>
    </row>
    <row r="1422">
      <c r="A1422" s="66"/>
      <c r="D1422" s="63"/>
    </row>
    <row r="1423">
      <c r="A1423" s="66"/>
      <c r="D1423" s="63"/>
    </row>
    <row r="1424">
      <c r="A1424" s="66"/>
      <c r="D1424" s="63"/>
    </row>
    <row r="1425">
      <c r="A1425" s="66"/>
      <c r="D1425" s="63"/>
    </row>
    <row r="1426">
      <c r="A1426" s="66"/>
      <c r="D1426" s="63"/>
    </row>
    <row r="1427">
      <c r="A1427" s="66"/>
      <c r="D1427" s="63"/>
    </row>
    <row r="1428">
      <c r="A1428" s="66"/>
      <c r="D1428" s="63"/>
    </row>
    <row r="1429">
      <c r="A1429" s="66"/>
      <c r="D1429" s="63"/>
    </row>
    <row r="1430">
      <c r="A1430" s="66"/>
      <c r="D1430" s="63"/>
    </row>
    <row r="1431">
      <c r="A1431" s="66"/>
      <c r="D1431" s="63"/>
    </row>
    <row r="1432">
      <c r="A1432" s="66"/>
      <c r="D1432" s="63"/>
    </row>
    <row r="1433">
      <c r="A1433" s="66"/>
      <c r="D1433" s="63"/>
    </row>
    <row r="1434">
      <c r="A1434" s="66"/>
      <c r="D1434" s="63"/>
    </row>
    <row r="1435">
      <c r="A1435" s="66"/>
      <c r="D1435" s="63"/>
    </row>
    <row r="1436">
      <c r="A1436" s="66"/>
      <c r="D1436" s="63"/>
    </row>
    <row r="1437">
      <c r="A1437" s="66"/>
      <c r="D1437" s="63"/>
    </row>
    <row r="1438">
      <c r="A1438" s="66"/>
      <c r="D1438" s="63"/>
    </row>
    <row r="1439">
      <c r="A1439" s="66"/>
      <c r="D1439" s="63"/>
    </row>
    <row r="1440">
      <c r="A1440" s="66"/>
      <c r="D1440" s="63"/>
    </row>
    <row r="1441">
      <c r="A1441" s="66"/>
      <c r="D1441" s="63"/>
    </row>
    <row r="1442">
      <c r="A1442" s="66"/>
      <c r="D1442" s="63"/>
    </row>
    <row r="1443">
      <c r="A1443" s="66"/>
      <c r="D1443" s="63"/>
    </row>
    <row r="1444">
      <c r="A1444" s="66"/>
      <c r="D1444" s="63"/>
    </row>
    <row r="1445">
      <c r="A1445" s="66"/>
      <c r="D1445" s="63"/>
    </row>
    <row r="1446">
      <c r="A1446" s="66"/>
      <c r="D1446" s="63"/>
    </row>
    <row r="1447">
      <c r="A1447" s="66"/>
      <c r="D1447" s="63"/>
    </row>
    <row r="1448">
      <c r="A1448" s="66"/>
      <c r="D1448" s="63"/>
    </row>
    <row r="1449">
      <c r="A1449" s="66"/>
      <c r="D1449" s="63"/>
    </row>
    <row r="1450">
      <c r="A1450" s="66"/>
      <c r="D1450" s="63"/>
    </row>
    <row r="1451">
      <c r="A1451" s="66"/>
      <c r="D1451" s="63"/>
    </row>
    <row r="1452">
      <c r="A1452" s="66"/>
      <c r="D1452" s="63"/>
    </row>
    <row r="1453">
      <c r="A1453" s="66"/>
      <c r="D1453" s="63"/>
    </row>
    <row r="1454">
      <c r="A1454" s="66"/>
      <c r="D1454" s="63"/>
    </row>
    <row r="1455">
      <c r="A1455" s="66"/>
      <c r="D1455" s="63"/>
    </row>
    <row r="1456">
      <c r="A1456" s="66"/>
      <c r="D1456" s="63"/>
    </row>
    <row r="1457">
      <c r="A1457" s="66"/>
      <c r="D1457" s="63"/>
    </row>
    <row r="1458">
      <c r="A1458" s="67"/>
      <c r="D1458" s="63"/>
    </row>
    <row r="1459">
      <c r="A1459" s="67"/>
      <c r="D1459" s="63"/>
    </row>
    <row r="1460">
      <c r="A1460" s="67"/>
      <c r="D1460" s="63"/>
    </row>
    <row r="1461">
      <c r="A1461" s="67"/>
      <c r="D1461" s="63"/>
    </row>
    <row r="1462">
      <c r="A1462" s="67"/>
      <c r="D1462" s="63"/>
    </row>
    <row r="1463">
      <c r="A1463" s="67"/>
      <c r="D1463" s="63"/>
    </row>
    <row r="1464">
      <c r="A1464" s="67"/>
      <c r="D1464" s="63"/>
    </row>
    <row r="1465">
      <c r="A1465" s="67"/>
      <c r="D1465" s="63"/>
    </row>
    <row r="1466">
      <c r="A1466" s="67"/>
      <c r="D1466" s="63"/>
    </row>
    <row r="1467">
      <c r="A1467" s="67"/>
      <c r="D1467" s="63"/>
    </row>
    <row r="1468">
      <c r="A1468" s="67"/>
      <c r="D1468" s="63"/>
    </row>
    <row r="1469">
      <c r="A1469" s="67"/>
      <c r="D1469" s="63"/>
    </row>
    <row r="1470">
      <c r="A1470" s="67"/>
      <c r="D1470" s="63"/>
    </row>
    <row r="1471">
      <c r="A1471" s="67"/>
      <c r="D1471" s="63"/>
    </row>
    <row r="1472">
      <c r="A1472" s="67"/>
      <c r="D1472" s="63"/>
    </row>
    <row r="1473">
      <c r="A1473" s="67"/>
      <c r="D1473" s="63"/>
    </row>
    <row r="1474">
      <c r="A1474" s="67"/>
      <c r="D1474" s="63"/>
    </row>
    <row r="1475">
      <c r="A1475" s="67"/>
      <c r="D1475" s="62"/>
    </row>
    <row r="1476">
      <c r="A1476" s="67"/>
      <c r="D1476" s="63"/>
    </row>
    <row r="1477">
      <c r="A1477" s="67"/>
      <c r="D1477" s="63"/>
    </row>
    <row r="1478">
      <c r="A1478" s="67"/>
      <c r="D1478" s="63"/>
    </row>
    <row r="1479">
      <c r="A1479" s="67"/>
      <c r="D1479" s="63"/>
    </row>
    <row r="1480">
      <c r="A1480" s="67"/>
      <c r="D1480" s="63"/>
    </row>
    <row r="1481">
      <c r="A1481" s="67"/>
      <c r="D1481" s="63"/>
    </row>
    <row r="1482">
      <c r="A1482" s="67"/>
      <c r="D1482" s="63"/>
    </row>
    <row r="1483">
      <c r="A1483" s="67"/>
      <c r="D1483" s="63"/>
    </row>
    <row r="1484">
      <c r="A1484" s="67"/>
      <c r="D1484" s="63"/>
    </row>
    <row r="1485">
      <c r="A1485" s="67"/>
      <c r="D1485" s="63"/>
    </row>
    <row r="1486">
      <c r="A1486" s="67"/>
      <c r="D1486" s="63"/>
    </row>
    <row r="1487">
      <c r="A1487" s="67"/>
      <c r="D1487" s="63"/>
    </row>
    <row r="1488">
      <c r="A1488" s="67"/>
      <c r="D1488" s="63"/>
    </row>
    <row r="1489">
      <c r="A1489" s="67"/>
      <c r="D1489" s="63"/>
    </row>
    <row r="1490">
      <c r="A1490" s="67"/>
      <c r="D1490" s="63"/>
    </row>
    <row r="1491">
      <c r="A1491" s="67"/>
      <c r="D1491" s="63"/>
    </row>
    <row r="1492">
      <c r="A1492" s="67"/>
      <c r="D1492" s="63"/>
    </row>
    <row r="1493">
      <c r="A1493" s="67"/>
      <c r="D1493" s="63"/>
    </row>
    <row r="1494">
      <c r="A1494" s="67"/>
      <c r="D1494" s="63"/>
    </row>
    <row r="1495">
      <c r="A1495" s="67"/>
      <c r="D1495" s="63"/>
    </row>
    <row r="1496">
      <c r="A1496" s="67"/>
      <c r="D1496" s="63"/>
    </row>
    <row r="1497">
      <c r="A1497" s="67"/>
      <c r="D1497" s="63"/>
    </row>
    <row r="1498">
      <c r="A1498" s="67"/>
      <c r="D1498" s="63"/>
    </row>
    <row r="1499">
      <c r="A1499" s="67"/>
      <c r="D1499" s="63"/>
    </row>
    <row r="1500">
      <c r="A1500" s="67"/>
      <c r="D1500" s="63"/>
    </row>
    <row r="1501">
      <c r="A1501" s="67"/>
      <c r="D1501" s="63"/>
    </row>
    <row r="1502">
      <c r="A1502" s="67"/>
      <c r="D1502" s="63"/>
    </row>
    <row r="1503">
      <c r="A1503" s="67"/>
      <c r="D1503" s="63"/>
    </row>
    <row r="1504">
      <c r="A1504" s="67"/>
      <c r="D1504" s="63"/>
    </row>
    <row r="1505">
      <c r="A1505" s="67"/>
      <c r="D1505" s="63"/>
    </row>
    <row r="1506">
      <c r="A1506" s="67"/>
      <c r="D1506" s="63"/>
    </row>
    <row r="1507">
      <c r="A1507" s="67"/>
      <c r="D1507" s="63"/>
    </row>
    <row r="1508">
      <c r="A1508" s="67"/>
      <c r="D1508" s="63"/>
    </row>
    <row r="1509">
      <c r="A1509" s="67"/>
      <c r="D1509" s="63"/>
    </row>
    <row r="1510">
      <c r="A1510" s="67"/>
      <c r="D1510" s="63"/>
    </row>
    <row r="1511">
      <c r="A1511" s="67"/>
      <c r="D1511" s="63"/>
    </row>
    <row r="1512">
      <c r="A1512" s="67"/>
      <c r="D1512" s="63"/>
    </row>
    <row r="1513">
      <c r="A1513" s="67"/>
      <c r="D1513" s="63"/>
    </row>
    <row r="1514">
      <c r="A1514" s="67"/>
      <c r="D1514" s="63"/>
    </row>
    <row r="1515">
      <c r="A1515" s="67"/>
      <c r="D1515" s="63"/>
    </row>
    <row r="1516">
      <c r="A1516" s="67"/>
      <c r="D1516" s="63"/>
    </row>
    <row r="1517">
      <c r="A1517" s="67"/>
      <c r="D1517" s="63"/>
    </row>
    <row r="1518">
      <c r="A1518" s="67"/>
      <c r="D1518" s="63"/>
    </row>
    <row r="1519">
      <c r="A1519" s="67"/>
      <c r="D1519" s="63"/>
    </row>
    <row r="1520">
      <c r="A1520" s="67"/>
      <c r="D1520" s="63"/>
    </row>
    <row r="1521">
      <c r="A1521" s="67"/>
      <c r="D1521" s="63"/>
    </row>
    <row r="1522">
      <c r="A1522" s="67"/>
      <c r="D1522" s="63"/>
    </row>
    <row r="1523">
      <c r="A1523" s="67"/>
      <c r="D1523" s="63"/>
    </row>
    <row r="1524">
      <c r="A1524" s="67"/>
      <c r="D1524" s="63"/>
    </row>
    <row r="1525">
      <c r="A1525" s="67"/>
      <c r="D1525" s="63"/>
    </row>
    <row r="1526">
      <c r="A1526" s="67"/>
      <c r="D1526" s="63"/>
    </row>
    <row r="1527">
      <c r="A1527" s="67"/>
      <c r="D1527" s="63"/>
    </row>
    <row r="1528">
      <c r="A1528" s="67"/>
      <c r="D1528" s="63"/>
    </row>
    <row r="1529">
      <c r="A1529" s="67"/>
      <c r="D1529" s="63"/>
    </row>
    <row r="1530">
      <c r="A1530" s="67"/>
      <c r="D1530" s="63"/>
    </row>
    <row r="1531">
      <c r="A1531" s="67"/>
      <c r="D1531" s="63"/>
    </row>
    <row r="1532">
      <c r="A1532" s="67"/>
      <c r="D1532" s="63"/>
    </row>
    <row r="1533">
      <c r="A1533" s="67"/>
      <c r="D1533" s="63"/>
    </row>
    <row r="1534">
      <c r="A1534" s="67"/>
      <c r="D1534" s="63"/>
    </row>
    <row r="1535">
      <c r="A1535" s="67"/>
      <c r="D1535" s="63"/>
    </row>
    <row r="1536">
      <c r="A1536" s="67"/>
      <c r="D1536" s="63"/>
    </row>
    <row r="1537">
      <c r="A1537" s="67"/>
      <c r="D1537" s="63"/>
    </row>
    <row r="1538">
      <c r="A1538" s="67"/>
      <c r="D1538" s="63"/>
    </row>
    <row r="1539">
      <c r="A1539" s="67"/>
      <c r="D1539" s="63"/>
    </row>
    <row r="1540">
      <c r="A1540" s="67"/>
      <c r="D1540" s="63"/>
    </row>
    <row r="1541">
      <c r="A1541" s="67"/>
      <c r="D1541" s="63"/>
    </row>
    <row r="1542">
      <c r="A1542" s="67"/>
      <c r="D1542" s="63"/>
    </row>
    <row r="1543">
      <c r="A1543" s="67"/>
      <c r="D1543" s="63"/>
    </row>
    <row r="1544">
      <c r="A1544" s="67"/>
      <c r="D1544" s="63"/>
    </row>
    <row r="1545">
      <c r="A1545" s="67"/>
      <c r="D1545" s="63"/>
    </row>
    <row r="1546">
      <c r="A1546" s="67"/>
      <c r="D1546" s="63"/>
    </row>
    <row r="1547">
      <c r="A1547" s="68"/>
      <c r="D1547" s="63"/>
    </row>
    <row r="1548">
      <c r="A1548" s="68"/>
      <c r="D1548" s="63"/>
    </row>
    <row r="1549">
      <c r="A1549" s="68"/>
      <c r="D1549" s="63"/>
    </row>
    <row r="1550">
      <c r="A1550" s="68"/>
      <c r="D1550" s="63"/>
    </row>
    <row r="1551">
      <c r="A1551" s="68"/>
      <c r="D1551" s="63"/>
    </row>
    <row r="1552">
      <c r="A1552" s="68"/>
      <c r="D1552" s="63"/>
    </row>
    <row r="1553">
      <c r="A1553" s="68"/>
      <c r="D1553" s="63"/>
    </row>
    <row r="1554">
      <c r="A1554" s="68"/>
      <c r="D1554" s="63"/>
    </row>
    <row r="1555">
      <c r="A1555" s="68"/>
      <c r="D1555" s="63"/>
    </row>
    <row r="1556">
      <c r="A1556" s="68"/>
      <c r="D1556" s="63"/>
    </row>
    <row r="1557">
      <c r="A1557" s="68"/>
      <c r="D1557" s="63"/>
    </row>
    <row r="1558">
      <c r="A1558" s="68"/>
      <c r="D1558" s="63"/>
    </row>
    <row r="1559">
      <c r="A1559" s="68"/>
      <c r="D1559" s="63"/>
    </row>
    <row r="1560">
      <c r="A1560" s="68"/>
      <c r="D1560" s="63"/>
    </row>
    <row r="1561">
      <c r="A1561" s="68"/>
      <c r="D1561" s="63"/>
    </row>
    <row r="1562">
      <c r="A1562" s="68"/>
      <c r="D1562" s="63"/>
    </row>
    <row r="1563">
      <c r="A1563" s="68"/>
      <c r="D1563" s="63"/>
    </row>
    <row r="1564">
      <c r="A1564" s="68"/>
      <c r="D1564" s="63"/>
    </row>
    <row r="1565">
      <c r="A1565" s="68"/>
      <c r="D1565" s="63"/>
    </row>
    <row r="1566">
      <c r="A1566" s="68"/>
      <c r="D1566" s="63"/>
    </row>
    <row r="1567">
      <c r="A1567" s="68"/>
      <c r="D1567" s="63"/>
    </row>
    <row r="1568">
      <c r="A1568" s="68"/>
      <c r="D1568" s="63"/>
    </row>
    <row r="1569">
      <c r="A1569" s="68"/>
      <c r="D1569" s="63"/>
    </row>
    <row r="1570">
      <c r="A1570" s="68"/>
      <c r="D1570" s="63"/>
    </row>
    <row r="1571">
      <c r="A1571" s="64"/>
      <c r="D1571" s="63"/>
    </row>
    <row r="1572">
      <c r="A1572" s="64"/>
      <c r="D1572" s="63"/>
    </row>
    <row r="1573">
      <c r="A1573" s="64"/>
      <c r="D1573" s="63"/>
    </row>
    <row r="1574">
      <c r="A1574" s="64"/>
      <c r="D1574" s="63"/>
    </row>
    <row r="1575">
      <c r="A1575" s="64"/>
      <c r="D1575" s="63"/>
    </row>
    <row r="1576">
      <c r="A1576" s="64"/>
      <c r="D1576" s="63"/>
    </row>
    <row r="1577">
      <c r="A1577" s="64"/>
      <c r="D1577" s="63"/>
    </row>
    <row r="1578">
      <c r="A1578" s="64"/>
      <c r="D1578" s="63"/>
    </row>
    <row r="1579">
      <c r="A1579" s="64"/>
      <c r="D1579" s="63"/>
    </row>
    <row r="1580">
      <c r="A1580" s="64"/>
      <c r="D1580" s="63"/>
    </row>
    <row r="1581">
      <c r="A1581" s="64"/>
      <c r="D1581" s="63"/>
    </row>
    <row r="1582">
      <c r="A1582" s="64"/>
      <c r="D1582" s="63"/>
    </row>
    <row r="1583">
      <c r="A1583" s="64"/>
      <c r="D1583" s="63"/>
    </row>
    <row r="1584">
      <c r="A1584" s="64"/>
      <c r="D1584" s="63"/>
    </row>
    <row r="1585">
      <c r="A1585" s="64"/>
      <c r="D1585" s="63"/>
    </row>
    <row r="1586">
      <c r="A1586" s="64"/>
      <c r="D1586" s="63"/>
    </row>
    <row r="1587">
      <c r="A1587" s="64"/>
      <c r="D1587" s="63"/>
    </row>
    <row r="1588">
      <c r="A1588" s="64"/>
      <c r="D1588" s="63"/>
    </row>
    <row r="1589">
      <c r="A1589" s="64"/>
      <c r="D1589" s="63"/>
    </row>
    <row r="1590">
      <c r="A1590" s="64"/>
      <c r="D1590" s="63"/>
    </row>
    <row r="1591">
      <c r="A1591" s="64"/>
      <c r="D1591" s="63"/>
    </row>
    <row r="1592">
      <c r="A1592" s="64"/>
      <c r="D1592" s="63"/>
    </row>
    <row r="1593">
      <c r="A1593" s="64"/>
      <c r="D1593" s="63"/>
    </row>
    <row r="1594">
      <c r="A1594" s="64"/>
      <c r="D1594" s="63"/>
    </row>
    <row r="1595">
      <c r="A1595" s="64"/>
      <c r="D1595" s="63"/>
    </row>
    <row r="1596">
      <c r="A1596" s="64"/>
      <c r="D1596" s="63"/>
    </row>
    <row r="1597">
      <c r="A1597" s="66"/>
      <c r="D1597" s="63"/>
    </row>
    <row r="1598">
      <c r="A1598" s="66"/>
      <c r="D1598" s="63"/>
    </row>
    <row r="1599">
      <c r="A1599" s="66"/>
      <c r="D1599" s="63"/>
    </row>
    <row r="1600">
      <c r="A1600" s="66"/>
      <c r="D1600" s="63"/>
    </row>
    <row r="1601">
      <c r="A1601" s="66"/>
      <c r="D1601" s="63"/>
    </row>
    <row r="1602">
      <c r="A1602" s="66"/>
      <c r="D1602" s="63"/>
    </row>
    <row r="1603">
      <c r="A1603" s="64"/>
      <c r="D1603" s="63"/>
    </row>
    <row r="1604">
      <c r="A1604" s="64"/>
      <c r="D1604" s="63"/>
    </row>
    <row r="1605">
      <c r="A1605" s="64"/>
      <c r="D1605" s="63"/>
    </row>
    <row r="1606">
      <c r="A1606" s="64"/>
      <c r="D1606" s="63"/>
    </row>
    <row r="1607">
      <c r="A1607" s="64"/>
      <c r="D1607" s="63"/>
    </row>
    <row r="1608">
      <c r="A1608" s="64"/>
      <c r="D1608" s="63"/>
    </row>
    <row r="1609">
      <c r="A1609" s="64"/>
      <c r="D1609" s="63"/>
    </row>
    <row r="1610">
      <c r="A1610" s="64"/>
      <c r="D1610" s="63"/>
    </row>
    <row r="1611">
      <c r="A1611" s="64"/>
      <c r="D1611" s="63"/>
    </row>
    <row r="1612">
      <c r="A1612" s="66"/>
      <c r="D1612" s="63"/>
    </row>
    <row r="1613">
      <c r="A1613" s="66"/>
      <c r="D1613" s="63"/>
    </row>
    <row r="1614">
      <c r="A1614" s="64"/>
      <c r="D1614" s="63"/>
    </row>
    <row r="1615">
      <c r="A1615" s="64"/>
      <c r="D1615" s="63"/>
    </row>
    <row r="1616">
      <c r="A1616" s="64"/>
      <c r="D1616" s="63"/>
    </row>
    <row r="1617">
      <c r="A1617" s="64"/>
      <c r="D1617" s="63"/>
    </row>
    <row r="1618">
      <c r="A1618" s="66"/>
      <c r="D1618" s="63"/>
    </row>
    <row r="1619">
      <c r="A1619" s="66"/>
      <c r="D1619" s="63"/>
    </row>
    <row r="1620">
      <c r="A1620" s="64"/>
      <c r="D1620" s="63"/>
    </row>
    <row r="1621">
      <c r="A1621" s="64"/>
      <c r="D1621" s="63"/>
    </row>
    <row r="1622">
      <c r="A1622" s="64"/>
      <c r="D1622" s="63"/>
    </row>
    <row r="1623">
      <c r="A1623" s="64"/>
      <c r="D1623" s="63"/>
    </row>
    <row r="1624">
      <c r="A1624" s="64"/>
      <c r="D1624" s="63"/>
    </row>
    <row r="1625">
      <c r="A1625" s="66"/>
      <c r="D1625" s="63"/>
    </row>
    <row r="1626">
      <c r="A1626" s="66"/>
      <c r="D1626" s="63"/>
    </row>
    <row r="1627">
      <c r="A1627" s="66"/>
      <c r="D1627" s="63"/>
    </row>
    <row r="1628">
      <c r="A1628" s="64"/>
      <c r="D1628" s="63"/>
    </row>
    <row r="1629">
      <c r="A1629" s="64"/>
      <c r="D1629" s="63"/>
    </row>
    <row r="1630">
      <c r="A1630" s="64"/>
      <c r="D1630" s="63"/>
    </row>
    <row r="1631">
      <c r="A1631" s="64"/>
      <c r="D1631" s="63"/>
    </row>
    <row r="1632">
      <c r="D1632" s="63"/>
      <c r="F1632" s="66"/>
    </row>
    <row r="1633">
      <c r="D1633" s="63"/>
      <c r="F1633" s="66"/>
    </row>
    <row r="1634">
      <c r="D1634" s="63"/>
      <c r="F1634" s="66"/>
    </row>
    <row r="1635">
      <c r="D1635" s="63"/>
      <c r="F1635" s="66"/>
    </row>
    <row r="1636">
      <c r="D1636" s="63"/>
      <c r="F1636" s="66"/>
    </row>
    <row r="1637">
      <c r="D1637" s="63"/>
      <c r="F1637" s="66"/>
    </row>
    <row r="1638">
      <c r="D1638" s="63"/>
      <c r="F1638" s="66"/>
    </row>
    <row r="1639">
      <c r="D1639" s="63"/>
      <c r="F1639" s="64"/>
    </row>
    <row r="1640">
      <c r="D1640" s="63"/>
      <c r="F1640" s="64"/>
    </row>
    <row r="1641">
      <c r="D1641" s="63"/>
      <c r="F1641" s="64"/>
    </row>
    <row r="1642">
      <c r="D1642" s="63"/>
      <c r="F1642" s="64"/>
    </row>
    <row r="1643">
      <c r="D1643" s="63"/>
      <c r="F1643" s="64"/>
    </row>
    <row r="1644">
      <c r="D1644" s="63"/>
      <c r="F1644" s="64"/>
    </row>
    <row r="1645">
      <c r="D1645" s="63"/>
      <c r="F1645" s="64"/>
    </row>
    <row r="1646">
      <c r="D1646" s="63"/>
      <c r="F1646" s="64"/>
    </row>
    <row r="1647">
      <c r="D1647" s="63"/>
      <c r="F1647" s="64"/>
    </row>
    <row r="1648">
      <c r="D1648" s="63"/>
      <c r="F1648" s="64"/>
    </row>
    <row r="1649">
      <c r="D1649" s="63"/>
      <c r="F1649" s="66"/>
    </row>
    <row r="1650">
      <c r="D1650" s="63"/>
      <c r="F1650" s="66"/>
    </row>
    <row r="1651">
      <c r="D1651" s="63"/>
      <c r="F1651" s="66"/>
    </row>
    <row r="1652">
      <c r="D1652" s="63"/>
      <c r="F1652" s="64"/>
    </row>
    <row r="1653">
      <c r="D1653" s="63"/>
      <c r="F1653" s="64"/>
    </row>
    <row r="1654">
      <c r="D1654" s="63"/>
      <c r="F1654" s="64"/>
    </row>
    <row r="1655">
      <c r="D1655" s="63"/>
      <c r="F1655" s="64"/>
    </row>
    <row r="1656">
      <c r="D1656" s="63"/>
      <c r="F1656" s="66"/>
    </row>
    <row r="1657">
      <c r="D1657" s="63"/>
      <c r="F1657" s="66"/>
    </row>
    <row r="1658">
      <c r="D1658" s="63"/>
      <c r="F1658" s="64"/>
    </row>
    <row r="1659">
      <c r="D1659" s="63"/>
      <c r="F1659" s="64"/>
    </row>
    <row r="1660">
      <c r="D1660" s="63"/>
      <c r="F1660" s="64"/>
    </row>
    <row r="1661">
      <c r="D1661" s="63"/>
      <c r="F1661" s="64"/>
    </row>
    <row r="1662">
      <c r="D1662" s="63"/>
      <c r="F1662" s="64"/>
    </row>
    <row r="1663">
      <c r="D1663" s="63"/>
      <c r="F1663" s="66"/>
    </row>
    <row r="1664">
      <c r="D1664" s="63"/>
      <c r="F1664" s="66"/>
    </row>
    <row r="1665">
      <c r="D1665" s="63"/>
      <c r="F1665" s="66"/>
    </row>
    <row r="1666">
      <c r="D1666" s="63"/>
      <c r="F1666" s="64"/>
    </row>
    <row r="1667">
      <c r="D1667" s="63"/>
      <c r="F1667" s="64"/>
    </row>
    <row r="1668">
      <c r="D1668" s="63"/>
      <c r="F1668" s="64"/>
    </row>
    <row r="1669">
      <c r="D1669" s="63"/>
      <c r="F1669" s="64"/>
    </row>
    <row r="1670">
      <c r="D1670" s="63"/>
      <c r="F1670" s="64"/>
    </row>
    <row r="1671">
      <c r="D1671" s="63"/>
      <c r="F1671" s="64"/>
    </row>
    <row r="1672">
      <c r="D1672" s="63"/>
      <c r="F1672" s="64"/>
    </row>
    <row r="1673">
      <c r="D1673" s="63"/>
      <c r="F1673" s="64"/>
    </row>
    <row r="1674">
      <c r="D1674" s="63"/>
      <c r="F1674" s="64"/>
    </row>
    <row r="1675">
      <c r="D1675" s="63"/>
      <c r="F1675" s="64"/>
    </row>
    <row r="1676">
      <c r="D1676" s="63"/>
      <c r="F1676" s="64"/>
    </row>
    <row r="1677">
      <c r="D1677" s="63"/>
      <c r="F1677" s="66"/>
    </row>
    <row r="1678">
      <c r="D1678" s="63"/>
      <c r="F1678" s="66"/>
    </row>
    <row r="1679">
      <c r="D1679" s="63"/>
      <c r="F1679" s="66"/>
    </row>
    <row r="1680">
      <c r="D1680" s="63"/>
      <c r="F1680" s="66"/>
    </row>
    <row r="1681">
      <c r="D1681" s="63"/>
      <c r="F1681" s="66"/>
    </row>
    <row r="1682">
      <c r="D1682" s="63"/>
      <c r="F1682" s="66"/>
    </row>
    <row r="1683">
      <c r="D1683" s="63"/>
      <c r="F1683" s="66"/>
    </row>
    <row r="1684">
      <c r="D1684" s="63"/>
      <c r="F1684" s="64"/>
    </row>
    <row r="1685">
      <c r="D1685" s="63"/>
      <c r="F1685" s="64"/>
    </row>
    <row r="1686">
      <c r="D1686" s="63"/>
      <c r="F1686" s="64"/>
    </row>
    <row r="1687">
      <c r="D1687" s="63"/>
      <c r="F1687" s="64"/>
    </row>
    <row r="1688">
      <c r="D1688" s="63"/>
      <c r="F1688" s="64"/>
    </row>
    <row r="1689">
      <c r="D1689" s="63"/>
      <c r="F1689" s="64"/>
    </row>
    <row r="1690">
      <c r="D1690" s="63"/>
      <c r="F1690" s="64"/>
    </row>
    <row r="1691">
      <c r="D1691" s="63"/>
      <c r="F1691" s="64"/>
    </row>
    <row r="1692">
      <c r="D1692" s="63"/>
      <c r="F1692" s="64"/>
    </row>
    <row r="1693">
      <c r="D1693" s="63"/>
      <c r="F1693" s="64"/>
    </row>
    <row r="1694">
      <c r="D1694" s="63"/>
      <c r="F1694" s="66"/>
    </row>
    <row r="1695">
      <c r="D1695" s="63"/>
      <c r="F1695" s="66"/>
    </row>
    <row r="1696">
      <c r="D1696" s="63"/>
      <c r="F1696" s="66"/>
    </row>
    <row r="1697">
      <c r="D1697" s="63"/>
      <c r="F1697" s="64"/>
    </row>
    <row r="1698">
      <c r="D1698" s="63"/>
      <c r="F1698" s="64"/>
    </row>
    <row r="1699">
      <c r="D1699" s="63"/>
      <c r="F1699" s="64"/>
    </row>
    <row r="1700">
      <c r="D1700" s="63"/>
      <c r="F1700" s="64"/>
    </row>
    <row r="1701">
      <c r="D1701" s="63"/>
      <c r="F1701" s="66"/>
    </row>
    <row r="1702">
      <c r="D1702" s="63"/>
      <c r="F1702" s="66"/>
    </row>
    <row r="1703">
      <c r="D1703" s="63"/>
      <c r="F1703" s="64"/>
    </row>
    <row r="1704">
      <c r="D1704" s="63"/>
      <c r="F1704" s="64"/>
    </row>
    <row r="1705">
      <c r="D1705" s="63"/>
      <c r="F1705" s="64"/>
    </row>
    <row r="1706">
      <c r="D1706" s="63"/>
      <c r="F1706" s="64"/>
    </row>
    <row r="1707">
      <c r="D1707" s="63"/>
      <c r="F1707" s="64"/>
    </row>
    <row r="1708">
      <c r="D1708" s="63"/>
      <c r="F1708" s="66"/>
    </row>
    <row r="1709">
      <c r="D1709" s="63"/>
      <c r="F1709" s="66"/>
    </row>
    <row r="1710">
      <c r="D1710" s="63"/>
      <c r="F1710" s="66"/>
    </row>
    <row r="1711">
      <c r="D1711" s="63"/>
      <c r="F1711" s="64"/>
    </row>
    <row r="1712">
      <c r="D1712" s="63"/>
      <c r="F1712" s="64"/>
    </row>
    <row r="1713">
      <c r="D1713" s="63"/>
      <c r="F1713" s="64"/>
    </row>
    <row r="1714">
      <c r="D1714" s="63"/>
      <c r="F1714" s="64"/>
    </row>
  </sheetData>
  <autoFilter ref="$A$1:$J$1125"/>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6">
        <v>45499.0</v>
      </c>
      <c r="B2" s="55" t="str">
        <f>HYPERLINK("https://jobright.ai/jobs/info/66a4172be30efe1dc24e6999?utm_campaign=1056&amp;utm_source=sheet", "Apply")</f>
        <v>Apply</v>
      </c>
      <c r="C2" s="10" t="s">
        <v>22009</v>
      </c>
      <c r="D2" s="56" t="s">
        <v>9508</v>
      </c>
      <c r="E2" s="10" t="s">
        <v>79</v>
      </c>
      <c r="F2" s="10" t="s">
        <v>9509</v>
      </c>
      <c r="G2" s="10" t="s">
        <v>22010</v>
      </c>
      <c r="H2" s="10" t="s">
        <v>170</v>
      </c>
      <c r="I2" s="10" t="s">
        <v>48</v>
      </c>
      <c r="K2" s="10" t="s">
        <v>22011</v>
      </c>
      <c r="L2" s="10" t="s">
        <v>42</v>
      </c>
    </row>
    <row r="3" ht="15.75" customHeight="1">
      <c r="A3" s="66">
        <v>45499.0</v>
      </c>
      <c r="B3" s="55" t="str">
        <f>HYPERLINK("https://jobright.ai/jobs/info/66a40db8dfc0dce26146204e?utm_campaign=1056&amp;utm_source=sheet", "Apply")</f>
        <v>Apply</v>
      </c>
      <c r="C3" s="10" t="s">
        <v>22012</v>
      </c>
      <c r="D3" s="56" t="s">
        <v>1586</v>
      </c>
      <c r="E3" s="10" t="s">
        <v>137</v>
      </c>
      <c r="F3" s="10" t="s">
        <v>1587</v>
      </c>
      <c r="G3" s="10" t="s">
        <v>22010</v>
      </c>
      <c r="H3" s="10" t="s">
        <v>170</v>
      </c>
      <c r="I3" s="10" t="s">
        <v>55</v>
      </c>
      <c r="K3" s="10" t="s">
        <v>1588</v>
      </c>
      <c r="L3" s="10" t="s">
        <v>42</v>
      </c>
    </row>
    <row r="4" ht="15.75" customHeight="1">
      <c r="A4" s="66">
        <v>45499.0</v>
      </c>
      <c r="B4" s="55" t="str">
        <f>HYPERLINK("https://jobright.ai/jobs/info/66a428e0fa09ee0c5722aaa1?utm_campaign=1056&amp;utm_source=sheet", "Apply")</f>
        <v>Apply</v>
      </c>
      <c r="C4" s="10" t="s">
        <v>22013</v>
      </c>
      <c r="D4" s="56" t="s">
        <v>1586</v>
      </c>
      <c r="E4" s="10" t="s">
        <v>137</v>
      </c>
      <c r="F4" s="10" t="s">
        <v>1587</v>
      </c>
      <c r="G4" s="10" t="s">
        <v>22010</v>
      </c>
      <c r="H4" s="10" t="s">
        <v>170</v>
      </c>
      <c r="I4" s="10" t="s">
        <v>55</v>
      </c>
      <c r="K4" s="10" t="s">
        <v>1588</v>
      </c>
      <c r="L4" s="10" t="s">
        <v>42</v>
      </c>
    </row>
    <row r="5" ht="15.75" customHeight="1">
      <c r="A5" s="66">
        <v>45499.0</v>
      </c>
      <c r="B5" s="55" t="str">
        <f>HYPERLINK("https://jobright.ai/jobs/info/66a428e0fa09ee0c5722aaab?utm_campaign=1056&amp;utm_source=sheet", "Apply")</f>
        <v>Apply</v>
      </c>
      <c r="C5" s="10" t="s">
        <v>22014</v>
      </c>
      <c r="D5" s="56" t="s">
        <v>1586</v>
      </c>
      <c r="E5" s="10" t="s">
        <v>137</v>
      </c>
      <c r="F5" s="10" t="s">
        <v>1587</v>
      </c>
      <c r="G5" s="10" t="s">
        <v>22010</v>
      </c>
      <c r="H5" s="10" t="s">
        <v>170</v>
      </c>
      <c r="I5" s="10" t="s">
        <v>55</v>
      </c>
      <c r="K5" s="10" t="s">
        <v>22015</v>
      </c>
      <c r="L5" s="10" t="s">
        <v>42</v>
      </c>
    </row>
    <row r="6" ht="15.75" customHeight="1">
      <c r="A6" s="66">
        <v>45499.0</v>
      </c>
      <c r="B6" s="55" t="str">
        <f>HYPERLINK("https://jobright.ai/jobs/info/66a428e0fa09ee0c5722aaa8?utm_campaign=1056&amp;utm_source=sheet", "Apply")</f>
        <v>Apply</v>
      </c>
      <c r="C6" s="10" t="s">
        <v>22016</v>
      </c>
      <c r="D6" s="56" t="s">
        <v>1586</v>
      </c>
      <c r="E6" s="10" t="s">
        <v>137</v>
      </c>
      <c r="F6" s="10" t="s">
        <v>1587</v>
      </c>
      <c r="G6" s="10" t="s">
        <v>22010</v>
      </c>
      <c r="H6" s="10" t="s">
        <v>170</v>
      </c>
      <c r="I6" s="10" t="s">
        <v>55</v>
      </c>
      <c r="K6" s="10" t="s">
        <v>1588</v>
      </c>
      <c r="L6" s="10" t="s">
        <v>42</v>
      </c>
    </row>
    <row r="7" ht="15.75" customHeight="1">
      <c r="A7" s="66">
        <v>45499.0</v>
      </c>
      <c r="B7" s="55" t="str">
        <f>HYPERLINK("https://jobright.ai/jobs/info/66a3f4b65fcbfa8457ce102d?utm_campaign=1056&amp;utm_source=sheet", "Apply")</f>
        <v>Apply</v>
      </c>
      <c r="C7" s="10" t="s">
        <v>22017</v>
      </c>
      <c r="D7" s="56" t="s">
        <v>22018</v>
      </c>
      <c r="E7" s="10">
        <v>34.0</v>
      </c>
      <c r="G7" s="10" t="s">
        <v>22019</v>
      </c>
      <c r="H7" s="10" t="s">
        <v>251</v>
      </c>
      <c r="I7" s="10" t="s">
        <v>252</v>
      </c>
      <c r="K7" s="10" t="s">
        <v>22020</v>
      </c>
      <c r="L7" s="10" t="s">
        <v>42</v>
      </c>
    </row>
    <row r="8" ht="15.75" customHeight="1">
      <c r="A8" s="66">
        <v>45499.0</v>
      </c>
      <c r="B8" s="55" t="str">
        <f>HYPERLINK("https://jobright.ai/jobs/info/66a1490953ccbd09bfe383b3?utm_campaign=1056&amp;utm_source=sheet", "Apply")</f>
        <v>Apply</v>
      </c>
      <c r="C8" s="10" t="s">
        <v>22021</v>
      </c>
      <c r="D8" s="56" t="s">
        <v>17709</v>
      </c>
      <c r="E8" s="10" t="s">
        <v>65</v>
      </c>
      <c r="F8" s="10" t="s">
        <v>1202</v>
      </c>
      <c r="G8" s="10" t="s">
        <v>22010</v>
      </c>
      <c r="H8" s="10" t="s">
        <v>434</v>
      </c>
      <c r="I8" s="10" t="s">
        <v>55</v>
      </c>
      <c r="J8" s="10" t="s">
        <v>17710</v>
      </c>
      <c r="K8" s="10" t="s">
        <v>17711</v>
      </c>
      <c r="L8" s="10" t="s">
        <v>42</v>
      </c>
    </row>
    <row r="9" ht="15.75" customHeight="1">
      <c r="A9" s="66">
        <v>45499.0</v>
      </c>
      <c r="B9" s="55" t="str">
        <f>HYPERLINK("https://jobright.ai/jobs/info/66a3e831b020465e7d35c909?utm_campaign=1056&amp;utm_source=sheet", "Apply")</f>
        <v>Apply</v>
      </c>
      <c r="C9" s="10" t="s">
        <v>22022</v>
      </c>
      <c r="D9" s="56" t="s">
        <v>22023</v>
      </c>
      <c r="G9" s="10" t="s">
        <v>22010</v>
      </c>
      <c r="H9" s="10" t="s">
        <v>170</v>
      </c>
      <c r="I9" s="10" t="s">
        <v>48</v>
      </c>
      <c r="J9" s="10" t="s">
        <v>2127</v>
      </c>
      <c r="K9" s="10" t="s">
        <v>22024</v>
      </c>
      <c r="L9" s="10" t="s">
        <v>42</v>
      </c>
    </row>
    <row r="10" ht="15.75" customHeight="1">
      <c r="A10" s="66">
        <v>45499.0</v>
      </c>
      <c r="B10" s="55" t="str">
        <f>HYPERLINK("https://jobright.ai/jobs/info/66a3d2d0d7fee676c840448f?utm_campaign=1056&amp;utm_source=sheet", "Apply")</f>
        <v>Apply</v>
      </c>
      <c r="C10" s="10" t="s">
        <v>11243</v>
      </c>
      <c r="D10" s="56" t="s">
        <v>22025</v>
      </c>
      <c r="E10" s="10" t="s">
        <v>137</v>
      </c>
      <c r="F10" s="10" t="s">
        <v>1506</v>
      </c>
      <c r="G10" s="10" t="s">
        <v>22010</v>
      </c>
      <c r="H10" s="10" t="s">
        <v>159</v>
      </c>
      <c r="I10" s="10" t="s">
        <v>55</v>
      </c>
      <c r="J10" s="10" t="s">
        <v>3294</v>
      </c>
      <c r="K10" s="10" t="s">
        <v>22026</v>
      </c>
      <c r="L10" s="10" t="s">
        <v>42</v>
      </c>
    </row>
    <row r="11" ht="15.75" customHeight="1">
      <c r="A11" s="66">
        <v>45499.0</v>
      </c>
      <c r="B11" s="55" t="str">
        <f>HYPERLINK("https://jobright.ai/jobs/info/66a3da849f1d4690f1a408ff?utm_campaign=1056&amp;utm_source=sheet", "Apply")</f>
        <v>Apply</v>
      </c>
      <c r="C11" s="10" t="s">
        <v>22027</v>
      </c>
      <c r="D11" s="56" t="s">
        <v>22028</v>
      </c>
      <c r="E11" s="10" t="s">
        <v>45</v>
      </c>
      <c r="F11" s="10" t="s">
        <v>2221</v>
      </c>
      <c r="G11" s="10" t="s">
        <v>22010</v>
      </c>
      <c r="H11" s="10" t="s">
        <v>4501</v>
      </c>
      <c r="I11" s="10" t="s">
        <v>55</v>
      </c>
      <c r="K11" s="10" t="s">
        <v>22029</v>
      </c>
      <c r="L11" s="10" t="s">
        <v>42</v>
      </c>
    </row>
    <row r="12" ht="15.75" customHeight="1">
      <c r="A12" s="66">
        <v>45499.0</v>
      </c>
      <c r="B12" s="55" t="str">
        <f>HYPERLINK("https://jobright.ai/jobs/info/66a3c9ac55a005da42ef4e40?utm_campaign=1056&amp;utm_source=sheet", "Apply")</f>
        <v>Apply</v>
      </c>
      <c r="C12" s="10" t="s">
        <v>22030</v>
      </c>
      <c r="D12" s="56" t="s">
        <v>22031</v>
      </c>
      <c r="E12" s="10">
        <v>387.0</v>
      </c>
      <c r="G12" s="10" t="s">
        <v>22010</v>
      </c>
      <c r="H12" s="10" t="s">
        <v>1015</v>
      </c>
      <c r="I12" s="10" t="s">
        <v>55</v>
      </c>
      <c r="K12" s="10" t="s">
        <v>22032</v>
      </c>
      <c r="L12" s="10" t="s">
        <v>42</v>
      </c>
    </row>
    <row r="13" ht="15.75" customHeight="1">
      <c r="A13" s="66">
        <v>45499.0</v>
      </c>
      <c r="B13" s="55" t="str">
        <f>HYPERLINK("https://jobright.ai/jobs/info/66a3442332bfe5404cebe32a?utm_campaign=1056&amp;utm_source=sheet", "Apply")</f>
        <v>Apply</v>
      </c>
      <c r="C13" s="10" t="s">
        <v>22033</v>
      </c>
      <c r="D13" s="56" t="s">
        <v>22034</v>
      </c>
      <c r="E13" s="10" t="s">
        <v>137</v>
      </c>
      <c r="F13" s="10" t="s">
        <v>1695</v>
      </c>
      <c r="G13" s="10" t="s">
        <v>22019</v>
      </c>
      <c r="H13" s="10" t="s">
        <v>22035</v>
      </c>
      <c r="I13" s="10" t="s">
        <v>48</v>
      </c>
      <c r="K13" s="10" t="s">
        <v>22036</v>
      </c>
      <c r="L13" s="10" t="s">
        <v>42</v>
      </c>
    </row>
    <row r="14" ht="15.75" customHeight="1">
      <c r="A14" s="66">
        <v>45499.0</v>
      </c>
      <c r="B14" s="55" t="str">
        <f>HYPERLINK("https://jobright.ai/jobs/info/66a31117a876354708d31d57?utm_campaign=1056&amp;utm_source=sheet", "Apply")</f>
        <v>Apply</v>
      </c>
      <c r="C14" s="10" t="s">
        <v>22037</v>
      </c>
      <c r="D14" s="56" t="s">
        <v>22038</v>
      </c>
      <c r="E14" s="10" t="s">
        <v>79</v>
      </c>
      <c r="F14" s="10" t="s">
        <v>1587</v>
      </c>
      <c r="G14" s="10" t="s">
        <v>22010</v>
      </c>
      <c r="H14" s="10" t="s">
        <v>170</v>
      </c>
      <c r="I14" s="10" t="s">
        <v>48</v>
      </c>
      <c r="K14" s="10" t="s">
        <v>22039</v>
      </c>
      <c r="L14" s="10" t="s">
        <v>42</v>
      </c>
    </row>
    <row r="15" ht="15.75" customHeight="1">
      <c r="A15" s="66">
        <v>45499.0</v>
      </c>
      <c r="B15" s="55" t="str">
        <f>HYPERLINK("https://jobright.ai/jobs/info/66a3c9df55a005da42ef5353?utm_campaign=1056&amp;utm_source=sheet", "Apply")</f>
        <v>Apply</v>
      </c>
      <c r="C15" s="10" t="s">
        <v>22040</v>
      </c>
      <c r="D15" s="56" t="s">
        <v>14637</v>
      </c>
      <c r="E15" s="10" t="s">
        <v>79</v>
      </c>
      <c r="F15" s="10" t="s">
        <v>13819</v>
      </c>
      <c r="G15" s="10" t="s">
        <v>22010</v>
      </c>
      <c r="H15" s="10" t="s">
        <v>170</v>
      </c>
      <c r="I15" s="10" t="s">
        <v>55</v>
      </c>
      <c r="J15" s="10" t="s">
        <v>14638</v>
      </c>
      <c r="K15" s="10" t="s">
        <v>22041</v>
      </c>
      <c r="L15" s="10" t="s">
        <v>42</v>
      </c>
    </row>
    <row r="16" ht="15.75" customHeight="1">
      <c r="A16" s="66">
        <v>45498.0</v>
      </c>
      <c r="B16" s="55" t="str">
        <f>HYPERLINK("https://jobright.ai/jobs/info/66a2d3ee3e23e8ca995ff3cf?utm_campaign=1056&amp;utm_source=sheet", "Apply")</f>
        <v>Apply</v>
      </c>
      <c r="C16" s="10" t="s">
        <v>22042</v>
      </c>
      <c r="D16" s="56" t="s">
        <v>22043</v>
      </c>
      <c r="E16" s="10" t="s">
        <v>65</v>
      </c>
      <c r="F16" s="10" t="s">
        <v>22044</v>
      </c>
      <c r="G16" s="10" t="s">
        <v>22019</v>
      </c>
      <c r="H16" s="10" t="s">
        <v>144</v>
      </c>
      <c r="I16" s="10" t="s">
        <v>55</v>
      </c>
      <c r="J16" s="10" t="s">
        <v>22045</v>
      </c>
      <c r="K16" s="10" t="s">
        <v>22046</v>
      </c>
      <c r="L16" s="10" t="s">
        <v>42</v>
      </c>
    </row>
    <row r="17" ht="15.75" customHeight="1">
      <c r="A17" s="66">
        <v>45498.0</v>
      </c>
      <c r="B17" s="55" t="str">
        <f>HYPERLINK("https://jobright.ai/jobs/info/66a2aa2a022211b3c86215f5?utm_campaign=1056&amp;utm_source=sheet", "Apply")</f>
        <v>Apply</v>
      </c>
      <c r="C17" s="10" t="s">
        <v>22047</v>
      </c>
      <c r="D17" s="56" t="s">
        <v>19645</v>
      </c>
      <c r="E17" s="10" t="s">
        <v>65</v>
      </c>
      <c r="F17" s="10" t="s">
        <v>19646</v>
      </c>
      <c r="G17" s="10" t="s">
        <v>22019</v>
      </c>
      <c r="H17" s="10" t="s">
        <v>170</v>
      </c>
      <c r="I17" s="10" t="s">
        <v>48</v>
      </c>
      <c r="K17" s="10" t="s">
        <v>22048</v>
      </c>
      <c r="L17" s="10" t="s">
        <v>42</v>
      </c>
    </row>
    <row r="18" ht="15.75" customHeight="1">
      <c r="A18" s="66">
        <v>45498.0</v>
      </c>
      <c r="B18" s="55" t="str">
        <f>HYPERLINK("https://jobright.ai/jobs/info/66a292e9dce5676bbecdffa9?utm_campaign=1056&amp;utm_source=sheet", "Apply")</f>
        <v>Apply</v>
      </c>
      <c r="C18" s="10" t="s">
        <v>9070</v>
      </c>
      <c r="D18" s="56" t="s">
        <v>2220</v>
      </c>
      <c r="E18" s="10" t="s">
        <v>45</v>
      </c>
      <c r="F18" s="10" t="s">
        <v>2221</v>
      </c>
      <c r="G18" s="10" t="s">
        <v>22019</v>
      </c>
      <c r="H18" s="10" t="s">
        <v>3196</v>
      </c>
      <c r="I18" s="10" t="s">
        <v>55</v>
      </c>
      <c r="J18" s="10" t="s">
        <v>10001</v>
      </c>
      <c r="K18" s="10" t="s">
        <v>7614</v>
      </c>
      <c r="L18" s="10" t="s">
        <v>42</v>
      </c>
    </row>
    <row r="19" ht="15.75" customHeight="1">
      <c r="A19" s="66">
        <v>45498.0</v>
      </c>
      <c r="B19" s="55" t="str">
        <f>HYPERLINK("https://jobright.ai/jobs/info/66a26f0e4a58115fdebd6540?utm_campaign=1056&amp;utm_source=sheet", "Apply")</f>
        <v>Apply</v>
      </c>
      <c r="C19" s="10" t="s">
        <v>22049</v>
      </c>
      <c r="D19" s="56" t="s">
        <v>22050</v>
      </c>
      <c r="E19" s="59">
        <v>45301.0</v>
      </c>
      <c r="F19" s="10" t="s">
        <v>22051</v>
      </c>
      <c r="G19" s="10" t="s">
        <v>22010</v>
      </c>
      <c r="H19" s="10" t="s">
        <v>170</v>
      </c>
      <c r="I19" s="10" t="s">
        <v>48</v>
      </c>
      <c r="J19" s="10" t="s">
        <v>1984</v>
      </c>
      <c r="K19" s="10" t="s">
        <v>22052</v>
      </c>
      <c r="L19" s="10" t="s">
        <v>42</v>
      </c>
    </row>
    <row r="20" ht="15.75" customHeight="1">
      <c r="A20" s="66">
        <v>45498.0</v>
      </c>
      <c r="B20" s="55" t="str">
        <f>HYPERLINK("https://jobright.ai/jobs/info/66a2560381ad172a37854812?utm_campaign=1056&amp;utm_source=sheet", "Apply")</f>
        <v>Apply</v>
      </c>
      <c r="C20" s="10" t="s">
        <v>9070</v>
      </c>
      <c r="D20" s="56" t="s">
        <v>22053</v>
      </c>
      <c r="E20" s="10" t="s">
        <v>45</v>
      </c>
      <c r="G20" s="10" t="s">
        <v>22019</v>
      </c>
      <c r="H20" s="10" t="s">
        <v>96</v>
      </c>
      <c r="I20" s="10" t="s">
        <v>55</v>
      </c>
      <c r="K20" s="10" t="s">
        <v>22054</v>
      </c>
      <c r="L20" s="10" t="s">
        <v>42</v>
      </c>
    </row>
    <row r="21" ht="15.75" customHeight="1">
      <c r="A21" s="66">
        <v>45498.0</v>
      </c>
      <c r="B21" s="55" t="str">
        <f>HYPERLINK("https://jobright.ai/jobs/info/6685c731cc6e528f04a0d980?utm_campaign=1056&amp;utm_source=sheet", "Apply")</f>
        <v>Apply</v>
      </c>
      <c r="C21" s="10" t="s">
        <v>22055</v>
      </c>
      <c r="D21" s="56" t="s">
        <v>17656</v>
      </c>
      <c r="E21" s="10" t="s">
        <v>71</v>
      </c>
      <c r="F21" s="10" t="s">
        <v>17657</v>
      </c>
      <c r="G21" s="10" t="s">
        <v>22010</v>
      </c>
      <c r="H21" s="10" t="s">
        <v>251</v>
      </c>
      <c r="I21" s="10" t="s">
        <v>252</v>
      </c>
      <c r="J21" s="10" t="s">
        <v>1906</v>
      </c>
      <c r="K21" s="10" t="s">
        <v>22056</v>
      </c>
      <c r="L21" s="10" t="s">
        <v>42</v>
      </c>
    </row>
    <row r="22" ht="15.75" customHeight="1">
      <c r="A22" s="66">
        <v>45498.0</v>
      </c>
      <c r="B22" s="55" t="str">
        <f>HYPERLINK("https://jobright.ai/jobs/info/66a20a59d9b540dba31233d1?utm_campaign=1056&amp;utm_source=sheet", "Apply")</f>
        <v>Apply</v>
      </c>
      <c r="C22" s="10" t="s">
        <v>22057</v>
      </c>
      <c r="D22" s="56" t="s">
        <v>22058</v>
      </c>
      <c r="E22" s="10">
        <v>9241.0</v>
      </c>
      <c r="G22" s="10" t="s">
        <v>22010</v>
      </c>
      <c r="H22" s="10" t="s">
        <v>3276</v>
      </c>
      <c r="I22" s="10" t="s">
        <v>55</v>
      </c>
      <c r="K22" s="10" t="s">
        <v>22059</v>
      </c>
      <c r="L22" s="10" t="s">
        <v>42</v>
      </c>
    </row>
    <row r="23" ht="15.75" customHeight="1">
      <c r="A23" s="66">
        <v>45498.0</v>
      </c>
      <c r="B23" s="55" t="str">
        <f>HYPERLINK("https://jobright.ai/jobs/info/66a20a59d9b540dba31233c9?utm_campaign=1056&amp;utm_source=sheet", "Apply")</f>
        <v>Apply</v>
      </c>
      <c r="C23" s="10" t="s">
        <v>22060</v>
      </c>
      <c r="D23" s="56" t="s">
        <v>22058</v>
      </c>
      <c r="E23" s="10">
        <v>9241.0</v>
      </c>
      <c r="G23" s="10" t="s">
        <v>22019</v>
      </c>
      <c r="H23" s="10" t="s">
        <v>3276</v>
      </c>
      <c r="I23" s="10" t="s">
        <v>55</v>
      </c>
      <c r="K23" s="10" t="s">
        <v>22061</v>
      </c>
      <c r="L23" s="10" t="s">
        <v>42</v>
      </c>
    </row>
    <row r="24" ht="15.75" customHeight="1">
      <c r="A24" s="66">
        <v>45498.0</v>
      </c>
      <c r="B24" s="55" t="str">
        <f>HYPERLINK("https://jobright.ai/jobs/info/669b31805b2e847d8c87bc31?utm_campaign=1056&amp;utm_source=sheet", "Apply")</f>
        <v>Apply</v>
      </c>
      <c r="C24" s="10" t="s">
        <v>22062</v>
      </c>
      <c r="D24" s="56" t="s">
        <v>1650</v>
      </c>
      <c r="E24" s="10" t="s">
        <v>209</v>
      </c>
      <c r="F24" s="10" t="s">
        <v>1243</v>
      </c>
      <c r="G24" s="10" t="s">
        <v>22019</v>
      </c>
      <c r="H24" s="10" t="s">
        <v>898</v>
      </c>
      <c r="I24" s="10" t="s">
        <v>55</v>
      </c>
      <c r="K24" s="10" t="s">
        <v>22063</v>
      </c>
      <c r="L24" s="10" t="s">
        <v>42</v>
      </c>
    </row>
    <row r="25" ht="15.75" customHeight="1">
      <c r="A25" s="66">
        <v>45497.0</v>
      </c>
      <c r="B25" s="55" t="str">
        <f>HYPERLINK("https://jobright.ai/jobs/info/66a1afcf099e1efc505304cf?utm_campaign=1056&amp;utm_source=sheet", "Apply")</f>
        <v>Apply</v>
      </c>
      <c r="C25" s="10" t="s">
        <v>22064</v>
      </c>
      <c r="D25" s="56" t="s">
        <v>1636</v>
      </c>
      <c r="E25" s="10">
        <v>6029.0</v>
      </c>
      <c r="G25" s="10" t="s">
        <v>22019</v>
      </c>
      <c r="H25" s="10" t="s">
        <v>170</v>
      </c>
      <c r="I25" s="10" t="s">
        <v>55</v>
      </c>
      <c r="J25" s="10" t="s">
        <v>1637</v>
      </c>
      <c r="K25" s="10" t="s">
        <v>22065</v>
      </c>
      <c r="L25" s="10" t="s">
        <v>42</v>
      </c>
    </row>
    <row r="26" ht="15.75" customHeight="1">
      <c r="A26" s="66">
        <v>45497.0</v>
      </c>
      <c r="B26" s="55" t="str">
        <f>HYPERLINK("https://jobright.ai/jobs/info/66a1940e7c2a83b26eb62185?utm_campaign=1056&amp;utm_source=sheet", "Apply")</f>
        <v>Apply</v>
      </c>
      <c r="C26" s="10" t="s">
        <v>22066</v>
      </c>
      <c r="D26" s="56" t="s">
        <v>22067</v>
      </c>
      <c r="E26" s="10" t="s">
        <v>249</v>
      </c>
      <c r="F26" s="10" t="s">
        <v>15692</v>
      </c>
      <c r="G26" s="10" t="s">
        <v>22019</v>
      </c>
      <c r="H26" s="10" t="s">
        <v>131</v>
      </c>
      <c r="I26" s="10" t="s">
        <v>55</v>
      </c>
      <c r="L26" s="10" t="s">
        <v>42</v>
      </c>
    </row>
    <row r="27" ht="15.75" customHeight="1">
      <c r="A27" s="66">
        <v>45497.0</v>
      </c>
      <c r="B27" s="55" t="str">
        <f>HYPERLINK("https://jobright.ai/jobs/info/66a18ae4886017c169bb00d8?utm_campaign=1056&amp;utm_source=sheet", "Apply")</f>
        <v>Apply</v>
      </c>
      <c r="C27" s="10" t="s">
        <v>22068</v>
      </c>
      <c r="D27" s="56" t="s">
        <v>2638</v>
      </c>
      <c r="E27" s="10" t="s">
        <v>79</v>
      </c>
      <c r="F27" s="10" t="s">
        <v>2639</v>
      </c>
      <c r="G27" s="10" t="s">
        <v>22010</v>
      </c>
      <c r="H27" s="10" t="s">
        <v>170</v>
      </c>
      <c r="I27" s="10" t="s">
        <v>55</v>
      </c>
      <c r="J27" s="10" t="s">
        <v>2640</v>
      </c>
      <c r="K27" s="10" t="s">
        <v>22069</v>
      </c>
      <c r="L27" s="10" t="s">
        <v>42</v>
      </c>
    </row>
    <row r="28" ht="15.75" customHeight="1">
      <c r="A28" s="66">
        <v>45497.0</v>
      </c>
      <c r="B28" s="55" t="str">
        <f>HYPERLINK("https://jobright.ai/jobs/info/669addce1ba6433041419a73?utm_campaign=1056&amp;utm_source=sheet", "Apply")</f>
        <v>Apply</v>
      </c>
      <c r="C28" s="10" t="s">
        <v>22070</v>
      </c>
      <c r="D28" s="56" t="s">
        <v>1650</v>
      </c>
      <c r="E28" s="10" t="s">
        <v>209</v>
      </c>
      <c r="F28" s="10" t="s">
        <v>1243</v>
      </c>
      <c r="G28" s="10" t="s">
        <v>22019</v>
      </c>
      <c r="H28" s="10" t="s">
        <v>994</v>
      </c>
      <c r="I28" s="10" t="s">
        <v>48</v>
      </c>
      <c r="K28" s="10" t="s">
        <v>22071</v>
      </c>
      <c r="L28" s="10" t="s">
        <v>42</v>
      </c>
    </row>
    <row r="29" ht="15.75" customHeight="1">
      <c r="A29" s="66">
        <v>45497.0</v>
      </c>
      <c r="B29" s="55" t="str">
        <f>HYPERLINK("https://jobright.ai/jobs/info/66a16e0d2178a46615cb3055?utm_campaign=1056&amp;utm_source=sheet", "Apply")</f>
        <v>Apply</v>
      </c>
      <c r="C29" s="10" t="s">
        <v>22072</v>
      </c>
      <c r="D29" s="56" t="s">
        <v>2925</v>
      </c>
      <c r="E29" s="10" t="s">
        <v>45</v>
      </c>
      <c r="F29" s="10" t="s">
        <v>2926</v>
      </c>
      <c r="G29" s="10" t="s">
        <v>22019</v>
      </c>
      <c r="H29" s="10" t="s">
        <v>807</v>
      </c>
      <c r="I29" s="10" t="s">
        <v>48</v>
      </c>
      <c r="K29" s="10" t="s">
        <v>22073</v>
      </c>
      <c r="L29" s="10" t="s">
        <v>42</v>
      </c>
    </row>
    <row r="30" ht="15.75" customHeight="1">
      <c r="A30" s="66">
        <v>45497.0</v>
      </c>
      <c r="B30" s="55" t="str">
        <f>HYPERLINK("https://jobright.ai/jobs/info/66a16b495533323038bf97a9?utm_campaign=1056&amp;utm_source=sheet", "Apply")</f>
        <v>Apply</v>
      </c>
      <c r="C30" s="10" t="s">
        <v>22074</v>
      </c>
      <c r="D30" s="56" t="s">
        <v>17656</v>
      </c>
      <c r="E30" s="10" t="s">
        <v>71</v>
      </c>
      <c r="F30" s="10" t="s">
        <v>17657</v>
      </c>
      <c r="G30" s="10" t="s">
        <v>22010</v>
      </c>
      <c r="H30" s="10" t="s">
        <v>251</v>
      </c>
      <c r="I30" s="10" t="s">
        <v>252</v>
      </c>
      <c r="J30" s="10" t="s">
        <v>15638</v>
      </c>
      <c r="K30" s="10" t="s">
        <v>22075</v>
      </c>
      <c r="L30" s="10" t="s">
        <v>42</v>
      </c>
    </row>
    <row r="31" ht="15.75" customHeight="1">
      <c r="A31" s="66">
        <v>45497.0</v>
      </c>
      <c r="B31" s="55" t="str">
        <f>HYPERLINK("https://jobright.ai/jobs/info/66a0ab9e352fb17b61cdc114?utm_campaign=1056&amp;utm_source=sheet", "Apply")</f>
        <v>Apply</v>
      </c>
      <c r="C31" s="10" t="s">
        <v>22076</v>
      </c>
      <c r="D31" s="56" t="s">
        <v>22058</v>
      </c>
      <c r="E31" s="10">
        <v>9241.0</v>
      </c>
      <c r="G31" s="10" t="s">
        <v>22010</v>
      </c>
      <c r="H31" s="10" t="s">
        <v>3276</v>
      </c>
      <c r="I31" s="10" t="s">
        <v>55</v>
      </c>
      <c r="K31" s="10" t="s">
        <v>22059</v>
      </c>
      <c r="L31" s="10" t="s">
        <v>42</v>
      </c>
    </row>
    <row r="32" ht="15.75" customHeight="1">
      <c r="A32" s="66">
        <v>45497.0</v>
      </c>
      <c r="B32" s="55" t="str">
        <f>HYPERLINK("https://jobright.ai/jobs/info/66a16654f0a8c0435deb188b?utm_campaign=1056&amp;utm_source=sheet", "Apply")</f>
        <v>Apply</v>
      </c>
      <c r="C32" s="10" t="s">
        <v>22077</v>
      </c>
      <c r="D32" s="56" t="s">
        <v>22078</v>
      </c>
      <c r="E32" s="10" t="s">
        <v>249</v>
      </c>
      <c r="F32" s="10" t="s">
        <v>1243</v>
      </c>
      <c r="G32" s="10" t="s">
        <v>22010</v>
      </c>
      <c r="H32" s="10" t="s">
        <v>170</v>
      </c>
      <c r="I32" s="10" t="s">
        <v>55</v>
      </c>
      <c r="K32" s="10" t="s">
        <v>22079</v>
      </c>
      <c r="L32" s="10" t="s">
        <v>42</v>
      </c>
    </row>
    <row r="33" ht="15.75" customHeight="1">
      <c r="A33" s="66">
        <v>45497.0</v>
      </c>
      <c r="B33" s="55" t="str">
        <f>HYPERLINK("https://jobright.ai/jobs/info/66a148e753ccbd09bfe38035?utm_campaign=1056&amp;utm_source=sheet", "Apply")</f>
        <v>Apply</v>
      </c>
      <c r="C33" s="10" t="s">
        <v>22080</v>
      </c>
      <c r="D33" s="56" t="s">
        <v>22081</v>
      </c>
      <c r="E33" s="10">
        <v>52.0</v>
      </c>
      <c r="G33" s="10" t="s">
        <v>22010</v>
      </c>
      <c r="H33" s="10" t="s">
        <v>96</v>
      </c>
      <c r="I33" s="10" t="s">
        <v>55</v>
      </c>
      <c r="L33" s="10" t="s">
        <v>42</v>
      </c>
    </row>
    <row r="34" ht="15.75" customHeight="1">
      <c r="A34" s="66">
        <v>45497.0</v>
      </c>
      <c r="B34" s="55" t="str">
        <f>HYPERLINK("https://jobright.ai/jobs/info/66a3ef9487fb29a0df319658?utm_campaign=1056&amp;utm_source=sheet", "Apply")</f>
        <v>Apply</v>
      </c>
      <c r="C34" s="10" t="s">
        <v>22082</v>
      </c>
      <c r="D34" s="56" t="s">
        <v>1178</v>
      </c>
      <c r="E34" s="10" t="s">
        <v>137</v>
      </c>
      <c r="F34" s="10" t="s">
        <v>1179</v>
      </c>
      <c r="G34" s="10" t="s">
        <v>22010</v>
      </c>
      <c r="H34" s="10" t="s">
        <v>1254</v>
      </c>
      <c r="I34" s="10" t="s">
        <v>55</v>
      </c>
      <c r="K34" s="10" t="s">
        <v>22083</v>
      </c>
      <c r="L34" s="10" t="s">
        <v>42</v>
      </c>
    </row>
    <row r="35" ht="15.75" customHeight="1">
      <c r="A35" s="66">
        <v>45497.0</v>
      </c>
      <c r="B35" s="55" t="str">
        <f>HYPERLINK("https://jobright.ai/jobs/info/66a3ef9f87fb29a0df3196f1?utm_campaign=1056&amp;utm_source=sheet", "Apply")</f>
        <v>Apply</v>
      </c>
      <c r="C35" s="10" t="s">
        <v>22084</v>
      </c>
      <c r="D35" s="56" t="s">
        <v>1178</v>
      </c>
      <c r="E35" s="10" t="s">
        <v>137</v>
      </c>
      <c r="F35" s="10" t="s">
        <v>1179</v>
      </c>
      <c r="G35" s="10" t="s">
        <v>22010</v>
      </c>
      <c r="H35" s="10" t="s">
        <v>1254</v>
      </c>
      <c r="I35" s="10" t="s">
        <v>55</v>
      </c>
      <c r="K35" s="10" t="s">
        <v>22085</v>
      </c>
      <c r="L35" s="10" t="s">
        <v>42</v>
      </c>
    </row>
    <row r="36" ht="15.75" customHeight="1">
      <c r="A36" s="66">
        <v>45497.0</v>
      </c>
      <c r="B36" s="55" t="str">
        <f>HYPERLINK("https://jobright.ai/jobs/info/66a0ee4fb3fb11bcb3dad4aa?utm_campaign=1056&amp;utm_source=sheet", "Apply")</f>
        <v>Apply</v>
      </c>
      <c r="C36" s="10" t="s">
        <v>22086</v>
      </c>
      <c r="D36" s="56" t="s">
        <v>22087</v>
      </c>
      <c r="E36" s="10">
        <v>1599.0</v>
      </c>
      <c r="G36" s="10" t="s">
        <v>22019</v>
      </c>
      <c r="H36" s="10" t="s">
        <v>22088</v>
      </c>
      <c r="I36" s="10" t="s">
        <v>55</v>
      </c>
      <c r="J36" s="10" t="s">
        <v>22089</v>
      </c>
      <c r="K36" s="10" t="s">
        <v>22090</v>
      </c>
      <c r="L36" s="10" t="s">
        <v>42</v>
      </c>
    </row>
    <row r="37" ht="15.75" customHeight="1">
      <c r="A37" s="66">
        <v>45497.0</v>
      </c>
      <c r="B37" s="55" t="str">
        <f>HYPERLINK("https://jobright.ai/jobs/info/66674fbc8cfce19f3c57e3b0?utm_campaign=1056&amp;utm_source=sheet", "Apply")</f>
        <v>Apply</v>
      </c>
      <c r="C37" s="10" t="s">
        <v>22091</v>
      </c>
      <c r="D37" s="56" t="s">
        <v>22092</v>
      </c>
      <c r="E37" s="10">
        <v>311.0</v>
      </c>
      <c r="G37" s="10" t="s">
        <v>22019</v>
      </c>
      <c r="H37" s="10" t="s">
        <v>1013</v>
      </c>
      <c r="I37" s="10" t="s">
        <v>55</v>
      </c>
      <c r="J37" s="10" t="s">
        <v>1608</v>
      </c>
      <c r="K37" s="10" t="s">
        <v>22093</v>
      </c>
      <c r="L37" s="10" t="s">
        <v>42</v>
      </c>
    </row>
    <row r="38" ht="15.75" customHeight="1">
      <c r="A38" s="66">
        <v>45497.0</v>
      </c>
      <c r="B38" s="55" t="str">
        <f>HYPERLINK("https://jobright.ai/jobs/info/66842fc9fb29648f2cae3623?utm_campaign=1056&amp;utm_source=sheet", "Apply")</f>
        <v>Apply</v>
      </c>
      <c r="C38" s="10" t="s">
        <v>22094</v>
      </c>
      <c r="D38" s="56" t="s">
        <v>5283</v>
      </c>
      <c r="E38" s="10" t="s">
        <v>209</v>
      </c>
      <c r="F38" s="10" t="s">
        <v>620</v>
      </c>
      <c r="G38" s="10" t="s">
        <v>22019</v>
      </c>
      <c r="H38" s="10" t="s">
        <v>3278</v>
      </c>
      <c r="I38" s="10" t="s">
        <v>55</v>
      </c>
      <c r="K38" s="10" t="s">
        <v>22095</v>
      </c>
      <c r="L38" s="10" t="s">
        <v>42</v>
      </c>
    </row>
    <row r="39" ht="15.75" customHeight="1">
      <c r="A39" s="66">
        <v>45497.0</v>
      </c>
      <c r="B39" s="55" t="str">
        <f>HYPERLINK("https://jobright.ai/jobs/info/66678934e09aacdea951c8c5?utm_campaign=1056&amp;utm_source=sheet", "Apply")</f>
        <v>Apply</v>
      </c>
      <c r="C39" s="10" t="s">
        <v>22096</v>
      </c>
      <c r="D39" s="56" t="s">
        <v>13308</v>
      </c>
      <c r="E39" s="10" t="s">
        <v>79</v>
      </c>
      <c r="F39" s="10" t="s">
        <v>13309</v>
      </c>
      <c r="G39" s="10" t="s">
        <v>22019</v>
      </c>
      <c r="H39" s="10" t="s">
        <v>188</v>
      </c>
      <c r="I39" s="10" t="s">
        <v>55</v>
      </c>
      <c r="K39" s="10" t="s">
        <v>22097</v>
      </c>
      <c r="L39" s="10" t="s">
        <v>42</v>
      </c>
    </row>
    <row r="40" ht="15.75" customHeight="1">
      <c r="A40" s="66">
        <v>45497.0</v>
      </c>
      <c r="B40" s="55" t="str">
        <f>HYPERLINK("https://jobright.ai/jobs/info/66a0791df493ff248a603279?utm_campaign=1056&amp;utm_source=sheet", "Apply")</f>
        <v>Apply</v>
      </c>
      <c r="C40" s="10" t="s">
        <v>22098</v>
      </c>
      <c r="D40" s="56" t="s">
        <v>1650</v>
      </c>
      <c r="E40" s="10" t="s">
        <v>209</v>
      </c>
      <c r="F40" s="10" t="s">
        <v>1243</v>
      </c>
      <c r="G40" s="10" t="s">
        <v>22010</v>
      </c>
      <c r="H40" s="10" t="s">
        <v>245</v>
      </c>
      <c r="I40" s="10" t="s">
        <v>48</v>
      </c>
      <c r="K40" s="10" t="s">
        <v>17654</v>
      </c>
      <c r="L40" s="10" t="s">
        <v>42</v>
      </c>
    </row>
    <row r="41" ht="15.75" customHeight="1">
      <c r="A41" s="66">
        <v>45497.0</v>
      </c>
      <c r="B41" s="55" t="str">
        <f>HYPERLINK("https://jobright.ai/jobs/info/66a065c40e159f780df6511c?utm_campaign=1056&amp;utm_source=sheet", "Apply")</f>
        <v>Apply</v>
      </c>
      <c r="C41" s="10" t="s">
        <v>22099</v>
      </c>
      <c r="D41" s="56" t="s">
        <v>5225</v>
      </c>
      <c r="E41" s="10" t="s">
        <v>45</v>
      </c>
      <c r="F41" s="10" t="s">
        <v>1833</v>
      </c>
      <c r="G41" s="10" t="s">
        <v>22010</v>
      </c>
      <c r="H41" s="10" t="s">
        <v>165</v>
      </c>
      <c r="I41" s="10" t="s">
        <v>55</v>
      </c>
      <c r="J41" s="10" t="s">
        <v>22100</v>
      </c>
      <c r="K41" s="10" t="s">
        <v>22101</v>
      </c>
      <c r="L41" s="10" t="s">
        <v>42</v>
      </c>
    </row>
    <row r="42" ht="15.75" customHeight="1">
      <c r="A42" s="66">
        <v>45496.0</v>
      </c>
      <c r="B42" s="55" t="str">
        <f>HYPERLINK("https://jobright.ai/jobs/info/66a0516082dde0352ff412fc?utm_campaign=1056&amp;utm_source=sheet", "Apply")</f>
        <v>Apply</v>
      </c>
      <c r="C42" s="10" t="s">
        <v>22102</v>
      </c>
      <c r="D42" s="56" t="s">
        <v>5225</v>
      </c>
      <c r="E42" s="10" t="s">
        <v>45</v>
      </c>
      <c r="F42" s="10" t="s">
        <v>1833</v>
      </c>
      <c r="G42" s="10" t="s">
        <v>22010</v>
      </c>
      <c r="H42" s="10" t="s">
        <v>165</v>
      </c>
      <c r="I42" s="10" t="s">
        <v>55</v>
      </c>
      <c r="J42" s="10" t="s">
        <v>22100</v>
      </c>
      <c r="K42" s="10" t="s">
        <v>22103</v>
      </c>
      <c r="L42" s="10" t="s">
        <v>42</v>
      </c>
    </row>
    <row r="43" ht="15.75" customHeight="1">
      <c r="A43" s="66">
        <v>45496.0</v>
      </c>
      <c r="B43" s="55" t="str">
        <f>HYPERLINK("https://jobright.ai/jobs/info/668b2bc2f0119e53a8f6ad3e?utm_campaign=1056&amp;utm_source=sheet", "Apply")</f>
        <v>Apply</v>
      </c>
      <c r="C43" s="10" t="s">
        <v>22104</v>
      </c>
      <c r="D43" s="56" t="s">
        <v>14898</v>
      </c>
      <c r="E43" s="10" t="s">
        <v>249</v>
      </c>
      <c r="F43" s="10" t="s">
        <v>5166</v>
      </c>
      <c r="G43" s="10" t="s">
        <v>22019</v>
      </c>
      <c r="H43" s="10" t="s">
        <v>159</v>
      </c>
      <c r="I43" s="10" t="s">
        <v>55</v>
      </c>
      <c r="J43" s="10" t="s">
        <v>1608</v>
      </c>
      <c r="K43" s="10" t="s">
        <v>22105</v>
      </c>
      <c r="L43" s="10" t="s">
        <v>42</v>
      </c>
    </row>
    <row r="44" ht="15.75" customHeight="1">
      <c r="A44" s="66">
        <v>45496.0</v>
      </c>
      <c r="B44" s="55" t="str">
        <f>HYPERLINK("https://jobright.ai/jobs/info/669fde0c1c33ed13e04719af?utm_campaign=1056&amp;utm_source=sheet", "Apply")</f>
        <v>Apply</v>
      </c>
      <c r="C44" s="10" t="s">
        <v>22106</v>
      </c>
      <c r="D44" s="56" t="s">
        <v>19720</v>
      </c>
      <c r="E44" s="10" t="s">
        <v>137</v>
      </c>
      <c r="F44" s="10" t="s">
        <v>11154</v>
      </c>
      <c r="G44" s="10" t="s">
        <v>22010</v>
      </c>
      <c r="H44" s="10" t="s">
        <v>170</v>
      </c>
      <c r="I44" s="10" t="s">
        <v>55</v>
      </c>
      <c r="J44" s="10" t="s">
        <v>3979</v>
      </c>
      <c r="K44" s="10" t="s">
        <v>22107</v>
      </c>
      <c r="L44" s="10" t="s">
        <v>42</v>
      </c>
    </row>
    <row r="45" ht="15.75" customHeight="1">
      <c r="A45" s="66">
        <v>45496.0</v>
      </c>
      <c r="B45" s="55" t="str">
        <f>HYPERLINK("https://jobright.ai/jobs/info/66a3efaa87fb29a0df3197f5?utm_campaign=1056&amp;utm_source=sheet", "Apply")</f>
        <v>Apply</v>
      </c>
      <c r="C45" s="10" t="s">
        <v>22108</v>
      </c>
      <c r="D45" s="56" t="s">
        <v>22109</v>
      </c>
      <c r="E45" s="10" t="s">
        <v>71</v>
      </c>
      <c r="F45" s="10" t="s">
        <v>1708</v>
      </c>
      <c r="G45" s="10" t="s">
        <v>22010</v>
      </c>
      <c r="H45" s="10" t="s">
        <v>1709</v>
      </c>
      <c r="I45" s="10" t="s">
        <v>55</v>
      </c>
      <c r="K45" s="10" t="s">
        <v>1710</v>
      </c>
      <c r="L45" s="10" t="s">
        <v>42</v>
      </c>
    </row>
    <row r="46" ht="15.75" customHeight="1">
      <c r="A46" s="66">
        <v>45496.0</v>
      </c>
      <c r="B46" s="55" t="str">
        <f>HYPERLINK("https://jobright.ai/jobs/info/66a00ad0c9e198ff4fdf7f08?utm_campaign=1056&amp;utm_source=sheet", "Apply")</f>
        <v>Apply</v>
      </c>
      <c r="C46" s="10" t="s">
        <v>22110</v>
      </c>
      <c r="D46" s="56" t="s">
        <v>1178</v>
      </c>
      <c r="E46" s="10" t="s">
        <v>137</v>
      </c>
      <c r="F46" s="10" t="s">
        <v>1179</v>
      </c>
      <c r="G46" s="10" t="s">
        <v>22010</v>
      </c>
      <c r="H46" s="10" t="s">
        <v>1254</v>
      </c>
      <c r="I46" s="10" t="s">
        <v>48</v>
      </c>
      <c r="K46" s="10" t="s">
        <v>22111</v>
      </c>
      <c r="L46" s="10" t="s">
        <v>42</v>
      </c>
    </row>
    <row r="47" ht="15.75" customHeight="1">
      <c r="A47" s="66">
        <v>45496.0</v>
      </c>
      <c r="B47" s="55" t="str">
        <f>HYPERLINK("https://jobright.ai/jobs/info/669fe4dc5d74e6023f80c066?utm_campaign=1056&amp;utm_source=sheet", "Apply")</f>
        <v>Apply</v>
      </c>
      <c r="C47" s="10" t="s">
        <v>22112</v>
      </c>
      <c r="D47" s="56" t="s">
        <v>1178</v>
      </c>
      <c r="E47" s="10" t="s">
        <v>137</v>
      </c>
      <c r="F47" s="10" t="s">
        <v>1179</v>
      </c>
      <c r="G47" s="10" t="s">
        <v>22010</v>
      </c>
      <c r="H47" s="10" t="s">
        <v>1254</v>
      </c>
      <c r="I47" s="10" t="s">
        <v>55</v>
      </c>
      <c r="K47" s="10" t="s">
        <v>22113</v>
      </c>
      <c r="L47" s="10" t="s">
        <v>42</v>
      </c>
    </row>
    <row r="48" ht="15.75" customHeight="1">
      <c r="A48" s="66">
        <v>45496.0</v>
      </c>
      <c r="B48" s="55" t="str">
        <f>HYPERLINK("https://jobright.ai/jobs/info/669fcb76d18a1aa0a307f969?utm_campaign=1056&amp;utm_source=sheet", "Apply")</f>
        <v>Apply</v>
      </c>
      <c r="C48" s="10" t="s">
        <v>13544</v>
      </c>
      <c r="D48" s="56" t="s">
        <v>22028</v>
      </c>
      <c r="E48" s="10" t="s">
        <v>45</v>
      </c>
      <c r="F48" s="10" t="s">
        <v>2221</v>
      </c>
      <c r="G48" s="10" t="s">
        <v>22019</v>
      </c>
      <c r="H48" s="10" t="s">
        <v>15905</v>
      </c>
      <c r="I48" s="10" t="s">
        <v>55</v>
      </c>
      <c r="K48" s="10" t="s">
        <v>22114</v>
      </c>
      <c r="L48" s="10" t="s">
        <v>42</v>
      </c>
    </row>
    <row r="49" ht="15.75" customHeight="1">
      <c r="A49" s="66">
        <v>45496.0</v>
      </c>
      <c r="B49" s="55" t="str">
        <f>HYPERLINK("https://jobright.ai/jobs/info/669fc955fa502da7578650c7?utm_campaign=1056&amp;utm_source=sheet", "Apply")</f>
        <v>Apply</v>
      </c>
      <c r="C49" s="10" t="s">
        <v>22086</v>
      </c>
      <c r="D49" s="56" t="s">
        <v>22087</v>
      </c>
      <c r="E49" s="10">
        <v>1599.0</v>
      </c>
      <c r="G49" s="10" t="s">
        <v>22019</v>
      </c>
      <c r="H49" s="10" t="s">
        <v>22088</v>
      </c>
      <c r="I49" s="10" t="s">
        <v>55</v>
      </c>
      <c r="J49" s="10" t="s">
        <v>22089</v>
      </c>
      <c r="K49" s="10" t="s">
        <v>22090</v>
      </c>
      <c r="L49" s="10" t="s">
        <v>42</v>
      </c>
    </row>
    <row r="50" ht="15.75" customHeight="1">
      <c r="A50" s="66">
        <v>45495.0</v>
      </c>
      <c r="B50" s="55" t="str">
        <f>HYPERLINK("https://jobright.ai/jobs/info/669ece5070bef644cfa14f57?utm_campaign=1056&amp;utm_source=sheet", "Apply")</f>
        <v>Apply</v>
      </c>
      <c r="C50" s="10" t="s">
        <v>22115</v>
      </c>
      <c r="D50" s="56" t="s">
        <v>13531</v>
      </c>
      <c r="E50" s="59">
        <v>45301.0</v>
      </c>
      <c r="F50" s="10" t="s">
        <v>13532</v>
      </c>
      <c r="G50" s="10" t="s">
        <v>22010</v>
      </c>
      <c r="H50" s="10" t="s">
        <v>170</v>
      </c>
      <c r="I50" s="10" t="s">
        <v>48</v>
      </c>
      <c r="J50" s="10" t="s">
        <v>13533</v>
      </c>
      <c r="K50" s="10" t="s">
        <v>22116</v>
      </c>
      <c r="L50" s="10" t="s">
        <v>42</v>
      </c>
    </row>
    <row r="51" ht="15.75" customHeight="1">
      <c r="A51" s="66">
        <v>45495.0</v>
      </c>
      <c r="B51" s="55" t="str">
        <f>HYPERLINK("https://jobright.ai/jobs/info/6690931f8d6939edee8a7884?utm_campaign=1056&amp;utm_source=sheet", "Apply")</f>
        <v>Apply</v>
      </c>
      <c r="C51" s="10" t="s">
        <v>22117</v>
      </c>
      <c r="D51" s="56" t="s">
        <v>22118</v>
      </c>
      <c r="E51" s="10" t="s">
        <v>65</v>
      </c>
      <c r="F51" s="10" t="s">
        <v>2617</v>
      </c>
      <c r="G51" s="10" t="s">
        <v>22019</v>
      </c>
      <c r="H51" s="10" t="s">
        <v>144</v>
      </c>
      <c r="I51" s="10" t="s">
        <v>55</v>
      </c>
      <c r="K51" s="10" t="s">
        <v>22119</v>
      </c>
      <c r="L51" s="10" t="s">
        <v>42</v>
      </c>
    </row>
    <row r="52" ht="15.75" customHeight="1">
      <c r="A52" s="66">
        <v>45495.0</v>
      </c>
      <c r="B52" s="55" t="str">
        <f>HYPERLINK("https://jobright.ai/jobs/info/669fe59c765536cb608968d2?utm_campaign=1056&amp;utm_source=sheet", "Apply")</f>
        <v>Apply</v>
      </c>
      <c r="C52" s="10" t="s">
        <v>22120</v>
      </c>
      <c r="D52" s="56" t="s">
        <v>14637</v>
      </c>
      <c r="E52" s="10" t="s">
        <v>79</v>
      </c>
      <c r="F52" s="10" t="s">
        <v>13819</v>
      </c>
      <c r="G52" s="10" t="s">
        <v>22010</v>
      </c>
      <c r="H52" s="10" t="s">
        <v>170</v>
      </c>
      <c r="I52" s="10" t="s">
        <v>55</v>
      </c>
      <c r="J52" s="10" t="s">
        <v>14638</v>
      </c>
      <c r="K52" s="10" t="s">
        <v>22121</v>
      </c>
      <c r="L52" s="10" t="s">
        <v>42</v>
      </c>
    </row>
    <row r="53" ht="15.75" customHeight="1">
      <c r="A53" s="66">
        <v>45495.0</v>
      </c>
      <c r="B53" s="55" t="str">
        <f>HYPERLINK("https://jobright.ai/jobs/info/669fe59c765536cb608968cd?utm_campaign=1056&amp;utm_source=sheet", "Apply")</f>
        <v>Apply</v>
      </c>
      <c r="C53" s="10" t="s">
        <v>22122</v>
      </c>
      <c r="D53" s="56" t="s">
        <v>7959</v>
      </c>
      <c r="E53" s="10">
        <v>175.0</v>
      </c>
      <c r="G53" s="10" t="s">
        <v>22019</v>
      </c>
      <c r="H53" s="10" t="s">
        <v>146</v>
      </c>
      <c r="I53" s="10" t="s">
        <v>55</v>
      </c>
      <c r="J53" s="10" t="s">
        <v>1409</v>
      </c>
      <c r="K53" s="10" t="s">
        <v>22123</v>
      </c>
      <c r="L53" s="10" t="s">
        <v>42</v>
      </c>
    </row>
    <row r="54" ht="15.75" customHeight="1">
      <c r="A54" s="66">
        <v>45495.0</v>
      </c>
      <c r="B54" s="55" t="str">
        <f>HYPERLINK("https://jobright.ai/jobs/info/669e5e1d76c6144940234968?utm_campaign=1056&amp;utm_source=sheet", "Apply")</f>
        <v>Apply</v>
      </c>
      <c r="C54" s="10" t="s">
        <v>22124</v>
      </c>
      <c r="D54" s="56" t="s">
        <v>1547</v>
      </c>
      <c r="E54" s="10">
        <v>408.0</v>
      </c>
      <c r="G54" s="10" t="s">
        <v>22010</v>
      </c>
      <c r="H54" s="10" t="s">
        <v>4501</v>
      </c>
      <c r="I54" s="10" t="s">
        <v>55</v>
      </c>
      <c r="J54" s="10" t="s">
        <v>22125</v>
      </c>
      <c r="K54" s="10" t="s">
        <v>22126</v>
      </c>
      <c r="L54" s="10" t="s">
        <v>42</v>
      </c>
    </row>
    <row r="55" ht="15.75" customHeight="1">
      <c r="A55" s="66">
        <v>45494.0</v>
      </c>
      <c r="B55" s="55" t="str">
        <f>HYPERLINK("https://jobright.ai/jobs/info/669d440d94b7be8cf3829926?utm_campaign=1056&amp;utm_source=sheet", "Apply")</f>
        <v>Apply</v>
      </c>
      <c r="C55" s="10" t="s">
        <v>22127</v>
      </c>
      <c r="D55" s="56" t="s">
        <v>22128</v>
      </c>
      <c r="E55" s="10" t="s">
        <v>71</v>
      </c>
      <c r="F55" s="10" t="s">
        <v>10</v>
      </c>
      <c r="G55" s="10" t="s">
        <v>22010</v>
      </c>
      <c r="H55" s="10" t="s">
        <v>170</v>
      </c>
      <c r="I55" s="10" t="s">
        <v>55</v>
      </c>
      <c r="K55" s="10" t="s">
        <v>22129</v>
      </c>
      <c r="L55" s="10" t="s">
        <v>42</v>
      </c>
    </row>
    <row r="56" ht="15.75" customHeight="1">
      <c r="A56" s="66">
        <v>45494.0</v>
      </c>
      <c r="B56" s="55" t="str">
        <f>HYPERLINK("https://jobright.ai/jobs/info/669d81267c1373943c057d9c?utm_campaign=1056&amp;utm_source=sheet", "Apply")</f>
        <v>Apply</v>
      </c>
      <c r="C56" s="10" t="s">
        <v>22130</v>
      </c>
      <c r="D56" s="56" t="s">
        <v>22131</v>
      </c>
      <c r="E56" s="10" t="s">
        <v>71</v>
      </c>
      <c r="F56" s="10" t="s">
        <v>15692</v>
      </c>
      <c r="G56" s="10" t="s">
        <v>22019</v>
      </c>
      <c r="H56" s="10" t="s">
        <v>170</v>
      </c>
      <c r="I56" s="10" t="s">
        <v>55</v>
      </c>
      <c r="J56" s="10" t="s">
        <v>3979</v>
      </c>
      <c r="K56" s="10" t="s">
        <v>22132</v>
      </c>
      <c r="L56" s="10" t="s">
        <v>42</v>
      </c>
    </row>
    <row r="57" ht="15.75" customHeight="1">
      <c r="A57" s="66">
        <v>45494.0</v>
      </c>
      <c r="B57" s="55" t="str">
        <f>HYPERLINK("https://jobright.ai/jobs/info/66636fb2a77ba1bbb0297b42?utm_campaign=1056&amp;utm_source=sheet", "Apply")</f>
        <v>Apply</v>
      </c>
      <c r="C57" s="10" t="s">
        <v>22133</v>
      </c>
      <c r="D57" s="56" t="s">
        <v>22134</v>
      </c>
      <c r="E57" s="10">
        <v>47.0</v>
      </c>
      <c r="G57" s="10" t="s">
        <v>22010</v>
      </c>
      <c r="H57" s="10" t="s">
        <v>170</v>
      </c>
      <c r="I57" s="10" t="s">
        <v>55</v>
      </c>
      <c r="J57" s="10" t="s">
        <v>1984</v>
      </c>
      <c r="K57" s="10" t="s">
        <v>22135</v>
      </c>
      <c r="L57" s="10" t="s">
        <v>42</v>
      </c>
    </row>
    <row r="58" ht="15.75" customHeight="1">
      <c r="A58" s="66">
        <v>45493.0</v>
      </c>
      <c r="B58" s="55" t="str">
        <f>HYPERLINK("https://jobright.ai/jobs/info/6679bc9e4db5735ca854cf2f?utm_campaign=1056&amp;utm_source=sheet", "Apply")</f>
        <v>Apply</v>
      </c>
      <c r="C58" s="10" t="s">
        <v>22136</v>
      </c>
      <c r="D58" s="56" t="s">
        <v>8233</v>
      </c>
      <c r="E58" s="10">
        <v>8937.0</v>
      </c>
      <c r="G58" s="10" t="s">
        <v>22019</v>
      </c>
      <c r="H58" s="10" t="s">
        <v>117</v>
      </c>
      <c r="I58" s="10" t="s">
        <v>55</v>
      </c>
      <c r="K58" s="10" t="s">
        <v>22137</v>
      </c>
      <c r="L58" s="10" t="s">
        <v>42</v>
      </c>
    </row>
    <row r="59" ht="15.75" customHeight="1">
      <c r="A59" s="66">
        <v>45493.0</v>
      </c>
      <c r="B59" s="55" t="str">
        <f>HYPERLINK("https://jobright.ai/jobs/info/669d11ea571e11e63edcc854?utm_campaign=1056&amp;utm_source=sheet", "Apply")</f>
        <v>Apply</v>
      </c>
      <c r="C59" s="10" t="s">
        <v>22138</v>
      </c>
      <c r="D59" s="56" t="s">
        <v>22139</v>
      </c>
      <c r="E59" s="10" t="s">
        <v>65</v>
      </c>
      <c r="F59" s="10" t="s">
        <v>18523</v>
      </c>
      <c r="G59" s="10" t="s">
        <v>22010</v>
      </c>
      <c r="H59" s="10" t="s">
        <v>170</v>
      </c>
      <c r="I59" s="10" t="s">
        <v>55</v>
      </c>
      <c r="J59" s="10" t="s">
        <v>22140</v>
      </c>
      <c r="K59" s="10" t="s">
        <v>22141</v>
      </c>
      <c r="L59" s="10" t="s">
        <v>42</v>
      </c>
    </row>
    <row r="60" ht="15.75" customHeight="1">
      <c r="A60" s="66">
        <v>45492.0</v>
      </c>
      <c r="B60" s="55" t="str">
        <f>HYPERLINK("https://jobright.ai/jobs/info/669ac707c29882e9238d0404?utm_campaign=1056&amp;utm_source=sheet", "Apply")</f>
        <v>Apply</v>
      </c>
      <c r="C60" s="10" t="s">
        <v>22142</v>
      </c>
      <c r="D60" s="56" t="s">
        <v>22143</v>
      </c>
      <c r="E60" s="10" t="s">
        <v>71</v>
      </c>
      <c r="F60" s="10" t="s">
        <v>3053</v>
      </c>
      <c r="G60" s="10" t="s">
        <v>22010</v>
      </c>
      <c r="H60" s="10" t="s">
        <v>442</v>
      </c>
      <c r="I60" s="10" t="s">
        <v>48</v>
      </c>
      <c r="J60" s="10" t="s">
        <v>1984</v>
      </c>
      <c r="K60" s="10" t="s">
        <v>22144</v>
      </c>
      <c r="L60" s="10" t="s">
        <v>42</v>
      </c>
    </row>
    <row r="61" ht="15.75" customHeight="1">
      <c r="A61" s="66">
        <v>45492.0</v>
      </c>
      <c r="B61" s="55" t="str">
        <f>HYPERLINK("https://jobright.ai/jobs/info/669a7c16e97f34632044e001?utm_campaign=1056&amp;utm_source=sheet", "Apply")</f>
        <v>Apply</v>
      </c>
      <c r="C61" s="10" t="s">
        <v>22145</v>
      </c>
      <c r="D61" s="56" t="s">
        <v>22146</v>
      </c>
      <c r="E61" s="10">
        <v>61.0</v>
      </c>
      <c r="G61" s="10" t="s">
        <v>22010</v>
      </c>
      <c r="H61" s="10" t="s">
        <v>22147</v>
      </c>
      <c r="I61" s="10" t="s">
        <v>55</v>
      </c>
      <c r="K61" s="10" t="s">
        <v>22148</v>
      </c>
      <c r="L61" s="10" t="s">
        <v>42</v>
      </c>
    </row>
    <row r="62" ht="15.75" customHeight="1">
      <c r="A62" s="66">
        <v>45492.0</v>
      </c>
      <c r="B62" s="55" t="str">
        <f>HYPERLINK("https://jobright.ai/jobs/info/669d06078b644bfcaf127ce0?utm_campaign=1056&amp;utm_source=sheet", "Apply")</f>
        <v>Apply</v>
      </c>
      <c r="C62" s="10" t="s">
        <v>22149</v>
      </c>
      <c r="D62" s="56" t="s">
        <v>21036</v>
      </c>
      <c r="E62" s="10" t="s">
        <v>276</v>
      </c>
      <c r="F62" s="10" t="s">
        <v>21037</v>
      </c>
      <c r="G62" s="10" t="s">
        <v>22019</v>
      </c>
      <c r="H62" s="10" t="s">
        <v>170</v>
      </c>
      <c r="I62" s="10" t="s">
        <v>55</v>
      </c>
      <c r="J62" s="10" t="s">
        <v>3979</v>
      </c>
      <c r="K62" s="10" t="s">
        <v>22150</v>
      </c>
      <c r="L62" s="10" t="s">
        <v>42</v>
      </c>
    </row>
    <row r="63" ht="15.75" customHeight="1">
      <c r="A63" s="66">
        <v>45492.0</v>
      </c>
      <c r="B63" s="55" t="str">
        <f>HYPERLINK("https://jobright.ai/jobs/info/669a6126deddc9904572ece7?utm_campaign=1056&amp;utm_source=sheet", "Apply")</f>
        <v>Apply</v>
      </c>
      <c r="C63" s="10" t="s">
        <v>22151</v>
      </c>
      <c r="D63" s="56" t="s">
        <v>22152</v>
      </c>
      <c r="E63" s="10" t="s">
        <v>209</v>
      </c>
      <c r="F63" s="10" t="s">
        <v>22153</v>
      </c>
      <c r="G63" s="10" t="s">
        <v>22010</v>
      </c>
      <c r="H63" s="10" t="s">
        <v>170</v>
      </c>
      <c r="I63" s="10" t="s">
        <v>48</v>
      </c>
      <c r="J63" s="10" t="s">
        <v>3979</v>
      </c>
      <c r="K63" s="10" t="s">
        <v>22154</v>
      </c>
      <c r="L63" s="10" t="s">
        <v>42</v>
      </c>
    </row>
    <row r="64" ht="15.75" customHeight="1">
      <c r="A64" s="66">
        <v>45492.0</v>
      </c>
      <c r="B64" s="55" t="str">
        <f>HYPERLINK("https://jobright.ai/jobs/info/667dfcce63c037a1350fd3e4?utm_campaign=1056&amp;utm_source=sheet", "Apply")</f>
        <v>Apply</v>
      </c>
      <c r="C64" s="10" t="s">
        <v>22155</v>
      </c>
      <c r="D64" s="56" t="s">
        <v>2792</v>
      </c>
      <c r="E64" s="10" t="s">
        <v>45</v>
      </c>
      <c r="F64" s="10" t="s">
        <v>2793</v>
      </c>
      <c r="G64" s="10" t="s">
        <v>22019</v>
      </c>
      <c r="H64" s="10" t="s">
        <v>170</v>
      </c>
      <c r="I64" s="10" t="s">
        <v>55</v>
      </c>
      <c r="J64" s="10" t="s">
        <v>2165</v>
      </c>
      <c r="K64" s="10" t="s">
        <v>22156</v>
      </c>
      <c r="L64" s="10" t="s">
        <v>42</v>
      </c>
    </row>
    <row r="65" ht="15.75" customHeight="1">
      <c r="A65" s="66">
        <v>45492.0</v>
      </c>
      <c r="B65" s="55" t="str">
        <f>HYPERLINK("https://jobright.ai/jobs/info/669b17dd01f00d8699a2d306?utm_campaign=1056&amp;utm_source=sheet", "Apply")</f>
        <v>Apply</v>
      </c>
      <c r="C65" s="10" t="s">
        <v>22157</v>
      </c>
      <c r="D65" s="56" t="s">
        <v>22158</v>
      </c>
      <c r="E65" s="10" t="s">
        <v>276</v>
      </c>
      <c r="F65" s="10" t="s">
        <v>22159</v>
      </c>
      <c r="G65" s="10" t="s">
        <v>22019</v>
      </c>
      <c r="H65" s="10" t="s">
        <v>832</v>
      </c>
      <c r="I65" s="10" t="s">
        <v>55</v>
      </c>
      <c r="J65" s="10" t="s">
        <v>1984</v>
      </c>
      <c r="K65" s="10" t="s">
        <v>22160</v>
      </c>
      <c r="L65" s="10" t="s">
        <v>42</v>
      </c>
    </row>
    <row r="66" ht="15.75" customHeight="1">
      <c r="A66" s="66">
        <v>45492.0</v>
      </c>
      <c r="B66" s="55" t="str">
        <f>HYPERLINK("https://jobright.ai/jobs/info/669b17dd01f00d8699a2d307?utm_campaign=1056&amp;utm_source=sheet", "Apply")</f>
        <v>Apply</v>
      </c>
      <c r="C66" s="10" t="s">
        <v>22157</v>
      </c>
      <c r="D66" s="56" t="s">
        <v>22158</v>
      </c>
      <c r="E66" s="10" t="s">
        <v>276</v>
      </c>
      <c r="F66" s="10" t="s">
        <v>22159</v>
      </c>
      <c r="G66" s="10" t="s">
        <v>22019</v>
      </c>
      <c r="H66" s="10" t="s">
        <v>896</v>
      </c>
      <c r="I66" s="10" t="s">
        <v>55</v>
      </c>
      <c r="J66" s="10" t="s">
        <v>1984</v>
      </c>
      <c r="K66" s="10" t="s">
        <v>22160</v>
      </c>
      <c r="L66" s="10" t="s">
        <v>42</v>
      </c>
    </row>
    <row r="67" ht="15.75" customHeight="1">
      <c r="A67" s="66">
        <v>45492.0</v>
      </c>
      <c r="B67" s="55" t="str">
        <f>HYPERLINK("https://jobright.ai/jobs/info/669b17dd01f00d8699a2d309?utm_campaign=1056&amp;utm_source=sheet", "Apply")</f>
        <v>Apply</v>
      </c>
      <c r="C67" s="10" t="s">
        <v>22157</v>
      </c>
      <c r="D67" s="56" t="s">
        <v>22158</v>
      </c>
      <c r="E67" s="10" t="s">
        <v>276</v>
      </c>
      <c r="F67" s="10" t="s">
        <v>22159</v>
      </c>
      <c r="G67" s="10" t="s">
        <v>22019</v>
      </c>
      <c r="H67" s="10" t="s">
        <v>188</v>
      </c>
      <c r="I67" s="10" t="s">
        <v>55</v>
      </c>
      <c r="J67" s="10" t="s">
        <v>1984</v>
      </c>
      <c r="K67" s="10" t="s">
        <v>22160</v>
      </c>
      <c r="L67" s="10" t="s">
        <v>42</v>
      </c>
    </row>
    <row r="68" ht="15.75" customHeight="1">
      <c r="A68" s="66">
        <v>45492.0</v>
      </c>
      <c r="B68" s="55" t="str">
        <f>HYPERLINK("https://jobright.ai/jobs/info/669b17dd01f00d8699a2d30a?utm_campaign=1056&amp;utm_source=sheet", "Apply")</f>
        <v>Apply</v>
      </c>
      <c r="C68" s="10" t="s">
        <v>22157</v>
      </c>
      <c r="D68" s="56" t="s">
        <v>22158</v>
      </c>
      <c r="E68" s="10" t="s">
        <v>276</v>
      </c>
      <c r="F68" s="10" t="s">
        <v>22159</v>
      </c>
      <c r="G68" s="10" t="s">
        <v>22019</v>
      </c>
      <c r="H68" s="10" t="s">
        <v>22161</v>
      </c>
      <c r="I68" s="10" t="s">
        <v>55</v>
      </c>
      <c r="J68" s="10" t="s">
        <v>1984</v>
      </c>
      <c r="K68" s="10" t="s">
        <v>22160</v>
      </c>
      <c r="L68" s="10" t="s">
        <v>42</v>
      </c>
    </row>
    <row r="69" ht="15.75" customHeight="1">
      <c r="A69" s="66">
        <v>45492.0</v>
      </c>
      <c r="B69" s="55" t="str">
        <f>HYPERLINK("https://jobright.ai/jobs/info/669b17dd01f00d8699a2d30d?utm_campaign=1056&amp;utm_source=sheet", "Apply")</f>
        <v>Apply</v>
      </c>
      <c r="C69" s="10" t="s">
        <v>22157</v>
      </c>
      <c r="D69" s="56" t="s">
        <v>22158</v>
      </c>
      <c r="E69" s="10" t="s">
        <v>276</v>
      </c>
      <c r="F69" s="10" t="s">
        <v>22159</v>
      </c>
      <c r="G69" s="10" t="s">
        <v>22019</v>
      </c>
      <c r="H69" s="10" t="s">
        <v>965</v>
      </c>
      <c r="I69" s="10" t="s">
        <v>55</v>
      </c>
      <c r="J69" s="10" t="s">
        <v>1984</v>
      </c>
      <c r="K69" s="10" t="s">
        <v>22160</v>
      </c>
      <c r="L69" s="10" t="s">
        <v>42</v>
      </c>
    </row>
    <row r="70" ht="15.75" customHeight="1">
      <c r="A70" s="66">
        <v>45492.0</v>
      </c>
      <c r="B70" s="55" t="str">
        <f>HYPERLINK("https://jobright.ai/jobs/info/669ac959e652ae7e0e9c22a6?utm_campaign=1056&amp;utm_source=sheet", "Apply")</f>
        <v>Apply</v>
      </c>
      <c r="C70" s="10" t="s">
        <v>22157</v>
      </c>
      <c r="D70" s="56" t="s">
        <v>22158</v>
      </c>
      <c r="E70" s="10" t="s">
        <v>276</v>
      </c>
      <c r="F70" s="10" t="s">
        <v>22159</v>
      </c>
      <c r="G70" s="10" t="s">
        <v>22019</v>
      </c>
      <c r="H70" s="10" t="s">
        <v>146</v>
      </c>
      <c r="I70" s="10" t="s">
        <v>55</v>
      </c>
      <c r="J70" s="10" t="s">
        <v>1984</v>
      </c>
      <c r="K70" s="10" t="s">
        <v>22160</v>
      </c>
      <c r="L70" s="10" t="s">
        <v>42</v>
      </c>
    </row>
    <row r="71" ht="15.75" customHeight="1">
      <c r="A71" s="66">
        <v>45492.0</v>
      </c>
      <c r="B71" s="55" t="str">
        <f>HYPERLINK("https://jobright.ai/jobs/info/6688a83e060a173f1dd64ec5?utm_campaign=1056&amp;utm_source=sheet", "Apply")</f>
        <v>Apply</v>
      </c>
      <c r="C71" s="10" t="s">
        <v>22162</v>
      </c>
      <c r="D71" s="56" t="s">
        <v>2929</v>
      </c>
      <c r="E71" s="10" t="s">
        <v>276</v>
      </c>
      <c r="F71" s="10" t="s">
        <v>2930</v>
      </c>
      <c r="G71" s="10" t="s">
        <v>22010</v>
      </c>
      <c r="H71" s="10" t="s">
        <v>3440</v>
      </c>
      <c r="I71" s="10" t="s">
        <v>55</v>
      </c>
      <c r="K71" s="10" t="s">
        <v>22163</v>
      </c>
      <c r="L71" s="10" t="s">
        <v>42</v>
      </c>
    </row>
    <row r="72" ht="15.75" customHeight="1">
      <c r="A72" s="66">
        <v>45492.0</v>
      </c>
      <c r="B72" s="55" t="str">
        <f>HYPERLINK("https://jobright.ai/jobs/info/669ac2db856fd9c9bf36134b?utm_campaign=1056&amp;utm_source=sheet", "Apply")</f>
        <v>Apply</v>
      </c>
      <c r="C72" s="10" t="s">
        <v>22138</v>
      </c>
      <c r="D72" s="56" t="s">
        <v>22139</v>
      </c>
      <c r="E72" s="10" t="s">
        <v>65</v>
      </c>
      <c r="F72" s="10" t="s">
        <v>18523</v>
      </c>
      <c r="G72" s="10" t="s">
        <v>22010</v>
      </c>
      <c r="H72" s="10" t="s">
        <v>22164</v>
      </c>
      <c r="I72" s="10" t="s">
        <v>55</v>
      </c>
      <c r="J72" s="10" t="s">
        <v>22165</v>
      </c>
      <c r="K72" s="10" t="s">
        <v>22141</v>
      </c>
      <c r="L72" s="10" t="s">
        <v>42</v>
      </c>
    </row>
    <row r="73" ht="15.75" customHeight="1">
      <c r="A73" s="66">
        <v>45491.0</v>
      </c>
      <c r="B73" s="55" t="str">
        <f>HYPERLINK("https://jobright.ai/jobs/info/668be219b7b7df8c7f204972?utm_campaign=1056&amp;utm_source=sheet", "Apply")</f>
        <v>Apply</v>
      </c>
      <c r="C73" s="10" t="s">
        <v>22162</v>
      </c>
      <c r="D73" s="56" t="s">
        <v>2929</v>
      </c>
      <c r="E73" s="10" t="s">
        <v>276</v>
      </c>
      <c r="F73" s="10" t="s">
        <v>2930</v>
      </c>
      <c r="G73" s="10" t="s">
        <v>22010</v>
      </c>
      <c r="H73" s="10" t="s">
        <v>3440</v>
      </c>
      <c r="I73" s="10" t="s">
        <v>48</v>
      </c>
      <c r="K73" s="10" t="s">
        <v>22163</v>
      </c>
      <c r="L73" s="10" t="s">
        <v>42</v>
      </c>
    </row>
    <row r="74" ht="15.75" customHeight="1">
      <c r="A74" s="66">
        <v>45491.0</v>
      </c>
      <c r="B74" s="55" t="str">
        <f>HYPERLINK("https://jobright.ai/jobs/info/6699a64b9a33b14b40b73b38?utm_campaign=1056&amp;utm_source=sheet", "Apply")</f>
        <v>Apply</v>
      </c>
      <c r="C74" s="10" t="s">
        <v>22166</v>
      </c>
      <c r="D74" s="56" t="s">
        <v>22167</v>
      </c>
      <c r="E74" s="10" t="s">
        <v>249</v>
      </c>
      <c r="F74" s="10" t="s">
        <v>1506</v>
      </c>
      <c r="G74" s="10" t="s">
        <v>22010</v>
      </c>
      <c r="H74" s="10" t="s">
        <v>170</v>
      </c>
      <c r="I74" s="10" t="s">
        <v>55</v>
      </c>
      <c r="J74" s="10" t="s">
        <v>1984</v>
      </c>
      <c r="K74" s="10" t="s">
        <v>22168</v>
      </c>
      <c r="L74" s="10" t="s">
        <v>42</v>
      </c>
    </row>
    <row r="75" ht="15.75" customHeight="1">
      <c r="A75" s="66">
        <v>45491.0</v>
      </c>
      <c r="B75" s="55" t="str">
        <f>HYPERLINK("https://jobright.ai/jobs/info/66959b86a70b2fb207aed727?utm_campaign=1056&amp;utm_source=sheet", "Apply")</f>
        <v>Apply</v>
      </c>
      <c r="C75" s="10" t="s">
        <v>22169</v>
      </c>
      <c r="D75" s="56" t="s">
        <v>1650</v>
      </c>
      <c r="E75" s="10" t="s">
        <v>209</v>
      </c>
      <c r="F75" s="10" t="s">
        <v>1243</v>
      </c>
      <c r="G75" s="10" t="s">
        <v>22019</v>
      </c>
      <c r="H75" s="10" t="s">
        <v>994</v>
      </c>
      <c r="I75" s="10" t="s">
        <v>48</v>
      </c>
      <c r="K75" s="10" t="s">
        <v>22170</v>
      </c>
      <c r="L75" s="10" t="s">
        <v>42</v>
      </c>
    </row>
    <row r="76" ht="15.75" customHeight="1">
      <c r="A76" s="66">
        <v>45491.0</v>
      </c>
      <c r="B76" s="55" t="str">
        <f>HYPERLINK("https://jobright.ai/jobs/info/6699979c2ffed9764616e3a7?utm_campaign=1056&amp;utm_source=sheet", "Apply")</f>
        <v>Apply</v>
      </c>
      <c r="C76" s="10" t="s">
        <v>22171</v>
      </c>
      <c r="D76" s="56" t="s">
        <v>22167</v>
      </c>
      <c r="E76" s="10" t="s">
        <v>249</v>
      </c>
      <c r="F76" s="10" t="s">
        <v>1506</v>
      </c>
      <c r="G76" s="10" t="s">
        <v>22019</v>
      </c>
      <c r="H76" s="10" t="s">
        <v>170</v>
      </c>
      <c r="I76" s="10" t="s">
        <v>55</v>
      </c>
      <c r="J76" s="10" t="s">
        <v>1984</v>
      </c>
      <c r="K76" s="10" t="s">
        <v>22172</v>
      </c>
      <c r="L76" s="10" t="s">
        <v>42</v>
      </c>
    </row>
    <row r="77" ht="15.75" customHeight="1">
      <c r="A77" s="66">
        <v>45491.0</v>
      </c>
      <c r="B77" s="55" t="str">
        <f>HYPERLINK("https://jobright.ai/jobs/info/66999303eaece15dc98ab9fe?utm_campaign=1056&amp;utm_source=sheet", "Apply")</f>
        <v>Apply</v>
      </c>
      <c r="C77" s="10" t="s">
        <v>22173</v>
      </c>
      <c r="D77" s="56" t="s">
        <v>22174</v>
      </c>
      <c r="E77" s="10" t="s">
        <v>79</v>
      </c>
      <c r="F77" s="10" t="s">
        <v>2639</v>
      </c>
      <c r="G77" s="10" t="s">
        <v>22010</v>
      </c>
      <c r="H77" s="10" t="s">
        <v>22175</v>
      </c>
      <c r="I77" s="10" t="s">
        <v>55</v>
      </c>
      <c r="K77" s="10" t="s">
        <v>22176</v>
      </c>
      <c r="L77" s="10" t="s">
        <v>42</v>
      </c>
    </row>
    <row r="78" ht="15.75" customHeight="1">
      <c r="A78" s="66">
        <v>45491.0</v>
      </c>
      <c r="B78" s="55" t="str">
        <f>HYPERLINK("https://jobright.ai/jobs/info/66997ee061ed54c480cf985f?utm_campaign=1056&amp;utm_source=sheet", "Apply")</f>
        <v>Apply</v>
      </c>
      <c r="C78" s="10" t="s">
        <v>22177</v>
      </c>
      <c r="D78" s="56" t="s">
        <v>22178</v>
      </c>
      <c r="E78" s="10" t="s">
        <v>65</v>
      </c>
      <c r="F78" s="10" t="s">
        <v>18269</v>
      </c>
      <c r="G78" s="10" t="s">
        <v>22010</v>
      </c>
      <c r="H78" s="10" t="s">
        <v>22179</v>
      </c>
      <c r="I78" s="10" t="s">
        <v>55</v>
      </c>
      <c r="K78" s="10" t="s">
        <v>22180</v>
      </c>
      <c r="L78" s="10" t="s">
        <v>42</v>
      </c>
    </row>
    <row r="79" ht="15.75" customHeight="1">
      <c r="A79" s="66">
        <v>45491.0</v>
      </c>
      <c r="B79" s="55" t="str">
        <f>HYPERLINK("https://jobright.ai/jobs/info/66a26f1f4a58115fdebd66ee?utm_campaign=1056&amp;utm_source=sheet", "Apply")</f>
        <v>Apply</v>
      </c>
      <c r="C79" s="10" t="s">
        <v>22181</v>
      </c>
      <c r="D79" s="56" t="s">
        <v>22182</v>
      </c>
      <c r="E79" s="10" t="s">
        <v>79</v>
      </c>
      <c r="F79" s="10" t="s">
        <v>14654</v>
      </c>
      <c r="G79" s="10" t="s">
        <v>22010</v>
      </c>
      <c r="H79" s="10" t="s">
        <v>96</v>
      </c>
      <c r="I79" s="10" t="s">
        <v>55</v>
      </c>
      <c r="K79" s="10" t="s">
        <v>22183</v>
      </c>
      <c r="L79" s="10" t="s">
        <v>42</v>
      </c>
    </row>
    <row r="80" ht="15.75" customHeight="1">
      <c r="A80" s="66">
        <v>45491.0</v>
      </c>
      <c r="B80" s="55" t="str">
        <f>HYPERLINK("https://jobright.ai/jobs/info/66a25cc10d722babd5bd1870?utm_campaign=1056&amp;utm_source=sheet", "Apply")</f>
        <v>Apply</v>
      </c>
      <c r="C80" s="10" t="s">
        <v>22184</v>
      </c>
      <c r="D80" s="56" t="s">
        <v>1178</v>
      </c>
      <c r="E80" s="10" t="s">
        <v>137</v>
      </c>
      <c r="F80" s="10" t="s">
        <v>1179</v>
      </c>
      <c r="G80" s="10" t="s">
        <v>22010</v>
      </c>
      <c r="H80" s="10" t="s">
        <v>1254</v>
      </c>
      <c r="I80" s="10" t="s">
        <v>55</v>
      </c>
      <c r="K80" s="10" t="s">
        <v>22185</v>
      </c>
      <c r="L80" s="10" t="s">
        <v>42</v>
      </c>
    </row>
    <row r="81" ht="15.75" customHeight="1">
      <c r="A81" s="66">
        <v>45491.0</v>
      </c>
      <c r="B81" s="55" t="str">
        <f>HYPERLINK("https://jobright.ai/jobs/info/669a71469819bc20e390dd86?utm_campaign=1056&amp;utm_source=sheet", "Apply")</f>
        <v>Apply</v>
      </c>
      <c r="C81" s="10" t="s">
        <v>22186</v>
      </c>
      <c r="D81" s="56" t="s">
        <v>22078</v>
      </c>
      <c r="E81" s="10" t="s">
        <v>249</v>
      </c>
      <c r="F81" s="10" t="s">
        <v>1243</v>
      </c>
      <c r="G81" s="10" t="s">
        <v>22010</v>
      </c>
      <c r="H81" s="10" t="s">
        <v>170</v>
      </c>
      <c r="I81" s="10" t="s">
        <v>55</v>
      </c>
      <c r="J81" s="10" t="s">
        <v>22187</v>
      </c>
      <c r="K81" s="10" t="s">
        <v>22188</v>
      </c>
      <c r="L81" s="10" t="s">
        <v>42</v>
      </c>
    </row>
    <row r="82" ht="15.75" customHeight="1">
      <c r="A82" s="66">
        <v>45491.0</v>
      </c>
      <c r="B82" s="55" t="str">
        <f>HYPERLINK("https://jobright.ai/jobs/info/6698e9a586a1aa57ad488429?utm_campaign=1056&amp;utm_source=sheet", "Apply")</f>
        <v>Apply</v>
      </c>
      <c r="C82" s="10" t="s">
        <v>22189</v>
      </c>
      <c r="D82" s="56" t="s">
        <v>22190</v>
      </c>
      <c r="E82" s="10" t="s">
        <v>79</v>
      </c>
      <c r="F82" s="10" t="s">
        <v>1587</v>
      </c>
      <c r="G82" s="10" t="s">
        <v>22010</v>
      </c>
      <c r="H82" s="10" t="s">
        <v>170</v>
      </c>
      <c r="I82" s="10" t="s">
        <v>55</v>
      </c>
      <c r="J82" s="10" t="s">
        <v>2127</v>
      </c>
      <c r="K82" s="10" t="s">
        <v>22148</v>
      </c>
      <c r="L82" s="10" t="s">
        <v>42</v>
      </c>
    </row>
    <row r="83" ht="15.75" customHeight="1">
      <c r="A83" s="66">
        <v>45491.0</v>
      </c>
      <c r="B83" s="55" t="str">
        <f>HYPERLINK("https://jobright.ai/jobs/info/66989436a815047e6f29cc7d?utm_campaign=1056&amp;utm_source=sheet", "Apply")</f>
        <v>Apply</v>
      </c>
      <c r="C83" s="10" t="s">
        <v>22191</v>
      </c>
      <c r="D83" s="56" t="s">
        <v>1547</v>
      </c>
      <c r="E83" s="10">
        <v>408.0</v>
      </c>
      <c r="G83" s="10" t="s">
        <v>22010</v>
      </c>
      <c r="H83" s="10" t="s">
        <v>170</v>
      </c>
      <c r="I83" s="10" t="s">
        <v>55</v>
      </c>
      <c r="K83" s="10" t="s">
        <v>22192</v>
      </c>
      <c r="L83" s="10" t="s">
        <v>42</v>
      </c>
    </row>
    <row r="84" ht="15.75" customHeight="1">
      <c r="A84" s="66">
        <v>45491.0</v>
      </c>
      <c r="B84" s="55" t="str">
        <f>HYPERLINK("https://jobright.ai/jobs/info/66988dc6c6a5e47355769d16?utm_campaign=1056&amp;utm_source=sheet", "Apply")</f>
        <v>Apply</v>
      </c>
      <c r="C84" s="10" t="s">
        <v>22193</v>
      </c>
      <c r="D84" s="56" t="s">
        <v>10341</v>
      </c>
      <c r="E84" s="10" t="s">
        <v>65</v>
      </c>
      <c r="F84" s="10" t="s">
        <v>1601</v>
      </c>
      <c r="G84" s="10" t="s">
        <v>22010</v>
      </c>
      <c r="H84" s="10" t="s">
        <v>442</v>
      </c>
      <c r="I84" s="10" t="s">
        <v>48</v>
      </c>
      <c r="K84" s="10" t="s">
        <v>22194</v>
      </c>
      <c r="L84" s="10" t="s">
        <v>42</v>
      </c>
    </row>
    <row r="85" ht="15.75" customHeight="1">
      <c r="A85" s="66">
        <v>45491.0</v>
      </c>
      <c r="B85" s="55" t="str">
        <f>HYPERLINK("https://jobright.ai/jobs/info/6699835aa75f4fb1c1378d3c?utm_campaign=1056&amp;utm_source=sheet", "Apply")</f>
        <v>Apply</v>
      </c>
      <c r="C85" s="10" t="s">
        <v>22195</v>
      </c>
      <c r="D85" s="56" t="s">
        <v>1840</v>
      </c>
      <c r="E85" s="10" t="s">
        <v>137</v>
      </c>
      <c r="G85" s="10" t="s">
        <v>22010</v>
      </c>
      <c r="H85" s="10" t="s">
        <v>1841</v>
      </c>
      <c r="I85" s="10" t="s">
        <v>55</v>
      </c>
      <c r="K85" s="10" t="s">
        <v>14001</v>
      </c>
      <c r="L85" s="10" t="s">
        <v>42</v>
      </c>
    </row>
    <row r="86" ht="15.75" customHeight="1">
      <c r="A86" s="66">
        <v>45491.0</v>
      </c>
      <c r="B86" s="55" t="str">
        <f>HYPERLINK("https://jobright.ai/jobs/info/66992456d279e8279eaaf0ae?utm_campaign=1056&amp;utm_source=sheet", "Apply")</f>
        <v>Apply</v>
      </c>
      <c r="C86" s="10" t="s">
        <v>22196</v>
      </c>
      <c r="D86" s="56" t="s">
        <v>1840</v>
      </c>
      <c r="E86" s="10" t="s">
        <v>137</v>
      </c>
      <c r="G86" s="10" t="s">
        <v>22019</v>
      </c>
      <c r="H86" s="10" t="s">
        <v>1841</v>
      </c>
      <c r="I86" s="10" t="s">
        <v>48</v>
      </c>
      <c r="K86" s="10" t="s">
        <v>14001</v>
      </c>
      <c r="L86" s="10" t="s">
        <v>42</v>
      </c>
    </row>
    <row r="87" ht="15.75" customHeight="1">
      <c r="A87" s="66">
        <v>45491.0</v>
      </c>
      <c r="B87" s="55" t="str">
        <f>HYPERLINK("https://jobright.ai/jobs/info/669974efbafe4ca966734cba?utm_campaign=1056&amp;utm_source=sheet", "Apply")</f>
        <v>Apply</v>
      </c>
      <c r="C87" s="10" t="s">
        <v>22197</v>
      </c>
      <c r="D87" s="56" t="s">
        <v>22198</v>
      </c>
      <c r="E87" s="10">
        <v>152.0</v>
      </c>
      <c r="G87" s="10" t="s">
        <v>22019</v>
      </c>
      <c r="H87" s="10" t="s">
        <v>22199</v>
      </c>
      <c r="I87" s="10" t="s">
        <v>55</v>
      </c>
      <c r="K87" s="10" t="s">
        <v>22200</v>
      </c>
      <c r="L87" s="10" t="s">
        <v>42</v>
      </c>
    </row>
    <row r="88" ht="15.75" customHeight="1">
      <c r="A88" s="66">
        <v>45490.0</v>
      </c>
      <c r="B88" s="55" t="str">
        <f>HYPERLINK("https://jobright.ai/jobs/info/66986aa6bdca330e79ce191d?utm_campaign=1056&amp;utm_source=sheet", "Apply")</f>
        <v>Apply</v>
      </c>
      <c r="C88" s="10" t="s">
        <v>22189</v>
      </c>
      <c r="D88" s="56" t="s">
        <v>22190</v>
      </c>
      <c r="E88" s="10" t="s">
        <v>79</v>
      </c>
      <c r="F88" s="10" t="s">
        <v>1587</v>
      </c>
      <c r="G88" s="10" t="s">
        <v>22010</v>
      </c>
      <c r="H88" s="10" t="s">
        <v>170</v>
      </c>
      <c r="I88" s="10" t="s">
        <v>55</v>
      </c>
      <c r="J88" s="10" t="s">
        <v>2127</v>
      </c>
      <c r="K88" s="10" t="s">
        <v>22148</v>
      </c>
      <c r="L88" s="10" t="s">
        <v>42</v>
      </c>
    </row>
    <row r="89" ht="15.75" customHeight="1">
      <c r="A89" s="66">
        <v>45490.0</v>
      </c>
      <c r="B89" s="55" t="str">
        <f>HYPERLINK("https://jobright.ai/jobs/info/667f80e542e63ae5af33ed89?utm_campaign=1056&amp;utm_source=sheet", "Apply")</f>
        <v>Apply</v>
      </c>
      <c r="C89" s="10" t="s">
        <v>22201</v>
      </c>
      <c r="D89" s="56" t="s">
        <v>7830</v>
      </c>
      <c r="E89" s="10" t="s">
        <v>249</v>
      </c>
      <c r="F89" s="10" t="s">
        <v>3906</v>
      </c>
      <c r="G89" s="10" t="s">
        <v>22010</v>
      </c>
      <c r="H89" s="10" t="s">
        <v>170</v>
      </c>
      <c r="I89" s="10" t="s">
        <v>55</v>
      </c>
      <c r="J89" s="10" t="s">
        <v>22202</v>
      </c>
      <c r="K89" s="10" t="s">
        <v>22203</v>
      </c>
      <c r="L89" s="10" t="s">
        <v>42</v>
      </c>
    </row>
    <row r="90" ht="15.75" customHeight="1">
      <c r="A90" s="66">
        <v>45490.0</v>
      </c>
      <c r="B90" s="55" t="str">
        <f>HYPERLINK("https://jobright.ai/jobs/info/6697edc46405fb4de287ffaa?utm_campaign=1056&amp;utm_source=sheet", "Apply")</f>
        <v>Apply</v>
      </c>
      <c r="C90" s="10" t="s">
        <v>14366</v>
      </c>
      <c r="D90" s="56" t="s">
        <v>22204</v>
      </c>
      <c r="E90" s="10">
        <v>23.0</v>
      </c>
      <c r="G90" s="10" t="s">
        <v>22019</v>
      </c>
      <c r="H90" s="10" t="s">
        <v>9570</v>
      </c>
      <c r="I90" s="10" t="s">
        <v>55</v>
      </c>
      <c r="K90" s="10" t="s">
        <v>22205</v>
      </c>
      <c r="L90" s="10" t="s">
        <v>42</v>
      </c>
    </row>
    <row r="91" ht="15.75" customHeight="1">
      <c r="A91" s="66">
        <v>45490.0</v>
      </c>
      <c r="B91" s="55" t="str">
        <f>HYPERLINK("https://jobright.ai/jobs/info/6675a73e6fb7d4bb72dd6ed8?utm_campaign=1056&amp;utm_source=sheet", "Apply")</f>
        <v>Apply</v>
      </c>
      <c r="C91" s="10" t="s">
        <v>22206</v>
      </c>
      <c r="D91" s="56" t="s">
        <v>22207</v>
      </c>
      <c r="E91" s="10" t="s">
        <v>45</v>
      </c>
      <c r="F91" s="10" t="s">
        <v>18523</v>
      </c>
      <c r="G91" s="10" t="s">
        <v>22019</v>
      </c>
      <c r="H91" s="10" t="s">
        <v>994</v>
      </c>
      <c r="I91" s="10" t="s">
        <v>55</v>
      </c>
      <c r="K91" s="10" t="s">
        <v>22208</v>
      </c>
      <c r="L91" s="10" t="s">
        <v>42</v>
      </c>
    </row>
    <row r="92" ht="15.75" customHeight="1">
      <c r="A92" s="66">
        <v>45490.0</v>
      </c>
      <c r="B92" s="55" t="str">
        <f>HYPERLINK("https://jobright.ai/jobs/info/662543263f7bae0344290f99?utm_campaign=1056&amp;utm_source=sheet", "Apply")</f>
        <v>Apply</v>
      </c>
      <c r="C92" s="10" t="s">
        <v>22209</v>
      </c>
      <c r="D92" s="56" t="s">
        <v>5257</v>
      </c>
      <c r="E92" s="10">
        <v>5045.0</v>
      </c>
      <c r="G92" s="10" t="s">
        <v>22019</v>
      </c>
      <c r="H92" s="10" t="s">
        <v>3341</v>
      </c>
      <c r="I92" s="10" t="s">
        <v>55</v>
      </c>
      <c r="K92" s="10" t="s">
        <v>22210</v>
      </c>
      <c r="L92" s="10" t="s">
        <v>42</v>
      </c>
    </row>
    <row r="93" ht="15.75" customHeight="1">
      <c r="A93" s="64">
        <v>45490.0</v>
      </c>
      <c r="B93" s="55" t="str">
        <f>HYPERLINK("https://jobright.ai/jobs/info/66796def3f452d31d55f9bf0?utm_campaign=1056&amp;utm_source=sheet", "Apply")</f>
        <v>Apply</v>
      </c>
      <c r="C93" s="10" t="s">
        <v>22211</v>
      </c>
      <c r="D93" s="56" t="s">
        <v>14092</v>
      </c>
      <c r="E93" s="10" t="s">
        <v>79</v>
      </c>
      <c r="F93" s="10" t="s">
        <v>3906</v>
      </c>
      <c r="G93" s="10" t="s">
        <v>22010</v>
      </c>
      <c r="H93" s="10" t="s">
        <v>170</v>
      </c>
      <c r="I93" s="10" t="s">
        <v>55</v>
      </c>
      <c r="K93" s="10" t="s">
        <v>22212</v>
      </c>
      <c r="L93" s="10" t="s">
        <v>42</v>
      </c>
    </row>
    <row r="94" ht="15.75" customHeight="1">
      <c r="A94" s="64">
        <v>45490.0</v>
      </c>
      <c r="B94" s="55" t="str">
        <f>HYPERLINK("https://jobright.ai/jobs/info/66978c90c853481ad23ee45c?utm_campaign=1056&amp;utm_source=sheet", "Apply")</f>
        <v>Apply</v>
      </c>
      <c r="C94" s="10" t="s">
        <v>22213</v>
      </c>
      <c r="D94" s="56" t="s">
        <v>22190</v>
      </c>
      <c r="E94" s="10" t="s">
        <v>79</v>
      </c>
      <c r="F94" s="10" t="s">
        <v>1587</v>
      </c>
      <c r="G94" s="10" t="s">
        <v>22010</v>
      </c>
      <c r="H94" s="10" t="s">
        <v>170</v>
      </c>
      <c r="I94" s="10" t="s">
        <v>55</v>
      </c>
      <c r="J94" s="10" t="s">
        <v>2127</v>
      </c>
      <c r="K94" s="10" t="s">
        <v>22214</v>
      </c>
      <c r="L94" s="10" t="s">
        <v>42</v>
      </c>
    </row>
    <row r="95" ht="15.75" customHeight="1">
      <c r="A95" s="64">
        <v>45490.0</v>
      </c>
      <c r="B95" s="55" t="str">
        <f>HYPERLINK("https://jobright.ai/jobs/info/669714a442783c0a8d8596b6?utm_campaign=1056&amp;utm_source=sheet", "Apply")</f>
        <v>Apply</v>
      </c>
      <c r="C95" s="10" t="s">
        <v>22215</v>
      </c>
      <c r="D95" s="56" t="s">
        <v>6310</v>
      </c>
      <c r="E95" s="10" t="s">
        <v>79</v>
      </c>
      <c r="F95" s="10" t="s">
        <v>5705</v>
      </c>
      <c r="G95" s="10" t="s">
        <v>22019</v>
      </c>
      <c r="H95" s="10" t="s">
        <v>774</v>
      </c>
      <c r="I95" s="10" t="s">
        <v>48</v>
      </c>
      <c r="J95" s="10" t="s">
        <v>6311</v>
      </c>
      <c r="K95" s="10" t="s">
        <v>22216</v>
      </c>
      <c r="L95" s="10" t="s">
        <v>42</v>
      </c>
    </row>
    <row r="96" ht="15.75" customHeight="1">
      <c r="A96" s="64">
        <v>45490.0</v>
      </c>
      <c r="B96" s="55" t="str">
        <f>HYPERLINK("https://jobright.ai/jobs/info/66982707e7362e3de0263a11?utm_campaign=1056&amp;utm_source=sheet", "Apply")</f>
        <v>Apply</v>
      </c>
      <c r="C96" s="10" t="s">
        <v>22217</v>
      </c>
      <c r="D96" s="56" t="s">
        <v>19301</v>
      </c>
      <c r="E96" s="10" t="s">
        <v>276</v>
      </c>
      <c r="F96" s="10" t="s">
        <v>10337</v>
      </c>
      <c r="G96" s="10" t="s">
        <v>22010</v>
      </c>
      <c r="H96" s="10" t="s">
        <v>843</v>
      </c>
      <c r="I96" s="10" t="s">
        <v>48</v>
      </c>
      <c r="K96" s="10" t="s">
        <v>22218</v>
      </c>
      <c r="L96" s="10" t="s">
        <v>42</v>
      </c>
    </row>
    <row r="97" ht="15.75" customHeight="1">
      <c r="A97" s="64">
        <v>45489.0</v>
      </c>
      <c r="B97" s="55" t="str">
        <f>HYPERLINK("https://jobright.ai/jobs/info/6696a9f0d7f80cba36b698e2?utm_campaign=1056&amp;utm_source=sheet", "Apply")</f>
        <v>Apply</v>
      </c>
      <c r="C97" s="10" t="s">
        <v>22219</v>
      </c>
      <c r="D97" s="56" t="s">
        <v>22167</v>
      </c>
      <c r="E97" s="10" t="s">
        <v>249</v>
      </c>
      <c r="F97" s="10" t="s">
        <v>1506</v>
      </c>
      <c r="G97" s="10" t="s">
        <v>22010</v>
      </c>
      <c r="H97" s="10" t="s">
        <v>170</v>
      </c>
      <c r="I97" s="10" t="s">
        <v>55</v>
      </c>
      <c r="J97" s="10" t="s">
        <v>1984</v>
      </c>
      <c r="K97" s="10" t="s">
        <v>22220</v>
      </c>
      <c r="L97" s="10" t="s">
        <v>42</v>
      </c>
    </row>
    <row r="98" ht="15.75" customHeight="1">
      <c r="A98" s="64">
        <v>45489.0</v>
      </c>
      <c r="B98" s="55" t="str">
        <f>HYPERLINK("https://jobright.ai/jobs/info/6696a0ea1e4c13c6a6969f76?utm_campaign=1056&amp;utm_source=sheet", "Apply")</f>
        <v>Apply</v>
      </c>
      <c r="C98" s="10" t="s">
        <v>22221</v>
      </c>
      <c r="D98" s="56" t="s">
        <v>22222</v>
      </c>
      <c r="E98" s="10" t="s">
        <v>45</v>
      </c>
      <c r="F98" s="10" t="s">
        <v>22223</v>
      </c>
      <c r="G98" s="10" t="s">
        <v>22019</v>
      </c>
      <c r="H98" s="10" t="s">
        <v>22224</v>
      </c>
      <c r="I98" s="10" t="s">
        <v>55</v>
      </c>
      <c r="J98" s="10" t="s">
        <v>22225</v>
      </c>
      <c r="K98" s="10" t="s">
        <v>22226</v>
      </c>
      <c r="L98" s="10" t="s">
        <v>42</v>
      </c>
    </row>
    <row r="99" ht="15.75" customHeight="1">
      <c r="A99" s="64">
        <v>45489.0</v>
      </c>
      <c r="B99" s="55" t="str">
        <f>HYPERLINK("https://jobright.ai/jobs/info/6696a9f0d7f80cba36b698f3?utm_campaign=1056&amp;utm_source=sheet", "Apply")</f>
        <v>Apply</v>
      </c>
      <c r="C99" s="10" t="s">
        <v>22213</v>
      </c>
      <c r="D99" s="56" t="s">
        <v>22190</v>
      </c>
      <c r="E99" s="10" t="s">
        <v>79</v>
      </c>
      <c r="F99" s="10" t="s">
        <v>1587</v>
      </c>
      <c r="G99" s="10" t="s">
        <v>22010</v>
      </c>
      <c r="H99" s="10" t="s">
        <v>170</v>
      </c>
      <c r="I99" s="10" t="s">
        <v>55</v>
      </c>
      <c r="J99" s="10" t="s">
        <v>2127</v>
      </c>
      <c r="K99" s="10" t="s">
        <v>22214</v>
      </c>
      <c r="L99" s="10" t="s">
        <v>42</v>
      </c>
    </row>
    <row r="100" ht="15.75" customHeight="1">
      <c r="A100" s="64">
        <v>45489.0</v>
      </c>
      <c r="B100" s="55" t="str">
        <f>HYPERLINK("https://jobright.ai/jobs/info/669647826eb71b21fb140ada?utm_campaign=1056&amp;utm_source=sheet", "Apply")</f>
        <v>Apply</v>
      </c>
      <c r="C100" s="10" t="s">
        <v>10450</v>
      </c>
      <c r="D100" s="56" t="s">
        <v>1846</v>
      </c>
      <c r="E100" s="10" t="s">
        <v>45</v>
      </c>
      <c r="F100" s="10" t="s">
        <v>1485</v>
      </c>
      <c r="G100" s="10" t="s">
        <v>22019</v>
      </c>
      <c r="H100" s="10" t="s">
        <v>994</v>
      </c>
      <c r="I100" s="10" t="s">
        <v>55</v>
      </c>
      <c r="J100" s="10" t="s">
        <v>22227</v>
      </c>
      <c r="K100" s="10" t="s">
        <v>22228</v>
      </c>
      <c r="L100" s="10" t="s">
        <v>42</v>
      </c>
    </row>
    <row r="101" ht="15.75" customHeight="1">
      <c r="A101" s="64">
        <v>45489.0</v>
      </c>
      <c r="B101" s="55" t="str">
        <f>HYPERLINK("https://jobright.ai/jobs/info/669647826eb71b21fb140abf?utm_campaign=1056&amp;utm_source=sheet", "Apply")</f>
        <v>Apply</v>
      </c>
      <c r="C101" s="10" t="s">
        <v>10450</v>
      </c>
      <c r="D101" s="56" t="s">
        <v>1846</v>
      </c>
      <c r="E101" s="10" t="s">
        <v>45</v>
      </c>
      <c r="F101" s="10" t="s">
        <v>1485</v>
      </c>
      <c r="G101" s="10" t="s">
        <v>22010</v>
      </c>
      <c r="H101" s="10" t="s">
        <v>154</v>
      </c>
      <c r="I101" s="10" t="s">
        <v>55</v>
      </c>
      <c r="J101" s="10" t="s">
        <v>22229</v>
      </c>
      <c r="K101" s="10" t="s">
        <v>22230</v>
      </c>
      <c r="L101" s="10" t="s">
        <v>42</v>
      </c>
    </row>
    <row r="102" ht="15.75" customHeight="1">
      <c r="A102" s="64">
        <v>45489.0</v>
      </c>
      <c r="B102" s="55" t="str">
        <f>HYPERLINK("https://jobright.ai/jobs/info/669647826eb71b21fb140ad9?utm_campaign=1056&amp;utm_source=sheet", "Apply")</f>
        <v>Apply</v>
      </c>
      <c r="C102" s="10" t="s">
        <v>10450</v>
      </c>
      <c r="D102" s="56" t="s">
        <v>1846</v>
      </c>
      <c r="E102" s="10" t="s">
        <v>45</v>
      </c>
      <c r="F102" s="10" t="s">
        <v>1485</v>
      </c>
      <c r="G102" s="10" t="s">
        <v>22019</v>
      </c>
      <c r="H102" s="10" t="s">
        <v>159</v>
      </c>
      <c r="I102" s="10" t="s">
        <v>55</v>
      </c>
      <c r="J102" s="10" t="s">
        <v>22229</v>
      </c>
      <c r="K102" s="10" t="s">
        <v>22230</v>
      </c>
      <c r="L102" s="10" t="s">
        <v>42</v>
      </c>
    </row>
    <row r="103" ht="15.75" customHeight="1">
      <c r="A103" s="64">
        <v>45489.0</v>
      </c>
      <c r="B103" s="55" t="str">
        <f>HYPERLINK("https://jobright.ai/jobs/info/669647826eb71b21fb140af8?utm_campaign=1056&amp;utm_source=sheet", "Apply")</f>
        <v>Apply</v>
      </c>
      <c r="C103" s="10" t="s">
        <v>10450</v>
      </c>
      <c r="D103" s="56" t="s">
        <v>1846</v>
      </c>
      <c r="E103" s="10" t="s">
        <v>45</v>
      </c>
      <c r="F103" s="10" t="s">
        <v>1485</v>
      </c>
      <c r="G103" s="10" t="s">
        <v>22019</v>
      </c>
      <c r="H103" s="10" t="s">
        <v>96</v>
      </c>
      <c r="I103" s="10" t="s">
        <v>55</v>
      </c>
      <c r="J103" s="10" t="s">
        <v>22229</v>
      </c>
      <c r="K103" s="10" t="s">
        <v>22230</v>
      </c>
      <c r="L103" s="10" t="s">
        <v>42</v>
      </c>
    </row>
    <row r="104" ht="15.75" customHeight="1">
      <c r="A104" s="64">
        <v>45489.0</v>
      </c>
      <c r="B104" s="55" t="str">
        <f>HYPERLINK("https://jobright.ai/jobs/info/669647826eb71b21fb140b41?utm_campaign=1056&amp;utm_source=sheet", "Apply")</f>
        <v>Apply</v>
      </c>
      <c r="C104" s="10" t="s">
        <v>10450</v>
      </c>
      <c r="D104" s="56" t="s">
        <v>1846</v>
      </c>
      <c r="E104" s="10" t="s">
        <v>45</v>
      </c>
      <c r="F104" s="10" t="s">
        <v>1485</v>
      </c>
      <c r="G104" s="10" t="s">
        <v>22019</v>
      </c>
      <c r="H104" s="10" t="s">
        <v>153</v>
      </c>
      <c r="I104" s="10" t="s">
        <v>55</v>
      </c>
      <c r="J104" s="10" t="s">
        <v>22229</v>
      </c>
      <c r="K104" s="10" t="s">
        <v>22231</v>
      </c>
      <c r="L104" s="10" t="s">
        <v>42</v>
      </c>
    </row>
    <row r="105" ht="15.75" customHeight="1">
      <c r="A105" s="64">
        <v>45489.0</v>
      </c>
      <c r="B105" s="55" t="str">
        <f>HYPERLINK("https://jobright.ai/jobs/info/669647826eb71b21fb140b17?utm_campaign=1056&amp;utm_source=sheet", "Apply")</f>
        <v>Apply</v>
      </c>
      <c r="C105" s="10" t="s">
        <v>10450</v>
      </c>
      <c r="D105" s="56" t="s">
        <v>1846</v>
      </c>
      <c r="E105" s="10" t="s">
        <v>45</v>
      </c>
      <c r="F105" s="10" t="s">
        <v>1485</v>
      </c>
      <c r="G105" s="10" t="s">
        <v>22019</v>
      </c>
      <c r="H105" s="10" t="s">
        <v>113</v>
      </c>
      <c r="I105" s="10" t="s">
        <v>55</v>
      </c>
      <c r="J105" s="10" t="s">
        <v>22229</v>
      </c>
      <c r="K105" s="10" t="s">
        <v>22231</v>
      </c>
      <c r="L105" s="10" t="s">
        <v>42</v>
      </c>
    </row>
    <row r="106" ht="15.75" customHeight="1">
      <c r="A106" s="64">
        <v>45489.0</v>
      </c>
      <c r="B106" s="55" t="str">
        <f>HYPERLINK("https://jobright.ai/jobs/info/669647826eb71b21fb140b63?utm_campaign=1056&amp;utm_source=sheet", "Apply")</f>
        <v>Apply</v>
      </c>
      <c r="C106" s="10" t="s">
        <v>10450</v>
      </c>
      <c r="D106" s="56" t="s">
        <v>1846</v>
      </c>
      <c r="E106" s="10" t="s">
        <v>45</v>
      </c>
      <c r="F106" s="10" t="s">
        <v>1485</v>
      </c>
      <c r="G106" s="10" t="s">
        <v>22019</v>
      </c>
      <c r="H106" s="10" t="s">
        <v>868</v>
      </c>
      <c r="I106" s="10" t="s">
        <v>55</v>
      </c>
      <c r="J106" s="10" t="s">
        <v>22229</v>
      </c>
      <c r="K106" s="10" t="s">
        <v>22230</v>
      </c>
      <c r="L106" s="10" t="s">
        <v>42</v>
      </c>
    </row>
    <row r="107" ht="15.75" customHeight="1">
      <c r="A107" s="64">
        <v>45489.0</v>
      </c>
      <c r="B107" s="55" t="str">
        <f>HYPERLINK("https://jobright.ai/jobs/info/6698b8f17639b3b6fe9212fa?utm_campaign=1056&amp;utm_source=sheet", "Apply")</f>
        <v>Apply</v>
      </c>
      <c r="C107" s="10" t="s">
        <v>22232</v>
      </c>
      <c r="D107" s="56" t="s">
        <v>17367</v>
      </c>
      <c r="E107" s="10" t="s">
        <v>45</v>
      </c>
      <c r="G107" s="10" t="s">
        <v>22010</v>
      </c>
      <c r="H107" s="10" t="s">
        <v>609</v>
      </c>
      <c r="I107" s="10" t="s">
        <v>55</v>
      </c>
      <c r="J107" s="10" t="s">
        <v>1189</v>
      </c>
      <c r="K107" s="10" t="s">
        <v>22233</v>
      </c>
      <c r="L107" s="10" t="s">
        <v>42</v>
      </c>
    </row>
    <row r="108" ht="15.75" customHeight="1">
      <c r="A108" s="64">
        <v>45489.0</v>
      </c>
      <c r="B108" s="55" t="str">
        <f>HYPERLINK("https://jobright.ai/jobs/info/669f19e5821ed2aaf5a7402d?utm_campaign=1056&amp;utm_source=sheet", "Apply")</f>
        <v>Apply</v>
      </c>
      <c r="C108" s="10" t="s">
        <v>22234</v>
      </c>
      <c r="D108" s="56" t="s">
        <v>2252</v>
      </c>
      <c r="E108" s="10" t="s">
        <v>249</v>
      </c>
      <c r="F108" s="10" t="s">
        <v>2253</v>
      </c>
      <c r="G108" s="10" t="s">
        <v>22019</v>
      </c>
      <c r="H108" s="10" t="s">
        <v>996</v>
      </c>
      <c r="I108" s="10" t="s">
        <v>55</v>
      </c>
      <c r="K108" s="10" t="s">
        <v>22235</v>
      </c>
      <c r="L108" s="10" t="s">
        <v>42</v>
      </c>
    </row>
    <row r="109" ht="15.75" customHeight="1">
      <c r="A109" s="64">
        <v>45489.0</v>
      </c>
      <c r="B109" s="55" t="str">
        <f>HYPERLINK("https://jobright.ai/jobs/info/6696c665608c0f2cd661e6ff?utm_campaign=1056&amp;utm_source=sheet", "Apply")</f>
        <v>Apply</v>
      </c>
      <c r="C109" s="10" t="s">
        <v>22236</v>
      </c>
      <c r="D109" s="56" t="s">
        <v>13290</v>
      </c>
      <c r="E109" s="10" t="s">
        <v>65</v>
      </c>
      <c r="F109" s="10" t="s">
        <v>13291</v>
      </c>
      <c r="G109" s="10" t="s">
        <v>22010</v>
      </c>
      <c r="H109" s="10" t="s">
        <v>278</v>
      </c>
      <c r="I109" s="10" t="s">
        <v>55</v>
      </c>
      <c r="J109" s="10" t="s">
        <v>2609</v>
      </c>
      <c r="K109" s="10" t="s">
        <v>22237</v>
      </c>
      <c r="L109" s="10" t="s">
        <v>42</v>
      </c>
    </row>
    <row r="110" ht="15.75" customHeight="1">
      <c r="A110" s="64">
        <v>45489.0</v>
      </c>
      <c r="B110" s="55" t="str">
        <f>HYPERLINK("https://jobright.ai/jobs/info/669691fa319174cad340ae1f?utm_campaign=1056&amp;utm_source=sheet", "Apply")</f>
        <v>Apply</v>
      </c>
      <c r="C110" s="10" t="s">
        <v>22238</v>
      </c>
      <c r="D110" s="56" t="s">
        <v>22239</v>
      </c>
      <c r="E110" s="10" t="s">
        <v>79</v>
      </c>
      <c r="F110" s="10" t="s">
        <v>22240</v>
      </c>
      <c r="G110" s="10" t="s">
        <v>22010</v>
      </c>
      <c r="H110" s="10" t="s">
        <v>22241</v>
      </c>
      <c r="I110" s="10" t="s">
        <v>55</v>
      </c>
      <c r="K110" s="10" t="s">
        <v>22242</v>
      </c>
      <c r="L110" s="10" t="s">
        <v>42</v>
      </c>
    </row>
    <row r="111" ht="15.75" customHeight="1">
      <c r="A111" s="64">
        <v>45488.0</v>
      </c>
      <c r="B111" s="55" t="str">
        <f>HYPERLINK("https://jobright.ai/jobs/info/6695b0bba8378444645391b6?utm_campaign=1056&amp;utm_source=sheet", "Apply")</f>
        <v>Apply</v>
      </c>
      <c r="C111" s="10" t="s">
        <v>22243</v>
      </c>
      <c r="D111" s="56" t="s">
        <v>22244</v>
      </c>
      <c r="E111" s="10" t="s">
        <v>65</v>
      </c>
      <c r="F111" s="10" t="s">
        <v>16572</v>
      </c>
      <c r="G111" s="10" t="s">
        <v>22019</v>
      </c>
      <c r="H111" s="10" t="s">
        <v>843</v>
      </c>
      <c r="I111" s="10" t="s">
        <v>55</v>
      </c>
      <c r="K111" s="10" t="s">
        <v>22245</v>
      </c>
      <c r="L111" s="10" t="s">
        <v>42</v>
      </c>
    </row>
    <row r="112" ht="15.75" customHeight="1">
      <c r="A112" s="64">
        <v>45488.0</v>
      </c>
      <c r="B112" s="55" t="str">
        <f>HYPERLINK("https://jobright.ai/jobs/info/66959b8fa70b2fb207aed7ec?utm_campaign=1056&amp;utm_source=sheet", "Apply")</f>
        <v>Apply</v>
      </c>
      <c r="C112" s="10" t="s">
        <v>22246</v>
      </c>
      <c r="D112" s="56" t="s">
        <v>22247</v>
      </c>
      <c r="E112" s="10" t="s">
        <v>65</v>
      </c>
      <c r="F112" s="10" t="s">
        <v>1323</v>
      </c>
      <c r="G112" s="10" t="s">
        <v>22019</v>
      </c>
      <c r="H112" s="10" t="s">
        <v>994</v>
      </c>
      <c r="I112" s="10" t="s">
        <v>55</v>
      </c>
      <c r="J112" s="10" t="s">
        <v>2165</v>
      </c>
      <c r="K112" s="10" t="s">
        <v>22248</v>
      </c>
      <c r="L112" s="10" t="s">
        <v>42</v>
      </c>
    </row>
    <row r="113" ht="15.75" customHeight="1">
      <c r="A113" s="64">
        <v>45488.0</v>
      </c>
      <c r="B113" s="55" t="str">
        <f>HYPERLINK("https://jobright.ai/jobs/info/669582a632c6fea23dcc5627?utm_campaign=1056&amp;utm_source=sheet", "Apply")</f>
        <v>Apply</v>
      </c>
      <c r="C113" s="10" t="s">
        <v>22249</v>
      </c>
      <c r="D113" s="56" t="s">
        <v>14298</v>
      </c>
      <c r="E113" s="10" t="s">
        <v>71</v>
      </c>
      <c r="F113" s="10" t="s">
        <v>13546</v>
      </c>
      <c r="G113" s="10" t="s">
        <v>22010</v>
      </c>
      <c r="H113" s="10" t="s">
        <v>170</v>
      </c>
      <c r="I113" s="10" t="s">
        <v>48</v>
      </c>
      <c r="J113" s="10" t="s">
        <v>3979</v>
      </c>
      <c r="K113" s="10" t="s">
        <v>22250</v>
      </c>
      <c r="L113" s="10" t="s">
        <v>42</v>
      </c>
    </row>
    <row r="114" ht="15.75" customHeight="1">
      <c r="A114" s="64">
        <v>45488.0</v>
      </c>
      <c r="B114" s="55" t="str">
        <f>HYPERLINK("https://jobright.ai/jobs/info/668ece2a8ce0244c48c55f80?utm_campaign=1056&amp;utm_source=sheet", "Apply")</f>
        <v>Apply</v>
      </c>
      <c r="C114" s="10" t="s">
        <v>22251</v>
      </c>
      <c r="D114" s="56" t="s">
        <v>22128</v>
      </c>
      <c r="E114" s="10" t="s">
        <v>71</v>
      </c>
      <c r="F114" s="10" t="s">
        <v>10</v>
      </c>
      <c r="G114" s="10" t="s">
        <v>22010</v>
      </c>
      <c r="H114" s="10" t="s">
        <v>170</v>
      </c>
      <c r="I114" s="10" t="s">
        <v>48</v>
      </c>
      <c r="K114" s="10" t="s">
        <v>22252</v>
      </c>
      <c r="L114" s="10" t="s">
        <v>42</v>
      </c>
    </row>
    <row r="115" ht="15.75" customHeight="1">
      <c r="A115" s="64">
        <v>45488.0</v>
      </c>
      <c r="B115" s="55" t="str">
        <f>HYPERLINK("https://jobright.ai/jobs/info/669e60d497d87febbccc64be?utm_campaign=1056&amp;utm_source=sheet", "Apply")</f>
        <v>Apply</v>
      </c>
      <c r="C115" s="10" t="s">
        <v>22253</v>
      </c>
      <c r="D115" s="56" t="s">
        <v>22254</v>
      </c>
      <c r="E115" s="10" t="s">
        <v>65</v>
      </c>
      <c r="F115" s="10" t="s">
        <v>1587</v>
      </c>
      <c r="G115" s="10" t="s">
        <v>22019</v>
      </c>
      <c r="H115" s="10" t="s">
        <v>251</v>
      </c>
      <c r="I115" s="10" t="s">
        <v>252</v>
      </c>
      <c r="J115" s="10" t="s">
        <v>581</v>
      </c>
      <c r="K115" s="10" t="s">
        <v>22255</v>
      </c>
      <c r="L115" s="10" t="s">
        <v>42</v>
      </c>
    </row>
    <row r="116" ht="15.75" customHeight="1">
      <c r="A116" s="64">
        <v>45488.0</v>
      </c>
      <c r="B116" s="55" t="str">
        <f>HYPERLINK("https://jobright.ai/jobs/info/6695208dec51a3ce66f0594a?utm_campaign=1056&amp;utm_source=sheet", "Apply")</f>
        <v>Apply</v>
      </c>
      <c r="C116" s="10" t="s">
        <v>22256</v>
      </c>
      <c r="D116" s="56" t="s">
        <v>1989</v>
      </c>
      <c r="E116" s="10">
        <v>11491.0</v>
      </c>
      <c r="G116" s="10" t="s">
        <v>22019</v>
      </c>
      <c r="H116" s="10" t="s">
        <v>1990</v>
      </c>
      <c r="I116" s="10" t="s">
        <v>55</v>
      </c>
      <c r="J116" s="10" t="s">
        <v>22257</v>
      </c>
      <c r="K116" s="10" t="s">
        <v>22258</v>
      </c>
      <c r="L116" s="10" t="s">
        <v>42</v>
      </c>
    </row>
    <row r="117" ht="15.75" customHeight="1">
      <c r="A117" s="64">
        <v>45488.0</v>
      </c>
      <c r="B117" s="55" t="str">
        <f>HYPERLINK("https://jobright.ai/jobs/info/6697359855f25cd12fe91a26?utm_campaign=1056&amp;utm_source=sheet", "Apply")</f>
        <v>Apply</v>
      </c>
      <c r="C117" s="10" t="s">
        <v>22259</v>
      </c>
      <c r="D117" s="56" t="s">
        <v>22260</v>
      </c>
      <c r="E117" s="10">
        <v>1412.0</v>
      </c>
      <c r="G117" s="10" t="s">
        <v>22019</v>
      </c>
      <c r="H117" s="10" t="s">
        <v>1007</v>
      </c>
      <c r="I117" s="10" t="s">
        <v>55</v>
      </c>
      <c r="J117" s="10" t="s">
        <v>22261</v>
      </c>
      <c r="K117" s="10" t="s">
        <v>22262</v>
      </c>
      <c r="L117" s="10" t="s">
        <v>42</v>
      </c>
    </row>
    <row r="118" ht="15.75" customHeight="1">
      <c r="A118" s="64">
        <v>45488.0</v>
      </c>
      <c r="B118" s="55" t="str">
        <f>HYPERLINK("https://jobright.ai/jobs/info/66956c31fd8e5a557d951e44?utm_campaign=1056&amp;utm_source=sheet", "Apply")</f>
        <v>Apply</v>
      </c>
      <c r="C118" s="10" t="s">
        <v>22263</v>
      </c>
      <c r="D118" s="56" t="s">
        <v>19301</v>
      </c>
      <c r="E118" s="10" t="s">
        <v>276</v>
      </c>
      <c r="F118" s="10" t="s">
        <v>10337</v>
      </c>
      <c r="G118" s="10" t="s">
        <v>22010</v>
      </c>
      <c r="H118" s="10" t="s">
        <v>170</v>
      </c>
      <c r="I118" s="10" t="s">
        <v>48</v>
      </c>
      <c r="J118" s="10" t="s">
        <v>2609</v>
      </c>
      <c r="K118" s="10" t="s">
        <v>22264</v>
      </c>
      <c r="L118" s="10" t="s">
        <v>42</v>
      </c>
    </row>
    <row r="119" ht="15.75" customHeight="1">
      <c r="A119" s="64">
        <v>45488.0</v>
      </c>
      <c r="B119" s="55" t="str">
        <f>HYPERLINK("https://jobright.ai/jobs/info/669a92b1249545754b86aea0?utm_campaign=1056&amp;utm_source=sheet", "Apply")</f>
        <v>Apply</v>
      </c>
      <c r="C119" s="10" t="s">
        <v>22265</v>
      </c>
      <c r="D119" s="56" t="s">
        <v>22266</v>
      </c>
      <c r="E119" s="10" t="s">
        <v>249</v>
      </c>
      <c r="F119" s="10" t="s">
        <v>11362</v>
      </c>
      <c r="G119" s="10" t="s">
        <v>22010</v>
      </c>
      <c r="H119" s="10" t="s">
        <v>22267</v>
      </c>
      <c r="I119" s="10" t="s">
        <v>48</v>
      </c>
      <c r="J119" s="10" t="s">
        <v>3979</v>
      </c>
      <c r="K119" s="10" t="s">
        <v>22268</v>
      </c>
      <c r="L119" s="10" t="s">
        <v>42</v>
      </c>
    </row>
    <row r="120" ht="15.75" customHeight="1">
      <c r="A120" s="64">
        <v>45487.0</v>
      </c>
      <c r="B120" s="55" t="str">
        <f>HYPERLINK("https://jobright.ai/jobs/info/664eb1ebcd9154b3e60135f6?utm_campaign=1056&amp;utm_source=sheet", "Apply")</f>
        <v>Apply</v>
      </c>
      <c r="C120" s="10" t="s">
        <v>22269</v>
      </c>
      <c r="D120" s="56" t="s">
        <v>22270</v>
      </c>
      <c r="F120" s="10" t="s">
        <v>3569</v>
      </c>
      <c r="G120" s="10" t="s">
        <v>22010</v>
      </c>
      <c r="H120" s="10" t="s">
        <v>170</v>
      </c>
      <c r="I120" s="10" t="s">
        <v>55</v>
      </c>
      <c r="J120" s="10" t="s">
        <v>22271</v>
      </c>
      <c r="K120" s="10" t="s">
        <v>22272</v>
      </c>
      <c r="L120" s="10" t="s">
        <v>42</v>
      </c>
    </row>
    <row r="121" ht="15.75" customHeight="1">
      <c r="A121" s="64">
        <v>45487.0</v>
      </c>
      <c r="B121" s="55" t="str">
        <f>HYPERLINK("https://jobright.ai/jobs/info/669127082c5c2d72c35ace87?utm_campaign=1056&amp;utm_source=sheet", "Apply")</f>
        <v>Apply</v>
      </c>
      <c r="C121" s="10" t="s">
        <v>22273</v>
      </c>
      <c r="D121" s="56" t="s">
        <v>22274</v>
      </c>
      <c r="E121" s="10" t="s">
        <v>45</v>
      </c>
      <c r="F121" s="10" t="s">
        <v>85</v>
      </c>
      <c r="G121" s="10" t="s">
        <v>22010</v>
      </c>
      <c r="H121" s="10" t="s">
        <v>169</v>
      </c>
      <c r="I121" s="10" t="s">
        <v>55</v>
      </c>
      <c r="K121" s="10" t="s">
        <v>22275</v>
      </c>
      <c r="L121" s="10" t="s">
        <v>42</v>
      </c>
    </row>
    <row r="122" ht="15.75" customHeight="1">
      <c r="A122" s="64">
        <v>45486.0</v>
      </c>
      <c r="B122" s="55" t="str">
        <f>HYPERLINK("https://jobright.ai/jobs/info/669bb0219cc20b26d98c03c8?utm_campaign=1056&amp;utm_source=sheet", "Apply")</f>
        <v>Apply</v>
      </c>
      <c r="C122" s="10" t="s">
        <v>22276</v>
      </c>
      <c r="D122" s="56" t="s">
        <v>702</v>
      </c>
      <c r="E122" s="10" t="s">
        <v>65</v>
      </c>
      <c r="F122" s="10" t="s">
        <v>703</v>
      </c>
      <c r="G122" s="10" t="s">
        <v>22010</v>
      </c>
      <c r="H122" s="10" t="s">
        <v>251</v>
      </c>
      <c r="I122" s="10" t="s">
        <v>48</v>
      </c>
      <c r="J122" s="10" t="s">
        <v>1952</v>
      </c>
      <c r="K122" s="10" t="s">
        <v>22277</v>
      </c>
      <c r="L122" s="10" t="s">
        <v>42</v>
      </c>
    </row>
    <row r="123" ht="15.75" customHeight="1">
      <c r="A123" s="64">
        <v>45486.0</v>
      </c>
      <c r="B123" s="55" t="str">
        <f>HYPERLINK("https://jobright.ai/jobs/info/66760dd8ad2dd17614c4876d?utm_campaign=1056&amp;utm_source=sheet", "Apply")</f>
        <v>Apply</v>
      </c>
      <c r="C123" s="10" t="s">
        <v>22278</v>
      </c>
      <c r="D123" s="56" t="s">
        <v>22279</v>
      </c>
      <c r="E123" s="10" t="s">
        <v>65</v>
      </c>
      <c r="F123" s="10" t="s">
        <v>8460</v>
      </c>
      <c r="G123" s="10" t="s">
        <v>22010</v>
      </c>
      <c r="H123" s="10" t="s">
        <v>170</v>
      </c>
      <c r="I123" s="10" t="s">
        <v>48</v>
      </c>
      <c r="J123" s="10" t="s">
        <v>1189</v>
      </c>
      <c r="K123" s="10" t="s">
        <v>22280</v>
      </c>
      <c r="L123" s="10" t="s">
        <v>42</v>
      </c>
    </row>
    <row r="124" ht="15.75" customHeight="1">
      <c r="A124" s="64">
        <v>45486.0</v>
      </c>
      <c r="B124" s="55" t="str">
        <f>HYPERLINK("https://jobright.ai/jobs/info/66761a74127b183117fe7dd4?utm_campaign=1056&amp;utm_source=sheet", "Apply")</f>
        <v>Apply</v>
      </c>
      <c r="C124" s="10" t="s">
        <v>22281</v>
      </c>
      <c r="D124" s="56" t="s">
        <v>22279</v>
      </c>
      <c r="E124" s="10" t="s">
        <v>65</v>
      </c>
      <c r="F124" s="10" t="s">
        <v>8460</v>
      </c>
      <c r="G124" s="10" t="s">
        <v>22010</v>
      </c>
      <c r="H124" s="10" t="s">
        <v>170</v>
      </c>
      <c r="I124" s="10" t="s">
        <v>48</v>
      </c>
      <c r="J124" s="10" t="s">
        <v>1189</v>
      </c>
      <c r="K124" s="10" t="s">
        <v>22280</v>
      </c>
      <c r="L124" s="10" t="s">
        <v>42</v>
      </c>
    </row>
    <row r="125" ht="15.75" customHeight="1">
      <c r="A125" s="64">
        <v>45486.0</v>
      </c>
      <c r="B125" s="55" t="str">
        <f>HYPERLINK("https://jobright.ai/jobs/info/6667fa6111143f8b1a90eb72?utm_campaign=1056&amp;utm_source=sheet", "Apply")</f>
        <v>Apply</v>
      </c>
      <c r="C125" s="10" t="s">
        <v>22282</v>
      </c>
      <c r="D125" s="56" t="s">
        <v>702</v>
      </c>
      <c r="E125" s="10" t="s">
        <v>65</v>
      </c>
      <c r="F125" s="10" t="s">
        <v>703</v>
      </c>
      <c r="G125" s="10" t="s">
        <v>22010</v>
      </c>
      <c r="H125" s="10" t="s">
        <v>1058</v>
      </c>
      <c r="I125" s="10" t="s">
        <v>48</v>
      </c>
      <c r="J125" s="10" t="s">
        <v>1952</v>
      </c>
      <c r="K125" s="10" t="s">
        <v>22283</v>
      </c>
      <c r="L125" s="10" t="s">
        <v>42</v>
      </c>
    </row>
    <row r="126" ht="15.75" customHeight="1">
      <c r="A126" s="64">
        <v>45486.0</v>
      </c>
      <c r="B126" s="55" t="str">
        <f>HYPERLINK("https://jobright.ai/jobs/info/6667fa6111143f8b1a90eb71?utm_campaign=1056&amp;utm_source=sheet", "Apply")</f>
        <v>Apply</v>
      </c>
      <c r="C126" s="10" t="s">
        <v>22276</v>
      </c>
      <c r="D126" s="56" t="s">
        <v>702</v>
      </c>
      <c r="E126" s="10" t="s">
        <v>65</v>
      </c>
      <c r="F126" s="10" t="s">
        <v>703</v>
      </c>
      <c r="G126" s="10" t="s">
        <v>22010</v>
      </c>
      <c r="H126" s="10" t="s">
        <v>1058</v>
      </c>
      <c r="I126" s="10" t="s">
        <v>48</v>
      </c>
      <c r="J126" s="10" t="s">
        <v>1952</v>
      </c>
      <c r="K126" s="10" t="s">
        <v>22277</v>
      </c>
      <c r="L126" s="10" t="s">
        <v>42</v>
      </c>
    </row>
    <row r="127" ht="15.75" customHeight="1">
      <c r="A127" s="64">
        <v>45486.0</v>
      </c>
      <c r="B127" s="55" t="str">
        <f>HYPERLINK("https://jobright.ai/jobs/info/6675b9b4044b6b83ef0d330f?utm_campaign=1056&amp;utm_source=sheet", "Apply")</f>
        <v>Apply</v>
      </c>
      <c r="C127" s="10" t="s">
        <v>22282</v>
      </c>
      <c r="D127" s="56" t="s">
        <v>702</v>
      </c>
      <c r="E127" s="10" t="s">
        <v>65</v>
      </c>
      <c r="F127" s="10" t="s">
        <v>703</v>
      </c>
      <c r="G127" s="10" t="s">
        <v>22010</v>
      </c>
      <c r="H127" s="10" t="s">
        <v>251</v>
      </c>
      <c r="I127" s="10" t="s">
        <v>48</v>
      </c>
      <c r="J127" s="10" t="s">
        <v>1952</v>
      </c>
      <c r="K127" s="10" t="s">
        <v>22283</v>
      </c>
      <c r="L127" s="10" t="s">
        <v>42</v>
      </c>
    </row>
    <row r="128" ht="15.75" customHeight="1">
      <c r="A128" s="64">
        <v>45486.0</v>
      </c>
      <c r="B128" s="55" t="str">
        <f>HYPERLINK("https://jobright.ai/jobs/info/6675afd8242bc4c930f29369?utm_campaign=1056&amp;utm_source=sheet", "Apply")</f>
        <v>Apply</v>
      </c>
      <c r="C128" s="10" t="s">
        <v>22276</v>
      </c>
      <c r="D128" s="56" t="s">
        <v>702</v>
      </c>
      <c r="E128" s="10" t="s">
        <v>65</v>
      </c>
      <c r="F128" s="10" t="s">
        <v>703</v>
      </c>
      <c r="G128" s="10" t="s">
        <v>22010</v>
      </c>
      <c r="H128" s="10" t="s">
        <v>251</v>
      </c>
      <c r="I128" s="10" t="s">
        <v>48</v>
      </c>
      <c r="J128" s="10" t="s">
        <v>1952</v>
      </c>
      <c r="K128" s="10" t="s">
        <v>22277</v>
      </c>
      <c r="L128" s="10" t="s">
        <v>42</v>
      </c>
    </row>
    <row r="129" ht="15.75" customHeight="1">
      <c r="A129" s="64">
        <v>45486.0</v>
      </c>
      <c r="B129" s="55" t="str">
        <f>HYPERLINK("https://jobright.ai/jobs/info/6675ef273f0763b7548cf4a8?utm_campaign=1056&amp;utm_source=sheet", "Apply")</f>
        <v>Apply</v>
      </c>
      <c r="C129" s="10" t="s">
        <v>22276</v>
      </c>
      <c r="D129" s="56" t="s">
        <v>702</v>
      </c>
      <c r="E129" s="10" t="s">
        <v>65</v>
      </c>
      <c r="F129" s="10" t="s">
        <v>703</v>
      </c>
      <c r="G129" s="10" t="s">
        <v>22010</v>
      </c>
      <c r="H129" s="10" t="s">
        <v>1058</v>
      </c>
      <c r="I129" s="10" t="s">
        <v>48</v>
      </c>
      <c r="J129" s="10" t="s">
        <v>1952</v>
      </c>
      <c r="K129" s="10" t="s">
        <v>22277</v>
      </c>
      <c r="L129" s="10" t="s">
        <v>42</v>
      </c>
    </row>
    <row r="130" ht="15.75" customHeight="1">
      <c r="A130" s="64">
        <v>45485.0</v>
      </c>
      <c r="B130" s="55" t="str">
        <f>HYPERLINK("https://jobright.ai/jobs/info/6672e6dbd742a3597e9aae7f?utm_campaign=1056&amp;utm_source=sheet", "Apply")</f>
        <v>Apply</v>
      </c>
      <c r="C130" s="10" t="s">
        <v>22284</v>
      </c>
      <c r="D130" s="56" t="s">
        <v>4152</v>
      </c>
      <c r="E130" s="10" t="s">
        <v>249</v>
      </c>
      <c r="F130" s="10" t="s">
        <v>1587</v>
      </c>
      <c r="G130" s="10" t="s">
        <v>22010</v>
      </c>
      <c r="H130" s="10" t="s">
        <v>22285</v>
      </c>
      <c r="I130" s="10" t="s">
        <v>55</v>
      </c>
      <c r="J130" s="10" t="s">
        <v>1409</v>
      </c>
      <c r="K130" s="10" t="s">
        <v>22286</v>
      </c>
      <c r="L130" s="10" t="s">
        <v>42</v>
      </c>
    </row>
    <row r="131" ht="15.75" customHeight="1">
      <c r="A131" s="64">
        <v>45485.0</v>
      </c>
      <c r="B131" s="55" t="str">
        <f>HYPERLINK("https://jobright.ai/jobs/info/6693b635a955ace455aa3c18?utm_campaign=1056&amp;utm_source=sheet", "Apply")</f>
        <v>Apply</v>
      </c>
      <c r="C131" s="10" t="s">
        <v>22287</v>
      </c>
      <c r="D131" s="56" t="s">
        <v>2231</v>
      </c>
      <c r="E131" s="10" t="s">
        <v>45</v>
      </c>
      <c r="F131" s="10" t="s">
        <v>1506</v>
      </c>
      <c r="G131" s="10" t="s">
        <v>22010</v>
      </c>
      <c r="H131" s="10" t="s">
        <v>1024</v>
      </c>
      <c r="I131" s="10" t="s">
        <v>55</v>
      </c>
      <c r="K131" s="10" t="s">
        <v>22288</v>
      </c>
      <c r="L131" s="10" t="s">
        <v>42</v>
      </c>
    </row>
    <row r="132" ht="15.75" customHeight="1">
      <c r="A132" s="64">
        <v>45485.0</v>
      </c>
      <c r="B132" s="55" t="str">
        <f>HYPERLINK("https://jobright.ai/jobs/info/66905a1af6b922c3462cbbe3?utm_campaign=1056&amp;utm_source=sheet", "Apply")</f>
        <v>Apply</v>
      </c>
      <c r="C132" s="10" t="s">
        <v>22251</v>
      </c>
      <c r="D132" s="56" t="s">
        <v>22128</v>
      </c>
      <c r="E132" s="10" t="s">
        <v>71</v>
      </c>
      <c r="F132" s="10" t="s">
        <v>10</v>
      </c>
      <c r="G132" s="10" t="s">
        <v>22010</v>
      </c>
      <c r="H132" s="10" t="s">
        <v>170</v>
      </c>
      <c r="I132" s="10" t="s">
        <v>48</v>
      </c>
      <c r="K132" s="10" t="s">
        <v>22252</v>
      </c>
      <c r="L132" s="10" t="s">
        <v>42</v>
      </c>
    </row>
    <row r="133" ht="15.75" customHeight="1">
      <c r="A133" s="64">
        <v>45485.0</v>
      </c>
      <c r="B133" s="55" t="str">
        <f>HYPERLINK("https://jobright.ai/jobs/info/6697359d55f25cd12fe91b34?utm_campaign=1056&amp;utm_source=sheet", "Apply")</f>
        <v>Apply</v>
      </c>
      <c r="C133" s="10" t="s">
        <v>22289</v>
      </c>
      <c r="D133" s="56" t="s">
        <v>2077</v>
      </c>
      <c r="E133" s="10" t="s">
        <v>45</v>
      </c>
      <c r="F133" s="10" t="s">
        <v>1234</v>
      </c>
      <c r="G133" s="10" t="s">
        <v>22019</v>
      </c>
      <c r="H133" s="10" t="s">
        <v>2078</v>
      </c>
      <c r="I133" s="10" t="s">
        <v>55</v>
      </c>
      <c r="J133" s="10" t="s">
        <v>10706</v>
      </c>
      <c r="K133" s="10" t="s">
        <v>22290</v>
      </c>
      <c r="L133" s="10" t="s">
        <v>42</v>
      </c>
    </row>
    <row r="134" ht="15.75" customHeight="1">
      <c r="A134" s="64">
        <v>45484.0</v>
      </c>
      <c r="B134" s="55" t="str">
        <f>HYPERLINK("https://jobright.ai/jobs/info/6692e4baca0d541f6bb3c793?utm_campaign=1056&amp;utm_source=sheet", "Apply")</f>
        <v>Apply</v>
      </c>
      <c r="C134" s="10" t="s">
        <v>22291</v>
      </c>
      <c r="D134" s="56" t="s">
        <v>1636</v>
      </c>
      <c r="E134" s="10">
        <v>6029.0</v>
      </c>
      <c r="G134" s="10" t="s">
        <v>22019</v>
      </c>
      <c r="H134" s="10" t="s">
        <v>170</v>
      </c>
      <c r="I134" s="10" t="s">
        <v>55</v>
      </c>
      <c r="J134" s="10" t="s">
        <v>2127</v>
      </c>
      <c r="K134" s="10" t="s">
        <v>22292</v>
      </c>
      <c r="L134" s="10" t="s">
        <v>42</v>
      </c>
    </row>
    <row r="135" ht="15.75" customHeight="1">
      <c r="A135" s="64">
        <v>45484.0</v>
      </c>
      <c r="B135" s="55" t="str">
        <f>HYPERLINK("https://jobright.ai/jobs/info/66927ef63b605588c2985ff4?utm_campaign=1056&amp;utm_source=sheet", "Apply")</f>
        <v>Apply</v>
      </c>
      <c r="C135" s="10" t="s">
        <v>22293</v>
      </c>
      <c r="D135" s="56" t="s">
        <v>13290</v>
      </c>
      <c r="E135" s="10" t="s">
        <v>65</v>
      </c>
      <c r="F135" s="10" t="s">
        <v>13291</v>
      </c>
      <c r="G135" s="10" t="s">
        <v>22010</v>
      </c>
      <c r="H135" s="10" t="s">
        <v>872</v>
      </c>
      <c r="I135" s="10" t="s">
        <v>55</v>
      </c>
      <c r="J135" s="10" t="s">
        <v>2609</v>
      </c>
      <c r="K135" s="10" t="s">
        <v>22294</v>
      </c>
      <c r="L135" s="10" t="s">
        <v>42</v>
      </c>
    </row>
    <row r="136" ht="15.75" customHeight="1">
      <c r="A136" s="64">
        <v>45484.0</v>
      </c>
      <c r="B136" s="55" t="str">
        <f>HYPERLINK("https://jobright.ai/jobs/info/6690d06eb9480c9896c8fd75?utm_campaign=1056&amp;utm_source=sheet", "Apply")</f>
        <v>Apply</v>
      </c>
      <c r="C136" s="10" t="s">
        <v>22295</v>
      </c>
      <c r="D136" s="56" t="s">
        <v>22296</v>
      </c>
      <c r="E136" s="10" t="s">
        <v>65</v>
      </c>
      <c r="F136" s="10" t="s">
        <v>22297</v>
      </c>
      <c r="G136" s="10" t="s">
        <v>22010</v>
      </c>
      <c r="H136" s="10" t="s">
        <v>96</v>
      </c>
      <c r="I136" s="10" t="s">
        <v>55</v>
      </c>
      <c r="K136" s="10" t="s">
        <v>22298</v>
      </c>
      <c r="L136" s="10" t="s">
        <v>42</v>
      </c>
    </row>
    <row r="137" ht="15.75" customHeight="1">
      <c r="A137" s="64">
        <v>45484.0</v>
      </c>
      <c r="B137" s="55" t="str">
        <f>HYPERLINK("https://jobright.ai/jobs/info/6690de8db63f2faa3634a546?utm_campaign=1056&amp;utm_source=sheet", "Apply")</f>
        <v>Apply</v>
      </c>
      <c r="C137" s="10" t="s">
        <v>22299</v>
      </c>
      <c r="D137" s="56" t="s">
        <v>1982</v>
      </c>
      <c r="E137" s="10" t="s">
        <v>276</v>
      </c>
      <c r="F137" s="10" t="s">
        <v>1983</v>
      </c>
      <c r="G137" s="10" t="s">
        <v>22010</v>
      </c>
      <c r="H137" s="10" t="s">
        <v>170</v>
      </c>
      <c r="I137" s="10" t="s">
        <v>55</v>
      </c>
      <c r="J137" s="10" t="s">
        <v>1984</v>
      </c>
      <c r="K137" s="10" t="s">
        <v>22300</v>
      </c>
      <c r="L137" s="10" t="s">
        <v>42</v>
      </c>
    </row>
    <row r="138" ht="15.75" customHeight="1">
      <c r="A138" s="64">
        <v>45484.0</v>
      </c>
      <c r="B138" s="55" t="str">
        <f>HYPERLINK("https://jobright.ai/jobs/info/6690de8db63f2faa3634a556?utm_campaign=1056&amp;utm_source=sheet", "Apply")</f>
        <v>Apply</v>
      </c>
      <c r="C138" s="10" t="s">
        <v>22301</v>
      </c>
      <c r="D138" s="56" t="s">
        <v>1982</v>
      </c>
      <c r="E138" s="10" t="s">
        <v>276</v>
      </c>
      <c r="F138" s="10" t="s">
        <v>1983</v>
      </c>
      <c r="G138" s="10" t="s">
        <v>22010</v>
      </c>
      <c r="H138" s="10" t="s">
        <v>5137</v>
      </c>
      <c r="I138" s="10" t="s">
        <v>55</v>
      </c>
      <c r="J138" s="10" t="s">
        <v>1984</v>
      </c>
      <c r="K138" s="10" t="s">
        <v>22302</v>
      </c>
      <c r="L138" s="10" t="s">
        <v>42</v>
      </c>
    </row>
    <row r="139" ht="15.75" customHeight="1">
      <c r="A139" s="64">
        <v>45484.0</v>
      </c>
      <c r="B139" s="55" t="str">
        <f>HYPERLINK("https://jobright.ai/jobs/info/6690d011b9480c9896c8f647?utm_campaign=1056&amp;utm_source=sheet", "Apply")</f>
        <v>Apply</v>
      </c>
      <c r="C139" s="10" t="s">
        <v>22303</v>
      </c>
      <c r="D139" s="56" t="s">
        <v>13290</v>
      </c>
      <c r="E139" s="10" t="s">
        <v>65</v>
      </c>
      <c r="F139" s="10" t="s">
        <v>13291</v>
      </c>
      <c r="G139" s="10" t="s">
        <v>22010</v>
      </c>
      <c r="H139" s="10" t="s">
        <v>10777</v>
      </c>
      <c r="I139" s="10" t="s">
        <v>55</v>
      </c>
      <c r="J139" s="10" t="s">
        <v>2609</v>
      </c>
      <c r="K139" s="10" t="s">
        <v>22304</v>
      </c>
      <c r="L139" s="10" t="s">
        <v>42</v>
      </c>
    </row>
    <row r="140" ht="15.75" customHeight="1">
      <c r="A140" s="64">
        <v>45483.0</v>
      </c>
      <c r="B140" s="55" t="str">
        <f>HYPERLINK("https://jobright.ai/jobs/info/668f41e2e74ffdb5b626194e?utm_campaign=1056&amp;utm_source=sheet", "Apply")</f>
        <v>Apply</v>
      </c>
      <c r="C140" s="10" t="s">
        <v>22305</v>
      </c>
      <c r="D140" s="56" t="s">
        <v>22078</v>
      </c>
      <c r="E140" s="10" t="s">
        <v>249</v>
      </c>
      <c r="F140" s="10" t="s">
        <v>1243</v>
      </c>
      <c r="G140" s="10" t="s">
        <v>22010</v>
      </c>
      <c r="H140" s="10" t="s">
        <v>170</v>
      </c>
      <c r="I140" s="10" t="s">
        <v>55</v>
      </c>
      <c r="J140" s="10" t="s">
        <v>22187</v>
      </c>
      <c r="K140" s="10" t="s">
        <v>22306</v>
      </c>
      <c r="L140" s="10" t="s">
        <v>42</v>
      </c>
    </row>
    <row r="141" ht="15.75" customHeight="1">
      <c r="A141" s="64">
        <v>45483.0</v>
      </c>
      <c r="B141" s="55" t="str">
        <f>HYPERLINK("https://jobright.ai/jobs/info/665e4edf5f76255fe4f2c267?utm_campaign=1056&amp;utm_source=sheet", "Apply")</f>
        <v>Apply</v>
      </c>
      <c r="C141" s="10" t="s">
        <v>22307</v>
      </c>
      <c r="D141" s="56" t="s">
        <v>12935</v>
      </c>
      <c r="E141" s="10" t="s">
        <v>65</v>
      </c>
      <c r="F141" s="10" t="s">
        <v>12936</v>
      </c>
      <c r="G141" s="10" t="s">
        <v>22010</v>
      </c>
      <c r="H141" s="10" t="s">
        <v>9486</v>
      </c>
      <c r="I141" s="10" t="s">
        <v>48</v>
      </c>
      <c r="J141" s="10" t="s">
        <v>1165</v>
      </c>
      <c r="K141" s="10" t="s">
        <v>22308</v>
      </c>
      <c r="L141" s="10" t="s">
        <v>42</v>
      </c>
    </row>
    <row r="142" ht="15.75" customHeight="1">
      <c r="A142" s="64">
        <v>45483.0</v>
      </c>
      <c r="B142" s="55" t="str">
        <f>HYPERLINK("https://jobright.ai/jobs/info/669110351275f0d7353dcfc1?utm_campaign=1056&amp;utm_source=sheet", "Apply")</f>
        <v>Apply</v>
      </c>
      <c r="C142" s="10" t="s">
        <v>22309</v>
      </c>
      <c r="D142" s="56" t="s">
        <v>13290</v>
      </c>
      <c r="E142" s="10" t="s">
        <v>65</v>
      </c>
      <c r="F142" s="10" t="s">
        <v>13291</v>
      </c>
      <c r="G142" s="10" t="s">
        <v>22010</v>
      </c>
      <c r="H142" s="10" t="s">
        <v>994</v>
      </c>
      <c r="I142" s="10" t="s">
        <v>55</v>
      </c>
      <c r="J142" s="10" t="s">
        <v>2609</v>
      </c>
      <c r="K142" s="10" t="s">
        <v>22304</v>
      </c>
      <c r="L142" s="10" t="s">
        <v>42</v>
      </c>
    </row>
    <row r="143" ht="15.75" customHeight="1">
      <c r="A143" s="64">
        <v>45483.0</v>
      </c>
      <c r="B143" s="55" t="str">
        <f>HYPERLINK("https://jobright.ai/jobs/info/669110351275f0d7353dcfdc?utm_campaign=1056&amp;utm_source=sheet", "Apply")</f>
        <v>Apply</v>
      </c>
      <c r="C143" s="10" t="s">
        <v>22310</v>
      </c>
      <c r="D143" s="56" t="s">
        <v>13290</v>
      </c>
      <c r="E143" s="10" t="s">
        <v>65</v>
      </c>
      <c r="F143" s="10" t="s">
        <v>13291</v>
      </c>
      <c r="G143" s="10" t="s">
        <v>22010</v>
      </c>
      <c r="H143" s="10" t="s">
        <v>994</v>
      </c>
      <c r="I143" s="10" t="s">
        <v>55</v>
      </c>
      <c r="J143" s="10" t="s">
        <v>2609</v>
      </c>
      <c r="K143" s="10" t="s">
        <v>22311</v>
      </c>
      <c r="L143" s="10" t="s">
        <v>42</v>
      </c>
    </row>
    <row r="144" ht="15.75" customHeight="1">
      <c r="A144" s="64">
        <v>45483.0</v>
      </c>
      <c r="B144" s="55" t="str">
        <f>HYPERLINK("https://jobright.ai/jobs/info/668ec43ac916c3695aa7a2de?utm_campaign=1056&amp;utm_source=sheet", "Apply")</f>
        <v>Apply</v>
      </c>
      <c r="C144" s="10" t="s">
        <v>22312</v>
      </c>
      <c r="D144" s="56" t="s">
        <v>22313</v>
      </c>
      <c r="E144" s="10" t="s">
        <v>71</v>
      </c>
      <c r="F144" s="10" t="s">
        <v>22314</v>
      </c>
      <c r="G144" s="10" t="s">
        <v>22019</v>
      </c>
      <c r="H144" s="10" t="s">
        <v>20054</v>
      </c>
      <c r="I144" s="10" t="s">
        <v>55</v>
      </c>
      <c r="J144" s="10" t="s">
        <v>22315</v>
      </c>
      <c r="K144" s="10" t="s">
        <v>22316</v>
      </c>
      <c r="L144" s="10" t="s">
        <v>42</v>
      </c>
    </row>
    <row r="145" ht="15.75" customHeight="1">
      <c r="A145" s="64">
        <v>45482.0</v>
      </c>
      <c r="B145" s="55" t="str">
        <f>HYPERLINK("https://jobright.ai/jobs/info/668da51a8e1596b65b33b6bc?utm_campaign=1056&amp;utm_source=sheet", "Apply")</f>
        <v>Apply</v>
      </c>
      <c r="C145" s="10" t="s">
        <v>22317</v>
      </c>
      <c r="D145" s="56" t="s">
        <v>1547</v>
      </c>
      <c r="E145" s="10">
        <v>408.0</v>
      </c>
      <c r="G145" s="10" t="s">
        <v>22010</v>
      </c>
      <c r="H145" s="10" t="s">
        <v>170</v>
      </c>
      <c r="I145" s="10" t="s">
        <v>55</v>
      </c>
      <c r="K145" s="10" t="s">
        <v>22318</v>
      </c>
      <c r="L145" s="10" t="s">
        <v>42</v>
      </c>
    </row>
    <row r="146" ht="15.75" customHeight="1">
      <c r="A146" s="64">
        <v>45482.0</v>
      </c>
      <c r="B146" s="55" t="str">
        <f>HYPERLINK("https://jobright.ai/jobs/info/668ebbbff8776ede103d137e?utm_campaign=1056&amp;utm_source=sheet", "Apply")</f>
        <v>Apply</v>
      </c>
      <c r="C146" s="10" t="s">
        <v>22319</v>
      </c>
      <c r="D146" s="56" t="s">
        <v>7075</v>
      </c>
      <c r="E146" s="10" t="s">
        <v>45</v>
      </c>
      <c r="F146" s="10" t="s">
        <v>7076</v>
      </c>
      <c r="G146" s="10" t="s">
        <v>22019</v>
      </c>
      <c r="H146" s="10" t="s">
        <v>2222</v>
      </c>
      <c r="I146" s="10" t="s">
        <v>55</v>
      </c>
      <c r="J146" s="10" t="s">
        <v>6311</v>
      </c>
      <c r="K146" s="10" t="s">
        <v>22320</v>
      </c>
      <c r="L146" s="10" t="s">
        <v>42</v>
      </c>
    </row>
    <row r="147" ht="15.75" customHeight="1">
      <c r="A147" s="64">
        <v>45482.0</v>
      </c>
      <c r="B147" s="55" t="str">
        <f>HYPERLINK("https://jobright.ai/jobs/info/668ffe123d0f271fc1a4a0cd?utm_campaign=1056&amp;utm_source=sheet", "Apply")</f>
        <v>Apply</v>
      </c>
      <c r="C147" s="10" t="s">
        <v>22321</v>
      </c>
      <c r="D147" s="56" t="s">
        <v>13290</v>
      </c>
      <c r="E147" s="10" t="s">
        <v>65</v>
      </c>
      <c r="F147" s="10" t="s">
        <v>13291</v>
      </c>
      <c r="G147" s="10" t="s">
        <v>22010</v>
      </c>
      <c r="H147" s="10" t="s">
        <v>775</v>
      </c>
      <c r="I147" s="10" t="s">
        <v>55</v>
      </c>
      <c r="J147" s="10" t="s">
        <v>2609</v>
      </c>
      <c r="K147" s="10" t="s">
        <v>22322</v>
      </c>
      <c r="L147" s="10" t="s">
        <v>42</v>
      </c>
    </row>
    <row r="148" ht="15.75" customHeight="1">
      <c r="A148" s="64">
        <v>45482.0</v>
      </c>
      <c r="B148" s="55" t="str">
        <f>HYPERLINK("https://jobright.ai/jobs/info/668fef8e4a16829a49be6f2e?utm_campaign=1056&amp;utm_source=sheet", "Apply")</f>
        <v>Apply</v>
      </c>
      <c r="C148" s="10" t="s">
        <v>22323</v>
      </c>
      <c r="D148" s="56" t="s">
        <v>2033</v>
      </c>
      <c r="E148" s="10" t="s">
        <v>209</v>
      </c>
      <c r="F148" s="10" t="s">
        <v>2034</v>
      </c>
      <c r="G148" s="10" t="s">
        <v>22019</v>
      </c>
      <c r="H148" s="10" t="s">
        <v>86</v>
      </c>
      <c r="I148" s="10" t="s">
        <v>55</v>
      </c>
      <c r="J148" s="10" t="s">
        <v>1608</v>
      </c>
      <c r="K148" s="10" t="s">
        <v>2035</v>
      </c>
      <c r="L148" s="10" t="s">
        <v>42</v>
      </c>
    </row>
    <row r="149" ht="15.75" customHeight="1">
      <c r="A149" s="64">
        <v>45482.0</v>
      </c>
      <c r="B149" s="55" t="str">
        <f>HYPERLINK("https://jobright.ai/jobs/info/668fdb8922cfeb6ebf476ebe?utm_campaign=1056&amp;utm_source=sheet", "Apply")</f>
        <v>Apply</v>
      </c>
      <c r="C149" s="10" t="s">
        <v>22324</v>
      </c>
      <c r="D149" s="56" t="s">
        <v>22325</v>
      </c>
      <c r="E149" s="10" t="s">
        <v>71</v>
      </c>
      <c r="F149" s="10" t="s">
        <v>22326</v>
      </c>
      <c r="G149" s="10" t="s">
        <v>22019</v>
      </c>
      <c r="H149" s="10" t="s">
        <v>170</v>
      </c>
      <c r="I149" s="10" t="s">
        <v>55</v>
      </c>
      <c r="J149" s="10" t="s">
        <v>1984</v>
      </c>
      <c r="K149" s="10" t="s">
        <v>22327</v>
      </c>
      <c r="L149" s="10" t="s">
        <v>42</v>
      </c>
    </row>
    <row r="150" ht="15.75" customHeight="1">
      <c r="A150" s="64">
        <v>45482.0</v>
      </c>
      <c r="B150" s="55" t="str">
        <f>HYPERLINK("https://jobright.ai/jobs/info/668fc560faac50243ea71c2d?utm_campaign=1056&amp;utm_source=sheet", "Apply")</f>
        <v>Apply</v>
      </c>
      <c r="C150" s="10" t="s">
        <v>22328</v>
      </c>
      <c r="D150" s="56" t="s">
        <v>22325</v>
      </c>
      <c r="E150" s="10" t="s">
        <v>71</v>
      </c>
      <c r="F150" s="10" t="s">
        <v>22326</v>
      </c>
      <c r="G150" s="10" t="s">
        <v>22019</v>
      </c>
      <c r="H150" s="10" t="s">
        <v>170</v>
      </c>
      <c r="I150" s="10" t="s">
        <v>55</v>
      </c>
      <c r="J150" s="10" t="s">
        <v>1984</v>
      </c>
      <c r="K150" s="10" t="s">
        <v>22329</v>
      </c>
      <c r="L150" s="10" t="s">
        <v>42</v>
      </c>
    </row>
    <row r="151" ht="15.75" customHeight="1">
      <c r="A151" s="64">
        <v>45482.0</v>
      </c>
      <c r="B151" s="55" t="str">
        <f>HYPERLINK("https://jobright.ai/jobs/info/668cb6f5c5aa0957f9001bcd?utm_campaign=1056&amp;utm_source=sheet", "Apply")</f>
        <v>Apply</v>
      </c>
      <c r="C151" s="10" t="s">
        <v>22330</v>
      </c>
      <c r="D151" s="56" t="s">
        <v>14834</v>
      </c>
      <c r="E151" s="10" t="s">
        <v>79</v>
      </c>
      <c r="F151" s="10" t="s">
        <v>3035</v>
      </c>
      <c r="G151" s="10" t="s">
        <v>22010</v>
      </c>
      <c r="H151" s="10" t="s">
        <v>170</v>
      </c>
      <c r="I151" s="10" t="s">
        <v>55</v>
      </c>
      <c r="J151" s="10" t="s">
        <v>14835</v>
      </c>
      <c r="K151" s="10" t="s">
        <v>22331</v>
      </c>
      <c r="L151" s="10" t="s">
        <v>42</v>
      </c>
    </row>
    <row r="152" ht="15.75" customHeight="1">
      <c r="A152" s="64">
        <v>45482.0</v>
      </c>
      <c r="B152" s="55" t="str">
        <f>HYPERLINK("https://jobright.ai/jobs/info/668df38e2b910e4ba4c109a5?utm_campaign=1056&amp;utm_source=sheet", "Apply")</f>
        <v>Apply</v>
      </c>
      <c r="C152" s="10" t="s">
        <v>22332</v>
      </c>
      <c r="D152" s="56" t="s">
        <v>4152</v>
      </c>
      <c r="E152" s="10" t="s">
        <v>249</v>
      </c>
      <c r="F152" s="10" t="s">
        <v>1587</v>
      </c>
      <c r="G152" s="10" t="s">
        <v>22010</v>
      </c>
      <c r="H152" s="10" t="s">
        <v>1007</v>
      </c>
      <c r="I152" s="10" t="s">
        <v>48</v>
      </c>
      <c r="J152" s="10" t="s">
        <v>1984</v>
      </c>
      <c r="K152" s="10" t="s">
        <v>22333</v>
      </c>
      <c r="L152" s="10" t="s">
        <v>42</v>
      </c>
    </row>
    <row r="153" ht="15.75" customHeight="1">
      <c r="A153" s="64">
        <v>45482.0</v>
      </c>
      <c r="B153" s="55" t="str">
        <f>HYPERLINK("https://jobright.ai/jobs/info/668df3832b910e4ba4c1099c?utm_campaign=1056&amp;utm_source=sheet", "Apply")</f>
        <v>Apply</v>
      </c>
      <c r="C153" s="10" t="s">
        <v>22334</v>
      </c>
      <c r="D153" s="56" t="s">
        <v>4152</v>
      </c>
      <c r="E153" s="10" t="s">
        <v>249</v>
      </c>
      <c r="F153" s="10" t="s">
        <v>1587</v>
      </c>
      <c r="G153" s="10" t="s">
        <v>22010</v>
      </c>
      <c r="H153" s="10" t="s">
        <v>146</v>
      </c>
      <c r="I153" s="10" t="s">
        <v>55</v>
      </c>
      <c r="J153" s="10" t="s">
        <v>6311</v>
      </c>
      <c r="K153" s="10" t="s">
        <v>22335</v>
      </c>
      <c r="L153" s="10" t="s">
        <v>42</v>
      </c>
    </row>
    <row r="154" ht="15.75" customHeight="1">
      <c r="A154" s="64">
        <v>45481.0</v>
      </c>
      <c r="B154" s="55" t="str">
        <f>HYPERLINK("https://jobright.ai/jobs/info/668c8696be2c6384db57e255?utm_campaign=1056&amp;utm_source=sheet", "Apply")</f>
        <v>Apply</v>
      </c>
      <c r="C154" s="10" t="s">
        <v>22336</v>
      </c>
      <c r="D154" s="56" t="s">
        <v>22337</v>
      </c>
      <c r="E154" s="10" t="s">
        <v>79</v>
      </c>
      <c r="F154" s="10" t="s">
        <v>22338</v>
      </c>
      <c r="G154" s="10" t="s">
        <v>22019</v>
      </c>
      <c r="H154" s="10" t="s">
        <v>1013</v>
      </c>
      <c r="I154" s="10" t="s">
        <v>55</v>
      </c>
      <c r="K154" s="10" t="s">
        <v>22339</v>
      </c>
      <c r="L154" s="10" t="s">
        <v>42</v>
      </c>
    </row>
    <row r="155" ht="15.75" customHeight="1">
      <c r="A155" s="64">
        <v>45481.0</v>
      </c>
      <c r="B155" s="55" t="str">
        <f>HYPERLINK("https://jobright.ai/jobs/info/668c6182980e9b9331fff25d?utm_campaign=1056&amp;utm_source=sheet", "Apply")</f>
        <v>Apply</v>
      </c>
      <c r="C155" s="10" t="s">
        <v>22340</v>
      </c>
      <c r="D155" s="56" t="s">
        <v>22341</v>
      </c>
      <c r="E155" s="10" t="s">
        <v>79</v>
      </c>
      <c r="F155" s="10" t="s">
        <v>22342</v>
      </c>
      <c r="G155" s="10" t="s">
        <v>22010</v>
      </c>
      <c r="H155" s="10" t="s">
        <v>6506</v>
      </c>
      <c r="I155" s="10" t="s">
        <v>48</v>
      </c>
      <c r="K155" s="10" t="s">
        <v>22343</v>
      </c>
      <c r="L155" s="10" t="s">
        <v>42</v>
      </c>
    </row>
    <row r="156" ht="15.75" customHeight="1">
      <c r="A156" s="64">
        <v>45481.0</v>
      </c>
      <c r="B156" s="55" t="str">
        <f>HYPERLINK("https://jobright.ai/jobs/info/668d0eb75c1b1ddc8b19369d?utm_campaign=1056&amp;utm_source=sheet", "Apply")</f>
        <v>Apply</v>
      </c>
      <c r="C156" s="10" t="s">
        <v>22344</v>
      </c>
      <c r="D156" s="56" t="s">
        <v>2033</v>
      </c>
      <c r="E156" s="10" t="s">
        <v>209</v>
      </c>
      <c r="F156" s="10" t="s">
        <v>2034</v>
      </c>
      <c r="G156" s="10" t="s">
        <v>22019</v>
      </c>
      <c r="H156" s="10" t="s">
        <v>86</v>
      </c>
      <c r="I156" s="10" t="s">
        <v>55</v>
      </c>
      <c r="J156" s="10" t="s">
        <v>1608</v>
      </c>
      <c r="K156" s="10" t="s">
        <v>2035</v>
      </c>
      <c r="L156" s="10" t="s">
        <v>42</v>
      </c>
    </row>
    <row r="157" ht="15.75" customHeight="1">
      <c r="A157" s="64">
        <v>45481.0</v>
      </c>
      <c r="B157" s="55" t="str">
        <f>HYPERLINK("https://jobright.ai/jobs/info/668d0eb75c1b1ddc8b1936a5?utm_campaign=1056&amp;utm_source=sheet", "Apply")</f>
        <v>Apply</v>
      </c>
      <c r="C157" s="10" t="s">
        <v>22345</v>
      </c>
      <c r="D157" s="56" t="s">
        <v>2033</v>
      </c>
      <c r="E157" s="10" t="s">
        <v>209</v>
      </c>
      <c r="F157" s="10" t="s">
        <v>2034</v>
      </c>
      <c r="G157" s="10" t="s">
        <v>22019</v>
      </c>
      <c r="H157" s="10" t="s">
        <v>86</v>
      </c>
      <c r="I157" s="10" t="s">
        <v>55</v>
      </c>
      <c r="J157" s="10" t="s">
        <v>1960</v>
      </c>
      <c r="K157" s="10" t="s">
        <v>2035</v>
      </c>
      <c r="L157" s="10" t="s">
        <v>42</v>
      </c>
    </row>
    <row r="158" ht="15.75" customHeight="1">
      <c r="A158" s="64">
        <v>45481.0</v>
      </c>
      <c r="B158" s="55" t="str">
        <f>HYPERLINK("https://jobright.ai/jobs/info/668d0ebf5c1b1ddc8b193705?utm_campaign=1056&amp;utm_source=sheet", "Apply")</f>
        <v>Apply</v>
      </c>
      <c r="C158" s="10" t="s">
        <v>22346</v>
      </c>
      <c r="D158" s="56" t="s">
        <v>2033</v>
      </c>
      <c r="E158" s="10" t="s">
        <v>209</v>
      </c>
      <c r="F158" s="10" t="s">
        <v>2034</v>
      </c>
      <c r="G158" s="10" t="s">
        <v>22010</v>
      </c>
      <c r="H158" s="10" t="s">
        <v>86</v>
      </c>
      <c r="I158" s="10" t="s">
        <v>55</v>
      </c>
      <c r="J158" s="10" t="s">
        <v>1960</v>
      </c>
      <c r="K158" s="10" t="s">
        <v>2035</v>
      </c>
      <c r="L158" s="10" t="s">
        <v>42</v>
      </c>
    </row>
    <row r="159" ht="15.75" customHeight="1">
      <c r="A159" s="64">
        <v>45481.0</v>
      </c>
      <c r="B159" s="55" t="str">
        <f>HYPERLINK("https://jobright.ai/jobs/info/668c18879ed01f6719df3127?utm_campaign=1056&amp;utm_source=sheet", "Apply")</f>
        <v>Apply</v>
      </c>
      <c r="C159" s="10" t="s">
        <v>22347</v>
      </c>
      <c r="D159" s="56" t="s">
        <v>3224</v>
      </c>
      <c r="E159" s="10" t="s">
        <v>45</v>
      </c>
      <c r="F159" s="10" t="s">
        <v>3225</v>
      </c>
      <c r="G159" s="10" t="s">
        <v>22010</v>
      </c>
      <c r="H159" s="10" t="s">
        <v>965</v>
      </c>
      <c r="I159" s="10" t="s">
        <v>55</v>
      </c>
      <c r="K159" s="10" t="s">
        <v>22348</v>
      </c>
      <c r="L159" s="10" t="s">
        <v>42</v>
      </c>
    </row>
    <row r="160" ht="15.75" customHeight="1">
      <c r="A160" s="64">
        <v>45481.0</v>
      </c>
      <c r="B160" s="55" t="str">
        <f>HYPERLINK("https://jobright.ai/jobs/info/668be219b7b7df8c7f204970?utm_campaign=1056&amp;utm_source=sheet", "Apply")</f>
        <v>Apply</v>
      </c>
      <c r="C160" s="10" t="s">
        <v>22349</v>
      </c>
      <c r="D160" s="56" t="s">
        <v>2929</v>
      </c>
      <c r="E160" s="10" t="s">
        <v>276</v>
      </c>
      <c r="F160" s="10" t="s">
        <v>2930</v>
      </c>
      <c r="G160" s="10" t="s">
        <v>22010</v>
      </c>
      <c r="H160" s="10" t="s">
        <v>5049</v>
      </c>
      <c r="I160" s="10" t="s">
        <v>55</v>
      </c>
      <c r="K160" s="10" t="s">
        <v>22350</v>
      </c>
      <c r="L160" s="10" t="s">
        <v>42</v>
      </c>
    </row>
    <row r="161" ht="15.75" customHeight="1">
      <c r="A161" s="64">
        <v>45480.0</v>
      </c>
      <c r="B161" s="55" t="str">
        <f>HYPERLINK("https://jobright.ai/jobs/info/669d0f0d882781b0ee6b9718?utm_campaign=1056&amp;utm_source=sheet", "Apply")</f>
        <v>Apply</v>
      </c>
      <c r="C161" s="10" t="s">
        <v>22351</v>
      </c>
      <c r="D161" s="56" t="s">
        <v>1650</v>
      </c>
      <c r="E161" s="10" t="s">
        <v>209</v>
      </c>
      <c r="F161" s="10" t="s">
        <v>1243</v>
      </c>
      <c r="G161" s="10" t="s">
        <v>22019</v>
      </c>
      <c r="H161" s="10" t="s">
        <v>898</v>
      </c>
      <c r="I161" s="10" t="s">
        <v>55</v>
      </c>
      <c r="K161" s="10" t="s">
        <v>22352</v>
      </c>
      <c r="L161" s="10" t="s">
        <v>42</v>
      </c>
    </row>
    <row r="162" ht="15.75" customHeight="1">
      <c r="A162" s="64">
        <v>45479.0</v>
      </c>
      <c r="B162" s="55" t="str">
        <f>HYPERLINK("https://jobright.ai/jobs/info/66897ea01b148f8fe85e13ad?utm_campaign=1056&amp;utm_source=sheet", "Apply")</f>
        <v>Apply</v>
      </c>
      <c r="C162" s="10" t="s">
        <v>9070</v>
      </c>
      <c r="D162" s="56" t="s">
        <v>2220</v>
      </c>
      <c r="E162" s="10" t="s">
        <v>45</v>
      </c>
      <c r="F162" s="10" t="s">
        <v>2221</v>
      </c>
      <c r="G162" s="10" t="s">
        <v>22019</v>
      </c>
      <c r="H162" s="10" t="s">
        <v>6620</v>
      </c>
      <c r="I162" s="10" t="s">
        <v>55</v>
      </c>
      <c r="K162" s="10" t="s">
        <v>7614</v>
      </c>
      <c r="L162" s="10" t="s">
        <v>42</v>
      </c>
    </row>
    <row r="163" ht="15.75" customHeight="1">
      <c r="A163" s="64">
        <v>45479.0</v>
      </c>
      <c r="B163" s="55" t="str">
        <f>HYPERLINK("https://jobright.ai/jobs/info/6688ed882642e88351c6378a?utm_campaign=1056&amp;utm_source=sheet", "Apply")</f>
        <v>Apply</v>
      </c>
      <c r="C163" s="10" t="s">
        <v>22353</v>
      </c>
      <c r="D163" s="56" t="s">
        <v>22354</v>
      </c>
      <c r="E163" s="10" t="s">
        <v>276</v>
      </c>
      <c r="F163" s="10" t="s">
        <v>22355</v>
      </c>
      <c r="G163" s="10" t="s">
        <v>22010</v>
      </c>
      <c r="H163" s="10" t="s">
        <v>170</v>
      </c>
      <c r="I163" s="10" t="s">
        <v>55</v>
      </c>
      <c r="J163" s="10" t="s">
        <v>1873</v>
      </c>
      <c r="K163" s="10" t="s">
        <v>22356</v>
      </c>
      <c r="L163" s="10" t="s">
        <v>42</v>
      </c>
    </row>
    <row r="164" ht="15.75" customHeight="1">
      <c r="A164" s="64">
        <v>45478.0</v>
      </c>
      <c r="B164" s="55" t="str">
        <f>HYPERLINK("https://jobright.ai/jobs/info/6688960867360f9e244e511c?utm_campaign=1056&amp;utm_source=sheet", "Apply")</f>
        <v>Apply</v>
      </c>
      <c r="C164" s="10" t="s">
        <v>22353</v>
      </c>
      <c r="D164" s="56" t="s">
        <v>22357</v>
      </c>
      <c r="E164" s="10" t="s">
        <v>79</v>
      </c>
      <c r="F164" s="10" t="s">
        <v>18220</v>
      </c>
      <c r="G164" s="10" t="s">
        <v>22010</v>
      </c>
      <c r="H164" s="10" t="s">
        <v>170</v>
      </c>
      <c r="I164" s="10" t="s">
        <v>55</v>
      </c>
      <c r="J164" s="10" t="s">
        <v>1873</v>
      </c>
      <c r="K164" s="10" t="s">
        <v>22356</v>
      </c>
      <c r="L164" s="10" t="s">
        <v>42</v>
      </c>
    </row>
    <row r="165" ht="15.75" customHeight="1">
      <c r="A165" s="64">
        <v>45478.0</v>
      </c>
      <c r="B165" s="55" t="str">
        <f>HYPERLINK("https://jobright.ai/jobs/info/667f92712488661739464945?utm_campaign=1056&amp;utm_source=sheet", "Apply")</f>
        <v>Apply</v>
      </c>
      <c r="C165" s="10" t="s">
        <v>22358</v>
      </c>
      <c r="D165" s="56" t="s">
        <v>22128</v>
      </c>
      <c r="E165" s="10" t="s">
        <v>71</v>
      </c>
      <c r="F165" s="10" t="s">
        <v>10</v>
      </c>
      <c r="G165" s="10" t="s">
        <v>22010</v>
      </c>
      <c r="H165" s="10" t="s">
        <v>170</v>
      </c>
      <c r="I165" s="10" t="s">
        <v>55</v>
      </c>
      <c r="K165" s="10" t="s">
        <v>22359</v>
      </c>
      <c r="L165" s="10" t="s">
        <v>42</v>
      </c>
    </row>
    <row r="166" ht="15.75" customHeight="1">
      <c r="A166" s="64">
        <v>45477.0</v>
      </c>
      <c r="B166" s="55" t="str">
        <f>HYPERLINK("https://jobright.ai/jobs/info/6683db5c625fa30e1ace526b?utm_campaign=1056&amp;utm_source=sheet", "Apply")</f>
        <v>Apply</v>
      </c>
      <c r="C166" s="10" t="s">
        <v>22360</v>
      </c>
      <c r="D166" s="56" t="s">
        <v>22361</v>
      </c>
      <c r="E166" s="10" t="s">
        <v>45</v>
      </c>
      <c r="F166" s="10" t="s">
        <v>1234</v>
      </c>
      <c r="G166" s="10" t="s">
        <v>22019</v>
      </c>
      <c r="H166" s="10" t="s">
        <v>578</v>
      </c>
      <c r="I166" s="10" t="s">
        <v>48</v>
      </c>
      <c r="J166" s="10" t="s">
        <v>22362</v>
      </c>
      <c r="K166" s="10" t="s">
        <v>22363</v>
      </c>
      <c r="L166" s="10" t="s">
        <v>42</v>
      </c>
    </row>
    <row r="167" ht="15.75" customHeight="1">
      <c r="A167" s="64">
        <v>45477.0</v>
      </c>
      <c r="B167" s="55" t="str">
        <f>HYPERLINK("https://jobright.ai/jobs/info/66865e2cc643246d6143390d?utm_campaign=1056&amp;utm_source=sheet", "Apply")</f>
        <v>Apply</v>
      </c>
      <c r="C167" s="10" t="s">
        <v>22106</v>
      </c>
      <c r="D167" s="56" t="s">
        <v>22364</v>
      </c>
      <c r="E167" s="10" t="s">
        <v>249</v>
      </c>
      <c r="F167" s="10" t="s">
        <v>22365</v>
      </c>
      <c r="G167" s="10" t="s">
        <v>22010</v>
      </c>
      <c r="H167" s="10" t="s">
        <v>22366</v>
      </c>
      <c r="I167" s="10" t="s">
        <v>48</v>
      </c>
      <c r="K167" s="10" t="s">
        <v>22367</v>
      </c>
      <c r="L167" s="10" t="s">
        <v>42</v>
      </c>
    </row>
    <row r="168" ht="15.75" customHeight="1">
      <c r="A168" s="64">
        <v>45476.0</v>
      </c>
      <c r="B168" s="55" t="str">
        <f>HYPERLINK("https://jobright.ai/jobs/info/66850c7284687438a148327d?utm_campaign=1056&amp;utm_source=sheet", "Apply")</f>
        <v>Apply</v>
      </c>
      <c r="C168" s="10" t="s">
        <v>22360</v>
      </c>
      <c r="D168" s="56" t="s">
        <v>22368</v>
      </c>
      <c r="E168" s="10" t="s">
        <v>79</v>
      </c>
      <c r="F168" s="10" t="s">
        <v>22369</v>
      </c>
      <c r="G168" s="10" t="s">
        <v>22019</v>
      </c>
      <c r="H168" s="10" t="s">
        <v>578</v>
      </c>
      <c r="I168" s="10" t="s">
        <v>48</v>
      </c>
      <c r="J168" s="10" t="s">
        <v>22362</v>
      </c>
      <c r="K168" s="10" t="s">
        <v>22370</v>
      </c>
      <c r="L168" s="10" t="s">
        <v>42</v>
      </c>
    </row>
    <row r="169" ht="15.75" customHeight="1">
      <c r="A169" s="64">
        <v>45476.0</v>
      </c>
      <c r="B169" s="55" t="str">
        <f>HYPERLINK("https://jobright.ai/jobs/info/667f22dc0dd968ff61cf1d40?utm_campaign=1056&amp;utm_source=sheet", "Apply")</f>
        <v>Apply</v>
      </c>
      <c r="C169" s="10" t="s">
        <v>4738</v>
      </c>
      <c r="D169" s="56" t="s">
        <v>22371</v>
      </c>
      <c r="E169" s="10" t="s">
        <v>65</v>
      </c>
      <c r="F169" s="10" t="s">
        <v>5637</v>
      </c>
      <c r="G169" s="10" t="s">
        <v>22019</v>
      </c>
      <c r="H169" s="10" t="s">
        <v>965</v>
      </c>
      <c r="I169" s="10" t="s">
        <v>55</v>
      </c>
      <c r="K169" s="10" t="s">
        <v>22372</v>
      </c>
      <c r="L169" s="10" t="s">
        <v>42</v>
      </c>
    </row>
    <row r="170" ht="15.75" customHeight="1">
      <c r="A170" s="64">
        <v>45475.0</v>
      </c>
      <c r="B170" s="55" t="str">
        <f>HYPERLINK("https://jobright.ai/jobs/info/667e48bfa3378dce21400df3?utm_campaign=1056&amp;utm_source=sheet", "Apply")</f>
        <v>Apply</v>
      </c>
      <c r="C170" s="10" t="s">
        <v>22373</v>
      </c>
      <c r="D170" s="56" t="s">
        <v>1650</v>
      </c>
      <c r="E170" s="10" t="s">
        <v>209</v>
      </c>
      <c r="F170" s="10" t="s">
        <v>1243</v>
      </c>
      <c r="G170" s="10" t="s">
        <v>22019</v>
      </c>
      <c r="H170" s="10" t="s">
        <v>898</v>
      </c>
      <c r="I170" s="10" t="s">
        <v>55</v>
      </c>
      <c r="K170" s="10" t="s">
        <v>22374</v>
      </c>
      <c r="L170" s="10" t="s">
        <v>42</v>
      </c>
    </row>
    <row r="171" ht="15.75" customHeight="1">
      <c r="A171" s="64">
        <v>45475.0</v>
      </c>
      <c r="B171" s="55" t="str">
        <f>HYPERLINK("https://jobright.ai/jobs/info/667e5c6ef6a81203f1946eac?utm_campaign=1056&amp;utm_source=sheet", "Apply")</f>
        <v>Apply</v>
      </c>
      <c r="C171" s="10" t="s">
        <v>22375</v>
      </c>
      <c r="D171" s="56" t="s">
        <v>1650</v>
      </c>
      <c r="E171" s="10" t="s">
        <v>209</v>
      </c>
      <c r="F171" s="10" t="s">
        <v>1243</v>
      </c>
      <c r="G171" s="10" t="s">
        <v>22019</v>
      </c>
      <c r="H171" s="10" t="s">
        <v>898</v>
      </c>
      <c r="I171" s="10" t="s">
        <v>48</v>
      </c>
      <c r="K171" s="10" t="s">
        <v>22376</v>
      </c>
      <c r="L171" s="10" t="s">
        <v>42</v>
      </c>
    </row>
    <row r="172" ht="15.75" customHeight="1">
      <c r="A172" s="64">
        <v>45475.0</v>
      </c>
      <c r="B172" s="55" t="str">
        <f>HYPERLINK("https://jobright.ai/jobs/info/668d3bdcf0ea4d8212b0bb57?utm_campaign=1056&amp;utm_source=sheet", "Apply")</f>
        <v>Apply</v>
      </c>
      <c r="C172" s="10" t="s">
        <v>15092</v>
      </c>
      <c r="D172" s="56" t="s">
        <v>1178</v>
      </c>
      <c r="E172" s="10" t="s">
        <v>137</v>
      </c>
      <c r="F172" s="10" t="s">
        <v>1179</v>
      </c>
      <c r="G172" s="10" t="s">
        <v>22019</v>
      </c>
      <c r="H172" s="10" t="s">
        <v>1254</v>
      </c>
      <c r="I172" s="10" t="s">
        <v>48</v>
      </c>
      <c r="K172" s="10" t="s">
        <v>22377</v>
      </c>
      <c r="L172" s="10" t="s">
        <v>42</v>
      </c>
    </row>
    <row r="173" ht="15.75" customHeight="1">
      <c r="A173" s="64">
        <v>45475.0</v>
      </c>
      <c r="B173" s="55" t="str">
        <f>HYPERLINK("https://jobright.ai/jobs/info/668d3be6f0ea4d8212b0bb6d?utm_campaign=1056&amp;utm_source=sheet", "Apply")</f>
        <v>Apply</v>
      </c>
      <c r="C173" s="10" t="s">
        <v>22378</v>
      </c>
      <c r="D173" s="56" t="s">
        <v>1178</v>
      </c>
      <c r="E173" s="10" t="s">
        <v>137</v>
      </c>
      <c r="F173" s="10" t="s">
        <v>1179</v>
      </c>
      <c r="G173" s="10" t="s">
        <v>22010</v>
      </c>
      <c r="H173" s="10" t="s">
        <v>1254</v>
      </c>
      <c r="I173" s="10" t="s">
        <v>48</v>
      </c>
      <c r="K173" s="10" t="s">
        <v>22379</v>
      </c>
      <c r="L173" s="10" t="s">
        <v>42</v>
      </c>
    </row>
    <row r="174" ht="15.75" customHeight="1">
      <c r="A174" s="64">
        <v>45475.0</v>
      </c>
      <c r="B174" s="55" t="str">
        <f>HYPERLINK("https://jobright.ai/jobs/info/668d1d3fc3edd97e56c82fa1?utm_campaign=1056&amp;utm_source=sheet", "Apply")</f>
        <v>Apply</v>
      </c>
      <c r="C174" s="10" t="s">
        <v>22380</v>
      </c>
      <c r="D174" s="56" t="s">
        <v>1178</v>
      </c>
      <c r="E174" s="10" t="s">
        <v>137</v>
      </c>
      <c r="F174" s="10" t="s">
        <v>1179</v>
      </c>
      <c r="G174" s="10" t="s">
        <v>22010</v>
      </c>
      <c r="H174" s="10" t="s">
        <v>1254</v>
      </c>
      <c r="I174" s="10" t="s">
        <v>55</v>
      </c>
      <c r="K174" s="10" t="s">
        <v>22381</v>
      </c>
      <c r="L174" s="10" t="s">
        <v>42</v>
      </c>
    </row>
    <row r="175" ht="15.75" customHeight="1">
      <c r="A175" s="64">
        <v>45475.0</v>
      </c>
      <c r="B175" s="55" t="str">
        <f>HYPERLINK("https://jobright.ai/jobs/info/66844f7e6a395e43666f6aa9?utm_campaign=1056&amp;utm_source=sheet", "Apply")</f>
        <v>Apply</v>
      </c>
      <c r="C175" s="10" t="s">
        <v>22382</v>
      </c>
      <c r="D175" s="56" t="s">
        <v>22383</v>
      </c>
      <c r="E175" s="10" t="s">
        <v>65</v>
      </c>
      <c r="F175" s="10" t="s">
        <v>20076</v>
      </c>
      <c r="G175" s="10" t="s">
        <v>22019</v>
      </c>
      <c r="H175" s="10" t="s">
        <v>22384</v>
      </c>
      <c r="I175" s="10" t="s">
        <v>55</v>
      </c>
      <c r="K175" s="10" t="s">
        <v>22385</v>
      </c>
      <c r="L175" s="10" t="s">
        <v>42</v>
      </c>
    </row>
    <row r="176" ht="15.75" customHeight="1">
      <c r="A176" s="64">
        <v>45475.0</v>
      </c>
      <c r="B176" s="55" t="str">
        <f>HYPERLINK("https://jobright.ai/jobs/info/66846c462041012e804566d5?utm_campaign=1056&amp;utm_source=sheet", "Apply")</f>
        <v>Apply</v>
      </c>
      <c r="C176" s="10" t="s">
        <v>22386</v>
      </c>
      <c r="D176" s="56" t="s">
        <v>4152</v>
      </c>
      <c r="E176" s="10" t="s">
        <v>249</v>
      </c>
      <c r="F176" s="10" t="s">
        <v>1587</v>
      </c>
      <c r="G176" s="10" t="s">
        <v>22010</v>
      </c>
      <c r="H176" s="10" t="s">
        <v>170</v>
      </c>
      <c r="I176" s="10" t="s">
        <v>55</v>
      </c>
      <c r="J176" s="10" t="s">
        <v>9980</v>
      </c>
      <c r="K176" s="10" t="s">
        <v>22387</v>
      </c>
      <c r="L176" s="10" t="s">
        <v>42</v>
      </c>
    </row>
    <row r="177" ht="15.75" customHeight="1">
      <c r="A177" s="64">
        <v>45474.0</v>
      </c>
      <c r="B177" s="55" t="str">
        <f>HYPERLINK("https://jobright.ai/jobs/info/667a5f97a947af64b41582e3?utm_campaign=1056&amp;utm_source=sheet", "Apply")</f>
        <v>Apply</v>
      </c>
      <c r="C177" s="10" t="s">
        <v>22388</v>
      </c>
      <c r="D177" s="56" t="s">
        <v>7830</v>
      </c>
      <c r="E177" s="10" t="s">
        <v>249</v>
      </c>
      <c r="F177" s="10" t="s">
        <v>3906</v>
      </c>
      <c r="G177" s="10" t="s">
        <v>22010</v>
      </c>
      <c r="H177" s="10" t="s">
        <v>96</v>
      </c>
      <c r="I177" s="10" t="s">
        <v>55</v>
      </c>
      <c r="J177" s="10" t="s">
        <v>3979</v>
      </c>
      <c r="K177" s="10" t="s">
        <v>22389</v>
      </c>
      <c r="L177" s="10" t="s">
        <v>42</v>
      </c>
    </row>
    <row r="178" ht="15.75" customHeight="1">
      <c r="A178" s="64">
        <v>45474.0</v>
      </c>
      <c r="B178" s="55" t="str">
        <f>HYPERLINK("https://jobright.ai/jobs/info/6683386ab5752eff96c7a426?utm_campaign=1056&amp;utm_source=sheet", "Apply")</f>
        <v>Apply</v>
      </c>
      <c r="C178" s="10" t="s">
        <v>22390</v>
      </c>
      <c r="D178" s="56" t="s">
        <v>22391</v>
      </c>
      <c r="E178" s="10">
        <v>303.0</v>
      </c>
      <c r="G178" s="10" t="s">
        <v>22019</v>
      </c>
      <c r="H178" s="10" t="s">
        <v>921</v>
      </c>
      <c r="I178" s="10" t="s">
        <v>55</v>
      </c>
      <c r="K178" s="10" t="s">
        <v>22392</v>
      </c>
      <c r="L178" s="10" t="s">
        <v>42</v>
      </c>
    </row>
    <row r="179" ht="15.75" customHeight="1">
      <c r="A179" s="64">
        <v>45474.0</v>
      </c>
      <c r="B179" s="55" t="str">
        <f>HYPERLINK("https://jobright.ai/jobs/info/668321a0a46d7cc415a6e3b8?utm_campaign=1056&amp;utm_source=sheet", "Apply")</f>
        <v>Apply</v>
      </c>
      <c r="C179" s="10" t="s">
        <v>22390</v>
      </c>
      <c r="D179" s="56" t="s">
        <v>22391</v>
      </c>
      <c r="E179" s="10">
        <v>303.0</v>
      </c>
      <c r="G179" s="10" t="s">
        <v>22019</v>
      </c>
      <c r="H179" s="10" t="s">
        <v>7747</v>
      </c>
      <c r="I179" s="10" t="s">
        <v>55</v>
      </c>
      <c r="K179" s="10" t="s">
        <v>22392</v>
      </c>
      <c r="L179" s="10" t="s">
        <v>42</v>
      </c>
    </row>
    <row r="180" ht="15.75" customHeight="1">
      <c r="A180" s="64">
        <v>45474.0</v>
      </c>
      <c r="B180" s="55" t="str">
        <f>HYPERLINK("https://jobright.ai/jobs/info/6683318e8dbe7d280774bcba?utm_campaign=1056&amp;utm_source=sheet", "Apply")</f>
        <v>Apply</v>
      </c>
      <c r="C180" s="10" t="s">
        <v>22390</v>
      </c>
      <c r="D180" s="56" t="s">
        <v>22391</v>
      </c>
      <c r="E180" s="10">
        <v>303.0</v>
      </c>
      <c r="G180" s="10" t="s">
        <v>22019</v>
      </c>
      <c r="H180" s="10" t="s">
        <v>22393</v>
      </c>
      <c r="I180" s="10" t="s">
        <v>55</v>
      </c>
      <c r="K180" s="10" t="s">
        <v>22392</v>
      </c>
      <c r="L180" s="10" t="s">
        <v>42</v>
      </c>
    </row>
    <row r="181" ht="15.75" customHeight="1">
      <c r="A181" s="64">
        <v>45474.0</v>
      </c>
      <c r="B181" s="55" t="str">
        <f>HYPERLINK("https://jobright.ai/jobs/info/6683318e8dbe7d280774bcbc?utm_campaign=1056&amp;utm_source=sheet", "Apply")</f>
        <v>Apply</v>
      </c>
      <c r="C181" s="10" t="s">
        <v>22390</v>
      </c>
      <c r="D181" s="56" t="s">
        <v>22391</v>
      </c>
      <c r="E181" s="10">
        <v>303.0</v>
      </c>
      <c r="G181" s="10" t="s">
        <v>22019</v>
      </c>
      <c r="H181" s="10" t="s">
        <v>794</v>
      </c>
      <c r="I181" s="10" t="s">
        <v>55</v>
      </c>
      <c r="K181" s="10" t="s">
        <v>22392</v>
      </c>
      <c r="L181" s="10" t="s">
        <v>42</v>
      </c>
    </row>
    <row r="182" ht="15.75" customHeight="1">
      <c r="A182" s="64">
        <v>45474.0</v>
      </c>
      <c r="B182" s="55" t="str">
        <f>HYPERLINK("https://jobright.ai/jobs/info/668321aaa46d7cc415a6e442?utm_campaign=1056&amp;utm_source=sheet", "Apply")</f>
        <v>Apply</v>
      </c>
      <c r="C182" s="10" t="s">
        <v>22390</v>
      </c>
      <c r="D182" s="56" t="s">
        <v>22391</v>
      </c>
      <c r="E182" s="10">
        <v>303.0</v>
      </c>
      <c r="G182" s="10" t="s">
        <v>22019</v>
      </c>
      <c r="H182" s="10" t="s">
        <v>16715</v>
      </c>
      <c r="I182" s="10" t="s">
        <v>55</v>
      </c>
      <c r="K182" s="10" t="s">
        <v>22392</v>
      </c>
      <c r="L182" s="10" t="s">
        <v>42</v>
      </c>
    </row>
    <row r="183" ht="15.75" customHeight="1">
      <c r="A183" s="64">
        <v>45474.0</v>
      </c>
      <c r="B183" s="55" t="str">
        <f>HYPERLINK("https://jobright.ai/jobs/info/668321aaa46d7cc415a6e44f?utm_campaign=1056&amp;utm_source=sheet", "Apply")</f>
        <v>Apply</v>
      </c>
      <c r="C183" s="10" t="s">
        <v>22390</v>
      </c>
      <c r="D183" s="56" t="s">
        <v>22391</v>
      </c>
      <c r="E183" s="10">
        <v>303.0</v>
      </c>
      <c r="G183" s="10" t="s">
        <v>22019</v>
      </c>
      <c r="H183" s="10" t="s">
        <v>22394</v>
      </c>
      <c r="I183" s="10" t="s">
        <v>55</v>
      </c>
      <c r="K183" s="10" t="s">
        <v>22392</v>
      </c>
      <c r="L183" s="10" t="s">
        <v>42</v>
      </c>
    </row>
    <row r="184" ht="15.75" customHeight="1">
      <c r="A184" s="64">
        <v>45474.0</v>
      </c>
      <c r="B184" s="55" t="str">
        <f>HYPERLINK("https://jobright.ai/jobs/info/668321aaa46d7cc415a6e44e?utm_campaign=1056&amp;utm_source=sheet", "Apply")</f>
        <v>Apply</v>
      </c>
      <c r="C184" s="10" t="s">
        <v>22390</v>
      </c>
      <c r="D184" s="56" t="s">
        <v>22391</v>
      </c>
      <c r="E184" s="10">
        <v>303.0</v>
      </c>
      <c r="G184" s="10" t="s">
        <v>22019</v>
      </c>
      <c r="H184" s="10" t="s">
        <v>19435</v>
      </c>
      <c r="I184" s="10" t="s">
        <v>55</v>
      </c>
      <c r="K184" s="10" t="s">
        <v>22392</v>
      </c>
      <c r="L184" s="10" t="s">
        <v>42</v>
      </c>
    </row>
    <row r="185" ht="15.75" customHeight="1">
      <c r="A185" s="64">
        <v>45474.0</v>
      </c>
      <c r="B185" s="55" t="str">
        <f>HYPERLINK("https://jobright.ai/jobs/info/668321aaa46d7cc415a6e44b?utm_campaign=1056&amp;utm_source=sheet", "Apply")</f>
        <v>Apply</v>
      </c>
      <c r="C185" s="10" t="s">
        <v>22390</v>
      </c>
      <c r="D185" s="56" t="s">
        <v>22391</v>
      </c>
      <c r="E185" s="10">
        <v>303.0</v>
      </c>
      <c r="G185" s="10" t="s">
        <v>22019</v>
      </c>
      <c r="H185" s="10" t="s">
        <v>22395</v>
      </c>
      <c r="I185" s="10" t="s">
        <v>55</v>
      </c>
      <c r="K185" s="10" t="s">
        <v>22392</v>
      </c>
      <c r="L185" s="10" t="s">
        <v>42</v>
      </c>
    </row>
    <row r="186" ht="15.75" customHeight="1">
      <c r="A186" s="64">
        <v>45474.0</v>
      </c>
      <c r="B186" s="55" t="str">
        <f>HYPERLINK("https://jobright.ai/jobs/info/66833b4860002e71662cdf89?utm_campaign=1056&amp;utm_source=sheet", "Apply")</f>
        <v>Apply</v>
      </c>
      <c r="C186" s="10" t="s">
        <v>22390</v>
      </c>
      <c r="D186" s="56" t="s">
        <v>22391</v>
      </c>
      <c r="E186" s="10">
        <v>303.0</v>
      </c>
      <c r="G186" s="10" t="s">
        <v>22019</v>
      </c>
      <c r="H186" s="10" t="s">
        <v>22396</v>
      </c>
      <c r="I186" s="10" t="s">
        <v>55</v>
      </c>
      <c r="K186" s="10" t="s">
        <v>22392</v>
      </c>
      <c r="L186" s="10" t="s">
        <v>42</v>
      </c>
    </row>
    <row r="187" ht="15.75" customHeight="1">
      <c r="A187" s="64">
        <v>45474.0</v>
      </c>
      <c r="B187" s="55" t="str">
        <f>HYPERLINK("https://jobright.ai/jobs/info/66833b4860002e71662cdf88?utm_campaign=1056&amp;utm_source=sheet", "Apply")</f>
        <v>Apply</v>
      </c>
      <c r="C187" s="10" t="s">
        <v>22390</v>
      </c>
      <c r="D187" s="56" t="s">
        <v>22391</v>
      </c>
      <c r="E187" s="10">
        <v>303.0</v>
      </c>
      <c r="G187" s="10" t="s">
        <v>22019</v>
      </c>
      <c r="H187" s="10" t="s">
        <v>852</v>
      </c>
      <c r="I187" s="10" t="s">
        <v>55</v>
      </c>
      <c r="K187" s="10" t="s">
        <v>22392</v>
      </c>
      <c r="L187" s="10" t="s">
        <v>42</v>
      </c>
    </row>
    <row r="188" ht="15.75" customHeight="1">
      <c r="A188" s="64">
        <v>45474.0</v>
      </c>
      <c r="B188" s="55" t="str">
        <f>HYPERLINK("https://jobright.ai/jobs/info/66832bb057eb512f576b7d34?utm_campaign=1056&amp;utm_source=sheet", "Apply")</f>
        <v>Apply</v>
      </c>
      <c r="C188" s="10" t="s">
        <v>22390</v>
      </c>
      <c r="D188" s="56" t="s">
        <v>22391</v>
      </c>
      <c r="E188" s="10">
        <v>303.0</v>
      </c>
      <c r="G188" s="10" t="s">
        <v>22019</v>
      </c>
      <c r="H188" s="10" t="s">
        <v>22397</v>
      </c>
      <c r="I188" s="10" t="s">
        <v>55</v>
      </c>
      <c r="K188" s="10" t="s">
        <v>22392</v>
      </c>
      <c r="L188" s="10" t="s">
        <v>42</v>
      </c>
    </row>
    <row r="189" ht="15.75" customHeight="1">
      <c r="A189" s="64">
        <v>45474.0</v>
      </c>
      <c r="B189" s="55" t="str">
        <f>HYPERLINK("https://jobright.ai/jobs/info/66831c876df9e3341227180b?utm_campaign=1056&amp;utm_source=sheet", "Apply")</f>
        <v>Apply</v>
      </c>
      <c r="C189" s="10" t="s">
        <v>22390</v>
      </c>
      <c r="D189" s="56" t="s">
        <v>22391</v>
      </c>
      <c r="E189" s="10">
        <v>303.0</v>
      </c>
      <c r="G189" s="10" t="s">
        <v>22019</v>
      </c>
      <c r="H189" s="10" t="s">
        <v>22398</v>
      </c>
      <c r="I189" s="10" t="s">
        <v>55</v>
      </c>
      <c r="K189" s="10" t="s">
        <v>22392</v>
      </c>
      <c r="L189" s="10" t="s">
        <v>42</v>
      </c>
    </row>
    <row r="190" ht="15.75" customHeight="1">
      <c r="A190" s="64">
        <v>45474.0</v>
      </c>
      <c r="B190" s="55" t="str">
        <f>HYPERLINK("https://jobright.ai/jobs/info/668314bbe801c31bd9e077be?utm_campaign=1056&amp;utm_source=sheet", "Apply")</f>
        <v>Apply</v>
      </c>
      <c r="C190" s="10" t="s">
        <v>22390</v>
      </c>
      <c r="D190" s="56" t="s">
        <v>22391</v>
      </c>
      <c r="E190" s="10">
        <v>303.0</v>
      </c>
      <c r="G190" s="10" t="s">
        <v>22019</v>
      </c>
      <c r="H190" s="10" t="s">
        <v>962</v>
      </c>
      <c r="I190" s="10" t="s">
        <v>55</v>
      </c>
      <c r="K190" s="10" t="s">
        <v>22392</v>
      </c>
      <c r="L190" s="10" t="s">
        <v>42</v>
      </c>
    </row>
    <row r="191" ht="15.75" customHeight="1">
      <c r="A191" s="64">
        <v>45474.0</v>
      </c>
      <c r="B191" s="55" t="str">
        <f>HYPERLINK("https://jobright.ai/jobs/info/66795f62dd14b36e4d97b02f?utm_campaign=1056&amp;utm_source=sheet", "Apply")</f>
        <v>Apply</v>
      </c>
      <c r="C191" s="10" t="s">
        <v>22378</v>
      </c>
      <c r="D191" s="56" t="s">
        <v>1178</v>
      </c>
      <c r="E191" s="10" t="s">
        <v>137</v>
      </c>
      <c r="F191" s="10" t="s">
        <v>1179</v>
      </c>
      <c r="G191" s="10" t="s">
        <v>22010</v>
      </c>
      <c r="H191" s="10" t="s">
        <v>1254</v>
      </c>
      <c r="I191" s="10" t="s">
        <v>48</v>
      </c>
      <c r="K191" s="10" t="s">
        <v>22379</v>
      </c>
      <c r="L191" s="10" t="s">
        <v>42</v>
      </c>
    </row>
    <row r="192" ht="15.75" customHeight="1">
      <c r="A192" s="64">
        <v>45474.0</v>
      </c>
      <c r="B192" s="55" t="str">
        <f>HYPERLINK("https://jobright.ai/jobs/info/66843003fb29648f2cae3aaa?utm_campaign=1056&amp;utm_source=sheet", "Apply")</f>
        <v>Apply</v>
      </c>
      <c r="C192" s="10" t="s">
        <v>15092</v>
      </c>
      <c r="D192" s="56" t="s">
        <v>1178</v>
      </c>
      <c r="E192" s="10" t="s">
        <v>137</v>
      </c>
      <c r="F192" s="10" t="s">
        <v>1179</v>
      </c>
      <c r="G192" s="10" t="s">
        <v>22019</v>
      </c>
      <c r="H192" s="10" t="s">
        <v>1254</v>
      </c>
      <c r="I192" s="10" t="s">
        <v>48</v>
      </c>
      <c r="K192" s="10" t="s">
        <v>22377</v>
      </c>
      <c r="L192" s="10" t="s">
        <v>42</v>
      </c>
    </row>
    <row r="193" ht="15.75" customHeight="1">
      <c r="A193" s="64">
        <v>45474.0</v>
      </c>
      <c r="B193" s="55" t="str">
        <f>HYPERLINK("https://jobright.ai/jobs/info/66843003fb29648f2cae3acd?utm_campaign=1056&amp;utm_source=sheet", "Apply")</f>
        <v>Apply</v>
      </c>
      <c r="C193" s="10" t="s">
        <v>22380</v>
      </c>
      <c r="D193" s="56" t="s">
        <v>1178</v>
      </c>
      <c r="E193" s="10" t="s">
        <v>137</v>
      </c>
      <c r="F193" s="10" t="s">
        <v>1179</v>
      </c>
      <c r="G193" s="10" t="s">
        <v>22010</v>
      </c>
      <c r="H193" s="10" t="s">
        <v>1254</v>
      </c>
      <c r="I193" s="10" t="s">
        <v>48</v>
      </c>
      <c r="K193" s="10" t="s">
        <v>22381</v>
      </c>
      <c r="L193" s="10" t="s">
        <v>42</v>
      </c>
    </row>
    <row r="194" ht="15.75" customHeight="1">
      <c r="A194" s="64">
        <v>45474.0</v>
      </c>
      <c r="B194" s="55" t="str">
        <f>HYPERLINK("https://jobright.ai/jobs/info/6683e16dbae33281754f3eaf?utm_campaign=1056&amp;utm_source=sheet", "Apply")</f>
        <v>Apply</v>
      </c>
      <c r="C194" s="10" t="s">
        <v>22399</v>
      </c>
      <c r="D194" s="56" t="s">
        <v>1178</v>
      </c>
      <c r="E194" s="10" t="s">
        <v>137</v>
      </c>
      <c r="F194" s="10" t="s">
        <v>1179</v>
      </c>
      <c r="G194" s="10" t="s">
        <v>22010</v>
      </c>
      <c r="H194" s="10" t="s">
        <v>1254</v>
      </c>
      <c r="I194" s="10" t="s">
        <v>55</v>
      </c>
      <c r="K194" s="10" t="s">
        <v>22400</v>
      </c>
      <c r="L194" s="10" t="s">
        <v>42</v>
      </c>
    </row>
    <row r="195" ht="15.75" customHeight="1">
      <c r="A195" s="64">
        <v>45474.0</v>
      </c>
      <c r="B195" s="55" t="str">
        <f>HYPERLINK("https://jobright.ai/jobs/info/6682e8c0c4dccd5cdecc88c2?utm_campaign=1056&amp;utm_source=sheet", "Apply")</f>
        <v>Apply</v>
      </c>
      <c r="C195" s="10" t="s">
        <v>22401</v>
      </c>
      <c r="D195" s="56" t="s">
        <v>18401</v>
      </c>
      <c r="E195" s="10" t="s">
        <v>45</v>
      </c>
      <c r="G195" s="10" t="s">
        <v>22019</v>
      </c>
      <c r="H195" s="10" t="s">
        <v>7308</v>
      </c>
      <c r="I195" s="10" t="s">
        <v>55</v>
      </c>
      <c r="K195" s="10" t="s">
        <v>22402</v>
      </c>
      <c r="L195" s="10" t="s">
        <v>42</v>
      </c>
    </row>
    <row r="196" ht="15.75" customHeight="1">
      <c r="A196" s="64">
        <v>45474.0</v>
      </c>
      <c r="B196" s="55" t="str">
        <f>HYPERLINK("https://jobright.ai/jobs/info/66752e4eba596678c82f6579?utm_campaign=1056&amp;utm_source=sheet", "Apply")</f>
        <v>Apply</v>
      </c>
      <c r="C196" s="10" t="s">
        <v>22380</v>
      </c>
      <c r="D196" s="56" t="s">
        <v>1178</v>
      </c>
      <c r="E196" s="10" t="s">
        <v>137</v>
      </c>
      <c r="F196" s="10" t="s">
        <v>1179</v>
      </c>
      <c r="G196" s="10" t="s">
        <v>22010</v>
      </c>
      <c r="H196" s="10" t="s">
        <v>1254</v>
      </c>
      <c r="I196" s="10" t="s">
        <v>55</v>
      </c>
      <c r="K196" s="10" t="s">
        <v>22381</v>
      </c>
      <c r="L196" s="10" t="s">
        <v>42</v>
      </c>
    </row>
    <row r="197" ht="15.75" customHeight="1">
      <c r="A197" s="64">
        <v>45474.0</v>
      </c>
      <c r="B197" s="55" t="str">
        <f>HYPERLINK("https://jobright.ai/jobs/info/6684e74810843bb0fec4ec98?utm_campaign=1056&amp;utm_source=sheet", "Apply")</f>
        <v>Apply</v>
      </c>
      <c r="C197" s="10" t="s">
        <v>22403</v>
      </c>
      <c r="D197" s="56" t="s">
        <v>14637</v>
      </c>
      <c r="E197" s="10" t="s">
        <v>79</v>
      </c>
      <c r="F197" s="10" t="s">
        <v>13819</v>
      </c>
      <c r="G197" s="10" t="s">
        <v>22010</v>
      </c>
      <c r="H197" s="10" t="s">
        <v>170</v>
      </c>
      <c r="I197" s="10" t="s">
        <v>55</v>
      </c>
      <c r="J197" s="10" t="s">
        <v>14638</v>
      </c>
      <c r="K197" s="10" t="s">
        <v>22404</v>
      </c>
      <c r="L197" s="10" t="s">
        <v>42</v>
      </c>
    </row>
    <row r="198" ht="15.75" customHeight="1">
      <c r="A198" s="64">
        <v>45474.0</v>
      </c>
      <c r="B198" s="55" t="str">
        <f>HYPERLINK("https://jobright.ai/jobs/info/66834dc668cc3af6a2e25db1?utm_campaign=1056&amp;utm_source=sheet", "Apply")</f>
        <v>Apply</v>
      </c>
      <c r="C198" s="10" t="s">
        <v>22405</v>
      </c>
      <c r="D198" s="56" t="s">
        <v>15060</v>
      </c>
      <c r="E198" s="10" t="s">
        <v>71</v>
      </c>
      <c r="F198" s="10" t="s">
        <v>3035</v>
      </c>
      <c r="G198" s="10" t="s">
        <v>22010</v>
      </c>
      <c r="H198" s="10" t="s">
        <v>170</v>
      </c>
      <c r="I198" s="10" t="s">
        <v>252</v>
      </c>
      <c r="K198" s="10" t="s">
        <v>22406</v>
      </c>
      <c r="L198" s="10" t="s">
        <v>42</v>
      </c>
    </row>
    <row r="199" ht="15.75" customHeight="1">
      <c r="A199" s="64">
        <v>45471.0</v>
      </c>
      <c r="B199" s="55" t="str">
        <f>HYPERLINK("https://jobright.ai/jobs/info/667f44f4c6f1b3cedd38faec?utm_campaign=1056&amp;utm_source=sheet", "Apply")</f>
        <v>Apply</v>
      </c>
      <c r="C199" s="10" t="s">
        <v>22217</v>
      </c>
      <c r="D199" s="56" t="s">
        <v>19301</v>
      </c>
      <c r="E199" s="10" t="s">
        <v>276</v>
      </c>
      <c r="F199" s="10" t="s">
        <v>10337</v>
      </c>
      <c r="G199" s="10" t="s">
        <v>22019</v>
      </c>
      <c r="H199" s="10" t="s">
        <v>19303</v>
      </c>
      <c r="I199" s="10" t="s">
        <v>48</v>
      </c>
      <c r="K199" s="10" t="s">
        <v>22407</v>
      </c>
      <c r="L199" s="10" t="s">
        <v>42</v>
      </c>
    </row>
    <row r="200" ht="15.75" customHeight="1">
      <c r="A200" s="64">
        <v>45471.0</v>
      </c>
      <c r="B200" s="55" t="str">
        <f>HYPERLINK("https://jobright.ai/jobs/info/667f15721074e518685ce117?utm_campaign=1056&amp;utm_source=sheet", "Apply")</f>
        <v>Apply</v>
      </c>
      <c r="C200" s="10" t="s">
        <v>4738</v>
      </c>
      <c r="D200" s="56" t="s">
        <v>22371</v>
      </c>
      <c r="E200" s="10" t="s">
        <v>65</v>
      </c>
      <c r="F200" s="10" t="s">
        <v>5637</v>
      </c>
      <c r="G200" s="10" t="s">
        <v>22019</v>
      </c>
      <c r="H200" s="10" t="s">
        <v>21114</v>
      </c>
      <c r="I200" s="10" t="s">
        <v>55</v>
      </c>
      <c r="K200" s="10" t="s">
        <v>22372</v>
      </c>
      <c r="L200" s="10" t="s">
        <v>42</v>
      </c>
    </row>
    <row r="201" ht="15.75" customHeight="1">
      <c r="A201" s="64">
        <v>45470.0</v>
      </c>
      <c r="B201" s="55" t="str">
        <f>HYPERLINK("https://jobright.ai/jobs/info/667ec649fb91a65412d4a156?utm_campaign=1056&amp;utm_source=sheet", "Apply")</f>
        <v>Apply</v>
      </c>
      <c r="C201" s="10" t="s">
        <v>22408</v>
      </c>
      <c r="D201" s="56" t="s">
        <v>22409</v>
      </c>
      <c r="E201" s="10">
        <v>622.0</v>
      </c>
      <c r="G201" s="10" t="s">
        <v>22019</v>
      </c>
      <c r="H201" s="10" t="s">
        <v>904</v>
      </c>
      <c r="I201" s="10" t="s">
        <v>55</v>
      </c>
      <c r="K201" s="10" t="s">
        <v>22410</v>
      </c>
      <c r="L201" s="10" t="s">
        <v>42</v>
      </c>
    </row>
    <row r="202" ht="15.75" customHeight="1">
      <c r="A202" s="64">
        <v>45469.0</v>
      </c>
      <c r="B202" s="55" t="str">
        <f>HYPERLINK("https://jobright.ai/jobs/info/667ca060c08973d614a46f15?utm_campaign=1056&amp;utm_source=sheet", "Apply")</f>
        <v>Apply</v>
      </c>
      <c r="C202" s="10" t="s">
        <v>22411</v>
      </c>
      <c r="D202" s="56" t="s">
        <v>19305</v>
      </c>
      <c r="E202" s="10" t="s">
        <v>79</v>
      </c>
      <c r="F202" s="10" t="s">
        <v>19306</v>
      </c>
      <c r="G202" s="10" t="s">
        <v>22019</v>
      </c>
      <c r="H202" s="10" t="s">
        <v>170</v>
      </c>
      <c r="I202" s="10" t="s">
        <v>48</v>
      </c>
      <c r="J202" s="10" t="s">
        <v>19307</v>
      </c>
      <c r="K202" s="10" t="s">
        <v>22412</v>
      </c>
      <c r="L202" s="10" t="s">
        <v>42</v>
      </c>
    </row>
    <row r="203" ht="15.75" customHeight="1">
      <c r="A203" s="64">
        <v>45469.0</v>
      </c>
      <c r="B203" s="55" t="str">
        <f>HYPERLINK("https://jobright.ai/jobs/info/667c9c155bb91f3e5e18b99c?utm_campaign=1056&amp;utm_source=sheet", "Apply")</f>
        <v>Apply</v>
      </c>
      <c r="C203" s="10" t="s">
        <v>22413</v>
      </c>
      <c r="D203" s="56" t="s">
        <v>22414</v>
      </c>
      <c r="E203" s="10" t="s">
        <v>137</v>
      </c>
      <c r="F203" s="10" t="s">
        <v>1243</v>
      </c>
      <c r="G203" s="10" t="s">
        <v>22010</v>
      </c>
      <c r="H203" s="10" t="s">
        <v>170</v>
      </c>
      <c r="I203" s="10" t="s">
        <v>48</v>
      </c>
      <c r="J203" s="10" t="s">
        <v>1608</v>
      </c>
      <c r="K203" s="10" t="s">
        <v>22415</v>
      </c>
      <c r="L203" s="10" t="s">
        <v>42</v>
      </c>
    </row>
    <row r="204" ht="15.75" customHeight="1">
      <c r="A204" s="64">
        <v>45469.0</v>
      </c>
      <c r="B204" s="55" t="str">
        <f>HYPERLINK("https://jobright.ai/jobs/info/667d47fe175f90388ced1eab?utm_campaign=1056&amp;utm_source=sheet", "Apply")</f>
        <v>Apply</v>
      </c>
      <c r="C204" s="10" t="s">
        <v>22411</v>
      </c>
      <c r="D204" s="56" t="s">
        <v>19305</v>
      </c>
      <c r="E204" s="10" t="s">
        <v>79</v>
      </c>
      <c r="F204" s="10" t="s">
        <v>19306</v>
      </c>
      <c r="G204" s="10" t="s">
        <v>22019</v>
      </c>
      <c r="H204" s="10" t="s">
        <v>170</v>
      </c>
      <c r="I204" s="10" t="s">
        <v>55</v>
      </c>
      <c r="J204" s="10" t="s">
        <v>19307</v>
      </c>
      <c r="K204" s="10" t="s">
        <v>22412</v>
      </c>
      <c r="L204" s="10" t="s">
        <v>42</v>
      </c>
    </row>
    <row r="205" ht="15.75" customHeight="1">
      <c r="A205" s="64">
        <v>45469.0</v>
      </c>
      <c r="B205" s="55" t="str">
        <f>HYPERLINK("https://jobright.ai/jobs/info/667c6f278d1fb16bd6ad6364?utm_campaign=1056&amp;utm_source=sheet", "Apply")</f>
        <v>Apply</v>
      </c>
      <c r="C205" s="10" t="s">
        <v>22416</v>
      </c>
      <c r="D205" s="56" t="s">
        <v>22417</v>
      </c>
      <c r="E205" s="10" t="s">
        <v>137</v>
      </c>
      <c r="F205" s="10" t="s">
        <v>22418</v>
      </c>
      <c r="G205" s="10" t="s">
        <v>22010</v>
      </c>
      <c r="H205" s="10" t="s">
        <v>96</v>
      </c>
      <c r="I205" s="10" t="s">
        <v>48</v>
      </c>
      <c r="J205" s="10" t="s">
        <v>2590</v>
      </c>
      <c r="K205" s="10" t="s">
        <v>22419</v>
      </c>
      <c r="L205" s="10" t="s">
        <v>42</v>
      </c>
    </row>
    <row r="206" ht="15.75" customHeight="1">
      <c r="A206" s="64">
        <v>45469.0</v>
      </c>
      <c r="B206" s="55" t="str">
        <f>HYPERLINK("https://jobright.ai/jobs/info/667ba2ccee3ea3ef1865d3de?utm_campaign=1056&amp;utm_source=sheet", "Apply")</f>
        <v>Apply</v>
      </c>
      <c r="C206" s="10" t="s">
        <v>22420</v>
      </c>
      <c r="D206" s="56" t="s">
        <v>22421</v>
      </c>
      <c r="E206" s="10" t="s">
        <v>137</v>
      </c>
      <c r="F206" s="10" t="s">
        <v>15321</v>
      </c>
      <c r="G206" s="10" t="s">
        <v>22019</v>
      </c>
      <c r="H206" s="10" t="s">
        <v>73</v>
      </c>
      <c r="I206" s="10" t="s">
        <v>55</v>
      </c>
      <c r="K206" s="10" t="s">
        <v>22422</v>
      </c>
      <c r="L206" s="10" t="s">
        <v>42</v>
      </c>
    </row>
    <row r="207" ht="15.75" customHeight="1">
      <c r="A207" s="64">
        <v>45469.0</v>
      </c>
      <c r="B207" s="55" t="str">
        <f>HYPERLINK("https://jobright.ai/jobs/info/667b939d6419fb0823b9c2e7?utm_campaign=1056&amp;utm_source=sheet", "Apply")</f>
        <v>Apply</v>
      </c>
      <c r="C207" s="10" t="s">
        <v>15188</v>
      </c>
      <c r="D207" s="56" t="s">
        <v>7830</v>
      </c>
      <c r="E207" s="10" t="s">
        <v>249</v>
      </c>
      <c r="F207" s="10" t="s">
        <v>3906</v>
      </c>
      <c r="G207" s="10" t="s">
        <v>22010</v>
      </c>
      <c r="H207" s="10" t="s">
        <v>96</v>
      </c>
      <c r="I207" s="10" t="s">
        <v>55</v>
      </c>
      <c r="J207" s="10" t="s">
        <v>3979</v>
      </c>
      <c r="K207" s="10" t="s">
        <v>22423</v>
      </c>
      <c r="L207" s="10" t="s">
        <v>42</v>
      </c>
    </row>
    <row r="208" ht="15.75" customHeight="1">
      <c r="A208" s="64">
        <v>45469.0</v>
      </c>
      <c r="B208" s="55" t="str">
        <f>HYPERLINK("https://jobright.ai/jobs/info/667c67da7e1220288214437a?utm_campaign=1056&amp;utm_source=sheet", "Apply")</f>
        <v>Apply</v>
      </c>
      <c r="C208" s="10" t="s">
        <v>22424</v>
      </c>
      <c r="D208" s="56" t="s">
        <v>22425</v>
      </c>
      <c r="E208" s="10" t="s">
        <v>65</v>
      </c>
      <c r="F208" s="10" t="s">
        <v>1506</v>
      </c>
      <c r="G208" s="10" t="s">
        <v>22019</v>
      </c>
      <c r="H208" s="10" t="s">
        <v>13954</v>
      </c>
      <c r="I208" s="10" t="s">
        <v>55</v>
      </c>
      <c r="K208" s="10" t="s">
        <v>22426</v>
      </c>
      <c r="L208" s="10" t="s">
        <v>42</v>
      </c>
    </row>
    <row r="209" ht="15.75" customHeight="1">
      <c r="A209" s="64">
        <v>45468.0</v>
      </c>
      <c r="B209" s="55" t="str">
        <f>HYPERLINK("https://jobright.ai/jobs/info/667b41046c645d774025fbb2?utm_campaign=1056&amp;utm_source=sheet", "Apply")</f>
        <v>Apply</v>
      </c>
      <c r="C209" s="10" t="s">
        <v>22427</v>
      </c>
      <c r="D209" s="56" t="s">
        <v>7830</v>
      </c>
      <c r="E209" s="10" t="s">
        <v>249</v>
      </c>
      <c r="F209" s="10" t="s">
        <v>3906</v>
      </c>
      <c r="G209" s="10" t="s">
        <v>22019</v>
      </c>
      <c r="H209" s="10" t="s">
        <v>96</v>
      </c>
      <c r="I209" s="10" t="s">
        <v>55</v>
      </c>
      <c r="J209" s="10" t="s">
        <v>3979</v>
      </c>
      <c r="K209" s="10" t="s">
        <v>22428</v>
      </c>
      <c r="L209" s="10" t="s">
        <v>42</v>
      </c>
    </row>
    <row r="210" ht="15.75" customHeight="1">
      <c r="A210" s="64">
        <v>45468.0</v>
      </c>
      <c r="B210" s="55" t="str">
        <f>HYPERLINK("https://jobright.ai/jobs/info/667b2b1c1b02ac33e0d75561?utm_campaign=1056&amp;utm_source=sheet", "Apply")</f>
        <v>Apply</v>
      </c>
      <c r="C210" s="10" t="s">
        <v>22429</v>
      </c>
      <c r="D210" s="56" t="s">
        <v>7830</v>
      </c>
      <c r="E210" s="10" t="s">
        <v>249</v>
      </c>
      <c r="F210" s="10" t="s">
        <v>3906</v>
      </c>
      <c r="G210" s="10" t="s">
        <v>22010</v>
      </c>
      <c r="H210" s="10" t="s">
        <v>96</v>
      </c>
      <c r="I210" s="10" t="s">
        <v>55</v>
      </c>
      <c r="J210" s="10" t="s">
        <v>3979</v>
      </c>
      <c r="K210" s="10" t="s">
        <v>22430</v>
      </c>
      <c r="L210" s="10" t="s">
        <v>42</v>
      </c>
    </row>
    <row r="211" ht="15.75" customHeight="1">
      <c r="A211" s="64">
        <v>45468.0</v>
      </c>
      <c r="B211" s="55" t="str">
        <f>HYPERLINK("https://jobright.ai/jobs/info/667a5f97a947af64b4158308?utm_campaign=1056&amp;utm_source=sheet", "Apply")</f>
        <v>Apply</v>
      </c>
      <c r="C211" s="10" t="s">
        <v>22431</v>
      </c>
      <c r="D211" s="56" t="s">
        <v>7830</v>
      </c>
      <c r="E211" s="10" t="s">
        <v>249</v>
      </c>
      <c r="F211" s="10" t="s">
        <v>3906</v>
      </c>
      <c r="G211" s="10" t="s">
        <v>22010</v>
      </c>
      <c r="H211" s="10" t="s">
        <v>96</v>
      </c>
      <c r="I211" s="10" t="s">
        <v>55</v>
      </c>
      <c r="J211" s="10" t="s">
        <v>3979</v>
      </c>
      <c r="K211" s="10" t="s">
        <v>22432</v>
      </c>
      <c r="L211" s="10" t="s">
        <v>42</v>
      </c>
    </row>
    <row r="212" ht="15.75" customHeight="1">
      <c r="A212" s="64">
        <v>45468.0</v>
      </c>
      <c r="B212" s="55" t="str">
        <f>HYPERLINK("https://jobright.ai/jobs/info/667a305b58b1170d61dbf35e?utm_campaign=1056&amp;utm_source=sheet", "Apply")</f>
        <v>Apply</v>
      </c>
      <c r="C212" s="10" t="s">
        <v>22433</v>
      </c>
      <c r="D212" s="56" t="s">
        <v>7830</v>
      </c>
      <c r="E212" s="10" t="s">
        <v>249</v>
      </c>
      <c r="F212" s="10" t="s">
        <v>3906</v>
      </c>
      <c r="G212" s="10" t="s">
        <v>22010</v>
      </c>
      <c r="H212" s="10" t="s">
        <v>96</v>
      </c>
      <c r="I212" s="10" t="s">
        <v>55</v>
      </c>
      <c r="J212" s="10" t="s">
        <v>3979</v>
      </c>
      <c r="K212" s="10" t="s">
        <v>22434</v>
      </c>
      <c r="L212" s="10" t="s">
        <v>42</v>
      </c>
    </row>
    <row r="213" ht="15.75" customHeight="1">
      <c r="A213" s="64">
        <v>45468.0</v>
      </c>
      <c r="B213" s="55" t="str">
        <f>HYPERLINK("https://jobright.ai/jobs/info/667b62bb33a389e0c495e792?utm_campaign=1056&amp;utm_source=sheet", "Apply")</f>
        <v>Apply</v>
      </c>
      <c r="C213" s="10" t="s">
        <v>22435</v>
      </c>
      <c r="D213" s="56" t="s">
        <v>15060</v>
      </c>
      <c r="E213" s="10" t="s">
        <v>71</v>
      </c>
      <c r="F213" s="10" t="s">
        <v>3035</v>
      </c>
      <c r="G213" s="10" t="s">
        <v>22019</v>
      </c>
      <c r="H213" s="10" t="s">
        <v>96</v>
      </c>
      <c r="I213" s="10" t="s">
        <v>55</v>
      </c>
      <c r="K213" s="10" t="s">
        <v>22436</v>
      </c>
      <c r="L213" s="10" t="s">
        <v>42</v>
      </c>
    </row>
    <row r="214" ht="15.75" customHeight="1">
      <c r="A214" s="64">
        <v>45468.0</v>
      </c>
      <c r="B214" s="55" t="str">
        <f>HYPERLINK("https://jobright.ai/jobs/info/667b20795bfe072125b6dfba?utm_campaign=1056&amp;utm_source=sheet", "Apply")</f>
        <v>Apply</v>
      </c>
      <c r="C214" s="10" t="s">
        <v>22437</v>
      </c>
      <c r="D214" s="56" t="s">
        <v>22438</v>
      </c>
      <c r="E214" s="10" t="s">
        <v>79</v>
      </c>
      <c r="F214" s="10" t="s">
        <v>1833</v>
      </c>
      <c r="G214" s="10" t="s">
        <v>22019</v>
      </c>
      <c r="H214" s="10" t="s">
        <v>22439</v>
      </c>
      <c r="I214" s="10" t="s">
        <v>55</v>
      </c>
      <c r="K214" s="10" t="s">
        <v>22440</v>
      </c>
      <c r="L214" s="10" t="s">
        <v>42</v>
      </c>
    </row>
    <row r="215" ht="15.75" customHeight="1">
      <c r="A215" s="64">
        <v>45468.0</v>
      </c>
      <c r="B215" s="55" t="str">
        <f>HYPERLINK("https://jobright.ai/jobs/info/667b6c24a28bede7688767a8?utm_campaign=1056&amp;utm_source=sheet", "Apply")</f>
        <v>Apply</v>
      </c>
      <c r="C215" s="10" t="s">
        <v>22441</v>
      </c>
      <c r="D215" s="56" t="s">
        <v>13236</v>
      </c>
      <c r="E215" s="10" t="s">
        <v>249</v>
      </c>
      <c r="F215" s="10" t="s">
        <v>13237</v>
      </c>
      <c r="G215" s="10" t="s">
        <v>22010</v>
      </c>
      <c r="H215" s="10" t="s">
        <v>15202</v>
      </c>
      <c r="I215" s="10" t="s">
        <v>48</v>
      </c>
      <c r="K215" s="10" t="s">
        <v>15205</v>
      </c>
      <c r="L215" s="10" t="s">
        <v>42</v>
      </c>
    </row>
    <row r="216" ht="15.75" customHeight="1">
      <c r="A216" s="64">
        <v>45467.0</v>
      </c>
      <c r="B216" s="55" t="str">
        <f>HYPERLINK("https://jobright.ai/jobs/info/667954db39ca2f81c436fc93?utm_campaign=1056&amp;utm_source=sheet", "Apply")</f>
        <v>Apply</v>
      </c>
      <c r="C216" s="10" t="s">
        <v>22442</v>
      </c>
      <c r="D216" s="56" t="s">
        <v>22443</v>
      </c>
      <c r="E216" s="10" t="s">
        <v>249</v>
      </c>
      <c r="F216" s="10" t="s">
        <v>3180</v>
      </c>
      <c r="G216" s="10" t="s">
        <v>22019</v>
      </c>
      <c r="H216" s="10" t="s">
        <v>152</v>
      </c>
      <c r="I216" s="10" t="s">
        <v>55</v>
      </c>
      <c r="K216" s="10" t="s">
        <v>22444</v>
      </c>
      <c r="L216" s="10" t="s">
        <v>42</v>
      </c>
    </row>
    <row r="217" ht="15.75" customHeight="1">
      <c r="A217" s="64">
        <v>45467.0</v>
      </c>
      <c r="B217" s="55" t="str">
        <f>HYPERLINK("https://jobright.ai/jobs/info/667a0b5fa13fa11c0d3986aa?utm_campaign=1056&amp;utm_source=sheet", "Apply")</f>
        <v>Apply</v>
      </c>
      <c r="C217" s="10" t="s">
        <v>22435</v>
      </c>
      <c r="D217" s="56" t="s">
        <v>15060</v>
      </c>
      <c r="E217" s="10" t="s">
        <v>71</v>
      </c>
      <c r="F217" s="10" t="s">
        <v>3035</v>
      </c>
      <c r="G217" s="10" t="s">
        <v>22019</v>
      </c>
      <c r="H217" s="10" t="s">
        <v>170</v>
      </c>
      <c r="I217" s="10" t="s">
        <v>252</v>
      </c>
      <c r="K217" s="10" t="s">
        <v>22445</v>
      </c>
      <c r="L217" s="10" t="s">
        <v>42</v>
      </c>
    </row>
    <row r="218" ht="15.75" customHeight="1">
      <c r="A218" s="64">
        <v>45467.0</v>
      </c>
      <c r="B218" s="55" t="str">
        <f>HYPERLINK("https://jobright.ai/jobs/info/6679eea21d0873c34231c3e2?utm_campaign=1056&amp;utm_source=sheet", "Apply")</f>
        <v>Apply</v>
      </c>
      <c r="C218" s="10" t="s">
        <v>22446</v>
      </c>
      <c r="D218" s="56" t="s">
        <v>22447</v>
      </c>
      <c r="E218" s="10">
        <v>478.0</v>
      </c>
      <c r="G218" s="10" t="s">
        <v>22019</v>
      </c>
      <c r="H218" s="10" t="s">
        <v>131</v>
      </c>
      <c r="I218" s="10" t="s">
        <v>55</v>
      </c>
      <c r="J218" s="10" t="s">
        <v>22448</v>
      </c>
      <c r="L218" s="10" t="s">
        <v>42</v>
      </c>
    </row>
    <row r="219" ht="15.75" customHeight="1">
      <c r="A219" s="64">
        <v>45464.0</v>
      </c>
      <c r="B219" s="55" t="str">
        <f>HYPERLINK("https://jobright.ai/jobs/info/66761a9e127b183117fe8015?utm_campaign=1056&amp;utm_source=sheet", "Apply")</f>
        <v>Apply</v>
      </c>
      <c r="C219" s="10" t="s">
        <v>22449</v>
      </c>
      <c r="D219" s="56" t="s">
        <v>1178</v>
      </c>
      <c r="E219" s="10" t="s">
        <v>137</v>
      </c>
      <c r="F219" s="10" t="s">
        <v>1179</v>
      </c>
      <c r="G219" s="10" t="s">
        <v>22010</v>
      </c>
      <c r="H219" s="10" t="s">
        <v>1254</v>
      </c>
      <c r="I219" s="10" t="s">
        <v>55</v>
      </c>
      <c r="K219" s="10" t="s">
        <v>22450</v>
      </c>
      <c r="L219" s="10" t="s">
        <v>42</v>
      </c>
    </row>
    <row r="220" ht="15.75" customHeight="1">
      <c r="A220" s="64">
        <v>45464.0</v>
      </c>
      <c r="B220" s="55" t="str">
        <f>HYPERLINK("https://jobright.ai/jobs/info/6675221d6c1991ca9928e397?utm_campaign=1056&amp;utm_source=sheet", "Apply")</f>
        <v>Apply</v>
      </c>
      <c r="C220" s="10" t="s">
        <v>22451</v>
      </c>
      <c r="D220" s="56" t="s">
        <v>22452</v>
      </c>
      <c r="E220" s="10" t="s">
        <v>276</v>
      </c>
      <c r="F220" s="10" t="s">
        <v>1234</v>
      </c>
      <c r="G220" s="10" t="s">
        <v>22019</v>
      </c>
      <c r="H220" s="10" t="s">
        <v>22453</v>
      </c>
      <c r="I220" s="10" t="s">
        <v>55</v>
      </c>
      <c r="K220" s="10" t="s">
        <v>22454</v>
      </c>
      <c r="L220" s="10" t="s">
        <v>42</v>
      </c>
    </row>
    <row r="221" ht="15.75" customHeight="1">
      <c r="A221" s="64">
        <v>45464.0</v>
      </c>
      <c r="B221" s="55" t="str">
        <f>HYPERLINK("https://jobright.ai/jobs/info/6675cdeffde6a7756c6358b0?utm_campaign=1056&amp;utm_source=sheet", "Apply")</f>
        <v>Apply</v>
      </c>
      <c r="C221" s="10" t="s">
        <v>22455</v>
      </c>
      <c r="D221" s="56" t="s">
        <v>19305</v>
      </c>
      <c r="E221" s="10" t="s">
        <v>79</v>
      </c>
      <c r="F221" s="10" t="s">
        <v>19306</v>
      </c>
      <c r="G221" s="10" t="s">
        <v>22019</v>
      </c>
      <c r="H221" s="10" t="s">
        <v>19362</v>
      </c>
      <c r="I221" s="10" t="s">
        <v>48</v>
      </c>
      <c r="J221" s="10" t="s">
        <v>19307</v>
      </c>
      <c r="K221" s="10" t="s">
        <v>22456</v>
      </c>
      <c r="L221" s="10" t="s">
        <v>42</v>
      </c>
    </row>
    <row r="222" ht="15.75" customHeight="1">
      <c r="A222" s="64">
        <v>45464.0</v>
      </c>
      <c r="B222" s="55" t="str">
        <f>HYPERLINK("https://jobright.ai/jobs/info/6675cdfbfde6a7756c6359ad?utm_campaign=1056&amp;utm_source=sheet", "Apply")</f>
        <v>Apply</v>
      </c>
      <c r="C222" s="10" t="s">
        <v>22411</v>
      </c>
      <c r="D222" s="56" t="s">
        <v>19305</v>
      </c>
      <c r="E222" s="10" t="s">
        <v>79</v>
      </c>
      <c r="F222" s="10" t="s">
        <v>19306</v>
      </c>
      <c r="G222" s="10" t="s">
        <v>22019</v>
      </c>
      <c r="H222" s="10" t="s">
        <v>19362</v>
      </c>
      <c r="I222" s="10" t="s">
        <v>48</v>
      </c>
      <c r="J222" s="10" t="s">
        <v>19307</v>
      </c>
      <c r="K222" s="10" t="s">
        <v>22457</v>
      </c>
      <c r="L222" s="10" t="s">
        <v>42</v>
      </c>
    </row>
    <row r="223" ht="15.75" customHeight="1">
      <c r="A223" s="64">
        <v>45463.0</v>
      </c>
      <c r="B223" s="55" t="str">
        <f>HYPERLINK("https://jobright.ai/jobs/info/66753a4f7a188060a03f5f67?utm_campaign=1056&amp;utm_source=sheet", "Apply")</f>
        <v>Apply</v>
      </c>
      <c r="C223" s="10" t="s">
        <v>22458</v>
      </c>
      <c r="D223" s="56" t="s">
        <v>1178</v>
      </c>
      <c r="E223" s="10" t="s">
        <v>137</v>
      </c>
      <c r="F223" s="10" t="s">
        <v>1179</v>
      </c>
      <c r="G223" s="10" t="s">
        <v>22010</v>
      </c>
      <c r="H223" s="10" t="s">
        <v>1254</v>
      </c>
      <c r="I223" s="10" t="s">
        <v>55</v>
      </c>
      <c r="K223" s="10" t="s">
        <v>22459</v>
      </c>
      <c r="L223" s="10" t="s">
        <v>42</v>
      </c>
    </row>
    <row r="224" ht="15.75" customHeight="1">
      <c r="A224" s="64">
        <v>45463.0</v>
      </c>
      <c r="B224" s="55" t="str">
        <f>HYPERLINK("https://jobright.ai/jobs/info/6676793c71e80dcf60e48bb4?utm_campaign=1056&amp;utm_source=sheet", "Apply")</f>
        <v>Apply</v>
      </c>
      <c r="C224" s="10" t="s">
        <v>22460</v>
      </c>
      <c r="D224" s="56" t="s">
        <v>14728</v>
      </c>
      <c r="E224" s="10" t="s">
        <v>65</v>
      </c>
      <c r="F224" s="10" t="s">
        <v>3906</v>
      </c>
      <c r="G224" s="10" t="s">
        <v>22019</v>
      </c>
      <c r="H224" s="10" t="s">
        <v>628</v>
      </c>
      <c r="I224" s="10" t="s">
        <v>55</v>
      </c>
      <c r="K224" s="10" t="s">
        <v>22461</v>
      </c>
      <c r="L224" s="10" t="s">
        <v>42</v>
      </c>
    </row>
    <row r="225" ht="15.75" customHeight="1">
      <c r="A225" s="64">
        <v>45463.0</v>
      </c>
      <c r="B225" s="55" t="str">
        <f>HYPERLINK("https://jobright.ai/jobs/info/6677ac54dc7be138508a1597?utm_campaign=1056&amp;utm_source=sheet", "Apply")</f>
        <v>Apply</v>
      </c>
      <c r="C225" s="10" t="s">
        <v>22462</v>
      </c>
      <c r="D225" s="56" t="s">
        <v>19305</v>
      </c>
      <c r="E225" s="10" t="s">
        <v>79</v>
      </c>
      <c r="F225" s="10" t="s">
        <v>19306</v>
      </c>
      <c r="G225" s="10" t="s">
        <v>22019</v>
      </c>
      <c r="H225" s="10" t="s">
        <v>19362</v>
      </c>
      <c r="I225" s="10" t="s">
        <v>48</v>
      </c>
      <c r="J225" s="10" t="s">
        <v>19307</v>
      </c>
      <c r="K225" s="10" t="s">
        <v>22456</v>
      </c>
      <c r="L225" s="10" t="s">
        <v>42</v>
      </c>
    </row>
    <row r="226" ht="15.75" customHeight="1">
      <c r="A226" s="64">
        <v>45462.0</v>
      </c>
      <c r="B226" s="55" t="str">
        <f>HYPERLINK("https://jobright.ai/jobs/info/66745e146d0c13fd67e48f08?utm_campaign=1056&amp;utm_source=sheet", "Apply")</f>
        <v>Apply</v>
      </c>
      <c r="C226" s="10" t="s">
        <v>22463</v>
      </c>
      <c r="D226" s="56" t="s">
        <v>22464</v>
      </c>
      <c r="E226" s="10" t="s">
        <v>45</v>
      </c>
      <c r="F226" s="10" t="s">
        <v>7622</v>
      </c>
      <c r="G226" s="10" t="s">
        <v>22019</v>
      </c>
      <c r="H226" s="10" t="s">
        <v>251</v>
      </c>
      <c r="I226" s="10" t="s">
        <v>55</v>
      </c>
      <c r="K226" s="10" t="s">
        <v>22465</v>
      </c>
      <c r="L226" s="10" t="s">
        <v>42</v>
      </c>
    </row>
    <row r="227" ht="15.75" customHeight="1">
      <c r="A227" s="64">
        <v>45462.0</v>
      </c>
      <c r="B227" s="55" t="str">
        <f>HYPERLINK("https://jobright.ai/jobs/info/667566ca06c286fadd1407b6?utm_campaign=1056&amp;utm_source=sheet", "Apply")</f>
        <v>Apply</v>
      </c>
      <c r="C227" s="10" t="s">
        <v>22466</v>
      </c>
      <c r="D227" s="56" t="s">
        <v>7830</v>
      </c>
      <c r="E227" s="10" t="s">
        <v>249</v>
      </c>
      <c r="F227" s="10" t="s">
        <v>3906</v>
      </c>
      <c r="G227" s="10" t="s">
        <v>22010</v>
      </c>
      <c r="H227" s="10" t="s">
        <v>170</v>
      </c>
      <c r="I227" s="10" t="s">
        <v>48</v>
      </c>
      <c r="J227" s="10" t="s">
        <v>22467</v>
      </c>
      <c r="K227" s="10" t="s">
        <v>22468</v>
      </c>
      <c r="L227" s="10" t="s">
        <v>42</v>
      </c>
    </row>
    <row r="228" ht="15.75" customHeight="1">
      <c r="A228" s="64">
        <v>45462.0</v>
      </c>
      <c r="B228" s="55" t="str">
        <f>HYPERLINK("https://jobright.ai/jobs/info/66725089865e1b7b64e74d62?utm_campaign=1056&amp;utm_source=sheet", "Apply")</f>
        <v>Apply</v>
      </c>
      <c r="C228" s="10" t="s">
        <v>22469</v>
      </c>
      <c r="D228" s="56" t="s">
        <v>22470</v>
      </c>
      <c r="E228" s="10" t="s">
        <v>45</v>
      </c>
      <c r="F228" s="10" t="s">
        <v>19293</v>
      </c>
      <c r="G228" s="10" t="s">
        <v>22019</v>
      </c>
      <c r="H228" s="10" t="s">
        <v>167</v>
      </c>
      <c r="I228" s="10" t="s">
        <v>55</v>
      </c>
      <c r="J228" s="10" t="s">
        <v>1608</v>
      </c>
      <c r="K228" s="10" t="s">
        <v>22471</v>
      </c>
      <c r="L228" s="10" t="s">
        <v>42</v>
      </c>
    </row>
    <row r="229" ht="15.75" customHeight="1">
      <c r="A229" s="64">
        <v>45461.0</v>
      </c>
      <c r="B229" s="55" t="str">
        <f>HYPERLINK("https://jobright.ai/jobs/info/6674348a3e9ad103ffe27430?utm_campaign=1056&amp;utm_source=sheet", "Apply")</f>
        <v>Apply</v>
      </c>
      <c r="C229" s="10" t="s">
        <v>22472</v>
      </c>
      <c r="D229" s="56" t="s">
        <v>1650</v>
      </c>
      <c r="E229" s="10" t="s">
        <v>209</v>
      </c>
      <c r="F229" s="10" t="s">
        <v>1243</v>
      </c>
      <c r="G229" s="10" t="s">
        <v>22019</v>
      </c>
      <c r="H229" s="10" t="s">
        <v>8687</v>
      </c>
      <c r="I229" s="10" t="s">
        <v>55</v>
      </c>
      <c r="K229" s="10" t="s">
        <v>22473</v>
      </c>
      <c r="L229" s="10" t="s">
        <v>42</v>
      </c>
    </row>
    <row r="230" ht="15.75" customHeight="1">
      <c r="A230" s="64">
        <v>45460.0</v>
      </c>
      <c r="B230" s="55" t="str">
        <f>HYPERLINK("https://jobright.ai/jobs/info/66796da73f452d31d55f96c0?utm_campaign=1056&amp;utm_source=sheet", "Apply")</f>
        <v>Apply</v>
      </c>
      <c r="C230" s="10" t="s">
        <v>22474</v>
      </c>
      <c r="D230" s="56" t="s">
        <v>14637</v>
      </c>
      <c r="E230" s="10" t="s">
        <v>79</v>
      </c>
      <c r="F230" s="10" t="s">
        <v>13819</v>
      </c>
      <c r="G230" s="10" t="s">
        <v>22010</v>
      </c>
      <c r="H230" s="10" t="s">
        <v>170</v>
      </c>
      <c r="I230" s="10" t="s">
        <v>55</v>
      </c>
      <c r="J230" s="10" t="s">
        <v>14638</v>
      </c>
      <c r="K230" s="10" t="s">
        <v>22475</v>
      </c>
      <c r="L230" s="10" t="s">
        <v>42</v>
      </c>
    </row>
    <row r="231" ht="15.75" customHeight="1">
      <c r="A231" s="64">
        <v>45460.0</v>
      </c>
      <c r="B231" s="55" t="str">
        <f>HYPERLINK("https://jobright.ai/jobs/info/66727e3c8ce3decedf254074?utm_campaign=1056&amp;utm_source=sheet", "Apply")</f>
        <v>Apply</v>
      </c>
      <c r="C231" s="10" t="s">
        <v>22476</v>
      </c>
      <c r="D231" s="56" t="s">
        <v>15335</v>
      </c>
      <c r="E231" s="10" t="s">
        <v>249</v>
      </c>
      <c r="F231" s="10" t="s">
        <v>15336</v>
      </c>
      <c r="G231" s="10" t="s">
        <v>22010</v>
      </c>
      <c r="H231" s="10" t="s">
        <v>15337</v>
      </c>
      <c r="I231" s="10" t="s">
        <v>55</v>
      </c>
      <c r="K231" s="10" t="s">
        <v>22477</v>
      </c>
      <c r="L231" s="10" t="s">
        <v>42</v>
      </c>
    </row>
    <row r="232" ht="15.75" customHeight="1">
      <c r="A232" s="64">
        <v>45458.0</v>
      </c>
      <c r="B232" s="55" t="str">
        <f>HYPERLINK("https://jobright.ai/jobs/info/666dc6fc47b7f73759eede6c?utm_campaign=1056&amp;utm_source=sheet", "Apply")</f>
        <v>Apply</v>
      </c>
      <c r="C232" s="10" t="s">
        <v>22478</v>
      </c>
      <c r="D232" s="56" t="s">
        <v>2220</v>
      </c>
      <c r="E232" s="10" t="s">
        <v>45</v>
      </c>
      <c r="F232" s="10" t="s">
        <v>2221</v>
      </c>
      <c r="G232" s="10" t="s">
        <v>22019</v>
      </c>
      <c r="H232" s="10" t="s">
        <v>6620</v>
      </c>
      <c r="I232" s="10" t="s">
        <v>55</v>
      </c>
      <c r="J232" s="10" t="s">
        <v>22479</v>
      </c>
      <c r="K232" s="10" t="s">
        <v>7614</v>
      </c>
      <c r="L232" s="10" t="s">
        <v>42</v>
      </c>
    </row>
    <row r="233" ht="15.75" customHeight="1">
      <c r="A233" s="64">
        <v>45457.0</v>
      </c>
      <c r="B233" s="55" t="str">
        <f>HYPERLINK("https://jobright.ai/jobs/info/666cb3efb86af0750fe63832?utm_campaign=1056&amp;utm_source=sheet", "Apply")</f>
        <v>Apply</v>
      </c>
      <c r="C233" s="10" t="s">
        <v>22480</v>
      </c>
      <c r="D233" s="56" t="s">
        <v>1547</v>
      </c>
      <c r="E233" s="10">
        <v>408.0</v>
      </c>
      <c r="G233" s="10" t="s">
        <v>22019</v>
      </c>
      <c r="H233" s="10" t="s">
        <v>153</v>
      </c>
      <c r="I233" s="10" t="s">
        <v>55</v>
      </c>
      <c r="K233" s="10" t="s">
        <v>22481</v>
      </c>
      <c r="L233" s="10" t="s">
        <v>42</v>
      </c>
    </row>
    <row r="234" ht="15.75" customHeight="1">
      <c r="A234" s="64">
        <v>45457.0</v>
      </c>
      <c r="B234" s="55" t="str">
        <f>HYPERLINK("https://jobright.ai/jobs/info/6675dcecd40a616e23782b8c?utm_campaign=1056&amp;utm_source=sheet", "Apply")</f>
        <v>Apply</v>
      </c>
      <c r="C234" s="10" t="s">
        <v>22482</v>
      </c>
      <c r="D234" s="56" t="s">
        <v>22483</v>
      </c>
      <c r="E234" s="10" t="s">
        <v>79</v>
      </c>
      <c r="F234" s="10" t="s">
        <v>22484</v>
      </c>
      <c r="G234" s="10" t="s">
        <v>22019</v>
      </c>
      <c r="H234" s="10" t="s">
        <v>826</v>
      </c>
      <c r="I234" s="10" t="s">
        <v>55</v>
      </c>
      <c r="J234" s="10" t="s">
        <v>521</v>
      </c>
      <c r="K234" s="10" t="s">
        <v>22485</v>
      </c>
      <c r="L234" s="10" t="s">
        <v>42</v>
      </c>
    </row>
    <row r="235" ht="15.75" customHeight="1">
      <c r="A235" s="64">
        <v>45455.0</v>
      </c>
      <c r="B235" s="55" t="str">
        <f>HYPERLINK("https://jobright.ai/jobs/info/6672f4acb9ba0405d001e8b1?utm_campaign=1056&amp;utm_source=sheet", "Apply")</f>
        <v>Apply</v>
      </c>
      <c r="C235" s="10" t="s">
        <v>22157</v>
      </c>
      <c r="D235" s="56" t="s">
        <v>22158</v>
      </c>
      <c r="E235" s="10" t="s">
        <v>276</v>
      </c>
      <c r="F235" s="10" t="s">
        <v>22159</v>
      </c>
      <c r="G235" s="10" t="s">
        <v>22019</v>
      </c>
      <c r="H235" s="10" t="s">
        <v>18181</v>
      </c>
      <c r="I235" s="10" t="s">
        <v>55</v>
      </c>
      <c r="J235" s="10" t="s">
        <v>1984</v>
      </c>
      <c r="K235" s="10" t="s">
        <v>22486</v>
      </c>
      <c r="L235" s="10" t="s">
        <v>42</v>
      </c>
    </row>
    <row r="236" ht="15.75" customHeight="1">
      <c r="A236" s="64">
        <v>45454.0</v>
      </c>
      <c r="B236" s="55" t="str">
        <f>HYPERLINK("https://jobright.ai/jobs/info/6668c83477460a6c8f89aa7a?utm_campaign=1056&amp;utm_source=sheet", "Apply")</f>
        <v>Apply</v>
      </c>
      <c r="C236" s="10" t="s">
        <v>22487</v>
      </c>
      <c r="D236" s="56" t="s">
        <v>1547</v>
      </c>
      <c r="E236" s="10">
        <v>408.0</v>
      </c>
      <c r="G236" s="10" t="s">
        <v>22010</v>
      </c>
      <c r="H236" s="10" t="s">
        <v>7393</v>
      </c>
      <c r="I236" s="10" t="s">
        <v>55</v>
      </c>
      <c r="K236" s="10" t="s">
        <v>22488</v>
      </c>
      <c r="L236" s="10" t="s">
        <v>42</v>
      </c>
    </row>
    <row r="237" ht="15.75" customHeight="1">
      <c r="A237" s="64">
        <v>45454.0</v>
      </c>
      <c r="B237" s="55" t="str">
        <f>HYPERLINK("https://jobright.ai/jobs/info/667283758781854cc12eee46?utm_campaign=1056&amp;utm_source=sheet", "Apply")</f>
        <v>Apply</v>
      </c>
      <c r="C237" s="10" t="s">
        <v>22476</v>
      </c>
      <c r="D237" s="56" t="s">
        <v>15335</v>
      </c>
      <c r="E237" s="10" t="s">
        <v>249</v>
      </c>
      <c r="F237" s="10" t="s">
        <v>15336</v>
      </c>
      <c r="G237" s="10" t="s">
        <v>22010</v>
      </c>
      <c r="H237" s="10" t="s">
        <v>15337</v>
      </c>
      <c r="I237" s="10" t="s">
        <v>55</v>
      </c>
      <c r="K237" s="10" t="s">
        <v>22477</v>
      </c>
      <c r="L237" s="10" t="s">
        <v>42</v>
      </c>
    </row>
    <row r="238" ht="15.75" customHeight="1">
      <c r="A238" s="64">
        <v>45453.0</v>
      </c>
      <c r="B238" s="55" t="str">
        <f>HYPERLINK("https://jobright.ai/jobs/info/666761176d0e3ab9d0acea65?utm_campaign=1056&amp;utm_source=sheet", "Apply")</f>
        <v>Apply</v>
      </c>
      <c r="C238" s="10" t="s">
        <v>22157</v>
      </c>
      <c r="D238" s="56" t="s">
        <v>22158</v>
      </c>
      <c r="E238" s="10" t="s">
        <v>276</v>
      </c>
      <c r="F238" s="10" t="s">
        <v>22159</v>
      </c>
      <c r="G238" s="10" t="s">
        <v>22019</v>
      </c>
      <c r="H238" s="10" t="s">
        <v>146</v>
      </c>
      <c r="I238" s="10" t="s">
        <v>55</v>
      </c>
      <c r="J238" s="10" t="s">
        <v>1984</v>
      </c>
      <c r="K238" s="10" t="s">
        <v>22160</v>
      </c>
      <c r="L238" s="10" t="s">
        <v>42</v>
      </c>
    </row>
    <row r="239" ht="15.75" customHeight="1">
      <c r="A239" s="64">
        <v>45453.0</v>
      </c>
      <c r="B239" s="55" t="str">
        <f>HYPERLINK("https://jobright.ai/jobs/info/666761176d0e3ab9d0acea68?utm_campaign=1056&amp;utm_source=sheet", "Apply")</f>
        <v>Apply</v>
      </c>
      <c r="C239" s="10" t="s">
        <v>22157</v>
      </c>
      <c r="D239" s="56" t="s">
        <v>22158</v>
      </c>
      <c r="E239" s="10" t="s">
        <v>276</v>
      </c>
      <c r="F239" s="10" t="s">
        <v>22159</v>
      </c>
      <c r="G239" s="10" t="s">
        <v>22019</v>
      </c>
      <c r="H239" s="10" t="s">
        <v>896</v>
      </c>
      <c r="I239" s="10" t="s">
        <v>55</v>
      </c>
      <c r="J239" s="10" t="s">
        <v>1984</v>
      </c>
      <c r="K239" s="10" t="s">
        <v>22160</v>
      </c>
      <c r="L239" s="10" t="s">
        <v>42</v>
      </c>
    </row>
    <row r="240" ht="15.75" customHeight="1">
      <c r="A240" s="64">
        <v>45453.0</v>
      </c>
      <c r="B240" s="55" t="str">
        <f>HYPERLINK("https://jobright.ai/jobs/info/666769c255d00056cc420b24?utm_campaign=1056&amp;utm_source=sheet", "Apply")</f>
        <v>Apply</v>
      </c>
      <c r="C240" s="10" t="s">
        <v>22157</v>
      </c>
      <c r="D240" s="56" t="s">
        <v>22158</v>
      </c>
      <c r="E240" s="10" t="s">
        <v>276</v>
      </c>
      <c r="F240" s="10" t="s">
        <v>22159</v>
      </c>
      <c r="G240" s="10" t="s">
        <v>22019</v>
      </c>
      <c r="H240" s="10" t="s">
        <v>22161</v>
      </c>
      <c r="I240" s="10" t="s">
        <v>55</v>
      </c>
      <c r="J240" s="10" t="s">
        <v>1984</v>
      </c>
      <c r="K240" s="10" t="s">
        <v>22160</v>
      </c>
      <c r="L240" s="10" t="s">
        <v>42</v>
      </c>
    </row>
    <row r="241" ht="15.75" customHeight="1">
      <c r="A241" s="64">
        <v>45450.0</v>
      </c>
      <c r="B241" s="55" t="str">
        <f>HYPERLINK("https://jobright.ai/jobs/info/66631fecc87ff4cc6101994c?utm_campaign=1056&amp;utm_source=sheet", "Apply")</f>
        <v>Apply</v>
      </c>
      <c r="C241" s="10" t="s">
        <v>22489</v>
      </c>
      <c r="D241" s="56" t="s">
        <v>15475</v>
      </c>
      <c r="E241" s="10" t="s">
        <v>79</v>
      </c>
      <c r="F241" s="10" t="s">
        <v>3770</v>
      </c>
      <c r="G241" s="10" t="s">
        <v>22019</v>
      </c>
      <c r="H241" s="10" t="s">
        <v>22490</v>
      </c>
      <c r="I241" s="10" t="s">
        <v>55</v>
      </c>
      <c r="K241" s="10" t="s">
        <v>22491</v>
      </c>
      <c r="L241" s="10" t="s">
        <v>42</v>
      </c>
    </row>
    <row r="242" ht="15.75" customHeight="1">
      <c r="A242" s="64">
        <v>45447.0</v>
      </c>
      <c r="B242" s="55" t="str">
        <f>HYPERLINK("https://jobright.ai/jobs/info/667accc1ed1008d97a686568?utm_campaign=1056&amp;utm_source=sheet", "Apply")</f>
        <v>Apply</v>
      </c>
      <c r="C242" s="10" t="s">
        <v>22492</v>
      </c>
      <c r="D242" s="56" t="s">
        <v>196</v>
      </c>
      <c r="E242" s="10" t="s">
        <v>71</v>
      </c>
      <c r="F242" s="10" t="s">
        <v>197</v>
      </c>
      <c r="G242" s="10" t="s">
        <v>22010</v>
      </c>
      <c r="H242" s="10" t="s">
        <v>1963</v>
      </c>
      <c r="I242" s="10" t="s">
        <v>55</v>
      </c>
      <c r="K242" s="10" t="s">
        <v>22493</v>
      </c>
      <c r="L242" s="10" t="s">
        <v>42</v>
      </c>
    </row>
    <row r="243" ht="15.75" customHeight="1">
      <c r="A243" s="64">
        <v>45447.0</v>
      </c>
      <c r="B243" s="55" t="str">
        <f>HYPERLINK("https://jobright.ai/jobs/info/66630cadc235e09220d51ff0?utm_campaign=1056&amp;utm_source=sheet", "Apply")</f>
        <v>Apply</v>
      </c>
      <c r="C243" s="10" t="s">
        <v>22494</v>
      </c>
      <c r="D243" s="56" t="s">
        <v>22495</v>
      </c>
      <c r="G243" s="10" t="s">
        <v>22019</v>
      </c>
      <c r="H243" s="10" t="s">
        <v>2222</v>
      </c>
      <c r="I243" s="10" t="s">
        <v>55</v>
      </c>
      <c r="J243" s="10" t="s">
        <v>7269</v>
      </c>
      <c r="K243" s="10" t="s">
        <v>22496</v>
      </c>
      <c r="L243" s="10" t="s">
        <v>42</v>
      </c>
    </row>
    <row r="244" ht="15.75" customHeight="1">
      <c r="A244" s="64">
        <v>45447.0</v>
      </c>
      <c r="B244" s="55" t="str">
        <f>HYPERLINK("https://jobright.ai/jobs/info/665e999740185070c826037b?utm_campaign=1056&amp;utm_source=sheet", "Apply")</f>
        <v>Apply</v>
      </c>
      <c r="C244" s="10" t="s">
        <v>22497</v>
      </c>
      <c r="D244" s="56" t="s">
        <v>1547</v>
      </c>
      <c r="E244" s="10">
        <v>408.0</v>
      </c>
      <c r="G244" s="10" t="s">
        <v>22019</v>
      </c>
      <c r="H244" s="10" t="s">
        <v>170</v>
      </c>
      <c r="I244" s="10" t="s">
        <v>55</v>
      </c>
      <c r="J244" s="10" t="s">
        <v>22498</v>
      </c>
      <c r="K244" s="10" t="s">
        <v>22499</v>
      </c>
      <c r="L244" s="10" t="s">
        <v>42</v>
      </c>
    </row>
    <row r="245" ht="15.75" customHeight="1">
      <c r="A245" s="64">
        <v>45444.0</v>
      </c>
      <c r="B245" s="55" t="str">
        <f>HYPERLINK("https://jobright.ai/jobs/info/6677dccefbac42152a145f3e?utm_campaign=1056&amp;utm_source=sheet", "Apply")</f>
        <v>Apply</v>
      </c>
      <c r="C245" s="10" t="s">
        <v>22500</v>
      </c>
      <c r="D245" s="56" t="s">
        <v>22501</v>
      </c>
      <c r="E245" s="10">
        <v>150.0</v>
      </c>
      <c r="G245" s="10" t="s">
        <v>22019</v>
      </c>
      <c r="H245" s="10" t="s">
        <v>16740</v>
      </c>
      <c r="I245" s="10" t="s">
        <v>55</v>
      </c>
      <c r="K245" s="10" t="s">
        <v>22502</v>
      </c>
      <c r="L245" s="10" t="s">
        <v>42</v>
      </c>
    </row>
    <row r="246" ht="15.75" customHeight="1">
      <c r="A246" s="64">
        <v>45444.0</v>
      </c>
      <c r="B246" s="55" t="str">
        <f>HYPERLINK("https://jobright.ai/jobs/info/6662782bd90a04f6be80a186?utm_campaign=1056&amp;utm_source=sheet", "Apply")</f>
        <v>Apply</v>
      </c>
      <c r="C246" s="10" t="s">
        <v>22503</v>
      </c>
      <c r="D246" s="56" t="s">
        <v>14728</v>
      </c>
      <c r="E246" s="10" t="s">
        <v>65</v>
      </c>
      <c r="F246" s="10" t="s">
        <v>3906</v>
      </c>
      <c r="G246" s="10" t="s">
        <v>22019</v>
      </c>
      <c r="H246" s="10" t="s">
        <v>96</v>
      </c>
      <c r="I246" s="10" t="s">
        <v>55</v>
      </c>
      <c r="J246" s="10" t="s">
        <v>19513</v>
      </c>
      <c r="K246" s="10" t="s">
        <v>19514</v>
      </c>
      <c r="L246" s="10" t="s">
        <v>42</v>
      </c>
    </row>
    <row r="247" ht="15.75" customHeight="1">
      <c r="A247" s="64">
        <v>45443.0</v>
      </c>
      <c r="B247" s="55" t="str">
        <f>HYPERLINK("https://jobright.ai/jobs/info/66685e59b3577e6d5da7aab8?utm_campaign=1056&amp;utm_source=sheet", "Apply")</f>
        <v>Apply</v>
      </c>
      <c r="C247" s="10" t="s">
        <v>22504</v>
      </c>
      <c r="D247" s="56" t="s">
        <v>22505</v>
      </c>
      <c r="E247" s="10" t="s">
        <v>45</v>
      </c>
      <c r="F247" s="10" t="s">
        <v>22506</v>
      </c>
      <c r="G247" s="10" t="s">
        <v>22019</v>
      </c>
      <c r="H247" s="10" t="s">
        <v>22507</v>
      </c>
      <c r="I247" s="10" t="s">
        <v>55</v>
      </c>
      <c r="K247" s="10" t="s">
        <v>22508</v>
      </c>
      <c r="L247" s="10" t="s">
        <v>42</v>
      </c>
    </row>
    <row r="248" ht="15.75" customHeight="1">
      <c r="A248" s="64">
        <v>45442.0</v>
      </c>
      <c r="B248" s="55" t="str">
        <f>HYPERLINK("https://jobright.ai/jobs/info/66591700e3ecf9e1b0660473?utm_campaign=1056&amp;utm_source=sheet", "Apply")</f>
        <v>Apply</v>
      </c>
      <c r="C248" s="10" t="s">
        <v>22509</v>
      </c>
      <c r="D248" s="56" t="s">
        <v>1547</v>
      </c>
      <c r="E248" s="10">
        <v>408.0</v>
      </c>
      <c r="G248" s="10" t="s">
        <v>22019</v>
      </c>
      <c r="H248" s="10" t="s">
        <v>802</v>
      </c>
      <c r="I248" s="10" t="s">
        <v>55</v>
      </c>
      <c r="K248" s="10" t="s">
        <v>22510</v>
      </c>
      <c r="L248" s="10" t="s">
        <v>42</v>
      </c>
    </row>
    <row r="249" ht="15.75" customHeight="1">
      <c r="A249" s="64">
        <v>45441.0</v>
      </c>
      <c r="B249" s="55" t="str">
        <f>HYPERLINK("https://jobright.ai/jobs/info/665d81692492096ac0690133?utm_campaign=1056&amp;utm_source=sheet", "Apply")</f>
        <v>Apply</v>
      </c>
      <c r="C249" s="10" t="s">
        <v>22413</v>
      </c>
      <c r="D249" s="56" t="s">
        <v>22414</v>
      </c>
      <c r="E249" s="10" t="s">
        <v>137</v>
      </c>
      <c r="F249" s="10" t="s">
        <v>1243</v>
      </c>
      <c r="G249" s="10" t="s">
        <v>22010</v>
      </c>
      <c r="H249" s="10" t="s">
        <v>19303</v>
      </c>
      <c r="I249" s="10" t="s">
        <v>48</v>
      </c>
      <c r="J249" s="10" t="s">
        <v>1608</v>
      </c>
      <c r="K249" s="10" t="s">
        <v>22415</v>
      </c>
      <c r="L249" s="10" t="s">
        <v>42</v>
      </c>
    </row>
    <row r="250" ht="15.75" customHeight="1">
      <c r="A250" s="64">
        <v>45438.0</v>
      </c>
      <c r="B250" s="55" t="str">
        <f>HYPERLINK("https://jobright.ai/jobs/info/667aab31a579680bce9196a1?utm_campaign=1056&amp;utm_source=sheet", "Apply")</f>
        <v>Apply</v>
      </c>
      <c r="C250" s="10" t="s">
        <v>22511</v>
      </c>
      <c r="D250" s="56" t="s">
        <v>22512</v>
      </c>
      <c r="E250" s="10" t="s">
        <v>79</v>
      </c>
      <c r="F250" s="10" t="s">
        <v>22513</v>
      </c>
      <c r="G250" s="10" t="s">
        <v>22010</v>
      </c>
      <c r="H250" s="10" t="s">
        <v>167</v>
      </c>
      <c r="I250" s="10" t="s">
        <v>55</v>
      </c>
      <c r="J250" s="10" t="s">
        <v>22514</v>
      </c>
      <c r="K250" s="10" t="s">
        <v>22515</v>
      </c>
      <c r="L250" s="10" t="s">
        <v>42</v>
      </c>
    </row>
    <row r="251" ht="15.75" customHeight="1">
      <c r="A251" s="64">
        <v>45435.0</v>
      </c>
      <c r="B251" s="55" t="str">
        <f>HYPERLINK("https://jobright.ai/jobs/info/6677e7b38edbb3fe78f3238d?utm_campaign=1056&amp;utm_source=sheet", "Apply")</f>
        <v>Apply</v>
      </c>
      <c r="C251" s="10" t="s">
        <v>22516</v>
      </c>
      <c r="D251" s="56" t="s">
        <v>2289</v>
      </c>
      <c r="E251" s="10" t="s">
        <v>71</v>
      </c>
      <c r="F251" s="10" t="s">
        <v>2290</v>
      </c>
      <c r="G251" s="10" t="s">
        <v>22019</v>
      </c>
      <c r="H251" s="10" t="s">
        <v>2291</v>
      </c>
      <c r="I251" s="10" t="s">
        <v>55</v>
      </c>
      <c r="J251" s="10" t="s">
        <v>1761</v>
      </c>
      <c r="K251" s="10" t="s">
        <v>22517</v>
      </c>
      <c r="L251" s="10" t="s">
        <v>42</v>
      </c>
    </row>
    <row r="252" ht="15.75" customHeight="1">
      <c r="A252" s="64">
        <v>45435.0</v>
      </c>
      <c r="B252" s="55" t="str">
        <f>HYPERLINK("https://jobright.ai/jobs/info/6677f1b99c81148ccaaed0a7?utm_campaign=1056&amp;utm_source=sheet", "Apply")</f>
        <v>Apply</v>
      </c>
      <c r="C252" s="10" t="s">
        <v>22518</v>
      </c>
      <c r="D252" s="56" t="s">
        <v>12306</v>
      </c>
      <c r="E252" s="10">
        <v>40.0</v>
      </c>
      <c r="G252" s="10" t="s">
        <v>22010</v>
      </c>
      <c r="H252" s="10" t="s">
        <v>843</v>
      </c>
      <c r="I252" s="10" t="s">
        <v>55</v>
      </c>
      <c r="J252" s="10" t="s">
        <v>1409</v>
      </c>
      <c r="K252" s="10" t="s">
        <v>22519</v>
      </c>
      <c r="L252" s="10" t="s">
        <v>42</v>
      </c>
    </row>
    <row r="253" ht="15.75" customHeight="1">
      <c r="A253" s="64">
        <v>45435.0</v>
      </c>
      <c r="B253" s="55" t="str">
        <f>HYPERLINK("https://jobright.ai/jobs/info/6677f1f29c81148ccaaed5a2?utm_campaign=1056&amp;utm_source=sheet", "Apply")</f>
        <v>Apply</v>
      </c>
      <c r="C253" s="10" t="s">
        <v>22520</v>
      </c>
      <c r="D253" s="56" t="s">
        <v>22092</v>
      </c>
      <c r="E253" s="10">
        <v>311.0</v>
      </c>
      <c r="G253" s="10" t="s">
        <v>22019</v>
      </c>
      <c r="H253" s="10" t="s">
        <v>1013</v>
      </c>
      <c r="I253" s="10" t="s">
        <v>55</v>
      </c>
      <c r="J253" s="10" t="s">
        <v>1608</v>
      </c>
      <c r="K253" s="10" t="s">
        <v>22521</v>
      </c>
      <c r="L253" s="10" t="s">
        <v>42</v>
      </c>
    </row>
    <row r="254" ht="15.75" customHeight="1">
      <c r="A254" s="64">
        <v>45435.0</v>
      </c>
      <c r="B254" s="55" t="str">
        <f>HYPERLINK("https://jobright.ai/jobs/info/665d81922492096ac06904b3?utm_campaign=1056&amp;utm_source=sheet", "Apply")</f>
        <v>Apply</v>
      </c>
      <c r="C254" s="10" t="s">
        <v>22522</v>
      </c>
      <c r="D254" s="56" t="s">
        <v>22523</v>
      </c>
      <c r="E254" s="10" t="s">
        <v>249</v>
      </c>
      <c r="F254" s="10" t="s">
        <v>404</v>
      </c>
      <c r="G254" s="10" t="s">
        <v>22010</v>
      </c>
      <c r="H254" s="10" t="s">
        <v>20572</v>
      </c>
      <c r="I254" s="10" t="s">
        <v>48</v>
      </c>
      <c r="K254" s="10" t="s">
        <v>22524</v>
      </c>
      <c r="L254" s="10" t="s">
        <v>42</v>
      </c>
    </row>
    <row r="255" ht="15.75" customHeight="1">
      <c r="A255" s="64">
        <v>45433.0</v>
      </c>
      <c r="B255" s="55" t="str">
        <f>HYPERLINK("https://jobright.ai/jobs/info/66728f6c59024765d363c9e2?utm_campaign=1056&amp;utm_source=sheet", "Apply")</f>
        <v>Apply</v>
      </c>
      <c r="C255" s="10" t="s">
        <v>22525</v>
      </c>
      <c r="D255" s="56" t="s">
        <v>22526</v>
      </c>
      <c r="E255" s="10" t="s">
        <v>276</v>
      </c>
      <c r="F255" s="10" t="s">
        <v>1266</v>
      </c>
      <c r="G255" s="10" t="s">
        <v>22019</v>
      </c>
      <c r="H255" s="10" t="s">
        <v>22527</v>
      </c>
      <c r="I255" s="10" t="s">
        <v>55</v>
      </c>
      <c r="K255" s="10" t="s">
        <v>22528</v>
      </c>
      <c r="L255" s="10" t="s">
        <v>42</v>
      </c>
    </row>
    <row r="256" ht="15.75" customHeight="1">
      <c r="A256" s="64">
        <v>45428.0</v>
      </c>
      <c r="B256" s="55" t="str">
        <f>HYPERLINK("https://jobright.ai/jobs/info/664570ac466d21f0604f0458?utm_campaign=1056&amp;utm_source=sheet", "Apply")</f>
        <v>Apply</v>
      </c>
      <c r="C256" s="10" t="s">
        <v>22529</v>
      </c>
      <c r="D256" s="56" t="s">
        <v>2022</v>
      </c>
      <c r="E256" s="10" t="s">
        <v>45</v>
      </c>
      <c r="F256" s="10" t="s">
        <v>1893</v>
      </c>
      <c r="G256" s="10" t="s">
        <v>22010</v>
      </c>
      <c r="H256" s="10" t="s">
        <v>159</v>
      </c>
      <c r="I256" s="10" t="s">
        <v>55</v>
      </c>
      <c r="K256" s="10" t="s">
        <v>22530</v>
      </c>
      <c r="L256" s="10" t="s">
        <v>42</v>
      </c>
    </row>
    <row r="257" ht="15.75" customHeight="1">
      <c r="A257" s="64">
        <v>45425.0</v>
      </c>
      <c r="B257" s="55" t="str">
        <f>HYPERLINK("https://jobright.ai/jobs/info/66692646e4014402c8870f25?utm_campaign=1056&amp;utm_source=sheet", "Apply")</f>
        <v>Apply</v>
      </c>
      <c r="C257" s="10" t="s">
        <v>22531</v>
      </c>
      <c r="D257" s="56" t="s">
        <v>1496</v>
      </c>
      <c r="E257" s="10" t="s">
        <v>45</v>
      </c>
      <c r="F257" s="10" t="s">
        <v>1497</v>
      </c>
      <c r="G257" s="10" t="s">
        <v>22010</v>
      </c>
      <c r="H257" s="10" t="s">
        <v>20572</v>
      </c>
      <c r="I257" s="10" t="s">
        <v>55</v>
      </c>
      <c r="K257" s="10" t="s">
        <v>22532</v>
      </c>
      <c r="L257" s="10" t="s">
        <v>42</v>
      </c>
    </row>
    <row r="258" ht="15.75" customHeight="1">
      <c r="A258" s="64">
        <v>45422.0</v>
      </c>
      <c r="B258" s="55" t="str">
        <f>HYPERLINK("https://jobright.ai/jobs/info/6641fd3ba931eb2ed4599ac7?utm_campaign=1056&amp;utm_source=sheet", "Apply")</f>
        <v>Apply</v>
      </c>
      <c r="C258" s="10" t="s">
        <v>22382</v>
      </c>
      <c r="D258" s="56" t="s">
        <v>22383</v>
      </c>
      <c r="E258" s="10" t="s">
        <v>65</v>
      </c>
      <c r="F258" s="10" t="s">
        <v>20076</v>
      </c>
      <c r="G258" s="10" t="s">
        <v>22019</v>
      </c>
      <c r="H258" s="10" t="s">
        <v>22533</v>
      </c>
      <c r="I258" s="10" t="s">
        <v>55</v>
      </c>
      <c r="K258" s="10" t="s">
        <v>22385</v>
      </c>
      <c r="L258" s="10" t="s">
        <v>42</v>
      </c>
    </row>
    <row r="259" ht="15.75" customHeight="1">
      <c r="A259" s="64">
        <v>45418.0</v>
      </c>
      <c r="B259" s="55" t="str">
        <f>HYPERLINK("https://jobright.ai/jobs/info/66421cf970937fa3afb48d96?utm_campaign=1056&amp;utm_source=sheet", "Apply")</f>
        <v>Apply</v>
      </c>
      <c r="C259" s="10" t="s">
        <v>22534</v>
      </c>
      <c r="D259" s="56" t="s">
        <v>8784</v>
      </c>
      <c r="E259" s="10" t="s">
        <v>65</v>
      </c>
      <c r="G259" s="10" t="s">
        <v>22019</v>
      </c>
      <c r="H259" s="10" t="s">
        <v>8785</v>
      </c>
      <c r="I259" s="10" t="s">
        <v>55</v>
      </c>
      <c r="J259" s="10" t="s">
        <v>6811</v>
      </c>
      <c r="K259" s="10" t="s">
        <v>22535</v>
      </c>
      <c r="L259" s="10" t="s">
        <v>42</v>
      </c>
    </row>
    <row r="260" ht="15.75" customHeight="1">
      <c r="A260" s="64">
        <v>45418.0</v>
      </c>
      <c r="B260" s="55" t="str">
        <f>HYPERLINK("https://jobright.ai/jobs/info/66421d0270937fa3afb48e42?utm_campaign=1056&amp;utm_source=sheet", "Apply")</f>
        <v>Apply</v>
      </c>
      <c r="C260" s="10" t="s">
        <v>22536</v>
      </c>
      <c r="D260" s="56" t="s">
        <v>8784</v>
      </c>
      <c r="E260" s="10" t="s">
        <v>65</v>
      </c>
      <c r="G260" s="10" t="s">
        <v>22019</v>
      </c>
      <c r="H260" s="10" t="s">
        <v>8785</v>
      </c>
      <c r="I260" s="10" t="s">
        <v>55</v>
      </c>
      <c r="J260" s="10" t="s">
        <v>6811</v>
      </c>
      <c r="K260" s="10" t="s">
        <v>22537</v>
      </c>
      <c r="L260" s="10" t="s">
        <v>42</v>
      </c>
    </row>
    <row r="261" ht="15.75" customHeight="1">
      <c r="A261" s="64">
        <v>45418.0</v>
      </c>
      <c r="B261" s="55" t="str">
        <f>HYPERLINK("https://jobright.ai/jobs/info/6639043e7ed6399c1b44d530?utm_campaign=1056&amp;utm_source=sheet", "Apply")</f>
        <v>Apply</v>
      </c>
      <c r="C261" s="10" t="s">
        <v>22538</v>
      </c>
      <c r="D261" s="56" t="s">
        <v>22539</v>
      </c>
      <c r="E261" s="10" t="s">
        <v>65</v>
      </c>
      <c r="F261" s="10" t="s">
        <v>22540</v>
      </c>
      <c r="G261" s="10" t="s">
        <v>22019</v>
      </c>
      <c r="H261" s="10" t="s">
        <v>799</v>
      </c>
      <c r="I261" s="10" t="s">
        <v>55</v>
      </c>
      <c r="K261" s="10" t="s">
        <v>22541</v>
      </c>
      <c r="L261" s="10" t="s">
        <v>42</v>
      </c>
    </row>
    <row r="262" ht="15.75" customHeight="1">
      <c r="A262" s="64">
        <v>45416.0</v>
      </c>
      <c r="B262" s="55" t="str">
        <f>HYPERLINK("https://jobright.ai/jobs/info/6637072c880e409e53de7ee9?utm_campaign=1056&amp;utm_source=sheet", "Apply")</f>
        <v>Apply</v>
      </c>
      <c r="C262" s="10" t="s">
        <v>22542</v>
      </c>
      <c r="D262" s="56" t="s">
        <v>1547</v>
      </c>
      <c r="E262" s="10">
        <v>408.0</v>
      </c>
      <c r="G262" s="10" t="s">
        <v>22010</v>
      </c>
      <c r="H262" s="10" t="s">
        <v>807</v>
      </c>
      <c r="I262" s="10" t="s">
        <v>55</v>
      </c>
      <c r="J262" s="10" t="s">
        <v>1553</v>
      </c>
      <c r="K262" s="10" t="s">
        <v>22543</v>
      </c>
      <c r="L262" s="10" t="s">
        <v>42</v>
      </c>
    </row>
    <row r="263" ht="15.75" customHeight="1">
      <c r="A263" s="64">
        <v>45416.0</v>
      </c>
      <c r="B263" s="55" t="str">
        <f>HYPERLINK("https://jobright.ai/jobs/info/6637072c880e409e53de7eb1?utm_campaign=1056&amp;utm_source=sheet", "Apply")</f>
        <v>Apply</v>
      </c>
      <c r="C263" s="10" t="s">
        <v>22544</v>
      </c>
      <c r="D263" s="56" t="s">
        <v>1547</v>
      </c>
      <c r="E263" s="10">
        <v>408.0</v>
      </c>
      <c r="G263" s="10" t="s">
        <v>22010</v>
      </c>
      <c r="H263" s="10" t="s">
        <v>9299</v>
      </c>
      <c r="I263" s="10" t="s">
        <v>55</v>
      </c>
      <c r="K263" s="10" t="s">
        <v>22545</v>
      </c>
      <c r="L263" s="10" t="s">
        <v>42</v>
      </c>
    </row>
    <row r="264">
      <c r="A264" s="64"/>
      <c r="D264" s="56"/>
    </row>
    <row r="265">
      <c r="A265" s="64"/>
      <c r="D265" s="56"/>
    </row>
    <row r="266">
      <c r="A266" s="64"/>
      <c r="D266" s="56"/>
    </row>
    <row r="267">
      <c r="A267" s="64"/>
      <c r="D267" s="56"/>
    </row>
    <row r="268">
      <c r="A268" s="64"/>
      <c r="D268" s="56"/>
    </row>
    <row r="269">
      <c r="A269" s="64"/>
      <c r="D269" s="56"/>
    </row>
    <row r="270">
      <c r="A270" s="64"/>
      <c r="D270" s="56"/>
    </row>
    <row r="271">
      <c r="A271" s="64"/>
      <c r="D271" s="56"/>
    </row>
    <row r="272">
      <c r="A272" s="64"/>
      <c r="D272" s="56"/>
    </row>
    <row r="273">
      <c r="A273" s="64"/>
      <c r="D273" s="56"/>
    </row>
    <row r="274">
      <c r="A274" s="64"/>
      <c r="D274" s="56"/>
    </row>
    <row r="275">
      <c r="A275" s="64"/>
      <c r="D275" s="56"/>
    </row>
    <row r="276">
      <c r="A276" s="64"/>
      <c r="D276" s="56"/>
    </row>
    <row r="277">
      <c r="A277" s="64"/>
      <c r="D277" s="56"/>
    </row>
    <row r="278">
      <c r="A278" s="64"/>
      <c r="D278" s="56"/>
    </row>
    <row r="279">
      <c r="A279" s="64"/>
      <c r="D279" s="56"/>
    </row>
    <row r="280">
      <c r="A280" s="64"/>
      <c r="D280" s="56"/>
    </row>
    <row r="281">
      <c r="A281" s="64"/>
      <c r="D281" s="56"/>
    </row>
    <row r="282">
      <c r="A282" s="64"/>
      <c r="D282" s="56"/>
    </row>
    <row r="283">
      <c r="A283" s="64"/>
      <c r="D283" s="56"/>
    </row>
    <row r="284">
      <c r="A284" s="64"/>
      <c r="D284" s="56"/>
    </row>
    <row r="285">
      <c r="A285" s="64"/>
      <c r="D285" s="56"/>
    </row>
    <row r="286">
      <c r="A286" s="64"/>
      <c r="D286" s="56"/>
    </row>
    <row r="287">
      <c r="A287" s="64"/>
      <c r="D287" s="56"/>
    </row>
    <row r="288">
      <c r="A288" s="64"/>
      <c r="D288" s="56"/>
    </row>
    <row r="289">
      <c r="A289" s="64"/>
      <c r="D289" s="56"/>
    </row>
    <row r="290">
      <c r="A290" s="64"/>
      <c r="D290" s="56"/>
    </row>
    <row r="291">
      <c r="A291" s="64"/>
      <c r="D291" s="56"/>
    </row>
    <row r="292">
      <c r="A292" s="64"/>
      <c r="D292" s="56"/>
    </row>
    <row r="293">
      <c r="A293" s="64"/>
      <c r="D293" s="56"/>
    </row>
    <row r="294">
      <c r="A294" s="64"/>
      <c r="D294" s="56"/>
    </row>
    <row r="295">
      <c r="A295" s="64"/>
      <c r="D295" s="56"/>
    </row>
    <row r="296">
      <c r="A296" s="64"/>
      <c r="D296" s="56"/>
    </row>
    <row r="297">
      <c r="A297" s="64"/>
      <c r="D297" s="56"/>
    </row>
    <row r="298">
      <c r="A298" s="64"/>
      <c r="D298" s="56"/>
    </row>
    <row r="299">
      <c r="A299" s="64"/>
      <c r="D299" s="56"/>
    </row>
    <row r="300">
      <c r="A300" s="64"/>
      <c r="D300" s="56"/>
    </row>
    <row r="301">
      <c r="A301" s="64"/>
      <c r="D301" s="56"/>
    </row>
    <row r="302">
      <c r="A302" s="64"/>
      <c r="D302" s="56"/>
    </row>
    <row r="303">
      <c r="A303" s="64"/>
      <c r="D303" s="56"/>
    </row>
    <row r="304">
      <c r="A304" s="64"/>
      <c r="D304" s="56"/>
    </row>
    <row r="305">
      <c r="A305" s="64"/>
      <c r="D305" s="56"/>
    </row>
    <row r="306">
      <c r="A306" s="64"/>
      <c r="D306" s="56"/>
    </row>
    <row r="307">
      <c r="A307" s="64"/>
      <c r="D307" s="56"/>
    </row>
    <row r="308">
      <c r="A308" s="64"/>
      <c r="D308" s="56"/>
    </row>
    <row r="309">
      <c r="A309" s="64"/>
      <c r="D309" s="56"/>
    </row>
    <row r="310">
      <c r="A310" s="64"/>
      <c r="D310" s="56"/>
    </row>
    <row r="311">
      <c r="A311" s="64"/>
      <c r="D311" s="56"/>
    </row>
    <row r="312">
      <c r="A312" s="64"/>
      <c r="D312" s="56"/>
    </row>
    <row r="313">
      <c r="A313" s="64"/>
      <c r="D313" s="56"/>
    </row>
    <row r="314">
      <c r="A314" s="64"/>
      <c r="D314" s="56"/>
    </row>
    <row r="315">
      <c r="A315" s="64"/>
      <c r="D315" s="56"/>
    </row>
    <row r="316">
      <c r="A316" s="64"/>
      <c r="D316" s="56"/>
    </row>
    <row r="317">
      <c r="A317" s="64"/>
      <c r="D317" s="56"/>
    </row>
    <row r="318">
      <c r="A318" s="64"/>
      <c r="D318" s="56"/>
    </row>
    <row r="319">
      <c r="A319" s="64"/>
      <c r="D319" s="56"/>
    </row>
    <row r="320">
      <c r="A320" s="64"/>
      <c r="D320" s="56"/>
    </row>
    <row r="321">
      <c r="A321" s="64"/>
      <c r="D321" s="56"/>
    </row>
    <row r="322">
      <c r="A322" s="64"/>
      <c r="D322" s="56"/>
    </row>
    <row r="323">
      <c r="A323" s="64"/>
      <c r="D323" s="56"/>
    </row>
    <row r="324">
      <c r="A324" s="64"/>
      <c r="D324" s="56"/>
    </row>
    <row r="325">
      <c r="A325" s="64"/>
      <c r="D325" s="56"/>
    </row>
    <row r="326">
      <c r="A326" s="64"/>
      <c r="D326" s="56"/>
    </row>
    <row r="327">
      <c r="A327" s="64"/>
      <c r="D327" s="56"/>
    </row>
    <row r="328">
      <c r="A328" s="64"/>
      <c r="D328" s="56"/>
    </row>
    <row r="329">
      <c r="A329" s="64"/>
      <c r="D329" s="56"/>
    </row>
    <row r="330">
      <c r="A330" s="64"/>
      <c r="D330" s="56"/>
    </row>
    <row r="331">
      <c r="A331" s="64"/>
      <c r="D331" s="56"/>
    </row>
    <row r="332">
      <c r="A332" s="64"/>
      <c r="D332" s="56"/>
    </row>
    <row r="333">
      <c r="A333" s="64"/>
      <c r="D333" s="56"/>
    </row>
    <row r="334">
      <c r="A334" s="64"/>
      <c r="D334" s="56"/>
    </row>
    <row r="335">
      <c r="A335" s="64"/>
      <c r="D335" s="56"/>
    </row>
    <row r="336">
      <c r="A336" s="64"/>
      <c r="D336" s="56"/>
    </row>
    <row r="337">
      <c r="A337" s="64"/>
      <c r="D337" s="56"/>
    </row>
    <row r="338">
      <c r="A338" s="64"/>
      <c r="D338" s="56"/>
    </row>
    <row r="339">
      <c r="A339" s="64"/>
      <c r="D339" s="56"/>
    </row>
    <row r="340">
      <c r="A340" s="64"/>
      <c r="D340" s="56"/>
    </row>
    <row r="341">
      <c r="A341" s="64"/>
      <c r="D341" s="56"/>
    </row>
    <row r="342">
      <c r="A342" s="64"/>
      <c r="D342" s="56"/>
    </row>
    <row r="343">
      <c r="A343" s="64"/>
      <c r="D343" s="56"/>
    </row>
    <row r="344">
      <c r="A344" s="64"/>
      <c r="D344" s="56"/>
    </row>
    <row r="345">
      <c r="A345" s="64"/>
      <c r="D345" s="56"/>
    </row>
    <row r="346">
      <c r="A346" s="64"/>
      <c r="D346" s="56"/>
    </row>
    <row r="347">
      <c r="A347" s="64"/>
      <c r="D347" s="56"/>
    </row>
    <row r="348">
      <c r="A348" s="64"/>
      <c r="D348" s="56"/>
    </row>
    <row r="349">
      <c r="A349" s="64"/>
      <c r="D349" s="56"/>
    </row>
    <row r="350">
      <c r="A350" s="64"/>
      <c r="D350" s="56"/>
    </row>
    <row r="351">
      <c r="A351" s="64"/>
      <c r="D351" s="56"/>
    </row>
    <row r="352">
      <c r="A352" s="64"/>
      <c r="D352" s="56"/>
    </row>
    <row r="353">
      <c r="A353" s="64"/>
      <c r="D353" s="56"/>
    </row>
    <row r="354">
      <c r="A354" s="64"/>
      <c r="D354" s="56"/>
    </row>
    <row r="355">
      <c r="A355" s="64"/>
      <c r="D355" s="56"/>
    </row>
    <row r="356">
      <c r="A356" s="64"/>
      <c r="D356" s="56"/>
    </row>
    <row r="357">
      <c r="A357" s="64"/>
      <c r="D357" s="56"/>
    </row>
    <row r="358">
      <c r="A358" s="64"/>
      <c r="D358" s="56"/>
    </row>
    <row r="359">
      <c r="A359" s="64"/>
      <c r="D359" s="56"/>
    </row>
    <row r="360">
      <c r="A360" s="64"/>
      <c r="D360" s="56"/>
    </row>
    <row r="361">
      <c r="A361" s="64"/>
      <c r="D361" s="56"/>
    </row>
    <row r="362">
      <c r="A362" s="64"/>
      <c r="D362" s="56"/>
    </row>
    <row r="363">
      <c r="A363" s="64"/>
      <c r="D363" s="56"/>
    </row>
    <row r="364">
      <c r="A364" s="64"/>
      <c r="D364" s="56"/>
    </row>
    <row r="365">
      <c r="A365" s="64"/>
      <c r="D365" s="56"/>
    </row>
    <row r="366">
      <c r="A366" s="64"/>
      <c r="D366" s="56"/>
    </row>
    <row r="367">
      <c r="A367" s="64"/>
      <c r="D367" s="56"/>
    </row>
    <row r="368">
      <c r="A368" s="64"/>
      <c r="D368" s="56"/>
    </row>
    <row r="369">
      <c r="A369" s="64"/>
      <c r="D369" s="56"/>
    </row>
    <row r="370">
      <c r="A370" s="64"/>
      <c r="D370" s="56"/>
    </row>
    <row r="371">
      <c r="A371" s="64"/>
      <c r="D371" s="56"/>
    </row>
    <row r="372">
      <c r="A372" s="64"/>
      <c r="D372" s="56"/>
    </row>
    <row r="373">
      <c r="A373" s="64"/>
      <c r="D373" s="56"/>
    </row>
    <row r="374">
      <c r="A374" s="64"/>
      <c r="D374" s="56"/>
    </row>
    <row r="375">
      <c r="A375" s="64"/>
      <c r="D375" s="56"/>
    </row>
    <row r="376">
      <c r="A376" s="64"/>
      <c r="D376" s="56"/>
    </row>
    <row r="377">
      <c r="A377" s="64"/>
      <c r="D377" s="56"/>
    </row>
    <row r="378">
      <c r="A378" s="64"/>
      <c r="D378" s="56"/>
    </row>
    <row r="379">
      <c r="A379" s="64"/>
      <c r="D379" s="56"/>
    </row>
    <row r="380">
      <c r="A380" s="64"/>
      <c r="D380" s="56"/>
    </row>
    <row r="381">
      <c r="A381" s="64"/>
      <c r="D381" s="56"/>
    </row>
    <row r="382">
      <c r="A382" s="64"/>
      <c r="D382" s="56"/>
    </row>
    <row r="383">
      <c r="A383" s="64"/>
      <c r="D383" s="56"/>
    </row>
    <row r="384">
      <c r="A384" s="64"/>
      <c r="D384" s="56"/>
    </row>
    <row r="385">
      <c r="A385" s="64"/>
      <c r="D385" s="56"/>
    </row>
    <row r="386">
      <c r="A386" s="64"/>
      <c r="D386" s="56"/>
    </row>
    <row r="387">
      <c r="A387" s="64"/>
      <c r="D387" s="56"/>
    </row>
    <row r="388">
      <c r="A388" s="64"/>
      <c r="D388" s="56"/>
    </row>
    <row r="389">
      <c r="A389" s="64"/>
      <c r="D389" s="56"/>
    </row>
    <row r="390">
      <c r="A390" s="64"/>
      <c r="D390" s="56"/>
    </row>
    <row r="391">
      <c r="A391" s="64"/>
      <c r="D391" s="56"/>
    </row>
    <row r="392">
      <c r="A392" s="64"/>
      <c r="D392" s="56"/>
    </row>
    <row r="393">
      <c r="A393" s="64"/>
      <c r="D393" s="56"/>
    </row>
    <row r="394">
      <c r="A394" s="64"/>
      <c r="D394" s="56"/>
    </row>
    <row r="395">
      <c r="A395" s="64"/>
      <c r="D395" s="56"/>
    </row>
    <row r="396">
      <c r="A396" s="64"/>
      <c r="D396" s="56"/>
    </row>
    <row r="397">
      <c r="A397" s="64"/>
      <c r="D397" s="56"/>
    </row>
    <row r="398">
      <c r="A398" s="64"/>
      <c r="D398" s="56"/>
    </row>
    <row r="399">
      <c r="A399" s="64"/>
      <c r="D399" s="56"/>
    </row>
    <row r="400">
      <c r="A400" s="64"/>
      <c r="D400" s="56"/>
    </row>
    <row r="401">
      <c r="A401" s="64"/>
      <c r="D401" s="56"/>
    </row>
    <row r="402">
      <c r="A402" s="64"/>
      <c r="D402" s="56"/>
    </row>
    <row r="403">
      <c r="A403" s="64"/>
      <c r="D403" s="56"/>
    </row>
    <row r="404">
      <c r="A404" s="64"/>
      <c r="D404" s="56"/>
    </row>
    <row r="405">
      <c r="A405" s="64"/>
      <c r="D405" s="56"/>
    </row>
    <row r="406">
      <c r="A406" s="64"/>
      <c r="D406" s="56"/>
    </row>
    <row r="407">
      <c r="A407" s="64"/>
      <c r="D407" s="56"/>
    </row>
    <row r="408">
      <c r="A408" s="64"/>
      <c r="D408" s="56"/>
    </row>
    <row r="409">
      <c r="A409" s="64"/>
      <c r="D409" s="56"/>
    </row>
    <row r="410">
      <c r="A410" s="64"/>
      <c r="D410" s="56"/>
    </row>
    <row r="411">
      <c r="A411" s="64"/>
      <c r="D411" s="56"/>
    </row>
    <row r="412">
      <c r="A412" s="64"/>
      <c r="D412" s="56"/>
    </row>
    <row r="413">
      <c r="A413" s="64"/>
      <c r="D413" s="56"/>
    </row>
    <row r="414">
      <c r="A414" s="64"/>
      <c r="D414" s="56"/>
    </row>
    <row r="415">
      <c r="A415" s="64"/>
      <c r="D415" s="56"/>
    </row>
    <row r="416">
      <c r="A416" s="64"/>
      <c r="D416" s="56"/>
    </row>
    <row r="417">
      <c r="A417" s="64"/>
      <c r="D417" s="56"/>
    </row>
    <row r="418">
      <c r="A418" s="64"/>
      <c r="D418" s="56"/>
    </row>
    <row r="419">
      <c r="A419" s="64"/>
      <c r="D419" s="56"/>
    </row>
    <row r="420">
      <c r="A420" s="64"/>
      <c r="D420" s="56"/>
    </row>
    <row r="421">
      <c r="A421" s="64"/>
      <c r="D421" s="56"/>
    </row>
    <row r="422">
      <c r="A422" s="64"/>
      <c r="D422" s="56"/>
    </row>
    <row r="423">
      <c r="A423" s="64"/>
      <c r="D423" s="56"/>
    </row>
    <row r="424">
      <c r="A424" s="64"/>
      <c r="D424" s="56"/>
    </row>
    <row r="425">
      <c r="A425" s="64"/>
      <c r="D425" s="56"/>
    </row>
    <row r="426">
      <c r="A426" s="64"/>
      <c r="D426" s="56"/>
    </row>
    <row r="427">
      <c r="A427" s="64"/>
      <c r="D427" s="56"/>
    </row>
    <row r="428">
      <c r="A428" s="64"/>
      <c r="D428" s="56"/>
    </row>
    <row r="429">
      <c r="A429" s="64"/>
      <c r="D429" s="56"/>
    </row>
    <row r="430">
      <c r="A430" s="64"/>
      <c r="D430" s="56"/>
    </row>
    <row r="431">
      <c r="A431" s="64"/>
      <c r="D431" s="56"/>
    </row>
    <row r="432">
      <c r="A432" s="64"/>
      <c r="D432" s="56"/>
    </row>
    <row r="433">
      <c r="A433" s="64"/>
      <c r="D433" s="56"/>
    </row>
    <row r="434">
      <c r="A434" s="64"/>
      <c r="D434" s="56"/>
    </row>
    <row r="435">
      <c r="A435" s="64"/>
      <c r="D435" s="56"/>
    </row>
    <row r="436">
      <c r="A436" s="64"/>
      <c r="D436" s="56"/>
    </row>
    <row r="437">
      <c r="A437" s="64"/>
      <c r="D437" s="56"/>
    </row>
    <row r="438">
      <c r="A438" s="64"/>
      <c r="D438" s="56"/>
    </row>
    <row r="439">
      <c r="A439" s="64"/>
      <c r="D439" s="56"/>
    </row>
    <row r="440">
      <c r="A440" s="64"/>
      <c r="D440" s="56"/>
    </row>
    <row r="441">
      <c r="A441" s="64"/>
      <c r="D441" s="56"/>
    </row>
    <row r="442">
      <c r="A442" s="64"/>
      <c r="D442" s="56"/>
    </row>
    <row r="443">
      <c r="A443" s="64"/>
      <c r="D443" s="56"/>
    </row>
    <row r="444">
      <c r="A444" s="64"/>
      <c r="D444" s="56"/>
    </row>
    <row r="445">
      <c r="A445" s="64"/>
      <c r="D445" s="56"/>
    </row>
    <row r="446">
      <c r="A446" s="64"/>
      <c r="D446" s="56"/>
    </row>
    <row r="447">
      <c r="A447" s="64"/>
      <c r="D447" s="56"/>
    </row>
    <row r="448">
      <c r="A448" s="64"/>
      <c r="D448" s="56"/>
    </row>
    <row r="449">
      <c r="A449" s="64"/>
      <c r="D449" s="56"/>
    </row>
    <row r="450">
      <c r="A450" s="64"/>
      <c r="D450" s="56"/>
    </row>
    <row r="451">
      <c r="A451" s="64"/>
      <c r="D451" s="56"/>
    </row>
    <row r="452">
      <c r="A452" s="64"/>
      <c r="D452" s="56"/>
    </row>
    <row r="453">
      <c r="A453" s="64"/>
      <c r="D453" s="56"/>
    </row>
    <row r="454">
      <c r="A454" s="64"/>
      <c r="D454" s="56"/>
    </row>
    <row r="455">
      <c r="A455" s="64"/>
      <c r="D455" s="56"/>
    </row>
    <row r="456">
      <c r="A456" s="64"/>
      <c r="D456" s="56"/>
    </row>
    <row r="457">
      <c r="A457" s="64"/>
      <c r="D457" s="56"/>
    </row>
    <row r="458">
      <c r="A458" s="64"/>
      <c r="D458" s="56"/>
    </row>
    <row r="459">
      <c r="A459" s="64"/>
      <c r="D459" s="56"/>
    </row>
    <row r="460">
      <c r="A460" s="64"/>
      <c r="D460" s="56"/>
    </row>
    <row r="461">
      <c r="A461" s="64"/>
      <c r="D461" s="56"/>
    </row>
    <row r="462">
      <c r="A462" s="64"/>
      <c r="D462" s="56"/>
    </row>
    <row r="463">
      <c r="A463" s="64"/>
      <c r="D463" s="56"/>
    </row>
    <row r="464">
      <c r="A464" s="64"/>
      <c r="D464" s="56"/>
    </row>
    <row r="465">
      <c r="A465" s="64"/>
      <c r="D465" s="56"/>
    </row>
    <row r="466">
      <c r="A466" s="64"/>
      <c r="D466" s="56"/>
    </row>
    <row r="467">
      <c r="A467" s="64"/>
      <c r="D467" s="56"/>
    </row>
    <row r="468">
      <c r="A468" s="64"/>
      <c r="D468" s="56"/>
    </row>
    <row r="469">
      <c r="A469" s="64"/>
      <c r="D469" s="56"/>
    </row>
    <row r="470">
      <c r="A470" s="64"/>
      <c r="D470" s="56"/>
    </row>
    <row r="471">
      <c r="A471" s="64"/>
      <c r="D471" s="56"/>
    </row>
    <row r="472">
      <c r="A472" s="64"/>
      <c r="D472" s="56"/>
    </row>
    <row r="473">
      <c r="A473" s="64"/>
      <c r="D473" s="56"/>
    </row>
    <row r="474">
      <c r="A474" s="64"/>
      <c r="D474" s="56"/>
    </row>
    <row r="475">
      <c r="A475" s="64"/>
      <c r="D475" s="56"/>
    </row>
    <row r="476">
      <c r="A476" s="64"/>
      <c r="D476" s="56"/>
    </row>
    <row r="477">
      <c r="A477" s="64"/>
      <c r="D477" s="56"/>
    </row>
    <row r="478">
      <c r="A478" s="64"/>
      <c r="D478" s="56"/>
    </row>
    <row r="479">
      <c r="A479" s="64"/>
      <c r="D479" s="56"/>
    </row>
    <row r="480">
      <c r="A480" s="64"/>
      <c r="D480" s="56"/>
    </row>
    <row r="481">
      <c r="A481" s="64"/>
      <c r="D481" s="56"/>
    </row>
    <row r="482">
      <c r="A482" s="64"/>
      <c r="D482" s="56"/>
    </row>
    <row r="483">
      <c r="A483" s="64"/>
      <c r="D483" s="56"/>
    </row>
    <row r="484">
      <c r="A484" s="64"/>
      <c r="D484" s="56"/>
    </row>
    <row r="485">
      <c r="A485" s="64"/>
      <c r="D485" s="56"/>
    </row>
    <row r="486">
      <c r="A486" s="64"/>
      <c r="D486" s="56"/>
    </row>
    <row r="487">
      <c r="A487" s="64"/>
      <c r="D487" s="56"/>
    </row>
    <row r="488">
      <c r="A488" s="64"/>
      <c r="D488" s="56"/>
    </row>
    <row r="489">
      <c r="A489" s="64"/>
      <c r="D489" s="56"/>
    </row>
    <row r="490">
      <c r="A490" s="64"/>
      <c r="D490" s="56"/>
    </row>
    <row r="491">
      <c r="A491" s="64"/>
      <c r="D491" s="56"/>
    </row>
    <row r="492">
      <c r="A492" s="64"/>
      <c r="D492" s="56"/>
    </row>
    <row r="493">
      <c r="A493" s="64"/>
      <c r="D493" s="56"/>
    </row>
    <row r="494">
      <c r="A494" s="64"/>
      <c r="D494" s="56"/>
    </row>
    <row r="495">
      <c r="A495" s="64"/>
      <c r="D495" s="56"/>
    </row>
    <row r="496">
      <c r="A496" s="64"/>
      <c r="D496" s="56"/>
    </row>
    <row r="497">
      <c r="A497" s="64"/>
      <c r="D497" s="56"/>
    </row>
    <row r="498">
      <c r="A498" s="64"/>
      <c r="D498" s="56"/>
    </row>
    <row r="499">
      <c r="A499" s="64"/>
      <c r="D499" s="56"/>
    </row>
    <row r="500">
      <c r="A500" s="64"/>
      <c r="D500" s="56"/>
    </row>
    <row r="501">
      <c r="A501" s="64"/>
      <c r="D501" s="56"/>
    </row>
    <row r="502">
      <c r="A502" s="64"/>
      <c r="D502" s="56"/>
    </row>
    <row r="503">
      <c r="A503" s="64"/>
      <c r="D503" s="56"/>
    </row>
    <row r="504">
      <c r="A504" s="64"/>
      <c r="D504" s="56"/>
    </row>
    <row r="505">
      <c r="A505" s="64"/>
      <c r="D505" s="56"/>
    </row>
    <row r="506">
      <c r="A506" s="64"/>
      <c r="D506" s="56"/>
    </row>
    <row r="507">
      <c r="A507" s="64"/>
      <c r="D507" s="56"/>
    </row>
    <row r="508">
      <c r="A508" s="64"/>
      <c r="D508" s="56"/>
    </row>
    <row r="509">
      <c r="A509" s="64"/>
      <c r="D509" s="56"/>
    </row>
    <row r="510">
      <c r="A510" s="64"/>
      <c r="D510" s="56"/>
    </row>
    <row r="511">
      <c r="A511" s="64"/>
      <c r="D511" s="56"/>
    </row>
    <row r="512">
      <c r="A512" s="64"/>
      <c r="D512" s="56"/>
    </row>
    <row r="513">
      <c r="A513" s="64"/>
      <c r="D513" s="56"/>
    </row>
    <row r="514">
      <c r="A514" s="64"/>
      <c r="D514" s="56"/>
    </row>
    <row r="515">
      <c r="A515" s="64"/>
      <c r="D515" s="56"/>
    </row>
    <row r="516">
      <c r="A516" s="64"/>
      <c r="D516" s="56"/>
    </row>
    <row r="517">
      <c r="A517" s="64"/>
      <c r="D517" s="56"/>
    </row>
    <row r="518">
      <c r="A518" s="64"/>
      <c r="D518" s="56"/>
    </row>
    <row r="519">
      <c r="A519" s="64"/>
      <c r="D519" s="56"/>
    </row>
    <row r="520">
      <c r="A520" s="64"/>
      <c r="D520" s="56"/>
    </row>
    <row r="521">
      <c r="A521" s="64"/>
      <c r="D521" s="56"/>
    </row>
    <row r="522">
      <c r="A522" s="64"/>
      <c r="D522" s="56"/>
    </row>
    <row r="523">
      <c r="A523" s="64"/>
      <c r="D523" s="56"/>
    </row>
    <row r="524">
      <c r="A524" s="64"/>
      <c r="D524" s="56"/>
    </row>
    <row r="525">
      <c r="A525" s="64"/>
      <c r="D525" s="56"/>
    </row>
    <row r="526">
      <c r="A526" s="64"/>
      <c r="D526" s="56"/>
    </row>
    <row r="527">
      <c r="A527" s="64"/>
      <c r="D527" s="56"/>
    </row>
    <row r="528">
      <c r="A528" s="64"/>
      <c r="D528" s="56"/>
    </row>
    <row r="529">
      <c r="A529" s="64"/>
      <c r="D529" s="63"/>
    </row>
    <row r="530">
      <c r="A530" s="64"/>
      <c r="D530" s="63"/>
    </row>
    <row r="531">
      <c r="A531" s="64"/>
      <c r="D531" s="63"/>
    </row>
    <row r="532">
      <c r="A532" s="66"/>
      <c r="D532" s="63"/>
    </row>
    <row r="533">
      <c r="A533" s="66"/>
      <c r="D533" s="63"/>
    </row>
    <row r="534">
      <c r="A534" s="66"/>
      <c r="D534" s="63"/>
    </row>
    <row r="535">
      <c r="A535" s="66"/>
      <c r="D535" s="63"/>
    </row>
    <row r="536">
      <c r="A536" s="66"/>
      <c r="D536" s="63"/>
    </row>
    <row r="537">
      <c r="A537" s="66"/>
      <c r="D537" s="63"/>
    </row>
    <row r="538">
      <c r="A538" s="66"/>
      <c r="D538" s="63"/>
    </row>
    <row r="539">
      <c r="A539" s="66"/>
      <c r="D539" s="63"/>
    </row>
    <row r="540">
      <c r="A540" s="66"/>
      <c r="D540" s="63"/>
    </row>
    <row r="541">
      <c r="A541" s="66"/>
      <c r="D541" s="63"/>
    </row>
    <row r="542">
      <c r="A542" s="66"/>
      <c r="D542" s="63"/>
    </row>
    <row r="543">
      <c r="A543" s="66"/>
      <c r="D543" s="63"/>
    </row>
    <row r="544">
      <c r="A544" s="66"/>
      <c r="D544" s="63"/>
    </row>
    <row r="545">
      <c r="A545" s="66"/>
      <c r="D545" s="63"/>
    </row>
    <row r="546">
      <c r="A546" s="66"/>
      <c r="D546" s="63"/>
    </row>
    <row r="547">
      <c r="A547" s="67"/>
      <c r="D547" s="63"/>
    </row>
    <row r="548">
      <c r="A548" s="67"/>
      <c r="D548" s="63"/>
    </row>
    <row r="549">
      <c r="A549" s="67"/>
      <c r="D549" s="63"/>
    </row>
    <row r="550">
      <c r="A550" s="67"/>
      <c r="D550" s="63"/>
    </row>
    <row r="551">
      <c r="A551" s="67"/>
      <c r="D551" s="63"/>
    </row>
    <row r="552">
      <c r="A552" s="67"/>
      <c r="D552" s="63"/>
    </row>
    <row r="553">
      <c r="A553" s="67"/>
      <c r="D553" s="63"/>
    </row>
    <row r="554">
      <c r="A554" s="67"/>
      <c r="D554" s="63"/>
    </row>
    <row r="555">
      <c r="A555" s="67"/>
      <c r="D555" s="63"/>
    </row>
    <row r="556">
      <c r="A556" s="67"/>
      <c r="D556" s="63"/>
    </row>
    <row r="557">
      <c r="A557" s="67"/>
      <c r="D557" s="63"/>
    </row>
    <row r="558">
      <c r="A558" s="67"/>
      <c r="D558" s="63"/>
    </row>
    <row r="559">
      <c r="A559" s="67"/>
      <c r="D559" s="63"/>
    </row>
    <row r="560">
      <c r="A560" s="67"/>
      <c r="D560" s="63"/>
    </row>
    <row r="561">
      <c r="A561" s="67"/>
      <c r="D561" s="63"/>
    </row>
    <row r="562">
      <c r="A562" s="67"/>
      <c r="D562" s="63"/>
    </row>
    <row r="563">
      <c r="A563" s="67"/>
      <c r="D563" s="63"/>
    </row>
    <row r="564">
      <c r="A564" s="67"/>
      <c r="D564" s="63"/>
    </row>
    <row r="565">
      <c r="A565" s="67"/>
      <c r="D565" s="63"/>
    </row>
    <row r="566">
      <c r="A566" s="67"/>
      <c r="D566" s="63"/>
    </row>
    <row r="567">
      <c r="A567" s="67"/>
      <c r="D567" s="63"/>
    </row>
    <row r="568">
      <c r="A568" s="67"/>
      <c r="D568" s="63"/>
    </row>
    <row r="569">
      <c r="A569" s="68"/>
      <c r="D569" s="63"/>
    </row>
    <row r="570">
      <c r="A570" s="68"/>
      <c r="D570" s="63"/>
    </row>
    <row r="571">
      <c r="A571" s="68"/>
      <c r="D571" s="63"/>
    </row>
    <row r="572">
      <c r="A572" s="68"/>
      <c r="D572" s="63"/>
    </row>
    <row r="573">
      <c r="A573" s="68"/>
      <c r="D573" s="63"/>
    </row>
    <row r="574">
      <c r="A574" s="64"/>
      <c r="D574" s="63"/>
    </row>
    <row r="575">
      <c r="A575" s="64"/>
      <c r="D575" s="63"/>
    </row>
    <row r="576">
      <c r="A576" s="64"/>
      <c r="D576" s="63"/>
    </row>
    <row r="577">
      <c r="A577" s="64"/>
      <c r="D577" s="63"/>
    </row>
    <row r="578">
      <c r="A578" s="64"/>
      <c r="D578" s="63"/>
    </row>
    <row r="579">
      <c r="A579" s="64"/>
      <c r="D579" s="63"/>
    </row>
    <row r="580">
      <c r="A580" s="64"/>
      <c r="D580" s="63"/>
    </row>
    <row r="581">
      <c r="A581" s="64"/>
      <c r="D581" s="63"/>
    </row>
    <row r="582">
      <c r="A582" s="64"/>
      <c r="D582" s="63"/>
    </row>
    <row r="583">
      <c r="A583" s="64"/>
      <c r="D583" s="63"/>
    </row>
    <row r="584">
      <c r="A584" s="64"/>
      <c r="D584" s="63"/>
    </row>
    <row r="585">
      <c r="A585" s="64"/>
      <c r="D585" s="63"/>
    </row>
    <row r="586">
      <c r="A586" s="64"/>
      <c r="D586" s="63"/>
    </row>
    <row r="587">
      <c r="A587" s="64"/>
      <c r="D587" s="63"/>
    </row>
    <row r="588">
      <c r="A588" s="64"/>
      <c r="D588" s="63"/>
    </row>
    <row r="589">
      <c r="A589" s="66"/>
      <c r="D589" s="63"/>
    </row>
    <row r="590">
      <c r="A590" s="66"/>
      <c r="D590" s="63"/>
    </row>
    <row r="591">
      <c r="A591" s="64"/>
      <c r="D591" s="63"/>
    </row>
    <row r="592">
      <c r="A592" s="64"/>
      <c r="D592" s="63"/>
    </row>
    <row r="593">
      <c r="A593" s="64"/>
      <c r="D593" s="63"/>
    </row>
    <row r="594">
      <c r="A594" s="64"/>
      <c r="D594" s="63"/>
    </row>
    <row r="595">
      <c r="A595" s="66"/>
      <c r="D595" s="63"/>
    </row>
    <row r="596">
      <c r="A596" s="66"/>
      <c r="D596" s="63"/>
    </row>
    <row r="597">
      <c r="A597" s="64"/>
      <c r="D597" s="63"/>
    </row>
    <row r="598">
      <c r="A598" s="66"/>
      <c r="D598" s="63"/>
    </row>
    <row r="599">
      <c r="A599" s="64"/>
      <c r="D599" s="63"/>
    </row>
    <row r="600">
      <c r="A600" s="64"/>
      <c r="D600" s="63"/>
    </row>
    <row r="601">
      <c r="A601" s="64"/>
      <c r="D601" s="63"/>
    </row>
    <row r="602">
      <c r="A602" s="66"/>
      <c r="D602" s="63"/>
    </row>
    <row r="603">
      <c r="A603" s="66"/>
      <c r="D603" s="63"/>
    </row>
    <row r="604">
      <c r="A604" s="66"/>
      <c r="D604" s="63"/>
    </row>
    <row r="605">
      <c r="D605" s="63"/>
      <c r="F605" s="64"/>
    </row>
    <row r="606">
      <c r="D606" s="63"/>
      <c r="F606" s="64"/>
    </row>
    <row r="607">
      <c r="D607" s="63"/>
      <c r="F607" s="66"/>
    </row>
    <row r="608">
      <c r="D608" s="63"/>
      <c r="F608" s="66"/>
    </row>
    <row r="609">
      <c r="D609" s="63"/>
      <c r="F609" s="64"/>
    </row>
    <row r="610">
      <c r="D610" s="63"/>
      <c r="F610" s="66"/>
    </row>
    <row r="611">
      <c r="D611" s="63"/>
      <c r="F611" s="64"/>
    </row>
    <row r="612">
      <c r="D612" s="63"/>
      <c r="F612" s="64"/>
    </row>
    <row r="613">
      <c r="D613" s="63"/>
      <c r="F613" s="64"/>
    </row>
    <row r="614">
      <c r="D614" s="63"/>
      <c r="F614" s="66"/>
    </row>
    <row r="615">
      <c r="D615" s="63"/>
      <c r="F615" s="66"/>
    </row>
    <row r="616">
      <c r="D616" s="63"/>
      <c r="F616" s="66"/>
    </row>
    <row r="617">
      <c r="D617" s="63"/>
      <c r="F617" s="64"/>
    </row>
    <row r="618">
      <c r="D618" s="63"/>
      <c r="F618" s="66"/>
    </row>
    <row r="619">
      <c r="D619" s="63"/>
      <c r="F619" s="66"/>
    </row>
    <row r="620">
      <c r="D620" s="63"/>
      <c r="F620" s="66"/>
    </row>
    <row r="621">
      <c r="D621" s="63"/>
      <c r="F621" s="66"/>
    </row>
    <row r="622">
      <c r="D622" s="63"/>
    </row>
    <row r="623">
      <c r="D623" s="63"/>
    </row>
    <row r="624">
      <c r="D624" s="63"/>
    </row>
    <row r="625">
      <c r="D625" s="63"/>
    </row>
    <row r="626">
      <c r="D626" s="63"/>
    </row>
    <row r="627">
      <c r="D627" s="63"/>
    </row>
    <row r="628">
      <c r="D628" s="63"/>
    </row>
    <row r="629">
      <c r="D629" s="63"/>
    </row>
    <row r="630">
      <c r="D630" s="63"/>
    </row>
    <row r="631">
      <c r="D631" s="63"/>
    </row>
    <row r="632">
      <c r="D632" s="63"/>
    </row>
    <row r="633">
      <c r="D633" s="63"/>
    </row>
    <row r="634">
      <c r="D634" s="63"/>
    </row>
    <row r="635">
      <c r="D635" s="63"/>
    </row>
    <row r="636">
      <c r="D636" s="63"/>
    </row>
    <row r="637">
      <c r="D637" s="63"/>
    </row>
    <row r="638">
      <c r="D638" s="63"/>
    </row>
    <row r="639">
      <c r="D639" s="63"/>
    </row>
    <row r="640">
      <c r="D640" s="63"/>
    </row>
    <row r="641">
      <c r="D641" s="63"/>
    </row>
    <row r="642">
      <c r="D642" s="63"/>
    </row>
    <row r="643">
      <c r="D643" s="63"/>
    </row>
    <row r="644">
      <c r="D644" s="63"/>
    </row>
    <row r="645">
      <c r="D645" s="63"/>
    </row>
    <row r="646">
      <c r="D646" s="63"/>
    </row>
    <row r="647">
      <c r="D647" s="63"/>
    </row>
    <row r="648">
      <c r="D648" s="63"/>
    </row>
    <row r="649">
      <c r="D649" s="63"/>
    </row>
    <row r="650">
      <c r="D650" s="63"/>
    </row>
    <row r="651">
      <c r="D651" s="63"/>
    </row>
    <row r="652">
      <c r="D652" s="63"/>
    </row>
    <row r="653">
      <c r="D653" s="63"/>
    </row>
    <row r="654">
      <c r="D654" s="63"/>
    </row>
    <row r="655">
      <c r="D655" s="63"/>
    </row>
    <row r="656">
      <c r="D656" s="63"/>
    </row>
    <row r="657">
      <c r="D657" s="63"/>
    </row>
    <row r="658">
      <c r="D658" s="63"/>
    </row>
    <row r="659">
      <c r="D659" s="63"/>
    </row>
    <row r="660">
      <c r="D660" s="63"/>
    </row>
    <row r="661">
      <c r="D661" s="63"/>
    </row>
    <row r="662">
      <c r="D662" s="63"/>
    </row>
    <row r="663">
      <c r="D663" s="63"/>
    </row>
    <row r="664">
      <c r="D664" s="63"/>
    </row>
    <row r="665">
      <c r="D665" s="63"/>
    </row>
    <row r="666">
      <c r="D666" s="63"/>
    </row>
    <row r="667">
      <c r="D667" s="63"/>
    </row>
    <row r="668">
      <c r="D668" s="63"/>
    </row>
    <row r="669">
      <c r="D669" s="63"/>
    </row>
    <row r="670">
      <c r="D670" s="63"/>
    </row>
    <row r="671">
      <c r="D671" s="63"/>
    </row>
    <row r="672">
      <c r="D672" s="63"/>
    </row>
    <row r="673">
      <c r="D673" s="63"/>
    </row>
    <row r="674">
      <c r="D674" s="63"/>
    </row>
    <row r="675">
      <c r="D675" s="63"/>
    </row>
    <row r="676">
      <c r="D676" s="63"/>
    </row>
    <row r="677">
      <c r="D677" s="63"/>
    </row>
    <row r="678">
      <c r="D678" s="63"/>
    </row>
    <row r="679">
      <c r="D679" s="63"/>
    </row>
    <row r="680">
      <c r="D680" s="63"/>
    </row>
    <row r="681">
      <c r="D681" s="63"/>
    </row>
    <row r="682">
      <c r="D682" s="63"/>
    </row>
    <row r="683">
      <c r="D683" s="63"/>
    </row>
    <row r="684">
      <c r="D684" s="63"/>
    </row>
    <row r="685">
      <c r="D685" s="63"/>
    </row>
    <row r="686">
      <c r="D686" s="63"/>
    </row>
    <row r="687">
      <c r="D687" s="63"/>
    </row>
    <row r="688">
      <c r="D688" s="63"/>
    </row>
    <row r="689">
      <c r="D689" s="63"/>
    </row>
    <row r="690">
      <c r="D690" s="63"/>
    </row>
    <row r="691">
      <c r="D691" s="63"/>
    </row>
    <row r="692">
      <c r="D692" s="63"/>
    </row>
    <row r="693">
      <c r="D693" s="63"/>
    </row>
    <row r="694">
      <c r="D694" s="63"/>
    </row>
    <row r="695">
      <c r="D695" s="63"/>
    </row>
    <row r="696">
      <c r="D696" s="63"/>
    </row>
    <row r="697">
      <c r="D697" s="63"/>
    </row>
    <row r="698">
      <c r="D698" s="63"/>
    </row>
    <row r="699">
      <c r="D699" s="63"/>
    </row>
    <row r="700">
      <c r="D700" s="63"/>
    </row>
    <row r="701">
      <c r="D701" s="63"/>
    </row>
    <row r="702">
      <c r="D702" s="63"/>
    </row>
    <row r="703">
      <c r="D703" s="63"/>
    </row>
    <row r="704">
      <c r="D704" s="63"/>
    </row>
    <row r="705">
      <c r="D705" s="63"/>
    </row>
    <row r="706">
      <c r="D706" s="63"/>
    </row>
    <row r="707">
      <c r="D707" s="63"/>
    </row>
    <row r="708">
      <c r="D708" s="63"/>
    </row>
    <row r="709">
      <c r="D709" s="63"/>
    </row>
    <row r="710">
      <c r="D710" s="63"/>
    </row>
    <row r="711">
      <c r="D711" s="63"/>
    </row>
    <row r="712">
      <c r="D712" s="63"/>
    </row>
    <row r="713">
      <c r="D713" s="63"/>
    </row>
    <row r="714">
      <c r="D714" s="63"/>
    </row>
    <row r="715">
      <c r="D715" s="63"/>
    </row>
    <row r="716">
      <c r="D716" s="63"/>
    </row>
    <row r="717">
      <c r="D717" s="63"/>
    </row>
    <row r="718">
      <c r="D718" s="63"/>
    </row>
    <row r="719">
      <c r="D719" s="63"/>
    </row>
    <row r="720">
      <c r="D720" s="63"/>
    </row>
    <row r="721">
      <c r="D721" s="63"/>
    </row>
    <row r="722">
      <c r="D722" s="63"/>
    </row>
    <row r="723">
      <c r="D723" s="63"/>
    </row>
    <row r="724">
      <c r="D724" s="63"/>
    </row>
    <row r="725">
      <c r="D725" s="63"/>
    </row>
    <row r="726">
      <c r="D726" s="63"/>
    </row>
    <row r="727">
      <c r="D727" s="63"/>
    </row>
    <row r="728">
      <c r="D728" s="63"/>
    </row>
    <row r="729">
      <c r="D729" s="63"/>
    </row>
    <row r="730">
      <c r="D730" s="63"/>
    </row>
    <row r="731">
      <c r="D731" s="63"/>
    </row>
    <row r="732">
      <c r="D732" s="63"/>
    </row>
    <row r="733">
      <c r="D733" s="63"/>
    </row>
    <row r="734">
      <c r="D734" s="63"/>
    </row>
    <row r="735">
      <c r="D735" s="63"/>
    </row>
    <row r="736">
      <c r="D736" s="63"/>
    </row>
    <row r="737">
      <c r="D737" s="63"/>
    </row>
    <row r="738">
      <c r="D738" s="63"/>
    </row>
    <row r="739">
      <c r="D739" s="63"/>
    </row>
    <row r="740">
      <c r="D740" s="63"/>
    </row>
    <row r="741">
      <c r="D741" s="63"/>
    </row>
    <row r="742">
      <c r="D742" s="63"/>
    </row>
    <row r="743">
      <c r="D743" s="63"/>
    </row>
    <row r="744">
      <c r="D744" s="63"/>
    </row>
    <row r="745">
      <c r="D745" s="63"/>
    </row>
    <row r="746">
      <c r="D746" s="63"/>
    </row>
    <row r="747">
      <c r="D747" s="63"/>
    </row>
    <row r="748">
      <c r="D748" s="63"/>
    </row>
    <row r="749">
      <c r="D749" s="63"/>
    </row>
    <row r="750">
      <c r="D750" s="63"/>
    </row>
    <row r="751">
      <c r="D751" s="63"/>
    </row>
    <row r="752">
      <c r="D752" s="63"/>
    </row>
    <row r="753">
      <c r="D753" s="63"/>
    </row>
    <row r="754">
      <c r="D754" s="63"/>
    </row>
    <row r="755">
      <c r="D755" s="63"/>
    </row>
    <row r="756">
      <c r="D756" s="63"/>
    </row>
    <row r="757">
      <c r="D757" s="63"/>
    </row>
    <row r="758">
      <c r="D758" s="63"/>
    </row>
    <row r="759">
      <c r="D759" s="63"/>
    </row>
    <row r="760">
      <c r="D760" s="63"/>
    </row>
    <row r="761">
      <c r="D761" s="63"/>
    </row>
    <row r="762">
      <c r="D762" s="63"/>
    </row>
    <row r="763">
      <c r="D763" s="63"/>
    </row>
    <row r="764">
      <c r="D764" s="63"/>
    </row>
    <row r="765">
      <c r="D765" s="63"/>
    </row>
    <row r="766">
      <c r="D766" s="63"/>
    </row>
    <row r="767">
      <c r="D767" s="63"/>
    </row>
    <row r="768">
      <c r="D768" s="63"/>
    </row>
    <row r="769">
      <c r="D769" s="63"/>
    </row>
    <row r="770">
      <c r="D770" s="63"/>
    </row>
    <row r="771">
      <c r="D771" s="63"/>
    </row>
    <row r="772">
      <c r="D772" s="63"/>
    </row>
    <row r="773">
      <c r="D773" s="63"/>
    </row>
    <row r="774">
      <c r="D774" s="63"/>
    </row>
    <row r="775">
      <c r="D775" s="63"/>
    </row>
    <row r="776">
      <c r="D776" s="63"/>
    </row>
    <row r="777">
      <c r="D777" s="63"/>
    </row>
    <row r="778">
      <c r="D778" s="63"/>
    </row>
    <row r="779">
      <c r="D779" s="63"/>
    </row>
    <row r="780">
      <c r="D780" s="63"/>
    </row>
    <row r="781">
      <c r="D781" s="63"/>
    </row>
    <row r="782">
      <c r="D782" s="63"/>
    </row>
    <row r="783">
      <c r="D783" s="63"/>
    </row>
    <row r="784">
      <c r="D784" s="63"/>
    </row>
    <row r="785">
      <c r="D785" s="63"/>
    </row>
    <row r="786">
      <c r="D786" s="63"/>
    </row>
    <row r="787">
      <c r="D787" s="63"/>
    </row>
    <row r="788">
      <c r="D788" s="63"/>
    </row>
    <row r="789">
      <c r="D789" s="63"/>
    </row>
    <row r="790">
      <c r="D790" s="63"/>
    </row>
    <row r="791">
      <c r="D791" s="63"/>
    </row>
    <row r="792">
      <c r="D792" s="63"/>
    </row>
    <row r="793">
      <c r="D793" s="63"/>
    </row>
    <row r="794">
      <c r="D794" s="63"/>
    </row>
    <row r="795">
      <c r="D795" s="63"/>
    </row>
    <row r="796">
      <c r="D796" s="63"/>
    </row>
    <row r="797">
      <c r="D797" s="63"/>
    </row>
    <row r="798">
      <c r="D798" s="63"/>
    </row>
    <row r="799">
      <c r="D799" s="63"/>
    </row>
    <row r="800">
      <c r="D800" s="63"/>
    </row>
    <row r="801">
      <c r="D801" s="63"/>
    </row>
    <row r="802">
      <c r="D802" s="63"/>
    </row>
    <row r="803">
      <c r="D803" s="63"/>
    </row>
    <row r="804">
      <c r="D804" s="63"/>
    </row>
    <row r="805">
      <c r="D805" s="63"/>
    </row>
    <row r="806">
      <c r="D806" s="63"/>
    </row>
    <row r="807">
      <c r="D807" s="63"/>
    </row>
    <row r="808">
      <c r="D808" s="63"/>
    </row>
    <row r="809">
      <c r="D809" s="63"/>
    </row>
    <row r="810">
      <c r="D810" s="63"/>
    </row>
    <row r="811">
      <c r="D811" s="63"/>
    </row>
    <row r="812">
      <c r="D812" s="63"/>
    </row>
    <row r="813">
      <c r="D813" s="63"/>
    </row>
    <row r="814">
      <c r="D814" s="63"/>
    </row>
    <row r="815">
      <c r="D815" s="63"/>
    </row>
    <row r="816">
      <c r="D816" s="63"/>
    </row>
    <row r="817">
      <c r="D817" s="63"/>
    </row>
    <row r="818">
      <c r="D818" s="63"/>
    </row>
    <row r="819">
      <c r="D819" s="63"/>
    </row>
    <row r="820">
      <c r="D820" s="63"/>
    </row>
    <row r="821">
      <c r="D821" s="63"/>
    </row>
    <row r="822">
      <c r="D822" s="63"/>
    </row>
    <row r="823">
      <c r="D823" s="63"/>
    </row>
    <row r="824">
      <c r="D824" s="63"/>
    </row>
    <row r="825">
      <c r="D825" s="63"/>
    </row>
    <row r="826">
      <c r="D826" s="63"/>
    </row>
    <row r="827">
      <c r="D827" s="63"/>
    </row>
    <row r="828">
      <c r="D828" s="63"/>
    </row>
    <row r="829">
      <c r="D829" s="63"/>
    </row>
    <row r="830">
      <c r="D830" s="63"/>
    </row>
    <row r="831">
      <c r="D831" s="63"/>
    </row>
    <row r="832">
      <c r="D832" s="63"/>
    </row>
    <row r="833">
      <c r="D833" s="63"/>
    </row>
    <row r="834">
      <c r="D834" s="63"/>
    </row>
    <row r="835">
      <c r="D835" s="63"/>
    </row>
    <row r="836">
      <c r="D836" s="63"/>
    </row>
    <row r="837">
      <c r="D837" s="63"/>
    </row>
    <row r="838">
      <c r="D838" s="63"/>
    </row>
    <row r="839">
      <c r="D839" s="63"/>
    </row>
    <row r="840">
      <c r="D840" s="63"/>
    </row>
    <row r="841">
      <c r="D841" s="63"/>
    </row>
    <row r="842">
      <c r="D842" s="63"/>
    </row>
    <row r="843">
      <c r="D843" s="63"/>
    </row>
    <row r="844">
      <c r="D844" s="63"/>
    </row>
    <row r="845">
      <c r="D845" s="63"/>
    </row>
    <row r="846">
      <c r="D846" s="63"/>
    </row>
    <row r="847">
      <c r="D847" s="63"/>
    </row>
    <row r="848">
      <c r="D848" s="63"/>
    </row>
    <row r="849">
      <c r="D849" s="63"/>
    </row>
    <row r="850">
      <c r="D850" s="63"/>
    </row>
    <row r="851">
      <c r="D851" s="63"/>
    </row>
    <row r="852">
      <c r="D852" s="63"/>
    </row>
    <row r="853">
      <c r="D853" s="63"/>
    </row>
    <row r="854">
      <c r="D854" s="63"/>
    </row>
    <row r="855">
      <c r="D855" s="63"/>
    </row>
    <row r="856">
      <c r="D856" s="63"/>
    </row>
    <row r="857">
      <c r="D857" s="63"/>
    </row>
    <row r="858">
      <c r="D858" s="63"/>
    </row>
    <row r="859">
      <c r="D859" s="63"/>
    </row>
    <row r="860">
      <c r="D860" s="63"/>
    </row>
    <row r="861">
      <c r="D861" s="63"/>
    </row>
    <row r="862">
      <c r="D862" s="63"/>
    </row>
    <row r="863">
      <c r="D863" s="63"/>
    </row>
    <row r="864">
      <c r="D864" s="63"/>
    </row>
    <row r="865">
      <c r="D865" s="63"/>
    </row>
    <row r="866">
      <c r="D866" s="63"/>
    </row>
    <row r="867">
      <c r="D867" s="63"/>
    </row>
    <row r="868">
      <c r="D868" s="63"/>
    </row>
    <row r="869">
      <c r="D869" s="63"/>
    </row>
    <row r="870">
      <c r="D870" s="63"/>
    </row>
    <row r="871">
      <c r="D871" s="63"/>
    </row>
    <row r="872">
      <c r="D872" s="63"/>
    </row>
    <row r="873">
      <c r="D873" s="63"/>
    </row>
    <row r="874">
      <c r="D874" s="63"/>
    </row>
    <row r="875">
      <c r="D875" s="63"/>
    </row>
    <row r="876">
      <c r="D876" s="63"/>
    </row>
    <row r="877">
      <c r="D877" s="63"/>
    </row>
    <row r="878">
      <c r="D878" s="63"/>
    </row>
    <row r="879">
      <c r="D879" s="63"/>
    </row>
    <row r="880">
      <c r="D880" s="63"/>
    </row>
    <row r="881">
      <c r="D881" s="63"/>
    </row>
    <row r="882">
      <c r="D882" s="63"/>
    </row>
    <row r="883">
      <c r="D883" s="63"/>
    </row>
    <row r="884">
      <c r="D884" s="63"/>
    </row>
    <row r="885">
      <c r="D885" s="63"/>
    </row>
    <row r="886">
      <c r="D886" s="63"/>
    </row>
    <row r="887">
      <c r="D887" s="63"/>
    </row>
    <row r="888">
      <c r="D888" s="63"/>
    </row>
    <row r="889">
      <c r="D889" s="63"/>
    </row>
    <row r="890">
      <c r="D890" s="63"/>
    </row>
    <row r="891">
      <c r="D891" s="63"/>
    </row>
    <row r="892">
      <c r="D892" s="63"/>
    </row>
    <row r="893">
      <c r="D893" s="63"/>
    </row>
    <row r="894">
      <c r="D894" s="63"/>
    </row>
    <row r="895">
      <c r="D895" s="63"/>
    </row>
    <row r="896">
      <c r="D896" s="63"/>
    </row>
    <row r="897">
      <c r="D897" s="63"/>
    </row>
    <row r="898">
      <c r="D898" s="63"/>
    </row>
    <row r="899">
      <c r="D899" s="63"/>
    </row>
    <row r="900">
      <c r="D900" s="63"/>
    </row>
    <row r="901">
      <c r="D901" s="63"/>
    </row>
    <row r="902">
      <c r="D902" s="63"/>
    </row>
    <row r="903">
      <c r="D903" s="63"/>
    </row>
    <row r="904">
      <c r="D904" s="63"/>
    </row>
    <row r="905">
      <c r="D905" s="63"/>
    </row>
    <row r="906">
      <c r="D906" s="63"/>
    </row>
    <row r="907">
      <c r="D907" s="63"/>
    </row>
    <row r="908">
      <c r="D908" s="63"/>
    </row>
    <row r="909">
      <c r="D909" s="63"/>
    </row>
    <row r="910">
      <c r="D910" s="63"/>
    </row>
    <row r="911">
      <c r="D911" s="63"/>
    </row>
    <row r="912">
      <c r="D912" s="63"/>
    </row>
    <row r="913">
      <c r="D913" s="63"/>
    </row>
    <row r="914">
      <c r="D914" s="63"/>
    </row>
    <row r="915">
      <c r="D915" s="63"/>
    </row>
    <row r="916">
      <c r="D916" s="63"/>
    </row>
    <row r="917">
      <c r="D917" s="63"/>
    </row>
    <row r="918">
      <c r="D918" s="63"/>
    </row>
    <row r="919">
      <c r="D919" s="63"/>
    </row>
    <row r="920">
      <c r="D920" s="63"/>
    </row>
    <row r="921">
      <c r="D921" s="63"/>
    </row>
    <row r="922">
      <c r="D922" s="63"/>
    </row>
    <row r="923">
      <c r="D923" s="63"/>
    </row>
    <row r="924">
      <c r="D924" s="63"/>
    </row>
    <row r="925">
      <c r="D925" s="63"/>
    </row>
    <row r="926">
      <c r="D926" s="63"/>
    </row>
    <row r="927">
      <c r="D927" s="63"/>
    </row>
    <row r="928">
      <c r="D928" s="63"/>
    </row>
    <row r="929">
      <c r="D929" s="63"/>
    </row>
    <row r="930">
      <c r="D930" s="63"/>
    </row>
    <row r="931">
      <c r="D931" s="63"/>
    </row>
    <row r="932">
      <c r="D932" s="63"/>
    </row>
    <row r="933">
      <c r="D933" s="63"/>
    </row>
    <row r="934">
      <c r="D934" s="63"/>
    </row>
    <row r="935">
      <c r="D935" s="63"/>
    </row>
    <row r="936">
      <c r="D936" s="63"/>
    </row>
    <row r="937">
      <c r="D937" s="63"/>
    </row>
    <row r="938">
      <c r="D938" s="63"/>
    </row>
    <row r="939">
      <c r="D939" s="63"/>
    </row>
    <row r="940">
      <c r="D940" s="63"/>
    </row>
    <row r="941">
      <c r="D941" s="63"/>
    </row>
    <row r="942">
      <c r="D942" s="63"/>
    </row>
    <row r="943">
      <c r="D943" s="63"/>
    </row>
    <row r="944">
      <c r="D944" s="63"/>
    </row>
    <row r="945">
      <c r="D945" s="63"/>
    </row>
    <row r="946">
      <c r="D946" s="63"/>
    </row>
    <row r="947">
      <c r="D947" s="63"/>
    </row>
    <row r="948">
      <c r="D948" s="63"/>
    </row>
    <row r="949">
      <c r="D949" s="63"/>
    </row>
    <row r="950">
      <c r="D950" s="63"/>
    </row>
    <row r="951">
      <c r="D951" s="63"/>
    </row>
    <row r="952">
      <c r="D952" s="63"/>
    </row>
    <row r="953">
      <c r="D953" s="63"/>
    </row>
    <row r="954">
      <c r="D954" s="63"/>
    </row>
    <row r="955">
      <c r="D955" s="63"/>
    </row>
    <row r="956">
      <c r="D956" s="63"/>
    </row>
    <row r="957">
      <c r="D957" s="63"/>
    </row>
    <row r="958">
      <c r="D958" s="63"/>
    </row>
    <row r="959">
      <c r="D959" s="63"/>
    </row>
    <row r="960">
      <c r="D960" s="63"/>
    </row>
    <row r="961">
      <c r="D961" s="63"/>
    </row>
    <row r="962">
      <c r="D962" s="63"/>
    </row>
    <row r="963">
      <c r="D963" s="63"/>
    </row>
    <row r="964">
      <c r="D964" s="63"/>
    </row>
    <row r="965">
      <c r="D965" s="63"/>
    </row>
    <row r="966">
      <c r="D966" s="63"/>
    </row>
    <row r="967">
      <c r="D967" s="63"/>
    </row>
    <row r="968">
      <c r="D968" s="63"/>
    </row>
    <row r="969">
      <c r="D969" s="63"/>
    </row>
    <row r="970">
      <c r="D970" s="63"/>
    </row>
    <row r="971">
      <c r="D971" s="63"/>
    </row>
    <row r="972">
      <c r="D972" s="63"/>
    </row>
    <row r="973">
      <c r="D973" s="63"/>
    </row>
    <row r="974">
      <c r="D974" s="63"/>
    </row>
    <row r="975">
      <c r="D975" s="63"/>
    </row>
    <row r="976">
      <c r="D976" s="63"/>
    </row>
    <row r="977">
      <c r="D977" s="63"/>
    </row>
    <row r="978">
      <c r="D978" s="63"/>
    </row>
    <row r="979">
      <c r="D979" s="63"/>
    </row>
    <row r="980">
      <c r="D980" s="63"/>
    </row>
    <row r="981">
      <c r="D981" s="63"/>
    </row>
    <row r="982">
      <c r="D982" s="63"/>
    </row>
    <row r="983">
      <c r="D983" s="63"/>
    </row>
    <row r="984">
      <c r="D984" s="63"/>
    </row>
    <row r="985">
      <c r="D985" s="63"/>
    </row>
    <row r="986">
      <c r="D986" s="63"/>
    </row>
    <row r="987">
      <c r="D987" s="63"/>
    </row>
    <row r="988">
      <c r="D988" s="63"/>
    </row>
    <row r="989">
      <c r="D989" s="63"/>
    </row>
    <row r="990">
      <c r="D990" s="63"/>
    </row>
    <row r="991">
      <c r="D991" s="63"/>
    </row>
    <row r="992">
      <c r="D992" s="63"/>
    </row>
    <row r="993">
      <c r="D993" s="63"/>
    </row>
    <row r="994">
      <c r="D994" s="63"/>
    </row>
    <row r="995">
      <c r="D995" s="63"/>
    </row>
    <row r="996">
      <c r="D996" s="63"/>
    </row>
    <row r="997">
      <c r="D997" s="63"/>
    </row>
    <row r="998">
      <c r="D998" s="63"/>
    </row>
    <row r="999">
      <c r="D999" s="63"/>
    </row>
    <row r="1000">
      <c r="D1000" s="63"/>
    </row>
  </sheetData>
  <autoFilter ref="$A$1:$J$257"/>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6">
        <v>45499.0</v>
      </c>
      <c r="B2" s="55" t="str">
        <f>HYPERLINK("https://jobright.ai/jobs/info/66a4240df9dc8ad9b2c8daca?utm_campaign=1055&amp;utm_source=sheet", "Apply")</f>
        <v>Apply</v>
      </c>
      <c r="C2" s="10" t="s">
        <v>22546</v>
      </c>
      <c r="D2" s="56" t="s">
        <v>385</v>
      </c>
      <c r="E2" s="10" t="s">
        <v>45</v>
      </c>
      <c r="F2" s="10" t="s">
        <v>386</v>
      </c>
      <c r="G2" s="10" t="s">
        <v>17</v>
      </c>
      <c r="H2" s="10" t="s">
        <v>423</v>
      </c>
      <c r="I2" s="10" t="s">
        <v>55</v>
      </c>
      <c r="J2" s="10" t="s">
        <v>19585</v>
      </c>
      <c r="K2" s="10" t="s">
        <v>2356</v>
      </c>
      <c r="L2" s="10" t="s">
        <v>42</v>
      </c>
    </row>
    <row r="3" ht="15.75" customHeight="1">
      <c r="A3" s="66">
        <v>45499.0</v>
      </c>
      <c r="B3" s="55" t="str">
        <f>HYPERLINK("https://jobright.ai/jobs/info/66a428e0fa09ee0c5722aaaa?utm_campaign=1055&amp;utm_source=sheet", "Apply")</f>
        <v>Apply</v>
      </c>
      <c r="C3" s="10" t="s">
        <v>22547</v>
      </c>
      <c r="D3" s="56" t="s">
        <v>1586</v>
      </c>
      <c r="E3" s="10" t="s">
        <v>137</v>
      </c>
      <c r="F3" s="10" t="s">
        <v>1587</v>
      </c>
      <c r="G3" s="10" t="s">
        <v>17</v>
      </c>
      <c r="H3" s="10" t="s">
        <v>170</v>
      </c>
      <c r="I3" s="10" t="s">
        <v>55</v>
      </c>
      <c r="K3" s="10" t="s">
        <v>22548</v>
      </c>
      <c r="L3" s="10" t="s">
        <v>42</v>
      </c>
    </row>
    <row r="4" ht="15.75" customHeight="1">
      <c r="A4" s="66">
        <v>45499.0</v>
      </c>
      <c r="B4" s="55" t="str">
        <f>HYPERLINK("https://jobright.ai/jobs/info/66a3ef2a87fb29a0df318dc7?utm_campaign=1055&amp;utm_source=sheet", "Apply")</f>
        <v>Apply</v>
      </c>
      <c r="C4" s="10" t="s">
        <v>22549</v>
      </c>
      <c r="D4" s="56" t="s">
        <v>6801</v>
      </c>
      <c r="E4" s="10" t="s">
        <v>276</v>
      </c>
      <c r="F4" s="10" t="s">
        <v>1376</v>
      </c>
      <c r="G4" s="10" t="s">
        <v>17</v>
      </c>
      <c r="H4" s="10" t="s">
        <v>525</v>
      </c>
      <c r="I4" s="10" t="s">
        <v>55</v>
      </c>
      <c r="K4" s="10" t="s">
        <v>22550</v>
      </c>
      <c r="L4" s="10" t="s">
        <v>42</v>
      </c>
    </row>
    <row r="5" ht="15.75" customHeight="1">
      <c r="A5" s="66">
        <v>45499.0</v>
      </c>
      <c r="B5" s="55" t="str">
        <f>HYPERLINK("https://jobright.ai/jobs/info/66a42aae878605eeeff98026?utm_campaign=1055&amp;utm_source=sheet", "Apply")</f>
        <v>Apply</v>
      </c>
      <c r="C5" s="10" t="s">
        <v>22551</v>
      </c>
      <c r="D5" s="56" t="s">
        <v>99</v>
      </c>
      <c r="E5" s="10" t="s">
        <v>45</v>
      </c>
      <c r="F5" s="10" t="s">
        <v>100</v>
      </c>
      <c r="G5" s="10" t="s">
        <v>17</v>
      </c>
      <c r="H5" s="10" t="s">
        <v>106</v>
      </c>
      <c r="I5" s="10" t="s">
        <v>55</v>
      </c>
      <c r="K5" s="10" t="s">
        <v>22552</v>
      </c>
      <c r="L5" s="10" t="s">
        <v>42</v>
      </c>
    </row>
    <row r="6" ht="15.75" customHeight="1">
      <c r="A6" s="66">
        <v>45499.0</v>
      </c>
      <c r="B6" s="55" t="str">
        <f>HYPERLINK("https://jobright.ai/jobs/info/66a3e878b020465e7d35ce3f?utm_campaign=1055&amp;utm_source=sheet", "Apply")</f>
        <v>Apply</v>
      </c>
      <c r="C6" s="10" t="s">
        <v>22553</v>
      </c>
      <c r="D6" s="56" t="s">
        <v>22554</v>
      </c>
      <c r="E6" s="10" t="s">
        <v>276</v>
      </c>
      <c r="F6" s="10" t="s">
        <v>22555</v>
      </c>
      <c r="G6" s="10" t="s">
        <v>17</v>
      </c>
      <c r="H6" s="10" t="s">
        <v>898</v>
      </c>
      <c r="I6" s="10" t="s">
        <v>55</v>
      </c>
      <c r="J6" s="10" t="s">
        <v>22556</v>
      </c>
      <c r="K6" s="10" t="s">
        <v>22557</v>
      </c>
      <c r="L6" s="10" t="s">
        <v>42</v>
      </c>
    </row>
    <row r="7" ht="15.75" customHeight="1">
      <c r="A7" s="66">
        <v>45499.0</v>
      </c>
      <c r="B7" s="55" t="str">
        <f>HYPERLINK("https://jobright.ai/jobs/info/66a3c9f655a005da42ef5480?utm_campaign=1055&amp;utm_source=sheet", "Apply")</f>
        <v>Apply</v>
      </c>
      <c r="C7" s="10" t="s">
        <v>22558</v>
      </c>
      <c r="D7" s="56" t="s">
        <v>22559</v>
      </c>
      <c r="E7" s="10">
        <v>33.0</v>
      </c>
      <c r="G7" s="10" t="s">
        <v>17</v>
      </c>
      <c r="H7" s="10" t="s">
        <v>251</v>
      </c>
      <c r="I7" s="10" t="s">
        <v>252</v>
      </c>
      <c r="J7" s="10" t="s">
        <v>7414</v>
      </c>
      <c r="K7" s="10" t="s">
        <v>22560</v>
      </c>
      <c r="L7" s="10" t="s">
        <v>42</v>
      </c>
    </row>
    <row r="8" ht="15.75" customHeight="1">
      <c r="A8" s="66">
        <v>45499.0</v>
      </c>
      <c r="B8" s="55" t="str">
        <f>HYPERLINK("https://jobright.ai/jobs/info/66a3b1b3cc8f335cd486c142?utm_campaign=1055&amp;utm_source=sheet", "Apply")</f>
        <v>Apply</v>
      </c>
      <c r="C8" s="10" t="s">
        <v>22561</v>
      </c>
      <c r="D8" s="56" t="s">
        <v>22562</v>
      </c>
      <c r="E8" s="10" t="s">
        <v>137</v>
      </c>
      <c r="F8" s="10" t="s">
        <v>18189</v>
      </c>
      <c r="G8" s="10" t="s">
        <v>17</v>
      </c>
      <c r="H8" s="10" t="s">
        <v>17193</v>
      </c>
      <c r="I8" s="10" t="s">
        <v>55</v>
      </c>
      <c r="K8" s="10" t="s">
        <v>22563</v>
      </c>
      <c r="L8" s="10" t="s">
        <v>42</v>
      </c>
    </row>
    <row r="9" ht="15.75" customHeight="1">
      <c r="A9" s="66">
        <v>45499.0</v>
      </c>
      <c r="B9" s="55" t="str">
        <f>HYPERLINK("https://jobright.ai/jobs/info/66a3a5c1c3f6a01b72d3ba4f?utm_campaign=1055&amp;utm_source=sheet", "Apply")</f>
        <v>Apply</v>
      </c>
      <c r="C9" s="10" t="s">
        <v>22564</v>
      </c>
      <c r="D9" s="56" t="s">
        <v>22565</v>
      </c>
      <c r="E9" s="10" t="s">
        <v>45</v>
      </c>
      <c r="F9" s="10" t="s">
        <v>3382</v>
      </c>
      <c r="G9" s="10" t="s">
        <v>17</v>
      </c>
      <c r="H9" s="10" t="s">
        <v>4001</v>
      </c>
      <c r="I9" s="10" t="s">
        <v>55</v>
      </c>
      <c r="J9" s="10" t="s">
        <v>22566</v>
      </c>
      <c r="K9" s="10" t="s">
        <v>22567</v>
      </c>
      <c r="L9" s="10" t="s">
        <v>42</v>
      </c>
    </row>
    <row r="10" ht="15.75" customHeight="1">
      <c r="A10" s="66">
        <v>45499.0</v>
      </c>
      <c r="B10" s="55" t="str">
        <f>HYPERLINK("https://jobright.ai/jobs/info/664de07b0790ade97e15e8a8?utm_campaign=1055&amp;utm_source=sheet", "Apply")</f>
        <v>Apply</v>
      </c>
      <c r="C10" s="10" t="s">
        <v>22568</v>
      </c>
      <c r="D10" s="56" t="s">
        <v>22569</v>
      </c>
      <c r="E10" s="10" t="s">
        <v>65</v>
      </c>
      <c r="F10" s="10" t="s">
        <v>22570</v>
      </c>
      <c r="G10" s="10" t="s">
        <v>17</v>
      </c>
      <c r="H10" s="10" t="s">
        <v>423</v>
      </c>
      <c r="I10" s="10" t="s">
        <v>55</v>
      </c>
      <c r="J10" s="10" t="s">
        <v>22571</v>
      </c>
      <c r="K10" s="10" t="s">
        <v>22572</v>
      </c>
      <c r="L10" s="10" t="s">
        <v>42</v>
      </c>
    </row>
    <row r="11" ht="15.75" customHeight="1">
      <c r="A11" s="66">
        <v>45499.0</v>
      </c>
      <c r="B11" s="55" t="str">
        <f>HYPERLINK("https://jobright.ai/jobs/info/667597e7ff3b4e0886adaab8?utm_campaign=1055&amp;utm_source=sheet", "Apply")</f>
        <v>Apply</v>
      </c>
      <c r="C11" s="10" t="s">
        <v>22573</v>
      </c>
      <c r="D11" s="56" t="s">
        <v>11300</v>
      </c>
      <c r="E11" s="10" t="s">
        <v>65</v>
      </c>
      <c r="F11" s="10" t="s">
        <v>534</v>
      </c>
      <c r="G11" s="10" t="s">
        <v>17</v>
      </c>
      <c r="H11" s="10" t="s">
        <v>949</v>
      </c>
      <c r="I11" s="10" t="s">
        <v>55</v>
      </c>
      <c r="K11" s="10" t="s">
        <v>11301</v>
      </c>
      <c r="L11" s="10" t="s">
        <v>42</v>
      </c>
    </row>
    <row r="12" ht="15.75" customHeight="1">
      <c r="A12" s="66">
        <v>45499.0</v>
      </c>
      <c r="B12" s="55" t="str">
        <f>HYPERLINK("https://jobright.ai/jobs/info/66a35a92945e5cec6b8f79c0?utm_campaign=1055&amp;utm_source=sheet", "Apply")</f>
        <v>Apply</v>
      </c>
      <c r="C12" s="10" t="s">
        <v>22574</v>
      </c>
      <c r="D12" s="56" t="s">
        <v>17497</v>
      </c>
      <c r="E12" s="10" t="s">
        <v>45</v>
      </c>
      <c r="F12" s="10" t="s">
        <v>15442</v>
      </c>
      <c r="G12" s="10" t="s">
        <v>17</v>
      </c>
      <c r="H12" s="10" t="s">
        <v>688</v>
      </c>
      <c r="I12" s="10" t="s">
        <v>48</v>
      </c>
      <c r="K12" s="10" t="s">
        <v>22575</v>
      </c>
      <c r="L12" s="10" t="s">
        <v>42</v>
      </c>
    </row>
    <row r="13" ht="15.75" customHeight="1">
      <c r="A13" s="66">
        <v>45499.0</v>
      </c>
      <c r="B13" s="55" t="str">
        <f>HYPERLINK("https://jobright.ai/jobs/info/66a40ca294590a418d6254d2?utm_campaign=1055&amp;utm_source=sheet", "Apply")</f>
        <v>Apply</v>
      </c>
      <c r="C13" s="10" t="s">
        <v>22561</v>
      </c>
      <c r="D13" s="56" t="s">
        <v>1218</v>
      </c>
      <c r="E13" s="10" t="s">
        <v>45</v>
      </c>
      <c r="F13" s="10" t="s">
        <v>1219</v>
      </c>
      <c r="G13" s="10" t="s">
        <v>17</v>
      </c>
      <c r="H13" s="10" t="s">
        <v>113</v>
      </c>
      <c r="I13" s="10" t="s">
        <v>55</v>
      </c>
      <c r="K13" s="10" t="s">
        <v>22576</v>
      </c>
      <c r="L13" s="10" t="s">
        <v>42</v>
      </c>
    </row>
    <row r="14" ht="15.75" customHeight="1">
      <c r="A14" s="66">
        <v>45499.0</v>
      </c>
      <c r="B14" s="55" t="str">
        <f>HYPERLINK("https://jobright.ai/jobs/info/66a436b8493688faecdc8dde?utm_campaign=1055&amp;utm_source=sheet", "Apply")</f>
        <v>Apply</v>
      </c>
      <c r="C14" s="10" t="s">
        <v>22577</v>
      </c>
      <c r="D14" s="56" t="s">
        <v>22578</v>
      </c>
      <c r="E14" s="10" t="s">
        <v>276</v>
      </c>
      <c r="F14" s="10" t="s">
        <v>22223</v>
      </c>
      <c r="G14" s="10" t="s">
        <v>17</v>
      </c>
      <c r="H14" s="10" t="s">
        <v>843</v>
      </c>
      <c r="I14" s="10" t="s">
        <v>55</v>
      </c>
      <c r="J14" s="10" t="s">
        <v>1797</v>
      </c>
      <c r="K14" s="10" t="s">
        <v>22579</v>
      </c>
      <c r="L14" s="10" t="s">
        <v>42</v>
      </c>
    </row>
    <row r="15" ht="15.75" customHeight="1">
      <c r="A15" s="66">
        <v>45498.0</v>
      </c>
      <c r="B15" s="55" t="str">
        <f>HYPERLINK("https://jobright.ai/jobs/info/66a2f4ee66a78c16dec90d4d?utm_campaign=1055&amp;utm_source=sheet", "Apply")</f>
        <v>Apply</v>
      </c>
      <c r="C15" s="10" t="s">
        <v>22580</v>
      </c>
      <c r="D15" s="56" t="s">
        <v>22581</v>
      </c>
      <c r="E15" s="10" t="s">
        <v>71</v>
      </c>
      <c r="F15" s="10" t="s">
        <v>22582</v>
      </c>
      <c r="G15" s="10" t="s">
        <v>17</v>
      </c>
      <c r="H15" s="10" t="s">
        <v>636</v>
      </c>
      <c r="I15" s="10" t="s">
        <v>55</v>
      </c>
      <c r="J15" s="10" t="s">
        <v>22583</v>
      </c>
      <c r="K15" s="10" t="s">
        <v>22584</v>
      </c>
      <c r="L15" s="10" t="s">
        <v>42</v>
      </c>
    </row>
    <row r="16" ht="15.75" customHeight="1">
      <c r="A16" s="66">
        <v>45498.0</v>
      </c>
      <c r="B16" s="55" t="str">
        <f>HYPERLINK("https://jobright.ai/jobs/info/66a2f50166a78c16dec90f0d?utm_campaign=1055&amp;utm_source=sheet", "Apply")</f>
        <v>Apply</v>
      </c>
      <c r="C16" s="10" t="s">
        <v>22585</v>
      </c>
      <c r="D16" s="56" t="s">
        <v>2069</v>
      </c>
      <c r="E16" s="10" t="s">
        <v>65</v>
      </c>
      <c r="F16" s="10" t="s">
        <v>1663</v>
      </c>
      <c r="G16" s="10" t="s">
        <v>17</v>
      </c>
      <c r="H16" s="10" t="s">
        <v>2070</v>
      </c>
      <c r="I16" s="10" t="s">
        <v>55</v>
      </c>
      <c r="K16" s="10" t="s">
        <v>22586</v>
      </c>
      <c r="L16" s="10" t="s">
        <v>42</v>
      </c>
    </row>
    <row r="17" ht="15.75" customHeight="1">
      <c r="A17" s="66">
        <v>45498.0</v>
      </c>
      <c r="B17" s="55" t="str">
        <f>HYPERLINK("https://jobright.ai/jobs/info/66a2c4b93b534eca8d58b47c?utm_campaign=1055&amp;utm_source=sheet", "Apply")</f>
        <v>Apply</v>
      </c>
      <c r="C17" s="10" t="s">
        <v>22587</v>
      </c>
      <c r="D17" s="56" t="s">
        <v>22588</v>
      </c>
      <c r="E17" s="10" t="s">
        <v>79</v>
      </c>
      <c r="F17" s="10" t="s">
        <v>568</v>
      </c>
      <c r="G17" s="10" t="s">
        <v>17</v>
      </c>
      <c r="H17" s="10" t="s">
        <v>167</v>
      </c>
      <c r="I17" s="10" t="s">
        <v>48</v>
      </c>
      <c r="K17" s="10" t="s">
        <v>22589</v>
      </c>
      <c r="L17" s="10" t="s">
        <v>42</v>
      </c>
    </row>
    <row r="18" ht="15.75" customHeight="1">
      <c r="A18" s="66">
        <v>45498.0</v>
      </c>
      <c r="B18" s="55" t="str">
        <f>HYPERLINK("https://jobright.ai/jobs/info/66a2bb87f2f4972269576519?utm_campaign=1055&amp;utm_source=sheet", "Apply")</f>
        <v>Apply</v>
      </c>
      <c r="C18" s="10" t="s">
        <v>22590</v>
      </c>
      <c r="D18" s="56" t="s">
        <v>19645</v>
      </c>
      <c r="E18" s="10" t="s">
        <v>65</v>
      </c>
      <c r="F18" s="10" t="s">
        <v>19646</v>
      </c>
      <c r="G18" s="10" t="s">
        <v>17</v>
      </c>
      <c r="H18" s="10" t="s">
        <v>170</v>
      </c>
      <c r="I18" s="10" t="s">
        <v>48</v>
      </c>
      <c r="K18" s="10" t="s">
        <v>22591</v>
      </c>
      <c r="L18" s="10" t="s">
        <v>42</v>
      </c>
    </row>
    <row r="19" ht="15.75" customHeight="1">
      <c r="A19" s="66">
        <v>45498.0</v>
      </c>
      <c r="B19" s="55" t="str">
        <f>HYPERLINK("https://jobright.ai/jobs/info/66a3e17afa1e56eccb8f54ce?utm_campaign=1055&amp;utm_source=sheet", "Apply")</f>
        <v>Apply</v>
      </c>
      <c r="C19" s="10" t="s">
        <v>22592</v>
      </c>
      <c r="D19" s="56" t="s">
        <v>22593</v>
      </c>
      <c r="E19" s="10" t="s">
        <v>45</v>
      </c>
      <c r="F19" s="10" t="s">
        <v>9564</v>
      </c>
      <c r="G19" s="10" t="s">
        <v>17</v>
      </c>
      <c r="H19" s="10" t="s">
        <v>3387</v>
      </c>
      <c r="I19" s="10" t="s">
        <v>55</v>
      </c>
      <c r="K19" s="10" t="s">
        <v>22594</v>
      </c>
      <c r="L19" s="10" t="s">
        <v>42</v>
      </c>
    </row>
    <row r="20" ht="15.75" customHeight="1">
      <c r="A20" s="66">
        <v>45498.0</v>
      </c>
      <c r="B20" s="55" t="str">
        <f>HYPERLINK("https://jobright.ai/jobs/info/66a28377eba8f49c259e050c?utm_campaign=1055&amp;utm_source=sheet", "Apply")</f>
        <v>Apply</v>
      </c>
      <c r="C20" s="10" t="s">
        <v>22561</v>
      </c>
      <c r="D20" s="56" t="s">
        <v>22595</v>
      </c>
      <c r="E20" s="10" t="s">
        <v>276</v>
      </c>
      <c r="F20" s="10" t="s">
        <v>22596</v>
      </c>
      <c r="G20" s="10" t="s">
        <v>17</v>
      </c>
      <c r="H20" s="10" t="s">
        <v>1000</v>
      </c>
      <c r="I20" s="10" t="s">
        <v>48</v>
      </c>
      <c r="K20" s="10" t="s">
        <v>22597</v>
      </c>
      <c r="L20" s="10" t="s">
        <v>42</v>
      </c>
    </row>
    <row r="21" ht="15.75" customHeight="1">
      <c r="A21" s="66">
        <v>45498.0</v>
      </c>
      <c r="B21" s="55" t="str">
        <f>HYPERLINK("https://jobright.ai/jobs/info/66a278c51cd865f3973485f2?utm_campaign=1055&amp;utm_source=sheet", "Apply")</f>
        <v>Apply</v>
      </c>
      <c r="C21" s="10" t="s">
        <v>22598</v>
      </c>
      <c r="D21" s="56" t="s">
        <v>22595</v>
      </c>
      <c r="E21" s="10" t="s">
        <v>276</v>
      </c>
      <c r="F21" s="10" t="s">
        <v>22596</v>
      </c>
      <c r="G21" s="10" t="s">
        <v>17</v>
      </c>
      <c r="H21" s="10" t="s">
        <v>572</v>
      </c>
      <c r="I21" s="10" t="s">
        <v>48</v>
      </c>
      <c r="K21" s="10" t="s">
        <v>22599</v>
      </c>
      <c r="L21" s="10" t="s">
        <v>42</v>
      </c>
    </row>
    <row r="22" ht="15.75" customHeight="1">
      <c r="A22" s="66">
        <v>45498.0</v>
      </c>
      <c r="B22" s="55" t="str">
        <f>HYPERLINK("https://jobright.ai/jobs/info/66a278ce1cd865f3973486e1?utm_campaign=1055&amp;utm_source=sheet", "Apply")</f>
        <v>Apply</v>
      </c>
      <c r="C22" s="10" t="s">
        <v>22600</v>
      </c>
      <c r="D22" s="56" t="s">
        <v>363</v>
      </c>
      <c r="E22" s="10" t="s">
        <v>209</v>
      </c>
      <c r="F22" s="10" t="s">
        <v>364</v>
      </c>
      <c r="G22" s="10" t="s">
        <v>17</v>
      </c>
      <c r="H22" s="10" t="s">
        <v>365</v>
      </c>
      <c r="I22" s="10" t="s">
        <v>55</v>
      </c>
      <c r="J22" s="10" t="s">
        <v>366</v>
      </c>
      <c r="K22" s="10" t="s">
        <v>22601</v>
      </c>
      <c r="L22" s="10" t="s">
        <v>42</v>
      </c>
    </row>
    <row r="23" ht="15.75" customHeight="1">
      <c r="A23" s="66">
        <v>45498.0</v>
      </c>
      <c r="B23" s="55" t="str">
        <f>HYPERLINK("https://jobright.ai/jobs/info/66a23889ecab4402ba8f2c44?utm_campaign=1055&amp;utm_source=sheet", "Apply")</f>
        <v>Apply</v>
      </c>
      <c r="C23" s="10" t="s">
        <v>22602</v>
      </c>
      <c r="D23" s="56" t="s">
        <v>22603</v>
      </c>
      <c r="E23" s="10" t="s">
        <v>137</v>
      </c>
      <c r="F23" s="10" t="s">
        <v>22604</v>
      </c>
      <c r="G23" s="10" t="s">
        <v>17</v>
      </c>
      <c r="H23" s="10" t="s">
        <v>22605</v>
      </c>
      <c r="I23" s="10" t="s">
        <v>48</v>
      </c>
      <c r="K23" s="10" t="s">
        <v>22606</v>
      </c>
      <c r="L23" s="10" t="s">
        <v>42</v>
      </c>
    </row>
    <row r="24" ht="15.75" customHeight="1">
      <c r="A24" s="66">
        <v>45498.0</v>
      </c>
      <c r="B24" s="55" t="str">
        <f>HYPERLINK("https://jobright.ai/jobs/info/66a2304c01e1969f1d5dcc60?utm_campaign=1055&amp;utm_source=sheet", "Apply")</f>
        <v>Apply</v>
      </c>
      <c r="C24" s="10" t="s">
        <v>22607</v>
      </c>
      <c r="D24" s="56" t="s">
        <v>18075</v>
      </c>
      <c r="E24" s="10">
        <v>39824.0</v>
      </c>
      <c r="G24" s="10" t="s">
        <v>17</v>
      </c>
      <c r="H24" s="10" t="s">
        <v>882</v>
      </c>
      <c r="I24" s="10" t="s">
        <v>48</v>
      </c>
      <c r="K24" s="10" t="s">
        <v>22608</v>
      </c>
      <c r="L24" s="10" t="s">
        <v>42</v>
      </c>
    </row>
    <row r="25" ht="15.75" customHeight="1">
      <c r="A25" s="66">
        <v>45498.0</v>
      </c>
      <c r="B25" s="55" t="str">
        <f>HYPERLINK("https://jobright.ai/jobs/info/6685666e5afc77163088a6a5?utm_campaign=1055&amp;utm_source=sheet", "Apply")</f>
        <v>Apply</v>
      </c>
      <c r="C25" s="10" t="s">
        <v>22609</v>
      </c>
      <c r="D25" s="56" t="s">
        <v>22610</v>
      </c>
      <c r="E25" s="10" t="s">
        <v>137</v>
      </c>
      <c r="F25" s="10" t="s">
        <v>1266</v>
      </c>
      <c r="G25" s="10" t="s">
        <v>17</v>
      </c>
      <c r="H25" s="10" t="s">
        <v>251</v>
      </c>
      <c r="I25" s="10" t="s">
        <v>252</v>
      </c>
      <c r="J25" s="10" t="s">
        <v>22611</v>
      </c>
      <c r="K25" s="10" t="s">
        <v>22612</v>
      </c>
      <c r="L25" s="10" t="s">
        <v>42</v>
      </c>
    </row>
    <row r="26" ht="15.75" customHeight="1">
      <c r="A26" s="66">
        <v>45498.0</v>
      </c>
      <c r="B26" s="55" t="str">
        <f>HYPERLINK("https://jobright.ai/jobs/info/66a29fb13c75a5a64d8bb82d?utm_campaign=1055&amp;utm_source=sheet", "Apply")</f>
        <v>Apply</v>
      </c>
      <c r="C26" s="10" t="s">
        <v>22613</v>
      </c>
      <c r="D26" s="56" t="s">
        <v>22614</v>
      </c>
      <c r="E26" s="10" t="s">
        <v>65</v>
      </c>
      <c r="F26" s="10" t="s">
        <v>10</v>
      </c>
      <c r="G26" s="10" t="s">
        <v>17</v>
      </c>
      <c r="H26" s="10" t="s">
        <v>22615</v>
      </c>
      <c r="I26" s="10" t="s">
        <v>55</v>
      </c>
      <c r="J26" s="10" t="s">
        <v>22616</v>
      </c>
      <c r="K26" s="10" t="s">
        <v>22617</v>
      </c>
      <c r="L26" s="10" t="s">
        <v>42</v>
      </c>
    </row>
    <row r="27" ht="15.75" customHeight="1">
      <c r="A27" s="66">
        <v>45497.0</v>
      </c>
      <c r="B27" s="55" t="str">
        <f>HYPERLINK("https://jobright.ai/jobs/info/66a1a0a4f9d25010fae4c226?utm_campaign=1055&amp;utm_source=sheet", "Apply")</f>
        <v>Apply</v>
      </c>
      <c r="C27" s="10" t="s">
        <v>22618</v>
      </c>
      <c r="D27" s="56" t="s">
        <v>22619</v>
      </c>
      <c r="E27" s="10" t="s">
        <v>276</v>
      </c>
      <c r="F27" s="10" t="s">
        <v>9959</v>
      </c>
      <c r="G27" s="10" t="s">
        <v>17</v>
      </c>
      <c r="H27" s="10" t="s">
        <v>609</v>
      </c>
      <c r="I27" s="10" t="s">
        <v>55</v>
      </c>
      <c r="K27" s="10" t="s">
        <v>22620</v>
      </c>
      <c r="L27" s="10" t="s">
        <v>42</v>
      </c>
    </row>
    <row r="28" ht="15.75" customHeight="1">
      <c r="A28" s="66">
        <v>45497.0</v>
      </c>
      <c r="B28" s="55" t="str">
        <f>HYPERLINK("https://jobright.ai/jobs/info/66a187898153b6c68fde5702?utm_campaign=1055&amp;utm_source=sheet", "Apply")</f>
        <v>Apply</v>
      </c>
      <c r="C28" s="10" t="s">
        <v>22561</v>
      </c>
      <c r="D28" s="56" t="s">
        <v>22621</v>
      </c>
      <c r="E28" s="10" t="s">
        <v>137</v>
      </c>
      <c r="F28" s="10" t="s">
        <v>568</v>
      </c>
      <c r="G28" s="10" t="s">
        <v>17</v>
      </c>
      <c r="H28" s="10" t="s">
        <v>113</v>
      </c>
      <c r="I28" s="10" t="s">
        <v>55</v>
      </c>
      <c r="K28" s="10" t="s">
        <v>22622</v>
      </c>
      <c r="L28" s="10" t="s">
        <v>42</v>
      </c>
    </row>
    <row r="29" ht="15.75" customHeight="1">
      <c r="A29" s="66">
        <v>45497.0</v>
      </c>
      <c r="B29" s="55" t="str">
        <f>HYPERLINK("https://jobright.ai/jobs/info/66a18af3886017c169bb0251?utm_campaign=1055&amp;utm_source=sheet", "Apply")</f>
        <v>Apply</v>
      </c>
      <c r="C29" s="10" t="s">
        <v>22549</v>
      </c>
      <c r="D29" s="56" t="s">
        <v>22623</v>
      </c>
      <c r="E29" s="10" t="s">
        <v>137</v>
      </c>
      <c r="F29" s="10" t="s">
        <v>9739</v>
      </c>
      <c r="G29" s="10" t="s">
        <v>17</v>
      </c>
      <c r="H29" s="10" t="s">
        <v>168</v>
      </c>
      <c r="I29" s="10" t="s">
        <v>55</v>
      </c>
      <c r="K29" s="10" t="s">
        <v>22624</v>
      </c>
      <c r="L29" s="10" t="s">
        <v>42</v>
      </c>
    </row>
    <row r="30" ht="15.75" customHeight="1">
      <c r="A30" s="66">
        <v>45497.0</v>
      </c>
      <c r="B30" s="55" t="str">
        <f>HYPERLINK("https://jobright.ai/jobs/info/66a148e753ccbd09bfe38050?utm_campaign=1055&amp;utm_source=sheet", "Apply")</f>
        <v>Apply</v>
      </c>
      <c r="C30" s="10" t="s">
        <v>22625</v>
      </c>
      <c r="D30" s="56" t="s">
        <v>22626</v>
      </c>
      <c r="E30" s="10" t="s">
        <v>276</v>
      </c>
      <c r="F30" s="10" t="s">
        <v>22627</v>
      </c>
      <c r="G30" s="10" t="s">
        <v>17</v>
      </c>
      <c r="H30" s="10" t="s">
        <v>442</v>
      </c>
      <c r="I30" s="10" t="s">
        <v>55</v>
      </c>
      <c r="K30" s="10" t="s">
        <v>22628</v>
      </c>
      <c r="L30" s="10" t="s">
        <v>42</v>
      </c>
    </row>
    <row r="31" ht="15.75" customHeight="1">
      <c r="A31" s="66">
        <v>45497.0</v>
      </c>
      <c r="B31" s="55" t="str">
        <f>HYPERLINK("https://jobright.ai/jobs/info/66a13e96bfb37f3f681f0458?utm_campaign=1055&amp;utm_source=sheet", "Apply")</f>
        <v>Apply</v>
      </c>
      <c r="C31" s="10" t="s">
        <v>22629</v>
      </c>
      <c r="D31" s="56" t="s">
        <v>22630</v>
      </c>
      <c r="E31" s="10" t="s">
        <v>65</v>
      </c>
      <c r="F31" s="10" t="s">
        <v>568</v>
      </c>
      <c r="G31" s="10" t="s">
        <v>17</v>
      </c>
      <c r="H31" s="10" t="s">
        <v>4279</v>
      </c>
      <c r="I31" s="10" t="s">
        <v>55</v>
      </c>
      <c r="K31" s="10" t="s">
        <v>22631</v>
      </c>
      <c r="L31" s="10" t="s">
        <v>42</v>
      </c>
    </row>
    <row r="32" ht="15.75" customHeight="1">
      <c r="A32" s="66">
        <v>45497.0</v>
      </c>
      <c r="B32" s="55" t="str">
        <f>HYPERLINK("https://jobright.ai/jobs/info/66a3e1cdfa1e56eccb8f5b27?utm_campaign=1055&amp;utm_source=sheet", "Apply")</f>
        <v>Apply</v>
      </c>
      <c r="C32" s="10" t="s">
        <v>22632</v>
      </c>
      <c r="D32" s="56" t="s">
        <v>22633</v>
      </c>
      <c r="E32" s="10" t="s">
        <v>45</v>
      </c>
      <c r="F32" s="10" t="s">
        <v>5016</v>
      </c>
      <c r="G32" s="10" t="s">
        <v>17</v>
      </c>
      <c r="H32" s="10" t="s">
        <v>898</v>
      </c>
      <c r="I32" s="10" t="s">
        <v>55</v>
      </c>
      <c r="J32" s="10" t="s">
        <v>22634</v>
      </c>
      <c r="K32" s="10" t="s">
        <v>22635</v>
      </c>
      <c r="L32" s="10" t="s">
        <v>42</v>
      </c>
    </row>
    <row r="33" ht="15.75" customHeight="1">
      <c r="A33" s="66">
        <v>45497.0</v>
      </c>
      <c r="B33" s="55" t="str">
        <f>HYPERLINK("https://jobright.ai/jobs/info/66a12805a9e645a4a890080f?utm_campaign=1055&amp;utm_source=sheet", "Apply")</f>
        <v>Apply</v>
      </c>
      <c r="C33" s="10" t="s">
        <v>22636</v>
      </c>
      <c r="D33" s="56" t="s">
        <v>22637</v>
      </c>
      <c r="E33" s="10" t="s">
        <v>137</v>
      </c>
      <c r="F33" s="10" t="s">
        <v>22638</v>
      </c>
      <c r="G33" s="10" t="s">
        <v>17</v>
      </c>
      <c r="H33" s="10" t="s">
        <v>170</v>
      </c>
      <c r="I33" s="10" t="s">
        <v>48</v>
      </c>
      <c r="J33" s="10" t="s">
        <v>22639</v>
      </c>
      <c r="K33" s="10" t="s">
        <v>22640</v>
      </c>
      <c r="L33" s="10" t="s">
        <v>42</v>
      </c>
    </row>
    <row r="34" ht="15.75" customHeight="1">
      <c r="A34" s="66">
        <v>45497.0</v>
      </c>
      <c r="B34" s="55" t="str">
        <f>HYPERLINK("https://jobright.ai/jobs/info/66a0eaa2e19c90b42235fdea?utm_campaign=1055&amp;utm_source=sheet", "Apply")</f>
        <v>Apply</v>
      </c>
      <c r="C34" s="10" t="s">
        <v>22641</v>
      </c>
      <c r="D34" s="56" t="s">
        <v>22642</v>
      </c>
      <c r="E34" s="10" t="s">
        <v>45</v>
      </c>
      <c r="F34" s="10" t="s">
        <v>22643</v>
      </c>
      <c r="G34" s="10" t="s">
        <v>17</v>
      </c>
      <c r="H34" s="10" t="s">
        <v>10437</v>
      </c>
      <c r="I34" s="10" t="s">
        <v>55</v>
      </c>
      <c r="K34" s="10" t="s">
        <v>22644</v>
      </c>
      <c r="L34" s="10" t="s">
        <v>42</v>
      </c>
    </row>
    <row r="35" ht="15.75" customHeight="1">
      <c r="A35" s="66">
        <v>45497.0</v>
      </c>
      <c r="B35" s="55" t="str">
        <f>HYPERLINK("https://jobright.ai/jobs/info/6684801854017d3eb190d666?utm_campaign=1055&amp;utm_source=sheet", "Apply")</f>
        <v>Apply</v>
      </c>
      <c r="C35" s="10" t="s">
        <v>22645</v>
      </c>
      <c r="D35" s="56" t="s">
        <v>22646</v>
      </c>
      <c r="E35" s="10" t="s">
        <v>65</v>
      </c>
      <c r="F35" s="10" t="s">
        <v>22647</v>
      </c>
      <c r="G35" s="10" t="s">
        <v>17</v>
      </c>
      <c r="H35" s="10" t="s">
        <v>159</v>
      </c>
      <c r="I35" s="10" t="s">
        <v>55</v>
      </c>
      <c r="J35" s="10" t="s">
        <v>2590</v>
      </c>
      <c r="K35" s="10" t="s">
        <v>22648</v>
      </c>
      <c r="L35" s="10" t="s">
        <v>42</v>
      </c>
    </row>
    <row r="36" ht="15.75" customHeight="1">
      <c r="A36" s="66">
        <v>45497.0</v>
      </c>
      <c r="B36" s="55" t="str">
        <f>HYPERLINK("https://jobright.ai/jobs/info/66848d9ef77b2c8f7053f25d?utm_campaign=1055&amp;utm_source=sheet", "Apply")</f>
        <v>Apply</v>
      </c>
      <c r="C36" s="10" t="s">
        <v>22649</v>
      </c>
      <c r="D36" s="56" t="s">
        <v>9937</v>
      </c>
      <c r="E36" s="10" t="s">
        <v>45</v>
      </c>
      <c r="F36" s="10" t="s">
        <v>9938</v>
      </c>
      <c r="G36" s="10" t="s">
        <v>17</v>
      </c>
      <c r="H36" s="10" t="s">
        <v>96</v>
      </c>
      <c r="I36" s="10" t="s">
        <v>55</v>
      </c>
      <c r="K36" s="10" t="s">
        <v>22650</v>
      </c>
      <c r="L36" s="10" t="s">
        <v>42</v>
      </c>
    </row>
    <row r="37" ht="15.75" customHeight="1">
      <c r="A37" s="66">
        <v>45497.0</v>
      </c>
      <c r="B37" s="55" t="str">
        <f>HYPERLINK("https://jobright.ai/jobs/info/6666e664f6a2ab22eec0be49?utm_campaign=1055&amp;utm_source=sheet", "Apply")</f>
        <v>Apply</v>
      </c>
      <c r="C37" s="10" t="s">
        <v>22651</v>
      </c>
      <c r="D37" s="56" t="s">
        <v>22652</v>
      </c>
      <c r="E37" s="10" t="s">
        <v>79</v>
      </c>
      <c r="F37" s="10" t="s">
        <v>22653</v>
      </c>
      <c r="G37" s="10" t="s">
        <v>17</v>
      </c>
      <c r="H37" s="10" t="s">
        <v>251</v>
      </c>
      <c r="I37" s="10" t="s">
        <v>252</v>
      </c>
      <c r="K37" s="10" t="s">
        <v>22654</v>
      </c>
      <c r="L37" s="10" t="s">
        <v>42</v>
      </c>
    </row>
    <row r="38" ht="15.75" customHeight="1">
      <c r="A38" s="66">
        <v>45497.0</v>
      </c>
      <c r="B38" s="55" t="str">
        <f>HYPERLINK("https://jobright.ai/jobs/info/668489b42ca14dafe69a1a0d?utm_campaign=1055&amp;utm_source=sheet", "Apply")</f>
        <v>Apply</v>
      </c>
      <c r="C38" s="10" t="s">
        <v>22649</v>
      </c>
      <c r="D38" s="56" t="s">
        <v>9914</v>
      </c>
      <c r="E38" s="10" t="s">
        <v>249</v>
      </c>
      <c r="F38" s="10" t="s">
        <v>3684</v>
      </c>
      <c r="G38" s="10" t="s">
        <v>17</v>
      </c>
      <c r="H38" s="10" t="s">
        <v>96</v>
      </c>
      <c r="I38" s="10" t="s">
        <v>55</v>
      </c>
      <c r="K38" s="10" t="s">
        <v>22650</v>
      </c>
      <c r="L38" s="10" t="s">
        <v>42</v>
      </c>
    </row>
    <row r="39" ht="15.75" customHeight="1">
      <c r="A39" s="66">
        <v>45497.0</v>
      </c>
      <c r="B39" s="55" t="str">
        <f>HYPERLINK("https://jobright.ai/jobs/info/6691bd44fd9555930f1fd95c?utm_campaign=1055&amp;utm_source=sheet", "Apply")</f>
        <v>Apply</v>
      </c>
      <c r="C39" s="10" t="s">
        <v>22655</v>
      </c>
      <c r="D39" s="56" t="s">
        <v>22656</v>
      </c>
      <c r="E39" s="10" t="s">
        <v>79</v>
      </c>
      <c r="F39" s="10" t="s">
        <v>1243</v>
      </c>
      <c r="G39" s="10" t="s">
        <v>17</v>
      </c>
      <c r="H39" s="10" t="s">
        <v>819</v>
      </c>
      <c r="I39" s="10" t="s">
        <v>55</v>
      </c>
      <c r="J39" s="10" t="s">
        <v>22657</v>
      </c>
      <c r="K39" s="10" t="s">
        <v>22658</v>
      </c>
      <c r="L39" s="10" t="s">
        <v>42</v>
      </c>
    </row>
    <row r="40" ht="15.75" customHeight="1">
      <c r="A40" s="66">
        <v>45497.0</v>
      </c>
      <c r="B40" s="55" t="str">
        <f>HYPERLINK("https://jobright.ai/jobs/info/66a02a9683fe12fc9f1d45f7?utm_campaign=1055&amp;utm_source=sheet", "Apply")</f>
        <v>Apply</v>
      </c>
      <c r="C40" s="10" t="s">
        <v>22659</v>
      </c>
      <c r="D40" s="56" t="s">
        <v>22660</v>
      </c>
      <c r="E40" s="10" t="s">
        <v>65</v>
      </c>
      <c r="G40" s="10" t="s">
        <v>17</v>
      </c>
      <c r="H40" s="10" t="s">
        <v>965</v>
      </c>
      <c r="I40" s="10" t="s">
        <v>55</v>
      </c>
      <c r="J40" s="10" t="s">
        <v>1112</v>
      </c>
      <c r="K40" s="10" t="s">
        <v>22661</v>
      </c>
      <c r="L40" s="10" t="s">
        <v>42</v>
      </c>
    </row>
    <row r="41" ht="15.75" customHeight="1">
      <c r="A41" s="66">
        <v>45497.0</v>
      </c>
      <c r="B41" s="55" t="str">
        <f>HYPERLINK("https://jobright.ai/jobs/info/66a06a264d2690087dea3e0e?utm_campaign=1055&amp;utm_source=sheet", "Apply")</f>
        <v>Apply</v>
      </c>
      <c r="C41" s="10" t="s">
        <v>22662</v>
      </c>
      <c r="D41" s="56" t="s">
        <v>22663</v>
      </c>
      <c r="E41" s="10" t="s">
        <v>65</v>
      </c>
      <c r="F41" s="10" t="s">
        <v>568</v>
      </c>
      <c r="G41" s="10" t="s">
        <v>17</v>
      </c>
      <c r="H41" s="10" t="s">
        <v>1263</v>
      </c>
      <c r="I41" s="10" t="s">
        <v>55</v>
      </c>
      <c r="K41" s="10" t="s">
        <v>22664</v>
      </c>
      <c r="L41" s="10" t="s">
        <v>42</v>
      </c>
    </row>
    <row r="42" ht="15.75" customHeight="1">
      <c r="A42" s="66">
        <v>45497.0</v>
      </c>
      <c r="B42" s="55" t="str">
        <f>HYPERLINK("https://jobright.ai/jobs/info/66a16e292178a46615cb32a8?utm_campaign=1055&amp;utm_source=sheet", "Apply")</f>
        <v>Apply</v>
      </c>
      <c r="C42" s="10" t="s">
        <v>22665</v>
      </c>
      <c r="D42" s="56" t="s">
        <v>22666</v>
      </c>
      <c r="E42" s="10" t="s">
        <v>276</v>
      </c>
      <c r="F42" s="10" t="s">
        <v>2098</v>
      </c>
      <c r="G42" s="10" t="s">
        <v>17</v>
      </c>
      <c r="H42" s="10" t="s">
        <v>5691</v>
      </c>
      <c r="I42" s="10" t="s">
        <v>55</v>
      </c>
      <c r="K42" s="10" t="s">
        <v>22667</v>
      </c>
      <c r="L42" s="10" t="s">
        <v>42</v>
      </c>
    </row>
    <row r="43" ht="15.75" customHeight="1">
      <c r="A43" s="66">
        <v>45497.0</v>
      </c>
      <c r="B43" s="55" t="str">
        <f>HYPERLINK("https://jobright.ai/jobs/info/66a180be137a029884e5ab29?utm_campaign=1055&amp;utm_source=sheet", "Apply")</f>
        <v>Apply</v>
      </c>
      <c r="C43" s="10" t="s">
        <v>22668</v>
      </c>
      <c r="D43" s="56" t="s">
        <v>20115</v>
      </c>
      <c r="E43" s="10" t="s">
        <v>276</v>
      </c>
      <c r="F43" s="10" t="s">
        <v>20116</v>
      </c>
      <c r="G43" s="10" t="s">
        <v>17</v>
      </c>
      <c r="H43" s="10" t="s">
        <v>2222</v>
      </c>
      <c r="I43" s="10" t="s">
        <v>55</v>
      </c>
      <c r="K43" s="10" t="s">
        <v>22669</v>
      </c>
      <c r="L43" s="10" t="s">
        <v>42</v>
      </c>
    </row>
    <row r="44" ht="15.75" customHeight="1">
      <c r="A44" s="66">
        <v>45496.0</v>
      </c>
      <c r="B44" s="55" t="str">
        <f>HYPERLINK("https://jobright.ai/jobs/info/66a041600b66118039603dde?utm_campaign=1055&amp;utm_source=sheet", "Apply")</f>
        <v>Apply</v>
      </c>
      <c r="C44" s="10" t="s">
        <v>1605</v>
      </c>
      <c r="D44" s="56" t="s">
        <v>22670</v>
      </c>
      <c r="E44" s="10" t="s">
        <v>276</v>
      </c>
      <c r="F44" s="10" t="s">
        <v>85</v>
      </c>
      <c r="G44" s="10" t="s">
        <v>17</v>
      </c>
      <c r="H44" s="10" t="s">
        <v>354</v>
      </c>
      <c r="I44" s="10" t="s">
        <v>55</v>
      </c>
      <c r="K44" s="10" t="s">
        <v>22671</v>
      </c>
      <c r="L44" s="10" t="s">
        <v>42</v>
      </c>
    </row>
    <row r="45" ht="15.75" customHeight="1">
      <c r="A45" s="66">
        <v>45496.0</v>
      </c>
      <c r="B45" s="55" t="str">
        <f>HYPERLINK("https://jobright.ai/jobs/info/66a04be8a71c376ac310e86f?utm_campaign=1055&amp;utm_source=sheet", "Apply")</f>
        <v>Apply</v>
      </c>
      <c r="C45" s="10" t="s">
        <v>22672</v>
      </c>
      <c r="D45" s="56" t="s">
        <v>22656</v>
      </c>
      <c r="E45" s="10" t="s">
        <v>79</v>
      </c>
      <c r="F45" s="10" t="s">
        <v>1243</v>
      </c>
      <c r="G45" s="10" t="s">
        <v>17</v>
      </c>
      <c r="H45" s="10" t="s">
        <v>251</v>
      </c>
      <c r="I45" s="10" t="s">
        <v>48</v>
      </c>
      <c r="K45" s="10" t="s">
        <v>22673</v>
      </c>
      <c r="L45" s="10" t="s">
        <v>42</v>
      </c>
    </row>
    <row r="46" ht="15.75" customHeight="1">
      <c r="A46" s="66">
        <v>45496.0</v>
      </c>
      <c r="B46" s="55" t="str">
        <f>HYPERLINK("https://jobright.ai/jobs/info/66a04be8a71c376ac310e87a?utm_campaign=1055&amp;utm_source=sheet", "Apply")</f>
        <v>Apply</v>
      </c>
      <c r="C46" s="10" t="s">
        <v>22674</v>
      </c>
      <c r="D46" s="56" t="s">
        <v>22656</v>
      </c>
      <c r="E46" s="10" t="s">
        <v>79</v>
      </c>
      <c r="F46" s="10" t="s">
        <v>1243</v>
      </c>
      <c r="G46" s="10" t="s">
        <v>17</v>
      </c>
      <c r="H46" s="10" t="s">
        <v>251</v>
      </c>
      <c r="I46" s="10" t="s">
        <v>48</v>
      </c>
      <c r="K46" s="10" t="s">
        <v>22675</v>
      </c>
      <c r="L46" s="10" t="s">
        <v>42</v>
      </c>
    </row>
    <row r="47" ht="15.75" customHeight="1">
      <c r="A47" s="66">
        <v>45496.0</v>
      </c>
      <c r="B47" s="55" t="str">
        <f>HYPERLINK("https://jobright.ai/jobs/info/66a04be8a71c376ac310e874?utm_campaign=1055&amp;utm_source=sheet", "Apply")</f>
        <v>Apply</v>
      </c>
      <c r="C47" s="10" t="s">
        <v>22676</v>
      </c>
      <c r="D47" s="56" t="s">
        <v>22656</v>
      </c>
      <c r="E47" s="10" t="s">
        <v>79</v>
      </c>
      <c r="F47" s="10" t="s">
        <v>1243</v>
      </c>
      <c r="G47" s="10" t="s">
        <v>17</v>
      </c>
      <c r="H47" s="10" t="s">
        <v>251</v>
      </c>
      <c r="I47" s="10" t="s">
        <v>48</v>
      </c>
      <c r="K47" s="10" t="s">
        <v>22677</v>
      </c>
      <c r="L47" s="10" t="s">
        <v>42</v>
      </c>
    </row>
    <row r="48" ht="15.75" customHeight="1">
      <c r="A48" s="66">
        <v>45496.0</v>
      </c>
      <c r="B48" s="55" t="str">
        <f>HYPERLINK("https://jobright.ai/jobs/info/66a04be8a71c376ac310e87e?utm_campaign=1055&amp;utm_source=sheet", "Apply")</f>
        <v>Apply</v>
      </c>
      <c r="C48" s="10" t="s">
        <v>22678</v>
      </c>
      <c r="D48" s="56" t="s">
        <v>22656</v>
      </c>
      <c r="E48" s="10" t="s">
        <v>79</v>
      </c>
      <c r="F48" s="10" t="s">
        <v>1243</v>
      </c>
      <c r="G48" s="10" t="s">
        <v>17</v>
      </c>
      <c r="H48" s="10" t="s">
        <v>251</v>
      </c>
      <c r="I48" s="10" t="s">
        <v>48</v>
      </c>
      <c r="K48" s="10" t="s">
        <v>22679</v>
      </c>
      <c r="L48" s="10" t="s">
        <v>42</v>
      </c>
    </row>
    <row r="49" ht="15.75" customHeight="1">
      <c r="A49" s="66">
        <v>45496.0</v>
      </c>
      <c r="B49" s="55" t="str">
        <f>HYPERLINK("https://jobright.ai/jobs/info/66a07218dd8dd72972770542?utm_campaign=1055&amp;utm_source=sheet", "Apply")</f>
        <v>Apply</v>
      </c>
      <c r="C49" s="10" t="s">
        <v>22680</v>
      </c>
      <c r="D49" s="56" t="s">
        <v>22656</v>
      </c>
      <c r="E49" s="10" t="s">
        <v>79</v>
      </c>
      <c r="F49" s="10" t="s">
        <v>1243</v>
      </c>
      <c r="G49" s="10" t="s">
        <v>17</v>
      </c>
      <c r="H49" s="10" t="s">
        <v>251</v>
      </c>
      <c r="I49" s="10" t="s">
        <v>48</v>
      </c>
      <c r="K49" s="10" t="s">
        <v>22677</v>
      </c>
      <c r="L49" s="10" t="s">
        <v>42</v>
      </c>
    </row>
    <row r="50" ht="15.75" customHeight="1">
      <c r="A50" s="66">
        <v>45496.0</v>
      </c>
      <c r="B50" s="55" t="str">
        <f>HYPERLINK("https://jobright.ai/jobs/info/66a053c36d940e38156200ad?utm_campaign=1055&amp;utm_source=sheet", "Apply")</f>
        <v>Apply</v>
      </c>
      <c r="C50" s="10" t="s">
        <v>22681</v>
      </c>
      <c r="D50" s="56" t="s">
        <v>22656</v>
      </c>
      <c r="E50" s="10" t="s">
        <v>79</v>
      </c>
      <c r="F50" s="10" t="s">
        <v>1243</v>
      </c>
      <c r="G50" s="10" t="s">
        <v>17</v>
      </c>
      <c r="H50" s="10" t="s">
        <v>251</v>
      </c>
      <c r="I50" s="10" t="s">
        <v>48</v>
      </c>
      <c r="K50" s="10" t="s">
        <v>22682</v>
      </c>
      <c r="L50" s="10" t="s">
        <v>42</v>
      </c>
    </row>
    <row r="51" ht="15.75" customHeight="1">
      <c r="A51" s="66">
        <v>45496.0</v>
      </c>
      <c r="B51" s="55" t="str">
        <f>HYPERLINK("https://jobright.ai/jobs/info/66a053c36d940e38156200b4?utm_campaign=1055&amp;utm_source=sheet", "Apply")</f>
        <v>Apply</v>
      </c>
      <c r="C51" s="10" t="s">
        <v>22683</v>
      </c>
      <c r="D51" s="56" t="s">
        <v>22656</v>
      </c>
      <c r="E51" s="10" t="s">
        <v>79</v>
      </c>
      <c r="F51" s="10" t="s">
        <v>1243</v>
      </c>
      <c r="G51" s="10" t="s">
        <v>17</v>
      </c>
      <c r="H51" s="10" t="s">
        <v>251</v>
      </c>
      <c r="I51" s="10" t="s">
        <v>48</v>
      </c>
      <c r="K51" s="10" t="s">
        <v>22682</v>
      </c>
      <c r="L51" s="10" t="s">
        <v>42</v>
      </c>
    </row>
    <row r="52" ht="15.75" customHeight="1">
      <c r="A52" s="66">
        <v>45496.0</v>
      </c>
      <c r="B52" s="55" t="str">
        <f>HYPERLINK("https://jobright.ai/jobs/info/669ba4f7570252d0306ef433?utm_campaign=1055&amp;utm_source=sheet", "Apply")</f>
        <v>Apply</v>
      </c>
      <c r="C52" s="10" t="s">
        <v>22684</v>
      </c>
      <c r="D52" s="56" t="s">
        <v>22685</v>
      </c>
      <c r="E52" s="10" t="s">
        <v>79</v>
      </c>
      <c r="F52" s="10" t="s">
        <v>19646</v>
      </c>
      <c r="G52" s="10" t="s">
        <v>17</v>
      </c>
      <c r="H52" s="10" t="s">
        <v>22686</v>
      </c>
      <c r="I52" s="10" t="s">
        <v>55</v>
      </c>
      <c r="K52" s="10" t="s">
        <v>22687</v>
      </c>
      <c r="L52" s="10" t="s">
        <v>42</v>
      </c>
    </row>
    <row r="53" ht="15.75" customHeight="1">
      <c r="A53" s="66">
        <v>45496.0</v>
      </c>
      <c r="B53" s="55" t="str">
        <f>HYPERLINK("https://jobright.ai/jobs/info/66a042d6419140b73defa4da?utm_campaign=1055&amp;utm_source=sheet", "Apply")</f>
        <v>Apply</v>
      </c>
      <c r="C53" s="10" t="s">
        <v>22688</v>
      </c>
      <c r="D53" s="56" t="s">
        <v>22656</v>
      </c>
      <c r="E53" s="10" t="s">
        <v>79</v>
      </c>
      <c r="F53" s="10" t="s">
        <v>1243</v>
      </c>
      <c r="G53" s="10" t="s">
        <v>17</v>
      </c>
      <c r="H53" s="10" t="s">
        <v>251</v>
      </c>
      <c r="I53" s="10" t="s">
        <v>48</v>
      </c>
      <c r="K53" s="10" t="s">
        <v>22689</v>
      </c>
      <c r="L53" s="10" t="s">
        <v>42</v>
      </c>
    </row>
    <row r="54" ht="15.75" customHeight="1">
      <c r="A54" s="66">
        <v>45496.0</v>
      </c>
      <c r="B54" s="55" t="str">
        <f>HYPERLINK("https://jobright.ai/jobs/info/66a0b3ad716fe1907112f85a?utm_campaign=1055&amp;utm_source=sheet", "Apply")</f>
        <v>Apply</v>
      </c>
      <c r="C54" s="10" t="s">
        <v>22690</v>
      </c>
      <c r="D54" s="56" t="s">
        <v>22656</v>
      </c>
      <c r="E54" s="10" t="s">
        <v>79</v>
      </c>
      <c r="F54" s="10" t="s">
        <v>1243</v>
      </c>
      <c r="G54" s="10" t="s">
        <v>17</v>
      </c>
      <c r="H54" s="10" t="s">
        <v>251</v>
      </c>
      <c r="I54" s="10" t="s">
        <v>48</v>
      </c>
      <c r="K54" s="10" t="s">
        <v>22682</v>
      </c>
      <c r="L54" s="10" t="s">
        <v>42</v>
      </c>
    </row>
    <row r="55" ht="15.75" customHeight="1">
      <c r="A55" s="66">
        <v>45496.0</v>
      </c>
      <c r="B55" s="55" t="str">
        <f>HYPERLINK("https://jobright.ai/jobs/info/6694f662f8f235777dbf9a13?utm_campaign=1055&amp;utm_source=sheet", "Apply")</f>
        <v>Apply</v>
      </c>
      <c r="C55" s="10" t="s">
        <v>22691</v>
      </c>
      <c r="D55" s="56" t="s">
        <v>22692</v>
      </c>
      <c r="E55" s="10" t="s">
        <v>45</v>
      </c>
      <c r="F55" s="10" t="s">
        <v>2463</v>
      </c>
      <c r="G55" s="10" t="s">
        <v>17</v>
      </c>
      <c r="H55" s="10" t="s">
        <v>994</v>
      </c>
      <c r="I55" s="10" t="s">
        <v>55</v>
      </c>
      <c r="J55" s="10" t="s">
        <v>22693</v>
      </c>
      <c r="K55" s="10" t="s">
        <v>22694</v>
      </c>
      <c r="L55" s="10" t="s">
        <v>42</v>
      </c>
    </row>
    <row r="56" ht="15.75" customHeight="1">
      <c r="A56" s="66">
        <v>45496.0</v>
      </c>
      <c r="B56" s="55" t="str">
        <f>HYPERLINK("https://jobright.ai/jobs/info/6694f662f8f235777dbf9a12?utm_campaign=1055&amp;utm_source=sheet", "Apply")</f>
        <v>Apply</v>
      </c>
      <c r="C56" s="10" t="s">
        <v>22691</v>
      </c>
      <c r="D56" s="56" t="s">
        <v>22692</v>
      </c>
      <c r="E56" s="10" t="s">
        <v>45</v>
      </c>
      <c r="F56" s="10" t="s">
        <v>2463</v>
      </c>
      <c r="G56" s="10" t="s">
        <v>17</v>
      </c>
      <c r="H56" s="10" t="s">
        <v>170</v>
      </c>
      <c r="I56" s="10" t="s">
        <v>55</v>
      </c>
      <c r="J56" s="10" t="s">
        <v>22693</v>
      </c>
      <c r="K56" s="10" t="s">
        <v>22694</v>
      </c>
      <c r="L56" s="10" t="s">
        <v>42</v>
      </c>
    </row>
    <row r="57" ht="15.75" customHeight="1">
      <c r="A57" s="66">
        <v>45496.0</v>
      </c>
      <c r="B57" s="55" t="str">
        <f>HYPERLINK("https://jobright.ai/jobs/info/6694f2ee76a573c60b93d205?utm_campaign=1055&amp;utm_source=sheet", "Apply")</f>
        <v>Apply</v>
      </c>
      <c r="C57" s="10" t="s">
        <v>22691</v>
      </c>
      <c r="D57" s="56" t="s">
        <v>22692</v>
      </c>
      <c r="E57" s="10" t="s">
        <v>45</v>
      </c>
      <c r="F57" s="10" t="s">
        <v>2463</v>
      </c>
      <c r="G57" s="10" t="s">
        <v>17</v>
      </c>
      <c r="H57" s="10" t="s">
        <v>22695</v>
      </c>
      <c r="I57" s="10" t="s">
        <v>55</v>
      </c>
      <c r="J57" s="10" t="s">
        <v>22693</v>
      </c>
      <c r="K57" s="10" t="s">
        <v>22694</v>
      </c>
      <c r="L57" s="10" t="s">
        <v>42</v>
      </c>
    </row>
    <row r="58" ht="15.75" customHeight="1">
      <c r="A58" s="66">
        <v>45496.0</v>
      </c>
      <c r="B58" s="55" t="str">
        <f>HYPERLINK("https://jobright.ai/jobs/info/66a004217f05eedcfa5784ca?utm_campaign=1055&amp;utm_source=sheet", "Apply")</f>
        <v>Apply</v>
      </c>
      <c r="C58" s="10" t="s">
        <v>22696</v>
      </c>
      <c r="D58" s="56" t="s">
        <v>22697</v>
      </c>
      <c r="E58" s="10" t="s">
        <v>137</v>
      </c>
      <c r="F58" s="10" t="s">
        <v>1983</v>
      </c>
      <c r="G58" s="10" t="s">
        <v>17</v>
      </c>
      <c r="H58" s="10" t="s">
        <v>3302</v>
      </c>
      <c r="I58" s="10" t="s">
        <v>55</v>
      </c>
      <c r="K58" s="10" t="s">
        <v>22698</v>
      </c>
      <c r="L58" s="10" t="s">
        <v>42</v>
      </c>
    </row>
    <row r="59" ht="15.75" customHeight="1">
      <c r="A59" s="66">
        <v>45496.0</v>
      </c>
      <c r="B59" s="55" t="str">
        <f>HYPERLINK("https://jobright.ai/jobs/info/6677e275783a239da8418475?utm_campaign=1055&amp;utm_source=sheet", "Apply")</f>
        <v>Apply</v>
      </c>
      <c r="C59" s="10" t="s">
        <v>22699</v>
      </c>
      <c r="D59" s="56" t="s">
        <v>22700</v>
      </c>
      <c r="E59" s="10">
        <v>913.0</v>
      </c>
      <c r="G59" s="10" t="s">
        <v>17</v>
      </c>
      <c r="H59" s="10" t="s">
        <v>628</v>
      </c>
      <c r="I59" s="10" t="s">
        <v>55</v>
      </c>
      <c r="K59" s="10" t="s">
        <v>22701</v>
      </c>
      <c r="L59" s="10" t="s">
        <v>42</v>
      </c>
    </row>
    <row r="60" ht="15.75" customHeight="1">
      <c r="A60" s="66">
        <v>45496.0</v>
      </c>
      <c r="B60" s="55" t="str">
        <f>HYPERLINK("https://jobright.ai/jobs/info/669fe8c2e7a91c490018add4?utm_campaign=1055&amp;utm_source=sheet", "Apply")</f>
        <v>Apply</v>
      </c>
      <c r="C60" s="10" t="s">
        <v>22702</v>
      </c>
      <c r="D60" s="56" t="s">
        <v>363</v>
      </c>
      <c r="E60" s="10" t="s">
        <v>209</v>
      </c>
      <c r="F60" s="10" t="s">
        <v>364</v>
      </c>
      <c r="G60" s="10" t="s">
        <v>17</v>
      </c>
      <c r="H60" s="10" t="s">
        <v>365</v>
      </c>
      <c r="I60" s="10" t="s">
        <v>55</v>
      </c>
      <c r="J60" s="10" t="s">
        <v>521</v>
      </c>
      <c r="K60" s="10" t="s">
        <v>22703</v>
      </c>
      <c r="L60" s="10" t="s">
        <v>42</v>
      </c>
    </row>
    <row r="61" ht="15.75" customHeight="1">
      <c r="A61" s="66">
        <v>45496.0</v>
      </c>
      <c r="B61" s="55" t="str">
        <f>HYPERLINK("https://jobright.ai/jobs/info/66a3f4ed5fcbfa8457ce1571?utm_campaign=1055&amp;utm_source=sheet", "Apply")</f>
        <v>Apply</v>
      </c>
      <c r="C61" s="10" t="s">
        <v>22704</v>
      </c>
      <c r="D61" s="56" t="s">
        <v>22705</v>
      </c>
      <c r="E61" s="10" t="s">
        <v>276</v>
      </c>
      <c r="F61" s="10" t="s">
        <v>22706</v>
      </c>
      <c r="G61" s="10" t="s">
        <v>17</v>
      </c>
      <c r="H61" s="10" t="s">
        <v>774</v>
      </c>
      <c r="I61" s="10" t="s">
        <v>55</v>
      </c>
      <c r="J61" s="10" t="s">
        <v>581</v>
      </c>
      <c r="K61" s="10" t="s">
        <v>22707</v>
      </c>
      <c r="L61" s="10" t="s">
        <v>42</v>
      </c>
    </row>
    <row r="62" ht="15.75" customHeight="1">
      <c r="A62" s="66">
        <v>45496.0</v>
      </c>
      <c r="B62" s="55" t="str">
        <f>HYPERLINK("https://jobright.ai/jobs/info/669a89d0f84b499eedb4936b?utm_campaign=1055&amp;utm_source=sheet", "Apply")</f>
        <v>Apply</v>
      </c>
      <c r="C62" s="10" t="s">
        <v>22708</v>
      </c>
      <c r="D62" s="56" t="s">
        <v>22709</v>
      </c>
      <c r="E62" s="10" t="s">
        <v>79</v>
      </c>
      <c r="F62" s="10" t="s">
        <v>11677</v>
      </c>
      <c r="G62" s="10" t="s">
        <v>17</v>
      </c>
      <c r="H62" s="10" t="s">
        <v>578</v>
      </c>
      <c r="I62" s="10" t="s">
        <v>55</v>
      </c>
      <c r="J62" s="10" t="s">
        <v>9980</v>
      </c>
      <c r="K62" s="10" t="s">
        <v>22710</v>
      </c>
      <c r="L62" s="10" t="s">
        <v>42</v>
      </c>
    </row>
    <row r="63" ht="15.75" customHeight="1">
      <c r="A63" s="66">
        <v>45496.0</v>
      </c>
      <c r="B63" s="55" t="str">
        <f>HYPERLINK("https://jobright.ai/jobs/info/6671ac54a068d83e65cbbdb3?utm_campaign=1055&amp;utm_source=sheet", "Apply")</f>
        <v>Apply</v>
      </c>
      <c r="C63" s="10" t="s">
        <v>22711</v>
      </c>
      <c r="D63" s="56" t="s">
        <v>17691</v>
      </c>
      <c r="E63" s="10" t="s">
        <v>276</v>
      </c>
      <c r="F63" s="10" t="s">
        <v>17692</v>
      </c>
      <c r="G63" s="10" t="s">
        <v>17</v>
      </c>
      <c r="H63" s="10" t="s">
        <v>894</v>
      </c>
      <c r="I63" s="10" t="s">
        <v>55</v>
      </c>
      <c r="K63" s="10" t="s">
        <v>17700</v>
      </c>
      <c r="L63" s="10" t="s">
        <v>42</v>
      </c>
    </row>
    <row r="64" ht="15.75" customHeight="1">
      <c r="A64" s="66">
        <v>45496.0</v>
      </c>
      <c r="B64" s="55" t="str">
        <f>HYPERLINK("https://jobright.ai/jobs/info/66a063fbb7c3431a09f4e19d?utm_campaign=1055&amp;utm_source=sheet", "Apply")</f>
        <v>Apply</v>
      </c>
      <c r="C64" s="10" t="s">
        <v>22580</v>
      </c>
      <c r="D64" s="56" t="s">
        <v>20913</v>
      </c>
      <c r="E64" s="10" t="s">
        <v>45</v>
      </c>
      <c r="F64" s="10" t="s">
        <v>20914</v>
      </c>
      <c r="G64" s="10" t="s">
        <v>17</v>
      </c>
      <c r="H64" s="10" t="s">
        <v>20915</v>
      </c>
      <c r="I64" s="10" t="s">
        <v>55</v>
      </c>
      <c r="J64" s="10" t="s">
        <v>1409</v>
      </c>
      <c r="K64" s="10" t="s">
        <v>22712</v>
      </c>
      <c r="L64" s="10" t="s">
        <v>42</v>
      </c>
    </row>
    <row r="65" ht="15.75" customHeight="1">
      <c r="A65" s="66">
        <v>45495.0</v>
      </c>
      <c r="B65" s="55" t="str">
        <f>HYPERLINK("https://jobright.ai/jobs/info/669ee6fd335dddbe62d7cdd7?utm_campaign=1055&amp;utm_source=sheet", "Apply")</f>
        <v>Apply</v>
      </c>
      <c r="C65" s="10" t="s">
        <v>22713</v>
      </c>
      <c r="D65" s="56" t="s">
        <v>22714</v>
      </c>
      <c r="E65" s="10" t="s">
        <v>65</v>
      </c>
      <c r="F65" s="10" t="s">
        <v>17516</v>
      </c>
      <c r="G65" s="10" t="s">
        <v>17</v>
      </c>
      <c r="H65" s="10" t="s">
        <v>144</v>
      </c>
      <c r="I65" s="10" t="s">
        <v>48</v>
      </c>
      <c r="J65" s="10" t="s">
        <v>22715</v>
      </c>
      <c r="K65" s="10" t="s">
        <v>22716</v>
      </c>
      <c r="L65" s="10" t="s">
        <v>42</v>
      </c>
    </row>
    <row r="66" ht="15.75" customHeight="1">
      <c r="A66" s="66">
        <v>45495.0</v>
      </c>
      <c r="B66" s="55" t="str">
        <f>HYPERLINK("https://jobright.ai/jobs/info/669eb6193fc11ff7321cfaa5?utm_campaign=1055&amp;utm_source=sheet", "Apply")</f>
        <v>Apply</v>
      </c>
      <c r="C66" s="10" t="s">
        <v>22717</v>
      </c>
      <c r="D66" s="56" t="s">
        <v>9983</v>
      </c>
      <c r="E66" s="10" t="s">
        <v>45</v>
      </c>
      <c r="F66" s="10" t="s">
        <v>2527</v>
      </c>
      <c r="G66" s="10" t="s">
        <v>17</v>
      </c>
      <c r="H66" s="10" t="s">
        <v>9984</v>
      </c>
      <c r="I66" s="10" t="s">
        <v>48</v>
      </c>
      <c r="J66" s="10" t="s">
        <v>9985</v>
      </c>
      <c r="K66" s="10" t="s">
        <v>22718</v>
      </c>
      <c r="L66" s="10" t="s">
        <v>42</v>
      </c>
    </row>
    <row r="67" ht="15.75" customHeight="1">
      <c r="A67" s="66">
        <v>45495.0</v>
      </c>
      <c r="B67" s="55" t="str">
        <f>HYPERLINK("https://jobright.ai/jobs/info/669ea342ac04dc4b2d05abd2?utm_campaign=1055&amp;utm_source=sheet", "Apply")</f>
        <v>Apply</v>
      </c>
      <c r="C67" s="10" t="s">
        <v>22719</v>
      </c>
      <c r="D67" s="56" t="s">
        <v>22720</v>
      </c>
      <c r="E67" s="59">
        <v>45301.0</v>
      </c>
      <c r="F67" s="10" t="s">
        <v>22721</v>
      </c>
      <c r="G67" s="10" t="s">
        <v>17</v>
      </c>
      <c r="H67" s="10" t="s">
        <v>607</v>
      </c>
      <c r="I67" s="10" t="s">
        <v>55</v>
      </c>
      <c r="J67" s="10" t="s">
        <v>1409</v>
      </c>
      <c r="K67" s="10" t="s">
        <v>22722</v>
      </c>
      <c r="L67" s="10" t="s">
        <v>42</v>
      </c>
    </row>
    <row r="68" ht="15.75" customHeight="1">
      <c r="A68" s="66">
        <v>45495.0</v>
      </c>
      <c r="B68" s="55" t="str">
        <f>HYPERLINK("https://jobright.ai/jobs/info/669e9f4844b20b6f3bc67203?utm_campaign=1055&amp;utm_source=sheet", "Apply")</f>
        <v>Apply</v>
      </c>
      <c r="C68" s="10" t="s">
        <v>22723</v>
      </c>
      <c r="D68" s="56" t="s">
        <v>22724</v>
      </c>
      <c r="E68" s="10" t="s">
        <v>276</v>
      </c>
      <c r="F68" s="10" t="s">
        <v>3569</v>
      </c>
      <c r="G68" s="10" t="s">
        <v>17</v>
      </c>
      <c r="H68" s="10" t="s">
        <v>170</v>
      </c>
      <c r="I68" s="10" t="s">
        <v>55</v>
      </c>
      <c r="J68" s="10" t="s">
        <v>3979</v>
      </c>
      <c r="K68" s="10" t="s">
        <v>22725</v>
      </c>
      <c r="L68" s="10" t="s">
        <v>42</v>
      </c>
    </row>
    <row r="69" ht="15.75" customHeight="1">
      <c r="A69" s="66">
        <v>45495.0</v>
      </c>
      <c r="B69" s="55" t="str">
        <f>HYPERLINK("https://jobright.ai/jobs/info/669fc5b74a5bc44dcb541f5a?utm_campaign=1055&amp;utm_source=sheet", "Apply")</f>
        <v>Apply</v>
      </c>
      <c r="C69" s="10" t="s">
        <v>22726</v>
      </c>
      <c r="D69" s="56" t="s">
        <v>3957</v>
      </c>
      <c r="E69" s="10" t="s">
        <v>45</v>
      </c>
      <c r="F69" s="10" t="s">
        <v>3958</v>
      </c>
      <c r="G69" s="10" t="s">
        <v>17</v>
      </c>
      <c r="H69" s="10" t="s">
        <v>774</v>
      </c>
      <c r="I69" s="10" t="s">
        <v>55</v>
      </c>
      <c r="J69" s="10" t="s">
        <v>22727</v>
      </c>
      <c r="K69" s="10" t="s">
        <v>22728</v>
      </c>
      <c r="L69" s="10" t="s">
        <v>42</v>
      </c>
    </row>
    <row r="70" ht="15.75" customHeight="1">
      <c r="A70" s="66">
        <v>45495.0</v>
      </c>
      <c r="B70" s="55" t="str">
        <f>HYPERLINK("https://jobright.ai/jobs/info/6675860624f553052c296810?utm_campaign=1055&amp;utm_source=sheet", "Apply")</f>
        <v>Apply</v>
      </c>
      <c r="C70" s="10" t="s">
        <v>22729</v>
      </c>
      <c r="D70" s="56" t="s">
        <v>22730</v>
      </c>
      <c r="E70" s="10" t="s">
        <v>249</v>
      </c>
      <c r="F70" s="10" t="s">
        <v>22596</v>
      </c>
      <c r="G70" s="10" t="s">
        <v>17</v>
      </c>
      <c r="H70" s="10" t="s">
        <v>96</v>
      </c>
      <c r="I70" s="10" t="s">
        <v>55</v>
      </c>
      <c r="K70" s="10" t="s">
        <v>22731</v>
      </c>
      <c r="L70" s="10" t="s">
        <v>42</v>
      </c>
    </row>
    <row r="71" ht="15.75" customHeight="1">
      <c r="A71" s="66">
        <v>45495.0</v>
      </c>
      <c r="B71" s="55" t="str">
        <f>HYPERLINK("https://jobright.ai/jobs/info/6682b3d41cdfe5590b6daaf9?utm_campaign=1055&amp;utm_source=sheet", "Apply")</f>
        <v>Apply</v>
      </c>
      <c r="C71" s="10" t="s">
        <v>22732</v>
      </c>
      <c r="D71" s="56" t="s">
        <v>22730</v>
      </c>
      <c r="E71" s="10" t="s">
        <v>249</v>
      </c>
      <c r="F71" s="10" t="s">
        <v>22596</v>
      </c>
      <c r="G71" s="10" t="s">
        <v>17</v>
      </c>
      <c r="H71" s="10" t="s">
        <v>96</v>
      </c>
      <c r="I71" s="10" t="s">
        <v>55</v>
      </c>
      <c r="J71" s="10" t="s">
        <v>22733</v>
      </c>
      <c r="K71" s="10" t="s">
        <v>22734</v>
      </c>
      <c r="L71" s="10" t="s">
        <v>42</v>
      </c>
    </row>
    <row r="72" ht="15.75" customHeight="1">
      <c r="A72" s="66">
        <v>45495.0</v>
      </c>
      <c r="B72" s="55" t="str">
        <f>HYPERLINK("https://jobright.ai/jobs/info/668d73801b3deecce70893e9?utm_campaign=1055&amp;utm_source=sheet", "Apply")</f>
        <v>Apply</v>
      </c>
      <c r="C72" s="10" t="s">
        <v>22735</v>
      </c>
      <c r="D72" s="56" t="s">
        <v>22730</v>
      </c>
      <c r="E72" s="10" t="s">
        <v>249</v>
      </c>
      <c r="F72" s="10" t="s">
        <v>22596</v>
      </c>
      <c r="G72" s="10" t="s">
        <v>17</v>
      </c>
      <c r="H72" s="10" t="s">
        <v>96</v>
      </c>
      <c r="I72" s="10" t="s">
        <v>55</v>
      </c>
      <c r="K72" s="10" t="s">
        <v>22736</v>
      </c>
      <c r="L72" s="10" t="s">
        <v>42</v>
      </c>
    </row>
    <row r="73" ht="15.75" customHeight="1">
      <c r="A73" s="66">
        <v>45495.0</v>
      </c>
      <c r="B73" s="55" t="str">
        <f>HYPERLINK("https://jobright.ai/jobs/info/669e8cc70a6fdfaac9d5d9b1?utm_campaign=1055&amp;utm_source=sheet", "Apply")</f>
        <v>Apply</v>
      </c>
      <c r="C73" s="10" t="s">
        <v>22737</v>
      </c>
      <c r="D73" s="56" t="s">
        <v>22738</v>
      </c>
      <c r="E73" s="10" t="s">
        <v>65</v>
      </c>
      <c r="F73" s="10" t="s">
        <v>2950</v>
      </c>
      <c r="G73" s="10" t="s">
        <v>17</v>
      </c>
      <c r="H73" s="10" t="s">
        <v>3392</v>
      </c>
      <c r="I73" s="10" t="s">
        <v>55</v>
      </c>
      <c r="K73" s="10" t="s">
        <v>22739</v>
      </c>
      <c r="L73" s="10" t="s">
        <v>42</v>
      </c>
    </row>
    <row r="74" ht="15.75" customHeight="1">
      <c r="A74" s="66">
        <v>45495.0</v>
      </c>
      <c r="B74" s="55" t="str">
        <f>HYPERLINK("https://jobright.ai/jobs/info/669e803a3f732b1a49b78868?utm_campaign=1055&amp;utm_source=sheet", "Apply")</f>
        <v>Apply</v>
      </c>
      <c r="C74" s="10" t="s">
        <v>22580</v>
      </c>
      <c r="D74" s="56" t="s">
        <v>22740</v>
      </c>
      <c r="E74" s="10" t="s">
        <v>276</v>
      </c>
      <c r="F74" s="10" t="s">
        <v>22741</v>
      </c>
      <c r="G74" s="10" t="s">
        <v>17</v>
      </c>
      <c r="H74" s="10" t="s">
        <v>153</v>
      </c>
      <c r="I74" s="10" t="s">
        <v>55</v>
      </c>
      <c r="K74" s="10" t="s">
        <v>22742</v>
      </c>
      <c r="L74" s="10" t="s">
        <v>42</v>
      </c>
    </row>
    <row r="75" ht="15.75" customHeight="1">
      <c r="A75" s="66">
        <v>45495.0</v>
      </c>
      <c r="B75" s="55" t="str">
        <f>HYPERLINK("https://jobright.ai/jobs/info/66a0de6428125a716783e41c?utm_campaign=1055&amp;utm_source=sheet", "Apply")</f>
        <v>Apply</v>
      </c>
      <c r="C75" s="10" t="s">
        <v>22743</v>
      </c>
      <c r="D75" s="56" t="s">
        <v>17367</v>
      </c>
      <c r="E75" s="10" t="s">
        <v>45</v>
      </c>
      <c r="G75" s="10" t="s">
        <v>17</v>
      </c>
      <c r="H75" s="10" t="s">
        <v>609</v>
      </c>
      <c r="I75" s="10" t="s">
        <v>55</v>
      </c>
      <c r="J75" s="10" t="s">
        <v>22744</v>
      </c>
      <c r="K75" s="10" t="s">
        <v>22745</v>
      </c>
      <c r="L75" s="10" t="s">
        <v>42</v>
      </c>
    </row>
    <row r="76" ht="15.75" customHeight="1">
      <c r="A76" s="66">
        <v>45495.0</v>
      </c>
      <c r="B76" s="55" t="str">
        <f>HYPERLINK("https://jobright.ai/jobs/info/669f00705f98b7af6efac3d6?utm_campaign=1055&amp;utm_source=sheet", "Apply")</f>
        <v>Apply</v>
      </c>
      <c r="C76" s="10" t="s">
        <v>22613</v>
      </c>
      <c r="D76" s="56" t="s">
        <v>22614</v>
      </c>
      <c r="E76" s="10" t="s">
        <v>65</v>
      </c>
      <c r="F76" s="10" t="s">
        <v>10</v>
      </c>
      <c r="G76" s="10" t="s">
        <v>17</v>
      </c>
      <c r="H76" s="10" t="s">
        <v>22746</v>
      </c>
      <c r="I76" s="10" t="s">
        <v>55</v>
      </c>
      <c r="K76" s="10" t="s">
        <v>22747</v>
      </c>
      <c r="L76" s="10" t="s">
        <v>42</v>
      </c>
    </row>
    <row r="77" ht="15.75" customHeight="1">
      <c r="A77" s="66">
        <v>45495.0</v>
      </c>
      <c r="B77" s="55" t="str">
        <f>HYPERLINK("https://jobright.ai/jobs/info/669ec29a155221b6e18e9b46?utm_campaign=1055&amp;utm_source=sheet", "Apply")</f>
        <v>Apply</v>
      </c>
      <c r="C77" s="10" t="s">
        <v>22748</v>
      </c>
      <c r="D77" s="56" t="s">
        <v>18572</v>
      </c>
      <c r="E77" s="10" t="s">
        <v>65</v>
      </c>
      <c r="F77" s="10" t="s">
        <v>3594</v>
      </c>
      <c r="G77" s="10" t="s">
        <v>17</v>
      </c>
      <c r="H77" s="10" t="s">
        <v>22749</v>
      </c>
      <c r="I77" s="10" t="s">
        <v>55</v>
      </c>
      <c r="K77" s="10" t="s">
        <v>22750</v>
      </c>
      <c r="L77" s="10" t="s">
        <v>42</v>
      </c>
    </row>
    <row r="78" ht="15.75" customHeight="1">
      <c r="A78" s="66">
        <v>45493.0</v>
      </c>
      <c r="B78" s="55" t="str">
        <f>HYPERLINK("https://jobright.ai/jobs/info/667ef5b756ec5703ba0425b8?utm_campaign=1055&amp;utm_source=sheet", "Apply")</f>
        <v>Apply</v>
      </c>
      <c r="C78" s="10" t="s">
        <v>22651</v>
      </c>
      <c r="D78" s="56" t="s">
        <v>22652</v>
      </c>
      <c r="E78" s="10" t="s">
        <v>79</v>
      </c>
      <c r="F78" s="10" t="s">
        <v>22653</v>
      </c>
      <c r="G78" s="10" t="s">
        <v>17</v>
      </c>
      <c r="H78" s="10" t="s">
        <v>159</v>
      </c>
      <c r="I78" s="10" t="s">
        <v>48</v>
      </c>
      <c r="K78" s="10" t="s">
        <v>22751</v>
      </c>
      <c r="L78" s="10" t="s">
        <v>42</v>
      </c>
    </row>
    <row r="79" ht="15.75" customHeight="1">
      <c r="A79" s="66">
        <v>45493.0</v>
      </c>
      <c r="B79" s="55" t="str">
        <f>HYPERLINK("https://jobright.ai/jobs/info/667f0ac2936892b2c2c78e78?utm_campaign=1055&amp;utm_source=sheet", "Apply")</f>
        <v>Apply</v>
      </c>
      <c r="C79" s="10" t="s">
        <v>22752</v>
      </c>
      <c r="D79" s="56" t="s">
        <v>22753</v>
      </c>
      <c r="E79" s="10" t="s">
        <v>249</v>
      </c>
      <c r="F79" s="10" t="s">
        <v>15570</v>
      </c>
      <c r="G79" s="10" t="s">
        <v>17</v>
      </c>
      <c r="H79" s="10" t="s">
        <v>22754</v>
      </c>
      <c r="I79" s="10" t="s">
        <v>48</v>
      </c>
      <c r="K79" s="10" t="s">
        <v>22755</v>
      </c>
      <c r="L79" s="10" t="s">
        <v>42</v>
      </c>
    </row>
    <row r="80" ht="15.75" customHeight="1">
      <c r="A80" s="66">
        <v>45493.0</v>
      </c>
      <c r="B80" s="55" t="str">
        <f>HYPERLINK("https://jobright.ai/jobs/info/6686a811d4be2b4f08f25742?utm_campaign=1055&amp;utm_source=sheet", "Apply")</f>
        <v>Apply</v>
      </c>
      <c r="C80" s="10" t="s">
        <v>22756</v>
      </c>
      <c r="D80" s="56" t="s">
        <v>22757</v>
      </c>
      <c r="E80" s="10" t="s">
        <v>65</v>
      </c>
      <c r="F80" s="10" t="s">
        <v>22758</v>
      </c>
      <c r="G80" s="10" t="s">
        <v>17</v>
      </c>
      <c r="H80" s="10" t="s">
        <v>170</v>
      </c>
      <c r="I80" s="10" t="s">
        <v>48</v>
      </c>
      <c r="J80" s="10" t="s">
        <v>4189</v>
      </c>
      <c r="K80" s="10" t="s">
        <v>22759</v>
      </c>
      <c r="L80" s="10" t="s">
        <v>42</v>
      </c>
    </row>
    <row r="81" ht="15.75" customHeight="1">
      <c r="A81" s="66">
        <v>45492.0</v>
      </c>
      <c r="B81" s="55" t="str">
        <f>HYPERLINK("https://jobright.ai/jobs/info/669aa2dc7c95987868d8389a?utm_campaign=1055&amp;utm_source=sheet", "Apply")</f>
        <v>Apply</v>
      </c>
      <c r="C81" s="10" t="s">
        <v>22760</v>
      </c>
      <c r="D81" s="56" t="s">
        <v>22761</v>
      </c>
      <c r="E81" s="10" t="s">
        <v>276</v>
      </c>
      <c r="F81" s="10" t="s">
        <v>10</v>
      </c>
      <c r="G81" s="10" t="s">
        <v>17</v>
      </c>
      <c r="H81" s="10" t="s">
        <v>2708</v>
      </c>
      <c r="I81" s="10" t="s">
        <v>55</v>
      </c>
      <c r="K81" s="10" t="s">
        <v>22762</v>
      </c>
      <c r="L81" s="10" t="s">
        <v>42</v>
      </c>
    </row>
    <row r="82" ht="15.75" customHeight="1">
      <c r="A82" s="66">
        <v>45492.0</v>
      </c>
      <c r="B82" s="55" t="str">
        <f>HYPERLINK("https://jobright.ai/jobs/info/669aa2dc7c95987868d838b9?utm_campaign=1055&amp;utm_source=sheet", "Apply")</f>
        <v>Apply</v>
      </c>
      <c r="C82" s="10" t="s">
        <v>22763</v>
      </c>
      <c r="D82" s="56" t="s">
        <v>1776</v>
      </c>
      <c r="E82" s="10">
        <v>17178.0</v>
      </c>
      <c r="G82" s="10" t="s">
        <v>17</v>
      </c>
      <c r="H82" s="10" t="s">
        <v>1013</v>
      </c>
      <c r="I82" s="10" t="s">
        <v>55</v>
      </c>
      <c r="J82" s="10" t="s">
        <v>2742</v>
      </c>
      <c r="K82" s="10" t="s">
        <v>22764</v>
      </c>
      <c r="L82" s="10" t="s">
        <v>42</v>
      </c>
    </row>
    <row r="83" ht="15.75" customHeight="1">
      <c r="A83" s="66">
        <v>45492.0</v>
      </c>
      <c r="B83" s="55" t="str">
        <f>HYPERLINK("https://jobright.ai/jobs/info/66a403310d09d8a9054b3b56?utm_campaign=1055&amp;utm_source=sheet", "Apply")</f>
        <v>Apply</v>
      </c>
      <c r="C83" s="10" t="s">
        <v>22765</v>
      </c>
      <c r="D83" s="56" t="s">
        <v>533</v>
      </c>
      <c r="E83" s="10" t="s">
        <v>209</v>
      </c>
      <c r="F83" s="10" t="s">
        <v>534</v>
      </c>
      <c r="G83" s="10" t="s">
        <v>17</v>
      </c>
      <c r="H83" s="10" t="s">
        <v>96</v>
      </c>
      <c r="I83" s="10" t="s">
        <v>55</v>
      </c>
      <c r="J83" s="10" t="s">
        <v>10250</v>
      </c>
      <c r="K83" s="10" t="s">
        <v>22766</v>
      </c>
      <c r="L83" s="10" t="s">
        <v>42</v>
      </c>
    </row>
    <row r="84" ht="15.75" customHeight="1">
      <c r="A84" s="66">
        <v>45492.0</v>
      </c>
      <c r="B84" s="55" t="str">
        <f>HYPERLINK("https://jobright.ai/jobs/info/669a66650088606983c64847?utm_campaign=1055&amp;utm_source=sheet", "Apply")</f>
        <v>Apply</v>
      </c>
      <c r="C84" s="10" t="s">
        <v>22561</v>
      </c>
      <c r="D84" s="56" t="s">
        <v>22767</v>
      </c>
      <c r="E84" s="10" t="s">
        <v>137</v>
      </c>
      <c r="F84" s="10" t="s">
        <v>22768</v>
      </c>
      <c r="G84" s="10" t="s">
        <v>17</v>
      </c>
      <c r="H84" s="10" t="s">
        <v>957</v>
      </c>
      <c r="I84" s="10" t="s">
        <v>55</v>
      </c>
      <c r="K84" s="10" t="s">
        <v>22769</v>
      </c>
      <c r="L84" s="10" t="s">
        <v>42</v>
      </c>
    </row>
    <row r="85" ht="15.75" customHeight="1">
      <c r="A85" s="66">
        <v>45492.0</v>
      </c>
      <c r="B85" s="55" t="str">
        <f>HYPERLINK("https://jobright.ai/jobs/info/6661366d8688219a39075a84?utm_campaign=1055&amp;utm_source=sheet", "Apply")</f>
        <v>Apply</v>
      </c>
      <c r="C85" s="10" t="s">
        <v>22770</v>
      </c>
      <c r="D85" s="56" t="s">
        <v>22771</v>
      </c>
      <c r="E85" s="10" t="s">
        <v>249</v>
      </c>
      <c r="F85" s="10" t="s">
        <v>22772</v>
      </c>
      <c r="G85" s="10" t="s">
        <v>17</v>
      </c>
      <c r="H85" s="10" t="s">
        <v>113</v>
      </c>
      <c r="I85" s="10" t="s">
        <v>55</v>
      </c>
      <c r="J85" s="10" t="s">
        <v>22773</v>
      </c>
      <c r="K85" s="10" t="s">
        <v>22774</v>
      </c>
      <c r="L85" s="10" t="s">
        <v>42</v>
      </c>
    </row>
    <row r="86" ht="15.75" customHeight="1">
      <c r="A86" s="66">
        <v>45492.0</v>
      </c>
      <c r="B86" s="55" t="str">
        <f>HYPERLINK("https://jobright.ai/jobs/info/6643b01cbb19244e57d23245?utm_campaign=1055&amp;utm_source=sheet", "Apply")</f>
        <v>Apply</v>
      </c>
      <c r="C86" s="10" t="s">
        <v>22775</v>
      </c>
      <c r="D86" s="56" t="s">
        <v>22614</v>
      </c>
      <c r="E86" s="10" t="s">
        <v>65</v>
      </c>
      <c r="F86" s="10" t="s">
        <v>10</v>
      </c>
      <c r="G86" s="10" t="s">
        <v>17</v>
      </c>
      <c r="H86" s="10" t="s">
        <v>159</v>
      </c>
      <c r="I86" s="10" t="s">
        <v>55</v>
      </c>
      <c r="K86" s="10" t="s">
        <v>22776</v>
      </c>
      <c r="L86" s="10" t="s">
        <v>42</v>
      </c>
    </row>
    <row r="87" ht="15.75" customHeight="1">
      <c r="A87" s="64">
        <v>45492.0</v>
      </c>
      <c r="B87" s="55" t="str">
        <f>HYPERLINK("https://jobright.ai/jobs/info/667592f2bad9224db7bb6a2f?utm_campaign=1055&amp;utm_source=sheet", "Apply")</f>
        <v>Apply</v>
      </c>
      <c r="C87" s="10" t="s">
        <v>22777</v>
      </c>
      <c r="D87" s="56" t="s">
        <v>17890</v>
      </c>
      <c r="E87" s="10" t="s">
        <v>249</v>
      </c>
      <c r="F87" s="10" t="s">
        <v>3594</v>
      </c>
      <c r="G87" s="10" t="s">
        <v>17</v>
      </c>
      <c r="H87" s="10" t="s">
        <v>9570</v>
      </c>
      <c r="I87" s="10" t="s">
        <v>55</v>
      </c>
      <c r="J87" s="10" t="s">
        <v>22778</v>
      </c>
      <c r="K87" s="10" t="s">
        <v>22779</v>
      </c>
      <c r="L87" s="10" t="s">
        <v>42</v>
      </c>
    </row>
    <row r="88" ht="15.75" customHeight="1">
      <c r="A88" s="64">
        <v>45492.0</v>
      </c>
      <c r="B88" s="55" t="str">
        <f>HYPERLINK("https://jobright.ai/jobs/info/669a3815e55bbac49cf08cc3?utm_campaign=1055&amp;utm_source=sheet", "Apply")</f>
        <v>Apply</v>
      </c>
      <c r="C88" s="10" t="s">
        <v>22651</v>
      </c>
      <c r="D88" s="56" t="s">
        <v>22652</v>
      </c>
      <c r="E88" s="10" t="s">
        <v>79</v>
      </c>
      <c r="F88" s="10" t="s">
        <v>22653</v>
      </c>
      <c r="G88" s="10" t="s">
        <v>17</v>
      </c>
      <c r="H88" s="10" t="s">
        <v>411</v>
      </c>
      <c r="I88" s="10" t="s">
        <v>48</v>
      </c>
      <c r="K88" s="10" t="s">
        <v>22751</v>
      </c>
      <c r="L88" s="10" t="s">
        <v>42</v>
      </c>
    </row>
    <row r="89" ht="15.75" customHeight="1">
      <c r="A89" s="64">
        <v>45492.0</v>
      </c>
      <c r="B89" s="55" t="str">
        <f>HYPERLINK("https://jobright.ai/jobs/info/669a3815e55bbac49cf08cb0?utm_campaign=1055&amp;utm_source=sheet", "Apply")</f>
        <v>Apply</v>
      </c>
      <c r="C89" s="10" t="s">
        <v>22651</v>
      </c>
      <c r="D89" s="56" t="s">
        <v>22652</v>
      </c>
      <c r="E89" s="10" t="s">
        <v>79</v>
      </c>
      <c r="F89" s="10" t="s">
        <v>22653</v>
      </c>
      <c r="G89" s="10" t="s">
        <v>17</v>
      </c>
      <c r="H89" s="10" t="s">
        <v>927</v>
      </c>
      <c r="I89" s="10" t="s">
        <v>48</v>
      </c>
      <c r="K89" s="10" t="s">
        <v>22751</v>
      </c>
      <c r="L89" s="10" t="s">
        <v>42</v>
      </c>
    </row>
    <row r="90" ht="15.75" customHeight="1">
      <c r="A90" s="64">
        <v>45492.0</v>
      </c>
      <c r="B90" s="55" t="str">
        <f>HYPERLINK("https://jobright.ai/jobs/info/668fe96b2fc5ba37662c5a00?utm_campaign=1055&amp;utm_source=sheet", "Apply")</f>
        <v>Apply</v>
      </c>
      <c r="C90" s="10" t="s">
        <v>22780</v>
      </c>
      <c r="D90" s="56" t="s">
        <v>22781</v>
      </c>
      <c r="E90" s="10">
        <v>91.0</v>
      </c>
      <c r="G90" s="10" t="s">
        <v>17</v>
      </c>
      <c r="H90" s="10" t="s">
        <v>96</v>
      </c>
      <c r="I90" s="10" t="s">
        <v>55</v>
      </c>
      <c r="K90" s="10" t="s">
        <v>22782</v>
      </c>
      <c r="L90" s="10" t="s">
        <v>42</v>
      </c>
    </row>
    <row r="91" ht="15.75" customHeight="1">
      <c r="A91" s="64">
        <v>45492.0</v>
      </c>
      <c r="B91" s="55" t="str">
        <f>HYPERLINK("https://jobright.ai/jobs/info/6699dceec86005e645e335c4?utm_campaign=1055&amp;utm_source=sheet", "Apply")</f>
        <v>Apply</v>
      </c>
      <c r="C91" s="10" t="s">
        <v>22783</v>
      </c>
      <c r="D91" s="56" t="s">
        <v>634</v>
      </c>
      <c r="E91" s="10" t="s">
        <v>65</v>
      </c>
      <c r="F91" s="10" t="s">
        <v>635</v>
      </c>
      <c r="G91" s="10" t="s">
        <v>17</v>
      </c>
      <c r="H91" s="10" t="s">
        <v>636</v>
      </c>
      <c r="I91" s="10" t="s">
        <v>55</v>
      </c>
      <c r="K91" s="10" t="s">
        <v>22784</v>
      </c>
      <c r="L91" s="10" t="s">
        <v>42</v>
      </c>
    </row>
    <row r="92" ht="15.75" customHeight="1">
      <c r="A92" s="64">
        <v>45491.0</v>
      </c>
      <c r="B92" s="55" t="str">
        <f>HYPERLINK("https://jobright.ai/jobs/info/665922b7dc30f127d7d723e7?utm_campaign=1055&amp;utm_source=sheet", "Apply")</f>
        <v>Apply</v>
      </c>
      <c r="C92" s="10" t="s">
        <v>22785</v>
      </c>
      <c r="D92" s="56" t="s">
        <v>3669</v>
      </c>
      <c r="E92" s="10" t="s">
        <v>65</v>
      </c>
      <c r="F92" s="10" t="s">
        <v>3670</v>
      </c>
      <c r="G92" s="10" t="s">
        <v>17</v>
      </c>
      <c r="H92" s="10" t="s">
        <v>1254</v>
      </c>
      <c r="I92" s="10" t="s">
        <v>55</v>
      </c>
      <c r="J92" s="10" t="s">
        <v>3671</v>
      </c>
      <c r="K92" s="10" t="s">
        <v>22786</v>
      </c>
      <c r="L92" s="10" t="s">
        <v>42</v>
      </c>
    </row>
    <row r="93" ht="15.75" customHeight="1">
      <c r="A93" s="64">
        <v>45491.0</v>
      </c>
      <c r="B93" s="55" t="str">
        <f>HYPERLINK("https://jobright.ai/jobs/info/66a260c397a3a7c64f0cc80f?utm_campaign=1055&amp;utm_source=sheet", "Apply")</f>
        <v>Apply</v>
      </c>
      <c r="C93" s="10" t="s">
        <v>22787</v>
      </c>
      <c r="D93" s="56" t="s">
        <v>22788</v>
      </c>
      <c r="E93" s="10" t="s">
        <v>65</v>
      </c>
      <c r="F93" s="10" t="s">
        <v>22789</v>
      </c>
      <c r="G93" s="10" t="s">
        <v>17</v>
      </c>
      <c r="H93" s="10" t="s">
        <v>1007</v>
      </c>
      <c r="I93" s="10" t="s">
        <v>48</v>
      </c>
      <c r="J93" s="10" t="s">
        <v>1984</v>
      </c>
      <c r="K93" s="10" t="s">
        <v>22790</v>
      </c>
      <c r="L93" s="10" t="s">
        <v>42</v>
      </c>
    </row>
    <row r="94" ht="15.75" customHeight="1">
      <c r="A94" s="64">
        <v>45491.0</v>
      </c>
      <c r="B94" s="55" t="str">
        <f>HYPERLINK("https://jobright.ai/jobs/info/6643ffcd09ed325d7081b07a?utm_campaign=1055&amp;utm_source=sheet", "Apply")</f>
        <v>Apply</v>
      </c>
      <c r="C94" s="10" t="s">
        <v>22791</v>
      </c>
      <c r="D94" s="56" t="s">
        <v>17890</v>
      </c>
      <c r="E94" s="10" t="s">
        <v>249</v>
      </c>
      <c r="F94" s="10" t="s">
        <v>3594</v>
      </c>
      <c r="G94" s="10" t="s">
        <v>17</v>
      </c>
      <c r="H94" s="10" t="s">
        <v>9570</v>
      </c>
      <c r="I94" s="10" t="s">
        <v>55</v>
      </c>
      <c r="J94" s="10" t="s">
        <v>17891</v>
      </c>
      <c r="K94" s="10" t="s">
        <v>22792</v>
      </c>
      <c r="L94" s="10" t="s">
        <v>42</v>
      </c>
    </row>
    <row r="95" ht="15.75" customHeight="1">
      <c r="A95" s="64">
        <v>45491.0</v>
      </c>
      <c r="B95" s="55" t="str">
        <f>HYPERLINK("https://jobright.ai/jobs/info/667c83cf72fe6297b8f5e2ed?utm_campaign=1055&amp;utm_source=sheet", "Apply")</f>
        <v>Apply</v>
      </c>
      <c r="C95" s="10" t="s">
        <v>22580</v>
      </c>
      <c r="D95" s="56" t="s">
        <v>8666</v>
      </c>
      <c r="E95" s="10" t="s">
        <v>45</v>
      </c>
      <c r="F95" s="10" t="s">
        <v>8667</v>
      </c>
      <c r="G95" s="10" t="s">
        <v>17</v>
      </c>
      <c r="H95" s="10" t="s">
        <v>1254</v>
      </c>
      <c r="I95" s="10" t="s">
        <v>55</v>
      </c>
      <c r="J95" s="10" t="s">
        <v>2609</v>
      </c>
      <c r="K95" s="10" t="s">
        <v>22793</v>
      </c>
      <c r="L95" s="10" t="s">
        <v>42</v>
      </c>
    </row>
    <row r="96" ht="15.75" customHeight="1">
      <c r="A96" s="64">
        <v>45491.0</v>
      </c>
      <c r="B96" s="55" t="str">
        <f>HYPERLINK("https://jobright.ai/jobs/info/6675b060242bc4c930f29c83?utm_campaign=1055&amp;utm_source=sheet", "Apply")</f>
        <v>Apply</v>
      </c>
      <c r="C96" s="10" t="s">
        <v>22794</v>
      </c>
      <c r="D96" s="56" t="s">
        <v>17964</v>
      </c>
      <c r="E96" s="10">
        <v>2182.0</v>
      </c>
      <c r="G96" s="10" t="s">
        <v>17</v>
      </c>
      <c r="H96" s="10" t="s">
        <v>994</v>
      </c>
      <c r="I96" s="10" t="s">
        <v>55</v>
      </c>
      <c r="J96" s="10" t="s">
        <v>3671</v>
      </c>
      <c r="K96" s="10" t="s">
        <v>18056</v>
      </c>
      <c r="L96" s="10" t="s">
        <v>42</v>
      </c>
    </row>
    <row r="97" ht="15.75" customHeight="1">
      <c r="A97" s="64">
        <v>45491.0</v>
      </c>
      <c r="B97" s="55" t="str">
        <f>HYPERLINK("https://jobright.ai/jobs/info/6675a72c6fb7d4bb72dd6e6f?utm_campaign=1055&amp;utm_source=sheet", "Apply")</f>
        <v>Apply</v>
      </c>
      <c r="C97" s="10" t="s">
        <v>22795</v>
      </c>
      <c r="D97" s="56" t="s">
        <v>5489</v>
      </c>
      <c r="E97" s="10" t="s">
        <v>209</v>
      </c>
      <c r="F97" s="10" t="s">
        <v>2221</v>
      </c>
      <c r="G97" s="10" t="s">
        <v>17</v>
      </c>
      <c r="H97" s="10" t="s">
        <v>16870</v>
      </c>
      <c r="I97" s="10" t="s">
        <v>48</v>
      </c>
      <c r="K97" s="10" t="s">
        <v>22796</v>
      </c>
      <c r="L97" s="10" t="s">
        <v>42</v>
      </c>
    </row>
    <row r="98" ht="15.75" customHeight="1">
      <c r="A98" s="64">
        <v>45490.0</v>
      </c>
      <c r="B98" s="55" t="str">
        <f>HYPERLINK("https://jobright.ai/jobs/info/6698429275958df8e7de6208?utm_campaign=1055&amp;utm_source=sheet", "Apply")</f>
        <v>Apply</v>
      </c>
      <c r="C98" s="10" t="s">
        <v>22797</v>
      </c>
      <c r="D98" s="56" t="s">
        <v>22798</v>
      </c>
      <c r="E98" s="10" t="s">
        <v>276</v>
      </c>
      <c r="F98" s="10" t="s">
        <v>10</v>
      </c>
      <c r="G98" s="10" t="s">
        <v>17</v>
      </c>
      <c r="H98" s="10" t="s">
        <v>251</v>
      </c>
      <c r="I98" s="10" t="s">
        <v>252</v>
      </c>
      <c r="J98" s="10" t="s">
        <v>22799</v>
      </c>
      <c r="K98" s="10" t="s">
        <v>22800</v>
      </c>
      <c r="L98" s="10" t="s">
        <v>42</v>
      </c>
    </row>
    <row r="99" ht="15.75" customHeight="1">
      <c r="A99" s="64">
        <v>45490.0</v>
      </c>
      <c r="B99" s="55" t="str">
        <f>HYPERLINK("https://jobright.ai/jobs/info/6698074c428a720637bda22c?utm_campaign=1055&amp;utm_source=sheet", "Apply")</f>
        <v>Apply</v>
      </c>
      <c r="C99" s="10" t="s">
        <v>22801</v>
      </c>
      <c r="D99" s="56" t="s">
        <v>22802</v>
      </c>
      <c r="E99" s="10" t="s">
        <v>45</v>
      </c>
      <c r="F99" s="10" t="s">
        <v>22803</v>
      </c>
      <c r="G99" s="10" t="s">
        <v>17</v>
      </c>
      <c r="H99" s="10" t="s">
        <v>505</v>
      </c>
      <c r="I99" s="10" t="s">
        <v>55</v>
      </c>
      <c r="K99" s="10" t="s">
        <v>22804</v>
      </c>
      <c r="L99" s="10" t="s">
        <v>42</v>
      </c>
    </row>
    <row r="100" ht="15.75" customHeight="1">
      <c r="A100" s="64">
        <v>45490.0</v>
      </c>
      <c r="B100" s="55" t="str">
        <f>HYPERLINK("https://jobright.ai/jobs/info/66920fa75f4e680a67db141f?utm_campaign=1055&amp;utm_source=sheet", "Apply")</f>
        <v>Apply</v>
      </c>
      <c r="C100" s="10" t="s">
        <v>22805</v>
      </c>
      <c r="D100" s="56" t="s">
        <v>1650</v>
      </c>
      <c r="E100" s="10" t="s">
        <v>209</v>
      </c>
      <c r="F100" s="10" t="s">
        <v>1243</v>
      </c>
      <c r="G100" s="10" t="s">
        <v>17</v>
      </c>
      <c r="H100" s="10" t="s">
        <v>923</v>
      </c>
      <c r="I100" s="10" t="s">
        <v>55</v>
      </c>
      <c r="K100" s="10" t="s">
        <v>22806</v>
      </c>
      <c r="L100" s="10" t="s">
        <v>42</v>
      </c>
    </row>
    <row r="101" ht="15.75" customHeight="1">
      <c r="A101" s="64">
        <v>45490.0</v>
      </c>
      <c r="B101" s="55" t="str">
        <f>HYPERLINK("https://jobright.ai/jobs/info/6697b3279d866742adc558e8?utm_campaign=1055&amp;utm_source=sheet", "Apply")</f>
        <v>Apply</v>
      </c>
      <c r="C101" s="10" t="s">
        <v>22807</v>
      </c>
      <c r="D101" s="56" t="s">
        <v>21140</v>
      </c>
      <c r="E101" s="10" t="s">
        <v>79</v>
      </c>
      <c r="F101" s="10" t="s">
        <v>21141</v>
      </c>
      <c r="G101" s="10" t="s">
        <v>17</v>
      </c>
      <c r="H101" s="10" t="s">
        <v>165</v>
      </c>
      <c r="I101" s="10" t="s">
        <v>48</v>
      </c>
      <c r="J101" s="10" t="s">
        <v>22808</v>
      </c>
      <c r="K101" s="10" t="s">
        <v>22809</v>
      </c>
      <c r="L101" s="10" t="s">
        <v>42</v>
      </c>
    </row>
    <row r="102" ht="15.75" customHeight="1">
      <c r="A102" s="64">
        <v>45490.0</v>
      </c>
      <c r="B102" s="55" t="str">
        <f>HYPERLINK("https://jobright.ai/jobs/info/6697ab1daa30cb60b00b6836?utm_campaign=1055&amp;utm_source=sheet", "Apply")</f>
        <v>Apply</v>
      </c>
      <c r="C102" s="10" t="s">
        <v>22662</v>
      </c>
      <c r="D102" s="56" t="s">
        <v>22663</v>
      </c>
      <c r="E102" s="10" t="s">
        <v>65</v>
      </c>
      <c r="F102" s="10" t="s">
        <v>568</v>
      </c>
      <c r="G102" s="10" t="s">
        <v>17</v>
      </c>
      <c r="H102" s="10" t="s">
        <v>144</v>
      </c>
      <c r="I102" s="10" t="s">
        <v>55</v>
      </c>
      <c r="J102" s="10" t="s">
        <v>22810</v>
      </c>
      <c r="K102" s="10" t="s">
        <v>22664</v>
      </c>
      <c r="L102" s="10" t="s">
        <v>42</v>
      </c>
    </row>
    <row r="103" ht="15.75" customHeight="1">
      <c r="A103" s="64">
        <v>45490.0</v>
      </c>
      <c r="B103" s="55" t="str">
        <f>HYPERLINK("https://jobright.ai/jobs/info/665a04fd844831dbde0c49b9?utm_campaign=1055&amp;utm_source=sheet", "Apply")</f>
        <v>Apply</v>
      </c>
      <c r="C103" s="10" t="s">
        <v>22651</v>
      </c>
      <c r="D103" s="56" t="s">
        <v>22652</v>
      </c>
      <c r="E103" s="10" t="s">
        <v>79</v>
      </c>
      <c r="F103" s="10" t="s">
        <v>22653</v>
      </c>
      <c r="G103" s="10" t="s">
        <v>17</v>
      </c>
      <c r="H103" s="10" t="s">
        <v>165</v>
      </c>
      <c r="I103" s="10" t="s">
        <v>48</v>
      </c>
      <c r="K103" s="10" t="s">
        <v>22751</v>
      </c>
      <c r="L103" s="10" t="s">
        <v>42</v>
      </c>
    </row>
    <row r="104" ht="15.75" customHeight="1">
      <c r="A104" s="64">
        <v>45490.0</v>
      </c>
      <c r="B104" s="55" t="str">
        <f>HYPERLINK("https://jobright.ai/jobs/info/667b0a7eb4d737a87d6e7f7f?utm_campaign=1055&amp;utm_source=sheet", "Apply")</f>
        <v>Apply</v>
      </c>
      <c r="C104" s="10" t="s">
        <v>22811</v>
      </c>
      <c r="D104" s="56" t="s">
        <v>22270</v>
      </c>
      <c r="F104" s="10" t="s">
        <v>3569</v>
      </c>
      <c r="G104" s="10" t="s">
        <v>17</v>
      </c>
      <c r="H104" s="10" t="s">
        <v>170</v>
      </c>
      <c r="I104" s="10" t="s">
        <v>55</v>
      </c>
      <c r="J104" s="10" t="s">
        <v>22812</v>
      </c>
      <c r="K104" s="10" t="s">
        <v>22813</v>
      </c>
      <c r="L104" s="10" t="s">
        <v>42</v>
      </c>
    </row>
    <row r="105" ht="15.75" customHeight="1">
      <c r="A105" s="64">
        <v>45490.0</v>
      </c>
      <c r="B105" s="55" t="str">
        <f>HYPERLINK("https://jobright.ai/jobs/info/66975a57ab5f4878de7f81bf?utm_campaign=1055&amp;utm_source=sheet", "Apply")</f>
        <v>Apply</v>
      </c>
      <c r="C105" s="10" t="s">
        <v>22814</v>
      </c>
      <c r="D105" s="56" t="s">
        <v>22815</v>
      </c>
      <c r="E105" s="10" t="s">
        <v>71</v>
      </c>
      <c r="F105" s="10" t="s">
        <v>22816</v>
      </c>
      <c r="G105" s="10" t="s">
        <v>17</v>
      </c>
      <c r="H105" s="10" t="s">
        <v>159</v>
      </c>
      <c r="I105" s="10" t="s">
        <v>55</v>
      </c>
      <c r="J105" s="10" t="s">
        <v>521</v>
      </c>
      <c r="K105" s="10" t="s">
        <v>22817</v>
      </c>
      <c r="L105" s="10" t="s">
        <v>42</v>
      </c>
    </row>
    <row r="106" ht="15.75" customHeight="1">
      <c r="A106" s="64">
        <v>45490.0</v>
      </c>
      <c r="B106" s="55" t="str">
        <f>HYPERLINK("https://jobright.ai/jobs/info/6698070f00175647ff288c26?utm_campaign=1055&amp;utm_source=sheet", "Apply")</f>
        <v>Apply</v>
      </c>
      <c r="C106" s="10" t="s">
        <v>22580</v>
      </c>
      <c r="D106" s="56" t="s">
        <v>22818</v>
      </c>
      <c r="E106" s="10" t="s">
        <v>79</v>
      </c>
      <c r="F106" s="10" t="s">
        <v>1259</v>
      </c>
      <c r="G106" s="10" t="s">
        <v>17</v>
      </c>
      <c r="H106" s="10" t="s">
        <v>96</v>
      </c>
      <c r="I106" s="10" t="s">
        <v>48</v>
      </c>
      <c r="K106" s="10" t="s">
        <v>22819</v>
      </c>
      <c r="L106" s="10" t="s">
        <v>42</v>
      </c>
    </row>
    <row r="107" ht="15.75" customHeight="1">
      <c r="A107" s="64">
        <v>45490.0</v>
      </c>
      <c r="B107" s="55" t="str">
        <f>HYPERLINK("https://jobright.ai/jobs/info/6697f8c8f2033762992d0b5a?utm_campaign=1055&amp;utm_source=sheet", "Apply")</f>
        <v>Apply</v>
      </c>
      <c r="C107" s="10" t="s">
        <v>22820</v>
      </c>
      <c r="D107" s="56" t="s">
        <v>22821</v>
      </c>
      <c r="E107" s="10" t="s">
        <v>137</v>
      </c>
      <c r="F107" s="10" t="s">
        <v>7760</v>
      </c>
      <c r="G107" s="10" t="s">
        <v>17</v>
      </c>
      <c r="H107" s="10" t="s">
        <v>96</v>
      </c>
      <c r="I107" s="10" t="s">
        <v>55</v>
      </c>
      <c r="J107" s="10" t="s">
        <v>22822</v>
      </c>
      <c r="K107" s="10" t="s">
        <v>22823</v>
      </c>
      <c r="L107" s="10" t="s">
        <v>42</v>
      </c>
    </row>
    <row r="108" ht="15.75" customHeight="1">
      <c r="A108" s="64">
        <v>45490.0</v>
      </c>
      <c r="B108" s="55" t="str">
        <f>HYPERLINK("https://jobright.ai/jobs/info/6697c52d9b43f8fb741e0e78?utm_campaign=1055&amp;utm_source=sheet", "Apply")</f>
        <v>Apply</v>
      </c>
      <c r="C108" s="10" t="s">
        <v>22824</v>
      </c>
      <c r="D108" s="56" t="s">
        <v>22614</v>
      </c>
      <c r="E108" s="10" t="s">
        <v>65</v>
      </c>
      <c r="F108" s="10" t="s">
        <v>10</v>
      </c>
      <c r="G108" s="10" t="s">
        <v>17</v>
      </c>
      <c r="H108" s="10" t="s">
        <v>22825</v>
      </c>
      <c r="I108" s="10" t="s">
        <v>55</v>
      </c>
      <c r="K108" s="10" t="s">
        <v>22617</v>
      </c>
      <c r="L108" s="10" t="s">
        <v>42</v>
      </c>
    </row>
    <row r="109" ht="15.75" customHeight="1">
      <c r="A109" s="64">
        <v>45489.0</v>
      </c>
      <c r="B109" s="55" t="str">
        <f>HYPERLINK("https://jobright.ai/jobs/info/66970ec7f95e2634e4089553?utm_campaign=1055&amp;utm_source=sheet", "Apply")</f>
        <v>Apply</v>
      </c>
      <c r="C109" s="10" t="s">
        <v>22826</v>
      </c>
      <c r="D109" s="56" t="s">
        <v>9937</v>
      </c>
      <c r="E109" s="10" t="s">
        <v>45</v>
      </c>
      <c r="F109" s="10" t="s">
        <v>9938</v>
      </c>
      <c r="G109" s="10" t="s">
        <v>17</v>
      </c>
      <c r="H109" s="10" t="s">
        <v>96</v>
      </c>
      <c r="I109" s="10" t="s">
        <v>55</v>
      </c>
      <c r="K109" s="10" t="s">
        <v>22827</v>
      </c>
      <c r="L109" s="10" t="s">
        <v>42</v>
      </c>
    </row>
    <row r="110" ht="15.75" customHeight="1">
      <c r="A110" s="64">
        <v>45489.0</v>
      </c>
      <c r="B110" s="55" t="str">
        <f>HYPERLINK("https://jobright.ai/jobs/info/66970c06ac76ee9b417da94e?utm_campaign=1055&amp;utm_source=sheet", "Apply")</f>
        <v>Apply</v>
      </c>
      <c r="C110" s="10" t="s">
        <v>22826</v>
      </c>
      <c r="D110" s="56" t="s">
        <v>9914</v>
      </c>
      <c r="E110" s="10" t="s">
        <v>249</v>
      </c>
      <c r="F110" s="10" t="s">
        <v>3684</v>
      </c>
      <c r="G110" s="10" t="s">
        <v>17</v>
      </c>
      <c r="H110" s="10" t="s">
        <v>96</v>
      </c>
      <c r="I110" s="10" t="s">
        <v>55</v>
      </c>
      <c r="K110" s="10" t="s">
        <v>22827</v>
      </c>
      <c r="L110" s="10" t="s">
        <v>42</v>
      </c>
    </row>
    <row r="111" ht="15.75" customHeight="1">
      <c r="A111" s="64">
        <v>45489.0</v>
      </c>
      <c r="B111" s="55" t="str">
        <f>HYPERLINK("https://jobright.ai/jobs/info/6697c52d9b43f8fb741e0e82?utm_campaign=1055&amp;utm_source=sheet", "Apply")</f>
        <v>Apply</v>
      </c>
      <c r="C111" s="10" t="s">
        <v>22828</v>
      </c>
      <c r="D111" s="56" t="s">
        <v>22829</v>
      </c>
      <c r="E111" s="10" t="s">
        <v>249</v>
      </c>
      <c r="F111" s="10" t="s">
        <v>18189</v>
      </c>
      <c r="G111" s="10" t="s">
        <v>17</v>
      </c>
      <c r="H111" s="10" t="s">
        <v>96</v>
      </c>
      <c r="I111" s="10" t="s">
        <v>55</v>
      </c>
      <c r="K111" s="10" t="s">
        <v>22830</v>
      </c>
      <c r="L111" s="10" t="s">
        <v>42</v>
      </c>
    </row>
    <row r="112" ht="15.75" customHeight="1">
      <c r="A112" s="64">
        <v>45489.0</v>
      </c>
      <c r="B112" s="55" t="str">
        <f>HYPERLINK("https://jobright.ai/jobs/info/6672ef7d09fa87accf6a43a2?utm_campaign=1055&amp;utm_source=sheet", "Apply")</f>
        <v>Apply</v>
      </c>
      <c r="C112" s="10" t="s">
        <v>22561</v>
      </c>
      <c r="D112" s="56" t="s">
        <v>22831</v>
      </c>
      <c r="E112" s="10" t="s">
        <v>137</v>
      </c>
      <c r="F112" s="10" t="s">
        <v>3594</v>
      </c>
      <c r="G112" s="10" t="s">
        <v>17</v>
      </c>
      <c r="H112" s="10" t="s">
        <v>571</v>
      </c>
      <c r="I112" s="10" t="s">
        <v>55</v>
      </c>
      <c r="K112" s="10" t="s">
        <v>22832</v>
      </c>
      <c r="L112" s="10" t="s">
        <v>42</v>
      </c>
    </row>
    <row r="113" ht="15.75" customHeight="1">
      <c r="A113" s="64">
        <v>45489.0</v>
      </c>
      <c r="B113" s="55" t="str">
        <f>HYPERLINK("https://jobright.ai/jobs/info/669fcddf9720391081d19576?utm_campaign=1055&amp;utm_source=sheet", "Apply")</f>
        <v>Apply</v>
      </c>
      <c r="C113" s="10" t="s">
        <v>22833</v>
      </c>
      <c r="D113" s="56" t="s">
        <v>22834</v>
      </c>
      <c r="E113" s="10" t="s">
        <v>65</v>
      </c>
      <c r="F113" s="10" t="s">
        <v>4000</v>
      </c>
      <c r="G113" s="10" t="s">
        <v>17</v>
      </c>
      <c r="H113" s="10" t="s">
        <v>795</v>
      </c>
      <c r="I113" s="10" t="s">
        <v>55</v>
      </c>
      <c r="K113" s="10" t="s">
        <v>22835</v>
      </c>
      <c r="L113" s="10" t="s">
        <v>42</v>
      </c>
    </row>
    <row r="114" ht="15.75" customHeight="1">
      <c r="A114" s="64">
        <v>45489.0</v>
      </c>
      <c r="B114" s="55" t="str">
        <f>HYPERLINK("https://jobright.ai/jobs/info/669a657eccbc474c18d0b00f?utm_campaign=1055&amp;utm_source=sheet", "Apply")</f>
        <v>Apply</v>
      </c>
      <c r="C114" s="10" t="s">
        <v>22836</v>
      </c>
      <c r="D114" s="56" t="s">
        <v>22738</v>
      </c>
      <c r="E114" s="10" t="s">
        <v>65</v>
      </c>
      <c r="F114" s="10" t="s">
        <v>2950</v>
      </c>
      <c r="G114" s="10" t="s">
        <v>17</v>
      </c>
      <c r="H114" s="10" t="s">
        <v>1004</v>
      </c>
      <c r="I114" s="10" t="s">
        <v>55</v>
      </c>
      <c r="K114" s="10" t="s">
        <v>22739</v>
      </c>
      <c r="L114" s="10" t="s">
        <v>42</v>
      </c>
    </row>
    <row r="115" ht="15.75" customHeight="1">
      <c r="A115" s="64">
        <v>45489.0</v>
      </c>
      <c r="B115" s="55" t="str">
        <f>HYPERLINK("https://jobright.ai/jobs/info/669a4fb82885e142e98ded63?utm_campaign=1055&amp;utm_source=sheet", "Apply")</f>
        <v>Apply</v>
      </c>
      <c r="C115" s="10" t="s">
        <v>22837</v>
      </c>
      <c r="D115" s="56" t="s">
        <v>22838</v>
      </c>
      <c r="E115" s="10" t="s">
        <v>65</v>
      </c>
      <c r="F115" s="10" t="s">
        <v>4022</v>
      </c>
      <c r="G115" s="10" t="s">
        <v>17</v>
      </c>
      <c r="H115" s="10" t="s">
        <v>1000</v>
      </c>
      <c r="I115" s="10" t="s">
        <v>55</v>
      </c>
      <c r="K115" s="10" t="s">
        <v>2629</v>
      </c>
      <c r="L115" s="10" t="s">
        <v>42</v>
      </c>
    </row>
    <row r="116" ht="15.75" customHeight="1">
      <c r="A116" s="64">
        <v>45489.0</v>
      </c>
      <c r="B116" s="55" t="str">
        <f>HYPERLINK("https://jobright.ai/jobs/info/66963cd37e1560ca41b59a1d?utm_campaign=1055&amp;utm_source=sheet", "Apply")</f>
        <v>Apply</v>
      </c>
      <c r="C116" s="10" t="s">
        <v>22839</v>
      </c>
      <c r="D116" s="56" t="s">
        <v>634</v>
      </c>
      <c r="E116" s="10" t="s">
        <v>65</v>
      </c>
      <c r="F116" s="10" t="s">
        <v>635</v>
      </c>
      <c r="G116" s="10" t="s">
        <v>17</v>
      </c>
      <c r="H116" s="10" t="s">
        <v>636</v>
      </c>
      <c r="I116" s="10" t="s">
        <v>48</v>
      </c>
      <c r="K116" s="10" t="s">
        <v>22840</v>
      </c>
      <c r="L116" s="10" t="s">
        <v>42</v>
      </c>
    </row>
    <row r="117" ht="15.75" customHeight="1">
      <c r="A117" s="64">
        <v>45489.0</v>
      </c>
      <c r="B117" s="55" t="str">
        <f>HYPERLINK("https://jobright.ai/jobs/info/668c2984dbe1aedcdfe00d3d?utm_campaign=1055&amp;utm_source=sheet", "Apply")</f>
        <v>Apply</v>
      </c>
      <c r="C117" s="10" t="s">
        <v>22841</v>
      </c>
      <c r="D117" s="56" t="s">
        <v>634</v>
      </c>
      <c r="E117" s="10" t="s">
        <v>65</v>
      </c>
      <c r="F117" s="10" t="s">
        <v>635</v>
      </c>
      <c r="G117" s="10" t="s">
        <v>17</v>
      </c>
      <c r="H117" s="10" t="s">
        <v>636</v>
      </c>
      <c r="I117" s="10" t="s">
        <v>48</v>
      </c>
      <c r="K117" s="10" t="s">
        <v>22842</v>
      </c>
      <c r="L117" s="10" t="s">
        <v>42</v>
      </c>
    </row>
    <row r="118" ht="15.75" customHeight="1">
      <c r="A118" s="64">
        <v>45489.0</v>
      </c>
      <c r="B118" s="55" t="str">
        <f>HYPERLINK("https://jobright.ai/jobs/info/6696d3cac0a71c4cec7f4da7?utm_campaign=1055&amp;utm_source=sheet", "Apply")</f>
        <v>Apply</v>
      </c>
      <c r="C118" s="10" t="s">
        <v>22826</v>
      </c>
      <c r="D118" s="56" t="s">
        <v>9914</v>
      </c>
      <c r="E118" s="10" t="s">
        <v>249</v>
      </c>
      <c r="F118" s="10" t="s">
        <v>3684</v>
      </c>
      <c r="G118" s="10" t="s">
        <v>17</v>
      </c>
      <c r="H118" s="10" t="s">
        <v>19265</v>
      </c>
      <c r="I118" s="10" t="s">
        <v>55</v>
      </c>
      <c r="K118" s="10" t="s">
        <v>22827</v>
      </c>
      <c r="L118" s="10" t="s">
        <v>42</v>
      </c>
    </row>
    <row r="119" ht="15.75" customHeight="1">
      <c r="A119" s="64">
        <v>45488.0</v>
      </c>
      <c r="B119" s="55" t="str">
        <f>HYPERLINK("https://jobright.ai/jobs/info/6695c99d9b6af7aab94a6769?utm_campaign=1055&amp;utm_source=sheet", "Apply")</f>
        <v>Apply</v>
      </c>
      <c r="C119" s="10" t="s">
        <v>22580</v>
      </c>
      <c r="D119" s="56" t="s">
        <v>22843</v>
      </c>
      <c r="E119" s="10" t="s">
        <v>71</v>
      </c>
      <c r="F119" s="10" t="s">
        <v>22844</v>
      </c>
      <c r="G119" s="10" t="s">
        <v>17</v>
      </c>
      <c r="H119" s="10" t="s">
        <v>22845</v>
      </c>
      <c r="I119" s="10" t="s">
        <v>55</v>
      </c>
      <c r="K119" s="10" t="s">
        <v>22846</v>
      </c>
      <c r="L119" s="10" t="s">
        <v>42</v>
      </c>
    </row>
    <row r="120" ht="15.75" customHeight="1">
      <c r="A120" s="64">
        <v>45488.0</v>
      </c>
      <c r="B120" s="55" t="str">
        <f>HYPERLINK("https://jobright.ai/jobs/info/6691dee7e5dddfa7eaabd2a6?utm_campaign=1055&amp;utm_source=sheet", "Apply")</f>
        <v>Apply</v>
      </c>
      <c r="C120" s="10" t="s">
        <v>22847</v>
      </c>
      <c r="D120" s="56" t="s">
        <v>1966</v>
      </c>
      <c r="E120" s="10">
        <v>1209.0</v>
      </c>
      <c r="G120" s="10" t="s">
        <v>17</v>
      </c>
      <c r="H120" s="10" t="s">
        <v>799</v>
      </c>
      <c r="I120" s="10" t="s">
        <v>55</v>
      </c>
      <c r="J120" s="10" t="s">
        <v>7363</v>
      </c>
      <c r="K120" s="10" t="s">
        <v>22848</v>
      </c>
      <c r="L120" s="10" t="s">
        <v>42</v>
      </c>
    </row>
    <row r="121" ht="15.75" customHeight="1">
      <c r="A121" s="64">
        <v>45488.0</v>
      </c>
      <c r="B121" s="55" t="str">
        <f>HYPERLINK("https://jobright.ai/jobs/info/6690f1de71973c20cb6018e4?utm_campaign=1055&amp;utm_source=sheet", "Apply")</f>
        <v>Apply</v>
      </c>
      <c r="C121" s="10" t="s">
        <v>22849</v>
      </c>
      <c r="D121" s="56" t="s">
        <v>1650</v>
      </c>
      <c r="E121" s="10" t="s">
        <v>209</v>
      </c>
      <c r="F121" s="10" t="s">
        <v>1243</v>
      </c>
      <c r="G121" s="10" t="s">
        <v>17</v>
      </c>
      <c r="H121" s="10" t="s">
        <v>106</v>
      </c>
      <c r="I121" s="10" t="s">
        <v>55</v>
      </c>
      <c r="K121" s="10" t="s">
        <v>22850</v>
      </c>
      <c r="L121" s="10" t="s">
        <v>42</v>
      </c>
    </row>
    <row r="122" ht="15.75" customHeight="1">
      <c r="A122" s="64">
        <v>45488.0</v>
      </c>
      <c r="B122" s="55" t="str">
        <f>HYPERLINK("https://jobright.ai/jobs/info/669578743bbf45b28ba87e93?utm_campaign=1055&amp;utm_source=sheet", "Apply")</f>
        <v>Apply</v>
      </c>
      <c r="C122" s="10" t="s">
        <v>22851</v>
      </c>
      <c r="D122" s="56" t="s">
        <v>1989</v>
      </c>
      <c r="E122" s="10">
        <v>11491.0</v>
      </c>
      <c r="G122" s="10" t="s">
        <v>17</v>
      </c>
      <c r="H122" s="10" t="s">
        <v>1990</v>
      </c>
      <c r="I122" s="10" t="s">
        <v>55</v>
      </c>
      <c r="K122" s="10" t="s">
        <v>22852</v>
      </c>
      <c r="L122" s="10" t="s">
        <v>42</v>
      </c>
    </row>
    <row r="123" ht="15.75" customHeight="1">
      <c r="A123" s="64">
        <v>45488.0</v>
      </c>
      <c r="B123" s="55" t="str">
        <f>HYPERLINK("https://jobright.ai/jobs/info/66955b091c130559cedb64c2?utm_campaign=1055&amp;utm_source=sheet", "Apply")</f>
        <v>Apply</v>
      </c>
      <c r="C123" s="10" t="s">
        <v>22853</v>
      </c>
      <c r="D123" s="56" t="s">
        <v>22854</v>
      </c>
      <c r="E123" s="10" t="s">
        <v>276</v>
      </c>
      <c r="F123" s="10" t="s">
        <v>22855</v>
      </c>
      <c r="G123" s="10" t="s">
        <v>17</v>
      </c>
      <c r="H123" s="10" t="s">
        <v>1028</v>
      </c>
      <c r="I123" s="10" t="s">
        <v>48</v>
      </c>
      <c r="K123" s="10" t="s">
        <v>22856</v>
      </c>
      <c r="L123" s="10" t="s">
        <v>42</v>
      </c>
    </row>
    <row r="124" ht="15.75" customHeight="1">
      <c r="A124" s="64">
        <v>45488.0</v>
      </c>
      <c r="B124" s="55" t="str">
        <f>HYPERLINK("https://jobright.ai/jobs/info/669558d07731651963789c6c?utm_campaign=1055&amp;utm_source=sheet", "Apply")</f>
        <v>Apply</v>
      </c>
      <c r="C124" s="10" t="s">
        <v>22857</v>
      </c>
      <c r="D124" s="56" t="s">
        <v>18075</v>
      </c>
      <c r="E124" s="10">
        <v>39824.0</v>
      </c>
      <c r="G124" s="10" t="s">
        <v>17</v>
      </c>
      <c r="H124" s="10" t="s">
        <v>165</v>
      </c>
      <c r="I124" s="10" t="s">
        <v>48</v>
      </c>
      <c r="K124" s="10" t="s">
        <v>22858</v>
      </c>
      <c r="L124" s="10" t="s">
        <v>42</v>
      </c>
    </row>
    <row r="125" ht="15.75" customHeight="1">
      <c r="A125" s="64">
        <v>45488.0</v>
      </c>
      <c r="B125" s="55" t="str">
        <f>HYPERLINK("https://jobright.ai/jobs/info/6679635af6b36b4aa01a37aa?utm_campaign=1055&amp;utm_source=sheet", "Apply")</f>
        <v>Apply</v>
      </c>
      <c r="C125" s="10" t="s">
        <v>22859</v>
      </c>
      <c r="D125" s="56" t="s">
        <v>730</v>
      </c>
      <c r="E125" s="10" t="s">
        <v>45</v>
      </c>
      <c r="F125" s="10" t="s">
        <v>731</v>
      </c>
      <c r="G125" s="10" t="s">
        <v>17</v>
      </c>
      <c r="H125" s="10" t="s">
        <v>918</v>
      </c>
      <c r="I125" s="10" t="s">
        <v>55</v>
      </c>
      <c r="K125" s="10" t="s">
        <v>22860</v>
      </c>
      <c r="L125" s="10" t="s">
        <v>42</v>
      </c>
    </row>
    <row r="126" ht="15.75" customHeight="1">
      <c r="A126" s="64">
        <v>45488.0</v>
      </c>
      <c r="B126" s="55" t="str">
        <f>HYPERLINK("https://jobright.ai/jobs/info/6695787e3bbf45b28ba87f5f?utm_campaign=1055&amp;utm_source=sheet", "Apply")</f>
        <v>Apply</v>
      </c>
      <c r="C126" s="10" t="s">
        <v>22580</v>
      </c>
      <c r="D126" s="56" t="s">
        <v>17525</v>
      </c>
      <c r="E126" s="10" t="s">
        <v>276</v>
      </c>
      <c r="F126" s="10" t="s">
        <v>17526</v>
      </c>
      <c r="G126" s="10" t="s">
        <v>17</v>
      </c>
      <c r="H126" s="10" t="s">
        <v>17527</v>
      </c>
      <c r="I126" s="10" t="s">
        <v>55</v>
      </c>
      <c r="J126" s="10" t="s">
        <v>1797</v>
      </c>
      <c r="K126" s="10" t="s">
        <v>22861</v>
      </c>
      <c r="L126" s="10" t="s">
        <v>42</v>
      </c>
    </row>
    <row r="127" ht="15.75" customHeight="1">
      <c r="A127" s="64">
        <v>45488.0</v>
      </c>
      <c r="B127" s="55" t="str">
        <f>HYPERLINK("https://jobright.ai/jobs/info/66956b005d48ac83fc96e6fb?utm_campaign=1055&amp;utm_source=sheet", "Apply")</f>
        <v>Apply</v>
      </c>
      <c r="C127" s="10" t="s">
        <v>22862</v>
      </c>
      <c r="D127" s="56" t="s">
        <v>22863</v>
      </c>
      <c r="E127" s="10" t="s">
        <v>276</v>
      </c>
      <c r="F127" s="10" t="s">
        <v>22864</v>
      </c>
      <c r="G127" s="10" t="s">
        <v>17</v>
      </c>
      <c r="H127" s="10" t="s">
        <v>8474</v>
      </c>
      <c r="I127" s="10" t="s">
        <v>55</v>
      </c>
      <c r="J127" s="10" t="s">
        <v>22865</v>
      </c>
      <c r="K127" s="10" t="s">
        <v>22866</v>
      </c>
      <c r="L127" s="10" t="s">
        <v>42</v>
      </c>
    </row>
    <row r="128" ht="15.75" customHeight="1">
      <c r="A128" s="64">
        <v>45487.0</v>
      </c>
      <c r="B128" s="55" t="str">
        <f>HYPERLINK("https://jobright.ai/jobs/info/669d147c6f6497fd2712f1c7?utm_campaign=1055&amp;utm_source=sheet", "Apply")</f>
        <v>Apply</v>
      </c>
      <c r="C128" s="10" t="s">
        <v>22867</v>
      </c>
      <c r="D128" s="56" t="s">
        <v>22685</v>
      </c>
      <c r="E128" s="10" t="s">
        <v>79</v>
      </c>
      <c r="F128" s="10" t="s">
        <v>19646</v>
      </c>
      <c r="G128" s="10" t="s">
        <v>17</v>
      </c>
      <c r="H128" s="10" t="s">
        <v>22686</v>
      </c>
      <c r="I128" s="10" t="s">
        <v>55</v>
      </c>
      <c r="J128" s="10" t="s">
        <v>581</v>
      </c>
      <c r="K128" s="10" t="s">
        <v>22868</v>
      </c>
      <c r="L128" s="10" t="s">
        <v>42</v>
      </c>
    </row>
    <row r="129" ht="15.75" customHeight="1">
      <c r="A129" s="64">
        <v>45487.0</v>
      </c>
      <c r="B129" s="55" t="str">
        <f>HYPERLINK("https://jobright.ai/jobs/info/6632962dad5a1e28625a24cb?utm_campaign=1055&amp;utm_source=sheet", "Apply")</f>
        <v>Apply</v>
      </c>
      <c r="C129" s="10" t="s">
        <v>22869</v>
      </c>
      <c r="D129" s="56" t="s">
        <v>10296</v>
      </c>
      <c r="E129" s="10" t="s">
        <v>249</v>
      </c>
      <c r="F129" s="10" t="s">
        <v>3594</v>
      </c>
      <c r="G129" s="10" t="s">
        <v>17</v>
      </c>
      <c r="H129" s="10" t="s">
        <v>10017</v>
      </c>
      <c r="I129" s="10" t="s">
        <v>55</v>
      </c>
      <c r="J129" s="10" t="s">
        <v>3671</v>
      </c>
      <c r="K129" s="10" t="s">
        <v>22870</v>
      </c>
      <c r="L129" s="10" t="s">
        <v>42</v>
      </c>
    </row>
    <row r="130" ht="15.75" customHeight="1">
      <c r="A130" s="64">
        <v>45487.0</v>
      </c>
      <c r="B130" s="55" t="str">
        <f>HYPERLINK("https://jobright.ai/jobs/info/6632870603c06ff789e4991b?utm_campaign=1055&amp;utm_source=sheet", "Apply")</f>
        <v>Apply</v>
      </c>
      <c r="C130" s="10" t="s">
        <v>22871</v>
      </c>
      <c r="D130" s="56" t="s">
        <v>10296</v>
      </c>
      <c r="E130" s="10" t="s">
        <v>249</v>
      </c>
      <c r="F130" s="10" t="s">
        <v>3594</v>
      </c>
      <c r="G130" s="10" t="s">
        <v>17</v>
      </c>
      <c r="H130" s="10" t="s">
        <v>1254</v>
      </c>
      <c r="I130" s="10" t="s">
        <v>55</v>
      </c>
      <c r="J130" s="10" t="s">
        <v>3671</v>
      </c>
      <c r="K130" s="10" t="s">
        <v>22872</v>
      </c>
      <c r="L130" s="10" t="s">
        <v>42</v>
      </c>
    </row>
    <row r="131" ht="15.75" customHeight="1">
      <c r="A131" s="64">
        <v>45487.0</v>
      </c>
      <c r="B131" s="55" t="str">
        <f>HYPERLINK("https://jobright.ai/jobs/info/6632962dad5a1e28625a24ca?utm_campaign=1055&amp;utm_source=sheet", "Apply")</f>
        <v>Apply</v>
      </c>
      <c r="C131" s="10" t="s">
        <v>22873</v>
      </c>
      <c r="D131" s="56" t="s">
        <v>10296</v>
      </c>
      <c r="E131" s="10" t="s">
        <v>249</v>
      </c>
      <c r="F131" s="10" t="s">
        <v>3594</v>
      </c>
      <c r="G131" s="10" t="s">
        <v>17</v>
      </c>
      <c r="H131" s="10" t="s">
        <v>10017</v>
      </c>
      <c r="I131" s="10" t="s">
        <v>55</v>
      </c>
      <c r="J131" s="10" t="s">
        <v>3671</v>
      </c>
      <c r="K131" s="10" t="s">
        <v>22870</v>
      </c>
      <c r="L131" s="10" t="s">
        <v>42</v>
      </c>
    </row>
    <row r="132" ht="15.75" customHeight="1">
      <c r="A132" s="64">
        <v>45487.0</v>
      </c>
      <c r="B132" s="55" t="str">
        <f>HYPERLINK("https://jobright.ai/jobs/info/6675fd089592a403f10717b3?utm_campaign=1055&amp;utm_source=sheet", "Apply")</f>
        <v>Apply</v>
      </c>
      <c r="C132" s="10" t="s">
        <v>22874</v>
      </c>
      <c r="D132" s="56" t="s">
        <v>22875</v>
      </c>
      <c r="E132" s="10" t="s">
        <v>79</v>
      </c>
      <c r="F132" s="10" t="s">
        <v>22876</v>
      </c>
      <c r="G132" s="10" t="s">
        <v>17</v>
      </c>
      <c r="H132" s="10" t="s">
        <v>159</v>
      </c>
      <c r="I132" s="10" t="s">
        <v>55</v>
      </c>
      <c r="J132" s="10" t="s">
        <v>22877</v>
      </c>
      <c r="K132" s="10" t="s">
        <v>22878</v>
      </c>
      <c r="L132" s="10" t="s">
        <v>42</v>
      </c>
    </row>
    <row r="133" ht="15.75" customHeight="1">
      <c r="A133" s="64">
        <v>45487.0</v>
      </c>
      <c r="B133" s="55" t="str">
        <f>HYPERLINK("https://jobright.ai/jobs/info/6676d49b1d12b082593829e3?utm_campaign=1055&amp;utm_source=sheet", "Apply")</f>
        <v>Apply</v>
      </c>
      <c r="C133" s="10" t="s">
        <v>22879</v>
      </c>
      <c r="D133" s="56" t="s">
        <v>22880</v>
      </c>
      <c r="E133" s="10" t="s">
        <v>65</v>
      </c>
      <c r="F133" s="10" t="s">
        <v>22881</v>
      </c>
      <c r="G133" s="10" t="s">
        <v>17</v>
      </c>
      <c r="H133" s="10" t="s">
        <v>152</v>
      </c>
      <c r="I133" s="10" t="s">
        <v>55</v>
      </c>
      <c r="J133" s="10" t="s">
        <v>1409</v>
      </c>
      <c r="K133" s="10" t="s">
        <v>22882</v>
      </c>
      <c r="L133" s="10" t="s">
        <v>42</v>
      </c>
    </row>
    <row r="134" ht="15.75" customHeight="1">
      <c r="A134" s="64">
        <v>45487.0</v>
      </c>
      <c r="B134" s="55" t="str">
        <f>HYPERLINK("https://jobright.ai/jobs/info/667601d8f1b86992c36468b0?utm_campaign=1055&amp;utm_source=sheet", "Apply")</f>
        <v>Apply</v>
      </c>
      <c r="C134" s="10" t="s">
        <v>22874</v>
      </c>
      <c r="D134" s="56" t="s">
        <v>22875</v>
      </c>
      <c r="E134" s="10" t="s">
        <v>79</v>
      </c>
      <c r="F134" s="10" t="s">
        <v>22876</v>
      </c>
      <c r="G134" s="10" t="s">
        <v>17</v>
      </c>
      <c r="H134" s="10" t="s">
        <v>10017</v>
      </c>
      <c r="I134" s="10" t="s">
        <v>55</v>
      </c>
      <c r="J134" s="10" t="s">
        <v>22877</v>
      </c>
      <c r="K134" s="10" t="s">
        <v>22878</v>
      </c>
      <c r="L134" s="10" t="s">
        <v>42</v>
      </c>
    </row>
    <row r="135" ht="15.75" customHeight="1">
      <c r="A135" s="64">
        <v>45487.0</v>
      </c>
      <c r="B135" s="55" t="str">
        <f>HYPERLINK("https://jobright.ai/jobs/info/6679775e22283fc0c7337773?utm_campaign=1055&amp;utm_source=sheet", "Apply")</f>
        <v>Apply</v>
      </c>
      <c r="C135" s="10" t="s">
        <v>22859</v>
      </c>
      <c r="D135" s="56" t="s">
        <v>730</v>
      </c>
      <c r="E135" s="10" t="s">
        <v>45</v>
      </c>
      <c r="F135" s="10" t="s">
        <v>731</v>
      </c>
      <c r="G135" s="10" t="s">
        <v>17</v>
      </c>
      <c r="H135" s="10" t="s">
        <v>154</v>
      </c>
      <c r="I135" s="10" t="s">
        <v>55</v>
      </c>
      <c r="K135" s="10" t="s">
        <v>22860</v>
      </c>
      <c r="L135" s="10" t="s">
        <v>42</v>
      </c>
    </row>
    <row r="136" ht="15.75" customHeight="1">
      <c r="A136" s="64">
        <v>45487.0</v>
      </c>
      <c r="B136" s="55" t="str">
        <f>HYPERLINK("https://jobright.ai/jobs/info/6676c67e807f31af72077222?utm_campaign=1055&amp;utm_source=sheet", "Apply")</f>
        <v>Apply</v>
      </c>
      <c r="C136" s="10" t="s">
        <v>22883</v>
      </c>
      <c r="D136" s="56" t="s">
        <v>17964</v>
      </c>
      <c r="E136" s="10">
        <v>2182.0</v>
      </c>
      <c r="G136" s="10" t="s">
        <v>17</v>
      </c>
      <c r="H136" s="10" t="s">
        <v>144</v>
      </c>
      <c r="I136" s="10" t="s">
        <v>55</v>
      </c>
      <c r="J136" s="10" t="s">
        <v>3671</v>
      </c>
      <c r="K136" s="10" t="s">
        <v>17965</v>
      </c>
      <c r="L136" s="10" t="s">
        <v>42</v>
      </c>
    </row>
    <row r="137" ht="15.75" customHeight="1">
      <c r="A137" s="64">
        <v>45487.0</v>
      </c>
      <c r="B137" s="55" t="str">
        <f>HYPERLINK("https://jobright.ai/jobs/info/664e4095403c20224e70f2e1?utm_campaign=1055&amp;utm_source=sheet", "Apply")</f>
        <v>Apply</v>
      </c>
      <c r="C137" s="10" t="s">
        <v>22884</v>
      </c>
      <c r="D137" s="56" t="s">
        <v>22569</v>
      </c>
      <c r="E137" s="10" t="s">
        <v>65</v>
      </c>
      <c r="F137" s="10" t="s">
        <v>22570</v>
      </c>
      <c r="G137" s="10" t="s">
        <v>17</v>
      </c>
      <c r="H137" s="10" t="s">
        <v>131</v>
      </c>
      <c r="I137" s="10" t="s">
        <v>55</v>
      </c>
      <c r="J137" s="10" t="s">
        <v>22571</v>
      </c>
      <c r="K137" s="10" t="s">
        <v>22885</v>
      </c>
      <c r="L137" s="10" t="s">
        <v>42</v>
      </c>
    </row>
    <row r="138" ht="15.75" customHeight="1">
      <c r="A138" s="64">
        <v>45487.0</v>
      </c>
      <c r="B138" s="55" t="str">
        <f>HYPERLINK("https://jobright.ai/jobs/info/6676cf3c131cc9dd67df2de7?utm_campaign=1055&amp;utm_source=sheet", "Apply")</f>
        <v>Apply</v>
      </c>
      <c r="C138" s="10" t="s">
        <v>22886</v>
      </c>
      <c r="D138" s="56" t="s">
        <v>11300</v>
      </c>
      <c r="E138" s="10" t="s">
        <v>65</v>
      </c>
      <c r="F138" s="10" t="s">
        <v>534</v>
      </c>
      <c r="G138" s="10" t="s">
        <v>17</v>
      </c>
      <c r="H138" s="10" t="s">
        <v>446</v>
      </c>
      <c r="I138" s="10" t="s">
        <v>55</v>
      </c>
      <c r="K138" s="10" t="s">
        <v>11301</v>
      </c>
      <c r="L138" s="10" t="s">
        <v>42</v>
      </c>
    </row>
    <row r="139" ht="15.75" customHeight="1">
      <c r="A139" s="64">
        <v>45487.0</v>
      </c>
      <c r="B139" s="55" t="str">
        <f>HYPERLINK("https://jobright.ai/jobs/info/6676b3b9a2f49d4e236dc8e4?utm_campaign=1055&amp;utm_source=sheet", "Apply")</f>
        <v>Apply</v>
      </c>
      <c r="C139" s="10" t="s">
        <v>22887</v>
      </c>
      <c r="D139" s="56" t="s">
        <v>17964</v>
      </c>
      <c r="E139" s="10">
        <v>2182.0</v>
      </c>
      <c r="G139" s="10" t="s">
        <v>17</v>
      </c>
      <c r="H139" s="10" t="s">
        <v>113</v>
      </c>
      <c r="I139" s="10" t="s">
        <v>55</v>
      </c>
      <c r="J139" s="10" t="s">
        <v>3671</v>
      </c>
      <c r="K139" s="10" t="s">
        <v>18067</v>
      </c>
      <c r="L139" s="10" t="s">
        <v>42</v>
      </c>
    </row>
    <row r="140" ht="15.75" customHeight="1">
      <c r="A140" s="64">
        <v>45487.0</v>
      </c>
      <c r="B140" s="55" t="str">
        <f>HYPERLINK("https://jobright.ai/jobs/info/6676d8644ffdc62f7b679788?utm_campaign=1055&amp;utm_source=sheet", "Apply")</f>
        <v>Apply</v>
      </c>
      <c r="C140" s="10" t="s">
        <v>22888</v>
      </c>
      <c r="D140" s="56" t="s">
        <v>17964</v>
      </c>
      <c r="E140" s="10">
        <v>2182.0</v>
      </c>
      <c r="G140" s="10" t="s">
        <v>17</v>
      </c>
      <c r="H140" s="10" t="s">
        <v>994</v>
      </c>
      <c r="I140" s="10" t="s">
        <v>55</v>
      </c>
      <c r="J140" s="10" t="s">
        <v>3671</v>
      </c>
      <c r="K140" s="10" t="s">
        <v>17965</v>
      </c>
      <c r="L140" s="10" t="s">
        <v>42</v>
      </c>
    </row>
    <row r="141" ht="15.75" customHeight="1">
      <c r="A141" s="64">
        <v>45487.0</v>
      </c>
      <c r="B141" s="55" t="str">
        <f>HYPERLINK("https://jobright.ai/jobs/info/6676bbbd9b9f24e2dbdca3ca?utm_campaign=1055&amp;utm_source=sheet", "Apply")</f>
        <v>Apply</v>
      </c>
      <c r="C141" s="10" t="s">
        <v>22889</v>
      </c>
      <c r="D141" s="56" t="s">
        <v>11300</v>
      </c>
      <c r="E141" s="10" t="s">
        <v>65</v>
      </c>
      <c r="F141" s="10" t="s">
        <v>534</v>
      </c>
      <c r="G141" s="10" t="s">
        <v>17</v>
      </c>
      <c r="H141" s="10" t="s">
        <v>446</v>
      </c>
      <c r="I141" s="10" t="s">
        <v>55</v>
      </c>
      <c r="K141" s="10" t="s">
        <v>11301</v>
      </c>
      <c r="L141" s="10" t="s">
        <v>42</v>
      </c>
    </row>
    <row r="142" ht="15.75" customHeight="1">
      <c r="A142" s="64">
        <v>45487.0</v>
      </c>
      <c r="B142" s="55" t="str">
        <f>HYPERLINK("https://jobright.ai/jobs/info/6676cfd2131cc9dd67df388e?utm_campaign=1055&amp;utm_source=sheet", "Apply")</f>
        <v>Apply</v>
      </c>
      <c r="C142" s="10" t="s">
        <v>22890</v>
      </c>
      <c r="D142" s="56" t="s">
        <v>11300</v>
      </c>
      <c r="E142" s="10" t="s">
        <v>65</v>
      </c>
      <c r="F142" s="10" t="s">
        <v>534</v>
      </c>
      <c r="G142" s="10" t="s">
        <v>17</v>
      </c>
      <c r="H142" s="10" t="s">
        <v>2687</v>
      </c>
      <c r="I142" s="10" t="s">
        <v>55</v>
      </c>
      <c r="K142" s="10" t="s">
        <v>11301</v>
      </c>
      <c r="L142" s="10" t="s">
        <v>42</v>
      </c>
    </row>
    <row r="143" ht="15.75" customHeight="1">
      <c r="A143" s="64">
        <v>45487.0</v>
      </c>
      <c r="B143" s="55" t="str">
        <f>HYPERLINK("https://jobright.ai/jobs/info/665b20399ff4d1b04c4c825d?utm_campaign=1055&amp;utm_source=sheet", "Apply")</f>
        <v>Apply</v>
      </c>
      <c r="C143" s="10" t="s">
        <v>22859</v>
      </c>
      <c r="D143" s="56" t="s">
        <v>730</v>
      </c>
      <c r="E143" s="10" t="s">
        <v>45</v>
      </c>
      <c r="F143" s="10" t="s">
        <v>731</v>
      </c>
      <c r="G143" s="10" t="s">
        <v>17</v>
      </c>
      <c r="H143" s="10" t="s">
        <v>96</v>
      </c>
      <c r="I143" s="10" t="s">
        <v>55</v>
      </c>
      <c r="K143" s="10" t="s">
        <v>22860</v>
      </c>
      <c r="L143" s="10" t="s">
        <v>42</v>
      </c>
    </row>
    <row r="144" ht="15.75" customHeight="1">
      <c r="A144" s="64">
        <v>45487.0</v>
      </c>
      <c r="B144" s="55" t="str">
        <f>HYPERLINK("https://jobright.ai/jobs/info/663333d208d7f5837f92607a?utm_campaign=1055&amp;utm_source=sheet", "Apply")</f>
        <v>Apply</v>
      </c>
      <c r="C144" s="10" t="s">
        <v>22891</v>
      </c>
      <c r="D144" s="56" t="s">
        <v>11300</v>
      </c>
      <c r="E144" s="10" t="s">
        <v>65</v>
      </c>
      <c r="F144" s="10" t="s">
        <v>534</v>
      </c>
      <c r="G144" s="10" t="s">
        <v>17</v>
      </c>
      <c r="H144" s="10" t="s">
        <v>2687</v>
      </c>
      <c r="I144" s="10" t="s">
        <v>55</v>
      </c>
      <c r="K144" s="10" t="s">
        <v>11301</v>
      </c>
      <c r="L144" s="10" t="s">
        <v>42</v>
      </c>
    </row>
    <row r="145" ht="15.75" customHeight="1">
      <c r="A145" s="64">
        <v>45487.0</v>
      </c>
      <c r="B145" s="55" t="str">
        <f>HYPERLINK("https://jobright.ai/jobs/info/667633cfe272243dcd4f65af?utm_campaign=1055&amp;utm_source=sheet", "Apply")</f>
        <v>Apply</v>
      </c>
      <c r="C145" s="10" t="s">
        <v>22892</v>
      </c>
      <c r="D145" s="56" t="s">
        <v>22893</v>
      </c>
      <c r="E145" s="10" t="s">
        <v>45</v>
      </c>
      <c r="F145" s="10" t="s">
        <v>665</v>
      </c>
      <c r="G145" s="10" t="s">
        <v>17</v>
      </c>
      <c r="H145" s="10" t="s">
        <v>22894</v>
      </c>
      <c r="I145" s="10" t="s">
        <v>55</v>
      </c>
      <c r="K145" s="10" t="s">
        <v>22895</v>
      </c>
      <c r="L145" s="10" t="s">
        <v>42</v>
      </c>
    </row>
    <row r="146" ht="15.75" customHeight="1">
      <c r="A146" s="64">
        <v>45487.0</v>
      </c>
      <c r="B146" s="55" t="str">
        <f>HYPERLINK("https://jobright.ai/jobs/info/669325da7913836ede8b2e76?utm_campaign=1055&amp;utm_source=sheet", "Apply")</f>
        <v>Apply</v>
      </c>
      <c r="C146" s="10" t="s">
        <v>22896</v>
      </c>
      <c r="D146" s="56" t="s">
        <v>22897</v>
      </c>
      <c r="E146" s="10">
        <v>5.0</v>
      </c>
      <c r="G146" s="10" t="s">
        <v>17</v>
      </c>
      <c r="H146" s="10" t="s">
        <v>10547</v>
      </c>
      <c r="I146" s="10" t="s">
        <v>55</v>
      </c>
      <c r="K146" s="10" t="s">
        <v>22898</v>
      </c>
      <c r="L146" s="10" t="s">
        <v>42</v>
      </c>
    </row>
    <row r="147" ht="15.75" customHeight="1">
      <c r="A147" s="64">
        <v>45486.0</v>
      </c>
      <c r="B147" s="55" t="str">
        <f>HYPERLINK("https://jobright.ai/jobs/info/6690d3922ee59534c58d0725?utm_campaign=1055&amp;utm_source=sheet", "Apply")</f>
        <v>Apply</v>
      </c>
      <c r="C147" s="10" t="s">
        <v>22899</v>
      </c>
      <c r="D147" s="56" t="s">
        <v>1650</v>
      </c>
      <c r="E147" s="10" t="s">
        <v>209</v>
      </c>
      <c r="F147" s="10" t="s">
        <v>1243</v>
      </c>
      <c r="G147" s="10" t="s">
        <v>17</v>
      </c>
      <c r="H147" s="10" t="s">
        <v>833</v>
      </c>
      <c r="I147" s="10" t="s">
        <v>55</v>
      </c>
      <c r="K147" s="10" t="s">
        <v>22900</v>
      </c>
      <c r="L147" s="10" t="s">
        <v>42</v>
      </c>
    </row>
    <row r="148" ht="15.75" customHeight="1">
      <c r="A148" s="64">
        <v>45486.0</v>
      </c>
      <c r="B148" s="55" t="str">
        <f>HYPERLINK("https://jobright.ai/jobs/info/664e9940f97ff61ecf83c9f4?utm_campaign=1055&amp;utm_source=sheet", "Apply")</f>
        <v>Apply</v>
      </c>
      <c r="C148" s="10" t="s">
        <v>22874</v>
      </c>
      <c r="D148" s="56" t="s">
        <v>22875</v>
      </c>
      <c r="E148" s="10" t="s">
        <v>79</v>
      </c>
      <c r="F148" s="10" t="s">
        <v>22876</v>
      </c>
      <c r="G148" s="10" t="s">
        <v>17</v>
      </c>
      <c r="H148" s="10" t="s">
        <v>96</v>
      </c>
      <c r="I148" s="10" t="s">
        <v>55</v>
      </c>
      <c r="J148" s="10" t="s">
        <v>22877</v>
      </c>
      <c r="K148" s="10" t="s">
        <v>22878</v>
      </c>
      <c r="L148" s="10" t="s">
        <v>42</v>
      </c>
    </row>
    <row r="149" ht="15.75" customHeight="1">
      <c r="A149" s="64">
        <v>45486.0</v>
      </c>
      <c r="B149" s="55" t="str">
        <f>HYPERLINK("https://jobright.ai/jobs/info/664e9940f97ff61ecf83ca46?utm_campaign=1055&amp;utm_source=sheet", "Apply")</f>
        <v>Apply</v>
      </c>
      <c r="C149" s="10" t="s">
        <v>22874</v>
      </c>
      <c r="D149" s="56" t="s">
        <v>22875</v>
      </c>
      <c r="E149" s="10" t="s">
        <v>79</v>
      </c>
      <c r="F149" s="10" t="s">
        <v>22876</v>
      </c>
      <c r="G149" s="10" t="s">
        <v>17</v>
      </c>
      <c r="H149" s="10" t="s">
        <v>170</v>
      </c>
      <c r="I149" s="10" t="s">
        <v>55</v>
      </c>
      <c r="J149" s="10" t="s">
        <v>22877</v>
      </c>
      <c r="K149" s="10" t="s">
        <v>22878</v>
      </c>
      <c r="L149" s="10" t="s">
        <v>42</v>
      </c>
    </row>
    <row r="150" ht="15.75" customHeight="1">
      <c r="A150" s="64">
        <v>45486.0</v>
      </c>
      <c r="B150" s="55" t="str">
        <f>HYPERLINK("https://jobright.ai/jobs/info/6676021ef1b86992c3646cd2?utm_campaign=1055&amp;utm_source=sheet", "Apply")</f>
        <v>Apply</v>
      </c>
      <c r="C150" s="10" t="s">
        <v>22874</v>
      </c>
      <c r="D150" s="56" t="s">
        <v>22875</v>
      </c>
      <c r="E150" s="10" t="s">
        <v>79</v>
      </c>
      <c r="F150" s="10" t="s">
        <v>22876</v>
      </c>
      <c r="G150" s="10" t="s">
        <v>17</v>
      </c>
      <c r="H150" s="10" t="s">
        <v>131</v>
      </c>
      <c r="I150" s="10" t="s">
        <v>55</v>
      </c>
      <c r="J150" s="10" t="s">
        <v>22877</v>
      </c>
      <c r="K150" s="10" t="s">
        <v>22878</v>
      </c>
      <c r="L150" s="10" t="s">
        <v>42</v>
      </c>
    </row>
    <row r="151" ht="15.75" customHeight="1">
      <c r="A151" s="64">
        <v>45486.0</v>
      </c>
      <c r="B151" s="55" t="str">
        <f>HYPERLINK("https://jobright.ai/jobs/info/664eb1fbcd9154b3e60137fa?utm_campaign=1055&amp;utm_source=sheet", "Apply")</f>
        <v>Apply</v>
      </c>
      <c r="C151" s="10" t="s">
        <v>22874</v>
      </c>
      <c r="D151" s="56" t="s">
        <v>22875</v>
      </c>
      <c r="E151" s="10" t="s">
        <v>79</v>
      </c>
      <c r="F151" s="10" t="s">
        <v>22876</v>
      </c>
      <c r="G151" s="10" t="s">
        <v>17</v>
      </c>
      <c r="H151" s="10" t="s">
        <v>794</v>
      </c>
      <c r="I151" s="10" t="s">
        <v>55</v>
      </c>
      <c r="J151" s="10" t="s">
        <v>22877</v>
      </c>
      <c r="K151" s="10" t="s">
        <v>22878</v>
      </c>
      <c r="L151" s="10" t="s">
        <v>42</v>
      </c>
    </row>
    <row r="152" ht="15.75" customHeight="1">
      <c r="A152" s="64">
        <v>45486.0</v>
      </c>
      <c r="B152" s="55" t="str">
        <f>HYPERLINK("https://jobright.ai/jobs/info/6676210b4b84ce845b7f1f98?utm_campaign=1055&amp;utm_source=sheet", "Apply")</f>
        <v>Apply</v>
      </c>
      <c r="C152" s="10" t="s">
        <v>22874</v>
      </c>
      <c r="D152" s="56" t="s">
        <v>22875</v>
      </c>
      <c r="E152" s="10" t="s">
        <v>79</v>
      </c>
      <c r="F152" s="10" t="s">
        <v>22876</v>
      </c>
      <c r="G152" s="10" t="s">
        <v>17</v>
      </c>
      <c r="H152" s="10" t="s">
        <v>152</v>
      </c>
      <c r="I152" s="10" t="s">
        <v>55</v>
      </c>
      <c r="J152" s="10" t="s">
        <v>22877</v>
      </c>
      <c r="K152" s="10" t="s">
        <v>22878</v>
      </c>
      <c r="L152" s="10" t="s">
        <v>42</v>
      </c>
    </row>
    <row r="153" ht="15.75" customHeight="1">
      <c r="A153" s="64">
        <v>45486.0</v>
      </c>
      <c r="B153" s="55" t="str">
        <f>HYPERLINK("https://jobright.ai/jobs/info/6676dcef52e59db0b1bd5847?utm_campaign=1055&amp;utm_source=sheet", "Apply")</f>
        <v>Apply</v>
      </c>
      <c r="C153" s="10" t="s">
        <v>22901</v>
      </c>
      <c r="D153" s="56" t="s">
        <v>22569</v>
      </c>
      <c r="E153" s="10" t="s">
        <v>65</v>
      </c>
      <c r="F153" s="10" t="s">
        <v>22570</v>
      </c>
      <c r="G153" s="10" t="s">
        <v>17</v>
      </c>
      <c r="H153" s="10" t="s">
        <v>73</v>
      </c>
      <c r="I153" s="10" t="s">
        <v>55</v>
      </c>
      <c r="J153" s="10" t="s">
        <v>22902</v>
      </c>
      <c r="K153" s="10" t="s">
        <v>22903</v>
      </c>
      <c r="L153" s="10" t="s">
        <v>42</v>
      </c>
    </row>
    <row r="154" ht="15.75" customHeight="1">
      <c r="A154" s="64">
        <v>45486.0</v>
      </c>
      <c r="B154" s="55" t="str">
        <f>HYPERLINK("https://jobright.ai/jobs/info/664ea6f34e197fc8adcf913a?utm_campaign=1055&amp;utm_source=sheet", "Apply")</f>
        <v>Apply</v>
      </c>
      <c r="C154" s="10" t="s">
        <v>22874</v>
      </c>
      <c r="D154" s="56" t="s">
        <v>22875</v>
      </c>
      <c r="E154" s="10" t="s">
        <v>79</v>
      </c>
      <c r="F154" s="10" t="s">
        <v>22876</v>
      </c>
      <c r="G154" s="10" t="s">
        <v>17</v>
      </c>
      <c r="H154" s="10" t="s">
        <v>898</v>
      </c>
      <c r="I154" s="10" t="s">
        <v>55</v>
      </c>
      <c r="J154" s="10" t="s">
        <v>22877</v>
      </c>
      <c r="K154" s="10" t="s">
        <v>22878</v>
      </c>
      <c r="L154" s="10" t="s">
        <v>42</v>
      </c>
    </row>
    <row r="155" ht="15.75" customHeight="1">
      <c r="A155" s="64">
        <v>45486.0</v>
      </c>
      <c r="B155" s="55" t="str">
        <f>HYPERLINK("https://jobright.ai/jobs/info/6632964ead5a1e28625a2891?utm_campaign=1055&amp;utm_source=sheet", "Apply")</f>
        <v>Apply</v>
      </c>
      <c r="C155" s="10" t="s">
        <v>22904</v>
      </c>
      <c r="D155" s="56" t="s">
        <v>10296</v>
      </c>
      <c r="E155" s="10" t="s">
        <v>249</v>
      </c>
      <c r="F155" s="10" t="s">
        <v>3594</v>
      </c>
      <c r="G155" s="10" t="s">
        <v>17</v>
      </c>
      <c r="H155" s="10" t="s">
        <v>144</v>
      </c>
      <c r="I155" s="10" t="s">
        <v>55</v>
      </c>
      <c r="J155" s="10" t="s">
        <v>3671</v>
      </c>
      <c r="K155" s="10" t="s">
        <v>22872</v>
      </c>
      <c r="L155" s="10" t="s">
        <v>42</v>
      </c>
    </row>
    <row r="156" ht="15.75" customHeight="1">
      <c r="A156" s="64">
        <v>45486.0</v>
      </c>
      <c r="B156" s="55" t="str">
        <f>HYPERLINK("https://jobright.ai/jobs/info/6659028ed9f10b0b654fe71d?utm_campaign=1055&amp;utm_source=sheet", "Apply")</f>
        <v>Apply</v>
      </c>
      <c r="C156" s="10" t="s">
        <v>22905</v>
      </c>
      <c r="D156" s="56" t="s">
        <v>3669</v>
      </c>
      <c r="E156" s="10" t="s">
        <v>65</v>
      </c>
      <c r="F156" s="10" t="s">
        <v>3670</v>
      </c>
      <c r="G156" s="10" t="s">
        <v>17</v>
      </c>
      <c r="H156" s="10" t="s">
        <v>1260</v>
      </c>
      <c r="I156" s="10" t="s">
        <v>55</v>
      </c>
      <c r="J156" s="10" t="s">
        <v>3671</v>
      </c>
      <c r="K156" s="10" t="s">
        <v>22906</v>
      </c>
      <c r="L156" s="10" t="s">
        <v>42</v>
      </c>
    </row>
    <row r="157" ht="15.75" customHeight="1">
      <c r="A157" s="64">
        <v>45486.0</v>
      </c>
      <c r="B157" s="55" t="str">
        <f>HYPERLINK("https://jobright.ai/jobs/info/66329e9e87f50b994878ce01?utm_campaign=1055&amp;utm_source=sheet", "Apply")</f>
        <v>Apply</v>
      </c>
      <c r="C157" s="10" t="s">
        <v>22907</v>
      </c>
      <c r="D157" s="56" t="s">
        <v>10296</v>
      </c>
      <c r="E157" s="10" t="s">
        <v>249</v>
      </c>
      <c r="F157" s="10" t="s">
        <v>3594</v>
      </c>
      <c r="G157" s="10" t="s">
        <v>17</v>
      </c>
      <c r="H157" s="10" t="s">
        <v>144</v>
      </c>
      <c r="I157" s="10" t="s">
        <v>55</v>
      </c>
      <c r="J157" s="10" t="s">
        <v>3671</v>
      </c>
      <c r="K157" s="10" t="s">
        <v>22872</v>
      </c>
      <c r="L157" s="10" t="s">
        <v>42</v>
      </c>
    </row>
    <row r="158" ht="15.75" customHeight="1">
      <c r="A158" s="64">
        <v>45486.0</v>
      </c>
      <c r="B158" s="55" t="str">
        <f>HYPERLINK("https://jobright.ai/jobs/info/6632962dad5a1e28625a24bf?utm_campaign=1055&amp;utm_source=sheet", "Apply")</f>
        <v>Apply</v>
      </c>
      <c r="C158" s="10" t="s">
        <v>22908</v>
      </c>
      <c r="D158" s="56" t="s">
        <v>10296</v>
      </c>
      <c r="E158" s="10" t="s">
        <v>249</v>
      </c>
      <c r="F158" s="10" t="s">
        <v>3594</v>
      </c>
      <c r="G158" s="10" t="s">
        <v>17</v>
      </c>
      <c r="H158" s="10" t="s">
        <v>13894</v>
      </c>
      <c r="I158" s="10" t="s">
        <v>55</v>
      </c>
      <c r="J158" s="10" t="s">
        <v>3671</v>
      </c>
      <c r="K158" s="10" t="s">
        <v>22872</v>
      </c>
      <c r="L158" s="10" t="s">
        <v>42</v>
      </c>
    </row>
    <row r="159" ht="15.75" customHeight="1">
      <c r="A159" s="64">
        <v>45486.0</v>
      </c>
      <c r="B159" s="55" t="str">
        <f>HYPERLINK("https://jobright.ai/jobs/info/665917eee3ecf9e1b0661bf7?utm_campaign=1055&amp;utm_source=sheet", "Apply")</f>
        <v>Apply</v>
      </c>
      <c r="C159" s="10" t="s">
        <v>3668</v>
      </c>
      <c r="D159" s="56" t="s">
        <v>3669</v>
      </c>
      <c r="E159" s="10" t="s">
        <v>65</v>
      </c>
      <c r="F159" s="10" t="s">
        <v>3670</v>
      </c>
      <c r="G159" s="10" t="s">
        <v>17</v>
      </c>
      <c r="H159" s="10" t="s">
        <v>423</v>
      </c>
      <c r="I159" s="10" t="s">
        <v>48</v>
      </c>
      <c r="J159" s="10" t="s">
        <v>4112</v>
      </c>
      <c r="K159" s="10" t="s">
        <v>4113</v>
      </c>
      <c r="L159" s="10" t="s">
        <v>42</v>
      </c>
    </row>
    <row r="160" ht="15.75" customHeight="1">
      <c r="A160" s="64">
        <v>45486.0</v>
      </c>
      <c r="B160" s="55" t="str">
        <f>HYPERLINK("https://jobright.ai/jobs/info/669265a782b9ba0ba30d94d9?utm_campaign=1055&amp;utm_source=sheet", "Apply")</f>
        <v>Apply</v>
      </c>
      <c r="C160" s="10" t="s">
        <v>22613</v>
      </c>
      <c r="D160" s="56" t="s">
        <v>22909</v>
      </c>
      <c r="E160" s="10" t="s">
        <v>276</v>
      </c>
      <c r="F160" s="10" t="s">
        <v>22910</v>
      </c>
      <c r="G160" s="10" t="s">
        <v>17</v>
      </c>
      <c r="H160" s="10" t="s">
        <v>1097</v>
      </c>
      <c r="I160" s="10" t="s">
        <v>55</v>
      </c>
      <c r="K160" s="10" t="s">
        <v>22911</v>
      </c>
      <c r="L160" s="10" t="s">
        <v>42</v>
      </c>
    </row>
    <row r="161" ht="15.75" customHeight="1">
      <c r="A161" s="64">
        <v>45486.0</v>
      </c>
      <c r="B161" s="55" t="str">
        <f>HYPERLINK("https://jobright.ai/jobs/info/663283d081eae8d373614436?utm_campaign=1055&amp;utm_source=sheet", "Apply")</f>
        <v>Apply</v>
      </c>
      <c r="C161" s="10" t="s">
        <v>22904</v>
      </c>
      <c r="D161" s="56" t="s">
        <v>10296</v>
      </c>
      <c r="E161" s="10" t="s">
        <v>249</v>
      </c>
      <c r="F161" s="10" t="s">
        <v>3594</v>
      </c>
      <c r="G161" s="10" t="s">
        <v>17</v>
      </c>
      <c r="H161" s="10" t="s">
        <v>13894</v>
      </c>
      <c r="I161" s="10" t="s">
        <v>55</v>
      </c>
      <c r="J161" s="10" t="s">
        <v>3671</v>
      </c>
      <c r="K161" s="10" t="s">
        <v>22872</v>
      </c>
      <c r="L161" s="10" t="s">
        <v>42</v>
      </c>
    </row>
    <row r="162" ht="15.75" customHeight="1">
      <c r="A162" s="64">
        <v>45486.0</v>
      </c>
      <c r="B162" s="55" t="str">
        <f>HYPERLINK("https://jobright.ai/jobs/info/665922b7dc30f127d7d723f3?utm_campaign=1055&amp;utm_source=sheet", "Apply")</f>
        <v>Apply</v>
      </c>
      <c r="C162" s="10" t="s">
        <v>3668</v>
      </c>
      <c r="D162" s="56" t="s">
        <v>3669</v>
      </c>
      <c r="E162" s="10" t="s">
        <v>65</v>
      </c>
      <c r="F162" s="10" t="s">
        <v>3670</v>
      </c>
      <c r="G162" s="10" t="s">
        <v>17</v>
      </c>
      <c r="H162" s="10" t="s">
        <v>159</v>
      </c>
      <c r="I162" s="10" t="s">
        <v>48</v>
      </c>
      <c r="J162" s="10" t="s">
        <v>4112</v>
      </c>
      <c r="K162" s="10" t="s">
        <v>4113</v>
      </c>
      <c r="L162" s="10" t="s">
        <v>42</v>
      </c>
    </row>
    <row r="163" ht="15.75" customHeight="1">
      <c r="A163" s="64">
        <v>45486.0</v>
      </c>
      <c r="B163" s="55" t="str">
        <f>HYPERLINK("https://jobright.ai/jobs/info/66329ebb87f50b994878d15b?utm_campaign=1055&amp;utm_source=sheet", "Apply")</f>
        <v>Apply</v>
      </c>
      <c r="C163" s="10" t="s">
        <v>22904</v>
      </c>
      <c r="D163" s="56" t="s">
        <v>10296</v>
      </c>
      <c r="E163" s="10" t="s">
        <v>249</v>
      </c>
      <c r="F163" s="10" t="s">
        <v>3594</v>
      </c>
      <c r="G163" s="10" t="s">
        <v>17</v>
      </c>
      <c r="H163" s="10" t="s">
        <v>10017</v>
      </c>
      <c r="I163" s="10" t="s">
        <v>55</v>
      </c>
      <c r="J163" s="10" t="s">
        <v>3671</v>
      </c>
      <c r="K163" s="10" t="s">
        <v>22872</v>
      </c>
      <c r="L163" s="10" t="s">
        <v>42</v>
      </c>
    </row>
    <row r="164" ht="15.75" customHeight="1">
      <c r="A164" s="64">
        <v>45486.0</v>
      </c>
      <c r="B164" s="55" t="str">
        <f>HYPERLINK("https://jobright.ai/jobs/info/6632838481eae8d373613c24?utm_campaign=1055&amp;utm_source=sheet", "Apply")</f>
        <v>Apply</v>
      </c>
      <c r="C164" s="10" t="s">
        <v>22912</v>
      </c>
      <c r="D164" s="56" t="s">
        <v>10296</v>
      </c>
      <c r="E164" s="10" t="s">
        <v>249</v>
      </c>
      <c r="F164" s="10" t="s">
        <v>3594</v>
      </c>
      <c r="G164" s="10" t="s">
        <v>17</v>
      </c>
      <c r="H164" s="10" t="s">
        <v>1254</v>
      </c>
      <c r="I164" s="10" t="s">
        <v>55</v>
      </c>
      <c r="J164" s="10" t="s">
        <v>3671</v>
      </c>
      <c r="K164" s="10" t="s">
        <v>22870</v>
      </c>
      <c r="L164" s="10" t="s">
        <v>42</v>
      </c>
    </row>
    <row r="165" ht="15.75" customHeight="1">
      <c r="A165" s="64">
        <v>45486.0</v>
      </c>
      <c r="B165" s="55" t="str">
        <f>HYPERLINK("https://jobright.ai/jobs/info/66760e88ad2dd17614c49269?utm_campaign=1055&amp;utm_source=sheet", "Apply")</f>
        <v>Apply</v>
      </c>
      <c r="C165" s="10" t="s">
        <v>22874</v>
      </c>
      <c r="D165" s="56" t="s">
        <v>22875</v>
      </c>
      <c r="E165" s="10" t="s">
        <v>79</v>
      </c>
      <c r="F165" s="10" t="s">
        <v>22876</v>
      </c>
      <c r="G165" s="10" t="s">
        <v>17</v>
      </c>
      <c r="H165" s="10" t="s">
        <v>799</v>
      </c>
      <c r="I165" s="10" t="s">
        <v>55</v>
      </c>
      <c r="J165" s="10" t="s">
        <v>22877</v>
      </c>
      <c r="K165" s="10" t="s">
        <v>22878</v>
      </c>
      <c r="L165" s="10" t="s">
        <v>42</v>
      </c>
    </row>
    <row r="166" ht="15.75" customHeight="1">
      <c r="A166" s="64">
        <v>45486.0</v>
      </c>
      <c r="B166" s="55" t="str">
        <f>HYPERLINK("https://jobright.ai/jobs/info/664e994ef97ff61ecf83cb84?utm_campaign=1055&amp;utm_source=sheet", "Apply")</f>
        <v>Apply</v>
      </c>
      <c r="C166" s="10" t="s">
        <v>22874</v>
      </c>
      <c r="D166" s="56" t="s">
        <v>22875</v>
      </c>
      <c r="E166" s="10" t="s">
        <v>79</v>
      </c>
      <c r="F166" s="10" t="s">
        <v>22876</v>
      </c>
      <c r="G166" s="10" t="s">
        <v>17</v>
      </c>
      <c r="H166" s="10" t="s">
        <v>994</v>
      </c>
      <c r="I166" s="10" t="s">
        <v>55</v>
      </c>
      <c r="J166" s="10" t="s">
        <v>22877</v>
      </c>
      <c r="K166" s="10" t="s">
        <v>22878</v>
      </c>
      <c r="L166" s="10" t="s">
        <v>42</v>
      </c>
    </row>
    <row r="167" ht="15.75" customHeight="1">
      <c r="A167" s="64">
        <v>45486.0</v>
      </c>
      <c r="B167" s="55" t="str">
        <f>HYPERLINK("https://jobright.ai/jobs/info/6632962dad5a1e28625a24be?utm_campaign=1055&amp;utm_source=sheet", "Apply")</f>
        <v>Apply</v>
      </c>
      <c r="C167" s="10" t="s">
        <v>22913</v>
      </c>
      <c r="D167" s="56" t="s">
        <v>10296</v>
      </c>
      <c r="E167" s="10" t="s">
        <v>249</v>
      </c>
      <c r="F167" s="10" t="s">
        <v>3594</v>
      </c>
      <c r="G167" s="10" t="s">
        <v>17</v>
      </c>
      <c r="H167" s="10" t="s">
        <v>423</v>
      </c>
      <c r="I167" s="10" t="s">
        <v>55</v>
      </c>
      <c r="J167" s="10" t="s">
        <v>3671</v>
      </c>
      <c r="K167" s="10" t="s">
        <v>22870</v>
      </c>
      <c r="L167" s="10" t="s">
        <v>42</v>
      </c>
    </row>
    <row r="168" ht="15.75" customHeight="1">
      <c r="A168" s="64">
        <v>45486.0</v>
      </c>
      <c r="B168" s="55" t="str">
        <f>HYPERLINK("https://jobright.ai/jobs/info/66329e9e87f50b994878ce11?utm_campaign=1055&amp;utm_source=sheet", "Apply")</f>
        <v>Apply</v>
      </c>
      <c r="C168" s="10" t="s">
        <v>22914</v>
      </c>
      <c r="D168" s="56" t="s">
        <v>10296</v>
      </c>
      <c r="E168" s="10" t="s">
        <v>249</v>
      </c>
      <c r="F168" s="10" t="s">
        <v>3594</v>
      </c>
      <c r="G168" s="10" t="s">
        <v>17</v>
      </c>
      <c r="H168" s="10" t="s">
        <v>170</v>
      </c>
      <c r="I168" s="10" t="s">
        <v>55</v>
      </c>
      <c r="J168" s="10" t="s">
        <v>3671</v>
      </c>
      <c r="K168" s="10" t="s">
        <v>22870</v>
      </c>
      <c r="L168" s="10" t="s">
        <v>42</v>
      </c>
    </row>
    <row r="169" ht="15.75" customHeight="1">
      <c r="A169" s="64">
        <v>45486.0</v>
      </c>
      <c r="B169" s="55" t="str">
        <f>HYPERLINK("https://jobright.ai/jobs/info/66328f844e52af55c64b264f?utm_campaign=1055&amp;utm_source=sheet", "Apply")</f>
        <v>Apply</v>
      </c>
      <c r="C169" s="10" t="s">
        <v>22915</v>
      </c>
      <c r="D169" s="56" t="s">
        <v>10296</v>
      </c>
      <c r="E169" s="10" t="s">
        <v>249</v>
      </c>
      <c r="F169" s="10" t="s">
        <v>3594</v>
      </c>
      <c r="G169" s="10" t="s">
        <v>17</v>
      </c>
      <c r="H169" s="10" t="s">
        <v>423</v>
      </c>
      <c r="I169" s="10" t="s">
        <v>55</v>
      </c>
      <c r="J169" s="10" t="s">
        <v>3671</v>
      </c>
      <c r="K169" s="10" t="s">
        <v>22872</v>
      </c>
      <c r="L169" s="10" t="s">
        <v>42</v>
      </c>
    </row>
    <row r="170" ht="15.75" customHeight="1">
      <c r="A170" s="64">
        <v>45486.0</v>
      </c>
      <c r="B170" s="55" t="str">
        <f>HYPERLINK("https://jobright.ai/jobs/info/66761a74127b183117fe7d34?utm_campaign=1055&amp;utm_source=sheet", "Apply")</f>
        <v>Apply</v>
      </c>
      <c r="C170" s="10" t="s">
        <v>22916</v>
      </c>
      <c r="D170" s="56" t="s">
        <v>13308</v>
      </c>
      <c r="E170" s="10" t="s">
        <v>79</v>
      </c>
      <c r="F170" s="10" t="s">
        <v>13309</v>
      </c>
      <c r="G170" s="10" t="s">
        <v>17</v>
      </c>
      <c r="H170" s="10" t="s">
        <v>188</v>
      </c>
      <c r="I170" s="10" t="s">
        <v>55</v>
      </c>
      <c r="K170" s="10" t="s">
        <v>22917</v>
      </c>
      <c r="L170" s="10" t="s">
        <v>42</v>
      </c>
    </row>
    <row r="171" ht="15.75" customHeight="1">
      <c r="A171" s="64">
        <v>45486.0</v>
      </c>
      <c r="B171" s="55" t="str">
        <f>HYPERLINK("https://jobright.ai/jobs/info/66328f844e52af55c64b2663?utm_campaign=1055&amp;utm_source=sheet", "Apply")</f>
        <v>Apply</v>
      </c>
      <c r="C171" s="10" t="s">
        <v>22918</v>
      </c>
      <c r="D171" s="56" t="s">
        <v>10296</v>
      </c>
      <c r="E171" s="10" t="s">
        <v>249</v>
      </c>
      <c r="F171" s="10" t="s">
        <v>3594</v>
      </c>
      <c r="G171" s="10" t="s">
        <v>17</v>
      </c>
      <c r="H171" s="10" t="s">
        <v>144</v>
      </c>
      <c r="I171" s="10" t="s">
        <v>55</v>
      </c>
      <c r="J171" s="10" t="s">
        <v>3671</v>
      </c>
      <c r="K171" s="10" t="s">
        <v>22872</v>
      </c>
      <c r="L171" s="10" t="s">
        <v>42</v>
      </c>
    </row>
    <row r="172" ht="15.75" customHeight="1">
      <c r="A172" s="64">
        <v>45486.0</v>
      </c>
      <c r="B172" s="55" t="str">
        <f>HYPERLINK("https://jobright.ai/jobs/info/6632838481eae8d373613c30?utm_campaign=1055&amp;utm_source=sheet", "Apply")</f>
        <v>Apply</v>
      </c>
      <c r="C172" s="10" t="s">
        <v>22904</v>
      </c>
      <c r="D172" s="56" t="s">
        <v>10296</v>
      </c>
      <c r="E172" s="10" t="s">
        <v>249</v>
      </c>
      <c r="F172" s="10" t="s">
        <v>3594</v>
      </c>
      <c r="G172" s="10" t="s">
        <v>17</v>
      </c>
      <c r="H172" s="10" t="s">
        <v>1254</v>
      </c>
      <c r="I172" s="10" t="s">
        <v>55</v>
      </c>
      <c r="J172" s="10" t="s">
        <v>3671</v>
      </c>
      <c r="K172" s="10" t="s">
        <v>22872</v>
      </c>
      <c r="L172" s="10" t="s">
        <v>42</v>
      </c>
    </row>
    <row r="173" ht="15.75" customHeight="1">
      <c r="A173" s="64">
        <v>45486.0</v>
      </c>
      <c r="B173" s="55" t="str">
        <f>HYPERLINK("https://jobright.ai/jobs/info/65db42505a9b144f6446770c?utm_campaign=1055&amp;utm_source=sheet", "Apply")</f>
        <v>Apply</v>
      </c>
      <c r="C173" s="10" t="s">
        <v>22919</v>
      </c>
      <c r="D173" s="56" t="s">
        <v>11022</v>
      </c>
      <c r="E173" s="10" t="s">
        <v>249</v>
      </c>
      <c r="F173" s="10" t="s">
        <v>722</v>
      </c>
      <c r="G173" s="10" t="s">
        <v>17</v>
      </c>
      <c r="H173" s="10" t="s">
        <v>438</v>
      </c>
      <c r="I173" s="10" t="s">
        <v>55</v>
      </c>
      <c r="K173" s="10" t="s">
        <v>22920</v>
      </c>
      <c r="L173" s="10" t="s">
        <v>42</v>
      </c>
    </row>
    <row r="174" ht="15.75" customHeight="1">
      <c r="A174" s="64">
        <v>45485.0</v>
      </c>
      <c r="B174" s="55" t="str">
        <f>HYPERLINK("https://jobright.ai/jobs/info/6691c9b9cf3c8abe59ab66a4?utm_campaign=1055&amp;utm_source=sheet", "Apply")</f>
        <v>Apply</v>
      </c>
      <c r="C174" s="10" t="s">
        <v>22921</v>
      </c>
      <c r="D174" s="56" t="s">
        <v>1966</v>
      </c>
      <c r="E174" s="10">
        <v>1209.0</v>
      </c>
      <c r="G174" s="10" t="s">
        <v>17</v>
      </c>
      <c r="H174" s="10" t="s">
        <v>96</v>
      </c>
      <c r="I174" s="10" t="s">
        <v>55</v>
      </c>
      <c r="J174" s="10" t="s">
        <v>1967</v>
      </c>
      <c r="K174" s="10" t="s">
        <v>22922</v>
      </c>
      <c r="L174" s="10" t="s">
        <v>42</v>
      </c>
    </row>
    <row r="175" ht="15.75" customHeight="1">
      <c r="A175" s="64">
        <v>45485.0</v>
      </c>
      <c r="B175" s="55" t="str">
        <f>HYPERLINK("https://jobright.ai/jobs/info/6691bd44fd9555930f1fd912?utm_campaign=1055&amp;utm_source=sheet", "Apply")</f>
        <v>Apply</v>
      </c>
      <c r="C175" s="10" t="s">
        <v>22923</v>
      </c>
      <c r="D175" s="56" t="s">
        <v>22656</v>
      </c>
      <c r="E175" s="10" t="s">
        <v>79</v>
      </c>
      <c r="F175" s="10" t="s">
        <v>1243</v>
      </c>
      <c r="G175" s="10" t="s">
        <v>17</v>
      </c>
      <c r="H175" s="10" t="s">
        <v>434</v>
      </c>
      <c r="I175" s="10" t="s">
        <v>55</v>
      </c>
      <c r="J175" s="10" t="s">
        <v>22657</v>
      </c>
      <c r="K175" s="10" t="s">
        <v>22924</v>
      </c>
      <c r="L175" s="10" t="s">
        <v>42</v>
      </c>
    </row>
    <row r="176" ht="15.75" customHeight="1">
      <c r="A176" s="64">
        <v>45485.0</v>
      </c>
      <c r="B176" s="55" t="str">
        <f>HYPERLINK("https://jobright.ai/jobs/info/6691bd44fd9555930f1fd923?utm_campaign=1055&amp;utm_source=sheet", "Apply")</f>
        <v>Apply</v>
      </c>
      <c r="C176" s="10" t="s">
        <v>22925</v>
      </c>
      <c r="D176" s="56" t="s">
        <v>22656</v>
      </c>
      <c r="E176" s="10" t="s">
        <v>79</v>
      </c>
      <c r="F176" s="10" t="s">
        <v>1243</v>
      </c>
      <c r="G176" s="10" t="s">
        <v>17</v>
      </c>
      <c r="H176" s="10" t="s">
        <v>6071</v>
      </c>
      <c r="I176" s="10" t="s">
        <v>55</v>
      </c>
      <c r="J176" s="10" t="s">
        <v>22657</v>
      </c>
      <c r="K176" s="10" t="s">
        <v>22926</v>
      </c>
      <c r="L176" s="10" t="s">
        <v>42</v>
      </c>
    </row>
    <row r="177" ht="15.75" customHeight="1">
      <c r="A177" s="64">
        <v>45485.0</v>
      </c>
      <c r="B177" s="55" t="str">
        <f>HYPERLINK("https://jobright.ai/jobs/info/6691bd44fd9555930f1fd91a?utm_campaign=1055&amp;utm_source=sheet", "Apply")</f>
        <v>Apply</v>
      </c>
      <c r="C177" s="10" t="s">
        <v>22927</v>
      </c>
      <c r="D177" s="56" t="s">
        <v>22656</v>
      </c>
      <c r="E177" s="10" t="s">
        <v>79</v>
      </c>
      <c r="F177" s="10" t="s">
        <v>1243</v>
      </c>
      <c r="G177" s="10" t="s">
        <v>17</v>
      </c>
      <c r="H177" s="10" t="s">
        <v>131</v>
      </c>
      <c r="I177" s="10" t="s">
        <v>55</v>
      </c>
      <c r="J177" s="10" t="s">
        <v>22657</v>
      </c>
      <c r="K177" s="10" t="s">
        <v>22928</v>
      </c>
      <c r="L177" s="10" t="s">
        <v>42</v>
      </c>
    </row>
    <row r="178" ht="15.75" customHeight="1">
      <c r="A178" s="64">
        <v>45485.0</v>
      </c>
      <c r="B178" s="55" t="str">
        <f>HYPERLINK("https://jobright.ai/jobs/info/6691bd44fd9555930f1fd918?utm_campaign=1055&amp;utm_source=sheet", "Apply")</f>
        <v>Apply</v>
      </c>
      <c r="C178" s="10" t="s">
        <v>22929</v>
      </c>
      <c r="D178" s="56" t="s">
        <v>22656</v>
      </c>
      <c r="E178" s="10" t="s">
        <v>79</v>
      </c>
      <c r="F178" s="10" t="s">
        <v>1243</v>
      </c>
      <c r="G178" s="10" t="s">
        <v>17</v>
      </c>
      <c r="H178" s="10" t="s">
        <v>1009</v>
      </c>
      <c r="I178" s="10" t="s">
        <v>55</v>
      </c>
      <c r="J178" s="10" t="s">
        <v>22657</v>
      </c>
      <c r="K178" s="10" t="s">
        <v>22926</v>
      </c>
      <c r="L178" s="10" t="s">
        <v>42</v>
      </c>
    </row>
    <row r="179" ht="15.75" customHeight="1">
      <c r="A179" s="64">
        <v>45485.0</v>
      </c>
      <c r="B179" s="55" t="str">
        <f>HYPERLINK("https://jobright.ai/jobs/info/6691bd44fd9555930f1fd91b?utm_campaign=1055&amp;utm_source=sheet", "Apply")</f>
        <v>Apply</v>
      </c>
      <c r="C179" s="10" t="s">
        <v>22930</v>
      </c>
      <c r="D179" s="56" t="s">
        <v>22656</v>
      </c>
      <c r="E179" s="10" t="s">
        <v>79</v>
      </c>
      <c r="F179" s="10" t="s">
        <v>1243</v>
      </c>
      <c r="G179" s="10" t="s">
        <v>17</v>
      </c>
      <c r="H179" s="10" t="s">
        <v>170</v>
      </c>
      <c r="I179" s="10" t="s">
        <v>55</v>
      </c>
      <c r="J179" s="10" t="s">
        <v>22657</v>
      </c>
      <c r="K179" s="10" t="s">
        <v>22658</v>
      </c>
      <c r="L179" s="10" t="s">
        <v>42</v>
      </c>
    </row>
    <row r="180" ht="15.75" customHeight="1">
      <c r="A180" s="64">
        <v>45485.0</v>
      </c>
      <c r="B180" s="55" t="str">
        <f>HYPERLINK("https://jobright.ai/jobs/info/6691bd44fd9555930f1fd975?utm_campaign=1055&amp;utm_source=sheet", "Apply")</f>
        <v>Apply</v>
      </c>
      <c r="C180" s="10" t="s">
        <v>22931</v>
      </c>
      <c r="D180" s="56" t="s">
        <v>22656</v>
      </c>
      <c r="E180" s="10" t="s">
        <v>79</v>
      </c>
      <c r="F180" s="10" t="s">
        <v>1243</v>
      </c>
      <c r="G180" s="10" t="s">
        <v>17</v>
      </c>
      <c r="H180" s="10" t="s">
        <v>759</v>
      </c>
      <c r="I180" s="10" t="s">
        <v>55</v>
      </c>
      <c r="J180" s="10" t="s">
        <v>22657</v>
      </c>
      <c r="K180" s="10" t="s">
        <v>22932</v>
      </c>
      <c r="L180" s="10" t="s">
        <v>42</v>
      </c>
    </row>
    <row r="181" ht="15.75" customHeight="1">
      <c r="A181" s="64">
        <v>45485.0</v>
      </c>
      <c r="B181" s="55" t="str">
        <f>HYPERLINK("https://jobright.ai/jobs/info/6691c77d55fdc8d51c7e450b?utm_campaign=1055&amp;utm_source=sheet", "Apply")</f>
        <v>Apply</v>
      </c>
      <c r="C181" s="10" t="s">
        <v>22933</v>
      </c>
      <c r="D181" s="56" t="s">
        <v>1966</v>
      </c>
      <c r="E181" s="10">
        <v>1209.0</v>
      </c>
      <c r="G181" s="10" t="s">
        <v>17</v>
      </c>
      <c r="H181" s="10" t="s">
        <v>911</v>
      </c>
      <c r="I181" s="10" t="s">
        <v>55</v>
      </c>
      <c r="J181" s="10" t="s">
        <v>1967</v>
      </c>
      <c r="K181" s="10" t="s">
        <v>22934</v>
      </c>
      <c r="L181" s="10" t="s">
        <v>42</v>
      </c>
    </row>
    <row r="182" ht="15.75" customHeight="1">
      <c r="A182" s="64">
        <v>45485.0</v>
      </c>
      <c r="B182" s="55" t="str">
        <f>HYPERLINK("https://jobright.ai/jobs/info/669172682b5e177ed6cb0365?utm_campaign=1055&amp;utm_source=sheet", "Apply")</f>
        <v>Apply</v>
      </c>
      <c r="C182" s="10" t="s">
        <v>22651</v>
      </c>
      <c r="D182" s="56" t="s">
        <v>22652</v>
      </c>
      <c r="E182" s="10" t="s">
        <v>79</v>
      </c>
      <c r="F182" s="10" t="s">
        <v>22653</v>
      </c>
      <c r="G182" s="10" t="s">
        <v>17</v>
      </c>
      <c r="H182" s="10" t="s">
        <v>153</v>
      </c>
      <c r="I182" s="10" t="s">
        <v>48</v>
      </c>
      <c r="K182" s="10" t="s">
        <v>22751</v>
      </c>
      <c r="L182" s="10" t="s">
        <v>42</v>
      </c>
    </row>
    <row r="183" ht="15.75" customHeight="1">
      <c r="A183" s="64">
        <v>45485.0</v>
      </c>
      <c r="B183" s="55" t="str">
        <f>HYPERLINK("https://jobright.ai/jobs/info/66a408009d6a30be4effa09f?utm_campaign=1055&amp;utm_source=sheet", "Apply")</f>
        <v>Apply</v>
      </c>
      <c r="C183" s="10" t="s">
        <v>22935</v>
      </c>
      <c r="D183" s="56" t="s">
        <v>533</v>
      </c>
      <c r="E183" s="10" t="s">
        <v>209</v>
      </c>
      <c r="F183" s="10" t="s">
        <v>534</v>
      </c>
      <c r="G183" s="10" t="s">
        <v>17</v>
      </c>
      <c r="H183" s="10" t="s">
        <v>139</v>
      </c>
      <c r="I183" s="10" t="s">
        <v>55</v>
      </c>
      <c r="J183" s="10" t="s">
        <v>535</v>
      </c>
      <c r="K183" s="10" t="s">
        <v>22766</v>
      </c>
      <c r="L183" s="10" t="s">
        <v>42</v>
      </c>
    </row>
    <row r="184" ht="15.75" customHeight="1">
      <c r="A184" s="64">
        <v>45485.0</v>
      </c>
      <c r="B184" s="55" t="str">
        <f>HYPERLINK("https://jobright.ai/jobs/info/66900fd14a77721ba220edd6?utm_campaign=1055&amp;utm_source=sheet", "Apply")</f>
        <v>Apply</v>
      </c>
      <c r="C184" s="10" t="s">
        <v>22936</v>
      </c>
      <c r="D184" s="56" t="s">
        <v>1980</v>
      </c>
      <c r="E184" s="10" t="s">
        <v>65</v>
      </c>
      <c r="F184" s="10" t="s">
        <v>722</v>
      </c>
      <c r="G184" s="10" t="s">
        <v>17</v>
      </c>
      <c r="H184" s="10" t="s">
        <v>251</v>
      </c>
      <c r="I184" s="10" t="s">
        <v>252</v>
      </c>
      <c r="K184" s="10" t="s">
        <v>22937</v>
      </c>
      <c r="L184" s="10" t="s">
        <v>42</v>
      </c>
    </row>
    <row r="185" ht="15.75" customHeight="1">
      <c r="A185" s="64">
        <v>45485.0</v>
      </c>
      <c r="B185" s="55" t="str">
        <f>HYPERLINK("https://jobright.ai/jobs/info/6690c2225c416734cd1fad58?utm_campaign=1055&amp;utm_source=sheet", "Apply")</f>
        <v>Apply</v>
      </c>
      <c r="C185" s="10" t="s">
        <v>22938</v>
      </c>
      <c r="D185" s="56" t="s">
        <v>1846</v>
      </c>
      <c r="E185" s="10" t="s">
        <v>45</v>
      </c>
      <c r="F185" s="10" t="s">
        <v>1485</v>
      </c>
      <c r="G185" s="10" t="s">
        <v>17</v>
      </c>
      <c r="H185" s="10" t="s">
        <v>154</v>
      </c>
      <c r="I185" s="10" t="s">
        <v>55</v>
      </c>
      <c r="K185" s="10" t="s">
        <v>22939</v>
      </c>
      <c r="L185" s="10" t="s">
        <v>42</v>
      </c>
    </row>
    <row r="186" ht="15.75" customHeight="1">
      <c r="A186" s="64">
        <v>45484.0</v>
      </c>
      <c r="B186" s="55" t="str">
        <f>HYPERLINK("https://jobright.ai/jobs/info/6690a46ebde41292f4f54674?utm_campaign=1055&amp;utm_source=sheet", "Apply")</f>
        <v>Apply</v>
      </c>
      <c r="C186" s="10" t="s">
        <v>22940</v>
      </c>
      <c r="D186" s="56" t="s">
        <v>3832</v>
      </c>
      <c r="E186" s="10" t="s">
        <v>65</v>
      </c>
      <c r="F186" s="10" t="s">
        <v>660</v>
      </c>
      <c r="G186" s="10" t="s">
        <v>17</v>
      </c>
      <c r="H186" s="10" t="s">
        <v>170</v>
      </c>
      <c r="I186" s="10" t="s">
        <v>55</v>
      </c>
      <c r="J186" s="10" t="s">
        <v>22941</v>
      </c>
      <c r="K186" s="10" t="s">
        <v>22942</v>
      </c>
      <c r="L186" s="10" t="s">
        <v>42</v>
      </c>
    </row>
    <row r="187" ht="15.75" customHeight="1">
      <c r="A187" s="64">
        <v>45484.0</v>
      </c>
      <c r="B187" s="55" t="str">
        <f>HYPERLINK("https://jobright.ai/jobs/info/6690c9f250a8322cf99b9996?utm_campaign=1055&amp;utm_source=sheet", "Apply")</f>
        <v>Apply</v>
      </c>
      <c r="C187" s="10" t="s">
        <v>22943</v>
      </c>
      <c r="D187" s="56" t="s">
        <v>22944</v>
      </c>
      <c r="E187" s="10">
        <v>112.0</v>
      </c>
      <c r="G187" s="10" t="s">
        <v>17</v>
      </c>
      <c r="H187" s="10" t="s">
        <v>411</v>
      </c>
      <c r="I187" s="10" t="s">
        <v>55</v>
      </c>
      <c r="K187" s="10" t="s">
        <v>22945</v>
      </c>
      <c r="L187" s="10" t="s">
        <v>42</v>
      </c>
    </row>
    <row r="188" ht="15.75" customHeight="1">
      <c r="A188" s="64">
        <v>45484.0</v>
      </c>
      <c r="B188" s="55" t="str">
        <f>HYPERLINK("https://jobright.ai/jobs/info/6672eb033bc1bf09bd16d722?utm_campaign=1055&amp;utm_source=sheet", "Apply")</f>
        <v>Apply</v>
      </c>
      <c r="C188" s="10" t="s">
        <v>22946</v>
      </c>
      <c r="D188" s="56" t="s">
        <v>21380</v>
      </c>
      <c r="E188" s="10">
        <v>67626.0</v>
      </c>
      <c r="G188" s="10" t="s">
        <v>17</v>
      </c>
      <c r="H188" s="10" t="s">
        <v>6620</v>
      </c>
      <c r="I188" s="10" t="s">
        <v>55</v>
      </c>
      <c r="J188" s="10" t="s">
        <v>22947</v>
      </c>
      <c r="K188" s="10" t="s">
        <v>22948</v>
      </c>
      <c r="L188" s="10" t="s">
        <v>42</v>
      </c>
    </row>
    <row r="189" ht="15.75" customHeight="1">
      <c r="A189" s="64">
        <v>45484.0</v>
      </c>
      <c r="B189" s="55" t="str">
        <f>HYPERLINK("https://jobright.ai/jobs/info/6690bfbb555345cb31084420?utm_campaign=1055&amp;utm_source=sheet", "Apply")</f>
        <v>Apply</v>
      </c>
      <c r="C189" s="10" t="s">
        <v>22946</v>
      </c>
      <c r="D189" s="56" t="s">
        <v>21380</v>
      </c>
      <c r="E189" s="10">
        <v>67626.0</v>
      </c>
      <c r="G189" s="10" t="s">
        <v>17</v>
      </c>
      <c r="H189" s="10" t="s">
        <v>6620</v>
      </c>
      <c r="I189" s="10" t="s">
        <v>55</v>
      </c>
      <c r="J189" s="10" t="s">
        <v>22949</v>
      </c>
      <c r="K189" s="10" t="s">
        <v>22948</v>
      </c>
      <c r="L189" s="10" t="s">
        <v>42</v>
      </c>
    </row>
    <row r="190" ht="15.75" customHeight="1">
      <c r="A190" s="64">
        <v>45484.0</v>
      </c>
      <c r="B190" s="55" t="str">
        <f>HYPERLINK("https://jobright.ai/jobs/info/6698f4e0d17475741a462498?utm_campaign=1055&amp;utm_source=sheet", "Apply")</f>
        <v>Apply</v>
      </c>
      <c r="C190" s="10" t="s">
        <v>22950</v>
      </c>
      <c r="D190" s="56" t="s">
        <v>1083</v>
      </c>
      <c r="E190" s="10" t="s">
        <v>209</v>
      </c>
      <c r="F190" s="10" t="s">
        <v>1084</v>
      </c>
      <c r="G190" s="10" t="s">
        <v>17</v>
      </c>
      <c r="H190" s="10" t="s">
        <v>882</v>
      </c>
      <c r="I190" s="10" t="s">
        <v>55</v>
      </c>
      <c r="K190" s="10" t="s">
        <v>22951</v>
      </c>
      <c r="L190" s="10" t="s">
        <v>42</v>
      </c>
    </row>
    <row r="191" ht="15.75" customHeight="1">
      <c r="A191" s="64">
        <v>45484.0</v>
      </c>
      <c r="B191" s="55" t="str">
        <f>HYPERLINK("https://jobright.ai/jobs/info/6690de96b63f2faa3634a632?utm_campaign=1055&amp;utm_source=sheet", "Apply")</f>
        <v>Apply</v>
      </c>
      <c r="C191" s="10" t="s">
        <v>22952</v>
      </c>
      <c r="D191" s="56" t="s">
        <v>20333</v>
      </c>
      <c r="E191" s="10" t="s">
        <v>65</v>
      </c>
      <c r="F191" s="10" t="s">
        <v>1234</v>
      </c>
      <c r="G191" s="10" t="s">
        <v>17</v>
      </c>
      <c r="H191" s="10" t="s">
        <v>96</v>
      </c>
      <c r="I191" s="10" t="s">
        <v>55</v>
      </c>
      <c r="J191" s="10" t="s">
        <v>22953</v>
      </c>
      <c r="K191" s="10" t="s">
        <v>22954</v>
      </c>
      <c r="L191" s="10" t="s">
        <v>42</v>
      </c>
    </row>
    <row r="192" ht="15.75" customHeight="1">
      <c r="A192" s="64">
        <v>45484.0</v>
      </c>
      <c r="B192" s="55" t="str">
        <f>HYPERLINK("https://jobright.ai/jobs/info/6690318e54adbe082c2a418d?utm_campaign=1055&amp;utm_source=sheet", "Apply")</f>
        <v>Apply</v>
      </c>
      <c r="C192" s="10" t="s">
        <v>22955</v>
      </c>
      <c r="D192" s="56" t="s">
        <v>22956</v>
      </c>
      <c r="E192" s="10" t="s">
        <v>249</v>
      </c>
      <c r="F192" s="10" t="s">
        <v>1376</v>
      </c>
      <c r="G192" s="10" t="s">
        <v>17</v>
      </c>
      <c r="H192" s="10" t="s">
        <v>22957</v>
      </c>
      <c r="I192" s="10" t="s">
        <v>55</v>
      </c>
      <c r="K192" s="10" t="s">
        <v>22958</v>
      </c>
      <c r="L192" s="10" t="s">
        <v>42</v>
      </c>
    </row>
    <row r="193" ht="15.75" customHeight="1">
      <c r="A193" s="64">
        <v>45483.0</v>
      </c>
      <c r="B193" s="55" t="str">
        <f>HYPERLINK("https://jobright.ai/jobs/info/66250fda5c01349212b473c0?utm_campaign=1055&amp;utm_source=sheet", "Apply")</f>
        <v>Apply</v>
      </c>
      <c r="C193" s="10" t="s">
        <v>22959</v>
      </c>
      <c r="D193" s="56" t="s">
        <v>22960</v>
      </c>
      <c r="E193" s="10" t="s">
        <v>45</v>
      </c>
      <c r="F193" s="10" t="s">
        <v>11154</v>
      </c>
      <c r="G193" s="10" t="s">
        <v>17</v>
      </c>
      <c r="H193" s="10" t="s">
        <v>6620</v>
      </c>
      <c r="I193" s="10" t="s">
        <v>55</v>
      </c>
      <c r="K193" s="10" t="s">
        <v>22961</v>
      </c>
      <c r="L193" s="10" t="s">
        <v>42</v>
      </c>
    </row>
    <row r="194" ht="15.75" customHeight="1">
      <c r="A194" s="64">
        <v>45483.0</v>
      </c>
      <c r="B194" s="55" t="str">
        <f>HYPERLINK("https://jobright.ai/jobs/info/6669d4ca53dacd4babf593ff?utm_campaign=1055&amp;utm_source=sheet", "Apply")</f>
        <v>Apply</v>
      </c>
      <c r="C194" s="10" t="s">
        <v>22962</v>
      </c>
      <c r="D194" s="56" t="s">
        <v>22960</v>
      </c>
      <c r="E194" s="10" t="s">
        <v>45</v>
      </c>
      <c r="F194" s="10" t="s">
        <v>11154</v>
      </c>
      <c r="G194" s="10" t="s">
        <v>17</v>
      </c>
      <c r="H194" s="10" t="s">
        <v>956</v>
      </c>
      <c r="I194" s="10" t="s">
        <v>55</v>
      </c>
      <c r="K194" s="10" t="s">
        <v>22961</v>
      </c>
      <c r="L194" s="10" t="s">
        <v>42</v>
      </c>
    </row>
    <row r="195" ht="15.75" customHeight="1">
      <c r="A195" s="64">
        <v>45483.0</v>
      </c>
      <c r="B195" s="55" t="str">
        <f>HYPERLINK("https://jobright.ai/jobs/info/6677f1e99c81148ccaaed4ba?utm_campaign=1055&amp;utm_source=sheet", "Apply")</f>
        <v>Apply</v>
      </c>
      <c r="C195" s="10" t="s">
        <v>22962</v>
      </c>
      <c r="D195" s="56" t="s">
        <v>22960</v>
      </c>
      <c r="E195" s="10" t="s">
        <v>45</v>
      </c>
      <c r="F195" s="10" t="s">
        <v>11154</v>
      </c>
      <c r="G195" s="10" t="s">
        <v>17</v>
      </c>
      <c r="H195" s="10" t="s">
        <v>6620</v>
      </c>
      <c r="I195" s="10" t="s">
        <v>55</v>
      </c>
      <c r="K195" s="10" t="s">
        <v>22961</v>
      </c>
      <c r="L195" s="10" t="s">
        <v>42</v>
      </c>
    </row>
    <row r="196" ht="15.75" customHeight="1">
      <c r="A196" s="64">
        <v>45482.0</v>
      </c>
      <c r="B196" s="55" t="str">
        <f>HYPERLINK("https://jobright.ai/jobs/info/668d93207574eb7eb60c67b7?utm_campaign=1055&amp;utm_source=sheet", "Apply")</f>
        <v>Apply</v>
      </c>
      <c r="C196" s="10" t="s">
        <v>22963</v>
      </c>
      <c r="D196" s="56" t="s">
        <v>22964</v>
      </c>
      <c r="E196" s="10" t="s">
        <v>137</v>
      </c>
      <c r="F196" s="10" t="s">
        <v>22965</v>
      </c>
      <c r="G196" s="10" t="s">
        <v>17</v>
      </c>
      <c r="H196" s="10" t="s">
        <v>636</v>
      </c>
      <c r="I196" s="10" t="s">
        <v>55</v>
      </c>
      <c r="K196" s="10" t="s">
        <v>22966</v>
      </c>
      <c r="L196" s="10" t="s">
        <v>42</v>
      </c>
    </row>
    <row r="197" ht="15.75" customHeight="1">
      <c r="A197" s="64">
        <v>45482.0</v>
      </c>
      <c r="B197" s="55" t="str">
        <f>HYPERLINK("https://jobright.ai/jobs/info/668ecc8ebf93d98adcfd575e?utm_campaign=1055&amp;utm_source=sheet", "Apply")</f>
        <v>Apply</v>
      </c>
      <c r="C197" s="10" t="s">
        <v>22967</v>
      </c>
      <c r="D197" s="56" t="s">
        <v>7075</v>
      </c>
      <c r="E197" s="10" t="s">
        <v>45</v>
      </c>
      <c r="F197" s="10" t="s">
        <v>7076</v>
      </c>
      <c r="G197" s="10" t="s">
        <v>17</v>
      </c>
      <c r="H197" s="10" t="s">
        <v>434</v>
      </c>
      <c r="I197" s="10" t="s">
        <v>55</v>
      </c>
      <c r="J197" s="10" t="s">
        <v>22968</v>
      </c>
      <c r="K197" s="10" t="s">
        <v>22969</v>
      </c>
      <c r="L197" s="10" t="s">
        <v>42</v>
      </c>
    </row>
    <row r="198" ht="15.75" customHeight="1">
      <c r="A198" s="64">
        <v>45482.0</v>
      </c>
      <c r="B198" s="55" t="str">
        <f>HYPERLINK("https://jobright.ai/jobs/info/668ecc8ebf93d98adcfd5762?utm_campaign=1055&amp;utm_source=sheet", "Apply")</f>
        <v>Apply</v>
      </c>
      <c r="C198" s="10" t="s">
        <v>22967</v>
      </c>
      <c r="D198" s="56" t="s">
        <v>7075</v>
      </c>
      <c r="E198" s="10" t="s">
        <v>45</v>
      </c>
      <c r="F198" s="10" t="s">
        <v>7076</v>
      </c>
      <c r="G198" s="10" t="s">
        <v>17</v>
      </c>
      <c r="H198" s="10" t="s">
        <v>113</v>
      </c>
      <c r="I198" s="10" t="s">
        <v>55</v>
      </c>
      <c r="J198" s="10" t="s">
        <v>22968</v>
      </c>
      <c r="K198" s="10" t="s">
        <v>22969</v>
      </c>
      <c r="L198" s="10" t="s">
        <v>42</v>
      </c>
    </row>
    <row r="199" ht="15.75" customHeight="1">
      <c r="A199" s="64">
        <v>45482.0</v>
      </c>
      <c r="B199" s="55" t="str">
        <f>HYPERLINK("https://jobright.ai/jobs/info/668ec45dc916c3695aa7a5f9?utm_campaign=1055&amp;utm_source=sheet", "Apply")</f>
        <v>Apply</v>
      </c>
      <c r="C199" s="10" t="s">
        <v>22967</v>
      </c>
      <c r="D199" s="56" t="s">
        <v>7075</v>
      </c>
      <c r="E199" s="10" t="s">
        <v>45</v>
      </c>
      <c r="F199" s="10" t="s">
        <v>7076</v>
      </c>
      <c r="G199" s="10" t="s">
        <v>17</v>
      </c>
      <c r="H199" s="10" t="s">
        <v>170</v>
      </c>
      <c r="I199" s="10" t="s">
        <v>55</v>
      </c>
      <c r="J199" s="10" t="s">
        <v>22968</v>
      </c>
      <c r="K199" s="10" t="s">
        <v>22970</v>
      </c>
      <c r="L199" s="10" t="s">
        <v>42</v>
      </c>
    </row>
    <row r="200" ht="15.75" customHeight="1">
      <c r="A200" s="64">
        <v>45482.0</v>
      </c>
      <c r="B200" s="55" t="str">
        <f>HYPERLINK("https://jobright.ai/jobs/info/668ec466c916c3695aa7a688?utm_campaign=1055&amp;utm_source=sheet", "Apply")</f>
        <v>Apply</v>
      </c>
      <c r="C200" s="10" t="s">
        <v>22967</v>
      </c>
      <c r="D200" s="56" t="s">
        <v>7075</v>
      </c>
      <c r="E200" s="10" t="s">
        <v>45</v>
      </c>
      <c r="F200" s="10" t="s">
        <v>7076</v>
      </c>
      <c r="G200" s="10" t="s">
        <v>17</v>
      </c>
      <c r="H200" s="10" t="s">
        <v>96</v>
      </c>
      <c r="I200" s="10" t="s">
        <v>55</v>
      </c>
      <c r="J200" s="10" t="s">
        <v>22968</v>
      </c>
      <c r="K200" s="10" t="s">
        <v>22969</v>
      </c>
      <c r="L200" s="10" t="s">
        <v>42</v>
      </c>
    </row>
    <row r="201" ht="15.75" customHeight="1">
      <c r="A201" s="64">
        <v>45482.0</v>
      </c>
      <c r="B201" s="55" t="str">
        <f>HYPERLINK("https://jobright.ai/jobs/info/668ec4efc916c3695aa7b339?utm_campaign=1055&amp;utm_source=sheet", "Apply")</f>
        <v>Apply</v>
      </c>
      <c r="C201" s="10" t="s">
        <v>22967</v>
      </c>
      <c r="D201" s="56" t="s">
        <v>7075</v>
      </c>
      <c r="E201" s="10" t="s">
        <v>45</v>
      </c>
      <c r="F201" s="10" t="s">
        <v>7076</v>
      </c>
      <c r="G201" s="10" t="s">
        <v>17</v>
      </c>
      <c r="H201" s="10" t="s">
        <v>165</v>
      </c>
      <c r="I201" s="10" t="s">
        <v>55</v>
      </c>
      <c r="J201" s="10" t="s">
        <v>22968</v>
      </c>
      <c r="K201" s="10" t="s">
        <v>22969</v>
      </c>
      <c r="L201" s="10" t="s">
        <v>42</v>
      </c>
    </row>
    <row r="202" ht="15.75" customHeight="1">
      <c r="A202" s="64">
        <v>45482.0</v>
      </c>
      <c r="B202" s="55" t="str">
        <f>HYPERLINK("https://jobright.ai/jobs/info/668ec46ec916c3695aa7a714?utm_campaign=1055&amp;utm_source=sheet", "Apply")</f>
        <v>Apply</v>
      </c>
      <c r="C202" s="10" t="s">
        <v>22967</v>
      </c>
      <c r="D202" s="56" t="s">
        <v>7075</v>
      </c>
      <c r="E202" s="10" t="s">
        <v>45</v>
      </c>
      <c r="F202" s="10" t="s">
        <v>7076</v>
      </c>
      <c r="G202" s="10" t="s">
        <v>17</v>
      </c>
      <c r="H202" s="10" t="s">
        <v>144</v>
      </c>
      <c r="I202" s="10" t="s">
        <v>55</v>
      </c>
      <c r="J202" s="10" t="s">
        <v>22968</v>
      </c>
      <c r="K202" s="10" t="s">
        <v>22971</v>
      </c>
      <c r="L202" s="10" t="s">
        <v>42</v>
      </c>
    </row>
    <row r="203" ht="15.75" customHeight="1">
      <c r="A203" s="64">
        <v>45482.0</v>
      </c>
      <c r="B203" s="55" t="str">
        <f>HYPERLINK("https://jobright.ai/jobs/info/6624662e41224af7d6bd26ac?utm_campaign=1055&amp;utm_source=sheet", "Apply")</f>
        <v>Apply</v>
      </c>
      <c r="C203" s="10" t="s">
        <v>22972</v>
      </c>
      <c r="D203" s="56" t="s">
        <v>18214</v>
      </c>
      <c r="E203" s="10" t="s">
        <v>65</v>
      </c>
      <c r="F203" s="10" t="s">
        <v>18215</v>
      </c>
      <c r="G203" s="10" t="s">
        <v>17</v>
      </c>
      <c r="H203" s="10" t="s">
        <v>974</v>
      </c>
      <c r="I203" s="10" t="s">
        <v>48</v>
      </c>
      <c r="J203" s="10" t="s">
        <v>22973</v>
      </c>
      <c r="K203" s="10" t="s">
        <v>18216</v>
      </c>
      <c r="L203" s="10" t="s">
        <v>42</v>
      </c>
    </row>
    <row r="204" ht="15.75" customHeight="1">
      <c r="A204" s="64">
        <v>45482.0</v>
      </c>
      <c r="B204" s="55" t="str">
        <f>HYPERLINK("https://jobright.ai/jobs/info/664eb9fb441ecf4d17eb3f0c?utm_campaign=1055&amp;utm_source=sheet", "Apply")</f>
        <v>Apply</v>
      </c>
      <c r="C204" s="10" t="s">
        <v>22874</v>
      </c>
      <c r="D204" s="56" t="s">
        <v>22875</v>
      </c>
      <c r="E204" s="10" t="s">
        <v>79</v>
      </c>
      <c r="F204" s="10" t="s">
        <v>22876</v>
      </c>
      <c r="G204" s="10" t="s">
        <v>17</v>
      </c>
      <c r="H204" s="10" t="s">
        <v>153</v>
      </c>
      <c r="I204" s="10" t="s">
        <v>55</v>
      </c>
      <c r="J204" s="10" t="s">
        <v>22877</v>
      </c>
      <c r="K204" s="10" t="s">
        <v>22878</v>
      </c>
      <c r="L204" s="10" t="s">
        <v>42</v>
      </c>
    </row>
    <row r="205" ht="15.75" customHeight="1">
      <c r="A205" s="64">
        <v>45482.0</v>
      </c>
      <c r="B205" s="55" t="str">
        <f>HYPERLINK("https://jobright.ai/jobs/info/667106bc5a5b1aa2d9aae709?utm_campaign=1055&amp;utm_source=sheet", "Apply")</f>
        <v>Apply</v>
      </c>
      <c r="C205" s="10" t="s">
        <v>22974</v>
      </c>
      <c r="D205" s="56" t="s">
        <v>4233</v>
      </c>
      <c r="E205" s="10" t="s">
        <v>65</v>
      </c>
      <c r="F205" s="10" t="s">
        <v>1124</v>
      </c>
      <c r="G205" s="10" t="s">
        <v>17</v>
      </c>
      <c r="H205" s="10" t="s">
        <v>1008</v>
      </c>
      <c r="I205" s="10" t="s">
        <v>55</v>
      </c>
      <c r="J205" s="10" t="s">
        <v>22975</v>
      </c>
      <c r="K205" s="10" t="s">
        <v>22976</v>
      </c>
      <c r="L205" s="10" t="s">
        <v>42</v>
      </c>
    </row>
    <row r="206" ht="15.75" customHeight="1">
      <c r="A206" s="64">
        <v>45482.0</v>
      </c>
      <c r="B206" s="55" t="str">
        <f>HYPERLINK("https://jobright.ai/jobs/info/6677b2dfd57a2b58a480d291?utm_campaign=1055&amp;utm_source=sheet", "Apply")</f>
        <v>Apply</v>
      </c>
      <c r="C206" s="10" t="s">
        <v>22977</v>
      </c>
      <c r="D206" s="56" t="s">
        <v>1083</v>
      </c>
      <c r="E206" s="10" t="s">
        <v>209</v>
      </c>
      <c r="F206" s="10" t="s">
        <v>1084</v>
      </c>
      <c r="G206" s="10" t="s">
        <v>17</v>
      </c>
      <c r="H206" s="10" t="s">
        <v>2687</v>
      </c>
      <c r="I206" s="10" t="s">
        <v>55</v>
      </c>
      <c r="K206" s="10" t="s">
        <v>22978</v>
      </c>
      <c r="L206" s="10" t="s">
        <v>42</v>
      </c>
    </row>
    <row r="207" ht="15.75" customHeight="1">
      <c r="A207" s="64">
        <v>45482.0</v>
      </c>
      <c r="B207" s="55" t="str">
        <f>HYPERLINK("https://jobright.ai/jobs/info/668d981c274a895265383ccd?utm_campaign=1055&amp;utm_source=sheet", "Apply")</f>
        <v>Apply</v>
      </c>
      <c r="C207" s="10" t="s">
        <v>22979</v>
      </c>
      <c r="D207" s="56" t="s">
        <v>1846</v>
      </c>
      <c r="E207" s="10" t="s">
        <v>45</v>
      </c>
      <c r="F207" s="10" t="s">
        <v>1485</v>
      </c>
      <c r="G207" s="10" t="s">
        <v>17</v>
      </c>
      <c r="H207" s="10" t="s">
        <v>794</v>
      </c>
      <c r="I207" s="10" t="s">
        <v>55</v>
      </c>
      <c r="J207" s="10" t="s">
        <v>10451</v>
      </c>
      <c r="K207" s="10" t="s">
        <v>5365</v>
      </c>
      <c r="L207" s="10" t="s">
        <v>42</v>
      </c>
    </row>
    <row r="208" ht="15.75" customHeight="1">
      <c r="A208" s="64">
        <v>45482.0</v>
      </c>
      <c r="B208" s="55" t="str">
        <f>HYPERLINK("https://jobright.ai/jobs/info/668ce9bd2defd509834336cc?utm_campaign=1055&amp;utm_source=sheet", "Apply")</f>
        <v>Apply</v>
      </c>
      <c r="C208" s="10" t="s">
        <v>22979</v>
      </c>
      <c r="D208" s="56" t="s">
        <v>1846</v>
      </c>
      <c r="E208" s="10" t="s">
        <v>45</v>
      </c>
      <c r="F208" s="10" t="s">
        <v>1485</v>
      </c>
      <c r="G208" s="10" t="s">
        <v>17</v>
      </c>
      <c r="H208" s="10" t="s">
        <v>154</v>
      </c>
      <c r="I208" s="10" t="s">
        <v>55</v>
      </c>
      <c r="J208" s="10" t="s">
        <v>10451</v>
      </c>
      <c r="K208" s="10" t="s">
        <v>5365</v>
      </c>
      <c r="L208" s="10" t="s">
        <v>42</v>
      </c>
    </row>
    <row r="209" ht="15.75" customHeight="1">
      <c r="A209" s="64">
        <v>45482.0</v>
      </c>
      <c r="B209" s="55" t="str">
        <f>HYPERLINK("https://jobright.ai/jobs/info/668d2d1197f3d64813a4fb6d?utm_campaign=1055&amp;utm_source=sheet", "Apply")</f>
        <v>Apply</v>
      </c>
      <c r="C209" s="10" t="s">
        <v>22979</v>
      </c>
      <c r="D209" s="56" t="s">
        <v>1846</v>
      </c>
      <c r="E209" s="10" t="s">
        <v>45</v>
      </c>
      <c r="F209" s="10" t="s">
        <v>1485</v>
      </c>
      <c r="G209" s="10" t="s">
        <v>17</v>
      </c>
      <c r="H209" s="10" t="s">
        <v>628</v>
      </c>
      <c r="I209" s="10" t="s">
        <v>55</v>
      </c>
      <c r="J209" s="10" t="s">
        <v>10451</v>
      </c>
      <c r="K209" s="10" t="s">
        <v>5365</v>
      </c>
      <c r="L209" s="10" t="s">
        <v>42</v>
      </c>
    </row>
    <row r="210" ht="15.75" customHeight="1">
      <c r="A210" s="64">
        <v>45482.0</v>
      </c>
      <c r="B210" s="55" t="str">
        <f>HYPERLINK("https://jobright.ai/jobs/info/668cbbb40ee1d53001212fc7?utm_campaign=1055&amp;utm_source=sheet", "Apply")</f>
        <v>Apply</v>
      </c>
      <c r="C210" s="10" t="s">
        <v>22979</v>
      </c>
      <c r="D210" s="56" t="s">
        <v>1846</v>
      </c>
      <c r="E210" s="10" t="s">
        <v>45</v>
      </c>
      <c r="F210" s="10" t="s">
        <v>1485</v>
      </c>
      <c r="G210" s="10" t="s">
        <v>17</v>
      </c>
      <c r="H210" s="10" t="s">
        <v>96</v>
      </c>
      <c r="I210" s="10" t="s">
        <v>55</v>
      </c>
      <c r="J210" s="10" t="s">
        <v>10451</v>
      </c>
      <c r="K210" s="10" t="s">
        <v>5365</v>
      </c>
      <c r="L210" s="10" t="s">
        <v>42</v>
      </c>
    </row>
    <row r="211" ht="15.75" customHeight="1">
      <c r="A211" s="64">
        <v>45482.0</v>
      </c>
      <c r="B211" s="55" t="str">
        <f>HYPERLINK("https://jobright.ai/jobs/info/668cc802a1023a7b515b5574?utm_campaign=1055&amp;utm_source=sheet", "Apply")</f>
        <v>Apply</v>
      </c>
      <c r="C211" s="10" t="s">
        <v>22979</v>
      </c>
      <c r="D211" s="56" t="s">
        <v>1846</v>
      </c>
      <c r="E211" s="10" t="s">
        <v>45</v>
      </c>
      <c r="F211" s="10" t="s">
        <v>1485</v>
      </c>
      <c r="G211" s="10" t="s">
        <v>17</v>
      </c>
      <c r="H211" s="10" t="s">
        <v>868</v>
      </c>
      <c r="I211" s="10" t="s">
        <v>55</v>
      </c>
      <c r="J211" s="10" t="s">
        <v>10451</v>
      </c>
      <c r="K211" s="10" t="s">
        <v>5365</v>
      </c>
      <c r="L211" s="10" t="s">
        <v>42</v>
      </c>
    </row>
    <row r="212" ht="15.75" customHeight="1">
      <c r="A212" s="64">
        <v>45482.0</v>
      </c>
      <c r="B212" s="55" t="str">
        <f>HYPERLINK("https://jobright.ai/jobs/info/668cc80ea1023a7b515b55b4?utm_campaign=1055&amp;utm_source=sheet", "Apply")</f>
        <v>Apply</v>
      </c>
      <c r="C212" s="10" t="s">
        <v>22979</v>
      </c>
      <c r="D212" s="56" t="s">
        <v>1846</v>
      </c>
      <c r="E212" s="10" t="s">
        <v>45</v>
      </c>
      <c r="F212" s="10" t="s">
        <v>1485</v>
      </c>
      <c r="G212" s="10" t="s">
        <v>17</v>
      </c>
      <c r="H212" s="10" t="s">
        <v>688</v>
      </c>
      <c r="I212" s="10" t="s">
        <v>55</v>
      </c>
      <c r="J212" s="10" t="s">
        <v>10451</v>
      </c>
      <c r="K212" s="10" t="s">
        <v>5365</v>
      </c>
      <c r="L212" s="10" t="s">
        <v>42</v>
      </c>
    </row>
    <row r="213" ht="15.75" customHeight="1">
      <c r="A213" s="64">
        <v>45482.0</v>
      </c>
      <c r="B213" s="55" t="str">
        <f>HYPERLINK("https://jobright.ai/jobs/info/668cc802a1023a7b515b559a?utm_campaign=1055&amp;utm_source=sheet", "Apply")</f>
        <v>Apply</v>
      </c>
      <c r="C213" s="10" t="s">
        <v>22979</v>
      </c>
      <c r="D213" s="56" t="s">
        <v>1846</v>
      </c>
      <c r="E213" s="10" t="s">
        <v>45</v>
      </c>
      <c r="F213" s="10" t="s">
        <v>1485</v>
      </c>
      <c r="G213" s="10" t="s">
        <v>17</v>
      </c>
      <c r="H213" s="10" t="s">
        <v>10777</v>
      </c>
      <c r="I213" s="10" t="s">
        <v>55</v>
      </c>
      <c r="J213" s="10" t="s">
        <v>10451</v>
      </c>
      <c r="K213" s="10" t="s">
        <v>5365</v>
      </c>
      <c r="L213" s="10" t="s">
        <v>42</v>
      </c>
    </row>
    <row r="214" ht="15.75" customHeight="1">
      <c r="A214" s="64">
        <v>45482.0</v>
      </c>
      <c r="B214" s="55" t="str">
        <f>HYPERLINK("https://jobright.ai/jobs/info/668de19c93467c0d94cca0a9?utm_campaign=1055&amp;utm_source=sheet", "Apply")</f>
        <v>Apply</v>
      </c>
      <c r="C214" s="10" t="s">
        <v>22613</v>
      </c>
      <c r="D214" s="56" t="s">
        <v>22614</v>
      </c>
      <c r="E214" s="10" t="s">
        <v>65</v>
      </c>
      <c r="F214" s="10" t="s">
        <v>10</v>
      </c>
      <c r="G214" s="10" t="s">
        <v>17</v>
      </c>
      <c r="H214" s="10" t="s">
        <v>22980</v>
      </c>
      <c r="I214" s="10" t="s">
        <v>55</v>
      </c>
      <c r="J214" s="10" t="s">
        <v>22981</v>
      </c>
      <c r="K214" s="10" t="s">
        <v>22982</v>
      </c>
      <c r="L214" s="10" t="s">
        <v>42</v>
      </c>
    </row>
    <row r="215" ht="15.75" customHeight="1">
      <c r="A215" s="64">
        <v>45482.0</v>
      </c>
      <c r="B215" s="55" t="str">
        <f>HYPERLINK("https://jobright.ai/jobs/info/668d65ca8243c792faeb04ed?utm_campaign=1055&amp;utm_source=sheet", "Apply")</f>
        <v>Apply</v>
      </c>
      <c r="C215" s="10" t="s">
        <v>22580</v>
      </c>
      <c r="D215" s="56" t="s">
        <v>22983</v>
      </c>
      <c r="E215" s="10" t="s">
        <v>276</v>
      </c>
      <c r="F215" s="10" t="s">
        <v>22984</v>
      </c>
      <c r="G215" s="10" t="s">
        <v>17</v>
      </c>
      <c r="H215" s="10" t="s">
        <v>4170</v>
      </c>
      <c r="I215" s="10" t="s">
        <v>55</v>
      </c>
      <c r="J215" s="10" t="s">
        <v>1984</v>
      </c>
      <c r="K215" s="10" t="s">
        <v>22985</v>
      </c>
      <c r="L215" s="10" t="s">
        <v>42</v>
      </c>
    </row>
    <row r="216" ht="15.75" customHeight="1">
      <c r="A216" s="64">
        <v>45481.0</v>
      </c>
      <c r="B216" s="55" t="str">
        <f>HYPERLINK("https://jobright.ai/jobs/info/6683441e8264d4aa18e991af?utm_campaign=1055&amp;utm_source=sheet", "Apply")</f>
        <v>Apply</v>
      </c>
      <c r="C216" s="10" t="s">
        <v>22986</v>
      </c>
      <c r="D216" s="56" t="s">
        <v>22987</v>
      </c>
      <c r="E216" s="10" t="s">
        <v>209</v>
      </c>
      <c r="F216" s="10" t="s">
        <v>22988</v>
      </c>
      <c r="G216" s="10" t="s">
        <v>17</v>
      </c>
      <c r="H216" s="10" t="s">
        <v>167</v>
      </c>
      <c r="I216" s="10" t="s">
        <v>55</v>
      </c>
      <c r="K216" s="10" t="s">
        <v>22989</v>
      </c>
      <c r="L216" s="10" t="s">
        <v>42</v>
      </c>
    </row>
    <row r="217" ht="15.75" customHeight="1">
      <c r="A217" s="64">
        <v>45481.0</v>
      </c>
      <c r="B217" s="55" t="str">
        <f>HYPERLINK("https://jobright.ai/jobs/info/668c6f53722799dac2280440?utm_campaign=1055&amp;utm_source=sheet", "Apply")</f>
        <v>Apply</v>
      </c>
      <c r="C217" s="10" t="s">
        <v>22990</v>
      </c>
      <c r="D217" s="56" t="s">
        <v>2103</v>
      </c>
      <c r="E217" s="10" t="s">
        <v>209</v>
      </c>
      <c r="F217" s="10" t="s">
        <v>2104</v>
      </c>
      <c r="G217" s="10" t="s">
        <v>17</v>
      </c>
      <c r="H217" s="10" t="s">
        <v>8687</v>
      </c>
      <c r="I217" s="10" t="s">
        <v>55</v>
      </c>
      <c r="K217" s="10" t="s">
        <v>19892</v>
      </c>
      <c r="L217" s="10" t="s">
        <v>42</v>
      </c>
    </row>
    <row r="218" ht="15.75" customHeight="1">
      <c r="A218" s="64">
        <v>45481.0</v>
      </c>
      <c r="B218" s="55" t="str">
        <f>HYPERLINK("https://jobright.ai/jobs/info/668d150156c9b5680bca08af?utm_campaign=1055&amp;utm_source=sheet", "Apply")</f>
        <v>Apply</v>
      </c>
      <c r="C218" s="10" t="s">
        <v>22991</v>
      </c>
      <c r="D218" s="56" t="s">
        <v>22325</v>
      </c>
      <c r="E218" s="10" t="s">
        <v>71</v>
      </c>
      <c r="F218" s="10" t="s">
        <v>22326</v>
      </c>
      <c r="G218" s="10" t="s">
        <v>17</v>
      </c>
      <c r="H218" s="10" t="s">
        <v>170</v>
      </c>
      <c r="I218" s="10" t="s">
        <v>55</v>
      </c>
      <c r="J218" s="10" t="s">
        <v>3969</v>
      </c>
      <c r="K218" s="10" t="s">
        <v>22329</v>
      </c>
      <c r="L218" s="10" t="s">
        <v>42</v>
      </c>
    </row>
    <row r="219" ht="15.75" customHeight="1">
      <c r="A219" s="64">
        <v>45481.0</v>
      </c>
      <c r="B219" s="55" t="str">
        <f>HYPERLINK("https://jobright.ai/jobs/info/668bf081442b145cef991326?utm_campaign=1055&amp;utm_source=sheet", "Apply")</f>
        <v>Apply</v>
      </c>
      <c r="C219" s="10" t="s">
        <v>22992</v>
      </c>
      <c r="D219" s="56" t="s">
        <v>22993</v>
      </c>
      <c r="E219" s="10" t="s">
        <v>65</v>
      </c>
      <c r="F219" s="10" t="s">
        <v>13470</v>
      </c>
      <c r="G219" s="10" t="s">
        <v>17</v>
      </c>
      <c r="H219" s="10" t="s">
        <v>423</v>
      </c>
      <c r="I219" s="10" t="s">
        <v>55</v>
      </c>
      <c r="J219" s="10" t="s">
        <v>22994</v>
      </c>
      <c r="K219" s="10" t="s">
        <v>22995</v>
      </c>
      <c r="L219" s="10" t="s">
        <v>42</v>
      </c>
    </row>
    <row r="220" ht="15.75" customHeight="1">
      <c r="A220" s="64">
        <v>45480.0</v>
      </c>
      <c r="B220" s="55" t="str">
        <f>HYPERLINK("https://jobright.ai/jobs/info/6693bca034834f0fadd3fd95?utm_campaign=1055&amp;utm_source=sheet", "Apply")</f>
        <v>Apply</v>
      </c>
      <c r="C220" s="10" t="s">
        <v>22996</v>
      </c>
      <c r="D220" s="56" t="s">
        <v>22997</v>
      </c>
      <c r="E220" s="10" t="s">
        <v>137</v>
      </c>
      <c r="F220" s="10" t="s">
        <v>1983</v>
      </c>
      <c r="G220" s="10" t="s">
        <v>17</v>
      </c>
      <c r="H220" s="10" t="s">
        <v>22998</v>
      </c>
      <c r="I220" s="10" t="s">
        <v>55</v>
      </c>
      <c r="K220" s="10" t="s">
        <v>22999</v>
      </c>
      <c r="L220" s="10" t="s">
        <v>42</v>
      </c>
    </row>
    <row r="221" ht="15.75" customHeight="1">
      <c r="A221" s="64">
        <v>45479.0</v>
      </c>
      <c r="B221" s="55" t="str">
        <f>HYPERLINK("https://jobright.ai/jobs/info/666cd923b31f9a793b8022ba?utm_campaign=1055&amp;utm_source=sheet", "Apply")</f>
        <v>Apply</v>
      </c>
      <c r="C221" s="10" t="s">
        <v>23000</v>
      </c>
      <c r="D221" s="56" t="s">
        <v>1094</v>
      </c>
      <c r="E221" s="10" t="s">
        <v>45</v>
      </c>
      <c r="F221" s="10" t="s">
        <v>731</v>
      </c>
      <c r="G221" s="10" t="s">
        <v>17</v>
      </c>
      <c r="H221" s="10" t="s">
        <v>572</v>
      </c>
      <c r="I221" s="10" t="s">
        <v>55</v>
      </c>
      <c r="K221" s="10" t="s">
        <v>23001</v>
      </c>
      <c r="L221" s="10" t="s">
        <v>42</v>
      </c>
    </row>
    <row r="222" ht="15.75" customHeight="1">
      <c r="A222" s="64">
        <v>45478.0</v>
      </c>
      <c r="B222" s="55" t="str">
        <f>HYPERLINK("https://jobright.ai/jobs/info/666b23d3efc55bec90187b14?utm_campaign=1055&amp;utm_source=sheet", "Apply")</f>
        <v>Apply</v>
      </c>
      <c r="C222" s="10" t="s">
        <v>22651</v>
      </c>
      <c r="D222" s="56" t="s">
        <v>22652</v>
      </c>
      <c r="E222" s="10" t="s">
        <v>79</v>
      </c>
      <c r="F222" s="10" t="s">
        <v>22653</v>
      </c>
      <c r="G222" s="10" t="s">
        <v>17</v>
      </c>
      <c r="H222" s="10" t="s">
        <v>423</v>
      </c>
      <c r="I222" s="10" t="s">
        <v>48</v>
      </c>
      <c r="K222" s="10" t="s">
        <v>22751</v>
      </c>
      <c r="L222" s="10" t="s">
        <v>42</v>
      </c>
    </row>
    <row r="223" ht="15.75" customHeight="1">
      <c r="A223" s="64">
        <v>45477.0</v>
      </c>
      <c r="B223" s="55" t="str">
        <f>HYPERLINK("https://jobright.ai/jobs/info/6674862d1cdb1fdbb8e5591a?utm_campaign=1055&amp;utm_source=sheet", "Apply")</f>
        <v>Apply</v>
      </c>
      <c r="C223" s="10" t="s">
        <v>23002</v>
      </c>
      <c r="D223" s="56" t="s">
        <v>6108</v>
      </c>
      <c r="E223" s="10" t="s">
        <v>45</v>
      </c>
      <c r="F223" s="10" t="s">
        <v>1695</v>
      </c>
      <c r="G223" s="10" t="s">
        <v>17</v>
      </c>
      <c r="H223" s="10" t="s">
        <v>966</v>
      </c>
      <c r="I223" s="10" t="s">
        <v>55</v>
      </c>
      <c r="K223" s="10" t="s">
        <v>23003</v>
      </c>
      <c r="L223" s="10" t="s">
        <v>42</v>
      </c>
    </row>
    <row r="224" ht="15.75" customHeight="1">
      <c r="A224" s="64">
        <v>45477.0</v>
      </c>
      <c r="B224" s="55" t="str">
        <f>HYPERLINK("https://jobright.ai/jobs/info/668649f39a0082ef74fadf01?utm_campaign=1055&amp;utm_source=sheet", "Apply")</f>
        <v>Apply</v>
      </c>
      <c r="C224" s="10" t="s">
        <v>23004</v>
      </c>
      <c r="D224" s="56" t="s">
        <v>23005</v>
      </c>
      <c r="E224" s="10" t="s">
        <v>249</v>
      </c>
      <c r="F224" s="10" t="s">
        <v>23006</v>
      </c>
      <c r="G224" s="10" t="s">
        <v>17</v>
      </c>
      <c r="H224" s="10" t="s">
        <v>23007</v>
      </c>
      <c r="I224" s="10" t="s">
        <v>55</v>
      </c>
      <c r="K224" s="10" t="s">
        <v>23008</v>
      </c>
      <c r="L224" s="10" t="s">
        <v>42</v>
      </c>
    </row>
    <row r="225" ht="15.75" customHeight="1">
      <c r="A225" s="64">
        <v>45476.0</v>
      </c>
      <c r="B225" s="55" t="str">
        <f>HYPERLINK("https://jobright.ai/jobs/info/6687ae969e64dd7d50c10647?utm_campaign=1055&amp;utm_source=sheet", "Apply")</f>
        <v>Apply</v>
      </c>
      <c r="C225" s="10" t="s">
        <v>23009</v>
      </c>
      <c r="D225" s="56" t="s">
        <v>23010</v>
      </c>
      <c r="E225" s="10" t="s">
        <v>137</v>
      </c>
      <c r="F225" s="10" t="s">
        <v>19293</v>
      </c>
      <c r="G225" s="10" t="s">
        <v>17</v>
      </c>
      <c r="H225" s="10" t="s">
        <v>96</v>
      </c>
      <c r="I225" s="10" t="s">
        <v>55</v>
      </c>
      <c r="K225" s="10" t="s">
        <v>23011</v>
      </c>
      <c r="L225" s="10" t="s">
        <v>42</v>
      </c>
    </row>
    <row r="226" ht="15.75" customHeight="1">
      <c r="A226" s="64">
        <v>45476.0</v>
      </c>
      <c r="B226" s="55" t="str">
        <f>HYPERLINK("https://jobright.ai/jobs/info/6684c304be0a4cb337df12c6?utm_campaign=1055&amp;utm_source=sheet", "Apply")</f>
        <v>Apply</v>
      </c>
      <c r="C226" s="10" t="s">
        <v>11466</v>
      </c>
      <c r="D226" s="56" t="s">
        <v>11467</v>
      </c>
      <c r="E226" s="10" t="s">
        <v>249</v>
      </c>
      <c r="F226" s="10" t="s">
        <v>9414</v>
      </c>
      <c r="G226" s="10" t="s">
        <v>17</v>
      </c>
      <c r="H226" s="10" t="s">
        <v>977</v>
      </c>
      <c r="I226" s="10" t="s">
        <v>55</v>
      </c>
      <c r="K226" s="10" t="s">
        <v>23012</v>
      </c>
      <c r="L226" s="10" t="s">
        <v>42</v>
      </c>
    </row>
    <row r="227" ht="15.75" customHeight="1">
      <c r="A227" s="64">
        <v>45475.0</v>
      </c>
      <c r="B227" s="55" t="str">
        <f>HYPERLINK("https://jobright.ai/jobs/info/6684741497b325197e948894?utm_campaign=1055&amp;utm_source=sheet", "Apply")</f>
        <v>Apply</v>
      </c>
      <c r="C227" s="10" t="s">
        <v>23013</v>
      </c>
      <c r="D227" s="56" t="s">
        <v>2174</v>
      </c>
      <c r="E227" s="10">
        <v>294.0</v>
      </c>
      <c r="G227" s="10" t="s">
        <v>17</v>
      </c>
      <c r="H227" s="10" t="s">
        <v>96</v>
      </c>
      <c r="I227" s="10" t="s">
        <v>55</v>
      </c>
      <c r="J227" s="10" t="s">
        <v>1608</v>
      </c>
      <c r="K227" s="10" t="s">
        <v>23014</v>
      </c>
      <c r="L227" s="10" t="s">
        <v>42</v>
      </c>
    </row>
    <row r="228" ht="15.75" customHeight="1">
      <c r="A228" s="64">
        <v>45475.0</v>
      </c>
      <c r="B228" s="55" t="str">
        <f>HYPERLINK("https://jobright.ai/jobs/info/66829d33236c93dad9b91bd0?utm_campaign=1055&amp;utm_source=sheet", "Apply")</f>
        <v>Apply</v>
      </c>
      <c r="C228" s="10" t="s">
        <v>23015</v>
      </c>
      <c r="D228" s="56" t="s">
        <v>1178</v>
      </c>
      <c r="E228" s="10" t="s">
        <v>137</v>
      </c>
      <c r="F228" s="10" t="s">
        <v>1179</v>
      </c>
      <c r="G228" s="10" t="s">
        <v>17</v>
      </c>
      <c r="H228" s="10" t="s">
        <v>1254</v>
      </c>
      <c r="I228" s="10" t="s">
        <v>55</v>
      </c>
      <c r="J228" s="10" t="s">
        <v>3671</v>
      </c>
      <c r="K228" s="10" t="s">
        <v>23016</v>
      </c>
      <c r="L228" s="10" t="s">
        <v>42</v>
      </c>
    </row>
    <row r="229" ht="15.75" customHeight="1">
      <c r="A229" s="64">
        <v>45475.0</v>
      </c>
      <c r="B229" s="55" t="str">
        <f>HYPERLINK("https://jobright.ai/jobs/info/665b133760515a1092af7b0d?utm_campaign=1055&amp;utm_source=sheet", "Apply")</f>
        <v>Apply</v>
      </c>
      <c r="C229" s="10" t="s">
        <v>23017</v>
      </c>
      <c r="D229" s="56" t="s">
        <v>23018</v>
      </c>
      <c r="E229" s="10" t="s">
        <v>276</v>
      </c>
      <c r="F229" s="10" t="s">
        <v>4323</v>
      </c>
      <c r="G229" s="10" t="s">
        <v>17</v>
      </c>
      <c r="H229" s="10" t="s">
        <v>165</v>
      </c>
      <c r="I229" s="10" t="s">
        <v>55</v>
      </c>
      <c r="J229" s="10" t="s">
        <v>581</v>
      </c>
      <c r="K229" s="10" t="s">
        <v>23019</v>
      </c>
      <c r="L229" s="10" t="s">
        <v>42</v>
      </c>
    </row>
    <row r="230" ht="15.75" customHeight="1">
      <c r="A230" s="64">
        <v>45474.0</v>
      </c>
      <c r="B230" s="55" t="str">
        <f>HYPERLINK("https://jobright.ai/jobs/info/6682f16256317a36d1ad8c57?utm_campaign=1055&amp;utm_source=sheet", "Apply")</f>
        <v>Apply</v>
      </c>
      <c r="C230" s="10" t="s">
        <v>23020</v>
      </c>
      <c r="D230" s="56" t="s">
        <v>23021</v>
      </c>
      <c r="E230" s="10" t="s">
        <v>65</v>
      </c>
      <c r="F230" s="10" t="s">
        <v>23022</v>
      </c>
      <c r="G230" s="10" t="s">
        <v>17</v>
      </c>
      <c r="H230" s="10" t="s">
        <v>11488</v>
      </c>
      <c r="I230" s="10" t="s">
        <v>55</v>
      </c>
      <c r="J230" s="10" t="s">
        <v>2742</v>
      </c>
      <c r="K230" s="10" t="s">
        <v>23023</v>
      </c>
      <c r="L230" s="10" t="s">
        <v>42</v>
      </c>
    </row>
    <row r="231" ht="15.75" customHeight="1">
      <c r="A231" s="64">
        <v>45474.0</v>
      </c>
      <c r="B231" s="55" t="str">
        <f>HYPERLINK("https://jobright.ai/jobs/info/6675340105d33980f8653264?utm_campaign=1055&amp;utm_source=sheet", "Apply")</f>
        <v>Apply</v>
      </c>
      <c r="C231" s="10" t="s">
        <v>23015</v>
      </c>
      <c r="D231" s="56" t="s">
        <v>1178</v>
      </c>
      <c r="E231" s="10" t="s">
        <v>137</v>
      </c>
      <c r="F231" s="10" t="s">
        <v>1179</v>
      </c>
      <c r="G231" s="10" t="s">
        <v>17</v>
      </c>
      <c r="H231" s="10" t="s">
        <v>1254</v>
      </c>
      <c r="I231" s="10" t="s">
        <v>55</v>
      </c>
      <c r="J231" s="10" t="s">
        <v>3671</v>
      </c>
      <c r="K231" s="10" t="s">
        <v>23016</v>
      </c>
      <c r="L231" s="10" t="s">
        <v>42</v>
      </c>
    </row>
    <row r="232" ht="15.75" customHeight="1">
      <c r="A232" s="64">
        <v>45474.0</v>
      </c>
      <c r="B232" s="55" t="str">
        <f>HYPERLINK("https://jobright.ai/jobs/info/667533e105d33980f8653067?utm_campaign=1055&amp;utm_source=sheet", "Apply")</f>
        <v>Apply</v>
      </c>
      <c r="C232" s="10" t="s">
        <v>23024</v>
      </c>
      <c r="D232" s="56" t="s">
        <v>1178</v>
      </c>
      <c r="E232" s="10" t="s">
        <v>137</v>
      </c>
      <c r="F232" s="10" t="s">
        <v>1179</v>
      </c>
      <c r="G232" s="10" t="s">
        <v>17</v>
      </c>
      <c r="H232" s="10" t="s">
        <v>170</v>
      </c>
      <c r="I232" s="10" t="s">
        <v>55</v>
      </c>
      <c r="J232" s="10" t="s">
        <v>3671</v>
      </c>
      <c r="K232" s="10" t="s">
        <v>23025</v>
      </c>
      <c r="L232" s="10" t="s">
        <v>42</v>
      </c>
    </row>
    <row r="233" ht="15.75" customHeight="1">
      <c r="A233" s="64">
        <v>45474.0</v>
      </c>
      <c r="B233" s="55" t="str">
        <f>HYPERLINK("https://jobright.ai/jobs/info/66795b40dcb1db3fc098e5a4?utm_campaign=1055&amp;utm_source=sheet", "Apply")</f>
        <v>Apply</v>
      </c>
      <c r="C233" s="10" t="s">
        <v>23026</v>
      </c>
      <c r="D233" s="56" t="s">
        <v>1178</v>
      </c>
      <c r="E233" s="10" t="s">
        <v>137</v>
      </c>
      <c r="F233" s="10" t="s">
        <v>1179</v>
      </c>
      <c r="G233" s="10" t="s">
        <v>17</v>
      </c>
      <c r="H233" s="10" t="s">
        <v>131</v>
      </c>
      <c r="I233" s="10" t="s">
        <v>55</v>
      </c>
      <c r="J233" s="10" t="s">
        <v>3671</v>
      </c>
      <c r="K233" s="10" t="s">
        <v>23027</v>
      </c>
      <c r="L233" s="10" t="s">
        <v>42</v>
      </c>
    </row>
    <row r="234" ht="15.75" customHeight="1">
      <c r="A234" s="64">
        <v>45474.0</v>
      </c>
      <c r="B234" s="55" t="str">
        <f>HYPERLINK("https://jobright.ai/jobs/info/6682c73f7dca0508fd29f32c?utm_campaign=1055&amp;utm_source=sheet", "Apply")</f>
        <v>Apply</v>
      </c>
      <c r="C234" s="10" t="s">
        <v>23028</v>
      </c>
      <c r="D234" s="56" t="s">
        <v>23029</v>
      </c>
      <c r="E234" s="10" t="s">
        <v>65</v>
      </c>
      <c r="F234" s="10" t="s">
        <v>22223</v>
      </c>
      <c r="G234" s="10" t="s">
        <v>17</v>
      </c>
      <c r="H234" s="10" t="s">
        <v>113</v>
      </c>
      <c r="I234" s="10" t="s">
        <v>55</v>
      </c>
      <c r="K234" s="10" t="s">
        <v>23030</v>
      </c>
      <c r="L234" s="10" t="s">
        <v>42</v>
      </c>
    </row>
    <row r="235" ht="15.75" customHeight="1">
      <c r="A235" s="64">
        <v>45472.0</v>
      </c>
      <c r="B235" s="55" t="str">
        <f>HYPERLINK("https://jobright.ai/jobs/info/667eddca560644e8987c43ac?utm_campaign=1055&amp;utm_source=sheet", "Apply")</f>
        <v>Apply</v>
      </c>
      <c r="C235" s="10" t="s">
        <v>23031</v>
      </c>
      <c r="D235" s="56" t="s">
        <v>15097</v>
      </c>
      <c r="E235" s="10" t="s">
        <v>45</v>
      </c>
      <c r="F235" s="10" t="s">
        <v>15098</v>
      </c>
      <c r="G235" s="10" t="s">
        <v>17</v>
      </c>
      <c r="H235" s="10" t="s">
        <v>23032</v>
      </c>
      <c r="I235" s="10" t="s">
        <v>55</v>
      </c>
      <c r="K235" s="10" t="s">
        <v>23033</v>
      </c>
      <c r="L235" s="10" t="s">
        <v>42</v>
      </c>
    </row>
    <row r="236" ht="15.75" customHeight="1">
      <c r="A236" s="64">
        <v>45471.0</v>
      </c>
      <c r="B236" s="55" t="str">
        <f>HYPERLINK("https://jobright.ai/jobs/info/667516b259005313f1c81fa1?utm_campaign=1055&amp;utm_source=sheet", "Apply")</f>
        <v>Apply</v>
      </c>
      <c r="C236" s="10" t="s">
        <v>23034</v>
      </c>
      <c r="D236" s="56" t="s">
        <v>23035</v>
      </c>
      <c r="E236" s="10" t="s">
        <v>249</v>
      </c>
      <c r="F236" s="10" t="s">
        <v>568</v>
      </c>
      <c r="G236" s="10" t="s">
        <v>17</v>
      </c>
      <c r="H236" s="10" t="s">
        <v>16715</v>
      </c>
      <c r="I236" s="10" t="s">
        <v>55</v>
      </c>
      <c r="K236" s="10" t="s">
        <v>23036</v>
      </c>
      <c r="L236" s="10" t="s">
        <v>42</v>
      </c>
    </row>
    <row r="237" ht="15.75" customHeight="1">
      <c r="A237" s="64">
        <v>45471.0</v>
      </c>
      <c r="B237" s="55" t="str">
        <f>HYPERLINK("https://jobright.ai/jobs/info/6679bc954db5735ca854ce9b?utm_campaign=1055&amp;utm_source=sheet", "Apply")</f>
        <v>Apply</v>
      </c>
      <c r="C237" s="10" t="s">
        <v>23037</v>
      </c>
      <c r="D237" s="56" t="s">
        <v>20949</v>
      </c>
      <c r="E237" s="10" t="s">
        <v>45</v>
      </c>
      <c r="F237" s="10" t="s">
        <v>1512</v>
      </c>
      <c r="G237" s="10" t="s">
        <v>17</v>
      </c>
      <c r="H237" s="10" t="s">
        <v>23038</v>
      </c>
      <c r="I237" s="10" t="s">
        <v>55</v>
      </c>
      <c r="K237" s="10" t="s">
        <v>23039</v>
      </c>
      <c r="L237" s="10" t="s">
        <v>42</v>
      </c>
    </row>
    <row r="238" ht="15.75" customHeight="1">
      <c r="A238" s="64">
        <v>45471.0</v>
      </c>
      <c r="B238" s="55" t="str">
        <f>HYPERLINK("https://jobright.ai/jobs/info/6680de3a7cc102559adda56b?utm_campaign=1055&amp;utm_source=sheet", "Apply")</f>
        <v>Apply</v>
      </c>
      <c r="C238" s="10" t="s">
        <v>23040</v>
      </c>
      <c r="D238" s="56" t="s">
        <v>23041</v>
      </c>
      <c r="E238" s="10" t="s">
        <v>249</v>
      </c>
      <c r="F238" s="10" t="s">
        <v>22596</v>
      </c>
      <c r="G238" s="10" t="s">
        <v>17</v>
      </c>
      <c r="H238" s="10" t="s">
        <v>96</v>
      </c>
      <c r="I238" s="10" t="s">
        <v>48</v>
      </c>
      <c r="J238" s="10" t="s">
        <v>23042</v>
      </c>
      <c r="K238" s="10" t="s">
        <v>23043</v>
      </c>
      <c r="L238" s="10" t="s">
        <v>42</v>
      </c>
    </row>
    <row r="239" ht="15.75" customHeight="1">
      <c r="A239" s="64">
        <v>45471.0</v>
      </c>
      <c r="B239" s="55" t="str">
        <f>HYPERLINK("https://jobright.ai/jobs/info/6680de2e7cc102559adda4db?utm_campaign=1055&amp;utm_source=sheet", "Apply")</f>
        <v>Apply</v>
      </c>
      <c r="C239" s="10" t="s">
        <v>23044</v>
      </c>
      <c r="D239" s="56" t="s">
        <v>23041</v>
      </c>
      <c r="E239" s="10" t="s">
        <v>249</v>
      </c>
      <c r="F239" s="10" t="s">
        <v>22596</v>
      </c>
      <c r="G239" s="10" t="s">
        <v>17</v>
      </c>
      <c r="H239" s="10" t="s">
        <v>170</v>
      </c>
      <c r="I239" s="10" t="s">
        <v>48</v>
      </c>
      <c r="J239" s="10" t="s">
        <v>23042</v>
      </c>
      <c r="K239" s="10" t="s">
        <v>23045</v>
      </c>
      <c r="L239" s="10" t="s">
        <v>42</v>
      </c>
    </row>
    <row r="240" ht="15.75" customHeight="1">
      <c r="A240" s="64">
        <v>45471.0</v>
      </c>
      <c r="B240" s="55" t="str">
        <f>HYPERLINK("https://jobright.ai/jobs/info/6680de3a7cc102559adda59f?utm_campaign=1055&amp;utm_source=sheet", "Apply")</f>
        <v>Apply</v>
      </c>
      <c r="C240" s="10" t="s">
        <v>23046</v>
      </c>
      <c r="D240" s="56" t="s">
        <v>23041</v>
      </c>
      <c r="E240" s="10" t="s">
        <v>249</v>
      </c>
      <c r="F240" s="10" t="s">
        <v>22596</v>
      </c>
      <c r="G240" s="10" t="s">
        <v>17</v>
      </c>
      <c r="H240" s="10" t="s">
        <v>96</v>
      </c>
      <c r="I240" s="10" t="s">
        <v>48</v>
      </c>
      <c r="J240" s="10" t="s">
        <v>23047</v>
      </c>
      <c r="K240" s="10" t="s">
        <v>23048</v>
      </c>
      <c r="L240" s="10" t="s">
        <v>42</v>
      </c>
    </row>
    <row r="241" ht="15.75" customHeight="1">
      <c r="A241" s="64">
        <v>45471.0</v>
      </c>
      <c r="B241" s="55" t="str">
        <f>HYPERLINK("https://jobright.ai/jobs/info/667f05585e8254896a9adcea?utm_campaign=1055&amp;utm_source=sheet", "Apply")</f>
        <v>Apply</v>
      </c>
      <c r="C241" s="10" t="s">
        <v>22651</v>
      </c>
      <c r="D241" s="56" t="s">
        <v>22652</v>
      </c>
      <c r="E241" s="10" t="s">
        <v>79</v>
      </c>
      <c r="F241" s="10" t="s">
        <v>22653</v>
      </c>
      <c r="G241" s="10" t="s">
        <v>17</v>
      </c>
      <c r="H241" s="10" t="s">
        <v>159</v>
      </c>
      <c r="I241" s="10" t="s">
        <v>48</v>
      </c>
      <c r="K241" s="10" t="s">
        <v>23049</v>
      </c>
      <c r="L241" s="10" t="s">
        <v>42</v>
      </c>
    </row>
    <row r="242" ht="15.75" customHeight="1">
      <c r="A242" s="64">
        <v>45470.0</v>
      </c>
      <c r="B242" s="55" t="str">
        <f>HYPERLINK("https://jobright.ai/jobs/info/6679632cf6b36b4aa01a3458?utm_campaign=1055&amp;utm_source=sheet", "Apply")</f>
        <v>Apply</v>
      </c>
      <c r="C242" s="10" t="s">
        <v>23050</v>
      </c>
      <c r="D242" s="56" t="s">
        <v>23035</v>
      </c>
      <c r="E242" s="10" t="s">
        <v>249</v>
      </c>
      <c r="F242" s="10" t="s">
        <v>568</v>
      </c>
      <c r="G242" s="10" t="s">
        <v>17</v>
      </c>
      <c r="H242" s="10" t="s">
        <v>794</v>
      </c>
      <c r="I242" s="10" t="s">
        <v>55</v>
      </c>
      <c r="K242" s="10" t="s">
        <v>23051</v>
      </c>
      <c r="L242" s="10" t="s">
        <v>42</v>
      </c>
    </row>
    <row r="243" ht="15.75" customHeight="1">
      <c r="A243" s="64">
        <v>45470.0</v>
      </c>
      <c r="B243" s="55" t="str">
        <f>HYPERLINK("https://jobright.ai/jobs/info/66795ebfdd14b36e4d97a29c?utm_campaign=1055&amp;utm_source=sheet", "Apply")</f>
        <v>Apply</v>
      </c>
      <c r="C243" s="10" t="s">
        <v>23050</v>
      </c>
      <c r="D243" s="56" t="s">
        <v>23035</v>
      </c>
      <c r="E243" s="10" t="s">
        <v>249</v>
      </c>
      <c r="F243" s="10" t="s">
        <v>568</v>
      </c>
      <c r="G243" s="10" t="s">
        <v>17</v>
      </c>
      <c r="H243" s="10" t="s">
        <v>794</v>
      </c>
      <c r="I243" s="10" t="s">
        <v>48</v>
      </c>
      <c r="K243" s="10" t="s">
        <v>23051</v>
      </c>
      <c r="L243" s="10" t="s">
        <v>42</v>
      </c>
    </row>
    <row r="244" ht="15.75" customHeight="1">
      <c r="A244" s="64">
        <v>45470.0</v>
      </c>
      <c r="B244" s="55" t="str">
        <f>HYPERLINK("https://jobright.ai/jobs/info/667dc327f75efc0f0683bfa9?utm_campaign=1055&amp;utm_source=sheet", "Apply")</f>
        <v>Apply</v>
      </c>
      <c r="C244" s="10" t="s">
        <v>23052</v>
      </c>
      <c r="D244" s="56" t="s">
        <v>1794</v>
      </c>
      <c r="E244" s="10" t="s">
        <v>65</v>
      </c>
      <c r="F244" s="10" t="s">
        <v>1795</v>
      </c>
      <c r="G244" s="10" t="s">
        <v>17</v>
      </c>
      <c r="H244" s="10" t="s">
        <v>1796</v>
      </c>
      <c r="I244" s="10" t="s">
        <v>55</v>
      </c>
      <c r="J244" s="10" t="s">
        <v>23053</v>
      </c>
      <c r="K244" s="10" t="s">
        <v>23054</v>
      </c>
      <c r="L244" s="10" t="s">
        <v>42</v>
      </c>
    </row>
    <row r="245" ht="15.75" customHeight="1">
      <c r="A245" s="64">
        <v>45469.0</v>
      </c>
      <c r="B245" s="55" t="str">
        <f>HYPERLINK("https://jobright.ai/jobs/info/667cbc4e6c03d6aa6d804c5e?utm_campaign=1055&amp;utm_source=sheet", "Apply")</f>
        <v>Apply</v>
      </c>
      <c r="C245" s="10" t="s">
        <v>23055</v>
      </c>
      <c r="D245" s="56" t="s">
        <v>1636</v>
      </c>
      <c r="E245" s="10">
        <v>6029.0</v>
      </c>
      <c r="G245" s="10" t="s">
        <v>17</v>
      </c>
      <c r="H245" s="10" t="s">
        <v>170</v>
      </c>
      <c r="I245" s="10" t="s">
        <v>55</v>
      </c>
      <c r="J245" s="10" t="s">
        <v>2127</v>
      </c>
      <c r="K245" s="10" t="s">
        <v>23056</v>
      </c>
      <c r="L245" s="10" t="s">
        <v>42</v>
      </c>
    </row>
    <row r="246" ht="15.75" customHeight="1">
      <c r="A246" s="64">
        <v>45469.0</v>
      </c>
      <c r="B246" s="55" t="str">
        <f>HYPERLINK("https://jobright.ai/jobs/info/6685030f0de69be020e4a673?utm_campaign=1055&amp;utm_source=sheet", "Apply")</f>
        <v>Apply</v>
      </c>
      <c r="C246" s="10" t="s">
        <v>23057</v>
      </c>
      <c r="D246" s="56" t="s">
        <v>2141</v>
      </c>
      <c r="E246" s="10">
        <v>667.0</v>
      </c>
      <c r="G246" s="10" t="s">
        <v>17</v>
      </c>
      <c r="H246" s="10" t="s">
        <v>170</v>
      </c>
      <c r="I246" s="10" t="s">
        <v>48</v>
      </c>
      <c r="J246" s="10" t="s">
        <v>2142</v>
      </c>
      <c r="K246" s="10" t="s">
        <v>23058</v>
      </c>
      <c r="L246" s="10" t="s">
        <v>42</v>
      </c>
    </row>
    <row r="247" ht="15.75" customHeight="1">
      <c r="A247" s="64">
        <v>45469.0</v>
      </c>
      <c r="B247" s="55" t="str">
        <f>HYPERLINK("https://jobright.ai/jobs/info/667c747d086f02ec1a329f86?utm_campaign=1055&amp;utm_source=sheet", "Apply")</f>
        <v>Apply</v>
      </c>
      <c r="C247" s="10" t="s">
        <v>22580</v>
      </c>
      <c r="D247" s="56" t="s">
        <v>8666</v>
      </c>
      <c r="E247" s="10" t="s">
        <v>45</v>
      </c>
      <c r="F247" s="10" t="s">
        <v>8667</v>
      </c>
      <c r="G247" s="10" t="s">
        <v>17</v>
      </c>
      <c r="H247" s="10" t="s">
        <v>8668</v>
      </c>
      <c r="I247" s="10" t="s">
        <v>55</v>
      </c>
      <c r="J247" s="10" t="s">
        <v>2609</v>
      </c>
      <c r="K247" s="10" t="s">
        <v>23059</v>
      </c>
      <c r="L247" s="10" t="s">
        <v>42</v>
      </c>
    </row>
    <row r="248" ht="15.75" customHeight="1">
      <c r="A248" s="64">
        <v>45469.0</v>
      </c>
      <c r="B248" s="55" t="str">
        <f>HYPERLINK("https://jobright.ai/jobs/info/667c620ad7e33de70442fda4?utm_campaign=1055&amp;utm_source=sheet", "Apply")</f>
        <v>Apply</v>
      </c>
      <c r="C248" s="10" t="s">
        <v>23055</v>
      </c>
      <c r="D248" s="56" t="s">
        <v>1636</v>
      </c>
      <c r="E248" s="10">
        <v>6029.0</v>
      </c>
      <c r="G248" s="10" t="s">
        <v>17</v>
      </c>
      <c r="H248" s="10" t="s">
        <v>23060</v>
      </c>
      <c r="I248" s="10" t="s">
        <v>55</v>
      </c>
      <c r="J248" s="10" t="s">
        <v>2127</v>
      </c>
      <c r="K248" s="10" t="s">
        <v>23056</v>
      </c>
      <c r="L248" s="10" t="s">
        <v>42</v>
      </c>
    </row>
    <row r="249" ht="15.75" customHeight="1">
      <c r="A249" s="64">
        <v>45468.0</v>
      </c>
      <c r="B249" s="55" t="str">
        <f>HYPERLINK("https://jobright.ai/jobs/info/667a305b58b1170d61dbf37d?utm_campaign=1055&amp;utm_source=sheet", "Apply")</f>
        <v>Apply</v>
      </c>
      <c r="C249" s="10" t="s">
        <v>23061</v>
      </c>
      <c r="D249" s="56" t="s">
        <v>23062</v>
      </c>
      <c r="E249" s="10">
        <v>460.0</v>
      </c>
      <c r="G249" s="10" t="s">
        <v>17</v>
      </c>
      <c r="H249" s="10" t="s">
        <v>131</v>
      </c>
      <c r="I249" s="10" t="s">
        <v>55</v>
      </c>
      <c r="J249" s="10" t="s">
        <v>467</v>
      </c>
      <c r="K249" s="10" t="s">
        <v>23063</v>
      </c>
      <c r="L249" s="10" t="s">
        <v>42</v>
      </c>
    </row>
    <row r="250" ht="15.75" customHeight="1">
      <c r="A250" s="64">
        <v>45468.0</v>
      </c>
      <c r="B250" s="55" t="str">
        <f>HYPERLINK("https://jobright.ai/jobs/info/667b62bb33a389e0c495e76b?utm_campaign=1055&amp;utm_source=sheet", "Apply")</f>
        <v>Apply</v>
      </c>
      <c r="C250" s="10" t="s">
        <v>23064</v>
      </c>
      <c r="D250" s="56" t="s">
        <v>15060</v>
      </c>
      <c r="E250" s="10" t="s">
        <v>71</v>
      </c>
      <c r="F250" s="10" t="s">
        <v>3035</v>
      </c>
      <c r="G250" s="10" t="s">
        <v>17</v>
      </c>
      <c r="H250" s="10" t="s">
        <v>170</v>
      </c>
      <c r="I250" s="10" t="s">
        <v>55</v>
      </c>
      <c r="K250" s="10" t="s">
        <v>23065</v>
      </c>
      <c r="L250" s="10" t="s">
        <v>42</v>
      </c>
    </row>
    <row r="251" ht="15.75" customHeight="1">
      <c r="A251" s="64">
        <v>45468.0</v>
      </c>
      <c r="B251" s="55" t="str">
        <f>HYPERLINK("https://jobright.ai/jobs/info/667b52db777bd4167efd1d3d?utm_campaign=1055&amp;utm_source=sheet", "Apply")</f>
        <v>Apply</v>
      </c>
      <c r="C251" s="10" t="s">
        <v>23066</v>
      </c>
      <c r="D251" s="56" t="s">
        <v>15060</v>
      </c>
      <c r="E251" s="10" t="s">
        <v>71</v>
      </c>
      <c r="F251" s="10" t="s">
        <v>3035</v>
      </c>
      <c r="G251" s="10" t="s">
        <v>17</v>
      </c>
      <c r="H251" s="10" t="s">
        <v>170</v>
      </c>
      <c r="I251" s="10" t="s">
        <v>252</v>
      </c>
      <c r="K251" s="10" t="s">
        <v>23067</v>
      </c>
      <c r="L251" s="10" t="s">
        <v>42</v>
      </c>
    </row>
    <row r="252" ht="15.75" customHeight="1">
      <c r="A252" s="64">
        <v>45467.0</v>
      </c>
      <c r="B252" s="55" t="str">
        <f>HYPERLINK("https://jobright.ai/jobs/info/667a0b69a13fa11c0d3986f2?utm_campaign=1055&amp;utm_source=sheet", "Apply")</f>
        <v>Apply</v>
      </c>
      <c r="C252" s="10" t="s">
        <v>23064</v>
      </c>
      <c r="D252" s="56" t="s">
        <v>15060</v>
      </c>
      <c r="E252" s="10" t="s">
        <v>71</v>
      </c>
      <c r="F252" s="10" t="s">
        <v>3035</v>
      </c>
      <c r="G252" s="10" t="s">
        <v>17</v>
      </c>
      <c r="H252" s="10" t="s">
        <v>165</v>
      </c>
      <c r="I252" s="10" t="s">
        <v>55</v>
      </c>
      <c r="K252" s="10" t="s">
        <v>23068</v>
      </c>
      <c r="L252" s="10" t="s">
        <v>42</v>
      </c>
    </row>
    <row r="253" ht="15.75" customHeight="1">
      <c r="A253" s="64">
        <v>45467.0</v>
      </c>
      <c r="B253" s="55" t="str">
        <f>HYPERLINK("https://jobright.ai/jobs/info/667a14bb2f2233f927a6c535?utm_campaign=1055&amp;utm_source=sheet", "Apply")</f>
        <v>Apply</v>
      </c>
      <c r="C253" s="10" t="s">
        <v>22435</v>
      </c>
      <c r="D253" s="56" t="s">
        <v>15060</v>
      </c>
      <c r="E253" s="10" t="s">
        <v>71</v>
      </c>
      <c r="F253" s="10" t="s">
        <v>3035</v>
      </c>
      <c r="G253" s="10" t="s">
        <v>17</v>
      </c>
      <c r="H253" s="10" t="s">
        <v>723</v>
      </c>
      <c r="I253" s="10" t="s">
        <v>252</v>
      </c>
      <c r="K253" s="10" t="s">
        <v>23069</v>
      </c>
      <c r="L253" s="10" t="s">
        <v>42</v>
      </c>
    </row>
    <row r="254" ht="15.75" customHeight="1">
      <c r="A254" s="64">
        <v>45465.0</v>
      </c>
      <c r="B254" s="55" t="str">
        <f>HYPERLINK("https://jobright.ai/jobs/info/6675223e6c1991ca9928e5d7?utm_campaign=1055&amp;utm_source=sheet", "Apply")</f>
        <v>Apply</v>
      </c>
      <c r="C254" s="10" t="s">
        <v>23034</v>
      </c>
      <c r="D254" s="56" t="s">
        <v>23035</v>
      </c>
      <c r="E254" s="10" t="s">
        <v>249</v>
      </c>
      <c r="F254" s="10" t="s">
        <v>568</v>
      </c>
      <c r="G254" s="10" t="s">
        <v>17</v>
      </c>
      <c r="H254" s="10" t="s">
        <v>16715</v>
      </c>
      <c r="I254" s="10" t="s">
        <v>48</v>
      </c>
      <c r="K254" s="10" t="s">
        <v>23036</v>
      </c>
      <c r="L254" s="10" t="s">
        <v>42</v>
      </c>
    </row>
    <row r="255" ht="15.75" customHeight="1">
      <c r="A255" s="64">
        <v>45465.0</v>
      </c>
      <c r="B255" s="55" t="str">
        <f>HYPERLINK("https://jobright.ai/jobs/info/666454517e4b165f0ab521fb?utm_campaign=1055&amp;utm_source=sheet", "Apply")</f>
        <v>Apply</v>
      </c>
      <c r="C255" s="10" t="s">
        <v>23070</v>
      </c>
      <c r="D255" s="56" t="s">
        <v>23035</v>
      </c>
      <c r="E255" s="10" t="s">
        <v>249</v>
      </c>
      <c r="F255" s="10" t="s">
        <v>568</v>
      </c>
      <c r="G255" s="10" t="s">
        <v>17</v>
      </c>
      <c r="H255" s="10" t="s">
        <v>974</v>
      </c>
      <c r="I255" s="10" t="s">
        <v>55</v>
      </c>
      <c r="K255" s="10" t="s">
        <v>23071</v>
      </c>
      <c r="L255" s="10" t="s">
        <v>42</v>
      </c>
    </row>
    <row r="256" ht="15.75" customHeight="1">
      <c r="A256" s="64">
        <v>45465.0</v>
      </c>
      <c r="B256" s="55" t="str">
        <f>HYPERLINK("https://jobright.ai/jobs/info/66239e3e4b2dcd7535d7a447?utm_campaign=1055&amp;utm_source=sheet", "Apply")</f>
        <v>Apply</v>
      </c>
      <c r="C256" s="10" t="s">
        <v>23072</v>
      </c>
      <c r="D256" s="56" t="s">
        <v>23035</v>
      </c>
      <c r="E256" s="10" t="s">
        <v>249</v>
      </c>
      <c r="F256" s="10" t="s">
        <v>568</v>
      </c>
      <c r="G256" s="10" t="s">
        <v>17</v>
      </c>
      <c r="H256" s="10" t="s">
        <v>16715</v>
      </c>
      <c r="I256" s="10" t="s">
        <v>48</v>
      </c>
      <c r="K256" s="10" t="s">
        <v>23073</v>
      </c>
      <c r="L256" s="10" t="s">
        <v>42</v>
      </c>
    </row>
    <row r="257" ht="15.75" customHeight="1">
      <c r="A257" s="64">
        <v>45464.0</v>
      </c>
      <c r="B257" s="55" t="str">
        <f>HYPERLINK("https://jobright.ai/jobs/info/66766b9493b9404f41dd50ef?utm_campaign=1055&amp;utm_source=sheet", "Apply")</f>
        <v>Apply</v>
      </c>
      <c r="C257" s="10" t="s">
        <v>23074</v>
      </c>
      <c r="D257" s="56" t="s">
        <v>19305</v>
      </c>
      <c r="E257" s="10" t="s">
        <v>79</v>
      </c>
      <c r="F257" s="10" t="s">
        <v>19306</v>
      </c>
      <c r="G257" s="10" t="s">
        <v>17</v>
      </c>
      <c r="H257" s="10" t="s">
        <v>170</v>
      </c>
      <c r="I257" s="10" t="s">
        <v>48</v>
      </c>
      <c r="J257" s="10" t="s">
        <v>19307</v>
      </c>
      <c r="K257" s="10" t="s">
        <v>23075</v>
      </c>
      <c r="L257" s="10" t="s">
        <v>42</v>
      </c>
    </row>
    <row r="258" ht="15.75" customHeight="1">
      <c r="A258" s="64">
        <v>45464.0</v>
      </c>
      <c r="B258" s="55" t="str">
        <f>HYPERLINK("https://jobright.ai/jobs/info/6623a93de3c28f7c616d5f45?utm_campaign=1055&amp;utm_source=sheet", "Apply")</f>
        <v>Apply</v>
      </c>
      <c r="C258" s="10" t="s">
        <v>23034</v>
      </c>
      <c r="D258" s="56" t="s">
        <v>23035</v>
      </c>
      <c r="E258" s="10" t="s">
        <v>249</v>
      </c>
      <c r="F258" s="10" t="s">
        <v>568</v>
      </c>
      <c r="G258" s="10" t="s">
        <v>17</v>
      </c>
      <c r="H258" s="10" t="s">
        <v>16715</v>
      </c>
      <c r="I258" s="10" t="s">
        <v>55</v>
      </c>
      <c r="K258" s="10" t="s">
        <v>23036</v>
      </c>
      <c r="L258" s="10" t="s">
        <v>42</v>
      </c>
    </row>
    <row r="259" ht="15.75" customHeight="1">
      <c r="A259" s="64">
        <v>45464.0</v>
      </c>
      <c r="B259" s="55" t="str">
        <f>HYPERLINK("https://jobright.ai/jobs/info/66644ac6194ccfedcf456011?utm_campaign=1055&amp;utm_source=sheet", "Apply")</f>
        <v>Apply</v>
      </c>
      <c r="C259" s="10" t="s">
        <v>23076</v>
      </c>
      <c r="D259" s="56" t="s">
        <v>23035</v>
      </c>
      <c r="E259" s="10" t="s">
        <v>249</v>
      </c>
      <c r="F259" s="10" t="s">
        <v>568</v>
      </c>
      <c r="G259" s="10" t="s">
        <v>17</v>
      </c>
      <c r="H259" s="10" t="s">
        <v>860</v>
      </c>
      <c r="I259" s="10" t="s">
        <v>55</v>
      </c>
      <c r="J259" s="10" t="s">
        <v>1787</v>
      </c>
      <c r="K259" s="10" t="s">
        <v>23077</v>
      </c>
      <c r="L259" s="10" t="s">
        <v>42</v>
      </c>
    </row>
    <row r="260" ht="15.75" customHeight="1">
      <c r="A260" s="64">
        <v>45464.0</v>
      </c>
      <c r="B260" s="55" t="str">
        <f>HYPERLINK("https://jobright.ai/jobs/info/66228992b884ff004fbeadf1?utm_campaign=1055&amp;utm_source=sheet", "Apply")</f>
        <v>Apply</v>
      </c>
      <c r="C260" s="10" t="s">
        <v>23078</v>
      </c>
      <c r="D260" s="56" t="s">
        <v>17857</v>
      </c>
      <c r="E260" s="10" t="s">
        <v>45</v>
      </c>
      <c r="F260" s="10" t="s">
        <v>9101</v>
      </c>
      <c r="G260" s="10" t="s">
        <v>17</v>
      </c>
      <c r="H260" s="10" t="s">
        <v>423</v>
      </c>
      <c r="I260" s="10" t="s">
        <v>55</v>
      </c>
      <c r="J260" s="10" t="s">
        <v>23079</v>
      </c>
      <c r="K260" s="10" t="s">
        <v>23080</v>
      </c>
      <c r="L260" s="10" t="s">
        <v>42</v>
      </c>
    </row>
    <row r="261" ht="15.75" customHeight="1">
      <c r="A261" s="64">
        <v>45464.0</v>
      </c>
      <c r="B261" s="55" t="str">
        <f>HYPERLINK("https://jobright.ai/jobs/info/6674f225c03c8a493e8d9ea0?utm_campaign=1055&amp;utm_source=sheet", "Apply")</f>
        <v>Apply</v>
      </c>
      <c r="C261" s="10" t="s">
        <v>23081</v>
      </c>
      <c r="D261" s="56" t="s">
        <v>23082</v>
      </c>
      <c r="E261" s="59">
        <v>45301.0</v>
      </c>
      <c r="F261" s="10" t="s">
        <v>10</v>
      </c>
      <c r="G261" s="10" t="s">
        <v>17</v>
      </c>
      <c r="H261" s="10" t="s">
        <v>3532</v>
      </c>
      <c r="I261" s="10" t="s">
        <v>55</v>
      </c>
      <c r="K261" s="10" t="s">
        <v>23083</v>
      </c>
      <c r="L261" s="10" t="s">
        <v>42</v>
      </c>
    </row>
    <row r="262" ht="15.75" customHeight="1">
      <c r="A262" s="64">
        <v>45464.0</v>
      </c>
      <c r="B262" s="55" t="str">
        <f>HYPERLINK("https://jobright.ai/jobs/info/6675cdeffde6a7756c63591d?utm_campaign=1055&amp;utm_source=sheet", "Apply")</f>
        <v>Apply</v>
      </c>
      <c r="C262" s="10" t="s">
        <v>23074</v>
      </c>
      <c r="D262" s="56" t="s">
        <v>19305</v>
      </c>
      <c r="E262" s="10" t="s">
        <v>79</v>
      </c>
      <c r="F262" s="10" t="s">
        <v>19306</v>
      </c>
      <c r="G262" s="10" t="s">
        <v>17</v>
      </c>
      <c r="H262" s="10" t="s">
        <v>19362</v>
      </c>
      <c r="I262" s="10" t="s">
        <v>48</v>
      </c>
      <c r="J262" s="10" t="s">
        <v>19307</v>
      </c>
      <c r="K262" s="10" t="s">
        <v>23075</v>
      </c>
      <c r="L262" s="10" t="s">
        <v>42</v>
      </c>
    </row>
    <row r="263" ht="15.75" customHeight="1">
      <c r="A263" s="64">
        <v>45463.0</v>
      </c>
      <c r="B263" s="55" t="str">
        <f>HYPERLINK("https://jobright.ai/jobs/info/6674775da404bed17039909c?utm_campaign=1055&amp;utm_source=sheet", "Apply")</f>
        <v>Apply</v>
      </c>
      <c r="C263" s="10" t="s">
        <v>23084</v>
      </c>
      <c r="D263" s="56" t="s">
        <v>23085</v>
      </c>
      <c r="E263" s="10" t="s">
        <v>276</v>
      </c>
      <c r="F263" s="10" t="s">
        <v>23086</v>
      </c>
      <c r="G263" s="10" t="s">
        <v>17</v>
      </c>
      <c r="H263" s="10" t="s">
        <v>2727</v>
      </c>
      <c r="I263" s="10" t="s">
        <v>55</v>
      </c>
      <c r="J263" s="10" t="s">
        <v>521</v>
      </c>
      <c r="K263" s="10" t="s">
        <v>23087</v>
      </c>
      <c r="L263" s="10" t="s">
        <v>42</v>
      </c>
    </row>
    <row r="264" ht="15.75" customHeight="1">
      <c r="A264" s="64">
        <v>45463.0</v>
      </c>
      <c r="B264" s="55" t="str">
        <f>HYPERLINK("https://jobright.ai/jobs/info/667508b8c5601190e430ae5b?utm_campaign=1055&amp;utm_source=sheet", "Apply")</f>
        <v>Apply</v>
      </c>
      <c r="C264" s="10" t="s">
        <v>23088</v>
      </c>
      <c r="D264" s="56" t="s">
        <v>1650</v>
      </c>
      <c r="E264" s="10" t="s">
        <v>209</v>
      </c>
      <c r="F264" s="10" t="s">
        <v>1243</v>
      </c>
      <c r="G264" s="10" t="s">
        <v>17</v>
      </c>
      <c r="H264" s="10" t="s">
        <v>578</v>
      </c>
      <c r="I264" s="10" t="s">
        <v>55</v>
      </c>
      <c r="K264" s="10" t="s">
        <v>23089</v>
      </c>
      <c r="L264" s="10" t="s">
        <v>42</v>
      </c>
    </row>
    <row r="265" ht="15.75" customHeight="1">
      <c r="A265" s="64">
        <v>45463.0</v>
      </c>
      <c r="B265" s="55" t="str">
        <f>HYPERLINK("https://jobright.ai/jobs/info/667386b5ad714b0047336669?utm_campaign=1055&amp;utm_source=sheet", "Apply")</f>
        <v>Apply</v>
      </c>
      <c r="C265" s="10" t="s">
        <v>23090</v>
      </c>
      <c r="D265" s="56" t="s">
        <v>23091</v>
      </c>
      <c r="E265" s="10" t="s">
        <v>276</v>
      </c>
      <c r="F265" s="10" t="s">
        <v>10</v>
      </c>
      <c r="G265" s="10" t="s">
        <v>17</v>
      </c>
      <c r="H265" s="10" t="s">
        <v>836</v>
      </c>
      <c r="I265" s="10" t="s">
        <v>55</v>
      </c>
      <c r="K265" s="10" t="s">
        <v>23092</v>
      </c>
      <c r="L265" s="10" t="s">
        <v>42</v>
      </c>
    </row>
    <row r="266" ht="15.75" customHeight="1">
      <c r="A266" s="64">
        <v>45463.0</v>
      </c>
      <c r="B266" s="55" t="str">
        <f>HYPERLINK("https://jobright.ai/jobs/info/66736e3621f478e9a4d0fb9b?utm_campaign=1055&amp;utm_source=sheet", "Apply")</f>
        <v>Apply</v>
      </c>
      <c r="C266" s="10" t="s">
        <v>23093</v>
      </c>
      <c r="D266" s="56" t="s">
        <v>23091</v>
      </c>
      <c r="E266" s="10" t="s">
        <v>276</v>
      </c>
      <c r="F266" s="10" t="s">
        <v>10</v>
      </c>
      <c r="G266" s="10" t="s">
        <v>17</v>
      </c>
      <c r="H266" s="10" t="s">
        <v>988</v>
      </c>
      <c r="I266" s="10" t="s">
        <v>55</v>
      </c>
      <c r="K266" s="10" t="s">
        <v>23094</v>
      </c>
      <c r="L266" s="10" t="s">
        <v>42</v>
      </c>
    </row>
    <row r="267" ht="15.75" customHeight="1">
      <c r="A267" s="64">
        <v>45463.0</v>
      </c>
      <c r="B267" s="55" t="str">
        <f>HYPERLINK("https://jobright.ai/jobs/info/66746a9eafaefe573cacea0f?utm_campaign=1055&amp;utm_source=sheet", "Apply")</f>
        <v>Apply</v>
      </c>
      <c r="C267" s="10" t="s">
        <v>23095</v>
      </c>
      <c r="D267" s="56" t="s">
        <v>23096</v>
      </c>
      <c r="E267" s="10" t="s">
        <v>65</v>
      </c>
      <c r="F267" s="10" t="s">
        <v>16572</v>
      </c>
      <c r="G267" s="10" t="s">
        <v>17</v>
      </c>
      <c r="H267" s="10" t="s">
        <v>251</v>
      </c>
      <c r="I267" s="10" t="s">
        <v>252</v>
      </c>
      <c r="K267" s="10" t="s">
        <v>23097</v>
      </c>
      <c r="L267" s="10" t="s">
        <v>42</v>
      </c>
    </row>
    <row r="268" ht="15.75" customHeight="1">
      <c r="A268" s="64">
        <v>45462.0</v>
      </c>
      <c r="B268" s="55" t="str">
        <f>HYPERLINK("https://jobright.ai/jobs/info/66746ae1afaefe573cacef80?utm_campaign=1055&amp;utm_source=sheet", "Apply")</f>
        <v>Apply</v>
      </c>
      <c r="C268" s="10" t="s">
        <v>23098</v>
      </c>
      <c r="D268" s="56" t="s">
        <v>1650</v>
      </c>
      <c r="E268" s="10" t="s">
        <v>209</v>
      </c>
      <c r="F268" s="10" t="s">
        <v>1243</v>
      </c>
      <c r="G268" s="10" t="s">
        <v>17</v>
      </c>
      <c r="H268" s="10" t="s">
        <v>8687</v>
      </c>
      <c r="I268" s="10" t="s">
        <v>55</v>
      </c>
      <c r="K268" s="10" t="s">
        <v>23099</v>
      </c>
      <c r="L268" s="10" t="s">
        <v>42</v>
      </c>
    </row>
    <row r="269" ht="15.75" customHeight="1">
      <c r="A269" s="64">
        <v>45462.0</v>
      </c>
      <c r="B269" s="55" t="str">
        <f>HYPERLINK("https://jobright.ai/jobs/info/6677ae07dc7be138508a3649?utm_campaign=1055&amp;utm_source=sheet", "Apply")</f>
        <v>Apply</v>
      </c>
      <c r="C269" s="10" t="s">
        <v>23100</v>
      </c>
      <c r="D269" s="56" t="s">
        <v>23101</v>
      </c>
      <c r="E269" s="10" t="s">
        <v>71</v>
      </c>
      <c r="F269" s="10" t="s">
        <v>3594</v>
      </c>
      <c r="G269" s="10" t="s">
        <v>17</v>
      </c>
      <c r="H269" s="10" t="s">
        <v>3440</v>
      </c>
      <c r="I269" s="10" t="s">
        <v>55</v>
      </c>
      <c r="J269" s="10" t="s">
        <v>23102</v>
      </c>
      <c r="K269" s="10" t="s">
        <v>23103</v>
      </c>
      <c r="L269" s="10" t="s">
        <v>42</v>
      </c>
    </row>
    <row r="270" ht="15.75" customHeight="1">
      <c r="A270" s="64">
        <v>45462.0</v>
      </c>
      <c r="B270" s="55" t="str">
        <f>HYPERLINK("https://jobright.ai/jobs/info/66795b74dcb1db3fc098e8d7?utm_campaign=1055&amp;utm_source=sheet", "Apply")</f>
        <v>Apply</v>
      </c>
      <c r="C270" s="10" t="s">
        <v>23104</v>
      </c>
      <c r="D270" s="56" t="s">
        <v>23101</v>
      </c>
      <c r="E270" s="10" t="s">
        <v>71</v>
      </c>
      <c r="F270" s="10" t="s">
        <v>3594</v>
      </c>
      <c r="G270" s="10" t="s">
        <v>17</v>
      </c>
      <c r="H270" s="10" t="s">
        <v>3440</v>
      </c>
      <c r="I270" s="10" t="s">
        <v>55</v>
      </c>
      <c r="J270" s="10" t="s">
        <v>23105</v>
      </c>
      <c r="K270" s="10" t="s">
        <v>23103</v>
      </c>
      <c r="L270" s="10" t="s">
        <v>42</v>
      </c>
    </row>
    <row r="271" ht="15.75" customHeight="1">
      <c r="A271" s="64">
        <v>45461.0</v>
      </c>
      <c r="B271" s="55" t="str">
        <f>HYPERLINK("https://jobright.ai/jobs/info/6671b53d86444578b450f5a9?utm_campaign=1055&amp;utm_source=sheet", "Apply")</f>
        <v>Apply</v>
      </c>
      <c r="C271" s="10" t="s">
        <v>22580</v>
      </c>
      <c r="D271" s="56" t="s">
        <v>23106</v>
      </c>
      <c r="E271" s="10" t="s">
        <v>65</v>
      </c>
      <c r="F271" s="10" t="s">
        <v>23107</v>
      </c>
      <c r="G271" s="10" t="s">
        <v>17</v>
      </c>
      <c r="H271" s="10" t="s">
        <v>23108</v>
      </c>
      <c r="I271" s="10" t="s">
        <v>55</v>
      </c>
      <c r="K271" s="10" t="s">
        <v>23109</v>
      </c>
      <c r="L271" s="10" t="s">
        <v>42</v>
      </c>
    </row>
    <row r="272" ht="15.75" customHeight="1">
      <c r="A272" s="64">
        <v>45461.0</v>
      </c>
      <c r="B272" s="55" t="str">
        <f>HYPERLINK("https://jobright.ai/jobs/info/667aa24759959cdb9b43deb3?utm_campaign=1055&amp;utm_source=sheet", "Apply")</f>
        <v>Apply</v>
      </c>
      <c r="C272" s="10" t="s">
        <v>23110</v>
      </c>
      <c r="D272" s="56" t="s">
        <v>23111</v>
      </c>
      <c r="E272" s="10" t="s">
        <v>45</v>
      </c>
      <c r="F272" s="10" t="s">
        <v>15316</v>
      </c>
      <c r="G272" s="10" t="s">
        <v>17</v>
      </c>
      <c r="H272" s="10" t="s">
        <v>843</v>
      </c>
      <c r="I272" s="10" t="s">
        <v>55</v>
      </c>
      <c r="K272" s="10" t="s">
        <v>23112</v>
      </c>
      <c r="L272" s="10" t="s">
        <v>42</v>
      </c>
    </row>
    <row r="273" ht="15.75" customHeight="1">
      <c r="A273" s="64">
        <v>45461.0</v>
      </c>
      <c r="B273" s="55" t="str">
        <f>HYPERLINK("https://jobright.ai/jobs/info/667222cb96df7b9790bcf6d6?utm_campaign=1055&amp;utm_source=sheet", "Apply")</f>
        <v>Apply</v>
      </c>
      <c r="C273" s="10" t="s">
        <v>23113</v>
      </c>
      <c r="D273" s="56" t="s">
        <v>15060</v>
      </c>
      <c r="E273" s="10" t="s">
        <v>71</v>
      </c>
      <c r="F273" s="10" t="s">
        <v>3035</v>
      </c>
      <c r="G273" s="10" t="s">
        <v>17</v>
      </c>
      <c r="H273" s="10" t="s">
        <v>1254</v>
      </c>
      <c r="I273" s="10" t="s">
        <v>55</v>
      </c>
      <c r="K273" s="10" t="s">
        <v>23114</v>
      </c>
      <c r="L273" s="10" t="s">
        <v>42</v>
      </c>
    </row>
    <row r="274" ht="15.75" customHeight="1">
      <c r="A274" s="64">
        <v>45460.0</v>
      </c>
      <c r="B274" s="55" t="str">
        <f>HYPERLINK("https://jobright.ai/jobs/info/667075bc9658fb97a3e6f000?utm_campaign=1055&amp;utm_source=sheet", "Apply")</f>
        <v>Apply</v>
      </c>
      <c r="C274" s="10" t="s">
        <v>23110</v>
      </c>
      <c r="D274" s="56" t="s">
        <v>23111</v>
      </c>
      <c r="E274" s="10" t="s">
        <v>45</v>
      </c>
      <c r="F274" s="10" t="s">
        <v>15316</v>
      </c>
      <c r="G274" s="10" t="s">
        <v>17</v>
      </c>
      <c r="H274" s="10" t="s">
        <v>843</v>
      </c>
      <c r="I274" s="10" t="s">
        <v>55</v>
      </c>
      <c r="K274" s="10" t="s">
        <v>23112</v>
      </c>
      <c r="L274" s="10" t="s">
        <v>42</v>
      </c>
    </row>
    <row r="275" ht="15.75" customHeight="1">
      <c r="A275" s="64">
        <v>45460.0</v>
      </c>
      <c r="B275" s="55" t="str">
        <f>HYPERLINK("https://jobright.ai/jobs/info/6670e5c513800af2e576239a?utm_campaign=1055&amp;utm_source=sheet", "Apply")</f>
        <v>Apply</v>
      </c>
      <c r="C275" s="10" t="s">
        <v>22974</v>
      </c>
      <c r="D275" s="56" t="s">
        <v>4233</v>
      </c>
      <c r="E275" s="10" t="s">
        <v>65</v>
      </c>
      <c r="F275" s="10" t="s">
        <v>1124</v>
      </c>
      <c r="G275" s="10" t="s">
        <v>17</v>
      </c>
      <c r="H275" s="10" t="s">
        <v>1008</v>
      </c>
      <c r="I275" s="10" t="s">
        <v>55</v>
      </c>
      <c r="J275" s="10" t="s">
        <v>22975</v>
      </c>
      <c r="K275" s="10" t="s">
        <v>23115</v>
      </c>
      <c r="L275" s="10" t="s">
        <v>42</v>
      </c>
    </row>
    <row r="276" ht="15.75" customHeight="1">
      <c r="A276" s="64">
        <v>45458.0</v>
      </c>
      <c r="B276" s="55" t="str">
        <f>HYPERLINK("https://jobright.ai/jobs/info/6677bc9f27c0e726e8f4dbad?utm_campaign=1055&amp;utm_source=sheet", "Apply")</f>
        <v>Apply</v>
      </c>
      <c r="C276" s="10" t="s">
        <v>23116</v>
      </c>
      <c r="D276" s="56" t="s">
        <v>17717</v>
      </c>
      <c r="E276" s="10" t="s">
        <v>45</v>
      </c>
      <c r="F276" s="10" t="s">
        <v>4000</v>
      </c>
      <c r="G276" s="10" t="s">
        <v>17</v>
      </c>
      <c r="H276" s="10" t="s">
        <v>434</v>
      </c>
      <c r="I276" s="10" t="s">
        <v>55</v>
      </c>
      <c r="J276" s="10" t="s">
        <v>23117</v>
      </c>
      <c r="K276" s="10" t="s">
        <v>23118</v>
      </c>
      <c r="L276" s="10" t="s">
        <v>42</v>
      </c>
    </row>
    <row r="277" ht="15.75" customHeight="1">
      <c r="A277" s="64">
        <v>45458.0</v>
      </c>
      <c r="B277" s="55" t="str">
        <f>HYPERLINK("https://jobright.ai/jobs/info/6675a363a05c85bb25afa796?utm_campaign=1055&amp;utm_source=sheet", "Apply")</f>
        <v>Apply</v>
      </c>
      <c r="C277" s="10" t="s">
        <v>23119</v>
      </c>
      <c r="D277" s="56" t="s">
        <v>1650</v>
      </c>
      <c r="E277" s="10" t="s">
        <v>209</v>
      </c>
      <c r="F277" s="10" t="s">
        <v>1243</v>
      </c>
      <c r="G277" s="10" t="s">
        <v>17</v>
      </c>
      <c r="H277" s="10" t="s">
        <v>8687</v>
      </c>
      <c r="I277" s="10" t="s">
        <v>55</v>
      </c>
      <c r="K277" s="10" t="s">
        <v>23120</v>
      </c>
      <c r="L277" s="10" t="s">
        <v>42</v>
      </c>
    </row>
    <row r="278" ht="15.75" customHeight="1">
      <c r="A278" s="64">
        <v>45456.0</v>
      </c>
      <c r="B278" s="55" t="str">
        <f>HYPERLINK("https://jobright.ai/jobs/info/66740a9ed454c29f16cf825d?utm_campaign=1055&amp;utm_source=sheet", "Apply")</f>
        <v>Apply</v>
      </c>
      <c r="C278" s="10" t="s">
        <v>22651</v>
      </c>
      <c r="D278" s="56" t="s">
        <v>23121</v>
      </c>
      <c r="E278" s="10" t="s">
        <v>137</v>
      </c>
      <c r="F278" s="10" t="s">
        <v>18189</v>
      </c>
      <c r="G278" s="10" t="s">
        <v>17</v>
      </c>
      <c r="H278" s="10" t="s">
        <v>170</v>
      </c>
      <c r="I278" s="10" t="s">
        <v>55</v>
      </c>
      <c r="J278" s="10" t="s">
        <v>581</v>
      </c>
      <c r="K278" s="10" t="s">
        <v>23122</v>
      </c>
      <c r="L278" s="10" t="s">
        <v>42</v>
      </c>
    </row>
    <row r="279" ht="15.75" customHeight="1">
      <c r="A279" s="64">
        <v>45456.0</v>
      </c>
      <c r="B279" s="55" t="str">
        <f>HYPERLINK("https://jobright.ai/jobs/info/666c0d1a1a9593d9b0b3aad9?utm_campaign=1055&amp;utm_source=sheet", "Apply")</f>
        <v>Apply</v>
      </c>
      <c r="C279" s="10" t="s">
        <v>22580</v>
      </c>
      <c r="D279" s="56" t="s">
        <v>23123</v>
      </c>
      <c r="E279" s="10" t="s">
        <v>137</v>
      </c>
      <c r="F279" s="10" t="s">
        <v>18235</v>
      </c>
      <c r="G279" s="10" t="s">
        <v>17</v>
      </c>
      <c r="H279" s="10" t="s">
        <v>170</v>
      </c>
      <c r="I279" s="10" t="s">
        <v>55</v>
      </c>
      <c r="K279" s="10" t="s">
        <v>23124</v>
      </c>
      <c r="L279" s="10" t="s">
        <v>42</v>
      </c>
    </row>
    <row r="280" ht="15.75" customHeight="1">
      <c r="A280" s="64">
        <v>45455.0</v>
      </c>
      <c r="B280" s="55" t="str">
        <f>HYPERLINK("https://jobright.ai/jobs/info/66393c1a78a4a2512015b148?utm_campaign=1055&amp;utm_source=sheet", "Apply")</f>
        <v>Apply</v>
      </c>
      <c r="C280" s="10" t="s">
        <v>23125</v>
      </c>
      <c r="D280" s="56" t="s">
        <v>18214</v>
      </c>
      <c r="E280" s="10" t="s">
        <v>65</v>
      </c>
      <c r="F280" s="10" t="s">
        <v>18215</v>
      </c>
      <c r="G280" s="10" t="s">
        <v>17</v>
      </c>
      <c r="H280" s="10" t="s">
        <v>1160</v>
      </c>
      <c r="I280" s="10" t="s">
        <v>48</v>
      </c>
      <c r="K280" s="10" t="s">
        <v>18216</v>
      </c>
      <c r="L280" s="10" t="s">
        <v>42</v>
      </c>
    </row>
    <row r="281" ht="15.75" customHeight="1">
      <c r="A281" s="64">
        <v>45455.0</v>
      </c>
      <c r="B281" s="55" t="str">
        <f>HYPERLINK("https://jobright.ai/jobs/info/66393c1a78a4a2512015b14c?utm_campaign=1055&amp;utm_source=sheet", "Apply")</f>
        <v>Apply</v>
      </c>
      <c r="C281" s="10" t="s">
        <v>23126</v>
      </c>
      <c r="D281" s="56" t="s">
        <v>18214</v>
      </c>
      <c r="E281" s="10" t="s">
        <v>65</v>
      </c>
      <c r="F281" s="10" t="s">
        <v>18215</v>
      </c>
      <c r="G281" s="10" t="s">
        <v>17</v>
      </c>
      <c r="H281" s="10" t="s">
        <v>96</v>
      </c>
      <c r="I281" s="10" t="s">
        <v>48</v>
      </c>
      <c r="J281" s="10" t="s">
        <v>22973</v>
      </c>
      <c r="K281" s="10" t="s">
        <v>18216</v>
      </c>
      <c r="L281" s="10" t="s">
        <v>42</v>
      </c>
    </row>
    <row r="282" ht="15.75" customHeight="1">
      <c r="A282" s="64">
        <v>45455.0</v>
      </c>
      <c r="B282" s="55" t="str">
        <f>HYPERLINK("https://jobright.ai/jobs/info/6672c5194712379b49f51122?utm_campaign=1055&amp;utm_source=sheet", "Apply")</f>
        <v>Apply</v>
      </c>
      <c r="C282" s="10" t="s">
        <v>23127</v>
      </c>
      <c r="D282" s="56" t="s">
        <v>13400</v>
      </c>
      <c r="E282" s="10" t="s">
        <v>276</v>
      </c>
      <c r="F282" s="10" t="s">
        <v>3770</v>
      </c>
      <c r="G282" s="10" t="s">
        <v>17</v>
      </c>
      <c r="H282" s="10" t="s">
        <v>434</v>
      </c>
      <c r="I282" s="10" t="s">
        <v>55</v>
      </c>
      <c r="J282" s="10" t="s">
        <v>1189</v>
      </c>
      <c r="K282" s="10" t="s">
        <v>23128</v>
      </c>
      <c r="L282" s="10" t="s">
        <v>42</v>
      </c>
    </row>
    <row r="283" ht="15.75" customHeight="1">
      <c r="A283" s="64">
        <v>45455.0</v>
      </c>
      <c r="B283" s="55" t="str">
        <f>HYPERLINK("https://jobright.ai/jobs/info/666a3fbee10e68e168ef328b?utm_campaign=1055&amp;utm_source=sheet", "Apply")</f>
        <v>Apply</v>
      </c>
      <c r="C283" s="10" t="s">
        <v>22580</v>
      </c>
      <c r="D283" s="56" t="s">
        <v>23129</v>
      </c>
      <c r="E283" s="10" t="s">
        <v>65</v>
      </c>
      <c r="F283" s="10" t="s">
        <v>23130</v>
      </c>
      <c r="G283" s="10" t="s">
        <v>17</v>
      </c>
      <c r="H283" s="10" t="s">
        <v>10629</v>
      </c>
      <c r="I283" s="10" t="s">
        <v>55</v>
      </c>
      <c r="J283" s="10" t="s">
        <v>366</v>
      </c>
      <c r="K283" s="10" t="s">
        <v>23131</v>
      </c>
      <c r="L283" s="10" t="s">
        <v>42</v>
      </c>
    </row>
    <row r="284" ht="15.75" customHeight="1">
      <c r="A284" s="64">
        <v>45453.0</v>
      </c>
      <c r="B284" s="55" t="str">
        <f>HYPERLINK("https://jobright.ai/jobs/info/6667cb490e75e6484ca3e8c1?utm_campaign=1055&amp;utm_source=sheet", "Apply")</f>
        <v>Apply</v>
      </c>
      <c r="C284" s="10" t="s">
        <v>22580</v>
      </c>
      <c r="D284" s="56" t="s">
        <v>23132</v>
      </c>
      <c r="E284" s="10" t="s">
        <v>65</v>
      </c>
      <c r="F284" s="10" t="s">
        <v>23133</v>
      </c>
      <c r="G284" s="10" t="s">
        <v>17</v>
      </c>
      <c r="H284" s="10" t="s">
        <v>15426</v>
      </c>
      <c r="I284" s="10" t="s">
        <v>55</v>
      </c>
      <c r="K284" s="10" t="s">
        <v>23134</v>
      </c>
      <c r="L284" s="10" t="s">
        <v>42</v>
      </c>
    </row>
    <row r="285" ht="15.75" customHeight="1">
      <c r="A285" s="64">
        <v>45453.0</v>
      </c>
      <c r="B285" s="55" t="str">
        <f>HYPERLINK("https://jobright.ai/jobs/info/6667cc210e75e6484ca3eab9?utm_campaign=1055&amp;utm_source=sheet", "Apply")</f>
        <v>Apply</v>
      </c>
      <c r="C285" s="10" t="s">
        <v>23135</v>
      </c>
      <c r="D285" s="56" t="s">
        <v>1496</v>
      </c>
      <c r="E285" s="10" t="s">
        <v>45</v>
      </c>
      <c r="F285" s="10" t="s">
        <v>1497</v>
      </c>
      <c r="G285" s="10" t="s">
        <v>17</v>
      </c>
      <c r="H285" s="10" t="s">
        <v>23136</v>
      </c>
      <c r="I285" s="10" t="s">
        <v>55</v>
      </c>
      <c r="K285" s="10" t="s">
        <v>23137</v>
      </c>
      <c r="L285" s="10" t="s">
        <v>42</v>
      </c>
    </row>
    <row r="286" ht="15.75" customHeight="1">
      <c r="A286" s="64">
        <v>45451.0</v>
      </c>
      <c r="B286" s="55" t="str">
        <f>HYPERLINK("https://jobright.ai/jobs/info/6677c85964f2e472ffd640db?utm_campaign=1055&amp;utm_source=sheet", "Apply")</f>
        <v>Apply</v>
      </c>
      <c r="C286" s="10" t="s">
        <v>23138</v>
      </c>
      <c r="D286" s="56" t="s">
        <v>23139</v>
      </c>
      <c r="E286" s="10" t="s">
        <v>276</v>
      </c>
      <c r="F286" s="10" t="s">
        <v>17980</v>
      </c>
      <c r="G286" s="10" t="s">
        <v>17</v>
      </c>
      <c r="H286" s="10" t="s">
        <v>1709</v>
      </c>
      <c r="I286" s="10" t="s">
        <v>55</v>
      </c>
      <c r="K286" s="10" t="s">
        <v>23140</v>
      </c>
      <c r="L286" s="10" t="s">
        <v>42</v>
      </c>
    </row>
    <row r="287" ht="15.75" customHeight="1">
      <c r="A287" s="64">
        <v>45451.0</v>
      </c>
      <c r="B287" s="55" t="str">
        <f>HYPERLINK("https://jobright.ai/jobs/info/6677ccc874ec1a95a89ae800?utm_campaign=1055&amp;utm_source=sheet", "Apply")</f>
        <v>Apply</v>
      </c>
      <c r="C287" s="10" t="s">
        <v>22752</v>
      </c>
      <c r="D287" s="56" t="s">
        <v>23141</v>
      </c>
      <c r="E287" s="10">
        <v>7.0</v>
      </c>
      <c r="G287" s="10" t="s">
        <v>17</v>
      </c>
      <c r="H287" s="10" t="s">
        <v>18544</v>
      </c>
      <c r="I287" s="10" t="s">
        <v>55</v>
      </c>
      <c r="K287" s="10" t="s">
        <v>23142</v>
      </c>
      <c r="L287" s="10" t="s">
        <v>42</v>
      </c>
    </row>
    <row r="288" ht="15.75" customHeight="1">
      <c r="A288" s="64">
        <v>45451.0</v>
      </c>
      <c r="B288" s="55" t="str">
        <f>HYPERLINK("https://jobright.ai/jobs/info/6663dcb65826e9ae47aa235a?utm_campaign=1055&amp;utm_source=sheet", "Apply")</f>
        <v>Apply</v>
      </c>
      <c r="C288" s="10" t="s">
        <v>23143</v>
      </c>
      <c r="D288" s="56" t="s">
        <v>1123</v>
      </c>
      <c r="E288" s="10" t="s">
        <v>209</v>
      </c>
      <c r="F288" s="10" t="s">
        <v>1124</v>
      </c>
      <c r="G288" s="10" t="s">
        <v>17</v>
      </c>
      <c r="H288" s="10" t="s">
        <v>101</v>
      </c>
      <c r="I288" s="10" t="s">
        <v>55</v>
      </c>
      <c r="J288" s="10" t="s">
        <v>581</v>
      </c>
      <c r="K288" s="10" t="s">
        <v>23144</v>
      </c>
      <c r="L288" s="10" t="s">
        <v>42</v>
      </c>
    </row>
    <row r="289" ht="15.75" customHeight="1">
      <c r="A289" s="64">
        <v>45449.0</v>
      </c>
      <c r="B289" s="55" t="str">
        <f>HYPERLINK("https://jobright.ai/jobs/info/665922b7dc30f127d7d723e8?utm_campaign=1055&amp;utm_source=sheet", "Apply")</f>
        <v>Apply</v>
      </c>
      <c r="C289" s="10" t="s">
        <v>22905</v>
      </c>
      <c r="D289" s="56" t="s">
        <v>3669</v>
      </c>
      <c r="E289" s="10" t="s">
        <v>65</v>
      </c>
      <c r="F289" s="10" t="s">
        <v>3670</v>
      </c>
      <c r="G289" s="10" t="s">
        <v>17</v>
      </c>
      <c r="H289" s="10" t="s">
        <v>898</v>
      </c>
      <c r="I289" s="10" t="s">
        <v>55</v>
      </c>
      <c r="J289" s="10" t="s">
        <v>3671</v>
      </c>
      <c r="K289" s="10" t="s">
        <v>22906</v>
      </c>
      <c r="L289" s="10" t="s">
        <v>42</v>
      </c>
    </row>
    <row r="290" ht="15.75" customHeight="1">
      <c r="A290" s="64">
        <v>45449.0</v>
      </c>
      <c r="B290" s="55" t="str">
        <f>HYPERLINK("https://jobright.ai/jobs/info/66622ef27a42dde7245ec5c9?utm_campaign=1055&amp;utm_source=sheet", "Apply")</f>
        <v>Apply</v>
      </c>
      <c r="C290" s="10" t="s">
        <v>22905</v>
      </c>
      <c r="D290" s="56" t="s">
        <v>3669</v>
      </c>
      <c r="E290" s="10" t="s">
        <v>65</v>
      </c>
      <c r="F290" s="10" t="s">
        <v>3670</v>
      </c>
      <c r="G290" s="10" t="s">
        <v>17</v>
      </c>
      <c r="H290" s="10" t="s">
        <v>170</v>
      </c>
      <c r="I290" s="10" t="s">
        <v>55</v>
      </c>
      <c r="J290" s="10" t="s">
        <v>3671</v>
      </c>
      <c r="K290" s="10" t="s">
        <v>22906</v>
      </c>
      <c r="L290" s="10" t="s">
        <v>42</v>
      </c>
    </row>
    <row r="291" ht="15.75" customHeight="1">
      <c r="A291" s="64">
        <v>45449.0</v>
      </c>
      <c r="B291" s="55" t="str">
        <f>HYPERLINK("https://jobright.ai/jobs/info/6667d4d00e75e6484ca4030c?utm_campaign=1055&amp;utm_source=sheet", "Apply")</f>
        <v>Apply</v>
      </c>
      <c r="C291" s="10" t="s">
        <v>23145</v>
      </c>
      <c r="D291" s="56" t="s">
        <v>1496</v>
      </c>
      <c r="E291" s="10" t="s">
        <v>45</v>
      </c>
      <c r="F291" s="10" t="s">
        <v>1497</v>
      </c>
      <c r="G291" s="10" t="s">
        <v>17</v>
      </c>
      <c r="H291" s="10" t="s">
        <v>23146</v>
      </c>
      <c r="I291" s="10" t="s">
        <v>55</v>
      </c>
      <c r="K291" s="10" t="s">
        <v>23147</v>
      </c>
      <c r="L291" s="10" t="s">
        <v>42</v>
      </c>
    </row>
    <row r="292" ht="15.75" customHeight="1">
      <c r="A292" s="64">
        <v>45449.0</v>
      </c>
      <c r="B292" s="55" t="str">
        <f>HYPERLINK("https://jobright.ai/jobs/info/666807e6d19f25c2c7cd0bce?utm_campaign=1055&amp;utm_source=sheet", "Apply")</f>
        <v>Apply</v>
      </c>
      <c r="C292" s="10" t="s">
        <v>23148</v>
      </c>
      <c r="D292" s="56" t="s">
        <v>1496</v>
      </c>
      <c r="E292" s="10" t="s">
        <v>45</v>
      </c>
      <c r="F292" s="10" t="s">
        <v>1497</v>
      </c>
      <c r="G292" s="10" t="s">
        <v>17</v>
      </c>
      <c r="H292" s="10" t="s">
        <v>23146</v>
      </c>
      <c r="I292" s="10" t="s">
        <v>55</v>
      </c>
      <c r="K292" s="10" t="s">
        <v>23147</v>
      </c>
      <c r="L292" s="10" t="s">
        <v>42</v>
      </c>
    </row>
    <row r="293" ht="15.75" customHeight="1">
      <c r="A293" s="64">
        <v>45449.0</v>
      </c>
      <c r="B293" s="55" t="str">
        <f>HYPERLINK("https://jobright.ai/jobs/info/6667d4420e75e6484ca401f6?utm_campaign=1055&amp;utm_source=sheet", "Apply")</f>
        <v>Apply</v>
      </c>
      <c r="C293" s="10" t="s">
        <v>23149</v>
      </c>
      <c r="D293" s="56" t="s">
        <v>9403</v>
      </c>
      <c r="E293" s="10" t="s">
        <v>45</v>
      </c>
      <c r="F293" s="10" t="s">
        <v>722</v>
      </c>
      <c r="G293" s="10" t="s">
        <v>17</v>
      </c>
      <c r="H293" s="10" t="s">
        <v>11846</v>
      </c>
      <c r="I293" s="10" t="s">
        <v>55</v>
      </c>
      <c r="K293" s="10" t="s">
        <v>23150</v>
      </c>
      <c r="L293" s="10" t="s">
        <v>42</v>
      </c>
    </row>
    <row r="294" ht="15.75" customHeight="1">
      <c r="A294" s="64">
        <v>45449.0</v>
      </c>
      <c r="B294" s="55" t="str">
        <f>HYPERLINK("https://jobright.ai/jobs/info/6667d6d70e75e6484ca408d7?utm_campaign=1055&amp;utm_source=sheet", "Apply")</f>
        <v>Apply</v>
      </c>
      <c r="C294" s="10" t="s">
        <v>23151</v>
      </c>
      <c r="D294" s="56" t="s">
        <v>1414</v>
      </c>
      <c r="E294" s="10" t="s">
        <v>45</v>
      </c>
      <c r="F294" s="10" t="s">
        <v>1415</v>
      </c>
      <c r="G294" s="10" t="s">
        <v>17</v>
      </c>
      <c r="H294" s="10" t="s">
        <v>1416</v>
      </c>
      <c r="I294" s="10" t="s">
        <v>55</v>
      </c>
      <c r="K294" s="10" t="s">
        <v>23152</v>
      </c>
      <c r="L294" s="10" t="s">
        <v>42</v>
      </c>
    </row>
    <row r="295" ht="15.75" customHeight="1">
      <c r="A295" s="64">
        <v>45448.0</v>
      </c>
      <c r="B295" s="55" t="str">
        <f>HYPERLINK("https://jobright.ai/jobs/info/665ead0ae9d88fa167143d92?utm_campaign=1055&amp;utm_source=sheet", "Apply")</f>
        <v>Apply</v>
      </c>
      <c r="C295" s="10" t="s">
        <v>23153</v>
      </c>
      <c r="D295" s="56" t="s">
        <v>23154</v>
      </c>
      <c r="E295" s="10" t="s">
        <v>65</v>
      </c>
      <c r="F295" s="10" t="s">
        <v>23155</v>
      </c>
      <c r="G295" s="10" t="s">
        <v>17</v>
      </c>
      <c r="H295" s="10" t="s">
        <v>96</v>
      </c>
      <c r="I295" s="10" t="s">
        <v>55</v>
      </c>
      <c r="K295" s="10" t="s">
        <v>23156</v>
      </c>
      <c r="L295" s="10" t="s">
        <v>42</v>
      </c>
    </row>
    <row r="296" ht="15.75" customHeight="1">
      <c r="A296" s="64">
        <v>45448.0</v>
      </c>
      <c r="B296" s="55" t="str">
        <f>HYPERLINK("https://jobright.ai/jobs/info/665eb4d177a0b99a447d13a5?utm_campaign=1055&amp;utm_source=sheet", "Apply")</f>
        <v>Apply</v>
      </c>
      <c r="C296" s="10" t="s">
        <v>23157</v>
      </c>
      <c r="D296" s="56" t="s">
        <v>23154</v>
      </c>
      <c r="E296" s="10" t="s">
        <v>65</v>
      </c>
      <c r="F296" s="10" t="s">
        <v>23155</v>
      </c>
      <c r="G296" s="10" t="s">
        <v>17</v>
      </c>
      <c r="H296" s="10" t="s">
        <v>96</v>
      </c>
      <c r="I296" s="10" t="s">
        <v>55</v>
      </c>
      <c r="K296" s="10" t="s">
        <v>23158</v>
      </c>
      <c r="L296" s="10" t="s">
        <v>42</v>
      </c>
    </row>
    <row r="297" ht="15.75" customHeight="1">
      <c r="A297" s="64">
        <v>45447.0</v>
      </c>
      <c r="B297" s="55" t="str">
        <f>HYPERLINK("https://jobright.ai/jobs/info/665eb4d177a0b99a447d13b0?utm_campaign=1055&amp;utm_source=sheet", "Apply")</f>
        <v>Apply</v>
      </c>
      <c r="C297" s="10" t="s">
        <v>23159</v>
      </c>
      <c r="D297" s="56" t="s">
        <v>23154</v>
      </c>
      <c r="E297" s="10" t="s">
        <v>65</v>
      </c>
      <c r="F297" s="10" t="s">
        <v>23155</v>
      </c>
      <c r="G297" s="10" t="s">
        <v>17</v>
      </c>
      <c r="H297" s="10" t="s">
        <v>96</v>
      </c>
      <c r="I297" s="10" t="s">
        <v>55</v>
      </c>
      <c r="K297" s="10" t="s">
        <v>23160</v>
      </c>
      <c r="L297" s="10" t="s">
        <v>42</v>
      </c>
    </row>
    <row r="298" ht="15.75" customHeight="1">
      <c r="A298" s="64">
        <v>45447.0</v>
      </c>
      <c r="B298" s="55" t="str">
        <f>HYPERLINK("https://jobright.ai/jobs/info/6668106ed19f25c2c7cd1ac0?utm_campaign=1055&amp;utm_source=sheet", "Apply")</f>
        <v>Apply</v>
      </c>
      <c r="C298" s="10" t="s">
        <v>23161</v>
      </c>
      <c r="D298" s="56" t="s">
        <v>8600</v>
      </c>
      <c r="E298" s="10">
        <v>20845.0</v>
      </c>
      <c r="G298" s="10" t="s">
        <v>17</v>
      </c>
      <c r="H298" s="10" t="s">
        <v>2275</v>
      </c>
      <c r="I298" s="10" t="s">
        <v>55</v>
      </c>
      <c r="K298" s="10" t="s">
        <v>23162</v>
      </c>
      <c r="L298" s="10" t="s">
        <v>42</v>
      </c>
    </row>
    <row r="299" ht="15.75" customHeight="1">
      <c r="A299" s="64">
        <v>45447.0</v>
      </c>
      <c r="B299" s="55" t="str">
        <f>HYPERLINK("https://jobright.ai/jobs/info/66680f19d19f25c2c7cd185e?utm_campaign=1055&amp;utm_source=sheet", "Apply")</f>
        <v>Apply</v>
      </c>
      <c r="C299" s="10" t="s">
        <v>23163</v>
      </c>
      <c r="D299" s="56" t="s">
        <v>12373</v>
      </c>
      <c r="E299" s="10" t="s">
        <v>209</v>
      </c>
      <c r="F299" s="10" t="s">
        <v>11154</v>
      </c>
      <c r="G299" s="10" t="s">
        <v>17</v>
      </c>
      <c r="H299" s="10" t="s">
        <v>1460</v>
      </c>
      <c r="I299" s="10" t="s">
        <v>55</v>
      </c>
      <c r="K299" s="10" t="s">
        <v>23164</v>
      </c>
      <c r="L299" s="10" t="s">
        <v>42</v>
      </c>
    </row>
    <row r="300" ht="15.75" customHeight="1">
      <c r="A300" s="64">
        <v>45447.0</v>
      </c>
      <c r="B300" s="55" t="str">
        <f>HYPERLINK("https://jobright.ai/jobs/info/66680fa4d19f25c2c7cd18f9?utm_campaign=1055&amp;utm_source=sheet", "Apply")</f>
        <v>Apply</v>
      </c>
      <c r="C300" s="10" t="s">
        <v>23165</v>
      </c>
      <c r="D300" s="56" t="s">
        <v>12373</v>
      </c>
      <c r="E300" s="10" t="s">
        <v>209</v>
      </c>
      <c r="F300" s="10" t="s">
        <v>11154</v>
      </c>
      <c r="G300" s="10" t="s">
        <v>17</v>
      </c>
      <c r="H300" s="10" t="s">
        <v>1460</v>
      </c>
      <c r="I300" s="10" t="s">
        <v>55</v>
      </c>
      <c r="K300" s="10" t="s">
        <v>23166</v>
      </c>
      <c r="L300" s="10" t="s">
        <v>42</v>
      </c>
    </row>
    <row r="301" ht="15.75" customHeight="1">
      <c r="A301" s="64">
        <v>45447.0</v>
      </c>
      <c r="B301" s="55" t="str">
        <f>HYPERLINK("https://jobright.ai/jobs/info/6668106ed19f25c2c7cd1ae5?utm_campaign=1055&amp;utm_source=sheet", "Apply")</f>
        <v>Apply</v>
      </c>
      <c r="C301" s="10" t="s">
        <v>23167</v>
      </c>
      <c r="D301" s="56" t="s">
        <v>12373</v>
      </c>
      <c r="E301" s="10" t="s">
        <v>209</v>
      </c>
      <c r="F301" s="10" t="s">
        <v>11154</v>
      </c>
      <c r="G301" s="10" t="s">
        <v>17</v>
      </c>
      <c r="H301" s="10" t="s">
        <v>1460</v>
      </c>
      <c r="I301" s="10" t="s">
        <v>55</v>
      </c>
      <c r="K301" s="10" t="s">
        <v>23168</v>
      </c>
      <c r="L301" s="10" t="s">
        <v>42</v>
      </c>
    </row>
    <row r="302" ht="15.75" customHeight="1">
      <c r="A302" s="64">
        <v>45447.0</v>
      </c>
      <c r="B302" s="55" t="str">
        <f>HYPERLINK("https://jobright.ai/jobs/info/66681e3d1c2d3f9f50323da5?utm_campaign=1055&amp;utm_source=sheet", "Apply")</f>
        <v>Apply</v>
      </c>
      <c r="C302" s="10" t="s">
        <v>23169</v>
      </c>
      <c r="D302" s="56" t="s">
        <v>15772</v>
      </c>
      <c r="E302" s="10" t="s">
        <v>209</v>
      </c>
      <c r="F302" s="10" t="s">
        <v>568</v>
      </c>
      <c r="G302" s="10" t="s">
        <v>17</v>
      </c>
      <c r="H302" s="10" t="s">
        <v>2275</v>
      </c>
      <c r="I302" s="10" t="s">
        <v>55</v>
      </c>
      <c r="K302" s="10" t="s">
        <v>23170</v>
      </c>
      <c r="L302" s="10" t="s">
        <v>42</v>
      </c>
    </row>
    <row r="303" ht="15.75" customHeight="1">
      <c r="A303" s="64">
        <v>45446.0</v>
      </c>
      <c r="B303" s="55" t="str">
        <f>HYPERLINK("https://jobright.ai/jobs/info/666003fff794dc145cb1a5a1?utm_campaign=1055&amp;utm_source=sheet", "Apply")</f>
        <v>Apply</v>
      </c>
      <c r="C303" s="10" t="s">
        <v>23171</v>
      </c>
      <c r="D303" s="56" t="s">
        <v>23154</v>
      </c>
      <c r="E303" s="10" t="s">
        <v>65</v>
      </c>
      <c r="F303" s="10" t="s">
        <v>23155</v>
      </c>
      <c r="G303" s="10" t="s">
        <v>17</v>
      </c>
      <c r="H303" s="10" t="s">
        <v>96</v>
      </c>
      <c r="I303" s="10" t="s">
        <v>55</v>
      </c>
      <c r="K303" s="10" t="s">
        <v>23172</v>
      </c>
      <c r="L303" s="10" t="s">
        <v>42</v>
      </c>
    </row>
    <row r="304" ht="15.75" customHeight="1">
      <c r="A304" s="64">
        <v>45444.0</v>
      </c>
      <c r="B304" s="55" t="str">
        <f>HYPERLINK("https://jobright.ai/jobs/info/6677d86e5793f82273cb5075?utm_campaign=1055&amp;utm_source=sheet", "Apply")</f>
        <v>Apply</v>
      </c>
      <c r="C304" s="10" t="s">
        <v>23173</v>
      </c>
      <c r="D304" s="56" t="s">
        <v>23174</v>
      </c>
      <c r="E304" s="10" t="s">
        <v>276</v>
      </c>
      <c r="F304" s="10" t="s">
        <v>23175</v>
      </c>
      <c r="G304" s="10" t="s">
        <v>17</v>
      </c>
      <c r="H304" s="10" t="s">
        <v>170</v>
      </c>
      <c r="I304" s="10" t="s">
        <v>55</v>
      </c>
      <c r="K304" s="10" t="s">
        <v>23176</v>
      </c>
      <c r="L304" s="10" t="s">
        <v>42</v>
      </c>
    </row>
    <row r="305" ht="15.75" customHeight="1">
      <c r="A305" s="64">
        <v>45444.0</v>
      </c>
      <c r="B305" s="55" t="str">
        <f>HYPERLINK("https://jobright.ai/jobs/info/6677dcbafbac42152a145d9d?utm_campaign=1055&amp;utm_source=sheet", "Apply")</f>
        <v>Apply</v>
      </c>
      <c r="C305" s="10" t="s">
        <v>23177</v>
      </c>
      <c r="D305" s="56" t="s">
        <v>23178</v>
      </c>
      <c r="E305" s="10" t="s">
        <v>71</v>
      </c>
      <c r="G305" s="10" t="s">
        <v>17</v>
      </c>
      <c r="H305" s="10" t="s">
        <v>131</v>
      </c>
      <c r="I305" s="10" t="s">
        <v>55</v>
      </c>
      <c r="K305" s="10" t="s">
        <v>23179</v>
      </c>
      <c r="L305" s="10" t="s">
        <v>42</v>
      </c>
    </row>
    <row r="306" ht="15.75" customHeight="1">
      <c r="A306" s="64">
        <v>45444.0</v>
      </c>
      <c r="B306" s="55" t="str">
        <f>HYPERLINK("https://jobright.ai/jobs/info/6677dd52fbac42152a146884?utm_campaign=1055&amp;utm_source=sheet", "Apply")</f>
        <v>Apply</v>
      </c>
      <c r="C306" s="10" t="s">
        <v>23180</v>
      </c>
      <c r="D306" s="56" t="s">
        <v>23181</v>
      </c>
      <c r="E306" s="10" t="s">
        <v>276</v>
      </c>
      <c r="F306" s="10" t="s">
        <v>6838</v>
      </c>
      <c r="G306" s="10" t="s">
        <v>17</v>
      </c>
      <c r="H306" s="10" t="s">
        <v>8914</v>
      </c>
      <c r="I306" s="10" t="s">
        <v>55</v>
      </c>
      <c r="K306" s="10" t="s">
        <v>23182</v>
      </c>
      <c r="L306" s="10" t="s">
        <v>42</v>
      </c>
    </row>
    <row r="307" ht="15.75" customHeight="1">
      <c r="A307" s="64">
        <v>45443.0</v>
      </c>
      <c r="B307" s="55" t="str">
        <f>HYPERLINK("https://jobright.ai/jobs/info/665a5314e44829f8e4d275f6?utm_campaign=1055&amp;utm_source=sheet", "Apply")</f>
        <v>Apply</v>
      </c>
      <c r="C307" s="10" t="s">
        <v>23183</v>
      </c>
      <c r="D307" s="56" t="s">
        <v>2941</v>
      </c>
      <c r="E307" s="10" t="s">
        <v>45</v>
      </c>
      <c r="F307" s="10" t="s">
        <v>2942</v>
      </c>
      <c r="G307" s="10" t="s">
        <v>17</v>
      </c>
      <c r="H307" s="10" t="s">
        <v>434</v>
      </c>
      <c r="I307" s="10" t="s">
        <v>55</v>
      </c>
      <c r="J307" s="10" t="s">
        <v>1189</v>
      </c>
      <c r="K307" s="10" t="s">
        <v>23184</v>
      </c>
      <c r="L307" s="10" t="s">
        <v>42</v>
      </c>
    </row>
    <row r="308" ht="15.75" customHeight="1">
      <c r="A308" s="64">
        <v>45443.0</v>
      </c>
      <c r="B308" s="55" t="str">
        <f>HYPERLINK("https://jobright.ai/jobs/info/66685be7b3577e6d5da7a34f?utm_campaign=1055&amp;utm_source=sheet", "Apply")</f>
        <v>Apply</v>
      </c>
      <c r="C308" s="10" t="s">
        <v>23185</v>
      </c>
      <c r="D308" s="56" t="s">
        <v>8803</v>
      </c>
      <c r="E308" s="10">
        <v>8.0</v>
      </c>
      <c r="G308" s="10" t="s">
        <v>17</v>
      </c>
      <c r="H308" s="10" t="s">
        <v>1533</v>
      </c>
      <c r="I308" s="10" t="s">
        <v>55</v>
      </c>
      <c r="K308" s="10" t="s">
        <v>23186</v>
      </c>
      <c r="L308" s="10" t="s">
        <v>42</v>
      </c>
    </row>
    <row r="309" ht="15.75" customHeight="1">
      <c r="A309" s="64">
        <v>45443.0</v>
      </c>
      <c r="B309" s="55" t="str">
        <f>HYPERLINK("https://jobright.ai/jobs/info/66685dd2b3577e6d5da7a89c?utm_campaign=1055&amp;utm_source=sheet", "Apply")</f>
        <v>Apply</v>
      </c>
      <c r="C309" s="10" t="s">
        <v>23187</v>
      </c>
      <c r="D309" s="56" t="s">
        <v>8803</v>
      </c>
      <c r="E309" s="10">
        <v>8.0</v>
      </c>
      <c r="G309" s="10" t="s">
        <v>17</v>
      </c>
      <c r="H309" s="10" t="s">
        <v>1533</v>
      </c>
      <c r="I309" s="10" t="s">
        <v>55</v>
      </c>
      <c r="K309" s="10" t="s">
        <v>23188</v>
      </c>
      <c r="L309" s="10" t="s">
        <v>42</v>
      </c>
    </row>
    <row r="310" ht="15.75" customHeight="1">
      <c r="A310" s="64">
        <v>45443.0</v>
      </c>
      <c r="B310" s="55" t="str">
        <f>HYPERLINK("https://jobright.ai/jobs/info/66685cfab3577e6d5da7a69f?utm_campaign=1055&amp;utm_source=sheet", "Apply")</f>
        <v>Apply</v>
      </c>
      <c r="C310" s="10" t="s">
        <v>23189</v>
      </c>
      <c r="D310" s="56" t="s">
        <v>8803</v>
      </c>
      <c r="E310" s="10">
        <v>8.0</v>
      </c>
      <c r="G310" s="10" t="s">
        <v>17</v>
      </c>
      <c r="H310" s="10" t="s">
        <v>2275</v>
      </c>
      <c r="I310" s="10" t="s">
        <v>55</v>
      </c>
      <c r="K310" s="10" t="s">
        <v>8804</v>
      </c>
      <c r="L310" s="10" t="s">
        <v>42</v>
      </c>
    </row>
    <row r="311" ht="15.75" customHeight="1">
      <c r="A311" s="64">
        <v>45442.0</v>
      </c>
      <c r="B311" s="55" t="str">
        <f>HYPERLINK("https://jobright.ai/jobs/info/66686a928208ff983dbcec86?utm_campaign=1055&amp;utm_source=sheet", "Apply")</f>
        <v>Apply</v>
      </c>
      <c r="C311" s="10" t="s">
        <v>23190</v>
      </c>
      <c r="D311" s="56" t="s">
        <v>4945</v>
      </c>
      <c r="E311" s="10" t="s">
        <v>45</v>
      </c>
      <c r="F311" s="10" t="s">
        <v>4946</v>
      </c>
      <c r="G311" s="10" t="s">
        <v>17</v>
      </c>
      <c r="H311" s="10" t="s">
        <v>9278</v>
      </c>
      <c r="I311" s="10" t="s">
        <v>55</v>
      </c>
      <c r="K311" s="10" t="s">
        <v>23191</v>
      </c>
      <c r="L311" s="10" t="s">
        <v>42</v>
      </c>
    </row>
    <row r="312" ht="15.75" customHeight="1">
      <c r="A312" s="64">
        <v>45440.0</v>
      </c>
      <c r="B312" s="55" t="str">
        <f>HYPERLINK("https://jobright.ai/jobs/info/665685b1261cdacfc028f4c3?utm_campaign=1055&amp;utm_source=sheet", "Apply")</f>
        <v>Apply</v>
      </c>
      <c r="C312" s="10" t="s">
        <v>23192</v>
      </c>
      <c r="D312" s="56" t="s">
        <v>2174</v>
      </c>
      <c r="E312" s="10">
        <v>294.0</v>
      </c>
      <c r="G312" s="10" t="s">
        <v>17</v>
      </c>
      <c r="H312" s="10" t="s">
        <v>113</v>
      </c>
      <c r="I312" s="10" t="s">
        <v>55</v>
      </c>
      <c r="J312" s="10" t="s">
        <v>1608</v>
      </c>
      <c r="K312" s="10" t="s">
        <v>23193</v>
      </c>
      <c r="L312" s="10" t="s">
        <v>42</v>
      </c>
    </row>
    <row r="313" ht="15.75" customHeight="1">
      <c r="A313" s="64">
        <v>45440.0</v>
      </c>
      <c r="B313" s="55" t="str">
        <f>HYPERLINK("https://jobright.ai/jobs/info/66566e709dfa60b19fadc102?utm_campaign=1055&amp;utm_source=sheet", "Apply")</f>
        <v>Apply</v>
      </c>
      <c r="C313" s="10" t="s">
        <v>23194</v>
      </c>
      <c r="D313" s="56" t="s">
        <v>2174</v>
      </c>
      <c r="E313" s="10">
        <v>294.0</v>
      </c>
      <c r="G313" s="10" t="s">
        <v>17</v>
      </c>
      <c r="H313" s="10" t="s">
        <v>96</v>
      </c>
      <c r="I313" s="10" t="s">
        <v>55</v>
      </c>
      <c r="J313" s="10" t="s">
        <v>1608</v>
      </c>
      <c r="K313" s="10" t="s">
        <v>23195</v>
      </c>
      <c r="L313" s="10" t="s">
        <v>42</v>
      </c>
    </row>
    <row r="314" ht="15.75" customHeight="1">
      <c r="A314" s="64">
        <v>45440.0</v>
      </c>
      <c r="B314" s="55" t="str">
        <f>HYPERLINK("https://jobright.ai/jobs/info/66566e789dfa60b19fadc12f?utm_campaign=1055&amp;utm_source=sheet", "Apply")</f>
        <v>Apply</v>
      </c>
      <c r="C314" s="10" t="s">
        <v>23196</v>
      </c>
      <c r="D314" s="56" t="s">
        <v>2174</v>
      </c>
      <c r="E314" s="10">
        <v>294.0</v>
      </c>
      <c r="G314" s="10" t="s">
        <v>17</v>
      </c>
      <c r="H314" s="10" t="s">
        <v>96</v>
      </c>
      <c r="I314" s="10" t="s">
        <v>55</v>
      </c>
      <c r="J314" s="10" t="s">
        <v>1608</v>
      </c>
      <c r="K314" s="10" t="s">
        <v>23197</v>
      </c>
      <c r="L314" s="10" t="s">
        <v>42</v>
      </c>
    </row>
    <row r="315" ht="15.75" customHeight="1">
      <c r="A315" s="64">
        <v>45439.0</v>
      </c>
      <c r="B315" s="55" t="str">
        <f>HYPERLINK("https://jobright.ai/jobs/info/6668839ff8309f8de12c5658?utm_campaign=1055&amp;utm_source=sheet", "Apply")</f>
        <v>Apply</v>
      </c>
      <c r="C315" s="10" t="s">
        <v>23198</v>
      </c>
      <c r="D315" s="56" t="s">
        <v>8803</v>
      </c>
      <c r="E315" s="10">
        <v>8.0</v>
      </c>
      <c r="G315" s="10" t="s">
        <v>17</v>
      </c>
      <c r="H315" s="10" t="s">
        <v>2275</v>
      </c>
      <c r="I315" s="10" t="s">
        <v>55</v>
      </c>
      <c r="K315" s="10" t="s">
        <v>23199</v>
      </c>
      <c r="L315" s="10" t="s">
        <v>42</v>
      </c>
    </row>
    <row r="316" ht="15.75" customHeight="1">
      <c r="A316" s="64">
        <v>45437.0</v>
      </c>
      <c r="B316" s="55" t="str">
        <f>HYPERLINK("https://jobright.ai/jobs/info/6676021ef1b86992c3646c70?utm_campaign=1055&amp;utm_source=sheet", "Apply")</f>
        <v>Apply</v>
      </c>
      <c r="C316" s="10" t="s">
        <v>23200</v>
      </c>
      <c r="D316" s="56" t="s">
        <v>23201</v>
      </c>
      <c r="E316" s="10" t="s">
        <v>276</v>
      </c>
      <c r="F316" s="10" t="s">
        <v>693</v>
      </c>
      <c r="G316" s="10" t="s">
        <v>17</v>
      </c>
      <c r="H316" s="10" t="s">
        <v>174</v>
      </c>
      <c r="I316" s="10" t="s">
        <v>55</v>
      </c>
      <c r="J316" s="10" t="s">
        <v>1797</v>
      </c>
      <c r="K316" s="10" t="s">
        <v>23202</v>
      </c>
      <c r="L316" s="10" t="s">
        <v>42</v>
      </c>
    </row>
    <row r="317" ht="15.75" customHeight="1">
      <c r="A317" s="64">
        <v>45437.0</v>
      </c>
      <c r="B317" s="55" t="str">
        <f>HYPERLINK("https://jobright.ai/jobs/info/6677de4afbac42152a147c77?utm_campaign=1055&amp;utm_source=sheet", "Apply")</f>
        <v>Apply</v>
      </c>
      <c r="C317" s="10" t="s">
        <v>23203</v>
      </c>
      <c r="D317" s="56" t="s">
        <v>23204</v>
      </c>
      <c r="E317" s="10">
        <v>122.0</v>
      </c>
      <c r="G317" s="10" t="s">
        <v>17</v>
      </c>
      <c r="H317" s="10" t="s">
        <v>23205</v>
      </c>
      <c r="I317" s="10" t="s">
        <v>55</v>
      </c>
      <c r="K317" s="10" t="s">
        <v>23206</v>
      </c>
      <c r="L317" s="10" t="s">
        <v>42</v>
      </c>
    </row>
    <row r="318" ht="15.75" customHeight="1">
      <c r="A318" s="64">
        <v>45436.0</v>
      </c>
      <c r="B318" s="55" t="str">
        <f>HYPERLINK("https://jobright.ai/jobs/info/665118dcd3bdea9925369c7a?utm_campaign=1055&amp;utm_source=sheet", "Apply")</f>
        <v>Apply</v>
      </c>
      <c r="C318" s="10" t="s">
        <v>23207</v>
      </c>
      <c r="D318" s="56" t="s">
        <v>23208</v>
      </c>
      <c r="E318" s="10">
        <v>9.0</v>
      </c>
      <c r="G318" s="10" t="s">
        <v>17</v>
      </c>
      <c r="H318" s="10" t="s">
        <v>4292</v>
      </c>
      <c r="I318" s="10" t="s">
        <v>55</v>
      </c>
      <c r="J318" s="10" t="s">
        <v>15638</v>
      </c>
      <c r="K318" s="10" t="s">
        <v>23209</v>
      </c>
      <c r="L318" s="10" t="s">
        <v>42</v>
      </c>
    </row>
    <row r="319" ht="15.75" customHeight="1">
      <c r="A319" s="64">
        <v>45436.0</v>
      </c>
      <c r="B319" s="55" t="str">
        <f>HYPERLINK("https://jobright.ai/jobs/info/666890437f6ba556721b6cb9?utm_campaign=1055&amp;utm_source=sheet", "Apply")</f>
        <v>Apply</v>
      </c>
      <c r="C319" s="10" t="s">
        <v>22629</v>
      </c>
      <c r="D319" s="56" t="s">
        <v>23210</v>
      </c>
      <c r="E319" s="10" t="s">
        <v>65</v>
      </c>
      <c r="F319" s="10" t="s">
        <v>18189</v>
      </c>
      <c r="G319" s="10" t="s">
        <v>17</v>
      </c>
      <c r="H319" s="10" t="s">
        <v>8668</v>
      </c>
      <c r="I319" s="10" t="s">
        <v>55</v>
      </c>
      <c r="K319" s="10" t="s">
        <v>23211</v>
      </c>
      <c r="L319" s="10" t="s">
        <v>42</v>
      </c>
    </row>
    <row r="320" ht="15.75" customHeight="1">
      <c r="A320" s="64">
        <v>45435.0</v>
      </c>
      <c r="B320" s="55" t="str">
        <f>HYPERLINK("https://jobright.ai/jobs/info/6677e30b783a239da8419051?utm_campaign=1055&amp;utm_source=sheet", "Apply")</f>
        <v>Apply</v>
      </c>
      <c r="C320" s="10" t="s">
        <v>23212</v>
      </c>
      <c r="D320" s="56" t="s">
        <v>9992</v>
      </c>
      <c r="E320" s="10">
        <v>339.0</v>
      </c>
      <c r="G320" s="10" t="s">
        <v>17</v>
      </c>
      <c r="H320" s="10" t="s">
        <v>6620</v>
      </c>
      <c r="I320" s="10" t="s">
        <v>55</v>
      </c>
      <c r="J320" s="10" t="s">
        <v>1960</v>
      </c>
      <c r="K320" s="10" t="s">
        <v>23213</v>
      </c>
      <c r="L320" s="10" t="s">
        <v>42</v>
      </c>
    </row>
    <row r="321" ht="15.75" customHeight="1">
      <c r="A321" s="64">
        <v>45435.0</v>
      </c>
      <c r="B321" s="55" t="str">
        <f>HYPERLINK("https://jobright.ai/jobs/info/6677e72c8edbb3fe78f3186d?utm_campaign=1055&amp;utm_source=sheet", "Apply")</f>
        <v>Apply</v>
      </c>
      <c r="C321" s="10" t="s">
        <v>23214</v>
      </c>
      <c r="D321" s="56" t="s">
        <v>23082</v>
      </c>
      <c r="E321" s="59">
        <v>45301.0</v>
      </c>
      <c r="F321" s="10" t="s">
        <v>10</v>
      </c>
      <c r="G321" s="10" t="s">
        <v>17</v>
      </c>
      <c r="H321" s="10" t="s">
        <v>3532</v>
      </c>
      <c r="I321" s="10" t="s">
        <v>55</v>
      </c>
      <c r="K321" s="10" t="s">
        <v>23215</v>
      </c>
      <c r="L321" s="10" t="s">
        <v>42</v>
      </c>
    </row>
    <row r="322" ht="15.75" customHeight="1">
      <c r="A322" s="64">
        <v>45435.0</v>
      </c>
      <c r="B322" s="55" t="str">
        <f>HYPERLINK("https://jobright.ai/jobs/info/6677f2919c81148ccaaee206?utm_campaign=1055&amp;utm_source=sheet", "Apply")</f>
        <v>Apply</v>
      </c>
      <c r="C322" s="10" t="s">
        <v>23216</v>
      </c>
      <c r="D322" s="56" t="s">
        <v>23217</v>
      </c>
      <c r="E322" s="10" t="s">
        <v>65</v>
      </c>
      <c r="F322" s="10" t="s">
        <v>23218</v>
      </c>
      <c r="G322" s="10" t="s">
        <v>17</v>
      </c>
      <c r="H322" s="10" t="s">
        <v>610</v>
      </c>
      <c r="I322" s="10" t="s">
        <v>55</v>
      </c>
      <c r="K322" s="10" t="s">
        <v>23219</v>
      </c>
      <c r="L322" s="10" t="s">
        <v>42</v>
      </c>
    </row>
    <row r="323" ht="15.75" customHeight="1">
      <c r="A323" s="64">
        <v>45434.0</v>
      </c>
      <c r="B323" s="55" t="str">
        <f>HYPERLINK("https://jobright.ai/jobs/info/6676335ee272243dcd4f5dc8?utm_campaign=1055&amp;utm_source=sheet", "Apply")</f>
        <v>Apply</v>
      </c>
      <c r="C323" s="10" t="s">
        <v>23220</v>
      </c>
      <c r="D323" s="56" t="s">
        <v>23221</v>
      </c>
      <c r="E323" s="10">
        <v>529.0</v>
      </c>
      <c r="G323" s="10" t="s">
        <v>17</v>
      </c>
      <c r="H323" s="10" t="s">
        <v>159</v>
      </c>
      <c r="I323" s="10" t="s">
        <v>55</v>
      </c>
      <c r="K323" s="10" t="s">
        <v>23222</v>
      </c>
      <c r="L323" s="10" t="s">
        <v>42</v>
      </c>
    </row>
    <row r="324" ht="15.75" customHeight="1">
      <c r="A324" s="64">
        <v>45432.0</v>
      </c>
      <c r="B324" s="55" t="str">
        <f>HYPERLINK("https://jobright.ai/jobs/info/6669181fef71c96a7fcbcaf4?utm_campaign=1055&amp;utm_source=sheet", "Apply")</f>
        <v>Apply</v>
      </c>
      <c r="C324" s="10" t="s">
        <v>23223</v>
      </c>
      <c r="D324" s="56" t="s">
        <v>1496</v>
      </c>
      <c r="E324" s="10" t="s">
        <v>45</v>
      </c>
      <c r="F324" s="10" t="s">
        <v>1497</v>
      </c>
      <c r="G324" s="10" t="s">
        <v>17</v>
      </c>
      <c r="H324" s="10" t="s">
        <v>8831</v>
      </c>
      <c r="I324" s="10" t="s">
        <v>55</v>
      </c>
      <c r="K324" s="10" t="s">
        <v>23224</v>
      </c>
      <c r="L324" s="10" t="s">
        <v>42</v>
      </c>
    </row>
    <row r="325" ht="15.75" customHeight="1">
      <c r="A325" s="64">
        <v>45429.0</v>
      </c>
      <c r="B325" s="55" t="str">
        <f>HYPERLINK("https://jobright.ai/jobs/info/66691866ef71c96a7fcbcfbe?utm_campaign=1055&amp;utm_source=sheet", "Apply")</f>
        <v>Apply</v>
      </c>
      <c r="C325" s="10" t="s">
        <v>23225</v>
      </c>
      <c r="D325" s="56" t="s">
        <v>1496</v>
      </c>
      <c r="E325" s="10" t="s">
        <v>45</v>
      </c>
      <c r="F325" s="10" t="s">
        <v>1497</v>
      </c>
      <c r="G325" s="10" t="s">
        <v>17</v>
      </c>
      <c r="H325" s="10" t="s">
        <v>1460</v>
      </c>
      <c r="I325" s="10" t="s">
        <v>55</v>
      </c>
      <c r="K325" s="10" t="s">
        <v>23226</v>
      </c>
      <c r="L325" s="10" t="s">
        <v>42</v>
      </c>
    </row>
    <row r="326" ht="15.75" customHeight="1">
      <c r="A326" s="64">
        <v>45428.0</v>
      </c>
      <c r="B326" s="55" t="str">
        <f>HYPERLINK("https://jobright.ai/jobs/info/6646b05bba15bea674980495?utm_campaign=1055&amp;utm_source=sheet", "Apply")</f>
        <v>Apply</v>
      </c>
      <c r="C326" s="10" t="s">
        <v>23212</v>
      </c>
      <c r="D326" s="56" t="s">
        <v>9992</v>
      </c>
      <c r="E326" s="10">
        <v>339.0</v>
      </c>
      <c r="G326" s="10" t="s">
        <v>17</v>
      </c>
      <c r="H326" s="10" t="s">
        <v>3196</v>
      </c>
      <c r="I326" s="10" t="s">
        <v>55</v>
      </c>
      <c r="J326" s="10" t="s">
        <v>1960</v>
      </c>
      <c r="K326" s="10" t="s">
        <v>23213</v>
      </c>
      <c r="L326" s="10" t="s">
        <v>42</v>
      </c>
    </row>
    <row r="327" ht="15.75" customHeight="1">
      <c r="A327" s="64">
        <v>45427.0</v>
      </c>
      <c r="B327" s="55" t="str">
        <f>HYPERLINK("https://jobright.ai/jobs/info/66692083c327d9911b6d4eeb?utm_campaign=1055&amp;utm_source=sheet", "Apply")</f>
        <v>Apply</v>
      </c>
      <c r="C327" s="10" t="s">
        <v>23227</v>
      </c>
      <c r="D327" s="56" t="s">
        <v>23210</v>
      </c>
      <c r="E327" s="10" t="s">
        <v>65</v>
      </c>
      <c r="F327" s="10" t="s">
        <v>18189</v>
      </c>
      <c r="G327" s="10" t="s">
        <v>17</v>
      </c>
      <c r="H327" s="10" t="s">
        <v>2275</v>
      </c>
      <c r="I327" s="10" t="s">
        <v>55</v>
      </c>
      <c r="K327" s="10" t="s">
        <v>23228</v>
      </c>
      <c r="L327" s="10" t="s">
        <v>42</v>
      </c>
    </row>
    <row r="328" ht="15.75" customHeight="1">
      <c r="A328" s="64">
        <v>45427.0</v>
      </c>
      <c r="B328" s="55" t="str">
        <f>HYPERLINK("https://jobright.ai/jobs/info/6669208ec327d9911b6d4fdd?utm_campaign=1055&amp;utm_source=sheet", "Apply")</f>
        <v>Apply</v>
      </c>
      <c r="C328" s="10" t="s">
        <v>23229</v>
      </c>
      <c r="D328" s="56" t="s">
        <v>15772</v>
      </c>
      <c r="E328" s="10" t="s">
        <v>209</v>
      </c>
      <c r="F328" s="10" t="s">
        <v>568</v>
      </c>
      <c r="G328" s="10" t="s">
        <v>17</v>
      </c>
      <c r="H328" s="10" t="s">
        <v>20572</v>
      </c>
      <c r="I328" s="10" t="s">
        <v>55</v>
      </c>
      <c r="K328" s="10" t="s">
        <v>23230</v>
      </c>
      <c r="L328" s="10" t="s">
        <v>42</v>
      </c>
    </row>
    <row r="329" ht="15.75" customHeight="1">
      <c r="A329" s="64">
        <v>45426.0</v>
      </c>
      <c r="B329" s="55" t="str">
        <f>HYPERLINK("https://jobright.ai/jobs/info/66439bebfa424e84f20d4ea3?utm_campaign=1055&amp;utm_source=sheet", "Apply")</f>
        <v>Apply</v>
      </c>
      <c r="C329" s="10" t="s">
        <v>23231</v>
      </c>
      <c r="D329" s="56" t="s">
        <v>15691</v>
      </c>
      <c r="E329" s="10" t="s">
        <v>137</v>
      </c>
      <c r="F329" s="10" t="s">
        <v>15692</v>
      </c>
      <c r="G329" s="10" t="s">
        <v>17</v>
      </c>
      <c r="H329" s="10" t="s">
        <v>96</v>
      </c>
      <c r="I329" s="10" t="s">
        <v>48</v>
      </c>
      <c r="K329" s="10" t="s">
        <v>23232</v>
      </c>
      <c r="L329" s="10" t="s">
        <v>42</v>
      </c>
    </row>
    <row r="330" ht="15.75" customHeight="1">
      <c r="A330" s="64">
        <v>45425.0</v>
      </c>
      <c r="B330" s="55" t="str">
        <f>HYPERLINK("https://jobright.ai/jobs/info/6669261fe4014402c8870c9d?utm_campaign=1055&amp;utm_source=sheet", "Apply")</f>
        <v>Apply</v>
      </c>
      <c r="C330" s="10" t="s">
        <v>23233</v>
      </c>
      <c r="D330" s="56" t="s">
        <v>1496</v>
      </c>
      <c r="E330" s="10" t="s">
        <v>45</v>
      </c>
      <c r="F330" s="10" t="s">
        <v>1497</v>
      </c>
      <c r="G330" s="10" t="s">
        <v>17</v>
      </c>
      <c r="H330" s="10" t="s">
        <v>1460</v>
      </c>
      <c r="I330" s="10" t="s">
        <v>55</v>
      </c>
      <c r="K330" s="10" t="s">
        <v>23234</v>
      </c>
      <c r="L330" s="10" t="s">
        <v>42</v>
      </c>
    </row>
    <row r="331" ht="15.75" customHeight="1">
      <c r="A331" s="64">
        <v>45422.0</v>
      </c>
      <c r="B331" s="55" t="str">
        <f>HYPERLINK("https://jobright.ai/jobs/info/666cbfe6728678d3429980d6?utm_campaign=1055&amp;utm_source=sheet", "Apply")</f>
        <v>Apply</v>
      </c>
      <c r="C331" s="10" t="s">
        <v>23235</v>
      </c>
      <c r="D331" s="56" t="s">
        <v>23217</v>
      </c>
      <c r="E331" s="10" t="s">
        <v>65</v>
      </c>
      <c r="F331" s="10" t="s">
        <v>23218</v>
      </c>
      <c r="G331" s="10" t="s">
        <v>17</v>
      </c>
      <c r="H331" s="10" t="s">
        <v>18599</v>
      </c>
      <c r="I331" s="10" t="s">
        <v>55</v>
      </c>
      <c r="K331" s="10" t="s">
        <v>23219</v>
      </c>
      <c r="L331" s="10" t="s">
        <v>42</v>
      </c>
    </row>
    <row r="332" ht="15.75" customHeight="1">
      <c r="A332" s="64">
        <v>45420.0</v>
      </c>
      <c r="B332" s="55" t="str">
        <f>HYPERLINK("https://jobright.ai/jobs/info/663c1d808b52a5d167a30100?utm_campaign=1055&amp;utm_source=sheet", "Apply")</f>
        <v>Apply</v>
      </c>
      <c r="C332" s="10" t="s">
        <v>23236</v>
      </c>
      <c r="D332" s="56" t="s">
        <v>23237</v>
      </c>
      <c r="E332" s="10" t="s">
        <v>276</v>
      </c>
      <c r="F332" s="10" t="s">
        <v>23238</v>
      </c>
      <c r="G332" s="10" t="s">
        <v>17</v>
      </c>
      <c r="H332" s="10" t="s">
        <v>1013</v>
      </c>
      <c r="I332" s="10" t="s">
        <v>55</v>
      </c>
      <c r="K332" s="10" t="s">
        <v>23239</v>
      </c>
      <c r="L332" s="10" t="s">
        <v>42</v>
      </c>
    </row>
    <row r="333" ht="15.75" customHeight="1">
      <c r="A333" s="64">
        <v>45419.0</v>
      </c>
      <c r="B333" s="55" t="str">
        <f>HYPERLINK("https://jobright.ai/jobs/info/6669317932b5c01ae039820a?utm_campaign=1055&amp;utm_source=sheet", "Apply")</f>
        <v>Apply</v>
      </c>
      <c r="C333" s="10" t="s">
        <v>23240</v>
      </c>
      <c r="D333" s="56" t="s">
        <v>15772</v>
      </c>
      <c r="E333" s="10" t="s">
        <v>209</v>
      </c>
      <c r="F333" s="10" t="s">
        <v>568</v>
      </c>
      <c r="G333" s="10" t="s">
        <v>17</v>
      </c>
      <c r="H333" s="10" t="s">
        <v>1460</v>
      </c>
      <c r="I333" s="10" t="s">
        <v>55</v>
      </c>
      <c r="K333" s="10" t="s">
        <v>23241</v>
      </c>
      <c r="L333" s="10" t="s">
        <v>42</v>
      </c>
    </row>
    <row r="334" ht="15.75" customHeight="1">
      <c r="A334" s="64">
        <v>45419.0</v>
      </c>
      <c r="B334" s="55" t="str">
        <f>HYPERLINK("https://jobright.ai/jobs/info/6669317932b5c01ae0398199?utm_campaign=1055&amp;utm_source=sheet", "Apply")</f>
        <v>Apply</v>
      </c>
      <c r="C334" s="10" t="s">
        <v>23242</v>
      </c>
      <c r="D334" s="56" t="s">
        <v>15772</v>
      </c>
      <c r="E334" s="10" t="s">
        <v>209</v>
      </c>
      <c r="F334" s="10" t="s">
        <v>568</v>
      </c>
      <c r="G334" s="10" t="s">
        <v>17</v>
      </c>
      <c r="H334" s="10" t="s">
        <v>1460</v>
      </c>
      <c r="I334" s="10" t="s">
        <v>55</v>
      </c>
      <c r="K334" s="10" t="s">
        <v>23243</v>
      </c>
      <c r="L334" s="10" t="s">
        <v>42</v>
      </c>
    </row>
    <row r="335" ht="15.75" customHeight="1">
      <c r="A335" s="66">
        <v>45415.0</v>
      </c>
      <c r="B335" s="55" t="str">
        <f>HYPERLINK("https://jobright.ai/jobs/info/66693fe68f0265d34931b0e9?utm_campaign=1055&amp;utm_source=sheet", "Apply")</f>
        <v>Apply</v>
      </c>
      <c r="C335" s="10" t="s">
        <v>23244</v>
      </c>
      <c r="D335" s="56" t="s">
        <v>1496</v>
      </c>
      <c r="E335" s="10" t="s">
        <v>45</v>
      </c>
      <c r="F335" s="10" t="s">
        <v>1497</v>
      </c>
      <c r="G335" s="10" t="s">
        <v>17</v>
      </c>
      <c r="H335" s="10" t="s">
        <v>20572</v>
      </c>
      <c r="I335" s="10" t="s">
        <v>55</v>
      </c>
      <c r="K335" s="10" t="s">
        <v>23245</v>
      </c>
      <c r="L335" s="10" t="s">
        <v>42</v>
      </c>
    </row>
    <row r="336" ht="15.75" customHeight="1">
      <c r="A336" s="66">
        <v>45413.0</v>
      </c>
      <c r="B336" s="55" t="str">
        <f>HYPERLINK("https://jobright.ai/jobs/info/6669403f8f0265d34931b5e5?utm_campaign=1055&amp;utm_source=sheet", "Apply")</f>
        <v>Apply</v>
      </c>
      <c r="C336" s="10" t="s">
        <v>23246</v>
      </c>
      <c r="D336" s="56" t="s">
        <v>22993</v>
      </c>
      <c r="E336" s="10" t="s">
        <v>65</v>
      </c>
      <c r="F336" s="10" t="s">
        <v>13470</v>
      </c>
      <c r="G336" s="10" t="s">
        <v>17</v>
      </c>
      <c r="H336" s="10" t="s">
        <v>966</v>
      </c>
      <c r="I336" s="10" t="s">
        <v>55</v>
      </c>
      <c r="K336" s="10" t="s">
        <v>23247</v>
      </c>
      <c r="L336" s="10" t="s">
        <v>42</v>
      </c>
    </row>
    <row r="337" ht="15.75" customHeight="1">
      <c r="A337" s="66">
        <v>45413.0</v>
      </c>
      <c r="B337" s="55" t="str">
        <f>HYPERLINK("https://jobright.ai/jobs/info/6669404d8f0265d34931b664?utm_campaign=1055&amp;utm_source=sheet", "Apply")</f>
        <v>Apply</v>
      </c>
      <c r="C337" s="10" t="s">
        <v>23248</v>
      </c>
      <c r="D337" s="56" t="s">
        <v>22993</v>
      </c>
      <c r="E337" s="10" t="s">
        <v>65</v>
      </c>
      <c r="F337" s="10" t="s">
        <v>13470</v>
      </c>
      <c r="G337" s="10" t="s">
        <v>17</v>
      </c>
      <c r="H337" s="10" t="s">
        <v>144</v>
      </c>
      <c r="I337" s="10" t="s">
        <v>55</v>
      </c>
      <c r="J337" s="10" t="s">
        <v>22994</v>
      </c>
      <c r="K337" s="10" t="s">
        <v>23249</v>
      </c>
      <c r="L337" s="10" t="s">
        <v>42</v>
      </c>
    </row>
    <row r="338" ht="15.75" customHeight="1">
      <c r="A338" s="66">
        <v>45413.0</v>
      </c>
      <c r="B338" s="55" t="str">
        <f>HYPERLINK("https://jobright.ai/jobs/info/6669405c8f0265d34931b792?utm_campaign=1055&amp;utm_source=sheet", "Apply")</f>
        <v>Apply</v>
      </c>
      <c r="C338" s="10" t="s">
        <v>23250</v>
      </c>
      <c r="D338" s="56" t="s">
        <v>22993</v>
      </c>
      <c r="E338" s="10" t="s">
        <v>65</v>
      </c>
      <c r="F338" s="10" t="s">
        <v>13470</v>
      </c>
      <c r="G338" s="10" t="s">
        <v>17</v>
      </c>
      <c r="H338" s="10" t="s">
        <v>860</v>
      </c>
      <c r="I338" s="10" t="s">
        <v>55</v>
      </c>
      <c r="K338" s="10" t="s">
        <v>23251</v>
      </c>
      <c r="L338" s="10" t="s">
        <v>42</v>
      </c>
    </row>
    <row r="339" ht="15.75" customHeight="1">
      <c r="A339" s="66">
        <v>45413.0</v>
      </c>
      <c r="B339" s="55" t="str">
        <f>HYPERLINK("https://jobright.ai/jobs/info/6669404d8f0265d34931b6d8?utm_campaign=1055&amp;utm_source=sheet", "Apply")</f>
        <v>Apply</v>
      </c>
      <c r="C339" s="10" t="s">
        <v>23252</v>
      </c>
      <c r="D339" s="56" t="s">
        <v>22993</v>
      </c>
      <c r="E339" s="10" t="s">
        <v>65</v>
      </c>
      <c r="F339" s="10" t="s">
        <v>13470</v>
      </c>
      <c r="G339" s="10" t="s">
        <v>17</v>
      </c>
      <c r="H339" s="10" t="s">
        <v>113</v>
      </c>
      <c r="I339" s="10" t="s">
        <v>55</v>
      </c>
      <c r="K339" s="10" t="s">
        <v>23253</v>
      </c>
      <c r="L339" s="10" t="s">
        <v>42</v>
      </c>
    </row>
    <row r="340" ht="15.75" customHeight="1">
      <c r="A340" s="66">
        <v>45413.0</v>
      </c>
      <c r="B340" s="55" t="str">
        <f>HYPERLINK("https://jobright.ai/jobs/info/6669405c8f0265d34931b7ad?utm_campaign=1055&amp;utm_source=sheet", "Apply")</f>
        <v>Apply</v>
      </c>
      <c r="C340" s="10" t="s">
        <v>23254</v>
      </c>
      <c r="D340" s="56" t="s">
        <v>22993</v>
      </c>
      <c r="E340" s="10" t="s">
        <v>65</v>
      </c>
      <c r="F340" s="10" t="s">
        <v>13470</v>
      </c>
      <c r="G340" s="10" t="s">
        <v>17</v>
      </c>
      <c r="H340" s="10" t="s">
        <v>1260</v>
      </c>
      <c r="I340" s="10" t="s">
        <v>55</v>
      </c>
      <c r="J340" s="10" t="s">
        <v>22994</v>
      </c>
      <c r="K340" s="10" t="s">
        <v>23255</v>
      </c>
      <c r="L340" s="10" t="s">
        <v>42</v>
      </c>
    </row>
    <row r="341" ht="15.75" customHeight="1">
      <c r="A341" s="66">
        <v>45413.0</v>
      </c>
      <c r="B341" s="55" t="str">
        <f>HYPERLINK("https://jobright.ai/jobs/info/6669404d8f0265d34931b6ba?utm_campaign=1055&amp;utm_source=sheet", "Apply")</f>
        <v>Apply</v>
      </c>
      <c r="C341" s="10" t="s">
        <v>23256</v>
      </c>
      <c r="D341" s="56" t="s">
        <v>22993</v>
      </c>
      <c r="E341" s="10" t="s">
        <v>65</v>
      </c>
      <c r="F341" s="10" t="s">
        <v>13470</v>
      </c>
      <c r="G341" s="10" t="s">
        <v>17</v>
      </c>
      <c r="H341" s="10" t="s">
        <v>96</v>
      </c>
      <c r="I341" s="10" t="s">
        <v>55</v>
      </c>
      <c r="J341" s="10" t="s">
        <v>22994</v>
      </c>
      <c r="K341" s="10" t="s">
        <v>23257</v>
      </c>
      <c r="L341" s="10" t="s">
        <v>42</v>
      </c>
    </row>
    <row r="342" ht="15.75" customHeight="1">
      <c r="A342" s="66">
        <v>45413.0</v>
      </c>
      <c r="B342" s="55" t="str">
        <f>HYPERLINK("https://jobright.ai/jobs/info/6669404d8f0265d34931b701?utm_campaign=1055&amp;utm_source=sheet", "Apply")</f>
        <v>Apply</v>
      </c>
      <c r="C342" s="10" t="s">
        <v>23258</v>
      </c>
      <c r="D342" s="56" t="s">
        <v>22993</v>
      </c>
      <c r="E342" s="10" t="s">
        <v>65</v>
      </c>
      <c r="F342" s="10" t="s">
        <v>13470</v>
      </c>
      <c r="G342" s="10" t="s">
        <v>17</v>
      </c>
      <c r="H342" s="10" t="s">
        <v>165</v>
      </c>
      <c r="I342" s="10" t="s">
        <v>55</v>
      </c>
      <c r="J342" s="10" t="s">
        <v>22994</v>
      </c>
      <c r="K342" s="10" t="s">
        <v>23259</v>
      </c>
      <c r="L342" s="10" t="s">
        <v>42</v>
      </c>
    </row>
    <row r="343" ht="15.75" customHeight="1">
      <c r="A343" s="66">
        <v>45413.0</v>
      </c>
      <c r="B343" s="55" t="str">
        <f>HYPERLINK("https://jobright.ai/jobs/info/6669404d8f0265d34931b6e6?utm_campaign=1055&amp;utm_source=sheet", "Apply")</f>
        <v>Apply</v>
      </c>
      <c r="C343" s="10" t="s">
        <v>23260</v>
      </c>
      <c r="D343" s="56" t="s">
        <v>22993</v>
      </c>
      <c r="E343" s="10" t="s">
        <v>65</v>
      </c>
      <c r="F343" s="10" t="s">
        <v>13470</v>
      </c>
      <c r="G343" s="10" t="s">
        <v>17</v>
      </c>
      <c r="H343" s="10" t="s">
        <v>146</v>
      </c>
      <c r="I343" s="10" t="s">
        <v>55</v>
      </c>
      <c r="K343" s="10" t="s">
        <v>23261</v>
      </c>
      <c r="L343" s="10" t="s">
        <v>42</v>
      </c>
    </row>
    <row r="344" ht="15.75" customHeight="1">
      <c r="A344" s="66">
        <v>45413.0</v>
      </c>
      <c r="B344" s="55" t="str">
        <f>HYPERLINK("https://jobright.ai/jobs/info/6669405c8f0265d34931b74b?utm_campaign=1055&amp;utm_source=sheet", "Apply")</f>
        <v>Apply</v>
      </c>
      <c r="C344" s="10" t="s">
        <v>23262</v>
      </c>
      <c r="D344" s="56" t="s">
        <v>22993</v>
      </c>
      <c r="E344" s="10" t="s">
        <v>65</v>
      </c>
      <c r="F344" s="10" t="s">
        <v>13470</v>
      </c>
      <c r="G344" s="10" t="s">
        <v>17</v>
      </c>
      <c r="H344" s="10" t="s">
        <v>423</v>
      </c>
      <c r="I344" s="10" t="s">
        <v>55</v>
      </c>
      <c r="J344" s="10" t="s">
        <v>22994</v>
      </c>
      <c r="K344" s="10" t="s">
        <v>23263</v>
      </c>
      <c r="L344" s="10" t="s">
        <v>42</v>
      </c>
    </row>
    <row r="345" ht="15.75" customHeight="1">
      <c r="A345" s="66">
        <v>45413.0</v>
      </c>
      <c r="B345" s="55" t="str">
        <f>HYPERLINK("https://jobright.ai/jobs/info/6669404d8f0265d34931b6f1?utm_campaign=1055&amp;utm_source=sheet", "Apply")</f>
        <v>Apply</v>
      </c>
      <c r="C345" s="10" t="s">
        <v>23264</v>
      </c>
      <c r="D345" s="56" t="s">
        <v>22993</v>
      </c>
      <c r="E345" s="10" t="s">
        <v>65</v>
      </c>
      <c r="F345" s="10" t="s">
        <v>13470</v>
      </c>
      <c r="G345" s="10" t="s">
        <v>17</v>
      </c>
      <c r="H345" s="10" t="s">
        <v>986</v>
      </c>
      <c r="I345" s="10" t="s">
        <v>55</v>
      </c>
      <c r="K345" s="10" t="s">
        <v>23253</v>
      </c>
      <c r="L345" s="10" t="s">
        <v>42</v>
      </c>
    </row>
    <row r="346" ht="15.75" customHeight="1">
      <c r="A346" s="66"/>
      <c r="D346" s="56"/>
    </row>
    <row r="347">
      <c r="A347" s="66"/>
      <c r="D347" s="56"/>
    </row>
    <row r="348">
      <c r="A348" s="66"/>
      <c r="D348" s="56"/>
    </row>
    <row r="349">
      <c r="A349" s="66"/>
      <c r="D349" s="56"/>
    </row>
    <row r="350">
      <c r="A350" s="66"/>
      <c r="D350" s="56"/>
    </row>
    <row r="351">
      <c r="A351" s="66"/>
      <c r="D351" s="56"/>
    </row>
    <row r="352">
      <c r="A352" s="66"/>
      <c r="D352" s="56"/>
    </row>
    <row r="353">
      <c r="A353" s="66"/>
      <c r="D353" s="56"/>
    </row>
    <row r="354">
      <c r="A354" s="66"/>
      <c r="D354" s="56"/>
    </row>
    <row r="355">
      <c r="A355" s="66"/>
      <c r="D355" s="56"/>
    </row>
    <row r="356">
      <c r="A356" s="66"/>
      <c r="D356" s="56"/>
    </row>
    <row r="357">
      <c r="A357" s="66"/>
      <c r="D357" s="56"/>
    </row>
    <row r="358">
      <c r="A358" s="66"/>
      <c r="D358" s="56"/>
    </row>
    <row r="359">
      <c r="A359" s="66"/>
      <c r="D359" s="56"/>
    </row>
    <row r="360">
      <c r="A360" s="66"/>
      <c r="D360" s="56"/>
    </row>
    <row r="361">
      <c r="A361" s="66"/>
      <c r="D361" s="56"/>
    </row>
    <row r="362">
      <c r="A362" s="66"/>
      <c r="D362" s="56"/>
    </row>
    <row r="363">
      <c r="A363" s="66"/>
      <c r="D363" s="56"/>
    </row>
    <row r="364">
      <c r="A364" s="66"/>
      <c r="D364" s="56"/>
    </row>
    <row r="365">
      <c r="A365" s="66"/>
      <c r="D365" s="56"/>
    </row>
    <row r="366">
      <c r="A366" s="66"/>
      <c r="D366" s="56"/>
    </row>
    <row r="367">
      <c r="A367" s="66"/>
      <c r="D367" s="56"/>
    </row>
    <row r="368">
      <c r="A368" s="66"/>
      <c r="D368" s="56"/>
    </row>
    <row r="369">
      <c r="A369" s="66"/>
      <c r="D369" s="56"/>
    </row>
    <row r="370">
      <c r="A370" s="66"/>
      <c r="D370" s="56"/>
    </row>
    <row r="371">
      <c r="A371" s="66"/>
      <c r="D371" s="56"/>
    </row>
    <row r="372">
      <c r="A372" s="67"/>
      <c r="D372" s="56"/>
    </row>
    <row r="373">
      <c r="A373" s="67"/>
      <c r="D373" s="56"/>
    </row>
    <row r="374">
      <c r="A374" s="67"/>
      <c r="D374" s="56"/>
    </row>
    <row r="375">
      <c r="A375" s="67"/>
      <c r="D375" s="56"/>
    </row>
    <row r="376">
      <c r="A376" s="67"/>
      <c r="D376" s="56"/>
    </row>
    <row r="377">
      <c r="A377" s="67"/>
      <c r="D377" s="56"/>
    </row>
    <row r="378">
      <c r="A378" s="67"/>
      <c r="D378" s="63"/>
    </row>
    <row r="379">
      <c r="A379" s="67"/>
      <c r="D379" s="63"/>
    </row>
    <row r="380">
      <c r="A380" s="67"/>
      <c r="D380" s="63"/>
    </row>
    <row r="381">
      <c r="A381" s="67"/>
      <c r="D381" s="63"/>
    </row>
    <row r="382">
      <c r="A382" s="67"/>
      <c r="D382" s="63"/>
    </row>
    <row r="383">
      <c r="A383" s="67"/>
      <c r="D383" s="63"/>
    </row>
    <row r="384">
      <c r="A384" s="67"/>
      <c r="D384" s="63"/>
    </row>
    <row r="385">
      <c r="A385" s="67"/>
      <c r="D385" s="63"/>
    </row>
    <row r="386">
      <c r="A386" s="67"/>
      <c r="D386" s="63"/>
    </row>
    <row r="387">
      <c r="A387" s="67"/>
      <c r="D387" s="63"/>
    </row>
    <row r="388">
      <c r="A388" s="67"/>
      <c r="D388" s="63"/>
    </row>
    <row r="389">
      <c r="A389" s="67"/>
      <c r="D389" s="63"/>
    </row>
    <row r="390">
      <c r="A390" s="67"/>
      <c r="D390" s="63"/>
    </row>
    <row r="391">
      <c r="A391" s="67"/>
      <c r="D391" s="63"/>
    </row>
    <row r="392">
      <c r="A392" s="67"/>
      <c r="D392" s="63"/>
    </row>
    <row r="393">
      <c r="A393" s="67"/>
      <c r="D393" s="63"/>
    </row>
    <row r="394">
      <c r="A394" s="67"/>
      <c r="D394" s="63"/>
    </row>
    <row r="395">
      <c r="A395" s="67"/>
      <c r="D395" s="63"/>
    </row>
    <row r="396">
      <c r="A396" s="67"/>
      <c r="D396" s="63"/>
    </row>
    <row r="397">
      <c r="A397" s="67"/>
      <c r="D397" s="63"/>
    </row>
    <row r="398">
      <c r="A398" s="67"/>
      <c r="D398" s="63"/>
    </row>
    <row r="399">
      <c r="A399" s="67"/>
      <c r="D399" s="63"/>
    </row>
    <row r="400">
      <c r="A400" s="67"/>
      <c r="D400" s="63"/>
    </row>
    <row r="401">
      <c r="A401" s="67"/>
      <c r="D401" s="63"/>
    </row>
    <row r="402">
      <c r="A402" s="67"/>
      <c r="D402" s="63"/>
    </row>
    <row r="403">
      <c r="A403" s="67"/>
      <c r="D403" s="63"/>
    </row>
    <row r="404">
      <c r="A404" s="67"/>
      <c r="D404" s="63"/>
    </row>
    <row r="405">
      <c r="A405" s="67"/>
      <c r="D405" s="63"/>
    </row>
    <row r="406">
      <c r="A406" s="67"/>
      <c r="D406" s="63"/>
    </row>
    <row r="407">
      <c r="A407" s="67"/>
      <c r="D407" s="63"/>
    </row>
    <row r="408">
      <c r="A408" s="68"/>
      <c r="D408" s="63"/>
    </row>
    <row r="409">
      <c r="A409" s="68"/>
      <c r="D409" s="63"/>
    </row>
    <row r="410">
      <c r="A410" s="68"/>
      <c r="D410" s="63"/>
    </row>
    <row r="411">
      <c r="A411" s="68"/>
      <c r="D411" s="63"/>
    </row>
    <row r="412">
      <c r="A412" s="68"/>
      <c r="D412" s="63"/>
    </row>
    <row r="413">
      <c r="A413" s="68"/>
      <c r="D413" s="63"/>
    </row>
    <row r="414">
      <c r="A414" s="68"/>
      <c r="D414" s="63"/>
    </row>
    <row r="415">
      <c r="A415" s="68"/>
      <c r="D415" s="63"/>
    </row>
    <row r="416">
      <c r="A416" s="68"/>
      <c r="D416" s="63"/>
    </row>
    <row r="417">
      <c r="A417" s="68"/>
      <c r="D417" s="63"/>
    </row>
    <row r="418">
      <c r="A418" s="68"/>
      <c r="D418" s="63"/>
    </row>
    <row r="419">
      <c r="A419" s="68"/>
      <c r="D419" s="63"/>
    </row>
    <row r="420">
      <c r="A420" s="68"/>
      <c r="D420" s="63"/>
    </row>
    <row r="421">
      <c r="A421" s="68"/>
      <c r="D421" s="63"/>
    </row>
    <row r="422">
      <c r="A422" s="68"/>
      <c r="D422" s="63"/>
    </row>
    <row r="423">
      <c r="A423" s="68"/>
      <c r="D423" s="63"/>
    </row>
    <row r="424">
      <c r="A424" s="68"/>
      <c r="D424" s="63"/>
    </row>
    <row r="425">
      <c r="A425" s="68"/>
      <c r="D425" s="63"/>
    </row>
    <row r="426">
      <c r="A426" s="64"/>
      <c r="D426" s="63"/>
    </row>
    <row r="427">
      <c r="A427" s="64"/>
      <c r="D427" s="63"/>
    </row>
    <row r="428">
      <c r="A428" s="64"/>
      <c r="D428" s="63"/>
    </row>
    <row r="429">
      <c r="A429" s="64"/>
      <c r="D429" s="63"/>
    </row>
    <row r="430">
      <c r="A430" s="64"/>
      <c r="D430" s="63"/>
    </row>
    <row r="431">
      <c r="A431" s="64"/>
      <c r="D431" s="63"/>
    </row>
    <row r="432">
      <c r="A432" s="64"/>
      <c r="D432" s="63"/>
    </row>
    <row r="433">
      <c r="A433" s="64"/>
      <c r="D433" s="63"/>
    </row>
    <row r="434">
      <c r="A434" s="64"/>
      <c r="D434" s="63"/>
    </row>
    <row r="435">
      <c r="A435" s="64"/>
      <c r="D435" s="63"/>
    </row>
    <row r="436">
      <c r="A436" s="64"/>
      <c r="D436" s="63"/>
    </row>
    <row r="437">
      <c r="A437" s="64"/>
      <c r="D437" s="63"/>
    </row>
    <row r="438">
      <c r="A438" s="64"/>
      <c r="D438" s="63"/>
    </row>
    <row r="439">
      <c r="A439" s="64"/>
      <c r="D439" s="63"/>
    </row>
    <row r="440">
      <c r="A440" s="64"/>
      <c r="D440" s="63"/>
    </row>
    <row r="441">
      <c r="A441" s="64"/>
      <c r="D441" s="63"/>
    </row>
    <row r="442">
      <c r="A442" s="64"/>
      <c r="D442" s="63"/>
    </row>
    <row r="443">
      <c r="A443" s="64"/>
      <c r="D443" s="63"/>
    </row>
    <row r="444">
      <c r="A444" s="64"/>
      <c r="D444" s="63"/>
    </row>
    <row r="445">
      <c r="A445" s="64"/>
      <c r="D445" s="63"/>
    </row>
    <row r="446">
      <c r="A446" s="64"/>
      <c r="D446" s="63"/>
    </row>
    <row r="447">
      <c r="A447" s="64"/>
      <c r="D447" s="63"/>
    </row>
    <row r="448">
      <c r="A448" s="64"/>
      <c r="D448" s="63"/>
    </row>
    <row r="449">
      <c r="A449" s="64"/>
      <c r="D449" s="63"/>
    </row>
    <row r="450">
      <c r="A450" s="64"/>
      <c r="D450" s="63"/>
    </row>
    <row r="451">
      <c r="A451" s="64"/>
      <c r="D451" s="63"/>
    </row>
    <row r="452">
      <c r="A452" s="64"/>
      <c r="D452" s="63"/>
    </row>
    <row r="453">
      <c r="A453" s="64"/>
      <c r="D453" s="63"/>
    </row>
    <row r="454">
      <c r="A454" s="64"/>
      <c r="D454" s="63"/>
    </row>
    <row r="455">
      <c r="A455" s="64"/>
      <c r="D455" s="63"/>
    </row>
    <row r="456">
      <c r="A456" s="66"/>
      <c r="D456" s="63"/>
    </row>
    <row r="457">
      <c r="A457" s="66"/>
      <c r="D457" s="63"/>
    </row>
    <row r="458">
      <c r="A458" s="66"/>
      <c r="D458" s="63"/>
    </row>
    <row r="459">
      <c r="A459" s="64"/>
      <c r="D459" s="63"/>
    </row>
    <row r="460">
      <c r="A460" s="64"/>
      <c r="D460" s="63"/>
    </row>
    <row r="461">
      <c r="A461" s="64"/>
      <c r="D461" s="63"/>
    </row>
    <row r="462">
      <c r="A462" s="64"/>
      <c r="D462" s="63"/>
    </row>
    <row r="463">
      <c r="A463" s="64"/>
      <c r="D463" s="63"/>
    </row>
    <row r="464">
      <c r="A464" s="64"/>
      <c r="D464" s="63"/>
    </row>
    <row r="465">
      <c r="A465" s="64"/>
      <c r="D465" s="63"/>
    </row>
    <row r="466">
      <c r="A466" s="64"/>
      <c r="D466" s="63"/>
    </row>
    <row r="467">
      <c r="A467" s="64"/>
      <c r="D467" s="63"/>
    </row>
    <row r="468">
      <c r="A468" s="64"/>
      <c r="D468" s="63"/>
    </row>
    <row r="469">
      <c r="A469" s="66"/>
      <c r="D469" s="63"/>
    </row>
    <row r="470">
      <c r="A470" s="66"/>
      <c r="D470" s="63"/>
    </row>
    <row r="471">
      <c r="A471" s="66"/>
      <c r="D471" s="63"/>
    </row>
    <row r="472">
      <c r="A472" s="66"/>
      <c r="D472" s="63"/>
    </row>
    <row r="473">
      <c r="A473" s="66"/>
      <c r="D473" s="63"/>
    </row>
    <row r="474">
      <c r="A474" s="66"/>
      <c r="D474" s="63"/>
    </row>
    <row r="475">
      <c r="A475" s="66"/>
      <c r="D475" s="63"/>
    </row>
    <row r="476">
      <c r="A476" s="64"/>
      <c r="D476" s="63"/>
    </row>
    <row r="477">
      <c r="A477" s="64"/>
      <c r="D477" s="63"/>
    </row>
    <row r="478">
      <c r="A478" s="64"/>
      <c r="D478" s="63"/>
    </row>
    <row r="479">
      <c r="A479" s="64"/>
      <c r="D479" s="63"/>
    </row>
    <row r="480">
      <c r="A480" s="64"/>
      <c r="D480" s="63"/>
    </row>
    <row r="481">
      <c r="A481" s="66"/>
      <c r="D481" s="63"/>
    </row>
    <row r="482">
      <c r="A482" s="66"/>
      <c r="D482" s="63"/>
    </row>
    <row r="483">
      <c r="A483" s="66"/>
      <c r="D483" s="63"/>
    </row>
    <row r="484">
      <c r="A484" s="66"/>
      <c r="D484" s="63"/>
    </row>
    <row r="485">
      <c r="A485" s="66"/>
      <c r="D485" s="63"/>
    </row>
    <row r="486">
      <c r="A486" s="66"/>
      <c r="D486" s="63"/>
    </row>
    <row r="487">
      <c r="A487" s="66"/>
      <c r="D487" s="63"/>
    </row>
    <row r="488">
      <c r="A488" s="64"/>
      <c r="D488" s="63"/>
    </row>
    <row r="489">
      <c r="A489" s="64"/>
      <c r="D489" s="63"/>
    </row>
    <row r="490">
      <c r="A490" s="64"/>
      <c r="D490" s="63"/>
    </row>
    <row r="491">
      <c r="A491" s="64"/>
      <c r="D491" s="63"/>
    </row>
    <row r="492">
      <c r="A492" s="64"/>
      <c r="D492" s="63"/>
    </row>
    <row r="493">
      <c r="A493" s="64"/>
      <c r="D493" s="63"/>
    </row>
    <row r="494">
      <c r="A494" s="64"/>
      <c r="D494" s="63"/>
    </row>
    <row r="495">
      <c r="A495" s="64"/>
      <c r="D495" s="63"/>
    </row>
    <row r="496">
      <c r="A496" s="64"/>
      <c r="D496" s="63"/>
    </row>
    <row r="497">
      <c r="A497" s="64"/>
      <c r="D497" s="63"/>
    </row>
    <row r="498">
      <c r="A498" s="64"/>
      <c r="D498" s="63"/>
    </row>
    <row r="499">
      <c r="A499" s="64"/>
      <c r="D499" s="63"/>
    </row>
    <row r="500">
      <c r="A500" s="64"/>
      <c r="D500" s="63"/>
    </row>
    <row r="501">
      <c r="A501" s="66"/>
      <c r="D501" s="63"/>
    </row>
    <row r="502">
      <c r="A502" s="66"/>
      <c r="D502" s="63"/>
    </row>
    <row r="503">
      <c r="A503" s="66"/>
      <c r="D503" s="63"/>
    </row>
    <row r="504">
      <c r="A504" s="66"/>
      <c r="D504" s="63"/>
    </row>
    <row r="505">
      <c r="A505" s="66"/>
      <c r="D505" s="63"/>
    </row>
    <row r="506">
      <c r="A506" s="66"/>
      <c r="D506" s="63"/>
    </row>
    <row r="507">
      <c r="A507" s="64"/>
      <c r="D507" s="63"/>
    </row>
    <row r="508">
      <c r="D508" s="63"/>
      <c r="F508" s="70"/>
    </row>
    <row r="509">
      <c r="D509" s="63"/>
      <c r="F509" s="70"/>
    </row>
    <row r="510">
      <c r="D510" s="63"/>
      <c r="F510" s="70"/>
    </row>
    <row r="511">
      <c r="D511" s="63"/>
      <c r="F511" s="64"/>
    </row>
    <row r="512">
      <c r="D512" s="63"/>
      <c r="F512" s="64"/>
    </row>
    <row r="513">
      <c r="D513" s="63"/>
      <c r="F513" s="66"/>
    </row>
    <row r="514">
      <c r="D514" s="63"/>
      <c r="F514" s="66"/>
    </row>
    <row r="515">
      <c r="D515" s="63"/>
      <c r="F515" s="66"/>
    </row>
    <row r="516">
      <c r="D516" s="63"/>
      <c r="F516" s="66"/>
    </row>
    <row r="517">
      <c r="D517" s="63"/>
      <c r="F517" s="66"/>
    </row>
    <row r="518">
      <c r="D518" s="63"/>
      <c r="F518" s="66"/>
    </row>
    <row r="519">
      <c r="D519" s="63"/>
      <c r="F519" s="64"/>
    </row>
    <row r="520">
      <c r="D520" s="63"/>
      <c r="F520" s="66"/>
    </row>
    <row r="521">
      <c r="D521" s="63"/>
      <c r="F521" s="64"/>
    </row>
    <row r="522">
      <c r="D522" s="63"/>
      <c r="F522" s="71"/>
    </row>
    <row r="523">
      <c r="D523" s="63"/>
      <c r="F523" s="71"/>
    </row>
    <row r="524">
      <c r="D524" s="63"/>
      <c r="F524" s="71"/>
    </row>
    <row r="525">
      <c r="D525" s="63"/>
      <c r="F525" s="71"/>
    </row>
    <row r="526">
      <c r="D526" s="63"/>
      <c r="F526" s="71"/>
    </row>
    <row r="527">
      <c r="D527" s="63"/>
      <c r="F527" s="71"/>
    </row>
    <row r="528">
      <c r="D528" s="63"/>
    </row>
    <row r="529">
      <c r="D529" s="63"/>
    </row>
    <row r="530">
      <c r="D530" s="63"/>
    </row>
    <row r="531">
      <c r="D531" s="63"/>
    </row>
    <row r="532">
      <c r="D532" s="63"/>
    </row>
    <row r="533">
      <c r="D533" s="63"/>
    </row>
    <row r="534">
      <c r="D534" s="63"/>
    </row>
    <row r="535">
      <c r="D535" s="63"/>
    </row>
    <row r="536">
      <c r="D536" s="63"/>
    </row>
    <row r="537">
      <c r="D537" s="63"/>
    </row>
    <row r="538">
      <c r="D538" s="63"/>
    </row>
    <row r="539">
      <c r="D539" s="63"/>
    </row>
    <row r="540">
      <c r="D540" s="63"/>
    </row>
    <row r="541">
      <c r="D541" s="63"/>
    </row>
    <row r="542">
      <c r="D542" s="63"/>
    </row>
    <row r="543">
      <c r="D543" s="63"/>
    </row>
    <row r="544">
      <c r="D544" s="63"/>
    </row>
    <row r="545">
      <c r="D545" s="63"/>
    </row>
    <row r="546">
      <c r="D546" s="63"/>
    </row>
    <row r="547">
      <c r="D547" s="63"/>
    </row>
    <row r="548">
      <c r="D548" s="63"/>
    </row>
    <row r="549">
      <c r="D549" s="63"/>
    </row>
    <row r="550">
      <c r="D550" s="63"/>
    </row>
    <row r="551">
      <c r="D551" s="63"/>
    </row>
    <row r="552">
      <c r="D552" s="63"/>
    </row>
    <row r="553">
      <c r="D553" s="63"/>
    </row>
    <row r="554">
      <c r="D554" s="63"/>
    </row>
    <row r="555">
      <c r="D555" s="63"/>
    </row>
    <row r="556">
      <c r="D556" s="63"/>
    </row>
    <row r="557">
      <c r="D557" s="63"/>
    </row>
    <row r="558">
      <c r="D558" s="63"/>
    </row>
    <row r="559">
      <c r="D559" s="63"/>
    </row>
    <row r="560">
      <c r="D560" s="63"/>
    </row>
    <row r="561">
      <c r="D561" s="63"/>
    </row>
    <row r="562">
      <c r="D562" s="63"/>
    </row>
    <row r="563">
      <c r="D563" s="63"/>
    </row>
    <row r="564">
      <c r="D564" s="63"/>
    </row>
    <row r="565">
      <c r="D565" s="63"/>
    </row>
    <row r="566">
      <c r="D566" s="63"/>
    </row>
    <row r="567">
      <c r="D567" s="63"/>
    </row>
    <row r="568">
      <c r="D568" s="63"/>
    </row>
    <row r="569">
      <c r="D569" s="63"/>
    </row>
    <row r="570">
      <c r="D570" s="63"/>
    </row>
    <row r="571">
      <c r="D571" s="63"/>
    </row>
    <row r="572">
      <c r="D572" s="63"/>
    </row>
    <row r="573">
      <c r="D573" s="63"/>
    </row>
    <row r="574">
      <c r="D574" s="63"/>
    </row>
    <row r="575">
      <c r="D575" s="63"/>
    </row>
    <row r="576">
      <c r="D576" s="63"/>
    </row>
    <row r="577">
      <c r="D577" s="63"/>
    </row>
    <row r="578">
      <c r="D578" s="63"/>
    </row>
    <row r="579">
      <c r="D579" s="63"/>
    </row>
    <row r="580">
      <c r="D580" s="63"/>
    </row>
    <row r="581">
      <c r="D581" s="63"/>
    </row>
    <row r="582">
      <c r="D582" s="63"/>
    </row>
    <row r="583">
      <c r="D583" s="63"/>
    </row>
    <row r="584">
      <c r="D584" s="63"/>
    </row>
    <row r="585">
      <c r="D585" s="63"/>
    </row>
    <row r="586">
      <c r="D586" s="63"/>
    </row>
    <row r="587">
      <c r="D587" s="63"/>
    </row>
    <row r="588">
      <c r="D588" s="63"/>
    </row>
    <row r="589">
      <c r="D589" s="63"/>
    </row>
    <row r="590">
      <c r="D590" s="63"/>
    </row>
    <row r="591">
      <c r="D591" s="63"/>
    </row>
    <row r="592">
      <c r="D592" s="63"/>
    </row>
    <row r="593">
      <c r="D593" s="63"/>
    </row>
    <row r="594">
      <c r="D594" s="63"/>
    </row>
    <row r="595">
      <c r="D595" s="63"/>
    </row>
    <row r="596">
      <c r="D596" s="63"/>
    </row>
    <row r="597">
      <c r="D597" s="63"/>
    </row>
    <row r="598">
      <c r="D598" s="63"/>
    </row>
    <row r="599">
      <c r="D599" s="63"/>
    </row>
    <row r="600">
      <c r="D600" s="63"/>
    </row>
    <row r="601">
      <c r="D601" s="63"/>
    </row>
    <row r="602">
      <c r="D602" s="63"/>
    </row>
    <row r="603">
      <c r="D603" s="63"/>
    </row>
    <row r="604">
      <c r="D604" s="63"/>
    </row>
    <row r="605">
      <c r="D605" s="63"/>
    </row>
    <row r="606">
      <c r="D606" s="63"/>
    </row>
    <row r="607">
      <c r="D607" s="63"/>
    </row>
    <row r="608">
      <c r="D608" s="63"/>
    </row>
    <row r="609">
      <c r="D609" s="63"/>
    </row>
    <row r="610">
      <c r="D610" s="63"/>
    </row>
    <row r="611">
      <c r="D611" s="63"/>
    </row>
    <row r="612">
      <c r="D612" s="63"/>
    </row>
    <row r="613">
      <c r="D613" s="63"/>
    </row>
    <row r="614">
      <c r="D614" s="63"/>
    </row>
    <row r="615">
      <c r="D615" s="63"/>
    </row>
    <row r="616">
      <c r="D616" s="63"/>
    </row>
    <row r="617">
      <c r="D617" s="63"/>
    </row>
    <row r="618">
      <c r="D618" s="63"/>
    </row>
    <row r="619">
      <c r="D619" s="63"/>
    </row>
    <row r="620">
      <c r="D620" s="63"/>
    </row>
    <row r="621">
      <c r="D621" s="63"/>
    </row>
    <row r="622">
      <c r="D622" s="63"/>
    </row>
    <row r="623">
      <c r="D623" s="63"/>
    </row>
    <row r="624">
      <c r="D624" s="63"/>
    </row>
    <row r="625">
      <c r="D625" s="63"/>
    </row>
    <row r="626">
      <c r="D626" s="63"/>
    </row>
    <row r="627">
      <c r="D627" s="63"/>
    </row>
    <row r="628">
      <c r="D628" s="63"/>
    </row>
    <row r="629">
      <c r="D629" s="63"/>
    </row>
    <row r="630">
      <c r="D630" s="63"/>
    </row>
    <row r="631">
      <c r="D631" s="63"/>
    </row>
    <row r="632">
      <c r="D632" s="63"/>
    </row>
    <row r="633">
      <c r="D633" s="63"/>
    </row>
    <row r="634">
      <c r="D634" s="63"/>
    </row>
    <row r="635">
      <c r="D635" s="63"/>
    </row>
    <row r="636">
      <c r="D636" s="63"/>
    </row>
    <row r="637">
      <c r="D637" s="63"/>
    </row>
    <row r="638">
      <c r="D638" s="63"/>
    </row>
    <row r="639">
      <c r="D639" s="63"/>
    </row>
    <row r="640">
      <c r="D640" s="63"/>
    </row>
    <row r="641">
      <c r="D641" s="63"/>
    </row>
    <row r="642">
      <c r="D642" s="63"/>
    </row>
    <row r="643">
      <c r="D643" s="63"/>
    </row>
    <row r="644">
      <c r="D644" s="63"/>
    </row>
    <row r="645">
      <c r="D645" s="63"/>
    </row>
    <row r="646">
      <c r="D646" s="63"/>
    </row>
    <row r="647">
      <c r="D647" s="63"/>
    </row>
    <row r="648">
      <c r="D648" s="63"/>
    </row>
    <row r="649">
      <c r="D649" s="63"/>
    </row>
    <row r="650">
      <c r="D650" s="63"/>
    </row>
    <row r="651">
      <c r="D651" s="63"/>
    </row>
    <row r="652">
      <c r="D652" s="63"/>
    </row>
    <row r="653">
      <c r="D653" s="63"/>
    </row>
    <row r="654">
      <c r="D654" s="63"/>
    </row>
    <row r="655">
      <c r="D655" s="63"/>
    </row>
    <row r="656">
      <c r="D656" s="63"/>
    </row>
    <row r="657">
      <c r="D657" s="63"/>
    </row>
    <row r="658">
      <c r="D658" s="63"/>
    </row>
    <row r="659">
      <c r="D659" s="63"/>
    </row>
    <row r="660">
      <c r="D660" s="63"/>
    </row>
    <row r="661">
      <c r="D661" s="63"/>
    </row>
    <row r="662">
      <c r="D662" s="63"/>
    </row>
    <row r="663">
      <c r="D663" s="63"/>
    </row>
    <row r="664">
      <c r="D664" s="63"/>
    </row>
    <row r="665">
      <c r="D665" s="63"/>
    </row>
    <row r="666">
      <c r="D666" s="63"/>
    </row>
    <row r="667">
      <c r="D667" s="63"/>
    </row>
    <row r="668">
      <c r="D668" s="63"/>
    </row>
    <row r="669">
      <c r="D669" s="63"/>
    </row>
    <row r="670">
      <c r="D670" s="63"/>
    </row>
    <row r="671">
      <c r="D671" s="63"/>
    </row>
    <row r="672">
      <c r="D672" s="63"/>
    </row>
    <row r="673">
      <c r="D673" s="63"/>
    </row>
    <row r="674">
      <c r="D674" s="63"/>
    </row>
    <row r="675">
      <c r="D675" s="63"/>
    </row>
    <row r="676">
      <c r="D676" s="63"/>
    </row>
    <row r="677">
      <c r="D677" s="63"/>
    </row>
    <row r="678">
      <c r="D678" s="63"/>
    </row>
    <row r="679">
      <c r="D679" s="63"/>
    </row>
    <row r="680">
      <c r="D680" s="63"/>
    </row>
    <row r="681">
      <c r="D681" s="63"/>
    </row>
    <row r="682">
      <c r="D682" s="63"/>
    </row>
    <row r="683">
      <c r="D683" s="63"/>
    </row>
    <row r="684">
      <c r="D684" s="63"/>
    </row>
    <row r="685">
      <c r="D685" s="63"/>
    </row>
    <row r="686">
      <c r="D686" s="63"/>
    </row>
    <row r="687">
      <c r="D687" s="63"/>
    </row>
    <row r="688">
      <c r="D688" s="63"/>
    </row>
    <row r="689">
      <c r="D689" s="63"/>
    </row>
    <row r="690">
      <c r="D690" s="63"/>
    </row>
    <row r="691">
      <c r="D691" s="63"/>
    </row>
    <row r="692">
      <c r="D692" s="63"/>
    </row>
    <row r="693">
      <c r="D693" s="63"/>
    </row>
    <row r="694">
      <c r="D694" s="63"/>
    </row>
    <row r="695">
      <c r="D695" s="63"/>
    </row>
    <row r="696">
      <c r="D696" s="63"/>
    </row>
    <row r="697">
      <c r="D697" s="63"/>
    </row>
    <row r="698">
      <c r="D698" s="63"/>
    </row>
    <row r="699">
      <c r="D699" s="63"/>
    </row>
    <row r="700">
      <c r="D700" s="63"/>
    </row>
    <row r="701">
      <c r="D701" s="63"/>
    </row>
    <row r="702">
      <c r="D702" s="63"/>
    </row>
    <row r="703">
      <c r="D703" s="63"/>
    </row>
    <row r="704">
      <c r="D704" s="63"/>
    </row>
    <row r="705">
      <c r="D705" s="63"/>
    </row>
    <row r="706">
      <c r="D706" s="63"/>
    </row>
    <row r="707">
      <c r="D707" s="63"/>
    </row>
    <row r="708">
      <c r="D708" s="63"/>
    </row>
    <row r="709">
      <c r="D709" s="63"/>
    </row>
    <row r="710">
      <c r="D710" s="63"/>
    </row>
    <row r="711">
      <c r="D711" s="63"/>
    </row>
    <row r="712">
      <c r="D712" s="63"/>
    </row>
    <row r="713">
      <c r="D713" s="63"/>
    </row>
    <row r="714">
      <c r="D714" s="63"/>
    </row>
    <row r="715">
      <c r="D715" s="63"/>
    </row>
    <row r="716">
      <c r="D716" s="63"/>
    </row>
    <row r="717">
      <c r="D717" s="63"/>
    </row>
    <row r="718">
      <c r="D718" s="63"/>
    </row>
    <row r="719">
      <c r="D719" s="63"/>
    </row>
    <row r="720">
      <c r="D720" s="63"/>
    </row>
    <row r="721">
      <c r="D721" s="63"/>
    </row>
    <row r="722">
      <c r="D722" s="63"/>
    </row>
    <row r="723">
      <c r="D723" s="63"/>
    </row>
    <row r="724">
      <c r="D724" s="63"/>
    </row>
    <row r="725">
      <c r="D725" s="63"/>
    </row>
    <row r="726">
      <c r="D726" s="63"/>
    </row>
    <row r="727">
      <c r="D727" s="63"/>
    </row>
    <row r="728">
      <c r="D728" s="63"/>
    </row>
    <row r="729">
      <c r="D729" s="63"/>
    </row>
    <row r="730">
      <c r="D730" s="63"/>
    </row>
    <row r="731">
      <c r="D731" s="63"/>
    </row>
    <row r="732">
      <c r="D732" s="63"/>
    </row>
    <row r="733">
      <c r="D733" s="63"/>
    </row>
    <row r="734">
      <c r="D734" s="63"/>
    </row>
    <row r="735">
      <c r="D735" s="63"/>
    </row>
    <row r="736">
      <c r="D736" s="63"/>
    </row>
    <row r="737">
      <c r="D737" s="63"/>
    </row>
    <row r="738">
      <c r="D738" s="63"/>
    </row>
    <row r="739">
      <c r="D739" s="63"/>
    </row>
    <row r="740">
      <c r="D740" s="63"/>
    </row>
    <row r="741">
      <c r="D741" s="63"/>
    </row>
    <row r="742">
      <c r="D742" s="63"/>
    </row>
    <row r="743">
      <c r="D743" s="63"/>
    </row>
    <row r="744">
      <c r="D744" s="63"/>
    </row>
    <row r="745">
      <c r="D745" s="63"/>
    </row>
    <row r="746">
      <c r="D746" s="63"/>
    </row>
    <row r="747">
      <c r="D747" s="63"/>
    </row>
    <row r="748">
      <c r="D748" s="63"/>
    </row>
    <row r="749">
      <c r="D749" s="63"/>
    </row>
    <row r="750">
      <c r="D750" s="63"/>
    </row>
    <row r="751">
      <c r="D751" s="63"/>
    </row>
    <row r="752">
      <c r="D752" s="63"/>
    </row>
    <row r="753">
      <c r="D753" s="63"/>
    </row>
    <row r="754">
      <c r="D754" s="63"/>
    </row>
    <row r="755">
      <c r="D755" s="63"/>
    </row>
    <row r="756">
      <c r="D756" s="63"/>
    </row>
    <row r="757">
      <c r="D757" s="63"/>
    </row>
    <row r="758">
      <c r="D758" s="63"/>
    </row>
    <row r="759">
      <c r="D759" s="63"/>
    </row>
    <row r="760">
      <c r="D760" s="63"/>
    </row>
    <row r="761">
      <c r="D761" s="63"/>
    </row>
    <row r="762">
      <c r="D762" s="63"/>
    </row>
    <row r="763">
      <c r="D763" s="63"/>
    </row>
    <row r="764">
      <c r="D764" s="63"/>
    </row>
    <row r="765">
      <c r="D765" s="63"/>
    </row>
    <row r="766">
      <c r="D766" s="63"/>
    </row>
    <row r="767">
      <c r="D767" s="63"/>
    </row>
    <row r="768">
      <c r="D768" s="63"/>
    </row>
    <row r="769">
      <c r="D769" s="63"/>
    </row>
    <row r="770">
      <c r="D770" s="63"/>
    </row>
    <row r="771">
      <c r="D771" s="63"/>
    </row>
    <row r="772">
      <c r="D772" s="63"/>
    </row>
    <row r="773">
      <c r="D773" s="63"/>
    </row>
    <row r="774">
      <c r="D774" s="63"/>
    </row>
    <row r="775">
      <c r="D775" s="63"/>
    </row>
    <row r="776">
      <c r="D776" s="63"/>
    </row>
    <row r="777">
      <c r="D777" s="63"/>
    </row>
    <row r="778">
      <c r="D778" s="63"/>
    </row>
    <row r="779">
      <c r="D779" s="63"/>
    </row>
    <row r="780">
      <c r="D780" s="63"/>
    </row>
    <row r="781">
      <c r="D781" s="63"/>
    </row>
    <row r="782">
      <c r="D782" s="63"/>
    </row>
    <row r="783">
      <c r="D783" s="63"/>
    </row>
    <row r="784">
      <c r="D784" s="63"/>
    </row>
    <row r="785">
      <c r="D785" s="63"/>
    </row>
    <row r="786">
      <c r="D786" s="63"/>
    </row>
    <row r="787">
      <c r="D787" s="63"/>
    </row>
    <row r="788">
      <c r="D788" s="63"/>
    </row>
    <row r="789">
      <c r="D789" s="63"/>
    </row>
    <row r="790">
      <c r="D790" s="63"/>
    </row>
    <row r="791">
      <c r="D791" s="63"/>
    </row>
    <row r="792">
      <c r="D792" s="63"/>
    </row>
    <row r="793">
      <c r="D793" s="63"/>
    </row>
    <row r="794">
      <c r="D794" s="63"/>
    </row>
    <row r="795">
      <c r="D795" s="63"/>
    </row>
    <row r="796">
      <c r="D796" s="63"/>
    </row>
    <row r="797">
      <c r="D797" s="63"/>
    </row>
    <row r="798">
      <c r="D798" s="63"/>
    </row>
    <row r="799">
      <c r="D799" s="63"/>
    </row>
    <row r="800">
      <c r="D800" s="63"/>
    </row>
    <row r="801">
      <c r="D801" s="63"/>
    </row>
    <row r="802">
      <c r="D802" s="63"/>
    </row>
    <row r="803">
      <c r="D803" s="63"/>
    </row>
    <row r="804">
      <c r="D804" s="63"/>
    </row>
    <row r="805">
      <c r="D805" s="63"/>
    </row>
    <row r="806">
      <c r="D806" s="63"/>
    </row>
    <row r="807">
      <c r="D807" s="63"/>
    </row>
    <row r="808">
      <c r="D808" s="63"/>
    </row>
    <row r="809">
      <c r="D809" s="63"/>
    </row>
    <row r="810">
      <c r="D810" s="63"/>
    </row>
    <row r="811">
      <c r="D811" s="63"/>
    </row>
    <row r="812">
      <c r="D812" s="63"/>
    </row>
    <row r="813">
      <c r="D813" s="63"/>
    </row>
    <row r="814">
      <c r="D814" s="63"/>
    </row>
    <row r="815">
      <c r="D815" s="63"/>
    </row>
    <row r="816">
      <c r="D816" s="63"/>
    </row>
    <row r="817">
      <c r="D817" s="63"/>
    </row>
    <row r="818">
      <c r="D818" s="63"/>
    </row>
    <row r="819">
      <c r="D819" s="63"/>
    </row>
    <row r="820">
      <c r="D820" s="63"/>
    </row>
    <row r="821">
      <c r="D821" s="63"/>
    </row>
    <row r="822">
      <c r="D822" s="63"/>
    </row>
    <row r="823">
      <c r="D823" s="63"/>
    </row>
    <row r="824">
      <c r="D824" s="63"/>
    </row>
    <row r="825">
      <c r="D825" s="63"/>
    </row>
    <row r="826">
      <c r="D826" s="63"/>
    </row>
    <row r="827">
      <c r="D827" s="63"/>
    </row>
    <row r="828">
      <c r="D828" s="63"/>
    </row>
    <row r="829">
      <c r="D829" s="63"/>
    </row>
    <row r="830">
      <c r="D830" s="63"/>
    </row>
    <row r="831">
      <c r="D831" s="63"/>
    </row>
    <row r="832">
      <c r="D832" s="63"/>
    </row>
    <row r="833">
      <c r="D833" s="63"/>
    </row>
    <row r="834">
      <c r="D834" s="63"/>
    </row>
    <row r="835">
      <c r="D835" s="63"/>
    </row>
    <row r="836">
      <c r="D836" s="63"/>
    </row>
    <row r="837">
      <c r="D837" s="63"/>
    </row>
    <row r="838">
      <c r="D838" s="63"/>
    </row>
    <row r="839">
      <c r="D839" s="63"/>
    </row>
    <row r="840">
      <c r="D840" s="63"/>
    </row>
    <row r="841">
      <c r="D841" s="63"/>
    </row>
    <row r="842">
      <c r="D842" s="63"/>
    </row>
    <row r="843">
      <c r="D843" s="63"/>
    </row>
    <row r="844">
      <c r="D844" s="63"/>
    </row>
    <row r="845">
      <c r="D845" s="63"/>
    </row>
    <row r="846">
      <c r="D846" s="63"/>
    </row>
    <row r="847">
      <c r="D847" s="63"/>
    </row>
    <row r="848">
      <c r="D848" s="63"/>
    </row>
    <row r="849">
      <c r="D849" s="63"/>
    </row>
    <row r="850">
      <c r="D850" s="63"/>
    </row>
    <row r="851">
      <c r="D851" s="63"/>
    </row>
    <row r="852">
      <c r="D852" s="63"/>
    </row>
    <row r="853">
      <c r="D853" s="63"/>
    </row>
    <row r="854">
      <c r="D854" s="63"/>
    </row>
    <row r="855">
      <c r="D855" s="63"/>
    </row>
    <row r="856">
      <c r="D856" s="63"/>
    </row>
    <row r="857">
      <c r="D857" s="63"/>
    </row>
    <row r="858">
      <c r="D858" s="63"/>
    </row>
    <row r="859">
      <c r="D859" s="63"/>
    </row>
    <row r="860">
      <c r="D860" s="63"/>
    </row>
    <row r="861">
      <c r="D861" s="63"/>
    </row>
    <row r="862">
      <c r="D862" s="63"/>
    </row>
    <row r="863">
      <c r="D863" s="63"/>
    </row>
    <row r="864">
      <c r="D864" s="63"/>
    </row>
    <row r="865">
      <c r="D865" s="63"/>
    </row>
    <row r="866">
      <c r="D866" s="63"/>
    </row>
    <row r="867">
      <c r="D867" s="63"/>
    </row>
    <row r="868">
      <c r="D868" s="63"/>
    </row>
    <row r="869">
      <c r="D869" s="63"/>
    </row>
    <row r="870">
      <c r="D870" s="63"/>
    </row>
    <row r="871">
      <c r="D871" s="63"/>
    </row>
    <row r="872">
      <c r="D872" s="63"/>
    </row>
    <row r="873">
      <c r="D873" s="63"/>
    </row>
    <row r="874">
      <c r="D874" s="63"/>
    </row>
    <row r="875">
      <c r="D875" s="63"/>
    </row>
    <row r="876">
      <c r="D876" s="63"/>
    </row>
    <row r="877">
      <c r="D877" s="63"/>
    </row>
    <row r="878">
      <c r="D878" s="63"/>
    </row>
    <row r="879">
      <c r="D879" s="63"/>
    </row>
    <row r="880">
      <c r="D880" s="63"/>
    </row>
    <row r="881">
      <c r="D881" s="63"/>
    </row>
    <row r="882">
      <c r="D882" s="63"/>
    </row>
    <row r="883">
      <c r="D883" s="63"/>
    </row>
    <row r="884">
      <c r="D884" s="63"/>
    </row>
    <row r="885">
      <c r="D885" s="63"/>
    </row>
    <row r="886">
      <c r="D886" s="63"/>
    </row>
    <row r="887">
      <c r="D887" s="63"/>
    </row>
    <row r="888">
      <c r="D888" s="63"/>
    </row>
    <row r="889">
      <c r="D889" s="63"/>
    </row>
    <row r="890">
      <c r="D890" s="63"/>
    </row>
    <row r="891">
      <c r="D891" s="63"/>
    </row>
    <row r="892">
      <c r="D892" s="63"/>
    </row>
    <row r="893">
      <c r="D893" s="63"/>
    </row>
    <row r="894">
      <c r="D894" s="63"/>
    </row>
    <row r="895">
      <c r="D895" s="63"/>
    </row>
    <row r="896">
      <c r="D896" s="63"/>
    </row>
    <row r="897">
      <c r="D897" s="63"/>
    </row>
    <row r="898">
      <c r="D898" s="63"/>
    </row>
    <row r="899">
      <c r="D899" s="63"/>
    </row>
    <row r="900">
      <c r="D900" s="63"/>
    </row>
    <row r="901">
      <c r="D901" s="63"/>
    </row>
    <row r="902">
      <c r="D902" s="63"/>
    </row>
    <row r="903">
      <c r="D903" s="63"/>
    </row>
    <row r="904">
      <c r="D904" s="63"/>
    </row>
    <row r="905">
      <c r="D905" s="63"/>
    </row>
    <row r="906">
      <c r="D906" s="63"/>
    </row>
    <row r="907">
      <c r="D907" s="63"/>
    </row>
    <row r="908">
      <c r="D908" s="63"/>
    </row>
    <row r="909">
      <c r="D909" s="63"/>
    </row>
    <row r="910">
      <c r="D910" s="63"/>
    </row>
    <row r="911">
      <c r="D911" s="63"/>
    </row>
    <row r="912">
      <c r="D912" s="63"/>
    </row>
    <row r="913">
      <c r="D913" s="63"/>
    </row>
    <row r="914">
      <c r="D914" s="63"/>
    </row>
    <row r="915">
      <c r="D915" s="63"/>
    </row>
    <row r="916">
      <c r="D916" s="63"/>
    </row>
    <row r="917">
      <c r="D917" s="63"/>
    </row>
    <row r="918">
      <c r="D918" s="63"/>
    </row>
    <row r="919">
      <c r="D919" s="63"/>
    </row>
    <row r="920">
      <c r="D920" s="63"/>
    </row>
    <row r="921">
      <c r="D921" s="63"/>
    </row>
    <row r="922">
      <c r="D922" s="63"/>
    </row>
    <row r="923">
      <c r="D923" s="63"/>
    </row>
    <row r="924">
      <c r="D924" s="63"/>
    </row>
    <row r="925">
      <c r="D925" s="63"/>
    </row>
    <row r="926">
      <c r="D926" s="63"/>
    </row>
    <row r="927">
      <c r="D927" s="63"/>
    </row>
    <row r="928">
      <c r="D928" s="63"/>
    </row>
    <row r="929">
      <c r="D929" s="63"/>
    </row>
    <row r="930">
      <c r="D930" s="63"/>
    </row>
    <row r="931">
      <c r="D931" s="63"/>
    </row>
    <row r="932">
      <c r="D932" s="63"/>
    </row>
    <row r="933">
      <c r="D933" s="63"/>
    </row>
    <row r="934">
      <c r="D934" s="63"/>
    </row>
    <row r="935">
      <c r="D935" s="63"/>
    </row>
    <row r="936">
      <c r="D936" s="63"/>
    </row>
    <row r="937">
      <c r="D937" s="63"/>
    </row>
    <row r="938">
      <c r="D938" s="63"/>
    </row>
    <row r="939">
      <c r="D939" s="63"/>
    </row>
    <row r="940">
      <c r="D940" s="63"/>
    </row>
    <row r="941">
      <c r="D941" s="63"/>
    </row>
    <row r="942">
      <c r="D942" s="63"/>
    </row>
    <row r="943">
      <c r="D943" s="63"/>
    </row>
    <row r="944">
      <c r="D944" s="63"/>
    </row>
    <row r="945">
      <c r="D945" s="63"/>
    </row>
    <row r="946">
      <c r="D946" s="63"/>
    </row>
    <row r="947">
      <c r="D947" s="63"/>
    </row>
    <row r="948">
      <c r="D948" s="63"/>
    </row>
    <row r="949">
      <c r="D949" s="63"/>
    </row>
    <row r="950">
      <c r="D950" s="63"/>
    </row>
    <row r="951">
      <c r="D951" s="63"/>
    </row>
    <row r="952">
      <c r="D952" s="63"/>
    </row>
    <row r="953">
      <c r="D953" s="63"/>
    </row>
    <row r="954">
      <c r="D954" s="63"/>
    </row>
    <row r="955">
      <c r="D955" s="63"/>
    </row>
    <row r="956">
      <c r="D956" s="63"/>
    </row>
    <row r="957">
      <c r="D957" s="63"/>
    </row>
    <row r="958">
      <c r="D958" s="63"/>
    </row>
    <row r="959">
      <c r="D959" s="63"/>
    </row>
    <row r="960">
      <c r="D960" s="63"/>
    </row>
    <row r="961">
      <c r="D961" s="63"/>
    </row>
    <row r="962">
      <c r="D962" s="63"/>
    </row>
    <row r="963">
      <c r="D963" s="63"/>
    </row>
    <row r="964">
      <c r="D964" s="63"/>
    </row>
    <row r="965">
      <c r="D965" s="63"/>
    </row>
    <row r="966">
      <c r="D966" s="63"/>
    </row>
    <row r="967">
      <c r="D967" s="63"/>
    </row>
    <row r="968">
      <c r="D968" s="63"/>
    </row>
    <row r="969">
      <c r="D969" s="63"/>
    </row>
    <row r="970">
      <c r="D970" s="63"/>
    </row>
    <row r="971">
      <c r="D971" s="63"/>
    </row>
    <row r="972">
      <c r="D972" s="63"/>
    </row>
    <row r="973">
      <c r="D973" s="63"/>
    </row>
    <row r="974">
      <c r="D974" s="63"/>
    </row>
    <row r="975">
      <c r="D975" s="63"/>
    </row>
    <row r="976">
      <c r="D976" s="63"/>
    </row>
    <row r="977">
      <c r="D977" s="63"/>
    </row>
    <row r="978">
      <c r="D978" s="63"/>
    </row>
    <row r="979">
      <c r="D979" s="63"/>
    </row>
    <row r="980">
      <c r="D980" s="63"/>
    </row>
    <row r="981">
      <c r="D981" s="63"/>
    </row>
    <row r="982">
      <c r="D982" s="63"/>
    </row>
    <row r="983">
      <c r="D983" s="63"/>
    </row>
    <row r="984">
      <c r="D984" s="63"/>
    </row>
    <row r="985">
      <c r="D985" s="63"/>
    </row>
    <row r="986">
      <c r="D986" s="63"/>
    </row>
    <row r="987">
      <c r="D987" s="63"/>
    </row>
    <row r="988">
      <c r="D988" s="63"/>
    </row>
    <row r="989">
      <c r="D989" s="63"/>
    </row>
    <row r="990">
      <c r="D990" s="63"/>
    </row>
    <row r="991">
      <c r="D991" s="63"/>
    </row>
    <row r="992">
      <c r="D992" s="63"/>
    </row>
    <row r="993">
      <c r="D993" s="63"/>
    </row>
    <row r="994">
      <c r="D994" s="63"/>
    </row>
    <row r="995">
      <c r="D995" s="63"/>
    </row>
    <row r="996">
      <c r="D996" s="63"/>
    </row>
    <row r="997">
      <c r="D997" s="63"/>
    </row>
    <row r="998">
      <c r="D998" s="63"/>
    </row>
    <row r="999">
      <c r="D999" s="63"/>
    </row>
    <row r="1000">
      <c r="D1000" s="63"/>
    </row>
  </sheetData>
  <autoFilter ref="$A$1:$J$343"/>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4">
        <v>45499.0</v>
      </c>
      <c r="B2" s="55" t="str">
        <f>HYPERLINK("https://jobright.ai/jobs/info/66a42ab7878605eeeff980c2?utm_campaign=1053&amp;utm_source=sheet", "Apply")</f>
        <v>Apply</v>
      </c>
      <c r="C2" s="10" t="s">
        <v>23265</v>
      </c>
      <c r="D2" s="56" t="s">
        <v>12683</v>
      </c>
      <c r="E2" s="10" t="s">
        <v>137</v>
      </c>
      <c r="F2" s="10" t="s">
        <v>12684</v>
      </c>
      <c r="G2" s="10" t="s">
        <v>8</v>
      </c>
      <c r="H2" s="10" t="s">
        <v>3320</v>
      </c>
      <c r="I2" s="10" t="s">
        <v>55</v>
      </c>
      <c r="K2" s="10" t="s">
        <v>12685</v>
      </c>
      <c r="L2" s="10" t="s">
        <v>42</v>
      </c>
    </row>
    <row r="3" ht="15.75" customHeight="1">
      <c r="A3" s="66">
        <v>45499.0</v>
      </c>
      <c r="B3" s="55" t="str">
        <f>HYPERLINK("https://jobright.ai/jobs/info/66a42ab7878605eeeff980c4?utm_campaign=1053&amp;utm_source=sheet", "Apply")</f>
        <v>Apply</v>
      </c>
      <c r="C3" s="10" t="s">
        <v>23265</v>
      </c>
      <c r="D3" s="56" t="s">
        <v>12683</v>
      </c>
      <c r="E3" s="10" t="s">
        <v>137</v>
      </c>
      <c r="F3" s="10" t="s">
        <v>12684</v>
      </c>
      <c r="G3" s="10" t="s">
        <v>8</v>
      </c>
      <c r="H3" s="10" t="s">
        <v>3256</v>
      </c>
      <c r="I3" s="10" t="s">
        <v>55</v>
      </c>
      <c r="K3" s="10" t="s">
        <v>12685</v>
      </c>
      <c r="L3" s="10" t="s">
        <v>42</v>
      </c>
    </row>
    <row r="4" ht="15.75" customHeight="1">
      <c r="A4" s="66">
        <v>45499.0</v>
      </c>
      <c r="B4" s="55" t="str">
        <f>HYPERLINK("https://jobright.ai/jobs/info/66a42ab7878605eeeff980c5?utm_campaign=1053&amp;utm_source=sheet", "Apply")</f>
        <v>Apply</v>
      </c>
      <c r="C4" s="10" t="s">
        <v>23265</v>
      </c>
      <c r="D4" s="56" t="s">
        <v>12683</v>
      </c>
      <c r="E4" s="10" t="s">
        <v>137</v>
      </c>
      <c r="F4" s="10" t="s">
        <v>12684</v>
      </c>
      <c r="G4" s="10" t="s">
        <v>8</v>
      </c>
      <c r="H4" s="10" t="s">
        <v>3271</v>
      </c>
      <c r="I4" s="10" t="s">
        <v>55</v>
      </c>
      <c r="K4" s="10" t="s">
        <v>12685</v>
      </c>
      <c r="L4" s="10" t="s">
        <v>42</v>
      </c>
    </row>
    <row r="5" ht="15.75" customHeight="1">
      <c r="A5" s="66">
        <v>45499.0</v>
      </c>
      <c r="B5" s="55" t="str">
        <f>HYPERLINK("https://jobright.ai/jobs/info/66a455bcc30fa95f24d7ed6a?utm_campaign=1053&amp;utm_source=sheet", "Apply")</f>
        <v>Apply</v>
      </c>
      <c r="C5" s="10" t="s">
        <v>23265</v>
      </c>
      <c r="D5" s="56" t="s">
        <v>12683</v>
      </c>
      <c r="E5" s="10" t="s">
        <v>137</v>
      </c>
      <c r="F5" s="10" t="s">
        <v>12684</v>
      </c>
      <c r="G5" s="10" t="s">
        <v>8</v>
      </c>
      <c r="H5" s="10" t="s">
        <v>3309</v>
      </c>
      <c r="I5" s="10" t="s">
        <v>55</v>
      </c>
      <c r="K5" s="10" t="s">
        <v>12685</v>
      </c>
      <c r="L5" s="10" t="s">
        <v>42</v>
      </c>
    </row>
    <row r="6" ht="15.75" customHeight="1">
      <c r="A6" s="66">
        <v>45499.0</v>
      </c>
      <c r="B6" s="55" t="str">
        <f>HYPERLINK("https://jobright.ai/jobs/info/66a428f2fa09ee0c5722abdc?utm_campaign=1053&amp;utm_source=sheet", "Apply")</f>
        <v>Apply</v>
      </c>
      <c r="C6" s="10" t="s">
        <v>23265</v>
      </c>
      <c r="D6" s="56" t="s">
        <v>12683</v>
      </c>
      <c r="E6" s="10" t="s">
        <v>137</v>
      </c>
      <c r="F6" s="10" t="s">
        <v>12684</v>
      </c>
      <c r="G6" s="10" t="s">
        <v>8</v>
      </c>
      <c r="H6" s="10" t="s">
        <v>1212</v>
      </c>
      <c r="I6" s="10" t="s">
        <v>55</v>
      </c>
      <c r="K6" s="10" t="s">
        <v>12685</v>
      </c>
      <c r="L6" s="10" t="s">
        <v>42</v>
      </c>
    </row>
    <row r="7" ht="15.75" customHeight="1">
      <c r="A7" s="66">
        <v>45499.0</v>
      </c>
      <c r="B7" s="55" t="str">
        <f>HYPERLINK("https://jobright.ai/jobs/info/66a428d7fa09ee0c5722a9bf?utm_campaign=1053&amp;utm_source=sheet", "Apply")</f>
        <v>Apply</v>
      </c>
      <c r="C7" s="10" t="s">
        <v>23266</v>
      </c>
      <c r="D7" s="56" t="s">
        <v>12683</v>
      </c>
      <c r="E7" s="10" t="s">
        <v>137</v>
      </c>
      <c r="F7" s="10" t="s">
        <v>12684</v>
      </c>
      <c r="G7" s="10" t="s">
        <v>8</v>
      </c>
      <c r="H7" s="10" t="s">
        <v>411</v>
      </c>
      <c r="I7" s="10" t="s">
        <v>55</v>
      </c>
      <c r="K7" s="10" t="s">
        <v>12685</v>
      </c>
      <c r="L7" s="10" t="s">
        <v>42</v>
      </c>
    </row>
    <row r="8" ht="15.75" customHeight="1">
      <c r="A8" s="66">
        <v>45499.0</v>
      </c>
      <c r="B8" s="55" t="str">
        <f>HYPERLINK("https://jobright.ai/jobs/info/66a4132a92c15a63eb8104fa?utm_campaign=1053&amp;utm_source=sheet", "Apply")</f>
        <v>Apply</v>
      </c>
      <c r="C8" s="10" t="s">
        <v>23267</v>
      </c>
      <c r="D8" s="56" t="s">
        <v>17925</v>
      </c>
      <c r="E8" s="10" t="s">
        <v>65</v>
      </c>
      <c r="F8" s="10" t="s">
        <v>4017</v>
      </c>
      <c r="G8" s="10" t="s">
        <v>8</v>
      </c>
      <c r="H8" s="10" t="s">
        <v>165</v>
      </c>
      <c r="I8" s="10" t="s">
        <v>55</v>
      </c>
      <c r="J8" s="10" t="s">
        <v>2450</v>
      </c>
      <c r="K8" s="10" t="s">
        <v>23268</v>
      </c>
      <c r="L8" s="10" t="s">
        <v>42</v>
      </c>
    </row>
    <row r="9" ht="15.75" customHeight="1">
      <c r="A9" s="66">
        <v>45499.0</v>
      </c>
      <c r="B9" s="55" t="str">
        <f>HYPERLINK("https://jobright.ai/jobs/info/66a41c0a6d940da142e55003?utm_campaign=1053&amp;utm_source=sheet", "Apply")</f>
        <v>Apply</v>
      </c>
      <c r="C9" s="10" t="s">
        <v>23265</v>
      </c>
      <c r="D9" s="56" t="s">
        <v>12683</v>
      </c>
      <c r="E9" s="10" t="s">
        <v>137</v>
      </c>
      <c r="F9" s="10" t="s">
        <v>12684</v>
      </c>
      <c r="G9" s="10" t="s">
        <v>8</v>
      </c>
      <c r="H9" s="10" t="s">
        <v>23269</v>
      </c>
      <c r="I9" s="10" t="s">
        <v>55</v>
      </c>
      <c r="K9" s="10" t="s">
        <v>12685</v>
      </c>
      <c r="L9" s="10" t="s">
        <v>42</v>
      </c>
    </row>
    <row r="10" ht="15.75" customHeight="1">
      <c r="A10" s="66">
        <v>45499.0</v>
      </c>
      <c r="B10" s="55" t="str">
        <f>HYPERLINK("https://jobright.ai/jobs/info/66a3fd65d61cea1521a46ea0?utm_campaign=1053&amp;utm_source=sheet", "Apply")</f>
        <v>Apply</v>
      </c>
      <c r="C10" s="10" t="s">
        <v>23270</v>
      </c>
      <c r="D10" s="56" t="s">
        <v>23271</v>
      </c>
      <c r="G10" s="10" t="s">
        <v>8</v>
      </c>
      <c r="H10" s="10" t="s">
        <v>251</v>
      </c>
      <c r="I10" s="10" t="s">
        <v>252</v>
      </c>
      <c r="K10" s="10" t="s">
        <v>23272</v>
      </c>
      <c r="L10" s="10" t="s">
        <v>42</v>
      </c>
    </row>
    <row r="11" ht="15.75" customHeight="1">
      <c r="A11" s="66">
        <v>45499.0</v>
      </c>
      <c r="B11" s="55" t="str">
        <f>HYPERLINK("https://jobright.ai/jobs/info/66a409c4f228ed543e4330ea?utm_campaign=1053&amp;utm_source=sheet", "Apply")</f>
        <v>Apply</v>
      </c>
      <c r="C11" s="10" t="s">
        <v>23273</v>
      </c>
      <c r="D11" s="56" t="s">
        <v>23274</v>
      </c>
      <c r="E11" s="10" t="s">
        <v>71</v>
      </c>
      <c r="F11" s="10" t="s">
        <v>1243</v>
      </c>
      <c r="G11" s="10" t="s">
        <v>8</v>
      </c>
      <c r="H11" s="10" t="s">
        <v>3270</v>
      </c>
      <c r="I11" s="10" t="s">
        <v>55</v>
      </c>
      <c r="J11" s="10" t="s">
        <v>8984</v>
      </c>
      <c r="K11" s="10" t="s">
        <v>23275</v>
      </c>
      <c r="L11" s="10" t="s">
        <v>42</v>
      </c>
    </row>
    <row r="12" ht="15.75" customHeight="1">
      <c r="A12" s="66">
        <v>45499.0</v>
      </c>
      <c r="B12" s="55" t="str">
        <f>HYPERLINK("https://jobright.ai/jobs/info/66a3e831b020465e7d35c8f2?utm_campaign=1053&amp;utm_source=sheet", "Apply")</f>
        <v>Apply</v>
      </c>
      <c r="C12" s="10" t="s">
        <v>23276</v>
      </c>
      <c r="D12" s="58" t="s">
        <v>23277</v>
      </c>
      <c r="E12" s="10" t="s">
        <v>209</v>
      </c>
      <c r="F12" s="10" t="s">
        <v>23278</v>
      </c>
      <c r="G12" s="10" t="s">
        <v>8</v>
      </c>
      <c r="H12" s="10" t="s">
        <v>113</v>
      </c>
      <c r="I12" s="10" t="s">
        <v>48</v>
      </c>
      <c r="J12" s="10" t="s">
        <v>3979</v>
      </c>
      <c r="K12" s="10" t="s">
        <v>23279</v>
      </c>
      <c r="L12" s="10" t="s">
        <v>42</v>
      </c>
    </row>
    <row r="13" ht="15.75" customHeight="1">
      <c r="A13" s="66">
        <v>45499.0</v>
      </c>
      <c r="B13" s="55" t="str">
        <f>HYPERLINK("https://jobright.ai/jobs/info/66a3e831b020465e7d35c900?utm_campaign=1053&amp;utm_source=sheet", "Apply")</f>
        <v>Apply</v>
      </c>
      <c r="C13" s="10" t="s">
        <v>23280</v>
      </c>
      <c r="D13" s="58" t="s">
        <v>23277</v>
      </c>
      <c r="E13" s="10" t="s">
        <v>209</v>
      </c>
      <c r="F13" s="10" t="s">
        <v>23278</v>
      </c>
      <c r="G13" s="10" t="s">
        <v>8</v>
      </c>
      <c r="H13" s="10" t="s">
        <v>113</v>
      </c>
      <c r="I13" s="10" t="s">
        <v>48</v>
      </c>
      <c r="J13" s="10" t="s">
        <v>3979</v>
      </c>
      <c r="K13" s="10" t="s">
        <v>23281</v>
      </c>
      <c r="L13" s="10" t="s">
        <v>42</v>
      </c>
    </row>
    <row r="14" ht="15.75" customHeight="1">
      <c r="A14" s="66">
        <v>45499.0</v>
      </c>
      <c r="B14" s="55" t="str">
        <f>HYPERLINK("https://jobright.ai/jobs/info/66a3c9a355a005da42ef4dc6?utm_campaign=1053&amp;utm_source=sheet", "Apply")</f>
        <v>Apply</v>
      </c>
      <c r="C14" s="10" t="s">
        <v>23282</v>
      </c>
      <c r="D14" s="56" t="s">
        <v>23283</v>
      </c>
      <c r="E14" s="10" t="s">
        <v>137</v>
      </c>
      <c r="F14" s="10" t="s">
        <v>2315</v>
      </c>
      <c r="G14" s="10" t="s">
        <v>8</v>
      </c>
      <c r="H14" s="10" t="s">
        <v>882</v>
      </c>
      <c r="I14" s="10" t="s">
        <v>55</v>
      </c>
      <c r="J14" s="10" t="s">
        <v>3125</v>
      </c>
      <c r="K14" s="10" t="s">
        <v>23284</v>
      </c>
      <c r="L14" s="10" t="s">
        <v>42</v>
      </c>
    </row>
    <row r="15" ht="15.75" customHeight="1">
      <c r="A15" s="66">
        <v>45499.0</v>
      </c>
      <c r="B15" s="55" t="str">
        <f>HYPERLINK("https://jobright.ai/jobs/info/66a3e6339894113d03c90fd1?utm_campaign=1053&amp;utm_source=sheet", "Apply")</f>
        <v>Apply</v>
      </c>
      <c r="C15" s="10" t="s">
        <v>23285</v>
      </c>
      <c r="D15" s="56" t="s">
        <v>15387</v>
      </c>
      <c r="E15" s="10" t="s">
        <v>209</v>
      </c>
      <c r="F15" s="10" t="s">
        <v>15388</v>
      </c>
      <c r="G15" s="10" t="s">
        <v>8</v>
      </c>
      <c r="H15" s="10" t="s">
        <v>949</v>
      </c>
      <c r="I15" s="10" t="s">
        <v>55</v>
      </c>
      <c r="J15" s="10" t="s">
        <v>23286</v>
      </c>
      <c r="K15" s="10" t="s">
        <v>23287</v>
      </c>
      <c r="L15" s="10" t="s">
        <v>42</v>
      </c>
    </row>
    <row r="16" ht="15.75" customHeight="1">
      <c r="A16" s="66">
        <v>45499.0</v>
      </c>
      <c r="B16" s="55" t="str">
        <f>HYPERLINK("https://jobright.ai/jobs/info/662543563f7bae0344291527?utm_campaign=1053&amp;utm_source=sheet", "Apply")</f>
        <v>Apply</v>
      </c>
      <c r="C16" s="10" t="s">
        <v>23288</v>
      </c>
      <c r="D16" s="56" t="s">
        <v>5165</v>
      </c>
      <c r="E16" s="10" t="s">
        <v>209</v>
      </c>
      <c r="F16" s="10" t="s">
        <v>5166</v>
      </c>
      <c r="G16" s="10" t="s">
        <v>8</v>
      </c>
      <c r="H16" s="10" t="s">
        <v>1032</v>
      </c>
      <c r="I16" s="10" t="s">
        <v>55</v>
      </c>
      <c r="K16" s="10" t="s">
        <v>23289</v>
      </c>
      <c r="L16" s="10" t="s">
        <v>42</v>
      </c>
    </row>
    <row r="17" ht="15.75" customHeight="1">
      <c r="A17" s="66">
        <v>45499.0</v>
      </c>
      <c r="B17" s="55" t="str">
        <f>HYPERLINK("https://jobright.ai/jobs/info/666a6536ca7ce031c1c10616?utm_campaign=1053&amp;utm_source=sheet", "Apply")</f>
        <v>Apply</v>
      </c>
      <c r="C17" s="10" t="s">
        <v>23290</v>
      </c>
      <c r="D17" s="56" t="s">
        <v>1667</v>
      </c>
      <c r="E17" s="10">
        <v>37644.0</v>
      </c>
      <c r="G17" s="10" t="s">
        <v>8</v>
      </c>
      <c r="H17" s="10" t="s">
        <v>170</v>
      </c>
      <c r="I17" s="10" t="s">
        <v>55</v>
      </c>
      <c r="J17" s="10" t="s">
        <v>1984</v>
      </c>
      <c r="K17" s="10" t="s">
        <v>23291</v>
      </c>
      <c r="L17" s="10" t="s">
        <v>42</v>
      </c>
    </row>
    <row r="18" ht="15.75" customHeight="1">
      <c r="A18" s="66">
        <v>45499.0</v>
      </c>
      <c r="B18" s="55" t="str">
        <f>HYPERLINK("https://jobright.ai/jobs/info/6672e7e3d742a3597e9ab8c7?utm_campaign=1053&amp;utm_source=sheet", "Apply")</f>
        <v>Apply</v>
      </c>
      <c r="C18" s="10" t="s">
        <v>23292</v>
      </c>
      <c r="D18" s="56" t="s">
        <v>14399</v>
      </c>
      <c r="E18" s="10" t="s">
        <v>249</v>
      </c>
      <c r="F18" s="10" t="s">
        <v>3382</v>
      </c>
      <c r="G18" s="10" t="s">
        <v>8</v>
      </c>
      <c r="H18" s="10" t="s">
        <v>14400</v>
      </c>
      <c r="I18" s="10" t="s">
        <v>55</v>
      </c>
      <c r="K18" s="10" t="s">
        <v>23293</v>
      </c>
      <c r="L18" s="10" t="s">
        <v>42</v>
      </c>
    </row>
    <row r="19" ht="15.75" customHeight="1">
      <c r="A19" s="66">
        <v>45499.0</v>
      </c>
      <c r="B19" s="55" t="str">
        <f>HYPERLINK("https://jobright.ai/jobs/info/664de0460790ade97e15e49a?utm_campaign=1053&amp;utm_source=sheet", "Apply")</f>
        <v>Apply</v>
      </c>
      <c r="C19" s="10" t="s">
        <v>23294</v>
      </c>
      <c r="D19" s="56" t="s">
        <v>7209</v>
      </c>
      <c r="E19" s="10" t="s">
        <v>45</v>
      </c>
      <c r="F19" s="10" t="s">
        <v>7210</v>
      </c>
      <c r="G19" s="10" t="s">
        <v>8</v>
      </c>
      <c r="H19" s="10" t="s">
        <v>1097</v>
      </c>
      <c r="I19" s="10" t="s">
        <v>55</v>
      </c>
      <c r="K19" s="10" t="s">
        <v>23295</v>
      </c>
      <c r="L19" s="10" t="s">
        <v>42</v>
      </c>
    </row>
    <row r="20" ht="15.75" customHeight="1">
      <c r="A20" s="66">
        <v>45499.0</v>
      </c>
      <c r="B20" s="55" t="str">
        <f>HYPERLINK("https://jobright.ai/jobs/info/664dffe7d79e0cf76550113b?utm_campaign=1053&amp;utm_source=sheet", "Apply")</f>
        <v>Apply</v>
      </c>
      <c r="C20" s="10" t="s">
        <v>23296</v>
      </c>
      <c r="D20" s="56" t="s">
        <v>7209</v>
      </c>
      <c r="E20" s="10" t="s">
        <v>45</v>
      </c>
      <c r="F20" s="10" t="s">
        <v>7210</v>
      </c>
      <c r="G20" s="10" t="s">
        <v>8</v>
      </c>
      <c r="H20" s="10" t="s">
        <v>3387</v>
      </c>
      <c r="I20" s="10" t="s">
        <v>55</v>
      </c>
      <c r="K20" s="10" t="s">
        <v>23297</v>
      </c>
      <c r="L20" s="10" t="s">
        <v>42</v>
      </c>
    </row>
    <row r="21" ht="15.75" customHeight="1">
      <c r="A21" s="66">
        <v>45499.0</v>
      </c>
      <c r="B21" s="55" t="str">
        <f>HYPERLINK("https://jobright.ai/jobs/info/66758ac5e9630e29ff21469c?utm_campaign=1053&amp;utm_source=sheet", "Apply")</f>
        <v>Apply</v>
      </c>
      <c r="C21" s="10" t="s">
        <v>23298</v>
      </c>
      <c r="D21" s="56" t="s">
        <v>18756</v>
      </c>
      <c r="E21" s="10" t="s">
        <v>209</v>
      </c>
      <c r="F21" s="10" t="s">
        <v>18757</v>
      </c>
      <c r="G21" s="10" t="s">
        <v>8</v>
      </c>
      <c r="H21" s="10" t="s">
        <v>96</v>
      </c>
      <c r="I21" s="10" t="s">
        <v>55</v>
      </c>
      <c r="J21" s="10" t="s">
        <v>1960</v>
      </c>
      <c r="K21" s="10" t="s">
        <v>23299</v>
      </c>
      <c r="L21" s="10" t="s">
        <v>42</v>
      </c>
    </row>
    <row r="22" ht="15.75" customHeight="1">
      <c r="A22" s="66">
        <v>45499.0</v>
      </c>
      <c r="B22" s="55" t="str">
        <f>HYPERLINK("https://jobright.ai/jobs/info/66a366b9e88261f6c8a8cb86?utm_campaign=1053&amp;utm_source=sheet", "Apply")</f>
        <v>Apply</v>
      </c>
      <c r="C22" s="10" t="s">
        <v>23300</v>
      </c>
      <c r="D22" s="56" t="s">
        <v>23301</v>
      </c>
      <c r="E22" s="10">
        <v>22.0</v>
      </c>
      <c r="G22" s="10" t="s">
        <v>8</v>
      </c>
      <c r="H22" s="10" t="s">
        <v>332</v>
      </c>
      <c r="I22" s="10" t="s">
        <v>55</v>
      </c>
      <c r="K22" s="10" t="s">
        <v>23302</v>
      </c>
      <c r="L22" s="10" t="s">
        <v>42</v>
      </c>
    </row>
    <row r="23" ht="15.75" customHeight="1">
      <c r="A23" s="66">
        <v>45499.0</v>
      </c>
      <c r="B23" s="55" t="str">
        <f>HYPERLINK("https://jobright.ai/jobs/info/66a31117a876354708d31d80?utm_campaign=1053&amp;utm_source=sheet", "Apply")</f>
        <v>Apply</v>
      </c>
      <c r="C23" s="10" t="s">
        <v>23303</v>
      </c>
      <c r="D23" s="56" t="s">
        <v>12869</v>
      </c>
      <c r="E23" s="10">
        <v>14.0</v>
      </c>
      <c r="G23" s="10" t="s">
        <v>8</v>
      </c>
      <c r="H23" s="10" t="s">
        <v>23304</v>
      </c>
      <c r="I23" s="10" t="s">
        <v>55</v>
      </c>
      <c r="K23" s="10" t="s">
        <v>23305</v>
      </c>
      <c r="L23" s="10" t="s">
        <v>42</v>
      </c>
    </row>
    <row r="24" ht="15.75" customHeight="1">
      <c r="A24" s="66">
        <v>45499.0</v>
      </c>
      <c r="B24" s="55" t="str">
        <f>HYPERLINK("https://jobright.ai/jobs/info/66a304525819e4bbe872d6ad?utm_campaign=1053&amp;utm_source=sheet", "Apply")</f>
        <v>Apply</v>
      </c>
      <c r="C24" s="10" t="s">
        <v>1605</v>
      </c>
      <c r="D24" s="56" t="s">
        <v>12641</v>
      </c>
      <c r="E24" s="10" t="s">
        <v>79</v>
      </c>
      <c r="F24" s="10" t="s">
        <v>12642</v>
      </c>
      <c r="G24" s="10" t="s">
        <v>8</v>
      </c>
      <c r="H24" s="10" t="s">
        <v>96</v>
      </c>
      <c r="I24" s="10" t="s">
        <v>55</v>
      </c>
      <c r="J24" s="10" t="s">
        <v>1960</v>
      </c>
      <c r="K24" s="10" t="s">
        <v>23306</v>
      </c>
      <c r="L24" s="10" t="s">
        <v>42</v>
      </c>
    </row>
    <row r="25" ht="15.75" customHeight="1">
      <c r="A25" s="66">
        <v>45498.0</v>
      </c>
      <c r="B25" s="55" t="str">
        <f>HYPERLINK("https://jobright.ai/jobs/info/66a2fc1d7d87c2086e260c85?utm_campaign=1053&amp;utm_source=sheet", "Apply")</f>
        <v>Apply</v>
      </c>
      <c r="C25" s="10" t="s">
        <v>23307</v>
      </c>
      <c r="D25" s="56" t="s">
        <v>1636</v>
      </c>
      <c r="E25" s="10">
        <v>6029.0</v>
      </c>
      <c r="G25" s="10" t="s">
        <v>8</v>
      </c>
      <c r="H25" s="10" t="s">
        <v>170</v>
      </c>
      <c r="I25" s="10" t="s">
        <v>55</v>
      </c>
      <c r="J25" s="10" t="s">
        <v>1637</v>
      </c>
      <c r="K25" s="10" t="s">
        <v>23308</v>
      </c>
      <c r="L25" s="10" t="s">
        <v>42</v>
      </c>
    </row>
    <row r="26" ht="15.75" customHeight="1">
      <c r="A26" s="66">
        <v>45498.0</v>
      </c>
      <c r="B26" s="55" t="str">
        <f>HYPERLINK("https://jobright.ai/jobs/info/66a2e2f9621b00551f3627ac?utm_campaign=1053&amp;utm_source=sheet", "Apply")</f>
        <v>Apply</v>
      </c>
      <c r="C26" s="10" t="s">
        <v>23309</v>
      </c>
      <c r="D26" s="56" t="s">
        <v>12942</v>
      </c>
      <c r="E26" s="10" t="s">
        <v>79</v>
      </c>
      <c r="F26" s="10" t="s">
        <v>3770</v>
      </c>
      <c r="G26" s="10" t="s">
        <v>8</v>
      </c>
      <c r="H26" s="10" t="s">
        <v>170</v>
      </c>
      <c r="I26" s="10" t="s">
        <v>55</v>
      </c>
      <c r="J26" s="10" t="s">
        <v>3979</v>
      </c>
      <c r="K26" s="10" t="s">
        <v>23310</v>
      </c>
      <c r="L26" s="10" t="s">
        <v>42</v>
      </c>
    </row>
    <row r="27" ht="15.75" customHeight="1">
      <c r="A27" s="66">
        <v>45498.0</v>
      </c>
      <c r="B27" s="55" t="str">
        <f>HYPERLINK("https://jobright.ai/jobs/info/66a2df67de8a34a2d334b3a1?utm_campaign=1053&amp;utm_source=sheet", "Apply")</f>
        <v>Apply</v>
      </c>
      <c r="C27" s="10" t="s">
        <v>23311</v>
      </c>
      <c r="D27" s="56" t="s">
        <v>15387</v>
      </c>
      <c r="E27" s="10" t="s">
        <v>209</v>
      </c>
      <c r="F27" s="10" t="s">
        <v>15388</v>
      </c>
      <c r="G27" s="10" t="s">
        <v>8</v>
      </c>
      <c r="H27" s="10" t="s">
        <v>170</v>
      </c>
      <c r="I27" s="10" t="s">
        <v>55</v>
      </c>
      <c r="J27" s="10" t="s">
        <v>23312</v>
      </c>
      <c r="K27" s="10" t="s">
        <v>23287</v>
      </c>
      <c r="L27" s="10" t="s">
        <v>42</v>
      </c>
    </row>
    <row r="28" ht="15.75" customHeight="1">
      <c r="A28" s="66">
        <v>45498.0</v>
      </c>
      <c r="B28" s="55" t="str">
        <f>HYPERLINK("https://jobright.ai/jobs/info/66a2f94f0b24d815fe1233f7?utm_campaign=1053&amp;utm_source=sheet", "Apply")</f>
        <v>Apply</v>
      </c>
      <c r="C28" s="10" t="s">
        <v>23313</v>
      </c>
      <c r="D28" s="56" t="s">
        <v>15387</v>
      </c>
      <c r="E28" s="10" t="s">
        <v>209</v>
      </c>
      <c r="F28" s="10" t="s">
        <v>15388</v>
      </c>
      <c r="G28" s="10" t="s">
        <v>8</v>
      </c>
      <c r="H28" s="10" t="s">
        <v>14742</v>
      </c>
      <c r="I28" s="10" t="s">
        <v>55</v>
      </c>
      <c r="J28" s="10" t="s">
        <v>23286</v>
      </c>
      <c r="K28" s="10" t="s">
        <v>23287</v>
      </c>
      <c r="L28" s="10" t="s">
        <v>42</v>
      </c>
    </row>
    <row r="29" ht="15.75" customHeight="1">
      <c r="A29" s="66">
        <v>45498.0</v>
      </c>
      <c r="B29" s="55" t="str">
        <f>HYPERLINK("https://jobright.ai/jobs/info/66a2b940bac922b881df653c?utm_campaign=1053&amp;utm_source=sheet", "Apply")</f>
        <v>Apply</v>
      </c>
      <c r="C29" s="10" t="s">
        <v>23314</v>
      </c>
      <c r="D29" s="56" t="s">
        <v>23315</v>
      </c>
      <c r="E29" s="10" t="s">
        <v>79</v>
      </c>
      <c r="F29" s="10" t="s">
        <v>1506</v>
      </c>
      <c r="G29" s="10" t="s">
        <v>8</v>
      </c>
      <c r="H29" s="10" t="s">
        <v>10038</v>
      </c>
      <c r="I29" s="10" t="s">
        <v>55</v>
      </c>
      <c r="K29" s="10" t="s">
        <v>23316</v>
      </c>
      <c r="L29" s="10" t="s">
        <v>42</v>
      </c>
    </row>
    <row r="30" ht="15.75" customHeight="1">
      <c r="A30" s="66">
        <v>45498.0</v>
      </c>
      <c r="B30" s="55" t="str">
        <f>HYPERLINK("https://jobright.ai/jobs/info/66a2a153c1e76feabe4a6c59?utm_campaign=1053&amp;utm_source=sheet", "Apply")</f>
        <v>Apply</v>
      </c>
      <c r="C30" s="10" t="s">
        <v>23317</v>
      </c>
      <c r="D30" s="56" t="s">
        <v>23318</v>
      </c>
      <c r="E30" s="10">
        <v>11.0</v>
      </c>
      <c r="G30" s="10" t="s">
        <v>8</v>
      </c>
      <c r="H30" s="10" t="s">
        <v>251</v>
      </c>
      <c r="I30" s="10" t="s">
        <v>252</v>
      </c>
      <c r="K30" s="10" t="s">
        <v>23319</v>
      </c>
      <c r="L30" s="10" t="s">
        <v>42</v>
      </c>
    </row>
    <row r="31" ht="15.75" customHeight="1">
      <c r="A31" s="66">
        <v>45498.0</v>
      </c>
      <c r="B31" s="55" t="str">
        <f>HYPERLINK("https://jobright.ai/jobs/info/668b2eca1b1249b8ab5fc1f1?utm_campaign=1053&amp;utm_source=sheet", "Apply")</f>
        <v>Apply</v>
      </c>
      <c r="C31" s="10" t="s">
        <v>23320</v>
      </c>
      <c r="D31" s="56" t="s">
        <v>14898</v>
      </c>
      <c r="E31" s="10" t="s">
        <v>249</v>
      </c>
      <c r="F31" s="10" t="s">
        <v>5166</v>
      </c>
      <c r="G31" s="10" t="s">
        <v>8</v>
      </c>
      <c r="H31" s="10" t="s">
        <v>159</v>
      </c>
      <c r="I31" s="10" t="s">
        <v>55</v>
      </c>
      <c r="J31" s="10" t="s">
        <v>1608</v>
      </c>
      <c r="K31" s="10" t="s">
        <v>23321</v>
      </c>
      <c r="L31" s="10" t="s">
        <v>42</v>
      </c>
    </row>
    <row r="32" ht="15.75" customHeight="1">
      <c r="A32" s="66">
        <v>45498.0</v>
      </c>
      <c r="B32" s="55" t="str">
        <f>HYPERLINK("https://jobright.ai/jobs/info/66a28ab883c567e43429993b?utm_campaign=1053&amp;utm_source=sheet", "Apply")</f>
        <v>Apply</v>
      </c>
      <c r="C32" s="10" t="s">
        <v>23322</v>
      </c>
      <c r="D32" s="56" t="s">
        <v>23323</v>
      </c>
      <c r="E32" s="10">
        <v>10.0</v>
      </c>
      <c r="G32" s="10" t="s">
        <v>8</v>
      </c>
      <c r="H32" s="10" t="s">
        <v>3266</v>
      </c>
      <c r="I32" s="10" t="s">
        <v>55</v>
      </c>
      <c r="K32" s="10" t="s">
        <v>23324</v>
      </c>
      <c r="L32" s="10" t="s">
        <v>42</v>
      </c>
    </row>
    <row r="33" ht="15.75" customHeight="1">
      <c r="A33" s="66">
        <v>45498.0</v>
      </c>
      <c r="B33" s="55" t="str">
        <f>HYPERLINK("https://jobright.ai/jobs/info/66a263fd8740ffe76eca5a72?utm_campaign=1053&amp;utm_source=sheet", "Apply")</f>
        <v>Apply</v>
      </c>
      <c r="C33" s="10" t="s">
        <v>23325</v>
      </c>
      <c r="D33" s="56" t="s">
        <v>15387</v>
      </c>
      <c r="E33" s="10" t="s">
        <v>209</v>
      </c>
      <c r="F33" s="10" t="s">
        <v>15388</v>
      </c>
      <c r="G33" s="10" t="s">
        <v>8</v>
      </c>
      <c r="H33" s="10" t="s">
        <v>23326</v>
      </c>
      <c r="I33" s="10" t="s">
        <v>55</v>
      </c>
      <c r="J33" s="10" t="s">
        <v>23286</v>
      </c>
      <c r="K33" s="10" t="s">
        <v>23287</v>
      </c>
      <c r="L33" s="10" t="s">
        <v>42</v>
      </c>
    </row>
    <row r="34" ht="15.75" customHeight="1">
      <c r="A34" s="66">
        <v>45498.0</v>
      </c>
      <c r="B34" s="55" t="str">
        <f>HYPERLINK("https://jobright.ai/jobs/info/66a3e1cdfa1e56eccb8f5af3?utm_campaign=1053&amp;utm_source=sheet", "Apply")</f>
        <v>Apply</v>
      </c>
      <c r="C34" s="10" t="s">
        <v>23327</v>
      </c>
      <c r="D34" s="56" t="s">
        <v>5418</v>
      </c>
      <c r="E34" s="10" t="s">
        <v>249</v>
      </c>
      <c r="F34" s="10" t="s">
        <v>5419</v>
      </c>
      <c r="G34" s="10" t="s">
        <v>8</v>
      </c>
      <c r="H34" s="10" t="s">
        <v>1020</v>
      </c>
      <c r="I34" s="10" t="s">
        <v>55</v>
      </c>
      <c r="K34" s="10" t="s">
        <v>23328</v>
      </c>
      <c r="L34" s="10" t="s">
        <v>42</v>
      </c>
    </row>
    <row r="35" ht="15.75" customHeight="1">
      <c r="A35" s="66">
        <v>45498.0</v>
      </c>
      <c r="B35" s="55" t="str">
        <f>HYPERLINK("https://jobright.ai/jobs/info/664de06a0790ade97e15e7b9?utm_campaign=1053&amp;utm_source=sheet", "Apply")</f>
        <v>Apply</v>
      </c>
      <c r="C35" s="10" t="s">
        <v>23329</v>
      </c>
      <c r="D35" s="56" t="s">
        <v>7209</v>
      </c>
      <c r="E35" s="10" t="s">
        <v>45</v>
      </c>
      <c r="F35" s="10" t="s">
        <v>7210</v>
      </c>
      <c r="G35" s="10" t="s">
        <v>8</v>
      </c>
      <c r="H35" s="10" t="s">
        <v>232</v>
      </c>
      <c r="I35" s="10" t="s">
        <v>55</v>
      </c>
      <c r="K35" s="10" t="s">
        <v>23330</v>
      </c>
      <c r="L35" s="10" t="s">
        <v>42</v>
      </c>
    </row>
    <row r="36" ht="15.75" customHeight="1">
      <c r="A36" s="66">
        <v>45498.0</v>
      </c>
      <c r="B36" s="55" t="str">
        <f>HYPERLINK("https://jobright.ai/jobs/info/66a1fcab234529e5c98906f3?utm_campaign=1053&amp;utm_source=sheet", "Apply")</f>
        <v>Apply</v>
      </c>
      <c r="C36" s="10" t="s">
        <v>23331</v>
      </c>
      <c r="D36" s="56" t="s">
        <v>13081</v>
      </c>
      <c r="E36" s="10" t="s">
        <v>137</v>
      </c>
      <c r="F36" s="10" t="s">
        <v>13082</v>
      </c>
      <c r="G36" s="10" t="s">
        <v>8</v>
      </c>
      <c r="H36" s="10" t="s">
        <v>153</v>
      </c>
      <c r="I36" s="10" t="s">
        <v>55</v>
      </c>
      <c r="J36" s="10" t="s">
        <v>3125</v>
      </c>
      <c r="K36" s="10" t="s">
        <v>23332</v>
      </c>
      <c r="L36" s="10" t="s">
        <v>42</v>
      </c>
    </row>
    <row r="37" ht="15.75" customHeight="1">
      <c r="A37" s="66">
        <v>45498.0</v>
      </c>
      <c r="B37" s="55" t="str">
        <f>HYPERLINK("https://jobright.ai/jobs/info/66a1fcab234529e5c98906f6?utm_campaign=1053&amp;utm_source=sheet", "Apply")</f>
        <v>Apply</v>
      </c>
      <c r="C37" s="10" t="s">
        <v>23333</v>
      </c>
      <c r="D37" s="56" t="s">
        <v>13081</v>
      </c>
      <c r="E37" s="10" t="s">
        <v>137</v>
      </c>
      <c r="F37" s="10" t="s">
        <v>13082</v>
      </c>
      <c r="G37" s="10" t="s">
        <v>8</v>
      </c>
      <c r="H37" s="10" t="s">
        <v>153</v>
      </c>
      <c r="I37" s="10" t="s">
        <v>55</v>
      </c>
      <c r="J37" s="10" t="s">
        <v>3125</v>
      </c>
      <c r="K37" s="10" t="s">
        <v>13083</v>
      </c>
      <c r="L37" s="10" t="s">
        <v>42</v>
      </c>
    </row>
    <row r="38" ht="15.75" customHeight="1">
      <c r="A38" s="66">
        <v>45498.0</v>
      </c>
      <c r="B38" s="55" t="str">
        <f>HYPERLINK("https://jobright.ai/jobs/info/66a1c29c3d7ffc3c7ef5858b?utm_campaign=1053&amp;utm_source=sheet", "Apply")</f>
        <v>Apply</v>
      </c>
      <c r="C38" s="10" t="s">
        <v>23334</v>
      </c>
      <c r="D38" s="56" t="s">
        <v>23335</v>
      </c>
      <c r="E38" s="10" t="s">
        <v>71</v>
      </c>
      <c r="F38" s="10" t="s">
        <v>23336</v>
      </c>
      <c r="G38" s="10" t="s">
        <v>8</v>
      </c>
      <c r="H38" s="10" t="s">
        <v>23337</v>
      </c>
      <c r="I38" s="10" t="s">
        <v>55</v>
      </c>
      <c r="K38" s="10" t="s">
        <v>23338</v>
      </c>
      <c r="L38" s="10" t="s">
        <v>42</v>
      </c>
    </row>
    <row r="39" ht="15.75" customHeight="1">
      <c r="A39" s="66">
        <v>45498.0</v>
      </c>
      <c r="B39" s="55" t="str">
        <f>HYPERLINK("https://jobright.ai/jobs/info/66a1d306acfb8927a093b94c?utm_campaign=1053&amp;utm_source=sheet", "Apply")</f>
        <v>Apply</v>
      </c>
      <c r="C39" s="10" t="s">
        <v>23339</v>
      </c>
      <c r="D39" s="56" t="s">
        <v>4607</v>
      </c>
      <c r="E39" s="10" t="s">
        <v>65</v>
      </c>
      <c r="F39" s="10" t="s">
        <v>1587</v>
      </c>
      <c r="G39" s="10" t="s">
        <v>8</v>
      </c>
      <c r="H39" s="10" t="s">
        <v>2562</v>
      </c>
      <c r="I39" s="10" t="s">
        <v>55</v>
      </c>
      <c r="J39" s="10" t="s">
        <v>23340</v>
      </c>
      <c r="K39" s="10" t="s">
        <v>23341</v>
      </c>
      <c r="L39" s="10" t="s">
        <v>42</v>
      </c>
    </row>
    <row r="40" ht="15.75" customHeight="1">
      <c r="A40" s="66">
        <v>45497.0</v>
      </c>
      <c r="B40" s="55" t="str">
        <f>HYPERLINK("https://jobright.ai/jobs/info/66a18ae4886017c169bb0091?utm_campaign=1053&amp;utm_source=sheet", "Apply")</f>
        <v>Apply</v>
      </c>
      <c r="C40" s="10" t="s">
        <v>23342</v>
      </c>
      <c r="D40" s="56" t="s">
        <v>20778</v>
      </c>
      <c r="E40" s="10" t="s">
        <v>137</v>
      </c>
      <c r="F40" s="10" t="s">
        <v>2119</v>
      </c>
      <c r="G40" s="10" t="s">
        <v>8</v>
      </c>
      <c r="H40" s="10" t="s">
        <v>167</v>
      </c>
      <c r="I40" s="10" t="s">
        <v>55</v>
      </c>
      <c r="K40" s="10" t="s">
        <v>23343</v>
      </c>
      <c r="L40" s="10" t="s">
        <v>42</v>
      </c>
    </row>
    <row r="41" ht="15.75" customHeight="1">
      <c r="A41" s="66">
        <v>45497.0</v>
      </c>
      <c r="B41" s="55" t="str">
        <f>HYPERLINK("https://jobright.ai/jobs/info/66a17ca7db94ded6371aa210?utm_campaign=1053&amp;utm_source=sheet", "Apply")</f>
        <v>Apply</v>
      </c>
      <c r="C41" s="10" t="s">
        <v>23344</v>
      </c>
      <c r="D41" s="56" t="s">
        <v>23345</v>
      </c>
      <c r="E41" s="10" t="s">
        <v>71</v>
      </c>
      <c r="F41" s="10" t="s">
        <v>23346</v>
      </c>
      <c r="G41" s="10" t="s">
        <v>8</v>
      </c>
      <c r="H41" s="10" t="s">
        <v>165</v>
      </c>
      <c r="I41" s="10" t="s">
        <v>48</v>
      </c>
      <c r="J41" s="10" t="s">
        <v>16529</v>
      </c>
      <c r="K41" s="10" t="s">
        <v>23347</v>
      </c>
      <c r="L41" s="10" t="s">
        <v>42</v>
      </c>
    </row>
    <row r="42" ht="15.75" customHeight="1">
      <c r="A42" s="66">
        <v>45497.0</v>
      </c>
      <c r="B42" s="55" t="str">
        <f>HYPERLINK("https://jobright.ai/jobs/info/66a23755a3cccf144e988046?utm_campaign=1053&amp;utm_source=sheet", "Apply")</f>
        <v>Apply</v>
      </c>
      <c r="C42" s="10" t="s">
        <v>23348</v>
      </c>
      <c r="D42" s="56" t="s">
        <v>23349</v>
      </c>
      <c r="E42" s="10" t="s">
        <v>137</v>
      </c>
      <c r="F42" s="10" t="s">
        <v>23350</v>
      </c>
      <c r="G42" s="10" t="s">
        <v>8</v>
      </c>
      <c r="H42" s="10" t="s">
        <v>165</v>
      </c>
      <c r="I42" s="10" t="s">
        <v>55</v>
      </c>
      <c r="K42" s="10" t="s">
        <v>23351</v>
      </c>
      <c r="L42" s="10" t="s">
        <v>42</v>
      </c>
    </row>
    <row r="43" ht="15.75" customHeight="1">
      <c r="A43" s="66">
        <v>45497.0</v>
      </c>
      <c r="B43" s="55" t="str">
        <f>HYPERLINK("https://jobright.ai/jobs/info/66a1436f59051cfbf53a7ce1?utm_campaign=1053&amp;utm_source=sheet", "Apply")</f>
        <v>Apply</v>
      </c>
      <c r="C43" s="10" t="s">
        <v>23352</v>
      </c>
      <c r="D43" s="56" t="s">
        <v>23353</v>
      </c>
      <c r="E43" s="59">
        <v>45301.0</v>
      </c>
      <c r="F43" s="10" t="s">
        <v>23354</v>
      </c>
      <c r="G43" s="10" t="s">
        <v>8</v>
      </c>
      <c r="H43" s="10" t="s">
        <v>2222</v>
      </c>
      <c r="I43" s="10" t="s">
        <v>55</v>
      </c>
      <c r="K43" s="10" t="s">
        <v>23355</v>
      </c>
      <c r="L43" s="10" t="s">
        <v>42</v>
      </c>
    </row>
    <row r="44" ht="15.75" customHeight="1">
      <c r="A44" s="66">
        <v>45497.0</v>
      </c>
      <c r="B44" s="55" t="str">
        <f>HYPERLINK("https://jobright.ai/jobs/info/66a260d797a3a7c64f0cc968?utm_campaign=1053&amp;utm_source=sheet", "Apply")</f>
        <v>Apply</v>
      </c>
      <c r="C44" s="10" t="s">
        <v>23356</v>
      </c>
      <c r="D44" s="56" t="s">
        <v>23357</v>
      </c>
      <c r="E44" s="10" t="s">
        <v>276</v>
      </c>
      <c r="F44" s="10" t="s">
        <v>23358</v>
      </c>
      <c r="G44" s="10" t="s">
        <v>8</v>
      </c>
      <c r="H44" s="10" t="s">
        <v>6979</v>
      </c>
      <c r="I44" s="10" t="s">
        <v>48</v>
      </c>
      <c r="K44" s="10" t="s">
        <v>23359</v>
      </c>
      <c r="L44" s="10" t="s">
        <v>42</v>
      </c>
    </row>
    <row r="45" ht="15.75" customHeight="1">
      <c r="A45" s="66">
        <v>45497.0</v>
      </c>
      <c r="B45" s="55" t="str">
        <f>HYPERLINK("https://jobright.ai/jobs/info/66a101c6297b81d4e6a95320?utm_campaign=1053&amp;utm_source=sheet", "Apply")</f>
        <v>Apply</v>
      </c>
      <c r="C45" s="10" t="s">
        <v>23360</v>
      </c>
      <c r="D45" s="56" t="s">
        <v>18753</v>
      </c>
      <c r="F45" s="10" t="s">
        <v>3035</v>
      </c>
      <c r="G45" s="10" t="s">
        <v>8</v>
      </c>
      <c r="H45" s="10" t="s">
        <v>878</v>
      </c>
      <c r="I45" s="10" t="s">
        <v>55</v>
      </c>
      <c r="J45" s="10" t="s">
        <v>4117</v>
      </c>
      <c r="K45" s="10" t="s">
        <v>23361</v>
      </c>
      <c r="L45" s="10" t="s">
        <v>42</v>
      </c>
    </row>
    <row r="46" ht="15.75" customHeight="1">
      <c r="A46" s="66">
        <v>45497.0</v>
      </c>
      <c r="B46" s="55" t="str">
        <f>HYPERLINK("https://jobright.ai/jobs/info/6684950fbe126f4204d09756?utm_campaign=1053&amp;utm_source=sheet", "Apply")</f>
        <v>Apply</v>
      </c>
      <c r="C46" s="10" t="s">
        <v>23362</v>
      </c>
      <c r="D46" s="56" t="s">
        <v>9937</v>
      </c>
      <c r="E46" s="10" t="s">
        <v>45</v>
      </c>
      <c r="F46" s="10" t="s">
        <v>9938</v>
      </c>
      <c r="G46" s="10" t="s">
        <v>8</v>
      </c>
      <c r="H46" s="10" t="s">
        <v>165</v>
      </c>
      <c r="I46" s="10" t="s">
        <v>55</v>
      </c>
      <c r="K46" s="10" t="s">
        <v>23363</v>
      </c>
      <c r="L46" s="10" t="s">
        <v>42</v>
      </c>
    </row>
    <row r="47" ht="15.75" customHeight="1">
      <c r="A47" s="66">
        <v>45497.0</v>
      </c>
      <c r="B47" s="55" t="str">
        <f>HYPERLINK("https://jobright.ai/jobs/info/6684951cbe126f4204d0989f?utm_campaign=1053&amp;utm_source=sheet", "Apply")</f>
        <v>Apply</v>
      </c>
      <c r="C47" s="10" t="s">
        <v>23362</v>
      </c>
      <c r="D47" s="56" t="s">
        <v>9914</v>
      </c>
      <c r="E47" s="10" t="s">
        <v>249</v>
      </c>
      <c r="F47" s="10" t="s">
        <v>3684</v>
      </c>
      <c r="G47" s="10" t="s">
        <v>8</v>
      </c>
      <c r="H47" s="10" t="s">
        <v>165</v>
      </c>
      <c r="I47" s="10" t="s">
        <v>55</v>
      </c>
      <c r="K47" s="10" t="s">
        <v>23363</v>
      </c>
      <c r="L47" s="10" t="s">
        <v>42</v>
      </c>
    </row>
    <row r="48" ht="15.75" customHeight="1">
      <c r="A48" s="66">
        <v>45497.0</v>
      </c>
      <c r="B48" s="55" t="str">
        <f>HYPERLINK("https://jobright.ai/jobs/info/668490d723fbc70f728b9dfd?utm_campaign=1053&amp;utm_source=sheet", "Apply")</f>
        <v>Apply</v>
      </c>
      <c r="C48" s="10" t="s">
        <v>23364</v>
      </c>
      <c r="D48" s="56" t="s">
        <v>9937</v>
      </c>
      <c r="E48" s="10" t="s">
        <v>45</v>
      </c>
      <c r="F48" s="10" t="s">
        <v>9938</v>
      </c>
      <c r="G48" s="10" t="s">
        <v>8</v>
      </c>
      <c r="H48" s="10" t="s">
        <v>96</v>
      </c>
      <c r="I48" s="10" t="s">
        <v>55</v>
      </c>
      <c r="K48" s="10" t="s">
        <v>23365</v>
      </c>
      <c r="L48" s="10" t="s">
        <v>42</v>
      </c>
    </row>
    <row r="49" ht="15.75" customHeight="1">
      <c r="A49" s="66">
        <v>45497.0</v>
      </c>
      <c r="B49" s="55" t="str">
        <f>HYPERLINK("https://jobright.ai/jobs/info/66848d9ef77b2c8f7053f236?utm_campaign=1053&amp;utm_source=sheet", "Apply")</f>
        <v>Apply</v>
      </c>
      <c r="C49" s="10" t="s">
        <v>23364</v>
      </c>
      <c r="D49" s="56" t="s">
        <v>9914</v>
      </c>
      <c r="E49" s="10" t="s">
        <v>249</v>
      </c>
      <c r="F49" s="10" t="s">
        <v>3684</v>
      </c>
      <c r="G49" s="10" t="s">
        <v>8</v>
      </c>
      <c r="H49" s="10" t="s">
        <v>96</v>
      </c>
      <c r="I49" s="10" t="s">
        <v>55</v>
      </c>
      <c r="K49" s="10" t="s">
        <v>23365</v>
      </c>
      <c r="L49" s="10" t="s">
        <v>42</v>
      </c>
    </row>
    <row r="50" ht="15.75" customHeight="1">
      <c r="A50" s="66">
        <v>45497.0</v>
      </c>
      <c r="B50" s="55" t="str">
        <f>HYPERLINK("https://jobright.ai/jobs/info/66a0b1315b9b997dc27ccf52?utm_campaign=1053&amp;utm_source=sheet", "Apply")</f>
        <v>Apply</v>
      </c>
      <c r="C50" s="10" t="s">
        <v>23366</v>
      </c>
      <c r="D50" s="56" t="s">
        <v>23367</v>
      </c>
      <c r="E50" s="10" t="s">
        <v>137</v>
      </c>
      <c r="F50" s="10" t="s">
        <v>10</v>
      </c>
      <c r="G50" s="10" t="s">
        <v>8</v>
      </c>
      <c r="H50" s="10" t="s">
        <v>607</v>
      </c>
      <c r="I50" s="10" t="s">
        <v>55</v>
      </c>
      <c r="J50" s="10" t="s">
        <v>3651</v>
      </c>
      <c r="K50" s="10" t="s">
        <v>23368</v>
      </c>
      <c r="L50" s="10" t="s">
        <v>42</v>
      </c>
    </row>
    <row r="51" ht="15.75" customHeight="1">
      <c r="A51" s="66">
        <v>45497.0</v>
      </c>
      <c r="B51" s="55" t="str">
        <f>HYPERLINK("https://jobright.ai/jobs/info/66a0959a1cfc1609be830132?utm_campaign=1053&amp;utm_source=sheet", "Apply")</f>
        <v>Apply</v>
      </c>
      <c r="C51" s="10" t="s">
        <v>23369</v>
      </c>
      <c r="D51" s="56" t="s">
        <v>23370</v>
      </c>
      <c r="E51" s="10" t="s">
        <v>249</v>
      </c>
      <c r="F51" s="10" t="s">
        <v>23371</v>
      </c>
      <c r="G51" s="10" t="s">
        <v>8</v>
      </c>
      <c r="H51" s="10" t="s">
        <v>16818</v>
      </c>
      <c r="I51" s="10" t="s">
        <v>55</v>
      </c>
      <c r="K51" s="10" t="s">
        <v>23372</v>
      </c>
      <c r="L51" s="10" t="s">
        <v>42</v>
      </c>
    </row>
    <row r="52" ht="15.75" customHeight="1">
      <c r="A52" s="66">
        <v>45497.0</v>
      </c>
      <c r="B52" s="55" t="str">
        <f>HYPERLINK("https://jobright.ai/jobs/info/66a07ffcd12cb7411e99443c?utm_campaign=1053&amp;utm_source=sheet", "Apply")</f>
        <v>Apply</v>
      </c>
      <c r="C52" s="10" t="s">
        <v>23373</v>
      </c>
      <c r="D52" s="56" t="s">
        <v>23374</v>
      </c>
      <c r="E52" s="10" t="s">
        <v>209</v>
      </c>
      <c r="F52" s="10" t="s">
        <v>17478</v>
      </c>
      <c r="G52" s="10" t="s">
        <v>8</v>
      </c>
      <c r="H52" s="10" t="s">
        <v>628</v>
      </c>
      <c r="I52" s="10" t="s">
        <v>48</v>
      </c>
      <c r="K52" s="10" t="s">
        <v>23375</v>
      </c>
      <c r="L52" s="10" t="s">
        <v>42</v>
      </c>
    </row>
    <row r="53" ht="15.75" customHeight="1">
      <c r="A53" s="66">
        <v>45497.0</v>
      </c>
      <c r="B53" s="55" t="str">
        <f>HYPERLINK("https://jobright.ai/jobs/info/66a14c11b48bc70bd7410c8f?utm_campaign=1053&amp;utm_source=sheet", "Apply")</f>
        <v>Apply</v>
      </c>
      <c r="C53" s="10" t="s">
        <v>23376</v>
      </c>
      <c r="D53" s="56" t="s">
        <v>19001</v>
      </c>
      <c r="E53" s="10" t="s">
        <v>79</v>
      </c>
      <c r="F53" s="10" t="s">
        <v>3565</v>
      </c>
      <c r="G53" s="10" t="s">
        <v>8</v>
      </c>
      <c r="H53" s="10" t="s">
        <v>442</v>
      </c>
      <c r="I53" s="10" t="s">
        <v>55</v>
      </c>
      <c r="J53" s="10" t="s">
        <v>1409</v>
      </c>
      <c r="K53" s="10" t="s">
        <v>23377</v>
      </c>
      <c r="L53" s="10" t="s">
        <v>42</v>
      </c>
    </row>
    <row r="54" ht="15.75" customHeight="1">
      <c r="A54" s="66">
        <v>45497.0</v>
      </c>
      <c r="B54" s="55" t="str">
        <f>HYPERLINK("https://jobright.ai/jobs/info/66a13b2064d0e1054c2d34f1?utm_campaign=1053&amp;utm_source=sheet", "Apply")</f>
        <v>Apply</v>
      </c>
      <c r="C54" s="10" t="s">
        <v>23378</v>
      </c>
      <c r="D54" s="56" t="s">
        <v>20438</v>
      </c>
      <c r="E54" s="10" t="s">
        <v>71</v>
      </c>
      <c r="F54" s="10" t="s">
        <v>20439</v>
      </c>
      <c r="G54" s="10" t="s">
        <v>8</v>
      </c>
      <c r="H54" s="10" t="s">
        <v>994</v>
      </c>
      <c r="I54" s="10" t="s">
        <v>55</v>
      </c>
      <c r="K54" s="10" t="s">
        <v>20440</v>
      </c>
      <c r="L54" s="10" t="s">
        <v>42</v>
      </c>
    </row>
    <row r="55" ht="15.75" customHeight="1">
      <c r="A55" s="66">
        <v>45496.0</v>
      </c>
      <c r="B55" s="55" t="str">
        <f>HYPERLINK("https://jobright.ai/jobs/info/66a02f1dbe9142f3106f19ce?utm_campaign=1053&amp;utm_source=sheet", "Apply")</f>
        <v>Apply</v>
      </c>
      <c r="C55" s="10" t="s">
        <v>23379</v>
      </c>
      <c r="D55" s="56" t="s">
        <v>23380</v>
      </c>
      <c r="E55" s="10" t="s">
        <v>249</v>
      </c>
      <c r="F55" s="10" t="s">
        <v>3565</v>
      </c>
      <c r="G55" s="10" t="s">
        <v>8</v>
      </c>
      <c r="H55" s="10" t="s">
        <v>96</v>
      </c>
      <c r="I55" s="10" t="s">
        <v>55</v>
      </c>
      <c r="J55" s="10" t="s">
        <v>23381</v>
      </c>
      <c r="K55" s="10" t="s">
        <v>23382</v>
      </c>
      <c r="L55" s="10" t="s">
        <v>42</v>
      </c>
    </row>
    <row r="56" ht="15.75" customHeight="1">
      <c r="A56" s="66">
        <v>45496.0</v>
      </c>
      <c r="B56" s="55" t="str">
        <f>HYPERLINK("https://jobright.ai/jobs/info/66a02a9683fe12fc9f1d4614?utm_campaign=1053&amp;utm_source=sheet", "Apply")</f>
        <v>Apply</v>
      </c>
      <c r="C56" s="10" t="s">
        <v>23383</v>
      </c>
      <c r="D56" s="56" t="s">
        <v>23380</v>
      </c>
      <c r="E56" s="10" t="s">
        <v>249</v>
      </c>
      <c r="F56" s="10" t="s">
        <v>3565</v>
      </c>
      <c r="G56" s="10" t="s">
        <v>8</v>
      </c>
      <c r="H56" s="10" t="s">
        <v>96</v>
      </c>
      <c r="I56" s="10" t="s">
        <v>48</v>
      </c>
      <c r="J56" s="10" t="s">
        <v>23384</v>
      </c>
      <c r="K56" s="10" t="s">
        <v>23385</v>
      </c>
      <c r="L56" s="10" t="s">
        <v>42</v>
      </c>
    </row>
    <row r="57" ht="15.75" customHeight="1">
      <c r="A57" s="66">
        <v>45496.0</v>
      </c>
      <c r="B57" s="55" t="str">
        <f>HYPERLINK("https://jobright.ai/jobs/info/66a03843f54d4e37ee753a90?utm_campaign=1053&amp;utm_source=sheet", "Apply")</f>
        <v>Apply</v>
      </c>
      <c r="C57" s="10" t="s">
        <v>23386</v>
      </c>
      <c r="D57" s="56" t="s">
        <v>3905</v>
      </c>
      <c r="E57" s="10" t="s">
        <v>79</v>
      </c>
      <c r="F57" s="10" t="s">
        <v>3906</v>
      </c>
      <c r="G57" s="10" t="s">
        <v>8</v>
      </c>
      <c r="H57" s="10" t="s">
        <v>96</v>
      </c>
      <c r="I57" s="10" t="s">
        <v>55</v>
      </c>
      <c r="J57" s="10" t="s">
        <v>3907</v>
      </c>
      <c r="K57" s="10" t="s">
        <v>23387</v>
      </c>
      <c r="L57" s="10" t="s">
        <v>42</v>
      </c>
    </row>
    <row r="58" ht="15.75" customHeight="1">
      <c r="A58" s="66">
        <v>45496.0</v>
      </c>
      <c r="B58" s="55" t="str">
        <f>HYPERLINK("https://jobright.ai/jobs/info/66a022ee46b8641105c98c40?utm_campaign=1053&amp;utm_source=sheet", "Apply")</f>
        <v>Apply</v>
      </c>
      <c r="C58" s="10" t="s">
        <v>23388</v>
      </c>
      <c r="D58" s="56" t="s">
        <v>3905</v>
      </c>
      <c r="E58" s="10" t="s">
        <v>79</v>
      </c>
      <c r="F58" s="10" t="s">
        <v>3906</v>
      </c>
      <c r="G58" s="10" t="s">
        <v>8</v>
      </c>
      <c r="H58" s="10" t="s">
        <v>96</v>
      </c>
      <c r="I58" s="10" t="s">
        <v>55</v>
      </c>
      <c r="J58" s="10" t="s">
        <v>3907</v>
      </c>
      <c r="K58" s="10" t="s">
        <v>23389</v>
      </c>
      <c r="L58" s="10" t="s">
        <v>42</v>
      </c>
    </row>
    <row r="59" ht="15.75" customHeight="1">
      <c r="A59" s="66">
        <v>45496.0</v>
      </c>
      <c r="B59" s="55" t="str">
        <f>HYPERLINK("https://jobright.ai/jobs/info/66a01c60928b7ff24b15cbc3?utm_campaign=1053&amp;utm_source=sheet", "Apply")</f>
        <v>Apply</v>
      </c>
      <c r="C59" s="10" t="s">
        <v>23390</v>
      </c>
      <c r="D59" s="56" t="s">
        <v>15387</v>
      </c>
      <c r="E59" s="10" t="s">
        <v>209</v>
      </c>
      <c r="F59" s="10" t="s">
        <v>15388</v>
      </c>
      <c r="G59" s="10" t="s">
        <v>8</v>
      </c>
      <c r="H59" s="10" t="s">
        <v>872</v>
      </c>
      <c r="I59" s="10" t="s">
        <v>55</v>
      </c>
      <c r="K59" s="10" t="s">
        <v>23391</v>
      </c>
      <c r="L59" s="10" t="s">
        <v>42</v>
      </c>
    </row>
    <row r="60" ht="15.75" customHeight="1">
      <c r="A60" s="66">
        <v>45496.0</v>
      </c>
      <c r="B60" s="55" t="str">
        <f>HYPERLINK("https://jobright.ai/jobs/info/66a0e0d324925149e553d362?utm_campaign=1053&amp;utm_source=sheet", "Apply")</f>
        <v>Apply</v>
      </c>
      <c r="C60" s="10" t="s">
        <v>23392</v>
      </c>
      <c r="D60" s="56" t="s">
        <v>23393</v>
      </c>
      <c r="E60" s="10" t="s">
        <v>137</v>
      </c>
      <c r="F60" s="10" t="s">
        <v>23394</v>
      </c>
      <c r="G60" s="10" t="s">
        <v>8</v>
      </c>
      <c r="H60" s="10" t="s">
        <v>165</v>
      </c>
      <c r="I60" s="10" t="s">
        <v>55</v>
      </c>
      <c r="K60" s="10" t="s">
        <v>23395</v>
      </c>
      <c r="L60" s="10" t="s">
        <v>42</v>
      </c>
    </row>
    <row r="61" ht="15.75" customHeight="1">
      <c r="A61" s="66">
        <v>45496.0</v>
      </c>
      <c r="B61" s="55" t="str">
        <f>HYPERLINK("https://jobright.ai/jobs/info/668c73994eab7a4cfbe542f5?utm_campaign=1053&amp;utm_source=sheet", "Apply")</f>
        <v>Apply</v>
      </c>
      <c r="C61" s="10" t="s">
        <v>23396</v>
      </c>
      <c r="D61" s="56" t="s">
        <v>23397</v>
      </c>
      <c r="E61" s="10" t="s">
        <v>209</v>
      </c>
      <c r="F61" s="10" t="s">
        <v>1607</v>
      </c>
      <c r="G61" s="10" t="s">
        <v>8</v>
      </c>
      <c r="H61" s="10" t="s">
        <v>848</v>
      </c>
      <c r="I61" s="10" t="s">
        <v>55</v>
      </c>
      <c r="J61" s="10" t="s">
        <v>23398</v>
      </c>
      <c r="K61" s="10" t="s">
        <v>23399</v>
      </c>
      <c r="L61" s="10" t="s">
        <v>42</v>
      </c>
    </row>
    <row r="62" ht="15.75" customHeight="1">
      <c r="A62" s="66">
        <v>45496.0</v>
      </c>
      <c r="B62" s="55" t="str">
        <f>HYPERLINK("https://jobright.ai/jobs/info/669ff96b88333dda24b9974b?utm_campaign=1053&amp;utm_source=sheet", "Apply")</f>
        <v>Apply</v>
      </c>
      <c r="C62" s="10" t="s">
        <v>23400</v>
      </c>
      <c r="D62" s="56" t="s">
        <v>23401</v>
      </c>
      <c r="G62" s="10" t="s">
        <v>8</v>
      </c>
      <c r="H62" s="10" t="s">
        <v>1292</v>
      </c>
      <c r="I62" s="10" t="s">
        <v>55</v>
      </c>
      <c r="J62" s="10" t="s">
        <v>23402</v>
      </c>
      <c r="K62" s="10" t="s">
        <v>23403</v>
      </c>
      <c r="L62" s="10" t="s">
        <v>42</v>
      </c>
    </row>
    <row r="63" ht="15.75" customHeight="1">
      <c r="A63" s="66">
        <v>45496.0</v>
      </c>
      <c r="B63" s="55" t="str">
        <f>HYPERLINK("https://jobright.ai/jobs/info/669fe413b5682d011c297f98?utm_campaign=1053&amp;utm_source=sheet", "Apply")</f>
        <v>Apply</v>
      </c>
      <c r="C63" s="10" t="s">
        <v>23404</v>
      </c>
      <c r="D63" s="56" t="s">
        <v>23405</v>
      </c>
      <c r="E63" s="10" t="s">
        <v>65</v>
      </c>
      <c r="F63" s="10" t="s">
        <v>2274</v>
      </c>
      <c r="G63" s="10" t="s">
        <v>8</v>
      </c>
      <c r="H63" s="10" t="s">
        <v>23406</v>
      </c>
      <c r="I63" s="10" t="s">
        <v>55</v>
      </c>
      <c r="K63" s="10" t="s">
        <v>23407</v>
      </c>
      <c r="L63" s="10" t="s">
        <v>42</v>
      </c>
    </row>
    <row r="64" ht="15.75" customHeight="1">
      <c r="A64" s="66">
        <v>45496.0</v>
      </c>
      <c r="B64" s="55" t="str">
        <f>HYPERLINK("https://jobright.ai/jobs/info/669fde151c33ed13e0471a0c?utm_campaign=1053&amp;utm_source=sheet", "Apply")</f>
        <v>Apply</v>
      </c>
      <c r="C64" s="10" t="s">
        <v>23408</v>
      </c>
      <c r="D64" s="56" t="s">
        <v>363</v>
      </c>
      <c r="E64" s="10" t="s">
        <v>209</v>
      </c>
      <c r="F64" s="10" t="s">
        <v>364</v>
      </c>
      <c r="G64" s="10" t="s">
        <v>8</v>
      </c>
      <c r="H64" s="10" t="s">
        <v>365</v>
      </c>
      <c r="I64" s="10" t="s">
        <v>48</v>
      </c>
      <c r="J64" s="10" t="s">
        <v>366</v>
      </c>
      <c r="K64" s="10" t="s">
        <v>23409</v>
      </c>
      <c r="L64" s="10" t="s">
        <v>42</v>
      </c>
    </row>
    <row r="65" ht="15.75" customHeight="1">
      <c r="A65" s="66">
        <v>45496.0</v>
      </c>
      <c r="B65" s="55" t="str">
        <f>HYPERLINK("https://jobright.ai/jobs/info/669fde151c33ed13e0471a09?utm_campaign=1053&amp;utm_source=sheet", "Apply")</f>
        <v>Apply</v>
      </c>
      <c r="C65" s="10" t="s">
        <v>23410</v>
      </c>
      <c r="D65" s="56" t="s">
        <v>363</v>
      </c>
      <c r="E65" s="10" t="s">
        <v>209</v>
      </c>
      <c r="F65" s="10" t="s">
        <v>364</v>
      </c>
      <c r="G65" s="10" t="s">
        <v>8</v>
      </c>
      <c r="H65" s="10" t="s">
        <v>365</v>
      </c>
      <c r="I65" s="10" t="s">
        <v>48</v>
      </c>
      <c r="J65" s="10" t="s">
        <v>366</v>
      </c>
      <c r="K65" s="10" t="s">
        <v>23411</v>
      </c>
      <c r="L65" s="10" t="s">
        <v>42</v>
      </c>
    </row>
    <row r="66" ht="15.75" customHeight="1">
      <c r="A66" s="66">
        <v>45496.0</v>
      </c>
      <c r="B66" s="55" t="str">
        <f>HYPERLINK("https://jobright.ai/jobs/info/669fde151c33ed13e0471a14?utm_campaign=1053&amp;utm_source=sheet", "Apply")</f>
        <v>Apply</v>
      </c>
      <c r="C66" s="10" t="s">
        <v>23412</v>
      </c>
      <c r="D66" s="56" t="s">
        <v>363</v>
      </c>
      <c r="E66" s="10" t="s">
        <v>209</v>
      </c>
      <c r="F66" s="10" t="s">
        <v>364</v>
      </c>
      <c r="G66" s="10" t="s">
        <v>8</v>
      </c>
      <c r="H66" s="10" t="s">
        <v>96</v>
      </c>
      <c r="I66" s="10" t="s">
        <v>48</v>
      </c>
      <c r="J66" s="10" t="s">
        <v>581</v>
      </c>
      <c r="K66" s="10" t="s">
        <v>23413</v>
      </c>
      <c r="L66" s="10" t="s">
        <v>42</v>
      </c>
    </row>
    <row r="67" ht="15.75" customHeight="1">
      <c r="A67" s="66">
        <v>45496.0</v>
      </c>
      <c r="B67" s="55" t="str">
        <f>HYPERLINK("https://jobright.ai/jobs/info/669fa4aeb1b0bcfa7f386b53?utm_campaign=1053&amp;utm_source=sheet", "Apply")</f>
        <v>Apply</v>
      </c>
      <c r="C67" s="10" t="s">
        <v>23414</v>
      </c>
      <c r="D67" s="56" t="s">
        <v>23415</v>
      </c>
      <c r="E67" s="10">
        <v>351.0</v>
      </c>
      <c r="G67" s="10" t="s">
        <v>8</v>
      </c>
      <c r="H67" s="10" t="s">
        <v>251</v>
      </c>
      <c r="I67" s="10" t="s">
        <v>252</v>
      </c>
      <c r="K67" s="10" t="s">
        <v>23416</v>
      </c>
      <c r="L67" s="10" t="s">
        <v>42</v>
      </c>
    </row>
    <row r="68" ht="15.75" customHeight="1">
      <c r="A68" s="66">
        <v>45496.0</v>
      </c>
      <c r="B68" s="55" t="str">
        <f>HYPERLINK("https://jobright.ai/jobs/info/669fa00c23c3d3b512dfe633?utm_campaign=1053&amp;utm_source=sheet", "Apply")</f>
        <v>Apply</v>
      </c>
      <c r="C68" s="10" t="s">
        <v>23417</v>
      </c>
      <c r="D68" s="56" t="s">
        <v>13427</v>
      </c>
      <c r="E68" s="10" t="s">
        <v>209</v>
      </c>
      <c r="F68" s="10" t="s">
        <v>13428</v>
      </c>
      <c r="G68" s="10" t="s">
        <v>8</v>
      </c>
      <c r="H68" s="10" t="s">
        <v>13429</v>
      </c>
      <c r="I68" s="10" t="s">
        <v>55</v>
      </c>
      <c r="J68" s="10" t="s">
        <v>13430</v>
      </c>
      <c r="K68" s="10" t="s">
        <v>23418</v>
      </c>
      <c r="L68" s="10" t="s">
        <v>42</v>
      </c>
    </row>
    <row r="69" ht="15.75" customHeight="1">
      <c r="A69" s="66">
        <v>45496.0</v>
      </c>
      <c r="B69" s="55" t="str">
        <f>HYPERLINK("https://jobright.ai/jobs/info/66833802b5752eff96c79ca1?utm_campaign=1053&amp;utm_source=sheet", "Apply")</f>
        <v>Apply</v>
      </c>
      <c r="C69" s="10" t="s">
        <v>23419</v>
      </c>
      <c r="D69" s="56" t="s">
        <v>1667</v>
      </c>
      <c r="E69" s="10">
        <v>37644.0</v>
      </c>
      <c r="G69" s="10" t="s">
        <v>8</v>
      </c>
      <c r="H69" s="10" t="s">
        <v>153</v>
      </c>
      <c r="I69" s="10" t="s">
        <v>55</v>
      </c>
      <c r="K69" s="10" t="s">
        <v>23420</v>
      </c>
      <c r="L69" s="10" t="s">
        <v>42</v>
      </c>
    </row>
    <row r="70" ht="15.75" customHeight="1">
      <c r="A70" s="66">
        <v>45496.0</v>
      </c>
      <c r="B70" s="55" t="str">
        <f>HYPERLINK("https://jobright.ai/jobs/info/669f24c1530ea29d5f66999c?utm_campaign=1053&amp;utm_source=sheet", "Apply")</f>
        <v>Apply</v>
      </c>
      <c r="C70" s="10" t="s">
        <v>23421</v>
      </c>
      <c r="D70" s="56" t="s">
        <v>23422</v>
      </c>
      <c r="E70" s="10" t="s">
        <v>71</v>
      </c>
      <c r="F70" s="10" t="s">
        <v>23423</v>
      </c>
      <c r="G70" s="10" t="s">
        <v>8</v>
      </c>
      <c r="H70" s="10" t="s">
        <v>860</v>
      </c>
      <c r="I70" s="10" t="s">
        <v>55</v>
      </c>
      <c r="J70" s="10" t="s">
        <v>23424</v>
      </c>
      <c r="K70" s="10" t="s">
        <v>23425</v>
      </c>
      <c r="L70" s="10" t="s">
        <v>42</v>
      </c>
    </row>
    <row r="71" ht="15.75" customHeight="1">
      <c r="A71" s="66">
        <v>45496.0</v>
      </c>
      <c r="B71" s="55" t="str">
        <f>HYPERLINK("https://jobright.ai/jobs/info/669f04c51199fe6bc30f76bf?utm_campaign=1053&amp;utm_source=sheet", "Apply")</f>
        <v>Apply</v>
      </c>
      <c r="C71" s="10" t="s">
        <v>23414</v>
      </c>
      <c r="D71" s="56" t="s">
        <v>15082</v>
      </c>
      <c r="E71" s="10" t="s">
        <v>276</v>
      </c>
      <c r="F71" s="10" t="s">
        <v>1259</v>
      </c>
      <c r="G71" s="10" t="s">
        <v>8</v>
      </c>
      <c r="H71" s="10" t="s">
        <v>411</v>
      </c>
      <c r="I71" s="10" t="s">
        <v>48</v>
      </c>
      <c r="J71" s="10" t="s">
        <v>4117</v>
      </c>
      <c r="K71" s="10" t="s">
        <v>23426</v>
      </c>
      <c r="L71" s="10" t="s">
        <v>42</v>
      </c>
    </row>
    <row r="72" ht="15.75" customHeight="1">
      <c r="A72" s="66">
        <v>45495.0</v>
      </c>
      <c r="B72" s="55" t="str">
        <f>HYPERLINK("https://jobright.ai/jobs/info/669efe77fd551666e1d03a94?utm_campaign=1053&amp;utm_source=sheet", "Apply")</f>
        <v>Apply</v>
      </c>
      <c r="C72" s="10" t="s">
        <v>23427</v>
      </c>
      <c r="D72" s="56" t="s">
        <v>12598</v>
      </c>
      <c r="E72" s="10" t="s">
        <v>79</v>
      </c>
      <c r="F72" s="10" t="s">
        <v>12599</v>
      </c>
      <c r="G72" s="10" t="s">
        <v>8</v>
      </c>
      <c r="H72" s="10" t="s">
        <v>1017</v>
      </c>
      <c r="I72" s="10" t="s">
        <v>55</v>
      </c>
      <c r="K72" s="10" t="s">
        <v>23428</v>
      </c>
      <c r="L72" s="10" t="s">
        <v>42</v>
      </c>
    </row>
    <row r="73" ht="15.75" customHeight="1">
      <c r="A73" s="66">
        <v>45495.0</v>
      </c>
      <c r="B73" s="55" t="str">
        <f>HYPERLINK("https://jobright.ai/jobs/info/669ed3eff8d71d9ea1a41e8c?utm_campaign=1053&amp;utm_source=sheet", "Apply")</f>
        <v>Apply</v>
      </c>
      <c r="C73" s="10" t="s">
        <v>23429</v>
      </c>
      <c r="D73" s="56" t="s">
        <v>16419</v>
      </c>
      <c r="E73" s="10" t="s">
        <v>45</v>
      </c>
      <c r="F73" s="10" t="s">
        <v>12539</v>
      </c>
      <c r="G73" s="10" t="s">
        <v>8</v>
      </c>
      <c r="H73" s="10" t="s">
        <v>152</v>
      </c>
      <c r="I73" s="10" t="s">
        <v>55</v>
      </c>
      <c r="K73" s="10" t="s">
        <v>23430</v>
      </c>
      <c r="L73" s="10" t="s">
        <v>42</v>
      </c>
    </row>
    <row r="74" ht="15.75" customHeight="1">
      <c r="A74" s="66">
        <v>45495.0</v>
      </c>
      <c r="B74" s="55" t="str">
        <f>HYPERLINK("https://jobright.ai/jobs/info/669f2ae49a04b5cac6ca26a3?utm_campaign=1053&amp;utm_source=sheet", "Apply")</f>
        <v>Apply</v>
      </c>
      <c r="C74" s="10" t="s">
        <v>23369</v>
      </c>
      <c r="D74" s="56" t="s">
        <v>23370</v>
      </c>
      <c r="E74" s="10" t="s">
        <v>249</v>
      </c>
      <c r="F74" s="10" t="s">
        <v>23371</v>
      </c>
      <c r="G74" s="10" t="s">
        <v>8</v>
      </c>
      <c r="H74" s="10" t="s">
        <v>16818</v>
      </c>
      <c r="I74" s="10" t="s">
        <v>55</v>
      </c>
      <c r="K74" s="10" t="s">
        <v>23372</v>
      </c>
      <c r="L74" s="10" t="s">
        <v>42</v>
      </c>
    </row>
    <row r="75" ht="15.75" customHeight="1">
      <c r="A75" s="66">
        <v>45495.0</v>
      </c>
      <c r="B75" s="55" t="str">
        <f>HYPERLINK("https://jobright.ai/jobs/info/66994d3663c1016c1926d9d0?utm_campaign=1053&amp;utm_source=sheet", "Apply")</f>
        <v>Apply</v>
      </c>
      <c r="C75" s="10" t="s">
        <v>23431</v>
      </c>
      <c r="D75" s="56" t="s">
        <v>23432</v>
      </c>
      <c r="E75" s="10" t="s">
        <v>249</v>
      </c>
      <c r="F75" s="10" t="s">
        <v>23433</v>
      </c>
      <c r="G75" s="10" t="s">
        <v>8</v>
      </c>
      <c r="H75" s="10" t="s">
        <v>18018</v>
      </c>
      <c r="I75" s="10" t="s">
        <v>55</v>
      </c>
      <c r="K75" s="10" t="s">
        <v>23434</v>
      </c>
      <c r="L75" s="10" t="s">
        <v>42</v>
      </c>
    </row>
    <row r="76" ht="15.75" customHeight="1">
      <c r="A76" s="66">
        <v>45495.0</v>
      </c>
      <c r="B76" s="55" t="str">
        <f>HYPERLINK("https://jobright.ai/jobs/info/669ea355ac04dc4b2d05ad81?utm_campaign=1053&amp;utm_source=sheet", "Apply")</f>
        <v>Apply</v>
      </c>
      <c r="C76" s="10" t="s">
        <v>23435</v>
      </c>
      <c r="D76" s="56" t="s">
        <v>23436</v>
      </c>
      <c r="E76" s="10" t="s">
        <v>71</v>
      </c>
      <c r="F76" s="10" t="s">
        <v>23437</v>
      </c>
      <c r="G76" s="10" t="s">
        <v>8</v>
      </c>
      <c r="H76" s="10" t="s">
        <v>170</v>
      </c>
      <c r="I76" s="10" t="s">
        <v>55</v>
      </c>
      <c r="K76" s="10" t="s">
        <v>23438</v>
      </c>
      <c r="L76" s="10" t="s">
        <v>42</v>
      </c>
    </row>
    <row r="77" ht="15.75" customHeight="1">
      <c r="A77" s="66">
        <v>45495.0</v>
      </c>
      <c r="B77" s="55" t="str">
        <f>HYPERLINK("https://jobright.ai/jobs/info/669ec95afdd265daa4449169?utm_campaign=1053&amp;utm_source=sheet", "Apply")</f>
        <v>Apply</v>
      </c>
      <c r="C77" s="10" t="s">
        <v>23439</v>
      </c>
      <c r="D77" s="56" t="s">
        <v>15387</v>
      </c>
      <c r="E77" s="10" t="s">
        <v>209</v>
      </c>
      <c r="F77" s="10" t="s">
        <v>15388</v>
      </c>
      <c r="G77" s="10" t="s">
        <v>8</v>
      </c>
      <c r="H77" s="10" t="s">
        <v>936</v>
      </c>
      <c r="I77" s="10" t="s">
        <v>55</v>
      </c>
      <c r="J77" s="10" t="s">
        <v>15389</v>
      </c>
      <c r="K77" s="10" t="s">
        <v>23287</v>
      </c>
      <c r="L77" s="10" t="s">
        <v>42</v>
      </c>
    </row>
    <row r="78" ht="15.75" customHeight="1">
      <c r="A78" s="66">
        <v>45495.0</v>
      </c>
      <c r="B78" s="55" t="str">
        <f>HYPERLINK("https://jobright.ai/jobs/info/66a0f51cf57f1c3ae4c326f8?utm_campaign=1053&amp;utm_source=sheet", "Apply")</f>
        <v>Apply</v>
      </c>
      <c r="C78" s="10" t="s">
        <v>23440</v>
      </c>
      <c r="D78" s="56" t="s">
        <v>14667</v>
      </c>
      <c r="E78" s="10" t="s">
        <v>65</v>
      </c>
      <c r="F78" s="10" t="s">
        <v>14668</v>
      </c>
      <c r="G78" s="10" t="s">
        <v>8</v>
      </c>
      <c r="H78" s="10" t="s">
        <v>1155</v>
      </c>
      <c r="I78" s="10" t="s">
        <v>55</v>
      </c>
      <c r="J78" s="10" t="s">
        <v>1960</v>
      </c>
      <c r="K78" s="10" t="s">
        <v>23441</v>
      </c>
      <c r="L78" s="10" t="s">
        <v>42</v>
      </c>
    </row>
    <row r="79" ht="15.75" customHeight="1">
      <c r="A79" s="66">
        <v>45495.0</v>
      </c>
      <c r="B79" s="55" t="str">
        <f>HYPERLINK("https://jobright.ai/jobs/info/669e09741450f33d4a052145?utm_campaign=1053&amp;utm_source=sheet", "Apply")</f>
        <v>Apply</v>
      </c>
      <c r="C79" s="10" t="s">
        <v>23417</v>
      </c>
      <c r="D79" s="56" t="s">
        <v>13427</v>
      </c>
      <c r="E79" s="10" t="s">
        <v>209</v>
      </c>
      <c r="F79" s="10" t="s">
        <v>13428</v>
      </c>
      <c r="G79" s="10" t="s">
        <v>8</v>
      </c>
      <c r="H79" s="10" t="s">
        <v>13627</v>
      </c>
      <c r="I79" s="10" t="s">
        <v>55</v>
      </c>
      <c r="J79" s="10" t="s">
        <v>13430</v>
      </c>
      <c r="K79" s="10" t="s">
        <v>23418</v>
      </c>
      <c r="L79" s="10" t="s">
        <v>42</v>
      </c>
    </row>
    <row r="80" ht="15.75" customHeight="1">
      <c r="A80" s="66">
        <v>45494.0</v>
      </c>
      <c r="B80" s="55" t="str">
        <f>HYPERLINK("https://jobright.ai/jobs/info/669cf4476def7480bf442480?utm_campaign=1053&amp;utm_source=sheet", "Apply")</f>
        <v>Apply</v>
      </c>
      <c r="C80" s="10" t="s">
        <v>23442</v>
      </c>
      <c r="D80" s="56" t="s">
        <v>13812</v>
      </c>
      <c r="E80" s="10" t="s">
        <v>276</v>
      </c>
      <c r="F80" s="10" t="s">
        <v>13813</v>
      </c>
      <c r="G80" s="10" t="s">
        <v>8</v>
      </c>
      <c r="H80" s="10" t="s">
        <v>346</v>
      </c>
      <c r="I80" s="10" t="s">
        <v>55</v>
      </c>
      <c r="J80" s="10" t="s">
        <v>1797</v>
      </c>
      <c r="K80" s="10" t="s">
        <v>23443</v>
      </c>
      <c r="L80" s="10" t="s">
        <v>42</v>
      </c>
    </row>
    <row r="81" ht="15.75" customHeight="1">
      <c r="A81" s="66">
        <v>45494.0</v>
      </c>
      <c r="B81" s="55" t="str">
        <f>HYPERLINK("https://jobright.ai/jobs/info/667efbe736ad47ed17be1d8a?utm_campaign=1053&amp;utm_source=sheet", "Apply")</f>
        <v>Apply</v>
      </c>
      <c r="C81" s="10" t="s">
        <v>23444</v>
      </c>
      <c r="D81" s="56" t="s">
        <v>5165</v>
      </c>
      <c r="E81" s="10" t="s">
        <v>209</v>
      </c>
      <c r="F81" s="10" t="s">
        <v>5166</v>
      </c>
      <c r="G81" s="10" t="s">
        <v>8</v>
      </c>
      <c r="H81" s="10" t="s">
        <v>636</v>
      </c>
      <c r="I81" s="10" t="s">
        <v>55</v>
      </c>
      <c r="K81" s="10" t="s">
        <v>23445</v>
      </c>
      <c r="L81" s="10" t="s">
        <v>42</v>
      </c>
    </row>
    <row r="82" ht="15.75" customHeight="1">
      <c r="A82" s="66">
        <v>45493.0</v>
      </c>
      <c r="B82" s="55" t="str">
        <f>HYPERLINK("https://jobright.ai/jobs/info/669c3b61067bca3c613ee93d?utm_campaign=1053&amp;utm_source=sheet", "Apply")</f>
        <v>Apply</v>
      </c>
      <c r="C82" s="10" t="s">
        <v>23446</v>
      </c>
      <c r="D82" s="56" t="s">
        <v>23447</v>
      </c>
      <c r="E82" s="59">
        <v>45301.0</v>
      </c>
      <c r="F82" s="10" t="s">
        <v>23448</v>
      </c>
      <c r="G82" s="10" t="s">
        <v>8</v>
      </c>
      <c r="H82" s="10" t="s">
        <v>12519</v>
      </c>
      <c r="I82" s="10" t="s">
        <v>55</v>
      </c>
      <c r="K82" s="10" t="s">
        <v>23449</v>
      </c>
      <c r="L82" s="10" t="s">
        <v>42</v>
      </c>
    </row>
    <row r="83" ht="15.75" customHeight="1">
      <c r="A83" s="66">
        <v>45493.0</v>
      </c>
      <c r="B83" s="55" t="str">
        <f>HYPERLINK("https://jobright.ai/jobs/info/667f3b1c61f2588c341877fd?utm_campaign=1053&amp;utm_source=sheet", "Apply")</f>
        <v>Apply</v>
      </c>
      <c r="C83" s="10" t="s">
        <v>23450</v>
      </c>
      <c r="D83" s="56" t="s">
        <v>1667</v>
      </c>
      <c r="E83" s="10">
        <v>37644.0</v>
      </c>
      <c r="G83" s="10" t="s">
        <v>8</v>
      </c>
      <c r="H83" s="10" t="s">
        <v>96</v>
      </c>
      <c r="I83" s="10" t="s">
        <v>48</v>
      </c>
      <c r="J83" s="10" t="s">
        <v>1668</v>
      </c>
      <c r="K83" s="10" t="s">
        <v>23451</v>
      </c>
      <c r="L83" s="10" t="s">
        <v>42</v>
      </c>
    </row>
    <row r="84" ht="15.75" customHeight="1">
      <c r="A84" s="66">
        <v>45493.0</v>
      </c>
      <c r="B84" s="55" t="str">
        <f>HYPERLINK("https://jobright.ai/jobs/info/66626d1d577fa08f7109797c?utm_campaign=1053&amp;utm_source=sheet", "Apply")</f>
        <v>Apply</v>
      </c>
      <c r="C84" s="10" t="s">
        <v>23296</v>
      </c>
      <c r="D84" s="56" t="s">
        <v>5165</v>
      </c>
      <c r="E84" s="10" t="s">
        <v>209</v>
      </c>
      <c r="F84" s="10" t="s">
        <v>5166</v>
      </c>
      <c r="G84" s="10" t="s">
        <v>8</v>
      </c>
      <c r="H84" s="10" t="s">
        <v>796</v>
      </c>
      <c r="I84" s="10" t="s">
        <v>55</v>
      </c>
      <c r="K84" s="10" t="s">
        <v>23452</v>
      </c>
      <c r="L84" s="10" t="s">
        <v>42</v>
      </c>
    </row>
    <row r="85" ht="15.75" customHeight="1">
      <c r="A85" s="66">
        <v>45493.0</v>
      </c>
      <c r="B85" s="55" t="str">
        <f>HYPERLINK("https://jobright.ai/jobs/info/667f493d4a8354e27fe8ac0e?utm_campaign=1053&amp;utm_source=sheet", "Apply")</f>
        <v>Apply</v>
      </c>
      <c r="C85" s="10" t="s">
        <v>23453</v>
      </c>
      <c r="D85" s="56" t="s">
        <v>23454</v>
      </c>
      <c r="E85" s="10" t="s">
        <v>249</v>
      </c>
      <c r="F85" s="10" t="s">
        <v>23455</v>
      </c>
      <c r="G85" s="10" t="s">
        <v>8</v>
      </c>
      <c r="H85" s="10" t="s">
        <v>251</v>
      </c>
      <c r="I85" s="10" t="s">
        <v>252</v>
      </c>
      <c r="J85" s="10" t="s">
        <v>7363</v>
      </c>
      <c r="K85" s="10" t="s">
        <v>23456</v>
      </c>
      <c r="L85" s="10" t="s">
        <v>42</v>
      </c>
    </row>
    <row r="86" ht="15.75" customHeight="1">
      <c r="A86" s="66">
        <v>45493.0</v>
      </c>
      <c r="B86" s="55" t="str">
        <f>HYPERLINK("https://jobright.ai/jobs/info/667f49524a8354e27fe8add5?utm_campaign=1053&amp;utm_source=sheet", "Apply")</f>
        <v>Apply</v>
      </c>
      <c r="C86" s="10" t="s">
        <v>23457</v>
      </c>
      <c r="D86" s="56" t="s">
        <v>23458</v>
      </c>
      <c r="E86" s="10" t="s">
        <v>65</v>
      </c>
      <c r="F86" s="10" t="s">
        <v>15388</v>
      </c>
      <c r="G86" s="10" t="s">
        <v>8</v>
      </c>
      <c r="H86" s="10" t="s">
        <v>153</v>
      </c>
      <c r="I86" s="10" t="s">
        <v>48</v>
      </c>
      <c r="K86" s="10" t="s">
        <v>23459</v>
      </c>
      <c r="L86" s="10" t="s">
        <v>42</v>
      </c>
    </row>
    <row r="87" ht="15.75" customHeight="1">
      <c r="A87" s="66">
        <v>45493.0</v>
      </c>
      <c r="B87" s="55" t="str">
        <f>HYPERLINK("https://jobright.ai/jobs/info/667f3b1c61f2588c341877ce?utm_campaign=1053&amp;utm_source=sheet", "Apply")</f>
        <v>Apply</v>
      </c>
      <c r="C87" s="10" t="s">
        <v>23460</v>
      </c>
      <c r="D87" s="56" t="s">
        <v>1667</v>
      </c>
      <c r="E87" s="10">
        <v>37644.0</v>
      </c>
      <c r="G87" s="10" t="s">
        <v>8</v>
      </c>
      <c r="H87" s="10" t="s">
        <v>96</v>
      </c>
      <c r="I87" s="10" t="s">
        <v>55</v>
      </c>
      <c r="J87" s="10" t="s">
        <v>1668</v>
      </c>
      <c r="K87" s="10" t="s">
        <v>23461</v>
      </c>
      <c r="L87" s="10" t="s">
        <v>42</v>
      </c>
    </row>
    <row r="88" ht="15.75" customHeight="1">
      <c r="A88" s="66">
        <v>45493.0</v>
      </c>
      <c r="B88" s="55" t="str">
        <f>HYPERLINK("https://jobright.ai/jobs/info/667f4f393215408025c9e2ae?utm_campaign=1053&amp;utm_source=sheet", "Apply")</f>
        <v>Apply</v>
      </c>
      <c r="C88" s="10" t="s">
        <v>23462</v>
      </c>
      <c r="D88" s="56" t="s">
        <v>1667</v>
      </c>
      <c r="E88" s="10">
        <v>37644.0</v>
      </c>
      <c r="G88" s="10" t="s">
        <v>8</v>
      </c>
      <c r="H88" s="10" t="s">
        <v>170</v>
      </c>
      <c r="I88" s="10" t="s">
        <v>55</v>
      </c>
      <c r="J88" s="10" t="s">
        <v>366</v>
      </c>
      <c r="K88" s="10" t="s">
        <v>23463</v>
      </c>
      <c r="L88" s="10" t="s">
        <v>42</v>
      </c>
    </row>
    <row r="89" ht="15.75" customHeight="1">
      <c r="A89" s="66">
        <v>45493.0</v>
      </c>
      <c r="B89" s="55" t="str">
        <f>HYPERLINK("https://jobright.ai/jobs/info/669b3fd0decb6d26cf42d68d?utm_campaign=1053&amp;utm_source=sheet", "Apply")</f>
        <v>Apply</v>
      </c>
      <c r="C89" s="10" t="s">
        <v>23464</v>
      </c>
      <c r="D89" s="56" t="s">
        <v>13736</v>
      </c>
      <c r="E89" s="10" t="s">
        <v>45</v>
      </c>
      <c r="F89" s="10" t="s">
        <v>13737</v>
      </c>
      <c r="G89" s="10" t="s">
        <v>8</v>
      </c>
      <c r="H89" s="10" t="s">
        <v>167</v>
      </c>
      <c r="I89" s="10" t="s">
        <v>55</v>
      </c>
      <c r="K89" s="10" t="s">
        <v>23465</v>
      </c>
      <c r="L89" s="10" t="s">
        <v>42</v>
      </c>
    </row>
    <row r="90" ht="15.75" customHeight="1">
      <c r="A90" s="66">
        <v>45493.0</v>
      </c>
      <c r="B90" s="55" t="str">
        <f>HYPERLINK("https://jobright.ai/jobs/info/669b3fd0decb6d26cf42d658?utm_campaign=1053&amp;utm_source=sheet", "Apply")</f>
        <v>Apply</v>
      </c>
      <c r="C90" s="10" t="s">
        <v>23466</v>
      </c>
      <c r="D90" s="56" t="s">
        <v>13736</v>
      </c>
      <c r="E90" s="10" t="s">
        <v>45</v>
      </c>
      <c r="F90" s="10" t="s">
        <v>13737</v>
      </c>
      <c r="G90" s="10" t="s">
        <v>8</v>
      </c>
      <c r="H90" s="10" t="s">
        <v>167</v>
      </c>
      <c r="I90" s="10" t="s">
        <v>55</v>
      </c>
      <c r="K90" s="10" t="s">
        <v>23467</v>
      </c>
      <c r="L90" s="10" t="s">
        <v>42</v>
      </c>
    </row>
    <row r="91" ht="15.75" customHeight="1">
      <c r="A91" s="66">
        <v>45493.0</v>
      </c>
      <c r="B91" s="55" t="str">
        <f>HYPERLINK("https://jobright.ai/jobs/info/669c01c7b697c51bdf2fc486?utm_campaign=1053&amp;utm_source=sheet", "Apply")</f>
        <v>Apply</v>
      </c>
      <c r="C91" s="10" t="s">
        <v>23468</v>
      </c>
      <c r="D91" s="56" t="s">
        <v>13834</v>
      </c>
      <c r="E91" s="10" t="s">
        <v>249</v>
      </c>
      <c r="F91" s="10" t="s">
        <v>13835</v>
      </c>
      <c r="G91" s="10" t="s">
        <v>8</v>
      </c>
      <c r="H91" s="10" t="s">
        <v>14002</v>
      </c>
      <c r="I91" s="10" t="s">
        <v>55</v>
      </c>
      <c r="K91" s="10" t="s">
        <v>23469</v>
      </c>
      <c r="L91" s="10" t="s">
        <v>42</v>
      </c>
    </row>
    <row r="92" ht="15.75" customHeight="1">
      <c r="A92" s="66">
        <v>45492.0</v>
      </c>
      <c r="B92" s="55" t="str">
        <f>HYPERLINK("https://jobright.ai/jobs/info/669af9d444eb65333f442143?utm_campaign=1053&amp;utm_source=sheet", "Apply")</f>
        <v>Apply</v>
      </c>
      <c r="C92" s="10" t="s">
        <v>23470</v>
      </c>
      <c r="D92" s="56" t="s">
        <v>23471</v>
      </c>
      <c r="E92" s="10" t="s">
        <v>65</v>
      </c>
      <c r="F92" s="10" t="s">
        <v>1234</v>
      </c>
      <c r="G92" s="10" t="s">
        <v>8</v>
      </c>
      <c r="H92" s="10" t="s">
        <v>1007</v>
      </c>
      <c r="I92" s="10" t="s">
        <v>55</v>
      </c>
      <c r="J92" s="10" t="s">
        <v>23472</v>
      </c>
      <c r="K92" s="10" t="s">
        <v>23473</v>
      </c>
      <c r="L92" s="10" t="s">
        <v>42</v>
      </c>
    </row>
    <row r="93" ht="15.75" customHeight="1">
      <c r="A93" s="66">
        <v>45492.0</v>
      </c>
      <c r="B93" s="55" t="str">
        <f>HYPERLINK("https://jobright.ai/jobs/info/669992faeaece15dc98ab97f?utm_campaign=1053&amp;utm_source=sheet", "Apply")</f>
        <v>Apply</v>
      </c>
      <c r="C93" s="10" t="s">
        <v>23474</v>
      </c>
      <c r="D93" s="56" t="s">
        <v>22361</v>
      </c>
      <c r="E93" s="10" t="s">
        <v>45</v>
      </c>
      <c r="F93" s="10" t="s">
        <v>1234</v>
      </c>
      <c r="G93" s="10" t="s">
        <v>8</v>
      </c>
      <c r="H93" s="10" t="s">
        <v>578</v>
      </c>
      <c r="I93" s="10" t="s">
        <v>48</v>
      </c>
      <c r="J93" s="10" t="s">
        <v>23475</v>
      </c>
      <c r="K93" s="10" t="s">
        <v>23476</v>
      </c>
      <c r="L93" s="10" t="s">
        <v>42</v>
      </c>
    </row>
    <row r="94" ht="15.75" customHeight="1">
      <c r="A94" s="66">
        <v>45492.0</v>
      </c>
      <c r="B94" s="55" t="str">
        <f>HYPERLINK("https://jobright.ai/jobs/info/66a23755a3cccf144e988088?utm_campaign=1053&amp;utm_source=sheet", "Apply")</f>
        <v>Apply</v>
      </c>
      <c r="C94" s="10" t="s">
        <v>23477</v>
      </c>
      <c r="D94" s="56" t="s">
        <v>1794</v>
      </c>
      <c r="E94" s="10" t="s">
        <v>65</v>
      </c>
      <c r="F94" s="10" t="s">
        <v>1795</v>
      </c>
      <c r="G94" s="10" t="s">
        <v>8</v>
      </c>
      <c r="H94" s="10" t="s">
        <v>1796</v>
      </c>
      <c r="I94" s="10" t="s">
        <v>55</v>
      </c>
      <c r="J94" s="10" t="s">
        <v>1409</v>
      </c>
      <c r="K94" s="10" t="s">
        <v>23478</v>
      </c>
      <c r="L94" s="10" t="s">
        <v>42</v>
      </c>
    </row>
    <row r="95" ht="15.75" customHeight="1">
      <c r="A95" s="66">
        <v>45492.0</v>
      </c>
      <c r="B95" s="55" t="str">
        <f>HYPERLINK("https://jobright.ai/jobs/info/66a4037d0d09d8a9054b410a?utm_campaign=1053&amp;utm_source=sheet", "Apply")</f>
        <v>Apply</v>
      </c>
      <c r="C95" s="10" t="s">
        <v>23479</v>
      </c>
      <c r="D95" s="56" t="s">
        <v>14507</v>
      </c>
      <c r="E95" s="10" t="s">
        <v>276</v>
      </c>
      <c r="F95" s="10" t="s">
        <v>13550</v>
      </c>
      <c r="G95" s="10" t="s">
        <v>8</v>
      </c>
      <c r="H95" s="10" t="s">
        <v>904</v>
      </c>
      <c r="I95" s="10" t="s">
        <v>55</v>
      </c>
      <c r="K95" s="10" t="s">
        <v>23480</v>
      </c>
      <c r="L95" s="10" t="s">
        <v>42</v>
      </c>
    </row>
    <row r="96" ht="15.75" customHeight="1">
      <c r="A96" s="66">
        <v>45492.0</v>
      </c>
      <c r="B96" s="55" t="str">
        <f>HYPERLINK("https://jobright.ai/jobs/info/669a2077cb91786c1b388d64?utm_campaign=1053&amp;utm_source=sheet", "Apply")</f>
        <v>Apply</v>
      </c>
      <c r="C96" s="10" t="s">
        <v>23481</v>
      </c>
      <c r="D96" s="56" t="s">
        <v>19351</v>
      </c>
      <c r="E96" s="10" t="s">
        <v>71</v>
      </c>
      <c r="F96" s="10" t="s">
        <v>15362</v>
      </c>
      <c r="G96" s="10" t="s">
        <v>8</v>
      </c>
      <c r="H96" s="10" t="s">
        <v>96</v>
      </c>
      <c r="I96" s="10" t="s">
        <v>48</v>
      </c>
      <c r="K96" s="10" t="s">
        <v>23482</v>
      </c>
      <c r="L96" s="10" t="s">
        <v>42</v>
      </c>
    </row>
    <row r="97" ht="15.75" customHeight="1">
      <c r="A97" s="66">
        <v>45492.0</v>
      </c>
      <c r="B97" s="55" t="str">
        <f>HYPERLINK("https://jobright.ai/jobs/info/669b058f67c71833656b74c8?utm_campaign=1053&amp;utm_source=sheet", "Apply")</f>
        <v>Apply</v>
      </c>
      <c r="C97" s="10" t="s">
        <v>23410</v>
      </c>
      <c r="D97" s="56" t="s">
        <v>363</v>
      </c>
      <c r="E97" s="10" t="s">
        <v>209</v>
      </c>
      <c r="F97" s="10" t="s">
        <v>364</v>
      </c>
      <c r="G97" s="10" t="s">
        <v>8</v>
      </c>
      <c r="H97" s="10" t="s">
        <v>511</v>
      </c>
      <c r="I97" s="10" t="s">
        <v>48</v>
      </c>
      <c r="J97" s="10" t="s">
        <v>366</v>
      </c>
      <c r="K97" s="10" t="s">
        <v>23411</v>
      </c>
      <c r="L97" s="10" t="s">
        <v>42</v>
      </c>
    </row>
    <row r="98" ht="15.75" customHeight="1">
      <c r="A98" s="66">
        <v>45491.0</v>
      </c>
      <c r="B98" s="55" t="str">
        <f>HYPERLINK("https://jobright.ai/jobs/info/6699a85fdf0d9bbecaf38ca9?utm_campaign=1053&amp;utm_source=sheet", "Apply")</f>
        <v>Apply</v>
      </c>
      <c r="C98" s="10" t="s">
        <v>23483</v>
      </c>
      <c r="D98" s="56" t="s">
        <v>15122</v>
      </c>
      <c r="E98" s="10" t="s">
        <v>79</v>
      </c>
      <c r="F98" s="10" t="s">
        <v>3569</v>
      </c>
      <c r="G98" s="10" t="s">
        <v>8</v>
      </c>
      <c r="H98" s="10" t="s">
        <v>859</v>
      </c>
      <c r="I98" s="10" t="s">
        <v>55</v>
      </c>
      <c r="J98" s="10" t="s">
        <v>1960</v>
      </c>
      <c r="K98" s="10" t="s">
        <v>23484</v>
      </c>
      <c r="L98" s="10" t="s">
        <v>42</v>
      </c>
    </row>
    <row r="99" ht="15.75" customHeight="1">
      <c r="A99" s="66">
        <v>45491.0</v>
      </c>
      <c r="B99" s="55" t="str">
        <f>HYPERLINK("https://jobright.ai/jobs/info/669998fa4663dabd47c84783?utm_campaign=1053&amp;utm_source=sheet", "Apply")</f>
        <v>Apply</v>
      </c>
      <c r="C99" s="10" t="s">
        <v>23485</v>
      </c>
      <c r="D99" s="56" t="s">
        <v>23486</v>
      </c>
      <c r="E99" s="10" t="s">
        <v>137</v>
      </c>
      <c r="F99" s="10" t="s">
        <v>13072</v>
      </c>
      <c r="G99" s="10" t="s">
        <v>8</v>
      </c>
      <c r="H99" s="10" t="s">
        <v>607</v>
      </c>
      <c r="I99" s="10" t="s">
        <v>48</v>
      </c>
      <c r="K99" s="10" t="s">
        <v>23487</v>
      </c>
      <c r="L99" s="10" t="s">
        <v>42</v>
      </c>
    </row>
    <row r="100" ht="15.75" customHeight="1">
      <c r="A100" s="66">
        <v>45491.0</v>
      </c>
      <c r="B100" s="55" t="str">
        <f>HYPERLINK("https://jobright.ai/jobs/info/66999fefa6cffa96210cdee4?utm_campaign=1053&amp;utm_source=sheet", "Apply")</f>
        <v>Apply</v>
      </c>
      <c r="C100" s="10" t="s">
        <v>23488</v>
      </c>
      <c r="D100" s="56" t="s">
        <v>22167</v>
      </c>
      <c r="E100" s="10" t="s">
        <v>249</v>
      </c>
      <c r="F100" s="10" t="s">
        <v>1506</v>
      </c>
      <c r="G100" s="10" t="s">
        <v>8</v>
      </c>
      <c r="H100" s="10" t="s">
        <v>170</v>
      </c>
      <c r="I100" s="10" t="s">
        <v>55</v>
      </c>
      <c r="J100" s="10" t="s">
        <v>1984</v>
      </c>
      <c r="K100" s="10" t="s">
        <v>23489</v>
      </c>
      <c r="L100" s="10" t="s">
        <v>42</v>
      </c>
    </row>
    <row r="101" ht="15.75" customHeight="1">
      <c r="A101" s="66">
        <v>45491.0</v>
      </c>
      <c r="B101" s="55" t="str">
        <f>HYPERLINK("https://jobright.ai/jobs/info/66997ca111aefe0c6415c0ce?utm_campaign=1053&amp;utm_source=sheet", "Apply")</f>
        <v>Apply</v>
      </c>
      <c r="C101" s="10" t="s">
        <v>23490</v>
      </c>
      <c r="D101" s="56" t="s">
        <v>22341</v>
      </c>
      <c r="E101" s="10" t="s">
        <v>79</v>
      </c>
      <c r="F101" s="10" t="s">
        <v>22342</v>
      </c>
      <c r="G101" s="10" t="s">
        <v>8</v>
      </c>
      <c r="H101" s="10" t="s">
        <v>6506</v>
      </c>
      <c r="I101" s="10" t="s">
        <v>48</v>
      </c>
      <c r="J101" s="10" t="s">
        <v>3294</v>
      </c>
      <c r="K101" s="10" t="s">
        <v>23491</v>
      </c>
      <c r="L101" s="10" t="s">
        <v>42</v>
      </c>
    </row>
    <row r="102" ht="15.75" customHeight="1">
      <c r="A102" s="66">
        <v>45491.0</v>
      </c>
      <c r="B102" s="55" t="str">
        <f>HYPERLINK("https://jobright.ai/jobs/info/66998e6bd1ca770d2bb5aee1?utm_campaign=1053&amp;utm_source=sheet", "Apply")</f>
        <v>Apply</v>
      </c>
      <c r="C102" s="10" t="s">
        <v>23492</v>
      </c>
      <c r="D102" s="56" t="s">
        <v>95</v>
      </c>
      <c r="E102" s="10">
        <v>52.0</v>
      </c>
      <c r="G102" s="10" t="s">
        <v>8</v>
      </c>
      <c r="H102" s="10" t="s">
        <v>152</v>
      </c>
      <c r="I102" s="10" t="s">
        <v>55</v>
      </c>
      <c r="K102" s="10" t="s">
        <v>23493</v>
      </c>
      <c r="L102" s="10" t="s">
        <v>42</v>
      </c>
    </row>
    <row r="103" ht="15.75" customHeight="1">
      <c r="A103" s="66">
        <v>45491.0</v>
      </c>
      <c r="B103" s="55" t="str">
        <f>HYPERLINK("https://jobright.ai/jobs/info/66998e6bd1ca770d2bb5aee2?utm_campaign=1053&amp;utm_source=sheet", "Apply")</f>
        <v>Apply</v>
      </c>
      <c r="C103" s="10" t="s">
        <v>23492</v>
      </c>
      <c r="D103" s="56" t="s">
        <v>95</v>
      </c>
      <c r="E103" s="10">
        <v>52.0</v>
      </c>
      <c r="G103" s="10" t="s">
        <v>8</v>
      </c>
      <c r="H103" s="10" t="s">
        <v>914</v>
      </c>
      <c r="I103" s="10" t="s">
        <v>55</v>
      </c>
      <c r="K103" s="10" t="s">
        <v>23493</v>
      </c>
      <c r="L103" s="10" t="s">
        <v>42</v>
      </c>
    </row>
    <row r="104" ht="15.75" customHeight="1">
      <c r="A104" s="66">
        <v>45491.0</v>
      </c>
      <c r="B104" s="55" t="str">
        <f>HYPERLINK("https://jobright.ai/jobs/info/66998e6bd1ca770d2bb5aee3?utm_campaign=1053&amp;utm_source=sheet", "Apply")</f>
        <v>Apply</v>
      </c>
      <c r="C104" s="10" t="s">
        <v>23492</v>
      </c>
      <c r="D104" s="56" t="s">
        <v>95</v>
      </c>
      <c r="E104" s="10">
        <v>52.0</v>
      </c>
      <c r="G104" s="10" t="s">
        <v>8</v>
      </c>
      <c r="H104" s="10" t="s">
        <v>929</v>
      </c>
      <c r="I104" s="10" t="s">
        <v>55</v>
      </c>
      <c r="K104" s="10" t="s">
        <v>23493</v>
      </c>
      <c r="L104" s="10" t="s">
        <v>42</v>
      </c>
    </row>
    <row r="105" ht="15.75" customHeight="1">
      <c r="A105" s="66">
        <v>45491.0</v>
      </c>
      <c r="B105" s="55" t="str">
        <f>HYPERLINK("https://jobright.ai/jobs/info/669a4864b5fa512390f7e95c?utm_campaign=1053&amp;utm_source=sheet", "Apply")</f>
        <v>Apply</v>
      </c>
      <c r="C105" s="10" t="s">
        <v>23492</v>
      </c>
      <c r="D105" s="56" t="s">
        <v>95</v>
      </c>
      <c r="E105" s="10">
        <v>52.0</v>
      </c>
      <c r="G105" s="10" t="s">
        <v>8</v>
      </c>
      <c r="H105" s="10" t="s">
        <v>668</v>
      </c>
      <c r="I105" s="10" t="s">
        <v>55</v>
      </c>
      <c r="K105" s="10" t="s">
        <v>23493</v>
      </c>
      <c r="L105" s="10" t="s">
        <v>42</v>
      </c>
    </row>
    <row r="106" ht="15.75" customHeight="1">
      <c r="A106" s="66">
        <v>45491.0</v>
      </c>
      <c r="B106" s="55" t="str">
        <f>HYPERLINK("https://jobright.ai/jobs/info/669a4864b5fa512390f7e962?utm_campaign=1053&amp;utm_source=sheet", "Apply")</f>
        <v>Apply</v>
      </c>
      <c r="C106" s="10" t="s">
        <v>23492</v>
      </c>
      <c r="D106" s="56" t="s">
        <v>95</v>
      </c>
      <c r="E106" s="10">
        <v>52.0</v>
      </c>
      <c r="G106" s="10" t="s">
        <v>8</v>
      </c>
      <c r="H106" s="10" t="s">
        <v>903</v>
      </c>
      <c r="I106" s="10" t="s">
        <v>55</v>
      </c>
      <c r="K106" s="10" t="s">
        <v>23493</v>
      </c>
      <c r="L106" s="10" t="s">
        <v>42</v>
      </c>
    </row>
    <row r="107" ht="15.75" customHeight="1">
      <c r="A107" s="66">
        <v>45491.0</v>
      </c>
      <c r="B107" s="55" t="str">
        <f>HYPERLINK("https://jobright.ai/jobs/info/669a45d04a6d602626e82fb9?utm_campaign=1053&amp;utm_source=sheet", "Apply")</f>
        <v>Apply</v>
      </c>
      <c r="C107" s="10" t="s">
        <v>23494</v>
      </c>
      <c r="D107" s="56" t="s">
        <v>2864</v>
      </c>
      <c r="E107" s="10" t="s">
        <v>65</v>
      </c>
      <c r="F107" s="10" t="s">
        <v>2865</v>
      </c>
      <c r="G107" s="10" t="s">
        <v>8</v>
      </c>
      <c r="H107" s="10" t="s">
        <v>2866</v>
      </c>
      <c r="I107" s="10" t="s">
        <v>55</v>
      </c>
      <c r="K107" s="10" t="s">
        <v>23495</v>
      </c>
      <c r="L107" s="10" t="s">
        <v>42</v>
      </c>
    </row>
    <row r="108" ht="15.75" customHeight="1">
      <c r="A108" s="66">
        <v>45491.0</v>
      </c>
      <c r="B108" s="55" t="str">
        <f>HYPERLINK("https://jobright.ai/jobs/info/66989fafdf4c86e330d06e77?utm_campaign=1053&amp;utm_source=sheet", "Apply")</f>
        <v>Apply</v>
      </c>
      <c r="C108" s="10" t="s">
        <v>23496</v>
      </c>
      <c r="D108" s="56" t="s">
        <v>16287</v>
      </c>
      <c r="E108" s="10" t="s">
        <v>45</v>
      </c>
      <c r="F108" s="10" t="s">
        <v>13636</v>
      </c>
      <c r="G108" s="10" t="s">
        <v>8</v>
      </c>
      <c r="H108" s="10" t="s">
        <v>144</v>
      </c>
      <c r="I108" s="10" t="s">
        <v>48</v>
      </c>
      <c r="J108" s="10" t="s">
        <v>1984</v>
      </c>
      <c r="K108" s="10" t="s">
        <v>23497</v>
      </c>
      <c r="L108" s="10" t="s">
        <v>42</v>
      </c>
    </row>
    <row r="109" ht="15.75" customHeight="1">
      <c r="A109" s="66">
        <v>45491.0</v>
      </c>
      <c r="B109" s="55" t="str">
        <f>HYPERLINK("https://jobright.ai/jobs/info/6698942ca815047e6f29cbf6?utm_campaign=1053&amp;utm_source=sheet", "Apply")</f>
        <v>Apply</v>
      </c>
      <c r="C109" s="10" t="s">
        <v>23498</v>
      </c>
      <c r="D109" s="56" t="s">
        <v>23499</v>
      </c>
      <c r="E109" s="10" t="s">
        <v>276</v>
      </c>
      <c r="F109" s="10" t="s">
        <v>23500</v>
      </c>
      <c r="G109" s="10" t="s">
        <v>8</v>
      </c>
      <c r="H109" s="10" t="s">
        <v>843</v>
      </c>
      <c r="I109" s="10" t="s">
        <v>55</v>
      </c>
      <c r="J109" s="10" t="s">
        <v>3651</v>
      </c>
      <c r="K109" s="10" t="s">
        <v>23501</v>
      </c>
      <c r="L109" s="10" t="s">
        <v>42</v>
      </c>
    </row>
    <row r="110" ht="15.75" customHeight="1">
      <c r="A110" s="66">
        <v>45491.0</v>
      </c>
      <c r="B110" s="55" t="str">
        <f>HYPERLINK("https://jobright.ai/jobs/info/669b263c90ff93eb83e1c91c?utm_campaign=1053&amp;utm_source=sheet", "Apply")</f>
        <v>Apply</v>
      </c>
      <c r="C110" s="10" t="s">
        <v>23502</v>
      </c>
      <c r="D110" s="56" t="s">
        <v>13994</v>
      </c>
      <c r="E110" s="10" t="s">
        <v>276</v>
      </c>
      <c r="F110" s="10" t="s">
        <v>13995</v>
      </c>
      <c r="G110" s="10" t="s">
        <v>8</v>
      </c>
      <c r="H110" s="10" t="s">
        <v>607</v>
      </c>
      <c r="I110" s="10" t="s">
        <v>55</v>
      </c>
      <c r="K110" s="10" t="s">
        <v>13996</v>
      </c>
      <c r="L110" s="10" t="s">
        <v>42</v>
      </c>
    </row>
    <row r="111" ht="15.75" customHeight="1">
      <c r="A111" s="66">
        <v>45491.0</v>
      </c>
      <c r="B111" s="55" t="str">
        <f>HYPERLINK("https://jobright.ai/jobs/info/66986d31d03953e468c9d1ed?utm_campaign=1053&amp;utm_source=sheet", "Apply")</f>
        <v>Apply</v>
      </c>
      <c r="C111" s="10" t="s">
        <v>23503</v>
      </c>
      <c r="D111" s="56" t="s">
        <v>23504</v>
      </c>
      <c r="G111" s="10" t="s">
        <v>8</v>
      </c>
      <c r="H111" s="10" t="s">
        <v>886</v>
      </c>
      <c r="I111" s="10" t="s">
        <v>55</v>
      </c>
      <c r="K111" s="10" t="s">
        <v>23505</v>
      </c>
      <c r="L111" s="10" t="s">
        <v>42</v>
      </c>
    </row>
    <row r="112" ht="15.75" customHeight="1">
      <c r="A112" s="66">
        <v>45491.0</v>
      </c>
      <c r="B112" s="55" t="str">
        <f>HYPERLINK("https://jobright.ai/jobs/info/66986d31d03953e468c9d206?utm_campaign=1053&amp;utm_source=sheet", "Apply")</f>
        <v>Apply</v>
      </c>
      <c r="C112" s="10" t="s">
        <v>23506</v>
      </c>
      <c r="D112" s="56" t="s">
        <v>23507</v>
      </c>
      <c r="E112" s="10" t="s">
        <v>71</v>
      </c>
      <c r="F112" s="10" t="s">
        <v>23508</v>
      </c>
      <c r="G112" s="10" t="s">
        <v>8</v>
      </c>
      <c r="H112" s="10" t="s">
        <v>11174</v>
      </c>
      <c r="I112" s="10" t="s">
        <v>55</v>
      </c>
      <c r="J112" s="10" t="s">
        <v>23509</v>
      </c>
      <c r="K112" s="10" t="s">
        <v>23510</v>
      </c>
      <c r="L112" s="10" t="s">
        <v>42</v>
      </c>
    </row>
    <row r="113" ht="15.75" customHeight="1">
      <c r="A113" s="66">
        <v>45490.0</v>
      </c>
      <c r="B113" s="55" t="str">
        <f>HYPERLINK("https://jobright.ai/jobs/info/669834ba42f8a0cca17e16ed?utm_campaign=1053&amp;utm_source=sheet", "Apply")</f>
        <v>Apply</v>
      </c>
      <c r="C113" s="10" t="s">
        <v>23511</v>
      </c>
      <c r="D113" s="56" t="s">
        <v>7830</v>
      </c>
      <c r="E113" s="10" t="s">
        <v>249</v>
      </c>
      <c r="F113" s="10" t="s">
        <v>3906</v>
      </c>
      <c r="G113" s="10" t="s">
        <v>8</v>
      </c>
      <c r="H113" s="10" t="s">
        <v>170</v>
      </c>
      <c r="I113" s="10" t="s">
        <v>55</v>
      </c>
      <c r="J113" s="10" t="s">
        <v>3979</v>
      </c>
      <c r="K113" s="10" t="s">
        <v>23512</v>
      </c>
      <c r="L113" s="10" t="s">
        <v>42</v>
      </c>
    </row>
    <row r="114" ht="15.75" customHeight="1">
      <c r="A114" s="66">
        <v>45490.0</v>
      </c>
      <c r="B114" s="55" t="str">
        <f>HYPERLINK("https://jobright.ai/jobs/info/6697d8883d610aff693022c8?utm_campaign=1053&amp;utm_source=sheet", "Apply")</f>
        <v>Apply</v>
      </c>
      <c r="C114" s="10" t="s">
        <v>23414</v>
      </c>
      <c r="D114" s="56" t="s">
        <v>23513</v>
      </c>
      <c r="E114" s="59">
        <v>45301.0</v>
      </c>
      <c r="G114" s="10" t="s">
        <v>8</v>
      </c>
      <c r="H114" s="10" t="s">
        <v>170</v>
      </c>
      <c r="I114" s="10" t="s">
        <v>55</v>
      </c>
      <c r="K114" s="10" t="s">
        <v>23514</v>
      </c>
      <c r="L114" s="10" t="s">
        <v>42</v>
      </c>
    </row>
    <row r="115" ht="15.75" customHeight="1">
      <c r="A115" s="66">
        <v>45490.0</v>
      </c>
      <c r="B115" s="55" t="str">
        <f>HYPERLINK("https://jobright.ai/jobs/info/667b40e06c645d774025f979?utm_campaign=1053&amp;utm_source=sheet", "Apply")</f>
        <v>Apply</v>
      </c>
      <c r="C115" s="10" t="s">
        <v>23515</v>
      </c>
      <c r="D115" s="56" t="s">
        <v>22167</v>
      </c>
      <c r="E115" s="10" t="s">
        <v>249</v>
      </c>
      <c r="F115" s="10" t="s">
        <v>1506</v>
      </c>
      <c r="G115" s="10" t="s">
        <v>8</v>
      </c>
      <c r="H115" s="10" t="s">
        <v>170</v>
      </c>
      <c r="I115" s="10" t="s">
        <v>55</v>
      </c>
      <c r="J115" s="10" t="s">
        <v>1984</v>
      </c>
      <c r="K115" s="10" t="s">
        <v>23516</v>
      </c>
      <c r="L115" s="10" t="s">
        <v>42</v>
      </c>
    </row>
    <row r="116" ht="15.75" customHeight="1">
      <c r="A116" s="66">
        <v>45490.0</v>
      </c>
      <c r="B116" s="55" t="str">
        <f>HYPERLINK("https://jobright.ai/jobs/info/66313061fb370140b7cdcf44?utm_campaign=1053&amp;utm_source=sheet", "Apply")</f>
        <v>Apply</v>
      </c>
      <c r="C116" s="10" t="s">
        <v>23517</v>
      </c>
      <c r="D116" s="56" t="s">
        <v>18756</v>
      </c>
      <c r="E116" s="10" t="s">
        <v>209</v>
      </c>
      <c r="F116" s="10" t="s">
        <v>18757</v>
      </c>
      <c r="G116" s="10" t="s">
        <v>8</v>
      </c>
      <c r="H116" s="10" t="s">
        <v>153</v>
      </c>
      <c r="I116" s="10" t="s">
        <v>55</v>
      </c>
      <c r="K116" s="10" t="s">
        <v>23518</v>
      </c>
      <c r="L116" s="10" t="s">
        <v>42</v>
      </c>
    </row>
    <row r="117" ht="15.75" customHeight="1">
      <c r="A117" s="66">
        <v>45490.0</v>
      </c>
      <c r="B117" s="55" t="str">
        <f>HYPERLINK("https://jobright.ai/jobs/info/66795ea4dd14b36e4d97a0b7?utm_campaign=1053&amp;utm_source=sheet", "Apply")</f>
        <v>Apply</v>
      </c>
      <c r="C117" s="10" t="s">
        <v>23519</v>
      </c>
      <c r="D117" s="56" t="s">
        <v>23520</v>
      </c>
      <c r="E117" s="10" t="s">
        <v>65</v>
      </c>
      <c r="F117" s="10" t="s">
        <v>21141</v>
      </c>
      <c r="G117" s="10" t="s">
        <v>8</v>
      </c>
      <c r="H117" s="10" t="s">
        <v>96</v>
      </c>
      <c r="I117" s="10" t="s">
        <v>55</v>
      </c>
      <c r="J117" s="10" t="s">
        <v>3979</v>
      </c>
      <c r="K117" s="10" t="s">
        <v>23521</v>
      </c>
      <c r="L117" s="10" t="s">
        <v>42</v>
      </c>
    </row>
    <row r="118" ht="15.75" customHeight="1">
      <c r="A118" s="66">
        <v>45490.0</v>
      </c>
      <c r="B118" s="55" t="str">
        <f>HYPERLINK("https://jobright.ai/jobs/info/6697848c74de97dabed81cf7?utm_campaign=1053&amp;utm_source=sheet", "Apply")</f>
        <v>Apply</v>
      </c>
      <c r="C118" s="10" t="s">
        <v>23522</v>
      </c>
      <c r="D118" s="56" t="s">
        <v>23523</v>
      </c>
      <c r="E118" s="10" t="s">
        <v>45</v>
      </c>
      <c r="F118" s="10" t="s">
        <v>23524</v>
      </c>
      <c r="G118" s="10" t="s">
        <v>8</v>
      </c>
      <c r="H118" s="10" t="s">
        <v>4799</v>
      </c>
      <c r="I118" s="10" t="s">
        <v>55</v>
      </c>
      <c r="J118" s="10" t="s">
        <v>23525</v>
      </c>
      <c r="K118" s="10" t="s">
        <v>23287</v>
      </c>
      <c r="L118" s="10" t="s">
        <v>42</v>
      </c>
    </row>
    <row r="119" ht="15.75" customHeight="1">
      <c r="A119" s="66">
        <v>45490.0</v>
      </c>
      <c r="B119" s="55" t="str">
        <f>HYPERLINK("https://jobright.ai/jobs/info/6691e1347ab0371a6692f484?utm_campaign=1053&amp;utm_source=sheet", "Apply")</f>
        <v>Apply</v>
      </c>
      <c r="C119" s="10" t="s">
        <v>23526</v>
      </c>
      <c r="D119" s="56" t="s">
        <v>8701</v>
      </c>
      <c r="F119" s="10" t="s">
        <v>1506</v>
      </c>
      <c r="G119" s="10" t="s">
        <v>8</v>
      </c>
      <c r="H119" s="10" t="s">
        <v>159</v>
      </c>
      <c r="I119" s="10" t="s">
        <v>55</v>
      </c>
      <c r="K119" s="10" t="s">
        <v>23527</v>
      </c>
      <c r="L119" s="10" t="s">
        <v>42</v>
      </c>
    </row>
    <row r="120" ht="15.75" customHeight="1">
      <c r="A120" s="66">
        <v>45490.0</v>
      </c>
      <c r="B120" s="55" t="str">
        <f>HYPERLINK("https://jobright.ai/jobs/info/669872c666103ec0e4c9b647?utm_campaign=1053&amp;utm_source=sheet", "Apply")</f>
        <v>Apply</v>
      </c>
      <c r="C120" s="10" t="s">
        <v>23528</v>
      </c>
      <c r="D120" s="56" t="s">
        <v>23529</v>
      </c>
      <c r="E120" s="10" t="s">
        <v>249</v>
      </c>
      <c r="F120" s="10" t="s">
        <v>23530</v>
      </c>
      <c r="G120" s="10" t="s">
        <v>8</v>
      </c>
      <c r="H120" s="10" t="s">
        <v>23531</v>
      </c>
      <c r="I120" s="10" t="s">
        <v>55</v>
      </c>
      <c r="K120" s="10" t="s">
        <v>23532</v>
      </c>
      <c r="L120" s="10" t="s">
        <v>42</v>
      </c>
    </row>
    <row r="121" ht="15.75" customHeight="1">
      <c r="A121" s="66">
        <v>45489.0</v>
      </c>
      <c r="B121" s="55" t="str">
        <f>HYPERLINK("https://jobright.ai/jobs/info/66970ec7f95e2634e408954c?utm_campaign=1053&amp;utm_source=sheet", "Apply")</f>
        <v>Apply</v>
      </c>
      <c r="C121" s="10" t="s">
        <v>23533</v>
      </c>
      <c r="D121" s="56" t="s">
        <v>9937</v>
      </c>
      <c r="E121" s="10" t="s">
        <v>45</v>
      </c>
      <c r="F121" s="10" t="s">
        <v>9938</v>
      </c>
      <c r="G121" s="10" t="s">
        <v>8</v>
      </c>
      <c r="H121" s="10" t="s">
        <v>165</v>
      </c>
      <c r="I121" s="10" t="s">
        <v>55</v>
      </c>
      <c r="K121" s="10" t="s">
        <v>23534</v>
      </c>
      <c r="L121" s="10" t="s">
        <v>42</v>
      </c>
    </row>
    <row r="122" ht="15.75" customHeight="1">
      <c r="A122" s="66">
        <v>45489.0</v>
      </c>
      <c r="B122" s="55" t="str">
        <f>HYPERLINK("https://jobright.ai/jobs/info/669706b202dfa1ba1c6ea23a?utm_campaign=1053&amp;utm_source=sheet", "Apply")</f>
        <v>Apply</v>
      </c>
      <c r="C122" s="10" t="s">
        <v>23533</v>
      </c>
      <c r="D122" s="56" t="s">
        <v>9914</v>
      </c>
      <c r="E122" s="10" t="s">
        <v>249</v>
      </c>
      <c r="F122" s="10" t="s">
        <v>3684</v>
      </c>
      <c r="G122" s="10" t="s">
        <v>8</v>
      </c>
      <c r="H122" s="10" t="s">
        <v>165</v>
      </c>
      <c r="I122" s="10" t="s">
        <v>55</v>
      </c>
      <c r="K122" s="10" t="s">
        <v>23534</v>
      </c>
      <c r="L122" s="10" t="s">
        <v>42</v>
      </c>
    </row>
    <row r="123" ht="15.75" customHeight="1">
      <c r="A123" s="66">
        <v>45489.0</v>
      </c>
      <c r="B123" s="55" t="str">
        <f>HYPERLINK("https://jobright.ai/jobs/info/669706c402dfa1ba1c6ea3f7?utm_campaign=1053&amp;utm_source=sheet", "Apply")</f>
        <v>Apply</v>
      </c>
      <c r="C123" s="10" t="s">
        <v>23535</v>
      </c>
      <c r="D123" s="56" t="s">
        <v>23536</v>
      </c>
      <c r="E123" s="10" t="s">
        <v>137</v>
      </c>
      <c r="F123" s="10" t="s">
        <v>23537</v>
      </c>
      <c r="G123" s="10" t="s">
        <v>8</v>
      </c>
      <c r="H123" s="10" t="s">
        <v>139</v>
      </c>
      <c r="I123" s="10" t="s">
        <v>55</v>
      </c>
      <c r="K123" s="10" t="s">
        <v>23538</v>
      </c>
      <c r="L123" s="10" t="s">
        <v>42</v>
      </c>
    </row>
    <row r="124" ht="15.75" customHeight="1">
      <c r="A124" s="66">
        <v>45489.0</v>
      </c>
      <c r="B124" s="55" t="str">
        <f>HYPERLINK("https://jobright.ai/jobs/info/6696fb6cff384bf5ba3fb123?utm_campaign=1053&amp;utm_source=sheet", "Apply")</f>
        <v>Apply</v>
      </c>
      <c r="C124" s="10" t="s">
        <v>23539</v>
      </c>
      <c r="D124" s="56" t="s">
        <v>23540</v>
      </c>
      <c r="E124" s="10" t="s">
        <v>276</v>
      </c>
      <c r="F124" s="10" t="s">
        <v>615</v>
      </c>
      <c r="G124" s="10" t="s">
        <v>8</v>
      </c>
      <c r="H124" s="10" t="s">
        <v>170</v>
      </c>
      <c r="I124" s="10" t="s">
        <v>55</v>
      </c>
      <c r="J124" s="10" t="s">
        <v>23541</v>
      </c>
      <c r="K124" s="10" t="s">
        <v>23542</v>
      </c>
      <c r="L124" s="10" t="s">
        <v>42</v>
      </c>
    </row>
    <row r="125" ht="15.75" customHeight="1">
      <c r="A125" s="66">
        <v>45489.0</v>
      </c>
      <c r="B125" s="55" t="str">
        <f>HYPERLINK("https://jobright.ai/jobs/info/6696f4b018172036dded42b5?utm_campaign=1053&amp;utm_source=sheet", "Apply")</f>
        <v>Apply</v>
      </c>
      <c r="C125" s="10" t="s">
        <v>23522</v>
      </c>
      <c r="D125" s="56" t="s">
        <v>15387</v>
      </c>
      <c r="E125" s="10" t="s">
        <v>209</v>
      </c>
      <c r="F125" s="10" t="s">
        <v>15388</v>
      </c>
      <c r="G125" s="10" t="s">
        <v>8</v>
      </c>
      <c r="H125" s="10" t="s">
        <v>4799</v>
      </c>
      <c r="I125" s="10" t="s">
        <v>55</v>
      </c>
      <c r="J125" s="10" t="s">
        <v>23525</v>
      </c>
      <c r="K125" s="10" t="s">
        <v>23287</v>
      </c>
      <c r="L125" s="10" t="s">
        <v>42</v>
      </c>
    </row>
    <row r="126" ht="15.75" customHeight="1">
      <c r="A126" s="66">
        <v>45489.0</v>
      </c>
      <c r="B126" s="55" t="str">
        <f>HYPERLINK("https://jobright.ai/jobs/info/6697361c6b9e52a2e51b9eb1?utm_campaign=1053&amp;utm_source=sheet", "Apply")</f>
        <v>Apply</v>
      </c>
      <c r="C126" s="10" t="s">
        <v>23543</v>
      </c>
      <c r="D126" s="56" t="s">
        <v>9937</v>
      </c>
      <c r="E126" s="10" t="s">
        <v>45</v>
      </c>
      <c r="F126" s="10" t="s">
        <v>9938</v>
      </c>
      <c r="G126" s="10" t="s">
        <v>8</v>
      </c>
      <c r="H126" s="10" t="s">
        <v>96</v>
      </c>
      <c r="I126" s="10" t="s">
        <v>55</v>
      </c>
      <c r="K126" s="10" t="s">
        <v>23363</v>
      </c>
      <c r="L126" s="10" t="s">
        <v>42</v>
      </c>
    </row>
    <row r="127" ht="15.75" customHeight="1">
      <c r="A127" s="66">
        <v>45489.0</v>
      </c>
      <c r="B127" s="55" t="str">
        <f>HYPERLINK("https://jobright.ai/jobs/info/6696ac2d02d3d416b96904ca?utm_campaign=1053&amp;utm_source=sheet", "Apply")</f>
        <v>Apply</v>
      </c>
      <c r="C127" s="10" t="s">
        <v>23544</v>
      </c>
      <c r="D127" s="56" t="s">
        <v>7209</v>
      </c>
      <c r="E127" s="10" t="s">
        <v>45</v>
      </c>
      <c r="F127" s="10" t="s">
        <v>7210</v>
      </c>
      <c r="G127" s="10" t="s">
        <v>8</v>
      </c>
      <c r="H127" s="10" t="s">
        <v>23545</v>
      </c>
      <c r="I127" s="10" t="s">
        <v>55</v>
      </c>
      <c r="K127" s="10" t="s">
        <v>23546</v>
      </c>
      <c r="L127" s="10" t="s">
        <v>42</v>
      </c>
    </row>
    <row r="128" ht="15.75" customHeight="1">
      <c r="A128" s="66">
        <v>45489.0</v>
      </c>
      <c r="B128" s="55" t="str">
        <f>HYPERLINK("https://jobright.ai/jobs/info/6696a6b44868e9a2bb35df5b?utm_campaign=1053&amp;utm_source=sheet", "Apply")</f>
        <v>Apply</v>
      </c>
      <c r="C128" s="10" t="s">
        <v>23543</v>
      </c>
      <c r="D128" s="56" t="s">
        <v>9914</v>
      </c>
      <c r="E128" s="10" t="s">
        <v>249</v>
      </c>
      <c r="F128" s="10" t="s">
        <v>3684</v>
      </c>
      <c r="G128" s="10" t="s">
        <v>8</v>
      </c>
      <c r="H128" s="10" t="s">
        <v>96</v>
      </c>
      <c r="I128" s="10" t="s">
        <v>55</v>
      </c>
      <c r="K128" s="10" t="s">
        <v>23363</v>
      </c>
      <c r="L128" s="10" t="s">
        <v>42</v>
      </c>
    </row>
    <row r="129" ht="15.75" customHeight="1">
      <c r="A129" s="64">
        <v>45489.0</v>
      </c>
      <c r="B129" s="55" t="str">
        <f>HYPERLINK("https://jobright.ai/jobs/info/66969a716df5fce96b1b68cb?utm_campaign=1053&amp;utm_source=sheet", "Apply")</f>
        <v>Apply</v>
      </c>
      <c r="C129" s="10" t="s">
        <v>4738</v>
      </c>
      <c r="D129" s="56" t="s">
        <v>23547</v>
      </c>
      <c r="E129" s="10" t="s">
        <v>71</v>
      </c>
      <c r="F129" s="10" t="s">
        <v>23548</v>
      </c>
      <c r="G129" s="10" t="s">
        <v>8</v>
      </c>
      <c r="H129" s="10" t="s">
        <v>96</v>
      </c>
      <c r="I129" s="10" t="s">
        <v>55</v>
      </c>
      <c r="J129" s="10" t="s">
        <v>1984</v>
      </c>
      <c r="K129" s="10" t="s">
        <v>23549</v>
      </c>
      <c r="L129" s="10" t="s">
        <v>42</v>
      </c>
    </row>
    <row r="130" ht="15.75" customHeight="1">
      <c r="A130" s="64">
        <v>45489.0</v>
      </c>
      <c r="B130" s="55" t="str">
        <f>HYPERLINK("https://jobright.ai/jobs/info/66968051112385b0a3644b02?utm_campaign=1053&amp;utm_source=sheet", "Apply")</f>
        <v>Apply</v>
      </c>
      <c r="C130" s="10" t="s">
        <v>23550</v>
      </c>
      <c r="D130" s="56" t="s">
        <v>357</v>
      </c>
      <c r="E130" s="10" t="s">
        <v>45</v>
      </c>
      <c r="F130" s="10" t="s">
        <v>358</v>
      </c>
      <c r="G130" s="10" t="s">
        <v>8</v>
      </c>
      <c r="H130" s="10" t="s">
        <v>359</v>
      </c>
      <c r="I130" s="10" t="s">
        <v>55</v>
      </c>
      <c r="K130" s="10" t="s">
        <v>23551</v>
      </c>
      <c r="L130" s="10" t="s">
        <v>42</v>
      </c>
    </row>
    <row r="131" ht="15.75" customHeight="1">
      <c r="A131" s="64">
        <v>45489.0</v>
      </c>
      <c r="B131" s="55" t="str">
        <f>HYPERLINK("https://jobright.ai/jobs/info/6695e1ef79a6d4c552903f9f?utm_campaign=1053&amp;utm_source=sheet", "Apply")</f>
        <v>Apply</v>
      </c>
      <c r="C131" s="10" t="s">
        <v>23552</v>
      </c>
      <c r="D131" s="56" t="s">
        <v>23553</v>
      </c>
      <c r="E131" s="10" t="s">
        <v>249</v>
      </c>
      <c r="F131" s="10" t="s">
        <v>23554</v>
      </c>
      <c r="G131" s="10" t="s">
        <v>8</v>
      </c>
      <c r="H131" s="10" t="s">
        <v>3674</v>
      </c>
      <c r="I131" s="10" t="s">
        <v>48</v>
      </c>
      <c r="J131" s="10" t="s">
        <v>1608</v>
      </c>
      <c r="K131" s="10" t="s">
        <v>23555</v>
      </c>
      <c r="L131" s="10" t="s">
        <v>42</v>
      </c>
    </row>
    <row r="132" ht="15.75" customHeight="1">
      <c r="A132" s="64">
        <v>45489.0</v>
      </c>
      <c r="B132" s="55" t="str">
        <f>HYPERLINK("https://jobright.ai/jobs/info/669706c402dfa1ba1c6ea3cd?utm_campaign=1053&amp;utm_source=sheet", "Apply")</f>
        <v>Apply</v>
      </c>
      <c r="C132" s="10" t="s">
        <v>23556</v>
      </c>
      <c r="D132" s="56" t="s">
        <v>1760</v>
      </c>
      <c r="E132" s="10" t="s">
        <v>71</v>
      </c>
      <c r="G132" s="10" t="s">
        <v>8</v>
      </c>
      <c r="H132" s="10" t="s">
        <v>152</v>
      </c>
      <c r="I132" s="10" t="s">
        <v>55</v>
      </c>
      <c r="J132" s="10" t="s">
        <v>1761</v>
      </c>
      <c r="K132" s="10" t="s">
        <v>23557</v>
      </c>
      <c r="L132" s="10" t="s">
        <v>42</v>
      </c>
    </row>
    <row r="133" ht="15.75" customHeight="1">
      <c r="A133" s="64">
        <v>45489.0</v>
      </c>
      <c r="B133" s="55" t="str">
        <f>HYPERLINK("https://jobright.ai/jobs/info/6696835705c27a1676102c6e?utm_campaign=1053&amp;utm_source=sheet", "Apply")</f>
        <v>Apply</v>
      </c>
      <c r="C133" s="10" t="s">
        <v>23535</v>
      </c>
      <c r="D133" s="56" t="s">
        <v>23536</v>
      </c>
      <c r="E133" s="10" t="s">
        <v>137</v>
      </c>
      <c r="F133" s="10" t="s">
        <v>23537</v>
      </c>
      <c r="G133" s="10" t="s">
        <v>8</v>
      </c>
      <c r="H133" s="10" t="s">
        <v>2388</v>
      </c>
      <c r="I133" s="10" t="s">
        <v>55</v>
      </c>
      <c r="K133" s="10" t="s">
        <v>23538</v>
      </c>
      <c r="L133" s="10" t="s">
        <v>42</v>
      </c>
    </row>
    <row r="134" ht="15.75" customHeight="1">
      <c r="A134" s="64">
        <v>45488.0</v>
      </c>
      <c r="B134" s="55" t="str">
        <f>HYPERLINK("https://jobright.ai/jobs/info/6695ad68558c6522864836ec?utm_campaign=1053&amp;utm_source=sheet", "Apply")</f>
        <v>Apply</v>
      </c>
      <c r="C134" s="10" t="s">
        <v>23558</v>
      </c>
      <c r="D134" s="56" t="s">
        <v>23559</v>
      </c>
      <c r="E134" s="10" t="s">
        <v>65</v>
      </c>
      <c r="F134" s="10" t="s">
        <v>14959</v>
      </c>
      <c r="G134" s="10" t="s">
        <v>8</v>
      </c>
      <c r="H134" s="10" t="s">
        <v>20020</v>
      </c>
      <c r="I134" s="10" t="s">
        <v>55</v>
      </c>
      <c r="K134" s="10" t="s">
        <v>23560</v>
      </c>
      <c r="L134" s="10" t="s">
        <v>42</v>
      </c>
    </row>
    <row r="135" ht="15.75" customHeight="1">
      <c r="A135" s="64">
        <v>45488.0</v>
      </c>
      <c r="B135" s="55" t="str">
        <f>HYPERLINK("https://jobright.ai/jobs/info/6695a3901b8cfc1943fa9c38?utm_campaign=1053&amp;utm_source=sheet", "Apply")</f>
        <v>Apply</v>
      </c>
      <c r="C135" s="10" t="s">
        <v>23265</v>
      </c>
      <c r="D135" s="56" t="s">
        <v>12683</v>
      </c>
      <c r="E135" s="10" t="s">
        <v>137</v>
      </c>
      <c r="F135" s="10" t="s">
        <v>12684</v>
      </c>
      <c r="G135" s="10" t="s">
        <v>8</v>
      </c>
      <c r="H135" s="10" t="s">
        <v>3271</v>
      </c>
      <c r="I135" s="10" t="s">
        <v>55</v>
      </c>
      <c r="K135" s="10" t="s">
        <v>23561</v>
      </c>
      <c r="L135" s="10" t="s">
        <v>42</v>
      </c>
    </row>
    <row r="136" ht="15.75" customHeight="1">
      <c r="A136" s="64">
        <v>45488.0</v>
      </c>
      <c r="B136" s="55" t="str">
        <f>HYPERLINK("https://jobright.ai/jobs/info/6695a0e8c508bc0fadf565ee?utm_campaign=1053&amp;utm_source=sheet", "Apply")</f>
        <v>Apply</v>
      </c>
      <c r="C136" s="10" t="s">
        <v>23558</v>
      </c>
      <c r="D136" s="56" t="s">
        <v>23562</v>
      </c>
      <c r="E136" s="10" t="s">
        <v>249</v>
      </c>
      <c r="F136" s="10" t="s">
        <v>23563</v>
      </c>
      <c r="G136" s="10" t="s">
        <v>8</v>
      </c>
      <c r="H136" s="10" t="s">
        <v>20020</v>
      </c>
      <c r="I136" s="10" t="s">
        <v>55</v>
      </c>
      <c r="K136" s="10" t="s">
        <v>23560</v>
      </c>
      <c r="L136" s="10" t="s">
        <v>42</v>
      </c>
    </row>
    <row r="137" ht="15.75" customHeight="1">
      <c r="A137" s="64">
        <v>45488.0</v>
      </c>
      <c r="B137" s="55" t="str">
        <f>HYPERLINK("https://jobright.ai/jobs/info/6692a3185ca318504d202423?utm_campaign=1053&amp;utm_source=sheet", "Apply")</f>
        <v>Apply</v>
      </c>
      <c r="C137" s="10" t="s">
        <v>23564</v>
      </c>
      <c r="D137" s="56" t="s">
        <v>15387</v>
      </c>
      <c r="E137" s="10" t="s">
        <v>209</v>
      </c>
      <c r="F137" s="10" t="s">
        <v>15388</v>
      </c>
      <c r="G137" s="10" t="s">
        <v>8</v>
      </c>
      <c r="H137" s="10" t="s">
        <v>856</v>
      </c>
      <c r="I137" s="10" t="s">
        <v>55</v>
      </c>
      <c r="J137" s="10" t="s">
        <v>15389</v>
      </c>
      <c r="K137" s="10" t="s">
        <v>23287</v>
      </c>
      <c r="L137" s="10" t="s">
        <v>42</v>
      </c>
    </row>
    <row r="138" ht="15.75" customHeight="1">
      <c r="A138" s="64">
        <v>45488.0</v>
      </c>
      <c r="B138" s="55" t="str">
        <f>HYPERLINK("https://jobright.ai/jobs/info/66956c31fd8e5a557d951dce?utm_campaign=1053&amp;utm_source=sheet", "Apply")</f>
        <v>Apply</v>
      </c>
      <c r="C138" s="10" t="s">
        <v>23565</v>
      </c>
      <c r="D138" s="56" t="s">
        <v>23566</v>
      </c>
      <c r="E138" s="10">
        <v>11.0</v>
      </c>
      <c r="G138" s="10" t="s">
        <v>8</v>
      </c>
      <c r="H138" s="10" t="s">
        <v>3674</v>
      </c>
      <c r="I138" s="10" t="s">
        <v>55</v>
      </c>
      <c r="K138" s="10" t="s">
        <v>23567</v>
      </c>
      <c r="L138" s="10" t="s">
        <v>42</v>
      </c>
    </row>
    <row r="139" ht="15.75" customHeight="1">
      <c r="A139" s="64">
        <v>45488.0</v>
      </c>
      <c r="B139" s="55" t="str">
        <f>HYPERLINK("https://jobright.ai/jobs/info/669545827967ed876069f3af?utm_campaign=1053&amp;utm_source=sheet", "Apply")</f>
        <v>Apply</v>
      </c>
      <c r="C139" s="10" t="s">
        <v>23568</v>
      </c>
      <c r="D139" s="56" t="s">
        <v>16419</v>
      </c>
      <c r="E139" s="10" t="s">
        <v>45</v>
      </c>
      <c r="F139" s="10" t="s">
        <v>12539</v>
      </c>
      <c r="G139" s="10" t="s">
        <v>8</v>
      </c>
      <c r="H139" s="10" t="s">
        <v>106</v>
      </c>
      <c r="I139" s="10" t="s">
        <v>55</v>
      </c>
      <c r="K139" s="10" t="s">
        <v>23430</v>
      </c>
      <c r="L139" s="10" t="s">
        <v>42</v>
      </c>
    </row>
    <row r="140" ht="15.75" customHeight="1">
      <c r="A140" s="64">
        <v>45487.0</v>
      </c>
      <c r="B140" s="55" t="str">
        <f>HYPERLINK("https://jobright.ai/jobs/info/662943f08794757f8fa41cd6?utm_campaign=1053&amp;utm_source=sheet", "Apply")</f>
        <v>Apply</v>
      </c>
      <c r="C140" s="10" t="s">
        <v>23569</v>
      </c>
      <c r="D140" s="56" t="s">
        <v>23570</v>
      </c>
      <c r="E140" s="10">
        <v>1104.0</v>
      </c>
      <c r="G140" s="10" t="s">
        <v>8</v>
      </c>
      <c r="H140" s="10" t="s">
        <v>139</v>
      </c>
      <c r="I140" s="10" t="s">
        <v>55</v>
      </c>
      <c r="K140" s="10" t="s">
        <v>23571</v>
      </c>
      <c r="L140" s="10" t="s">
        <v>42</v>
      </c>
    </row>
    <row r="141" ht="15.75" customHeight="1">
      <c r="A141" s="64">
        <v>45487.0</v>
      </c>
      <c r="B141" s="55" t="str">
        <f>HYPERLINK("https://jobright.ai/jobs/info/6679731f8f20c6df6b89986f?utm_campaign=1053&amp;utm_source=sheet", "Apply")</f>
        <v>Apply</v>
      </c>
      <c r="C141" s="10" t="s">
        <v>23572</v>
      </c>
      <c r="D141" s="56" t="s">
        <v>23573</v>
      </c>
      <c r="E141" s="10">
        <v>96.0</v>
      </c>
      <c r="G141" s="10" t="s">
        <v>8</v>
      </c>
      <c r="H141" s="10" t="s">
        <v>170</v>
      </c>
      <c r="I141" s="10" t="s">
        <v>55</v>
      </c>
      <c r="K141" s="10" t="s">
        <v>23574</v>
      </c>
      <c r="L141" s="10" t="s">
        <v>42</v>
      </c>
    </row>
    <row r="142" ht="15.75" customHeight="1">
      <c r="A142" s="64">
        <v>45487.0</v>
      </c>
      <c r="B142" s="55" t="str">
        <f>HYPERLINK("https://jobright.ai/jobs/info/6676d87c4ffdc62f7b679998?utm_campaign=1053&amp;utm_source=sheet", "Apply")</f>
        <v>Apply</v>
      </c>
      <c r="C142" s="10" t="s">
        <v>23575</v>
      </c>
      <c r="D142" s="56" t="s">
        <v>20660</v>
      </c>
      <c r="E142" s="10" t="s">
        <v>209</v>
      </c>
      <c r="F142" s="10" t="s">
        <v>19187</v>
      </c>
      <c r="G142" s="10" t="s">
        <v>8</v>
      </c>
      <c r="H142" s="10" t="s">
        <v>139</v>
      </c>
      <c r="I142" s="10" t="s">
        <v>55</v>
      </c>
      <c r="K142" s="10" t="s">
        <v>23576</v>
      </c>
      <c r="L142" s="10" t="s">
        <v>42</v>
      </c>
    </row>
    <row r="143" ht="15.75" customHeight="1">
      <c r="A143" s="64">
        <v>45487.0</v>
      </c>
      <c r="B143" s="55" t="str">
        <f>HYPERLINK("https://jobright.ai/jobs/info/664e10ef10b4f1df29982cb3?utm_campaign=1053&amp;utm_source=sheet", "Apply")</f>
        <v>Apply</v>
      </c>
      <c r="C143" s="10" t="s">
        <v>23577</v>
      </c>
      <c r="D143" s="56" t="s">
        <v>20660</v>
      </c>
      <c r="E143" s="10" t="s">
        <v>209</v>
      </c>
      <c r="F143" s="10" t="s">
        <v>19187</v>
      </c>
      <c r="G143" s="10" t="s">
        <v>8</v>
      </c>
      <c r="H143" s="10" t="s">
        <v>153</v>
      </c>
      <c r="I143" s="10" t="s">
        <v>55</v>
      </c>
      <c r="K143" s="10" t="s">
        <v>23578</v>
      </c>
      <c r="L143" s="10" t="s">
        <v>42</v>
      </c>
    </row>
    <row r="144" ht="15.75" customHeight="1">
      <c r="A144" s="64">
        <v>45487.0</v>
      </c>
      <c r="B144" s="55" t="str">
        <f>HYPERLINK("https://jobright.ai/jobs/info/6676c62d807f31af72076d4f?utm_campaign=1053&amp;utm_source=sheet", "Apply")</f>
        <v>Apply</v>
      </c>
      <c r="C144" s="10" t="s">
        <v>23579</v>
      </c>
      <c r="D144" s="56" t="s">
        <v>20660</v>
      </c>
      <c r="E144" s="10" t="s">
        <v>209</v>
      </c>
      <c r="F144" s="10" t="s">
        <v>19187</v>
      </c>
      <c r="G144" s="10" t="s">
        <v>8</v>
      </c>
      <c r="H144" s="10" t="s">
        <v>3253</v>
      </c>
      <c r="I144" s="10" t="s">
        <v>55</v>
      </c>
      <c r="K144" s="10" t="s">
        <v>23576</v>
      </c>
      <c r="L144" s="10" t="s">
        <v>42</v>
      </c>
    </row>
    <row r="145" ht="15.75" customHeight="1">
      <c r="A145" s="64">
        <v>45487.0</v>
      </c>
      <c r="B145" s="55" t="str">
        <f>HYPERLINK("https://jobright.ai/jobs/info/669365240cb61d2df685e27a?utm_campaign=1053&amp;utm_source=sheet", "Apply")</f>
        <v>Apply</v>
      </c>
      <c r="C145" s="10" t="s">
        <v>23296</v>
      </c>
      <c r="D145" s="56" t="s">
        <v>7209</v>
      </c>
      <c r="E145" s="10" t="s">
        <v>45</v>
      </c>
      <c r="F145" s="10" t="s">
        <v>7210</v>
      </c>
      <c r="G145" s="10" t="s">
        <v>8</v>
      </c>
      <c r="H145" s="10" t="s">
        <v>14742</v>
      </c>
      <c r="I145" s="10" t="s">
        <v>55</v>
      </c>
      <c r="K145" s="10" t="s">
        <v>23580</v>
      </c>
      <c r="L145" s="10" t="s">
        <v>42</v>
      </c>
    </row>
    <row r="146" ht="15.75" customHeight="1">
      <c r="A146" s="64">
        <v>45486.0</v>
      </c>
      <c r="B146" s="55" t="str">
        <f>HYPERLINK("https://jobright.ai/jobs/info/669ba12bcb0a9b5c47de816f?utm_campaign=1053&amp;utm_source=sheet", "Apply")</f>
        <v>Apply</v>
      </c>
      <c r="C146" s="10" t="s">
        <v>23581</v>
      </c>
      <c r="D146" s="56" t="s">
        <v>17518</v>
      </c>
      <c r="E146" s="10" t="s">
        <v>45</v>
      </c>
      <c r="F146" s="10" t="s">
        <v>2319</v>
      </c>
      <c r="G146" s="10" t="s">
        <v>8</v>
      </c>
      <c r="H146" s="10" t="s">
        <v>575</v>
      </c>
      <c r="I146" s="10" t="s">
        <v>55</v>
      </c>
      <c r="J146" s="10" t="s">
        <v>1761</v>
      </c>
      <c r="K146" s="10" t="s">
        <v>23582</v>
      </c>
      <c r="L146" s="10" t="s">
        <v>42</v>
      </c>
    </row>
    <row r="147" ht="15.75" customHeight="1">
      <c r="A147" s="64">
        <v>45486.0</v>
      </c>
      <c r="B147" s="55" t="str">
        <f>HYPERLINK("https://jobright.ai/jobs/info/6693b635a955ace455aa3bbf?utm_campaign=1053&amp;utm_source=sheet", "Apply")</f>
        <v>Apply</v>
      </c>
      <c r="C147" s="10" t="s">
        <v>23583</v>
      </c>
      <c r="D147" s="56" t="s">
        <v>5980</v>
      </c>
      <c r="E147" s="10" t="s">
        <v>65</v>
      </c>
      <c r="F147" s="10" t="s">
        <v>2119</v>
      </c>
      <c r="G147" s="10" t="s">
        <v>8</v>
      </c>
      <c r="H147" s="10" t="s">
        <v>974</v>
      </c>
      <c r="I147" s="10" t="s">
        <v>55</v>
      </c>
      <c r="J147" s="10" t="s">
        <v>23584</v>
      </c>
      <c r="K147" s="10" t="s">
        <v>23585</v>
      </c>
      <c r="L147" s="10" t="s">
        <v>42</v>
      </c>
    </row>
    <row r="148" ht="15.75" customHeight="1">
      <c r="A148" s="64">
        <v>45486.0</v>
      </c>
      <c r="B148" s="55" t="str">
        <f>HYPERLINK("https://jobright.ai/jobs/info/66740eef5ff28865e7a710f7?utm_campaign=1053&amp;utm_source=sheet", "Apply")</f>
        <v>Apply</v>
      </c>
      <c r="C148" s="10" t="s">
        <v>23586</v>
      </c>
      <c r="D148" s="56" t="s">
        <v>14437</v>
      </c>
      <c r="E148" s="10">
        <v>150.0</v>
      </c>
      <c r="G148" s="10" t="s">
        <v>8</v>
      </c>
      <c r="H148" s="10" t="s">
        <v>6620</v>
      </c>
      <c r="I148" s="10" t="s">
        <v>48</v>
      </c>
      <c r="K148" s="10" t="s">
        <v>7614</v>
      </c>
      <c r="L148" s="10" t="s">
        <v>42</v>
      </c>
    </row>
    <row r="149" ht="15.75" customHeight="1">
      <c r="A149" s="64">
        <v>45486.0</v>
      </c>
      <c r="B149" s="55" t="str">
        <f>HYPERLINK("https://jobright.ai/jobs/info/664eb183cd9154b3e6012c0b?utm_campaign=1053&amp;utm_source=sheet", "Apply")</f>
        <v>Apply</v>
      </c>
      <c r="C149" s="10" t="s">
        <v>23587</v>
      </c>
      <c r="D149" s="56" t="s">
        <v>23573</v>
      </c>
      <c r="E149" s="10">
        <v>96.0</v>
      </c>
      <c r="G149" s="10" t="s">
        <v>8</v>
      </c>
      <c r="H149" s="10" t="s">
        <v>170</v>
      </c>
      <c r="I149" s="10" t="s">
        <v>55</v>
      </c>
      <c r="K149" s="10" t="s">
        <v>23588</v>
      </c>
      <c r="L149" s="10" t="s">
        <v>42</v>
      </c>
    </row>
    <row r="150" ht="15.75" customHeight="1">
      <c r="A150" s="64">
        <v>45486.0</v>
      </c>
      <c r="B150" s="55" t="str">
        <f>HYPERLINK("https://jobright.ai/jobs/info/664e10a710b4f1df299825f8?utm_campaign=1053&amp;utm_source=sheet", "Apply")</f>
        <v>Apply</v>
      </c>
      <c r="C150" s="10" t="s">
        <v>23589</v>
      </c>
      <c r="D150" s="56" t="s">
        <v>23590</v>
      </c>
      <c r="E150" s="10" t="s">
        <v>137</v>
      </c>
      <c r="G150" s="10" t="s">
        <v>8</v>
      </c>
      <c r="H150" s="10" t="s">
        <v>974</v>
      </c>
      <c r="I150" s="10" t="s">
        <v>55</v>
      </c>
      <c r="K150" s="10" t="s">
        <v>23591</v>
      </c>
      <c r="L150" s="10" t="s">
        <v>42</v>
      </c>
    </row>
    <row r="151" ht="15.75" customHeight="1">
      <c r="A151" s="64">
        <v>45486.0</v>
      </c>
      <c r="B151" s="55" t="str">
        <f>HYPERLINK("https://jobright.ai/jobs/info/664defb5cf7bdc8f73b3c78e?utm_campaign=1053&amp;utm_source=sheet", "Apply")</f>
        <v>Apply</v>
      </c>
      <c r="C151" s="10" t="s">
        <v>23329</v>
      </c>
      <c r="D151" s="56" t="s">
        <v>7209</v>
      </c>
      <c r="E151" s="10" t="s">
        <v>45</v>
      </c>
      <c r="F151" s="10" t="s">
        <v>7210</v>
      </c>
      <c r="G151" s="10" t="s">
        <v>8</v>
      </c>
      <c r="H151" s="10" t="s">
        <v>843</v>
      </c>
      <c r="I151" s="10" t="s">
        <v>48</v>
      </c>
      <c r="K151" s="10" t="s">
        <v>23592</v>
      </c>
      <c r="L151" s="10" t="s">
        <v>42</v>
      </c>
    </row>
    <row r="152" ht="15.75" customHeight="1">
      <c r="A152" s="64">
        <v>45486.0</v>
      </c>
      <c r="B152" s="55" t="str">
        <f>HYPERLINK("https://jobright.ai/jobs/info/66548517dc70ef329d820087?utm_campaign=1053&amp;utm_source=sheet", "Apply")</f>
        <v>Apply</v>
      </c>
      <c r="C152" s="10" t="s">
        <v>23593</v>
      </c>
      <c r="D152" s="56" t="s">
        <v>23594</v>
      </c>
      <c r="E152" s="59">
        <v>45301.0</v>
      </c>
      <c r="F152" s="10" t="s">
        <v>17478</v>
      </c>
      <c r="G152" s="10" t="s">
        <v>8</v>
      </c>
      <c r="H152" s="10" t="s">
        <v>832</v>
      </c>
      <c r="I152" s="10" t="s">
        <v>55</v>
      </c>
      <c r="K152" s="10" t="s">
        <v>23595</v>
      </c>
      <c r="L152" s="10" t="s">
        <v>42</v>
      </c>
    </row>
    <row r="153" ht="15.75" customHeight="1">
      <c r="A153" s="64">
        <v>45486.0</v>
      </c>
      <c r="B153" s="55" t="str">
        <f>HYPERLINK("https://jobright.ai/jobs/info/664e513bc0761b8d87f7cb08?utm_campaign=1053&amp;utm_source=sheet", "Apply")</f>
        <v>Apply</v>
      </c>
      <c r="C153" s="10" t="s">
        <v>23296</v>
      </c>
      <c r="D153" s="56" t="s">
        <v>5165</v>
      </c>
      <c r="E153" s="10" t="s">
        <v>209</v>
      </c>
      <c r="F153" s="10" t="s">
        <v>5166</v>
      </c>
      <c r="G153" s="10" t="s">
        <v>8</v>
      </c>
      <c r="H153" s="10" t="s">
        <v>11767</v>
      </c>
      <c r="I153" s="10" t="s">
        <v>55</v>
      </c>
      <c r="K153" s="10" t="s">
        <v>23596</v>
      </c>
      <c r="L153" s="10" t="s">
        <v>42</v>
      </c>
    </row>
    <row r="154" ht="15.75" customHeight="1">
      <c r="A154" s="64">
        <v>45486.0</v>
      </c>
      <c r="B154" s="55" t="str">
        <f>HYPERLINK("https://jobright.ai/jobs/info/65944c2da79a2611e22ae1fc?utm_campaign=1053&amp;utm_source=sheet", "Apply")</f>
        <v>Apply</v>
      </c>
      <c r="C154" s="10" t="s">
        <v>23597</v>
      </c>
      <c r="D154" s="56" t="s">
        <v>23598</v>
      </c>
      <c r="E154" s="10" t="s">
        <v>45</v>
      </c>
      <c r="F154" s="10" t="s">
        <v>12539</v>
      </c>
      <c r="G154" s="10" t="s">
        <v>8</v>
      </c>
      <c r="H154" s="10" t="s">
        <v>1033</v>
      </c>
      <c r="I154" s="10" t="s">
        <v>55</v>
      </c>
      <c r="J154" s="10" t="s">
        <v>23599</v>
      </c>
      <c r="K154" s="10" t="s">
        <v>23600</v>
      </c>
      <c r="L154" s="10" t="s">
        <v>42</v>
      </c>
    </row>
    <row r="155" ht="15.75" customHeight="1">
      <c r="A155" s="64">
        <v>45486.0</v>
      </c>
      <c r="B155" s="55" t="str">
        <f>HYPERLINK("https://jobright.ai/jobs/info/664e2071b45b688e7b70fba9?utm_campaign=1053&amp;utm_source=sheet", "Apply")</f>
        <v>Apply</v>
      </c>
      <c r="C155" s="10" t="s">
        <v>23601</v>
      </c>
      <c r="D155" s="56" t="s">
        <v>7209</v>
      </c>
      <c r="E155" s="10" t="s">
        <v>45</v>
      </c>
      <c r="F155" s="10" t="s">
        <v>7210</v>
      </c>
      <c r="G155" s="10" t="s">
        <v>8</v>
      </c>
      <c r="H155" s="10" t="s">
        <v>232</v>
      </c>
      <c r="I155" s="10" t="s">
        <v>55</v>
      </c>
      <c r="J155" s="10" t="s">
        <v>1409</v>
      </c>
      <c r="K155" s="10" t="s">
        <v>23602</v>
      </c>
      <c r="L155" s="10" t="s">
        <v>42</v>
      </c>
    </row>
    <row r="156" ht="15.75" customHeight="1">
      <c r="A156" s="64">
        <v>45486.0</v>
      </c>
      <c r="B156" s="55" t="str">
        <f>HYPERLINK("https://jobright.ai/jobs/info/664e0015d79e0cf7655015a9?utm_campaign=1053&amp;utm_source=sheet", "Apply")</f>
        <v>Apply</v>
      </c>
      <c r="C156" s="10" t="s">
        <v>23296</v>
      </c>
      <c r="D156" s="56" t="s">
        <v>7209</v>
      </c>
      <c r="E156" s="10" t="s">
        <v>45</v>
      </c>
      <c r="F156" s="10" t="s">
        <v>7210</v>
      </c>
      <c r="G156" s="10" t="s">
        <v>8</v>
      </c>
      <c r="H156" s="10" t="s">
        <v>14742</v>
      </c>
      <c r="I156" s="10" t="s">
        <v>55</v>
      </c>
      <c r="K156" s="10" t="s">
        <v>23580</v>
      </c>
      <c r="L156" s="10" t="s">
        <v>42</v>
      </c>
    </row>
    <row r="157" ht="15.75" customHeight="1">
      <c r="A157" s="64">
        <v>45486.0</v>
      </c>
      <c r="B157" s="55" t="str">
        <f>HYPERLINK("https://jobright.ai/jobs/info/65fa3bbf188ffb258a537907?utm_campaign=1053&amp;utm_source=sheet", "Apply")</f>
        <v>Apply</v>
      </c>
      <c r="C157" s="10" t="s">
        <v>23603</v>
      </c>
      <c r="D157" s="56" t="s">
        <v>23604</v>
      </c>
      <c r="E157" s="10" t="s">
        <v>65</v>
      </c>
      <c r="F157" s="10" t="s">
        <v>23605</v>
      </c>
      <c r="G157" s="10" t="s">
        <v>8</v>
      </c>
      <c r="H157" s="10" t="s">
        <v>188</v>
      </c>
      <c r="I157" s="10" t="s">
        <v>55</v>
      </c>
      <c r="J157" s="10" t="s">
        <v>23606</v>
      </c>
      <c r="K157" s="10" t="s">
        <v>23607</v>
      </c>
      <c r="L157" s="10" t="s">
        <v>42</v>
      </c>
    </row>
    <row r="158" ht="15.75" customHeight="1">
      <c r="A158" s="64">
        <v>45486.0</v>
      </c>
      <c r="B158" s="55" t="str">
        <f>HYPERLINK("https://jobright.ai/jobs/info/6676dd1752e59db0b1bd5a90?utm_campaign=1053&amp;utm_source=sheet", "Apply")</f>
        <v>Apply</v>
      </c>
      <c r="C158" s="10" t="s">
        <v>23296</v>
      </c>
      <c r="D158" s="56" t="s">
        <v>5165</v>
      </c>
      <c r="E158" s="10" t="s">
        <v>209</v>
      </c>
      <c r="F158" s="10" t="s">
        <v>5166</v>
      </c>
      <c r="G158" s="10" t="s">
        <v>8</v>
      </c>
      <c r="H158" s="10" t="s">
        <v>11046</v>
      </c>
      <c r="I158" s="10" t="s">
        <v>55</v>
      </c>
      <c r="K158" s="10" t="s">
        <v>23608</v>
      </c>
      <c r="L158" s="10" t="s">
        <v>42</v>
      </c>
    </row>
    <row r="159" ht="15.75" customHeight="1">
      <c r="A159" s="64">
        <v>45486.0</v>
      </c>
      <c r="B159" s="55" t="str">
        <f>HYPERLINK("https://jobright.ai/jobs/info/6625563505135b90cc7ecaa1?utm_campaign=1053&amp;utm_source=sheet", "Apply")</f>
        <v>Apply</v>
      </c>
      <c r="C159" s="10" t="s">
        <v>23609</v>
      </c>
      <c r="D159" s="56" t="s">
        <v>5165</v>
      </c>
      <c r="E159" s="10" t="s">
        <v>209</v>
      </c>
      <c r="F159" s="10" t="s">
        <v>5166</v>
      </c>
      <c r="G159" s="10" t="s">
        <v>8</v>
      </c>
      <c r="H159" s="10" t="s">
        <v>882</v>
      </c>
      <c r="I159" s="10" t="s">
        <v>55</v>
      </c>
      <c r="K159" s="10" t="s">
        <v>23610</v>
      </c>
      <c r="L159" s="10" t="s">
        <v>42</v>
      </c>
    </row>
    <row r="160" ht="15.75" customHeight="1">
      <c r="A160" s="64">
        <v>45486.0</v>
      </c>
      <c r="B160" s="55" t="str">
        <f>HYPERLINK("https://jobright.ai/jobs/info/6675f2f72617111d53a43df5?utm_campaign=1053&amp;utm_source=sheet", "Apply")</f>
        <v>Apply</v>
      </c>
      <c r="C160" s="10" t="s">
        <v>23296</v>
      </c>
      <c r="D160" s="56" t="s">
        <v>5165</v>
      </c>
      <c r="E160" s="10" t="s">
        <v>209</v>
      </c>
      <c r="F160" s="10" t="s">
        <v>5166</v>
      </c>
      <c r="G160" s="10" t="s">
        <v>8</v>
      </c>
      <c r="H160" s="10" t="s">
        <v>3482</v>
      </c>
      <c r="I160" s="10" t="s">
        <v>48</v>
      </c>
      <c r="K160" s="10" t="s">
        <v>23611</v>
      </c>
      <c r="L160" s="10" t="s">
        <v>42</v>
      </c>
    </row>
    <row r="161" ht="15.75" customHeight="1">
      <c r="A161" s="64">
        <v>45486.0</v>
      </c>
      <c r="B161" s="55" t="str">
        <f>HYPERLINK("https://jobright.ai/jobs/info/66855d5b3bcb9414902c9b5c?utm_campaign=1053&amp;utm_source=sheet", "Apply")</f>
        <v>Apply</v>
      </c>
      <c r="C161" s="10" t="s">
        <v>23612</v>
      </c>
      <c r="D161" s="56" t="s">
        <v>7209</v>
      </c>
      <c r="E161" s="10" t="s">
        <v>45</v>
      </c>
      <c r="F161" s="10" t="s">
        <v>7210</v>
      </c>
      <c r="G161" s="10" t="s">
        <v>8</v>
      </c>
      <c r="H161" s="10" t="s">
        <v>924</v>
      </c>
      <c r="I161" s="10" t="s">
        <v>55</v>
      </c>
      <c r="K161" s="10" t="s">
        <v>23613</v>
      </c>
      <c r="L161" s="10" t="s">
        <v>42</v>
      </c>
    </row>
    <row r="162" ht="15.75" customHeight="1">
      <c r="A162" s="64">
        <v>45486.0</v>
      </c>
      <c r="B162" s="55" t="str">
        <f>HYPERLINK("https://jobright.ai/jobs/info/669111732cfdcaa4f7cf8c93?utm_campaign=1053&amp;utm_source=sheet", "Apply")</f>
        <v>Apply</v>
      </c>
      <c r="C162" s="10" t="s">
        <v>23614</v>
      </c>
      <c r="D162" s="56" t="s">
        <v>5165</v>
      </c>
      <c r="E162" s="10" t="s">
        <v>209</v>
      </c>
      <c r="F162" s="10" t="s">
        <v>5166</v>
      </c>
      <c r="G162" s="10" t="s">
        <v>8</v>
      </c>
      <c r="H162" s="10" t="s">
        <v>636</v>
      </c>
      <c r="I162" s="10" t="s">
        <v>55</v>
      </c>
      <c r="K162" s="10" t="s">
        <v>23615</v>
      </c>
      <c r="L162" s="10" t="s">
        <v>42</v>
      </c>
    </row>
    <row r="163" ht="15.75" customHeight="1">
      <c r="A163" s="64">
        <v>45486.0</v>
      </c>
      <c r="B163" s="55" t="str">
        <f>HYPERLINK("https://jobright.ai/jobs/info/6662a6e9b94cf507771383cf?utm_campaign=1053&amp;utm_source=sheet", "Apply")</f>
        <v>Apply</v>
      </c>
      <c r="C163" s="10" t="s">
        <v>23616</v>
      </c>
      <c r="D163" s="56" t="s">
        <v>23617</v>
      </c>
      <c r="E163" s="10" t="s">
        <v>79</v>
      </c>
      <c r="F163" s="10" t="s">
        <v>1506</v>
      </c>
      <c r="G163" s="10" t="s">
        <v>8</v>
      </c>
      <c r="H163" s="10" t="s">
        <v>165</v>
      </c>
      <c r="I163" s="10" t="s">
        <v>55</v>
      </c>
      <c r="J163" s="10" t="s">
        <v>1960</v>
      </c>
      <c r="K163" s="10" t="s">
        <v>23618</v>
      </c>
      <c r="L163" s="10" t="s">
        <v>42</v>
      </c>
    </row>
    <row r="164" ht="15.75" customHeight="1">
      <c r="A164" s="64">
        <v>45485.0</v>
      </c>
      <c r="B164" s="55" t="str">
        <f>HYPERLINK("https://jobright.ai/jobs/info/6690acf1714748cce6c36f4b?utm_campaign=1053&amp;utm_source=sheet", "Apply")</f>
        <v>Apply</v>
      </c>
      <c r="C164" s="10" t="s">
        <v>14282</v>
      </c>
      <c r="D164" s="56" t="s">
        <v>23619</v>
      </c>
      <c r="E164" s="10" t="s">
        <v>137</v>
      </c>
      <c r="F164" s="10" t="s">
        <v>1506</v>
      </c>
      <c r="G164" s="10" t="s">
        <v>8</v>
      </c>
      <c r="H164" s="10" t="s">
        <v>3674</v>
      </c>
      <c r="I164" s="10" t="s">
        <v>55</v>
      </c>
      <c r="J164" s="10" t="s">
        <v>1984</v>
      </c>
      <c r="K164" s="10" t="s">
        <v>23620</v>
      </c>
      <c r="L164" s="10" t="s">
        <v>42</v>
      </c>
    </row>
    <row r="165" ht="15.75" customHeight="1">
      <c r="A165" s="64">
        <v>45485.0</v>
      </c>
      <c r="B165" s="55" t="str">
        <f>HYPERLINK("https://jobright.ai/jobs/info/669198aeb4b5a4f81c499ba3?utm_campaign=1053&amp;utm_source=sheet", "Apply")</f>
        <v>Apply</v>
      </c>
      <c r="C165" s="10" t="s">
        <v>23492</v>
      </c>
      <c r="D165" s="56" t="s">
        <v>95</v>
      </c>
      <c r="E165" s="10">
        <v>52.0</v>
      </c>
      <c r="G165" s="10" t="s">
        <v>8</v>
      </c>
      <c r="H165" s="10" t="s">
        <v>815</v>
      </c>
      <c r="I165" s="10" t="s">
        <v>55</v>
      </c>
      <c r="K165" s="10" t="s">
        <v>23493</v>
      </c>
      <c r="L165" s="10" t="s">
        <v>42</v>
      </c>
    </row>
    <row r="166" ht="15.75" customHeight="1">
      <c r="A166" s="64">
        <v>45485.0</v>
      </c>
      <c r="B166" s="55" t="str">
        <f>HYPERLINK("https://jobright.ai/jobs/info/6691a36d4c7d2eb620a7c02b?utm_campaign=1053&amp;utm_source=sheet", "Apply")</f>
        <v>Apply</v>
      </c>
      <c r="C166" s="10" t="s">
        <v>23492</v>
      </c>
      <c r="D166" s="56" t="s">
        <v>95</v>
      </c>
      <c r="E166" s="10">
        <v>52.0</v>
      </c>
      <c r="G166" s="10" t="s">
        <v>8</v>
      </c>
      <c r="H166" s="10" t="s">
        <v>7690</v>
      </c>
      <c r="I166" s="10" t="s">
        <v>55</v>
      </c>
      <c r="K166" s="10" t="s">
        <v>23493</v>
      </c>
      <c r="L166" s="10" t="s">
        <v>42</v>
      </c>
    </row>
    <row r="167" ht="15.75" customHeight="1">
      <c r="A167" s="64">
        <v>45485.0</v>
      </c>
      <c r="B167" s="55" t="str">
        <f>HYPERLINK("https://jobright.ai/jobs/info/6691897fac10c1640df70bef?utm_campaign=1053&amp;utm_source=sheet", "Apply")</f>
        <v>Apply</v>
      </c>
      <c r="C167" s="10" t="s">
        <v>23492</v>
      </c>
      <c r="D167" s="56" t="s">
        <v>95</v>
      </c>
      <c r="E167" s="10">
        <v>52.0</v>
      </c>
      <c r="G167" s="10" t="s">
        <v>8</v>
      </c>
      <c r="H167" s="10" t="s">
        <v>807</v>
      </c>
      <c r="I167" s="10" t="s">
        <v>55</v>
      </c>
      <c r="K167" s="10" t="s">
        <v>23493</v>
      </c>
      <c r="L167" s="10" t="s">
        <v>42</v>
      </c>
    </row>
    <row r="168" ht="15.75" customHeight="1">
      <c r="A168" s="64">
        <v>45485.0</v>
      </c>
      <c r="B168" s="55" t="str">
        <f>HYPERLINK("https://jobright.ai/jobs/info/6691897fac10c1640df70bf0?utm_campaign=1053&amp;utm_source=sheet", "Apply")</f>
        <v>Apply</v>
      </c>
      <c r="C168" s="10" t="s">
        <v>23492</v>
      </c>
      <c r="D168" s="56" t="s">
        <v>95</v>
      </c>
      <c r="E168" s="10">
        <v>52.0</v>
      </c>
      <c r="G168" s="10" t="s">
        <v>8</v>
      </c>
      <c r="H168" s="10" t="s">
        <v>1014</v>
      </c>
      <c r="I168" s="10" t="s">
        <v>55</v>
      </c>
      <c r="K168" s="10" t="s">
        <v>23493</v>
      </c>
      <c r="L168" s="10" t="s">
        <v>42</v>
      </c>
    </row>
    <row r="169" ht="15.75" customHeight="1">
      <c r="A169" s="64">
        <v>45485.0</v>
      </c>
      <c r="B169" s="55" t="str">
        <f>HYPERLINK("https://jobright.ai/jobs/info/6691897fac10c1640df70bf1?utm_campaign=1053&amp;utm_source=sheet", "Apply")</f>
        <v>Apply</v>
      </c>
      <c r="C169" s="10" t="s">
        <v>23492</v>
      </c>
      <c r="D169" s="56" t="s">
        <v>95</v>
      </c>
      <c r="E169" s="10">
        <v>52.0</v>
      </c>
      <c r="G169" s="10" t="s">
        <v>8</v>
      </c>
      <c r="H169" s="10" t="s">
        <v>877</v>
      </c>
      <c r="I169" s="10" t="s">
        <v>55</v>
      </c>
      <c r="K169" s="10" t="s">
        <v>23493</v>
      </c>
      <c r="L169" s="10" t="s">
        <v>42</v>
      </c>
    </row>
    <row r="170" ht="15.75" customHeight="1">
      <c r="A170" s="64">
        <v>45485.0</v>
      </c>
      <c r="B170" s="55" t="str">
        <f>HYPERLINK("https://jobright.ai/jobs/info/6691897fac10c1640df70bf2?utm_campaign=1053&amp;utm_source=sheet", "Apply")</f>
        <v>Apply</v>
      </c>
      <c r="C170" s="10" t="s">
        <v>23492</v>
      </c>
      <c r="D170" s="56" t="s">
        <v>95</v>
      </c>
      <c r="E170" s="10">
        <v>52.0</v>
      </c>
      <c r="G170" s="10" t="s">
        <v>8</v>
      </c>
      <c r="H170" s="10" t="s">
        <v>768</v>
      </c>
      <c r="I170" s="10" t="s">
        <v>55</v>
      </c>
      <c r="K170" s="10" t="s">
        <v>23493</v>
      </c>
      <c r="L170" s="10" t="s">
        <v>42</v>
      </c>
    </row>
    <row r="171" ht="15.75" customHeight="1">
      <c r="A171" s="64">
        <v>45485.0</v>
      </c>
      <c r="B171" s="55" t="str">
        <f>HYPERLINK("https://jobright.ai/jobs/info/6691897fac10c1640df70bf4?utm_campaign=1053&amp;utm_source=sheet", "Apply")</f>
        <v>Apply</v>
      </c>
      <c r="C171" s="10" t="s">
        <v>23492</v>
      </c>
      <c r="D171" s="56" t="s">
        <v>95</v>
      </c>
      <c r="E171" s="10">
        <v>52.0</v>
      </c>
      <c r="G171" s="10" t="s">
        <v>8</v>
      </c>
      <c r="H171" s="10" t="s">
        <v>708</v>
      </c>
      <c r="I171" s="10" t="s">
        <v>55</v>
      </c>
      <c r="K171" s="10" t="s">
        <v>23493</v>
      </c>
      <c r="L171" s="10" t="s">
        <v>42</v>
      </c>
    </row>
    <row r="172" ht="15.75" customHeight="1">
      <c r="A172" s="64">
        <v>45485.0</v>
      </c>
      <c r="B172" s="55" t="str">
        <f>HYPERLINK("https://jobright.ai/jobs/info/6692394a1b049d09f698cd96?utm_campaign=1053&amp;utm_source=sheet", "Apply")</f>
        <v>Apply</v>
      </c>
      <c r="C172" s="10" t="s">
        <v>23492</v>
      </c>
      <c r="D172" s="56" t="s">
        <v>95</v>
      </c>
      <c r="E172" s="10">
        <v>52.0</v>
      </c>
      <c r="G172" s="10" t="s">
        <v>8</v>
      </c>
      <c r="H172" s="10" t="s">
        <v>1041</v>
      </c>
      <c r="I172" s="10" t="s">
        <v>55</v>
      </c>
      <c r="K172" s="10" t="s">
        <v>23493</v>
      </c>
      <c r="L172" s="10" t="s">
        <v>42</v>
      </c>
    </row>
    <row r="173" ht="15.75" customHeight="1">
      <c r="A173" s="64">
        <v>45485.0</v>
      </c>
      <c r="B173" s="55" t="str">
        <f>HYPERLINK("https://jobright.ai/jobs/info/6691950396333ec52410318c?utm_campaign=1053&amp;utm_source=sheet", "Apply")</f>
        <v>Apply</v>
      </c>
      <c r="C173" s="10" t="s">
        <v>23492</v>
      </c>
      <c r="D173" s="56" t="s">
        <v>95</v>
      </c>
      <c r="E173" s="10">
        <v>52.0</v>
      </c>
      <c r="G173" s="10" t="s">
        <v>8</v>
      </c>
      <c r="H173" s="10" t="s">
        <v>862</v>
      </c>
      <c r="I173" s="10" t="s">
        <v>55</v>
      </c>
      <c r="K173" s="10" t="s">
        <v>23493</v>
      </c>
      <c r="L173" s="10" t="s">
        <v>42</v>
      </c>
    </row>
    <row r="174" ht="15.75" customHeight="1">
      <c r="A174" s="64">
        <v>45485.0</v>
      </c>
      <c r="B174" s="55" t="str">
        <f>HYPERLINK("https://jobright.ai/jobs/info/6691950396333ec52410318f?utm_campaign=1053&amp;utm_source=sheet", "Apply")</f>
        <v>Apply</v>
      </c>
      <c r="C174" s="10" t="s">
        <v>23492</v>
      </c>
      <c r="D174" s="56" t="s">
        <v>95</v>
      </c>
      <c r="E174" s="10">
        <v>52.0</v>
      </c>
      <c r="G174" s="10" t="s">
        <v>8</v>
      </c>
      <c r="H174" s="10" t="s">
        <v>996</v>
      </c>
      <c r="I174" s="10" t="s">
        <v>55</v>
      </c>
      <c r="K174" s="10" t="s">
        <v>23493</v>
      </c>
      <c r="L174" s="10" t="s">
        <v>42</v>
      </c>
    </row>
    <row r="175" ht="15.75" customHeight="1">
      <c r="A175" s="64">
        <v>45485.0</v>
      </c>
      <c r="B175" s="55" t="str">
        <f>HYPERLINK("https://jobright.ai/jobs/info/6691950396333ec524103190?utm_campaign=1053&amp;utm_source=sheet", "Apply")</f>
        <v>Apply</v>
      </c>
      <c r="C175" s="10" t="s">
        <v>23492</v>
      </c>
      <c r="D175" s="56" t="s">
        <v>95</v>
      </c>
      <c r="E175" s="10">
        <v>52.0</v>
      </c>
      <c r="G175" s="10" t="s">
        <v>8</v>
      </c>
      <c r="H175" s="10" t="s">
        <v>423</v>
      </c>
      <c r="I175" s="10" t="s">
        <v>55</v>
      </c>
      <c r="K175" s="10" t="s">
        <v>23493</v>
      </c>
      <c r="L175" s="10" t="s">
        <v>42</v>
      </c>
    </row>
    <row r="176" ht="15.75" customHeight="1">
      <c r="A176" s="64">
        <v>45485.0</v>
      </c>
      <c r="B176" s="55" t="str">
        <f>HYPERLINK("https://jobright.ai/jobs/info/6691950396333ec524103191?utm_campaign=1053&amp;utm_source=sheet", "Apply")</f>
        <v>Apply</v>
      </c>
      <c r="C176" s="10" t="s">
        <v>23492</v>
      </c>
      <c r="D176" s="56" t="s">
        <v>95</v>
      </c>
      <c r="E176" s="10">
        <v>52.0</v>
      </c>
      <c r="G176" s="10" t="s">
        <v>8</v>
      </c>
      <c r="H176" s="10" t="s">
        <v>1037</v>
      </c>
      <c r="I176" s="10" t="s">
        <v>55</v>
      </c>
      <c r="K176" s="10" t="s">
        <v>23493</v>
      </c>
      <c r="L176" s="10" t="s">
        <v>42</v>
      </c>
    </row>
    <row r="177" ht="15.75" customHeight="1">
      <c r="A177" s="64">
        <v>45485.0</v>
      </c>
      <c r="B177" s="55" t="str">
        <f>HYPERLINK("https://jobright.ai/jobs/info/6691950396333ec524103192?utm_campaign=1053&amp;utm_source=sheet", "Apply")</f>
        <v>Apply</v>
      </c>
      <c r="C177" s="10" t="s">
        <v>23492</v>
      </c>
      <c r="D177" s="56" t="s">
        <v>95</v>
      </c>
      <c r="E177" s="10">
        <v>52.0</v>
      </c>
      <c r="G177" s="10" t="s">
        <v>8</v>
      </c>
      <c r="H177" s="10" t="s">
        <v>878</v>
      </c>
      <c r="I177" s="10" t="s">
        <v>55</v>
      </c>
      <c r="K177" s="10" t="s">
        <v>23493</v>
      </c>
      <c r="L177" s="10" t="s">
        <v>42</v>
      </c>
    </row>
    <row r="178" ht="15.75" customHeight="1">
      <c r="A178" s="64">
        <v>45485.0</v>
      </c>
      <c r="B178" s="55" t="str">
        <f>HYPERLINK("https://jobright.ai/jobs/info/6691950396333ec524103194?utm_campaign=1053&amp;utm_source=sheet", "Apply")</f>
        <v>Apply</v>
      </c>
      <c r="C178" s="10" t="s">
        <v>23492</v>
      </c>
      <c r="D178" s="56" t="s">
        <v>95</v>
      </c>
      <c r="E178" s="10">
        <v>52.0</v>
      </c>
      <c r="G178" s="10" t="s">
        <v>8</v>
      </c>
      <c r="H178" s="10" t="s">
        <v>1013</v>
      </c>
      <c r="I178" s="10" t="s">
        <v>55</v>
      </c>
      <c r="K178" s="10" t="s">
        <v>23493</v>
      </c>
      <c r="L178" s="10" t="s">
        <v>42</v>
      </c>
    </row>
    <row r="179" ht="15.75" customHeight="1">
      <c r="A179" s="64">
        <v>45485.0</v>
      </c>
      <c r="B179" s="55" t="str">
        <f>HYPERLINK("https://jobright.ai/jobs/info/66925f9adcf568d27f2f7b20?utm_campaign=1053&amp;utm_source=sheet", "Apply")</f>
        <v>Apply</v>
      </c>
      <c r="C179" s="10" t="s">
        <v>23492</v>
      </c>
      <c r="D179" s="56" t="s">
        <v>95</v>
      </c>
      <c r="E179" s="10">
        <v>52.0</v>
      </c>
      <c r="G179" s="10" t="s">
        <v>8</v>
      </c>
      <c r="H179" s="10" t="s">
        <v>96</v>
      </c>
      <c r="I179" s="10" t="s">
        <v>55</v>
      </c>
      <c r="K179" s="10" t="s">
        <v>23493</v>
      </c>
      <c r="L179" s="10" t="s">
        <v>42</v>
      </c>
    </row>
    <row r="180" ht="15.75" customHeight="1">
      <c r="A180" s="64">
        <v>45485.0</v>
      </c>
      <c r="B180" s="55" t="str">
        <f>HYPERLINK("https://jobright.ai/jobs/info/669190484c69d669ab536661?utm_campaign=1053&amp;utm_source=sheet", "Apply")</f>
        <v>Apply</v>
      </c>
      <c r="C180" s="10" t="s">
        <v>23492</v>
      </c>
      <c r="D180" s="56" t="s">
        <v>95</v>
      </c>
      <c r="E180" s="10">
        <v>52.0</v>
      </c>
      <c r="G180" s="10" t="s">
        <v>8</v>
      </c>
      <c r="H180" s="10" t="s">
        <v>976</v>
      </c>
      <c r="I180" s="10" t="s">
        <v>55</v>
      </c>
      <c r="K180" s="10" t="s">
        <v>23493</v>
      </c>
      <c r="L180" s="10" t="s">
        <v>42</v>
      </c>
    </row>
    <row r="181" ht="15.75" customHeight="1">
      <c r="A181" s="64">
        <v>45485.0</v>
      </c>
      <c r="B181" s="55" t="str">
        <f>HYPERLINK("https://jobright.ai/jobs/info/669190484c69d669ab53666a?utm_campaign=1053&amp;utm_source=sheet", "Apply")</f>
        <v>Apply</v>
      </c>
      <c r="C181" s="10" t="s">
        <v>23492</v>
      </c>
      <c r="D181" s="56" t="s">
        <v>95</v>
      </c>
      <c r="E181" s="10">
        <v>52.0</v>
      </c>
      <c r="G181" s="10" t="s">
        <v>8</v>
      </c>
      <c r="H181" s="10" t="s">
        <v>818</v>
      </c>
      <c r="I181" s="10" t="s">
        <v>55</v>
      </c>
      <c r="K181" s="10" t="s">
        <v>23493</v>
      </c>
      <c r="L181" s="10" t="s">
        <v>42</v>
      </c>
    </row>
    <row r="182" ht="15.75" customHeight="1">
      <c r="A182" s="64">
        <v>45485.0</v>
      </c>
      <c r="B182" s="55" t="str">
        <f>HYPERLINK("https://jobright.ai/jobs/info/660ece5f1cbac0908bb9d832?utm_campaign=1053&amp;utm_source=sheet", "Apply")</f>
        <v>Apply</v>
      </c>
      <c r="C182" s="10" t="s">
        <v>6618</v>
      </c>
      <c r="D182" s="56" t="s">
        <v>6619</v>
      </c>
      <c r="E182" s="10">
        <v>352.0</v>
      </c>
      <c r="G182" s="10" t="s">
        <v>8</v>
      </c>
      <c r="H182" s="10" t="s">
        <v>153</v>
      </c>
      <c r="I182" s="10" t="s">
        <v>55</v>
      </c>
      <c r="K182" s="10" t="s">
        <v>6621</v>
      </c>
      <c r="L182" s="10" t="s">
        <v>42</v>
      </c>
    </row>
    <row r="183" ht="15.75" customHeight="1">
      <c r="A183" s="64">
        <v>45485.0</v>
      </c>
      <c r="B183" s="55" t="str">
        <f>HYPERLINK("https://jobright.ai/jobs/info/669172602b5e177ed6cb02d0?utm_campaign=1053&amp;utm_source=sheet", "Apply")</f>
        <v>Apply</v>
      </c>
      <c r="C183" s="10" t="s">
        <v>23621</v>
      </c>
      <c r="D183" s="56" t="s">
        <v>13966</v>
      </c>
      <c r="E183" s="10" t="s">
        <v>45</v>
      </c>
      <c r="G183" s="10" t="s">
        <v>8</v>
      </c>
      <c r="H183" s="10" t="s">
        <v>999</v>
      </c>
      <c r="I183" s="10" t="s">
        <v>55</v>
      </c>
      <c r="K183" s="10" t="s">
        <v>23622</v>
      </c>
      <c r="L183" s="10" t="s">
        <v>42</v>
      </c>
    </row>
    <row r="184" ht="15.75" customHeight="1">
      <c r="A184" s="64">
        <v>45485.0</v>
      </c>
      <c r="B184" s="55" t="str">
        <f>HYPERLINK("https://jobright.ai/jobs/info/660ece5f1cbac0908bb9d833?utm_campaign=1053&amp;utm_source=sheet", "Apply")</f>
        <v>Apply</v>
      </c>
      <c r="C184" s="10" t="s">
        <v>6618</v>
      </c>
      <c r="D184" s="56" t="s">
        <v>6619</v>
      </c>
      <c r="E184" s="10">
        <v>352.0</v>
      </c>
      <c r="G184" s="10" t="s">
        <v>8</v>
      </c>
      <c r="H184" s="10" t="s">
        <v>131</v>
      </c>
      <c r="I184" s="10" t="s">
        <v>55</v>
      </c>
      <c r="K184" s="10" t="s">
        <v>6621</v>
      </c>
      <c r="L184" s="10" t="s">
        <v>42</v>
      </c>
    </row>
    <row r="185" ht="15.75" customHeight="1">
      <c r="A185" s="64">
        <v>45485.0</v>
      </c>
      <c r="B185" s="55" t="str">
        <f>HYPERLINK("https://jobright.ai/jobs/info/660eb0d5daed97ef0b8b7e6b?utm_campaign=1053&amp;utm_source=sheet", "Apply")</f>
        <v>Apply</v>
      </c>
      <c r="C185" s="10" t="s">
        <v>6618</v>
      </c>
      <c r="D185" s="56" t="s">
        <v>6619</v>
      </c>
      <c r="E185" s="10">
        <v>352.0</v>
      </c>
      <c r="G185" s="10" t="s">
        <v>8</v>
      </c>
      <c r="H185" s="10" t="s">
        <v>882</v>
      </c>
      <c r="I185" s="10" t="s">
        <v>55</v>
      </c>
      <c r="K185" s="10" t="s">
        <v>6621</v>
      </c>
      <c r="L185" s="10" t="s">
        <v>42</v>
      </c>
    </row>
    <row r="186" ht="15.75" customHeight="1">
      <c r="A186" s="64">
        <v>45485.0</v>
      </c>
      <c r="B186" s="55" t="str">
        <f>HYPERLINK("https://jobright.ai/jobs/info/65e23685dc338666e9fe7e82?utm_campaign=1053&amp;utm_source=sheet", "Apply")</f>
        <v>Apply</v>
      </c>
      <c r="C186" s="10" t="s">
        <v>6618</v>
      </c>
      <c r="D186" s="56" t="s">
        <v>6619</v>
      </c>
      <c r="E186" s="10">
        <v>352.0</v>
      </c>
      <c r="G186" s="10" t="s">
        <v>8</v>
      </c>
      <c r="H186" s="10" t="s">
        <v>113</v>
      </c>
      <c r="I186" s="10" t="s">
        <v>55</v>
      </c>
      <c r="K186" s="10" t="s">
        <v>6621</v>
      </c>
      <c r="L186" s="10" t="s">
        <v>42</v>
      </c>
    </row>
    <row r="187" ht="15.75" customHeight="1">
      <c r="A187" s="64">
        <v>45485.0</v>
      </c>
      <c r="B187" s="55" t="str">
        <f>HYPERLINK("https://jobright.ai/jobs/info/66914fabc1922ab7164b8b53?utm_campaign=1053&amp;utm_source=sheet", "Apply")</f>
        <v>Apply</v>
      </c>
      <c r="C187" s="10" t="s">
        <v>23623</v>
      </c>
      <c r="D187" s="56" t="s">
        <v>23624</v>
      </c>
      <c r="E187" s="10" t="s">
        <v>137</v>
      </c>
      <c r="F187" s="10" t="s">
        <v>2315</v>
      </c>
      <c r="G187" s="10" t="s">
        <v>8</v>
      </c>
      <c r="H187" s="10" t="s">
        <v>167</v>
      </c>
      <c r="I187" s="10" t="s">
        <v>55</v>
      </c>
      <c r="K187" s="10" t="s">
        <v>23625</v>
      </c>
      <c r="L187" s="10" t="s">
        <v>42</v>
      </c>
    </row>
    <row r="188" ht="15.75" customHeight="1">
      <c r="A188" s="64">
        <v>45485.0</v>
      </c>
      <c r="B188" s="55" t="str">
        <f>HYPERLINK("https://jobright.ai/jobs/info/66916bf60bfd99748e33e9de?utm_campaign=1053&amp;utm_source=sheet", "Apply")</f>
        <v>Apply</v>
      </c>
      <c r="C188" s="10" t="s">
        <v>23626</v>
      </c>
      <c r="D188" s="56" t="s">
        <v>23627</v>
      </c>
      <c r="E188" s="10" t="s">
        <v>137</v>
      </c>
      <c r="F188" s="10" t="s">
        <v>12539</v>
      </c>
      <c r="G188" s="10" t="s">
        <v>8</v>
      </c>
      <c r="H188" s="10" t="s">
        <v>96</v>
      </c>
      <c r="I188" s="10" t="s">
        <v>55</v>
      </c>
      <c r="K188" s="10" t="s">
        <v>23628</v>
      </c>
      <c r="L188" s="10" t="s">
        <v>42</v>
      </c>
    </row>
    <row r="189" ht="15.75" customHeight="1">
      <c r="A189" s="64">
        <v>45485.0</v>
      </c>
      <c r="B189" s="55" t="str">
        <f>HYPERLINK("https://jobright.ai/jobs/info/669255175e15f79aed5752ba?utm_campaign=1053&amp;utm_source=sheet", "Apply")</f>
        <v>Apply</v>
      </c>
      <c r="C189" s="10" t="s">
        <v>23629</v>
      </c>
      <c r="D189" s="56" t="s">
        <v>23630</v>
      </c>
      <c r="E189" s="10" t="s">
        <v>137</v>
      </c>
      <c r="G189" s="10" t="s">
        <v>8</v>
      </c>
      <c r="H189" s="10" t="s">
        <v>23631</v>
      </c>
      <c r="I189" s="10" t="s">
        <v>55</v>
      </c>
      <c r="J189" s="10" t="s">
        <v>1804</v>
      </c>
      <c r="K189" s="10" t="s">
        <v>23632</v>
      </c>
      <c r="L189" s="10" t="s">
        <v>42</v>
      </c>
    </row>
    <row r="190" ht="15.75" customHeight="1">
      <c r="A190" s="64">
        <v>45485.0</v>
      </c>
      <c r="B190" s="55" t="str">
        <f>HYPERLINK("https://jobright.ai/jobs/info/6674d578e47a9771d9daa87d?utm_campaign=1053&amp;utm_source=sheet", "Apply")</f>
        <v>Apply</v>
      </c>
      <c r="C190" s="10" t="s">
        <v>23329</v>
      </c>
      <c r="D190" s="56" t="s">
        <v>7209</v>
      </c>
      <c r="E190" s="10" t="s">
        <v>45</v>
      </c>
      <c r="F190" s="10" t="s">
        <v>7210</v>
      </c>
      <c r="G190" s="10" t="s">
        <v>8</v>
      </c>
      <c r="H190" s="10" t="s">
        <v>572</v>
      </c>
      <c r="I190" s="10" t="s">
        <v>55</v>
      </c>
      <c r="K190" s="10" t="s">
        <v>23633</v>
      </c>
      <c r="L190" s="10" t="s">
        <v>42</v>
      </c>
    </row>
    <row r="191" ht="15.75" customHeight="1">
      <c r="A191" s="64">
        <v>45485.0</v>
      </c>
      <c r="B191" s="55" t="str">
        <f>HYPERLINK("https://jobright.ai/jobs/info/6690bf16555345cb310834e1?utm_campaign=1053&amp;utm_source=sheet", "Apply")</f>
        <v>Apply</v>
      </c>
      <c r="C191" s="10" t="s">
        <v>23634</v>
      </c>
      <c r="D191" s="56" t="s">
        <v>13615</v>
      </c>
      <c r="E191" s="10" t="s">
        <v>65</v>
      </c>
      <c r="F191" s="10" t="s">
        <v>400</v>
      </c>
      <c r="G191" s="10" t="s">
        <v>8</v>
      </c>
      <c r="H191" s="10" t="s">
        <v>10547</v>
      </c>
      <c r="I191" s="10" t="s">
        <v>48</v>
      </c>
      <c r="K191" s="10" t="s">
        <v>23635</v>
      </c>
      <c r="L191" s="10" t="s">
        <v>42</v>
      </c>
    </row>
    <row r="192" ht="15.75" customHeight="1">
      <c r="A192" s="64">
        <v>45485.0</v>
      </c>
      <c r="B192" s="55" t="str">
        <f>HYPERLINK("https://jobright.ai/jobs/info/6690a95e0020afd5a76d9f38?utm_campaign=1053&amp;utm_source=sheet", "Apply")</f>
        <v>Apply</v>
      </c>
      <c r="C192" s="10" t="s">
        <v>23636</v>
      </c>
      <c r="D192" s="56" t="s">
        <v>23637</v>
      </c>
      <c r="E192" s="10" t="s">
        <v>276</v>
      </c>
      <c r="F192" s="10" t="s">
        <v>2691</v>
      </c>
      <c r="G192" s="10" t="s">
        <v>8</v>
      </c>
      <c r="H192" s="10" t="s">
        <v>843</v>
      </c>
      <c r="I192" s="10" t="s">
        <v>55</v>
      </c>
      <c r="K192" s="10" t="s">
        <v>23638</v>
      </c>
      <c r="L192" s="10" t="s">
        <v>42</v>
      </c>
    </row>
    <row r="193" ht="15.75" customHeight="1">
      <c r="A193" s="64">
        <v>45485.0</v>
      </c>
      <c r="B193" s="55" t="str">
        <f>HYPERLINK("https://jobright.ai/jobs/info/66926437a92bd9249c9f71c7?utm_campaign=1053&amp;utm_source=sheet", "Apply")</f>
        <v>Apply</v>
      </c>
      <c r="C193" s="10" t="s">
        <v>23639</v>
      </c>
      <c r="D193" s="56" t="s">
        <v>15387</v>
      </c>
      <c r="E193" s="10" t="s">
        <v>209</v>
      </c>
      <c r="F193" s="10" t="s">
        <v>15388</v>
      </c>
      <c r="G193" s="10" t="s">
        <v>8</v>
      </c>
      <c r="H193" s="10" t="s">
        <v>1030</v>
      </c>
      <c r="I193" s="10" t="s">
        <v>55</v>
      </c>
      <c r="J193" s="10" t="s">
        <v>23286</v>
      </c>
      <c r="K193" s="10" t="s">
        <v>23287</v>
      </c>
      <c r="L193" s="10" t="s">
        <v>42</v>
      </c>
    </row>
    <row r="194" ht="15.75" customHeight="1">
      <c r="A194" s="64">
        <v>45485.0</v>
      </c>
      <c r="B194" s="55" t="str">
        <f>HYPERLINK("https://jobright.ai/jobs/info/66908dc331de34d9d7a1fc96?utm_campaign=1053&amp;utm_source=sheet", "Apply")</f>
        <v>Apply</v>
      </c>
      <c r="C194" s="10" t="s">
        <v>23640</v>
      </c>
      <c r="D194" s="56" t="s">
        <v>15387</v>
      </c>
      <c r="E194" s="10" t="s">
        <v>209</v>
      </c>
      <c r="F194" s="10" t="s">
        <v>15388</v>
      </c>
      <c r="G194" s="10" t="s">
        <v>8</v>
      </c>
      <c r="H194" s="10" t="s">
        <v>861</v>
      </c>
      <c r="I194" s="10" t="s">
        <v>55</v>
      </c>
      <c r="J194" s="10" t="s">
        <v>15389</v>
      </c>
      <c r="K194" s="10" t="s">
        <v>23287</v>
      </c>
      <c r="L194" s="10" t="s">
        <v>42</v>
      </c>
    </row>
    <row r="195" ht="15.75" customHeight="1">
      <c r="A195" s="64">
        <v>45485.0</v>
      </c>
      <c r="B195" s="55" t="str">
        <f>HYPERLINK("https://jobright.ai/jobs/info/66913defe4526299ab22e61f?utm_campaign=1053&amp;utm_source=sheet", "Apply")</f>
        <v>Apply</v>
      </c>
      <c r="C195" s="10" t="s">
        <v>23621</v>
      </c>
      <c r="D195" s="56" t="s">
        <v>5584</v>
      </c>
      <c r="E195" s="10" t="s">
        <v>45</v>
      </c>
      <c r="F195" s="10" t="s">
        <v>5585</v>
      </c>
      <c r="G195" s="10" t="s">
        <v>8</v>
      </c>
      <c r="H195" s="10" t="s">
        <v>5586</v>
      </c>
      <c r="I195" s="10" t="s">
        <v>55</v>
      </c>
      <c r="K195" s="10" t="s">
        <v>23622</v>
      </c>
      <c r="L195" s="10" t="s">
        <v>42</v>
      </c>
    </row>
    <row r="196" ht="15.75" customHeight="1">
      <c r="A196" s="64">
        <v>45485.0</v>
      </c>
      <c r="B196" s="55" t="str">
        <f>HYPERLINK("https://jobright.ai/jobs/info/66913defe4526299ab22e615?utm_campaign=1053&amp;utm_source=sheet", "Apply")</f>
        <v>Apply</v>
      </c>
      <c r="C196" s="10" t="s">
        <v>23641</v>
      </c>
      <c r="D196" s="56" t="s">
        <v>5584</v>
      </c>
      <c r="E196" s="10" t="s">
        <v>45</v>
      </c>
      <c r="F196" s="10" t="s">
        <v>5585</v>
      </c>
      <c r="G196" s="10" t="s">
        <v>8</v>
      </c>
      <c r="H196" s="10" t="s">
        <v>5586</v>
      </c>
      <c r="I196" s="10" t="s">
        <v>55</v>
      </c>
      <c r="K196" s="10" t="s">
        <v>23642</v>
      </c>
      <c r="L196" s="10" t="s">
        <v>42</v>
      </c>
    </row>
    <row r="197" ht="15.75" customHeight="1">
      <c r="A197" s="64">
        <v>45485.0</v>
      </c>
      <c r="B197" s="55" t="str">
        <f>HYPERLINK("https://jobright.ai/jobs/info/66913defe4526299ab22e5d3?utm_campaign=1053&amp;utm_source=sheet", "Apply")</f>
        <v>Apply</v>
      </c>
      <c r="C197" s="10" t="s">
        <v>23643</v>
      </c>
      <c r="D197" s="56" t="s">
        <v>5584</v>
      </c>
      <c r="E197" s="10" t="s">
        <v>45</v>
      </c>
      <c r="F197" s="10" t="s">
        <v>5585</v>
      </c>
      <c r="G197" s="10" t="s">
        <v>8</v>
      </c>
      <c r="H197" s="10" t="s">
        <v>5586</v>
      </c>
      <c r="I197" s="10" t="s">
        <v>55</v>
      </c>
      <c r="K197" s="10" t="s">
        <v>23644</v>
      </c>
      <c r="L197" s="10" t="s">
        <v>42</v>
      </c>
    </row>
    <row r="198" ht="15.75" customHeight="1">
      <c r="A198" s="64">
        <v>45484.0</v>
      </c>
      <c r="B198" s="55" t="str">
        <f>HYPERLINK("https://jobright.ai/jobs/info/6690d39b79efb2825e66432b?utm_campaign=1053&amp;utm_source=sheet", "Apply")</f>
        <v>Apply</v>
      </c>
      <c r="C198" s="10" t="s">
        <v>23645</v>
      </c>
      <c r="D198" s="56" t="s">
        <v>7209</v>
      </c>
      <c r="E198" s="10" t="s">
        <v>45</v>
      </c>
      <c r="F198" s="10" t="s">
        <v>7210</v>
      </c>
      <c r="G198" s="10" t="s">
        <v>8</v>
      </c>
      <c r="H198" s="10" t="s">
        <v>2687</v>
      </c>
      <c r="I198" s="10" t="s">
        <v>55</v>
      </c>
      <c r="K198" s="10" t="s">
        <v>23646</v>
      </c>
      <c r="L198" s="10" t="s">
        <v>42</v>
      </c>
    </row>
    <row r="199" ht="15.75" customHeight="1">
      <c r="A199" s="64">
        <v>45484.0</v>
      </c>
      <c r="B199" s="55" t="str">
        <f>HYPERLINK("https://jobright.ai/jobs/info/6690c91b50a8322cf99b8579?utm_campaign=1053&amp;utm_source=sheet", "Apply")</f>
        <v>Apply</v>
      </c>
      <c r="C199" s="10" t="s">
        <v>23647</v>
      </c>
      <c r="D199" s="56" t="s">
        <v>15040</v>
      </c>
      <c r="E199" s="10">
        <v>320.0</v>
      </c>
      <c r="G199" s="10" t="s">
        <v>8</v>
      </c>
      <c r="H199" s="10" t="s">
        <v>628</v>
      </c>
      <c r="I199" s="10" t="s">
        <v>55</v>
      </c>
      <c r="K199" s="10" t="s">
        <v>23648</v>
      </c>
      <c r="L199" s="10" t="s">
        <v>42</v>
      </c>
    </row>
    <row r="200" ht="15.75" customHeight="1">
      <c r="A200" s="64">
        <v>45484.0</v>
      </c>
      <c r="B200" s="55" t="str">
        <f>HYPERLINK("https://jobright.ai/jobs/info/6692a08026ba329262b1b630?utm_campaign=1053&amp;utm_source=sheet", "Apply")</f>
        <v>Apply</v>
      </c>
      <c r="C200" s="10" t="s">
        <v>23649</v>
      </c>
      <c r="D200" s="56" t="s">
        <v>23650</v>
      </c>
      <c r="E200" s="10" t="s">
        <v>249</v>
      </c>
      <c r="F200" s="10" t="s">
        <v>627</v>
      </c>
      <c r="G200" s="10" t="s">
        <v>8</v>
      </c>
      <c r="H200" s="10" t="s">
        <v>387</v>
      </c>
      <c r="I200" s="10" t="s">
        <v>48</v>
      </c>
      <c r="J200" s="10" t="s">
        <v>8321</v>
      </c>
      <c r="K200" s="10" t="s">
        <v>23651</v>
      </c>
      <c r="L200" s="10" t="s">
        <v>42</v>
      </c>
    </row>
    <row r="201" ht="15.75" customHeight="1">
      <c r="A201" s="64">
        <v>45484.0</v>
      </c>
      <c r="B201" s="55" t="str">
        <f>HYPERLINK("https://jobright.ai/jobs/info/66950a407e648a439ae4f6cb?utm_campaign=1053&amp;utm_source=sheet", "Apply")</f>
        <v>Apply</v>
      </c>
      <c r="C201" s="10" t="s">
        <v>23652</v>
      </c>
      <c r="D201" s="56" t="s">
        <v>1178</v>
      </c>
      <c r="E201" s="10" t="s">
        <v>137</v>
      </c>
      <c r="F201" s="10" t="s">
        <v>1179</v>
      </c>
      <c r="G201" s="10" t="s">
        <v>8</v>
      </c>
      <c r="H201" s="10" t="s">
        <v>1254</v>
      </c>
      <c r="I201" s="10" t="s">
        <v>55</v>
      </c>
      <c r="J201" s="10" t="s">
        <v>366</v>
      </c>
      <c r="K201" s="10" t="s">
        <v>23653</v>
      </c>
      <c r="L201" s="10" t="s">
        <v>42</v>
      </c>
    </row>
    <row r="202" ht="15.75" customHeight="1">
      <c r="A202" s="64">
        <v>45484.0</v>
      </c>
      <c r="B202" s="55" t="str">
        <f>HYPERLINK("https://jobright.ai/jobs/info/66910aa9118225908d0208a1?utm_campaign=1053&amp;utm_source=sheet", "Apply")</f>
        <v>Apply</v>
      </c>
      <c r="C202" s="10" t="s">
        <v>23303</v>
      </c>
      <c r="D202" s="56" t="s">
        <v>23654</v>
      </c>
      <c r="E202" s="10" t="s">
        <v>137</v>
      </c>
      <c r="F202" s="10" t="s">
        <v>627</v>
      </c>
      <c r="G202" s="10" t="s">
        <v>8</v>
      </c>
      <c r="H202" s="10" t="s">
        <v>153</v>
      </c>
      <c r="I202" s="10" t="s">
        <v>48</v>
      </c>
      <c r="J202" s="10" t="s">
        <v>23655</v>
      </c>
      <c r="K202" s="10" t="s">
        <v>23656</v>
      </c>
      <c r="L202" s="10" t="s">
        <v>42</v>
      </c>
    </row>
    <row r="203" ht="15.75" customHeight="1">
      <c r="A203" s="64">
        <v>45484.0</v>
      </c>
      <c r="B203" s="55" t="str">
        <f>HYPERLINK("https://jobright.ai/jobs/info/6690ef23cfcca3c4c8c9d3f8?utm_campaign=1053&amp;utm_source=sheet", "Apply")</f>
        <v>Apply</v>
      </c>
      <c r="C203" s="10" t="s">
        <v>23652</v>
      </c>
      <c r="D203" s="56" t="s">
        <v>1667</v>
      </c>
      <c r="E203" s="10">
        <v>37644.0</v>
      </c>
      <c r="G203" s="10" t="s">
        <v>8</v>
      </c>
      <c r="H203" s="10" t="s">
        <v>96</v>
      </c>
      <c r="I203" s="10" t="s">
        <v>55</v>
      </c>
      <c r="J203" s="10" t="s">
        <v>366</v>
      </c>
      <c r="K203" s="10" t="s">
        <v>23657</v>
      </c>
      <c r="L203" s="10" t="s">
        <v>42</v>
      </c>
    </row>
    <row r="204" ht="15.75" customHeight="1">
      <c r="A204" s="64">
        <v>45484.0</v>
      </c>
      <c r="B204" s="55" t="str">
        <f>HYPERLINK("https://jobright.ai/jobs/info/6690ef37cfcca3c4c8c9d4c4?utm_campaign=1053&amp;utm_source=sheet", "Apply")</f>
        <v>Apply</v>
      </c>
      <c r="C204" s="10" t="s">
        <v>23658</v>
      </c>
      <c r="D204" s="56" t="s">
        <v>1667</v>
      </c>
      <c r="E204" s="10">
        <v>37644.0</v>
      </c>
      <c r="G204" s="10" t="s">
        <v>8</v>
      </c>
      <c r="H204" s="10" t="s">
        <v>96</v>
      </c>
      <c r="I204" s="10" t="s">
        <v>55</v>
      </c>
      <c r="J204" s="10" t="s">
        <v>366</v>
      </c>
      <c r="K204" s="10" t="s">
        <v>23659</v>
      </c>
      <c r="L204" s="10" t="s">
        <v>42</v>
      </c>
    </row>
    <row r="205" ht="15.75" customHeight="1">
      <c r="A205" s="64">
        <v>45484.0</v>
      </c>
      <c r="B205" s="55" t="str">
        <f>HYPERLINK("https://jobright.ai/jobs/info/6690a06777aee8172e7ac407?utm_campaign=1053&amp;utm_source=sheet", "Apply")</f>
        <v>Apply</v>
      </c>
      <c r="C205" s="10" t="s">
        <v>23660</v>
      </c>
      <c r="D205" s="56" t="s">
        <v>7209</v>
      </c>
      <c r="E205" s="10" t="s">
        <v>45</v>
      </c>
      <c r="F205" s="10" t="s">
        <v>7210</v>
      </c>
      <c r="G205" s="10" t="s">
        <v>8</v>
      </c>
      <c r="H205" s="10" t="s">
        <v>113</v>
      </c>
      <c r="I205" s="10" t="s">
        <v>55</v>
      </c>
      <c r="J205" s="10" t="s">
        <v>23661</v>
      </c>
      <c r="K205" s="10" t="s">
        <v>23662</v>
      </c>
      <c r="L205" s="10" t="s">
        <v>42</v>
      </c>
    </row>
    <row r="206" ht="15.75" customHeight="1">
      <c r="A206" s="64">
        <v>45483.0</v>
      </c>
      <c r="B206" s="55" t="str">
        <f>HYPERLINK("https://jobright.ai/jobs/info/668f4223e74ffdb5b6261e45?utm_campaign=1053&amp;utm_source=sheet", "Apply")</f>
        <v>Apply</v>
      </c>
      <c r="C206" s="10" t="s">
        <v>23663</v>
      </c>
      <c r="D206" s="56" t="s">
        <v>23664</v>
      </c>
      <c r="E206" s="10" t="s">
        <v>45</v>
      </c>
      <c r="F206" s="10" t="s">
        <v>17478</v>
      </c>
      <c r="G206" s="10" t="s">
        <v>8</v>
      </c>
      <c r="H206" s="10" t="s">
        <v>434</v>
      </c>
      <c r="I206" s="10" t="s">
        <v>55</v>
      </c>
      <c r="J206" s="10" t="s">
        <v>23665</v>
      </c>
      <c r="K206" s="10" t="s">
        <v>23666</v>
      </c>
      <c r="L206" s="10" t="s">
        <v>42</v>
      </c>
    </row>
    <row r="207" ht="15.75" customHeight="1">
      <c r="A207" s="64">
        <v>45483.0</v>
      </c>
      <c r="B207" s="55" t="str">
        <f>HYPERLINK("https://jobright.ai/jobs/info/669029926f438a3944c867a7?utm_campaign=1053&amp;utm_source=sheet", "Apply")</f>
        <v>Apply</v>
      </c>
      <c r="C207" s="10" t="s">
        <v>23667</v>
      </c>
      <c r="D207" s="56" t="s">
        <v>23668</v>
      </c>
      <c r="E207" s="10" t="s">
        <v>276</v>
      </c>
      <c r="F207" s="10" t="s">
        <v>85</v>
      </c>
      <c r="G207" s="10" t="s">
        <v>8</v>
      </c>
      <c r="H207" s="10" t="s">
        <v>957</v>
      </c>
      <c r="I207" s="10" t="s">
        <v>55</v>
      </c>
      <c r="J207" s="10" t="s">
        <v>7269</v>
      </c>
      <c r="K207" s="10" t="s">
        <v>23669</v>
      </c>
      <c r="L207" s="10" t="s">
        <v>42</v>
      </c>
    </row>
    <row r="208" ht="15.75" customHeight="1">
      <c r="A208" s="64">
        <v>45483.0</v>
      </c>
      <c r="B208" s="55" t="str">
        <f>HYPERLINK("https://jobright.ai/jobs/info/66a135b5a897a43af5f5a810?utm_campaign=1053&amp;utm_source=sheet", "Apply")</f>
        <v>Apply</v>
      </c>
      <c r="C208" s="10" t="s">
        <v>23670</v>
      </c>
      <c r="D208" s="56" t="s">
        <v>1178</v>
      </c>
      <c r="E208" s="10" t="s">
        <v>137</v>
      </c>
      <c r="F208" s="10" t="s">
        <v>1179</v>
      </c>
      <c r="G208" s="10" t="s">
        <v>8</v>
      </c>
      <c r="H208" s="10" t="s">
        <v>1254</v>
      </c>
      <c r="I208" s="10" t="s">
        <v>55</v>
      </c>
      <c r="J208" s="10" t="s">
        <v>1668</v>
      </c>
      <c r="K208" s="10" t="s">
        <v>23671</v>
      </c>
      <c r="L208" s="10" t="s">
        <v>42</v>
      </c>
    </row>
    <row r="209" ht="15.75" customHeight="1">
      <c r="A209" s="64">
        <v>45483.0</v>
      </c>
      <c r="B209" s="55" t="str">
        <f>HYPERLINK("https://jobright.ai/jobs/info/669143a9c955583661a6e1bc?utm_campaign=1053&amp;utm_source=sheet", "Apply")</f>
        <v>Apply</v>
      </c>
      <c r="C209" s="10" t="s">
        <v>23672</v>
      </c>
      <c r="D209" s="56" t="s">
        <v>5165</v>
      </c>
      <c r="E209" s="10" t="s">
        <v>209</v>
      </c>
      <c r="F209" s="10" t="s">
        <v>5166</v>
      </c>
      <c r="G209" s="10" t="s">
        <v>8</v>
      </c>
      <c r="H209" s="10" t="s">
        <v>86</v>
      </c>
      <c r="I209" s="10" t="s">
        <v>55</v>
      </c>
      <c r="K209" s="10" t="s">
        <v>23673</v>
      </c>
      <c r="L209" s="10" t="s">
        <v>42</v>
      </c>
    </row>
    <row r="210" ht="15.75" customHeight="1">
      <c r="A210" s="64">
        <v>45483.0</v>
      </c>
      <c r="B210" s="55" t="str">
        <f>HYPERLINK("https://jobright.ai/jobs/info/668fdaf822cfeb6ebf47611f?utm_campaign=1053&amp;utm_source=sheet", "Apply")</f>
        <v>Apply</v>
      </c>
      <c r="C210" s="10" t="s">
        <v>23674</v>
      </c>
      <c r="D210" s="56" t="s">
        <v>23675</v>
      </c>
      <c r="F210" s="10" t="s">
        <v>23676</v>
      </c>
      <c r="G210" s="10" t="s">
        <v>8</v>
      </c>
      <c r="H210" s="10" t="s">
        <v>1013</v>
      </c>
      <c r="I210" s="10" t="s">
        <v>55</v>
      </c>
      <c r="J210" s="10" t="s">
        <v>1797</v>
      </c>
      <c r="K210" s="10" t="s">
        <v>23677</v>
      </c>
      <c r="L210" s="10" t="s">
        <v>42</v>
      </c>
    </row>
    <row r="211" ht="15.75" customHeight="1">
      <c r="A211" s="64">
        <v>45483.0</v>
      </c>
      <c r="B211" s="55" t="str">
        <f>HYPERLINK("https://jobright.ai/jobs/info/66a0f9d072dbe8acd22339e0?utm_campaign=1053&amp;utm_source=sheet", "Apply")</f>
        <v>Apply</v>
      </c>
      <c r="C211" s="10" t="s">
        <v>23678</v>
      </c>
      <c r="D211" s="56" t="s">
        <v>23679</v>
      </c>
      <c r="E211" s="10" t="s">
        <v>276</v>
      </c>
      <c r="F211" s="10" t="s">
        <v>23680</v>
      </c>
      <c r="G211" s="10" t="s">
        <v>8</v>
      </c>
      <c r="H211" s="10" t="s">
        <v>1032</v>
      </c>
      <c r="I211" s="10" t="s">
        <v>55</v>
      </c>
      <c r="J211" s="10" t="s">
        <v>3125</v>
      </c>
      <c r="K211" s="10" t="s">
        <v>23681</v>
      </c>
      <c r="L211" s="10" t="s">
        <v>42</v>
      </c>
    </row>
    <row r="212" ht="15.75" customHeight="1">
      <c r="A212" s="64">
        <v>45483.0</v>
      </c>
      <c r="B212" s="55" t="str">
        <f>HYPERLINK("https://jobright.ai/jobs/info/668fdb3a22cfeb6ebf47672b?utm_campaign=1053&amp;utm_source=sheet", "Apply")</f>
        <v>Apply</v>
      </c>
      <c r="C212" s="10" t="s">
        <v>23670</v>
      </c>
      <c r="D212" s="56" t="s">
        <v>23458</v>
      </c>
      <c r="E212" s="10" t="s">
        <v>65</v>
      </c>
      <c r="F212" s="10" t="s">
        <v>15388</v>
      </c>
      <c r="G212" s="10" t="s">
        <v>8</v>
      </c>
      <c r="H212" s="10" t="s">
        <v>96</v>
      </c>
      <c r="I212" s="10" t="s">
        <v>55</v>
      </c>
      <c r="J212" s="10" t="s">
        <v>1668</v>
      </c>
      <c r="K212" s="10" t="s">
        <v>23671</v>
      </c>
      <c r="L212" s="10" t="s">
        <v>42</v>
      </c>
    </row>
    <row r="213" ht="15.75" customHeight="1">
      <c r="A213" s="64">
        <v>45483.0</v>
      </c>
      <c r="B213" s="55" t="str">
        <f>HYPERLINK("https://jobright.ai/jobs/info/6697ae8b7a2f0aa23b8b6f5a?utm_campaign=1053&amp;utm_source=sheet", "Apply")</f>
        <v>Apply</v>
      </c>
      <c r="C213" s="10" t="s">
        <v>23682</v>
      </c>
      <c r="D213" s="56" t="s">
        <v>5165</v>
      </c>
      <c r="E213" s="10" t="s">
        <v>209</v>
      </c>
      <c r="F213" s="10" t="s">
        <v>5166</v>
      </c>
      <c r="G213" s="10" t="s">
        <v>8</v>
      </c>
      <c r="H213" s="10" t="s">
        <v>442</v>
      </c>
      <c r="I213" s="10" t="s">
        <v>55</v>
      </c>
      <c r="K213" s="10" t="s">
        <v>18112</v>
      </c>
      <c r="L213" s="10" t="s">
        <v>42</v>
      </c>
    </row>
    <row r="214" ht="15.75" customHeight="1">
      <c r="A214" s="64">
        <v>45482.0</v>
      </c>
      <c r="B214" s="55" t="str">
        <f>HYPERLINK("https://jobright.ai/jobs/info/668deb9f6da13c2496823ef3?utm_campaign=1053&amp;utm_source=sheet", "Apply")</f>
        <v>Apply</v>
      </c>
      <c r="C214" s="10" t="s">
        <v>23683</v>
      </c>
      <c r="D214" s="56" t="s">
        <v>2231</v>
      </c>
      <c r="E214" s="10" t="s">
        <v>45</v>
      </c>
      <c r="F214" s="10" t="s">
        <v>1506</v>
      </c>
      <c r="G214" s="10" t="s">
        <v>8</v>
      </c>
      <c r="H214" s="10" t="s">
        <v>3347</v>
      </c>
      <c r="I214" s="10" t="s">
        <v>55</v>
      </c>
      <c r="J214" s="10" t="s">
        <v>1409</v>
      </c>
      <c r="K214" s="10" t="s">
        <v>23684</v>
      </c>
      <c r="L214" s="10" t="s">
        <v>42</v>
      </c>
    </row>
    <row r="215" ht="15.75" customHeight="1">
      <c r="A215" s="64">
        <v>45482.0</v>
      </c>
      <c r="B215" s="55" t="str">
        <f>HYPERLINK("https://jobright.ai/jobs/info/668d97ff274a895265383a54?utm_campaign=1053&amp;utm_source=sheet", "Apply")</f>
        <v>Apply</v>
      </c>
      <c r="C215" s="10" t="s">
        <v>23685</v>
      </c>
      <c r="D215" s="56" t="s">
        <v>23686</v>
      </c>
      <c r="E215" s="10" t="s">
        <v>137</v>
      </c>
      <c r="F215" s="10" t="s">
        <v>23676</v>
      </c>
      <c r="G215" s="10" t="s">
        <v>8</v>
      </c>
      <c r="H215" s="10" t="s">
        <v>23687</v>
      </c>
      <c r="I215" s="10" t="s">
        <v>48</v>
      </c>
      <c r="K215" s="10" t="s">
        <v>23688</v>
      </c>
      <c r="L215" s="10" t="s">
        <v>42</v>
      </c>
    </row>
    <row r="216" ht="15.75" customHeight="1">
      <c r="A216" s="64">
        <v>45482.0</v>
      </c>
      <c r="B216" s="55" t="str">
        <f>HYPERLINK("https://jobright.ai/jobs/info/668d9cf60de5c7da1e4474c5?utm_campaign=1053&amp;utm_source=sheet", "Apply")</f>
        <v>Apply</v>
      </c>
      <c r="C216" s="10" t="s">
        <v>23689</v>
      </c>
      <c r="D216" s="56" t="s">
        <v>23690</v>
      </c>
      <c r="E216" s="10" t="s">
        <v>71</v>
      </c>
      <c r="F216" s="10" t="s">
        <v>23691</v>
      </c>
      <c r="G216" s="10" t="s">
        <v>8</v>
      </c>
      <c r="H216" s="10" t="s">
        <v>3276</v>
      </c>
      <c r="I216" s="10" t="s">
        <v>55</v>
      </c>
      <c r="K216" s="10" t="s">
        <v>23692</v>
      </c>
      <c r="L216" s="10" t="s">
        <v>42</v>
      </c>
    </row>
    <row r="217" ht="15.75" customHeight="1">
      <c r="A217" s="64">
        <v>45482.0</v>
      </c>
      <c r="B217" s="55" t="str">
        <f>HYPERLINK("https://jobright.ai/jobs/info/66885dd2860cb723555aa75c?utm_campaign=1053&amp;utm_source=sheet", "Apply")</f>
        <v>Apply</v>
      </c>
      <c r="C217" s="10" t="s">
        <v>23693</v>
      </c>
      <c r="D217" s="56" t="s">
        <v>15387</v>
      </c>
      <c r="E217" s="10" t="s">
        <v>209</v>
      </c>
      <c r="F217" s="10" t="s">
        <v>15388</v>
      </c>
      <c r="G217" s="10" t="s">
        <v>8</v>
      </c>
      <c r="H217" s="10" t="s">
        <v>153</v>
      </c>
      <c r="I217" s="10" t="s">
        <v>55</v>
      </c>
      <c r="J217" s="10" t="s">
        <v>15389</v>
      </c>
      <c r="K217" s="10" t="s">
        <v>23694</v>
      </c>
      <c r="L217" s="10" t="s">
        <v>42</v>
      </c>
    </row>
    <row r="218" ht="15.75" customHeight="1">
      <c r="A218" s="64">
        <v>45482.0</v>
      </c>
      <c r="B218" s="55" t="str">
        <f>HYPERLINK("https://jobright.ai/jobs/info/668ec46ec916c3695aa7a782?utm_campaign=1053&amp;utm_source=sheet", "Apply")</f>
        <v>Apply</v>
      </c>
      <c r="C218" s="10" t="s">
        <v>23695</v>
      </c>
      <c r="D218" s="56" t="s">
        <v>7075</v>
      </c>
      <c r="E218" s="10" t="s">
        <v>45</v>
      </c>
      <c r="F218" s="10" t="s">
        <v>7076</v>
      </c>
      <c r="G218" s="10" t="s">
        <v>8</v>
      </c>
      <c r="H218" s="10" t="s">
        <v>144</v>
      </c>
      <c r="I218" s="10" t="s">
        <v>55</v>
      </c>
      <c r="J218" s="10" t="s">
        <v>13738</v>
      </c>
      <c r="K218" s="10" t="s">
        <v>23696</v>
      </c>
      <c r="L218" s="10" t="s">
        <v>42</v>
      </c>
    </row>
    <row r="219" ht="15.75" customHeight="1">
      <c r="A219" s="64">
        <v>45482.0</v>
      </c>
      <c r="B219" s="55" t="str">
        <f>HYPERLINK("https://jobright.ai/jobs/info/668ec47fc916c3695aa7a8ff?utm_campaign=1053&amp;utm_source=sheet", "Apply")</f>
        <v>Apply</v>
      </c>
      <c r="C219" s="10" t="s">
        <v>23697</v>
      </c>
      <c r="D219" s="56" t="s">
        <v>7075</v>
      </c>
      <c r="E219" s="10" t="s">
        <v>45</v>
      </c>
      <c r="F219" s="10" t="s">
        <v>7076</v>
      </c>
      <c r="G219" s="10" t="s">
        <v>8</v>
      </c>
      <c r="H219" s="10" t="s">
        <v>807</v>
      </c>
      <c r="I219" s="10" t="s">
        <v>55</v>
      </c>
      <c r="K219" s="10" t="s">
        <v>23698</v>
      </c>
      <c r="L219" s="10" t="s">
        <v>42</v>
      </c>
    </row>
    <row r="220" ht="15.75" customHeight="1">
      <c r="A220" s="64">
        <v>45482.0</v>
      </c>
      <c r="B220" s="55" t="str">
        <f>HYPERLINK("https://jobright.ai/jobs/info/668ec490c916c3695aa7aa21?utm_campaign=1053&amp;utm_source=sheet", "Apply")</f>
        <v>Apply</v>
      </c>
      <c r="C220" s="10" t="s">
        <v>23699</v>
      </c>
      <c r="D220" s="56" t="s">
        <v>7075</v>
      </c>
      <c r="E220" s="10" t="s">
        <v>45</v>
      </c>
      <c r="F220" s="10" t="s">
        <v>7076</v>
      </c>
      <c r="G220" s="10" t="s">
        <v>8</v>
      </c>
      <c r="H220" s="10" t="s">
        <v>914</v>
      </c>
      <c r="I220" s="10" t="s">
        <v>55</v>
      </c>
      <c r="K220" s="10" t="s">
        <v>23698</v>
      </c>
      <c r="L220" s="10" t="s">
        <v>42</v>
      </c>
    </row>
    <row r="221" ht="15.75" customHeight="1">
      <c r="A221" s="64">
        <v>45482.0</v>
      </c>
      <c r="B221" s="55" t="str">
        <f>HYPERLINK("https://jobright.ai/jobs/info/668ec4a1c916c3695aa7ac3e?utm_campaign=1053&amp;utm_source=sheet", "Apply")</f>
        <v>Apply</v>
      </c>
      <c r="C221" s="10" t="s">
        <v>23700</v>
      </c>
      <c r="D221" s="56" t="s">
        <v>7075</v>
      </c>
      <c r="E221" s="10" t="s">
        <v>45</v>
      </c>
      <c r="F221" s="10" t="s">
        <v>7076</v>
      </c>
      <c r="G221" s="10" t="s">
        <v>8</v>
      </c>
      <c r="H221" s="10" t="s">
        <v>144</v>
      </c>
      <c r="I221" s="10" t="s">
        <v>55</v>
      </c>
      <c r="J221" s="10" t="s">
        <v>13738</v>
      </c>
      <c r="K221" s="10" t="s">
        <v>23701</v>
      </c>
      <c r="L221" s="10" t="s">
        <v>42</v>
      </c>
    </row>
    <row r="222" ht="15.75" customHeight="1">
      <c r="A222" s="64">
        <v>45482.0</v>
      </c>
      <c r="B222" s="55" t="str">
        <f>HYPERLINK("https://jobright.ai/jobs/info/668ebbc9f8776ede103d140a?utm_campaign=1053&amp;utm_source=sheet", "Apply")</f>
        <v>Apply</v>
      </c>
      <c r="C222" s="10" t="s">
        <v>23702</v>
      </c>
      <c r="D222" s="56" t="s">
        <v>7075</v>
      </c>
      <c r="E222" s="10" t="s">
        <v>45</v>
      </c>
      <c r="F222" s="10" t="s">
        <v>7076</v>
      </c>
      <c r="G222" s="10" t="s">
        <v>8</v>
      </c>
      <c r="H222" s="10" t="s">
        <v>131</v>
      </c>
      <c r="I222" s="10" t="s">
        <v>55</v>
      </c>
      <c r="J222" s="10" t="s">
        <v>23703</v>
      </c>
      <c r="K222" s="10" t="s">
        <v>23704</v>
      </c>
      <c r="L222" s="10" t="s">
        <v>42</v>
      </c>
    </row>
    <row r="223" ht="15.75" customHeight="1">
      <c r="A223" s="64">
        <v>45482.0</v>
      </c>
      <c r="B223" s="55" t="str">
        <f>HYPERLINK("https://jobright.ai/jobs/info/6684298a628914e2e22f59c5?utm_campaign=1053&amp;utm_source=sheet", "Apply")</f>
        <v>Apply</v>
      </c>
      <c r="C223" s="10" t="s">
        <v>23705</v>
      </c>
      <c r="D223" s="56" t="s">
        <v>15387</v>
      </c>
      <c r="E223" s="10" t="s">
        <v>209</v>
      </c>
      <c r="F223" s="10" t="s">
        <v>15388</v>
      </c>
      <c r="G223" s="10" t="s">
        <v>8</v>
      </c>
      <c r="H223" s="10" t="s">
        <v>23706</v>
      </c>
      <c r="I223" s="10" t="s">
        <v>55</v>
      </c>
      <c r="J223" s="10" t="s">
        <v>23707</v>
      </c>
      <c r="K223" s="10" t="s">
        <v>23287</v>
      </c>
      <c r="L223" s="10" t="s">
        <v>42</v>
      </c>
    </row>
    <row r="224" ht="15.75" customHeight="1">
      <c r="A224" s="64">
        <v>45482.0</v>
      </c>
      <c r="B224" s="55" t="str">
        <f>HYPERLINK("https://jobright.ai/jobs/info/668cce4c2c3a4daee99fede9?utm_campaign=1053&amp;utm_source=sheet", "Apply")</f>
        <v>Apply</v>
      </c>
      <c r="C224" s="10" t="s">
        <v>23708</v>
      </c>
      <c r="D224" s="56" t="s">
        <v>12377</v>
      </c>
      <c r="E224" s="10" t="s">
        <v>79</v>
      </c>
      <c r="G224" s="10" t="s">
        <v>8</v>
      </c>
      <c r="H224" s="10" t="s">
        <v>12378</v>
      </c>
      <c r="I224" s="10" t="s">
        <v>55</v>
      </c>
      <c r="J224" s="10" t="s">
        <v>21454</v>
      </c>
      <c r="K224" s="10" t="s">
        <v>23709</v>
      </c>
      <c r="L224" s="10" t="s">
        <v>42</v>
      </c>
    </row>
    <row r="225" ht="15.75" customHeight="1">
      <c r="A225" s="64">
        <v>45482.0</v>
      </c>
      <c r="B225" s="55" t="str">
        <f>HYPERLINK("https://jobright.ai/jobs/info/668d028be468a2b5f13691f4?utm_campaign=1053&amp;utm_source=sheet", "Apply")</f>
        <v>Apply</v>
      </c>
      <c r="C225" s="10" t="s">
        <v>23710</v>
      </c>
      <c r="D225" s="56" t="s">
        <v>23711</v>
      </c>
      <c r="E225" s="10" t="s">
        <v>137</v>
      </c>
      <c r="F225" s="10" t="s">
        <v>23712</v>
      </c>
      <c r="G225" s="10" t="s">
        <v>8</v>
      </c>
      <c r="H225" s="10" t="s">
        <v>113</v>
      </c>
      <c r="I225" s="10" t="s">
        <v>55</v>
      </c>
      <c r="K225" s="10" t="s">
        <v>23713</v>
      </c>
      <c r="L225" s="10" t="s">
        <v>42</v>
      </c>
    </row>
    <row r="226" ht="15.75" customHeight="1">
      <c r="A226" s="64">
        <v>45482.0</v>
      </c>
      <c r="B226" s="55" t="str">
        <f>HYPERLINK("https://jobright.ai/jobs/info/668c9108a04664baea38a3d1?utm_campaign=1053&amp;utm_source=sheet", "Apply")</f>
        <v>Apply</v>
      </c>
      <c r="C226" s="10" t="s">
        <v>23710</v>
      </c>
      <c r="D226" s="56" t="s">
        <v>23714</v>
      </c>
      <c r="E226" s="10" t="s">
        <v>137</v>
      </c>
      <c r="F226" s="10" t="s">
        <v>23715</v>
      </c>
      <c r="G226" s="10" t="s">
        <v>8</v>
      </c>
      <c r="H226" s="10" t="s">
        <v>113</v>
      </c>
      <c r="I226" s="10" t="s">
        <v>55</v>
      </c>
      <c r="K226" s="10" t="s">
        <v>23713</v>
      </c>
      <c r="L226" s="10" t="s">
        <v>42</v>
      </c>
    </row>
    <row r="227" ht="15.75" customHeight="1">
      <c r="A227" s="64">
        <v>45481.0</v>
      </c>
      <c r="B227" s="55" t="str">
        <f>HYPERLINK("https://jobright.ai/jobs/info/668c6182980e9b9331fff20f?utm_campaign=1053&amp;utm_source=sheet", "Apply")</f>
        <v>Apply</v>
      </c>
      <c r="C227" s="10" t="s">
        <v>23716</v>
      </c>
      <c r="D227" s="56" t="s">
        <v>23717</v>
      </c>
      <c r="E227" s="10" t="s">
        <v>209</v>
      </c>
      <c r="G227" s="10" t="s">
        <v>8</v>
      </c>
      <c r="H227" s="10" t="s">
        <v>232</v>
      </c>
      <c r="I227" s="10" t="s">
        <v>55</v>
      </c>
      <c r="J227" s="10" t="s">
        <v>1409</v>
      </c>
      <c r="K227" s="10" t="s">
        <v>23718</v>
      </c>
      <c r="L227" s="10" t="s">
        <v>42</v>
      </c>
    </row>
    <row r="228" ht="15.75" customHeight="1">
      <c r="A228" s="64">
        <v>45481.0</v>
      </c>
      <c r="B228" s="55" t="str">
        <f>HYPERLINK("https://jobright.ai/jobs/info/668b6001d3443b9c15fdfd44?utm_campaign=1053&amp;utm_source=sheet", "Apply")</f>
        <v>Apply</v>
      </c>
      <c r="C228" s="10" t="s">
        <v>23719</v>
      </c>
      <c r="D228" s="56" t="s">
        <v>23720</v>
      </c>
      <c r="E228" s="10" t="s">
        <v>276</v>
      </c>
      <c r="F228" s="10" t="s">
        <v>14291</v>
      </c>
      <c r="G228" s="10" t="s">
        <v>8</v>
      </c>
      <c r="H228" s="10" t="s">
        <v>1030</v>
      </c>
      <c r="I228" s="10" t="s">
        <v>48</v>
      </c>
      <c r="J228" s="10" t="s">
        <v>1608</v>
      </c>
      <c r="K228" s="10" t="s">
        <v>23721</v>
      </c>
      <c r="L228" s="10" t="s">
        <v>42</v>
      </c>
    </row>
    <row r="229" ht="15.75" customHeight="1">
      <c r="A229" s="64">
        <v>45481.0</v>
      </c>
      <c r="B229" s="55" t="str">
        <f>HYPERLINK("https://jobright.ai/jobs/info/668c8172a276b317cb9f29f7?utm_campaign=1053&amp;utm_source=sheet", "Apply")</f>
        <v>Apply</v>
      </c>
      <c r="C229" s="10" t="s">
        <v>23722</v>
      </c>
      <c r="D229" s="56" t="s">
        <v>23723</v>
      </c>
      <c r="E229" s="10" t="s">
        <v>249</v>
      </c>
      <c r="F229" s="10" t="s">
        <v>1459</v>
      </c>
      <c r="G229" s="10" t="s">
        <v>8</v>
      </c>
      <c r="H229" s="10" t="s">
        <v>96</v>
      </c>
      <c r="I229" s="10" t="s">
        <v>55</v>
      </c>
      <c r="J229" s="10" t="s">
        <v>2217</v>
      </c>
      <c r="K229" s="10" t="s">
        <v>23724</v>
      </c>
      <c r="L229" s="10" t="s">
        <v>42</v>
      </c>
    </row>
    <row r="230" ht="15.75" customHeight="1">
      <c r="A230" s="64">
        <v>45480.0</v>
      </c>
      <c r="B230" s="55" t="str">
        <f>HYPERLINK("https://jobright.ai/jobs/info/668b2eca1b1249b8ab5fc1ee?utm_campaign=1053&amp;utm_source=sheet", "Apply")</f>
        <v>Apply</v>
      </c>
      <c r="C230" s="10" t="s">
        <v>23725</v>
      </c>
      <c r="D230" s="56" t="s">
        <v>14898</v>
      </c>
      <c r="E230" s="10" t="s">
        <v>249</v>
      </c>
      <c r="F230" s="10" t="s">
        <v>5166</v>
      </c>
      <c r="G230" s="10" t="s">
        <v>8</v>
      </c>
      <c r="H230" s="10" t="s">
        <v>159</v>
      </c>
      <c r="I230" s="10" t="s">
        <v>55</v>
      </c>
      <c r="J230" s="10" t="s">
        <v>1608</v>
      </c>
      <c r="K230" s="10" t="s">
        <v>23726</v>
      </c>
      <c r="L230" s="10" t="s">
        <v>42</v>
      </c>
    </row>
    <row r="231" ht="15.75" customHeight="1">
      <c r="A231" s="64">
        <v>45480.0</v>
      </c>
      <c r="B231" s="55" t="str">
        <f>HYPERLINK("https://jobright.ai/jobs/info/668b25da4e4c737303d13a08?utm_campaign=1053&amp;utm_source=sheet", "Apply")</f>
        <v>Apply</v>
      </c>
      <c r="C231" s="10" t="s">
        <v>23727</v>
      </c>
      <c r="D231" s="56" t="s">
        <v>14898</v>
      </c>
      <c r="E231" s="10" t="s">
        <v>249</v>
      </c>
      <c r="F231" s="10" t="s">
        <v>5166</v>
      </c>
      <c r="G231" s="10" t="s">
        <v>8</v>
      </c>
      <c r="H231" s="10" t="s">
        <v>159</v>
      </c>
      <c r="I231" s="10" t="s">
        <v>55</v>
      </c>
      <c r="J231" s="10" t="s">
        <v>1608</v>
      </c>
      <c r="K231" s="10" t="s">
        <v>23728</v>
      </c>
      <c r="L231" s="10" t="s">
        <v>42</v>
      </c>
    </row>
    <row r="232" ht="15.75" customHeight="1">
      <c r="A232" s="64">
        <v>45480.0</v>
      </c>
      <c r="B232" s="55" t="str">
        <f>HYPERLINK("https://jobright.ai/jobs/info/668b2bc2f0119e53a8f6ad53?utm_campaign=1053&amp;utm_source=sheet", "Apply")</f>
        <v>Apply</v>
      </c>
      <c r="C232" s="10" t="s">
        <v>23729</v>
      </c>
      <c r="D232" s="56" t="s">
        <v>14898</v>
      </c>
      <c r="E232" s="10" t="s">
        <v>249</v>
      </c>
      <c r="F232" s="10" t="s">
        <v>5166</v>
      </c>
      <c r="G232" s="10" t="s">
        <v>8</v>
      </c>
      <c r="H232" s="10" t="s">
        <v>159</v>
      </c>
      <c r="I232" s="10" t="s">
        <v>55</v>
      </c>
      <c r="J232" s="10" t="s">
        <v>1608</v>
      </c>
      <c r="K232" s="10" t="s">
        <v>23730</v>
      </c>
      <c r="L232" s="10" t="s">
        <v>42</v>
      </c>
    </row>
    <row r="233" ht="15.75" customHeight="1">
      <c r="A233" s="64">
        <v>45480.0</v>
      </c>
      <c r="B233" s="55" t="str">
        <f>HYPERLINK("https://jobright.ai/jobs/info/668b25da4e4c737303d13a04?utm_campaign=1053&amp;utm_source=sheet", "Apply")</f>
        <v>Apply</v>
      </c>
      <c r="C233" s="10" t="s">
        <v>23731</v>
      </c>
      <c r="D233" s="56" t="s">
        <v>14898</v>
      </c>
      <c r="E233" s="10" t="s">
        <v>249</v>
      </c>
      <c r="F233" s="10" t="s">
        <v>5166</v>
      </c>
      <c r="G233" s="10" t="s">
        <v>8</v>
      </c>
      <c r="H233" s="10" t="s">
        <v>159</v>
      </c>
      <c r="I233" s="10" t="s">
        <v>55</v>
      </c>
      <c r="J233" s="10" t="s">
        <v>1608</v>
      </c>
      <c r="K233" s="10" t="s">
        <v>23732</v>
      </c>
      <c r="L233" s="10" t="s">
        <v>42</v>
      </c>
    </row>
    <row r="234" ht="15.75" customHeight="1">
      <c r="A234" s="64">
        <v>45480.0</v>
      </c>
      <c r="B234" s="55" t="str">
        <f>HYPERLINK("https://jobright.ai/jobs/info/668b25da4e4c737303d13a17?utm_campaign=1053&amp;utm_source=sheet", "Apply")</f>
        <v>Apply</v>
      </c>
      <c r="C234" s="10" t="s">
        <v>23733</v>
      </c>
      <c r="D234" s="56" t="s">
        <v>14898</v>
      </c>
      <c r="E234" s="10" t="s">
        <v>249</v>
      </c>
      <c r="F234" s="10" t="s">
        <v>5166</v>
      </c>
      <c r="G234" s="10" t="s">
        <v>8</v>
      </c>
      <c r="H234" s="10" t="s">
        <v>159</v>
      </c>
      <c r="I234" s="10" t="s">
        <v>55</v>
      </c>
      <c r="J234" s="10" t="s">
        <v>1608</v>
      </c>
      <c r="K234" s="10" t="s">
        <v>23734</v>
      </c>
      <c r="L234" s="10" t="s">
        <v>42</v>
      </c>
    </row>
    <row r="235" ht="15.75" customHeight="1">
      <c r="A235" s="64">
        <v>45479.0</v>
      </c>
      <c r="B235" s="55" t="str">
        <f>HYPERLINK("https://jobright.ai/jobs/info/66899d130f8fc5a4649379c7?utm_campaign=1053&amp;utm_source=sheet", "Apply")</f>
        <v>Apply</v>
      </c>
      <c r="C235" s="10" t="s">
        <v>23492</v>
      </c>
      <c r="D235" s="56" t="s">
        <v>95</v>
      </c>
      <c r="E235" s="10">
        <v>52.0</v>
      </c>
      <c r="G235" s="10" t="s">
        <v>8</v>
      </c>
      <c r="H235" s="10" t="s">
        <v>899</v>
      </c>
      <c r="I235" s="10" t="s">
        <v>55</v>
      </c>
      <c r="K235" s="10" t="s">
        <v>23493</v>
      </c>
      <c r="L235" s="10" t="s">
        <v>42</v>
      </c>
    </row>
    <row r="236" ht="15.75" customHeight="1">
      <c r="A236" s="64">
        <v>45479.0</v>
      </c>
      <c r="B236" s="55" t="str">
        <f>HYPERLINK("https://jobright.ai/jobs/info/666c4475b3b6eb3a161ca6ec?utm_campaign=1053&amp;utm_source=sheet", "Apply")</f>
        <v>Apply</v>
      </c>
      <c r="C236" s="10" t="s">
        <v>23735</v>
      </c>
      <c r="D236" s="56" t="s">
        <v>5165</v>
      </c>
      <c r="E236" s="10" t="s">
        <v>209</v>
      </c>
      <c r="F236" s="10" t="s">
        <v>5166</v>
      </c>
      <c r="G236" s="10" t="s">
        <v>8</v>
      </c>
      <c r="H236" s="10" t="s">
        <v>965</v>
      </c>
      <c r="I236" s="10" t="s">
        <v>55</v>
      </c>
      <c r="K236" s="10" t="s">
        <v>18112</v>
      </c>
      <c r="L236" s="10" t="s">
        <v>42</v>
      </c>
    </row>
    <row r="237" ht="15.75" customHeight="1">
      <c r="A237" s="64">
        <v>45479.0</v>
      </c>
      <c r="B237" s="55" t="str">
        <f>HYPERLINK("https://jobright.ai/jobs/info/66717eec8da549fae7b765bb?utm_campaign=1053&amp;utm_source=sheet", "Apply")</f>
        <v>Apply</v>
      </c>
      <c r="C237" s="10" t="s">
        <v>23736</v>
      </c>
      <c r="D237" s="56" t="s">
        <v>5165</v>
      </c>
      <c r="E237" s="10" t="s">
        <v>209</v>
      </c>
      <c r="F237" s="10" t="s">
        <v>5166</v>
      </c>
      <c r="G237" s="10" t="s">
        <v>8</v>
      </c>
      <c r="H237" s="10" t="s">
        <v>423</v>
      </c>
      <c r="I237" s="10" t="s">
        <v>55</v>
      </c>
      <c r="J237" s="10" t="s">
        <v>366</v>
      </c>
      <c r="K237" s="10" t="s">
        <v>18112</v>
      </c>
      <c r="L237" s="10" t="s">
        <v>42</v>
      </c>
    </row>
    <row r="238" ht="15.75" customHeight="1">
      <c r="A238" s="64">
        <v>45479.0</v>
      </c>
      <c r="B238" s="55" t="str">
        <f>HYPERLINK("https://jobright.ai/jobs/info/666c408fb342f124248839e5?utm_campaign=1053&amp;utm_source=sheet", "Apply")</f>
        <v>Apply</v>
      </c>
      <c r="C238" s="10" t="s">
        <v>23735</v>
      </c>
      <c r="D238" s="56" t="s">
        <v>5165</v>
      </c>
      <c r="E238" s="10" t="s">
        <v>209</v>
      </c>
      <c r="F238" s="10" t="s">
        <v>5166</v>
      </c>
      <c r="G238" s="10" t="s">
        <v>8</v>
      </c>
      <c r="H238" s="10" t="s">
        <v>813</v>
      </c>
      <c r="I238" s="10" t="s">
        <v>55</v>
      </c>
      <c r="K238" s="10" t="s">
        <v>18112</v>
      </c>
      <c r="L238" s="10" t="s">
        <v>42</v>
      </c>
    </row>
    <row r="239" ht="15.75" customHeight="1">
      <c r="A239" s="64">
        <v>45479.0</v>
      </c>
      <c r="B239" s="55" t="str">
        <f>HYPERLINK("https://jobright.ai/jobs/info/666c34762efa92a03b8950f0?utm_campaign=1053&amp;utm_source=sheet", "Apply")</f>
        <v>Apply</v>
      </c>
      <c r="C239" s="10" t="s">
        <v>23737</v>
      </c>
      <c r="D239" s="56" t="s">
        <v>5165</v>
      </c>
      <c r="E239" s="10" t="s">
        <v>209</v>
      </c>
      <c r="F239" s="10" t="s">
        <v>5166</v>
      </c>
      <c r="G239" s="10" t="s">
        <v>8</v>
      </c>
      <c r="H239" s="10" t="s">
        <v>1032</v>
      </c>
      <c r="I239" s="10" t="s">
        <v>55</v>
      </c>
      <c r="K239" s="10" t="s">
        <v>18112</v>
      </c>
      <c r="L239" s="10" t="s">
        <v>42</v>
      </c>
    </row>
    <row r="240" ht="15.75" customHeight="1">
      <c r="A240" s="64">
        <v>45479.0</v>
      </c>
      <c r="B240" s="55" t="str">
        <f>HYPERLINK("https://jobright.ai/jobs/info/666c34762efa92a03b8950de?utm_campaign=1053&amp;utm_source=sheet", "Apply")</f>
        <v>Apply</v>
      </c>
      <c r="C240" s="10" t="s">
        <v>23737</v>
      </c>
      <c r="D240" s="56" t="s">
        <v>5165</v>
      </c>
      <c r="E240" s="10" t="s">
        <v>209</v>
      </c>
      <c r="F240" s="10" t="s">
        <v>5166</v>
      </c>
      <c r="G240" s="10" t="s">
        <v>8</v>
      </c>
      <c r="H240" s="10" t="s">
        <v>914</v>
      </c>
      <c r="I240" s="10" t="s">
        <v>55</v>
      </c>
      <c r="K240" s="10" t="s">
        <v>18112</v>
      </c>
      <c r="L240" s="10" t="s">
        <v>42</v>
      </c>
    </row>
    <row r="241" ht="15.75" customHeight="1">
      <c r="A241" s="64">
        <v>45479.0</v>
      </c>
      <c r="B241" s="55" t="str">
        <f>HYPERLINK("https://jobright.ai/jobs/info/666c2f71126dc247d4f1bd0c?utm_campaign=1053&amp;utm_source=sheet", "Apply")</f>
        <v>Apply</v>
      </c>
      <c r="C241" s="10" t="s">
        <v>23735</v>
      </c>
      <c r="D241" s="56" t="s">
        <v>5165</v>
      </c>
      <c r="E241" s="10" t="s">
        <v>209</v>
      </c>
      <c r="F241" s="10" t="s">
        <v>5166</v>
      </c>
      <c r="G241" s="10" t="s">
        <v>8</v>
      </c>
      <c r="H241" s="10" t="s">
        <v>571</v>
      </c>
      <c r="I241" s="10" t="s">
        <v>55</v>
      </c>
      <c r="K241" s="10" t="s">
        <v>18112</v>
      </c>
      <c r="L241" s="10" t="s">
        <v>42</v>
      </c>
    </row>
    <row r="242" ht="15.75" customHeight="1">
      <c r="A242" s="64">
        <v>45479.0</v>
      </c>
      <c r="B242" s="55" t="str">
        <f>HYPERLINK("https://jobright.ai/jobs/info/666c4468b3b6eb3a161ca6e8?utm_campaign=1053&amp;utm_source=sheet", "Apply")</f>
        <v>Apply</v>
      </c>
      <c r="C242" s="10" t="s">
        <v>23738</v>
      </c>
      <c r="D242" s="56" t="s">
        <v>5165</v>
      </c>
      <c r="E242" s="10" t="s">
        <v>209</v>
      </c>
      <c r="F242" s="10" t="s">
        <v>5166</v>
      </c>
      <c r="G242" s="10" t="s">
        <v>8</v>
      </c>
      <c r="H242" s="10" t="s">
        <v>23739</v>
      </c>
      <c r="I242" s="10" t="s">
        <v>55</v>
      </c>
      <c r="J242" s="10" t="s">
        <v>17175</v>
      </c>
      <c r="K242" s="10" t="s">
        <v>23740</v>
      </c>
      <c r="L242" s="10" t="s">
        <v>42</v>
      </c>
    </row>
    <row r="243" ht="15.75" customHeight="1">
      <c r="A243" s="64">
        <v>45479.0</v>
      </c>
      <c r="B243" s="55" t="str">
        <f>HYPERLINK("https://jobright.ai/jobs/info/666c34762efa92a03b8950ee?utm_campaign=1053&amp;utm_source=sheet", "Apply")</f>
        <v>Apply</v>
      </c>
      <c r="C243" s="10" t="s">
        <v>23735</v>
      </c>
      <c r="D243" s="56" t="s">
        <v>5165</v>
      </c>
      <c r="E243" s="10" t="s">
        <v>209</v>
      </c>
      <c r="F243" s="10" t="s">
        <v>5166</v>
      </c>
      <c r="G243" s="10" t="s">
        <v>8</v>
      </c>
      <c r="H243" s="10" t="s">
        <v>23741</v>
      </c>
      <c r="I243" s="10" t="s">
        <v>55</v>
      </c>
      <c r="K243" s="10" t="s">
        <v>18112</v>
      </c>
      <c r="L243" s="10" t="s">
        <v>42</v>
      </c>
    </row>
    <row r="244" ht="15.75" customHeight="1">
      <c r="A244" s="64">
        <v>45479.0</v>
      </c>
      <c r="B244" s="55" t="str">
        <f>HYPERLINK("https://jobright.ai/jobs/info/666c4082b342f12424883922?utm_campaign=1053&amp;utm_source=sheet", "Apply")</f>
        <v>Apply</v>
      </c>
      <c r="C244" s="10" t="s">
        <v>23735</v>
      </c>
      <c r="D244" s="56" t="s">
        <v>5165</v>
      </c>
      <c r="E244" s="10" t="s">
        <v>209</v>
      </c>
      <c r="F244" s="10" t="s">
        <v>5166</v>
      </c>
      <c r="G244" s="10" t="s">
        <v>8</v>
      </c>
      <c r="H244" s="10" t="s">
        <v>914</v>
      </c>
      <c r="I244" s="10" t="s">
        <v>55</v>
      </c>
      <c r="K244" s="10" t="s">
        <v>18112</v>
      </c>
      <c r="L244" s="10" t="s">
        <v>42</v>
      </c>
    </row>
    <row r="245" ht="15.75" customHeight="1">
      <c r="A245" s="64">
        <v>45479.0</v>
      </c>
      <c r="B245" s="55" t="str">
        <f>HYPERLINK("https://jobright.ai/jobs/info/666c2f71126dc247d4f1bd28?utm_campaign=1053&amp;utm_source=sheet", "Apply")</f>
        <v>Apply</v>
      </c>
      <c r="C245" s="10" t="s">
        <v>23735</v>
      </c>
      <c r="D245" s="56" t="s">
        <v>5165</v>
      </c>
      <c r="E245" s="10" t="s">
        <v>209</v>
      </c>
      <c r="F245" s="10" t="s">
        <v>5166</v>
      </c>
      <c r="G245" s="10" t="s">
        <v>8</v>
      </c>
      <c r="H245" s="10" t="s">
        <v>993</v>
      </c>
      <c r="I245" s="10" t="s">
        <v>55</v>
      </c>
      <c r="K245" s="10" t="s">
        <v>18112</v>
      </c>
      <c r="L245" s="10" t="s">
        <v>42</v>
      </c>
    </row>
    <row r="246" ht="15.75" customHeight="1">
      <c r="A246" s="64">
        <v>45479.0</v>
      </c>
      <c r="B246" s="55" t="str">
        <f>HYPERLINK("https://jobright.ai/jobs/info/66718763b739923c9551f08d?utm_campaign=1053&amp;utm_source=sheet", "Apply")</f>
        <v>Apply</v>
      </c>
      <c r="C246" s="10" t="s">
        <v>23735</v>
      </c>
      <c r="D246" s="56" t="s">
        <v>5165</v>
      </c>
      <c r="E246" s="10" t="s">
        <v>209</v>
      </c>
      <c r="F246" s="10" t="s">
        <v>5166</v>
      </c>
      <c r="G246" s="10" t="s">
        <v>8</v>
      </c>
      <c r="H246" s="10" t="s">
        <v>607</v>
      </c>
      <c r="I246" s="10" t="s">
        <v>55</v>
      </c>
      <c r="K246" s="10" t="s">
        <v>18112</v>
      </c>
      <c r="L246" s="10" t="s">
        <v>42</v>
      </c>
    </row>
    <row r="247" ht="15.75" customHeight="1">
      <c r="A247" s="64">
        <v>45479.0</v>
      </c>
      <c r="B247" s="55" t="str">
        <f>HYPERLINK("https://jobright.ai/jobs/info/668699708255e2f2b23fef18?utm_campaign=1053&amp;utm_source=sheet", "Apply")</f>
        <v>Apply</v>
      </c>
      <c r="C247" s="10" t="s">
        <v>23737</v>
      </c>
      <c r="D247" s="56" t="s">
        <v>5165</v>
      </c>
      <c r="E247" s="10" t="s">
        <v>209</v>
      </c>
      <c r="F247" s="10" t="s">
        <v>5166</v>
      </c>
      <c r="G247" s="10" t="s">
        <v>8</v>
      </c>
      <c r="H247" s="10" t="s">
        <v>788</v>
      </c>
      <c r="I247" s="10" t="s">
        <v>55</v>
      </c>
      <c r="K247" s="10" t="s">
        <v>18112</v>
      </c>
      <c r="L247" s="10" t="s">
        <v>42</v>
      </c>
    </row>
    <row r="248" ht="15.75" customHeight="1">
      <c r="A248" s="64">
        <v>45479.0</v>
      </c>
      <c r="B248" s="55" t="str">
        <f>HYPERLINK("https://jobright.ai/jobs/info/666c34762efa92a03b89509d?utm_campaign=1053&amp;utm_source=sheet", "Apply")</f>
        <v>Apply</v>
      </c>
      <c r="C248" s="10" t="s">
        <v>23737</v>
      </c>
      <c r="D248" s="56" t="s">
        <v>5165</v>
      </c>
      <c r="E248" s="10" t="s">
        <v>209</v>
      </c>
      <c r="F248" s="10" t="s">
        <v>5166</v>
      </c>
      <c r="G248" s="10" t="s">
        <v>8</v>
      </c>
      <c r="H248" s="10" t="s">
        <v>423</v>
      </c>
      <c r="I248" s="10" t="s">
        <v>55</v>
      </c>
      <c r="K248" s="10" t="s">
        <v>18112</v>
      </c>
      <c r="L248" s="10" t="s">
        <v>42</v>
      </c>
    </row>
    <row r="249" ht="15.75" customHeight="1">
      <c r="A249" s="64">
        <v>45479.0</v>
      </c>
      <c r="B249" s="55" t="str">
        <f>HYPERLINK("https://jobright.ai/jobs/info/6671660e1d546f65f57a8f57?utm_campaign=1053&amp;utm_source=sheet", "Apply")</f>
        <v>Apply</v>
      </c>
      <c r="C249" s="10" t="s">
        <v>23735</v>
      </c>
      <c r="D249" s="56" t="s">
        <v>5165</v>
      </c>
      <c r="E249" s="10" t="s">
        <v>209</v>
      </c>
      <c r="F249" s="10" t="s">
        <v>5166</v>
      </c>
      <c r="G249" s="10" t="s">
        <v>8</v>
      </c>
      <c r="H249" s="10" t="s">
        <v>966</v>
      </c>
      <c r="I249" s="10" t="s">
        <v>55</v>
      </c>
      <c r="K249" s="10" t="s">
        <v>18112</v>
      </c>
      <c r="L249" s="10" t="s">
        <v>42</v>
      </c>
    </row>
    <row r="250" ht="15.75" customHeight="1">
      <c r="A250" s="64">
        <v>45479.0</v>
      </c>
      <c r="B250" s="55" t="str">
        <f>HYPERLINK("https://jobright.ai/jobs/info/666c408fb342f124248839bb?utm_campaign=1053&amp;utm_source=sheet", "Apply")</f>
        <v>Apply</v>
      </c>
      <c r="C250" s="10" t="s">
        <v>23735</v>
      </c>
      <c r="D250" s="56" t="s">
        <v>5165</v>
      </c>
      <c r="E250" s="10" t="s">
        <v>209</v>
      </c>
      <c r="F250" s="10" t="s">
        <v>5166</v>
      </c>
      <c r="G250" s="10" t="s">
        <v>8</v>
      </c>
      <c r="H250" s="10" t="s">
        <v>152</v>
      </c>
      <c r="I250" s="10" t="s">
        <v>55</v>
      </c>
      <c r="K250" s="10" t="s">
        <v>18112</v>
      </c>
      <c r="L250" s="10" t="s">
        <v>42</v>
      </c>
    </row>
    <row r="251" ht="15.75" customHeight="1">
      <c r="A251" s="64">
        <v>45479.0</v>
      </c>
      <c r="B251" s="55" t="str">
        <f>HYPERLINK("https://jobright.ai/jobs/info/666c4475b3b6eb3a161ca6f6?utm_campaign=1053&amp;utm_source=sheet", "Apply")</f>
        <v>Apply</v>
      </c>
      <c r="C251" s="10" t="s">
        <v>23735</v>
      </c>
      <c r="D251" s="56" t="s">
        <v>5165</v>
      </c>
      <c r="E251" s="10" t="s">
        <v>209</v>
      </c>
      <c r="F251" s="10" t="s">
        <v>5166</v>
      </c>
      <c r="G251" s="10" t="s">
        <v>8</v>
      </c>
      <c r="H251" s="10" t="s">
        <v>927</v>
      </c>
      <c r="I251" s="10" t="s">
        <v>55</v>
      </c>
      <c r="K251" s="10" t="s">
        <v>18112</v>
      </c>
      <c r="L251" s="10" t="s">
        <v>42</v>
      </c>
    </row>
    <row r="252" ht="15.75" customHeight="1">
      <c r="A252" s="64">
        <v>45479.0</v>
      </c>
      <c r="B252" s="55" t="str">
        <f>HYPERLINK("https://jobright.ai/jobs/info/666c34762efa92a03b8950dd?utm_campaign=1053&amp;utm_source=sheet", "Apply")</f>
        <v>Apply</v>
      </c>
      <c r="C252" s="10" t="s">
        <v>23737</v>
      </c>
      <c r="D252" s="56" t="s">
        <v>5165</v>
      </c>
      <c r="E252" s="10" t="s">
        <v>209</v>
      </c>
      <c r="F252" s="10" t="s">
        <v>5166</v>
      </c>
      <c r="G252" s="10" t="s">
        <v>8</v>
      </c>
      <c r="H252" s="10" t="s">
        <v>188</v>
      </c>
      <c r="I252" s="10" t="s">
        <v>55</v>
      </c>
      <c r="K252" s="10" t="s">
        <v>18112</v>
      </c>
      <c r="L252" s="10" t="s">
        <v>42</v>
      </c>
    </row>
    <row r="253" ht="15.75" customHeight="1">
      <c r="A253" s="64">
        <v>45479.0</v>
      </c>
      <c r="B253" s="55" t="str">
        <f>HYPERLINK("https://jobright.ai/jobs/info/666c34762efa92a03b8950f7?utm_campaign=1053&amp;utm_source=sheet", "Apply")</f>
        <v>Apply</v>
      </c>
      <c r="C253" s="10" t="s">
        <v>23735</v>
      </c>
      <c r="D253" s="56" t="s">
        <v>5165</v>
      </c>
      <c r="E253" s="10" t="s">
        <v>209</v>
      </c>
      <c r="F253" s="10" t="s">
        <v>5166</v>
      </c>
      <c r="G253" s="10" t="s">
        <v>8</v>
      </c>
      <c r="H253" s="10" t="s">
        <v>21430</v>
      </c>
      <c r="I253" s="10" t="s">
        <v>55</v>
      </c>
      <c r="K253" s="10" t="s">
        <v>18112</v>
      </c>
      <c r="L253" s="10" t="s">
        <v>42</v>
      </c>
    </row>
    <row r="254" ht="15.75" customHeight="1">
      <c r="A254" s="64">
        <v>45479.0</v>
      </c>
      <c r="B254" s="55" t="str">
        <f>HYPERLINK("https://jobright.ai/jobs/info/666c408fb342f124248839a9?utm_campaign=1053&amp;utm_source=sheet", "Apply")</f>
        <v>Apply</v>
      </c>
      <c r="C254" s="10" t="s">
        <v>23296</v>
      </c>
      <c r="D254" s="56" t="s">
        <v>5165</v>
      </c>
      <c r="E254" s="10" t="s">
        <v>209</v>
      </c>
      <c r="F254" s="10" t="s">
        <v>5166</v>
      </c>
      <c r="G254" s="10" t="s">
        <v>8</v>
      </c>
      <c r="H254" s="10" t="s">
        <v>106</v>
      </c>
      <c r="I254" s="10" t="s">
        <v>55</v>
      </c>
      <c r="K254" s="10" t="s">
        <v>23742</v>
      </c>
      <c r="L254" s="10" t="s">
        <v>42</v>
      </c>
    </row>
    <row r="255" ht="15.75" customHeight="1">
      <c r="A255" s="64">
        <v>45479.0</v>
      </c>
      <c r="B255" s="55" t="str">
        <f>HYPERLINK("https://jobright.ai/jobs/info/666c34762efa92a03b8950ac?utm_campaign=1053&amp;utm_source=sheet", "Apply")</f>
        <v>Apply</v>
      </c>
      <c r="C255" s="10" t="s">
        <v>23735</v>
      </c>
      <c r="D255" s="56" t="s">
        <v>5165</v>
      </c>
      <c r="E255" s="10" t="s">
        <v>209</v>
      </c>
      <c r="F255" s="10" t="s">
        <v>5166</v>
      </c>
      <c r="G255" s="10" t="s">
        <v>8</v>
      </c>
      <c r="H255" s="10" t="s">
        <v>816</v>
      </c>
      <c r="I255" s="10" t="s">
        <v>55</v>
      </c>
      <c r="K255" s="10" t="s">
        <v>18112</v>
      </c>
      <c r="L255" s="10" t="s">
        <v>42</v>
      </c>
    </row>
    <row r="256" ht="15.75" customHeight="1">
      <c r="A256" s="64">
        <v>45479.0</v>
      </c>
      <c r="B256" s="55" t="str">
        <f>HYPERLINK("https://jobright.ai/jobs/info/666c4475b3b6eb3a161ca731?utm_campaign=1053&amp;utm_source=sheet", "Apply")</f>
        <v>Apply</v>
      </c>
      <c r="C256" s="10" t="s">
        <v>23735</v>
      </c>
      <c r="D256" s="56" t="s">
        <v>5165</v>
      </c>
      <c r="E256" s="10" t="s">
        <v>209</v>
      </c>
      <c r="F256" s="10" t="s">
        <v>5166</v>
      </c>
      <c r="G256" s="10" t="s">
        <v>8</v>
      </c>
      <c r="H256" s="10" t="s">
        <v>844</v>
      </c>
      <c r="I256" s="10" t="s">
        <v>55</v>
      </c>
      <c r="K256" s="10" t="s">
        <v>18112</v>
      </c>
      <c r="L256" s="10" t="s">
        <v>42</v>
      </c>
    </row>
    <row r="257" ht="15.75" customHeight="1">
      <c r="A257" s="64">
        <v>45479.0</v>
      </c>
      <c r="B257" s="55" t="str">
        <f>HYPERLINK("https://jobright.ai/jobs/info/6688f0a8ad1c16591e59322a?utm_campaign=1053&amp;utm_source=sheet", "Apply")</f>
        <v>Apply</v>
      </c>
      <c r="C257" s="10" t="s">
        <v>23743</v>
      </c>
      <c r="D257" s="56" t="s">
        <v>23744</v>
      </c>
      <c r="E257" s="10" t="s">
        <v>249</v>
      </c>
      <c r="F257" s="10" t="s">
        <v>6716</v>
      </c>
      <c r="G257" s="10" t="s">
        <v>8</v>
      </c>
      <c r="H257" s="10" t="s">
        <v>423</v>
      </c>
      <c r="I257" s="10" t="s">
        <v>55</v>
      </c>
      <c r="J257" s="10" t="s">
        <v>5167</v>
      </c>
      <c r="K257" s="10" t="s">
        <v>23745</v>
      </c>
      <c r="L257" s="10" t="s">
        <v>42</v>
      </c>
    </row>
    <row r="258" ht="15.75" customHeight="1">
      <c r="A258" s="64">
        <v>45478.0</v>
      </c>
      <c r="B258" s="55" t="str">
        <f>HYPERLINK("https://jobright.ai/jobs/info/669a6861a5800347fe62821e?utm_campaign=1053&amp;utm_source=sheet", "Apply")</f>
        <v>Apply</v>
      </c>
      <c r="C258" s="10" t="s">
        <v>23457</v>
      </c>
      <c r="D258" s="56" t="s">
        <v>1178</v>
      </c>
      <c r="E258" s="10" t="s">
        <v>137</v>
      </c>
      <c r="F258" s="10" t="s">
        <v>1179</v>
      </c>
      <c r="G258" s="10" t="s">
        <v>8</v>
      </c>
      <c r="H258" s="10" t="s">
        <v>153</v>
      </c>
      <c r="I258" s="10" t="s">
        <v>55</v>
      </c>
      <c r="K258" s="10" t="s">
        <v>23459</v>
      </c>
      <c r="L258" s="10" t="s">
        <v>42</v>
      </c>
    </row>
    <row r="259" ht="15.75" customHeight="1">
      <c r="A259" s="64">
        <v>45478.0</v>
      </c>
      <c r="B259" s="55" t="str">
        <f>HYPERLINK("https://jobright.ai/jobs/info/669a469cfc934eb280641372?utm_campaign=1053&amp;utm_source=sheet", "Apply")</f>
        <v>Apply</v>
      </c>
      <c r="C259" s="10" t="s">
        <v>23462</v>
      </c>
      <c r="D259" s="56" t="s">
        <v>1178</v>
      </c>
      <c r="E259" s="10" t="s">
        <v>137</v>
      </c>
      <c r="F259" s="10" t="s">
        <v>1179</v>
      </c>
      <c r="G259" s="10" t="s">
        <v>8</v>
      </c>
      <c r="H259" s="10" t="s">
        <v>3278</v>
      </c>
      <c r="I259" s="10" t="s">
        <v>55</v>
      </c>
      <c r="K259" s="10" t="s">
        <v>23461</v>
      </c>
      <c r="L259" s="10" t="s">
        <v>42</v>
      </c>
    </row>
    <row r="260" ht="15.75" customHeight="1">
      <c r="A260" s="64">
        <v>45477.0</v>
      </c>
      <c r="B260" s="55" t="str">
        <f>HYPERLINK("https://jobright.ai/jobs/info/66868f5088efc187f0c09eb2?utm_campaign=1053&amp;utm_source=sheet", "Apply")</f>
        <v>Apply</v>
      </c>
      <c r="C260" s="10" t="s">
        <v>23746</v>
      </c>
      <c r="D260" s="56" t="s">
        <v>15156</v>
      </c>
      <c r="E260" s="10">
        <v>7.0</v>
      </c>
      <c r="G260" s="10" t="s">
        <v>8</v>
      </c>
      <c r="H260" s="10" t="s">
        <v>113</v>
      </c>
      <c r="I260" s="10" t="s">
        <v>48</v>
      </c>
      <c r="K260" s="10" t="s">
        <v>23747</v>
      </c>
      <c r="L260" s="10" t="s">
        <v>42</v>
      </c>
    </row>
    <row r="261" ht="15.75" customHeight="1">
      <c r="A261" s="64">
        <v>45477.0</v>
      </c>
      <c r="B261" s="55" t="str">
        <f>HYPERLINK("https://jobright.ai/jobs/info/6672e80cd742a3597e9aba0f?utm_campaign=1053&amp;utm_source=sheet", "Apply")</f>
        <v>Apply</v>
      </c>
      <c r="C261" s="10" t="s">
        <v>23748</v>
      </c>
      <c r="D261" s="56" t="s">
        <v>7209</v>
      </c>
      <c r="E261" s="10" t="s">
        <v>45</v>
      </c>
      <c r="F261" s="10" t="s">
        <v>7210</v>
      </c>
      <c r="G261" s="10" t="s">
        <v>8</v>
      </c>
      <c r="H261" s="10" t="s">
        <v>1018</v>
      </c>
      <c r="I261" s="10" t="s">
        <v>55</v>
      </c>
      <c r="K261" s="10" t="s">
        <v>23749</v>
      </c>
      <c r="L261" s="10" t="s">
        <v>42</v>
      </c>
    </row>
    <row r="262" ht="15.75" customHeight="1">
      <c r="A262" s="64">
        <v>45476.0</v>
      </c>
      <c r="B262" s="55" t="str">
        <f>HYPERLINK("https://jobright.ai/jobs/info/667dd7e28d93809a9317ab32?utm_campaign=1053&amp;utm_source=sheet", "Apply")</f>
        <v>Apply</v>
      </c>
      <c r="C262" s="10" t="s">
        <v>23750</v>
      </c>
      <c r="D262" s="56" t="s">
        <v>14608</v>
      </c>
      <c r="E262" s="10" t="s">
        <v>45</v>
      </c>
      <c r="F262" s="10" t="s">
        <v>14609</v>
      </c>
      <c r="G262" s="10" t="s">
        <v>8</v>
      </c>
      <c r="H262" s="10" t="s">
        <v>96</v>
      </c>
      <c r="I262" s="10" t="s">
        <v>48</v>
      </c>
      <c r="J262" s="10" t="s">
        <v>23751</v>
      </c>
      <c r="K262" s="10" t="s">
        <v>23752</v>
      </c>
      <c r="L262" s="10" t="s">
        <v>42</v>
      </c>
    </row>
    <row r="263" ht="15.75" customHeight="1">
      <c r="A263" s="64">
        <v>45475.0</v>
      </c>
      <c r="B263" s="55" t="str">
        <f>HYPERLINK("https://jobright.ai/jobs/info/6684a7b9c6303b9ad44e4b20?utm_campaign=1053&amp;utm_source=sheet", "Apply")</f>
        <v>Apply</v>
      </c>
      <c r="C263" s="10" t="s">
        <v>23753</v>
      </c>
      <c r="D263" s="56" t="s">
        <v>23754</v>
      </c>
      <c r="E263" s="10" t="s">
        <v>276</v>
      </c>
      <c r="F263" s="10" t="s">
        <v>23755</v>
      </c>
      <c r="G263" s="10" t="s">
        <v>8</v>
      </c>
      <c r="H263" s="10" t="s">
        <v>999</v>
      </c>
      <c r="I263" s="10" t="s">
        <v>55</v>
      </c>
      <c r="K263" s="10" t="s">
        <v>23756</v>
      </c>
      <c r="L263" s="10" t="s">
        <v>42</v>
      </c>
    </row>
    <row r="264" ht="15.75" customHeight="1">
      <c r="A264" s="64">
        <v>45475.0</v>
      </c>
      <c r="B264" s="55" t="str">
        <f>HYPERLINK("https://jobright.ai/jobs/info/667ddd64083431332d680f69?utm_campaign=1053&amp;utm_source=sheet", "Apply")</f>
        <v>Apply</v>
      </c>
      <c r="C264" s="10" t="s">
        <v>23757</v>
      </c>
      <c r="D264" s="56" t="s">
        <v>15387</v>
      </c>
      <c r="E264" s="10" t="s">
        <v>209</v>
      </c>
      <c r="F264" s="10" t="s">
        <v>15388</v>
      </c>
      <c r="G264" s="10" t="s">
        <v>8</v>
      </c>
      <c r="H264" s="10" t="s">
        <v>811</v>
      </c>
      <c r="I264" s="10" t="s">
        <v>55</v>
      </c>
      <c r="J264" s="10" t="s">
        <v>15389</v>
      </c>
      <c r="K264" s="10" t="s">
        <v>23287</v>
      </c>
      <c r="L264" s="10" t="s">
        <v>42</v>
      </c>
    </row>
    <row r="265" ht="15.75" customHeight="1">
      <c r="A265" s="64">
        <v>45475.0</v>
      </c>
      <c r="B265" s="55" t="str">
        <f>HYPERLINK("https://jobright.ai/jobs/info/667ed82c31f9110acbfb0644?utm_campaign=1053&amp;utm_source=sheet", "Apply")</f>
        <v>Apply</v>
      </c>
      <c r="C265" s="10" t="s">
        <v>23285</v>
      </c>
      <c r="D265" s="56" t="s">
        <v>15387</v>
      </c>
      <c r="E265" s="10" t="s">
        <v>209</v>
      </c>
      <c r="F265" s="10" t="s">
        <v>15388</v>
      </c>
      <c r="G265" s="10" t="s">
        <v>8</v>
      </c>
      <c r="H265" s="10" t="s">
        <v>949</v>
      </c>
      <c r="I265" s="10" t="s">
        <v>55</v>
      </c>
      <c r="J265" s="10" t="s">
        <v>23286</v>
      </c>
      <c r="K265" s="10" t="s">
        <v>23287</v>
      </c>
      <c r="L265" s="10" t="s">
        <v>42</v>
      </c>
    </row>
    <row r="266" ht="15.75" customHeight="1">
      <c r="A266" s="64">
        <v>45474.0</v>
      </c>
      <c r="B266" s="55" t="str">
        <f>HYPERLINK("https://jobright.ai/jobs/info/667cf4f3bfcdafe4123913e3?utm_campaign=1053&amp;utm_source=sheet", "Apply")</f>
        <v>Apply</v>
      </c>
      <c r="C266" s="10" t="s">
        <v>23758</v>
      </c>
      <c r="D266" s="56" t="s">
        <v>15387</v>
      </c>
      <c r="E266" s="10" t="s">
        <v>209</v>
      </c>
      <c r="F266" s="10" t="s">
        <v>15388</v>
      </c>
      <c r="G266" s="10" t="s">
        <v>8</v>
      </c>
      <c r="H266" s="10" t="s">
        <v>9207</v>
      </c>
      <c r="I266" s="10" t="s">
        <v>55</v>
      </c>
      <c r="J266" s="10" t="s">
        <v>23759</v>
      </c>
      <c r="K266" s="10" t="s">
        <v>23287</v>
      </c>
      <c r="L266" s="10" t="s">
        <v>42</v>
      </c>
    </row>
    <row r="267" ht="15.75" customHeight="1">
      <c r="A267" s="64">
        <v>45474.0</v>
      </c>
      <c r="B267" s="55" t="str">
        <f>HYPERLINK("https://jobright.ai/jobs/info/667f0fa844a5e5bb25f563cd?utm_campaign=1053&amp;utm_source=sheet", "Apply")</f>
        <v>Apply</v>
      </c>
      <c r="C267" s="10" t="s">
        <v>23760</v>
      </c>
      <c r="D267" s="56" t="s">
        <v>15387</v>
      </c>
      <c r="E267" s="10" t="s">
        <v>209</v>
      </c>
      <c r="F267" s="10" t="s">
        <v>15388</v>
      </c>
      <c r="G267" s="10" t="s">
        <v>8</v>
      </c>
      <c r="H267" s="10" t="s">
        <v>3387</v>
      </c>
      <c r="I267" s="10" t="s">
        <v>55</v>
      </c>
      <c r="J267" s="10" t="s">
        <v>23286</v>
      </c>
      <c r="K267" s="10" t="s">
        <v>23287</v>
      </c>
      <c r="L267" s="10" t="s">
        <v>42</v>
      </c>
    </row>
    <row r="268" ht="15.75" customHeight="1">
      <c r="A268" s="64">
        <v>45474.0</v>
      </c>
      <c r="B268" s="55" t="str">
        <f>HYPERLINK("https://jobright.ai/jobs/info/667eddca560644e8987c43e7?utm_campaign=1053&amp;utm_source=sheet", "Apply")</f>
        <v>Apply</v>
      </c>
      <c r="C268" s="10" t="s">
        <v>23761</v>
      </c>
      <c r="D268" s="56" t="s">
        <v>15387</v>
      </c>
      <c r="E268" s="10" t="s">
        <v>209</v>
      </c>
      <c r="F268" s="10" t="s">
        <v>15388</v>
      </c>
      <c r="G268" s="10" t="s">
        <v>8</v>
      </c>
      <c r="H268" s="10" t="s">
        <v>1028</v>
      </c>
      <c r="I268" s="10" t="s">
        <v>55</v>
      </c>
      <c r="J268" s="10" t="s">
        <v>17034</v>
      </c>
      <c r="K268" s="10" t="s">
        <v>23762</v>
      </c>
      <c r="L268" s="10" t="s">
        <v>42</v>
      </c>
    </row>
    <row r="269" ht="15.75" customHeight="1">
      <c r="A269" s="64">
        <v>45474.0</v>
      </c>
      <c r="B269" s="55" t="str">
        <f>HYPERLINK("https://jobright.ai/jobs/info/66850c7284687438a14832af?utm_campaign=1053&amp;utm_source=sheet", "Apply")</f>
        <v>Apply</v>
      </c>
      <c r="C269" s="10" t="s">
        <v>13269</v>
      </c>
      <c r="D269" s="56" t="s">
        <v>23763</v>
      </c>
      <c r="E269" s="10">
        <v>150.0</v>
      </c>
      <c r="G269" s="10" t="s">
        <v>8</v>
      </c>
      <c r="H269" s="10" t="s">
        <v>170</v>
      </c>
      <c r="I269" s="10" t="s">
        <v>55</v>
      </c>
      <c r="K269" s="10" t="s">
        <v>23764</v>
      </c>
      <c r="L269" s="10" t="s">
        <v>42</v>
      </c>
    </row>
    <row r="270" ht="15.75" customHeight="1">
      <c r="A270" s="64">
        <v>45473.0</v>
      </c>
      <c r="B270" s="55" t="str">
        <f>HYPERLINK("https://jobright.ai/jobs/info/6681a978127400923c662200?utm_campaign=1053&amp;utm_source=sheet", "Apply")</f>
        <v>Apply</v>
      </c>
      <c r="C270" s="10" t="s">
        <v>23492</v>
      </c>
      <c r="D270" s="56" t="s">
        <v>95</v>
      </c>
      <c r="E270" s="10">
        <v>52.0</v>
      </c>
      <c r="G270" s="10" t="s">
        <v>8</v>
      </c>
      <c r="H270" s="10" t="s">
        <v>830</v>
      </c>
      <c r="I270" s="10" t="s">
        <v>55</v>
      </c>
      <c r="K270" s="10" t="s">
        <v>23493</v>
      </c>
      <c r="L270" s="10" t="s">
        <v>42</v>
      </c>
    </row>
    <row r="271" ht="15.75" customHeight="1">
      <c r="A271" s="64">
        <v>45473.0</v>
      </c>
      <c r="B271" s="55" t="str">
        <f>HYPERLINK("https://jobright.ai/jobs/info/6681a978127400923c66220c?utm_campaign=1053&amp;utm_source=sheet", "Apply")</f>
        <v>Apply</v>
      </c>
      <c r="C271" s="10" t="s">
        <v>23492</v>
      </c>
      <c r="D271" s="56" t="s">
        <v>95</v>
      </c>
      <c r="E271" s="10">
        <v>52.0</v>
      </c>
      <c r="G271" s="10" t="s">
        <v>8</v>
      </c>
      <c r="H271" s="10" t="s">
        <v>1003</v>
      </c>
      <c r="I271" s="10" t="s">
        <v>55</v>
      </c>
      <c r="K271" s="10" t="s">
        <v>23493</v>
      </c>
      <c r="L271" s="10" t="s">
        <v>42</v>
      </c>
    </row>
    <row r="272" ht="15.75" customHeight="1">
      <c r="A272" s="64">
        <v>45473.0</v>
      </c>
      <c r="B272" s="55" t="str">
        <f>HYPERLINK("https://jobright.ai/jobs/info/6681a978127400923c66221c?utm_campaign=1053&amp;utm_source=sheet", "Apply")</f>
        <v>Apply</v>
      </c>
      <c r="C272" s="10" t="s">
        <v>23492</v>
      </c>
      <c r="D272" s="56" t="s">
        <v>95</v>
      </c>
      <c r="E272" s="10">
        <v>52.0</v>
      </c>
      <c r="G272" s="10" t="s">
        <v>8</v>
      </c>
      <c r="H272" s="10" t="s">
        <v>979</v>
      </c>
      <c r="I272" s="10" t="s">
        <v>55</v>
      </c>
      <c r="K272" s="10" t="s">
        <v>23493</v>
      </c>
      <c r="L272" s="10" t="s">
        <v>42</v>
      </c>
    </row>
    <row r="273" ht="15.75" customHeight="1">
      <c r="A273" s="64">
        <v>45473.0</v>
      </c>
      <c r="B273" s="55" t="str">
        <f>HYPERLINK("https://jobright.ai/jobs/info/6681a978127400923c66221e?utm_campaign=1053&amp;utm_source=sheet", "Apply")</f>
        <v>Apply</v>
      </c>
      <c r="C273" s="10" t="s">
        <v>23492</v>
      </c>
      <c r="D273" s="56" t="s">
        <v>95</v>
      </c>
      <c r="E273" s="10">
        <v>52.0</v>
      </c>
      <c r="G273" s="10" t="s">
        <v>8</v>
      </c>
      <c r="H273" s="10" t="s">
        <v>1011</v>
      </c>
      <c r="I273" s="10" t="s">
        <v>55</v>
      </c>
      <c r="K273" s="10" t="s">
        <v>23493</v>
      </c>
      <c r="L273" s="10" t="s">
        <v>42</v>
      </c>
    </row>
    <row r="274" ht="15.75" customHeight="1">
      <c r="A274" s="64">
        <v>45473.0</v>
      </c>
      <c r="B274" s="55" t="str">
        <f>HYPERLINK("https://jobright.ai/jobs/info/6681a978127400923c66221f?utm_campaign=1053&amp;utm_source=sheet", "Apply")</f>
        <v>Apply</v>
      </c>
      <c r="C274" s="10" t="s">
        <v>23492</v>
      </c>
      <c r="D274" s="56" t="s">
        <v>95</v>
      </c>
      <c r="E274" s="10">
        <v>52.0</v>
      </c>
      <c r="G274" s="10" t="s">
        <v>8</v>
      </c>
      <c r="H274" s="10" t="s">
        <v>873</v>
      </c>
      <c r="I274" s="10" t="s">
        <v>55</v>
      </c>
      <c r="K274" s="10" t="s">
        <v>23493</v>
      </c>
      <c r="L274" s="10" t="s">
        <v>42</v>
      </c>
    </row>
    <row r="275" ht="15.75" customHeight="1">
      <c r="A275" s="64">
        <v>45473.0</v>
      </c>
      <c r="B275" s="55" t="str">
        <f>HYPERLINK("https://jobright.ai/jobs/info/6681a978127400923c662218?utm_campaign=1053&amp;utm_source=sheet", "Apply")</f>
        <v>Apply</v>
      </c>
      <c r="C275" s="10" t="s">
        <v>23492</v>
      </c>
      <c r="D275" s="56" t="s">
        <v>95</v>
      </c>
      <c r="E275" s="10">
        <v>52.0</v>
      </c>
      <c r="G275" s="10" t="s">
        <v>8</v>
      </c>
      <c r="H275" s="10" t="s">
        <v>361</v>
      </c>
      <c r="I275" s="10" t="s">
        <v>55</v>
      </c>
      <c r="K275" s="10" t="s">
        <v>23493</v>
      </c>
      <c r="L275" s="10" t="s">
        <v>42</v>
      </c>
    </row>
    <row r="276" ht="15.75" customHeight="1">
      <c r="A276" s="64">
        <v>45473.0</v>
      </c>
      <c r="B276" s="55" t="str">
        <f>HYPERLINK("https://jobright.ai/jobs/info/6681a978127400923c66222a?utm_campaign=1053&amp;utm_source=sheet", "Apply")</f>
        <v>Apply</v>
      </c>
      <c r="C276" s="10" t="s">
        <v>23492</v>
      </c>
      <c r="D276" s="56" t="s">
        <v>95</v>
      </c>
      <c r="E276" s="10">
        <v>52.0</v>
      </c>
      <c r="G276" s="10" t="s">
        <v>8</v>
      </c>
      <c r="H276" s="10" t="s">
        <v>864</v>
      </c>
      <c r="I276" s="10" t="s">
        <v>55</v>
      </c>
      <c r="K276" s="10" t="s">
        <v>23493</v>
      </c>
      <c r="L276" s="10" t="s">
        <v>42</v>
      </c>
    </row>
    <row r="277" ht="15.75" customHeight="1">
      <c r="A277" s="64">
        <v>45473.0</v>
      </c>
      <c r="B277" s="55" t="str">
        <f>HYPERLINK("https://jobright.ai/jobs/info/6681a978127400923c662237?utm_campaign=1053&amp;utm_source=sheet", "Apply")</f>
        <v>Apply</v>
      </c>
      <c r="C277" s="10" t="s">
        <v>23492</v>
      </c>
      <c r="D277" s="56" t="s">
        <v>95</v>
      </c>
      <c r="E277" s="10">
        <v>52.0</v>
      </c>
      <c r="G277" s="10" t="s">
        <v>8</v>
      </c>
      <c r="H277" s="10" t="s">
        <v>889</v>
      </c>
      <c r="I277" s="10" t="s">
        <v>55</v>
      </c>
      <c r="K277" s="10" t="s">
        <v>23493</v>
      </c>
      <c r="L277" s="10" t="s">
        <v>42</v>
      </c>
    </row>
    <row r="278" ht="15.75" customHeight="1">
      <c r="A278" s="64">
        <v>45473.0</v>
      </c>
      <c r="B278" s="55" t="str">
        <f>HYPERLINK("https://jobright.ai/jobs/info/6681a978127400923c66222d?utm_campaign=1053&amp;utm_source=sheet", "Apply")</f>
        <v>Apply</v>
      </c>
      <c r="C278" s="10" t="s">
        <v>23492</v>
      </c>
      <c r="D278" s="56" t="s">
        <v>95</v>
      </c>
      <c r="E278" s="10">
        <v>52.0</v>
      </c>
      <c r="G278" s="10" t="s">
        <v>8</v>
      </c>
      <c r="H278" s="10" t="s">
        <v>990</v>
      </c>
      <c r="I278" s="10" t="s">
        <v>55</v>
      </c>
      <c r="K278" s="10" t="s">
        <v>23493</v>
      </c>
      <c r="L278" s="10" t="s">
        <v>42</v>
      </c>
    </row>
    <row r="279" ht="15.75" customHeight="1">
      <c r="A279" s="64">
        <v>45473.0</v>
      </c>
      <c r="B279" s="55" t="str">
        <f>HYPERLINK("https://jobright.ai/jobs/info/6681a978127400923c662231?utm_campaign=1053&amp;utm_source=sheet", "Apply")</f>
        <v>Apply</v>
      </c>
      <c r="C279" s="10" t="s">
        <v>23492</v>
      </c>
      <c r="D279" s="56" t="s">
        <v>95</v>
      </c>
      <c r="E279" s="10">
        <v>52.0</v>
      </c>
      <c r="G279" s="10" t="s">
        <v>8</v>
      </c>
      <c r="H279" s="10" t="s">
        <v>798</v>
      </c>
      <c r="I279" s="10" t="s">
        <v>55</v>
      </c>
      <c r="K279" s="10" t="s">
        <v>23493</v>
      </c>
      <c r="L279" s="10" t="s">
        <v>42</v>
      </c>
    </row>
    <row r="280" ht="15.75" customHeight="1">
      <c r="A280" s="64">
        <v>45473.0</v>
      </c>
      <c r="B280" s="55" t="str">
        <f>HYPERLINK("https://jobright.ai/jobs/info/6681a978127400923c66222b?utm_campaign=1053&amp;utm_source=sheet", "Apply")</f>
        <v>Apply</v>
      </c>
      <c r="C280" s="10" t="s">
        <v>23492</v>
      </c>
      <c r="D280" s="56" t="s">
        <v>95</v>
      </c>
      <c r="E280" s="10">
        <v>52.0</v>
      </c>
      <c r="G280" s="10" t="s">
        <v>8</v>
      </c>
      <c r="H280" s="10" t="s">
        <v>1021</v>
      </c>
      <c r="I280" s="10" t="s">
        <v>55</v>
      </c>
      <c r="K280" s="10" t="s">
        <v>23493</v>
      </c>
      <c r="L280" s="10" t="s">
        <v>42</v>
      </c>
    </row>
    <row r="281" ht="15.75" customHeight="1">
      <c r="A281" s="64">
        <v>45473.0</v>
      </c>
      <c r="B281" s="55" t="str">
        <f>HYPERLINK("https://jobright.ai/jobs/info/6681a978127400923c662246?utm_campaign=1053&amp;utm_source=sheet", "Apply")</f>
        <v>Apply</v>
      </c>
      <c r="C281" s="10" t="s">
        <v>23492</v>
      </c>
      <c r="D281" s="56" t="s">
        <v>95</v>
      </c>
      <c r="E281" s="10">
        <v>52.0</v>
      </c>
      <c r="G281" s="10" t="s">
        <v>8</v>
      </c>
      <c r="H281" s="10" t="s">
        <v>1008</v>
      </c>
      <c r="I281" s="10" t="s">
        <v>55</v>
      </c>
      <c r="K281" s="10" t="s">
        <v>23493</v>
      </c>
      <c r="L281" s="10" t="s">
        <v>42</v>
      </c>
    </row>
    <row r="282" ht="15.75" customHeight="1">
      <c r="A282" s="64">
        <v>45473.0</v>
      </c>
      <c r="B282" s="55" t="str">
        <f>HYPERLINK("https://jobright.ai/jobs/info/6681a978127400923c66224e?utm_campaign=1053&amp;utm_source=sheet", "Apply")</f>
        <v>Apply</v>
      </c>
      <c r="C282" s="10" t="s">
        <v>23492</v>
      </c>
      <c r="D282" s="56" t="s">
        <v>95</v>
      </c>
      <c r="E282" s="10">
        <v>52.0</v>
      </c>
      <c r="G282" s="10" t="s">
        <v>8</v>
      </c>
      <c r="H282" s="10" t="s">
        <v>783</v>
      </c>
      <c r="I282" s="10" t="s">
        <v>55</v>
      </c>
      <c r="K282" s="10" t="s">
        <v>23493</v>
      </c>
      <c r="L282" s="10" t="s">
        <v>42</v>
      </c>
    </row>
    <row r="283" ht="15.75" customHeight="1">
      <c r="A283" s="64">
        <v>45473.0</v>
      </c>
      <c r="B283" s="55" t="str">
        <f>HYPERLINK("https://jobright.ai/jobs/info/6681a978127400923c662239?utm_campaign=1053&amp;utm_source=sheet", "Apply")</f>
        <v>Apply</v>
      </c>
      <c r="C283" s="10" t="s">
        <v>23492</v>
      </c>
      <c r="D283" s="56" t="s">
        <v>95</v>
      </c>
      <c r="E283" s="10">
        <v>52.0</v>
      </c>
      <c r="G283" s="10" t="s">
        <v>8</v>
      </c>
      <c r="H283" s="10" t="s">
        <v>875</v>
      </c>
      <c r="I283" s="10" t="s">
        <v>55</v>
      </c>
      <c r="K283" s="10" t="s">
        <v>23493</v>
      </c>
      <c r="L283" s="10" t="s">
        <v>42</v>
      </c>
    </row>
    <row r="284" ht="15.75" customHeight="1">
      <c r="A284" s="64">
        <v>45473.0</v>
      </c>
      <c r="B284" s="55" t="str">
        <f>HYPERLINK("https://jobright.ai/jobs/info/6681a978127400923c66224d?utm_campaign=1053&amp;utm_source=sheet", "Apply")</f>
        <v>Apply</v>
      </c>
      <c r="C284" s="10" t="s">
        <v>23492</v>
      </c>
      <c r="D284" s="56" t="s">
        <v>95</v>
      </c>
      <c r="E284" s="10">
        <v>52.0</v>
      </c>
      <c r="G284" s="10" t="s">
        <v>8</v>
      </c>
      <c r="H284" s="10" t="s">
        <v>1009</v>
      </c>
      <c r="I284" s="10" t="s">
        <v>55</v>
      </c>
      <c r="K284" s="10" t="s">
        <v>23493</v>
      </c>
      <c r="L284" s="10" t="s">
        <v>42</v>
      </c>
    </row>
    <row r="285" ht="15.75" customHeight="1">
      <c r="A285" s="64">
        <v>45473.0</v>
      </c>
      <c r="B285" s="55" t="str">
        <f>HYPERLINK("https://jobright.ai/jobs/info/6681a978127400923c662240?utm_campaign=1053&amp;utm_source=sheet", "Apply")</f>
        <v>Apply</v>
      </c>
      <c r="C285" s="10" t="s">
        <v>23492</v>
      </c>
      <c r="D285" s="56" t="s">
        <v>95</v>
      </c>
      <c r="E285" s="10">
        <v>52.0</v>
      </c>
      <c r="G285" s="10" t="s">
        <v>8</v>
      </c>
      <c r="H285" s="10" t="s">
        <v>894</v>
      </c>
      <c r="I285" s="10" t="s">
        <v>55</v>
      </c>
      <c r="K285" s="10" t="s">
        <v>23493</v>
      </c>
      <c r="L285" s="10" t="s">
        <v>42</v>
      </c>
    </row>
    <row r="286" ht="15.75" customHeight="1">
      <c r="A286" s="64">
        <v>45473.0</v>
      </c>
      <c r="B286" s="55" t="str">
        <f>HYPERLINK("https://jobright.ai/jobs/info/6681a978127400923c662256?utm_campaign=1053&amp;utm_source=sheet", "Apply")</f>
        <v>Apply</v>
      </c>
      <c r="C286" s="10" t="s">
        <v>23492</v>
      </c>
      <c r="D286" s="56" t="s">
        <v>95</v>
      </c>
      <c r="E286" s="10">
        <v>52.0</v>
      </c>
      <c r="G286" s="10" t="s">
        <v>8</v>
      </c>
      <c r="H286" s="10" t="s">
        <v>792</v>
      </c>
      <c r="I286" s="10" t="s">
        <v>55</v>
      </c>
      <c r="K286" s="10" t="s">
        <v>23493</v>
      </c>
      <c r="L286" s="10" t="s">
        <v>42</v>
      </c>
    </row>
    <row r="287" ht="15.75" customHeight="1">
      <c r="A287" s="64">
        <v>45473.0</v>
      </c>
      <c r="B287" s="55" t="str">
        <f>HYPERLINK("https://jobright.ai/jobs/info/6681a978127400923c662253?utm_campaign=1053&amp;utm_source=sheet", "Apply")</f>
        <v>Apply</v>
      </c>
      <c r="C287" s="10" t="s">
        <v>23492</v>
      </c>
      <c r="D287" s="56" t="s">
        <v>95</v>
      </c>
      <c r="E287" s="10">
        <v>52.0</v>
      </c>
      <c r="G287" s="10" t="s">
        <v>8</v>
      </c>
      <c r="H287" s="10" t="s">
        <v>945</v>
      </c>
      <c r="I287" s="10" t="s">
        <v>55</v>
      </c>
      <c r="K287" s="10" t="s">
        <v>23493</v>
      </c>
      <c r="L287" s="10" t="s">
        <v>42</v>
      </c>
    </row>
    <row r="288" ht="15.75" customHeight="1">
      <c r="A288" s="64">
        <v>45473.0</v>
      </c>
      <c r="B288" s="55" t="str">
        <f>HYPERLINK("https://jobright.ai/jobs/info/6681a978127400923c662265?utm_campaign=1053&amp;utm_source=sheet", "Apply")</f>
        <v>Apply</v>
      </c>
      <c r="C288" s="10" t="s">
        <v>23492</v>
      </c>
      <c r="D288" s="56" t="s">
        <v>95</v>
      </c>
      <c r="E288" s="10">
        <v>52.0</v>
      </c>
      <c r="G288" s="10" t="s">
        <v>8</v>
      </c>
      <c r="H288" s="10" t="s">
        <v>888</v>
      </c>
      <c r="I288" s="10" t="s">
        <v>55</v>
      </c>
      <c r="K288" s="10" t="s">
        <v>23493</v>
      </c>
      <c r="L288" s="10" t="s">
        <v>42</v>
      </c>
    </row>
    <row r="289" ht="15.75" customHeight="1">
      <c r="A289" s="64">
        <v>45473.0</v>
      </c>
      <c r="B289" s="55" t="str">
        <f>HYPERLINK("https://jobright.ai/jobs/info/6681a978127400923c662276?utm_campaign=1053&amp;utm_source=sheet", "Apply")</f>
        <v>Apply</v>
      </c>
      <c r="C289" s="10" t="s">
        <v>23492</v>
      </c>
      <c r="D289" s="56" t="s">
        <v>95</v>
      </c>
      <c r="E289" s="10">
        <v>52.0</v>
      </c>
      <c r="G289" s="10" t="s">
        <v>8</v>
      </c>
      <c r="H289" s="10" t="s">
        <v>915</v>
      </c>
      <c r="I289" s="10" t="s">
        <v>55</v>
      </c>
      <c r="K289" s="10" t="s">
        <v>23493</v>
      </c>
      <c r="L289" s="10" t="s">
        <v>42</v>
      </c>
    </row>
    <row r="290" ht="15.75" customHeight="1">
      <c r="A290" s="64">
        <v>45473.0</v>
      </c>
      <c r="B290" s="55" t="str">
        <f>HYPERLINK("https://jobright.ai/jobs/info/6681a978127400923c66226c?utm_campaign=1053&amp;utm_source=sheet", "Apply")</f>
        <v>Apply</v>
      </c>
      <c r="C290" s="10" t="s">
        <v>23492</v>
      </c>
      <c r="D290" s="56" t="s">
        <v>95</v>
      </c>
      <c r="E290" s="10">
        <v>52.0</v>
      </c>
      <c r="G290" s="10" t="s">
        <v>8</v>
      </c>
      <c r="H290" s="10" t="s">
        <v>902</v>
      </c>
      <c r="I290" s="10" t="s">
        <v>55</v>
      </c>
      <c r="K290" s="10" t="s">
        <v>23493</v>
      </c>
      <c r="L290" s="10" t="s">
        <v>42</v>
      </c>
    </row>
    <row r="291" ht="15.75" customHeight="1">
      <c r="A291" s="64">
        <v>45473.0</v>
      </c>
      <c r="B291" s="55" t="str">
        <f>HYPERLINK("https://jobright.ai/jobs/info/6681a978127400923c662277?utm_campaign=1053&amp;utm_source=sheet", "Apply")</f>
        <v>Apply</v>
      </c>
      <c r="C291" s="10" t="s">
        <v>23492</v>
      </c>
      <c r="D291" s="56" t="s">
        <v>95</v>
      </c>
      <c r="E291" s="10">
        <v>52.0</v>
      </c>
      <c r="G291" s="10" t="s">
        <v>8</v>
      </c>
      <c r="H291" s="10" t="s">
        <v>880</v>
      </c>
      <c r="I291" s="10" t="s">
        <v>55</v>
      </c>
      <c r="K291" s="10" t="s">
        <v>23493</v>
      </c>
      <c r="L291" s="10" t="s">
        <v>42</v>
      </c>
    </row>
    <row r="292" ht="15.75" customHeight="1">
      <c r="A292" s="64">
        <v>45473.0</v>
      </c>
      <c r="B292" s="55" t="str">
        <f>HYPERLINK("https://jobright.ai/jobs/info/6681a978127400923c66228a?utm_campaign=1053&amp;utm_source=sheet", "Apply")</f>
        <v>Apply</v>
      </c>
      <c r="C292" s="10" t="s">
        <v>23492</v>
      </c>
      <c r="D292" s="56" t="s">
        <v>95</v>
      </c>
      <c r="E292" s="10">
        <v>52.0</v>
      </c>
      <c r="G292" s="10" t="s">
        <v>8</v>
      </c>
      <c r="H292" s="10" t="s">
        <v>910</v>
      </c>
      <c r="I292" s="10" t="s">
        <v>55</v>
      </c>
      <c r="K292" s="10" t="s">
        <v>23493</v>
      </c>
      <c r="L292" s="10" t="s">
        <v>42</v>
      </c>
    </row>
    <row r="293" ht="15.75" customHeight="1">
      <c r="A293" s="64">
        <v>45473.0</v>
      </c>
      <c r="B293" s="55" t="str">
        <f>HYPERLINK("https://jobright.ai/jobs/info/6681a978127400923c66228d?utm_campaign=1053&amp;utm_source=sheet", "Apply")</f>
        <v>Apply</v>
      </c>
      <c r="C293" s="10" t="s">
        <v>23492</v>
      </c>
      <c r="D293" s="56" t="s">
        <v>95</v>
      </c>
      <c r="E293" s="10">
        <v>52.0</v>
      </c>
      <c r="G293" s="10" t="s">
        <v>8</v>
      </c>
      <c r="H293" s="10" t="s">
        <v>845</v>
      </c>
      <c r="I293" s="10" t="s">
        <v>55</v>
      </c>
      <c r="K293" s="10" t="s">
        <v>23493</v>
      </c>
      <c r="L293" s="10" t="s">
        <v>42</v>
      </c>
    </row>
    <row r="294" ht="15.75" customHeight="1">
      <c r="A294" s="64">
        <v>45473.0</v>
      </c>
      <c r="B294" s="55" t="str">
        <f>HYPERLINK("https://jobright.ai/jobs/info/6681a978127400923c66227b?utm_campaign=1053&amp;utm_source=sheet", "Apply")</f>
        <v>Apply</v>
      </c>
      <c r="C294" s="10" t="s">
        <v>23492</v>
      </c>
      <c r="D294" s="56" t="s">
        <v>95</v>
      </c>
      <c r="E294" s="10">
        <v>52.0</v>
      </c>
      <c r="G294" s="10" t="s">
        <v>8</v>
      </c>
      <c r="H294" s="10" t="s">
        <v>405</v>
      </c>
      <c r="I294" s="10" t="s">
        <v>55</v>
      </c>
      <c r="K294" s="10" t="s">
        <v>23493</v>
      </c>
      <c r="L294" s="10" t="s">
        <v>42</v>
      </c>
    </row>
    <row r="295" ht="15.75" customHeight="1">
      <c r="A295" s="64">
        <v>45473.0</v>
      </c>
      <c r="B295" s="55" t="str">
        <f>HYPERLINK("https://jobright.ai/jobs/info/6681a978127400923c66228f?utm_campaign=1053&amp;utm_source=sheet", "Apply")</f>
        <v>Apply</v>
      </c>
      <c r="C295" s="10" t="s">
        <v>23492</v>
      </c>
      <c r="D295" s="56" t="s">
        <v>95</v>
      </c>
      <c r="E295" s="10">
        <v>52.0</v>
      </c>
      <c r="G295" s="10" t="s">
        <v>8</v>
      </c>
      <c r="H295" s="10" t="s">
        <v>884</v>
      </c>
      <c r="I295" s="10" t="s">
        <v>55</v>
      </c>
      <c r="K295" s="10" t="s">
        <v>23493</v>
      </c>
      <c r="L295" s="10" t="s">
        <v>42</v>
      </c>
    </row>
    <row r="296" ht="15.75" customHeight="1">
      <c r="A296" s="64">
        <v>45473.0</v>
      </c>
      <c r="B296" s="55" t="str">
        <f>HYPERLINK("https://jobright.ai/jobs/info/6681a978127400923c662299?utm_campaign=1053&amp;utm_source=sheet", "Apply")</f>
        <v>Apply</v>
      </c>
      <c r="C296" s="10" t="s">
        <v>23492</v>
      </c>
      <c r="D296" s="56" t="s">
        <v>95</v>
      </c>
      <c r="E296" s="10">
        <v>52.0</v>
      </c>
      <c r="G296" s="10" t="s">
        <v>8</v>
      </c>
      <c r="H296" s="10" t="s">
        <v>985</v>
      </c>
      <c r="I296" s="10" t="s">
        <v>55</v>
      </c>
      <c r="K296" s="10" t="s">
        <v>23493</v>
      </c>
      <c r="L296" s="10" t="s">
        <v>42</v>
      </c>
    </row>
    <row r="297" ht="15.75" customHeight="1">
      <c r="A297" s="64">
        <v>45473.0</v>
      </c>
      <c r="B297" s="55" t="str">
        <f>HYPERLINK("https://jobright.ai/jobs/info/6681a97f127400923c66229d?utm_campaign=1053&amp;utm_source=sheet", "Apply")</f>
        <v>Apply</v>
      </c>
      <c r="C297" s="10" t="s">
        <v>23492</v>
      </c>
      <c r="D297" s="56" t="s">
        <v>95</v>
      </c>
      <c r="E297" s="10">
        <v>52.0</v>
      </c>
      <c r="G297" s="10" t="s">
        <v>8</v>
      </c>
      <c r="H297" s="10" t="s">
        <v>775</v>
      </c>
      <c r="I297" s="10" t="s">
        <v>55</v>
      </c>
      <c r="K297" s="10" t="s">
        <v>23493</v>
      </c>
      <c r="L297" s="10" t="s">
        <v>42</v>
      </c>
    </row>
    <row r="298" ht="15.75" customHeight="1">
      <c r="A298" s="64">
        <v>45473.0</v>
      </c>
      <c r="B298" s="55" t="str">
        <f>HYPERLINK("https://jobright.ai/jobs/info/6681a97f127400923c6622a0?utm_campaign=1053&amp;utm_source=sheet", "Apply")</f>
        <v>Apply</v>
      </c>
      <c r="C298" s="10" t="s">
        <v>23492</v>
      </c>
      <c r="D298" s="56" t="s">
        <v>95</v>
      </c>
      <c r="E298" s="10">
        <v>52.0</v>
      </c>
      <c r="G298" s="10" t="s">
        <v>8</v>
      </c>
      <c r="H298" s="10" t="s">
        <v>1012</v>
      </c>
      <c r="I298" s="10" t="s">
        <v>55</v>
      </c>
      <c r="K298" s="10" t="s">
        <v>23493</v>
      </c>
      <c r="L298" s="10" t="s">
        <v>42</v>
      </c>
    </row>
    <row r="299" ht="15.75" customHeight="1">
      <c r="A299" s="64">
        <v>45473.0</v>
      </c>
      <c r="B299" s="55" t="str">
        <f>HYPERLINK("https://jobright.ai/jobs/info/6681a97f127400923c66229e?utm_campaign=1053&amp;utm_source=sheet", "Apply")</f>
        <v>Apply</v>
      </c>
      <c r="C299" s="10" t="s">
        <v>23492</v>
      </c>
      <c r="D299" s="56" t="s">
        <v>95</v>
      </c>
      <c r="E299" s="10">
        <v>52.0</v>
      </c>
      <c r="G299" s="10" t="s">
        <v>8</v>
      </c>
      <c r="H299" s="10" t="s">
        <v>434</v>
      </c>
      <c r="I299" s="10" t="s">
        <v>55</v>
      </c>
      <c r="K299" s="10" t="s">
        <v>23493</v>
      </c>
      <c r="L299" s="10" t="s">
        <v>42</v>
      </c>
    </row>
    <row r="300" ht="15.75" customHeight="1">
      <c r="A300" s="64">
        <v>45473.0</v>
      </c>
      <c r="B300" s="55" t="str">
        <f>HYPERLINK("https://jobright.ai/jobs/info/6681a97f127400923c6622a1?utm_campaign=1053&amp;utm_source=sheet", "Apply")</f>
        <v>Apply</v>
      </c>
      <c r="C300" s="10" t="s">
        <v>23492</v>
      </c>
      <c r="D300" s="56" t="s">
        <v>95</v>
      </c>
      <c r="E300" s="10">
        <v>52.0</v>
      </c>
      <c r="G300" s="10" t="s">
        <v>8</v>
      </c>
      <c r="H300" s="10" t="s">
        <v>991</v>
      </c>
      <c r="I300" s="10" t="s">
        <v>55</v>
      </c>
      <c r="K300" s="10" t="s">
        <v>23493</v>
      </c>
      <c r="L300" s="10" t="s">
        <v>42</v>
      </c>
    </row>
    <row r="301" ht="15.75" customHeight="1">
      <c r="A301" s="64">
        <v>45473.0</v>
      </c>
      <c r="B301" s="55" t="str">
        <f>HYPERLINK("https://jobright.ai/jobs/info/6681a97f127400923c6622a5?utm_campaign=1053&amp;utm_source=sheet", "Apply")</f>
        <v>Apply</v>
      </c>
      <c r="C301" s="10" t="s">
        <v>23492</v>
      </c>
      <c r="D301" s="56" t="s">
        <v>95</v>
      </c>
      <c r="E301" s="10">
        <v>52.0</v>
      </c>
      <c r="G301" s="10" t="s">
        <v>8</v>
      </c>
      <c r="H301" s="10" t="s">
        <v>772</v>
      </c>
      <c r="I301" s="10" t="s">
        <v>55</v>
      </c>
      <c r="K301" s="10" t="s">
        <v>23493</v>
      </c>
      <c r="L301" s="10" t="s">
        <v>42</v>
      </c>
    </row>
    <row r="302" ht="15.75" customHeight="1">
      <c r="A302" s="64">
        <v>45473.0</v>
      </c>
      <c r="B302" s="55" t="str">
        <f>HYPERLINK("https://jobright.ai/jobs/info/6681a97f127400923c6622b2?utm_campaign=1053&amp;utm_source=sheet", "Apply")</f>
        <v>Apply</v>
      </c>
      <c r="C302" s="10" t="s">
        <v>23492</v>
      </c>
      <c r="D302" s="56" t="s">
        <v>95</v>
      </c>
      <c r="E302" s="10">
        <v>52.0</v>
      </c>
      <c r="G302" s="10" t="s">
        <v>8</v>
      </c>
      <c r="H302" s="10" t="s">
        <v>972</v>
      </c>
      <c r="I302" s="10" t="s">
        <v>55</v>
      </c>
      <c r="K302" s="10" t="s">
        <v>23493</v>
      </c>
      <c r="L302" s="10" t="s">
        <v>42</v>
      </c>
    </row>
    <row r="303" ht="15.75" customHeight="1">
      <c r="A303" s="64">
        <v>45473.0</v>
      </c>
      <c r="B303" s="55" t="str">
        <f>HYPERLINK("https://jobright.ai/jobs/info/6681a97f127400923c6622b0?utm_campaign=1053&amp;utm_source=sheet", "Apply")</f>
        <v>Apply</v>
      </c>
      <c r="C303" s="10" t="s">
        <v>23492</v>
      </c>
      <c r="D303" s="56" t="s">
        <v>95</v>
      </c>
      <c r="E303" s="10">
        <v>52.0</v>
      </c>
      <c r="G303" s="10" t="s">
        <v>8</v>
      </c>
      <c r="H303" s="10" t="s">
        <v>278</v>
      </c>
      <c r="I303" s="10" t="s">
        <v>55</v>
      </c>
      <c r="K303" s="10" t="s">
        <v>23493</v>
      </c>
      <c r="L303" s="10" t="s">
        <v>42</v>
      </c>
    </row>
    <row r="304" ht="15.75" customHeight="1">
      <c r="A304" s="64">
        <v>45473.0</v>
      </c>
      <c r="B304" s="55" t="str">
        <f>HYPERLINK("https://jobright.ai/jobs/info/6681a97f127400923c6622af?utm_campaign=1053&amp;utm_source=sheet", "Apply")</f>
        <v>Apply</v>
      </c>
      <c r="C304" s="10" t="s">
        <v>23492</v>
      </c>
      <c r="D304" s="56" t="s">
        <v>95</v>
      </c>
      <c r="E304" s="10">
        <v>52.0</v>
      </c>
      <c r="G304" s="10" t="s">
        <v>8</v>
      </c>
      <c r="H304" s="10" t="s">
        <v>858</v>
      </c>
      <c r="I304" s="10" t="s">
        <v>55</v>
      </c>
      <c r="K304" s="10" t="s">
        <v>23493</v>
      </c>
      <c r="L304" s="10" t="s">
        <v>42</v>
      </c>
    </row>
    <row r="305" ht="15.75" customHeight="1">
      <c r="A305" s="64">
        <v>45472.0</v>
      </c>
      <c r="B305" s="55" t="str">
        <f>HYPERLINK("https://jobright.ai/jobs/info/66801eb5c6639ca386863f4a?utm_campaign=1053&amp;utm_source=sheet", "Apply")</f>
        <v>Apply</v>
      </c>
      <c r="C305" s="10" t="s">
        <v>23765</v>
      </c>
      <c r="D305" s="56" t="s">
        <v>23766</v>
      </c>
      <c r="E305" s="10">
        <v>79.0</v>
      </c>
      <c r="G305" s="10" t="s">
        <v>8</v>
      </c>
      <c r="H305" s="10" t="s">
        <v>139</v>
      </c>
      <c r="I305" s="10" t="s">
        <v>55</v>
      </c>
      <c r="J305" s="10" t="s">
        <v>1797</v>
      </c>
      <c r="K305" s="10" t="s">
        <v>23767</v>
      </c>
      <c r="L305" s="10" t="s">
        <v>42</v>
      </c>
    </row>
    <row r="306" ht="15.75" customHeight="1">
      <c r="A306" s="64">
        <v>45472.0</v>
      </c>
      <c r="B306" s="55" t="str">
        <f>HYPERLINK("https://jobright.ai/jobs/info/65e0c19f62e176d79a05312e?utm_campaign=1053&amp;utm_source=sheet", "Apply")</f>
        <v>Apply</v>
      </c>
      <c r="C306" s="10" t="s">
        <v>6618</v>
      </c>
      <c r="D306" s="56" t="s">
        <v>6619</v>
      </c>
      <c r="E306" s="10">
        <v>352.0</v>
      </c>
      <c r="G306" s="10" t="s">
        <v>8</v>
      </c>
      <c r="H306" s="10" t="s">
        <v>505</v>
      </c>
      <c r="I306" s="10" t="s">
        <v>55</v>
      </c>
      <c r="K306" s="10" t="s">
        <v>6621</v>
      </c>
      <c r="L306" s="10" t="s">
        <v>42</v>
      </c>
    </row>
    <row r="307" ht="15.75" customHeight="1">
      <c r="A307" s="64">
        <v>45472.0</v>
      </c>
      <c r="B307" s="55" t="str">
        <f>HYPERLINK("https://jobright.ai/jobs/info/667f8ab9f722acb50a081d11?utm_campaign=1053&amp;utm_source=sheet", "Apply")</f>
        <v>Apply</v>
      </c>
      <c r="C307" s="10" t="s">
        <v>23700</v>
      </c>
      <c r="D307" s="56" t="s">
        <v>3564</v>
      </c>
      <c r="E307" s="10" t="s">
        <v>45</v>
      </c>
      <c r="F307" s="10" t="s">
        <v>3565</v>
      </c>
      <c r="G307" s="10" t="s">
        <v>8</v>
      </c>
      <c r="H307" s="10" t="s">
        <v>144</v>
      </c>
      <c r="I307" s="10" t="s">
        <v>55</v>
      </c>
      <c r="J307" s="10" t="s">
        <v>13738</v>
      </c>
      <c r="K307" s="10" t="s">
        <v>23701</v>
      </c>
      <c r="L307" s="10" t="s">
        <v>42</v>
      </c>
    </row>
    <row r="308" ht="15.75" customHeight="1">
      <c r="A308" s="64">
        <v>45472.0</v>
      </c>
      <c r="B308" s="55" t="str">
        <f>HYPERLINK("https://jobright.ai/jobs/info/667fa9df676548f56bf94850?utm_campaign=1053&amp;utm_source=sheet", "Apply")</f>
        <v>Apply</v>
      </c>
      <c r="C308" s="10" t="s">
        <v>23768</v>
      </c>
      <c r="D308" s="56" t="s">
        <v>23769</v>
      </c>
      <c r="E308" s="10" t="s">
        <v>45</v>
      </c>
      <c r="F308" s="10" t="s">
        <v>15497</v>
      </c>
      <c r="G308" s="10" t="s">
        <v>8</v>
      </c>
      <c r="H308" s="10" t="s">
        <v>6612</v>
      </c>
      <c r="I308" s="10" t="s">
        <v>55</v>
      </c>
      <c r="K308" s="10" t="s">
        <v>23770</v>
      </c>
      <c r="L308" s="10" t="s">
        <v>42</v>
      </c>
    </row>
    <row r="309" ht="15.75" customHeight="1">
      <c r="A309" s="64">
        <v>45471.0</v>
      </c>
      <c r="B309" s="55" t="str">
        <f>HYPERLINK("https://jobright.ai/jobs/info/667ee815279a2f751e24f3ba?utm_campaign=1053&amp;utm_source=sheet", "Apply")</f>
        <v>Apply</v>
      </c>
      <c r="C309" s="10" t="s">
        <v>23771</v>
      </c>
      <c r="D309" s="56" t="s">
        <v>23772</v>
      </c>
      <c r="E309" s="10" t="s">
        <v>276</v>
      </c>
      <c r="F309" s="10" t="s">
        <v>2409</v>
      </c>
      <c r="G309" s="10" t="s">
        <v>8</v>
      </c>
      <c r="H309" s="10" t="s">
        <v>23773</v>
      </c>
      <c r="I309" s="10" t="s">
        <v>55</v>
      </c>
      <c r="K309" s="10" t="s">
        <v>23774</v>
      </c>
      <c r="L309" s="10" t="s">
        <v>42</v>
      </c>
    </row>
    <row r="310" ht="15.75" customHeight="1">
      <c r="A310" s="64">
        <v>45471.0</v>
      </c>
      <c r="B310" s="55" t="str">
        <f>HYPERLINK("https://jobright.ai/jobs/info/667ee31837a8015679a53970?utm_campaign=1053&amp;utm_source=sheet", "Apply")</f>
        <v>Apply</v>
      </c>
      <c r="C310" s="10" t="s">
        <v>23775</v>
      </c>
      <c r="D310" s="56" t="s">
        <v>15097</v>
      </c>
      <c r="E310" s="10" t="s">
        <v>45</v>
      </c>
      <c r="F310" s="10" t="s">
        <v>15098</v>
      </c>
      <c r="G310" s="10" t="s">
        <v>8</v>
      </c>
      <c r="H310" s="10" t="s">
        <v>15099</v>
      </c>
      <c r="I310" s="10" t="s">
        <v>48</v>
      </c>
      <c r="K310" s="10" t="s">
        <v>23776</v>
      </c>
      <c r="L310" s="10" t="s">
        <v>42</v>
      </c>
    </row>
    <row r="311" ht="15.75" customHeight="1">
      <c r="A311" s="64">
        <v>45470.0</v>
      </c>
      <c r="B311" s="55" t="str">
        <f>HYPERLINK("https://jobright.ai/jobs/info/667db75deade89152c96ff07?utm_campaign=1053&amp;utm_source=sheet", "Apply")</f>
        <v>Apply</v>
      </c>
      <c r="C311" s="10" t="s">
        <v>23777</v>
      </c>
      <c r="D311" s="56" t="s">
        <v>1959</v>
      </c>
      <c r="E311" s="10">
        <v>9898.0</v>
      </c>
      <c r="G311" s="10" t="s">
        <v>8</v>
      </c>
      <c r="H311" s="10" t="s">
        <v>23778</v>
      </c>
      <c r="I311" s="10" t="s">
        <v>48</v>
      </c>
      <c r="K311" s="10" t="s">
        <v>23779</v>
      </c>
      <c r="L311" s="10" t="s">
        <v>42</v>
      </c>
    </row>
    <row r="312" ht="15.75" customHeight="1">
      <c r="A312" s="64">
        <v>45470.0</v>
      </c>
      <c r="B312" s="55" t="str">
        <f>HYPERLINK("https://jobright.ai/jobs/info/667ce3fe0912df05df3c096b?utm_campaign=1053&amp;utm_source=sheet", "Apply")</f>
        <v>Apply</v>
      </c>
      <c r="C312" s="10" t="s">
        <v>23780</v>
      </c>
      <c r="D312" s="56" t="s">
        <v>23781</v>
      </c>
      <c r="E312" s="10" t="s">
        <v>71</v>
      </c>
      <c r="F312" s="10" t="s">
        <v>3770</v>
      </c>
      <c r="G312" s="10" t="s">
        <v>8</v>
      </c>
      <c r="H312" s="10" t="s">
        <v>1263</v>
      </c>
      <c r="I312" s="10" t="s">
        <v>55</v>
      </c>
      <c r="K312" s="10" t="s">
        <v>23782</v>
      </c>
      <c r="L312" s="10" t="s">
        <v>42</v>
      </c>
    </row>
    <row r="313" ht="15.75" customHeight="1">
      <c r="A313" s="64">
        <v>45470.0</v>
      </c>
      <c r="B313" s="55" t="str">
        <f>HYPERLINK("https://jobright.ai/jobs/info/667cdff0cf9539fe777a7fc1?utm_campaign=1053&amp;utm_source=sheet", "Apply")</f>
        <v>Apply</v>
      </c>
      <c r="C313" s="10" t="s">
        <v>23783</v>
      </c>
      <c r="D313" s="56" t="s">
        <v>7830</v>
      </c>
      <c r="E313" s="10" t="s">
        <v>249</v>
      </c>
      <c r="F313" s="10" t="s">
        <v>3906</v>
      </c>
      <c r="G313" s="10" t="s">
        <v>8</v>
      </c>
      <c r="H313" s="10" t="s">
        <v>170</v>
      </c>
      <c r="I313" s="10" t="s">
        <v>55</v>
      </c>
      <c r="J313" s="10" t="s">
        <v>3979</v>
      </c>
      <c r="K313" s="10" t="s">
        <v>23784</v>
      </c>
      <c r="L313" s="10" t="s">
        <v>42</v>
      </c>
    </row>
    <row r="314" ht="15.75" customHeight="1">
      <c r="A314" s="64">
        <v>45470.0</v>
      </c>
      <c r="B314" s="55" t="str">
        <f>HYPERLINK("https://jobright.ai/jobs/info/667cd053d42fb3b2b180c1d1?utm_campaign=1053&amp;utm_source=sheet", "Apply")</f>
        <v>Apply</v>
      </c>
      <c r="C314" s="10" t="s">
        <v>23785</v>
      </c>
      <c r="D314" s="56" t="s">
        <v>7830</v>
      </c>
      <c r="E314" s="10" t="s">
        <v>249</v>
      </c>
      <c r="F314" s="10" t="s">
        <v>3906</v>
      </c>
      <c r="G314" s="10" t="s">
        <v>8</v>
      </c>
      <c r="H314" s="10" t="s">
        <v>170</v>
      </c>
      <c r="I314" s="10" t="s">
        <v>55</v>
      </c>
      <c r="J314" s="10" t="s">
        <v>3979</v>
      </c>
      <c r="K314" s="10" t="s">
        <v>23786</v>
      </c>
      <c r="L314" s="10" t="s">
        <v>42</v>
      </c>
    </row>
    <row r="315" ht="15.75" customHeight="1">
      <c r="A315" s="64">
        <v>45470.0</v>
      </c>
      <c r="B315" s="55" t="str">
        <f>HYPERLINK("https://jobright.ai/jobs/info/667daf9885f8076f244b275a?utm_campaign=1053&amp;utm_source=sheet", "Apply")</f>
        <v>Apply</v>
      </c>
      <c r="C315" s="10" t="s">
        <v>23787</v>
      </c>
      <c r="D315" s="56" t="s">
        <v>13812</v>
      </c>
      <c r="E315" s="10" t="s">
        <v>276</v>
      </c>
      <c r="F315" s="10" t="s">
        <v>13813</v>
      </c>
      <c r="G315" s="10" t="s">
        <v>8</v>
      </c>
      <c r="H315" s="10" t="s">
        <v>15137</v>
      </c>
      <c r="I315" s="10" t="s">
        <v>55</v>
      </c>
      <c r="J315" s="10" t="s">
        <v>1797</v>
      </c>
      <c r="K315" s="10" t="s">
        <v>23788</v>
      </c>
      <c r="L315" s="10" t="s">
        <v>42</v>
      </c>
    </row>
    <row r="316" ht="15.75" customHeight="1">
      <c r="A316" s="64">
        <v>45469.0</v>
      </c>
      <c r="B316" s="55" t="str">
        <f>HYPERLINK("https://jobright.ai/jobs/info/667caa93bddde2bdd60cd3b4?utm_campaign=1053&amp;utm_source=sheet", "Apply")</f>
        <v>Apply</v>
      </c>
      <c r="C316" s="10" t="s">
        <v>23789</v>
      </c>
      <c r="D316" s="56" t="s">
        <v>1794</v>
      </c>
      <c r="E316" s="10" t="s">
        <v>65</v>
      </c>
      <c r="F316" s="10" t="s">
        <v>1795</v>
      </c>
      <c r="G316" s="10" t="s">
        <v>8</v>
      </c>
      <c r="H316" s="10" t="s">
        <v>1796</v>
      </c>
      <c r="I316" s="10" t="s">
        <v>55</v>
      </c>
      <c r="J316" s="10" t="s">
        <v>6879</v>
      </c>
      <c r="K316" s="10" t="s">
        <v>23790</v>
      </c>
      <c r="L316" s="10" t="s">
        <v>42</v>
      </c>
    </row>
    <row r="317" ht="15.75" customHeight="1">
      <c r="A317" s="64">
        <v>45469.0</v>
      </c>
      <c r="B317" s="55" t="str">
        <f>HYPERLINK("https://jobright.ai/jobs/info/667c956d8b79c077c3ac1e79?utm_campaign=1053&amp;utm_source=sheet", "Apply")</f>
        <v>Apply</v>
      </c>
      <c r="C317" s="10" t="s">
        <v>23791</v>
      </c>
      <c r="D317" s="56" t="s">
        <v>15387</v>
      </c>
      <c r="E317" s="10" t="s">
        <v>209</v>
      </c>
      <c r="F317" s="10" t="s">
        <v>15388</v>
      </c>
      <c r="G317" s="10" t="s">
        <v>8</v>
      </c>
      <c r="H317" s="10" t="s">
        <v>935</v>
      </c>
      <c r="I317" s="10" t="s">
        <v>55</v>
      </c>
      <c r="J317" s="10" t="s">
        <v>23525</v>
      </c>
      <c r="K317" s="10" t="s">
        <v>23287</v>
      </c>
      <c r="L317" s="10" t="s">
        <v>42</v>
      </c>
    </row>
    <row r="318" ht="15.75" customHeight="1">
      <c r="A318" s="64">
        <v>45469.0</v>
      </c>
      <c r="B318" s="55" t="str">
        <f>HYPERLINK("https://jobright.ai/jobs/info/667c8c507dcf43f2e6751ec7?utm_campaign=1053&amp;utm_source=sheet", "Apply")</f>
        <v>Apply</v>
      </c>
      <c r="C318" s="10" t="s">
        <v>23792</v>
      </c>
      <c r="D318" s="56" t="s">
        <v>7830</v>
      </c>
      <c r="E318" s="10" t="s">
        <v>249</v>
      </c>
      <c r="F318" s="10" t="s">
        <v>3906</v>
      </c>
      <c r="G318" s="10" t="s">
        <v>8</v>
      </c>
      <c r="H318" s="10" t="s">
        <v>96</v>
      </c>
      <c r="I318" s="10" t="s">
        <v>55</v>
      </c>
      <c r="J318" s="10" t="s">
        <v>3979</v>
      </c>
      <c r="K318" s="10" t="s">
        <v>23793</v>
      </c>
      <c r="L318" s="10" t="s">
        <v>42</v>
      </c>
    </row>
    <row r="319" ht="15.75" customHeight="1">
      <c r="A319" s="64">
        <v>45469.0</v>
      </c>
      <c r="B319" s="55" t="str">
        <f>HYPERLINK("https://jobright.ai/jobs/info/667b9ac8111bb22c5147cca3?utm_campaign=1053&amp;utm_source=sheet", "Apply")</f>
        <v>Apply</v>
      </c>
      <c r="C319" s="10" t="s">
        <v>23794</v>
      </c>
      <c r="D319" s="56" t="s">
        <v>23795</v>
      </c>
      <c r="E319" s="10" t="s">
        <v>79</v>
      </c>
      <c r="F319" s="10" t="s">
        <v>23796</v>
      </c>
      <c r="G319" s="10" t="s">
        <v>8</v>
      </c>
      <c r="H319" s="10" t="s">
        <v>3022</v>
      </c>
      <c r="I319" s="10" t="s">
        <v>48</v>
      </c>
      <c r="J319" s="10" t="s">
        <v>23797</v>
      </c>
      <c r="K319" s="10" t="s">
        <v>23798</v>
      </c>
      <c r="L319" s="10" t="s">
        <v>42</v>
      </c>
    </row>
    <row r="320" ht="15.75" customHeight="1">
      <c r="A320" s="64">
        <v>45469.0</v>
      </c>
      <c r="B320" s="55" t="str">
        <f>HYPERLINK("https://jobright.ai/jobs/info/667cc29dfd04cd274e59a2f9?utm_campaign=1053&amp;utm_source=sheet", "Apply")</f>
        <v>Apply</v>
      </c>
      <c r="C320" s="10" t="s">
        <v>23799</v>
      </c>
      <c r="D320" s="56" t="s">
        <v>23800</v>
      </c>
      <c r="E320" s="10">
        <v>9.0</v>
      </c>
      <c r="G320" s="10" t="s">
        <v>8</v>
      </c>
      <c r="H320" s="10" t="s">
        <v>117</v>
      </c>
      <c r="I320" s="10" t="s">
        <v>55</v>
      </c>
      <c r="K320" s="10" t="s">
        <v>23801</v>
      </c>
      <c r="L320" s="10" t="s">
        <v>42</v>
      </c>
    </row>
    <row r="321" ht="15.75" customHeight="1">
      <c r="A321" s="64">
        <v>45468.0</v>
      </c>
      <c r="B321" s="55" t="str">
        <f>HYPERLINK("https://jobright.ai/jobs/info/667a224ad195d6202f09bc84?utm_campaign=1053&amp;utm_source=sheet", "Apply")</f>
        <v>Apply</v>
      </c>
      <c r="C321" s="10" t="s">
        <v>23802</v>
      </c>
      <c r="D321" s="56" t="s">
        <v>23803</v>
      </c>
      <c r="E321" s="10" t="s">
        <v>65</v>
      </c>
      <c r="F321" s="10" t="s">
        <v>1506</v>
      </c>
      <c r="G321" s="10" t="s">
        <v>8</v>
      </c>
      <c r="H321" s="10" t="s">
        <v>23804</v>
      </c>
      <c r="I321" s="10" t="s">
        <v>55</v>
      </c>
      <c r="J321" s="10" t="s">
        <v>23805</v>
      </c>
      <c r="K321" s="10" t="s">
        <v>23806</v>
      </c>
      <c r="L321" s="10" t="s">
        <v>42</v>
      </c>
    </row>
    <row r="322" ht="15.75" customHeight="1">
      <c r="A322" s="64">
        <v>45467.0</v>
      </c>
      <c r="B322" s="55" t="str">
        <f>HYPERLINK("https://jobright.ai/jobs/info/6679d68571fb7317cfdb3b4c?utm_campaign=1053&amp;utm_source=sheet", "Apply")</f>
        <v>Apply</v>
      </c>
      <c r="C322" s="10" t="s">
        <v>23807</v>
      </c>
      <c r="D322" s="56" t="s">
        <v>23808</v>
      </c>
      <c r="E322" s="10" t="s">
        <v>79</v>
      </c>
      <c r="F322" s="10" t="s">
        <v>1506</v>
      </c>
      <c r="G322" s="10" t="s">
        <v>8</v>
      </c>
      <c r="H322" s="10" t="s">
        <v>23809</v>
      </c>
      <c r="I322" s="10" t="s">
        <v>55</v>
      </c>
      <c r="K322" s="10" t="s">
        <v>23810</v>
      </c>
      <c r="L322" s="10" t="s">
        <v>42</v>
      </c>
    </row>
    <row r="323" ht="15.75" customHeight="1">
      <c r="A323" s="64">
        <v>45467.0</v>
      </c>
      <c r="B323" s="55" t="str">
        <f>HYPERLINK("https://jobright.ai/jobs/info/667991d6ad88394743db3a7b?utm_campaign=1053&amp;utm_source=sheet", "Apply")</f>
        <v>Apply</v>
      </c>
      <c r="C323" s="10" t="s">
        <v>23811</v>
      </c>
      <c r="D323" s="56" t="s">
        <v>15387</v>
      </c>
      <c r="E323" s="10" t="s">
        <v>209</v>
      </c>
      <c r="F323" s="10" t="s">
        <v>15388</v>
      </c>
      <c r="G323" s="10" t="s">
        <v>8</v>
      </c>
      <c r="H323" s="10" t="s">
        <v>1352</v>
      </c>
      <c r="I323" s="10" t="s">
        <v>55</v>
      </c>
      <c r="J323" s="10" t="s">
        <v>23707</v>
      </c>
      <c r="K323" s="10" t="s">
        <v>23287</v>
      </c>
      <c r="L323" s="10" t="s">
        <v>42</v>
      </c>
    </row>
    <row r="324" ht="15.75" customHeight="1">
      <c r="A324" s="64">
        <v>45465.0</v>
      </c>
      <c r="B324" s="55" t="str">
        <f>HYPERLINK("https://jobright.ai/jobs/info/667673b880545507a3747568?utm_campaign=1053&amp;utm_source=sheet", "Apply")</f>
        <v>Apply</v>
      </c>
      <c r="C324" s="10" t="s">
        <v>23623</v>
      </c>
      <c r="D324" s="56" t="s">
        <v>23812</v>
      </c>
      <c r="E324" s="10">
        <v>34.0</v>
      </c>
      <c r="G324" s="10" t="s">
        <v>8</v>
      </c>
      <c r="H324" s="10" t="s">
        <v>371</v>
      </c>
      <c r="I324" s="10" t="s">
        <v>55</v>
      </c>
      <c r="K324" s="10" t="s">
        <v>23813</v>
      </c>
      <c r="L324" s="10" t="s">
        <v>42</v>
      </c>
    </row>
    <row r="325" ht="15.75" customHeight="1">
      <c r="A325" s="64">
        <v>45464.0</v>
      </c>
      <c r="B325" s="55" t="str">
        <f>HYPERLINK("https://jobright.ai/jobs/info/667673d780545507a37477d3?utm_campaign=1053&amp;utm_source=sheet", "Apply")</f>
        <v>Apply</v>
      </c>
      <c r="C325" s="10" t="s">
        <v>23814</v>
      </c>
      <c r="D325" s="56" t="s">
        <v>23815</v>
      </c>
      <c r="E325" s="10" t="s">
        <v>79</v>
      </c>
      <c r="F325" s="10" t="s">
        <v>23816</v>
      </c>
      <c r="G325" s="10" t="s">
        <v>8</v>
      </c>
      <c r="H325" s="10" t="s">
        <v>23817</v>
      </c>
      <c r="I325" s="10" t="s">
        <v>55</v>
      </c>
      <c r="K325" s="10" t="s">
        <v>23818</v>
      </c>
      <c r="L325" s="10" t="s">
        <v>42</v>
      </c>
    </row>
    <row r="326" ht="15.75" customHeight="1">
      <c r="A326" s="64">
        <v>45464.0</v>
      </c>
      <c r="B326" s="55" t="str">
        <f>HYPERLINK("https://jobright.ai/jobs/info/66754ed2c85b56be4ffcbb7d?utm_campaign=1053&amp;utm_source=sheet", "Apply")</f>
        <v>Apply</v>
      </c>
      <c r="C326" s="10" t="s">
        <v>23819</v>
      </c>
      <c r="D326" s="56" t="s">
        <v>13701</v>
      </c>
      <c r="E326" s="10" t="s">
        <v>249</v>
      </c>
      <c r="F326" s="10" t="s">
        <v>1893</v>
      </c>
      <c r="G326" s="10" t="s">
        <v>8</v>
      </c>
      <c r="H326" s="10" t="s">
        <v>909</v>
      </c>
      <c r="I326" s="10" t="s">
        <v>55</v>
      </c>
      <c r="K326" s="10" t="s">
        <v>23820</v>
      </c>
      <c r="L326" s="10" t="s">
        <v>42</v>
      </c>
    </row>
    <row r="327" ht="15.75" customHeight="1">
      <c r="A327" s="66">
        <v>45464.0</v>
      </c>
      <c r="B327" s="55" t="str">
        <f>HYPERLINK("https://jobright.ai/jobs/info/667714153ab189f6697e9738?utm_campaign=1053&amp;utm_source=sheet", "Apply")</f>
        <v>Apply</v>
      </c>
      <c r="C327" s="10" t="s">
        <v>23821</v>
      </c>
      <c r="D327" s="56" t="s">
        <v>23800</v>
      </c>
      <c r="E327" s="10">
        <v>9.0</v>
      </c>
      <c r="G327" s="10" t="s">
        <v>8</v>
      </c>
      <c r="H327" s="10" t="s">
        <v>117</v>
      </c>
      <c r="I327" s="10" t="s">
        <v>55</v>
      </c>
      <c r="J327" s="10" t="s">
        <v>1608</v>
      </c>
      <c r="K327" s="10" t="s">
        <v>23822</v>
      </c>
      <c r="L327" s="10" t="s">
        <v>42</v>
      </c>
    </row>
    <row r="328" ht="15.75" customHeight="1">
      <c r="A328" s="66">
        <v>45463.0</v>
      </c>
      <c r="B328" s="55" t="str">
        <f>HYPERLINK("https://jobright.ai/jobs/info/667222b796df7b9790bcf630?utm_campaign=1053&amp;utm_source=sheet", "Apply")</f>
        <v>Apply</v>
      </c>
      <c r="C328" s="10" t="s">
        <v>23823</v>
      </c>
      <c r="D328" s="56" t="s">
        <v>15387</v>
      </c>
      <c r="E328" s="10" t="s">
        <v>209</v>
      </c>
      <c r="F328" s="10" t="s">
        <v>15388</v>
      </c>
      <c r="G328" s="10" t="s">
        <v>8</v>
      </c>
      <c r="H328" s="10" t="s">
        <v>866</v>
      </c>
      <c r="I328" s="10" t="s">
        <v>55</v>
      </c>
      <c r="J328" s="10" t="s">
        <v>15389</v>
      </c>
      <c r="K328" s="10" t="s">
        <v>23287</v>
      </c>
      <c r="L328" s="10" t="s">
        <v>42</v>
      </c>
    </row>
    <row r="329" ht="15.75" customHeight="1">
      <c r="A329" s="66">
        <v>45463.0</v>
      </c>
      <c r="B329" s="55" t="str">
        <f>HYPERLINK("https://jobright.ai/jobs/info/66753f19b0803f5d74de67c7?utm_campaign=1053&amp;utm_source=sheet", "Apply")</f>
        <v>Apply</v>
      </c>
      <c r="C329" s="10" t="s">
        <v>23824</v>
      </c>
      <c r="D329" s="56" t="s">
        <v>13333</v>
      </c>
      <c r="E329" s="10" t="s">
        <v>71</v>
      </c>
      <c r="F329" s="10" t="s">
        <v>13334</v>
      </c>
      <c r="G329" s="10" t="s">
        <v>8</v>
      </c>
      <c r="H329" s="10" t="s">
        <v>1038</v>
      </c>
      <c r="I329" s="10" t="s">
        <v>55</v>
      </c>
      <c r="K329" s="10" t="s">
        <v>23825</v>
      </c>
      <c r="L329" s="10" t="s">
        <v>42</v>
      </c>
    </row>
    <row r="330" ht="15.75" customHeight="1">
      <c r="A330" s="66">
        <v>45463.0</v>
      </c>
      <c r="B330" s="55" t="str">
        <f>HYPERLINK("https://jobright.ai/jobs/info/66745dcc6d0c13fd67e48994?utm_campaign=1053&amp;utm_source=sheet", "Apply")</f>
        <v>Apply</v>
      </c>
      <c r="C330" s="10" t="s">
        <v>23826</v>
      </c>
      <c r="D330" s="56" t="s">
        <v>15387</v>
      </c>
      <c r="E330" s="10" t="s">
        <v>209</v>
      </c>
      <c r="F330" s="10" t="s">
        <v>15388</v>
      </c>
      <c r="G330" s="10" t="s">
        <v>8</v>
      </c>
      <c r="H330" s="10" t="s">
        <v>1035</v>
      </c>
      <c r="I330" s="10" t="s">
        <v>55</v>
      </c>
      <c r="J330" s="10" t="s">
        <v>23525</v>
      </c>
      <c r="K330" s="10" t="s">
        <v>23287</v>
      </c>
      <c r="L330" s="10" t="s">
        <v>42</v>
      </c>
    </row>
    <row r="331" ht="15.75" customHeight="1">
      <c r="A331" s="66">
        <v>45463.0</v>
      </c>
      <c r="B331" s="55" t="str">
        <f>HYPERLINK("https://jobright.ai/jobs/info/6677141c3ab189f6697e9815?utm_campaign=1053&amp;utm_source=sheet", "Apply")</f>
        <v>Apply</v>
      </c>
      <c r="C331" s="10" t="s">
        <v>23827</v>
      </c>
      <c r="D331" s="56" t="s">
        <v>7959</v>
      </c>
      <c r="E331" s="10">
        <v>175.0</v>
      </c>
      <c r="G331" s="10" t="s">
        <v>8</v>
      </c>
      <c r="H331" s="10" t="s">
        <v>170</v>
      </c>
      <c r="I331" s="10" t="s">
        <v>55</v>
      </c>
      <c r="J331" s="10" t="s">
        <v>23828</v>
      </c>
      <c r="K331" s="10" t="s">
        <v>23829</v>
      </c>
      <c r="L331" s="10" t="s">
        <v>42</v>
      </c>
    </row>
    <row r="332" ht="15.75" customHeight="1">
      <c r="A332" s="66">
        <v>45463.0</v>
      </c>
      <c r="B332" s="55" t="str">
        <f>HYPERLINK("https://jobright.ai/jobs/info/6674ce67f7e94a7581ad1ec4?utm_campaign=1053&amp;utm_source=sheet", "Apply")</f>
        <v>Apply</v>
      </c>
      <c r="C332" s="10" t="s">
        <v>23830</v>
      </c>
      <c r="D332" s="56" t="s">
        <v>15441</v>
      </c>
      <c r="E332" s="10" t="s">
        <v>276</v>
      </c>
      <c r="F332" s="10" t="s">
        <v>15442</v>
      </c>
      <c r="G332" s="10" t="s">
        <v>8</v>
      </c>
      <c r="H332" s="10" t="s">
        <v>957</v>
      </c>
      <c r="I332" s="10" t="s">
        <v>55</v>
      </c>
      <c r="J332" s="10" t="s">
        <v>18812</v>
      </c>
      <c r="K332" s="10" t="s">
        <v>23831</v>
      </c>
      <c r="L332" s="10" t="s">
        <v>42</v>
      </c>
    </row>
    <row r="333" ht="15.75" customHeight="1">
      <c r="A333" s="66">
        <v>45462.0</v>
      </c>
      <c r="B333" s="55" t="str">
        <f>HYPERLINK("https://jobright.ai/jobs/info/66737bd326c46320b5ce9ac6?utm_campaign=1053&amp;utm_source=sheet", "Apply")</f>
        <v>Apply</v>
      </c>
      <c r="C333" s="10" t="s">
        <v>23832</v>
      </c>
      <c r="D333" s="56" t="s">
        <v>23833</v>
      </c>
      <c r="E333" s="59">
        <v>45301.0</v>
      </c>
      <c r="F333" s="10" t="s">
        <v>23834</v>
      </c>
      <c r="G333" s="10" t="s">
        <v>8</v>
      </c>
      <c r="H333" s="10" t="s">
        <v>170</v>
      </c>
      <c r="I333" s="10" t="s">
        <v>55</v>
      </c>
      <c r="J333" s="10" t="s">
        <v>3907</v>
      </c>
      <c r="K333" s="10" t="s">
        <v>23835</v>
      </c>
      <c r="L333" s="10" t="s">
        <v>42</v>
      </c>
    </row>
    <row r="334" ht="15.75" customHeight="1">
      <c r="A334" s="66">
        <v>45461.0</v>
      </c>
      <c r="B334" s="55" t="str">
        <f>HYPERLINK("https://jobright.ai/jobs/info/667abf9103ae0be6f1cb0c69?utm_campaign=1053&amp;utm_source=sheet", "Apply")</f>
        <v>Apply</v>
      </c>
      <c r="C334" s="10" t="s">
        <v>23836</v>
      </c>
      <c r="D334" s="56" t="s">
        <v>23837</v>
      </c>
      <c r="E334" s="10" t="s">
        <v>79</v>
      </c>
      <c r="F334" s="10" t="s">
        <v>23838</v>
      </c>
      <c r="G334" s="10" t="s">
        <v>8</v>
      </c>
      <c r="H334" s="10" t="s">
        <v>607</v>
      </c>
      <c r="I334" s="10" t="s">
        <v>55</v>
      </c>
      <c r="K334" s="10" t="s">
        <v>23839</v>
      </c>
      <c r="L334" s="10" t="s">
        <v>42</v>
      </c>
    </row>
    <row r="335" ht="15.75" customHeight="1">
      <c r="A335" s="66">
        <v>45461.0</v>
      </c>
      <c r="B335" s="55" t="str">
        <f>HYPERLINK("https://jobright.ai/jobs/info/667aa23359959cdb9b43dd7b?utm_campaign=1053&amp;utm_source=sheet", "Apply")</f>
        <v>Apply</v>
      </c>
      <c r="C335" s="10" t="s">
        <v>23840</v>
      </c>
      <c r="D335" s="56" t="s">
        <v>23837</v>
      </c>
      <c r="E335" s="10" t="s">
        <v>79</v>
      </c>
      <c r="F335" s="10" t="s">
        <v>23838</v>
      </c>
      <c r="G335" s="10" t="s">
        <v>8</v>
      </c>
      <c r="H335" s="10" t="s">
        <v>607</v>
      </c>
      <c r="I335" s="10" t="s">
        <v>55</v>
      </c>
      <c r="K335" s="10" t="s">
        <v>23841</v>
      </c>
      <c r="L335" s="10" t="s">
        <v>42</v>
      </c>
    </row>
    <row r="336" ht="15.75" customHeight="1">
      <c r="A336" s="66">
        <v>45460.0</v>
      </c>
      <c r="B336" s="55" t="str">
        <f>HYPERLINK("https://jobright.ai/jobs/info/6670caf630f6216c998d8250?utm_campaign=1053&amp;utm_source=sheet", "Apply")</f>
        <v>Apply</v>
      </c>
      <c r="C336" s="10" t="s">
        <v>23842</v>
      </c>
      <c r="D336" s="56" t="s">
        <v>15387</v>
      </c>
      <c r="E336" s="10" t="s">
        <v>209</v>
      </c>
      <c r="F336" s="10" t="s">
        <v>15388</v>
      </c>
      <c r="G336" s="10" t="s">
        <v>8</v>
      </c>
      <c r="H336" s="10" t="s">
        <v>299</v>
      </c>
      <c r="I336" s="10" t="s">
        <v>55</v>
      </c>
      <c r="J336" s="10" t="s">
        <v>23286</v>
      </c>
      <c r="K336" s="10" t="s">
        <v>23287</v>
      </c>
      <c r="L336" s="10" t="s">
        <v>42</v>
      </c>
    </row>
    <row r="337" ht="15.75" customHeight="1">
      <c r="A337" s="66">
        <v>45460.0</v>
      </c>
      <c r="B337" s="55" t="str">
        <f>HYPERLINK("https://jobright.ai/jobs/info/66701df74ebe061c2343f6a1?utm_campaign=1053&amp;utm_source=sheet", "Apply")</f>
        <v>Apply</v>
      </c>
      <c r="C337" s="10" t="s">
        <v>23843</v>
      </c>
      <c r="D337" s="56" t="s">
        <v>8324</v>
      </c>
      <c r="E337" s="10" t="s">
        <v>65</v>
      </c>
      <c r="F337" s="10" t="s">
        <v>8325</v>
      </c>
      <c r="G337" s="10" t="s">
        <v>8</v>
      </c>
      <c r="H337" s="10" t="s">
        <v>8332</v>
      </c>
      <c r="I337" s="10" t="s">
        <v>55</v>
      </c>
      <c r="J337" s="10" t="s">
        <v>8327</v>
      </c>
      <c r="K337" s="10" t="s">
        <v>23844</v>
      </c>
      <c r="L337" s="10" t="s">
        <v>42</v>
      </c>
    </row>
    <row r="338" ht="15.75" customHeight="1">
      <c r="A338" s="66">
        <v>45460.0</v>
      </c>
      <c r="B338" s="55" t="str">
        <f>HYPERLINK("https://jobright.ai/jobs/info/6670af84c54720eff2705edc?utm_campaign=1053&amp;utm_source=sheet", "Apply")</f>
        <v>Apply</v>
      </c>
      <c r="C338" s="10" t="s">
        <v>23845</v>
      </c>
      <c r="D338" s="56" t="s">
        <v>15387</v>
      </c>
      <c r="E338" s="10" t="s">
        <v>209</v>
      </c>
      <c r="F338" s="10" t="s">
        <v>15388</v>
      </c>
      <c r="G338" s="10" t="s">
        <v>8</v>
      </c>
      <c r="H338" s="10" t="s">
        <v>921</v>
      </c>
      <c r="I338" s="10" t="s">
        <v>55</v>
      </c>
      <c r="J338" s="10" t="s">
        <v>23525</v>
      </c>
      <c r="K338" s="10" t="s">
        <v>23287</v>
      </c>
      <c r="L338" s="10" t="s">
        <v>42</v>
      </c>
    </row>
    <row r="339" ht="15.75" customHeight="1">
      <c r="A339" s="66">
        <v>45460.0</v>
      </c>
      <c r="B339" s="55" t="str">
        <f>HYPERLINK("https://jobright.ai/jobs/info/6670af84c54720eff2705ef8?utm_campaign=1053&amp;utm_source=sheet", "Apply")</f>
        <v>Apply</v>
      </c>
      <c r="C339" s="10" t="s">
        <v>23846</v>
      </c>
      <c r="D339" s="56" t="s">
        <v>15387</v>
      </c>
      <c r="E339" s="10" t="s">
        <v>209</v>
      </c>
      <c r="F339" s="10" t="s">
        <v>15388</v>
      </c>
      <c r="G339" s="10" t="s">
        <v>8</v>
      </c>
      <c r="H339" s="10" t="s">
        <v>299</v>
      </c>
      <c r="I339" s="10" t="s">
        <v>55</v>
      </c>
      <c r="J339" s="10" t="s">
        <v>23707</v>
      </c>
      <c r="K339" s="10" t="s">
        <v>23287</v>
      </c>
      <c r="L339" s="10" t="s">
        <v>42</v>
      </c>
    </row>
    <row r="340" ht="15.75" customHeight="1">
      <c r="A340" s="66">
        <v>45460.0</v>
      </c>
      <c r="B340" s="55" t="str">
        <f>HYPERLINK("https://jobright.ai/jobs/info/66727e178ce3decedf253efe?utm_campaign=1053&amp;utm_source=sheet", "Apply")</f>
        <v>Apply</v>
      </c>
      <c r="C340" s="10" t="s">
        <v>23847</v>
      </c>
      <c r="D340" s="56" t="s">
        <v>8324</v>
      </c>
      <c r="E340" s="10" t="s">
        <v>65</v>
      </c>
      <c r="F340" s="10" t="s">
        <v>8325</v>
      </c>
      <c r="G340" s="10" t="s">
        <v>8</v>
      </c>
      <c r="H340" s="10" t="s">
        <v>23848</v>
      </c>
      <c r="I340" s="10" t="s">
        <v>55</v>
      </c>
      <c r="J340" s="10" t="s">
        <v>4496</v>
      </c>
      <c r="K340" s="10" t="s">
        <v>23849</v>
      </c>
      <c r="L340" s="10" t="s">
        <v>42</v>
      </c>
    </row>
    <row r="341" ht="15.75" customHeight="1">
      <c r="A341" s="66">
        <v>45458.0</v>
      </c>
      <c r="B341" s="55" t="str">
        <f>HYPERLINK("https://jobright.ai/jobs/info/6677b7e29c2d9fa5bf0882c3?utm_campaign=1053&amp;utm_source=sheet", "Apply")</f>
        <v>Apply</v>
      </c>
      <c r="C341" s="10" t="s">
        <v>23850</v>
      </c>
      <c r="D341" s="56" t="s">
        <v>2069</v>
      </c>
      <c r="E341" s="10" t="s">
        <v>65</v>
      </c>
      <c r="F341" s="10" t="s">
        <v>1663</v>
      </c>
      <c r="G341" s="10" t="s">
        <v>8</v>
      </c>
      <c r="H341" s="10" t="s">
        <v>2070</v>
      </c>
      <c r="I341" s="10" t="s">
        <v>55</v>
      </c>
      <c r="K341" s="10" t="s">
        <v>23851</v>
      </c>
      <c r="L341" s="10" t="s">
        <v>42</v>
      </c>
    </row>
    <row r="342" ht="15.75" customHeight="1">
      <c r="A342" s="66">
        <v>45458.0</v>
      </c>
      <c r="B342" s="55" t="str">
        <f>HYPERLINK("https://jobright.ai/jobs/info/66756b20e2a826d24a0df9a3?utm_campaign=1053&amp;utm_source=sheet", "Apply")</f>
        <v>Apply</v>
      </c>
      <c r="C342" s="10" t="s">
        <v>23852</v>
      </c>
      <c r="D342" s="56" t="s">
        <v>23853</v>
      </c>
      <c r="E342" s="10" t="s">
        <v>137</v>
      </c>
      <c r="F342" s="10" t="s">
        <v>1641</v>
      </c>
      <c r="G342" s="10" t="s">
        <v>8</v>
      </c>
      <c r="H342" s="10" t="s">
        <v>251</v>
      </c>
      <c r="I342" s="10" t="s">
        <v>252</v>
      </c>
      <c r="K342" s="10" t="s">
        <v>23854</v>
      </c>
      <c r="L342" s="10" t="s">
        <v>42</v>
      </c>
    </row>
    <row r="343" ht="15.75" customHeight="1">
      <c r="A343" s="66">
        <v>45457.0</v>
      </c>
      <c r="B343" s="55" t="str">
        <f>HYPERLINK("https://jobright.ai/jobs/info/667592f2bad9224db7bb69e9?utm_campaign=1053&amp;utm_source=sheet", "Apply")</f>
        <v>Apply</v>
      </c>
      <c r="C343" s="10" t="s">
        <v>23855</v>
      </c>
      <c r="D343" s="56" t="s">
        <v>23856</v>
      </c>
      <c r="E343" s="10" t="s">
        <v>45</v>
      </c>
      <c r="F343" s="10" t="s">
        <v>23857</v>
      </c>
      <c r="G343" s="10" t="s">
        <v>8</v>
      </c>
      <c r="H343" s="10" t="s">
        <v>947</v>
      </c>
      <c r="I343" s="10" t="s">
        <v>55</v>
      </c>
      <c r="K343" s="10" t="s">
        <v>23858</v>
      </c>
      <c r="L343" s="10" t="s">
        <v>42</v>
      </c>
    </row>
    <row r="344" ht="15.75" customHeight="1">
      <c r="A344" s="66">
        <v>45456.0</v>
      </c>
      <c r="B344" s="55" t="str">
        <f>HYPERLINK("https://jobright.ai/jobs/info/666c2d40e7a9453112c0e739?utm_campaign=1053&amp;utm_source=sheet", "Apply")</f>
        <v>Apply</v>
      </c>
      <c r="C344" s="10" t="s">
        <v>23859</v>
      </c>
      <c r="D344" s="56" t="s">
        <v>196</v>
      </c>
      <c r="E344" s="10" t="s">
        <v>71</v>
      </c>
      <c r="F344" s="10" t="s">
        <v>197</v>
      </c>
      <c r="G344" s="10" t="s">
        <v>8</v>
      </c>
      <c r="H344" s="10" t="s">
        <v>193</v>
      </c>
      <c r="I344" s="10" t="s">
        <v>55</v>
      </c>
      <c r="J344" s="10" t="s">
        <v>1761</v>
      </c>
      <c r="K344" s="10" t="s">
        <v>23860</v>
      </c>
      <c r="L344" s="10" t="s">
        <v>42</v>
      </c>
    </row>
    <row r="345" ht="15.75" customHeight="1">
      <c r="A345" s="66">
        <v>45456.0</v>
      </c>
      <c r="B345" s="55" t="str">
        <f>HYPERLINK("https://jobright.ai/jobs/info/666c6eb297278d018c8f0664?utm_campaign=1053&amp;utm_source=sheet", "Apply")</f>
        <v>Apply</v>
      </c>
      <c r="C345" s="10" t="s">
        <v>23861</v>
      </c>
      <c r="D345" s="56" t="s">
        <v>13460</v>
      </c>
      <c r="E345" s="10" t="s">
        <v>209</v>
      </c>
      <c r="F345" s="10" t="s">
        <v>1769</v>
      </c>
      <c r="G345" s="10" t="s">
        <v>8</v>
      </c>
      <c r="H345" s="10" t="s">
        <v>13461</v>
      </c>
      <c r="I345" s="10" t="s">
        <v>55</v>
      </c>
      <c r="K345" s="10" t="s">
        <v>23862</v>
      </c>
      <c r="L345" s="10" t="s">
        <v>42</v>
      </c>
    </row>
    <row r="346" ht="15.75" customHeight="1">
      <c r="A346" s="66">
        <v>45454.0</v>
      </c>
      <c r="B346" s="55" t="str">
        <f>HYPERLINK("https://jobright.ai/jobs/info/667ab1fc9d71c22d4959cd90?utm_campaign=1053&amp;utm_source=sheet", "Apply")</f>
        <v>Apply</v>
      </c>
      <c r="C346" s="10" t="s">
        <v>23863</v>
      </c>
      <c r="D346" s="56" t="s">
        <v>23864</v>
      </c>
      <c r="E346" s="10" t="s">
        <v>249</v>
      </c>
      <c r="F346" s="10" t="s">
        <v>14022</v>
      </c>
      <c r="G346" s="10" t="s">
        <v>8</v>
      </c>
      <c r="H346" s="10" t="s">
        <v>96</v>
      </c>
      <c r="I346" s="10" t="s">
        <v>55</v>
      </c>
      <c r="J346" s="10" t="s">
        <v>23865</v>
      </c>
      <c r="K346" s="10" t="s">
        <v>23866</v>
      </c>
      <c r="L346" s="10" t="s">
        <v>42</v>
      </c>
    </row>
    <row r="347" ht="15.75" customHeight="1">
      <c r="A347" s="66">
        <v>45454.0</v>
      </c>
      <c r="B347" s="55" t="str">
        <f>HYPERLINK("https://jobright.ai/jobs/info/667aab15a579680bce9193c6?utm_campaign=1053&amp;utm_source=sheet", "Apply")</f>
        <v>Apply</v>
      </c>
      <c r="C347" s="10" t="s">
        <v>23867</v>
      </c>
      <c r="D347" s="56" t="s">
        <v>15479</v>
      </c>
      <c r="G347" s="10" t="s">
        <v>8</v>
      </c>
      <c r="H347" s="10" t="s">
        <v>636</v>
      </c>
      <c r="I347" s="10" t="s">
        <v>55</v>
      </c>
      <c r="K347" s="10" t="s">
        <v>23868</v>
      </c>
      <c r="L347" s="10" t="s">
        <v>42</v>
      </c>
    </row>
    <row r="348" ht="15.75" customHeight="1">
      <c r="A348" s="66">
        <v>45454.0</v>
      </c>
      <c r="B348" s="55" t="str">
        <f>HYPERLINK("https://jobright.ai/jobs/info/667283638781854cc12eed67?utm_campaign=1053&amp;utm_source=sheet", "Apply")</f>
        <v>Apply</v>
      </c>
      <c r="C348" s="10" t="s">
        <v>23847</v>
      </c>
      <c r="D348" s="56" t="s">
        <v>8324</v>
      </c>
      <c r="E348" s="10" t="s">
        <v>65</v>
      </c>
      <c r="F348" s="10" t="s">
        <v>8325</v>
      </c>
      <c r="G348" s="10" t="s">
        <v>8</v>
      </c>
      <c r="H348" s="10" t="s">
        <v>23848</v>
      </c>
      <c r="I348" s="10" t="s">
        <v>55</v>
      </c>
      <c r="J348" s="10" t="s">
        <v>4496</v>
      </c>
      <c r="K348" s="10" t="s">
        <v>23849</v>
      </c>
      <c r="L348" s="10" t="s">
        <v>42</v>
      </c>
    </row>
    <row r="349" ht="15.75" customHeight="1">
      <c r="A349" s="66">
        <v>45453.0</v>
      </c>
      <c r="B349" s="55" t="str">
        <f>HYPERLINK("https://jobright.ai/jobs/info/667974268f20c6df6b89ab56?utm_campaign=1053&amp;utm_source=sheet", "Apply")</f>
        <v>Apply</v>
      </c>
      <c r="C349" s="10" t="s">
        <v>23869</v>
      </c>
      <c r="D349" s="56" t="s">
        <v>17042</v>
      </c>
      <c r="E349" s="10" t="s">
        <v>45</v>
      </c>
      <c r="F349" s="10" t="s">
        <v>12539</v>
      </c>
      <c r="G349" s="10" t="s">
        <v>8</v>
      </c>
      <c r="H349" s="10" t="s">
        <v>8034</v>
      </c>
      <c r="I349" s="10" t="s">
        <v>55</v>
      </c>
      <c r="K349" s="10" t="s">
        <v>17044</v>
      </c>
      <c r="L349" s="10" t="s">
        <v>42</v>
      </c>
    </row>
    <row r="350" ht="15.75" customHeight="1">
      <c r="A350" s="66">
        <v>45453.0</v>
      </c>
      <c r="B350" s="55" t="str">
        <f>HYPERLINK("https://jobright.ai/jobs/info/6667961f15e23fcd9b01f707?utm_campaign=1053&amp;utm_source=sheet", "Apply")</f>
        <v>Apply</v>
      </c>
      <c r="C350" s="10" t="s">
        <v>23296</v>
      </c>
      <c r="D350" s="56" t="s">
        <v>2294</v>
      </c>
      <c r="E350" s="10" t="s">
        <v>209</v>
      </c>
      <c r="F350" s="10" t="s">
        <v>2295</v>
      </c>
      <c r="G350" s="10" t="s">
        <v>8</v>
      </c>
      <c r="H350" s="10" t="s">
        <v>1042</v>
      </c>
      <c r="I350" s="10" t="s">
        <v>55</v>
      </c>
      <c r="K350" s="10" t="s">
        <v>23870</v>
      </c>
      <c r="L350" s="10" t="s">
        <v>42</v>
      </c>
    </row>
    <row r="351" ht="15.75" customHeight="1">
      <c r="A351" s="66">
        <v>45453.0</v>
      </c>
      <c r="B351" s="55" t="str">
        <f>HYPERLINK("https://jobright.ai/jobs/info/6667716526ea6d4e97668665?utm_campaign=1053&amp;utm_source=sheet", "Apply")</f>
        <v>Apply</v>
      </c>
      <c r="C351" s="10" t="s">
        <v>23871</v>
      </c>
      <c r="D351" s="56" t="s">
        <v>15387</v>
      </c>
      <c r="E351" s="10" t="s">
        <v>209</v>
      </c>
      <c r="F351" s="10" t="s">
        <v>15388</v>
      </c>
      <c r="G351" s="10" t="s">
        <v>8</v>
      </c>
      <c r="H351" s="10" t="s">
        <v>923</v>
      </c>
      <c r="I351" s="10" t="s">
        <v>55</v>
      </c>
      <c r="J351" s="10" t="s">
        <v>23707</v>
      </c>
      <c r="K351" s="10" t="s">
        <v>23872</v>
      </c>
      <c r="L351" s="10" t="s">
        <v>42</v>
      </c>
    </row>
    <row r="352" ht="15.75" customHeight="1">
      <c r="A352" s="66">
        <v>45452.0</v>
      </c>
      <c r="B352" s="55" t="str">
        <f>HYPERLINK("https://jobright.ai/jobs/info/66652355b162a60e58c90753?utm_campaign=1053&amp;utm_source=sheet", "Apply")</f>
        <v>Apply</v>
      </c>
      <c r="C352" s="10" t="s">
        <v>23873</v>
      </c>
      <c r="D352" s="56" t="s">
        <v>23874</v>
      </c>
      <c r="E352" s="10" t="s">
        <v>249</v>
      </c>
      <c r="F352" s="10" t="s">
        <v>13842</v>
      </c>
      <c r="G352" s="10" t="s">
        <v>8</v>
      </c>
      <c r="H352" s="10" t="s">
        <v>7569</v>
      </c>
      <c r="I352" s="10" t="s">
        <v>55</v>
      </c>
      <c r="J352" s="10" t="s">
        <v>1608</v>
      </c>
      <c r="K352" s="10" t="s">
        <v>23875</v>
      </c>
      <c r="L352" s="10" t="s">
        <v>42</v>
      </c>
    </row>
    <row r="353" ht="15.75" customHeight="1">
      <c r="A353" s="66">
        <v>45451.0</v>
      </c>
      <c r="B353" s="55" t="str">
        <f>HYPERLINK("https://jobright.ai/jobs/info/6677c89864f2e472ffd645bb?utm_campaign=1053&amp;utm_source=sheet", "Apply")</f>
        <v>Apply</v>
      </c>
      <c r="C353" s="10" t="s">
        <v>23876</v>
      </c>
      <c r="D353" s="56" t="s">
        <v>23877</v>
      </c>
      <c r="E353" s="10" t="s">
        <v>79</v>
      </c>
      <c r="G353" s="10" t="s">
        <v>8</v>
      </c>
      <c r="H353" s="10" t="s">
        <v>174</v>
      </c>
      <c r="I353" s="10" t="s">
        <v>55</v>
      </c>
      <c r="K353" s="10" t="s">
        <v>23878</v>
      </c>
      <c r="L353" s="10" t="s">
        <v>42</v>
      </c>
    </row>
    <row r="354" ht="15.75" customHeight="1">
      <c r="A354" s="66">
        <v>45451.0</v>
      </c>
      <c r="B354" s="55" t="str">
        <f>HYPERLINK("https://jobright.ai/jobs/info/6677cc8574ec1a95a89ae3c7?utm_campaign=1053&amp;utm_source=sheet", "Apply")</f>
        <v>Apply</v>
      </c>
      <c r="C354" s="10" t="s">
        <v>23879</v>
      </c>
      <c r="D354" s="56" t="s">
        <v>17042</v>
      </c>
      <c r="E354" s="10" t="s">
        <v>45</v>
      </c>
      <c r="F354" s="10" t="s">
        <v>12539</v>
      </c>
      <c r="G354" s="10" t="s">
        <v>8</v>
      </c>
      <c r="H354" s="10" t="s">
        <v>621</v>
      </c>
      <c r="I354" s="10" t="s">
        <v>55</v>
      </c>
      <c r="K354" s="10" t="s">
        <v>17044</v>
      </c>
      <c r="L354" s="10" t="s">
        <v>42</v>
      </c>
    </row>
    <row r="355" ht="15.75" customHeight="1">
      <c r="A355" s="67">
        <v>45451.0</v>
      </c>
      <c r="B355" s="55" t="str">
        <f>HYPERLINK("https://jobright.ai/jobs/info/6677cd4974ec1a95a89af072?utm_campaign=1053&amp;utm_source=sheet", "Apply")</f>
        <v>Apply</v>
      </c>
      <c r="C355" s="10" t="s">
        <v>23880</v>
      </c>
      <c r="D355" s="56" t="s">
        <v>17042</v>
      </c>
      <c r="E355" s="10" t="s">
        <v>45</v>
      </c>
      <c r="F355" s="10" t="s">
        <v>12539</v>
      </c>
      <c r="G355" s="10" t="s">
        <v>8</v>
      </c>
      <c r="H355" s="10" t="s">
        <v>16707</v>
      </c>
      <c r="I355" s="10" t="s">
        <v>55</v>
      </c>
      <c r="K355" s="10" t="s">
        <v>17044</v>
      </c>
      <c r="L355" s="10" t="s">
        <v>42</v>
      </c>
    </row>
    <row r="356" ht="15.75" customHeight="1">
      <c r="A356" s="67">
        <v>45451.0</v>
      </c>
      <c r="B356" s="55" t="str">
        <f>HYPERLINK("https://jobright.ai/jobs/info/6677cdf174ec1a95a89afc0a?utm_campaign=1053&amp;utm_source=sheet", "Apply")</f>
        <v>Apply</v>
      </c>
      <c r="C356" s="10" t="s">
        <v>23881</v>
      </c>
      <c r="D356" s="56" t="s">
        <v>17042</v>
      </c>
      <c r="E356" s="10" t="s">
        <v>45</v>
      </c>
      <c r="F356" s="10" t="s">
        <v>12539</v>
      </c>
      <c r="G356" s="10" t="s">
        <v>8</v>
      </c>
      <c r="H356" s="10" t="s">
        <v>628</v>
      </c>
      <c r="I356" s="10" t="s">
        <v>55</v>
      </c>
      <c r="K356" s="10" t="s">
        <v>17044</v>
      </c>
      <c r="L356" s="10" t="s">
        <v>42</v>
      </c>
    </row>
    <row r="357" ht="15.75" customHeight="1">
      <c r="A357" s="67">
        <v>45451.0</v>
      </c>
      <c r="B357" s="55" t="str">
        <f>HYPERLINK("https://jobright.ai/jobs/info/6677d2d297271e26801e3431?utm_campaign=1053&amp;utm_source=sheet", "Apply")</f>
        <v>Apply</v>
      </c>
      <c r="C357" s="10" t="s">
        <v>23882</v>
      </c>
      <c r="D357" s="56" t="s">
        <v>17042</v>
      </c>
      <c r="E357" s="10" t="s">
        <v>45</v>
      </c>
      <c r="F357" s="10" t="s">
        <v>12539</v>
      </c>
      <c r="G357" s="10" t="s">
        <v>8</v>
      </c>
      <c r="H357" s="10" t="s">
        <v>18119</v>
      </c>
      <c r="I357" s="10" t="s">
        <v>55</v>
      </c>
      <c r="K357" s="10" t="s">
        <v>17044</v>
      </c>
      <c r="L357" s="10" t="s">
        <v>42</v>
      </c>
    </row>
    <row r="358" ht="15.75" customHeight="1">
      <c r="A358" s="67">
        <v>45451.0</v>
      </c>
      <c r="B358" s="55" t="str">
        <f>HYPERLINK("https://jobright.ai/jobs/info/6677d38097271e26801e4145?utm_campaign=1053&amp;utm_source=sheet", "Apply")</f>
        <v>Apply</v>
      </c>
      <c r="C358" s="10" t="s">
        <v>23883</v>
      </c>
      <c r="D358" s="56" t="s">
        <v>17042</v>
      </c>
      <c r="E358" s="10" t="s">
        <v>45</v>
      </c>
      <c r="F358" s="10" t="s">
        <v>12539</v>
      </c>
      <c r="G358" s="10" t="s">
        <v>8</v>
      </c>
      <c r="H358" s="10" t="s">
        <v>16971</v>
      </c>
      <c r="I358" s="10" t="s">
        <v>55</v>
      </c>
      <c r="K358" s="10" t="s">
        <v>17044</v>
      </c>
      <c r="L358" s="10" t="s">
        <v>42</v>
      </c>
    </row>
    <row r="359" ht="15.75" customHeight="1">
      <c r="A359" s="67">
        <v>45451.0</v>
      </c>
      <c r="B359" s="55" t="str">
        <f>HYPERLINK("https://jobright.ai/jobs/info/666594bb76eaf25e50b952fe?utm_campaign=1053&amp;utm_source=sheet", "Apply")</f>
        <v>Apply</v>
      </c>
      <c r="C359" s="10" t="s">
        <v>23884</v>
      </c>
      <c r="D359" s="56" t="s">
        <v>23885</v>
      </c>
      <c r="E359" s="10" t="s">
        <v>209</v>
      </c>
      <c r="F359" s="10" t="s">
        <v>3027</v>
      </c>
      <c r="G359" s="10" t="s">
        <v>8</v>
      </c>
      <c r="H359" s="10" t="s">
        <v>144</v>
      </c>
      <c r="I359" s="10" t="s">
        <v>55</v>
      </c>
      <c r="K359" s="10" t="s">
        <v>23886</v>
      </c>
      <c r="L359" s="10" t="s">
        <v>42</v>
      </c>
    </row>
    <row r="360" ht="15.75" customHeight="1">
      <c r="A360" s="67">
        <v>45451.0</v>
      </c>
      <c r="B360" s="55" t="str">
        <f>HYPERLINK("https://jobright.ai/jobs/info/6663d2e354fd78216b7ce916?utm_campaign=1053&amp;utm_source=sheet", "Apply")</f>
        <v>Apply</v>
      </c>
      <c r="C360" s="10" t="s">
        <v>23887</v>
      </c>
      <c r="D360" s="56" t="s">
        <v>19466</v>
      </c>
      <c r="E360" s="10" t="s">
        <v>276</v>
      </c>
      <c r="F360" s="10" t="s">
        <v>19467</v>
      </c>
      <c r="G360" s="10" t="s">
        <v>8</v>
      </c>
      <c r="H360" s="10" t="s">
        <v>19468</v>
      </c>
      <c r="I360" s="10" t="s">
        <v>55</v>
      </c>
      <c r="J360" s="10" t="s">
        <v>23888</v>
      </c>
      <c r="K360" s="10" t="s">
        <v>23889</v>
      </c>
      <c r="L360" s="10" t="s">
        <v>42</v>
      </c>
    </row>
    <row r="361" ht="15.75" customHeight="1">
      <c r="A361" s="67">
        <v>45451.0</v>
      </c>
      <c r="B361" s="55" t="str">
        <f>HYPERLINK("https://jobright.ai/jobs/info/6663d2e354fd78216b7ce902?utm_campaign=1053&amp;utm_source=sheet", "Apply")</f>
        <v>Apply</v>
      </c>
      <c r="C361" s="10" t="s">
        <v>23890</v>
      </c>
      <c r="D361" s="56" t="s">
        <v>19466</v>
      </c>
      <c r="E361" s="10" t="s">
        <v>276</v>
      </c>
      <c r="F361" s="10" t="s">
        <v>19467</v>
      </c>
      <c r="G361" s="10" t="s">
        <v>8</v>
      </c>
      <c r="H361" s="10" t="s">
        <v>19468</v>
      </c>
      <c r="I361" s="10" t="s">
        <v>55</v>
      </c>
      <c r="J361" s="10" t="s">
        <v>19469</v>
      </c>
      <c r="K361" s="10" t="s">
        <v>23891</v>
      </c>
      <c r="L361" s="10" t="s">
        <v>42</v>
      </c>
    </row>
    <row r="362" ht="15.75" customHeight="1">
      <c r="A362" s="67">
        <v>45450.0</v>
      </c>
      <c r="B362" s="55" t="str">
        <f>HYPERLINK("https://jobright.ai/jobs/info/6675b5ca357894b74ff2a34c?utm_campaign=1053&amp;utm_source=sheet", "Apply")</f>
        <v>Apply</v>
      </c>
      <c r="C362" s="10" t="s">
        <v>23892</v>
      </c>
      <c r="D362" s="56" t="s">
        <v>17042</v>
      </c>
      <c r="E362" s="10" t="s">
        <v>45</v>
      </c>
      <c r="F362" s="10" t="s">
        <v>12539</v>
      </c>
      <c r="G362" s="10" t="s">
        <v>8</v>
      </c>
      <c r="H362" s="10" t="s">
        <v>768</v>
      </c>
      <c r="I362" s="10" t="s">
        <v>55</v>
      </c>
      <c r="K362" s="10" t="s">
        <v>17044</v>
      </c>
      <c r="L362" s="10" t="s">
        <v>42</v>
      </c>
    </row>
    <row r="363" ht="15.75" customHeight="1">
      <c r="A363" s="67">
        <v>45450.0</v>
      </c>
      <c r="B363" s="55" t="str">
        <f>HYPERLINK("https://jobright.ai/jobs/info/666c4475b3b6eb3a161ca76a?utm_campaign=1053&amp;utm_source=sheet", "Apply")</f>
        <v>Apply</v>
      </c>
      <c r="C363" s="10" t="s">
        <v>23893</v>
      </c>
      <c r="D363" s="56" t="s">
        <v>23894</v>
      </c>
      <c r="E363" s="10" t="s">
        <v>79</v>
      </c>
      <c r="G363" s="10" t="s">
        <v>8</v>
      </c>
      <c r="H363" s="10" t="s">
        <v>3721</v>
      </c>
      <c r="I363" s="10" t="s">
        <v>55</v>
      </c>
      <c r="K363" s="10" t="s">
        <v>23895</v>
      </c>
      <c r="L363" s="10" t="s">
        <v>42</v>
      </c>
    </row>
    <row r="364" ht="15.75" customHeight="1">
      <c r="A364" s="67">
        <v>45450.0</v>
      </c>
      <c r="B364" s="55" t="str">
        <f>HYPERLINK("https://jobright.ai/jobs/info/666395ac14a8f172c1ad1a28?utm_campaign=1053&amp;utm_source=sheet", "Apply")</f>
        <v>Apply</v>
      </c>
      <c r="C364" s="10" t="s">
        <v>23896</v>
      </c>
      <c r="D364" s="56" t="s">
        <v>15387</v>
      </c>
      <c r="E364" s="10" t="s">
        <v>209</v>
      </c>
      <c r="F364" s="10" t="s">
        <v>15388</v>
      </c>
      <c r="G364" s="10" t="s">
        <v>8</v>
      </c>
      <c r="H364" s="10" t="s">
        <v>13924</v>
      </c>
      <c r="I364" s="10" t="s">
        <v>55</v>
      </c>
      <c r="J364" s="10" t="s">
        <v>23525</v>
      </c>
      <c r="K364" s="10" t="s">
        <v>23897</v>
      </c>
      <c r="L364" s="10" t="s">
        <v>42</v>
      </c>
    </row>
    <row r="365" ht="15.75" customHeight="1">
      <c r="A365" s="67">
        <v>45449.0</v>
      </c>
      <c r="B365" s="55" t="str">
        <f>HYPERLINK("https://jobright.ai/jobs/info/665a81d739fcb25c59e3491f?utm_campaign=1053&amp;utm_source=sheet", "Apply")</f>
        <v>Apply</v>
      </c>
      <c r="C365" s="10" t="s">
        <v>23898</v>
      </c>
      <c r="D365" s="56" t="s">
        <v>23864</v>
      </c>
      <c r="E365" s="10" t="s">
        <v>249</v>
      </c>
      <c r="F365" s="10" t="s">
        <v>14022</v>
      </c>
      <c r="G365" s="10" t="s">
        <v>8</v>
      </c>
      <c r="H365" s="10" t="s">
        <v>96</v>
      </c>
      <c r="I365" s="10" t="s">
        <v>55</v>
      </c>
      <c r="J365" s="10" t="s">
        <v>23865</v>
      </c>
      <c r="K365" s="10" t="s">
        <v>23899</v>
      </c>
      <c r="L365" s="10" t="s">
        <v>42</v>
      </c>
    </row>
    <row r="366" ht="15.75" customHeight="1">
      <c r="A366" s="67">
        <v>45449.0</v>
      </c>
      <c r="B366" s="55" t="str">
        <f>HYPERLINK("https://jobright.ai/jobs/info/6659d6f5ff786d9cea646ad3?utm_campaign=1053&amp;utm_source=sheet", "Apply")</f>
        <v>Apply</v>
      </c>
      <c r="C366" s="10" t="s">
        <v>23863</v>
      </c>
      <c r="D366" s="56" t="s">
        <v>23864</v>
      </c>
      <c r="E366" s="10" t="s">
        <v>249</v>
      </c>
      <c r="F366" s="10" t="s">
        <v>14022</v>
      </c>
      <c r="G366" s="10" t="s">
        <v>8</v>
      </c>
      <c r="H366" s="10" t="s">
        <v>96</v>
      </c>
      <c r="I366" s="10" t="s">
        <v>55</v>
      </c>
      <c r="J366" s="10" t="s">
        <v>23865</v>
      </c>
      <c r="K366" s="10" t="s">
        <v>23866</v>
      </c>
      <c r="L366" s="10" t="s">
        <v>42</v>
      </c>
    </row>
    <row r="367" ht="15.75" customHeight="1">
      <c r="A367" s="67">
        <v>45449.0</v>
      </c>
      <c r="B367" s="55" t="str">
        <f>HYPERLINK("https://jobright.ai/jobs/info/666238a641f9366fe5bbc73c?utm_campaign=1053&amp;utm_source=sheet", "Apply")</f>
        <v>Apply</v>
      </c>
      <c r="C367" s="10" t="s">
        <v>23900</v>
      </c>
      <c r="D367" s="56" t="s">
        <v>15387</v>
      </c>
      <c r="E367" s="10" t="s">
        <v>209</v>
      </c>
      <c r="F367" s="10" t="s">
        <v>15388</v>
      </c>
      <c r="G367" s="10" t="s">
        <v>8</v>
      </c>
      <c r="H367" s="10" t="s">
        <v>872</v>
      </c>
      <c r="I367" s="10" t="s">
        <v>55</v>
      </c>
      <c r="J367" s="10" t="s">
        <v>23286</v>
      </c>
      <c r="K367" s="10" t="s">
        <v>23901</v>
      </c>
      <c r="L367" s="10" t="s">
        <v>42</v>
      </c>
    </row>
    <row r="368" ht="15.75" customHeight="1">
      <c r="A368" s="67">
        <v>45449.0</v>
      </c>
      <c r="B368" s="55" t="str">
        <f>HYPERLINK("https://jobright.ai/jobs/info/6662272ab96c844a074b3259?utm_campaign=1053&amp;utm_source=sheet", "Apply")</f>
        <v>Apply</v>
      </c>
      <c r="C368" s="10" t="s">
        <v>23902</v>
      </c>
      <c r="D368" s="56" t="s">
        <v>15387</v>
      </c>
      <c r="E368" s="10" t="s">
        <v>209</v>
      </c>
      <c r="F368" s="10" t="s">
        <v>15388</v>
      </c>
      <c r="G368" s="10" t="s">
        <v>8</v>
      </c>
      <c r="H368" s="10" t="s">
        <v>977</v>
      </c>
      <c r="I368" s="10" t="s">
        <v>55</v>
      </c>
      <c r="J368" s="10" t="s">
        <v>23286</v>
      </c>
      <c r="K368" s="10" t="s">
        <v>23903</v>
      </c>
      <c r="L368" s="10" t="s">
        <v>42</v>
      </c>
    </row>
    <row r="369" ht="15.75" customHeight="1">
      <c r="A369" s="67">
        <v>45448.0</v>
      </c>
      <c r="B369" s="55" t="str">
        <f>HYPERLINK("https://jobright.ai/jobs/info/66603ae82c8f04890dd016d5?utm_campaign=1053&amp;utm_source=sheet", "Apply")</f>
        <v>Apply</v>
      </c>
      <c r="C369" s="10" t="s">
        <v>23474</v>
      </c>
      <c r="D369" s="56" t="s">
        <v>15466</v>
      </c>
      <c r="E369" s="10" t="s">
        <v>79</v>
      </c>
      <c r="F369" s="10" t="s">
        <v>1587</v>
      </c>
      <c r="G369" s="10" t="s">
        <v>8</v>
      </c>
      <c r="H369" s="10" t="s">
        <v>15467</v>
      </c>
      <c r="I369" s="10" t="s">
        <v>55</v>
      </c>
      <c r="K369" s="10" t="s">
        <v>23904</v>
      </c>
      <c r="L369" s="10" t="s">
        <v>42</v>
      </c>
    </row>
    <row r="370" ht="15.75" customHeight="1">
      <c r="A370" s="67">
        <v>45448.0</v>
      </c>
      <c r="B370" s="55" t="str">
        <f>HYPERLINK("https://jobright.ai/jobs/info/6660906672e41561003240b0?utm_campaign=1053&amp;utm_source=sheet", "Apply")</f>
        <v>Apply</v>
      </c>
      <c r="C370" s="10" t="s">
        <v>23905</v>
      </c>
      <c r="D370" s="56" t="s">
        <v>15387</v>
      </c>
      <c r="E370" s="10" t="s">
        <v>209</v>
      </c>
      <c r="F370" s="10" t="s">
        <v>15388</v>
      </c>
      <c r="G370" s="10" t="s">
        <v>8</v>
      </c>
      <c r="H370" s="10" t="s">
        <v>278</v>
      </c>
      <c r="I370" s="10" t="s">
        <v>55</v>
      </c>
      <c r="J370" s="10" t="s">
        <v>23286</v>
      </c>
      <c r="K370" s="10" t="s">
        <v>23287</v>
      </c>
      <c r="L370" s="10" t="s">
        <v>42</v>
      </c>
    </row>
    <row r="371" ht="15.75" customHeight="1">
      <c r="A371" s="67">
        <v>45448.0</v>
      </c>
      <c r="B371" s="55" t="str">
        <f>HYPERLINK("https://jobright.ai/jobs/info/6660a5ba1c37c25e8f137bf4?utm_campaign=1053&amp;utm_source=sheet", "Apply")</f>
        <v>Apply</v>
      </c>
      <c r="C371" s="10" t="s">
        <v>23906</v>
      </c>
      <c r="D371" s="56" t="s">
        <v>23877</v>
      </c>
      <c r="E371" s="10" t="s">
        <v>79</v>
      </c>
      <c r="G371" s="10" t="s">
        <v>8</v>
      </c>
      <c r="H371" s="10" t="s">
        <v>170</v>
      </c>
      <c r="I371" s="10" t="s">
        <v>55</v>
      </c>
      <c r="K371" s="10" t="s">
        <v>23907</v>
      </c>
      <c r="L371" s="10" t="s">
        <v>42</v>
      </c>
    </row>
    <row r="372" ht="15.75" customHeight="1">
      <c r="A372" s="67">
        <v>45448.0</v>
      </c>
      <c r="B372" s="55" t="str">
        <f>HYPERLINK("https://jobright.ai/jobs/info/66680950d19f25c2c7cd0fb0?utm_campaign=1053&amp;utm_source=sheet", "Apply")</f>
        <v>Apply</v>
      </c>
      <c r="C372" s="10" t="s">
        <v>23908</v>
      </c>
      <c r="D372" s="56" t="s">
        <v>8715</v>
      </c>
      <c r="E372" s="10" t="s">
        <v>45</v>
      </c>
      <c r="F372" s="10" t="s">
        <v>8716</v>
      </c>
      <c r="G372" s="10" t="s">
        <v>8</v>
      </c>
      <c r="H372" s="10" t="s">
        <v>2275</v>
      </c>
      <c r="I372" s="10" t="s">
        <v>55</v>
      </c>
      <c r="K372" s="10" t="s">
        <v>23909</v>
      </c>
      <c r="L372" s="10" t="s">
        <v>42</v>
      </c>
    </row>
    <row r="373" ht="15.75" customHeight="1">
      <c r="A373" s="67">
        <v>45447.0</v>
      </c>
      <c r="B373" s="55" t="str">
        <f>HYPERLINK("https://jobright.ai/jobs/info/665f92a605ea3c0695208494?utm_campaign=1053&amp;utm_source=sheet", "Apply")</f>
        <v>Apply</v>
      </c>
      <c r="C373" s="10" t="s">
        <v>23910</v>
      </c>
      <c r="D373" s="56" t="s">
        <v>15387</v>
      </c>
      <c r="E373" s="10" t="s">
        <v>209</v>
      </c>
      <c r="F373" s="10" t="s">
        <v>15388</v>
      </c>
      <c r="G373" s="10" t="s">
        <v>8</v>
      </c>
      <c r="H373" s="10" t="s">
        <v>952</v>
      </c>
      <c r="I373" s="10" t="s">
        <v>55</v>
      </c>
      <c r="J373" s="10" t="s">
        <v>1409</v>
      </c>
      <c r="K373" s="10" t="s">
        <v>23762</v>
      </c>
      <c r="L373" s="10" t="s">
        <v>42</v>
      </c>
    </row>
    <row r="374" ht="15.75" customHeight="1">
      <c r="A374" s="67">
        <v>45447.0</v>
      </c>
      <c r="B374" s="55" t="str">
        <f>HYPERLINK("https://jobright.ai/jobs/info/66681ec61c2d3f9f50323fdd?utm_campaign=1053&amp;utm_source=sheet", "Apply")</f>
        <v>Apply</v>
      </c>
      <c r="C374" s="10" t="s">
        <v>23911</v>
      </c>
      <c r="D374" s="56" t="s">
        <v>2975</v>
      </c>
      <c r="E374" s="10" t="s">
        <v>79</v>
      </c>
      <c r="F374" s="10" t="s">
        <v>205</v>
      </c>
      <c r="G374" s="10" t="s">
        <v>8</v>
      </c>
      <c r="H374" s="10" t="s">
        <v>23912</v>
      </c>
      <c r="I374" s="10" t="s">
        <v>55</v>
      </c>
      <c r="J374" s="10" t="s">
        <v>1189</v>
      </c>
      <c r="K374" s="10" t="s">
        <v>23913</v>
      </c>
      <c r="L374" s="10" t="s">
        <v>42</v>
      </c>
    </row>
    <row r="375" ht="15.75" customHeight="1">
      <c r="A375" s="67">
        <v>45446.0</v>
      </c>
      <c r="B375" s="55" t="str">
        <f>HYPERLINK("https://jobright.ai/jobs/info/665e26c019acbbe738f6e659?utm_campaign=1053&amp;utm_source=sheet", "Apply")</f>
        <v>Apply</v>
      </c>
      <c r="C375" s="10" t="s">
        <v>23914</v>
      </c>
      <c r="D375" s="56" t="s">
        <v>23915</v>
      </c>
      <c r="E375" s="10" t="s">
        <v>65</v>
      </c>
      <c r="G375" s="10" t="s">
        <v>8</v>
      </c>
      <c r="H375" s="10" t="s">
        <v>941</v>
      </c>
      <c r="I375" s="10" t="s">
        <v>48</v>
      </c>
      <c r="J375" s="10" t="s">
        <v>4124</v>
      </c>
      <c r="K375" s="10" t="s">
        <v>23916</v>
      </c>
      <c r="L375" s="10" t="s">
        <v>42</v>
      </c>
    </row>
    <row r="376" ht="15.75" customHeight="1">
      <c r="A376" s="67">
        <v>45446.0</v>
      </c>
      <c r="B376" s="55" t="str">
        <f>HYPERLINK("https://jobright.ai/jobs/info/665e9af340185070c82619ba?utm_campaign=1053&amp;utm_source=sheet", "Apply")</f>
        <v>Apply</v>
      </c>
      <c r="C376" s="10" t="s">
        <v>23917</v>
      </c>
      <c r="D376" s="56" t="s">
        <v>17042</v>
      </c>
      <c r="E376" s="10" t="s">
        <v>45</v>
      </c>
      <c r="F376" s="10" t="s">
        <v>12539</v>
      </c>
      <c r="G376" s="10" t="s">
        <v>8</v>
      </c>
      <c r="H376" s="10" t="s">
        <v>769</v>
      </c>
      <c r="I376" s="10" t="s">
        <v>55</v>
      </c>
      <c r="K376" s="10" t="s">
        <v>17044</v>
      </c>
      <c r="L376" s="10" t="s">
        <v>42</v>
      </c>
    </row>
    <row r="377" ht="15.75" customHeight="1">
      <c r="A377" s="67">
        <v>45446.0</v>
      </c>
      <c r="B377" s="55" t="str">
        <f>HYPERLINK("https://jobright.ai/jobs/info/665e99cd40185070c826061d?utm_campaign=1053&amp;utm_source=sheet", "Apply")</f>
        <v>Apply</v>
      </c>
      <c r="C377" s="10" t="s">
        <v>23918</v>
      </c>
      <c r="D377" s="56" t="s">
        <v>17042</v>
      </c>
      <c r="E377" s="10" t="s">
        <v>45</v>
      </c>
      <c r="F377" s="10" t="s">
        <v>12539</v>
      </c>
      <c r="G377" s="10" t="s">
        <v>8</v>
      </c>
      <c r="H377" s="10" t="s">
        <v>23919</v>
      </c>
      <c r="I377" s="10" t="s">
        <v>55</v>
      </c>
      <c r="K377" s="10" t="s">
        <v>17044</v>
      </c>
      <c r="L377" s="10" t="s">
        <v>42</v>
      </c>
    </row>
    <row r="378" ht="15.75" customHeight="1">
      <c r="A378" s="67">
        <v>45446.0</v>
      </c>
      <c r="B378" s="55" t="str">
        <f>HYPERLINK("https://jobright.ai/jobs/info/665e99cd40185070c8260668?utm_campaign=1053&amp;utm_source=sheet", "Apply")</f>
        <v>Apply</v>
      </c>
      <c r="C378" s="10" t="s">
        <v>23920</v>
      </c>
      <c r="D378" s="56" t="s">
        <v>17042</v>
      </c>
      <c r="E378" s="10" t="s">
        <v>45</v>
      </c>
      <c r="F378" s="10" t="s">
        <v>12539</v>
      </c>
      <c r="G378" s="10" t="s">
        <v>8</v>
      </c>
      <c r="H378" s="10" t="s">
        <v>16711</v>
      </c>
      <c r="I378" s="10" t="s">
        <v>55</v>
      </c>
      <c r="K378" s="10" t="s">
        <v>17044</v>
      </c>
      <c r="L378" s="10" t="s">
        <v>42</v>
      </c>
    </row>
    <row r="379" ht="15.75" customHeight="1">
      <c r="A379" s="67">
        <v>45446.0</v>
      </c>
      <c r="B379" s="55" t="str">
        <f>HYPERLINK("https://jobright.ai/jobs/info/665e9af340185070c82619ce?utm_campaign=1053&amp;utm_source=sheet", "Apply")</f>
        <v>Apply</v>
      </c>
      <c r="C379" s="10" t="s">
        <v>23921</v>
      </c>
      <c r="D379" s="56" t="s">
        <v>17042</v>
      </c>
      <c r="E379" s="10" t="s">
        <v>45</v>
      </c>
      <c r="F379" s="10" t="s">
        <v>12539</v>
      </c>
      <c r="G379" s="10" t="s">
        <v>8</v>
      </c>
      <c r="H379" s="10" t="s">
        <v>16703</v>
      </c>
      <c r="I379" s="10" t="s">
        <v>55</v>
      </c>
      <c r="K379" s="10" t="s">
        <v>17044</v>
      </c>
      <c r="L379" s="10" t="s">
        <v>42</v>
      </c>
    </row>
    <row r="380" ht="15.75" customHeight="1">
      <c r="A380" s="67">
        <v>45446.0</v>
      </c>
      <c r="B380" s="55" t="str">
        <f>HYPERLINK("https://jobright.ai/jobs/info/665e99da40185070c826078f?utm_campaign=1053&amp;utm_source=sheet", "Apply")</f>
        <v>Apply</v>
      </c>
      <c r="C380" s="10" t="s">
        <v>23922</v>
      </c>
      <c r="D380" s="56" t="s">
        <v>17042</v>
      </c>
      <c r="E380" s="10" t="s">
        <v>45</v>
      </c>
      <c r="F380" s="10" t="s">
        <v>12539</v>
      </c>
      <c r="G380" s="10" t="s">
        <v>8</v>
      </c>
      <c r="H380" s="10" t="s">
        <v>1696</v>
      </c>
      <c r="I380" s="10" t="s">
        <v>55</v>
      </c>
      <c r="K380" s="10" t="s">
        <v>17044</v>
      </c>
      <c r="L380" s="10" t="s">
        <v>42</v>
      </c>
    </row>
    <row r="381" ht="15.75" customHeight="1">
      <c r="A381" s="67">
        <v>45446.0</v>
      </c>
      <c r="B381" s="55" t="str">
        <f>HYPERLINK("https://jobright.ai/jobs/info/665e99da40185070c8260777?utm_campaign=1053&amp;utm_source=sheet", "Apply")</f>
        <v>Apply</v>
      </c>
      <c r="C381" s="10" t="s">
        <v>23923</v>
      </c>
      <c r="D381" s="56" t="s">
        <v>17042</v>
      </c>
      <c r="E381" s="10" t="s">
        <v>45</v>
      </c>
      <c r="F381" s="10" t="s">
        <v>12539</v>
      </c>
      <c r="G381" s="10" t="s">
        <v>8</v>
      </c>
      <c r="H381" s="10" t="s">
        <v>152</v>
      </c>
      <c r="I381" s="10" t="s">
        <v>55</v>
      </c>
      <c r="K381" s="10" t="s">
        <v>17044</v>
      </c>
      <c r="L381" s="10" t="s">
        <v>42</v>
      </c>
    </row>
    <row r="382" ht="15.75" customHeight="1">
      <c r="A382" s="67">
        <v>45446.0</v>
      </c>
      <c r="B382" s="55" t="str">
        <f>HYPERLINK("https://jobright.ai/jobs/info/665e02151ea864b54c34b229?utm_campaign=1053&amp;utm_source=sheet", "Apply")</f>
        <v>Apply</v>
      </c>
      <c r="C382" s="10" t="s">
        <v>23924</v>
      </c>
      <c r="D382" s="56" t="s">
        <v>17042</v>
      </c>
      <c r="E382" s="10" t="s">
        <v>45</v>
      </c>
      <c r="F382" s="10" t="s">
        <v>12539</v>
      </c>
      <c r="G382" s="10" t="s">
        <v>8</v>
      </c>
      <c r="H382" s="10" t="s">
        <v>8480</v>
      </c>
      <c r="I382" s="10" t="s">
        <v>55</v>
      </c>
      <c r="K382" s="10" t="s">
        <v>17044</v>
      </c>
      <c r="L382" s="10" t="s">
        <v>42</v>
      </c>
    </row>
    <row r="383" ht="15.75" customHeight="1">
      <c r="A383" s="67">
        <v>45446.0</v>
      </c>
      <c r="B383" s="55" t="str">
        <f>HYPERLINK("https://jobright.ai/jobs/info/665e02151ea864b54c34b1fe?utm_campaign=1053&amp;utm_source=sheet", "Apply")</f>
        <v>Apply</v>
      </c>
      <c r="C383" s="10" t="s">
        <v>23925</v>
      </c>
      <c r="D383" s="56" t="s">
        <v>17042</v>
      </c>
      <c r="E383" s="10" t="s">
        <v>45</v>
      </c>
      <c r="F383" s="10" t="s">
        <v>12539</v>
      </c>
      <c r="G383" s="10" t="s">
        <v>8</v>
      </c>
      <c r="H383" s="10" t="s">
        <v>962</v>
      </c>
      <c r="I383" s="10" t="s">
        <v>55</v>
      </c>
      <c r="K383" s="10" t="s">
        <v>17044</v>
      </c>
      <c r="L383" s="10" t="s">
        <v>42</v>
      </c>
    </row>
    <row r="384" ht="15.75" customHeight="1">
      <c r="A384" s="67">
        <v>45446.0</v>
      </c>
      <c r="B384" s="55" t="str">
        <f>HYPERLINK("https://jobright.ai/jobs/info/66396e40f3f02a7c731c254a?utm_campaign=1053&amp;utm_source=sheet", "Apply")</f>
        <v>Apply</v>
      </c>
      <c r="C384" s="10" t="s">
        <v>23926</v>
      </c>
      <c r="D384" s="56" t="s">
        <v>15839</v>
      </c>
      <c r="E384" s="10">
        <v>4852.0</v>
      </c>
      <c r="G384" s="10" t="s">
        <v>8</v>
      </c>
      <c r="H384" s="10" t="s">
        <v>1005</v>
      </c>
      <c r="I384" s="10" t="s">
        <v>55</v>
      </c>
      <c r="K384" s="10" t="s">
        <v>23927</v>
      </c>
      <c r="L384" s="10" t="s">
        <v>42</v>
      </c>
    </row>
    <row r="385" ht="15.75" customHeight="1">
      <c r="A385" s="67">
        <v>45443.0</v>
      </c>
      <c r="B385" s="55" t="str">
        <f>HYPERLINK("https://jobright.ai/jobs/info/665c76c52dd105823dc0e1ab?utm_campaign=1053&amp;utm_source=sheet", "Apply")</f>
        <v>Apply</v>
      </c>
      <c r="C385" s="10" t="s">
        <v>23928</v>
      </c>
      <c r="D385" s="56" t="s">
        <v>23929</v>
      </c>
      <c r="E385" s="10">
        <v>2.0</v>
      </c>
      <c r="G385" s="10" t="s">
        <v>8</v>
      </c>
      <c r="H385" s="10" t="s">
        <v>23930</v>
      </c>
      <c r="I385" s="10" t="s">
        <v>55</v>
      </c>
      <c r="K385" s="10" t="s">
        <v>23931</v>
      </c>
      <c r="L385" s="10" t="s">
        <v>42</v>
      </c>
    </row>
    <row r="386" ht="15.75" customHeight="1">
      <c r="A386" s="67">
        <v>45443.0</v>
      </c>
      <c r="B386" s="55" t="str">
        <f>HYPERLINK("https://jobright.ai/jobs/info/665a22dc0762ea3b611feaab?utm_campaign=1053&amp;utm_source=sheet", "Apply")</f>
        <v>Apply</v>
      </c>
      <c r="C386" s="10" t="s">
        <v>23932</v>
      </c>
      <c r="D386" s="56" t="s">
        <v>23933</v>
      </c>
      <c r="E386" s="10">
        <v>425.0</v>
      </c>
      <c r="G386" s="10" t="s">
        <v>8</v>
      </c>
      <c r="H386" s="10" t="s">
        <v>144</v>
      </c>
      <c r="I386" s="10" t="s">
        <v>48</v>
      </c>
      <c r="J386" s="10" t="s">
        <v>3294</v>
      </c>
      <c r="K386" s="10" t="s">
        <v>23934</v>
      </c>
      <c r="L386" s="10" t="s">
        <v>42</v>
      </c>
    </row>
    <row r="387" ht="15.75" customHeight="1">
      <c r="A387" s="67">
        <v>45443.0</v>
      </c>
      <c r="B387" s="55" t="str">
        <f>HYPERLINK("https://jobright.ai/jobs/info/66685c26b3577e6d5da7a41a?utm_campaign=1053&amp;utm_source=sheet", "Apply")</f>
        <v>Apply</v>
      </c>
      <c r="C387" s="10" t="s">
        <v>23935</v>
      </c>
      <c r="D387" s="56" t="s">
        <v>2975</v>
      </c>
      <c r="E387" s="10" t="s">
        <v>79</v>
      </c>
      <c r="F387" s="10" t="s">
        <v>205</v>
      </c>
      <c r="G387" s="10" t="s">
        <v>8</v>
      </c>
      <c r="H387" s="10" t="s">
        <v>23912</v>
      </c>
      <c r="I387" s="10" t="s">
        <v>55</v>
      </c>
      <c r="J387" s="10" t="s">
        <v>1189</v>
      </c>
      <c r="K387" s="10" t="s">
        <v>23936</v>
      </c>
      <c r="L387" s="10" t="s">
        <v>42</v>
      </c>
    </row>
    <row r="388" ht="15.75" customHeight="1">
      <c r="A388" s="67">
        <v>45442.0</v>
      </c>
      <c r="B388" s="55" t="str">
        <f>HYPERLINK("https://jobright.ai/jobs/info/66592bb3fb1dd944df45a789?utm_campaign=1053&amp;utm_source=sheet", "Apply")</f>
        <v>Apply</v>
      </c>
      <c r="C388" s="10" t="s">
        <v>23937</v>
      </c>
      <c r="D388" s="56" t="s">
        <v>15387</v>
      </c>
      <c r="E388" s="10" t="s">
        <v>209</v>
      </c>
      <c r="F388" s="10" t="s">
        <v>15388</v>
      </c>
      <c r="G388" s="10" t="s">
        <v>8</v>
      </c>
      <c r="H388" s="10" t="s">
        <v>10949</v>
      </c>
      <c r="I388" s="10" t="s">
        <v>55</v>
      </c>
      <c r="K388" s="10" t="s">
        <v>23287</v>
      </c>
      <c r="L388" s="10" t="s">
        <v>42</v>
      </c>
    </row>
    <row r="389" ht="15.75" customHeight="1">
      <c r="A389" s="67">
        <v>45442.0</v>
      </c>
      <c r="B389" s="55" t="str">
        <f>HYPERLINK("https://jobright.ai/jobs/info/66592bb3fb1dd944df45a767?utm_campaign=1053&amp;utm_source=sheet", "Apply")</f>
        <v>Apply</v>
      </c>
      <c r="C389" s="10" t="s">
        <v>23938</v>
      </c>
      <c r="D389" s="56" t="s">
        <v>15387</v>
      </c>
      <c r="E389" s="10" t="s">
        <v>209</v>
      </c>
      <c r="F389" s="10" t="s">
        <v>15388</v>
      </c>
      <c r="G389" s="10" t="s">
        <v>8</v>
      </c>
      <c r="H389" s="10" t="s">
        <v>5254</v>
      </c>
      <c r="I389" s="10" t="s">
        <v>55</v>
      </c>
      <c r="K389" s="10" t="s">
        <v>23287</v>
      </c>
      <c r="L389" s="10" t="s">
        <v>42</v>
      </c>
    </row>
    <row r="390" ht="15.75" customHeight="1">
      <c r="A390" s="67">
        <v>45441.0</v>
      </c>
      <c r="B390" s="55" t="str">
        <f>HYPERLINK("https://jobright.ai/jobs/info/665d81602492096ac0690060?utm_campaign=1053&amp;utm_source=sheet", "Apply")</f>
        <v>Apply</v>
      </c>
      <c r="C390" s="10" t="s">
        <v>23939</v>
      </c>
      <c r="D390" s="56" t="s">
        <v>20499</v>
      </c>
      <c r="E390" s="10" t="s">
        <v>71</v>
      </c>
      <c r="F390" s="10" t="s">
        <v>20500</v>
      </c>
      <c r="G390" s="10" t="s">
        <v>8</v>
      </c>
      <c r="H390" s="10" t="s">
        <v>113</v>
      </c>
      <c r="I390" s="10" t="s">
        <v>55</v>
      </c>
      <c r="J390" s="10" t="s">
        <v>1608</v>
      </c>
      <c r="K390" s="10" t="s">
        <v>23940</v>
      </c>
      <c r="L390" s="10" t="s">
        <v>42</v>
      </c>
    </row>
    <row r="391" ht="15.75" customHeight="1">
      <c r="A391" s="67">
        <v>45438.0</v>
      </c>
      <c r="B391" s="55" t="str">
        <f>HYPERLINK("https://jobright.ai/jobs/info/667abfc903ae0be6f1cb1127?utm_campaign=1053&amp;utm_source=sheet", "Apply")</f>
        <v>Apply</v>
      </c>
      <c r="C391" s="10" t="s">
        <v>23941</v>
      </c>
      <c r="D391" s="56" t="s">
        <v>23942</v>
      </c>
      <c r="E391" s="59">
        <v>45301.0</v>
      </c>
      <c r="F391" s="10" t="s">
        <v>627</v>
      </c>
      <c r="G391" s="10" t="s">
        <v>8</v>
      </c>
      <c r="H391" s="10" t="s">
        <v>152</v>
      </c>
      <c r="I391" s="10" t="s">
        <v>55</v>
      </c>
      <c r="K391" s="10" t="s">
        <v>23943</v>
      </c>
      <c r="L391" s="10" t="s">
        <v>42</v>
      </c>
    </row>
    <row r="392" ht="15.75" customHeight="1">
      <c r="A392" s="67">
        <v>45435.0</v>
      </c>
      <c r="B392" s="55" t="str">
        <f>HYPERLINK("https://jobright.ai/jobs/info/664fe5bb70ef3434b98620b6?utm_campaign=1053&amp;utm_source=sheet", "Apply")</f>
        <v>Apply</v>
      </c>
      <c r="C392" s="10" t="s">
        <v>23944</v>
      </c>
      <c r="D392" s="56" t="s">
        <v>23945</v>
      </c>
      <c r="E392" s="10" t="s">
        <v>137</v>
      </c>
      <c r="F392" s="10" t="s">
        <v>5143</v>
      </c>
      <c r="G392" s="10" t="s">
        <v>8</v>
      </c>
      <c r="H392" s="10" t="s">
        <v>19065</v>
      </c>
      <c r="I392" s="10" t="s">
        <v>55</v>
      </c>
      <c r="J392" s="10" t="s">
        <v>23946</v>
      </c>
      <c r="K392" s="10" t="s">
        <v>23947</v>
      </c>
      <c r="L392" s="10" t="s">
        <v>42</v>
      </c>
    </row>
    <row r="393" ht="15.75" customHeight="1">
      <c r="A393" s="67">
        <v>45435.0</v>
      </c>
      <c r="B393" s="55" t="str">
        <f>HYPERLINK("https://jobright.ai/jobs/info/664fbafc8cec17bd99e4227e?utm_campaign=1053&amp;utm_source=sheet", "Apply")</f>
        <v>Apply</v>
      </c>
      <c r="C393" s="10" t="s">
        <v>23948</v>
      </c>
      <c r="D393" s="56" t="s">
        <v>15387</v>
      </c>
      <c r="E393" s="10" t="s">
        <v>209</v>
      </c>
      <c r="F393" s="10" t="s">
        <v>15388</v>
      </c>
      <c r="G393" s="10" t="s">
        <v>8</v>
      </c>
      <c r="H393" s="10" t="s">
        <v>924</v>
      </c>
      <c r="I393" s="10" t="s">
        <v>55</v>
      </c>
      <c r="K393" s="10" t="s">
        <v>23762</v>
      </c>
      <c r="L393" s="10" t="s">
        <v>42</v>
      </c>
    </row>
    <row r="394" ht="15.75" customHeight="1">
      <c r="A394" s="67">
        <v>45435.0</v>
      </c>
      <c r="B394" s="55" t="str">
        <f>HYPERLINK("https://jobright.ai/jobs/info/6677e391783a239da8419b28?utm_campaign=1053&amp;utm_source=sheet", "Apply")</f>
        <v>Apply</v>
      </c>
      <c r="C394" s="10" t="s">
        <v>23949</v>
      </c>
      <c r="D394" s="56" t="s">
        <v>1505</v>
      </c>
      <c r="E394" s="10" t="s">
        <v>137</v>
      </c>
      <c r="F394" s="10" t="s">
        <v>1506</v>
      </c>
      <c r="G394" s="10" t="s">
        <v>8</v>
      </c>
      <c r="H394" s="10" t="s">
        <v>382</v>
      </c>
      <c r="I394" s="10" t="s">
        <v>55</v>
      </c>
      <c r="J394" s="10" t="s">
        <v>21894</v>
      </c>
      <c r="K394" s="10" t="s">
        <v>23950</v>
      </c>
      <c r="L394" s="10" t="s">
        <v>42</v>
      </c>
    </row>
    <row r="395" ht="15.75" customHeight="1">
      <c r="A395" s="67">
        <v>45435.0</v>
      </c>
      <c r="B395" s="55" t="str">
        <f>HYPERLINK("https://jobright.ai/jobs/info/6677ed2c2ffca2bcf6691ded?utm_campaign=1053&amp;utm_source=sheet", "Apply")</f>
        <v>Apply</v>
      </c>
      <c r="C395" s="10" t="s">
        <v>23951</v>
      </c>
      <c r="D395" s="56" t="s">
        <v>15625</v>
      </c>
      <c r="E395" s="10" t="s">
        <v>276</v>
      </c>
      <c r="F395" s="10" t="s">
        <v>244</v>
      </c>
      <c r="G395" s="10" t="s">
        <v>8</v>
      </c>
      <c r="H395" s="10" t="s">
        <v>1709</v>
      </c>
      <c r="I395" s="10" t="s">
        <v>55</v>
      </c>
      <c r="J395" s="10" t="s">
        <v>3651</v>
      </c>
      <c r="K395" s="10" t="s">
        <v>23952</v>
      </c>
      <c r="L395" s="10" t="s">
        <v>42</v>
      </c>
    </row>
    <row r="396" ht="15.75" customHeight="1">
      <c r="A396" s="67">
        <v>45435.0</v>
      </c>
      <c r="B396" s="55" t="str">
        <f>HYPERLINK("https://jobright.ai/jobs/info/6677f2899c81148ccaaee159?utm_campaign=1053&amp;utm_source=sheet", "Apply")</f>
        <v>Apply</v>
      </c>
      <c r="C396" s="10" t="s">
        <v>23953</v>
      </c>
      <c r="D396" s="56" t="s">
        <v>1505</v>
      </c>
      <c r="E396" s="10" t="s">
        <v>137</v>
      </c>
      <c r="F396" s="10" t="s">
        <v>1506</v>
      </c>
      <c r="G396" s="10" t="s">
        <v>8</v>
      </c>
      <c r="H396" s="10" t="s">
        <v>382</v>
      </c>
      <c r="I396" s="10" t="s">
        <v>55</v>
      </c>
      <c r="J396" s="10" t="s">
        <v>21904</v>
      </c>
      <c r="K396" s="10" t="s">
        <v>23954</v>
      </c>
      <c r="L396" s="10" t="s">
        <v>42</v>
      </c>
    </row>
    <row r="397" ht="15.75" customHeight="1">
      <c r="A397" s="67">
        <v>45435.0</v>
      </c>
      <c r="B397" s="55" t="str">
        <f>HYPERLINK("https://jobright.ai/jobs/info/664fbb278cec17bd99e426d7?utm_campaign=1053&amp;utm_source=sheet", "Apply")</f>
        <v>Apply</v>
      </c>
      <c r="C397" s="10" t="s">
        <v>23955</v>
      </c>
      <c r="D397" s="56" t="s">
        <v>15387</v>
      </c>
      <c r="E397" s="10" t="s">
        <v>209</v>
      </c>
      <c r="F397" s="10" t="s">
        <v>15388</v>
      </c>
      <c r="G397" s="10" t="s">
        <v>8</v>
      </c>
      <c r="H397" s="10" t="s">
        <v>154</v>
      </c>
      <c r="I397" s="10" t="s">
        <v>55</v>
      </c>
      <c r="K397" s="10" t="s">
        <v>23287</v>
      </c>
      <c r="L397" s="10" t="s">
        <v>42</v>
      </c>
    </row>
    <row r="398" ht="15.75" customHeight="1">
      <c r="A398" s="67">
        <v>45434.0</v>
      </c>
      <c r="B398" s="55" t="str">
        <f>HYPERLINK("https://jobright.ai/jobs/info/66763410e272243dcd4f69e5?utm_campaign=1053&amp;utm_source=sheet", "Apply")</f>
        <v>Apply</v>
      </c>
      <c r="C398" s="10" t="s">
        <v>23956</v>
      </c>
      <c r="D398" s="56" t="s">
        <v>21760</v>
      </c>
      <c r="G398" s="10" t="s">
        <v>8</v>
      </c>
      <c r="H398" s="10" t="s">
        <v>4868</v>
      </c>
      <c r="I398" s="10" t="s">
        <v>55</v>
      </c>
      <c r="K398" s="10" t="s">
        <v>23957</v>
      </c>
      <c r="L398" s="10" t="s">
        <v>42</v>
      </c>
    </row>
    <row r="399" ht="15.75" customHeight="1">
      <c r="A399" s="67">
        <v>45433.0</v>
      </c>
      <c r="B399" s="55" t="str">
        <f>HYPERLINK("https://jobright.ai/jobs/info/664d244beda253313522d26e?utm_campaign=1053&amp;utm_source=sheet", "Apply")</f>
        <v>Apply</v>
      </c>
      <c r="C399" s="10" t="s">
        <v>23958</v>
      </c>
      <c r="D399" s="56" t="s">
        <v>15387</v>
      </c>
      <c r="E399" s="10" t="s">
        <v>209</v>
      </c>
      <c r="F399" s="10" t="s">
        <v>15388</v>
      </c>
      <c r="G399" s="10" t="s">
        <v>8</v>
      </c>
      <c r="H399" s="10" t="s">
        <v>983</v>
      </c>
      <c r="I399" s="10" t="s">
        <v>55</v>
      </c>
      <c r="K399" s="10" t="s">
        <v>23959</v>
      </c>
      <c r="L399" s="10" t="s">
        <v>42</v>
      </c>
    </row>
    <row r="400" ht="15.75" customHeight="1">
      <c r="A400" s="67">
        <v>45433.0</v>
      </c>
      <c r="B400" s="55" t="str">
        <f>HYPERLINK("https://jobright.ai/jobs/info/6674470ffa2e16b323fa4510?utm_campaign=1053&amp;utm_source=sheet", "Apply")</f>
        <v>Apply</v>
      </c>
      <c r="C400" s="10" t="s">
        <v>23586</v>
      </c>
      <c r="D400" s="56" t="s">
        <v>2220</v>
      </c>
      <c r="E400" s="10" t="s">
        <v>45</v>
      </c>
      <c r="F400" s="10" t="s">
        <v>2221</v>
      </c>
      <c r="G400" s="10" t="s">
        <v>8</v>
      </c>
      <c r="H400" s="10" t="s">
        <v>6620</v>
      </c>
      <c r="I400" s="10" t="s">
        <v>48</v>
      </c>
      <c r="K400" s="10" t="s">
        <v>7614</v>
      </c>
      <c r="L400" s="10" t="s">
        <v>42</v>
      </c>
    </row>
    <row r="401" ht="15.75" customHeight="1">
      <c r="A401" s="67">
        <v>45433.0</v>
      </c>
      <c r="B401" s="55" t="str">
        <f>HYPERLINK("https://jobright.ai/jobs/info/665f136f1bcd23d96da5f637?utm_campaign=1053&amp;utm_source=sheet", "Apply")</f>
        <v>Apply</v>
      </c>
      <c r="C401" s="10" t="s">
        <v>23960</v>
      </c>
      <c r="D401" s="56" t="s">
        <v>1502</v>
      </c>
      <c r="E401" s="10">
        <v>10345.0</v>
      </c>
      <c r="G401" s="10" t="s">
        <v>8</v>
      </c>
      <c r="H401" s="10" t="s">
        <v>106</v>
      </c>
      <c r="I401" s="10" t="s">
        <v>55</v>
      </c>
      <c r="J401" s="10" t="s">
        <v>23961</v>
      </c>
      <c r="K401" s="10" t="s">
        <v>23962</v>
      </c>
      <c r="L401" s="10" t="s">
        <v>42</v>
      </c>
    </row>
    <row r="402" ht="15.75" customHeight="1">
      <c r="A402" s="67">
        <v>45432.0</v>
      </c>
      <c r="B402" s="55" t="str">
        <f>HYPERLINK("https://jobright.ai/jobs/info/664bf98284d1a18946022f49?utm_campaign=1053&amp;utm_source=sheet", "Apply")</f>
        <v>Apply</v>
      </c>
      <c r="C402" s="10" t="s">
        <v>23963</v>
      </c>
      <c r="D402" s="56" t="s">
        <v>23964</v>
      </c>
      <c r="E402" s="10" t="s">
        <v>276</v>
      </c>
      <c r="F402" s="10" t="s">
        <v>23965</v>
      </c>
      <c r="G402" s="10" t="s">
        <v>8</v>
      </c>
      <c r="H402" s="10" t="s">
        <v>835</v>
      </c>
      <c r="I402" s="10" t="s">
        <v>55</v>
      </c>
      <c r="J402" s="10" t="s">
        <v>23966</v>
      </c>
      <c r="K402" s="10" t="s">
        <v>23967</v>
      </c>
      <c r="L402" s="10" t="s">
        <v>42</v>
      </c>
    </row>
    <row r="403" ht="15.75" customHeight="1">
      <c r="A403" s="68">
        <v>45429.0</v>
      </c>
      <c r="B403" s="55" t="str">
        <f>HYPERLINK("https://jobright.ai/jobs/info/664789ec5d01ddcde56085db?utm_campaign=1053&amp;utm_source=sheet", "Apply")</f>
        <v>Apply</v>
      </c>
      <c r="C403" s="10" t="s">
        <v>23968</v>
      </c>
      <c r="D403" s="56" t="s">
        <v>23969</v>
      </c>
      <c r="E403" s="10" t="s">
        <v>65</v>
      </c>
      <c r="G403" s="10" t="s">
        <v>8</v>
      </c>
      <c r="H403" s="10" t="s">
        <v>23970</v>
      </c>
      <c r="I403" s="10" t="s">
        <v>55</v>
      </c>
      <c r="J403" s="10" t="s">
        <v>4649</v>
      </c>
      <c r="K403" s="10" t="s">
        <v>23971</v>
      </c>
      <c r="L403" s="10" t="s">
        <v>42</v>
      </c>
    </row>
    <row r="404" ht="15.75" customHeight="1">
      <c r="A404" s="68">
        <v>45429.0</v>
      </c>
      <c r="B404" s="55" t="str">
        <f>HYPERLINK("https://jobright.ai/jobs/info/666c0d681a9593d9b0b3b0d6?utm_campaign=1053&amp;utm_source=sheet", "Apply")</f>
        <v>Apply</v>
      </c>
      <c r="C404" s="10" t="s">
        <v>23972</v>
      </c>
      <c r="D404" s="56" t="s">
        <v>23973</v>
      </c>
      <c r="E404" s="10" t="s">
        <v>137</v>
      </c>
      <c r="F404" s="10" t="s">
        <v>1942</v>
      </c>
      <c r="G404" s="10" t="s">
        <v>8</v>
      </c>
      <c r="H404" s="10" t="s">
        <v>23974</v>
      </c>
      <c r="I404" s="10" t="s">
        <v>55</v>
      </c>
      <c r="J404" s="10" t="s">
        <v>12506</v>
      </c>
      <c r="K404" s="10" t="s">
        <v>23975</v>
      </c>
      <c r="L404" s="10" t="s">
        <v>42</v>
      </c>
    </row>
    <row r="405" ht="15.75" customHeight="1">
      <c r="A405" s="68">
        <v>45427.0</v>
      </c>
      <c r="B405" s="55" t="str">
        <f>HYPERLINK("https://jobright.ai/jobs/info/6644e9bb9e328cdc1a08e03f?utm_campaign=1053&amp;utm_source=sheet", "Apply")</f>
        <v>Apply</v>
      </c>
      <c r="C405" s="10" t="s">
        <v>23976</v>
      </c>
      <c r="D405" s="56" t="s">
        <v>15387</v>
      </c>
      <c r="E405" s="10" t="s">
        <v>209</v>
      </c>
      <c r="F405" s="10" t="s">
        <v>15388</v>
      </c>
      <c r="G405" s="10" t="s">
        <v>8</v>
      </c>
      <c r="H405" s="10" t="s">
        <v>1040</v>
      </c>
      <c r="I405" s="10" t="s">
        <v>55</v>
      </c>
      <c r="K405" s="10" t="s">
        <v>23977</v>
      </c>
      <c r="L405" s="10" t="s">
        <v>42</v>
      </c>
    </row>
    <row r="406" ht="15.75" customHeight="1">
      <c r="A406" s="68">
        <v>45427.0</v>
      </c>
      <c r="B406" s="55" t="str">
        <f>HYPERLINK("https://jobright.ai/jobs/info/666c32662ce2689fb348a0de?utm_campaign=1053&amp;utm_source=sheet", "Apply")</f>
        <v>Apply</v>
      </c>
      <c r="C406" s="10" t="s">
        <v>23978</v>
      </c>
      <c r="D406" s="56" t="s">
        <v>23979</v>
      </c>
      <c r="E406" s="10" t="s">
        <v>71</v>
      </c>
      <c r="F406" s="10" t="s">
        <v>23980</v>
      </c>
      <c r="G406" s="10" t="s">
        <v>8</v>
      </c>
      <c r="H406" s="10" t="s">
        <v>340</v>
      </c>
      <c r="I406" s="10" t="s">
        <v>55</v>
      </c>
      <c r="K406" s="10" t="s">
        <v>23981</v>
      </c>
      <c r="L406" s="10" t="s">
        <v>42</v>
      </c>
    </row>
    <row r="407" ht="15.75" customHeight="1">
      <c r="A407" s="68">
        <v>45427.0</v>
      </c>
      <c r="B407" s="55" t="str">
        <f>HYPERLINK("https://jobright.ai/jobs/info/6644dd5ca5cab5d1d5dc60b0?utm_campaign=1053&amp;utm_source=sheet", "Apply")</f>
        <v>Apply</v>
      </c>
      <c r="C407" s="10" t="s">
        <v>23982</v>
      </c>
      <c r="D407" s="56" t="s">
        <v>15387</v>
      </c>
      <c r="E407" s="10" t="s">
        <v>209</v>
      </c>
      <c r="F407" s="10" t="s">
        <v>15388</v>
      </c>
      <c r="G407" s="10" t="s">
        <v>8</v>
      </c>
      <c r="H407" s="10" t="s">
        <v>15078</v>
      </c>
      <c r="I407" s="10" t="s">
        <v>55</v>
      </c>
      <c r="K407" s="10" t="s">
        <v>23287</v>
      </c>
      <c r="L407" s="10" t="s">
        <v>42</v>
      </c>
    </row>
    <row r="408" ht="15.75" customHeight="1">
      <c r="A408" s="68">
        <v>45427.0</v>
      </c>
      <c r="B408" s="55" t="str">
        <f>HYPERLINK("https://jobright.ai/jobs/info/6645372c962742f43c44c743?utm_campaign=1053&amp;utm_source=sheet", "Apply")</f>
        <v>Apply</v>
      </c>
      <c r="C408" s="10" t="s">
        <v>23983</v>
      </c>
      <c r="D408" s="56" t="s">
        <v>15387</v>
      </c>
      <c r="E408" s="10" t="s">
        <v>209</v>
      </c>
      <c r="F408" s="10" t="s">
        <v>15388</v>
      </c>
      <c r="G408" s="10" t="s">
        <v>8</v>
      </c>
      <c r="H408" s="10" t="s">
        <v>827</v>
      </c>
      <c r="I408" s="10" t="s">
        <v>55</v>
      </c>
      <c r="K408" s="10" t="s">
        <v>23984</v>
      </c>
      <c r="L408" s="10" t="s">
        <v>42</v>
      </c>
    </row>
    <row r="409" ht="15.75" customHeight="1">
      <c r="A409" s="68">
        <v>45427.0</v>
      </c>
      <c r="B409" s="55" t="str">
        <f>HYPERLINK("https://jobright.ai/jobs/info/66454083c00b469207c6b9f9?utm_campaign=1053&amp;utm_source=sheet", "Apply")</f>
        <v>Apply</v>
      </c>
      <c r="C409" s="10" t="s">
        <v>23985</v>
      </c>
      <c r="D409" s="56" t="s">
        <v>15387</v>
      </c>
      <c r="E409" s="10" t="s">
        <v>209</v>
      </c>
      <c r="F409" s="10" t="s">
        <v>15388</v>
      </c>
      <c r="G409" s="10" t="s">
        <v>8</v>
      </c>
      <c r="H409" s="10" t="s">
        <v>1040</v>
      </c>
      <c r="I409" s="10" t="s">
        <v>55</v>
      </c>
      <c r="K409" s="10" t="s">
        <v>23287</v>
      </c>
      <c r="L409" s="10" t="s">
        <v>42</v>
      </c>
    </row>
    <row r="410" ht="15.75" customHeight="1">
      <c r="A410" s="68">
        <v>45425.0</v>
      </c>
      <c r="B410" s="55" t="str">
        <f>HYPERLINK("https://jobright.ai/jobs/info/665d81fc2492096ac0690c99?utm_campaign=1053&amp;utm_source=sheet", "Apply")</f>
        <v>Apply</v>
      </c>
      <c r="C410" s="10" t="s">
        <v>23986</v>
      </c>
      <c r="D410" s="56" t="s">
        <v>23987</v>
      </c>
      <c r="E410" s="10" t="s">
        <v>79</v>
      </c>
      <c r="F410" s="10" t="s">
        <v>15497</v>
      </c>
      <c r="G410" s="10" t="s">
        <v>8</v>
      </c>
      <c r="H410" s="10" t="s">
        <v>96</v>
      </c>
      <c r="I410" s="10" t="s">
        <v>55</v>
      </c>
      <c r="J410" s="10" t="s">
        <v>1608</v>
      </c>
      <c r="K410" s="10" t="s">
        <v>23988</v>
      </c>
      <c r="L410" s="10" t="s">
        <v>42</v>
      </c>
    </row>
    <row r="411" ht="15.75" customHeight="1">
      <c r="A411" s="68">
        <v>45421.0</v>
      </c>
      <c r="B411" s="55" t="str">
        <f>HYPERLINK("https://jobright.ai/jobs/info/663c94591d1cf4395b8e811b?utm_campaign=1053&amp;utm_source=sheet", "Apply")</f>
        <v>Apply</v>
      </c>
      <c r="C411" s="10" t="s">
        <v>23989</v>
      </c>
      <c r="D411" s="56" t="s">
        <v>23374</v>
      </c>
      <c r="E411" s="10" t="s">
        <v>209</v>
      </c>
      <c r="F411" s="10" t="s">
        <v>17478</v>
      </c>
      <c r="G411" s="10" t="s">
        <v>8</v>
      </c>
      <c r="H411" s="10" t="s">
        <v>20997</v>
      </c>
      <c r="I411" s="10" t="s">
        <v>48</v>
      </c>
      <c r="K411" s="10" t="s">
        <v>23990</v>
      </c>
      <c r="L411" s="10" t="s">
        <v>42</v>
      </c>
    </row>
    <row r="412" ht="15.75" customHeight="1">
      <c r="A412" s="68">
        <v>45421.0</v>
      </c>
      <c r="B412" s="55" t="str">
        <f>HYPERLINK("https://jobright.ai/jobs/info/663c94591d1cf4395b8e8108?utm_campaign=1053&amp;utm_source=sheet", "Apply")</f>
        <v>Apply</v>
      </c>
      <c r="C412" s="10" t="s">
        <v>23296</v>
      </c>
      <c r="D412" s="56" t="s">
        <v>23374</v>
      </c>
      <c r="E412" s="10" t="s">
        <v>209</v>
      </c>
      <c r="F412" s="10" t="s">
        <v>17478</v>
      </c>
      <c r="G412" s="10" t="s">
        <v>8</v>
      </c>
      <c r="H412" s="10" t="s">
        <v>23991</v>
      </c>
      <c r="I412" s="10" t="s">
        <v>48</v>
      </c>
      <c r="K412" s="10" t="s">
        <v>23992</v>
      </c>
      <c r="L412" s="10" t="s">
        <v>42</v>
      </c>
    </row>
    <row r="413" ht="15.75" customHeight="1">
      <c r="A413" s="68">
        <v>45421.0</v>
      </c>
      <c r="B413" s="55" t="str">
        <f>HYPERLINK("https://jobright.ai/jobs/info/663cf5be95d4a0d779da3535?utm_campaign=1053&amp;utm_source=sheet", "Apply")</f>
        <v>Apply</v>
      </c>
      <c r="C413" s="10" t="s">
        <v>23993</v>
      </c>
      <c r="D413" s="56" t="s">
        <v>15387</v>
      </c>
      <c r="E413" s="10" t="s">
        <v>209</v>
      </c>
      <c r="F413" s="10" t="s">
        <v>15388</v>
      </c>
      <c r="G413" s="10" t="s">
        <v>8</v>
      </c>
      <c r="H413" s="10" t="s">
        <v>636</v>
      </c>
      <c r="I413" s="10" t="s">
        <v>55</v>
      </c>
      <c r="K413" s="10" t="s">
        <v>23287</v>
      </c>
      <c r="L413" s="10" t="s">
        <v>42</v>
      </c>
    </row>
    <row r="414" ht="15.75" customHeight="1">
      <c r="A414" s="68">
        <v>45421.0</v>
      </c>
      <c r="B414" s="55" t="str">
        <f>HYPERLINK("https://jobright.ai/jobs/info/663ced3df187f840e6f408f1?utm_campaign=1053&amp;utm_source=sheet", "Apply")</f>
        <v>Apply</v>
      </c>
      <c r="C414" s="10" t="s">
        <v>23994</v>
      </c>
      <c r="D414" s="56" t="s">
        <v>15387</v>
      </c>
      <c r="E414" s="10" t="s">
        <v>209</v>
      </c>
      <c r="F414" s="10" t="s">
        <v>15388</v>
      </c>
      <c r="G414" s="10" t="s">
        <v>8</v>
      </c>
      <c r="H414" s="10" t="s">
        <v>23995</v>
      </c>
      <c r="I414" s="10" t="s">
        <v>55</v>
      </c>
      <c r="K414" s="10" t="s">
        <v>23287</v>
      </c>
      <c r="L414" s="10" t="s">
        <v>42</v>
      </c>
    </row>
    <row r="415" ht="15.75" customHeight="1">
      <c r="A415" s="68">
        <v>45418.0</v>
      </c>
      <c r="B415" s="55" t="str">
        <f>HYPERLINK("https://jobright.ai/jobs/info/66393bdb78a4a2512015ab43?utm_campaign=1053&amp;utm_source=sheet", "Apply")</f>
        <v>Apply</v>
      </c>
      <c r="C415" s="10" t="s">
        <v>23996</v>
      </c>
      <c r="D415" s="56" t="s">
        <v>17408</v>
      </c>
      <c r="E415" s="10" t="s">
        <v>276</v>
      </c>
      <c r="F415" s="10" t="s">
        <v>17409</v>
      </c>
      <c r="G415" s="10" t="s">
        <v>8</v>
      </c>
      <c r="H415" s="10" t="s">
        <v>914</v>
      </c>
      <c r="I415" s="10" t="s">
        <v>55</v>
      </c>
      <c r="K415" s="10" t="s">
        <v>23997</v>
      </c>
      <c r="L415" s="10" t="s">
        <v>42</v>
      </c>
    </row>
    <row r="416" ht="15.75" customHeight="1">
      <c r="A416" s="68">
        <v>45418.0</v>
      </c>
      <c r="B416" s="55" t="str">
        <f>HYPERLINK("https://jobright.ai/jobs/info/66394caaecbb4a3ec9bbd6f4?utm_campaign=1053&amp;utm_source=sheet", "Apply")</f>
        <v>Apply</v>
      </c>
      <c r="C416" s="10" t="s">
        <v>23998</v>
      </c>
      <c r="D416" s="56" t="s">
        <v>15387</v>
      </c>
      <c r="E416" s="10" t="s">
        <v>209</v>
      </c>
      <c r="F416" s="10" t="s">
        <v>15388</v>
      </c>
      <c r="G416" s="10" t="s">
        <v>8</v>
      </c>
      <c r="H416" s="10" t="s">
        <v>2485</v>
      </c>
      <c r="I416" s="10" t="s">
        <v>55</v>
      </c>
      <c r="K416" s="10" t="s">
        <v>23287</v>
      </c>
      <c r="L416" s="10" t="s">
        <v>42</v>
      </c>
    </row>
    <row r="417" ht="15.75" customHeight="1">
      <c r="A417" s="68">
        <v>45418.0</v>
      </c>
      <c r="B417" s="55" t="str">
        <f>HYPERLINK("https://jobright.ai/jobs/info/66242e8dfca1b559060605cc?utm_campaign=1053&amp;utm_source=sheet", "Apply")</f>
        <v>Apply</v>
      </c>
      <c r="C417" s="10" t="s">
        <v>23999</v>
      </c>
      <c r="D417" s="56" t="s">
        <v>15387</v>
      </c>
      <c r="E417" s="10" t="s">
        <v>209</v>
      </c>
      <c r="F417" s="10" t="s">
        <v>15388</v>
      </c>
      <c r="G417" s="10" t="s">
        <v>8</v>
      </c>
      <c r="H417" s="10" t="s">
        <v>24000</v>
      </c>
      <c r="I417" s="10" t="s">
        <v>55</v>
      </c>
      <c r="J417" s="10" t="s">
        <v>1409</v>
      </c>
      <c r="K417" s="10" t="s">
        <v>23287</v>
      </c>
      <c r="L417" s="10" t="s">
        <v>42</v>
      </c>
    </row>
    <row r="418" ht="15.75" customHeight="1">
      <c r="A418" s="68">
        <v>45418.0</v>
      </c>
      <c r="B418" s="55" t="str">
        <f>HYPERLINK("https://jobright.ai/jobs/info/665d8f48afa29d3660ab00c4?utm_campaign=1053&amp;utm_source=sheet", "Apply")</f>
        <v>Apply</v>
      </c>
      <c r="C418" s="10" t="s">
        <v>23414</v>
      </c>
      <c r="D418" s="56" t="s">
        <v>23553</v>
      </c>
      <c r="E418" s="10" t="s">
        <v>249</v>
      </c>
      <c r="F418" s="10" t="s">
        <v>23554</v>
      </c>
      <c r="G418" s="10" t="s">
        <v>8</v>
      </c>
      <c r="H418" s="10" t="s">
        <v>24001</v>
      </c>
      <c r="I418" s="10" t="s">
        <v>48</v>
      </c>
      <c r="K418" s="10" t="s">
        <v>24002</v>
      </c>
      <c r="L418" s="10" t="s">
        <v>42</v>
      </c>
    </row>
    <row r="419" ht="15.75" customHeight="1">
      <c r="A419" s="68">
        <v>45415.0</v>
      </c>
      <c r="B419" s="55" t="str">
        <f>HYPERLINK("https://jobright.ai/jobs/info/665d8f53afa29d3660ab022f?utm_campaign=1053&amp;utm_source=sheet", "Apply")</f>
        <v>Apply</v>
      </c>
      <c r="C419" s="10" t="s">
        <v>24003</v>
      </c>
      <c r="D419" s="56" t="s">
        <v>24004</v>
      </c>
      <c r="E419" s="10" t="s">
        <v>137</v>
      </c>
      <c r="F419" s="10" t="s">
        <v>24005</v>
      </c>
      <c r="G419" s="10" t="s">
        <v>8</v>
      </c>
      <c r="H419" s="10" t="s">
        <v>2275</v>
      </c>
      <c r="I419" s="10" t="s">
        <v>48</v>
      </c>
      <c r="K419" s="10" t="s">
        <v>24006</v>
      </c>
      <c r="L419" s="10" t="s">
        <v>42</v>
      </c>
    </row>
    <row r="420" ht="15.75" customHeight="1">
      <c r="A420" s="68">
        <v>45414.0</v>
      </c>
      <c r="B420" s="55" t="str">
        <f>HYPERLINK("https://jobright.ai/jobs/info/666940238f0265d34931b478?utm_campaign=1053&amp;utm_source=sheet", "Apply")</f>
        <v>Apply</v>
      </c>
      <c r="C420" s="10" t="s">
        <v>24007</v>
      </c>
      <c r="D420" s="56" t="s">
        <v>13460</v>
      </c>
      <c r="E420" s="10" t="s">
        <v>209</v>
      </c>
      <c r="F420" s="10" t="s">
        <v>1769</v>
      </c>
      <c r="G420" s="10" t="s">
        <v>8</v>
      </c>
      <c r="H420" s="10" t="s">
        <v>13461</v>
      </c>
      <c r="I420" s="10" t="s">
        <v>55</v>
      </c>
      <c r="J420" s="10" t="s">
        <v>24008</v>
      </c>
      <c r="K420" s="10" t="s">
        <v>24009</v>
      </c>
      <c r="L420" s="10" t="s">
        <v>42</v>
      </c>
    </row>
    <row r="421" ht="15.75" customHeight="1">
      <c r="A421" s="64">
        <v>45414.0</v>
      </c>
      <c r="B421" s="55" t="str">
        <f>HYPERLINK("https://jobright.ai/jobs/info/666940318f0265d34931b4ce?utm_campaign=1053&amp;utm_source=sheet", "Apply")</f>
        <v>Apply</v>
      </c>
      <c r="C421" s="10" t="s">
        <v>24010</v>
      </c>
      <c r="D421" s="56" t="s">
        <v>13460</v>
      </c>
      <c r="E421" s="10" t="s">
        <v>209</v>
      </c>
      <c r="F421" s="10" t="s">
        <v>1769</v>
      </c>
      <c r="G421" s="10" t="s">
        <v>8</v>
      </c>
      <c r="H421" s="10" t="s">
        <v>13461</v>
      </c>
      <c r="I421" s="10" t="s">
        <v>55</v>
      </c>
      <c r="J421" s="10" t="s">
        <v>24011</v>
      </c>
      <c r="K421" s="10" t="s">
        <v>24012</v>
      </c>
      <c r="L421" s="10" t="s">
        <v>42</v>
      </c>
    </row>
    <row r="422" ht="15.75" customHeight="1">
      <c r="A422" s="64">
        <v>45414.0</v>
      </c>
      <c r="B422" s="55" t="str">
        <f>HYPERLINK("https://jobright.ai/jobs/info/666940138f0265d34931b3d9?utm_campaign=1053&amp;utm_source=sheet", "Apply")</f>
        <v>Apply</v>
      </c>
      <c r="C422" s="10" t="s">
        <v>24013</v>
      </c>
      <c r="D422" s="56" t="s">
        <v>13460</v>
      </c>
      <c r="E422" s="10" t="s">
        <v>209</v>
      </c>
      <c r="F422" s="10" t="s">
        <v>1769</v>
      </c>
      <c r="G422" s="10" t="s">
        <v>8</v>
      </c>
      <c r="H422" s="10" t="s">
        <v>13461</v>
      </c>
      <c r="I422" s="10" t="s">
        <v>55</v>
      </c>
      <c r="J422" s="10" t="s">
        <v>24008</v>
      </c>
      <c r="K422" s="10" t="s">
        <v>24014</v>
      </c>
      <c r="L422" s="10" t="s">
        <v>42</v>
      </c>
    </row>
    <row r="423" ht="15.75" customHeight="1">
      <c r="A423" s="64">
        <v>45414.0</v>
      </c>
      <c r="B423" s="55" t="str">
        <f>HYPERLINK("https://jobright.ai/jobs/info/666940058f0265d34931b333?utm_campaign=1053&amp;utm_source=sheet", "Apply")</f>
        <v>Apply</v>
      </c>
      <c r="C423" s="10" t="s">
        <v>24015</v>
      </c>
      <c r="D423" s="56" t="s">
        <v>13460</v>
      </c>
      <c r="E423" s="10" t="s">
        <v>209</v>
      </c>
      <c r="F423" s="10" t="s">
        <v>1769</v>
      </c>
      <c r="G423" s="10" t="s">
        <v>8</v>
      </c>
      <c r="H423" s="10" t="s">
        <v>13461</v>
      </c>
      <c r="I423" s="10" t="s">
        <v>55</v>
      </c>
      <c r="J423" s="10" t="s">
        <v>24008</v>
      </c>
      <c r="K423" s="10" t="s">
        <v>24016</v>
      </c>
      <c r="L423" s="10" t="s">
        <v>42</v>
      </c>
    </row>
    <row r="424" ht="15.75" customHeight="1">
      <c r="A424" s="64">
        <v>45414.0</v>
      </c>
      <c r="B424" s="55" t="str">
        <f>HYPERLINK("https://jobright.ai/jobs/info/666940058f0265d34931b33b?utm_campaign=1053&amp;utm_source=sheet", "Apply")</f>
        <v>Apply</v>
      </c>
      <c r="C424" s="10" t="s">
        <v>24017</v>
      </c>
      <c r="D424" s="56" t="s">
        <v>13460</v>
      </c>
      <c r="E424" s="10" t="s">
        <v>209</v>
      </c>
      <c r="F424" s="10" t="s">
        <v>1769</v>
      </c>
      <c r="G424" s="10" t="s">
        <v>8</v>
      </c>
      <c r="H424" s="10" t="s">
        <v>13461</v>
      </c>
      <c r="I424" s="10" t="s">
        <v>55</v>
      </c>
      <c r="J424" s="10" t="s">
        <v>24008</v>
      </c>
      <c r="K424" s="10" t="s">
        <v>24018</v>
      </c>
      <c r="L424" s="10" t="s">
        <v>42</v>
      </c>
    </row>
    <row r="425" ht="15.75" customHeight="1">
      <c r="A425" s="64">
        <v>45414.0</v>
      </c>
      <c r="B425" s="55" t="str">
        <f>HYPERLINK("https://jobright.ai/jobs/info/666940138f0265d34931b381?utm_campaign=1053&amp;utm_source=sheet", "Apply")</f>
        <v>Apply</v>
      </c>
      <c r="C425" s="10" t="s">
        <v>24019</v>
      </c>
      <c r="D425" s="56" t="s">
        <v>13460</v>
      </c>
      <c r="E425" s="10" t="s">
        <v>209</v>
      </c>
      <c r="F425" s="10" t="s">
        <v>1769</v>
      </c>
      <c r="G425" s="10" t="s">
        <v>8</v>
      </c>
      <c r="H425" s="10" t="s">
        <v>13461</v>
      </c>
      <c r="I425" s="10" t="s">
        <v>55</v>
      </c>
      <c r="J425" s="10" t="s">
        <v>24008</v>
      </c>
      <c r="K425" s="10" t="s">
        <v>24020</v>
      </c>
      <c r="L425" s="10" t="s">
        <v>42</v>
      </c>
    </row>
    <row r="426" ht="15.75" customHeight="1">
      <c r="A426" s="64"/>
      <c r="D426" s="56"/>
    </row>
    <row r="427" ht="15.75" customHeight="1">
      <c r="A427" s="64"/>
      <c r="D427" s="56"/>
    </row>
    <row r="428">
      <c r="A428" s="64"/>
      <c r="D428" s="56"/>
    </row>
    <row r="429">
      <c r="A429" s="64"/>
      <c r="D429" s="56"/>
    </row>
    <row r="430">
      <c r="A430" s="64"/>
      <c r="D430" s="56"/>
    </row>
    <row r="431">
      <c r="A431" s="64"/>
      <c r="D431" s="56"/>
    </row>
    <row r="432">
      <c r="A432" s="64"/>
      <c r="D432" s="56"/>
    </row>
    <row r="433">
      <c r="A433" s="64"/>
      <c r="D433" s="56"/>
    </row>
    <row r="434">
      <c r="A434" s="66"/>
      <c r="D434" s="56"/>
    </row>
    <row r="435">
      <c r="A435" s="66"/>
      <c r="D435" s="56"/>
    </row>
    <row r="436">
      <c r="A436" s="66"/>
      <c r="D436" s="56"/>
    </row>
    <row r="437">
      <c r="A437" s="66"/>
      <c r="D437" s="56"/>
    </row>
    <row r="438">
      <c r="A438" s="66"/>
      <c r="D438" s="56"/>
    </row>
    <row r="439">
      <c r="A439" s="64"/>
      <c r="D439" s="56"/>
    </row>
    <row r="440">
      <c r="A440" s="64"/>
      <c r="D440" s="56"/>
    </row>
    <row r="441">
      <c r="A441" s="64"/>
      <c r="D441" s="56"/>
    </row>
    <row r="442">
      <c r="A442" s="64"/>
      <c r="D442" s="56"/>
    </row>
    <row r="443">
      <c r="A443" s="64"/>
      <c r="D443" s="56"/>
    </row>
    <row r="444">
      <c r="A444" s="64"/>
      <c r="D444" s="56"/>
    </row>
    <row r="445">
      <c r="A445" s="64"/>
      <c r="D445" s="56"/>
    </row>
    <row r="446">
      <c r="A446" s="64"/>
      <c r="D446" s="56"/>
    </row>
    <row r="447">
      <c r="A447" s="64"/>
      <c r="D447" s="56"/>
    </row>
    <row r="448">
      <c r="A448" s="64"/>
      <c r="D448" s="56"/>
    </row>
    <row r="449">
      <c r="A449" s="64"/>
      <c r="D449" s="56"/>
    </row>
    <row r="450">
      <c r="A450" s="64"/>
      <c r="D450" s="56"/>
    </row>
    <row r="451">
      <c r="A451" s="64"/>
      <c r="D451" s="56"/>
    </row>
    <row r="452">
      <c r="A452" s="64"/>
      <c r="D452" s="56"/>
    </row>
    <row r="453">
      <c r="A453" s="64"/>
      <c r="D453" s="56"/>
    </row>
    <row r="454">
      <c r="A454" s="64"/>
      <c r="D454" s="56"/>
    </row>
    <row r="455">
      <c r="A455" s="64"/>
      <c r="D455" s="56"/>
    </row>
    <row r="456">
      <c r="A456" s="64"/>
      <c r="D456" s="56"/>
    </row>
    <row r="457">
      <c r="A457" s="64"/>
      <c r="D457" s="56"/>
    </row>
    <row r="458">
      <c r="A458" s="64"/>
      <c r="D458" s="56"/>
    </row>
    <row r="459">
      <c r="A459" s="64"/>
      <c r="D459" s="56"/>
    </row>
    <row r="460">
      <c r="A460" s="64"/>
      <c r="D460" s="56"/>
    </row>
    <row r="461">
      <c r="A461" s="64"/>
      <c r="D461" s="56"/>
    </row>
    <row r="462">
      <c r="A462" s="64"/>
      <c r="D462" s="56"/>
    </row>
    <row r="463">
      <c r="A463" s="64"/>
      <c r="D463" s="56"/>
    </row>
    <row r="464">
      <c r="A464" s="66"/>
      <c r="D464" s="56"/>
    </row>
    <row r="465">
      <c r="A465" s="66"/>
      <c r="D465" s="56"/>
    </row>
    <row r="466">
      <c r="A466" s="66"/>
      <c r="D466" s="56"/>
    </row>
    <row r="467">
      <c r="A467" s="66"/>
      <c r="D467" s="56"/>
    </row>
    <row r="468">
      <c r="A468" s="64"/>
      <c r="D468" s="56"/>
    </row>
    <row r="469">
      <c r="A469" s="64"/>
      <c r="D469" s="56"/>
    </row>
    <row r="470">
      <c r="A470" s="64"/>
      <c r="D470" s="56"/>
    </row>
    <row r="471">
      <c r="A471" s="64"/>
      <c r="D471" s="56"/>
    </row>
    <row r="472">
      <c r="A472" s="64"/>
      <c r="D472" s="56"/>
    </row>
    <row r="473">
      <c r="A473" s="64"/>
      <c r="D473" s="56"/>
    </row>
    <row r="474">
      <c r="A474" s="64"/>
      <c r="D474" s="56"/>
    </row>
    <row r="475">
      <c r="A475" s="64"/>
      <c r="D475" s="56"/>
    </row>
    <row r="476">
      <c r="A476" s="66"/>
      <c r="D476" s="63"/>
    </row>
    <row r="477">
      <c r="A477" s="66"/>
      <c r="D477" s="63"/>
    </row>
    <row r="478">
      <c r="A478" s="66"/>
      <c r="D478" s="63"/>
    </row>
    <row r="479">
      <c r="A479" s="64"/>
      <c r="D479" s="63"/>
    </row>
    <row r="480">
      <c r="A480" s="66"/>
      <c r="D480" s="63"/>
    </row>
    <row r="481">
      <c r="A481" s="66"/>
      <c r="D481" s="63"/>
    </row>
    <row r="482">
      <c r="A482" s="66"/>
      <c r="D482" s="63"/>
    </row>
    <row r="483">
      <c r="A483" s="64"/>
      <c r="D483" s="63"/>
    </row>
    <row r="484">
      <c r="A484" s="64"/>
      <c r="D484" s="63"/>
    </row>
    <row r="485">
      <c r="A485" s="64"/>
      <c r="D485" s="63"/>
    </row>
    <row r="486">
      <c r="A486" s="64"/>
      <c r="D486" s="63"/>
    </row>
    <row r="487">
      <c r="A487" s="64"/>
      <c r="D487" s="63"/>
    </row>
    <row r="488">
      <c r="A488" s="64"/>
      <c r="D488" s="63"/>
    </row>
    <row r="489">
      <c r="A489" s="64"/>
      <c r="D489" s="63"/>
    </row>
    <row r="490">
      <c r="A490" s="64"/>
      <c r="D490" s="63"/>
    </row>
    <row r="491">
      <c r="A491" s="64"/>
      <c r="D491" s="63"/>
    </row>
    <row r="492">
      <c r="A492" s="64"/>
      <c r="D492" s="63"/>
    </row>
    <row r="493">
      <c r="A493" s="64"/>
      <c r="D493" s="63"/>
    </row>
    <row r="494">
      <c r="A494" s="64"/>
      <c r="D494" s="63"/>
    </row>
    <row r="495">
      <c r="A495" s="66"/>
      <c r="D495" s="63"/>
    </row>
    <row r="496">
      <c r="A496" s="66"/>
      <c r="D496" s="63"/>
    </row>
    <row r="497">
      <c r="A497" s="64"/>
      <c r="D497" s="63"/>
    </row>
    <row r="498">
      <c r="A498" s="64"/>
      <c r="D498" s="63"/>
    </row>
    <row r="499">
      <c r="A499" s="64"/>
      <c r="D499" s="63"/>
    </row>
    <row r="500">
      <c r="A500" s="64"/>
      <c r="D500" s="63"/>
    </row>
    <row r="501">
      <c r="A501" s="64"/>
      <c r="D501" s="63"/>
    </row>
    <row r="502">
      <c r="A502" s="64"/>
      <c r="D502" s="63"/>
    </row>
    <row r="503">
      <c r="A503" s="66"/>
      <c r="D503" s="63"/>
    </row>
    <row r="504">
      <c r="A504" s="66"/>
      <c r="D504" s="63"/>
    </row>
    <row r="505">
      <c r="A505" s="64"/>
      <c r="D505" s="63"/>
    </row>
    <row r="506">
      <c r="A506" s="64"/>
      <c r="D506" s="63"/>
    </row>
    <row r="507">
      <c r="A507" s="64"/>
      <c r="D507" s="63"/>
    </row>
    <row r="508">
      <c r="A508" s="64"/>
      <c r="D508" s="63"/>
    </row>
    <row r="509">
      <c r="A509" s="64"/>
      <c r="D509" s="63"/>
    </row>
    <row r="510">
      <c r="A510" s="64"/>
      <c r="D510" s="63"/>
    </row>
    <row r="511">
      <c r="A511" s="64"/>
      <c r="D511" s="63"/>
    </row>
    <row r="512">
      <c r="A512" s="64"/>
      <c r="D512" s="63"/>
    </row>
    <row r="513">
      <c r="A513" s="64"/>
      <c r="D513" s="63"/>
    </row>
    <row r="514">
      <c r="A514" s="64"/>
      <c r="D514" s="63"/>
    </row>
    <row r="515">
      <c r="A515" s="66"/>
      <c r="D515" s="63"/>
    </row>
    <row r="516">
      <c r="A516" s="66"/>
      <c r="D516" s="63"/>
    </row>
    <row r="517">
      <c r="A517" s="64"/>
      <c r="D517" s="63"/>
    </row>
    <row r="518">
      <c r="A518" s="64"/>
      <c r="D518" s="62"/>
    </row>
    <row r="519">
      <c r="A519" s="64"/>
      <c r="D519" s="63"/>
    </row>
    <row r="520">
      <c r="A520" s="64"/>
      <c r="D520" s="62"/>
    </row>
    <row r="521">
      <c r="A521" s="64"/>
      <c r="D521" s="63"/>
    </row>
    <row r="522">
      <c r="A522" s="64"/>
      <c r="D522" s="63"/>
    </row>
    <row r="523">
      <c r="A523" s="66"/>
      <c r="D523" s="63"/>
    </row>
    <row r="524">
      <c r="A524" s="66"/>
      <c r="D524" s="62"/>
    </row>
    <row r="525">
      <c r="A525" s="64"/>
      <c r="D525" s="63"/>
    </row>
    <row r="526">
      <c r="A526" s="64"/>
      <c r="D526" s="62"/>
    </row>
    <row r="527">
      <c r="A527" s="64"/>
      <c r="D527" s="63"/>
    </row>
    <row r="528">
      <c r="A528" s="64"/>
      <c r="D528" s="62"/>
    </row>
    <row r="529">
      <c r="D529" s="63"/>
    </row>
    <row r="530">
      <c r="D530" s="63"/>
    </row>
    <row r="531">
      <c r="D531" s="63"/>
    </row>
    <row r="532">
      <c r="D532" s="63"/>
    </row>
    <row r="533">
      <c r="D533" s="63"/>
    </row>
    <row r="534">
      <c r="D534" s="63"/>
    </row>
    <row r="535">
      <c r="D535" s="63"/>
    </row>
    <row r="536">
      <c r="D536" s="63"/>
    </row>
    <row r="537">
      <c r="D537" s="63"/>
    </row>
    <row r="538">
      <c r="D538" s="63"/>
    </row>
    <row r="539">
      <c r="D539" s="63"/>
    </row>
    <row r="540">
      <c r="D540" s="63"/>
    </row>
    <row r="541">
      <c r="D541" s="63"/>
    </row>
    <row r="542">
      <c r="D542" s="63"/>
    </row>
    <row r="543">
      <c r="D543" s="63"/>
    </row>
    <row r="544">
      <c r="D544" s="63"/>
    </row>
    <row r="545">
      <c r="D545" s="63"/>
    </row>
    <row r="546">
      <c r="D546" s="63"/>
    </row>
    <row r="547">
      <c r="D547" s="63"/>
    </row>
    <row r="548">
      <c r="D548" s="63"/>
    </row>
    <row r="549">
      <c r="D549" s="63"/>
    </row>
    <row r="550">
      <c r="D550" s="63"/>
    </row>
    <row r="551">
      <c r="D551" s="63"/>
    </row>
    <row r="552">
      <c r="D552" s="63"/>
    </row>
    <row r="553">
      <c r="D553" s="63"/>
    </row>
    <row r="554">
      <c r="D554" s="63"/>
    </row>
    <row r="555">
      <c r="D555" s="63"/>
    </row>
    <row r="556">
      <c r="D556" s="63"/>
    </row>
    <row r="557">
      <c r="D557" s="63"/>
    </row>
    <row r="558">
      <c r="D558" s="63"/>
    </row>
    <row r="559">
      <c r="D559" s="63"/>
    </row>
    <row r="560">
      <c r="D560" s="63"/>
    </row>
    <row r="561">
      <c r="D561" s="63"/>
    </row>
    <row r="562">
      <c r="D562" s="63"/>
    </row>
    <row r="563">
      <c r="D563" s="63"/>
    </row>
    <row r="564">
      <c r="D564" s="63"/>
    </row>
    <row r="565">
      <c r="D565" s="63"/>
    </row>
    <row r="566">
      <c r="D566" s="63"/>
    </row>
    <row r="567">
      <c r="D567" s="63"/>
    </row>
    <row r="568">
      <c r="D568" s="63"/>
    </row>
    <row r="569">
      <c r="D569" s="63"/>
    </row>
    <row r="570">
      <c r="D570" s="63"/>
    </row>
    <row r="571">
      <c r="D571" s="63"/>
    </row>
    <row r="572">
      <c r="D572" s="63"/>
    </row>
    <row r="573">
      <c r="D573" s="63"/>
    </row>
    <row r="574">
      <c r="D574" s="63"/>
    </row>
    <row r="575">
      <c r="D575" s="63"/>
    </row>
    <row r="576">
      <c r="D576" s="63"/>
    </row>
    <row r="577">
      <c r="D577" s="63"/>
    </row>
    <row r="578">
      <c r="D578" s="63"/>
    </row>
    <row r="579">
      <c r="D579" s="63"/>
    </row>
    <row r="580">
      <c r="D580" s="63"/>
    </row>
    <row r="581">
      <c r="D581" s="63"/>
    </row>
    <row r="582">
      <c r="D582" s="63"/>
    </row>
    <row r="583">
      <c r="D583" s="63"/>
    </row>
    <row r="584">
      <c r="D584" s="63"/>
    </row>
    <row r="585">
      <c r="D585" s="63"/>
    </row>
    <row r="586">
      <c r="D586" s="63"/>
    </row>
    <row r="587">
      <c r="D587" s="63"/>
    </row>
    <row r="588">
      <c r="D588" s="63"/>
    </row>
    <row r="589">
      <c r="D589" s="63"/>
    </row>
    <row r="590">
      <c r="D590" s="63"/>
    </row>
    <row r="591">
      <c r="D591" s="63"/>
    </row>
    <row r="592">
      <c r="D592" s="63"/>
    </row>
    <row r="593">
      <c r="D593" s="63"/>
    </row>
    <row r="594">
      <c r="D594" s="63"/>
    </row>
    <row r="595">
      <c r="D595" s="63"/>
    </row>
    <row r="596">
      <c r="D596" s="63"/>
    </row>
    <row r="597">
      <c r="D597" s="63"/>
    </row>
    <row r="598">
      <c r="D598" s="63"/>
    </row>
    <row r="599">
      <c r="D599" s="63"/>
    </row>
    <row r="600">
      <c r="D600" s="63"/>
    </row>
    <row r="601">
      <c r="D601" s="63"/>
    </row>
    <row r="602">
      <c r="D602" s="63"/>
    </row>
    <row r="603">
      <c r="D603" s="63"/>
    </row>
    <row r="604">
      <c r="D604" s="63"/>
    </row>
    <row r="605">
      <c r="D605" s="63"/>
    </row>
    <row r="606">
      <c r="D606" s="63"/>
    </row>
    <row r="607">
      <c r="D607" s="63"/>
    </row>
    <row r="608">
      <c r="D608" s="63"/>
    </row>
    <row r="609">
      <c r="D609" s="63"/>
    </row>
    <row r="610">
      <c r="D610" s="63"/>
    </row>
    <row r="611">
      <c r="D611" s="63"/>
    </row>
    <row r="612">
      <c r="D612" s="63"/>
    </row>
    <row r="613">
      <c r="D613" s="63"/>
    </row>
    <row r="614">
      <c r="D614" s="63"/>
    </row>
    <row r="615">
      <c r="D615" s="63"/>
    </row>
    <row r="616">
      <c r="D616" s="63"/>
    </row>
    <row r="617">
      <c r="D617" s="63"/>
    </row>
    <row r="618">
      <c r="D618" s="63"/>
    </row>
    <row r="619">
      <c r="D619" s="63"/>
    </row>
    <row r="620">
      <c r="D620" s="63"/>
    </row>
    <row r="621">
      <c r="D621" s="63"/>
    </row>
    <row r="622">
      <c r="D622" s="63"/>
    </row>
    <row r="623">
      <c r="D623" s="63"/>
    </row>
    <row r="624">
      <c r="D624" s="63"/>
    </row>
    <row r="625">
      <c r="D625" s="63"/>
    </row>
    <row r="626">
      <c r="D626" s="63"/>
    </row>
    <row r="627">
      <c r="D627" s="63"/>
    </row>
    <row r="628">
      <c r="D628" s="63"/>
    </row>
    <row r="629">
      <c r="D629" s="63"/>
    </row>
    <row r="630">
      <c r="D630" s="63"/>
    </row>
    <row r="631">
      <c r="D631" s="63"/>
    </row>
    <row r="632">
      <c r="D632" s="63"/>
    </row>
    <row r="633">
      <c r="D633" s="63"/>
    </row>
    <row r="634">
      <c r="D634" s="63"/>
    </row>
    <row r="635">
      <c r="D635" s="63"/>
    </row>
    <row r="636">
      <c r="D636" s="63"/>
    </row>
    <row r="637">
      <c r="D637" s="63"/>
    </row>
    <row r="638">
      <c r="D638" s="63"/>
    </row>
    <row r="639">
      <c r="D639" s="63"/>
    </row>
    <row r="640">
      <c r="D640" s="63"/>
    </row>
    <row r="641">
      <c r="D641" s="63"/>
    </row>
    <row r="642">
      <c r="D642" s="63"/>
    </row>
    <row r="643">
      <c r="D643" s="63"/>
    </row>
    <row r="644">
      <c r="D644" s="63"/>
    </row>
    <row r="645">
      <c r="D645" s="63"/>
    </row>
    <row r="646">
      <c r="D646" s="63"/>
    </row>
    <row r="647">
      <c r="D647" s="63"/>
    </row>
    <row r="648">
      <c r="D648" s="63"/>
    </row>
    <row r="649">
      <c r="D649" s="63"/>
    </row>
    <row r="650">
      <c r="D650" s="63"/>
    </row>
    <row r="651">
      <c r="D651" s="63"/>
    </row>
    <row r="652">
      <c r="D652" s="63"/>
    </row>
    <row r="653">
      <c r="D653" s="63"/>
    </row>
    <row r="654">
      <c r="D654" s="63"/>
    </row>
    <row r="655">
      <c r="D655" s="63"/>
    </row>
    <row r="656">
      <c r="D656" s="63"/>
    </row>
    <row r="657">
      <c r="D657" s="63"/>
    </row>
    <row r="658">
      <c r="D658" s="63"/>
    </row>
    <row r="659">
      <c r="D659" s="63"/>
    </row>
    <row r="660">
      <c r="D660" s="63"/>
    </row>
    <row r="661">
      <c r="D661" s="63"/>
    </row>
    <row r="662">
      <c r="D662" s="63"/>
    </row>
    <row r="663">
      <c r="D663" s="63"/>
    </row>
    <row r="664">
      <c r="D664" s="63"/>
    </row>
    <row r="665">
      <c r="D665" s="63"/>
    </row>
    <row r="666">
      <c r="D666" s="63"/>
    </row>
    <row r="667">
      <c r="D667" s="63"/>
    </row>
    <row r="668">
      <c r="D668" s="63"/>
    </row>
    <row r="669">
      <c r="D669" s="63"/>
    </row>
    <row r="670">
      <c r="D670" s="63"/>
    </row>
    <row r="671">
      <c r="D671" s="63"/>
    </row>
    <row r="672">
      <c r="D672" s="63"/>
    </row>
    <row r="673">
      <c r="D673" s="63"/>
    </row>
    <row r="674">
      <c r="D674" s="63"/>
    </row>
    <row r="675">
      <c r="D675" s="63"/>
    </row>
    <row r="676">
      <c r="D676" s="63"/>
    </row>
    <row r="677">
      <c r="D677" s="63"/>
    </row>
    <row r="678">
      <c r="D678" s="63"/>
    </row>
    <row r="679">
      <c r="D679" s="63"/>
    </row>
    <row r="680">
      <c r="D680" s="63"/>
    </row>
    <row r="681">
      <c r="D681" s="63"/>
    </row>
    <row r="682">
      <c r="D682" s="63"/>
    </row>
    <row r="683">
      <c r="D683" s="63"/>
    </row>
    <row r="684">
      <c r="D684" s="63"/>
    </row>
    <row r="685">
      <c r="D685" s="63"/>
    </row>
    <row r="686">
      <c r="D686" s="63"/>
    </row>
    <row r="687">
      <c r="D687" s="63"/>
    </row>
    <row r="688">
      <c r="D688" s="63"/>
    </row>
    <row r="689">
      <c r="D689" s="63"/>
    </row>
    <row r="690">
      <c r="D690" s="63"/>
    </row>
    <row r="691">
      <c r="D691" s="63"/>
    </row>
    <row r="692">
      <c r="D692" s="63"/>
    </row>
    <row r="693">
      <c r="D693" s="63"/>
    </row>
    <row r="694">
      <c r="D694" s="63"/>
    </row>
    <row r="695">
      <c r="D695" s="63"/>
    </row>
    <row r="696">
      <c r="D696" s="63"/>
    </row>
    <row r="697">
      <c r="D697" s="63"/>
    </row>
    <row r="698">
      <c r="D698" s="63"/>
    </row>
    <row r="699">
      <c r="D699" s="63"/>
    </row>
    <row r="700">
      <c r="D700" s="63"/>
    </row>
    <row r="701">
      <c r="D701" s="63"/>
    </row>
    <row r="702">
      <c r="D702" s="63"/>
    </row>
    <row r="703">
      <c r="D703" s="63"/>
    </row>
    <row r="704">
      <c r="D704" s="63"/>
    </row>
    <row r="705">
      <c r="D705" s="63"/>
    </row>
    <row r="706">
      <c r="D706" s="63"/>
    </row>
    <row r="707">
      <c r="D707" s="63"/>
    </row>
    <row r="708">
      <c r="D708" s="63"/>
    </row>
    <row r="709">
      <c r="D709" s="63"/>
    </row>
    <row r="710">
      <c r="D710" s="63"/>
    </row>
    <row r="711">
      <c r="D711" s="63"/>
    </row>
    <row r="712">
      <c r="D712" s="63"/>
    </row>
    <row r="713">
      <c r="D713" s="63"/>
    </row>
    <row r="714">
      <c r="D714" s="63"/>
    </row>
    <row r="715">
      <c r="D715" s="63"/>
    </row>
    <row r="716">
      <c r="D716" s="63"/>
    </row>
    <row r="717">
      <c r="D717" s="63"/>
    </row>
    <row r="718">
      <c r="D718" s="63"/>
    </row>
    <row r="719">
      <c r="D719" s="63"/>
    </row>
    <row r="720">
      <c r="D720" s="63"/>
    </row>
    <row r="721">
      <c r="D721" s="63"/>
    </row>
    <row r="722">
      <c r="D722" s="63"/>
    </row>
    <row r="723">
      <c r="D723" s="63"/>
    </row>
    <row r="724">
      <c r="D724" s="63"/>
    </row>
    <row r="725">
      <c r="D725" s="63"/>
    </row>
    <row r="726">
      <c r="D726" s="63"/>
    </row>
    <row r="727">
      <c r="D727" s="63"/>
    </row>
    <row r="728">
      <c r="D728" s="63"/>
    </row>
    <row r="729">
      <c r="D729" s="63"/>
    </row>
    <row r="730">
      <c r="D730" s="63"/>
    </row>
    <row r="731">
      <c r="D731" s="63"/>
    </row>
    <row r="732">
      <c r="D732" s="63"/>
    </row>
    <row r="733">
      <c r="D733" s="63"/>
    </row>
    <row r="734">
      <c r="D734" s="63"/>
    </row>
    <row r="735">
      <c r="D735" s="63"/>
    </row>
    <row r="736">
      <c r="D736" s="63"/>
    </row>
    <row r="737">
      <c r="D737" s="63"/>
    </row>
    <row r="738">
      <c r="D738" s="63"/>
    </row>
    <row r="739">
      <c r="D739" s="63"/>
    </row>
    <row r="740">
      <c r="D740" s="63"/>
    </row>
    <row r="741">
      <c r="D741" s="63"/>
    </row>
    <row r="742">
      <c r="D742" s="63"/>
    </row>
    <row r="743">
      <c r="D743" s="63"/>
    </row>
    <row r="744">
      <c r="D744" s="63"/>
    </row>
    <row r="745">
      <c r="D745" s="63"/>
    </row>
    <row r="746">
      <c r="D746" s="63"/>
    </row>
    <row r="747">
      <c r="D747" s="63"/>
    </row>
    <row r="748">
      <c r="D748" s="63"/>
    </row>
    <row r="749">
      <c r="D749" s="63"/>
    </row>
    <row r="750">
      <c r="D750" s="63"/>
    </row>
    <row r="751">
      <c r="D751" s="63"/>
    </row>
    <row r="752">
      <c r="D752" s="63"/>
    </row>
    <row r="753">
      <c r="D753" s="63"/>
    </row>
    <row r="754">
      <c r="D754" s="63"/>
    </row>
    <row r="755">
      <c r="D755" s="63"/>
    </row>
    <row r="756">
      <c r="D756" s="63"/>
    </row>
    <row r="757">
      <c r="D757" s="63"/>
    </row>
    <row r="758">
      <c r="D758" s="63"/>
    </row>
    <row r="759">
      <c r="D759" s="63"/>
    </row>
    <row r="760">
      <c r="D760" s="63"/>
    </row>
    <row r="761">
      <c r="D761" s="63"/>
    </row>
    <row r="762">
      <c r="D762" s="63"/>
    </row>
    <row r="763">
      <c r="D763" s="63"/>
    </row>
    <row r="764">
      <c r="D764" s="63"/>
    </row>
    <row r="765">
      <c r="D765" s="63"/>
    </row>
    <row r="766">
      <c r="D766" s="63"/>
    </row>
    <row r="767">
      <c r="D767" s="63"/>
    </row>
    <row r="768">
      <c r="D768" s="63"/>
    </row>
    <row r="769">
      <c r="D769" s="63"/>
    </row>
    <row r="770">
      <c r="D770" s="63"/>
    </row>
    <row r="771">
      <c r="D771" s="63"/>
    </row>
    <row r="772">
      <c r="D772" s="63"/>
    </row>
    <row r="773">
      <c r="D773" s="63"/>
    </row>
    <row r="774">
      <c r="D774" s="63"/>
    </row>
    <row r="775">
      <c r="D775" s="63"/>
    </row>
    <row r="776">
      <c r="D776" s="63"/>
    </row>
    <row r="777">
      <c r="D777" s="63"/>
    </row>
    <row r="778">
      <c r="D778" s="63"/>
    </row>
    <row r="779">
      <c r="D779" s="63"/>
    </row>
    <row r="780">
      <c r="D780" s="63"/>
    </row>
    <row r="781">
      <c r="D781" s="63"/>
    </row>
    <row r="782">
      <c r="D782" s="63"/>
    </row>
    <row r="783">
      <c r="D783" s="63"/>
    </row>
    <row r="784">
      <c r="D784" s="63"/>
    </row>
    <row r="785">
      <c r="D785" s="63"/>
    </row>
    <row r="786">
      <c r="D786" s="63"/>
    </row>
    <row r="787">
      <c r="D787" s="63"/>
    </row>
    <row r="788">
      <c r="D788" s="63"/>
    </row>
    <row r="789">
      <c r="D789" s="63"/>
    </row>
    <row r="790">
      <c r="D790" s="63"/>
    </row>
    <row r="791">
      <c r="D791" s="63"/>
    </row>
    <row r="792">
      <c r="D792" s="63"/>
    </row>
    <row r="793">
      <c r="D793" s="63"/>
    </row>
    <row r="794">
      <c r="D794" s="63"/>
    </row>
    <row r="795">
      <c r="D795" s="63"/>
    </row>
    <row r="796">
      <c r="D796" s="63"/>
    </row>
    <row r="797">
      <c r="D797" s="63"/>
    </row>
    <row r="798">
      <c r="D798" s="63"/>
    </row>
    <row r="799">
      <c r="D799" s="63"/>
    </row>
    <row r="800">
      <c r="D800" s="63"/>
    </row>
    <row r="801">
      <c r="D801" s="63"/>
    </row>
    <row r="802">
      <c r="D802" s="63"/>
    </row>
    <row r="803">
      <c r="D803" s="63"/>
    </row>
    <row r="804">
      <c r="D804" s="63"/>
    </row>
    <row r="805">
      <c r="D805" s="63"/>
    </row>
    <row r="806">
      <c r="D806" s="63"/>
    </row>
    <row r="807">
      <c r="D807" s="63"/>
    </row>
    <row r="808">
      <c r="D808" s="63"/>
    </row>
    <row r="809">
      <c r="D809" s="63"/>
    </row>
    <row r="810">
      <c r="D810" s="63"/>
    </row>
    <row r="811">
      <c r="D811" s="63"/>
    </row>
    <row r="812">
      <c r="D812" s="63"/>
    </row>
    <row r="813">
      <c r="D813" s="63"/>
    </row>
    <row r="814">
      <c r="D814" s="63"/>
    </row>
    <row r="815">
      <c r="D815" s="63"/>
    </row>
    <row r="816">
      <c r="D816" s="63"/>
    </row>
    <row r="817">
      <c r="D817" s="63"/>
    </row>
    <row r="818">
      <c r="D818" s="63"/>
    </row>
    <row r="819">
      <c r="D819" s="63"/>
    </row>
    <row r="820">
      <c r="D820" s="63"/>
    </row>
    <row r="821">
      <c r="D821" s="63"/>
    </row>
    <row r="822">
      <c r="D822" s="63"/>
    </row>
    <row r="823">
      <c r="D823" s="63"/>
    </row>
    <row r="824">
      <c r="D824" s="63"/>
    </row>
    <row r="825">
      <c r="D825" s="63"/>
    </row>
    <row r="826">
      <c r="D826" s="63"/>
    </row>
    <row r="827">
      <c r="D827" s="63"/>
    </row>
    <row r="828">
      <c r="D828" s="63"/>
    </row>
    <row r="829">
      <c r="D829" s="63"/>
    </row>
    <row r="830">
      <c r="D830" s="63"/>
    </row>
    <row r="831">
      <c r="D831" s="63"/>
    </row>
    <row r="832">
      <c r="D832" s="63"/>
    </row>
    <row r="833">
      <c r="D833" s="63"/>
    </row>
    <row r="834">
      <c r="D834" s="63"/>
    </row>
    <row r="835">
      <c r="D835" s="63"/>
    </row>
    <row r="836">
      <c r="D836" s="63"/>
    </row>
    <row r="837">
      <c r="D837" s="63"/>
    </row>
    <row r="838">
      <c r="D838" s="63"/>
    </row>
    <row r="839">
      <c r="D839" s="63"/>
    </row>
    <row r="840">
      <c r="D840" s="63"/>
    </row>
    <row r="841">
      <c r="D841" s="63"/>
    </row>
    <row r="842">
      <c r="D842" s="63"/>
    </row>
    <row r="843">
      <c r="D843" s="63"/>
    </row>
    <row r="844">
      <c r="D844" s="63"/>
    </row>
    <row r="845">
      <c r="D845" s="63"/>
    </row>
    <row r="846">
      <c r="D846" s="63"/>
    </row>
    <row r="847">
      <c r="D847" s="63"/>
    </row>
    <row r="848">
      <c r="D848" s="63"/>
    </row>
    <row r="849">
      <c r="D849" s="63"/>
    </row>
    <row r="850">
      <c r="D850" s="63"/>
    </row>
    <row r="851">
      <c r="D851" s="63"/>
    </row>
    <row r="852">
      <c r="D852" s="63"/>
    </row>
    <row r="853">
      <c r="D853" s="63"/>
    </row>
    <row r="854">
      <c r="D854" s="63"/>
    </row>
    <row r="855">
      <c r="D855" s="63"/>
    </row>
    <row r="856">
      <c r="D856" s="63"/>
    </row>
    <row r="857">
      <c r="D857" s="63"/>
    </row>
    <row r="858">
      <c r="D858" s="63"/>
    </row>
    <row r="859">
      <c r="D859" s="63"/>
    </row>
    <row r="860">
      <c r="D860" s="63"/>
    </row>
    <row r="861">
      <c r="D861" s="63"/>
    </row>
    <row r="862">
      <c r="D862" s="63"/>
    </row>
    <row r="863">
      <c r="D863" s="63"/>
    </row>
    <row r="864">
      <c r="D864" s="63"/>
    </row>
    <row r="865">
      <c r="D865" s="63"/>
    </row>
    <row r="866">
      <c r="D866" s="63"/>
    </row>
    <row r="867">
      <c r="D867" s="63"/>
    </row>
    <row r="868">
      <c r="D868" s="63"/>
    </row>
    <row r="869">
      <c r="D869" s="63"/>
    </row>
    <row r="870">
      <c r="D870" s="63"/>
    </row>
    <row r="871">
      <c r="D871" s="63"/>
    </row>
    <row r="872">
      <c r="D872" s="63"/>
    </row>
    <row r="873">
      <c r="D873" s="63"/>
    </row>
    <row r="874">
      <c r="D874" s="63"/>
    </row>
    <row r="875">
      <c r="D875" s="63"/>
    </row>
    <row r="876">
      <c r="D876" s="63"/>
    </row>
    <row r="877">
      <c r="D877" s="63"/>
    </row>
    <row r="878">
      <c r="D878" s="63"/>
    </row>
    <row r="879">
      <c r="D879" s="63"/>
    </row>
    <row r="880">
      <c r="D880" s="63"/>
    </row>
    <row r="881">
      <c r="D881" s="63"/>
    </row>
    <row r="882">
      <c r="D882" s="63"/>
    </row>
    <row r="883">
      <c r="D883" s="63"/>
    </row>
    <row r="884">
      <c r="D884" s="63"/>
    </row>
    <row r="885">
      <c r="D885" s="63"/>
    </row>
    <row r="886">
      <c r="D886" s="63"/>
    </row>
    <row r="887">
      <c r="D887" s="63"/>
    </row>
    <row r="888">
      <c r="D888" s="63"/>
    </row>
    <row r="889">
      <c r="D889" s="63"/>
    </row>
    <row r="890">
      <c r="D890" s="63"/>
    </row>
    <row r="891">
      <c r="D891" s="63"/>
    </row>
    <row r="892">
      <c r="D892" s="63"/>
    </row>
    <row r="893">
      <c r="D893" s="63"/>
    </row>
    <row r="894">
      <c r="D894" s="63"/>
    </row>
    <row r="895">
      <c r="D895" s="63"/>
    </row>
    <row r="896">
      <c r="D896" s="63"/>
    </row>
    <row r="897">
      <c r="D897" s="63"/>
    </row>
    <row r="898">
      <c r="D898" s="63"/>
    </row>
    <row r="899">
      <c r="D899" s="63"/>
    </row>
    <row r="900">
      <c r="D900" s="63"/>
    </row>
    <row r="901">
      <c r="D901" s="63"/>
    </row>
    <row r="902">
      <c r="D902" s="63"/>
    </row>
    <row r="903">
      <c r="D903" s="63"/>
    </row>
    <row r="904">
      <c r="D904" s="63"/>
    </row>
    <row r="905">
      <c r="D905" s="63"/>
    </row>
    <row r="906">
      <c r="D906" s="63"/>
    </row>
    <row r="907">
      <c r="D907" s="63"/>
    </row>
    <row r="908">
      <c r="D908" s="63"/>
    </row>
    <row r="909">
      <c r="D909" s="63"/>
    </row>
    <row r="910">
      <c r="D910" s="63"/>
    </row>
    <row r="911">
      <c r="D911" s="63"/>
    </row>
    <row r="912">
      <c r="D912" s="63"/>
    </row>
    <row r="913">
      <c r="D913" s="63"/>
    </row>
    <row r="914">
      <c r="D914" s="63"/>
    </row>
    <row r="915">
      <c r="D915" s="63"/>
    </row>
    <row r="916">
      <c r="D916" s="63"/>
    </row>
    <row r="917">
      <c r="D917" s="63"/>
    </row>
    <row r="918">
      <c r="D918" s="63"/>
    </row>
    <row r="919">
      <c r="D919" s="63"/>
    </row>
    <row r="920">
      <c r="D920" s="63"/>
    </row>
    <row r="921">
      <c r="D921" s="63"/>
    </row>
    <row r="922">
      <c r="D922" s="63"/>
    </row>
    <row r="923">
      <c r="D923" s="63"/>
    </row>
    <row r="924">
      <c r="D924" s="63"/>
    </row>
    <row r="925">
      <c r="D925" s="63"/>
    </row>
    <row r="926">
      <c r="D926" s="63"/>
    </row>
    <row r="927">
      <c r="D927" s="63"/>
    </row>
    <row r="928">
      <c r="D928" s="63"/>
    </row>
    <row r="929">
      <c r="D929" s="63"/>
    </row>
    <row r="930">
      <c r="D930" s="63"/>
    </row>
    <row r="931">
      <c r="D931" s="63"/>
    </row>
    <row r="932">
      <c r="D932" s="63"/>
    </row>
    <row r="933">
      <c r="D933" s="63"/>
    </row>
    <row r="934">
      <c r="D934" s="63"/>
    </row>
    <row r="935">
      <c r="D935" s="63"/>
    </row>
    <row r="936">
      <c r="D936" s="63"/>
    </row>
    <row r="937">
      <c r="D937" s="63"/>
    </row>
    <row r="938">
      <c r="D938" s="63"/>
    </row>
    <row r="939">
      <c r="D939" s="63"/>
    </row>
    <row r="940">
      <c r="D940" s="63"/>
    </row>
    <row r="941">
      <c r="D941" s="63"/>
    </row>
    <row r="942">
      <c r="D942" s="63"/>
    </row>
    <row r="943">
      <c r="D943" s="63"/>
    </row>
    <row r="944">
      <c r="D944" s="63"/>
    </row>
    <row r="945">
      <c r="D945" s="63"/>
    </row>
    <row r="946">
      <c r="D946" s="63"/>
    </row>
    <row r="947">
      <c r="D947" s="63"/>
    </row>
    <row r="948">
      <c r="D948" s="63"/>
    </row>
    <row r="949">
      <c r="D949" s="63"/>
    </row>
    <row r="950">
      <c r="D950" s="63"/>
    </row>
    <row r="951">
      <c r="D951" s="63"/>
    </row>
    <row r="952">
      <c r="D952" s="63"/>
    </row>
    <row r="953">
      <c r="D953" s="63"/>
    </row>
    <row r="954">
      <c r="D954" s="63"/>
    </row>
    <row r="955">
      <c r="D955" s="63"/>
    </row>
    <row r="956">
      <c r="D956" s="63"/>
    </row>
    <row r="957">
      <c r="D957" s="63"/>
    </row>
    <row r="958">
      <c r="D958" s="63"/>
    </row>
    <row r="959">
      <c r="D959" s="63"/>
    </row>
    <row r="960">
      <c r="D960" s="63"/>
    </row>
    <row r="961">
      <c r="D961" s="63"/>
    </row>
    <row r="962">
      <c r="D962" s="63"/>
    </row>
    <row r="963">
      <c r="D963" s="63"/>
    </row>
    <row r="964">
      <c r="D964" s="63"/>
    </row>
    <row r="965">
      <c r="D965" s="63"/>
    </row>
    <row r="966">
      <c r="D966" s="63"/>
    </row>
    <row r="967">
      <c r="D967" s="63"/>
    </row>
    <row r="968">
      <c r="D968" s="63"/>
    </row>
    <row r="969">
      <c r="D969" s="63"/>
    </row>
    <row r="970">
      <c r="D970" s="63"/>
    </row>
    <row r="971">
      <c r="D971" s="63"/>
    </row>
    <row r="972">
      <c r="D972" s="63"/>
    </row>
    <row r="973">
      <c r="D973" s="63"/>
    </row>
    <row r="974">
      <c r="D974" s="63"/>
    </row>
    <row r="975">
      <c r="D975" s="63"/>
    </row>
    <row r="976">
      <c r="D976" s="63"/>
    </row>
    <row r="977">
      <c r="D977" s="63"/>
    </row>
    <row r="978">
      <c r="D978" s="63"/>
    </row>
    <row r="979">
      <c r="D979" s="63"/>
    </row>
    <row r="980">
      <c r="D980" s="63"/>
    </row>
    <row r="981">
      <c r="D981" s="63"/>
    </row>
    <row r="982">
      <c r="D982" s="63"/>
    </row>
    <row r="983">
      <c r="D983" s="63"/>
    </row>
    <row r="984">
      <c r="D984" s="63"/>
    </row>
    <row r="985">
      <c r="D985" s="63"/>
    </row>
    <row r="986">
      <c r="D986" s="63"/>
    </row>
    <row r="987">
      <c r="D987" s="63"/>
    </row>
    <row r="988">
      <c r="D988" s="63"/>
    </row>
    <row r="989">
      <c r="D989" s="63"/>
    </row>
    <row r="990">
      <c r="D990" s="63"/>
    </row>
    <row r="991">
      <c r="D991" s="63"/>
    </row>
    <row r="992">
      <c r="D992" s="63"/>
    </row>
    <row r="993">
      <c r="D993" s="63"/>
    </row>
    <row r="994">
      <c r="D994" s="63"/>
    </row>
    <row r="995">
      <c r="D995" s="63"/>
    </row>
    <row r="996">
      <c r="D996" s="63"/>
    </row>
    <row r="997">
      <c r="D997" s="63"/>
    </row>
    <row r="998">
      <c r="D998" s="63"/>
    </row>
    <row r="999">
      <c r="D999" s="63"/>
    </row>
    <row r="1000">
      <c r="D1000" s="63"/>
    </row>
  </sheetData>
  <autoFilter ref="$A$1:$J$420"/>
  <hyperlinks>
    <hyperlink r:id="rId1" ref="D12"/>
    <hyperlink r:id="rId2" ref="D13"/>
  </hyperlinks>
  <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
    <col customWidth="1" min="2" max="2" width="10.13"/>
    <col customWidth="1" min="3" max="3" width="40.0"/>
    <col customWidth="1" min="4" max="4" width="19.63"/>
    <col customWidth="1" min="5" max="5" width="15.63"/>
    <col customWidth="1" min="6" max="6" width="28.25"/>
    <col customWidth="1" min="7" max="7" width="30.0"/>
    <col customWidth="1" min="8" max="8" width="13.25"/>
    <col customWidth="1" min="9" max="9" width="13.63"/>
    <col customWidth="1" min="10" max="10" width="15.13"/>
    <col customWidth="1" min="11" max="11" width="24.25"/>
  </cols>
  <sheetData>
    <row r="1">
      <c r="A1" s="51" t="s">
        <v>32</v>
      </c>
      <c r="B1" s="51" t="s">
        <v>33</v>
      </c>
      <c r="C1" s="51" t="s">
        <v>34</v>
      </c>
      <c r="D1" s="50" t="s">
        <v>35</v>
      </c>
      <c r="E1" s="51" t="s">
        <v>36</v>
      </c>
      <c r="F1" s="51" t="s">
        <v>37</v>
      </c>
      <c r="G1" s="51" t="s">
        <v>2433</v>
      </c>
      <c r="H1" s="51" t="s">
        <v>38</v>
      </c>
      <c r="I1" s="51" t="s">
        <v>39</v>
      </c>
      <c r="J1" s="51" t="s">
        <v>40</v>
      </c>
      <c r="K1" s="51" t="s">
        <v>41</v>
      </c>
      <c r="L1" s="69" t="s">
        <v>42</v>
      </c>
      <c r="M1" s="53"/>
      <c r="N1" s="53"/>
      <c r="O1" s="53"/>
      <c r="P1" s="53"/>
      <c r="Q1" s="53"/>
      <c r="R1" s="53"/>
      <c r="S1" s="53"/>
      <c r="T1" s="53"/>
      <c r="U1" s="53"/>
      <c r="V1" s="53"/>
      <c r="W1" s="53"/>
      <c r="X1" s="53"/>
      <c r="Y1" s="53"/>
      <c r="Z1" s="53"/>
    </row>
    <row r="2" ht="15.75" customHeight="1">
      <c r="A2" s="66">
        <v>45500.0</v>
      </c>
      <c r="B2" s="55" t="str">
        <f>HYPERLINK("https://jobright.ai/jobs/info/66a46cd85b77fbaa5c67852f?utm_campaign=1057&amp;utm_source=sheet", "Apply")</f>
        <v>Apply</v>
      </c>
      <c r="C2" s="10" t="s">
        <v>24021</v>
      </c>
      <c r="D2" s="56" t="s">
        <v>20373</v>
      </c>
      <c r="E2" s="10" t="s">
        <v>276</v>
      </c>
      <c r="F2" s="10" t="s">
        <v>665</v>
      </c>
      <c r="G2" s="10" t="s">
        <v>24022</v>
      </c>
      <c r="H2" s="10" t="s">
        <v>902</v>
      </c>
      <c r="I2" s="10" t="s">
        <v>55</v>
      </c>
      <c r="K2" s="10" t="s">
        <v>24023</v>
      </c>
      <c r="L2" s="10" t="s">
        <v>42</v>
      </c>
    </row>
    <row r="3" ht="15.75" customHeight="1">
      <c r="A3" s="66">
        <v>45500.0</v>
      </c>
      <c r="B3" s="55" t="str">
        <f>HYPERLINK("https://jobright.ai/jobs/info/66a46cd25b77fbaa5c6784e3?utm_campaign=1057&amp;utm_source=sheet", "Apply")</f>
        <v>Apply</v>
      </c>
      <c r="C3" s="10" t="s">
        <v>24024</v>
      </c>
      <c r="D3" s="56" t="s">
        <v>20373</v>
      </c>
      <c r="E3" s="10" t="s">
        <v>276</v>
      </c>
      <c r="F3" s="10" t="s">
        <v>665</v>
      </c>
      <c r="G3" s="10" t="s">
        <v>24022</v>
      </c>
      <c r="H3" s="10" t="s">
        <v>902</v>
      </c>
      <c r="I3" s="10" t="s">
        <v>55</v>
      </c>
      <c r="K3" s="10" t="s">
        <v>24025</v>
      </c>
      <c r="L3" s="10" t="s">
        <v>42</v>
      </c>
    </row>
    <row r="4" ht="15.75" customHeight="1">
      <c r="A4" s="66">
        <v>45500.0</v>
      </c>
      <c r="B4" s="55" t="str">
        <f>HYPERLINK("https://jobright.ai/jobs/info/66a45ab6d7afe57e1001e22f?utm_campaign=1057&amp;utm_source=sheet", "Apply")</f>
        <v>Apply</v>
      </c>
      <c r="C4" s="10" t="s">
        <v>24026</v>
      </c>
      <c r="D4" s="56" t="s">
        <v>24027</v>
      </c>
      <c r="E4" s="10" t="s">
        <v>79</v>
      </c>
      <c r="F4" s="10" t="s">
        <v>13722</v>
      </c>
      <c r="G4" s="10" t="s">
        <v>24022</v>
      </c>
      <c r="H4" s="10" t="s">
        <v>24028</v>
      </c>
      <c r="I4" s="10" t="s">
        <v>55</v>
      </c>
      <c r="K4" s="10" t="s">
        <v>24029</v>
      </c>
      <c r="L4" s="10" t="s">
        <v>42</v>
      </c>
    </row>
    <row r="5" ht="15.75" customHeight="1">
      <c r="A5" s="66">
        <v>45500.0</v>
      </c>
      <c r="B5" s="55" t="str">
        <f>HYPERLINK("https://jobright.ai/jobs/info/66a46a4d3d73b8ffff0c42cb?utm_campaign=1057&amp;utm_source=sheet", "Apply")</f>
        <v>Apply</v>
      </c>
      <c r="C5" s="10" t="s">
        <v>24030</v>
      </c>
      <c r="D5" s="56" t="s">
        <v>2067</v>
      </c>
      <c r="E5" s="10" t="s">
        <v>45</v>
      </c>
      <c r="F5" s="10" t="s">
        <v>1695</v>
      </c>
      <c r="G5" s="10" t="s">
        <v>24031</v>
      </c>
      <c r="H5" s="10" t="s">
        <v>788</v>
      </c>
      <c r="I5" s="10" t="s">
        <v>55</v>
      </c>
      <c r="K5" s="10" t="s">
        <v>24032</v>
      </c>
      <c r="L5" s="10" t="s">
        <v>42</v>
      </c>
    </row>
    <row r="6" ht="15.75" customHeight="1">
      <c r="A6" s="66">
        <v>45499.0</v>
      </c>
      <c r="B6" s="55" t="str">
        <f>HYPERLINK("https://jobright.ai/jobs/info/66a4480f95dab3bbb7705dc4?utm_campaign=1057&amp;utm_source=sheet", "Apply")</f>
        <v>Apply</v>
      </c>
      <c r="C6" s="10" t="s">
        <v>24033</v>
      </c>
      <c r="D6" s="56" t="s">
        <v>1636</v>
      </c>
      <c r="E6" s="10">
        <v>6029.0</v>
      </c>
      <c r="G6" s="10" t="s">
        <v>24031</v>
      </c>
      <c r="H6" s="10" t="s">
        <v>170</v>
      </c>
      <c r="I6" s="10" t="s">
        <v>48</v>
      </c>
      <c r="J6" s="10" t="s">
        <v>14638</v>
      </c>
      <c r="K6" s="10" t="s">
        <v>24034</v>
      </c>
      <c r="L6" s="10" t="s">
        <v>42</v>
      </c>
    </row>
    <row r="7" ht="15.75" customHeight="1">
      <c r="A7" s="66">
        <v>45499.0</v>
      </c>
      <c r="B7" s="55" t="str">
        <f>HYPERLINK("https://jobright.ai/jobs/info/66a445d7f0d2fbb9d35db44a?utm_campaign=1057&amp;utm_source=sheet", "Apply")</f>
        <v>Apply</v>
      </c>
      <c r="C7" s="10" t="s">
        <v>24035</v>
      </c>
      <c r="D7" s="56" t="s">
        <v>24036</v>
      </c>
      <c r="E7" s="10" t="s">
        <v>209</v>
      </c>
      <c r="F7" s="10" t="s">
        <v>3124</v>
      </c>
      <c r="G7" s="10" t="s">
        <v>24022</v>
      </c>
      <c r="H7" s="10" t="s">
        <v>859</v>
      </c>
      <c r="I7" s="10" t="s">
        <v>55</v>
      </c>
      <c r="K7" s="10" t="s">
        <v>24037</v>
      </c>
      <c r="L7" s="10" t="s">
        <v>42</v>
      </c>
    </row>
    <row r="8" ht="15.75" customHeight="1">
      <c r="A8" s="66">
        <v>45499.0</v>
      </c>
      <c r="B8" s="55" t="str">
        <f>HYPERLINK("https://jobright.ai/jobs/info/66a4398de9bda74e61af1245?utm_campaign=1057&amp;utm_source=sheet", "Apply")</f>
        <v>Apply</v>
      </c>
      <c r="C8" s="10" t="s">
        <v>24038</v>
      </c>
      <c r="D8" s="56" t="s">
        <v>1794</v>
      </c>
      <c r="E8" s="10" t="s">
        <v>65</v>
      </c>
      <c r="F8" s="10" t="s">
        <v>1795</v>
      </c>
      <c r="G8" s="10" t="s">
        <v>24031</v>
      </c>
      <c r="H8" s="10" t="s">
        <v>1796</v>
      </c>
      <c r="I8" s="10" t="s">
        <v>55</v>
      </c>
      <c r="J8" s="10" t="s">
        <v>3651</v>
      </c>
      <c r="K8" s="10" t="s">
        <v>24039</v>
      </c>
      <c r="L8" s="10" t="s">
        <v>42</v>
      </c>
    </row>
    <row r="9" ht="15.75" customHeight="1">
      <c r="A9" s="66">
        <v>45499.0</v>
      </c>
      <c r="B9" s="55" t="str">
        <f>HYPERLINK("https://jobright.ai/jobs/info/66a42aae878605eeeff97f9f?utm_campaign=1057&amp;utm_source=sheet", "Apply")</f>
        <v>Apply</v>
      </c>
      <c r="C9" s="10" t="s">
        <v>24040</v>
      </c>
      <c r="D9" s="56" t="s">
        <v>1794</v>
      </c>
      <c r="E9" s="10" t="s">
        <v>65</v>
      </c>
      <c r="F9" s="10" t="s">
        <v>1795</v>
      </c>
      <c r="G9" s="10" t="s">
        <v>24031</v>
      </c>
      <c r="H9" s="10" t="s">
        <v>1796</v>
      </c>
      <c r="I9" s="10" t="s">
        <v>55</v>
      </c>
      <c r="J9" s="10" t="s">
        <v>1761</v>
      </c>
      <c r="K9" s="10" t="s">
        <v>24041</v>
      </c>
      <c r="L9" s="10" t="s">
        <v>42</v>
      </c>
    </row>
    <row r="10" ht="15.75" customHeight="1">
      <c r="A10" s="66">
        <v>45499.0</v>
      </c>
      <c r="B10" s="55" t="str">
        <f>HYPERLINK("https://jobright.ai/jobs/info/66a1e8a61aee6f8551140dfb?utm_campaign=1057&amp;utm_source=sheet", "Apply")</f>
        <v>Apply</v>
      </c>
      <c r="C10" s="10" t="s">
        <v>24042</v>
      </c>
      <c r="D10" s="56" t="s">
        <v>9430</v>
      </c>
      <c r="E10" s="10" t="s">
        <v>45</v>
      </c>
      <c r="F10" s="10" t="s">
        <v>1084</v>
      </c>
      <c r="G10" s="10" t="s">
        <v>24043</v>
      </c>
      <c r="H10" s="10" t="s">
        <v>154</v>
      </c>
      <c r="I10" s="10" t="s">
        <v>55</v>
      </c>
      <c r="K10" s="10" t="s">
        <v>24044</v>
      </c>
      <c r="L10" s="10" t="s">
        <v>42</v>
      </c>
    </row>
    <row r="11" ht="15.75" customHeight="1">
      <c r="A11" s="66">
        <v>45499.0</v>
      </c>
      <c r="B11" s="55" t="str">
        <f>HYPERLINK("https://jobright.ai/jobs/info/66a42511130103111111dfd8?utm_campaign=1057&amp;utm_source=sheet", "Apply")</f>
        <v>Apply</v>
      </c>
      <c r="C11" s="10" t="s">
        <v>24045</v>
      </c>
      <c r="D11" s="56" t="s">
        <v>24046</v>
      </c>
      <c r="E11" s="10" t="s">
        <v>137</v>
      </c>
      <c r="F11" s="10" t="s">
        <v>24047</v>
      </c>
      <c r="G11" s="10" t="s">
        <v>24043</v>
      </c>
      <c r="H11" s="10" t="s">
        <v>3387</v>
      </c>
      <c r="I11" s="10" t="s">
        <v>55</v>
      </c>
      <c r="J11" s="10" t="s">
        <v>24048</v>
      </c>
      <c r="K11" s="10" t="s">
        <v>24049</v>
      </c>
      <c r="L11" s="10" t="s">
        <v>42</v>
      </c>
    </row>
    <row r="12" ht="15.75" customHeight="1">
      <c r="A12" s="66">
        <v>45499.0</v>
      </c>
      <c r="B12" s="55" t="str">
        <f>HYPERLINK("https://jobright.ai/jobs/info/66a3f929c344e12ad5440fe1?utm_campaign=1057&amp;utm_source=sheet", "Apply")</f>
        <v>Apply</v>
      </c>
      <c r="C12" s="10" t="s">
        <v>24050</v>
      </c>
      <c r="D12" s="58" t="s">
        <v>1590</v>
      </c>
      <c r="G12" s="10" t="s">
        <v>24043</v>
      </c>
      <c r="H12" s="10" t="s">
        <v>251</v>
      </c>
      <c r="I12" s="10" t="s">
        <v>48</v>
      </c>
      <c r="K12" s="10" t="s">
        <v>2543</v>
      </c>
      <c r="L12" s="10" t="s">
        <v>42</v>
      </c>
    </row>
    <row r="13" ht="15.75" customHeight="1">
      <c r="A13" s="66">
        <v>45499.0</v>
      </c>
      <c r="B13" s="55" t="str">
        <f>HYPERLINK("https://jobright.ai/jobs/info/66a407d39d6a30be4eff9d3a?utm_campaign=1057&amp;utm_source=sheet", "Apply")</f>
        <v>Apply</v>
      </c>
      <c r="C13" s="10" t="s">
        <v>24051</v>
      </c>
      <c r="D13" s="56" t="s">
        <v>6736</v>
      </c>
      <c r="E13" s="10" t="s">
        <v>65</v>
      </c>
      <c r="F13" s="10" t="s">
        <v>1234</v>
      </c>
      <c r="G13" s="10" t="s">
        <v>24022</v>
      </c>
      <c r="H13" s="10" t="s">
        <v>990</v>
      </c>
      <c r="I13" s="10" t="s">
        <v>55</v>
      </c>
      <c r="J13" s="10" t="s">
        <v>1761</v>
      </c>
      <c r="K13" s="10" t="s">
        <v>24052</v>
      </c>
      <c r="L13" s="10" t="s">
        <v>42</v>
      </c>
    </row>
    <row r="14" ht="15.75" customHeight="1">
      <c r="A14" s="66">
        <v>45499.0</v>
      </c>
      <c r="B14" s="55" t="str">
        <f>HYPERLINK("https://jobright.ai/jobs/info/66a3fd77d61cea1521a46fb7?utm_campaign=1057&amp;utm_source=sheet", "Apply")</f>
        <v>Apply</v>
      </c>
      <c r="C14" s="10" t="s">
        <v>24038</v>
      </c>
      <c r="D14" s="56" t="s">
        <v>1794</v>
      </c>
      <c r="E14" s="10" t="s">
        <v>65</v>
      </c>
      <c r="F14" s="10" t="s">
        <v>1795</v>
      </c>
      <c r="G14" s="10" t="s">
        <v>24031</v>
      </c>
      <c r="H14" s="10" t="s">
        <v>1796</v>
      </c>
      <c r="I14" s="10" t="s">
        <v>55</v>
      </c>
      <c r="J14" s="10" t="s">
        <v>1409</v>
      </c>
      <c r="K14" s="10" t="s">
        <v>24039</v>
      </c>
      <c r="L14" s="10" t="s">
        <v>42</v>
      </c>
    </row>
    <row r="15" ht="15.75" customHeight="1">
      <c r="A15" s="66">
        <v>45499.0</v>
      </c>
      <c r="B15" s="55" t="str">
        <f>HYPERLINK("https://jobright.ai/jobs/info/66a3ef2a87fb29a0df318df0?utm_campaign=1057&amp;utm_source=sheet", "Apply")</f>
        <v>Apply</v>
      </c>
      <c r="C15" s="10" t="s">
        <v>1604</v>
      </c>
      <c r="D15" s="56" t="s">
        <v>2569</v>
      </c>
      <c r="E15" s="10">
        <v>4.0</v>
      </c>
      <c r="G15" s="10" t="s">
        <v>24043</v>
      </c>
      <c r="H15" s="10" t="s">
        <v>251</v>
      </c>
      <c r="I15" s="10" t="s">
        <v>252</v>
      </c>
      <c r="K15" s="10" t="s">
        <v>2543</v>
      </c>
      <c r="L15" s="10" t="s">
        <v>42</v>
      </c>
    </row>
    <row r="16" ht="15.75" customHeight="1">
      <c r="A16" s="66">
        <v>45499.0</v>
      </c>
      <c r="B16" s="55" t="str">
        <f>HYPERLINK("https://jobright.ai/jobs/info/66a3f900c344e12ad5440c71?utm_campaign=1057&amp;utm_source=sheet", "Apply")</f>
        <v>Apply</v>
      </c>
      <c r="C16" s="10" t="s">
        <v>24053</v>
      </c>
      <c r="D16" s="56" t="s">
        <v>17908</v>
      </c>
      <c r="E16" s="10" t="s">
        <v>65</v>
      </c>
      <c r="F16" s="10" t="s">
        <v>1234</v>
      </c>
      <c r="G16" s="10" t="s">
        <v>24022</v>
      </c>
      <c r="H16" s="10" t="s">
        <v>131</v>
      </c>
      <c r="I16" s="10" t="s">
        <v>55</v>
      </c>
      <c r="K16" s="10" t="s">
        <v>24054</v>
      </c>
      <c r="L16" s="10" t="s">
        <v>42</v>
      </c>
    </row>
    <row r="17" ht="15.75" customHeight="1">
      <c r="A17" s="66">
        <v>45499.0</v>
      </c>
      <c r="B17" s="55" t="str">
        <f>HYPERLINK("https://jobright.ai/jobs/info/66a3e85cb020465e7d35cc37?utm_campaign=1057&amp;utm_source=sheet", "Apply")</f>
        <v>Apply</v>
      </c>
      <c r="C17" s="10" t="s">
        <v>24055</v>
      </c>
      <c r="D17" s="56" t="s">
        <v>24056</v>
      </c>
      <c r="E17" s="10" t="s">
        <v>65</v>
      </c>
      <c r="F17" s="10" t="s">
        <v>1234</v>
      </c>
      <c r="G17" s="10" t="s">
        <v>24031</v>
      </c>
      <c r="H17" s="10" t="s">
        <v>941</v>
      </c>
      <c r="I17" s="10" t="s">
        <v>55</v>
      </c>
      <c r="K17" s="10" t="s">
        <v>24057</v>
      </c>
      <c r="L17" s="10" t="s">
        <v>42</v>
      </c>
    </row>
    <row r="18" ht="15.75" customHeight="1">
      <c r="A18" s="66">
        <v>45499.0</v>
      </c>
      <c r="B18" s="55" t="str">
        <f>HYPERLINK("https://jobright.ai/jobs/info/66a3ef7b87fb29a0df31940f?utm_campaign=1057&amp;utm_source=sheet", "Apply")</f>
        <v>Apply</v>
      </c>
      <c r="C18" s="10" t="s">
        <v>24058</v>
      </c>
      <c r="D18" s="56" t="s">
        <v>4448</v>
      </c>
      <c r="E18" s="10" t="s">
        <v>71</v>
      </c>
      <c r="F18" s="10" t="s">
        <v>4449</v>
      </c>
      <c r="G18" s="10" t="s">
        <v>24043</v>
      </c>
      <c r="H18" s="10" t="s">
        <v>24059</v>
      </c>
      <c r="I18" s="10" t="s">
        <v>55</v>
      </c>
      <c r="K18" s="10" t="s">
        <v>24060</v>
      </c>
      <c r="L18" s="10" t="s">
        <v>42</v>
      </c>
    </row>
    <row r="19" ht="15.75" customHeight="1">
      <c r="A19" s="66">
        <v>45499.0</v>
      </c>
      <c r="B19" s="55" t="str">
        <f>HYPERLINK("https://jobright.ai/jobs/info/66a3ef8a87fb29a0df31959f?utm_campaign=1057&amp;utm_source=sheet", "Apply")</f>
        <v>Apply</v>
      </c>
      <c r="C19" s="10" t="s">
        <v>24061</v>
      </c>
      <c r="D19" s="56" t="s">
        <v>4448</v>
      </c>
      <c r="E19" s="10" t="s">
        <v>71</v>
      </c>
      <c r="F19" s="10" t="s">
        <v>4449</v>
      </c>
      <c r="G19" s="10" t="s">
        <v>24043</v>
      </c>
      <c r="H19" s="10" t="s">
        <v>628</v>
      </c>
      <c r="I19" s="10" t="s">
        <v>55</v>
      </c>
      <c r="K19" s="10" t="s">
        <v>24062</v>
      </c>
      <c r="L19" s="10" t="s">
        <v>42</v>
      </c>
    </row>
    <row r="20" ht="15.75" customHeight="1">
      <c r="A20" s="66">
        <v>45499.0</v>
      </c>
      <c r="B20" s="55" t="str">
        <f>HYPERLINK("https://jobright.ai/jobs/info/66a3e18cfa1e56eccb8f56d1?utm_campaign=1057&amp;utm_source=sheet", "Apply")</f>
        <v>Apply</v>
      </c>
      <c r="C20" s="10" t="s">
        <v>7397</v>
      </c>
      <c r="D20" s="56" t="s">
        <v>4448</v>
      </c>
      <c r="E20" s="10" t="s">
        <v>71</v>
      </c>
      <c r="F20" s="10" t="s">
        <v>4449</v>
      </c>
      <c r="G20" s="10" t="s">
        <v>24043</v>
      </c>
      <c r="H20" s="10" t="s">
        <v>628</v>
      </c>
      <c r="I20" s="10" t="s">
        <v>55</v>
      </c>
      <c r="K20" s="10" t="s">
        <v>24062</v>
      </c>
      <c r="L20" s="10" t="s">
        <v>42</v>
      </c>
    </row>
    <row r="21" ht="15.75" customHeight="1">
      <c r="A21" s="66">
        <v>45499.0</v>
      </c>
      <c r="B21" s="55" t="str">
        <f>HYPERLINK("https://jobright.ai/jobs/info/66a3d2d9d7fee676c8404559?utm_campaign=1057&amp;utm_source=sheet", "Apply")</f>
        <v>Apply</v>
      </c>
      <c r="C21" s="10" t="s">
        <v>24063</v>
      </c>
      <c r="D21" s="56" t="s">
        <v>20633</v>
      </c>
      <c r="G21" s="10" t="s">
        <v>24043</v>
      </c>
      <c r="H21" s="10" t="s">
        <v>3302</v>
      </c>
      <c r="I21" s="10" t="s">
        <v>55</v>
      </c>
      <c r="K21" s="10" t="s">
        <v>24064</v>
      </c>
      <c r="L21" s="10" t="s">
        <v>42</v>
      </c>
    </row>
    <row r="22" ht="15.75" customHeight="1">
      <c r="A22" s="66">
        <v>45499.0</v>
      </c>
      <c r="B22" s="55" t="str">
        <f>HYPERLINK("https://jobright.ai/jobs/info/66a3f4e35fcbfa8457ce1436?utm_campaign=1057&amp;utm_source=sheet", "Apply")</f>
        <v>Apply</v>
      </c>
      <c r="C22" s="10" t="s">
        <v>10658</v>
      </c>
      <c r="D22" s="56" t="s">
        <v>5159</v>
      </c>
      <c r="E22" s="10" t="s">
        <v>45</v>
      </c>
      <c r="F22" s="10" t="s">
        <v>1893</v>
      </c>
      <c r="G22" s="10" t="s">
        <v>24022</v>
      </c>
      <c r="H22" s="10" t="s">
        <v>965</v>
      </c>
      <c r="I22" s="10" t="s">
        <v>55</v>
      </c>
      <c r="K22" s="10" t="s">
        <v>24065</v>
      </c>
      <c r="L22" s="10" t="s">
        <v>42</v>
      </c>
    </row>
    <row r="23" ht="15.75" customHeight="1">
      <c r="A23" s="66">
        <v>45499.0</v>
      </c>
      <c r="B23" s="55" t="str">
        <f>HYPERLINK("https://jobright.ai/jobs/info/66a3b1bacc8f335cd486c1fe?utm_campaign=1057&amp;utm_source=sheet", "Apply")</f>
        <v>Apply</v>
      </c>
      <c r="C23" s="10" t="s">
        <v>24066</v>
      </c>
      <c r="D23" s="56" t="s">
        <v>24067</v>
      </c>
      <c r="E23" s="10" t="s">
        <v>79</v>
      </c>
      <c r="F23" s="10" t="s">
        <v>24068</v>
      </c>
      <c r="G23" s="10" t="s">
        <v>24031</v>
      </c>
      <c r="H23" s="10" t="s">
        <v>6071</v>
      </c>
      <c r="I23" s="10" t="s">
        <v>252</v>
      </c>
      <c r="K23" s="10" t="s">
        <v>24069</v>
      </c>
      <c r="L23" s="10" t="s">
        <v>42</v>
      </c>
    </row>
    <row r="24" ht="15.75" customHeight="1">
      <c r="A24" s="66">
        <v>45499.0</v>
      </c>
      <c r="B24" s="55" t="str">
        <f>HYPERLINK("https://jobright.ai/jobs/info/667573d931f584ec4862569d?utm_campaign=1057&amp;utm_source=sheet", "Apply")</f>
        <v>Apply</v>
      </c>
      <c r="C24" s="10" t="s">
        <v>24070</v>
      </c>
      <c r="D24" s="56" t="s">
        <v>14442</v>
      </c>
      <c r="E24" s="10" t="s">
        <v>45</v>
      </c>
      <c r="F24" s="10" t="s">
        <v>14443</v>
      </c>
      <c r="G24" s="10" t="s">
        <v>24022</v>
      </c>
      <c r="H24" s="10" t="s">
        <v>170</v>
      </c>
      <c r="I24" s="10" t="s">
        <v>55</v>
      </c>
      <c r="K24" s="10" t="s">
        <v>24071</v>
      </c>
      <c r="L24" s="10" t="s">
        <v>42</v>
      </c>
    </row>
    <row r="25" ht="15.75" customHeight="1">
      <c r="A25" s="66">
        <v>45499.0</v>
      </c>
      <c r="B25" s="55" t="str">
        <f>HYPERLINK("https://jobright.ai/jobs/info/666a6c6dac755a8ba0ab00e5?utm_campaign=1057&amp;utm_source=sheet", "Apply")</f>
        <v>Apply</v>
      </c>
      <c r="C25" s="10" t="s">
        <v>24072</v>
      </c>
      <c r="D25" s="56" t="s">
        <v>5854</v>
      </c>
      <c r="E25" s="10" t="s">
        <v>209</v>
      </c>
      <c r="F25" s="10" t="s">
        <v>1695</v>
      </c>
      <c r="G25" s="10" t="s">
        <v>24031</v>
      </c>
      <c r="H25" s="10" t="s">
        <v>860</v>
      </c>
      <c r="I25" s="10" t="s">
        <v>55</v>
      </c>
      <c r="K25" s="10" t="s">
        <v>24073</v>
      </c>
      <c r="L25" s="10" t="s">
        <v>42</v>
      </c>
    </row>
    <row r="26" ht="15.75" customHeight="1">
      <c r="A26" s="66">
        <v>45499.0</v>
      </c>
      <c r="B26" s="55" t="str">
        <f>HYPERLINK("https://jobright.ai/jobs/info/668688b09db87c158112a76b?utm_campaign=1057&amp;utm_source=sheet", "Apply")</f>
        <v>Apply</v>
      </c>
      <c r="C26" s="10" t="s">
        <v>24074</v>
      </c>
      <c r="D26" s="56" t="s">
        <v>17968</v>
      </c>
      <c r="E26" s="10" t="s">
        <v>65</v>
      </c>
      <c r="F26" s="10" t="s">
        <v>7068</v>
      </c>
      <c r="G26" s="10" t="s">
        <v>24043</v>
      </c>
      <c r="H26" s="10" t="s">
        <v>4852</v>
      </c>
      <c r="I26" s="10" t="s">
        <v>55</v>
      </c>
      <c r="L26" s="10" t="s">
        <v>42</v>
      </c>
    </row>
    <row r="27" ht="15.75" customHeight="1">
      <c r="A27" s="66">
        <v>45499.0</v>
      </c>
      <c r="B27" s="55" t="str">
        <f>HYPERLINK("https://jobright.ai/jobs/info/664cf7b760201a549dd01429?utm_campaign=1057&amp;utm_source=sheet", "Apply")</f>
        <v>Apply</v>
      </c>
      <c r="C27" s="10" t="s">
        <v>24075</v>
      </c>
      <c r="D27" s="56" t="s">
        <v>24076</v>
      </c>
      <c r="E27" s="10" t="s">
        <v>276</v>
      </c>
      <c r="F27" s="10" t="s">
        <v>23548</v>
      </c>
      <c r="G27" s="10" t="s">
        <v>24031</v>
      </c>
      <c r="H27" s="10" t="s">
        <v>965</v>
      </c>
      <c r="I27" s="10" t="s">
        <v>55</v>
      </c>
      <c r="K27" s="10" t="s">
        <v>24077</v>
      </c>
      <c r="L27" s="10" t="s">
        <v>42</v>
      </c>
    </row>
    <row r="28" ht="15.75" customHeight="1">
      <c r="A28" s="66">
        <v>45499.0</v>
      </c>
      <c r="B28" s="55" t="str">
        <f>HYPERLINK("https://jobright.ai/jobs/info/66a3a5e1c3f6a01b72d3bd43?utm_campaign=1057&amp;utm_source=sheet", "Apply")</f>
        <v>Apply</v>
      </c>
      <c r="C28" s="10" t="s">
        <v>24078</v>
      </c>
      <c r="D28" s="56" t="s">
        <v>24079</v>
      </c>
      <c r="E28" s="10" t="s">
        <v>45</v>
      </c>
      <c r="F28" s="10" t="s">
        <v>15603</v>
      </c>
      <c r="G28" s="10" t="s">
        <v>24022</v>
      </c>
      <c r="H28" s="10" t="s">
        <v>170</v>
      </c>
      <c r="I28" s="10" t="s">
        <v>55</v>
      </c>
      <c r="K28" s="10" t="s">
        <v>24080</v>
      </c>
      <c r="L28" s="10" t="s">
        <v>42</v>
      </c>
    </row>
    <row r="29" ht="15.75" customHeight="1">
      <c r="A29" s="66">
        <v>45499.0</v>
      </c>
      <c r="B29" s="55" t="str">
        <f>HYPERLINK("https://jobright.ai/jobs/info/66a3b1ebcc8f335cd486c67b?utm_campaign=1057&amp;utm_source=sheet", "Apply")</f>
        <v>Apply</v>
      </c>
      <c r="C29" s="10" t="s">
        <v>24081</v>
      </c>
      <c r="D29" s="56" t="s">
        <v>12359</v>
      </c>
      <c r="E29" s="10" t="s">
        <v>209</v>
      </c>
      <c r="F29" s="10" t="s">
        <v>1084</v>
      </c>
      <c r="G29" s="10" t="s">
        <v>24043</v>
      </c>
      <c r="H29" s="10" t="s">
        <v>139</v>
      </c>
      <c r="I29" s="10" t="s">
        <v>55</v>
      </c>
      <c r="J29" s="10" t="s">
        <v>15273</v>
      </c>
      <c r="K29" s="10" t="s">
        <v>15274</v>
      </c>
      <c r="L29" s="10" t="s">
        <v>42</v>
      </c>
    </row>
    <row r="30" ht="15.75" customHeight="1">
      <c r="A30" s="66">
        <v>45499.0</v>
      </c>
      <c r="B30" s="55" t="str">
        <f>HYPERLINK("https://jobright.ai/jobs/info/664d31374ea023f9605d7a9d?utm_campaign=1057&amp;utm_source=sheet", "Apply")</f>
        <v>Apply</v>
      </c>
      <c r="C30" s="10" t="s">
        <v>24082</v>
      </c>
      <c r="D30" s="56" t="s">
        <v>14784</v>
      </c>
      <c r="E30" s="10" t="s">
        <v>45</v>
      </c>
      <c r="F30" s="10" t="s">
        <v>14785</v>
      </c>
      <c r="G30" s="10" t="s">
        <v>24043</v>
      </c>
      <c r="H30" s="10" t="s">
        <v>578</v>
      </c>
      <c r="I30" s="10" t="s">
        <v>55</v>
      </c>
      <c r="J30" s="10" t="s">
        <v>1409</v>
      </c>
      <c r="K30" s="10" t="s">
        <v>24083</v>
      </c>
      <c r="L30" s="10" t="s">
        <v>42</v>
      </c>
    </row>
    <row r="31" ht="15.75" customHeight="1">
      <c r="A31" s="66">
        <v>45499.0</v>
      </c>
      <c r="B31" s="55" t="str">
        <f>HYPERLINK("https://jobright.ai/jobs/info/6686d8397a448b2b73aabe4b?utm_campaign=1057&amp;utm_source=sheet", "Apply")</f>
        <v>Apply</v>
      </c>
      <c r="C31" s="10" t="s">
        <v>24084</v>
      </c>
      <c r="D31" s="56" t="s">
        <v>22652</v>
      </c>
      <c r="E31" s="10" t="s">
        <v>79</v>
      </c>
      <c r="F31" s="10" t="s">
        <v>22653</v>
      </c>
      <c r="G31" s="10" t="s">
        <v>24022</v>
      </c>
      <c r="H31" s="10" t="s">
        <v>251</v>
      </c>
      <c r="I31" s="10" t="s">
        <v>252</v>
      </c>
      <c r="K31" s="10" t="s">
        <v>24085</v>
      </c>
      <c r="L31" s="10" t="s">
        <v>42</v>
      </c>
    </row>
    <row r="32" ht="15.75" customHeight="1">
      <c r="A32" s="66">
        <v>45499.0</v>
      </c>
      <c r="B32" s="55" t="str">
        <f>HYPERLINK("https://jobright.ai/jobs/info/66a329621bfa538224682334?utm_campaign=1057&amp;utm_source=sheet", "Apply")</f>
        <v>Apply</v>
      </c>
      <c r="C32" s="10" t="s">
        <v>24086</v>
      </c>
      <c r="D32" s="56" t="s">
        <v>9430</v>
      </c>
      <c r="E32" s="10" t="s">
        <v>45</v>
      </c>
      <c r="F32" s="10" t="s">
        <v>1084</v>
      </c>
      <c r="G32" s="10" t="s">
        <v>24043</v>
      </c>
      <c r="H32" s="10" t="s">
        <v>154</v>
      </c>
      <c r="I32" s="10" t="s">
        <v>55</v>
      </c>
      <c r="K32" s="10" t="s">
        <v>24087</v>
      </c>
      <c r="L32" s="10" t="s">
        <v>42</v>
      </c>
    </row>
    <row r="33" ht="15.75" customHeight="1">
      <c r="A33" s="66">
        <v>45499.0</v>
      </c>
      <c r="B33" s="55" t="str">
        <f>HYPERLINK("https://jobright.ai/jobs/info/66a3264e18f743a1837957ef?utm_campaign=1057&amp;utm_source=sheet", "Apply")</f>
        <v>Apply</v>
      </c>
      <c r="C33" s="10" t="s">
        <v>24088</v>
      </c>
      <c r="D33" s="56" t="s">
        <v>4448</v>
      </c>
      <c r="E33" s="10" t="s">
        <v>71</v>
      </c>
      <c r="F33" s="10" t="s">
        <v>4449</v>
      </c>
      <c r="G33" s="10" t="s">
        <v>24043</v>
      </c>
      <c r="H33" s="10" t="s">
        <v>628</v>
      </c>
      <c r="I33" s="10" t="s">
        <v>55</v>
      </c>
      <c r="K33" s="10" t="s">
        <v>24062</v>
      </c>
      <c r="L33" s="10" t="s">
        <v>42</v>
      </c>
    </row>
    <row r="34" ht="15.75" customHeight="1">
      <c r="A34" s="66">
        <v>45499.0</v>
      </c>
      <c r="B34" s="55" t="str">
        <f>HYPERLINK("https://jobright.ai/jobs/info/66a3208aff57370d38e37789?utm_campaign=1057&amp;utm_source=sheet", "Apply")</f>
        <v>Apply</v>
      </c>
      <c r="C34" s="10" t="s">
        <v>24089</v>
      </c>
      <c r="D34" s="56" t="s">
        <v>5001</v>
      </c>
      <c r="E34" s="10" t="s">
        <v>209</v>
      </c>
      <c r="F34" s="10" t="s">
        <v>3124</v>
      </c>
      <c r="G34" s="10" t="s">
        <v>24031</v>
      </c>
      <c r="H34" s="10" t="s">
        <v>1025</v>
      </c>
      <c r="I34" s="10" t="s">
        <v>55</v>
      </c>
      <c r="K34" s="10" t="s">
        <v>24090</v>
      </c>
      <c r="L34" s="10" t="s">
        <v>42</v>
      </c>
    </row>
    <row r="35" ht="15.75" customHeight="1">
      <c r="A35" s="66">
        <v>45499.0</v>
      </c>
      <c r="B35" s="55" t="str">
        <f>HYPERLINK("https://jobright.ai/jobs/info/66a315fc2fd71268b86bb9d5?utm_campaign=1057&amp;utm_source=sheet", "Apply")</f>
        <v>Apply</v>
      </c>
      <c r="C35" s="10" t="s">
        <v>24091</v>
      </c>
      <c r="D35" s="56" t="s">
        <v>24092</v>
      </c>
      <c r="E35" s="10" t="s">
        <v>276</v>
      </c>
      <c r="F35" s="10" t="s">
        <v>1234</v>
      </c>
      <c r="G35" s="10" t="s">
        <v>24043</v>
      </c>
      <c r="H35" s="10" t="s">
        <v>1709</v>
      </c>
      <c r="I35" s="10" t="s">
        <v>55</v>
      </c>
      <c r="K35" s="10" t="s">
        <v>24093</v>
      </c>
      <c r="L35" s="10" t="s">
        <v>42</v>
      </c>
    </row>
    <row r="36" ht="15.75" customHeight="1">
      <c r="A36" s="66">
        <v>45499.0</v>
      </c>
      <c r="B36" s="55" t="str">
        <f>HYPERLINK("https://jobright.ai/jobs/info/66a445e8f0d2fbb9d35db5c1?utm_campaign=1057&amp;utm_source=sheet", "Apply")</f>
        <v>Apply</v>
      </c>
      <c r="C36" s="10" t="s">
        <v>24094</v>
      </c>
      <c r="D36" s="56" t="s">
        <v>19629</v>
      </c>
      <c r="E36" s="10" t="s">
        <v>249</v>
      </c>
      <c r="F36" s="10" t="s">
        <v>651</v>
      </c>
      <c r="G36" s="10" t="s">
        <v>24031</v>
      </c>
      <c r="H36" s="10" t="s">
        <v>96</v>
      </c>
      <c r="I36" s="10" t="s">
        <v>55</v>
      </c>
      <c r="J36" s="10" t="s">
        <v>19630</v>
      </c>
      <c r="K36" s="10" t="s">
        <v>24095</v>
      </c>
      <c r="L36" s="10" t="s">
        <v>42</v>
      </c>
    </row>
    <row r="37" ht="15.75" customHeight="1">
      <c r="A37" s="66">
        <v>45499.0</v>
      </c>
      <c r="B37" s="55" t="str">
        <f>HYPERLINK("https://jobright.ai/jobs/info/66a304495819e4bbe872d5f4?utm_campaign=1057&amp;utm_source=sheet", "Apply")</f>
        <v>Apply</v>
      </c>
      <c r="C37" s="10" t="s">
        <v>24096</v>
      </c>
      <c r="D37" s="56" t="s">
        <v>20333</v>
      </c>
      <c r="E37" s="10" t="s">
        <v>65</v>
      </c>
      <c r="F37" s="10" t="s">
        <v>1234</v>
      </c>
      <c r="G37" s="10" t="s">
        <v>24022</v>
      </c>
      <c r="H37" s="10" t="s">
        <v>96</v>
      </c>
      <c r="I37" s="10" t="s">
        <v>48</v>
      </c>
      <c r="J37" s="10" t="s">
        <v>9740</v>
      </c>
      <c r="K37" s="10" t="s">
        <v>24097</v>
      </c>
      <c r="L37" s="10" t="s">
        <v>42</v>
      </c>
    </row>
    <row r="38" ht="15.75" customHeight="1">
      <c r="A38" s="66">
        <v>45499.0</v>
      </c>
      <c r="B38" s="55" t="str">
        <f>HYPERLINK("https://jobright.ai/jobs/info/66a304495819e4bbe872d5ea?utm_campaign=1057&amp;utm_source=sheet", "Apply")</f>
        <v>Apply</v>
      </c>
      <c r="C38" s="10" t="s">
        <v>24098</v>
      </c>
      <c r="D38" s="56" t="s">
        <v>20333</v>
      </c>
      <c r="E38" s="10" t="s">
        <v>65</v>
      </c>
      <c r="F38" s="10" t="s">
        <v>1234</v>
      </c>
      <c r="G38" s="10" t="s">
        <v>24022</v>
      </c>
      <c r="H38" s="10" t="s">
        <v>96</v>
      </c>
      <c r="I38" s="10" t="s">
        <v>48</v>
      </c>
      <c r="J38" s="10" t="s">
        <v>9740</v>
      </c>
      <c r="K38" s="10" t="s">
        <v>24099</v>
      </c>
      <c r="L38" s="10" t="s">
        <v>42</v>
      </c>
    </row>
    <row r="39" ht="15.75" customHeight="1">
      <c r="A39" s="66">
        <v>45499.0</v>
      </c>
      <c r="B39" s="55" t="str">
        <f>HYPERLINK("https://jobright.ai/jobs/info/66a428e8fa09ee0c5722ab65?utm_campaign=1057&amp;utm_source=sheet", "Apply")</f>
        <v>Apply</v>
      </c>
      <c r="C39" s="10" t="s">
        <v>24100</v>
      </c>
      <c r="D39" s="56" t="s">
        <v>10126</v>
      </c>
      <c r="E39" s="10">
        <v>276.0</v>
      </c>
      <c r="G39" s="10" t="s">
        <v>24022</v>
      </c>
      <c r="H39" s="10" t="s">
        <v>11407</v>
      </c>
      <c r="I39" s="10" t="s">
        <v>55</v>
      </c>
      <c r="J39" s="10" t="s">
        <v>9198</v>
      </c>
      <c r="K39" s="10" t="s">
        <v>24101</v>
      </c>
      <c r="L39" s="10" t="s">
        <v>42</v>
      </c>
    </row>
    <row r="40" ht="15.75" customHeight="1">
      <c r="A40" s="66">
        <v>45499.0</v>
      </c>
      <c r="B40" s="55" t="str">
        <f>HYPERLINK("https://jobright.ai/jobs/info/66a43d5c0644a5a86c6e82b1?utm_campaign=1057&amp;utm_source=sheet", "Apply")</f>
        <v>Apply</v>
      </c>
      <c r="C40" s="10" t="s">
        <v>24033</v>
      </c>
      <c r="D40" s="56" t="s">
        <v>1636</v>
      </c>
      <c r="E40" s="10">
        <v>6029.0</v>
      </c>
      <c r="G40" s="10" t="s">
        <v>24031</v>
      </c>
      <c r="H40" s="10" t="s">
        <v>15113</v>
      </c>
      <c r="I40" s="10" t="s">
        <v>48</v>
      </c>
      <c r="J40" s="10" t="s">
        <v>14638</v>
      </c>
      <c r="K40" s="10" t="s">
        <v>24034</v>
      </c>
      <c r="L40" s="10" t="s">
        <v>42</v>
      </c>
    </row>
    <row r="41" ht="15.75" customHeight="1">
      <c r="A41" s="66">
        <v>45498.0</v>
      </c>
      <c r="B41" s="55" t="str">
        <f>HYPERLINK("https://jobright.ai/jobs/info/66a2fc127d87c2086e260bfe?utm_campaign=1057&amp;utm_source=sheet", "Apply")</f>
        <v>Apply</v>
      </c>
      <c r="C41" s="10" t="s">
        <v>24102</v>
      </c>
      <c r="D41" s="56" t="s">
        <v>24103</v>
      </c>
      <c r="E41" s="10" t="s">
        <v>137</v>
      </c>
      <c r="F41" s="10" t="s">
        <v>3906</v>
      </c>
      <c r="G41" s="10" t="s">
        <v>24022</v>
      </c>
      <c r="H41" s="10" t="s">
        <v>159</v>
      </c>
      <c r="I41" s="10" t="s">
        <v>48</v>
      </c>
      <c r="J41" s="10" t="s">
        <v>24104</v>
      </c>
      <c r="K41" s="10" t="s">
        <v>24105</v>
      </c>
      <c r="L41" s="10" t="s">
        <v>42</v>
      </c>
    </row>
    <row r="42" ht="15.75" customHeight="1">
      <c r="A42" s="66">
        <v>45498.0</v>
      </c>
      <c r="B42" s="55" t="str">
        <f>HYPERLINK("https://jobright.ai/jobs/info/66a2fc1d7d87c2086e260c91?utm_campaign=1057&amp;utm_source=sheet", "Apply")</f>
        <v>Apply</v>
      </c>
      <c r="C42" s="10" t="s">
        <v>24106</v>
      </c>
      <c r="D42" s="56" t="s">
        <v>1636</v>
      </c>
      <c r="E42" s="10">
        <v>6029.0</v>
      </c>
      <c r="G42" s="10" t="s">
        <v>24022</v>
      </c>
      <c r="H42" s="10" t="s">
        <v>170</v>
      </c>
      <c r="I42" s="10" t="s">
        <v>55</v>
      </c>
      <c r="J42" s="10" t="s">
        <v>1637</v>
      </c>
      <c r="K42" s="10" t="s">
        <v>24107</v>
      </c>
      <c r="L42" s="10" t="s">
        <v>42</v>
      </c>
    </row>
    <row r="43" ht="15.75" customHeight="1">
      <c r="A43" s="66">
        <v>45498.0</v>
      </c>
      <c r="B43" s="55" t="str">
        <f>HYPERLINK("https://jobright.ai/jobs/info/66a2f4f866a78c16dec90dd9?utm_campaign=1057&amp;utm_source=sheet", "Apply")</f>
        <v>Apply</v>
      </c>
      <c r="C43" s="10" t="s">
        <v>24108</v>
      </c>
      <c r="D43" s="56" t="s">
        <v>2202</v>
      </c>
      <c r="E43" s="10" t="s">
        <v>249</v>
      </c>
      <c r="F43" s="10" t="s">
        <v>1234</v>
      </c>
      <c r="G43" s="10" t="s">
        <v>24031</v>
      </c>
      <c r="H43" s="10" t="s">
        <v>2203</v>
      </c>
      <c r="I43" s="10" t="s">
        <v>55</v>
      </c>
      <c r="K43" s="10" t="s">
        <v>24109</v>
      </c>
      <c r="L43" s="10" t="s">
        <v>42</v>
      </c>
    </row>
    <row r="44" ht="15.75" customHeight="1">
      <c r="A44" s="66">
        <v>45498.0</v>
      </c>
      <c r="B44" s="55" t="str">
        <f>HYPERLINK("https://jobright.ai/jobs/info/66a2f4f866a78c16dec90dea?utm_campaign=1057&amp;utm_source=sheet", "Apply")</f>
        <v>Apply</v>
      </c>
      <c r="C44" s="10" t="s">
        <v>24110</v>
      </c>
      <c r="D44" s="56" t="s">
        <v>24111</v>
      </c>
      <c r="E44" s="10" t="s">
        <v>276</v>
      </c>
      <c r="G44" s="10" t="s">
        <v>24022</v>
      </c>
      <c r="H44" s="10" t="s">
        <v>24112</v>
      </c>
      <c r="I44" s="10" t="s">
        <v>55</v>
      </c>
      <c r="K44" s="10" t="s">
        <v>24113</v>
      </c>
      <c r="L44" s="10" t="s">
        <v>42</v>
      </c>
    </row>
    <row r="45" ht="15.75" customHeight="1">
      <c r="A45" s="66">
        <v>45498.0</v>
      </c>
      <c r="B45" s="55" t="str">
        <f>HYPERLINK("https://jobright.ai/jobs/info/66a2fc267d87c2086e260dae?utm_campaign=1057&amp;utm_source=sheet", "Apply")</f>
        <v>Apply</v>
      </c>
      <c r="C45" s="10" t="s">
        <v>24114</v>
      </c>
      <c r="D45" s="56" t="s">
        <v>24115</v>
      </c>
      <c r="F45" s="10" t="s">
        <v>1506</v>
      </c>
      <c r="G45" s="10" t="s">
        <v>24031</v>
      </c>
      <c r="H45" s="10" t="s">
        <v>610</v>
      </c>
      <c r="I45" s="10" t="s">
        <v>55</v>
      </c>
      <c r="J45" s="10" t="s">
        <v>24116</v>
      </c>
      <c r="K45" s="10" t="s">
        <v>24117</v>
      </c>
      <c r="L45" s="10" t="s">
        <v>42</v>
      </c>
    </row>
    <row r="46" ht="15.75" customHeight="1">
      <c r="A46" s="66">
        <v>45498.0</v>
      </c>
      <c r="B46" s="55" t="str">
        <f>HYPERLINK("https://jobright.ai/jobs/info/66a2fc2e7d87c2086e260e40?utm_campaign=1057&amp;utm_source=sheet", "Apply")</f>
        <v>Apply</v>
      </c>
      <c r="C46" s="10" t="s">
        <v>24118</v>
      </c>
      <c r="D46" s="56" t="s">
        <v>24119</v>
      </c>
      <c r="E46" s="10" t="s">
        <v>65</v>
      </c>
      <c r="F46" s="10" t="s">
        <v>24120</v>
      </c>
      <c r="G46" s="10" t="s">
        <v>24022</v>
      </c>
      <c r="H46" s="10" t="s">
        <v>994</v>
      </c>
      <c r="I46" s="10" t="s">
        <v>55</v>
      </c>
      <c r="J46" s="10" t="s">
        <v>1409</v>
      </c>
      <c r="K46" s="10" t="s">
        <v>24121</v>
      </c>
      <c r="L46" s="10" t="s">
        <v>42</v>
      </c>
    </row>
    <row r="47" ht="15.75" customHeight="1">
      <c r="A47" s="66">
        <v>45498.0</v>
      </c>
      <c r="B47" s="55" t="str">
        <f>HYPERLINK("https://jobright.ai/jobs/info/668c1d881c630cef6f19350c?utm_campaign=1057&amp;utm_source=sheet", "Apply")</f>
        <v>Apply</v>
      </c>
      <c r="C47" s="10" t="s">
        <v>24122</v>
      </c>
      <c r="D47" s="56" t="s">
        <v>3855</v>
      </c>
      <c r="E47" s="10" t="s">
        <v>45</v>
      </c>
      <c r="F47" s="10" t="s">
        <v>3167</v>
      </c>
      <c r="G47" s="10" t="s">
        <v>24022</v>
      </c>
      <c r="H47" s="10" t="s">
        <v>2623</v>
      </c>
      <c r="I47" s="10" t="s">
        <v>55</v>
      </c>
      <c r="K47" s="10" t="s">
        <v>24123</v>
      </c>
      <c r="L47" s="10" t="s">
        <v>42</v>
      </c>
    </row>
    <row r="48" ht="15.75" customHeight="1">
      <c r="A48" s="66">
        <v>45498.0</v>
      </c>
      <c r="B48" s="55" t="str">
        <f>HYPERLINK("https://jobright.ai/jobs/info/66a2d0e0f3520e9a536a89ab?utm_campaign=1057&amp;utm_source=sheet", "Apply")</f>
        <v>Apply</v>
      </c>
      <c r="C48" s="10" t="s">
        <v>24124</v>
      </c>
      <c r="D48" s="56" t="s">
        <v>1780</v>
      </c>
      <c r="E48" s="10" t="s">
        <v>45</v>
      </c>
      <c r="F48" s="10" t="s">
        <v>1781</v>
      </c>
      <c r="G48" s="10" t="s">
        <v>24043</v>
      </c>
      <c r="H48" s="10" t="s">
        <v>153</v>
      </c>
      <c r="I48" s="10" t="s">
        <v>55</v>
      </c>
      <c r="K48" s="10" t="s">
        <v>24125</v>
      </c>
      <c r="L48" s="10" t="s">
        <v>42</v>
      </c>
    </row>
    <row r="49" ht="15.75" customHeight="1">
      <c r="A49" s="66">
        <v>45498.0</v>
      </c>
      <c r="B49" s="55" t="str">
        <f>HYPERLINK("https://jobright.ai/jobs/info/66a2db3b0b81b41946d35f34?utm_campaign=1057&amp;utm_source=sheet", "Apply")</f>
        <v>Apply</v>
      </c>
      <c r="C49" s="10" t="s">
        <v>24126</v>
      </c>
      <c r="D49" s="56" t="s">
        <v>2382</v>
      </c>
      <c r="E49" s="10" t="s">
        <v>249</v>
      </c>
      <c r="F49" s="10" t="s">
        <v>1485</v>
      </c>
      <c r="G49" s="10" t="s">
        <v>24043</v>
      </c>
      <c r="H49" s="10" t="s">
        <v>139</v>
      </c>
      <c r="I49" s="10" t="s">
        <v>55</v>
      </c>
      <c r="J49" s="10" t="s">
        <v>3595</v>
      </c>
      <c r="K49" s="10" t="s">
        <v>24127</v>
      </c>
      <c r="L49" s="10" t="s">
        <v>42</v>
      </c>
    </row>
    <row r="50" ht="15.75" customHeight="1">
      <c r="A50" s="66">
        <v>45498.0</v>
      </c>
      <c r="B50" s="55" t="str">
        <f>HYPERLINK("https://jobright.ai/jobs/info/66a2e30c621b00551f362949?utm_campaign=1057&amp;utm_source=sheet", "Apply")</f>
        <v>Apply</v>
      </c>
      <c r="C50" s="10" t="s">
        <v>24128</v>
      </c>
      <c r="D50" s="56" t="s">
        <v>20860</v>
      </c>
      <c r="E50" s="10" t="s">
        <v>79</v>
      </c>
      <c r="G50" s="10" t="s">
        <v>24031</v>
      </c>
      <c r="H50" s="10" t="s">
        <v>16971</v>
      </c>
      <c r="I50" s="10" t="s">
        <v>55</v>
      </c>
      <c r="K50" s="10" t="s">
        <v>24129</v>
      </c>
      <c r="L50" s="10" t="s">
        <v>42</v>
      </c>
    </row>
    <row r="51" ht="15.75" customHeight="1">
      <c r="A51" s="66">
        <v>45498.0</v>
      </c>
      <c r="B51" s="55" t="str">
        <f>HYPERLINK("https://jobright.ai/jobs/info/66a2d3e63e23e8ca995ff393?utm_campaign=1057&amp;utm_source=sheet", "Apply")</f>
        <v>Apply</v>
      </c>
      <c r="C51" s="10" t="s">
        <v>24130</v>
      </c>
      <c r="D51" s="56" t="s">
        <v>24131</v>
      </c>
      <c r="E51" s="10">
        <v>3232.0</v>
      </c>
      <c r="G51" s="10" t="s">
        <v>24022</v>
      </c>
      <c r="H51" s="10" t="s">
        <v>24132</v>
      </c>
      <c r="I51" s="10" t="s">
        <v>55</v>
      </c>
      <c r="J51" s="10" t="s">
        <v>20843</v>
      </c>
      <c r="K51" s="10" t="s">
        <v>24133</v>
      </c>
      <c r="L51" s="10" t="s">
        <v>42</v>
      </c>
    </row>
    <row r="52" ht="15.75" customHeight="1">
      <c r="A52" s="66">
        <v>45498.0</v>
      </c>
      <c r="B52" s="55" t="str">
        <f>HYPERLINK("https://jobright.ai/jobs/info/66a2cfd211da4cbed1974889?utm_campaign=1057&amp;utm_source=sheet", "Apply")</f>
        <v>Apply</v>
      </c>
      <c r="C52" s="10" t="s">
        <v>24134</v>
      </c>
      <c r="D52" s="56" t="s">
        <v>7919</v>
      </c>
      <c r="E52" s="10" t="s">
        <v>45</v>
      </c>
      <c r="F52" s="10" t="s">
        <v>1234</v>
      </c>
      <c r="G52" s="10" t="s">
        <v>24022</v>
      </c>
      <c r="H52" s="10" t="s">
        <v>131</v>
      </c>
      <c r="I52" s="10" t="s">
        <v>55</v>
      </c>
      <c r="K52" s="10" t="s">
        <v>24135</v>
      </c>
      <c r="L52" s="10" t="s">
        <v>42</v>
      </c>
    </row>
    <row r="53" ht="15.75" customHeight="1">
      <c r="A53" s="66">
        <v>45498.0</v>
      </c>
      <c r="B53" s="55" t="str">
        <f>HYPERLINK("https://jobright.ai/jobs/info/667f80f042e63ae5af33eead?utm_campaign=1057&amp;utm_source=sheet", "Apply")</f>
        <v>Apply</v>
      </c>
      <c r="C53" s="10" t="s">
        <v>9507</v>
      </c>
      <c r="D53" s="56" t="s">
        <v>9508</v>
      </c>
      <c r="E53" s="10" t="s">
        <v>79</v>
      </c>
      <c r="F53" s="10" t="s">
        <v>9509</v>
      </c>
      <c r="G53" s="10" t="s">
        <v>24022</v>
      </c>
      <c r="H53" s="10" t="s">
        <v>165</v>
      </c>
      <c r="I53" s="10" t="s">
        <v>48</v>
      </c>
      <c r="K53" s="10" t="s">
        <v>24136</v>
      </c>
      <c r="L53" s="10" t="s">
        <v>42</v>
      </c>
    </row>
    <row r="54" ht="15.75" customHeight="1">
      <c r="A54" s="66">
        <v>45498.0</v>
      </c>
      <c r="B54" s="55" t="str">
        <f>HYPERLINK("https://jobright.ai/jobs/info/667f85ab85a547428ab7ce92?utm_campaign=1057&amp;utm_source=sheet", "Apply")</f>
        <v>Apply</v>
      </c>
      <c r="C54" s="10" t="s">
        <v>9507</v>
      </c>
      <c r="D54" s="56" t="s">
        <v>9508</v>
      </c>
      <c r="E54" s="10" t="s">
        <v>79</v>
      </c>
      <c r="F54" s="10" t="s">
        <v>9509</v>
      </c>
      <c r="G54" s="10" t="s">
        <v>24022</v>
      </c>
      <c r="H54" s="10" t="s">
        <v>423</v>
      </c>
      <c r="I54" s="10" t="s">
        <v>48</v>
      </c>
      <c r="K54" s="10" t="s">
        <v>24136</v>
      </c>
      <c r="L54" s="10" t="s">
        <v>42</v>
      </c>
    </row>
    <row r="55" ht="15.75" customHeight="1">
      <c r="A55" s="66">
        <v>45498.0</v>
      </c>
      <c r="B55" s="55" t="str">
        <f>HYPERLINK("https://jobright.ai/jobs/info/667f85ab85a547428ab7ce8d?utm_campaign=1057&amp;utm_source=sheet", "Apply")</f>
        <v>Apply</v>
      </c>
      <c r="C55" s="10" t="s">
        <v>9507</v>
      </c>
      <c r="D55" s="56" t="s">
        <v>9508</v>
      </c>
      <c r="E55" s="10" t="s">
        <v>79</v>
      </c>
      <c r="F55" s="10" t="s">
        <v>9509</v>
      </c>
      <c r="G55" s="10" t="s">
        <v>24022</v>
      </c>
      <c r="H55" s="10" t="s">
        <v>434</v>
      </c>
      <c r="I55" s="10" t="s">
        <v>48</v>
      </c>
      <c r="K55" s="10" t="s">
        <v>24136</v>
      </c>
      <c r="L55" s="10" t="s">
        <v>42</v>
      </c>
    </row>
    <row r="56" ht="15.75" customHeight="1">
      <c r="A56" s="66">
        <v>45498.0</v>
      </c>
      <c r="B56" s="55" t="str">
        <f>HYPERLINK("https://jobright.ai/jobs/info/66a2bb87f2f497226957658f?utm_campaign=1057&amp;utm_source=sheet", "Apply")</f>
        <v>Apply</v>
      </c>
      <c r="C56" s="10" t="s">
        <v>24137</v>
      </c>
      <c r="D56" s="56" t="s">
        <v>204</v>
      </c>
      <c r="E56" s="10" t="s">
        <v>45</v>
      </c>
      <c r="F56" s="10" t="s">
        <v>205</v>
      </c>
      <c r="G56" s="10" t="s">
        <v>24022</v>
      </c>
      <c r="H56" s="10" t="s">
        <v>153</v>
      </c>
      <c r="I56" s="10" t="s">
        <v>55</v>
      </c>
      <c r="K56" s="10" t="s">
        <v>24138</v>
      </c>
      <c r="L56" s="10" t="s">
        <v>42</v>
      </c>
    </row>
    <row r="57" ht="15.75" customHeight="1">
      <c r="A57" s="66">
        <v>45498.0</v>
      </c>
      <c r="B57" s="55" t="str">
        <f>HYPERLINK("https://jobright.ai/jobs/info/66a33359917c43a74c9e73a1?utm_campaign=1057&amp;utm_source=sheet", "Apply")</f>
        <v>Apply</v>
      </c>
      <c r="C57" s="10" t="s">
        <v>24139</v>
      </c>
      <c r="D57" s="56" t="s">
        <v>3123</v>
      </c>
      <c r="E57" s="10" t="s">
        <v>249</v>
      </c>
      <c r="F57" s="10" t="s">
        <v>3124</v>
      </c>
      <c r="G57" s="10" t="s">
        <v>24022</v>
      </c>
      <c r="H57" s="10" t="s">
        <v>917</v>
      </c>
      <c r="I57" s="10" t="s">
        <v>55</v>
      </c>
      <c r="J57" s="10" t="s">
        <v>13011</v>
      </c>
      <c r="K57" s="10" t="s">
        <v>24140</v>
      </c>
      <c r="L57" s="10" t="s">
        <v>42</v>
      </c>
    </row>
    <row r="58" ht="15.75" customHeight="1">
      <c r="A58" s="66">
        <v>45498.0</v>
      </c>
      <c r="B58" s="55" t="str">
        <f>HYPERLINK("https://jobright.ai/jobs/info/66a2aa33022211b3c86216b7?utm_campaign=1057&amp;utm_source=sheet", "Apply")</f>
        <v>Apply</v>
      </c>
      <c r="C58" s="10" t="s">
        <v>24141</v>
      </c>
      <c r="D58" s="56" t="s">
        <v>2067</v>
      </c>
      <c r="E58" s="10" t="s">
        <v>45</v>
      </c>
      <c r="F58" s="10" t="s">
        <v>1695</v>
      </c>
      <c r="G58" s="10" t="s">
        <v>24031</v>
      </c>
      <c r="H58" s="10" t="s">
        <v>788</v>
      </c>
      <c r="I58" s="10" t="s">
        <v>55</v>
      </c>
      <c r="K58" s="10" t="s">
        <v>24032</v>
      </c>
      <c r="L58" s="10" t="s">
        <v>42</v>
      </c>
    </row>
    <row r="59" ht="15.75" customHeight="1">
      <c r="A59" s="66">
        <v>45498.0</v>
      </c>
      <c r="B59" s="55" t="str">
        <f>HYPERLINK("https://jobright.ai/jobs/info/66a2a5ac9bbfb77b02eb428b?utm_campaign=1057&amp;utm_source=sheet", "Apply")</f>
        <v>Apply</v>
      </c>
      <c r="C59" s="10" t="s">
        <v>24142</v>
      </c>
      <c r="D59" s="56" t="s">
        <v>24143</v>
      </c>
      <c r="E59" s="10" t="s">
        <v>65</v>
      </c>
      <c r="F59" s="10" t="s">
        <v>6616</v>
      </c>
      <c r="G59" s="10" t="s">
        <v>24043</v>
      </c>
      <c r="H59" s="10" t="s">
        <v>4221</v>
      </c>
      <c r="I59" s="10" t="s">
        <v>55</v>
      </c>
      <c r="J59" s="10" t="s">
        <v>24144</v>
      </c>
      <c r="K59" s="10" t="s">
        <v>24145</v>
      </c>
      <c r="L59" s="10" t="s">
        <v>42</v>
      </c>
    </row>
    <row r="60" ht="15.75" customHeight="1">
      <c r="A60" s="66">
        <v>45498.0</v>
      </c>
      <c r="B60" s="55" t="str">
        <f>HYPERLINK("https://jobright.ai/jobs/info/66a290438797a76c4776fe52?utm_campaign=1057&amp;utm_source=sheet", "Apply")</f>
        <v>Apply</v>
      </c>
      <c r="C60" s="10" t="s">
        <v>24146</v>
      </c>
      <c r="D60" s="56" t="s">
        <v>12942</v>
      </c>
      <c r="E60" s="10" t="s">
        <v>79</v>
      </c>
      <c r="F60" s="10" t="s">
        <v>3770</v>
      </c>
      <c r="G60" s="10" t="s">
        <v>24031</v>
      </c>
      <c r="H60" s="10" t="s">
        <v>442</v>
      </c>
      <c r="I60" s="10" t="s">
        <v>55</v>
      </c>
      <c r="J60" s="10" t="s">
        <v>3979</v>
      </c>
      <c r="K60" s="10" t="s">
        <v>24147</v>
      </c>
      <c r="L60" s="10" t="s">
        <v>42</v>
      </c>
    </row>
    <row r="61" ht="15.75" customHeight="1">
      <c r="A61" s="66">
        <v>45498.0</v>
      </c>
      <c r="B61" s="55" t="str">
        <f>HYPERLINK("https://jobright.ai/jobs/info/66a2993dd090d41dcbafd5f7?utm_campaign=1057&amp;utm_source=sheet", "Apply")</f>
        <v>Apply</v>
      </c>
      <c r="C61" s="10" t="s">
        <v>24148</v>
      </c>
      <c r="D61" s="56" t="s">
        <v>24149</v>
      </c>
      <c r="E61" s="10">
        <v>53.0</v>
      </c>
      <c r="G61" s="10" t="s">
        <v>24031</v>
      </c>
      <c r="H61" s="10" t="s">
        <v>24150</v>
      </c>
      <c r="I61" s="10" t="s">
        <v>55</v>
      </c>
      <c r="K61" s="10" t="s">
        <v>24151</v>
      </c>
      <c r="L61" s="10" t="s">
        <v>42</v>
      </c>
    </row>
    <row r="62" ht="15.75" customHeight="1">
      <c r="A62" s="66">
        <v>45498.0</v>
      </c>
      <c r="B62" s="55" t="str">
        <f>HYPERLINK("https://jobright.ai/jobs/info/66a28377eba8f49c259e04e3?utm_campaign=1057&amp;utm_source=sheet", "Apply")</f>
        <v>Apply</v>
      </c>
      <c r="C62" s="10" t="s">
        <v>24152</v>
      </c>
      <c r="D62" s="56" t="s">
        <v>24149</v>
      </c>
      <c r="E62" s="10">
        <v>53.0</v>
      </c>
      <c r="G62" s="10" t="s">
        <v>24031</v>
      </c>
      <c r="H62" s="10" t="s">
        <v>740</v>
      </c>
      <c r="I62" s="10" t="s">
        <v>55</v>
      </c>
      <c r="L62" s="10" t="s">
        <v>42</v>
      </c>
    </row>
    <row r="63" ht="15.75" customHeight="1">
      <c r="A63" s="66">
        <v>45498.0</v>
      </c>
      <c r="B63" s="55" t="str">
        <f>HYPERLINK("https://jobright.ai/jobs/info/66a28377eba8f49c259e04df?utm_campaign=1057&amp;utm_source=sheet", "Apply")</f>
        <v>Apply</v>
      </c>
      <c r="C63" s="10" t="s">
        <v>24153</v>
      </c>
      <c r="D63" s="56" t="s">
        <v>24149</v>
      </c>
      <c r="E63" s="10">
        <v>53.0</v>
      </c>
      <c r="G63" s="10" t="s">
        <v>24031</v>
      </c>
      <c r="H63" s="10" t="s">
        <v>12857</v>
      </c>
      <c r="I63" s="10" t="s">
        <v>55</v>
      </c>
      <c r="K63" s="10" t="s">
        <v>24154</v>
      </c>
      <c r="L63" s="10" t="s">
        <v>42</v>
      </c>
    </row>
    <row r="64" ht="15.75" customHeight="1">
      <c r="A64" s="66">
        <v>45498.0</v>
      </c>
      <c r="B64" s="55" t="str">
        <f>HYPERLINK("https://jobright.ai/jobs/info/66a32f5bb11b852910a821e1?utm_campaign=1057&amp;utm_source=sheet", "Apply")</f>
        <v>Apply</v>
      </c>
      <c r="C64" s="10" t="s">
        <v>24155</v>
      </c>
      <c r="D64" s="56" t="s">
        <v>4448</v>
      </c>
      <c r="E64" s="10" t="s">
        <v>71</v>
      </c>
      <c r="F64" s="10" t="s">
        <v>4449</v>
      </c>
      <c r="G64" s="10" t="s">
        <v>24043</v>
      </c>
      <c r="H64" s="10" t="s">
        <v>628</v>
      </c>
      <c r="I64" s="10" t="s">
        <v>55</v>
      </c>
      <c r="K64" s="10" t="s">
        <v>24062</v>
      </c>
      <c r="L64" s="10" t="s">
        <v>42</v>
      </c>
    </row>
    <row r="65" ht="15.75" customHeight="1">
      <c r="A65" s="66">
        <v>45498.0</v>
      </c>
      <c r="B65" s="55" t="str">
        <f>HYPERLINK("https://jobright.ai/jobs/info/66a28377eba8f49c259e0504?utm_campaign=1057&amp;utm_source=sheet", "Apply")</f>
        <v>Apply</v>
      </c>
      <c r="C65" s="10" t="s">
        <v>24156</v>
      </c>
      <c r="D65" s="56" t="s">
        <v>24119</v>
      </c>
      <c r="E65" s="10" t="s">
        <v>65</v>
      </c>
      <c r="F65" s="10" t="s">
        <v>24120</v>
      </c>
      <c r="G65" s="10" t="s">
        <v>24022</v>
      </c>
      <c r="H65" s="10" t="s">
        <v>994</v>
      </c>
      <c r="I65" s="10" t="s">
        <v>55</v>
      </c>
      <c r="J65" s="10" t="s">
        <v>1409</v>
      </c>
      <c r="K65" s="10" t="s">
        <v>24121</v>
      </c>
      <c r="L65" s="10" t="s">
        <v>42</v>
      </c>
    </row>
    <row r="66" ht="15.75" customHeight="1">
      <c r="A66" s="66">
        <v>45498.0</v>
      </c>
      <c r="B66" s="55" t="str">
        <f>HYPERLINK("https://jobright.ai/jobs/info/66a287d831bab1b5572d516c?utm_campaign=1057&amp;utm_source=sheet", "Apply")</f>
        <v>Apply</v>
      </c>
      <c r="C66" s="10" t="s">
        <v>24157</v>
      </c>
      <c r="D66" s="56" t="s">
        <v>4448</v>
      </c>
      <c r="E66" s="10" t="s">
        <v>71</v>
      </c>
      <c r="F66" s="10" t="s">
        <v>4449</v>
      </c>
      <c r="G66" s="10" t="s">
        <v>24043</v>
      </c>
      <c r="H66" s="10" t="s">
        <v>628</v>
      </c>
      <c r="I66" s="10" t="s">
        <v>55</v>
      </c>
      <c r="K66" s="10" t="s">
        <v>24062</v>
      </c>
      <c r="L66" s="10" t="s">
        <v>42</v>
      </c>
    </row>
    <row r="67" ht="15.75" customHeight="1">
      <c r="A67" s="66">
        <v>45498.0</v>
      </c>
      <c r="B67" s="55" t="str">
        <f>HYPERLINK("https://jobright.ai/jobs/info/66a287d831bab1b5572d516d?utm_campaign=1057&amp;utm_source=sheet", "Apply")</f>
        <v>Apply</v>
      </c>
      <c r="C67" s="10" t="s">
        <v>24158</v>
      </c>
      <c r="D67" s="56" t="s">
        <v>4448</v>
      </c>
      <c r="E67" s="10" t="s">
        <v>71</v>
      </c>
      <c r="F67" s="10" t="s">
        <v>4449</v>
      </c>
      <c r="G67" s="10" t="s">
        <v>24043</v>
      </c>
      <c r="H67" s="10" t="s">
        <v>628</v>
      </c>
      <c r="I67" s="10" t="s">
        <v>55</v>
      </c>
      <c r="K67" s="10" t="s">
        <v>24062</v>
      </c>
      <c r="L67" s="10" t="s">
        <v>42</v>
      </c>
    </row>
    <row r="68" ht="15.75" customHeight="1">
      <c r="A68" s="66">
        <v>45498.0</v>
      </c>
      <c r="B68" s="55" t="str">
        <f>HYPERLINK("https://jobright.ai/jobs/info/66a3dad29f1d4690f1a40e84?utm_campaign=1057&amp;utm_source=sheet", "Apply")</f>
        <v>Apply</v>
      </c>
      <c r="C68" s="10" t="s">
        <v>24159</v>
      </c>
      <c r="D68" s="56" t="s">
        <v>4448</v>
      </c>
      <c r="E68" s="10" t="s">
        <v>71</v>
      </c>
      <c r="F68" s="10" t="s">
        <v>4449</v>
      </c>
      <c r="G68" s="10" t="s">
        <v>24043</v>
      </c>
      <c r="H68" s="10" t="s">
        <v>628</v>
      </c>
      <c r="I68" s="10" t="s">
        <v>55</v>
      </c>
      <c r="K68" s="10" t="s">
        <v>24062</v>
      </c>
      <c r="L68" s="10" t="s">
        <v>42</v>
      </c>
    </row>
    <row r="69" ht="15.75" customHeight="1">
      <c r="A69" s="66">
        <v>45498.0</v>
      </c>
      <c r="B69" s="55" t="str">
        <f>HYPERLINK("https://jobright.ai/jobs/info/66a274fa63741c27f7be9467?utm_campaign=1057&amp;utm_source=sheet", "Apply")</f>
        <v>Apply</v>
      </c>
      <c r="C69" s="10" t="s">
        <v>24160</v>
      </c>
      <c r="D69" s="56" t="s">
        <v>24161</v>
      </c>
      <c r="E69" s="10" t="s">
        <v>65</v>
      </c>
      <c r="F69" s="10" t="s">
        <v>1243</v>
      </c>
      <c r="G69" s="10" t="s">
        <v>24043</v>
      </c>
      <c r="H69" s="10" t="s">
        <v>24162</v>
      </c>
      <c r="I69" s="10" t="s">
        <v>55</v>
      </c>
      <c r="K69" s="10" t="s">
        <v>24163</v>
      </c>
      <c r="L69" s="10" t="s">
        <v>42</v>
      </c>
    </row>
    <row r="70" ht="15.75" customHeight="1">
      <c r="A70" s="66">
        <v>45498.0</v>
      </c>
      <c r="B70" s="55" t="str">
        <f>HYPERLINK("https://jobright.ai/jobs/info/664e112510b4f1df29983102?utm_campaign=1057&amp;utm_source=sheet", "Apply")</f>
        <v>Apply</v>
      </c>
      <c r="C70" s="10" t="s">
        <v>24164</v>
      </c>
      <c r="D70" s="56" t="s">
        <v>4526</v>
      </c>
      <c r="E70" s="10" t="s">
        <v>209</v>
      </c>
      <c r="F70" s="10" t="s">
        <v>3124</v>
      </c>
      <c r="G70" s="10" t="s">
        <v>24031</v>
      </c>
      <c r="H70" s="10" t="s">
        <v>113</v>
      </c>
      <c r="I70" s="10" t="s">
        <v>48</v>
      </c>
      <c r="K70" s="10" t="s">
        <v>24165</v>
      </c>
      <c r="L70" s="10" t="s">
        <v>42</v>
      </c>
    </row>
    <row r="71" ht="15.75" customHeight="1">
      <c r="A71" s="66">
        <v>45498.0</v>
      </c>
      <c r="B71" s="55" t="str">
        <f>HYPERLINK("https://jobright.ai/jobs/info/6685f047188ab17c33cd7d16?utm_campaign=1057&amp;utm_source=sheet", "Apply")</f>
        <v>Apply</v>
      </c>
      <c r="C71" s="10" t="s">
        <v>24130</v>
      </c>
      <c r="D71" s="56" t="s">
        <v>24166</v>
      </c>
      <c r="E71" s="10" t="s">
        <v>65</v>
      </c>
      <c r="F71" s="10" t="s">
        <v>4000</v>
      </c>
      <c r="G71" s="10" t="s">
        <v>24022</v>
      </c>
      <c r="H71" s="10" t="s">
        <v>24167</v>
      </c>
      <c r="I71" s="10" t="s">
        <v>55</v>
      </c>
      <c r="J71" s="10" t="s">
        <v>20843</v>
      </c>
      <c r="K71" s="10" t="s">
        <v>24168</v>
      </c>
      <c r="L71" s="10" t="s">
        <v>42</v>
      </c>
    </row>
    <row r="72" ht="15.75" customHeight="1">
      <c r="A72" s="66">
        <v>45498.0</v>
      </c>
      <c r="B72" s="55" t="str">
        <f>HYPERLINK("https://jobright.ai/jobs/info/6685e4a807f6cebc7f8264fe?utm_campaign=1057&amp;utm_source=sheet", "Apply")</f>
        <v>Apply</v>
      </c>
      <c r="C72" s="10" t="s">
        <v>15006</v>
      </c>
      <c r="D72" s="56" t="s">
        <v>11095</v>
      </c>
      <c r="E72" s="10" t="s">
        <v>45</v>
      </c>
      <c r="F72" s="10" t="s">
        <v>11096</v>
      </c>
      <c r="G72" s="10" t="s">
        <v>24031</v>
      </c>
      <c r="H72" s="10" t="s">
        <v>6990</v>
      </c>
      <c r="I72" s="10" t="s">
        <v>55</v>
      </c>
      <c r="J72" s="10" t="s">
        <v>11097</v>
      </c>
      <c r="K72" s="10" t="s">
        <v>24169</v>
      </c>
      <c r="L72" s="10" t="s">
        <v>42</v>
      </c>
    </row>
    <row r="73" ht="15.75" customHeight="1">
      <c r="A73" s="66">
        <v>45498.0</v>
      </c>
      <c r="B73" s="55" t="str">
        <f>HYPERLINK("https://jobright.ai/jobs/info/664cf7b760201a549dd01446?utm_campaign=1057&amp;utm_source=sheet", "Apply")</f>
        <v>Apply</v>
      </c>
      <c r="C73" s="10" t="s">
        <v>24170</v>
      </c>
      <c r="D73" s="56" t="s">
        <v>24076</v>
      </c>
      <c r="E73" s="10" t="s">
        <v>276</v>
      </c>
      <c r="F73" s="10" t="s">
        <v>23548</v>
      </c>
      <c r="G73" s="10" t="s">
        <v>24031</v>
      </c>
      <c r="H73" s="10" t="s">
        <v>245</v>
      </c>
      <c r="I73" s="10" t="s">
        <v>55</v>
      </c>
      <c r="K73" s="10" t="s">
        <v>24077</v>
      </c>
      <c r="L73" s="10" t="s">
        <v>42</v>
      </c>
    </row>
    <row r="74" ht="15.75" customHeight="1">
      <c r="A74" s="66">
        <v>45498.0</v>
      </c>
      <c r="B74" s="55" t="str">
        <f>HYPERLINK("https://jobright.ai/jobs/info/6675ba1e044b6b83ef0d3ad7?utm_campaign=1057&amp;utm_source=sheet", "Apply")</f>
        <v>Apply</v>
      </c>
      <c r="C74" s="10" t="s">
        <v>24171</v>
      </c>
      <c r="D74" s="56" t="s">
        <v>4526</v>
      </c>
      <c r="E74" s="10" t="s">
        <v>209</v>
      </c>
      <c r="F74" s="10" t="s">
        <v>3124</v>
      </c>
      <c r="G74" s="10" t="s">
        <v>24022</v>
      </c>
      <c r="H74" s="10" t="s">
        <v>113</v>
      </c>
      <c r="I74" s="10" t="s">
        <v>48</v>
      </c>
      <c r="J74" s="10" t="s">
        <v>1112</v>
      </c>
      <c r="K74" s="10" t="s">
        <v>24172</v>
      </c>
      <c r="L74" s="10" t="s">
        <v>42</v>
      </c>
    </row>
    <row r="75" ht="15.75" customHeight="1">
      <c r="A75" s="66">
        <v>45498.0</v>
      </c>
      <c r="B75" s="55" t="str">
        <f>HYPERLINK("https://jobright.ai/jobs/info/6677c1f72b6ed5133f44376b?utm_campaign=1057&amp;utm_source=sheet", "Apply")</f>
        <v>Apply</v>
      </c>
      <c r="C75" s="10" t="s">
        <v>24173</v>
      </c>
      <c r="D75" s="56" t="s">
        <v>24076</v>
      </c>
      <c r="E75" s="10" t="s">
        <v>276</v>
      </c>
      <c r="F75" s="10" t="s">
        <v>23548</v>
      </c>
      <c r="G75" s="10" t="s">
        <v>24031</v>
      </c>
      <c r="H75" s="10" t="s">
        <v>168</v>
      </c>
      <c r="I75" s="10" t="s">
        <v>55</v>
      </c>
      <c r="K75" s="10" t="s">
        <v>24077</v>
      </c>
      <c r="L75" s="10" t="s">
        <v>42</v>
      </c>
    </row>
    <row r="76" ht="15.75" customHeight="1">
      <c r="A76" s="66">
        <v>45498.0</v>
      </c>
      <c r="B76" s="55" t="str">
        <f>HYPERLINK("https://jobright.ai/jobs/info/66a33fe96df6a1b9d22d593f?utm_campaign=1057&amp;utm_source=sheet", "Apply")</f>
        <v>Apply</v>
      </c>
      <c r="C76" s="10" t="s">
        <v>24174</v>
      </c>
      <c r="D76" s="56" t="s">
        <v>9430</v>
      </c>
      <c r="E76" s="10" t="s">
        <v>45</v>
      </c>
      <c r="F76" s="10" t="s">
        <v>1084</v>
      </c>
      <c r="G76" s="10" t="s">
        <v>24043</v>
      </c>
      <c r="H76" s="10" t="s">
        <v>154</v>
      </c>
      <c r="I76" s="10" t="s">
        <v>55</v>
      </c>
      <c r="K76" s="10" t="s">
        <v>24175</v>
      </c>
      <c r="L76" s="10" t="s">
        <v>42</v>
      </c>
    </row>
    <row r="77" ht="15.75" customHeight="1">
      <c r="A77" s="66">
        <v>45498.0</v>
      </c>
      <c r="B77" s="55" t="str">
        <f>HYPERLINK("https://jobright.ai/jobs/info/66a33fe96df6a1b9d22d5948?utm_campaign=1057&amp;utm_source=sheet", "Apply")</f>
        <v>Apply</v>
      </c>
      <c r="C77" s="10" t="s">
        <v>24176</v>
      </c>
      <c r="D77" s="56" t="s">
        <v>17975</v>
      </c>
      <c r="E77" s="10" t="s">
        <v>65</v>
      </c>
      <c r="F77" s="10" t="s">
        <v>1234</v>
      </c>
      <c r="G77" s="10" t="s">
        <v>24031</v>
      </c>
      <c r="H77" s="10" t="s">
        <v>216</v>
      </c>
      <c r="I77" s="10" t="s">
        <v>55</v>
      </c>
      <c r="J77" s="10" t="s">
        <v>24177</v>
      </c>
      <c r="K77" s="10" t="s">
        <v>24178</v>
      </c>
      <c r="L77" s="10" t="s">
        <v>42</v>
      </c>
    </row>
    <row r="78" ht="15.75" customHeight="1">
      <c r="A78" s="66">
        <v>45498.0</v>
      </c>
      <c r="B78" s="55" t="str">
        <f>HYPERLINK("https://jobright.ai/jobs/info/66a3400f6df6a1b9d22d5e2f?utm_campaign=1057&amp;utm_source=sheet", "Apply")</f>
        <v>Apply</v>
      </c>
      <c r="C78" s="10" t="s">
        <v>24174</v>
      </c>
      <c r="D78" s="56" t="s">
        <v>9430</v>
      </c>
      <c r="E78" s="10" t="s">
        <v>45</v>
      </c>
      <c r="F78" s="10" t="s">
        <v>1084</v>
      </c>
      <c r="G78" s="10" t="s">
        <v>24043</v>
      </c>
      <c r="H78" s="10" t="s">
        <v>153</v>
      </c>
      <c r="I78" s="10" t="s">
        <v>55</v>
      </c>
      <c r="K78" s="10" t="s">
        <v>24175</v>
      </c>
      <c r="L78" s="10" t="s">
        <v>42</v>
      </c>
    </row>
    <row r="79" ht="15.75" customHeight="1">
      <c r="A79" s="66">
        <v>45498.0</v>
      </c>
      <c r="B79" s="55" t="str">
        <f>HYPERLINK("https://jobright.ai/jobs/info/66a3400f6df6a1b9d22d5e0c?utm_campaign=1057&amp;utm_source=sheet", "Apply")</f>
        <v>Apply</v>
      </c>
      <c r="C79" s="10" t="s">
        <v>24086</v>
      </c>
      <c r="D79" s="56" t="s">
        <v>9430</v>
      </c>
      <c r="E79" s="10" t="s">
        <v>45</v>
      </c>
      <c r="F79" s="10" t="s">
        <v>1084</v>
      </c>
      <c r="G79" s="10" t="s">
        <v>24043</v>
      </c>
      <c r="H79" s="10" t="s">
        <v>153</v>
      </c>
      <c r="I79" s="10" t="s">
        <v>55</v>
      </c>
      <c r="K79" s="10" t="s">
        <v>24087</v>
      </c>
      <c r="L79" s="10" t="s">
        <v>42</v>
      </c>
    </row>
    <row r="80" ht="15.75" customHeight="1">
      <c r="A80" s="66">
        <v>45498.0</v>
      </c>
      <c r="B80" s="55" t="str">
        <f>HYPERLINK("https://jobright.ai/jobs/info/66a1d8d2921f2f675f8864be?utm_campaign=1057&amp;utm_source=sheet", "Apply")</f>
        <v>Apply</v>
      </c>
      <c r="C80" s="10" t="s">
        <v>24042</v>
      </c>
      <c r="D80" s="56" t="s">
        <v>9430</v>
      </c>
      <c r="E80" s="10" t="s">
        <v>45</v>
      </c>
      <c r="F80" s="10" t="s">
        <v>1084</v>
      </c>
      <c r="G80" s="10" t="s">
        <v>24043</v>
      </c>
      <c r="H80" s="10" t="s">
        <v>153</v>
      </c>
      <c r="I80" s="10" t="s">
        <v>55</v>
      </c>
      <c r="K80" s="10" t="s">
        <v>24044</v>
      </c>
      <c r="L80" s="10" t="s">
        <v>42</v>
      </c>
    </row>
    <row r="81" ht="15.75" customHeight="1">
      <c r="A81" s="66">
        <v>45498.0</v>
      </c>
      <c r="B81" s="55" t="str">
        <f>HYPERLINK("https://jobright.ai/jobs/info/669addce1ba6433041419a78?utm_campaign=1057&amp;utm_source=sheet", "Apply")</f>
        <v>Apply</v>
      </c>
      <c r="C81" s="10" t="s">
        <v>24179</v>
      </c>
      <c r="D81" s="56" t="s">
        <v>1650</v>
      </c>
      <c r="E81" s="10" t="s">
        <v>209</v>
      </c>
      <c r="F81" s="10" t="s">
        <v>1243</v>
      </c>
      <c r="G81" s="10" t="s">
        <v>24043</v>
      </c>
      <c r="H81" s="10" t="s">
        <v>96</v>
      </c>
      <c r="I81" s="10" t="s">
        <v>48</v>
      </c>
      <c r="K81" s="10" t="s">
        <v>24180</v>
      </c>
      <c r="L81" s="10" t="s">
        <v>42</v>
      </c>
    </row>
    <row r="82" ht="15.75" customHeight="1">
      <c r="A82" s="66">
        <v>45498.0</v>
      </c>
      <c r="B82" s="55" t="str">
        <f>HYPERLINK("https://jobright.ai/jobs/info/669addce1ba6433041419ad8?utm_campaign=1057&amp;utm_source=sheet", "Apply")</f>
        <v>Apply</v>
      </c>
      <c r="C82" s="10" t="s">
        <v>24181</v>
      </c>
      <c r="D82" s="56" t="s">
        <v>1650</v>
      </c>
      <c r="E82" s="10" t="s">
        <v>209</v>
      </c>
      <c r="F82" s="10" t="s">
        <v>1243</v>
      </c>
      <c r="G82" s="10" t="s">
        <v>24043</v>
      </c>
      <c r="H82" s="10" t="s">
        <v>994</v>
      </c>
      <c r="I82" s="10" t="s">
        <v>48</v>
      </c>
      <c r="K82" s="10" t="s">
        <v>24182</v>
      </c>
      <c r="L82" s="10" t="s">
        <v>42</v>
      </c>
    </row>
    <row r="83" ht="15.75" customHeight="1">
      <c r="A83" s="66">
        <v>45498.0</v>
      </c>
      <c r="B83" s="55" t="str">
        <f>HYPERLINK("https://jobright.ai/jobs/info/66a1d8e5921f2f675f88666d?utm_campaign=1057&amp;utm_source=sheet", "Apply")</f>
        <v>Apply</v>
      </c>
      <c r="C83" s="10" t="s">
        <v>24183</v>
      </c>
      <c r="D83" s="56" t="s">
        <v>4448</v>
      </c>
      <c r="E83" s="10" t="s">
        <v>71</v>
      </c>
      <c r="F83" s="10" t="s">
        <v>4449</v>
      </c>
      <c r="G83" s="10" t="s">
        <v>24043</v>
      </c>
      <c r="H83" s="10" t="s">
        <v>628</v>
      </c>
      <c r="I83" s="10" t="s">
        <v>55</v>
      </c>
      <c r="K83" s="10" t="s">
        <v>4450</v>
      </c>
      <c r="L83" s="10" t="s">
        <v>42</v>
      </c>
    </row>
    <row r="84" ht="15.75" customHeight="1">
      <c r="A84" s="66">
        <v>45498.0</v>
      </c>
      <c r="B84" s="55" t="str">
        <f>HYPERLINK("https://jobright.ai/jobs/info/66a1e90f83ac589797d155df?utm_campaign=1057&amp;utm_source=sheet", "Apply")</f>
        <v>Apply</v>
      </c>
      <c r="C84" s="10" t="s">
        <v>24184</v>
      </c>
      <c r="D84" s="56" t="s">
        <v>24185</v>
      </c>
      <c r="F84" s="10" t="s">
        <v>24186</v>
      </c>
      <c r="G84" s="10" t="s">
        <v>24022</v>
      </c>
      <c r="H84" s="10" t="s">
        <v>15637</v>
      </c>
      <c r="I84" s="10" t="s">
        <v>55</v>
      </c>
      <c r="J84" s="10" t="s">
        <v>1960</v>
      </c>
      <c r="K84" s="10" t="s">
        <v>24187</v>
      </c>
      <c r="L84" s="10" t="s">
        <v>42</v>
      </c>
    </row>
    <row r="85" ht="15.75" customHeight="1">
      <c r="A85" s="66">
        <v>45498.0</v>
      </c>
      <c r="B85" s="55" t="str">
        <f>HYPERLINK("https://jobright.ai/jobs/info/66a2db580b81b41946d3618f?utm_campaign=1057&amp;utm_source=sheet", "Apply")</f>
        <v>Apply</v>
      </c>
      <c r="C85" s="10" t="s">
        <v>24081</v>
      </c>
      <c r="D85" s="56" t="s">
        <v>15280</v>
      </c>
      <c r="E85" s="10" t="s">
        <v>45</v>
      </c>
      <c r="F85" s="10" t="s">
        <v>15281</v>
      </c>
      <c r="G85" s="10" t="s">
        <v>24043</v>
      </c>
      <c r="H85" s="10" t="s">
        <v>139</v>
      </c>
      <c r="I85" s="10" t="s">
        <v>55</v>
      </c>
      <c r="J85" s="10" t="s">
        <v>15273</v>
      </c>
      <c r="K85" s="10" t="s">
        <v>15274</v>
      </c>
      <c r="L85" s="10" t="s">
        <v>42</v>
      </c>
    </row>
    <row r="86" ht="15.75" customHeight="1">
      <c r="A86" s="66">
        <v>45498.0</v>
      </c>
      <c r="B86" s="55" t="str">
        <f>HYPERLINK("https://jobright.ai/jobs/info/66a2db580b81b41946d361ea?utm_campaign=1057&amp;utm_source=sheet", "Apply")</f>
        <v>Apply</v>
      </c>
      <c r="C86" s="10" t="s">
        <v>24188</v>
      </c>
      <c r="D86" s="56" t="s">
        <v>24189</v>
      </c>
      <c r="E86" s="10">
        <v>390.0</v>
      </c>
      <c r="G86" s="10" t="s">
        <v>24031</v>
      </c>
      <c r="H86" s="10" t="s">
        <v>24190</v>
      </c>
      <c r="I86" s="10" t="s">
        <v>55</v>
      </c>
      <c r="K86" s="10" t="s">
        <v>24191</v>
      </c>
      <c r="L86" s="10" t="s">
        <v>42</v>
      </c>
    </row>
    <row r="87" ht="15.75" customHeight="1">
      <c r="A87" s="66">
        <v>45498.0</v>
      </c>
      <c r="B87" s="55" t="str">
        <f>HYPERLINK("https://jobright.ai/jobs/info/66a2561381ad172a3785499d?utm_campaign=1057&amp;utm_source=sheet", "Apply")</f>
        <v>Apply</v>
      </c>
      <c r="C87" s="10" t="s">
        <v>24192</v>
      </c>
      <c r="D87" s="56" t="s">
        <v>24193</v>
      </c>
      <c r="E87" s="10">
        <v>141.0</v>
      </c>
      <c r="G87" s="10" t="s">
        <v>24031</v>
      </c>
      <c r="H87" s="10" t="s">
        <v>24194</v>
      </c>
      <c r="I87" s="10" t="s">
        <v>55</v>
      </c>
      <c r="J87" s="10" t="s">
        <v>24195</v>
      </c>
      <c r="K87" s="10" t="s">
        <v>24196</v>
      </c>
      <c r="L87" s="10" t="s">
        <v>42</v>
      </c>
    </row>
    <row r="88" ht="15.75" customHeight="1">
      <c r="A88" s="66">
        <v>45498.0</v>
      </c>
      <c r="B88" s="55" t="str">
        <f>HYPERLINK("https://jobright.ai/jobs/info/66a300ce7dca4d6b69dbba77?utm_campaign=1057&amp;utm_source=sheet", "Apply")</f>
        <v>Apply</v>
      </c>
      <c r="C88" s="10" t="s">
        <v>24197</v>
      </c>
      <c r="D88" s="56" t="s">
        <v>9430</v>
      </c>
      <c r="E88" s="10" t="s">
        <v>45</v>
      </c>
      <c r="F88" s="10" t="s">
        <v>1084</v>
      </c>
      <c r="G88" s="10" t="s">
        <v>24043</v>
      </c>
      <c r="H88" s="10" t="s">
        <v>154</v>
      </c>
      <c r="I88" s="10" t="s">
        <v>55</v>
      </c>
      <c r="K88" s="10" t="s">
        <v>24198</v>
      </c>
      <c r="L88" s="10" t="s">
        <v>42</v>
      </c>
    </row>
    <row r="89" ht="15.75" customHeight="1">
      <c r="A89" s="66">
        <v>45498.0</v>
      </c>
      <c r="B89" s="55" t="str">
        <f>HYPERLINK("https://jobright.ai/jobs/info/66a300ce7dca4d6b69dbbaa5?utm_campaign=1057&amp;utm_source=sheet", "Apply")</f>
        <v>Apply</v>
      </c>
      <c r="C89" s="10" t="s">
        <v>24086</v>
      </c>
      <c r="D89" s="56" t="s">
        <v>9430</v>
      </c>
      <c r="E89" s="10" t="s">
        <v>45</v>
      </c>
      <c r="F89" s="10" t="s">
        <v>1084</v>
      </c>
      <c r="G89" s="10" t="s">
        <v>24043</v>
      </c>
      <c r="H89" s="10" t="s">
        <v>154</v>
      </c>
      <c r="I89" s="10" t="s">
        <v>55</v>
      </c>
      <c r="K89" s="10" t="s">
        <v>24087</v>
      </c>
      <c r="L89" s="10" t="s">
        <v>42</v>
      </c>
    </row>
    <row r="90" ht="15.75" customHeight="1">
      <c r="A90" s="66">
        <v>45497.0</v>
      </c>
      <c r="B90" s="55" t="str">
        <f>HYPERLINK("https://jobright.ai/jobs/info/66a19e48aa07bd39a0ce374e?utm_campaign=1057&amp;utm_source=sheet", "Apply")</f>
        <v>Apply</v>
      </c>
      <c r="C90" s="10" t="s">
        <v>24199</v>
      </c>
      <c r="D90" s="56" t="s">
        <v>24200</v>
      </c>
      <c r="E90" s="10" t="s">
        <v>71</v>
      </c>
      <c r="F90" s="10" t="s">
        <v>2098</v>
      </c>
      <c r="G90" s="10" t="s">
        <v>24031</v>
      </c>
      <c r="H90" s="10" t="s">
        <v>165</v>
      </c>
      <c r="I90" s="10" t="s">
        <v>55</v>
      </c>
      <c r="J90" s="10" t="s">
        <v>14245</v>
      </c>
      <c r="K90" s="10" t="s">
        <v>24201</v>
      </c>
      <c r="L90" s="10" t="s">
        <v>42</v>
      </c>
    </row>
    <row r="91" ht="15.75" customHeight="1">
      <c r="A91" s="66">
        <v>45497.0</v>
      </c>
      <c r="B91" s="55" t="str">
        <f>HYPERLINK("https://jobright.ai/jobs/info/66a1be3386453dc1177ee9fa?utm_campaign=1057&amp;utm_source=sheet", "Apply")</f>
        <v>Apply</v>
      </c>
      <c r="C91" s="10" t="s">
        <v>24202</v>
      </c>
      <c r="D91" s="56" t="s">
        <v>24203</v>
      </c>
      <c r="E91" s="10" t="s">
        <v>137</v>
      </c>
      <c r="F91" s="10" t="s">
        <v>22418</v>
      </c>
      <c r="G91" s="10" t="s">
        <v>24031</v>
      </c>
      <c r="H91" s="10" t="s">
        <v>965</v>
      </c>
      <c r="I91" s="10" t="s">
        <v>55</v>
      </c>
      <c r="K91" s="10" t="s">
        <v>24204</v>
      </c>
      <c r="L91" s="10" t="s">
        <v>42</v>
      </c>
    </row>
    <row r="92" ht="15.75" customHeight="1">
      <c r="A92" s="66">
        <v>45497.0</v>
      </c>
      <c r="B92" s="55" t="str">
        <f>HYPERLINK("https://jobright.ai/jobs/info/66a18afb886017c169bb02a2?utm_campaign=1057&amp;utm_source=sheet", "Apply")</f>
        <v>Apply</v>
      </c>
      <c r="C92" s="10" t="s">
        <v>24205</v>
      </c>
      <c r="D92" s="56" t="s">
        <v>24206</v>
      </c>
      <c r="E92" s="10" t="s">
        <v>209</v>
      </c>
      <c r="F92" s="10" t="s">
        <v>24207</v>
      </c>
      <c r="G92" s="10" t="s">
        <v>24031</v>
      </c>
      <c r="H92" s="10" t="s">
        <v>1032</v>
      </c>
      <c r="I92" s="10" t="s">
        <v>55</v>
      </c>
      <c r="K92" s="10" t="s">
        <v>24208</v>
      </c>
      <c r="L92" s="10" t="s">
        <v>42</v>
      </c>
    </row>
    <row r="93" ht="15.75" customHeight="1">
      <c r="A93" s="66">
        <v>45497.0</v>
      </c>
      <c r="B93" s="55" t="str">
        <f>HYPERLINK("https://jobright.ai/jobs/info/66a1781fdb0bfcb8d464bb92?utm_campaign=1057&amp;utm_source=sheet", "Apply")</f>
        <v>Apply</v>
      </c>
      <c r="C93" s="10" t="s">
        <v>24209</v>
      </c>
      <c r="D93" s="56" t="s">
        <v>1650</v>
      </c>
      <c r="E93" s="10" t="s">
        <v>209</v>
      </c>
      <c r="F93" s="10" t="s">
        <v>1243</v>
      </c>
      <c r="G93" s="10" t="s">
        <v>24043</v>
      </c>
      <c r="H93" s="10" t="s">
        <v>994</v>
      </c>
      <c r="I93" s="10" t="s">
        <v>48</v>
      </c>
      <c r="K93" s="10" t="s">
        <v>24210</v>
      </c>
      <c r="L93" s="10" t="s">
        <v>42</v>
      </c>
    </row>
    <row r="94" ht="15.75" customHeight="1">
      <c r="A94" s="66">
        <v>45497.0</v>
      </c>
      <c r="B94" s="55" t="str">
        <f>HYPERLINK("https://jobright.ai/jobs/info/66a17482edfe0a13ffb3c7af?utm_campaign=1057&amp;utm_source=sheet", "Apply")</f>
        <v>Apply</v>
      </c>
      <c r="C94" s="10" t="s">
        <v>24211</v>
      </c>
      <c r="D94" s="56" t="s">
        <v>673</v>
      </c>
      <c r="E94" s="10" t="s">
        <v>65</v>
      </c>
      <c r="F94" s="10" t="s">
        <v>100</v>
      </c>
      <c r="G94" s="10" t="s">
        <v>24022</v>
      </c>
      <c r="H94" s="10" t="s">
        <v>146</v>
      </c>
      <c r="I94" s="10" t="s">
        <v>55</v>
      </c>
      <c r="K94" s="10" t="s">
        <v>24212</v>
      </c>
      <c r="L94" s="10" t="s">
        <v>42</v>
      </c>
    </row>
    <row r="95" ht="15.75" customHeight="1">
      <c r="A95" s="66">
        <v>45497.0</v>
      </c>
      <c r="B95" s="55" t="str">
        <f>HYPERLINK("https://jobright.ai/jobs/info/66a16278ac2138bd92a94f04?utm_campaign=1057&amp;utm_source=sheet", "Apply")</f>
        <v>Apply</v>
      </c>
      <c r="C95" s="10" t="s">
        <v>24213</v>
      </c>
      <c r="D95" s="56" t="s">
        <v>17608</v>
      </c>
      <c r="E95" s="10">
        <v>14.0</v>
      </c>
      <c r="G95" s="10" t="s">
        <v>24022</v>
      </c>
      <c r="H95" s="10" t="s">
        <v>17611</v>
      </c>
      <c r="I95" s="10" t="s">
        <v>55</v>
      </c>
      <c r="K95" s="10" t="s">
        <v>24214</v>
      </c>
      <c r="L95" s="10" t="s">
        <v>42</v>
      </c>
    </row>
    <row r="96" ht="15.75" customHeight="1">
      <c r="A96" s="66">
        <v>45497.0</v>
      </c>
      <c r="B96" s="55" t="str">
        <f>HYPERLINK("https://jobright.ai/jobs/info/66a1604fe2be5c244a65619d?utm_campaign=1057&amp;utm_source=sheet", "Apply")</f>
        <v>Apply</v>
      </c>
      <c r="C96" s="10" t="s">
        <v>24215</v>
      </c>
      <c r="D96" s="56" t="s">
        <v>17608</v>
      </c>
      <c r="E96" s="10">
        <v>14.0</v>
      </c>
      <c r="G96" s="10" t="s">
        <v>24043</v>
      </c>
      <c r="H96" s="10" t="s">
        <v>17610</v>
      </c>
      <c r="I96" s="10" t="s">
        <v>55</v>
      </c>
      <c r="K96" s="10" t="s">
        <v>24214</v>
      </c>
      <c r="L96" s="10" t="s">
        <v>42</v>
      </c>
    </row>
    <row r="97" ht="15.75" customHeight="1">
      <c r="A97" s="66">
        <v>45497.0</v>
      </c>
      <c r="B97" s="55" t="str">
        <f>HYPERLINK("https://jobright.ai/jobs/info/66a1604fe2be5c244a6561a3?utm_campaign=1057&amp;utm_source=sheet", "Apply")</f>
        <v>Apply</v>
      </c>
      <c r="C97" s="10" t="s">
        <v>24216</v>
      </c>
      <c r="D97" s="56" t="s">
        <v>17608</v>
      </c>
      <c r="E97" s="10">
        <v>14.0</v>
      </c>
      <c r="G97" s="10" t="s">
        <v>24043</v>
      </c>
      <c r="H97" s="10" t="s">
        <v>3758</v>
      </c>
      <c r="I97" s="10" t="s">
        <v>55</v>
      </c>
      <c r="K97" s="10" t="s">
        <v>24214</v>
      </c>
      <c r="L97" s="10" t="s">
        <v>42</v>
      </c>
    </row>
    <row r="98" ht="15.75" customHeight="1">
      <c r="A98" s="66">
        <v>45497.0</v>
      </c>
      <c r="B98" s="55" t="str">
        <f>HYPERLINK("https://jobright.ai/jobs/info/66a1604fe2be5c244a6561a7?utm_campaign=1057&amp;utm_source=sheet", "Apply")</f>
        <v>Apply</v>
      </c>
      <c r="C98" s="10" t="s">
        <v>24216</v>
      </c>
      <c r="D98" s="56" t="s">
        <v>17608</v>
      </c>
      <c r="E98" s="10">
        <v>14.0</v>
      </c>
      <c r="G98" s="10" t="s">
        <v>24043</v>
      </c>
      <c r="H98" s="10" t="s">
        <v>937</v>
      </c>
      <c r="I98" s="10" t="s">
        <v>55</v>
      </c>
      <c r="K98" s="10" t="s">
        <v>24214</v>
      </c>
      <c r="L98" s="10" t="s">
        <v>42</v>
      </c>
    </row>
    <row r="99" ht="15.75" customHeight="1">
      <c r="A99" s="66">
        <v>45497.0</v>
      </c>
      <c r="B99" s="55" t="str">
        <f>HYPERLINK("https://jobright.ai/jobs/info/66a1604fe2be5c244a6561ae?utm_campaign=1057&amp;utm_source=sheet", "Apply")</f>
        <v>Apply</v>
      </c>
      <c r="C99" s="10" t="s">
        <v>24215</v>
      </c>
      <c r="D99" s="56" t="s">
        <v>17608</v>
      </c>
      <c r="E99" s="10">
        <v>14.0</v>
      </c>
      <c r="G99" s="10" t="s">
        <v>24043</v>
      </c>
      <c r="H99" s="10" t="s">
        <v>17613</v>
      </c>
      <c r="I99" s="10" t="s">
        <v>55</v>
      </c>
      <c r="K99" s="10" t="s">
        <v>24214</v>
      </c>
      <c r="L99" s="10" t="s">
        <v>42</v>
      </c>
    </row>
    <row r="100" ht="15.75" customHeight="1">
      <c r="A100" s="66">
        <v>45497.0</v>
      </c>
      <c r="B100" s="55" t="str">
        <f>HYPERLINK("https://jobright.ai/jobs/info/66a18e43cc283f3a593af6b8?utm_campaign=1057&amp;utm_source=sheet", "Apply")</f>
        <v>Apply</v>
      </c>
      <c r="C100" s="10" t="s">
        <v>24216</v>
      </c>
      <c r="D100" s="56" t="s">
        <v>17608</v>
      </c>
      <c r="E100" s="10">
        <v>14.0</v>
      </c>
      <c r="G100" s="10" t="s">
        <v>24043</v>
      </c>
      <c r="H100" s="10" t="s">
        <v>17614</v>
      </c>
      <c r="I100" s="10" t="s">
        <v>55</v>
      </c>
      <c r="K100" s="10" t="s">
        <v>24214</v>
      </c>
      <c r="L100" s="10" t="s">
        <v>42</v>
      </c>
    </row>
    <row r="101" ht="15.75" customHeight="1">
      <c r="A101" s="66">
        <v>45497.0</v>
      </c>
      <c r="B101" s="55" t="str">
        <f>HYPERLINK("https://jobright.ai/jobs/info/66a16e332178a46615cb33c1?utm_campaign=1057&amp;utm_source=sheet", "Apply")</f>
        <v>Apply</v>
      </c>
      <c r="C101" s="10" t="s">
        <v>24215</v>
      </c>
      <c r="D101" s="56" t="s">
        <v>17608</v>
      </c>
      <c r="E101" s="10">
        <v>14.0</v>
      </c>
      <c r="G101" s="10" t="s">
        <v>24043</v>
      </c>
      <c r="H101" s="10" t="s">
        <v>937</v>
      </c>
      <c r="I101" s="10" t="s">
        <v>55</v>
      </c>
      <c r="K101" s="10" t="s">
        <v>24214</v>
      </c>
      <c r="L101" s="10" t="s">
        <v>42</v>
      </c>
    </row>
    <row r="102" ht="15.75" customHeight="1">
      <c r="A102" s="66">
        <v>45497.0</v>
      </c>
      <c r="B102" s="55" t="str">
        <f>HYPERLINK("https://jobright.ai/jobs/info/66a15b8e85a92c36a39a3011?utm_campaign=1057&amp;utm_source=sheet", "Apply")</f>
        <v>Apply</v>
      </c>
      <c r="C102" s="10" t="s">
        <v>24213</v>
      </c>
      <c r="D102" s="56" t="s">
        <v>17608</v>
      </c>
      <c r="E102" s="10">
        <v>14.0</v>
      </c>
      <c r="G102" s="10" t="s">
        <v>24022</v>
      </c>
      <c r="H102" s="10" t="s">
        <v>3758</v>
      </c>
      <c r="I102" s="10" t="s">
        <v>55</v>
      </c>
      <c r="K102" s="10" t="s">
        <v>24214</v>
      </c>
      <c r="L102" s="10" t="s">
        <v>42</v>
      </c>
    </row>
    <row r="103" ht="15.75" customHeight="1">
      <c r="A103" s="66">
        <v>45497.0</v>
      </c>
      <c r="B103" s="55" t="str">
        <f>HYPERLINK("https://jobright.ai/jobs/info/66a15b8e85a92c36a39a3012?utm_campaign=1057&amp;utm_source=sheet", "Apply")</f>
        <v>Apply</v>
      </c>
      <c r="C103" s="10" t="s">
        <v>24213</v>
      </c>
      <c r="D103" s="56" t="s">
        <v>17608</v>
      </c>
      <c r="E103" s="10">
        <v>14.0</v>
      </c>
      <c r="G103" s="10" t="s">
        <v>24022</v>
      </c>
      <c r="H103" s="10" t="s">
        <v>17610</v>
      </c>
      <c r="I103" s="10" t="s">
        <v>55</v>
      </c>
      <c r="K103" s="10" t="s">
        <v>24214</v>
      </c>
      <c r="L103" s="10" t="s">
        <v>42</v>
      </c>
    </row>
    <row r="104" ht="15.75" customHeight="1">
      <c r="A104" s="66">
        <v>45497.0</v>
      </c>
      <c r="B104" s="55" t="str">
        <f>HYPERLINK("https://jobright.ai/jobs/info/66a15b8e85a92c36a39a3014?utm_campaign=1057&amp;utm_source=sheet", "Apply")</f>
        <v>Apply</v>
      </c>
      <c r="C104" s="10" t="s">
        <v>24213</v>
      </c>
      <c r="D104" s="56" t="s">
        <v>17608</v>
      </c>
      <c r="E104" s="10">
        <v>14.0</v>
      </c>
      <c r="G104" s="10" t="s">
        <v>24022</v>
      </c>
      <c r="H104" s="10" t="s">
        <v>17613</v>
      </c>
      <c r="I104" s="10" t="s">
        <v>55</v>
      </c>
      <c r="K104" s="10" t="s">
        <v>24214</v>
      </c>
      <c r="L104" s="10" t="s">
        <v>42</v>
      </c>
    </row>
    <row r="105" ht="15.75" customHeight="1">
      <c r="A105" s="66">
        <v>45497.0</v>
      </c>
      <c r="B105" s="55" t="str">
        <f>HYPERLINK("https://jobright.ai/jobs/info/66a15b8e85a92c36a39a3018?utm_campaign=1057&amp;utm_source=sheet", "Apply")</f>
        <v>Apply</v>
      </c>
      <c r="C105" s="10" t="s">
        <v>24216</v>
      </c>
      <c r="D105" s="56" t="s">
        <v>17608</v>
      </c>
      <c r="E105" s="10">
        <v>14.0</v>
      </c>
      <c r="G105" s="10" t="s">
        <v>24043</v>
      </c>
      <c r="H105" s="10" t="s">
        <v>17611</v>
      </c>
      <c r="I105" s="10" t="s">
        <v>55</v>
      </c>
      <c r="K105" s="10" t="s">
        <v>24214</v>
      </c>
      <c r="L105" s="10" t="s">
        <v>42</v>
      </c>
    </row>
    <row r="106" ht="15.75" customHeight="1">
      <c r="A106" s="66">
        <v>45497.0</v>
      </c>
      <c r="B106" s="55" t="str">
        <f>HYPERLINK("https://jobright.ai/jobs/info/66a15b8e85a92c36a39a3023?utm_campaign=1057&amp;utm_source=sheet", "Apply")</f>
        <v>Apply</v>
      </c>
      <c r="C106" s="10" t="s">
        <v>24215</v>
      </c>
      <c r="D106" s="56" t="s">
        <v>17608</v>
      </c>
      <c r="E106" s="10">
        <v>14.0</v>
      </c>
      <c r="G106" s="10" t="s">
        <v>24043</v>
      </c>
      <c r="H106" s="10" t="s">
        <v>17614</v>
      </c>
      <c r="I106" s="10" t="s">
        <v>55</v>
      </c>
      <c r="K106" s="10" t="s">
        <v>24214</v>
      </c>
      <c r="L106" s="10" t="s">
        <v>42</v>
      </c>
    </row>
    <row r="107" ht="15.75" customHeight="1">
      <c r="A107" s="66">
        <v>45497.0</v>
      </c>
      <c r="B107" s="55" t="str">
        <f>HYPERLINK("https://jobright.ai/jobs/info/66a15b8e85a92c36a39a3022?utm_campaign=1057&amp;utm_source=sheet", "Apply")</f>
        <v>Apply</v>
      </c>
      <c r="C107" s="10" t="s">
        <v>24213</v>
      </c>
      <c r="D107" s="56" t="s">
        <v>17608</v>
      </c>
      <c r="E107" s="10">
        <v>14.0</v>
      </c>
      <c r="G107" s="10" t="s">
        <v>24022</v>
      </c>
      <c r="H107" s="10" t="s">
        <v>17612</v>
      </c>
      <c r="I107" s="10" t="s">
        <v>55</v>
      </c>
      <c r="K107" s="10" t="s">
        <v>24214</v>
      </c>
      <c r="L107" s="10" t="s">
        <v>42</v>
      </c>
    </row>
    <row r="108" ht="15.75" customHeight="1">
      <c r="A108" s="66">
        <v>45497.0</v>
      </c>
      <c r="B108" s="55" t="str">
        <f>HYPERLINK("https://jobright.ai/jobs/info/66a15b8e85a92c36a39a3021?utm_campaign=1057&amp;utm_source=sheet", "Apply")</f>
        <v>Apply</v>
      </c>
      <c r="C108" s="10" t="s">
        <v>24213</v>
      </c>
      <c r="D108" s="56" t="s">
        <v>17608</v>
      </c>
      <c r="E108" s="10">
        <v>14.0</v>
      </c>
      <c r="G108" s="10" t="s">
        <v>24022</v>
      </c>
      <c r="H108" s="10" t="s">
        <v>17614</v>
      </c>
      <c r="I108" s="10" t="s">
        <v>55</v>
      </c>
      <c r="K108" s="10" t="s">
        <v>24214</v>
      </c>
      <c r="L108" s="10" t="s">
        <v>42</v>
      </c>
    </row>
    <row r="109" ht="15.75" customHeight="1">
      <c r="A109" s="66">
        <v>45497.0</v>
      </c>
      <c r="B109" s="55" t="str">
        <f>HYPERLINK("https://jobright.ai/jobs/info/66a15b8e85a92c36a39a3026?utm_campaign=1057&amp;utm_source=sheet", "Apply")</f>
        <v>Apply</v>
      </c>
      <c r="C109" s="10" t="s">
        <v>24216</v>
      </c>
      <c r="D109" s="56" t="s">
        <v>17608</v>
      </c>
      <c r="E109" s="10">
        <v>14.0</v>
      </c>
      <c r="G109" s="10" t="s">
        <v>24043</v>
      </c>
      <c r="H109" s="10" t="s">
        <v>24217</v>
      </c>
      <c r="I109" s="10" t="s">
        <v>55</v>
      </c>
      <c r="K109" s="10" t="s">
        <v>24214</v>
      </c>
      <c r="L109" s="10" t="s">
        <v>42</v>
      </c>
    </row>
    <row r="110" ht="15.75" customHeight="1">
      <c r="A110" s="66">
        <v>45497.0</v>
      </c>
      <c r="B110" s="55" t="str">
        <f>HYPERLINK("https://jobright.ai/jobs/info/66a15b8e85a92c36a39a302a?utm_campaign=1057&amp;utm_source=sheet", "Apply")</f>
        <v>Apply</v>
      </c>
      <c r="C110" s="10" t="s">
        <v>24213</v>
      </c>
      <c r="D110" s="56" t="s">
        <v>17608</v>
      </c>
      <c r="E110" s="10">
        <v>14.0</v>
      </c>
      <c r="G110" s="10" t="s">
        <v>24022</v>
      </c>
      <c r="H110" s="10" t="s">
        <v>937</v>
      </c>
      <c r="I110" s="10" t="s">
        <v>55</v>
      </c>
      <c r="K110" s="10" t="s">
        <v>24214</v>
      </c>
      <c r="L110" s="10" t="s">
        <v>42</v>
      </c>
    </row>
    <row r="111" ht="15.75" customHeight="1">
      <c r="A111" s="66">
        <v>45497.0</v>
      </c>
      <c r="B111" s="55" t="str">
        <f>HYPERLINK("https://jobright.ai/jobs/info/66a15b8e85a92c36a39a3028?utm_campaign=1057&amp;utm_source=sheet", "Apply")</f>
        <v>Apply</v>
      </c>
      <c r="C111" s="10" t="s">
        <v>24213</v>
      </c>
      <c r="D111" s="56" t="s">
        <v>17608</v>
      </c>
      <c r="E111" s="10">
        <v>14.0</v>
      </c>
      <c r="G111" s="10" t="s">
        <v>24022</v>
      </c>
      <c r="H111" s="10" t="s">
        <v>24217</v>
      </c>
      <c r="I111" s="10" t="s">
        <v>55</v>
      </c>
      <c r="K111" s="10" t="s">
        <v>24214</v>
      </c>
      <c r="L111" s="10" t="s">
        <v>42</v>
      </c>
    </row>
    <row r="112" ht="15.75" customHeight="1">
      <c r="A112" s="66">
        <v>45497.0</v>
      </c>
      <c r="B112" s="55" t="str">
        <f>HYPERLINK("https://jobright.ai/jobs/info/66a1436f59051cfbf53a7d5a?utm_campaign=1057&amp;utm_source=sheet", "Apply")</f>
        <v>Apply</v>
      </c>
      <c r="C112" s="10" t="s">
        <v>24218</v>
      </c>
      <c r="D112" s="56" t="s">
        <v>24219</v>
      </c>
      <c r="E112" s="10">
        <v>71.0</v>
      </c>
      <c r="G112" s="10" t="s">
        <v>24031</v>
      </c>
      <c r="H112" s="10" t="s">
        <v>24220</v>
      </c>
      <c r="I112" s="10" t="s">
        <v>55</v>
      </c>
      <c r="J112" s="10" t="s">
        <v>1409</v>
      </c>
      <c r="K112" s="10" t="s">
        <v>24221</v>
      </c>
      <c r="L112" s="10" t="s">
        <v>42</v>
      </c>
    </row>
    <row r="113" ht="15.75" customHeight="1">
      <c r="A113" s="66">
        <v>45497.0</v>
      </c>
      <c r="B113" s="55" t="str">
        <f>HYPERLINK("https://jobright.ai/jobs/info/66a1512040fbd6551f555cb1?utm_campaign=1057&amp;utm_source=sheet", "Apply")</f>
        <v>Apply</v>
      </c>
      <c r="C113" s="10" t="s">
        <v>24222</v>
      </c>
      <c r="D113" s="56" t="s">
        <v>24223</v>
      </c>
      <c r="E113" s="10" t="s">
        <v>276</v>
      </c>
      <c r="F113" s="10" t="s">
        <v>2409</v>
      </c>
      <c r="G113" s="10" t="s">
        <v>24022</v>
      </c>
      <c r="H113" s="10" t="s">
        <v>15417</v>
      </c>
      <c r="I113" s="10" t="s">
        <v>55</v>
      </c>
      <c r="J113" s="10" t="s">
        <v>24224</v>
      </c>
      <c r="K113" s="10" t="s">
        <v>24225</v>
      </c>
      <c r="L113" s="10" t="s">
        <v>42</v>
      </c>
    </row>
    <row r="114" ht="15.75" customHeight="1">
      <c r="A114" s="66">
        <v>45497.0</v>
      </c>
      <c r="B114" s="55" t="str">
        <f>HYPERLINK("https://jobright.ai/jobs/info/66a11ed12b30156284a3c5eb?utm_campaign=1057&amp;utm_source=sheet", "Apply")</f>
        <v>Apply</v>
      </c>
      <c r="C114" s="10" t="s">
        <v>24226</v>
      </c>
      <c r="D114" s="56" t="s">
        <v>22637</v>
      </c>
      <c r="E114" s="10" t="s">
        <v>137</v>
      </c>
      <c r="F114" s="10" t="s">
        <v>22638</v>
      </c>
      <c r="G114" s="10" t="s">
        <v>24031</v>
      </c>
      <c r="H114" s="10" t="s">
        <v>170</v>
      </c>
      <c r="I114" s="10" t="s">
        <v>48</v>
      </c>
      <c r="J114" s="10" t="s">
        <v>22639</v>
      </c>
      <c r="K114" s="10" t="s">
        <v>24227</v>
      </c>
      <c r="L114" s="10" t="s">
        <v>42</v>
      </c>
    </row>
    <row r="115" ht="15.75" customHeight="1">
      <c r="A115" s="66">
        <v>45497.0</v>
      </c>
      <c r="B115" s="55" t="str">
        <f>HYPERLINK("https://jobright.ai/jobs/info/66a3ef7187fb29a0df31931e?utm_campaign=1057&amp;utm_source=sheet", "Apply")</f>
        <v>Apply</v>
      </c>
      <c r="C115" s="10" t="s">
        <v>24228</v>
      </c>
      <c r="D115" s="56" t="s">
        <v>24229</v>
      </c>
      <c r="E115" s="10">
        <v>1044.0</v>
      </c>
      <c r="G115" s="10" t="s">
        <v>24031</v>
      </c>
      <c r="H115" s="10" t="s">
        <v>4908</v>
      </c>
      <c r="I115" s="10" t="s">
        <v>55</v>
      </c>
      <c r="J115" s="10" t="s">
        <v>24230</v>
      </c>
      <c r="K115" s="10" t="s">
        <v>24231</v>
      </c>
      <c r="L115" s="10" t="s">
        <v>42</v>
      </c>
    </row>
    <row r="116" ht="15.75" customHeight="1">
      <c r="A116" s="66">
        <v>45497.0</v>
      </c>
      <c r="B116" s="55" t="str">
        <f>HYPERLINK("https://jobright.ai/jobs/info/6684911323fbc70f728ba21a?utm_campaign=1057&amp;utm_source=sheet", "Apply")</f>
        <v>Apply</v>
      </c>
      <c r="C116" s="10" t="s">
        <v>24232</v>
      </c>
      <c r="D116" s="56" t="s">
        <v>20697</v>
      </c>
      <c r="E116" s="10" t="s">
        <v>209</v>
      </c>
      <c r="F116" s="10" t="s">
        <v>2617</v>
      </c>
      <c r="G116" s="10" t="s">
        <v>24043</v>
      </c>
      <c r="H116" s="10" t="s">
        <v>24233</v>
      </c>
      <c r="I116" s="10" t="s">
        <v>55</v>
      </c>
      <c r="J116" s="10" t="s">
        <v>24234</v>
      </c>
      <c r="K116" s="10" t="s">
        <v>24235</v>
      </c>
      <c r="L116" s="10" t="s">
        <v>42</v>
      </c>
    </row>
    <row r="117" ht="15.75" customHeight="1">
      <c r="A117" s="66">
        <v>45497.0</v>
      </c>
      <c r="B117" s="55" t="str">
        <f>HYPERLINK("https://jobright.ai/jobs/info/6684debb05d49fabee741730?utm_campaign=1057&amp;utm_source=sheet", "Apply")</f>
        <v>Apply</v>
      </c>
      <c r="C117" s="10" t="s">
        <v>24232</v>
      </c>
      <c r="D117" s="56" t="s">
        <v>20697</v>
      </c>
      <c r="E117" s="10" t="s">
        <v>209</v>
      </c>
      <c r="F117" s="10" t="s">
        <v>2617</v>
      </c>
      <c r="G117" s="10" t="s">
        <v>24043</v>
      </c>
      <c r="H117" s="10" t="s">
        <v>24236</v>
      </c>
      <c r="I117" s="10" t="s">
        <v>55</v>
      </c>
      <c r="J117" s="10" t="s">
        <v>24234</v>
      </c>
      <c r="K117" s="10" t="s">
        <v>24235</v>
      </c>
      <c r="L117" s="10" t="s">
        <v>42</v>
      </c>
    </row>
    <row r="118" ht="15.75" customHeight="1">
      <c r="A118" s="66">
        <v>45497.0</v>
      </c>
      <c r="B118" s="55" t="str">
        <f>HYPERLINK("https://jobright.ai/jobs/info/6684debb05d49fabee741731?utm_campaign=1057&amp;utm_source=sheet", "Apply")</f>
        <v>Apply</v>
      </c>
      <c r="C118" s="10" t="s">
        <v>24232</v>
      </c>
      <c r="D118" s="56" t="s">
        <v>20697</v>
      </c>
      <c r="E118" s="10" t="s">
        <v>209</v>
      </c>
      <c r="F118" s="10" t="s">
        <v>2617</v>
      </c>
      <c r="G118" s="10" t="s">
        <v>24043</v>
      </c>
      <c r="H118" s="10" t="s">
        <v>3387</v>
      </c>
      <c r="I118" s="10" t="s">
        <v>55</v>
      </c>
      <c r="J118" s="10" t="s">
        <v>24234</v>
      </c>
      <c r="K118" s="10" t="s">
        <v>24235</v>
      </c>
      <c r="L118" s="10" t="s">
        <v>42</v>
      </c>
    </row>
    <row r="119" ht="15.75" customHeight="1">
      <c r="A119" s="66">
        <v>45497.0</v>
      </c>
      <c r="B119" s="55" t="str">
        <f>HYPERLINK("https://jobright.ai/jobs/info/6684debb05d49fabee74171a?utm_campaign=1057&amp;utm_source=sheet", "Apply")</f>
        <v>Apply</v>
      </c>
      <c r="C119" s="10" t="s">
        <v>24232</v>
      </c>
      <c r="D119" s="56" t="s">
        <v>20697</v>
      </c>
      <c r="E119" s="10" t="s">
        <v>209</v>
      </c>
      <c r="F119" s="10" t="s">
        <v>2617</v>
      </c>
      <c r="G119" s="10" t="s">
        <v>24043</v>
      </c>
      <c r="H119" s="10" t="s">
        <v>8958</v>
      </c>
      <c r="I119" s="10" t="s">
        <v>55</v>
      </c>
      <c r="J119" s="10" t="s">
        <v>24234</v>
      </c>
      <c r="K119" s="10" t="s">
        <v>24235</v>
      </c>
      <c r="L119" s="10" t="s">
        <v>42</v>
      </c>
    </row>
    <row r="120" ht="15.75" customHeight="1">
      <c r="A120" s="66">
        <v>45497.0</v>
      </c>
      <c r="B120" s="55" t="str">
        <f>HYPERLINK("https://jobright.ai/jobs/info/6684debb05d49fabee741734?utm_campaign=1057&amp;utm_source=sheet", "Apply")</f>
        <v>Apply</v>
      </c>
      <c r="C120" s="10" t="s">
        <v>24232</v>
      </c>
      <c r="D120" s="56" t="s">
        <v>20697</v>
      </c>
      <c r="E120" s="10" t="s">
        <v>209</v>
      </c>
      <c r="F120" s="10" t="s">
        <v>2617</v>
      </c>
      <c r="G120" s="10" t="s">
        <v>24043</v>
      </c>
      <c r="H120" s="10" t="s">
        <v>24237</v>
      </c>
      <c r="I120" s="10" t="s">
        <v>55</v>
      </c>
      <c r="J120" s="10" t="s">
        <v>24234</v>
      </c>
      <c r="K120" s="10" t="s">
        <v>24235</v>
      </c>
      <c r="L120" s="10" t="s">
        <v>42</v>
      </c>
    </row>
    <row r="121" ht="15.75" customHeight="1">
      <c r="A121" s="66">
        <v>45497.0</v>
      </c>
      <c r="B121" s="55" t="str">
        <f>HYPERLINK("https://jobright.ai/jobs/info/668496f889906a0228a8992e?utm_campaign=1057&amp;utm_source=sheet", "Apply")</f>
        <v>Apply</v>
      </c>
      <c r="C121" s="10" t="s">
        <v>24232</v>
      </c>
      <c r="D121" s="56" t="s">
        <v>20697</v>
      </c>
      <c r="E121" s="10" t="s">
        <v>209</v>
      </c>
      <c r="F121" s="10" t="s">
        <v>2617</v>
      </c>
      <c r="G121" s="10" t="s">
        <v>24043</v>
      </c>
      <c r="H121" s="10" t="s">
        <v>168</v>
      </c>
      <c r="I121" s="10" t="s">
        <v>55</v>
      </c>
      <c r="J121" s="10" t="s">
        <v>24234</v>
      </c>
      <c r="K121" s="10" t="s">
        <v>24235</v>
      </c>
      <c r="L121" s="10" t="s">
        <v>42</v>
      </c>
    </row>
    <row r="122" ht="15.75" customHeight="1">
      <c r="A122" s="66">
        <v>45497.0</v>
      </c>
      <c r="B122" s="55" t="str">
        <f>HYPERLINK("https://jobright.ai/jobs/info/66a0ec05576ec469c8873c38?utm_campaign=1057&amp;utm_source=sheet", "Apply")</f>
        <v>Apply</v>
      </c>
      <c r="C122" s="10" t="s">
        <v>24238</v>
      </c>
      <c r="D122" s="56" t="s">
        <v>24239</v>
      </c>
      <c r="E122" s="10" t="s">
        <v>45</v>
      </c>
      <c r="F122" s="10" t="s">
        <v>3906</v>
      </c>
      <c r="G122" s="10" t="s">
        <v>24022</v>
      </c>
      <c r="H122" s="10" t="s">
        <v>20716</v>
      </c>
      <c r="I122" s="10" t="s">
        <v>48</v>
      </c>
      <c r="K122" s="10" t="s">
        <v>24240</v>
      </c>
      <c r="L122" s="10" t="s">
        <v>42</v>
      </c>
    </row>
    <row r="123" ht="15.75" customHeight="1">
      <c r="A123" s="66">
        <v>45497.0</v>
      </c>
      <c r="B123" s="55" t="str">
        <f>HYPERLINK("https://jobright.ai/jobs/info/668496f889906a0228a8992f?utm_campaign=1057&amp;utm_source=sheet", "Apply")</f>
        <v>Apply</v>
      </c>
      <c r="C123" s="10" t="s">
        <v>24232</v>
      </c>
      <c r="D123" s="56" t="s">
        <v>20697</v>
      </c>
      <c r="E123" s="10" t="s">
        <v>209</v>
      </c>
      <c r="F123" s="10" t="s">
        <v>2617</v>
      </c>
      <c r="G123" s="10" t="s">
        <v>24043</v>
      </c>
      <c r="H123" s="10" t="s">
        <v>131</v>
      </c>
      <c r="I123" s="10" t="s">
        <v>55</v>
      </c>
      <c r="J123" s="10" t="s">
        <v>24234</v>
      </c>
      <c r="K123" s="10" t="s">
        <v>24235</v>
      </c>
      <c r="L123" s="10" t="s">
        <v>42</v>
      </c>
    </row>
    <row r="124" ht="15.75" customHeight="1">
      <c r="A124" s="66">
        <v>45497.0</v>
      </c>
      <c r="B124" s="55" t="str">
        <f>HYPERLINK("https://jobright.ai/jobs/info/6684debb05d49fabee741729?utm_campaign=1057&amp;utm_source=sheet", "Apply")</f>
        <v>Apply</v>
      </c>
      <c r="C124" s="10" t="s">
        <v>24232</v>
      </c>
      <c r="D124" s="56" t="s">
        <v>20697</v>
      </c>
      <c r="E124" s="10" t="s">
        <v>209</v>
      </c>
      <c r="F124" s="10" t="s">
        <v>2617</v>
      </c>
      <c r="G124" s="10" t="s">
        <v>24043</v>
      </c>
      <c r="H124" s="10" t="s">
        <v>24241</v>
      </c>
      <c r="I124" s="10" t="s">
        <v>55</v>
      </c>
      <c r="J124" s="10" t="s">
        <v>24234</v>
      </c>
      <c r="K124" s="10" t="s">
        <v>24235</v>
      </c>
      <c r="L124" s="10" t="s">
        <v>42</v>
      </c>
    </row>
    <row r="125" ht="15.75" customHeight="1">
      <c r="A125" s="66">
        <v>45497.0</v>
      </c>
      <c r="B125" s="55" t="str">
        <f>HYPERLINK("https://jobright.ai/jobs/info/6684debb05d49fabee741764?utm_campaign=1057&amp;utm_source=sheet", "Apply")</f>
        <v>Apply</v>
      </c>
      <c r="C125" s="10" t="s">
        <v>24232</v>
      </c>
      <c r="D125" s="56" t="s">
        <v>20697</v>
      </c>
      <c r="E125" s="10" t="s">
        <v>209</v>
      </c>
      <c r="F125" s="10" t="s">
        <v>2617</v>
      </c>
      <c r="G125" s="10" t="s">
        <v>24043</v>
      </c>
      <c r="H125" s="10" t="s">
        <v>20920</v>
      </c>
      <c r="I125" s="10" t="s">
        <v>55</v>
      </c>
      <c r="J125" s="10" t="s">
        <v>24234</v>
      </c>
      <c r="K125" s="10" t="s">
        <v>24235</v>
      </c>
      <c r="L125" s="10" t="s">
        <v>42</v>
      </c>
    </row>
    <row r="126" ht="15.75" customHeight="1">
      <c r="A126" s="66">
        <v>45497.0</v>
      </c>
      <c r="B126" s="55" t="str">
        <f>HYPERLINK("https://jobright.ai/jobs/info/6684debb05d49fabee741705?utm_campaign=1057&amp;utm_source=sheet", "Apply")</f>
        <v>Apply</v>
      </c>
      <c r="C126" s="10" t="s">
        <v>24232</v>
      </c>
      <c r="D126" s="56" t="s">
        <v>20697</v>
      </c>
      <c r="E126" s="10" t="s">
        <v>209</v>
      </c>
      <c r="F126" s="10" t="s">
        <v>2617</v>
      </c>
      <c r="G126" s="10" t="s">
        <v>24043</v>
      </c>
      <c r="H126" s="10" t="s">
        <v>24242</v>
      </c>
      <c r="I126" s="10" t="s">
        <v>55</v>
      </c>
      <c r="J126" s="10" t="s">
        <v>24234</v>
      </c>
      <c r="K126" s="10" t="s">
        <v>24235</v>
      </c>
      <c r="L126" s="10" t="s">
        <v>42</v>
      </c>
    </row>
    <row r="127" ht="15.75" customHeight="1">
      <c r="A127" s="66">
        <v>45497.0</v>
      </c>
      <c r="B127" s="55" t="str">
        <f>HYPERLINK("https://jobright.ai/jobs/info/6684debb05d49fabee741712?utm_campaign=1057&amp;utm_source=sheet", "Apply")</f>
        <v>Apply</v>
      </c>
      <c r="C127" s="10" t="s">
        <v>24232</v>
      </c>
      <c r="D127" s="56" t="s">
        <v>20697</v>
      </c>
      <c r="E127" s="10" t="s">
        <v>209</v>
      </c>
      <c r="F127" s="10" t="s">
        <v>2617</v>
      </c>
      <c r="G127" s="10" t="s">
        <v>24043</v>
      </c>
      <c r="H127" s="10" t="s">
        <v>12596</v>
      </c>
      <c r="I127" s="10" t="s">
        <v>55</v>
      </c>
      <c r="J127" s="10" t="s">
        <v>24234</v>
      </c>
      <c r="K127" s="10" t="s">
        <v>24235</v>
      </c>
      <c r="L127" s="10" t="s">
        <v>42</v>
      </c>
    </row>
    <row r="128" ht="15.75" customHeight="1">
      <c r="A128" s="66">
        <v>45497.0</v>
      </c>
      <c r="B128" s="55" t="str">
        <f>HYPERLINK("https://jobright.ai/jobs/info/6684debb05d49fabee74171c?utm_campaign=1057&amp;utm_source=sheet", "Apply")</f>
        <v>Apply</v>
      </c>
      <c r="C128" s="10" t="s">
        <v>24232</v>
      </c>
      <c r="D128" s="56" t="s">
        <v>20697</v>
      </c>
      <c r="E128" s="10" t="s">
        <v>209</v>
      </c>
      <c r="F128" s="10" t="s">
        <v>2617</v>
      </c>
      <c r="G128" s="10" t="s">
        <v>24043</v>
      </c>
      <c r="H128" s="10" t="s">
        <v>809</v>
      </c>
      <c r="I128" s="10" t="s">
        <v>55</v>
      </c>
      <c r="J128" s="10" t="s">
        <v>24234</v>
      </c>
      <c r="K128" s="10" t="s">
        <v>24235</v>
      </c>
      <c r="L128" s="10" t="s">
        <v>42</v>
      </c>
    </row>
    <row r="129" ht="15.75" customHeight="1">
      <c r="A129" s="66">
        <v>45497.0</v>
      </c>
      <c r="B129" s="55" t="str">
        <f>HYPERLINK("https://jobright.ai/jobs/info/668496f889906a0228a8992c?utm_campaign=1057&amp;utm_source=sheet", "Apply")</f>
        <v>Apply</v>
      </c>
      <c r="C129" s="10" t="s">
        <v>24232</v>
      </c>
      <c r="D129" s="56" t="s">
        <v>20697</v>
      </c>
      <c r="E129" s="10" t="s">
        <v>209</v>
      </c>
      <c r="F129" s="10" t="s">
        <v>2617</v>
      </c>
      <c r="G129" s="10" t="s">
        <v>24043</v>
      </c>
      <c r="H129" s="10" t="s">
        <v>22754</v>
      </c>
      <c r="I129" s="10" t="s">
        <v>55</v>
      </c>
      <c r="J129" s="10" t="s">
        <v>24234</v>
      </c>
      <c r="K129" s="10" t="s">
        <v>24235</v>
      </c>
      <c r="L129" s="10" t="s">
        <v>42</v>
      </c>
    </row>
    <row r="130" ht="15.75" customHeight="1">
      <c r="A130" s="66">
        <v>45497.0</v>
      </c>
      <c r="B130" s="55" t="str">
        <f>HYPERLINK("https://jobright.ai/jobs/info/66848dfcf77b2c8f7053f8bd?utm_campaign=1057&amp;utm_source=sheet", "Apply")</f>
        <v>Apply</v>
      </c>
      <c r="C130" s="10" t="s">
        <v>24232</v>
      </c>
      <c r="D130" s="56" t="s">
        <v>20697</v>
      </c>
      <c r="E130" s="10" t="s">
        <v>209</v>
      </c>
      <c r="F130" s="10" t="s">
        <v>2617</v>
      </c>
      <c r="G130" s="10" t="s">
        <v>24043</v>
      </c>
      <c r="H130" s="10" t="s">
        <v>5234</v>
      </c>
      <c r="I130" s="10" t="s">
        <v>55</v>
      </c>
      <c r="J130" s="10" t="s">
        <v>24234</v>
      </c>
      <c r="K130" s="10" t="s">
        <v>24235</v>
      </c>
      <c r="L130" s="10" t="s">
        <v>42</v>
      </c>
    </row>
    <row r="131" ht="15.75" customHeight="1">
      <c r="A131" s="66">
        <v>45497.0</v>
      </c>
      <c r="B131" s="55" t="str">
        <f>HYPERLINK("https://jobright.ai/jobs/info/6684debb05d49fabee74171d?utm_campaign=1057&amp;utm_source=sheet", "Apply")</f>
        <v>Apply</v>
      </c>
      <c r="C131" s="10" t="s">
        <v>24232</v>
      </c>
      <c r="D131" s="56" t="s">
        <v>20697</v>
      </c>
      <c r="E131" s="10" t="s">
        <v>209</v>
      </c>
      <c r="F131" s="10" t="s">
        <v>2617</v>
      </c>
      <c r="G131" s="10" t="s">
        <v>24043</v>
      </c>
      <c r="H131" s="10" t="s">
        <v>994</v>
      </c>
      <c r="I131" s="10" t="s">
        <v>55</v>
      </c>
      <c r="J131" s="10" t="s">
        <v>24234</v>
      </c>
      <c r="K131" s="10" t="s">
        <v>24235</v>
      </c>
      <c r="L131" s="10" t="s">
        <v>42</v>
      </c>
    </row>
    <row r="132" ht="15.75" customHeight="1">
      <c r="A132" s="66">
        <v>45497.0</v>
      </c>
      <c r="B132" s="55" t="str">
        <f>HYPERLINK("https://jobright.ai/jobs/info/66849549be126f4204d09ac6?utm_campaign=1057&amp;utm_source=sheet", "Apply")</f>
        <v>Apply</v>
      </c>
      <c r="C132" s="10" t="s">
        <v>24232</v>
      </c>
      <c r="D132" s="56" t="s">
        <v>20697</v>
      </c>
      <c r="E132" s="10" t="s">
        <v>209</v>
      </c>
      <c r="F132" s="10" t="s">
        <v>2617</v>
      </c>
      <c r="G132" s="10" t="s">
        <v>24043</v>
      </c>
      <c r="H132" s="10" t="s">
        <v>816</v>
      </c>
      <c r="I132" s="10" t="s">
        <v>55</v>
      </c>
      <c r="J132" s="10" t="s">
        <v>24234</v>
      </c>
      <c r="K132" s="10" t="s">
        <v>24235</v>
      </c>
      <c r="L132" s="10" t="s">
        <v>42</v>
      </c>
    </row>
    <row r="133" ht="15.75" customHeight="1">
      <c r="A133" s="66">
        <v>45497.0</v>
      </c>
      <c r="B133" s="55" t="str">
        <f>HYPERLINK("https://jobright.ai/jobs/info/6684debb05d49fabee74173a?utm_campaign=1057&amp;utm_source=sheet", "Apply")</f>
        <v>Apply</v>
      </c>
      <c r="C133" s="10" t="s">
        <v>24232</v>
      </c>
      <c r="D133" s="56" t="s">
        <v>20697</v>
      </c>
      <c r="E133" s="10" t="s">
        <v>209</v>
      </c>
      <c r="F133" s="10" t="s">
        <v>2617</v>
      </c>
      <c r="G133" s="10" t="s">
        <v>24043</v>
      </c>
      <c r="H133" s="10" t="s">
        <v>3374</v>
      </c>
      <c r="I133" s="10" t="s">
        <v>55</v>
      </c>
      <c r="J133" s="10" t="s">
        <v>24234</v>
      </c>
      <c r="K133" s="10" t="s">
        <v>24235</v>
      </c>
      <c r="L133" s="10" t="s">
        <v>42</v>
      </c>
    </row>
    <row r="134" ht="15.75" customHeight="1">
      <c r="A134" s="66">
        <v>45497.0</v>
      </c>
      <c r="B134" s="55" t="str">
        <f>HYPERLINK("https://jobright.ai/jobs/info/6684debb05d49fabee74171b?utm_campaign=1057&amp;utm_source=sheet", "Apply")</f>
        <v>Apply</v>
      </c>
      <c r="C134" s="10" t="s">
        <v>24232</v>
      </c>
      <c r="D134" s="56" t="s">
        <v>20697</v>
      </c>
      <c r="E134" s="10" t="s">
        <v>209</v>
      </c>
      <c r="F134" s="10" t="s">
        <v>2617</v>
      </c>
      <c r="G134" s="10" t="s">
        <v>24043</v>
      </c>
      <c r="H134" s="10" t="s">
        <v>21586</v>
      </c>
      <c r="I134" s="10" t="s">
        <v>55</v>
      </c>
      <c r="J134" s="10" t="s">
        <v>24234</v>
      </c>
      <c r="K134" s="10" t="s">
        <v>24235</v>
      </c>
      <c r="L134" s="10" t="s">
        <v>42</v>
      </c>
    </row>
    <row r="135" ht="15.75" customHeight="1">
      <c r="A135" s="66">
        <v>45497.0</v>
      </c>
      <c r="B135" s="55" t="str">
        <f>HYPERLINK("https://jobright.ai/jobs/info/6684debb05d49fabee74171f?utm_campaign=1057&amp;utm_source=sheet", "Apply")</f>
        <v>Apply</v>
      </c>
      <c r="C135" s="10" t="s">
        <v>24232</v>
      </c>
      <c r="D135" s="56" t="s">
        <v>20697</v>
      </c>
      <c r="E135" s="10" t="s">
        <v>209</v>
      </c>
      <c r="F135" s="10" t="s">
        <v>2617</v>
      </c>
      <c r="G135" s="10" t="s">
        <v>24043</v>
      </c>
      <c r="H135" s="10" t="s">
        <v>10654</v>
      </c>
      <c r="I135" s="10" t="s">
        <v>55</v>
      </c>
      <c r="J135" s="10" t="s">
        <v>24234</v>
      </c>
      <c r="K135" s="10" t="s">
        <v>24235</v>
      </c>
      <c r="L135" s="10" t="s">
        <v>42</v>
      </c>
    </row>
    <row r="136" ht="15.75" customHeight="1">
      <c r="A136" s="66">
        <v>45497.0</v>
      </c>
      <c r="B136" s="55" t="str">
        <f>HYPERLINK("https://jobright.ai/jobs/info/6684debb05d49fabee741709?utm_campaign=1057&amp;utm_source=sheet", "Apply")</f>
        <v>Apply</v>
      </c>
      <c r="C136" s="10" t="s">
        <v>24232</v>
      </c>
      <c r="D136" s="56" t="s">
        <v>20697</v>
      </c>
      <c r="E136" s="10" t="s">
        <v>209</v>
      </c>
      <c r="F136" s="10" t="s">
        <v>2617</v>
      </c>
      <c r="G136" s="10" t="s">
        <v>24043</v>
      </c>
      <c r="H136" s="10" t="s">
        <v>24243</v>
      </c>
      <c r="I136" s="10" t="s">
        <v>55</v>
      </c>
      <c r="J136" s="10" t="s">
        <v>24234</v>
      </c>
      <c r="K136" s="10" t="s">
        <v>24235</v>
      </c>
      <c r="L136" s="10" t="s">
        <v>42</v>
      </c>
    </row>
    <row r="137" ht="15.75" customHeight="1">
      <c r="A137" s="66">
        <v>45497.0</v>
      </c>
      <c r="B137" s="55" t="str">
        <f>HYPERLINK("https://jobright.ai/jobs/info/6684debb05d49fabee741788?utm_campaign=1057&amp;utm_source=sheet", "Apply")</f>
        <v>Apply</v>
      </c>
      <c r="C137" s="10" t="s">
        <v>24232</v>
      </c>
      <c r="D137" s="56" t="s">
        <v>20697</v>
      </c>
      <c r="E137" s="10" t="s">
        <v>209</v>
      </c>
      <c r="F137" s="10" t="s">
        <v>2617</v>
      </c>
      <c r="G137" s="10" t="s">
        <v>24043</v>
      </c>
      <c r="H137" s="10" t="s">
        <v>294</v>
      </c>
      <c r="I137" s="10" t="s">
        <v>55</v>
      </c>
      <c r="J137" s="10" t="s">
        <v>24234</v>
      </c>
      <c r="K137" s="10" t="s">
        <v>24235</v>
      </c>
      <c r="L137" s="10" t="s">
        <v>42</v>
      </c>
    </row>
    <row r="138" ht="15.75" customHeight="1">
      <c r="A138" s="66">
        <v>45497.0</v>
      </c>
      <c r="B138" s="55" t="str">
        <f>HYPERLINK("https://jobright.ai/jobs/info/6684a7d3c6303b9ad44e4d2c?utm_campaign=1057&amp;utm_source=sheet", "Apply")</f>
        <v>Apply</v>
      </c>
      <c r="C138" s="10" t="s">
        <v>24232</v>
      </c>
      <c r="D138" s="56" t="s">
        <v>20697</v>
      </c>
      <c r="E138" s="10" t="s">
        <v>209</v>
      </c>
      <c r="F138" s="10" t="s">
        <v>2617</v>
      </c>
      <c r="G138" s="10" t="s">
        <v>24043</v>
      </c>
      <c r="H138" s="10" t="s">
        <v>13300</v>
      </c>
      <c r="I138" s="10" t="s">
        <v>55</v>
      </c>
      <c r="J138" s="10" t="s">
        <v>24234</v>
      </c>
      <c r="K138" s="10" t="s">
        <v>24235</v>
      </c>
      <c r="L138" s="10" t="s">
        <v>42</v>
      </c>
    </row>
    <row r="139" ht="15.75" customHeight="1">
      <c r="A139" s="66">
        <v>45497.0</v>
      </c>
      <c r="B139" s="55" t="str">
        <f>HYPERLINK("https://jobright.ai/jobs/info/6684debb05d49fabee741770?utm_campaign=1057&amp;utm_source=sheet", "Apply")</f>
        <v>Apply</v>
      </c>
      <c r="C139" s="10" t="s">
        <v>24232</v>
      </c>
      <c r="D139" s="56" t="s">
        <v>20697</v>
      </c>
      <c r="E139" s="10" t="s">
        <v>209</v>
      </c>
      <c r="F139" s="10" t="s">
        <v>2617</v>
      </c>
      <c r="G139" s="10" t="s">
        <v>24043</v>
      </c>
      <c r="H139" s="10" t="s">
        <v>914</v>
      </c>
      <c r="I139" s="10" t="s">
        <v>55</v>
      </c>
      <c r="J139" s="10" t="s">
        <v>24234</v>
      </c>
      <c r="K139" s="10" t="s">
        <v>24235</v>
      </c>
      <c r="L139" s="10" t="s">
        <v>42</v>
      </c>
    </row>
    <row r="140" ht="15.75" customHeight="1">
      <c r="A140" s="66">
        <v>45497.0</v>
      </c>
      <c r="B140" s="55" t="str">
        <f>HYPERLINK("https://jobright.ai/jobs/info/66849549be126f4204d09ac5?utm_campaign=1057&amp;utm_source=sheet", "Apply")</f>
        <v>Apply</v>
      </c>
      <c r="C140" s="10" t="s">
        <v>24232</v>
      </c>
      <c r="D140" s="56" t="s">
        <v>20697</v>
      </c>
      <c r="E140" s="10" t="s">
        <v>209</v>
      </c>
      <c r="F140" s="10" t="s">
        <v>2617</v>
      </c>
      <c r="G140" s="10" t="s">
        <v>24043</v>
      </c>
      <c r="H140" s="10" t="s">
        <v>24244</v>
      </c>
      <c r="I140" s="10" t="s">
        <v>55</v>
      </c>
      <c r="J140" s="10" t="s">
        <v>24234</v>
      </c>
      <c r="K140" s="10" t="s">
        <v>24235</v>
      </c>
      <c r="L140" s="10" t="s">
        <v>42</v>
      </c>
    </row>
    <row r="141" ht="15.75" customHeight="1">
      <c r="A141" s="66">
        <v>45497.0</v>
      </c>
      <c r="B141" s="55" t="str">
        <f>HYPERLINK("https://jobright.ai/jobs/info/668496f889906a0228a8992d?utm_campaign=1057&amp;utm_source=sheet", "Apply")</f>
        <v>Apply</v>
      </c>
      <c r="C141" s="10" t="s">
        <v>24232</v>
      </c>
      <c r="D141" s="56" t="s">
        <v>20697</v>
      </c>
      <c r="E141" s="10" t="s">
        <v>209</v>
      </c>
      <c r="F141" s="10" t="s">
        <v>2617</v>
      </c>
      <c r="G141" s="10" t="s">
        <v>24043</v>
      </c>
      <c r="H141" s="10" t="s">
        <v>154</v>
      </c>
      <c r="I141" s="10" t="s">
        <v>55</v>
      </c>
      <c r="J141" s="10" t="s">
        <v>24234</v>
      </c>
      <c r="K141" s="10" t="s">
        <v>24235</v>
      </c>
      <c r="L141" s="10" t="s">
        <v>42</v>
      </c>
    </row>
    <row r="142" ht="15.75" customHeight="1">
      <c r="A142" s="66">
        <v>45497.0</v>
      </c>
      <c r="B142" s="55" t="str">
        <f>HYPERLINK("https://jobright.ai/jobs/info/6684debb05d49fabee741717?utm_campaign=1057&amp;utm_source=sheet", "Apply")</f>
        <v>Apply</v>
      </c>
      <c r="C142" s="10" t="s">
        <v>24232</v>
      </c>
      <c r="D142" s="56" t="s">
        <v>20697</v>
      </c>
      <c r="E142" s="10" t="s">
        <v>209</v>
      </c>
      <c r="F142" s="10" t="s">
        <v>2617</v>
      </c>
      <c r="G142" s="10" t="s">
        <v>24043</v>
      </c>
      <c r="H142" s="10" t="s">
        <v>16749</v>
      </c>
      <c r="I142" s="10" t="s">
        <v>55</v>
      </c>
      <c r="J142" s="10" t="s">
        <v>24234</v>
      </c>
      <c r="K142" s="10" t="s">
        <v>24235</v>
      </c>
      <c r="L142" s="10" t="s">
        <v>42</v>
      </c>
    </row>
    <row r="143" ht="15.75" customHeight="1">
      <c r="A143" s="66">
        <v>45497.0</v>
      </c>
      <c r="B143" s="55" t="str">
        <f>HYPERLINK("https://jobright.ai/jobs/info/668496f889906a0228a8992b?utm_campaign=1057&amp;utm_source=sheet", "Apply")</f>
        <v>Apply</v>
      </c>
      <c r="C143" s="10" t="s">
        <v>24232</v>
      </c>
      <c r="D143" s="56" t="s">
        <v>20697</v>
      </c>
      <c r="E143" s="10" t="s">
        <v>209</v>
      </c>
      <c r="F143" s="10" t="s">
        <v>2617</v>
      </c>
      <c r="G143" s="10" t="s">
        <v>24043</v>
      </c>
      <c r="H143" s="10" t="s">
        <v>4777</v>
      </c>
      <c r="I143" s="10" t="s">
        <v>55</v>
      </c>
      <c r="J143" s="10" t="s">
        <v>24234</v>
      </c>
      <c r="K143" s="10" t="s">
        <v>24235</v>
      </c>
      <c r="L143" s="10" t="s">
        <v>42</v>
      </c>
    </row>
    <row r="144" ht="15.75" customHeight="1">
      <c r="A144" s="66">
        <v>45497.0</v>
      </c>
      <c r="B144" s="55" t="str">
        <f>HYPERLINK("https://jobright.ai/jobs/info/6684debb05d49fabee74170e?utm_campaign=1057&amp;utm_source=sheet", "Apply")</f>
        <v>Apply</v>
      </c>
      <c r="C144" s="10" t="s">
        <v>24232</v>
      </c>
      <c r="D144" s="56" t="s">
        <v>20697</v>
      </c>
      <c r="E144" s="10" t="s">
        <v>209</v>
      </c>
      <c r="F144" s="10" t="s">
        <v>2617</v>
      </c>
      <c r="G144" s="10" t="s">
        <v>24043</v>
      </c>
      <c r="H144" s="10" t="s">
        <v>152</v>
      </c>
      <c r="I144" s="10" t="s">
        <v>55</v>
      </c>
      <c r="J144" s="10" t="s">
        <v>24234</v>
      </c>
      <c r="K144" s="10" t="s">
        <v>24235</v>
      </c>
      <c r="L144" s="10" t="s">
        <v>42</v>
      </c>
    </row>
    <row r="145" ht="15.75" customHeight="1">
      <c r="A145" s="66">
        <v>45497.0</v>
      </c>
      <c r="B145" s="55" t="str">
        <f>HYPERLINK("https://jobright.ai/jobs/info/6684bc9a4c3c8b0fd72462ee?utm_campaign=1057&amp;utm_source=sheet", "Apply")</f>
        <v>Apply</v>
      </c>
      <c r="C145" s="10" t="s">
        <v>24232</v>
      </c>
      <c r="D145" s="56" t="s">
        <v>20697</v>
      </c>
      <c r="E145" s="10" t="s">
        <v>209</v>
      </c>
      <c r="F145" s="10" t="s">
        <v>2617</v>
      </c>
      <c r="G145" s="10" t="s">
        <v>24043</v>
      </c>
      <c r="H145" s="10" t="s">
        <v>24245</v>
      </c>
      <c r="I145" s="10" t="s">
        <v>55</v>
      </c>
      <c r="J145" s="10" t="s">
        <v>24234</v>
      </c>
      <c r="K145" s="10" t="s">
        <v>24235</v>
      </c>
      <c r="L145" s="10" t="s">
        <v>42</v>
      </c>
    </row>
    <row r="146" ht="15.75" customHeight="1">
      <c r="A146" s="66">
        <v>45497.0</v>
      </c>
      <c r="B146" s="55" t="str">
        <f>HYPERLINK("https://jobright.ai/jobs/info/6684dec205d49fabee7417bd?utm_campaign=1057&amp;utm_source=sheet", "Apply")</f>
        <v>Apply</v>
      </c>
      <c r="C146" s="10" t="s">
        <v>24232</v>
      </c>
      <c r="D146" s="56" t="s">
        <v>20697</v>
      </c>
      <c r="E146" s="10" t="s">
        <v>209</v>
      </c>
      <c r="F146" s="10" t="s">
        <v>2617</v>
      </c>
      <c r="G146" s="10" t="s">
        <v>24043</v>
      </c>
      <c r="H146" s="10" t="s">
        <v>271</v>
      </c>
      <c r="I146" s="10" t="s">
        <v>55</v>
      </c>
      <c r="J146" s="10" t="s">
        <v>24234</v>
      </c>
      <c r="K146" s="10" t="s">
        <v>24235</v>
      </c>
      <c r="L146" s="10" t="s">
        <v>42</v>
      </c>
    </row>
    <row r="147" ht="15.75" customHeight="1">
      <c r="A147" s="66">
        <v>45497.0</v>
      </c>
      <c r="B147" s="55" t="str">
        <f>HYPERLINK("https://jobright.ai/jobs/info/6684debb05d49fabee741758?utm_campaign=1057&amp;utm_source=sheet", "Apply")</f>
        <v>Apply</v>
      </c>
      <c r="C147" s="10" t="s">
        <v>24232</v>
      </c>
      <c r="D147" s="56" t="s">
        <v>20697</v>
      </c>
      <c r="E147" s="10" t="s">
        <v>209</v>
      </c>
      <c r="F147" s="10" t="s">
        <v>2617</v>
      </c>
      <c r="G147" s="10" t="s">
        <v>24043</v>
      </c>
      <c r="H147" s="10" t="s">
        <v>24246</v>
      </c>
      <c r="I147" s="10" t="s">
        <v>55</v>
      </c>
      <c r="J147" s="10" t="s">
        <v>24234</v>
      </c>
      <c r="K147" s="10" t="s">
        <v>24235</v>
      </c>
      <c r="L147" s="10" t="s">
        <v>42</v>
      </c>
    </row>
    <row r="148" ht="15.75" customHeight="1">
      <c r="A148" s="66">
        <v>45497.0</v>
      </c>
      <c r="B148" s="55" t="str">
        <f>HYPERLINK("https://jobright.ai/jobs/info/66a1fab54d4152c7d599ebd9?utm_campaign=1057&amp;utm_source=sheet", "Apply")</f>
        <v>Apply</v>
      </c>
      <c r="C148" s="10" t="s">
        <v>24247</v>
      </c>
      <c r="D148" s="56" t="s">
        <v>24248</v>
      </c>
      <c r="E148" s="10" t="s">
        <v>45</v>
      </c>
      <c r="F148" s="10" t="s">
        <v>24249</v>
      </c>
      <c r="G148" s="10" t="s">
        <v>24043</v>
      </c>
      <c r="H148" s="10" t="s">
        <v>1328</v>
      </c>
      <c r="I148" s="10" t="s">
        <v>55</v>
      </c>
      <c r="K148" s="10" t="s">
        <v>24250</v>
      </c>
      <c r="L148" s="10" t="s">
        <v>42</v>
      </c>
    </row>
    <row r="149" ht="15.75" customHeight="1">
      <c r="A149" s="66">
        <v>45497.0</v>
      </c>
      <c r="B149" s="55" t="str">
        <f>HYPERLINK("https://jobright.ai/jobs/info/66a1fab54d4152c7d599ebbd?utm_campaign=1057&amp;utm_source=sheet", "Apply")</f>
        <v>Apply</v>
      </c>
      <c r="C149" s="10" t="s">
        <v>24251</v>
      </c>
      <c r="D149" s="56" t="s">
        <v>24248</v>
      </c>
      <c r="E149" s="10" t="s">
        <v>45</v>
      </c>
      <c r="F149" s="10" t="s">
        <v>24249</v>
      </c>
      <c r="G149" s="10" t="s">
        <v>24043</v>
      </c>
      <c r="H149" s="10" t="s">
        <v>12987</v>
      </c>
      <c r="I149" s="10" t="s">
        <v>55</v>
      </c>
      <c r="J149" s="10" t="s">
        <v>24252</v>
      </c>
      <c r="K149" s="10" t="s">
        <v>24250</v>
      </c>
      <c r="L149" s="10" t="s">
        <v>42</v>
      </c>
    </row>
    <row r="150" ht="15.75" customHeight="1">
      <c r="A150" s="66">
        <v>45497.0</v>
      </c>
      <c r="B150" s="55" t="str">
        <f>HYPERLINK("https://jobright.ai/jobs/info/66a1fab54d4152c7d599ebbe?utm_campaign=1057&amp;utm_source=sheet", "Apply")</f>
        <v>Apply</v>
      </c>
      <c r="C150" s="10" t="s">
        <v>24251</v>
      </c>
      <c r="D150" s="56" t="s">
        <v>24248</v>
      </c>
      <c r="E150" s="10" t="s">
        <v>45</v>
      </c>
      <c r="F150" s="10" t="s">
        <v>24249</v>
      </c>
      <c r="G150" s="10" t="s">
        <v>24043</v>
      </c>
      <c r="H150" s="10" t="s">
        <v>3847</v>
      </c>
      <c r="I150" s="10" t="s">
        <v>55</v>
      </c>
      <c r="K150" s="10" t="s">
        <v>24250</v>
      </c>
      <c r="L150" s="10" t="s">
        <v>42</v>
      </c>
    </row>
    <row r="151" ht="15.75" customHeight="1">
      <c r="A151" s="66">
        <v>45497.0</v>
      </c>
      <c r="B151" s="55" t="str">
        <f>HYPERLINK("https://jobright.ai/jobs/info/6685348e42ddd5c037a093e1?utm_campaign=1057&amp;utm_source=sheet", "Apply")</f>
        <v>Apply</v>
      </c>
      <c r="C151" s="10" t="s">
        <v>24253</v>
      </c>
      <c r="D151" s="56" t="s">
        <v>21452</v>
      </c>
      <c r="E151" s="10" t="s">
        <v>45</v>
      </c>
      <c r="F151" s="10" t="s">
        <v>2409</v>
      </c>
      <c r="G151" s="10" t="s">
        <v>24043</v>
      </c>
      <c r="H151" s="10" t="s">
        <v>24254</v>
      </c>
      <c r="I151" s="10" t="s">
        <v>55</v>
      </c>
      <c r="K151" s="10" t="s">
        <v>24255</v>
      </c>
      <c r="L151" s="10" t="s">
        <v>42</v>
      </c>
    </row>
    <row r="152" ht="15.75" customHeight="1">
      <c r="A152" s="66">
        <v>45497.0</v>
      </c>
      <c r="B152" s="55" t="str">
        <f>HYPERLINK("https://jobright.ai/jobs/info/66a084eda6ebbcc3fe509a70?utm_campaign=1057&amp;utm_source=sheet", "Apply")</f>
        <v>Apply</v>
      </c>
      <c r="C152" s="10" t="s">
        <v>24256</v>
      </c>
      <c r="D152" s="56" t="s">
        <v>44</v>
      </c>
      <c r="E152" s="10" t="s">
        <v>45</v>
      </c>
      <c r="F152" s="10" t="s">
        <v>46</v>
      </c>
      <c r="G152" s="10" t="s">
        <v>24031</v>
      </c>
      <c r="H152" s="10" t="s">
        <v>11174</v>
      </c>
      <c r="I152" s="10" t="s">
        <v>48</v>
      </c>
      <c r="J152" s="10" t="s">
        <v>24257</v>
      </c>
      <c r="L152" s="10" t="s">
        <v>42</v>
      </c>
    </row>
    <row r="153" ht="15.75" customHeight="1">
      <c r="A153" s="66">
        <v>45497.0</v>
      </c>
      <c r="B153" s="55" t="str">
        <f>HYPERLINK("https://jobright.ai/jobs/info/66a0a891ab5c4d66888444f8?utm_campaign=1057&amp;utm_source=sheet", "Apply")</f>
        <v>Apply</v>
      </c>
      <c r="C153" s="10" t="s">
        <v>8211</v>
      </c>
      <c r="D153" s="56" t="s">
        <v>4448</v>
      </c>
      <c r="E153" s="10" t="s">
        <v>71</v>
      </c>
      <c r="F153" s="10" t="s">
        <v>4449</v>
      </c>
      <c r="G153" s="10" t="s">
        <v>24043</v>
      </c>
      <c r="H153" s="10" t="s">
        <v>628</v>
      </c>
      <c r="I153" s="10" t="s">
        <v>55</v>
      </c>
      <c r="K153" s="10" t="s">
        <v>4450</v>
      </c>
      <c r="L153" s="10" t="s">
        <v>42</v>
      </c>
    </row>
    <row r="154" ht="15.75" customHeight="1">
      <c r="A154" s="66">
        <v>45497.0</v>
      </c>
      <c r="B154" s="55" t="str">
        <f>HYPERLINK("https://jobright.ai/jobs/info/669d9b89cda51a785aeb3154?utm_campaign=1057&amp;utm_source=sheet", "Apply")</f>
        <v>Apply</v>
      </c>
      <c r="C154" s="10" t="s">
        <v>24258</v>
      </c>
      <c r="D154" s="56" t="s">
        <v>2202</v>
      </c>
      <c r="E154" s="10" t="s">
        <v>249</v>
      </c>
      <c r="F154" s="10" t="s">
        <v>1234</v>
      </c>
      <c r="G154" s="10" t="s">
        <v>24031</v>
      </c>
      <c r="H154" s="10" t="s">
        <v>2203</v>
      </c>
      <c r="I154" s="10" t="s">
        <v>55</v>
      </c>
      <c r="K154" s="10" t="s">
        <v>24259</v>
      </c>
      <c r="L154" s="10" t="s">
        <v>42</v>
      </c>
    </row>
    <row r="155" ht="15.75" customHeight="1">
      <c r="A155" s="66">
        <v>45497.0</v>
      </c>
      <c r="B155" s="55" t="str">
        <f>HYPERLINK("https://jobright.ai/jobs/info/66a0791df493ff248a603274?utm_campaign=1057&amp;utm_source=sheet", "Apply")</f>
        <v>Apply</v>
      </c>
      <c r="C155" s="10" t="s">
        <v>24260</v>
      </c>
      <c r="D155" s="56" t="s">
        <v>1650</v>
      </c>
      <c r="E155" s="10" t="s">
        <v>209</v>
      </c>
      <c r="F155" s="10" t="s">
        <v>1243</v>
      </c>
      <c r="G155" s="10" t="s">
        <v>24043</v>
      </c>
      <c r="H155" s="10" t="s">
        <v>245</v>
      </c>
      <c r="I155" s="10" t="s">
        <v>48</v>
      </c>
      <c r="K155" s="10" t="s">
        <v>17654</v>
      </c>
      <c r="L155" s="10" t="s">
        <v>42</v>
      </c>
    </row>
    <row r="156" ht="15.75" customHeight="1">
      <c r="A156" s="66">
        <v>45497.0</v>
      </c>
      <c r="B156" s="55" t="str">
        <f>HYPERLINK("https://jobright.ai/jobs/info/6699e006bfc27dbfc3d424b2?utm_campaign=1057&amp;utm_source=sheet", "Apply")</f>
        <v>Apply</v>
      </c>
      <c r="C156" s="10" t="s">
        <v>24261</v>
      </c>
      <c r="D156" s="56" t="s">
        <v>1650</v>
      </c>
      <c r="E156" s="10" t="s">
        <v>209</v>
      </c>
      <c r="F156" s="10" t="s">
        <v>1243</v>
      </c>
      <c r="G156" s="10" t="s">
        <v>24031</v>
      </c>
      <c r="H156" s="10" t="s">
        <v>833</v>
      </c>
      <c r="I156" s="10" t="s">
        <v>48</v>
      </c>
      <c r="K156" s="10" t="s">
        <v>24262</v>
      </c>
      <c r="L156" s="10" t="s">
        <v>42</v>
      </c>
    </row>
    <row r="157" ht="15.75" customHeight="1">
      <c r="A157" s="66">
        <v>45497.0</v>
      </c>
      <c r="B157" s="55" t="str">
        <f>HYPERLINK("https://jobright.ai/jobs/info/66a18e35cc283f3a593af575?utm_campaign=1057&amp;utm_source=sheet", "Apply")</f>
        <v>Apply</v>
      </c>
      <c r="C157" s="10" t="s">
        <v>24263</v>
      </c>
      <c r="D157" s="56" t="s">
        <v>23894</v>
      </c>
      <c r="E157" s="10" t="s">
        <v>79</v>
      </c>
      <c r="G157" s="10" t="s">
        <v>24022</v>
      </c>
      <c r="H157" s="10" t="s">
        <v>3721</v>
      </c>
      <c r="I157" s="10" t="s">
        <v>55</v>
      </c>
      <c r="K157" s="10" t="s">
        <v>24264</v>
      </c>
      <c r="L157" s="10" t="s">
        <v>42</v>
      </c>
    </row>
    <row r="158" ht="15.75" customHeight="1">
      <c r="A158" s="66">
        <v>45497.0</v>
      </c>
      <c r="B158" s="55" t="str">
        <f>HYPERLINK("https://jobright.ai/jobs/info/66a187b48153b6c68fde5a51?utm_campaign=1057&amp;utm_source=sheet", "Apply")</f>
        <v>Apply</v>
      </c>
      <c r="C158" s="10" t="s">
        <v>24265</v>
      </c>
      <c r="D158" s="56" t="s">
        <v>2252</v>
      </c>
      <c r="E158" s="10" t="s">
        <v>249</v>
      </c>
      <c r="F158" s="10" t="s">
        <v>2253</v>
      </c>
      <c r="G158" s="10" t="s">
        <v>24031</v>
      </c>
      <c r="H158" s="10" t="s">
        <v>996</v>
      </c>
      <c r="I158" s="10" t="s">
        <v>55</v>
      </c>
      <c r="J158" s="10" t="s">
        <v>3125</v>
      </c>
      <c r="K158" s="10" t="s">
        <v>24266</v>
      </c>
      <c r="L158" s="10" t="s">
        <v>42</v>
      </c>
    </row>
    <row r="159" ht="15.75" customHeight="1">
      <c r="A159" s="66">
        <v>45497.0</v>
      </c>
      <c r="B159" s="55" t="str">
        <f>HYPERLINK("https://jobright.ai/jobs/info/66a06a374d2690087dea3fe6?utm_campaign=1057&amp;utm_source=sheet", "Apply")</f>
        <v>Apply</v>
      </c>
      <c r="C159" s="10" t="s">
        <v>24267</v>
      </c>
      <c r="D159" s="56" t="s">
        <v>6736</v>
      </c>
      <c r="E159" s="10" t="s">
        <v>65</v>
      </c>
      <c r="F159" s="10" t="s">
        <v>1234</v>
      </c>
      <c r="G159" s="10" t="s">
        <v>24031</v>
      </c>
      <c r="H159" s="10" t="s">
        <v>6737</v>
      </c>
      <c r="I159" s="10" t="s">
        <v>55</v>
      </c>
      <c r="J159" s="10" t="s">
        <v>1409</v>
      </c>
      <c r="K159" s="10" t="s">
        <v>24268</v>
      </c>
      <c r="L159" s="10" t="s">
        <v>42</v>
      </c>
    </row>
    <row r="160" ht="15.75" customHeight="1">
      <c r="A160" s="66">
        <v>45497.0</v>
      </c>
      <c r="B160" s="55" t="str">
        <f>HYPERLINK("https://jobright.ai/jobs/info/66a19c6eb38217b0417638c0?utm_campaign=1057&amp;utm_source=sheet", "Apply")</f>
        <v>Apply</v>
      </c>
      <c r="C160" s="10" t="s">
        <v>24269</v>
      </c>
      <c r="D160" s="56" t="s">
        <v>24248</v>
      </c>
      <c r="E160" s="10" t="s">
        <v>45</v>
      </c>
      <c r="F160" s="10" t="s">
        <v>24249</v>
      </c>
      <c r="G160" s="10" t="s">
        <v>24043</v>
      </c>
      <c r="H160" s="10" t="s">
        <v>96</v>
      </c>
      <c r="I160" s="10" t="s">
        <v>55</v>
      </c>
      <c r="K160" s="10" t="s">
        <v>24250</v>
      </c>
      <c r="L160" s="10" t="s">
        <v>42</v>
      </c>
    </row>
    <row r="161" ht="15.75" customHeight="1">
      <c r="A161" s="66">
        <v>45497.0</v>
      </c>
      <c r="B161" s="55" t="str">
        <f>HYPERLINK("https://jobright.ai/jobs/info/66a12f1376182c3da37c3dad?utm_campaign=1057&amp;utm_source=sheet", "Apply")</f>
        <v>Apply</v>
      </c>
      <c r="C161" s="10" t="s">
        <v>24270</v>
      </c>
      <c r="D161" s="56" t="s">
        <v>17518</v>
      </c>
      <c r="E161" s="10" t="s">
        <v>45</v>
      </c>
      <c r="F161" s="10" t="s">
        <v>2319</v>
      </c>
      <c r="G161" s="10" t="s">
        <v>24031</v>
      </c>
      <c r="H161" s="10" t="s">
        <v>575</v>
      </c>
      <c r="I161" s="10" t="s">
        <v>55</v>
      </c>
      <c r="J161" s="10" t="s">
        <v>3651</v>
      </c>
      <c r="K161" s="10" t="s">
        <v>24271</v>
      </c>
      <c r="L161" s="10" t="s">
        <v>42</v>
      </c>
    </row>
    <row r="162" ht="15.75" customHeight="1">
      <c r="A162" s="66">
        <v>45497.0</v>
      </c>
      <c r="B162" s="55" t="str">
        <f>HYPERLINK("https://jobright.ai/jobs/info/66a19b0c79b79d29681d6645?utm_campaign=1057&amp;utm_source=sheet", "Apply")</f>
        <v>Apply</v>
      </c>
      <c r="C162" s="10" t="s">
        <v>24272</v>
      </c>
      <c r="D162" s="56" t="s">
        <v>1757</v>
      </c>
      <c r="E162" s="10">
        <v>15243.0</v>
      </c>
      <c r="G162" s="10" t="s">
        <v>24022</v>
      </c>
      <c r="H162" s="10" t="s">
        <v>165</v>
      </c>
      <c r="I162" s="10" t="s">
        <v>55</v>
      </c>
      <c r="K162" s="10" t="s">
        <v>24273</v>
      </c>
      <c r="L162" s="10" t="s">
        <v>42</v>
      </c>
    </row>
    <row r="163" ht="15.75" customHeight="1">
      <c r="A163" s="66">
        <v>45497.0</v>
      </c>
      <c r="B163" s="55" t="str">
        <f>HYPERLINK("https://jobright.ai/jobs/info/66a09c1c32a85301d982abb1?utm_campaign=1057&amp;utm_source=sheet", "Apply")</f>
        <v>Apply</v>
      </c>
      <c r="C163" s="10" t="s">
        <v>24274</v>
      </c>
      <c r="D163" s="56" t="s">
        <v>2067</v>
      </c>
      <c r="E163" s="10" t="s">
        <v>45</v>
      </c>
      <c r="F163" s="10" t="s">
        <v>1695</v>
      </c>
      <c r="G163" s="10" t="s">
        <v>24031</v>
      </c>
      <c r="H163" s="10" t="s">
        <v>788</v>
      </c>
      <c r="I163" s="10" t="s">
        <v>55</v>
      </c>
      <c r="K163" s="10" t="s">
        <v>24275</v>
      </c>
      <c r="L163" s="10" t="s">
        <v>42</v>
      </c>
    </row>
    <row r="164" ht="15.75" customHeight="1">
      <c r="A164" s="66">
        <v>45496.0</v>
      </c>
      <c r="B164" s="55" t="str">
        <f>HYPERLINK("https://jobright.ai/jobs/info/66a063eab7c3431a09f4e002?utm_campaign=1057&amp;utm_source=sheet", "Apply")</f>
        <v>Apply</v>
      </c>
      <c r="C164" s="10" t="s">
        <v>24276</v>
      </c>
      <c r="D164" s="56" t="s">
        <v>15315</v>
      </c>
      <c r="E164" s="10" t="s">
        <v>45</v>
      </c>
      <c r="F164" s="10" t="s">
        <v>15316</v>
      </c>
      <c r="G164" s="10" t="s">
        <v>24043</v>
      </c>
      <c r="H164" s="10" t="s">
        <v>10033</v>
      </c>
      <c r="I164" s="10" t="s">
        <v>55</v>
      </c>
      <c r="K164" s="10" t="s">
        <v>24277</v>
      </c>
      <c r="L164" s="10" t="s">
        <v>42</v>
      </c>
    </row>
    <row r="165" ht="15.75" customHeight="1">
      <c r="A165" s="66">
        <v>45496.0</v>
      </c>
      <c r="B165" s="55" t="str">
        <f>HYPERLINK("https://jobright.ai/jobs/info/66a0595c09bbc0a620c994f6?utm_campaign=1057&amp;utm_source=sheet", "Apply")</f>
        <v>Apply</v>
      </c>
      <c r="C165" s="10" t="s">
        <v>24114</v>
      </c>
      <c r="D165" s="56" t="s">
        <v>24115</v>
      </c>
      <c r="F165" s="10" t="s">
        <v>1506</v>
      </c>
      <c r="G165" s="10" t="s">
        <v>24031</v>
      </c>
      <c r="H165" s="10" t="s">
        <v>610</v>
      </c>
      <c r="I165" s="10" t="s">
        <v>55</v>
      </c>
      <c r="J165" s="10" t="s">
        <v>24116</v>
      </c>
      <c r="K165" s="10" t="s">
        <v>24278</v>
      </c>
      <c r="L165" s="10" t="s">
        <v>42</v>
      </c>
    </row>
    <row r="166" ht="15.75" customHeight="1">
      <c r="A166" s="66">
        <v>45496.0</v>
      </c>
      <c r="B166" s="55" t="str">
        <f>HYPERLINK("https://jobright.ai/jobs/info/66a065cc0e159f780df651b0?utm_campaign=1057&amp;utm_source=sheet", "Apply")</f>
        <v>Apply</v>
      </c>
      <c r="C166" s="10" t="s">
        <v>24279</v>
      </c>
      <c r="D166" s="56" t="s">
        <v>24280</v>
      </c>
      <c r="E166" s="10" t="s">
        <v>209</v>
      </c>
      <c r="F166" s="10" t="s">
        <v>24281</v>
      </c>
      <c r="G166" s="10" t="s">
        <v>24022</v>
      </c>
      <c r="H166" s="10" t="s">
        <v>24282</v>
      </c>
      <c r="I166" s="10" t="s">
        <v>55</v>
      </c>
      <c r="J166" s="10" t="s">
        <v>24283</v>
      </c>
      <c r="K166" s="10" t="s">
        <v>24284</v>
      </c>
      <c r="L166" s="10" t="s">
        <v>42</v>
      </c>
    </row>
    <row r="167" ht="15.75" customHeight="1">
      <c r="A167" s="66">
        <v>45496.0</v>
      </c>
      <c r="B167" s="55" t="str">
        <f>HYPERLINK("https://jobright.ai/jobs/info/66a0417d0b66118039604074?utm_campaign=1057&amp;utm_source=sheet", "Apply")</f>
        <v>Apply</v>
      </c>
      <c r="C167" s="10" t="s">
        <v>10658</v>
      </c>
      <c r="D167" s="56" t="s">
        <v>24285</v>
      </c>
      <c r="E167" s="10" t="s">
        <v>65</v>
      </c>
      <c r="F167" s="10" t="s">
        <v>1607</v>
      </c>
      <c r="G167" s="10" t="s">
        <v>24022</v>
      </c>
      <c r="H167" s="10" t="s">
        <v>774</v>
      </c>
      <c r="I167" s="10" t="s">
        <v>55</v>
      </c>
      <c r="K167" s="10" t="s">
        <v>24286</v>
      </c>
      <c r="L167" s="10" t="s">
        <v>42</v>
      </c>
    </row>
    <row r="168" ht="15.75" customHeight="1">
      <c r="A168" s="66">
        <v>45496.0</v>
      </c>
      <c r="B168" s="55" t="str">
        <f>HYPERLINK("https://jobright.ai/jobs/info/66a022e546b8641105c98b21?utm_campaign=1057&amp;utm_source=sheet", "Apply")</f>
        <v>Apply</v>
      </c>
      <c r="C168" s="10" t="s">
        <v>24287</v>
      </c>
      <c r="D168" s="56" t="s">
        <v>1650</v>
      </c>
      <c r="E168" s="10" t="s">
        <v>209</v>
      </c>
      <c r="F168" s="10" t="s">
        <v>1243</v>
      </c>
      <c r="G168" s="10" t="s">
        <v>24043</v>
      </c>
      <c r="H168" s="10" t="s">
        <v>994</v>
      </c>
      <c r="I168" s="10" t="s">
        <v>48</v>
      </c>
      <c r="K168" s="10" t="s">
        <v>24288</v>
      </c>
      <c r="L168" s="10" t="s">
        <v>42</v>
      </c>
    </row>
    <row r="169" ht="15.75" customHeight="1">
      <c r="A169" s="66">
        <v>45496.0</v>
      </c>
      <c r="B169" s="55" t="str">
        <f>HYPERLINK("https://jobright.ai/jobs/info/66a02c63b9065c2c99e9e5fd?utm_campaign=1057&amp;utm_source=sheet", "Apply")</f>
        <v>Apply</v>
      </c>
      <c r="C169" s="10" t="s">
        <v>24289</v>
      </c>
      <c r="D169" s="56" t="s">
        <v>3905</v>
      </c>
      <c r="E169" s="10" t="s">
        <v>79</v>
      </c>
      <c r="F169" s="10" t="s">
        <v>3906</v>
      </c>
      <c r="G169" s="10" t="s">
        <v>24031</v>
      </c>
      <c r="H169" s="10" t="s">
        <v>96</v>
      </c>
      <c r="I169" s="10" t="s">
        <v>55</v>
      </c>
      <c r="J169" s="10" t="s">
        <v>3907</v>
      </c>
      <c r="K169" s="10" t="s">
        <v>24290</v>
      </c>
      <c r="L169" s="10" t="s">
        <v>42</v>
      </c>
    </row>
    <row r="170" ht="15.75" customHeight="1">
      <c r="A170" s="66">
        <v>45496.0</v>
      </c>
      <c r="B170" s="55" t="str">
        <f>HYPERLINK("https://jobright.ai/jobs/info/66a0262647fb4c7f51a5c7a5?utm_campaign=1057&amp;utm_source=sheet", "Apply")</f>
        <v>Apply</v>
      </c>
      <c r="C170" s="10" t="s">
        <v>24291</v>
      </c>
      <c r="D170" s="56" t="s">
        <v>24292</v>
      </c>
      <c r="E170" s="10" t="s">
        <v>65</v>
      </c>
      <c r="F170" s="10" t="s">
        <v>2617</v>
      </c>
      <c r="G170" s="10" t="s">
        <v>24022</v>
      </c>
      <c r="H170" s="10" t="s">
        <v>774</v>
      </c>
      <c r="I170" s="10" t="s">
        <v>55</v>
      </c>
      <c r="K170" s="10" t="s">
        <v>24293</v>
      </c>
      <c r="L170" s="10" t="s">
        <v>42</v>
      </c>
    </row>
    <row r="171" ht="15.75" customHeight="1">
      <c r="A171" s="66">
        <v>45496.0</v>
      </c>
      <c r="B171" s="55" t="str">
        <f>HYPERLINK("https://jobright.ai/jobs/info/66a022ee46b8641105c98bc4?utm_campaign=1057&amp;utm_source=sheet", "Apply")</f>
        <v>Apply</v>
      </c>
      <c r="C171" s="10" t="s">
        <v>24294</v>
      </c>
      <c r="D171" s="56" t="s">
        <v>24295</v>
      </c>
      <c r="E171" s="10" t="s">
        <v>209</v>
      </c>
      <c r="F171" s="10" t="s">
        <v>2216</v>
      </c>
      <c r="G171" s="10" t="s">
        <v>24022</v>
      </c>
      <c r="H171" s="10" t="s">
        <v>131</v>
      </c>
      <c r="I171" s="10" t="s">
        <v>55</v>
      </c>
      <c r="J171" s="10" t="s">
        <v>24296</v>
      </c>
      <c r="K171" s="10" t="s">
        <v>24297</v>
      </c>
      <c r="L171" s="10" t="s">
        <v>42</v>
      </c>
    </row>
    <row r="172" ht="15.75" customHeight="1">
      <c r="A172" s="66">
        <v>45496.0</v>
      </c>
      <c r="B172" s="55" t="str">
        <f>HYPERLINK("https://jobright.ai/jobs/info/66a0384bf54d4e37ee753a96?utm_campaign=1057&amp;utm_source=sheet", "Apply")</f>
        <v>Apply</v>
      </c>
      <c r="C172" s="10" t="s">
        <v>24298</v>
      </c>
      <c r="D172" s="56" t="s">
        <v>3905</v>
      </c>
      <c r="E172" s="10" t="s">
        <v>79</v>
      </c>
      <c r="F172" s="10" t="s">
        <v>3906</v>
      </c>
      <c r="G172" s="10" t="s">
        <v>24031</v>
      </c>
      <c r="H172" s="10" t="s">
        <v>96</v>
      </c>
      <c r="I172" s="10" t="s">
        <v>55</v>
      </c>
      <c r="J172" s="10" t="s">
        <v>3907</v>
      </c>
      <c r="K172" s="10" t="s">
        <v>24299</v>
      </c>
      <c r="L172" s="10" t="s">
        <v>42</v>
      </c>
    </row>
    <row r="173" ht="15.75" customHeight="1">
      <c r="A173" s="66">
        <v>45496.0</v>
      </c>
      <c r="B173" s="55" t="str">
        <f>HYPERLINK("https://jobright.ai/jobs/info/66a032a176c2695220a63ebd?utm_campaign=1057&amp;utm_source=sheet", "Apply")</f>
        <v>Apply</v>
      </c>
      <c r="C173" s="10" t="s">
        <v>24021</v>
      </c>
      <c r="D173" s="56" t="s">
        <v>20373</v>
      </c>
      <c r="E173" s="10" t="s">
        <v>276</v>
      </c>
      <c r="F173" s="10" t="s">
        <v>665</v>
      </c>
      <c r="G173" s="10" t="s">
        <v>24022</v>
      </c>
      <c r="H173" s="10" t="s">
        <v>902</v>
      </c>
      <c r="I173" s="10" t="s">
        <v>55</v>
      </c>
      <c r="K173" s="10" t="s">
        <v>24023</v>
      </c>
      <c r="L173" s="10" t="s">
        <v>42</v>
      </c>
    </row>
    <row r="174" ht="15.75" customHeight="1">
      <c r="A174" s="66">
        <v>45496.0</v>
      </c>
      <c r="B174" s="55" t="str">
        <f>HYPERLINK("https://jobright.ai/jobs/info/66a022ee46b8641105c98c7e?utm_campaign=1057&amp;utm_source=sheet", "Apply")</f>
        <v>Apply</v>
      </c>
      <c r="C174" s="10" t="s">
        <v>24300</v>
      </c>
      <c r="D174" s="56" t="s">
        <v>13522</v>
      </c>
      <c r="E174" s="10" t="s">
        <v>45</v>
      </c>
      <c r="F174" s="10" t="s">
        <v>3124</v>
      </c>
      <c r="G174" s="10" t="s">
        <v>24022</v>
      </c>
      <c r="H174" s="10" t="s">
        <v>6506</v>
      </c>
      <c r="I174" s="10" t="s">
        <v>55</v>
      </c>
      <c r="K174" s="10" t="s">
        <v>24301</v>
      </c>
      <c r="L174" s="10" t="s">
        <v>42</v>
      </c>
    </row>
    <row r="175" ht="15.75" customHeight="1">
      <c r="A175" s="66">
        <v>45496.0</v>
      </c>
      <c r="B175" s="55" t="str">
        <f>HYPERLINK("https://jobright.ai/jobs/info/66a02c6cb9065c2c99e9e68c?utm_campaign=1057&amp;utm_source=sheet", "Apply")</f>
        <v>Apply</v>
      </c>
      <c r="C175" s="10" t="s">
        <v>24199</v>
      </c>
      <c r="D175" s="56" t="s">
        <v>24302</v>
      </c>
      <c r="G175" s="10" t="s">
        <v>24031</v>
      </c>
      <c r="H175" s="10" t="s">
        <v>251</v>
      </c>
      <c r="I175" s="10" t="s">
        <v>252</v>
      </c>
      <c r="J175" s="10" t="s">
        <v>14245</v>
      </c>
      <c r="K175" s="10" t="s">
        <v>24201</v>
      </c>
      <c r="L175" s="10" t="s">
        <v>42</v>
      </c>
    </row>
    <row r="176" ht="15.75" customHeight="1">
      <c r="A176" s="66">
        <v>45496.0</v>
      </c>
      <c r="B176" s="55" t="str">
        <f>HYPERLINK("https://jobright.ai/jobs/info/66a02aa683fe12fc9f1d47c7?utm_campaign=1057&amp;utm_source=sheet", "Apply")</f>
        <v>Apply</v>
      </c>
      <c r="C176" s="10" t="s">
        <v>24267</v>
      </c>
      <c r="D176" s="56" t="s">
        <v>6736</v>
      </c>
      <c r="E176" s="10" t="s">
        <v>65</v>
      </c>
      <c r="F176" s="10" t="s">
        <v>1234</v>
      </c>
      <c r="G176" s="10" t="s">
        <v>24031</v>
      </c>
      <c r="H176" s="10" t="s">
        <v>6737</v>
      </c>
      <c r="I176" s="10" t="s">
        <v>55</v>
      </c>
      <c r="J176" s="10" t="s">
        <v>1409</v>
      </c>
      <c r="K176" s="10" t="s">
        <v>24268</v>
      </c>
      <c r="L176" s="10" t="s">
        <v>42</v>
      </c>
    </row>
    <row r="177" ht="15.75" customHeight="1">
      <c r="A177" s="66">
        <v>45496.0</v>
      </c>
      <c r="B177" s="55" t="str">
        <f>HYPERLINK("https://jobright.ai/jobs/info/66a02144238b946e0a9fb7e3?utm_campaign=1057&amp;utm_source=sheet", "Apply")</f>
        <v>Apply</v>
      </c>
      <c r="C177" s="10" t="s">
        <v>24303</v>
      </c>
      <c r="D177" s="56" t="s">
        <v>6736</v>
      </c>
      <c r="E177" s="10" t="s">
        <v>65</v>
      </c>
      <c r="F177" s="10" t="s">
        <v>1234</v>
      </c>
      <c r="G177" s="10" t="s">
        <v>24022</v>
      </c>
      <c r="H177" s="10" t="s">
        <v>6737</v>
      </c>
      <c r="I177" s="10" t="s">
        <v>55</v>
      </c>
      <c r="J177" s="10" t="s">
        <v>1608</v>
      </c>
      <c r="K177" s="10" t="s">
        <v>24268</v>
      </c>
      <c r="L177" s="10" t="s">
        <v>42</v>
      </c>
    </row>
    <row r="178" ht="15.75" customHeight="1">
      <c r="A178" s="66">
        <v>45496.0</v>
      </c>
      <c r="B178" s="55" t="str">
        <f>HYPERLINK("https://jobright.ai/jobs/info/66a00c62353276c071fe9336?utm_campaign=1057&amp;utm_source=sheet", "Apply")</f>
        <v>Apply</v>
      </c>
      <c r="C178" s="10" t="s">
        <v>24304</v>
      </c>
      <c r="D178" s="56" t="s">
        <v>5001</v>
      </c>
      <c r="E178" s="10" t="s">
        <v>209</v>
      </c>
      <c r="F178" s="10" t="s">
        <v>3124</v>
      </c>
      <c r="G178" s="10" t="s">
        <v>24031</v>
      </c>
      <c r="H178" s="10" t="s">
        <v>1025</v>
      </c>
      <c r="I178" s="10" t="s">
        <v>55</v>
      </c>
      <c r="J178" s="10" t="s">
        <v>13766</v>
      </c>
      <c r="K178" s="10" t="s">
        <v>24305</v>
      </c>
      <c r="L178" s="10" t="s">
        <v>42</v>
      </c>
    </row>
    <row r="179" ht="15.75" customHeight="1">
      <c r="A179" s="66">
        <v>45496.0</v>
      </c>
      <c r="B179" s="55" t="str">
        <f>HYPERLINK("https://jobright.ai/jobs/info/66a00d4c0e65e7e047a8a89c?utm_campaign=1057&amp;utm_source=sheet", "Apply")</f>
        <v>Apply</v>
      </c>
      <c r="C179" s="10" t="s">
        <v>24306</v>
      </c>
      <c r="D179" s="56" t="s">
        <v>24307</v>
      </c>
      <c r="E179" s="10" t="s">
        <v>65</v>
      </c>
      <c r="G179" s="10" t="s">
        <v>24031</v>
      </c>
      <c r="H179" s="10" t="s">
        <v>1007</v>
      </c>
      <c r="I179" s="10" t="s">
        <v>48</v>
      </c>
      <c r="J179" s="10" t="s">
        <v>24308</v>
      </c>
      <c r="K179" s="10" t="s">
        <v>24309</v>
      </c>
      <c r="L179" s="10" t="s">
        <v>42</v>
      </c>
    </row>
    <row r="180" ht="15.75" customHeight="1">
      <c r="A180" s="66">
        <v>45496.0</v>
      </c>
      <c r="B180" s="55" t="str">
        <f>HYPERLINK("https://jobright.ai/jobs/info/66a00f22f7f5d9f53b6e1093?utm_campaign=1057&amp;utm_source=sheet", "Apply")</f>
        <v>Apply</v>
      </c>
      <c r="C180" s="10" t="s">
        <v>24310</v>
      </c>
      <c r="D180" s="56" t="s">
        <v>8289</v>
      </c>
      <c r="E180" s="10" t="s">
        <v>65</v>
      </c>
      <c r="F180" s="10" t="s">
        <v>7760</v>
      </c>
      <c r="G180" s="10" t="s">
        <v>24043</v>
      </c>
      <c r="H180" s="10" t="s">
        <v>12409</v>
      </c>
      <c r="I180" s="10" t="s">
        <v>55</v>
      </c>
      <c r="K180" s="10" t="s">
        <v>24311</v>
      </c>
      <c r="L180" s="10" t="s">
        <v>42</v>
      </c>
    </row>
    <row r="181" ht="15.75" customHeight="1">
      <c r="A181" s="66">
        <v>45496.0</v>
      </c>
      <c r="B181" s="55" t="str">
        <f>HYPERLINK("https://jobright.ai/jobs/info/669ff38b084bc2fa31e1a4d2?utm_campaign=1057&amp;utm_source=sheet", "Apply")</f>
        <v>Apply</v>
      </c>
      <c r="C181" s="10" t="s">
        <v>24312</v>
      </c>
      <c r="D181" s="56" t="s">
        <v>2202</v>
      </c>
      <c r="E181" s="10" t="s">
        <v>249</v>
      </c>
      <c r="F181" s="10" t="s">
        <v>1234</v>
      </c>
      <c r="G181" s="10" t="s">
        <v>24022</v>
      </c>
      <c r="H181" s="10" t="s">
        <v>2203</v>
      </c>
      <c r="I181" s="10" t="s">
        <v>55</v>
      </c>
      <c r="K181" s="10" t="s">
        <v>24313</v>
      </c>
      <c r="L181" s="10" t="s">
        <v>42</v>
      </c>
    </row>
    <row r="182" ht="15.75" customHeight="1">
      <c r="A182" s="66">
        <v>45496.0</v>
      </c>
      <c r="B182" s="55" t="str">
        <f>HYPERLINK("https://jobright.ai/jobs/info/669ff0c347af768066e63954?utm_campaign=1057&amp;utm_source=sheet", "Apply")</f>
        <v>Apply</v>
      </c>
      <c r="C182" s="10" t="s">
        <v>24314</v>
      </c>
      <c r="D182" s="56" t="s">
        <v>7209</v>
      </c>
      <c r="E182" s="10" t="s">
        <v>45</v>
      </c>
      <c r="F182" s="10" t="s">
        <v>7210</v>
      </c>
      <c r="G182" s="10" t="s">
        <v>24031</v>
      </c>
      <c r="H182" s="10" t="s">
        <v>16703</v>
      </c>
      <c r="I182" s="10" t="s">
        <v>55</v>
      </c>
      <c r="K182" s="10" t="s">
        <v>24315</v>
      </c>
      <c r="L182" s="10" t="s">
        <v>42</v>
      </c>
    </row>
    <row r="183" ht="15.75" customHeight="1">
      <c r="A183" s="66">
        <v>45496.0</v>
      </c>
      <c r="B183" s="55" t="str">
        <f>HYPERLINK("https://jobright.ai/jobs/info/669feda772f6d25482dfca4c?utm_campaign=1057&amp;utm_source=sheet", "Apply")</f>
        <v>Apply</v>
      </c>
      <c r="C183" s="10" t="s">
        <v>24316</v>
      </c>
      <c r="D183" s="56" t="s">
        <v>4448</v>
      </c>
      <c r="E183" s="10" t="s">
        <v>71</v>
      </c>
      <c r="F183" s="10" t="s">
        <v>4449</v>
      </c>
      <c r="G183" s="10" t="s">
        <v>24043</v>
      </c>
      <c r="H183" s="10" t="s">
        <v>628</v>
      </c>
      <c r="I183" s="10" t="s">
        <v>55</v>
      </c>
      <c r="K183" s="10" t="s">
        <v>24062</v>
      </c>
      <c r="L183" s="10" t="s">
        <v>42</v>
      </c>
    </row>
    <row r="184" ht="15.75" customHeight="1">
      <c r="A184" s="66">
        <v>45496.0</v>
      </c>
      <c r="B184" s="55" t="str">
        <f>HYPERLINK("https://jobright.ai/jobs/info/66a00167a4a9d243b7e56ba8?utm_campaign=1057&amp;utm_source=sheet", "Apply")</f>
        <v>Apply</v>
      </c>
      <c r="C184" s="10" t="s">
        <v>24317</v>
      </c>
      <c r="D184" s="56" t="s">
        <v>4448</v>
      </c>
      <c r="E184" s="10" t="s">
        <v>71</v>
      </c>
      <c r="F184" s="10" t="s">
        <v>4449</v>
      </c>
      <c r="G184" s="10" t="s">
        <v>24043</v>
      </c>
      <c r="H184" s="10" t="s">
        <v>628</v>
      </c>
      <c r="I184" s="10" t="s">
        <v>55</v>
      </c>
      <c r="K184" s="10" t="s">
        <v>4450</v>
      </c>
      <c r="L184" s="10" t="s">
        <v>42</v>
      </c>
    </row>
    <row r="185" ht="15.75" customHeight="1">
      <c r="A185" s="66">
        <v>45496.0</v>
      </c>
      <c r="B185" s="55" t="str">
        <f>HYPERLINK("https://jobright.ai/jobs/info/669fe4d65d74e6023f80bf5e?utm_campaign=1057&amp;utm_source=sheet", "Apply")</f>
        <v>Apply</v>
      </c>
      <c r="C185" s="10" t="s">
        <v>24318</v>
      </c>
      <c r="D185" s="56" t="s">
        <v>17559</v>
      </c>
      <c r="G185" s="10" t="s">
        <v>24022</v>
      </c>
      <c r="H185" s="10" t="s">
        <v>939</v>
      </c>
      <c r="I185" s="10" t="s">
        <v>55</v>
      </c>
      <c r="J185" s="10" t="s">
        <v>3125</v>
      </c>
      <c r="K185" s="10" t="s">
        <v>24319</v>
      </c>
      <c r="L185" s="10" t="s">
        <v>42</v>
      </c>
    </row>
    <row r="186" ht="15.75" customHeight="1">
      <c r="A186" s="66">
        <v>45496.0</v>
      </c>
      <c r="B186" s="55" t="str">
        <f>HYPERLINK("https://jobright.ai/jobs/info/669fe2dc19e0afd8e7b17537?utm_campaign=1057&amp;utm_source=sheet", "Apply")</f>
        <v>Apply</v>
      </c>
      <c r="C186" s="10" t="s">
        <v>24320</v>
      </c>
      <c r="D186" s="56" t="s">
        <v>4448</v>
      </c>
      <c r="E186" s="10" t="s">
        <v>71</v>
      </c>
      <c r="F186" s="10" t="s">
        <v>4449</v>
      </c>
      <c r="G186" s="10" t="s">
        <v>24043</v>
      </c>
      <c r="H186" s="10" t="s">
        <v>628</v>
      </c>
      <c r="I186" s="10" t="s">
        <v>55</v>
      </c>
      <c r="K186" s="10" t="s">
        <v>4450</v>
      </c>
      <c r="L186" s="10" t="s">
        <v>42</v>
      </c>
    </row>
    <row r="187" ht="15.75" customHeight="1">
      <c r="A187" s="66">
        <v>45496.0</v>
      </c>
      <c r="B187" s="55" t="str">
        <f>HYPERLINK("https://jobright.ai/jobs/info/669fe59c765536cb60896884?utm_campaign=1057&amp;utm_source=sheet", "Apply")</f>
        <v>Apply</v>
      </c>
      <c r="C187" s="10" t="s">
        <v>24321</v>
      </c>
      <c r="D187" s="56" t="s">
        <v>24322</v>
      </c>
      <c r="E187" s="10" t="s">
        <v>249</v>
      </c>
      <c r="F187" s="10" t="s">
        <v>1234</v>
      </c>
      <c r="G187" s="10" t="s">
        <v>24022</v>
      </c>
      <c r="H187" s="10" t="s">
        <v>24323</v>
      </c>
      <c r="I187" s="10" t="s">
        <v>55</v>
      </c>
      <c r="J187" s="10" t="s">
        <v>15312</v>
      </c>
      <c r="K187" s="10" t="s">
        <v>24324</v>
      </c>
      <c r="L187" s="10" t="s">
        <v>42</v>
      </c>
    </row>
    <row r="188" ht="15.75" customHeight="1">
      <c r="A188" s="66">
        <v>45496.0</v>
      </c>
      <c r="B188" s="55" t="str">
        <f>HYPERLINK("https://jobright.ai/jobs/info/6672de656a9a1248b5ba18df?utm_campaign=1057&amp;utm_source=sheet", "Apply")</f>
        <v>Apply</v>
      </c>
      <c r="C188" s="10" t="s">
        <v>24325</v>
      </c>
      <c r="D188" s="56" t="s">
        <v>24326</v>
      </c>
      <c r="E188" s="10" t="s">
        <v>249</v>
      </c>
      <c r="F188" s="10" t="s">
        <v>2319</v>
      </c>
      <c r="G188" s="10" t="s">
        <v>24022</v>
      </c>
      <c r="H188" s="10" t="s">
        <v>921</v>
      </c>
      <c r="I188" s="10" t="s">
        <v>55</v>
      </c>
      <c r="K188" s="10" t="s">
        <v>24327</v>
      </c>
      <c r="L188" s="10" t="s">
        <v>42</v>
      </c>
    </row>
    <row r="189" ht="15.75" customHeight="1">
      <c r="A189" s="66">
        <v>45496.0</v>
      </c>
      <c r="B189" s="55" t="str">
        <f>HYPERLINK("https://jobright.ai/jobs/info/669fd5fe1c3220c20b9dde5b?utm_campaign=1057&amp;utm_source=sheet", "Apply")</f>
        <v>Apply</v>
      </c>
      <c r="C189" s="10" t="s">
        <v>24328</v>
      </c>
      <c r="D189" s="56" t="s">
        <v>24329</v>
      </c>
      <c r="E189" s="10" t="s">
        <v>45</v>
      </c>
      <c r="F189" s="10" t="s">
        <v>7044</v>
      </c>
      <c r="G189" s="10" t="s">
        <v>24031</v>
      </c>
      <c r="H189" s="10" t="s">
        <v>92</v>
      </c>
      <c r="I189" s="10" t="s">
        <v>55</v>
      </c>
      <c r="K189" s="10" t="s">
        <v>24330</v>
      </c>
      <c r="L189" s="10" t="s">
        <v>42</v>
      </c>
    </row>
    <row r="190" ht="15.75" customHeight="1">
      <c r="A190" s="66">
        <v>45496.0</v>
      </c>
      <c r="B190" s="55" t="str">
        <f>HYPERLINK("https://jobright.ai/jobs/info/66a3f5345fcbfa8457ce1a6b?utm_campaign=1057&amp;utm_source=sheet", "Apply")</f>
        <v>Apply</v>
      </c>
      <c r="C190" s="10" t="s">
        <v>24331</v>
      </c>
      <c r="D190" s="56" t="s">
        <v>4448</v>
      </c>
      <c r="E190" s="10" t="s">
        <v>71</v>
      </c>
      <c r="F190" s="10" t="s">
        <v>4449</v>
      </c>
      <c r="G190" s="10" t="s">
        <v>24043</v>
      </c>
      <c r="H190" s="10" t="s">
        <v>4452</v>
      </c>
      <c r="I190" s="10" t="s">
        <v>55</v>
      </c>
      <c r="K190" s="10" t="s">
        <v>4450</v>
      </c>
      <c r="L190" s="10" t="s">
        <v>42</v>
      </c>
    </row>
    <row r="191" ht="15.75" customHeight="1">
      <c r="A191" s="66">
        <v>45496.0</v>
      </c>
      <c r="B191" s="55" t="str">
        <f>HYPERLINK("https://jobright.ai/jobs/info/6682e336bcb975e888d217f4?utm_campaign=1057&amp;utm_source=sheet", "Apply")</f>
        <v>Apply</v>
      </c>
      <c r="C191" s="10" t="s">
        <v>24232</v>
      </c>
      <c r="D191" s="56" t="s">
        <v>20697</v>
      </c>
      <c r="E191" s="10" t="s">
        <v>209</v>
      </c>
      <c r="F191" s="10" t="s">
        <v>2617</v>
      </c>
      <c r="G191" s="10" t="s">
        <v>24043</v>
      </c>
      <c r="H191" s="10" t="s">
        <v>761</v>
      </c>
      <c r="I191" s="10" t="s">
        <v>55</v>
      </c>
      <c r="J191" s="10" t="s">
        <v>24234</v>
      </c>
      <c r="K191" s="10" t="s">
        <v>24235</v>
      </c>
      <c r="L191" s="10" t="s">
        <v>42</v>
      </c>
    </row>
    <row r="192" ht="15.75" customHeight="1">
      <c r="A192" s="66">
        <v>45496.0</v>
      </c>
      <c r="B192" s="55" t="str">
        <f>HYPERLINK("https://jobright.ai/jobs/info/6682f77922639d59203a130a?utm_campaign=1057&amp;utm_source=sheet", "Apply")</f>
        <v>Apply</v>
      </c>
      <c r="C192" s="10" t="s">
        <v>24232</v>
      </c>
      <c r="D192" s="56" t="s">
        <v>20697</v>
      </c>
      <c r="E192" s="10" t="s">
        <v>209</v>
      </c>
      <c r="F192" s="10" t="s">
        <v>2617</v>
      </c>
      <c r="G192" s="10" t="s">
        <v>24043</v>
      </c>
      <c r="H192" s="10" t="s">
        <v>616</v>
      </c>
      <c r="I192" s="10" t="s">
        <v>55</v>
      </c>
      <c r="J192" s="10" t="s">
        <v>24234</v>
      </c>
      <c r="K192" s="10" t="s">
        <v>24235</v>
      </c>
      <c r="L192" s="10" t="s">
        <v>42</v>
      </c>
    </row>
    <row r="193" ht="15.75" customHeight="1">
      <c r="A193" s="66">
        <v>45496.0</v>
      </c>
      <c r="B193" s="55" t="str">
        <f>HYPERLINK("https://jobright.ai/jobs/info/6682f16256317a36d1ad8c0a?utm_campaign=1057&amp;utm_source=sheet", "Apply")</f>
        <v>Apply</v>
      </c>
      <c r="C193" s="10" t="s">
        <v>24232</v>
      </c>
      <c r="D193" s="56" t="s">
        <v>20697</v>
      </c>
      <c r="E193" s="10" t="s">
        <v>209</v>
      </c>
      <c r="F193" s="10" t="s">
        <v>2617</v>
      </c>
      <c r="G193" s="10" t="s">
        <v>24043</v>
      </c>
      <c r="H193" s="10" t="s">
        <v>24332</v>
      </c>
      <c r="I193" s="10" t="s">
        <v>55</v>
      </c>
      <c r="J193" s="10" t="s">
        <v>24234</v>
      </c>
      <c r="K193" s="10" t="s">
        <v>24235</v>
      </c>
      <c r="L193" s="10" t="s">
        <v>42</v>
      </c>
    </row>
    <row r="194" ht="15.75" customHeight="1">
      <c r="A194" s="66">
        <v>45496.0</v>
      </c>
      <c r="B194" s="55" t="str">
        <f>HYPERLINK("https://jobright.ai/jobs/info/6682eec1d0cb3bcfb06e5031?utm_campaign=1057&amp;utm_source=sheet", "Apply")</f>
        <v>Apply</v>
      </c>
      <c r="C194" s="10" t="s">
        <v>24232</v>
      </c>
      <c r="D194" s="56" t="s">
        <v>20697</v>
      </c>
      <c r="E194" s="10" t="s">
        <v>209</v>
      </c>
      <c r="F194" s="10" t="s">
        <v>2617</v>
      </c>
      <c r="G194" s="10" t="s">
        <v>24043</v>
      </c>
      <c r="H194" s="10" t="s">
        <v>9890</v>
      </c>
      <c r="I194" s="10" t="s">
        <v>55</v>
      </c>
      <c r="J194" s="10" t="s">
        <v>24234</v>
      </c>
      <c r="K194" s="10" t="s">
        <v>24235</v>
      </c>
      <c r="L194" s="10" t="s">
        <v>42</v>
      </c>
    </row>
    <row r="195" ht="15.75" customHeight="1">
      <c r="A195" s="66">
        <v>45496.0</v>
      </c>
      <c r="B195" s="55" t="str">
        <f>HYPERLINK("https://jobright.ai/jobs/info/6682e336bcb975e888d217d5?utm_campaign=1057&amp;utm_source=sheet", "Apply")</f>
        <v>Apply</v>
      </c>
      <c r="C195" s="10" t="s">
        <v>24232</v>
      </c>
      <c r="D195" s="56" t="s">
        <v>20697</v>
      </c>
      <c r="E195" s="10" t="s">
        <v>209</v>
      </c>
      <c r="F195" s="10" t="s">
        <v>2617</v>
      </c>
      <c r="G195" s="10" t="s">
        <v>24043</v>
      </c>
      <c r="H195" s="10" t="s">
        <v>16444</v>
      </c>
      <c r="I195" s="10" t="s">
        <v>55</v>
      </c>
      <c r="J195" s="10" t="s">
        <v>24234</v>
      </c>
      <c r="K195" s="10" t="s">
        <v>24235</v>
      </c>
      <c r="L195" s="10" t="s">
        <v>42</v>
      </c>
    </row>
    <row r="196" ht="15.75" customHeight="1">
      <c r="A196" s="66">
        <v>45496.0</v>
      </c>
      <c r="B196" s="55" t="str">
        <f>HYPERLINK("https://jobright.ai/jobs/info/6682f16256317a36d1ad8c0b?utm_campaign=1057&amp;utm_source=sheet", "Apply")</f>
        <v>Apply</v>
      </c>
      <c r="C196" s="10" t="s">
        <v>24232</v>
      </c>
      <c r="D196" s="56" t="s">
        <v>20697</v>
      </c>
      <c r="E196" s="10" t="s">
        <v>209</v>
      </c>
      <c r="F196" s="10" t="s">
        <v>2617</v>
      </c>
      <c r="G196" s="10" t="s">
        <v>24043</v>
      </c>
      <c r="H196" s="10" t="s">
        <v>113</v>
      </c>
      <c r="I196" s="10" t="s">
        <v>55</v>
      </c>
      <c r="J196" s="10" t="s">
        <v>24234</v>
      </c>
      <c r="K196" s="10" t="s">
        <v>24235</v>
      </c>
      <c r="L196" s="10" t="s">
        <v>42</v>
      </c>
    </row>
    <row r="197" ht="15.75" customHeight="1">
      <c r="A197" s="66">
        <v>45496.0</v>
      </c>
      <c r="B197" s="55" t="str">
        <f>HYPERLINK("https://jobright.ai/jobs/info/6682e336bcb975e888d217f7?utm_campaign=1057&amp;utm_source=sheet", "Apply")</f>
        <v>Apply</v>
      </c>
      <c r="C197" s="10" t="s">
        <v>24232</v>
      </c>
      <c r="D197" s="56" t="s">
        <v>20697</v>
      </c>
      <c r="E197" s="10" t="s">
        <v>209</v>
      </c>
      <c r="F197" s="10" t="s">
        <v>2617</v>
      </c>
      <c r="G197" s="10" t="s">
        <v>24043</v>
      </c>
      <c r="H197" s="10" t="s">
        <v>1303</v>
      </c>
      <c r="I197" s="10" t="s">
        <v>55</v>
      </c>
      <c r="J197" s="10" t="s">
        <v>24234</v>
      </c>
      <c r="K197" s="10" t="s">
        <v>24235</v>
      </c>
      <c r="L197" s="10" t="s">
        <v>42</v>
      </c>
    </row>
    <row r="198" ht="15.75" customHeight="1">
      <c r="A198" s="66">
        <v>45496.0</v>
      </c>
      <c r="B198" s="55" t="str">
        <f>HYPERLINK("https://jobright.ai/jobs/info/6683444a8264d4aa18e99434?utm_campaign=1057&amp;utm_source=sheet", "Apply")</f>
        <v>Apply</v>
      </c>
      <c r="C198" s="10" t="s">
        <v>24232</v>
      </c>
      <c r="D198" s="56" t="s">
        <v>20697</v>
      </c>
      <c r="E198" s="10" t="s">
        <v>209</v>
      </c>
      <c r="F198" s="10" t="s">
        <v>2617</v>
      </c>
      <c r="G198" s="10" t="s">
        <v>24043</v>
      </c>
      <c r="H198" s="10" t="s">
        <v>9605</v>
      </c>
      <c r="I198" s="10" t="s">
        <v>55</v>
      </c>
      <c r="J198" s="10" t="s">
        <v>24234</v>
      </c>
      <c r="K198" s="10" t="s">
        <v>24235</v>
      </c>
      <c r="L198" s="10" t="s">
        <v>42</v>
      </c>
    </row>
    <row r="199" ht="15.75" customHeight="1">
      <c r="A199" s="66">
        <v>45496.0</v>
      </c>
      <c r="B199" s="55" t="str">
        <f>HYPERLINK("https://jobright.ai/jobs/info/6671ac54a068d83e65cbbdfe?utm_campaign=1057&amp;utm_source=sheet", "Apply")</f>
        <v>Apply</v>
      </c>
      <c r="C199" s="10" t="s">
        <v>24333</v>
      </c>
      <c r="D199" s="56" t="s">
        <v>17691</v>
      </c>
      <c r="E199" s="10" t="s">
        <v>276</v>
      </c>
      <c r="F199" s="10" t="s">
        <v>17692</v>
      </c>
      <c r="G199" s="10" t="s">
        <v>24043</v>
      </c>
      <c r="H199" s="10" t="s">
        <v>159</v>
      </c>
      <c r="I199" s="10" t="s">
        <v>55</v>
      </c>
      <c r="K199" s="10" t="s">
        <v>24334</v>
      </c>
      <c r="L199" s="10" t="s">
        <v>42</v>
      </c>
    </row>
    <row r="200" ht="15.75" customHeight="1">
      <c r="A200" s="66">
        <v>45496.0</v>
      </c>
      <c r="B200" s="55" t="str">
        <f>HYPERLINK("https://jobright.ai/jobs/info/6682f16256317a36d1ad8c09?utm_campaign=1057&amp;utm_source=sheet", "Apply")</f>
        <v>Apply</v>
      </c>
      <c r="C200" s="10" t="s">
        <v>24232</v>
      </c>
      <c r="D200" s="56" t="s">
        <v>20697</v>
      </c>
      <c r="E200" s="10" t="s">
        <v>209</v>
      </c>
      <c r="F200" s="10" t="s">
        <v>2617</v>
      </c>
      <c r="G200" s="10" t="s">
        <v>24043</v>
      </c>
      <c r="H200" s="10" t="s">
        <v>434</v>
      </c>
      <c r="I200" s="10" t="s">
        <v>55</v>
      </c>
      <c r="J200" s="10" t="s">
        <v>24234</v>
      </c>
      <c r="K200" s="10" t="s">
        <v>24235</v>
      </c>
      <c r="L200" s="10" t="s">
        <v>42</v>
      </c>
    </row>
    <row r="201" ht="15.75" customHeight="1">
      <c r="A201" s="66">
        <v>45496.0</v>
      </c>
      <c r="B201" s="55" t="str">
        <f>HYPERLINK("https://jobright.ai/jobs/info/667191b341fc2f1363fdf828?utm_campaign=1057&amp;utm_source=sheet", "Apply")</f>
        <v>Apply</v>
      </c>
      <c r="C201" s="10" t="s">
        <v>24335</v>
      </c>
      <c r="D201" s="56" t="s">
        <v>17691</v>
      </c>
      <c r="E201" s="10" t="s">
        <v>276</v>
      </c>
      <c r="F201" s="10" t="s">
        <v>17692</v>
      </c>
      <c r="G201" s="10" t="s">
        <v>24022</v>
      </c>
      <c r="H201" s="10" t="s">
        <v>832</v>
      </c>
      <c r="I201" s="10" t="s">
        <v>55</v>
      </c>
      <c r="K201" s="10" t="s">
        <v>17700</v>
      </c>
      <c r="L201" s="10" t="s">
        <v>42</v>
      </c>
    </row>
    <row r="202" ht="15.75" customHeight="1">
      <c r="A202" s="66">
        <v>45496.0</v>
      </c>
      <c r="B202" s="55" t="str">
        <f>HYPERLINK("https://jobright.ai/jobs/info/6671ec22edd59a6c2956c3a1?utm_campaign=1057&amp;utm_source=sheet", "Apply")</f>
        <v>Apply</v>
      </c>
      <c r="C202" s="10" t="s">
        <v>24336</v>
      </c>
      <c r="D202" s="56" t="s">
        <v>17691</v>
      </c>
      <c r="E202" s="10" t="s">
        <v>276</v>
      </c>
      <c r="F202" s="10" t="s">
        <v>17692</v>
      </c>
      <c r="G202" s="10" t="s">
        <v>24043</v>
      </c>
      <c r="H202" s="10" t="s">
        <v>894</v>
      </c>
      <c r="I202" s="10" t="s">
        <v>55</v>
      </c>
      <c r="K202" s="10" t="s">
        <v>24334</v>
      </c>
      <c r="L202" s="10" t="s">
        <v>42</v>
      </c>
    </row>
    <row r="203" ht="15.75" customHeight="1">
      <c r="A203" s="66">
        <v>45496.0</v>
      </c>
      <c r="B203" s="55" t="str">
        <f>HYPERLINK("https://jobright.ai/jobs/info/668556cd130fa6d241d79cca?utm_campaign=1057&amp;utm_source=sheet", "Apply")</f>
        <v>Apply</v>
      </c>
      <c r="C203" s="10" t="s">
        <v>24253</v>
      </c>
      <c r="D203" s="56" t="s">
        <v>21452</v>
      </c>
      <c r="E203" s="10" t="s">
        <v>45</v>
      </c>
      <c r="F203" s="10" t="s">
        <v>2409</v>
      </c>
      <c r="G203" s="10" t="s">
        <v>24043</v>
      </c>
      <c r="H203" s="10" t="s">
        <v>24254</v>
      </c>
      <c r="I203" s="10" t="s">
        <v>55</v>
      </c>
      <c r="K203" s="10" t="s">
        <v>24255</v>
      </c>
      <c r="L203" s="10" t="s">
        <v>42</v>
      </c>
    </row>
    <row r="204" ht="15.75" customHeight="1">
      <c r="A204" s="66">
        <v>45496.0</v>
      </c>
      <c r="B204" s="55" t="str">
        <f>HYPERLINK("https://jobright.ai/jobs/info/669fa2ac0978d429047d3a7a?utm_campaign=1057&amp;utm_source=sheet", "Apply")</f>
        <v>Apply</v>
      </c>
      <c r="C204" s="10" t="s">
        <v>24337</v>
      </c>
      <c r="D204" s="56" t="s">
        <v>4448</v>
      </c>
      <c r="E204" s="10" t="s">
        <v>71</v>
      </c>
      <c r="F204" s="10" t="s">
        <v>4449</v>
      </c>
      <c r="G204" s="10" t="s">
        <v>24043</v>
      </c>
      <c r="H204" s="10" t="s">
        <v>24338</v>
      </c>
      <c r="I204" s="10" t="s">
        <v>55</v>
      </c>
      <c r="K204" s="10" t="s">
        <v>4450</v>
      </c>
      <c r="L204" s="10" t="s">
        <v>42</v>
      </c>
    </row>
    <row r="205" ht="15.75" customHeight="1">
      <c r="A205" s="66">
        <v>45496.0</v>
      </c>
      <c r="B205" s="55" t="str">
        <f>HYPERLINK("https://jobright.ai/jobs/info/66a1badd91191f45df57dd14?utm_campaign=1057&amp;utm_source=sheet", "Apply")</f>
        <v>Apply</v>
      </c>
      <c r="C205" s="10" t="s">
        <v>24339</v>
      </c>
      <c r="D205" s="56" t="s">
        <v>24340</v>
      </c>
      <c r="E205" s="10" t="s">
        <v>79</v>
      </c>
      <c r="F205" s="10" t="s">
        <v>4323</v>
      </c>
      <c r="G205" s="10" t="s">
        <v>24022</v>
      </c>
      <c r="H205" s="10" t="s">
        <v>24341</v>
      </c>
      <c r="I205" s="10" t="s">
        <v>55</v>
      </c>
      <c r="J205" s="10" t="s">
        <v>24342</v>
      </c>
      <c r="K205" s="10" t="s">
        <v>24343</v>
      </c>
      <c r="L205" s="10" t="s">
        <v>42</v>
      </c>
    </row>
    <row r="206" ht="15.75" customHeight="1">
      <c r="A206" s="66">
        <v>45496.0</v>
      </c>
      <c r="B206" s="55" t="str">
        <f>HYPERLINK("https://jobright.ai/jobs/info/669fd6071c3220c20b9ddf25?utm_campaign=1057&amp;utm_source=sheet", "Apply")</f>
        <v>Apply</v>
      </c>
      <c r="C206" s="10" t="s">
        <v>24344</v>
      </c>
      <c r="D206" s="56" t="s">
        <v>2189</v>
      </c>
      <c r="F206" s="10" t="s">
        <v>1234</v>
      </c>
      <c r="G206" s="10" t="s">
        <v>24022</v>
      </c>
      <c r="H206" s="10" t="s">
        <v>1013</v>
      </c>
      <c r="I206" s="10" t="s">
        <v>55</v>
      </c>
      <c r="K206" s="10" t="s">
        <v>24345</v>
      </c>
      <c r="L206" s="10" t="s">
        <v>42</v>
      </c>
    </row>
    <row r="207" ht="15.75" customHeight="1">
      <c r="A207" s="66">
        <v>45496.0</v>
      </c>
      <c r="B207" s="55" t="str">
        <f>HYPERLINK("https://jobright.ai/jobs/info/66a02aae83fe12fc9f1d482e?utm_campaign=1057&amp;utm_source=sheet", "Apply")</f>
        <v>Apply</v>
      </c>
      <c r="C207" s="10" t="s">
        <v>24346</v>
      </c>
      <c r="D207" s="56" t="s">
        <v>24347</v>
      </c>
      <c r="E207" s="10" t="s">
        <v>45</v>
      </c>
      <c r="F207" s="10" t="s">
        <v>1266</v>
      </c>
      <c r="G207" s="10" t="s">
        <v>24043</v>
      </c>
      <c r="H207" s="10" t="s">
        <v>872</v>
      </c>
      <c r="I207" s="10" t="s">
        <v>55</v>
      </c>
      <c r="K207" s="10" t="s">
        <v>24348</v>
      </c>
      <c r="L207" s="10" t="s">
        <v>42</v>
      </c>
    </row>
    <row r="208" ht="15.75" customHeight="1">
      <c r="A208" s="66">
        <v>45496.0</v>
      </c>
      <c r="B208" s="55" t="str">
        <f>HYPERLINK("https://jobright.ai/jobs/info/669ff0c347af768066e6399b?utm_campaign=1057&amp;utm_source=sheet", "Apply")</f>
        <v>Apply</v>
      </c>
      <c r="C208" s="10" t="s">
        <v>24247</v>
      </c>
      <c r="D208" s="56" t="s">
        <v>24248</v>
      </c>
      <c r="E208" s="10" t="s">
        <v>45</v>
      </c>
      <c r="F208" s="10" t="s">
        <v>24249</v>
      </c>
      <c r="G208" s="10" t="s">
        <v>24043</v>
      </c>
      <c r="H208" s="10" t="s">
        <v>19084</v>
      </c>
      <c r="I208" s="10" t="s">
        <v>55</v>
      </c>
      <c r="K208" s="10" t="s">
        <v>24250</v>
      </c>
      <c r="L208" s="10" t="s">
        <v>42</v>
      </c>
    </row>
    <row r="209" ht="15.75" customHeight="1">
      <c r="A209" s="66">
        <v>45496.0</v>
      </c>
      <c r="B209" s="55" t="str">
        <f>HYPERLINK("https://jobright.ai/jobs/info/66a0346739a3ff52f9a7d3c9?utm_campaign=1057&amp;utm_source=sheet", "Apply")</f>
        <v>Apply</v>
      </c>
      <c r="C209" s="10" t="s">
        <v>24349</v>
      </c>
      <c r="D209" s="56" t="s">
        <v>5557</v>
      </c>
      <c r="E209" s="10">
        <v>4008.0</v>
      </c>
      <c r="G209" s="10" t="s">
        <v>24022</v>
      </c>
      <c r="H209" s="10" t="s">
        <v>661</v>
      </c>
      <c r="I209" s="10" t="s">
        <v>55</v>
      </c>
      <c r="K209" s="10" t="s">
        <v>24350</v>
      </c>
      <c r="L209" s="10" t="s">
        <v>42</v>
      </c>
    </row>
    <row r="210" ht="15.75" customHeight="1">
      <c r="A210" s="66">
        <v>45496.0</v>
      </c>
      <c r="B210" s="55" t="str">
        <f>HYPERLINK("https://jobright.ai/jobs/info/669f9ae16b4d6a584080fbc0?utm_campaign=1057&amp;utm_source=sheet", "Apply")</f>
        <v>Apply</v>
      </c>
      <c r="C210" s="10" t="s">
        <v>24351</v>
      </c>
      <c r="D210" s="56" t="s">
        <v>24352</v>
      </c>
      <c r="E210" s="10" t="s">
        <v>71</v>
      </c>
      <c r="F210" s="10" t="s">
        <v>20076</v>
      </c>
      <c r="G210" s="10" t="s">
        <v>24031</v>
      </c>
      <c r="H210" s="10" t="s">
        <v>966</v>
      </c>
      <c r="I210" s="10" t="s">
        <v>55</v>
      </c>
      <c r="J210" s="10" t="s">
        <v>18433</v>
      </c>
      <c r="K210" s="10" t="s">
        <v>24353</v>
      </c>
      <c r="L210" s="10" t="s">
        <v>42</v>
      </c>
    </row>
    <row r="211" ht="15.75" customHeight="1">
      <c r="A211" s="66">
        <v>45496.0</v>
      </c>
      <c r="B211" s="55" t="str">
        <f>HYPERLINK("https://jobright.ai/jobs/info/669ff5fa61ec93789be646b2?utm_campaign=1057&amp;utm_source=sheet", "Apply")</f>
        <v>Apply</v>
      </c>
      <c r="C211" s="10" t="s">
        <v>24354</v>
      </c>
      <c r="D211" s="56" t="s">
        <v>24248</v>
      </c>
      <c r="E211" s="10" t="s">
        <v>45</v>
      </c>
      <c r="F211" s="10" t="s">
        <v>24249</v>
      </c>
      <c r="G211" s="10" t="s">
        <v>24043</v>
      </c>
      <c r="H211" s="10" t="s">
        <v>24355</v>
      </c>
      <c r="I211" s="10" t="s">
        <v>55</v>
      </c>
      <c r="K211" s="10" t="s">
        <v>24250</v>
      </c>
      <c r="L211" s="10" t="s">
        <v>42</v>
      </c>
    </row>
    <row r="212" ht="15.75" customHeight="1">
      <c r="A212" s="66">
        <v>45495.0</v>
      </c>
      <c r="B212" s="55" t="str">
        <f>HYPERLINK("https://jobright.ai/jobs/info/669f013817d5dad297a567bf?utm_campaign=1057&amp;utm_source=sheet", "Apply")</f>
        <v>Apply</v>
      </c>
      <c r="C212" s="10" t="s">
        <v>24356</v>
      </c>
      <c r="D212" s="56" t="s">
        <v>1636</v>
      </c>
      <c r="E212" s="10">
        <v>6029.0</v>
      </c>
      <c r="G212" s="10" t="s">
        <v>24031</v>
      </c>
      <c r="H212" s="10" t="s">
        <v>170</v>
      </c>
      <c r="I212" s="10" t="s">
        <v>55</v>
      </c>
      <c r="J212" s="10" t="s">
        <v>24357</v>
      </c>
      <c r="K212" s="10" t="s">
        <v>24358</v>
      </c>
      <c r="L212" s="10" t="s">
        <v>42</v>
      </c>
    </row>
    <row r="213" ht="15.75" customHeight="1">
      <c r="A213" s="66">
        <v>45495.0</v>
      </c>
      <c r="B213" s="55" t="str">
        <f>HYPERLINK("https://jobright.ai/jobs/info/669efd52f7a71fbcbfb4ebef?utm_campaign=1057&amp;utm_source=sheet", "Apply")</f>
        <v>Apply</v>
      </c>
      <c r="C213" s="10" t="s">
        <v>24359</v>
      </c>
      <c r="D213" s="56" t="s">
        <v>1636</v>
      </c>
      <c r="E213" s="10">
        <v>6029.0</v>
      </c>
      <c r="G213" s="10" t="s">
        <v>24022</v>
      </c>
      <c r="H213" s="10" t="s">
        <v>170</v>
      </c>
      <c r="I213" s="10" t="s">
        <v>55</v>
      </c>
      <c r="J213" s="10" t="s">
        <v>2127</v>
      </c>
      <c r="K213" s="10" t="s">
        <v>24360</v>
      </c>
      <c r="L213" s="10" t="s">
        <v>42</v>
      </c>
    </row>
    <row r="214" ht="15.75" customHeight="1">
      <c r="A214" s="66">
        <v>45495.0</v>
      </c>
      <c r="B214" s="55" t="str">
        <f>HYPERLINK("https://jobright.ai/jobs/info/669efd52f7a71fbcbfb4ec17?utm_campaign=1057&amp;utm_source=sheet", "Apply")</f>
        <v>Apply</v>
      </c>
      <c r="C214" s="10" t="s">
        <v>24361</v>
      </c>
      <c r="D214" s="56" t="s">
        <v>24362</v>
      </c>
      <c r="E214" s="10">
        <v>1920.0</v>
      </c>
      <c r="G214" s="10" t="s">
        <v>24022</v>
      </c>
      <c r="H214" s="10" t="s">
        <v>24363</v>
      </c>
      <c r="I214" s="10" t="s">
        <v>55</v>
      </c>
      <c r="L214" s="10" t="s">
        <v>42</v>
      </c>
    </row>
    <row r="215" ht="15.75" customHeight="1">
      <c r="A215" s="66">
        <v>45495.0</v>
      </c>
      <c r="B215" s="55" t="str">
        <f>HYPERLINK("https://jobright.ai/jobs/info/6697197018798443c42ae91a?utm_campaign=1057&amp;utm_source=sheet", "Apply")</f>
        <v>Apply</v>
      </c>
      <c r="C215" s="10" t="s">
        <v>24364</v>
      </c>
      <c r="D215" s="56" t="s">
        <v>17717</v>
      </c>
      <c r="E215" s="10" t="s">
        <v>45</v>
      </c>
      <c r="F215" s="10" t="s">
        <v>4000</v>
      </c>
      <c r="G215" s="10" t="s">
        <v>24043</v>
      </c>
      <c r="H215" s="10" t="s">
        <v>434</v>
      </c>
      <c r="I215" s="10" t="s">
        <v>48</v>
      </c>
      <c r="J215" s="10" t="s">
        <v>17718</v>
      </c>
      <c r="K215" s="10" t="s">
        <v>24365</v>
      </c>
      <c r="L215" s="10" t="s">
        <v>42</v>
      </c>
    </row>
    <row r="216" ht="15.75" customHeight="1">
      <c r="A216" s="66">
        <v>45495.0</v>
      </c>
      <c r="B216" s="55" t="str">
        <f>HYPERLINK("https://jobright.ai/jobs/info/669eead92ce73e6a5bc882cd?utm_campaign=1057&amp;utm_source=sheet", "Apply")</f>
        <v>Apply</v>
      </c>
      <c r="C216" s="10" t="s">
        <v>24366</v>
      </c>
      <c r="D216" s="56" t="s">
        <v>1780</v>
      </c>
      <c r="E216" s="10" t="s">
        <v>45</v>
      </c>
      <c r="F216" s="10" t="s">
        <v>1781</v>
      </c>
      <c r="G216" s="10" t="s">
        <v>24043</v>
      </c>
      <c r="H216" s="10" t="s">
        <v>153</v>
      </c>
      <c r="I216" s="10" t="s">
        <v>55</v>
      </c>
      <c r="K216" s="10" t="s">
        <v>24367</v>
      </c>
      <c r="L216" s="10" t="s">
        <v>42</v>
      </c>
    </row>
    <row r="217" ht="15.75" customHeight="1">
      <c r="A217" s="66">
        <v>45495.0</v>
      </c>
      <c r="B217" s="55" t="str">
        <f>HYPERLINK("https://jobright.ai/jobs/info/669f3656ca4aaf7ea9d2c134?utm_campaign=1057&amp;utm_source=sheet", "Apply")</f>
        <v>Apply</v>
      </c>
      <c r="C217" s="10" t="s">
        <v>20987</v>
      </c>
      <c r="D217" s="56" t="s">
        <v>4448</v>
      </c>
      <c r="E217" s="10" t="s">
        <v>71</v>
      </c>
      <c r="F217" s="10" t="s">
        <v>4449</v>
      </c>
      <c r="G217" s="10" t="s">
        <v>24043</v>
      </c>
      <c r="H217" s="10" t="s">
        <v>4455</v>
      </c>
      <c r="I217" s="10" t="s">
        <v>55</v>
      </c>
      <c r="K217" s="10" t="s">
        <v>4450</v>
      </c>
      <c r="L217" s="10" t="s">
        <v>42</v>
      </c>
    </row>
    <row r="218" ht="15.75" customHeight="1">
      <c r="A218" s="66">
        <v>45495.0</v>
      </c>
      <c r="B218" s="55" t="str">
        <f>HYPERLINK("https://jobright.ai/jobs/info/669f364dca4aaf7ea9d2c022?utm_campaign=1057&amp;utm_source=sheet", "Apply")</f>
        <v>Apply</v>
      </c>
      <c r="C218" s="10" t="s">
        <v>24368</v>
      </c>
      <c r="D218" s="56" t="s">
        <v>4448</v>
      </c>
      <c r="E218" s="10" t="s">
        <v>71</v>
      </c>
      <c r="F218" s="10" t="s">
        <v>4449</v>
      </c>
      <c r="G218" s="10" t="s">
        <v>24043</v>
      </c>
      <c r="H218" s="10" t="s">
        <v>21482</v>
      </c>
      <c r="I218" s="10" t="s">
        <v>55</v>
      </c>
      <c r="K218" s="10" t="s">
        <v>24062</v>
      </c>
      <c r="L218" s="10" t="s">
        <v>42</v>
      </c>
    </row>
    <row r="219" ht="15.75" customHeight="1">
      <c r="A219" s="66">
        <v>45495.0</v>
      </c>
      <c r="B219" s="55" t="str">
        <f>HYPERLINK("https://jobright.ai/jobs/info/669f3656ca4aaf7ea9d2c133?utm_campaign=1057&amp;utm_source=sheet", "Apply")</f>
        <v>Apply</v>
      </c>
      <c r="C219" s="10" t="s">
        <v>24369</v>
      </c>
      <c r="D219" s="56" t="s">
        <v>4448</v>
      </c>
      <c r="E219" s="10" t="s">
        <v>71</v>
      </c>
      <c r="F219" s="10" t="s">
        <v>4449</v>
      </c>
      <c r="G219" s="10" t="s">
        <v>24043</v>
      </c>
      <c r="H219" s="10" t="s">
        <v>24370</v>
      </c>
      <c r="I219" s="10" t="s">
        <v>55</v>
      </c>
      <c r="K219" s="10" t="s">
        <v>24062</v>
      </c>
      <c r="L219" s="10" t="s">
        <v>42</v>
      </c>
    </row>
    <row r="220" ht="15.75" customHeight="1">
      <c r="A220" s="66">
        <v>45495.0</v>
      </c>
      <c r="B220" s="55" t="str">
        <f>HYPERLINK("https://jobright.ai/jobs/info/669f3656ca4aaf7ea9d2c139?utm_campaign=1057&amp;utm_source=sheet", "Apply")</f>
        <v>Apply</v>
      </c>
      <c r="C220" s="10" t="s">
        <v>24155</v>
      </c>
      <c r="D220" s="56" t="s">
        <v>4448</v>
      </c>
      <c r="E220" s="10" t="s">
        <v>71</v>
      </c>
      <c r="F220" s="10" t="s">
        <v>4449</v>
      </c>
      <c r="G220" s="10" t="s">
        <v>24043</v>
      </c>
      <c r="H220" s="10" t="s">
        <v>4455</v>
      </c>
      <c r="I220" s="10" t="s">
        <v>55</v>
      </c>
      <c r="K220" s="10" t="s">
        <v>24062</v>
      </c>
      <c r="L220" s="10" t="s">
        <v>42</v>
      </c>
    </row>
    <row r="221" ht="15.75" customHeight="1">
      <c r="A221" s="66">
        <v>45495.0</v>
      </c>
      <c r="B221" s="55" t="str">
        <f>HYPERLINK("https://jobright.ai/jobs/info/66998b0a31dfa4ce41feef4b?utm_campaign=1057&amp;utm_source=sheet", "Apply")</f>
        <v>Apply</v>
      </c>
      <c r="C221" s="10" t="s">
        <v>24371</v>
      </c>
      <c r="D221" s="56" t="s">
        <v>1650</v>
      </c>
      <c r="E221" s="10" t="s">
        <v>209</v>
      </c>
      <c r="F221" s="10" t="s">
        <v>1243</v>
      </c>
      <c r="G221" s="10" t="s">
        <v>24043</v>
      </c>
      <c r="H221" s="10" t="s">
        <v>896</v>
      </c>
      <c r="I221" s="10" t="s">
        <v>55</v>
      </c>
      <c r="K221" s="10" t="s">
        <v>24372</v>
      </c>
      <c r="L221" s="10" t="s">
        <v>42</v>
      </c>
    </row>
    <row r="222" ht="15.75" customHeight="1">
      <c r="A222" s="66">
        <v>45495.0</v>
      </c>
      <c r="B222" s="55" t="str">
        <f>HYPERLINK("https://jobright.ai/jobs/info/669e86b0a3fc12b6b92cf74e?utm_campaign=1057&amp;utm_source=sheet", "Apply")</f>
        <v>Apply</v>
      </c>
      <c r="C222" s="10" t="s">
        <v>24373</v>
      </c>
      <c r="D222" s="56" t="s">
        <v>9567</v>
      </c>
      <c r="E222" s="10" t="s">
        <v>45</v>
      </c>
      <c r="F222" s="10" t="s">
        <v>9568</v>
      </c>
      <c r="G222" s="10" t="s">
        <v>24043</v>
      </c>
      <c r="H222" s="10" t="s">
        <v>799</v>
      </c>
      <c r="I222" s="10" t="s">
        <v>55</v>
      </c>
      <c r="L222" s="10" t="s">
        <v>42</v>
      </c>
    </row>
    <row r="223" ht="15.75" customHeight="1">
      <c r="A223" s="66">
        <v>45495.0</v>
      </c>
      <c r="B223" s="55" t="str">
        <f>HYPERLINK("https://jobright.ai/jobs/info/669f9b206b4d6a5840810161?utm_campaign=1057&amp;utm_source=sheet", "Apply")</f>
        <v>Apply</v>
      </c>
      <c r="C223" s="10" t="s">
        <v>24374</v>
      </c>
      <c r="D223" s="56" t="s">
        <v>4448</v>
      </c>
      <c r="E223" s="10" t="s">
        <v>71</v>
      </c>
      <c r="F223" s="10" t="s">
        <v>4449</v>
      </c>
      <c r="G223" s="10" t="s">
        <v>24043</v>
      </c>
      <c r="H223" s="10" t="s">
        <v>628</v>
      </c>
      <c r="I223" s="10" t="s">
        <v>55</v>
      </c>
      <c r="K223" s="10" t="s">
        <v>4450</v>
      </c>
      <c r="L223" s="10" t="s">
        <v>42</v>
      </c>
    </row>
    <row r="224" ht="15.75" customHeight="1">
      <c r="A224" s="66">
        <v>45495.0</v>
      </c>
      <c r="B224" s="55" t="str">
        <f>HYPERLINK("https://jobright.ai/jobs/info/669e86b0a3fc12b6b92cf7aa?utm_campaign=1057&amp;utm_source=sheet", "Apply")</f>
        <v>Apply</v>
      </c>
      <c r="C224" s="10" t="s">
        <v>24373</v>
      </c>
      <c r="D224" s="56" t="s">
        <v>9567</v>
      </c>
      <c r="E224" s="10" t="s">
        <v>45</v>
      </c>
      <c r="F224" s="10" t="s">
        <v>9568</v>
      </c>
      <c r="G224" s="10" t="s">
        <v>24043</v>
      </c>
      <c r="H224" s="10" t="s">
        <v>144</v>
      </c>
      <c r="I224" s="10" t="s">
        <v>55</v>
      </c>
      <c r="L224" s="10" t="s">
        <v>42</v>
      </c>
    </row>
    <row r="225" ht="15.75" customHeight="1">
      <c r="A225" s="66">
        <v>45495.0</v>
      </c>
      <c r="B225" s="55" t="str">
        <f>HYPERLINK("https://jobright.ai/jobs/info/669e86b0a3fc12b6b92cf7ab?utm_campaign=1057&amp;utm_source=sheet", "Apply")</f>
        <v>Apply</v>
      </c>
      <c r="C225" s="10" t="s">
        <v>24373</v>
      </c>
      <c r="D225" s="56" t="s">
        <v>9567</v>
      </c>
      <c r="E225" s="10" t="s">
        <v>45</v>
      </c>
      <c r="F225" s="10" t="s">
        <v>9568</v>
      </c>
      <c r="G225" s="10" t="s">
        <v>24043</v>
      </c>
      <c r="H225" s="10" t="s">
        <v>153</v>
      </c>
      <c r="I225" s="10" t="s">
        <v>55</v>
      </c>
      <c r="L225" s="10" t="s">
        <v>42</v>
      </c>
    </row>
    <row r="226" ht="15.75" customHeight="1">
      <c r="A226" s="66">
        <v>45495.0</v>
      </c>
      <c r="B226" s="55" t="str">
        <f>HYPERLINK("https://jobright.ai/jobs/info/669e86b0a3fc12b6b92cf7ac?utm_campaign=1057&amp;utm_source=sheet", "Apply")</f>
        <v>Apply</v>
      </c>
      <c r="C226" s="10" t="s">
        <v>24373</v>
      </c>
      <c r="D226" s="56" t="s">
        <v>9567</v>
      </c>
      <c r="E226" s="10" t="s">
        <v>45</v>
      </c>
      <c r="F226" s="10" t="s">
        <v>9568</v>
      </c>
      <c r="G226" s="10" t="s">
        <v>24043</v>
      </c>
      <c r="H226" s="10" t="s">
        <v>3674</v>
      </c>
      <c r="I226" s="10" t="s">
        <v>55</v>
      </c>
      <c r="L226" s="10" t="s">
        <v>42</v>
      </c>
    </row>
    <row r="227" ht="15.75" customHeight="1">
      <c r="A227" s="66">
        <v>45495.0</v>
      </c>
      <c r="B227" s="55" t="str">
        <f>HYPERLINK("https://jobright.ai/jobs/info/669fa8aeef9053e1471db558?utm_campaign=1057&amp;utm_source=sheet", "Apply")</f>
        <v>Apply</v>
      </c>
      <c r="C227" s="10" t="s">
        <v>24375</v>
      </c>
      <c r="D227" s="56" t="s">
        <v>4448</v>
      </c>
      <c r="E227" s="10" t="s">
        <v>71</v>
      </c>
      <c r="F227" s="10" t="s">
        <v>4449</v>
      </c>
      <c r="G227" s="10" t="s">
        <v>24043</v>
      </c>
      <c r="H227" s="10" t="s">
        <v>628</v>
      </c>
      <c r="I227" s="10" t="s">
        <v>55</v>
      </c>
      <c r="K227" s="10" t="s">
        <v>24062</v>
      </c>
      <c r="L227" s="10" t="s">
        <v>42</v>
      </c>
    </row>
    <row r="228" ht="15.75" customHeight="1">
      <c r="A228" s="66">
        <v>45495.0</v>
      </c>
      <c r="B228" s="55" t="str">
        <f>HYPERLINK("https://jobright.ai/jobs/info/669f52c0456ff790d403f590?utm_campaign=1057&amp;utm_source=sheet", "Apply")</f>
        <v>Apply</v>
      </c>
      <c r="C228" s="10" t="s">
        <v>4454</v>
      </c>
      <c r="D228" s="56" t="s">
        <v>4448</v>
      </c>
      <c r="E228" s="10" t="s">
        <v>71</v>
      </c>
      <c r="F228" s="10" t="s">
        <v>4449</v>
      </c>
      <c r="G228" s="10" t="s">
        <v>24043</v>
      </c>
      <c r="H228" s="10" t="s">
        <v>628</v>
      </c>
      <c r="I228" s="10" t="s">
        <v>55</v>
      </c>
      <c r="K228" s="10" t="s">
        <v>4450</v>
      </c>
      <c r="L228" s="10" t="s">
        <v>42</v>
      </c>
    </row>
    <row r="229" ht="15.75" customHeight="1">
      <c r="A229" s="66">
        <v>45495.0</v>
      </c>
      <c r="B229" s="55" t="str">
        <f>HYPERLINK("https://jobright.ai/jobs/info/669e8cd70a6fdfaac9d5db14?utm_campaign=1057&amp;utm_source=sheet", "Apply")</f>
        <v>Apply</v>
      </c>
      <c r="C229" s="10" t="s">
        <v>24376</v>
      </c>
      <c r="D229" s="56" t="s">
        <v>24377</v>
      </c>
      <c r="E229" s="10" t="s">
        <v>137</v>
      </c>
      <c r="F229" s="10" t="s">
        <v>24378</v>
      </c>
      <c r="G229" s="10" t="s">
        <v>24031</v>
      </c>
      <c r="H229" s="10" t="s">
        <v>575</v>
      </c>
      <c r="I229" s="10" t="s">
        <v>55</v>
      </c>
      <c r="J229" s="10" t="s">
        <v>24379</v>
      </c>
      <c r="K229" s="10" t="s">
        <v>24380</v>
      </c>
      <c r="L229" s="10" t="s">
        <v>42</v>
      </c>
    </row>
    <row r="230" ht="15.75" customHeight="1">
      <c r="A230" s="66">
        <v>45495.0</v>
      </c>
      <c r="B230" s="55" t="str">
        <f>HYPERLINK("https://jobright.ai/jobs/info/669e91dea88bdc3e5a07e788?utm_campaign=1057&amp;utm_source=sheet", "Apply")</f>
        <v>Apply</v>
      </c>
      <c r="C230" s="10" t="s">
        <v>24381</v>
      </c>
      <c r="D230" s="56" t="s">
        <v>24382</v>
      </c>
      <c r="E230" s="10" t="s">
        <v>65</v>
      </c>
      <c r="G230" s="10" t="s">
        <v>24022</v>
      </c>
      <c r="H230" s="10" t="s">
        <v>24383</v>
      </c>
      <c r="I230" s="10" t="s">
        <v>55</v>
      </c>
      <c r="K230" s="10" t="s">
        <v>24384</v>
      </c>
      <c r="L230" s="10" t="s">
        <v>42</v>
      </c>
    </row>
    <row r="231" ht="15.75" customHeight="1">
      <c r="A231" s="66">
        <v>45495.0</v>
      </c>
      <c r="B231" s="55" t="str">
        <f>HYPERLINK("https://jobright.ai/jobs/info/669e80413f732b1a49b788f3?utm_campaign=1057&amp;utm_source=sheet", "Apply")</f>
        <v>Apply</v>
      </c>
      <c r="C231" s="10" t="s">
        <v>24385</v>
      </c>
      <c r="D231" s="56" t="s">
        <v>15702</v>
      </c>
      <c r="E231" s="10" t="s">
        <v>65</v>
      </c>
      <c r="F231" s="10" t="s">
        <v>15703</v>
      </c>
      <c r="G231" s="10" t="s">
        <v>24022</v>
      </c>
      <c r="H231" s="10" t="s">
        <v>15704</v>
      </c>
      <c r="I231" s="10" t="s">
        <v>55</v>
      </c>
      <c r="K231" s="10" t="s">
        <v>24386</v>
      </c>
      <c r="L231" s="10" t="s">
        <v>42</v>
      </c>
    </row>
    <row r="232" ht="15.75" customHeight="1">
      <c r="A232" s="66">
        <v>45495.0</v>
      </c>
      <c r="B232" s="55" t="str">
        <f>HYPERLINK("https://jobright.ai/jobs/info/66a0f2c051ad24e42536c54a?utm_campaign=1057&amp;utm_source=sheet", "Apply")</f>
        <v>Apply</v>
      </c>
      <c r="C232" s="10" t="s">
        <v>24387</v>
      </c>
      <c r="D232" s="56" t="s">
        <v>24388</v>
      </c>
      <c r="E232" s="10" t="s">
        <v>65</v>
      </c>
      <c r="F232" s="10" t="s">
        <v>24389</v>
      </c>
      <c r="G232" s="10" t="s">
        <v>24043</v>
      </c>
      <c r="H232" s="10" t="s">
        <v>882</v>
      </c>
      <c r="I232" s="10" t="s">
        <v>55</v>
      </c>
      <c r="K232" s="10" t="s">
        <v>24390</v>
      </c>
      <c r="L232" s="10" t="s">
        <v>42</v>
      </c>
    </row>
    <row r="233" ht="15.75" customHeight="1">
      <c r="A233" s="66">
        <v>45495.0</v>
      </c>
      <c r="B233" s="55" t="str">
        <f>HYPERLINK("https://jobright.ai/jobs/info/669e3241276714efbbef1a4d?utm_campaign=1057&amp;utm_source=sheet", "Apply")</f>
        <v>Apply</v>
      </c>
      <c r="C233" s="10" t="s">
        <v>24391</v>
      </c>
      <c r="D233" s="56" t="s">
        <v>13675</v>
      </c>
      <c r="E233" s="10" t="s">
        <v>65</v>
      </c>
      <c r="F233" s="10" t="s">
        <v>13676</v>
      </c>
      <c r="G233" s="10" t="s">
        <v>24031</v>
      </c>
      <c r="H233" s="10" t="s">
        <v>846</v>
      </c>
      <c r="I233" s="10" t="s">
        <v>55</v>
      </c>
      <c r="K233" s="10" t="s">
        <v>24392</v>
      </c>
      <c r="L233" s="10" t="s">
        <v>42</v>
      </c>
    </row>
    <row r="234" ht="15.75" customHeight="1">
      <c r="A234" s="66">
        <v>45495.0</v>
      </c>
      <c r="B234" s="55" t="str">
        <f>HYPERLINK("https://jobright.ai/jobs/info/66a1fab52c35b37e3b786324?utm_campaign=1057&amp;utm_source=sheet", "Apply")</f>
        <v>Apply</v>
      </c>
      <c r="C234" s="10" t="s">
        <v>24393</v>
      </c>
      <c r="D234" s="56" t="s">
        <v>1972</v>
      </c>
      <c r="E234" s="10" t="s">
        <v>65</v>
      </c>
      <c r="G234" s="10" t="s">
        <v>24022</v>
      </c>
      <c r="H234" s="10" t="s">
        <v>854</v>
      </c>
      <c r="I234" s="10" t="s">
        <v>55</v>
      </c>
      <c r="J234" s="10" t="s">
        <v>15544</v>
      </c>
      <c r="K234" s="10" t="s">
        <v>24394</v>
      </c>
      <c r="L234" s="10" t="s">
        <v>42</v>
      </c>
    </row>
    <row r="235" ht="15.75" customHeight="1">
      <c r="A235" s="66">
        <v>45495.0</v>
      </c>
      <c r="B235" s="55" t="str">
        <f>HYPERLINK("https://jobright.ai/jobs/info/669f19eb821ed2aaf5a740bc?utm_campaign=1057&amp;utm_source=sheet", "Apply")</f>
        <v>Apply</v>
      </c>
      <c r="C235" s="10" t="s">
        <v>24395</v>
      </c>
      <c r="D235" s="56" t="s">
        <v>4448</v>
      </c>
      <c r="E235" s="10" t="s">
        <v>71</v>
      </c>
      <c r="F235" s="10" t="s">
        <v>4449</v>
      </c>
      <c r="G235" s="10" t="s">
        <v>24043</v>
      </c>
      <c r="H235" s="10" t="s">
        <v>24396</v>
      </c>
      <c r="I235" s="10" t="s">
        <v>55</v>
      </c>
      <c r="K235" s="10" t="s">
        <v>4450</v>
      </c>
      <c r="L235" s="10" t="s">
        <v>42</v>
      </c>
    </row>
    <row r="236" ht="15.75" customHeight="1">
      <c r="A236" s="66">
        <v>45495.0</v>
      </c>
      <c r="B236" s="55" t="str">
        <f>HYPERLINK("https://jobright.ai/jobs/info/669de3f015950b5554016a03?utm_campaign=1057&amp;utm_source=sheet", "Apply")</f>
        <v>Apply</v>
      </c>
      <c r="C236" s="10" t="s">
        <v>24397</v>
      </c>
      <c r="D236" s="56" t="s">
        <v>4448</v>
      </c>
      <c r="E236" s="10" t="s">
        <v>71</v>
      </c>
      <c r="F236" s="10" t="s">
        <v>4449</v>
      </c>
      <c r="G236" s="10" t="s">
        <v>24043</v>
      </c>
      <c r="H236" s="10" t="s">
        <v>4456</v>
      </c>
      <c r="I236" s="10" t="s">
        <v>55</v>
      </c>
      <c r="K236" s="10" t="s">
        <v>4450</v>
      </c>
      <c r="L236" s="10" t="s">
        <v>42</v>
      </c>
    </row>
    <row r="237" ht="15.75" customHeight="1">
      <c r="A237" s="66">
        <v>45495.0</v>
      </c>
      <c r="B237" s="55" t="str">
        <f>HYPERLINK("https://jobright.ai/jobs/info/669efdfc54e84a56544c8eea?utm_campaign=1057&amp;utm_source=sheet", "Apply")</f>
        <v>Apply</v>
      </c>
      <c r="C237" s="10" t="s">
        <v>24247</v>
      </c>
      <c r="D237" s="56" t="s">
        <v>24248</v>
      </c>
      <c r="E237" s="10" t="s">
        <v>45</v>
      </c>
      <c r="F237" s="10" t="s">
        <v>24249</v>
      </c>
      <c r="G237" s="10" t="s">
        <v>24043</v>
      </c>
      <c r="H237" s="10" t="s">
        <v>24398</v>
      </c>
      <c r="I237" s="10" t="s">
        <v>55</v>
      </c>
      <c r="K237" s="10" t="s">
        <v>24250</v>
      </c>
      <c r="L237" s="10" t="s">
        <v>42</v>
      </c>
    </row>
    <row r="238" ht="15.75" customHeight="1">
      <c r="A238" s="66">
        <v>45495.0</v>
      </c>
      <c r="B238" s="55" t="str">
        <f>HYPERLINK("https://jobright.ai/jobs/info/669e9aaa3d28756ea8e0f0ef?utm_campaign=1057&amp;utm_source=sheet", "Apply")</f>
        <v>Apply</v>
      </c>
      <c r="C238" s="10" t="s">
        <v>24247</v>
      </c>
      <c r="D238" s="56" t="s">
        <v>24248</v>
      </c>
      <c r="E238" s="10" t="s">
        <v>45</v>
      </c>
      <c r="F238" s="10" t="s">
        <v>24249</v>
      </c>
      <c r="G238" s="10" t="s">
        <v>24043</v>
      </c>
      <c r="H238" s="10" t="s">
        <v>24399</v>
      </c>
      <c r="I238" s="10" t="s">
        <v>55</v>
      </c>
      <c r="K238" s="10" t="s">
        <v>24250</v>
      </c>
      <c r="L238" s="10" t="s">
        <v>42</v>
      </c>
    </row>
    <row r="239" ht="15.75" customHeight="1">
      <c r="A239" s="66">
        <v>45495.0</v>
      </c>
      <c r="B239" s="55" t="str">
        <f>HYPERLINK("https://jobright.ai/jobs/info/669edcee0a1a20b818bda34d?utm_campaign=1057&amp;utm_source=sheet", "Apply")</f>
        <v>Apply</v>
      </c>
      <c r="C239" s="10" t="s">
        <v>24400</v>
      </c>
      <c r="D239" s="56" t="s">
        <v>24401</v>
      </c>
      <c r="E239" s="10" t="s">
        <v>209</v>
      </c>
      <c r="F239" s="10" t="s">
        <v>5585</v>
      </c>
      <c r="G239" s="10" t="s">
        <v>24043</v>
      </c>
      <c r="H239" s="10" t="s">
        <v>106</v>
      </c>
      <c r="I239" s="10" t="s">
        <v>55</v>
      </c>
      <c r="J239" s="10" t="s">
        <v>24402</v>
      </c>
      <c r="K239" s="10" t="s">
        <v>24403</v>
      </c>
      <c r="L239" s="10" t="s">
        <v>42</v>
      </c>
    </row>
    <row r="240" ht="15.75" customHeight="1">
      <c r="A240" s="66">
        <v>45494.0</v>
      </c>
      <c r="B240" s="55" t="str">
        <f>HYPERLINK("https://jobright.ai/jobs/info/66a3f948c344e12ad54411fa?utm_campaign=1057&amp;utm_source=sheet", "Apply")</f>
        <v>Apply</v>
      </c>
      <c r="C240" s="10" t="s">
        <v>24369</v>
      </c>
      <c r="D240" s="56" t="s">
        <v>4448</v>
      </c>
      <c r="E240" s="10" t="s">
        <v>71</v>
      </c>
      <c r="F240" s="10" t="s">
        <v>4449</v>
      </c>
      <c r="G240" s="10" t="s">
        <v>24043</v>
      </c>
      <c r="H240" s="10" t="s">
        <v>3646</v>
      </c>
      <c r="I240" s="10" t="s">
        <v>55</v>
      </c>
      <c r="K240" s="10" t="s">
        <v>24062</v>
      </c>
      <c r="L240" s="10" t="s">
        <v>42</v>
      </c>
    </row>
    <row r="241" ht="15.75" customHeight="1">
      <c r="A241" s="66">
        <v>45494.0</v>
      </c>
      <c r="B241" s="55" t="str">
        <f>HYPERLINK("https://jobright.ai/jobs/info/66a3f948c344e12ad5441203?utm_campaign=1057&amp;utm_source=sheet", "Apply")</f>
        <v>Apply</v>
      </c>
      <c r="C241" s="10" t="s">
        <v>24404</v>
      </c>
      <c r="D241" s="56" t="s">
        <v>4448</v>
      </c>
      <c r="E241" s="10" t="s">
        <v>71</v>
      </c>
      <c r="F241" s="10" t="s">
        <v>4449</v>
      </c>
      <c r="G241" s="10" t="s">
        <v>24043</v>
      </c>
      <c r="H241" s="10" t="s">
        <v>20989</v>
      </c>
      <c r="I241" s="10" t="s">
        <v>55</v>
      </c>
      <c r="K241" s="10" t="s">
        <v>24062</v>
      </c>
      <c r="L241" s="10" t="s">
        <v>42</v>
      </c>
    </row>
    <row r="242" ht="15.75" customHeight="1">
      <c r="A242" s="66">
        <v>45494.0</v>
      </c>
      <c r="B242" s="55" t="str">
        <f>HYPERLINK("https://jobright.ai/jobs/info/66a3f948c344e12ad5441208?utm_campaign=1057&amp;utm_source=sheet", "Apply")</f>
        <v>Apply</v>
      </c>
      <c r="C242" s="10" t="s">
        <v>24405</v>
      </c>
      <c r="D242" s="56" t="s">
        <v>4448</v>
      </c>
      <c r="E242" s="10" t="s">
        <v>71</v>
      </c>
      <c r="F242" s="10" t="s">
        <v>4449</v>
      </c>
      <c r="G242" s="10" t="s">
        <v>24043</v>
      </c>
      <c r="H242" s="10" t="s">
        <v>8248</v>
      </c>
      <c r="I242" s="10" t="s">
        <v>55</v>
      </c>
      <c r="K242" s="10" t="s">
        <v>4450</v>
      </c>
      <c r="L242" s="10" t="s">
        <v>42</v>
      </c>
    </row>
    <row r="243" ht="15.75" customHeight="1">
      <c r="A243" s="66">
        <v>45494.0</v>
      </c>
      <c r="B243" s="55" t="str">
        <f>HYPERLINK("https://jobright.ai/jobs/info/66a3f948c344e12ad5441209?utm_campaign=1057&amp;utm_source=sheet", "Apply")</f>
        <v>Apply</v>
      </c>
      <c r="C243" s="10" t="s">
        <v>24406</v>
      </c>
      <c r="D243" s="56" t="s">
        <v>4448</v>
      </c>
      <c r="E243" s="10" t="s">
        <v>71</v>
      </c>
      <c r="F243" s="10" t="s">
        <v>4449</v>
      </c>
      <c r="G243" s="10" t="s">
        <v>24043</v>
      </c>
      <c r="H243" s="10" t="s">
        <v>8248</v>
      </c>
      <c r="I243" s="10" t="s">
        <v>55</v>
      </c>
      <c r="K243" s="10" t="s">
        <v>4450</v>
      </c>
      <c r="L243" s="10" t="s">
        <v>42</v>
      </c>
    </row>
    <row r="244" ht="15.75" customHeight="1">
      <c r="A244" s="66">
        <v>45494.0</v>
      </c>
      <c r="B244" s="55" t="str">
        <f>HYPERLINK("https://jobright.ai/jobs/info/669fd08842744ff6f3a381cd?utm_campaign=1057&amp;utm_source=sheet", "Apply")</f>
        <v>Apply</v>
      </c>
      <c r="C244" s="10" t="s">
        <v>24407</v>
      </c>
      <c r="D244" s="56" t="s">
        <v>4448</v>
      </c>
      <c r="E244" s="10" t="s">
        <v>71</v>
      </c>
      <c r="F244" s="10" t="s">
        <v>4449</v>
      </c>
      <c r="G244" s="10" t="s">
        <v>24043</v>
      </c>
      <c r="H244" s="10" t="s">
        <v>24408</v>
      </c>
      <c r="I244" s="10" t="s">
        <v>55</v>
      </c>
      <c r="K244" s="10" t="s">
        <v>24062</v>
      </c>
      <c r="L244" s="10" t="s">
        <v>42</v>
      </c>
    </row>
    <row r="245" ht="15.75" customHeight="1">
      <c r="A245" s="66">
        <v>45494.0</v>
      </c>
      <c r="B245" s="55" t="str">
        <f>HYPERLINK("https://jobright.ai/jobs/info/66a3f948c344e12ad544120e?utm_campaign=1057&amp;utm_source=sheet", "Apply")</f>
        <v>Apply</v>
      </c>
      <c r="C245" s="10" t="s">
        <v>24183</v>
      </c>
      <c r="D245" s="56" t="s">
        <v>4448</v>
      </c>
      <c r="E245" s="10" t="s">
        <v>71</v>
      </c>
      <c r="F245" s="10" t="s">
        <v>4449</v>
      </c>
      <c r="G245" s="10" t="s">
        <v>24043</v>
      </c>
      <c r="H245" s="10" t="s">
        <v>4455</v>
      </c>
      <c r="I245" s="10" t="s">
        <v>55</v>
      </c>
      <c r="K245" s="10" t="s">
        <v>4450</v>
      </c>
      <c r="L245" s="10" t="s">
        <v>42</v>
      </c>
    </row>
    <row r="246" ht="15.75" customHeight="1">
      <c r="A246" s="66">
        <v>45494.0</v>
      </c>
      <c r="B246" s="55" t="str">
        <f>HYPERLINK("https://jobright.ai/jobs/info/669fd08842744ff6f3a381d1?utm_campaign=1057&amp;utm_source=sheet", "Apply")</f>
        <v>Apply</v>
      </c>
      <c r="C246" s="10" t="s">
        <v>20987</v>
      </c>
      <c r="D246" s="56" t="s">
        <v>4448</v>
      </c>
      <c r="E246" s="10" t="s">
        <v>71</v>
      </c>
      <c r="F246" s="10" t="s">
        <v>4449</v>
      </c>
      <c r="G246" s="10" t="s">
        <v>24043</v>
      </c>
      <c r="H246" s="10" t="s">
        <v>24370</v>
      </c>
      <c r="I246" s="10" t="s">
        <v>55</v>
      </c>
      <c r="K246" s="10" t="s">
        <v>4450</v>
      </c>
      <c r="L246" s="10" t="s">
        <v>42</v>
      </c>
    </row>
    <row r="247" ht="15.75" customHeight="1">
      <c r="A247" s="66">
        <v>45494.0</v>
      </c>
      <c r="B247" s="55" t="str">
        <f>HYPERLINK("https://jobright.ai/jobs/info/66a11eee2b30156284a3c7ba?utm_campaign=1057&amp;utm_source=sheet", "Apply")</f>
        <v>Apply</v>
      </c>
      <c r="C247" s="10" t="s">
        <v>24409</v>
      </c>
      <c r="D247" s="56" t="s">
        <v>4448</v>
      </c>
      <c r="E247" s="10" t="s">
        <v>71</v>
      </c>
      <c r="F247" s="10" t="s">
        <v>4449</v>
      </c>
      <c r="G247" s="10" t="s">
        <v>24043</v>
      </c>
      <c r="H247" s="10" t="s">
        <v>636</v>
      </c>
      <c r="I247" s="10" t="s">
        <v>55</v>
      </c>
      <c r="K247" s="10" t="s">
        <v>24062</v>
      </c>
      <c r="L247" s="10" t="s">
        <v>42</v>
      </c>
    </row>
    <row r="248" ht="15.75" customHeight="1">
      <c r="A248" s="66">
        <v>45494.0</v>
      </c>
      <c r="B248" s="55" t="str">
        <f>HYPERLINK("https://jobright.ai/jobs/info/669fcdf29720391081d19668?utm_campaign=1057&amp;utm_source=sheet", "Apply")</f>
        <v>Apply</v>
      </c>
      <c r="C248" s="10" t="s">
        <v>24404</v>
      </c>
      <c r="D248" s="56" t="s">
        <v>4448</v>
      </c>
      <c r="E248" s="10" t="s">
        <v>71</v>
      </c>
      <c r="F248" s="10" t="s">
        <v>4449</v>
      </c>
      <c r="G248" s="10" t="s">
        <v>24043</v>
      </c>
      <c r="H248" s="10" t="s">
        <v>2602</v>
      </c>
      <c r="I248" s="10" t="s">
        <v>55</v>
      </c>
      <c r="K248" s="10" t="s">
        <v>24062</v>
      </c>
      <c r="L248" s="10" t="s">
        <v>42</v>
      </c>
    </row>
    <row r="249" ht="15.75" customHeight="1">
      <c r="A249" s="66">
        <v>45494.0</v>
      </c>
      <c r="B249" s="55" t="str">
        <f>HYPERLINK("https://jobright.ai/jobs/info/669fcdf29720391081d19669?utm_campaign=1057&amp;utm_source=sheet", "Apply")</f>
        <v>Apply</v>
      </c>
      <c r="C249" s="10" t="s">
        <v>4453</v>
      </c>
      <c r="D249" s="56" t="s">
        <v>4448</v>
      </c>
      <c r="E249" s="10" t="s">
        <v>71</v>
      </c>
      <c r="F249" s="10" t="s">
        <v>4449</v>
      </c>
      <c r="G249" s="10" t="s">
        <v>24043</v>
      </c>
      <c r="H249" s="10" t="s">
        <v>4452</v>
      </c>
      <c r="I249" s="10" t="s">
        <v>55</v>
      </c>
      <c r="K249" s="10" t="s">
        <v>4450</v>
      </c>
      <c r="L249" s="10" t="s">
        <v>42</v>
      </c>
    </row>
    <row r="250" ht="15.75" customHeight="1">
      <c r="A250" s="66">
        <v>45494.0</v>
      </c>
      <c r="B250" s="55" t="str">
        <f>HYPERLINK("https://jobright.ai/jobs/info/669fcdf29720391081d1966a?utm_campaign=1057&amp;utm_source=sheet", "Apply")</f>
        <v>Apply</v>
      </c>
      <c r="C250" s="10" t="s">
        <v>24405</v>
      </c>
      <c r="D250" s="56" t="s">
        <v>4448</v>
      </c>
      <c r="E250" s="10" t="s">
        <v>71</v>
      </c>
      <c r="F250" s="10" t="s">
        <v>4449</v>
      </c>
      <c r="G250" s="10" t="s">
        <v>24043</v>
      </c>
      <c r="H250" s="10" t="s">
        <v>21672</v>
      </c>
      <c r="I250" s="10" t="s">
        <v>55</v>
      </c>
      <c r="K250" s="10" t="s">
        <v>4450</v>
      </c>
      <c r="L250" s="10" t="s">
        <v>42</v>
      </c>
    </row>
    <row r="251" ht="15.75" customHeight="1">
      <c r="A251" s="66">
        <v>45494.0</v>
      </c>
      <c r="B251" s="55" t="str">
        <f>HYPERLINK("https://jobright.ai/jobs/info/669fcdf29720391081d19671?utm_campaign=1057&amp;utm_source=sheet", "Apply")</f>
        <v>Apply</v>
      </c>
      <c r="C251" s="10" t="s">
        <v>4453</v>
      </c>
      <c r="D251" s="56" t="s">
        <v>4448</v>
      </c>
      <c r="E251" s="10" t="s">
        <v>71</v>
      </c>
      <c r="F251" s="10" t="s">
        <v>4449</v>
      </c>
      <c r="G251" s="10" t="s">
        <v>24043</v>
      </c>
      <c r="H251" s="10" t="s">
        <v>4456</v>
      </c>
      <c r="I251" s="10" t="s">
        <v>55</v>
      </c>
      <c r="K251" s="10" t="s">
        <v>4450</v>
      </c>
      <c r="L251" s="10" t="s">
        <v>42</v>
      </c>
    </row>
    <row r="252" ht="15.75" customHeight="1">
      <c r="A252" s="66">
        <v>45494.0</v>
      </c>
      <c r="B252" s="55" t="str">
        <f>HYPERLINK("https://jobright.ai/jobs/info/669fcdf29720391081d19673?utm_campaign=1057&amp;utm_source=sheet", "Apply")</f>
        <v>Apply</v>
      </c>
      <c r="C252" s="10" t="s">
        <v>24410</v>
      </c>
      <c r="D252" s="56" t="s">
        <v>4448</v>
      </c>
      <c r="E252" s="10" t="s">
        <v>71</v>
      </c>
      <c r="F252" s="10" t="s">
        <v>4449</v>
      </c>
      <c r="G252" s="10" t="s">
        <v>24043</v>
      </c>
      <c r="H252" s="10" t="s">
        <v>24408</v>
      </c>
      <c r="I252" s="10" t="s">
        <v>55</v>
      </c>
      <c r="K252" s="10" t="s">
        <v>4450</v>
      </c>
      <c r="L252" s="10" t="s">
        <v>42</v>
      </c>
    </row>
    <row r="253" ht="15.75" customHeight="1">
      <c r="A253" s="66">
        <v>45494.0</v>
      </c>
      <c r="B253" s="55" t="str">
        <f>HYPERLINK("https://jobright.ai/jobs/info/669fc955fa502da75786515e?utm_campaign=1057&amp;utm_source=sheet", "Apply")</f>
        <v>Apply</v>
      </c>
      <c r="C253" s="10" t="s">
        <v>21661</v>
      </c>
      <c r="D253" s="56" t="s">
        <v>4448</v>
      </c>
      <c r="E253" s="10" t="s">
        <v>71</v>
      </c>
      <c r="F253" s="10" t="s">
        <v>4449</v>
      </c>
      <c r="G253" s="10" t="s">
        <v>24043</v>
      </c>
      <c r="H253" s="10" t="s">
        <v>16746</v>
      </c>
      <c r="I253" s="10" t="s">
        <v>55</v>
      </c>
      <c r="K253" s="10" t="s">
        <v>4450</v>
      </c>
      <c r="L253" s="10" t="s">
        <v>42</v>
      </c>
    </row>
    <row r="254" ht="15.75" customHeight="1">
      <c r="A254" s="66">
        <v>45494.0</v>
      </c>
      <c r="B254" s="55" t="str">
        <f>HYPERLINK("https://jobright.ai/jobs/info/669fc955fa502da75786516d?utm_campaign=1057&amp;utm_source=sheet", "Apply")</f>
        <v>Apply</v>
      </c>
      <c r="C254" s="10" t="s">
        <v>24337</v>
      </c>
      <c r="D254" s="56" t="s">
        <v>4448</v>
      </c>
      <c r="E254" s="10" t="s">
        <v>71</v>
      </c>
      <c r="F254" s="10" t="s">
        <v>4449</v>
      </c>
      <c r="G254" s="10" t="s">
        <v>24043</v>
      </c>
      <c r="H254" s="10" t="s">
        <v>24411</v>
      </c>
      <c r="I254" s="10" t="s">
        <v>55</v>
      </c>
      <c r="K254" s="10" t="s">
        <v>4450</v>
      </c>
      <c r="L254" s="10" t="s">
        <v>42</v>
      </c>
    </row>
    <row r="255" ht="15.75" customHeight="1">
      <c r="A255" s="66">
        <v>45494.0</v>
      </c>
      <c r="B255" s="55" t="str">
        <f>HYPERLINK("https://jobright.ai/jobs/info/669fc955fa502da757865171?utm_campaign=1057&amp;utm_source=sheet", "Apply")</f>
        <v>Apply</v>
      </c>
      <c r="C255" s="10" t="s">
        <v>24412</v>
      </c>
      <c r="D255" s="56" t="s">
        <v>4448</v>
      </c>
      <c r="E255" s="10" t="s">
        <v>71</v>
      </c>
      <c r="F255" s="10" t="s">
        <v>4449</v>
      </c>
      <c r="G255" s="10" t="s">
        <v>24043</v>
      </c>
      <c r="H255" s="10" t="s">
        <v>24408</v>
      </c>
      <c r="I255" s="10" t="s">
        <v>55</v>
      </c>
      <c r="K255" s="10" t="s">
        <v>4450</v>
      </c>
      <c r="L255" s="10" t="s">
        <v>42</v>
      </c>
    </row>
    <row r="256" ht="15.75" customHeight="1">
      <c r="A256" s="66">
        <v>45494.0</v>
      </c>
      <c r="B256" s="55" t="str">
        <f>HYPERLINK("https://jobright.ai/jobs/info/669fc955fa502da757865174?utm_campaign=1057&amp;utm_source=sheet", "Apply")</f>
        <v>Apply</v>
      </c>
      <c r="C256" s="10" t="s">
        <v>24413</v>
      </c>
      <c r="D256" s="56" t="s">
        <v>4448</v>
      </c>
      <c r="E256" s="10" t="s">
        <v>71</v>
      </c>
      <c r="F256" s="10" t="s">
        <v>4449</v>
      </c>
      <c r="G256" s="10" t="s">
        <v>24043</v>
      </c>
      <c r="H256" s="10" t="s">
        <v>2602</v>
      </c>
      <c r="I256" s="10" t="s">
        <v>55</v>
      </c>
      <c r="K256" s="10" t="s">
        <v>4450</v>
      </c>
      <c r="L256" s="10" t="s">
        <v>42</v>
      </c>
    </row>
    <row r="257" ht="15.75" customHeight="1">
      <c r="A257" s="66">
        <v>45494.0</v>
      </c>
      <c r="B257" s="55" t="str">
        <f>HYPERLINK("https://jobright.ai/jobs/info/66a11b9f432504a92746641c?utm_campaign=1057&amp;utm_source=sheet", "Apply")</f>
        <v>Apply</v>
      </c>
      <c r="C257" s="10" t="s">
        <v>24414</v>
      </c>
      <c r="D257" s="56" t="s">
        <v>4448</v>
      </c>
      <c r="E257" s="10" t="s">
        <v>71</v>
      </c>
      <c r="F257" s="10" t="s">
        <v>4449</v>
      </c>
      <c r="G257" s="10" t="s">
        <v>24043</v>
      </c>
      <c r="H257" s="10" t="s">
        <v>24396</v>
      </c>
      <c r="I257" s="10" t="s">
        <v>55</v>
      </c>
      <c r="K257" s="10" t="s">
        <v>4450</v>
      </c>
      <c r="L257" s="10" t="s">
        <v>42</v>
      </c>
    </row>
    <row r="258" ht="15.75" customHeight="1">
      <c r="A258" s="66">
        <v>45494.0</v>
      </c>
      <c r="B258" s="55" t="str">
        <f>HYPERLINK("https://jobright.ai/jobs/info/66a11b95432504a92746631e?utm_campaign=1057&amp;utm_source=sheet", "Apply")</f>
        <v>Apply</v>
      </c>
      <c r="C258" s="10" t="s">
        <v>24415</v>
      </c>
      <c r="D258" s="56" t="s">
        <v>4448</v>
      </c>
      <c r="E258" s="10" t="s">
        <v>71</v>
      </c>
      <c r="F258" s="10" t="s">
        <v>4449</v>
      </c>
      <c r="G258" s="10" t="s">
        <v>24043</v>
      </c>
      <c r="H258" s="10" t="s">
        <v>4261</v>
      </c>
      <c r="I258" s="10" t="s">
        <v>55</v>
      </c>
      <c r="K258" s="10" t="s">
        <v>4450</v>
      </c>
      <c r="L258" s="10" t="s">
        <v>42</v>
      </c>
    </row>
    <row r="259" ht="15.75" customHeight="1">
      <c r="A259" s="66">
        <v>45494.0</v>
      </c>
      <c r="B259" s="55" t="str">
        <f>HYPERLINK("https://jobright.ai/jobs/info/66a11b9f432504a927466425?utm_campaign=1057&amp;utm_source=sheet", "Apply")</f>
        <v>Apply</v>
      </c>
      <c r="C259" s="10" t="s">
        <v>24416</v>
      </c>
      <c r="D259" s="56" t="s">
        <v>4448</v>
      </c>
      <c r="E259" s="10" t="s">
        <v>71</v>
      </c>
      <c r="F259" s="10" t="s">
        <v>4449</v>
      </c>
      <c r="G259" s="10" t="s">
        <v>24043</v>
      </c>
      <c r="H259" s="10" t="s">
        <v>5432</v>
      </c>
      <c r="I259" s="10" t="s">
        <v>55</v>
      </c>
      <c r="K259" s="10" t="s">
        <v>4450</v>
      </c>
      <c r="L259" s="10" t="s">
        <v>42</v>
      </c>
    </row>
    <row r="260" ht="15.75" customHeight="1">
      <c r="A260" s="66">
        <v>45494.0</v>
      </c>
      <c r="B260" s="55" t="str">
        <f>HYPERLINK("https://jobright.ai/jobs/info/66a11b9f432504a927466426?utm_campaign=1057&amp;utm_source=sheet", "Apply")</f>
        <v>Apply</v>
      </c>
      <c r="C260" s="10" t="s">
        <v>24417</v>
      </c>
      <c r="D260" s="56" t="s">
        <v>4448</v>
      </c>
      <c r="E260" s="10" t="s">
        <v>71</v>
      </c>
      <c r="F260" s="10" t="s">
        <v>4449</v>
      </c>
      <c r="G260" s="10" t="s">
        <v>24043</v>
      </c>
      <c r="H260" s="10" t="s">
        <v>20990</v>
      </c>
      <c r="I260" s="10" t="s">
        <v>55</v>
      </c>
      <c r="K260" s="10" t="s">
        <v>24062</v>
      </c>
      <c r="L260" s="10" t="s">
        <v>42</v>
      </c>
    </row>
    <row r="261" ht="15.75" customHeight="1">
      <c r="A261" s="66">
        <v>45494.0</v>
      </c>
      <c r="B261" s="55" t="str">
        <f>HYPERLINK("https://jobright.ai/jobs/info/66a3f948c344e12ad544121b?utm_campaign=1057&amp;utm_source=sheet", "Apply")</f>
        <v>Apply</v>
      </c>
      <c r="C261" s="10" t="s">
        <v>24418</v>
      </c>
      <c r="D261" s="56" t="s">
        <v>4448</v>
      </c>
      <c r="E261" s="10" t="s">
        <v>71</v>
      </c>
      <c r="F261" s="10" t="s">
        <v>4449</v>
      </c>
      <c r="G261" s="10" t="s">
        <v>24043</v>
      </c>
      <c r="H261" s="10" t="s">
        <v>24338</v>
      </c>
      <c r="I261" s="10" t="s">
        <v>55</v>
      </c>
      <c r="K261" s="10" t="s">
        <v>4450</v>
      </c>
      <c r="L261" s="10" t="s">
        <v>42</v>
      </c>
    </row>
    <row r="262" ht="15.75" customHeight="1">
      <c r="A262" s="66">
        <v>45494.0</v>
      </c>
      <c r="B262" s="55" t="str">
        <f>HYPERLINK("https://jobright.ai/jobs/info/669fc955fa502da75786517f?utm_campaign=1057&amp;utm_source=sheet", "Apply")</f>
        <v>Apply</v>
      </c>
      <c r="C262" s="10" t="s">
        <v>24419</v>
      </c>
      <c r="D262" s="56" t="s">
        <v>4448</v>
      </c>
      <c r="E262" s="10" t="s">
        <v>71</v>
      </c>
      <c r="F262" s="10" t="s">
        <v>4449</v>
      </c>
      <c r="G262" s="10" t="s">
        <v>24043</v>
      </c>
      <c r="H262" s="10" t="s">
        <v>20990</v>
      </c>
      <c r="I262" s="10" t="s">
        <v>55</v>
      </c>
      <c r="K262" s="10" t="s">
        <v>4450</v>
      </c>
      <c r="L262" s="10" t="s">
        <v>42</v>
      </c>
    </row>
    <row r="263" ht="15.75" customHeight="1">
      <c r="A263" s="66">
        <v>45494.0</v>
      </c>
      <c r="B263" s="55" t="str">
        <f>HYPERLINK("https://jobright.ai/jobs/info/669fc955fa502da757865184?utm_campaign=1057&amp;utm_source=sheet", "Apply")</f>
        <v>Apply</v>
      </c>
      <c r="C263" s="10" t="s">
        <v>24420</v>
      </c>
      <c r="D263" s="56" t="s">
        <v>4448</v>
      </c>
      <c r="E263" s="10" t="s">
        <v>71</v>
      </c>
      <c r="F263" s="10" t="s">
        <v>4449</v>
      </c>
      <c r="G263" s="10" t="s">
        <v>24043</v>
      </c>
      <c r="H263" s="10" t="s">
        <v>24370</v>
      </c>
      <c r="I263" s="10" t="s">
        <v>55</v>
      </c>
      <c r="K263" s="10" t="s">
        <v>24062</v>
      </c>
      <c r="L263" s="10" t="s">
        <v>42</v>
      </c>
    </row>
    <row r="264" ht="15.75" customHeight="1">
      <c r="A264" s="66">
        <v>45494.0</v>
      </c>
      <c r="B264" s="55" t="str">
        <f>HYPERLINK("https://jobright.ai/jobs/info/66a3f948c344e12ad544121e?utm_campaign=1057&amp;utm_source=sheet", "Apply")</f>
        <v>Apply</v>
      </c>
      <c r="C264" s="10" t="s">
        <v>24419</v>
      </c>
      <c r="D264" s="56" t="s">
        <v>4448</v>
      </c>
      <c r="E264" s="10" t="s">
        <v>71</v>
      </c>
      <c r="F264" s="10" t="s">
        <v>4449</v>
      </c>
      <c r="G264" s="10" t="s">
        <v>24043</v>
      </c>
      <c r="H264" s="10" t="s">
        <v>636</v>
      </c>
      <c r="I264" s="10" t="s">
        <v>55</v>
      </c>
      <c r="K264" s="10" t="s">
        <v>4450</v>
      </c>
      <c r="L264" s="10" t="s">
        <v>42</v>
      </c>
    </row>
    <row r="265" ht="15.75" customHeight="1">
      <c r="A265" s="66">
        <v>45494.0</v>
      </c>
      <c r="B265" s="55" t="str">
        <f>HYPERLINK("https://jobright.ai/jobs/info/66a3f948c344e12ad5441221?utm_campaign=1057&amp;utm_source=sheet", "Apply")</f>
        <v>Apply</v>
      </c>
      <c r="C265" s="10" t="s">
        <v>24421</v>
      </c>
      <c r="D265" s="56" t="s">
        <v>4448</v>
      </c>
      <c r="E265" s="10" t="s">
        <v>71</v>
      </c>
      <c r="F265" s="10" t="s">
        <v>4449</v>
      </c>
      <c r="G265" s="10" t="s">
        <v>24043</v>
      </c>
      <c r="H265" s="10" t="s">
        <v>21672</v>
      </c>
      <c r="I265" s="10" t="s">
        <v>55</v>
      </c>
      <c r="K265" s="10" t="s">
        <v>4450</v>
      </c>
      <c r="L265" s="10" t="s">
        <v>42</v>
      </c>
    </row>
    <row r="266" ht="15.75" customHeight="1">
      <c r="A266" s="66">
        <v>45494.0</v>
      </c>
      <c r="B266" s="55" t="str">
        <f>HYPERLINK("https://jobright.ai/jobs/info/66a3f948c344e12ad5441222?utm_campaign=1057&amp;utm_source=sheet", "Apply")</f>
        <v>Apply</v>
      </c>
      <c r="C266" s="10" t="s">
        <v>24183</v>
      </c>
      <c r="D266" s="56" t="s">
        <v>4448</v>
      </c>
      <c r="E266" s="10" t="s">
        <v>71</v>
      </c>
      <c r="F266" s="10" t="s">
        <v>4449</v>
      </c>
      <c r="G266" s="10" t="s">
        <v>24043</v>
      </c>
      <c r="H266" s="10" t="s">
        <v>24370</v>
      </c>
      <c r="I266" s="10" t="s">
        <v>55</v>
      </c>
      <c r="K266" s="10" t="s">
        <v>4450</v>
      </c>
      <c r="L266" s="10" t="s">
        <v>42</v>
      </c>
    </row>
    <row r="267" ht="15.75" customHeight="1">
      <c r="A267" s="66">
        <v>45494.0</v>
      </c>
      <c r="B267" s="55" t="str">
        <f>HYPERLINK("https://jobright.ai/jobs/info/66a3f948c344e12ad5441224?utm_campaign=1057&amp;utm_source=sheet", "Apply")</f>
        <v>Apply</v>
      </c>
      <c r="C267" s="10" t="s">
        <v>24395</v>
      </c>
      <c r="D267" s="56" t="s">
        <v>4448</v>
      </c>
      <c r="E267" s="10" t="s">
        <v>71</v>
      </c>
      <c r="F267" s="10" t="s">
        <v>4449</v>
      </c>
      <c r="G267" s="10" t="s">
        <v>24043</v>
      </c>
      <c r="H267" s="10" t="s">
        <v>21672</v>
      </c>
      <c r="I267" s="10" t="s">
        <v>55</v>
      </c>
      <c r="K267" s="10" t="s">
        <v>4450</v>
      </c>
      <c r="L267" s="10" t="s">
        <v>42</v>
      </c>
    </row>
    <row r="268" ht="15.75" customHeight="1">
      <c r="A268" s="66">
        <v>45494.0</v>
      </c>
      <c r="B268" s="55" t="str">
        <f>HYPERLINK("https://jobright.ai/jobs/info/66a3f948c344e12ad5441225?utm_campaign=1057&amp;utm_source=sheet", "Apply")</f>
        <v>Apply</v>
      </c>
      <c r="C268" s="10" t="s">
        <v>24404</v>
      </c>
      <c r="D268" s="56" t="s">
        <v>4448</v>
      </c>
      <c r="E268" s="10" t="s">
        <v>71</v>
      </c>
      <c r="F268" s="10" t="s">
        <v>4449</v>
      </c>
      <c r="G268" s="10" t="s">
        <v>24043</v>
      </c>
      <c r="H268" s="10" t="s">
        <v>24396</v>
      </c>
      <c r="I268" s="10" t="s">
        <v>55</v>
      </c>
      <c r="K268" s="10" t="s">
        <v>24062</v>
      </c>
      <c r="L268" s="10" t="s">
        <v>42</v>
      </c>
    </row>
    <row r="269" ht="15.75" customHeight="1">
      <c r="A269" s="66">
        <v>45494.0</v>
      </c>
      <c r="B269" s="55" t="str">
        <f>HYPERLINK("https://jobright.ai/jobs/info/66a3f948c344e12ad5441226?utm_campaign=1057&amp;utm_source=sheet", "Apply")</f>
        <v>Apply</v>
      </c>
      <c r="C269" s="10" t="s">
        <v>24422</v>
      </c>
      <c r="D269" s="56" t="s">
        <v>4448</v>
      </c>
      <c r="E269" s="10" t="s">
        <v>71</v>
      </c>
      <c r="F269" s="10" t="s">
        <v>4449</v>
      </c>
      <c r="G269" s="10" t="s">
        <v>24043</v>
      </c>
      <c r="H269" s="10" t="s">
        <v>4456</v>
      </c>
      <c r="I269" s="10" t="s">
        <v>55</v>
      </c>
      <c r="K269" s="10" t="s">
        <v>24062</v>
      </c>
      <c r="L269" s="10" t="s">
        <v>42</v>
      </c>
    </row>
    <row r="270" ht="15.75" customHeight="1">
      <c r="A270" s="66">
        <v>45494.0</v>
      </c>
      <c r="B270" s="55" t="str">
        <f>HYPERLINK("https://jobright.ai/jobs/info/669fc5b74a5bc44dcb541f77?utm_campaign=1057&amp;utm_source=sheet", "Apply")</f>
        <v>Apply</v>
      </c>
      <c r="C270" s="10" t="s">
        <v>24337</v>
      </c>
      <c r="D270" s="56" t="s">
        <v>4448</v>
      </c>
      <c r="E270" s="10" t="s">
        <v>71</v>
      </c>
      <c r="F270" s="10" t="s">
        <v>4449</v>
      </c>
      <c r="G270" s="10" t="s">
        <v>24043</v>
      </c>
      <c r="H270" s="10" t="s">
        <v>4456</v>
      </c>
      <c r="I270" s="10" t="s">
        <v>55</v>
      </c>
      <c r="K270" s="10" t="s">
        <v>4450</v>
      </c>
      <c r="L270" s="10" t="s">
        <v>42</v>
      </c>
    </row>
    <row r="271" ht="15.75" customHeight="1">
      <c r="A271" s="66">
        <v>45494.0</v>
      </c>
      <c r="B271" s="55" t="str">
        <f>HYPERLINK("https://jobright.ai/jobs/info/66a3f948c344e12ad5441229?utm_campaign=1057&amp;utm_source=sheet", "Apply")</f>
        <v>Apply</v>
      </c>
      <c r="C271" s="10" t="s">
        <v>24337</v>
      </c>
      <c r="D271" s="56" t="s">
        <v>4448</v>
      </c>
      <c r="E271" s="10" t="s">
        <v>71</v>
      </c>
      <c r="F271" s="10" t="s">
        <v>4449</v>
      </c>
      <c r="G271" s="10" t="s">
        <v>24043</v>
      </c>
      <c r="H271" s="10" t="s">
        <v>3646</v>
      </c>
      <c r="I271" s="10" t="s">
        <v>55</v>
      </c>
      <c r="K271" s="10" t="s">
        <v>4450</v>
      </c>
      <c r="L271" s="10" t="s">
        <v>42</v>
      </c>
    </row>
    <row r="272" ht="15.75" customHeight="1">
      <c r="A272" s="66">
        <v>45494.0</v>
      </c>
      <c r="B272" s="55" t="str">
        <f>HYPERLINK("https://jobright.ai/jobs/info/66a3f948c344e12ad544122a?utm_campaign=1057&amp;utm_source=sheet", "Apply")</f>
        <v>Apply</v>
      </c>
      <c r="C272" s="10" t="s">
        <v>24423</v>
      </c>
      <c r="D272" s="56" t="s">
        <v>4448</v>
      </c>
      <c r="E272" s="10" t="s">
        <v>71</v>
      </c>
      <c r="F272" s="10" t="s">
        <v>4449</v>
      </c>
      <c r="G272" s="10" t="s">
        <v>24043</v>
      </c>
      <c r="H272" s="10" t="s">
        <v>636</v>
      </c>
      <c r="I272" s="10" t="s">
        <v>55</v>
      </c>
      <c r="K272" s="10" t="s">
        <v>24062</v>
      </c>
      <c r="L272" s="10" t="s">
        <v>42</v>
      </c>
    </row>
    <row r="273" ht="15.75" customHeight="1">
      <c r="A273" s="66">
        <v>45494.0</v>
      </c>
      <c r="B273" s="55" t="str">
        <f>HYPERLINK("https://jobright.ai/jobs/info/66a3f948c344e12ad544122b?utm_campaign=1057&amp;utm_source=sheet", "Apply")</f>
        <v>Apply</v>
      </c>
      <c r="C273" s="10" t="s">
        <v>24424</v>
      </c>
      <c r="D273" s="56" t="s">
        <v>4448</v>
      </c>
      <c r="E273" s="10" t="s">
        <v>71</v>
      </c>
      <c r="F273" s="10" t="s">
        <v>4449</v>
      </c>
      <c r="G273" s="10" t="s">
        <v>24043</v>
      </c>
      <c r="H273" s="10" t="s">
        <v>20990</v>
      </c>
      <c r="I273" s="10" t="s">
        <v>55</v>
      </c>
      <c r="K273" s="10" t="s">
        <v>4450</v>
      </c>
      <c r="L273" s="10" t="s">
        <v>42</v>
      </c>
    </row>
    <row r="274" ht="15.75" customHeight="1">
      <c r="A274" s="66">
        <v>45494.0</v>
      </c>
      <c r="B274" s="55" t="str">
        <f>HYPERLINK("https://jobright.ai/jobs/info/66a3f948c344e12ad544122e?utm_campaign=1057&amp;utm_source=sheet", "Apply")</f>
        <v>Apply</v>
      </c>
      <c r="C274" s="10" t="s">
        <v>24425</v>
      </c>
      <c r="D274" s="56" t="s">
        <v>4448</v>
      </c>
      <c r="E274" s="10" t="s">
        <v>71</v>
      </c>
      <c r="F274" s="10" t="s">
        <v>4449</v>
      </c>
      <c r="G274" s="10" t="s">
        <v>24043</v>
      </c>
      <c r="H274" s="10" t="s">
        <v>3646</v>
      </c>
      <c r="I274" s="10" t="s">
        <v>55</v>
      </c>
      <c r="K274" s="10" t="s">
        <v>4450</v>
      </c>
      <c r="L274" s="10" t="s">
        <v>42</v>
      </c>
    </row>
    <row r="275" ht="15.75" customHeight="1">
      <c r="A275" s="66">
        <v>45494.0</v>
      </c>
      <c r="B275" s="55" t="str">
        <f>HYPERLINK("https://jobright.ai/jobs/info/66a3f948c344e12ad5441231?utm_campaign=1057&amp;utm_source=sheet", "Apply")</f>
        <v>Apply</v>
      </c>
      <c r="C275" s="10" t="s">
        <v>24409</v>
      </c>
      <c r="D275" s="56" t="s">
        <v>4448</v>
      </c>
      <c r="E275" s="10" t="s">
        <v>71</v>
      </c>
      <c r="F275" s="10" t="s">
        <v>4449</v>
      </c>
      <c r="G275" s="10" t="s">
        <v>24043</v>
      </c>
      <c r="H275" s="10" t="s">
        <v>4456</v>
      </c>
      <c r="I275" s="10" t="s">
        <v>55</v>
      </c>
      <c r="K275" s="10" t="s">
        <v>24062</v>
      </c>
      <c r="L275" s="10" t="s">
        <v>42</v>
      </c>
    </row>
    <row r="276" ht="15.75" customHeight="1">
      <c r="A276" s="66">
        <v>45494.0</v>
      </c>
      <c r="B276" s="55" t="str">
        <f>HYPERLINK("https://jobright.ai/jobs/info/66a3f948c344e12ad5441232?utm_campaign=1057&amp;utm_source=sheet", "Apply")</f>
        <v>Apply</v>
      </c>
      <c r="C276" s="10" t="s">
        <v>8211</v>
      </c>
      <c r="D276" s="56" t="s">
        <v>4448</v>
      </c>
      <c r="E276" s="10" t="s">
        <v>71</v>
      </c>
      <c r="F276" s="10" t="s">
        <v>4449</v>
      </c>
      <c r="G276" s="10" t="s">
        <v>24043</v>
      </c>
      <c r="H276" s="10" t="s">
        <v>4455</v>
      </c>
      <c r="I276" s="10" t="s">
        <v>55</v>
      </c>
      <c r="K276" s="10" t="s">
        <v>4450</v>
      </c>
      <c r="L276" s="10" t="s">
        <v>42</v>
      </c>
    </row>
    <row r="277" ht="15.75" customHeight="1">
      <c r="A277" s="66">
        <v>45494.0</v>
      </c>
      <c r="B277" s="55" t="str">
        <f>HYPERLINK("https://jobright.ai/jobs/info/66a3f948c344e12ad5441234?utm_campaign=1057&amp;utm_source=sheet", "Apply")</f>
        <v>Apply</v>
      </c>
      <c r="C277" s="10" t="s">
        <v>24395</v>
      </c>
      <c r="D277" s="56" t="s">
        <v>4448</v>
      </c>
      <c r="E277" s="10" t="s">
        <v>71</v>
      </c>
      <c r="F277" s="10" t="s">
        <v>4449</v>
      </c>
      <c r="G277" s="10" t="s">
        <v>24043</v>
      </c>
      <c r="H277" s="10" t="s">
        <v>16746</v>
      </c>
      <c r="I277" s="10" t="s">
        <v>55</v>
      </c>
      <c r="K277" s="10" t="s">
        <v>4450</v>
      </c>
      <c r="L277" s="10" t="s">
        <v>42</v>
      </c>
    </row>
    <row r="278" ht="15.75" customHeight="1">
      <c r="A278" s="66">
        <v>45494.0</v>
      </c>
      <c r="B278" s="55" t="str">
        <f>HYPERLINK("https://jobright.ai/jobs/info/66a3f948c344e12ad5441235?utm_campaign=1057&amp;utm_source=sheet", "Apply")</f>
        <v>Apply</v>
      </c>
      <c r="C278" s="10" t="s">
        <v>24419</v>
      </c>
      <c r="D278" s="56" t="s">
        <v>4448</v>
      </c>
      <c r="E278" s="10" t="s">
        <v>71</v>
      </c>
      <c r="F278" s="10" t="s">
        <v>4449</v>
      </c>
      <c r="G278" s="10" t="s">
        <v>24043</v>
      </c>
      <c r="H278" s="10" t="s">
        <v>4452</v>
      </c>
      <c r="I278" s="10" t="s">
        <v>55</v>
      </c>
      <c r="K278" s="10" t="s">
        <v>4450</v>
      </c>
      <c r="L278" s="10" t="s">
        <v>42</v>
      </c>
    </row>
    <row r="279" ht="15.75" customHeight="1">
      <c r="A279" s="66">
        <v>45494.0</v>
      </c>
      <c r="B279" s="55" t="str">
        <f>HYPERLINK("https://jobright.ai/jobs/info/66a3f948c344e12ad5441236?utm_campaign=1057&amp;utm_source=sheet", "Apply")</f>
        <v>Apply</v>
      </c>
      <c r="C279" s="10" t="s">
        <v>24426</v>
      </c>
      <c r="D279" s="56" t="s">
        <v>4448</v>
      </c>
      <c r="E279" s="10" t="s">
        <v>71</v>
      </c>
      <c r="F279" s="10" t="s">
        <v>4449</v>
      </c>
      <c r="G279" s="10" t="s">
        <v>24043</v>
      </c>
      <c r="H279" s="10" t="s">
        <v>8248</v>
      </c>
      <c r="I279" s="10" t="s">
        <v>55</v>
      </c>
      <c r="K279" s="10" t="s">
        <v>24062</v>
      </c>
      <c r="L279" s="10" t="s">
        <v>42</v>
      </c>
    </row>
    <row r="280" ht="15.75" customHeight="1">
      <c r="A280" s="66">
        <v>45494.0</v>
      </c>
      <c r="B280" s="55" t="str">
        <f>HYPERLINK("https://jobright.ai/jobs/info/669fc5b74a5bc44dcb541f7a?utm_campaign=1057&amp;utm_source=sheet", "Apply")</f>
        <v>Apply</v>
      </c>
      <c r="C280" s="10" t="s">
        <v>24427</v>
      </c>
      <c r="D280" s="56" t="s">
        <v>4448</v>
      </c>
      <c r="E280" s="10" t="s">
        <v>71</v>
      </c>
      <c r="F280" s="10" t="s">
        <v>4449</v>
      </c>
      <c r="G280" s="10" t="s">
        <v>24043</v>
      </c>
      <c r="H280" s="10" t="s">
        <v>5432</v>
      </c>
      <c r="I280" s="10" t="s">
        <v>55</v>
      </c>
      <c r="K280" s="10" t="s">
        <v>4450</v>
      </c>
      <c r="L280" s="10" t="s">
        <v>42</v>
      </c>
    </row>
    <row r="281" ht="15.75" customHeight="1">
      <c r="A281" s="66">
        <v>45494.0</v>
      </c>
      <c r="B281" s="55" t="str">
        <f>HYPERLINK("https://jobright.ai/jobs/info/669fc5b74a5bc44dcb541f81?utm_campaign=1057&amp;utm_source=sheet", "Apply")</f>
        <v>Apply</v>
      </c>
      <c r="C281" s="10" t="s">
        <v>24369</v>
      </c>
      <c r="D281" s="56" t="s">
        <v>4448</v>
      </c>
      <c r="E281" s="10" t="s">
        <v>71</v>
      </c>
      <c r="F281" s="10" t="s">
        <v>4449</v>
      </c>
      <c r="G281" s="10" t="s">
        <v>24043</v>
      </c>
      <c r="H281" s="10" t="s">
        <v>16746</v>
      </c>
      <c r="I281" s="10" t="s">
        <v>55</v>
      </c>
      <c r="K281" s="10" t="s">
        <v>24062</v>
      </c>
      <c r="L281" s="10" t="s">
        <v>42</v>
      </c>
    </row>
    <row r="282" ht="15.75" customHeight="1">
      <c r="A282" s="66">
        <v>45494.0</v>
      </c>
      <c r="B282" s="55" t="str">
        <f>HYPERLINK("https://jobright.ai/jobs/info/669fc5b74a5bc44dcb541f84?utm_campaign=1057&amp;utm_source=sheet", "Apply")</f>
        <v>Apply</v>
      </c>
      <c r="C282" s="10" t="s">
        <v>24088</v>
      </c>
      <c r="D282" s="56" t="s">
        <v>4448</v>
      </c>
      <c r="E282" s="10" t="s">
        <v>71</v>
      </c>
      <c r="F282" s="10" t="s">
        <v>4449</v>
      </c>
      <c r="G282" s="10" t="s">
        <v>24043</v>
      </c>
      <c r="H282" s="10" t="s">
        <v>5432</v>
      </c>
      <c r="I282" s="10" t="s">
        <v>55</v>
      </c>
      <c r="K282" s="10" t="s">
        <v>24062</v>
      </c>
      <c r="L282" s="10" t="s">
        <v>42</v>
      </c>
    </row>
    <row r="283" ht="15.75" customHeight="1">
      <c r="A283" s="66">
        <v>45494.0</v>
      </c>
      <c r="B283" s="55" t="str">
        <f>HYPERLINK("https://jobright.ai/jobs/info/669fc3865fc481811c0e6604?utm_campaign=1057&amp;utm_source=sheet", "Apply")</f>
        <v>Apply</v>
      </c>
      <c r="C283" s="10" t="s">
        <v>24428</v>
      </c>
      <c r="D283" s="56" t="s">
        <v>4448</v>
      </c>
      <c r="E283" s="10" t="s">
        <v>71</v>
      </c>
      <c r="F283" s="10" t="s">
        <v>4449</v>
      </c>
      <c r="G283" s="10" t="s">
        <v>24043</v>
      </c>
      <c r="H283" s="10" t="s">
        <v>4455</v>
      </c>
      <c r="I283" s="10" t="s">
        <v>55</v>
      </c>
      <c r="K283" s="10" t="s">
        <v>24062</v>
      </c>
      <c r="L283" s="10" t="s">
        <v>42</v>
      </c>
    </row>
    <row r="284" ht="15.75" customHeight="1">
      <c r="A284" s="66">
        <v>45494.0</v>
      </c>
      <c r="B284" s="55" t="str">
        <f>HYPERLINK("https://jobright.ai/jobs/info/669fc3865fc481811c0e6603?utm_campaign=1057&amp;utm_source=sheet", "Apply")</f>
        <v>Apply</v>
      </c>
      <c r="C284" s="10" t="s">
        <v>24421</v>
      </c>
      <c r="D284" s="56" t="s">
        <v>4448</v>
      </c>
      <c r="E284" s="10" t="s">
        <v>71</v>
      </c>
      <c r="F284" s="10" t="s">
        <v>4449</v>
      </c>
      <c r="G284" s="10" t="s">
        <v>24043</v>
      </c>
      <c r="H284" s="10" t="s">
        <v>20989</v>
      </c>
      <c r="I284" s="10" t="s">
        <v>55</v>
      </c>
      <c r="K284" s="10" t="s">
        <v>4450</v>
      </c>
      <c r="L284" s="10" t="s">
        <v>42</v>
      </c>
    </row>
    <row r="285" ht="15.75" customHeight="1">
      <c r="A285" s="66">
        <v>45494.0</v>
      </c>
      <c r="B285" s="55" t="str">
        <f>HYPERLINK("https://jobright.ai/jobs/info/669fc3865fc481811c0e6607?utm_campaign=1057&amp;utm_source=sheet", "Apply")</f>
        <v>Apply</v>
      </c>
      <c r="C285" s="10" t="s">
        <v>24429</v>
      </c>
      <c r="D285" s="56" t="s">
        <v>4448</v>
      </c>
      <c r="E285" s="10" t="s">
        <v>71</v>
      </c>
      <c r="F285" s="10" t="s">
        <v>4449</v>
      </c>
      <c r="G285" s="10" t="s">
        <v>24043</v>
      </c>
      <c r="H285" s="10" t="s">
        <v>2602</v>
      </c>
      <c r="I285" s="10" t="s">
        <v>55</v>
      </c>
      <c r="K285" s="10" t="s">
        <v>24062</v>
      </c>
      <c r="L285" s="10" t="s">
        <v>42</v>
      </c>
    </row>
    <row r="286" ht="15.75" customHeight="1">
      <c r="A286" s="66">
        <v>45494.0</v>
      </c>
      <c r="B286" s="55" t="str">
        <f>HYPERLINK("https://jobright.ai/jobs/info/669fc3865fc481811c0e660b?utm_campaign=1057&amp;utm_source=sheet", "Apply")</f>
        <v>Apply</v>
      </c>
      <c r="C286" s="10" t="s">
        <v>24430</v>
      </c>
      <c r="D286" s="56" t="s">
        <v>4448</v>
      </c>
      <c r="E286" s="10" t="s">
        <v>71</v>
      </c>
      <c r="F286" s="10" t="s">
        <v>4449</v>
      </c>
      <c r="G286" s="10" t="s">
        <v>24043</v>
      </c>
      <c r="H286" s="10" t="s">
        <v>5432</v>
      </c>
      <c r="I286" s="10" t="s">
        <v>55</v>
      </c>
      <c r="K286" s="10" t="s">
        <v>24062</v>
      </c>
      <c r="L286" s="10" t="s">
        <v>42</v>
      </c>
    </row>
    <row r="287" ht="15.75" customHeight="1">
      <c r="A287" s="66">
        <v>45494.0</v>
      </c>
      <c r="B287" s="55" t="str">
        <f>HYPERLINK("https://jobright.ai/jobs/info/669fc3865fc481811c0e660e?utm_campaign=1057&amp;utm_source=sheet", "Apply")</f>
        <v>Apply</v>
      </c>
      <c r="C287" s="10" t="s">
        <v>24431</v>
      </c>
      <c r="D287" s="56" t="s">
        <v>4448</v>
      </c>
      <c r="E287" s="10" t="s">
        <v>71</v>
      </c>
      <c r="F287" s="10" t="s">
        <v>4449</v>
      </c>
      <c r="G287" s="10" t="s">
        <v>24043</v>
      </c>
      <c r="H287" s="10" t="s">
        <v>4456</v>
      </c>
      <c r="I287" s="10" t="s">
        <v>55</v>
      </c>
      <c r="K287" s="10" t="s">
        <v>4450</v>
      </c>
      <c r="L287" s="10" t="s">
        <v>42</v>
      </c>
    </row>
    <row r="288" ht="15.75" customHeight="1">
      <c r="A288" s="66">
        <v>45494.0</v>
      </c>
      <c r="B288" s="55" t="str">
        <f>HYPERLINK("https://jobright.ai/jobs/info/669fc3865fc481811c0e660f?utm_campaign=1057&amp;utm_source=sheet", "Apply")</f>
        <v>Apply</v>
      </c>
      <c r="C288" s="10" t="s">
        <v>24432</v>
      </c>
      <c r="D288" s="56" t="s">
        <v>4448</v>
      </c>
      <c r="E288" s="10" t="s">
        <v>71</v>
      </c>
      <c r="F288" s="10" t="s">
        <v>4449</v>
      </c>
      <c r="G288" s="10" t="s">
        <v>24043</v>
      </c>
      <c r="H288" s="10" t="s">
        <v>24370</v>
      </c>
      <c r="I288" s="10" t="s">
        <v>55</v>
      </c>
      <c r="K288" s="10" t="s">
        <v>4450</v>
      </c>
      <c r="L288" s="10" t="s">
        <v>42</v>
      </c>
    </row>
    <row r="289" ht="15.75" customHeight="1">
      <c r="A289" s="66">
        <v>45494.0</v>
      </c>
      <c r="B289" s="55" t="str">
        <f>HYPERLINK("https://jobright.ai/jobs/info/669fc3865fc481811c0e6611?utm_campaign=1057&amp;utm_source=sheet", "Apply")</f>
        <v>Apply</v>
      </c>
      <c r="C289" s="10" t="s">
        <v>24433</v>
      </c>
      <c r="D289" s="56" t="s">
        <v>4448</v>
      </c>
      <c r="E289" s="10" t="s">
        <v>71</v>
      </c>
      <c r="F289" s="10" t="s">
        <v>4449</v>
      </c>
      <c r="G289" s="10" t="s">
        <v>24043</v>
      </c>
      <c r="H289" s="10" t="s">
        <v>1786</v>
      </c>
      <c r="I289" s="10" t="s">
        <v>55</v>
      </c>
      <c r="K289" s="10" t="s">
        <v>24062</v>
      </c>
      <c r="L289" s="10" t="s">
        <v>42</v>
      </c>
    </row>
    <row r="290" ht="15.75" customHeight="1">
      <c r="A290" s="66">
        <v>45494.0</v>
      </c>
      <c r="B290" s="55" t="str">
        <f>HYPERLINK("https://jobright.ai/jobs/info/669fc3865fc481811c0e6616?utm_campaign=1057&amp;utm_source=sheet", "Apply")</f>
        <v>Apply</v>
      </c>
      <c r="C290" s="10" t="s">
        <v>24429</v>
      </c>
      <c r="D290" s="56" t="s">
        <v>4448</v>
      </c>
      <c r="E290" s="10" t="s">
        <v>71</v>
      </c>
      <c r="F290" s="10" t="s">
        <v>4449</v>
      </c>
      <c r="G290" s="10" t="s">
        <v>24043</v>
      </c>
      <c r="H290" s="10" t="s">
        <v>16746</v>
      </c>
      <c r="I290" s="10" t="s">
        <v>55</v>
      </c>
      <c r="K290" s="10" t="s">
        <v>24062</v>
      </c>
      <c r="L290" s="10" t="s">
        <v>42</v>
      </c>
    </row>
    <row r="291" ht="15.75" customHeight="1">
      <c r="A291" s="66">
        <v>45494.0</v>
      </c>
      <c r="B291" s="55" t="str">
        <f>HYPERLINK("https://jobright.ai/jobs/info/669fc3865fc481811c0e6618?utm_campaign=1057&amp;utm_source=sheet", "Apply")</f>
        <v>Apply</v>
      </c>
      <c r="C291" s="10" t="s">
        <v>24434</v>
      </c>
      <c r="D291" s="56" t="s">
        <v>4448</v>
      </c>
      <c r="E291" s="10" t="s">
        <v>71</v>
      </c>
      <c r="F291" s="10" t="s">
        <v>4449</v>
      </c>
      <c r="G291" s="10" t="s">
        <v>24043</v>
      </c>
      <c r="H291" s="10" t="s">
        <v>4452</v>
      </c>
      <c r="I291" s="10" t="s">
        <v>55</v>
      </c>
      <c r="K291" s="10" t="s">
        <v>4450</v>
      </c>
      <c r="L291" s="10" t="s">
        <v>42</v>
      </c>
    </row>
    <row r="292" ht="15.75" customHeight="1">
      <c r="A292" s="66">
        <v>45494.0</v>
      </c>
      <c r="B292" s="55" t="str">
        <f>HYPERLINK("https://jobright.ai/jobs/info/669fc3865fc481811c0e661d?utm_campaign=1057&amp;utm_source=sheet", "Apply")</f>
        <v>Apply</v>
      </c>
      <c r="C292" s="10" t="s">
        <v>24435</v>
      </c>
      <c r="D292" s="56" t="s">
        <v>4448</v>
      </c>
      <c r="E292" s="10" t="s">
        <v>71</v>
      </c>
      <c r="F292" s="10" t="s">
        <v>4449</v>
      </c>
      <c r="G292" s="10" t="s">
        <v>24043</v>
      </c>
      <c r="H292" s="10" t="s">
        <v>24408</v>
      </c>
      <c r="I292" s="10" t="s">
        <v>55</v>
      </c>
      <c r="K292" s="10" t="s">
        <v>4450</v>
      </c>
      <c r="L292" s="10" t="s">
        <v>42</v>
      </c>
    </row>
    <row r="293" ht="15.75" customHeight="1">
      <c r="A293" s="66">
        <v>45494.0</v>
      </c>
      <c r="B293" s="55" t="str">
        <f>HYPERLINK("https://jobright.ai/jobs/info/669fc3865fc481811c0e662b?utm_campaign=1057&amp;utm_source=sheet", "Apply")</f>
        <v>Apply</v>
      </c>
      <c r="C293" s="10" t="s">
        <v>24406</v>
      </c>
      <c r="D293" s="56" t="s">
        <v>4448</v>
      </c>
      <c r="E293" s="10" t="s">
        <v>71</v>
      </c>
      <c r="F293" s="10" t="s">
        <v>4449</v>
      </c>
      <c r="G293" s="10" t="s">
        <v>24043</v>
      </c>
      <c r="H293" s="10" t="s">
        <v>4261</v>
      </c>
      <c r="I293" s="10" t="s">
        <v>55</v>
      </c>
      <c r="K293" s="10" t="s">
        <v>4450</v>
      </c>
      <c r="L293" s="10" t="s">
        <v>42</v>
      </c>
    </row>
    <row r="294" ht="15.75" customHeight="1">
      <c r="A294" s="66">
        <v>45494.0</v>
      </c>
      <c r="B294" s="55" t="str">
        <f>HYPERLINK("https://jobright.ai/jobs/info/669fbd1e52eff9ce93d1c8e2?utm_campaign=1057&amp;utm_source=sheet", "Apply")</f>
        <v>Apply</v>
      </c>
      <c r="C294" s="10" t="s">
        <v>24421</v>
      </c>
      <c r="D294" s="56" t="s">
        <v>4448</v>
      </c>
      <c r="E294" s="10" t="s">
        <v>71</v>
      </c>
      <c r="F294" s="10" t="s">
        <v>4449</v>
      </c>
      <c r="G294" s="10" t="s">
        <v>24043</v>
      </c>
      <c r="H294" s="10" t="s">
        <v>4458</v>
      </c>
      <c r="I294" s="10" t="s">
        <v>55</v>
      </c>
      <c r="K294" s="10" t="s">
        <v>4450</v>
      </c>
      <c r="L294" s="10" t="s">
        <v>42</v>
      </c>
    </row>
    <row r="295" ht="15.75" customHeight="1">
      <c r="A295" s="66">
        <v>45494.0</v>
      </c>
      <c r="B295" s="55" t="str">
        <f>HYPERLINK("https://jobright.ai/jobs/info/669fbd1e52eff9ce93d1c8e4?utm_campaign=1057&amp;utm_source=sheet", "Apply")</f>
        <v>Apply</v>
      </c>
      <c r="C295" s="10" t="s">
        <v>24423</v>
      </c>
      <c r="D295" s="56" t="s">
        <v>4448</v>
      </c>
      <c r="E295" s="10" t="s">
        <v>71</v>
      </c>
      <c r="F295" s="10" t="s">
        <v>4449</v>
      </c>
      <c r="G295" s="10" t="s">
        <v>24043</v>
      </c>
      <c r="H295" s="10" t="s">
        <v>1786</v>
      </c>
      <c r="I295" s="10" t="s">
        <v>55</v>
      </c>
      <c r="K295" s="10" t="s">
        <v>24062</v>
      </c>
      <c r="L295" s="10" t="s">
        <v>42</v>
      </c>
    </row>
    <row r="296" ht="15.75" customHeight="1">
      <c r="A296" s="66">
        <v>45494.0</v>
      </c>
      <c r="B296" s="55" t="str">
        <f>HYPERLINK("https://jobright.ai/jobs/info/66a1101cce5fc9388e3f1838?utm_campaign=1057&amp;utm_source=sheet", "Apply")</f>
        <v>Apply</v>
      </c>
      <c r="C296" s="10" t="s">
        <v>24436</v>
      </c>
      <c r="D296" s="56" t="s">
        <v>4448</v>
      </c>
      <c r="E296" s="10" t="s">
        <v>71</v>
      </c>
      <c r="F296" s="10" t="s">
        <v>4449</v>
      </c>
      <c r="G296" s="10" t="s">
        <v>24043</v>
      </c>
      <c r="H296" s="10" t="s">
        <v>20989</v>
      </c>
      <c r="I296" s="10" t="s">
        <v>55</v>
      </c>
      <c r="K296" s="10" t="s">
        <v>24062</v>
      </c>
      <c r="L296" s="10" t="s">
        <v>42</v>
      </c>
    </row>
    <row r="297" ht="15.75" customHeight="1">
      <c r="A297" s="66">
        <v>45494.0</v>
      </c>
      <c r="B297" s="55" t="str">
        <f>HYPERLINK("https://jobright.ai/jobs/info/66a1101cce5fc9388e3f183d?utm_campaign=1057&amp;utm_source=sheet", "Apply")</f>
        <v>Apply</v>
      </c>
      <c r="C297" s="10" t="s">
        <v>24183</v>
      </c>
      <c r="D297" s="56" t="s">
        <v>4448</v>
      </c>
      <c r="E297" s="10" t="s">
        <v>71</v>
      </c>
      <c r="F297" s="10" t="s">
        <v>4449</v>
      </c>
      <c r="G297" s="10" t="s">
        <v>24043</v>
      </c>
      <c r="H297" s="10" t="s">
        <v>5432</v>
      </c>
      <c r="I297" s="10" t="s">
        <v>55</v>
      </c>
      <c r="K297" s="10" t="s">
        <v>4450</v>
      </c>
      <c r="L297" s="10" t="s">
        <v>42</v>
      </c>
    </row>
    <row r="298" ht="15.75" customHeight="1">
      <c r="A298" s="66">
        <v>45494.0</v>
      </c>
      <c r="B298" s="55" t="str">
        <f>HYPERLINK("https://jobright.ai/jobs/info/66a1101cce5fc9388e3f1840?utm_campaign=1057&amp;utm_source=sheet", "Apply")</f>
        <v>Apply</v>
      </c>
      <c r="C298" s="10" t="s">
        <v>24417</v>
      </c>
      <c r="D298" s="56" t="s">
        <v>4448</v>
      </c>
      <c r="E298" s="10" t="s">
        <v>71</v>
      </c>
      <c r="F298" s="10" t="s">
        <v>4449</v>
      </c>
      <c r="G298" s="10" t="s">
        <v>24043</v>
      </c>
      <c r="H298" s="10" t="s">
        <v>4455</v>
      </c>
      <c r="I298" s="10" t="s">
        <v>55</v>
      </c>
      <c r="K298" s="10" t="s">
        <v>24062</v>
      </c>
      <c r="L298" s="10" t="s">
        <v>42</v>
      </c>
    </row>
    <row r="299" ht="15.75" customHeight="1">
      <c r="A299" s="66">
        <v>45494.0</v>
      </c>
      <c r="B299" s="55" t="str">
        <f>HYPERLINK("https://jobright.ai/jobs/info/66a3f948c344e12ad5441240?utm_campaign=1057&amp;utm_source=sheet", "Apply")</f>
        <v>Apply</v>
      </c>
      <c r="C299" s="10" t="s">
        <v>24423</v>
      </c>
      <c r="D299" s="56" t="s">
        <v>4448</v>
      </c>
      <c r="E299" s="10" t="s">
        <v>71</v>
      </c>
      <c r="F299" s="10" t="s">
        <v>4449</v>
      </c>
      <c r="G299" s="10" t="s">
        <v>24043</v>
      </c>
      <c r="H299" s="10" t="s">
        <v>4455</v>
      </c>
      <c r="I299" s="10" t="s">
        <v>55</v>
      </c>
      <c r="K299" s="10" t="s">
        <v>24062</v>
      </c>
      <c r="L299" s="10" t="s">
        <v>42</v>
      </c>
    </row>
    <row r="300" ht="15.75" customHeight="1">
      <c r="A300" s="66">
        <v>45494.0</v>
      </c>
      <c r="B300" s="55" t="str">
        <f>HYPERLINK("https://jobright.ai/jobs/info/66623cd27c723bce92c1f45a?utm_campaign=1057&amp;utm_source=sheet", "Apply")</f>
        <v>Apply</v>
      </c>
      <c r="C300" s="10" t="s">
        <v>24437</v>
      </c>
      <c r="D300" s="56" t="s">
        <v>4479</v>
      </c>
      <c r="E300" s="10" t="s">
        <v>45</v>
      </c>
      <c r="F300" s="10" t="s">
        <v>3778</v>
      </c>
      <c r="G300" s="10" t="s">
        <v>24022</v>
      </c>
      <c r="H300" s="10" t="s">
        <v>167</v>
      </c>
      <c r="I300" s="10" t="s">
        <v>55</v>
      </c>
      <c r="J300" s="10" t="s">
        <v>5735</v>
      </c>
      <c r="K300" s="10" t="s">
        <v>24438</v>
      </c>
      <c r="L300" s="10" t="s">
        <v>42</v>
      </c>
    </row>
    <row r="301" ht="15.75" customHeight="1">
      <c r="A301" s="66">
        <v>45494.0</v>
      </c>
      <c r="B301" s="55" t="str">
        <f>HYPERLINK("https://jobright.ai/jobs/info/66a3f948c344e12ad544124d?utm_campaign=1057&amp;utm_source=sheet", "Apply")</f>
        <v>Apply</v>
      </c>
      <c r="C301" s="10" t="s">
        <v>24183</v>
      </c>
      <c r="D301" s="56" t="s">
        <v>4448</v>
      </c>
      <c r="E301" s="10" t="s">
        <v>71</v>
      </c>
      <c r="F301" s="10" t="s">
        <v>4449</v>
      </c>
      <c r="G301" s="10" t="s">
        <v>24043</v>
      </c>
      <c r="H301" s="10" t="s">
        <v>3646</v>
      </c>
      <c r="I301" s="10" t="s">
        <v>55</v>
      </c>
      <c r="K301" s="10" t="s">
        <v>4450</v>
      </c>
      <c r="L301" s="10" t="s">
        <v>42</v>
      </c>
    </row>
    <row r="302" ht="15.75" customHeight="1">
      <c r="A302" s="66">
        <v>45494.0</v>
      </c>
      <c r="B302" s="55" t="str">
        <f>HYPERLINK("https://jobright.ai/jobs/info/66a3f951c344e12ad5441252?utm_campaign=1057&amp;utm_source=sheet", "Apply")</f>
        <v>Apply</v>
      </c>
      <c r="C302" s="10" t="s">
        <v>24439</v>
      </c>
      <c r="D302" s="56" t="s">
        <v>4448</v>
      </c>
      <c r="E302" s="10" t="s">
        <v>71</v>
      </c>
      <c r="F302" s="10" t="s">
        <v>4449</v>
      </c>
      <c r="G302" s="10" t="s">
        <v>24043</v>
      </c>
      <c r="H302" s="10" t="s">
        <v>1786</v>
      </c>
      <c r="I302" s="10" t="s">
        <v>55</v>
      </c>
      <c r="K302" s="10" t="s">
        <v>4450</v>
      </c>
      <c r="L302" s="10" t="s">
        <v>42</v>
      </c>
    </row>
    <row r="303" ht="15.75" customHeight="1">
      <c r="A303" s="66">
        <v>45494.0</v>
      </c>
      <c r="B303" s="55" t="str">
        <f>HYPERLINK("https://jobright.ai/jobs/info/66a3f951c344e12ad5441253?utm_campaign=1057&amp;utm_source=sheet", "Apply")</f>
        <v>Apply</v>
      </c>
      <c r="C303" s="10" t="s">
        <v>24440</v>
      </c>
      <c r="D303" s="56" t="s">
        <v>4448</v>
      </c>
      <c r="E303" s="10" t="s">
        <v>71</v>
      </c>
      <c r="F303" s="10" t="s">
        <v>4449</v>
      </c>
      <c r="G303" s="10" t="s">
        <v>24043</v>
      </c>
      <c r="H303" s="10" t="s">
        <v>20990</v>
      </c>
      <c r="I303" s="10" t="s">
        <v>55</v>
      </c>
      <c r="K303" s="10" t="s">
        <v>24062</v>
      </c>
      <c r="L303" s="10" t="s">
        <v>42</v>
      </c>
    </row>
    <row r="304" ht="15.75" customHeight="1">
      <c r="A304" s="66">
        <v>45494.0</v>
      </c>
      <c r="B304" s="55" t="str">
        <f>HYPERLINK("https://jobright.ai/jobs/info/669fba0da5eef26fc632843f?utm_campaign=1057&amp;utm_source=sheet", "Apply")</f>
        <v>Apply</v>
      </c>
      <c r="C304" s="10" t="s">
        <v>8245</v>
      </c>
      <c r="D304" s="56" t="s">
        <v>4448</v>
      </c>
      <c r="E304" s="10" t="s">
        <v>71</v>
      </c>
      <c r="F304" s="10" t="s">
        <v>4449</v>
      </c>
      <c r="G304" s="10" t="s">
        <v>24043</v>
      </c>
      <c r="H304" s="10" t="s">
        <v>24338</v>
      </c>
      <c r="I304" s="10" t="s">
        <v>55</v>
      </c>
      <c r="K304" s="10" t="s">
        <v>24062</v>
      </c>
      <c r="L304" s="10" t="s">
        <v>42</v>
      </c>
    </row>
    <row r="305" ht="15.75" customHeight="1">
      <c r="A305" s="66">
        <v>45494.0</v>
      </c>
      <c r="B305" s="55" t="str">
        <f>HYPERLINK("https://jobright.ai/jobs/info/66a3f951c344e12ad5441256?utm_campaign=1057&amp;utm_source=sheet", "Apply")</f>
        <v>Apply</v>
      </c>
      <c r="C305" s="10" t="s">
        <v>24316</v>
      </c>
      <c r="D305" s="56" t="s">
        <v>4448</v>
      </c>
      <c r="E305" s="10" t="s">
        <v>71</v>
      </c>
      <c r="F305" s="10" t="s">
        <v>4449</v>
      </c>
      <c r="G305" s="10" t="s">
        <v>24043</v>
      </c>
      <c r="H305" s="10" t="s">
        <v>4261</v>
      </c>
      <c r="I305" s="10" t="s">
        <v>55</v>
      </c>
      <c r="K305" s="10" t="s">
        <v>24062</v>
      </c>
      <c r="L305" s="10" t="s">
        <v>42</v>
      </c>
    </row>
    <row r="306" ht="15.75" customHeight="1">
      <c r="A306" s="66">
        <v>45494.0</v>
      </c>
      <c r="B306" s="55" t="str">
        <f>HYPERLINK("https://jobright.ai/jobs/info/669fba0da5eef26fc6328440?utm_campaign=1057&amp;utm_source=sheet", "Apply")</f>
        <v>Apply</v>
      </c>
      <c r="C306" s="10" t="s">
        <v>24369</v>
      </c>
      <c r="D306" s="56" t="s">
        <v>4448</v>
      </c>
      <c r="E306" s="10" t="s">
        <v>71</v>
      </c>
      <c r="F306" s="10" t="s">
        <v>4449</v>
      </c>
      <c r="G306" s="10" t="s">
        <v>24043</v>
      </c>
      <c r="H306" s="10" t="s">
        <v>4455</v>
      </c>
      <c r="I306" s="10" t="s">
        <v>55</v>
      </c>
      <c r="K306" s="10" t="s">
        <v>24062</v>
      </c>
      <c r="L306" s="10" t="s">
        <v>42</v>
      </c>
    </row>
    <row r="307" ht="15.75" customHeight="1">
      <c r="A307" s="66">
        <v>45494.0</v>
      </c>
      <c r="B307" s="55" t="str">
        <f>HYPERLINK("https://jobright.ai/jobs/info/66a3f951c344e12ad5441257?utm_campaign=1057&amp;utm_source=sheet", "Apply")</f>
        <v>Apply</v>
      </c>
      <c r="C307" s="10" t="s">
        <v>24417</v>
      </c>
      <c r="D307" s="56" t="s">
        <v>4448</v>
      </c>
      <c r="E307" s="10" t="s">
        <v>71</v>
      </c>
      <c r="F307" s="10" t="s">
        <v>4449</v>
      </c>
      <c r="G307" s="10" t="s">
        <v>24043</v>
      </c>
      <c r="H307" s="10" t="s">
        <v>636</v>
      </c>
      <c r="I307" s="10" t="s">
        <v>55</v>
      </c>
      <c r="K307" s="10" t="s">
        <v>24062</v>
      </c>
      <c r="L307" s="10" t="s">
        <v>42</v>
      </c>
    </row>
    <row r="308" ht="15.75" customHeight="1">
      <c r="A308" s="66">
        <v>45494.0</v>
      </c>
      <c r="B308" s="55" t="str">
        <f>HYPERLINK("https://jobright.ai/jobs/info/669fba0da5eef26fc6328442?utm_campaign=1057&amp;utm_source=sheet", "Apply")</f>
        <v>Apply</v>
      </c>
      <c r="C308" s="10" t="s">
        <v>24421</v>
      </c>
      <c r="D308" s="56" t="s">
        <v>4448</v>
      </c>
      <c r="E308" s="10" t="s">
        <v>71</v>
      </c>
      <c r="F308" s="10" t="s">
        <v>4449</v>
      </c>
      <c r="G308" s="10" t="s">
        <v>24043</v>
      </c>
      <c r="H308" s="10" t="s">
        <v>24370</v>
      </c>
      <c r="I308" s="10" t="s">
        <v>55</v>
      </c>
      <c r="K308" s="10" t="s">
        <v>4450</v>
      </c>
      <c r="L308" s="10" t="s">
        <v>42</v>
      </c>
    </row>
    <row r="309" ht="15.75" customHeight="1">
      <c r="A309" s="66">
        <v>45494.0</v>
      </c>
      <c r="B309" s="55" t="str">
        <f>HYPERLINK("https://jobright.ai/jobs/info/66a3f951c344e12ad544125c?utm_campaign=1057&amp;utm_source=sheet", "Apply")</f>
        <v>Apply</v>
      </c>
      <c r="C309" s="10" t="s">
        <v>24414</v>
      </c>
      <c r="D309" s="56" t="s">
        <v>4448</v>
      </c>
      <c r="E309" s="10" t="s">
        <v>71</v>
      </c>
      <c r="F309" s="10" t="s">
        <v>4449</v>
      </c>
      <c r="G309" s="10" t="s">
        <v>24043</v>
      </c>
      <c r="H309" s="10" t="s">
        <v>4455</v>
      </c>
      <c r="I309" s="10" t="s">
        <v>55</v>
      </c>
      <c r="K309" s="10" t="s">
        <v>4450</v>
      </c>
      <c r="L309" s="10" t="s">
        <v>42</v>
      </c>
    </row>
    <row r="310" ht="15.75" customHeight="1">
      <c r="A310" s="66">
        <v>45494.0</v>
      </c>
      <c r="B310" s="55" t="str">
        <f>HYPERLINK("https://jobright.ai/jobs/info/669fb7ae2623b0fc8308aeaf?utm_campaign=1057&amp;utm_source=sheet", "Apply")</f>
        <v>Apply</v>
      </c>
      <c r="C310" s="10" t="s">
        <v>24418</v>
      </c>
      <c r="D310" s="56" t="s">
        <v>4448</v>
      </c>
      <c r="E310" s="10" t="s">
        <v>71</v>
      </c>
      <c r="F310" s="10" t="s">
        <v>4449</v>
      </c>
      <c r="G310" s="10" t="s">
        <v>24043</v>
      </c>
      <c r="H310" s="10" t="s">
        <v>4452</v>
      </c>
      <c r="I310" s="10" t="s">
        <v>55</v>
      </c>
      <c r="K310" s="10" t="s">
        <v>4450</v>
      </c>
      <c r="L310" s="10" t="s">
        <v>42</v>
      </c>
    </row>
    <row r="311" ht="15.75" customHeight="1">
      <c r="A311" s="66">
        <v>45494.0</v>
      </c>
      <c r="B311" s="55" t="str">
        <f>HYPERLINK("https://jobright.ai/jobs/info/669fb7ae2623b0fc8308aeb1?utm_campaign=1057&amp;utm_source=sheet", "Apply")</f>
        <v>Apply</v>
      </c>
      <c r="C311" s="10" t="s">
        <v>24418</v>
      </c>
      <c r="D311" s="56" t="s">
        <v>4448</v>
      </c>
      <c r="E311" s="10" t="s">
        <v>71</v>
      </c>
      <c r="F311" s="10" t="s">
        <v>4449</v>
      </c>
      <c r="G311" s="10" t="s">
        <v>24043</v>
      </c>
      <c r="H311" s="10" t="s">
        <v>20989</v>
      </c>
      <c r="I311" s="10" t="s">
        <v>55</v>
      </c>
      <c r="K311" s="10" t="s">
        <v>4450</v>
      </c>
      <c r="L311" s="10" t="s">
        <v>42</v>
      </c>
    </row>
    <row r="312" ht="15.75" customHeight="1">
      <c r="A312" s="66">
        <v>45494.0</v>
      </c>
      <c r="B312" s="55" t="str">
        <f>HYPERLINK("https://jobright.ai/jobs/info/669e60ca97d87febbccc63db?utm_campaign=1057&amp;utm_source=sheet", "Apply")</f>
        <v>Apply</v>
      </c>
      <c r="C312" s="10" t="s">
        <v>24441</v>
      </c>
      <c r="D312" s="56" t="s">
        <v>4448</v>
      </c>
      <c r="E312" s="10" t="s">
        <v>71</v>
      </c>
      <c r="F312" s="10" t="s">
        <v>4449</v>
      </c>
      <c r="G312" s="10" t="s">
        <v>24043</v>
      </c>
      <c r="H312" s="10" t="s">
        <v>4452</v>
      </c>
      <c r="I312" s="10" t="s">
        <v>55</v>
      </c>
      <c r="K312" s="10" t="s">
        <v>4450</v>
      </c>
      <c r="L312" s="10" t="s">
        <v>42</v>
      </c>
    </row>
    <row r="313" ht="15.75" customHeight="1">
      <c r="A313" s="66">
        <v>45494.0</v>
      </c>
      <c r="B313" s="55" t="str">
        <f>HYPERLINK("https://jobright.ai/jobs/info/66a1058b942ffd4255bb29bf?utm_campaign=1057&amp;utm_source=sheet", "Apply")</f>
        <v>Apply</v>
      </c>
      <c r="C313" s="10" t="s">
        <v>24426</v>
      </c>
      <c r="D313" s="56" t="s">
        <v>4448</v>
      </c>
      <c r="E313" s="10" t="s">
        <v>71</v>
      </c>
      <c r="F313" s="10" t="s">
        <v>4449</v>
      </c>
      <c r="G313" s="10" t="s">
        <v>24043</v>
      </c>
      <c r="H313" s="10" t="s">
        <v>3646</v>
      </c>
      <c r="I313" s="10" t="s">
        <v>55</v>
      </c>
      <c r="K313" s="10" t="s">
        <v>24062</v>
      </c>
      <c r="L313" s="10" t="s">
        <v>42</v>
      </c>
    </row>
    <row r="314" ht="15.75" customHeight="1">
      <c r="A314" s="66">
        <v>45494.0</v>
      </c>
      <c r="B314" s="55" t="str">
        <f>HYPERLINK("https://jobright.ai/jobs/info/66a101f6297b81d4e6a956ce?utm_campaign=1057&amp;utm_source=sheet", "Apply")</f>
        <v>Apply</v>
      </c>
      <c r="C314" s="10" t="s">
        <v>24369</v>
      </c>
      <c r="D314" s="56" t="s">
        <v>4448</v>
      </c>
      <c r="E314" s="10" t="s">
        <v>71</v>
      </c>
      <c r="F314" s="10" t="s">
        <v>4449</v>
      </c>
      <c r="G314" s="10" t="s">
        <v>24043</v>
      </c>
      <c r="H314" s="10" t="s">
        <v>24396</v>
      </c>
      <c r="I314" s="10" t="s">
        <v>55</v>
      </c>
      <c r="K314" s="10" t="s">
        <v>24062</v>
      </c>
      <c r="L314" s="10" t="s">
        <v>42</v>
      </c>
    </row>
    <row r="315" ht="15.75" customHeight="1">
      <c r="A315" s="66">
        <v>45494.0</v>
      </c>
      <c r="B315" s="55" t="str">
        <f>HYPERLINK("https://jobright.ai/jobs/info/669fb2bfb78dda6ddf890707?utm_campaign=1057&amp;utm_source=sheet", "Apply")</f>
        <v>Apply</v>
      </c>
      <c r="C315" s="10" t="s">
        <v>24442</v>
      </c>
      <c r="D315" s="56" t="s">
        <v>4448</v>
      </c>
      <c r="E315" s="10" t="s">
        <v>71</v>
      </c>
      <c r="F315" s="10" t="s">
        <v>4449</v>
      </c>
      <c r="G315" s="10" t="s">
        <v>24043</v>
      </c>
      <c r="H315" s="10" t="s">
        <v>24338</v>
      </c>
      <c r="I315" s="10" t="s">
        <v>55</v>
      </c>
      <c r="K315" s="10" t="s">
        <v>24062</v>
      </c>
      <c r="L315" s="10" t="s">
        <v>42</v>
      </c>
    </row>
    <row r="316" ht="15.75" customHeight="1">
      <c r="A316" s="66">
        <v>45494.0</v>
      </c>
      <c r="B316" s="55" t="str">
        <f>HYPERLINK("https://jobright.ai/jobs/info/669fb2d6b78dda6ddf8908a6?utm_campaign=1057&amp;utm_source=sheet", "Apply")</f>
        <v>Apply</v>
      </c>
      <c r="C316" s="10" t="s">
        <v>24431</v>
      </c>
      <c r="D316" s="56" t="s">
        <v>4448</v>
      </c>
      <c r="E316" s="10" t="s">
        <v>71</v>
      </c>
      <c r="F316" s="10" t="s">
        <v>4449</v>
      </c>
      <c r="G316" s="10" t="s">
        <v>24043</v>
      </c>
      <c r="H316" s="10" t="s">
        <v>16746</v>
      </c>
      <c r="I316" s="10" t="s">
        <v>55</v>
      </c>
      <c r="K316" s="10" t="s">
        <v>4450</v>
      </c>
      <c r="L316" s="10" t="s">
        <v>42</v>
      </c>
    </row>
    <row r="317" ht="15.75" customHeight="1">
      <c r="A317" s="66">
        <v>45494.0</v>
      </c>
      <c r="B317" s="55" t="str">
        <f>HYPERLINK("https://jobright.ai/jobs/info/66a101f6297b81d4e6a956d0?utm_campaign=1057&amp;utm_source=sheet", "Apply")</f>
        <v>Apply</v>
      </c>
      <c r="C317" s="10" t="s">
        <v>21661</v>
      </c>
      <c r="D317" s="56" t="s">
        <v>4448</v>
      </c>
      <c r="E317" s="10" t="s">
        <v>71</v>
      </c>
      <c r="F317" s="10" t="s">
        <v>4449</v>
      </c>
      <c r="G317" s="10" t="s">
        <v>24043</v>
      </c>
      <c r="H317" s="10" t="s">
        <v>24370</v>
      </c>
      <c r="I317" s="10" t="s">
        <v>55</v>
      </c>
      <c r="K317" s="10" t="s">
        <v>4450</v>
      </c>
      <c r="L317" s="10" t="s">
        <v>42</v>
      </c>
    </row>
    <row r="318" ht="15.75" customHeight="1">
      <c r="A318" s="66">
        <v>45494.0</v>
      </c>
      <c r="B318" s="55" t="str">
        <f>HYPERLINK("https://jobright.ai/jobs/info/66a3f951c344e12ad544126b?utm_campaign=1057&amp;utm_source=sheet", "Apply")</f>
        <v>Apply</v>
      </c>
      <c r="C318" s="10" t="s">
        <v>24406</v>
      </c>
      <c r="D318" s="56" t="s">
        <v>4448</v>
      </c>
      <c r="E318" s="10" t="s">
        <v>71</v>
      </c>
      <c r="F318" s="10" t="s">
        <v>4449</v>
      </c>
      <c r="G318" s="10" t="s">
        <v>24043</v>
      </c>
      <c r="H318" s="10" t="s">
        <v>4458</v>
      </c>
      <c r="I318" s="10" t="s">
        <v>55</v>
      </c>
      <c r="K318" s="10" t="s">
        <v>4450</v>
      </c>
      <c r="L318" s="10" t="s">
        <v>42</v>
      </c>
    </row>
    <row r="319" ht="15.75" customHeight="1">
      <c r="A319" s="66">
        <v>45494.0</v>
      </c>
      <c r="B319" s="55" t="str">
        <f>HYPERLINK("https://jobright.ai/jobs/info/669faf55409ac17305d784f2?utm_campaign=1057&amp;utm_source=sheet", "Apply")</f>
        <v>Apply</v>
      </c>
      <c r="C319" s="10" t="s">
        <v>24428</v>
      </c>
      <c r="D319" s="56" t="s">
        <v>4448</v>
      </c>
      <c r="E319" s="10" t="s">
        <v>71</v>
      </c>
      <c r="F319" s="10" t="s">
        <v>4449</v>
      </c>
      <c r="G319" s="10" t="s">
        <v>24043</v>
      </c>
      <c r="H319" s="10" t="s">
        <v>255</v>
      </c>
      <c r="I319" s="10" t="s">
        <v>55</v>
      </c>
      <c r="K319" s="10" t="s">
        <v>24062</v>
      </c>
      <c r="L319" s="10" t="s">
        <v>42</v>
      </c>
    </row>
    <row r="320" ht="15.75" customHeight="1">
      <c r="A320" s="66">
        <v>45494.0</v>
      </c>
      <c r="B320" s="55" t="str">
        <f>HYPERLINK("https://jobright.ai/jobs/info/669faf55409ac17305d784f4?utm_campaign=1057&amp;utm_source=sheet", "Apply")</f>
        <v>Apply</v>
      </c>
      <c r="C320" s="10" t="s">
        <v>24443</v>
      </c>
      <c r="D320" s="56" t="s">
        <v>4448</v>
      </c>
      <c r="E320" s="10" t="s">
        <v>71</v>
      </c>
      <c r="F320" s="10" t="s">
        <v>4449</v>
      </c>
      <c r="G320" s="10" t="s">
        <v>24043</v>
      </c>
      <c r="H320" s="10" t="s">
        <v>8248</v>
      </c>
      <c r="I320" s="10" t="s">
        <v>55</v>
      </c>
      <c r="K320" s="10" t="s">
        <v>4450</v>
      </c>
      <c r="L320" s="10" t="s">
        <v>42</v>
      </c>
    </row>
    <row r="321" ht="15.75" customHeight="1">
      <c r="A321" s="66">
        <v>45494.0</v>
      </c>
      <c r="B321" s="55" t="str">
        <f>HYPERLINK("https://jobright.ai/jobs/info/66a3f951c344e12ad544126d?utm_campaign=1057&amp;utm_source=sheet", "Apply")</f>
        <v>Apply</v>
      </c>
      <c r="C321" s="10" t="s">
        <v>24375</v>
      </c>
      <c r="D321" s="56" t="s">
        <v>4448</v>
      </c>
      <c r="E321" s="10" t="s">
        <v>71</v>
      </c>
      <c r="F321" s="10" t="s">
        <v>4449</v>
      </c>
      <c r="G321" s="10" t="s">
        <v>24043</v>
      </c>
      <c r="H321" s="10" t="s">
        <v>2602</v>
      </c>
      <c r="I321" s="10" t="s">
        <v>55</v>
      </c>
      <c r="K321" s="10" t="s">
        <v>24062</v>
      </c>
      <c r="L321" s="10" t="s">
        <v>42</v>
      </c>
    </row>
    <row r="322" ht="15.75" customHeight="1">
      <c r="A322" s="66">
        <v>45494.0</v>
      </c>
      <c r="B322" s="55" t="str">
        <f>HYPERLINK("https://jobright.ai/jobs/info/669faf55409ac17305d784fa?utm_campaign=1057&amp;utm_source=sheet", "Apply")</f>
        <v>Apply</v>
      </c>
      <c r="C322" s="10" t="s">
        <v>24435</v>
      </c>
      <c r="D322" s="56" t="s">
        <v>4448</v>
      </c>
      <c r="E322" s="10" t="s">
        <v>71</v>
      </c>
      <c r="F322" s="10" t="s">
        <v>4449</v>
      </c>
      <c r="G322" s="10" t="s">
        <v>24043</v>
      </c>
      <c r="H322" s="10" t="s">
        <v>5432</v>
      </c>
      <c r="I322" s="10" t="s">
        <v>55</v>
      </c>
      <c r="K322" s="10" t="s">
        <v>4450</v>
      </c>
      <c r="L322" s="10" t="s">
        <v>42</v>
      </c>
    </row>
    <row r="323" ht="15.75" customHeight="1">
      <c r="A323" s="66">
        <v>45494.0</v>
      </c>
      <c r="B323" s="55" t="str">
        <f>HYPERLINK("https://jobright.ai/jobs/info/669e5e4376c6144940234c49?utm_campaign=1057&amp;utm_source=sheet", "Apply")</f>
        <v>Apply</v>
      </c>
      <c r="C323" s="10" t="s">
        <v>24088</v>
      </c>
      <c r="D323" s="56" t="s">
        <v>4448</v>
      </c>
      <c r="E323" s="10" t="s">
        <v>71</v>
      </c>
      <c r="F323" s="10" t="s">
        <v>4449</v>
      </c>
      <c r="G323" s="10" t="s">
        <v>24043</v>
      </c>
      <c r="H323" s="10" t="s">
        <v>4455</v>
      </c>
      <c r="I323" s="10" t="s">
        <v>55</v>
      </c>
      <c r="K323" s="10" t="s">
        <v>24062</v>
      </c>
      <c r="L323" s="10" t="s">
        <v>42</v>
      </c>
    </row>
    <row r="324" ht="15.75" customHeight="1">
      <c r="A324" s="66">
        <v>45494.0</v>
      </c>
      <c r="B324" s="55" t="str">
        <f>HYPERLINK("https://jobright.ai/jobs/info/669e5e4376c6144940234c57?utm_campaign=1057&amp;utm_source=sheet", "Apply")</f>
        <v>Apply</v>
      </c>
      <c r="C324" s="10" t="s">
        <v>24407</v>
      </c>
      <c r="D324" s="56" t="s">
        <v>4448</v>
      </c>
      <c r="E324" s="10" t="s">
        <v>71</v>
      </c>
      <c r="F324" s="10" t="s">
        <v>4449</v>
      </c>
      <c r="G324" s="10" t="s">
        <v>24043</v>
      </c>
      <c r="H324" s="10" t="s">
        <v>24411</v>
      </c>
      <c r="I324" s="10" t="s">
        <v>55</v>
      </c>
      <c r="K324" s="10" t="s">
        <v>24062</v>
      </c>
      <c r="L324" s="10" t="s">
        <v>42</v>
      </c>
    </row>
    <row r="325" ht="15.75" customHeight="1">
      <c r="A325" s="66">
        <v>45494.0</v>
      </c>
      <c r="B325" s="55" t="str">
        <f>HYPERLINK("https://jobright.ai/jobs/info/669e5e4376c6144940234c5b?utm_campaign=1057&amp;utm_source=sheet", "Apply")</f>
        <v>Apply</v>
      </c>
      <c r="C325" s="10" t="s">
        <v>24418</v>
      </c>
      <c r="D325" s="56" t="s">
        <v>4448</v>
      </c>
      <c r="E325" s="10" t="s">
        <v>71</v>
      </c>
      <c r="F325" s="10" t="s">
        <v>4449</v>
      </c>
      <c r="G325" s="10" t="s">
        <v>24043</v>
      </c>
      <c r="H325" s="10" t="s">
        <v>5432</v>
      </c>
      <c r="I325" s="10" t="s">
        <v>55</v>
      </c>
      <c r="K325" s="10" t="s">
        <v>4450</v>
      </c>
      <c r="L325" s="10" t="s">
        <v>42</v>
      </c>
    </row>
    <row r="326" ht="15.75" customHeight="1">
      <c r="A326" s="66">
        <v>45494.0</v>
      </c>
      <c r="B326" s="55" t="str">
        <f>HYPERLINK("https://jobright.ai/jobs/info/669e5e4776c6144940234d44?utm_campaign=1057&amp;utm_source=sheet", "Apply")</f>
        <v>Apply</v>
      </c>
      <c r="C326" s="10" t="s">
        <v>24444</v>
      </c>
      <c r="D326" s="56" t="s">
        <v>4448</v>
      </c>
      <c r="E326" s="10" t="s">
        <v>71</v>
      </c>
      <c r="F326" s="10" t="s">
        <v>4449</v>
      </c>
      <c r="G326" s="10" t="s">
        <v>24043</v>
      </c>
      <c r="H326" s="10" t="s">
        <v>3646</v>
      </c>
      <c r="I326" s="10" t="s">
        <v>55</v>
      </c>
      <c r="K326" s="10" t="s">
        <v>4450</v>
      </c>
      <c r="L326" s="10" t="s">
        <v>42</v>
      </c>
    </row>
    <row r="327" ht="15.75" customHeight="1">
      <c r="A327" s="66">
        <v>45494.0</v>
      </c>
      <c r="B327" s="55" t="str">
        <f>HYPERLINK("https://jobright.ai/jobs/info/66a3f951c344e12ad5441274?utm_campaign=1057&amp;utm_source=sheet", "Apply")</f>
        <v>Apply</v>
      </c>
      <c r="C327" s="10" t="s">
        <v>24404</v>
      </c>
      <c r="D327" s="56" t="s">
        <v>4448</v>
      </c>
      <c r="E327" s="10" t="s">
        <v>71</v>
      </c>
      <c r="F327" s="10" t="s">
        <v>4449</v>
      </c>
      <c r="G327" s="10" t="s">
        <v>24043</v>
      </c>
      <c r="H327" s="10" t="s">
        <v>20990</v>
      </c>
      <c r="I327" s="10" t="s">
        <v>55</v>
      </c>
      <c r="K327" s="10" t="s">
        <v>24062</v>
      </c>
      <c r="L327" s="10" t="s">
        <v>42</v>
      </c>
    </row>
    <row r="328" ht="15.75" customHeight="1">
      <c r="A328" s="66">
        <v>45494.0</v>
      </c>
      <c r="B328" s="55" t="str">
        <f>HYPERLINK("https://jobright.ai/jobs/info/669e5e4376c6144940234c61?utm_campaign=1057&amp;utm_source=sheet", "Apply")</f>
        <v>Apply</v>
      </c>
      <c r="C328" s="10" t="s">
        <v>24422</v>
      </c>
      <c r="D328" s="56" t="s">
        <v>4448</v>
      </c>
      <c r="E328" s="10" t="s">
        <v>71</v>
      </c>
      <c r="F328" s="10" t="s">
        <v>4449</v>
      </c>
      <c r="G328" s="10" t="s">
        <v>24043</v>
      </c>
      <c r="H328" s="10" t="s">
        <v>8248</v>
      </c>
      <c r="I328" s="10" t="s">
        <v>55</v>
      </c>
      <c r="K328" s="10" t="s">
        <v>24062</v>
      </c>
      <c r="L328" s="10" t="s">
        <v>42</v>
      </c>
    </row>
    <row r="329" ht="15.75" customHeight="1">
      <c r="A329" s="66">
        <v>45494.0</v>
      </c>
      <c r="B329" s="55" t="str">
        <f>HYPERLINK("https://jobright.ai/jobs/info/669e5e4376c6144940234c63?utm_campaign=1057&amp;utm_source=sheet", "Apply")</f>
        <v>Apply</v>
      </c>
      <c r="C329" s="10" t="s">
        <v>8245</v>
      </c>
      <c r="D329" s="56" t="s">
        <v>4448</v>
      </c>
      <c r="E329" s="10" t="s">
        <v>71</v>
      </c>
      <c r="F329" s="10" t="s">
        <v>4449</v>
      </c>
      <c r="G329" s="10" t="s">
        <v>24043</v>
      </c>
      <c r="H329" s="10" t="s">
        <v>255</v>
      </c>
      <c r="I329" s="10" t="s">
        <v>55</v>
      </c>
      <c r="K329" s="10" t="s">
        <v>24062</v>
      </c>
      <c r="L329" s="10" t="s">
        <v>42</v>
      </c>
    </row>
    <row r="330" ht="15.75" customHeight="1">
      <c r="A330" s="66">
        <v>45494.0</v>
      </c>
      <c r="B330" s="55" t="str">
        <f>HYPERLINK("https://jobright.ai/jobs/info/669e5e4376c6144940234c6f?utm_campaign=1057&amp;utm_source=sheet", "Apply")</f>
        <v>Apply</v>
      </c>
      <c r="C330" s="10" t="s">
        <v>24445</v>
      </c>
      <c r="D330" s="56" t="s">
        <v>4448</v>
      </c>
      <c r="E330" s="10" t="s">
        <v>71</v>
      </c>
      <c r="F330" s="10" t="s">
        <v>4449</v>
      </c>
      <c r="G330" s="10" t="s">
        <v>24043</v>
      </c>
      <c r="H330" s="10" t="s">
        <v>5432</v>
      </c>
      <c r="I330" s="10" t="s">
        <v>55</v>
      </c>
      <c r="K330" s="10" t="s">
        <v>24062</v>
      </c>
      <c r="L330" s="10" t="s">
        <v>42</v>
      </c>
    </row>
    <row r="331" ht="15.75" customHeight="1">
      <c r="A331" s="66">
        <v>45494.0</v>
      </c>
      <c r="B331" s="55" t="str">
        <f>HYPERLINK("https://jobright.ai/jobs/info/669e5e4376c6144940234c78?utm_campaign=1057&amp;utm_source=sheet", "Apply")</f>
        <v>Apply</v>
      </c>
      <c r="C331" s="10" t="s">
        <v>24409</v>
      </c>
      <c r="D331" s="56" t="s">
        <v>4448</v>
      </c>
      <c r="E331" s="10" t="s">
        <v>71</v>
      </c>
      <c r="F331" s="10" t="s">
        <v>4449</v>
      </c>
      <c r="G331" s="10" t="s">
        <v>24043</v>
      </c>
      <c r="H331" s="10" t="s">
        <v>16746</v>
      </c>
      <c r="I331" s="10" t="s">
        <v>55</v>
      </c>
      <c r="K331" s="10" t="s">
        <v>24062</v>
      </c>
      <c r="L331" s="10" t="s">
        <v>42</v>
      </c>
    </row>
    <row r="332" ht="15.75" customHeight="1">
      <c r="A332" s="66">
        <v>45494.0</v>
      </c>
      <c r="B332" s="55" t="str">
        <f>HYPERLINK("https://jobright.ai/jobs/info/669e5e4376c6144940234c7b?utm_campaign=1057&amp;utm_source=sheet", "Apply")</f>
        <v>Apply</v>
      </c>
      <c r="C332" s="10" t="s">
        <v>24434</v>
      </c>
      <c r="D332" s="56" t="s">
        <v>4448</v>
      </c>
      <c r="E332" s="10" t="s">
        <v>71</v>
      </c>
      <c r="F332" s="10" t="s">
        <v>4449</v>
      </c>
      <c r="G332" s="10" t="s">
        <v>24043</v>
      </c>
      <c r="H332" s="10" t="s">
        <v>4456</v>
      </c>
      <c r="I332" s="10" t="s">
        <v>55</v>
      </c>
      <c r="K332" s="10" t="s">
        <v>4450</v>
      </c>
      <c r="L332" s="10" t="s">
        <v>42</v>
      </c>
    </row>
    <row r="333" ht="15.75" customHeight="1">
      <c r="A333" s="66">
        <v>45494.0</v>
      </c>
      <c r="B333" s="55" t="str">
        <f>HYPERLINK("https://jobright.ai/jobs/info/669e5e4376c6144940234c7d?utm_campaign=1057&amp;utm_source=sheet", "Apply")</f>
        <v>Apply</v>
      </c>
      <c r="C333" s="10" t="s">
        <v>24446</v>
      </c>
      <c r="D333" s="56" t="s">
        <v>4448</v>
      </c>
      <c r="E333" s="10" t="s">
        <v>71</v>
      </c>
      <c r="F333" s="10" t="s">
        <v>4449</v>
      </c>
      <c r="G333" s="10" t="s">
        <v>24043</v>
      </c>
      <c r="H333" s="10" t="s">
        <v>4455</v>
      </c>
      <c r="I333" s="10" t="s">
        <v>55</v>
      </c>
      <c r="K333" s="10" t="s">
        <v>24062</v>
      </c>
      <c r="L333" s="10" t="s">
        <v>42</v>
      </c>
    </row>
    <row r="334" ht="15.75" customHeight="1">
      <c r="A334" s="66">
        <v>45494.0</v>
      </c>
      <c r="B334" s="55" t="str">
        <f>HYPERLINK("https://jobright.ai/jobs/info/669e5e2676c6144940234a43?utm_campaign=1057&amp;utm_source=sheet", "Apply")</f>
        <v>Apply</v>
      </c>
      <c r="C334" s="10" t="s">
        <v>24447</v>
      </c>
      <c r="D334" s="56" t="s">
        <v>4448</v>
      </c>
      <c r="E334" s="10" t="s">
        <v>71</v>
      </c>
      <c r="F334" s="10" t="s">
        <v>4449</v>
      </c>
      <c r="G334" s="10" t="s">
        <v>24043</v>
      </c>
      <c r="H334" s="10" t="s">
        <v>5432</v>
      </c>
      <c r="I334" s="10" t="s">
        <v>55</v>
      </c>
      <c r="K334" s="10" t="s">
        <v>4450</v>
      </c>
      <c r="L334" s="10" t="s">
        <v>42</v>
      </c>
    </row>
    <row r="335" ht="15.75" customHeight="1">
      <c r="A335" s="66">
        <v>45494.0</v>
      </c>
      <c r="B335" s="55" t="str">
        <f>HYPERLINK("https://jobright.ai/jobs/info/669faf55409ac17305d78504?utm_campaign=1057&amp;utm_source=sheet", "Apply")</f>
        <v>Apply</v>
      </c>
      <c r="C335" s="10" t="s">
        <v>24395</v>
      </c>
      <c r="D335" s="56" t="s">
        <v>4448</v>
      </c>
      <c r="E335" s="10" t="s">
        <v>71</v>
      </c>
      <c r="F335" s="10" t="s">
        <v>4449</v>
      </c>
      <c r="G335" s="10" t="s">
        <v>24043</v>
      </c>
      <c r="H335" s="10" t="s">
        <v>4455</v>
      </c>
      <c r="I335" s="10" t="s">
        <v>55</v>
      </c>
      <c r="K335" s="10" t="s">
        <v>4450</v>
      </c>
      <c r="L335" s="10" t="s">
        <v>42</v>
      </c>
    </row>
    <row r="336" ht="15.75" customHeight="1">
      <c r="A336" s="66">
        <v>45494.0</v>
      </c>
      <c r="B336" s="55" t="str">
        <f>HYPERLINK("https://jobright.ai/jobs/info/669faf55409ac17305d78507?utm_campaign=1057&amp;utm_source=sheet", "Apply")</f>
        <v>Apply</v>
      </c>
      <c r="C336" s="10" t="s">
        <v>24413</v>
      </c>
      <c r="D336" s="56" t="s">
        <v>4448</v>
      </c>
      <c r="E336" s="10" t="s">
        <v>71</v>
      </c>
      <c r="F336" s="10" t="s">
        <v>4449</v>
      </c>
      <c r="G336" s="10" t="s">
        <v>24043</v>
      </c>
      <c r="H336" s="10" t="s">
        <v>20989</v>
      </c>
      <c r="I336" s="10" t="s">
        <v>55</v>
      </c>
      <c r="K336" s="10" t="s">
        <v>4450</v>
      </c>
      <c r="L336" s="10" t="s">
        <v>42</v>
      </c>
    </row>
    <row r="337" ht="15.75" customHeight="1">
      <c r="A337" s="66">
        <v>45494.0</v>
      </c>
      <c r="B337" s="55" t="str">
        <f>HYPERLINK("https://jobright.ai/jobs/info/66a3f951c344e12ad5441279?utm_campaign=1057&amp;utm_source=sheet", "Apply")</f>
        <v>Apply</v>
      </c>
      <c r="C337" s="10" t="s">
        <v>24317</v>
      </c>
      <c r="D337" s="56" t="s">
        <v>4448</v>
      </c>
      <c r="E337" s="10" t="s">
        <v>71</v>
      </c>
      <c r="F337" s="10" t="s">
        <v>4449</v>
      </c>
      <c r="G337" s="10" t="s">
        <v>24043</v>
      </c>
      <c r="H337" s="10" t="s">
        <v>21486</v>
      </c>
      <c r="I337" s="10" t="s">
        <v>55</v>
      </c>
      <c r="K337" s="10" t="s">
        <v>4450</v>
      </c>
      <c r="L337" s="10" t="s">
        <v>42</v>
      </c>
    </row>
    <row r="338" ht="15.75" customHeight="1">
      <c r="A338" s="66">
        <v>45494.0</v>
      </c>
      <c r="B338" s="55" t="str">
        <f>HYPERLINK("https://jobright.ai/jobs/info/669e5e4376c6144940234c86?utm_campaign=1057&amp;utm_source=sheet", "Apply")</f>
        <v>Apply</v>
      </c>
      <c r="C338" s="10" t="s">
        <v>24414</v>
      </c>
      <c r="D338" s="56" t="s">
        <v>4448</v>
      </c>
      <c r="E338" s="10" t="s">
        <v>71</v>
      </c>
      <c r="F338" s="10" t="s">
        <v>4449</v>
      </c>
      <c r="G338" s="10" t="s">
        <v>24043</v>
      </c>
      <c r="H338" s="10" t="s">
        <v>4261</v>
      </c>
      <c r="I338" s="10" t="s">
        <v>55</v>
      </c>
      <c r="K338" s="10" t="s">
        <v>4450</v>
      </c>
      <c r="L338" s="10" t="s">
        <v>42</v>
      </c>
    </row>
    <row r="339" ht="15.75" customHeight="1">
      <c r="A339" s="66">
        <v>45494.0</v>
      </c>
      <c r="B339" s="55" t="str">
        <f>HYPERLINK("https://jobright.ai/jobs/info/669e5e4376c6144940234c8a?utm_campaign=1057&amp;utm_source=sheet", "Apply")</f>
        <v>Apply</v>
      </c>
      <c r="C339" s="10" t="s">
        <v>24423</v>
      </c>
      <c r="D339" s="56" t="s">
        <v>4448</v>
      </c>
      <c r="E339" s="10" t="s">
        <v>71</v>
      </c>
      <c r="F339" s="10" t="s">
        <v>4449</v>
      </c>
      <c r="G339" s="10" t="s">
        <v>24043</v>
      </c>
      <c r="H339" s="10" t="s">
        <v>21486</v>
      </c>
      <c r="I339" s="10" t="s">
        <v>55</v>
      </c>
      <c r="K339" s="10" t="s">
        <v>24062</v>
      </c>
      <c r="L339" s="10" t="s">
        <v>42</v>
      </c>
    </row>
    <row r="340" ht="15.75" customHeight="1">
      <c r="A340" s="66">
        <v>45494.0</v>
      </c>
      <c r="B340" s="55" t="str">
        <f>HYPERLINK("https://jobright.ai/jobs/info/669e5e4376c6144940234c8d?utm_campaign=1057&amp;utm_source=sheet", "Apply")</f>
        <v>Apply</v>
      </c>
      <c r="C340" s="10" t="s">
        <v>24448</v>
      </c>
      <c r="D340" s="56" t="s">
        <v>4448</v>
      </c>
      <c r="E340" s="10" t="s">
        <v>71</v>
      </c>
      <c r="F340" s="10" t="s">
        <v>4449</v>
      </c>
      <c r="G340" s="10" t="s">
        <v>24043</v>
      </c>
      <c r="H340" s="10" t="s">
        <v>5432</v>
      </c>
      <c r="I340" s="10" t="s">
        <v>55</v>
      </c>
      <c r="K340" s="10" t="s">
        <v>4450</v>
      </c>
      <c r="L340" s="10" t="s">
        <v>42</v>
      </c>
    </row>
    <row r="341" ht="15.75" customHeight="1">
      <c r="A341" s="66">
        <v>45494.0</v>
      </c>
      <c r="B341" s="55" t="str">
        <f>HYPERLINK("https://jobright.ai/jobs/info/669e5e4376c6144940234c90?utm_campaign=1057&amp;utm_source=sheet", "Apply")</f>
        <v>Apply</v>
      </c>
      <c r="C341" s="10" t="s">
        <v>24421</v>
      </c>
      <c r="D341" s="56" t="s">
        <v>4448</v>
      </c>
      <c r="E341" s="10" t="s">
        <v>71</v>
      </c>
      <c r="F341" s="10" t="s">
        <v>4449</v>
      </c>
      <c r="G341" s="10" t="s">
        <v>24043</v>
      </c>
      <c r="H341" s="10" t="s">
        <v>24411</v>
      </c>
      <c r="I341" s="10" t="s">
        <v>55</v>
      </c>
      <c r="K341" s="10" t="s">
        <v>4450</v>
      </c>
      <c r="L341" s="10" t="s">
        <v>42</v>
      </c>
    </row>
    <row r="342" ht="15.75" customHeight="1">
      <c r="A342" s="66">
        <v>45494.0</v>
      </c>
      <c r="B342" s="55" t="str">
        <f>HYPERLINK("https://jobright.ai/jobs/info/66a3f951c344e12ad544127d?utm_campaign=1057&amp;utm_source=sheet", "Apply")</f>
        <v>Apply</v>
      </c>
      <c r="C342" s="10" t="s">
        <v>24424</v>
      </c>
      <c r="D342" s="56" t="s">
        <v>4448</v>
      </c>
      <c r="E342" s="10" t="s">
        <v>71</v>
      </c>
      <c r="F342" s="10" t="s">
        <v>4449</v>
      </c>
      <c r="G342" s="10" t="s">
        <v>24043</v>
      </c>
      <c r="H342" s="10" t="s">
        <v>5432</v>
      </c>
      <c r="I342" s="10" t="s">
        <v>55</v>
      </c>
      <c r="K342" s="10" t="s">
        <v>4450</v>
      </c>
      <c r="L342" s="10" t="s">
        <v>42</v>
      </c>
    </row>
    <row r="343" ht="15.75" customHeight="1">
      <c r="A343" s="66">
        <v>45494.0</v>
      </c>
      <c r="B343" s="55" t="str">
        <f>HYPERLINK("https://jobright.ai/jobs/info/66a3f951c344e12ad544127f?utm_campaign=1057&amp;utm_source=sheet", "Apply")</f>
        <v>Apply</v>
      </c>
      <c r="C343" s="10" t="s">
        <v>24155</v>
      </c>
      <c r="D343" s="56" t="s">
        <v>4448</v>
      </c>
      <c r="E343" s="10" t="s">
        <v>71</v>
      </c>
      <c r="F343" s="10" t="s">
        <v>4449</v>
      </c>
      <c r="G343" s="10" t="s">
        <v>24043</v>
      </c>
      <c r="H343" s="10" t="s">
        <v>4452</v>
      </c>
      <c r="I343" s="10" t="s">
        <v>55</v>
      </c>
      <c r="K343" s="10" t="s">
        <v>24062</v>
      </c>
      <c r="L343" s="10" t="s">
        <v>42</v>
      </c>
    </row>
    <row r="344" ht="15.75" customHeight="1">
      <c r="A344" s="66">
        <v>45494.0</v>
      </c>
      <c r="B344" s="55" t="str">
        <f>HYPERLINK("https://jobright.ai/jobs/info/66a3f951c344e12ad5441281?utm_campaign=1057&amp;utm_source=sheet", "Apply")</f>
        <v>Apply</v>
      </c>
      <c r="C344" s="10" t="s">
        <v>24417</v>
      </c>
      <c r="D344" s="56" t="s">
        <v>4448</v>
      </c>
      <c r="E344" s="10" t="s">
        <v>71</v>
      </c>
      <c r="F344" s="10" t="s">
        <v>4449</v>
      </c>
      <c r="G344" s="10" t="s">
        <v>24043</v>
      </c>
      <c r="H344" s="10" t="s">
        <v>4456</v>
      </c>
      <c r="I344" s="10" t="s">
        <v>55</v>
      </c>
      <c r="K344" s="10" t="s">
        <v>24062</v>
      </c>
      <c r="L344" s="10" t="s">
        <v>42</v>
      </c>
    </row>
    <row r="345" ht="15.75" customHeight="1">
      <c r="A345" s="66">
        <v>45494.0</v>
      </c>
      <c r="B345" s="55" t="str">
        <f>HYPERLINK("https://jobright.ai/jobs/info/66a3f951c344e12ad5441286?utm_campaign=1057&amp;utm_source=sheet", "Apply")</f>
        <v>Apply</v>
      </c>
      <c r="C345" s="10" t="s">
        <v>8245</v>
      </c>
      <c r="D345" s="56" t="s">
        <v>4448</v>
      </c>
      <c r="E345" s="10" t="s">
        <v>71</v>
      </c>
      <c r="F345" s="10" t="s">
        <v>4449</v>
      </c>
      <c r="G345" s="10" t="s">
        <v>24043</v>
      </c>
      <c r="H345" s="10" t="s">
        <v>24370</v>
      </c>
      <c r="I345" s="10" t="s">
        <v>55</v>
      </c>
      <c r="K345" s="10" t="s">
        <v>24062</v>
      </c>
      <c r="L345" s="10" t="s">
        <v>42</v>
      </c>
    </row>
    <row r="346" ht="15.75" customHeight="1">
      <c r="A346" s="66">
        <v>45494.0</v>
      </c>
      <c r="B346" s="55" t="str">
        <f>HYPERLINK("https://jobright.ai/jobs/info/669e592cc1b409aba186254a?utm_campaign=1057&amp;utm_source=sheet", "Apply")</f>
        <v>Apply</v>
      </c>
      <c r="C346" s="10" t="s">
        <v>24449</v>
      </c>
      <c r="D346" s="56" t="s">
        <v>4448</v>
      </c>
      <c r="E346" s="10" t="s">
        <v>71</v>
      </c>
      <c r="F346" s="10" t="s">
        <v>4449</v>
      </c>
      <c r="G346" s="10" t="s">
        <v>24043</v>
      </c>
      <c r="H346" s="10" t="s">
        <v>628</v>
      </c>
      <c r="I346" s="10" t="s">
        <v>55</v>
      </c>
      <c r="K346" s="10" t="s">
        <v>4450</v>
      </c>
      <c r="L346" s="10" t="s">
        <v>42</v>
      </c>
    </row>
    <row r="347" ht="15.75" customHeight="1">
      <c r="A347" s="66">
        <v>45494.0</v>
      </c>
      <c r="B347" s="55" t="str">
        <f>HYPERLINK("https://jobright.ai/jobs/info/669e592cc1b409aba186254c?utm_campaign=1057&amp;utm_source=sheet", "Apply")</f>
        <v>Apply</v>
      </c>
      <c r="C347" s="10" t="s">
        <v>24430</v>
      </c>
      <c r="D347" s="56" t="s">
        <v>4448</v>
      </c>
      <c r="E347" s="10" t="s">
        <v>71</v>
      </c>
      <c r="F347" s="10" t="s">
        <v>4449</v>
      </c>
      <c r="G347" s="10" t="s">
        <v>24043</v>
      </c>
      <c r="H347" s="10" t="s">
        <v>1786</v>
      </c>
      <c r="I347" s="10" t="s">
        <v>55</v>
      </c>
      <c r="K347" s="10" t="s">
        <v>24062</v>
      </c>
      <c r="L347" s="10" t="s">
        <v>42</v>
      </c>
    </row>
    <row r="348" ht="15.75" customHeight="1">
      <c r="A348" s="66">
        <v>45494.0</v>
      </c>
      <c r="B348" s="55" t="str">
        <f>HYPERLINK("https://jobright.ai/jobs/info/669e592cc1b409aba186254d?utm_campaign=1057&amp;utm_source=sheet", "Apply")</f>
        <v>Apply</v>
      </c>
      <c r="C348" s="10" t="s">
        <v>24395</v>
      </c>
      <c r="D348" s="56" t="s">
        <v>4448</v>
      </c>
      <c r="E348" s="10" t="s">
        <v>71</v>
      </c>
      <c r="F348" s="10" t="s">
        <v>4449</v>
      </c>
      <c r="G348" s="10" t="s">
        <v>24043</v>
      </c>
      <c r="H348" s="10" t="s">
        <v>21486</v>
      </c>
      <c r="I348" s="10" t="s">
        <v>55</v>
      </c>
      <c r="K348" s="10" t="s">
        <v>4450</v>
      </c>
      <c r="L348" s="10" t="s">
        <v>42</v>
      </c>
    </row>
    <row r="349" ht="15.75" customHeight="1">
      <c r="A349" s="66">
        <v>45494.0</v>
      </c>
      <c r="B349" s="55" t="str">
        <f>HYPERLINK("https://jobright.ai/jobs/info/669e592cc1b409aba1862559?utm_campaign=1057&amp;utm_source=sheet", "Apply")</f>
        <v>Apply</v>
      </c>
      <c r="C349" s="10" t="s">
        <v>24450</v>
      </c>
      <c r="D349" s="56" t="s">
        <v>4448</v>
      </c>
      <c r="E349" s="10" t="s">
        <v>71</v>
      </c>
      <c r="F349" s="10" t="s">
        <v>4449</v>
      </c>
      <c r="G349" s="10" t="s">
        <v>24043</v>
      </c>
      <c r="H349" s="10" t="s">
        <v>4455</v>
      </c>
      <c r="I349" s="10" t="s">
        <v>55</v>
      </c>
      <c r="K349" s="10" t="s">
        <v>24062</v>
      </c>
      <c r="L349" s="10" t="s">
        <v>42</v>
      </c>
    </row>
    <row r="350" ht="15.75" customHeight="1">
      <c r="A350" s="66">
        <v>45494.0</v>
      </c>
      <c r="B350" s="55" t="str">
        <f>HYPERLINK("https://jobright.ai/jobs/info/669e592cc1b409aba186255c?utm_campaign=1057&amp;utm_source=sheet", "Apply")</f>
        <v>Apply</v>
      </c>
      <c r="C350" s="10" t="s">
        <v>24158</v>
      </c>
      <c r="D350" s="56" t="s">
        <v>4448</v>
      </c>
      <c r="E350" s="10" t="s">
        <v>71</v>
      </c>
      <c r="F350" s="10" t="s">
        <v>4449</v>
      </c>
      <c r="G350" s="10" t="s">
        <v>24043</v>
      </c>
      <c r="H350" s="10" t="s">
        <v>21486</v>
      </c>
      <c r="I350" s="10" t="s">
        <v>55</v>
      </c>
      <c r="K350" s="10" t="s">
        <v>24062</v>
      </c>
      <c r="L350" s="10" t="s">
        <v>42</v>
      </c>
    </row>
    <row r="351" ht="15.75" customHeight="1">
      <c r="A351" s="66">
        <v>45494.0</v>
      </c>
      <c r="B351" s="55" t="str">
        <f>HYPERLINK("https://jobright.ai/jobs/info/669e591ac1b409aba186235a?utm_campaign=1057&amp;utm_source=sheet", "Apply")</f>
        <v>Apply</v>
      </c>
      <c r="C351" s="10" t="s">
        <v>4454</v>
      </c>
      <c r="D351" s="56" t="s">
        <v>4448</v>
      </c>
      <c r="E351" s="10" t="s">
        <v>71</v>
      </c>
      <c r="F351" s="10" t="s">
        <v>4449</v>
      </c>
      <c r="G351" s="10" t="s">
        <v>24043</v>
      </c>
      <c r="H351" s="10" t="s">
        <v>8248</v>
      </c>
      <c r="I351" s="10" t="s">
        <v>55</v>
      </c>
      <c r="K351" s="10" t="s">
        <v>4450</v>
      </c>
      <c r="L351" s="10" t="s">
        <v>42</v>
      </c>
    </row>
    <row r="352" ht="15.75" customHeight="1">
      <c r="A352" s="66">
        <v>45494.0</v>
      </c>
      <c r="B352" s="55" t="str">
        <f>HYPERLINK("https://jobright.ai/jobs/info/669e592cc1b409aba186255f?utm_campaign=1057&amp;utm_source=sheet", "Apply")</f>
        <v>Apply</v>
      </c>
      <c r="C352" s="10" t="s">
        <v>4453</v>
      </c>
      <c r="D352" s="56" t="s">
        <v>4448</v>
      </c>
      <c r="E352" s="10" t="s">
        <v>71</v>
      </c>
      <c r="F352" s="10" t="s">
        <v>4449</v>
      </c>
      <c r="G352" s="10" t="s">
        <v>24043</v>
      </c>
      <c r="H352" s="10" t="s">
        <v>20989</v>
      </c>
      <c r="I352" s="10" t="s">
        <v>55</v>
      </c>
      <c r="K352" s="10" t="s">
        <v>4450</v>
      </c>
      <c r="L352" s="10" t="s">
        <v>42</v>
      </c>
    </row>
    <row r="353" ht="15.75" customHeight="1">
      <c r="A353" s="66">
        <v>45494.0</v>
      </c>
      <c r="B353" s="55" t="str">
        <f>HYPERLINK("https://jobright.ai/jobs/info/669e592cc1b409aba1862568?utm_campaign=1057&amp;utm_source=sheet", "Apply")</f>
        <v>Apply</v>
      </c>
      <c r="C353" s="10" t="s">
        <v>24424</v>
      </c>
      <c r="D353" s="56" t="s">
        <v>4448</v>
      </c>
      <c r="E353" s="10" t="s">
        <v>71</v>
      </c>
      <c r="F353" s="10" t="s">
        <v>4449</v>
      </c>
      <c r="G353" s="10" t="s">
        <v>24043</v>
      </c>
      <c r="H353" s="10" t="s">
        <v>24396</v>
      </c>
      <c r="I353" s="10" t="s">
        <v>55</v>
      </c>
      <c r="K353" s="10" t="s">
        <v>4450</v>
      </c>
      <c r="L353" s="10" t="s">
        <v>42</v>
      </c>
    </row>
    <row r="354" ht="15.75" customHeight="1">
      <c r="A354" s="66">
        <v>45494.0</v>
      </c>
      <c r="B354" s="55" t="str">
        <f>HYPERLINK("https://jobright.ai/jobs/info/669e592cc1b409aba1862567?utm_campaign=1057&amp;utm_source=sheet", "Apply")</f>
        <v>Apply</v>
      </c>
      <c r="C354" s="10" t="s">
        <v>24450</v>
      </c>
      <c r="D354" s="56" t="s">
        <v>4448</v>
      </c>
      <c r="E354" s="10" t="s">
        <v>71</v>
      </c>
      <c r="F354" s="10" t="s">
        <v>4449</v>
      </c>
      <c r="G354" s="10" t="s">
        <v>24043</v>
      </c>
      <c r="H354" s="10" t="s">
        <v>8248</v>
      </c>
      <c r="I354" s="10" t="s">
        <v>55</v>
      </c>
      <c r="K354" s="10" t="s">
        <v>24062</v>
      </c>
      <c r="L354" s="10" t="s">
        <v>42</v>
      </c>
    </row>
    <row r="355" ht="15.75" customHeight="1">
      <c r="A355" s="66">
        <v>45494.0</v>
      </c>
      <c r="B355" s="55" t="str">
        <f>HYPERLINK("https://jobright.ai/jobs/info/669e592cc1b409aba186256d?utm_campaign=1057&amp;utm_source=sheet", "Apply")</f>
        <v>Apply</v>
      </c>
      <c r="C355" s="10" t="s">
        <v>24422</v>
      </c>
      <c r="D355" s="56" t="s">
        <v>4448</v>
      </c>
      <c r="E355" s="10" t="s">
        <v>71</v>
      </c>
      <c r="F355" s="10" t="s">
        <v>4449</v>
      </c>
      <c r="G355" s="10" t="s">
        <v>24043</v>
      </c>
      <c r="H355" s="10" t="s">
        <v>5432</v>
      </c>
      <c r="I355" s="10" t="s">
        <v>55</v>
      </c>
      <c r="K355" s="10" t="s">
        <v>24062</v>
      </c>
      <c r="L355" s="10" t="s">
        <v>42</v>
      </c>
    </row>
    <row r="356" ht="15.75" customHeight="1">
      <c r="A356" s="66">
        <v>45494.0</v>
      </c>
      <c r="B356" s="55" t="str">
        <f>HYPERLINK("https://jobright.ai/jobs/info/66a0f9d072dbe8acd22339a0?utm_campaign=1057&amp;utm_source=sheet", "Apply")</f>
        <v>Apply</v>
      </c>
      <c r="C356" s="10" t="s">
        <v>24422</v>
      </c>
      <c r="D356" s="56" t="s">
        <v>4448</v>
      </c>
      <c r="E356" s="10" t="s">
        <v>71</v>
      </c>
      <c r="F356" s="10" t="s">
        <v>4449</v>
      </c>
      <c r="G356" s="10" t="s">
        <v>24043</v>
      </c>
      <c r="H356" s="10" t="s">
        <v>24408</v>
      </c>
      <c r="I356" s="10" t="s">
        <v>55</v>
      </c>
      <c r="K356" s="10" t="s">
        <v>24062</v>
      </c>
      <c r="L356" s="10" t="s">
        <v>42</v>
      </c>
    </row>
    <row r="357" ht="15.75" customHeight="1">
      <c r="A357" s="66">
        <v>45494.0</v>
      </c>
      <c r="B357" s="55" t="str">
        <f>HYPERLINK("https://jobright.ai/jobs/info/669e592cc1b409aba186256f?utm_campaign=1057&amp;utm_source=sheet", "Apply")</f>
        <v>Apply</v>
      </c>
      <c r="C357" s="10" t="s">
        <v>24451</v>
      </c>
      <c r="D357" s="56" t="s">
        <v>4448</v>
      </c>
      <c r="E357" s="10" t="s">
        <v>71</v>
      </c>
      <c r="F357" s="10" t="s">
        <v>4449</v>
      </c>
      <c r="G357" s="10" t="s">
        <v>24043</v>
      </c>
      <c r="H357" s="10" t="s">
        <v>20990</v>
      </c>
      <c r="I357" s="10" t="s">
        <v>55</v>
      </c>
      <c r="K357" s="10" t="s">
        <v>4450</v>
      </c>
      <c r="L357" s="10" t="s">
        <v>42</v>
      </c>
    </row>
    <row r="358" ht="15.75" customHeight="1">
      <c r="A358" s="66">
        <v>45494.0</v>
      </c>
      <c r="B358" s="55" t="str">
        <f>HYPERLINK("https://jobright.ai/jobs/info/669e592cc1b409aba1862571?utm_campaign=1057&amp;utm_source=sheet", "Apply")</f>
        <v>Apply</v>
      </c>
      <c r="C358" s="10" t="s">
        <v>24406</v>
      </c>
      <c r="D358" s="56" t="s">
        <v>4448</v>
      </c>
      <c r="E358" s="10" t="s">
        <v>71</v>
      </c>
      <c r="F358" s="10" t="s">
        <v>4449</v>
      </c>
      <c r="G358" s="10" t="s">
        <v>24043</v>
      </c>
      <c r="H358" s="10" t="s">
        <v>21486</v>
      </c>
      <c r="I358" s="10" t="s">
        <v>55</v>
      </c>
      <c r="K358" s="10" t="s">
        <v>4450</v>
      </c>
      <c r="L358" s="10" t="s">
        <v>42</v>
      </c>
    </row>
    <row r="359" ht="15.75" customHeight="1">
      <c r="A359" s="66">
        <v>45494.0</v>
      </c>
      <c r="B359" s="55" t="str">
        <f>HYPERLINK("https://jobright.ai/jobs/info/669e592cc1b409aba1862574?utm_campaign=1057&amp;utm_source=sheet", "Apply")</f>
        <v>Apply</v>
      </c>
      <c r="C359" s="10" t="s">
        <v>24420</v>
      </c>
      <c r="D359" s="56" t="s">
        <v>4448</v>
      </c>
      <c r="E359" s="10" t="s">
        <v>71</v>
      </c>
      <c r="F359" s="10" t="s">
        <v>4449</v>
      </c>
      <c r="G359" s="10" t="s">
        <v>24043</v>
      </c>
      <c r="H359" s="10" t="s">
        <v>636</v>
      </c>
      <c r="I359" s="10" t="s">
        <v>55</v>
      </c>
      <c r="K359" s="10" t="s">
        <v>24062</v>
      </c>
      <c r="L359" s="10" t="s">
        <v>42</v>
      </c>
    </row>
    <row r="360" ht="15.75" customHeight="1">
      <c r="A360" s="66">
        <v>45494.0</v>
      </c>
      <c r="B360" s="55" t="str">
        <f>HYPERLINK("https://jobright.ai/jobs/info/669e592cc1b409aba1862579?utm_campaign=1057&amp;utm_source=sheet", "Apply")</f>
        <v>Apply</v>
      </c>
      <c r="C360" s="10" t="s">
        <v>24374</v>
      </c>
      <c r="D360" s="56" t="s">
        <v>4448</v>
      </c>
      <c r="E360" s="10" t="s">
        <v>71</v>
      </c>
      <c r="F360" s="10" t="s">
        <v>4449</v>
      </c>
      <c r="G360" s="10" t="s">
        <v>24043</v>
      </c>
      <c r="H360" s="10" t="s">
        <v>4261</v>
      </c>
      <c r="I360" s="10" t="s">
        <v>55</v>
      </c>
      <c r="K360" s="10" t="s">
        <v>4450</v>
      </c>
      <c r="L360" s="10" t="s">
        <v>42</v>
      </c>
    </row>
    <row r="361" ht="15.75" customHeight="1">
      <c r="A361" s="66">
        <v>45494.0</v>
      </c>
      <c r="B361" s="55" t="str">
        <f>HYPERLINK("https://jobright.ai/jobs/info/669e592cc1b409aba186257b?utm_campaign=1057&amp;utm_source=sheet", "Apply")</f>
        <v>Apply</v>
      </c>
      <c r="C361" s="10" t="s">
        <v>24331</v>
      </c>
      <c r="D361" s="56" t="s">
        <v>4448</v>
      </c>
      <c r="E361" s="10" t="s">
        <v>71</v>
      </c>
      <c r="F361" s="10" t="s">
        <v>4449</v>
      </c>
      <c r="G361" s="10" t="s">
        <v>24043</v>
      </c>
      <c r="H361" s="10" t="s">
        <v>21672</v>
      </c>
      <c r="I361" s="10" t="s">
        <v>55</v>
      </c>
      <c r="K361" s="10" t="s">
        <v>4450</v>
      </c>
      <c r="L361" s="10" t="s">
        <v>42</v>
      </c>
    </row>
    <row r="362" ht="15.75" customHeight="1">
      <c r="A362" s="66">
        <v>45494.0</v>
      </c>
      <c r="B362" s="55" t="str">
        <f>HYPERLINK("https://jobright.ai/jobs/info/669e592cc1b409aba1862578?utm_campaign=1057&amp;utm_source=sheet", "Apply")</f>
        <v>Apply</v>
      </c>
      <c r="C362" s="10" t="s">
        <v>24405</v>
      </c>
      <c r="D362" s="56" t="s">
        <v>4448</v>
      </c>
      <c r="E362" s="10" t="s">
        <v>71</v>
      </c>
      <c r="F362" s="10" t="s">
        <v>4449</v>
      </c>
      <c r="G362" s="10" t="s">
        <v>24043</v>
      </c>
      <c r="H362" s="10" t="s">
        <v>4452</v>
      </c>
      <c r="I362" s="10" t="s">
        <v>55</v>
      </c>
      <c r="K362" s="10" t="s">
        <v>4450</v>
      </c>
      <c r="L362" s="10" t="s">
        <v>42</v>
      </c>
    </row>
    <row r="363" ht="15.75" customHeight="1">
      <c r="A363" s="66">
        <v>45494.0</v>
      </c>
      <c r="B363" s="55" t="str">
        <f>HYPERLINK("https://jobright.ai/jobs/info/669e5932c1b409aba186257e?utm_campaign=1057&amp;utm_source=sheet", "Apply")</f>
        <v>Apply</v>
      </c>
      <c r="C363" s="10" t="s">
        <v>24426</v>
      </c>
      <c r="D363" s="56" t="s">
        <v>4448</v>
      </c>
      <c r="E363" s="10" t="s">
        <v>71</v>
      </c>
      <c r="F363" s="10" t="s">
        <v>4449</v>
      </c>
      <c r="G363" s="10" t="s">
        <v>24043</v>
      </c>
      <c r="H363" s="10" t="s">
        <v>4456</v>
      </c>
      <c r="I363" s="10" t="s">
        <v>55</v>
      </c>
      <c r="K363" s="10" t="s">
        <v>24062</v>
      </c>
      <c r="L363" s="10" t="s">
        <v>42</v>
      </c>
    </row>
    <row r="364" ht="15.75" customHeight="1">
      <c r="A364" s="66">
        <v>45494.0</v>
      </c>
      <c r="B364" s="55" t="str">
        <f>HYPERLINK("https://jobright.ai/jobs/info/669fa756ea48813283fdf4cd?utm_campaign=1057&amp;utm_source=sheet", "Apply")</f>
        <v>Apply</v>
      </c>
      <c r="C364" s="10" t="s">
        <v>24435</v>
      </c>
      <c r="D364" s="56" t="s">
        <v>4448</v>
      </c>
      <c r="E364" s="10" t="s">
        <v>71</v>
      </c>
      <c r="F364" s="10" t="s">
        <v>4449</v>
      </c>
      <c r="G364" s="10" t="s">
        <v>24043</v>
      </c>
      <c r="H364" s="10" t="s">
        <v>20990</v>
      </c>
      <c r="I364" s="10" t="s">
        <v>55</v>
      </c>
      <c r="K364" s="10" t="s">
        <v>4450</v>
      </c>
      <c r="L364" s="10" t="s">
        <v>42</v>
      </c>
    </row>
    <row r="365" ht="15.75" customHeight="1">
      <c r="A365" s="66">
        <v>45494.0</v>
      </c>
      <c r="B365" s="55" t="str">
        <f>HYPERLINK("https://jobright.ai/jobs/info/669fa756ea48813283fdf4d2?utm_campaign=1057&amp;utm_source=sheet", "Apply")</f>
        <v>Apply</v>
      </c>
      <c r="C365" s="10" t="s">
        <v>24425</v>
      </c>
      <c r="D365" s="56" t="s">
        <v>4448</v>
      </c>
      <c r="E365" s="10" t="s">
        <v>71</v>
      </c>
      <c r="F365" s="10" t="s">
        <v>4449</v>
      </c>
      <c r="G365" s="10" t="s">
        <v>24043</v>
      </c>
      <c r="H365" s="10" t="s">
        <v>5432</v>
      </c>
      <c r="I365" s="10" t="s">
        <v>55</v>
      </c>
      <c r="K365" s="10" t="s">
        <v>4450</v>
      </c>
      <c r="L365" s="10" t="s">
        <v>42</v>
      </c>
    </row>
    <row r="366" ht="15.75" customHeight="1">
      <c r="A366" s="66">
        <v>45494.0</v>
      </c>
      <c r="B366" s="55" t="str">
        <f>HYPERLINK("https://jobright.ai/jobs/info/669fa756ea48813283fdf4d6?utm_campaign=1057&amp;utm_source=sheet", "Apply")</f>
        <v>Apply</v>
      </c>
      <c r="C366" s="10" t="s">
        <v>24436</v>
      </c>
      <c r="D366" s="56" t="s">
        <v>4448</v>
      </c>
      <c r="E366" s="10" t="s">
        <v>71</v>
      </c>
      <c r="F366" s="10" t="s">
        <v>4449</v>
      </c>
      <c r="G366" s="10" t="s">
        <v>24043</v>
      </c>
      <c r="H366" s="10" t="s">
        <v>2602</v>
      </c>
      <c r="I366" s="10" t="s">
        <v>55</v>
      </c>
      <c r="K366" s="10" t="s">
        <v>24062</v>
      </c>
      <c r="L366" s="10" t="s">
        <v>42</v>
      </c>
    </row>
    <row r="367" ht="15.75" customHeight="1">
      <c r="A367" s="66">
        <v>45494.0</v>
      </c>
      <c r="B367" s="55" t="str">
        <f>HYPERLINK("https://jobright.ai/jobs/info/66a0f9d072dbe8acd22339a2?utm_campaign=1057&amp;utm_source=sheet", "Apply")</f>
        <v>Apply</v>
      </c>
      <c r="C367" s="10" t="s">
        <v>24423</v>
      </c>
      <c r="D367" s="56" t="s">
        <v>4448</v>
      </c>
      <c r="E367" s="10" t="s">
        <v>71</v>
      </c>
      <c r="F367" s="10" t="s">
        <v>4449</v>
      </c>
      <c r="G367" s="10" t="s">
        <v>24043</v>
      </c>
      <c r="H367" s="10" t="s">
        <v>24408</v>
      </c>
      <c r="I367" s="10" t="s">
        <v>55</v>
      </c>
      <c r="K367" s="10" t="s">
        <v>24062</v>
      </c>
      <c r="L367" s="10" t="s">
        <v>42</v>
      </c>
    </row>
    <row r="368" ht="15.75" customHeight="1">
      <c r="A368" s="66">
        <v>45494.0</v>
      </c>
      <c r="B368" s="55" t="str">
        <f>HYPERLINK("https://jobright.ai/jobs/info/66a0f9d072dbe8acd22339a7?utm_campaign=1057&amp;utm_source=sheet", "Apply")</f>
        <v>Apply</v>
      </c>
      <c r="C368" s="10" t="s">
        <v>24413</v>
      </c>
      <c r="D368" s="56" t="s">
        <v>4448</v>
      </c>
      <c r="E368" s="10" t="s">
        <v>71</v>
      </c>
      <c r="F368" s="10" t="s">
        <v>4449</v>
      </c>
      <c r="G368" s="10" t="s">
        <v>24043</v>
      </c>
      <c r="H368" s="10" t="s">
        <v>21672</v>
      </c>
      <c r="I368" s="10" t="s">
        <v>55</v>
      </c>
      <c r="K368" s="10" t="s">
        <v>4450</v>
      </c>
      <c r="L368" s="10" t="s">
        <v>42</v>
      </c>
    </row>
    <row r="369" ht="15.75" customHeight="1">
      <c r="A369" s="66">
        <v>45494.0</v>
      </c>
      <c r="B369" s="55" t="str">
        <f>HYPERLINK("https://jobright.ai/jobs/info/66a0f51cf57f1c3ae4c32739?utm_campaign=1057&amp;utm_source=sheet", "Apply")</f>
        <v>Apply</v>
      </c>
      <c r="C369" s="10" t="s">
        <v>24439</v>
      </c>
      <c r="D369" s="56" t="s">
        <v>4448</v>
      </c>
      <c r="E369" s="10" t="s">
        <v>71</v>
      </c>
      <c r="F369" s="10" t="s">
        <v>4449</v>
      </c>
      <c r="G369" s="10" t="s">
        <v>24043</v>
      </c>
      <c r="H369" s="10" t="s">
        <v>255</v>
      </c>
      <c r="I369" s="10" t="s">
        <v>55</v>
      </c>
      <c r="K369" s="10" t="s">
        <v>4450</v>
      </c>
      <c r="L369" s="10" t="s">
        <v>42</v>
      </c>
    </row>
    <row r="370" ht="15.75" customHeight="1">
      <c r="A370" s="66">
        <v>45494.0</v>
      </c>
      <c r="B370" s="55" t="str">
        <f>HYPERLINK("https://jobright.ai/jobs/info/669e525f1829144f3c797d50?utm_campaign=1057&amp;utm_source=sheet", "Apply")</f>
        <v>Apply</v>
      </c>
      <c r="C370" s="10" t="s">
        <v>24452</v>
      </c>
      <c r="D370" s="56" t="s">
        <v>4448</v>
      </c>
      <c r="E370" s="10" t="s">
        <v>71</v>
      </c>
      <c r="F370" s="10" t="s">
        <v>4449</v>
      </c>
      <c r="G370" s="10" t="s">
        <v>24043</v>
      </c>
      <c r="H370" s="10" t="s">
        <v>3646</v>
      </c>
      <c r="I370" s="10" t="s">
        <v>55</v>
      </c>
      <c r="K370" s="10" t="s">
        <v>24062</v>
      </c>
      <c r="L370" s="10" t="s">
        <v>42</v>
      </c>
    </row>
    <row r="371" ht="15.75" customHeight="1">
      <c r="A371" s="66">
        <v>45494.0</v>
      </c>
      <c r="B371" s="55" t="str">
        <f>HYPERLINK("https://jobright.ai/jobs/info/669fa4d0b1b0bcfa7f386e4e?utm_campaign=1057&amp;utm_source=sheet", "Apply")</f>
        <v>Apply</v>
      </c>
      <c r="C371" s="10" t="s">
        <v>24417</v>
      </c>
      <c r="D371" s="56" t="s">
        <v>4448</v>
      </c>
      <c r="E371" s="10" t="s">
        <v>71</v>
      </c>
      <c r="F371" s="10" t="s">
        <v>4449</v>
      </c>
      <c r="G371" s="10" t="s">
        <v>24043</v>
      </c>
      <c r="H371" s="10" t="s">
        <v>8248</v>
      </c>
      <c r="I371" s="10" t="s">
        <v>55</v>
      </c>
      <c r="K371" s="10" t="s">
        <v>24062</v>
      </c>
      <c r="L371" s="10" t="s">
        <v>42</v>
      </c>
    </row>
    <row r="372" ht="15.75" customHeight="1">
      <c r="A372" s="66">
        <v>45494.0</v>
      </c>
      <c r="B372" s="55" t="str">
        <f>HYPERLINK("https://jobright.ai/jobs/info/66a3f951c344e12ad5441293?utm_campaign=1057&amp;utm_source=sheet", "Apply")</f>
        <v>Apply</v>
      </c>
      <c r="C372" s="10" t="s">
        <v>24417</v>
      </c>
      <c r="D372" s="56" t="s">
        <v>4448</v>
      </c>
      <c r="E372" s="10" t="s">
        <v>71</v>
      </c>
      <c r="F372" s="10" t="s">
        <v>4449</v>
      </c>
      <c r="G372" s="10" t="s">
        <v>24043</v>
      </c>
      <c r="H372" s="10" t="s">
        <v>20989</v>
      </c>
      <c r="I372" s="10" t="s">
        <v>55</v>
      </c>
      <c r="K372" s="10" t="s">
        <v>24062</v>
      </c>
      <c r="L372" s="10" t="s">
        <v>42</v>
      </c>
    </row>
    <row r="373" ht="15.75" customHeight="1">
      <c r="A373" s="66">
        <v>45494.0</v>
      </c>
      <c r="B373" s="55" t="str">
        <f>HYPERLINK("https://jobright.ai/jobs/info/669e527b1829144f3c797f94?utm_campaign=1057&amp;utm_source=sheet", "Apply")</f>
        <v>Apply</v>
      </c>
      <c r="C373" s="10" t="s">
        <v>24374</v>
      </c>
      <c r="D373" s="56" t="s">
        <v>4448</v>
      </c>
      <c r="E373" s="10" t="s">
        <v>71</v>
      </c>
      <c r="F373" s="10" t="s">
        <v>4449</v>
      </c>
      <c r="G373" s="10" t="s">
        <v>24043</v>
      </c>
      <c r="H373" s="10" t="s">
        <v>21486</v>
      </c>
      <c r="I373" s="10" t="s">
        <v>55</v>
      </c>
      <c r="K373" s="10" t="s">
        <v>4450</v>
      </c>
      <c r="L373" s="10" t="s">
        <v>42</v>
      </c>
    </row>
    <row r="374" ht="15.75" customHeight="1">
      <c r="A374" s="66">
        <v>45494.0</v>
      </c>
      <c r="B374" s="55" t="str">
        <f>HYPERLINK("https://jobright.ai/jobs/info/669e527b1829144f3c797f9c?utm_campaign=1057&amp;utm_source=sheet", "Apply")</f>
        <v>Apply</v>
      </c>
      <c r="C374" s="10" t="s">
        <v>24434</v>
      </c>
      <c r="D374" s="56" t="s">
        <v>4448</v>
      </c>
      <c r="E374" s="10" t="s">
        <v>71</v>
      </c>
      <c r="F374" s="10" t="s">
        <v>4449</v>
      </c>
      <c r="G374" s="10" t="s">
        <v>24043</v>
      </c>
      <c r="H374" s="10" t="s">
        <v>16746</v>
      </c>
      <c r="I374" s="10" t="s">
        <v>55</v>
      </c>
      <c r="K374" s="10" t="s">
        <v>4450</v>
      </c>
      <c r="L374" s="10" t="s">
        <v>42</v>
      </c>
    </row>
    <row r="375" ht="15.75" customHeight="1">
      <c r="A375" s="66">
        <v>45494.0</v>
      </c>
      <c r="B375" s="55" t="str">
        <f>HYPERLINK("https://jobright.ai/jobs/info/669e527b1829144f3c797f9b?utm_campaign=1057&amp;utm_source=sheet", "Apply")</f>
        <v>Apply</v>
      </c>
      <c r="C375" s="10" t="s">
        <v>24418</v>
      </c>
      <c r="D375" s="56" t="s">
        <v>4448</v>
      </c>
      <c r="E375" s="10" t="s">
        <v>71</v>
      </c>
      <c r="F375" s="10" t="s">
        <v>4449</v>
      </c>
      <c r="G375" s="10" t="s">
        <v>24043</v>
      </c>
      <c r="H375" s="10" t="s">
        <v>24411</v>
      </c>
      <c r="I375" s="10" t="s">
        <v>55</v>
      </c>
      <c r="K375" s="10" t="s">
        <v>4450</v>
      </c>
      <c r="L375" s="10" t="s">
        <v>42</v>
      </c>
    </row>
    <row r="376" ht="15.75" customHeight="1">
      <c r="A376" s="66">
        <v>45494.0</v>
      </c>
      <c r="B376" s="55" t="str">
        <f>HYPERLINK("https://jobright.ai/jobs/info/669e527b1829144f3c797f97?utm_campaign=1057&amp;utm_source=sheet", "Apply")</f>
        <v>Apply</v>
      </c>
      <c r="C376" s="10" t="s">
        <v>24429</v>
      </c>
      <c r="D376" s="56" t="s">
        <v>4448</v>
      </c>
      <c r="E376" s="10" t="s">
        <v>71</v>
      </c>
      <c r="F376" s="10" t="s">
        <v>4449</v>
      </c>
      <c r="G376" s="10" t="s">
        <v>24043</v>
      </c>
      <c r="H376" s="10" t="s">
        <v>255</v>
      </c>
      <c r="I376" s="10" t="s">
        <v>55</v>
      </c>
      <c r="K376" s="10" t="s">
        <v>24062</v>
      </c>
      <c r="L376" s="10" t="s">
        <v>42</v>
      </c>
    </row>
    <row r="377" ht="15.75" customHeight="1">
      <c r="A377" s="66">
        <v>45494.0</v>
      </c>
      <c r="B377" s="55" t="str">
        <f>HYPERLINK("https://jobright.ai/jobs/info/669e527b1829144f3c797fa2?utm_campaign=1057&amp;utm_source=sheet", "Apply")</f>
        <v>Apply</v>
      </c>
      <c r="C377" s="10" t="s">
        <v>20988</v>
      </c>
      <c r="D377" s="56" t="s">
        <v>4448</v>
      </c>
      <c r="E377" s="10" t="s">
        <v>71</v>
      </c>
      <c r="F377" s="10" t="s">
        <v>4449</v>
      </c>
      <c r="G377" s="10" t="s">
        <v>24043</v>
      </c>
      <c r="H377" s="10" t="s">
        <v>24411</v>
      </c>
      <c r="I377" s="10" t="s">
        <v>55</v>
      </c>
      <c r="K377" s="10" t="s">
        <v>4450</v>
      </c>
      <c r="L377" s="10" t="s">
        <v>42</v>
      </c>
    </row>
    <row r="378" ht="15.75" customHeight="1">
      <c r="A378" s="66">
        <v>45494.0</v>
      </c>
      <c r="B378" s="55" t="str">
        <f>HYPERLINK("https://jobright.ai/jobs/info/669e527b1829144f3c797fa9?utm_campaign=1057&amp;utm_source=sheet", "Apply")</f>
        <v>Apply</v>
      </c>
      <c r="C378" s="10" t="s">
        <v>24450</v>
      </c>
      <c r="D378" s="56" t="s">
        <v>4448</v>
      </c>
      <c r="E378" s="10" t="s">
        <v>71</v>
      </c>
      <c r="F378" s="10" t="s">
        <v>4449</v>
      </c>
      <c r="G378" s="10" t="s">
        <v>24043</v>
      </c>
      <c r="H378" s="10" t="s">
        <v>21486</v>
      </c>
      <c r="I378" s="10" t="s">
        <v>55</v>
      </c>
      <c r="K378" s="10" t="s">
        <v>24062</v>
      </c>
      <c r="L378" s="10" t="s">
        <v>42</v>
      </c>
    </row>
    <row r="379" ht="15.75" customHeight="1">
      <c r="A379" s="66">
        <v>45494.0</v>
      </c>
      <c r="B379" s="55" t="str">
        <f>HYPERLINK("https://jobright.ai/jobs/info/669e527b1829144f3c797fac?utm_campaign=1057&amp;utm_source=sheet", "Apply")</f>
        <v>Apply</v>
      </c>
      <c r="C379" s="10" t="s">
        <v>24432</v>
      </c>
      <c r="D379" s="56" t="s">
        <v>4448</v>
      </c>
      <c r="E379" s="10" t="s">
        <v>71</v>
      </c>
      <c r="F379" s="10" t="s">
        <v>4449</v>
      </c>
      <c r="G379" s="10" t="s">
        <v>24043</v>
      </c>
      <c r="H379" s="10" t="s">
        <v>24338</v>
      </c>
      <c r="I379" s="10" t="s">
        <v>55</v>
      </c>
      <c r="K379" s="10" t="s">
        <v>4450</v>
      </c>
      <c r="L379" s="10" t="s">
        <v>42</v>
      </c>
    </row>
    <row r="380" ht="15.75" customHeight="1">
      <c r="A380" s="66">
        <v>45494.0</v>
      </c>
      <c r="B380" s="55" t="str">
        <f>HYPERLINK("https://jobright.ai/jobs/info/669e527b1829144f3c797faf?utm_campaign=1057&amp;utm_source=sheet", "Apply")</f>
        <v>Apply</v>
      </c>
      <c r="C380" s="10" t="s">
        <v>24423</v>
      </c>
      <c r="D380" s="56" t="s">
        <v>4448</v>
      </c>
      <c r="E380" s="10" t="s">
        <v>71</v>
      </c>
      <c r="F380" s="10" t="s">
        <v>4449</v>
      </c>
      <c r="G380" s="10" t="s">
        <v>24043</v>
      </c>
      <c r="H380" s="10" t="s">
        <v>20989</v>
      </c>
      <c r="I380" s="10" t="s">
        <v>55</v>
      </c>
      <c r="K380" s="10" t="s">
        <v>24062</v>
      </c>
      <c r="L380" s="10" t="s">
        <v>42</v>
      </c>
    </row>
    <row r="381" ht="15.75" customHeight="1">
      <c r="A381" s="66">
        <v>45494.0</v>
      </c>
      <c r="B381" s="55" t="str">
        <f>HYPERLINK("https://jobright.ai/jobs/info/66a3f951c344e12ad5441295?utm_campaign=1057&amp;utm_source=sheet", "Apply")</f>
        <v>Apply</v>
      </c>
      <c r="C381" s="10" t="s">
        <v>24395</v>
      </c>
      <c r="D381" s="56" t="s">
        <v>4448</v>
      </c>
      <c r="E381" s="10" t="s">
        <v>71</v>
      </c>
      <c r="F381" s="10" t="s">
        <v>4449</v>
      </c>
      <c r="G381" s="10" t="s">
        <v>24043</v>
      </c>
      <c r="H381" s="10" t="s">
        <v>4456</v>
      </c>
      <c r="I381" s="10" t="s">
        <v>55</v>
      </c>
      <c r="K381" s="10" t="s">
        <v>4450</v>
      </c>
      <c r="L381" s="10" t="s">
        <v>42</v>
      </c>
    </row>
    <row r="382" ht="15.75" customHeight="1">
      <c r="A382" s="66">
        <v>45494.0</v>
      </c>
      <c r="B382" s="55" t="str">
        <f>HYPERLINK("https://jobright.ai/jobs/info/669e52831829144f3c797fb8?utm_campaign=1057&amp;utm_source=sheet", "Apply")</f>
        <v>Apply</v>
      </c>
      <c r="C382" s="10" t="s">
        <v>24418</v>
      </c>
      <c r="D382" s="56" t="s">
        <v>4448</v>
      </c>
      <c r="E382" s="10" t="s">
        <v>71</v>
      </c>
      <c r="F382" s="10" t="s">
        <v>4449</v>
      </c>
      <c r="G382" s="10" t="s">
        <v>24043</v>
      </c>
      <c r="H382" s="10" t="s">
        <v>1786</v>
      </c>
      <c r="I382" s="10" t="s">
        <v>55</v>
      </c>
      <c r="K382" s="10" t="s">
        <v>4450</v>
      </c>
      <c r="L382" s="10" t="s">
        <v>42</v>
      </c>
    </row>
    <row r="383" ht="15.75" customHeight="1">
      <c r="A383" s="66">
        <v>45494.0</v>
      </c>
      <c r="B383" s="55" t="str">
        <f>HYPERLINK("https://jobright.ai/jobs/info/669e52831829144f3c797fc5?utm_campaign=1057&amp;utm_source=sheet", "Apply")</f>
        <v>Apply</v>
      </c>
      <c r="C383" s="10" t="s">
        <v>24417</v>
      </c>
      <c r="D383" s="56" t="s">
        <v>4448</v>
      </c>
      <c r="E383" s="10" t="s">
        <v>71</v>
      </c>
      <c r="F383" s="10" t="s">
        <v>4449</v>
      </c>
      <c r="G383" s="10" t="s">
        <v>24043</v>
      </c>
      <c r="H383" s="10" t="s">
        <v>5432</v>
      </c>
      <c r="I383" s="10" t="s">
        <v>55</v>
      </c>
      <c r="K383" s="10" t="s">
        <v>24062</v>
      </c>
      <c r="L383" s="10" t="s">
        <v>42</v>
      </c>
    </row>
    <row r="384" ht="15.75" customHeight="1">
      <c r="A384" s="66">
        <v>45494.0</v>
      </c>
      <c r="B384" s="55" t="str">
        <f>HYPERLINK("https://jobright.ai/jobs/info/669fa4d0b1b0bcfa7f386e56?utm_campaign=1057&amp;utm_source=sheet", "Apply")</f>
        <v>Apply</v>
      </c>
      <c r="C384" s="10" t="s">
        <v>24453</v>
      </c>
      <c r="D384" s="56" t="s">
        <v>4448</v>
      </c>
      <c r="E384" s="10" t="s">
        <v>71</v>
      </c>
      <c r="F384" s="10" t="s">
        <v>4449</v>
      </c>
      <c r="G384" s="10" t="s">
        <v>24043</v>
      </c>
      <c r="H384" s="10" t="s">
        <v>8248</v>
      </c>
      <c r="I384" s="10" t="s">
        <v>55</v>
      </c>
      <c r="K384" s="10" t="s">
        <v>24062</v>
      </c>
      <c r="L384" s="10" t="s">
        <v>42</v>
      </c>
    </row>
    <row r="385" ht="15.75" customHeight="1">
      <c r="A385" s="66">
        <v>45494.0</v>
      </c>
      <c r="B385" s="55" t="str">
        <f>HYPERLINK("https://jobright.ai/jobs/info/669fa4d0b1b0bcfa7f386e57?utm_campaign=1057&amp;utm_source=sheet", "Apply")</f>
        <v>Apply</v>
      </c>
      <c r="C385" s="10" t="s">
        <v>24414</v>
      </c>
      <c r="D385" s="56" t="s">
        <v>4448</v>
      </c>
      <c r="E385" s="10" t="s">
        <v>71</v>
      </c>
      <c r="F385" s="10" t="s">
        <v>4449</v>
      </c>
      <c r="G385" s="10" t="s">
        <v>24043</v>
      </c>
      <c r="H385" s="10" t="s">
        <v>24411</v>
      </c>
      <c r="I385" s="10" t="s">
        <v>55</v>
      </c>
      <c r="K385" s="10" t="s">
        <v>4450</v>
      </c>
      <c r="L385" s="10" t="s">
        <v>42</v>
      </c>
    </row>
    <row r="386" ht="15.75" customHeight="1">
      <c r="A386" s="66">
        <v>45494.0</v>
      </c>
      <c r="B386" s="55" t="str">
        <f>HYPERLINK("https://jobright.ai/jobs/info/66a3f951c344e12ad544129c?utm_campaign=1057&amp;utm_source=sheet", "Apply")</f>
        <v>Apply</v>
      </c>
      <c r="C386" s="10" t="s">
        <v>24397</v>
      </c>
      <c r="D386" s="56" t="s">
        <v>4448</v>
      </c>
      <c r="E386" s="10" t="s">
        <v>71</v>
      </c>
      <c r="F386" s="10" t="s">
        <v>4449</v>
      </c>
      <c r="G386" s="10" t="s">
        <v>24043</v>
      </c>
      <c r="H386" s="10" t="s">
        <v>2602</v>
      </c>
      <c r="I386" s="10" t="s">
        <v>55</v>
      </c>
      <c r="K386" s="10" t="s">
        <v>24062</v>
      </c>
      <c r="L386" s="10" t="s">
        <v>42</v>
      </c>
    </row>
    <row r="387" ht="15.75" customHeight="1">
      <c r="A387" s="66">
        <v>45494.0</v>
      </c>
      <c r="B387" s="55" t="str">
        <f>HYPERLINK("https://jobright.ai/jobs/info/66a3f951c344e12ad544129f?utm_campaign=1057&amp;utm_source=sheet", "Apply")</f>
        <v>Apply</v>
      </c>
      <c r="C387" s="10" t="s">
        <v>24430</v>
      </c>
      <c r="D387" s="56" t="s">
        <v>4448</v>
      </c>
      <c r="E387" s="10" t="s">
        <v>71</v>
      </c>
      <c r="F387" s="10" t="s">
        <v>4449</v>
      </c>
      <c r="G387" s="10" t="s">
        <v>24043</v>
      </c>
      <c r="H387" s="10" t="s">
        <v>4458</v>
      </c>
      <c r="I387" s="10" t="s">
        <v>55</v>
      </c>
      <c r="K387" s="10" t="s">
        <v>24062</v>
      </c>
      <c r="L387" s="10" t="s">
        <v>42</v>
      </c>
    </row>
    <row r="388" ht="15.75" customHeight="1">
      <c r="A388" s="66">
        <v>45494.0</v>
      </c>
      <c r="B388" s="55" t="str">
        <f>HYPERLINK("https://jobright.ai/jobs/info/66a3f951c344e12ad54412a0?utm_campaign=1057&amp;utm_source=sheet", "Apply")</f>
        <v>Apply</v>
      </c>
      <c r="C388" s="10" t="s">
        <v>24449</v>
      </c>
      <c r="D388" s="56" t="s">
        <v>4448</v>
      </c>
      <c r="E388" s="10" t="s">
        <v>71</v>
      </c>
      <c r="F388" s="10" t="s">
        <v>4449</v>
      </c>
      <c r="G388" s="10" t="s">
        <v>24043</v>
      </c>
      <c r="H388" s="10" t="s">
        <v>21486</v>
      </c>
      <c r="I388" s="10" t="s">
        <v>55</v>
      </c>
      <c r="K388" s="10" t="s">
        <v>4450</v>
      </c>
      <c r="L388" s="10" t="s">
        <v>42</v>
      </c>
    </row>
    <row r="389" ht="15.75" customHeight="1">
      <c r="A389" s="66">
        <v>45494.0</v>
      </c>
      <c r="B389" s="55" t="str">
        <f>HYPERLINK("https://jobright.ai/jobs/info/669fa2ac0978d429047d3a9a?utm_campaign=1057&amp;utm_source=sheet", "Apply")</f>
        <v>Apply</v>
      </c>
      <c r="C389" s="10" t="s">
        <v>24454</v>
      </c>
      <c r="D389" s="56" t="s">
        <v>4448</v>
      </c>
      <c r="E389" s="10" t="s">
        <v>71</v>
      </c>
      <c r="F389" s="10" t="s">
        <v>4449</v>
      </c>
      <c r="G389" s="10" t="s">
        <v>24043</v>
      </c>
      <c r="H389" s="10" t="s">
        <v>3646</v>
      </c>
      <c r="I389" s="10" t="s">
        <v>55</v>
      </c>
      <c r="K389" s="10" t="s">
        <v>4450</v>
      </c>
      <c r="L389" s="10" t="s">
        <v>42</v>
      </c>
    </row>
    <row r="390" ht="15.75" customHeight="1">
      <c r="A390" s="66">
        <v>45494.0</v>
      </c>
      <c r="B390" s="55" t="str">
        <f>HYPERLINK("https://jobright.ai/jobs/info/669e4f334761975356c35308?utm_campaign=1057&amp;utm_source=sheet", "Apply")</f>
        <v>Apply</v>
      </c>
      <c r="C390" s="10" t="s">
        <v>24455</v>
      </c>
      <c r="D390" s="56" t="s">
        <v>4448</v>
      </c>
      <c r="E390" s="10" t="s">
        <v>71</v>
      </c>
      <c r="F390" s="10" t="s">
        <v>4449</v>
      </c>
      <c r="G390" s="10" t="s">
        <v>24043</v>
      </c>
      <c r="H390" s="10" t="s">
        <v>21486</v>
      </c>
      <c r="I390" s="10" t="s">
        <v>55</v>
      </c>
      <c r="K390" s="10" t="s">
        <v>4450</v>
      </c>
      <c r="L390" s="10" t="s">
        <v>42</v>
      </c>
    </row>
    <row r="391" ht="15.75" customHeight="1">
      <c r="A391" s="66">
        <v>45494.0</v>
      </c>
      <c r="B391" s="55" t="str">
        <f>HYPERLINK("https://jobright.ai/jobs/info/669fa2ac0978d429047d3aa0?utm_campaign=1057&amp;utm_source=sheet", "Apply")</f>
        <v>Apply</v>
      </c>
      <c r="C391" s="10" t="s">
        <v>24375</v>
      </c>
      <c r="D391" s="56" t="s">
        <v>4448</v>
      </c>
      <c r="E391" s="10" t="s">
        <v>71</v>
      </c>
      <c r="F391" s="10" t="s">
        <v>4449</v>
      </c>
      <c r="G391" s="10" t="s">
        <v>24043</v>
      </c>
      <c r="H391" s="10" t="s">
        <v>24408</v>
      </c>
      <c r="I391" s="10" t="s">
        <v>55</v>
      </c>
      <c r="K391" s="10" t="s">
        <v>24062</v>
      </c>
      <c r="L391" s="10" t="s">
        <v>42</v>
      </c>
    </row>
    <row r="392" ht="15.75" customHeight="1">
      <c r="A392" s="66">
        <v>45494.0</v>
      </c>
      <c r="B392" s="55" t="str">
        <f>HYPERLINK("https://jobright.ai/jobs/info/669fa2ac0978d429047d3aa3?utm_campaign=1057&amp;utm_source=sheet", "Apply")</f>
        <v>Apply</v>
      </c>
      <c r="C392" s="10" t="s">
        <v>24088</v>
      </c>
      <c r="D392" s="56" t="s">
        <v>4448</v>
      </c>
      <c r="E392" s="10" t="s">
        <v>71</v>
      </c>
      <c r="F392" s="10" t="s">
        <v>4449</v>
      </c>
      <c r="G392" s="10" t="s">
        <v>24043</v>
      </c>
      <c r="H392" s="10" t="s">
        <v>4456</v>
      </c>
      <c r="I392" s="10" t="s">
        <v>55</v>
      </c>
      <c r="K392" s="10" t="s">
        <v>24062</v>
      </c>
      <c r="L392" s="10" t="s">
        <v>42</v>
      </c>
    </row>
    <row r="393" ht="15.75" customHeight="1">
      <c r="A393" s="66">
        <v>45494.0</v>
      </c>
      <c r="B393" s="55" t="str">
        <f>HYPERLINK("https://jobright.ai/jobs/info/669fa2ac0978d429047d3aa8?utm_campaign=1057&amp;utm_source=sheet", "Apply")</f>
        <v>Apply</v>
      </c>
      <c r="C393" s="10" t="s">
        <v>24395</v>
      </c>
      <c r="D393" s="56" t="s">
        <v>4448</v>
      </c>
      <c r="E393" s="10" t="s">
        <v>71</v>
      </c>
      <c r="F393" s="10" t="s">
        <v>4449</v>
      </c>
      <c r="G393" s="10" t="s">
        <v>24043</v>
      </c>
      <c r="H393" s="10" t="s">
        <v>24411</v>
      </c>
      <c r="I393" s="10" t="s">
        <v>55</v>
      </c>
      <c r="K393" s="10" t="s">
        <v>4450</v>
      </c>
      <c r="L393" s="10" t="s">
        <v>42</v>
      </c>
    </row>
    <row r="394" ht="15.75" customHeight="1">
      <c r="A394" s="66">
        <v>45494.0</v>
      </c>
      <c r="B394" s="55" t="str">
        <f>HYPERLINK("https://jobright.ai/jobs/info/669e4c20892b00836a41a342?utm_campaign=1057&amp;utm_source=sheet", "Apply")</f>
        <v>Apply</v>
      </c>
      <c r="C394" s="10" t="s">
        <v>24331</v>
      </c>
      <c r="D394" s="56" t="s">
        <v>4448</v>
      </c>
      <c r="E394" s="10" t="s">
        <v>71</v>
      </c>
      <c r="F394" s="10" t="s">
        <v>4449</v>
      </c>
      <c r="G394" s="10" t="s">
        <v>24043</v>
      </c>
      <c r="H394" s="10" t="s">
        <v>24370</v>
      </c>
      <c r="I394" s="10" t="s">
        <v>55</v>
      </c>
      <c r="K394" s="10" t="s">
        <v>4450</v>
      </c>
      <c r="L394" s="10" t="s">
        <v>42</v>
      </c>
    </row>
    <row r="395" ht="15.75" customHeight="1">
      <c r="A395" s="66">
        <v>45494.0</v>
      </c>
      <c r="B395" s="55" t="str">
        <f>HYPERLINK("https://jobright.ai/jobs/info/669e4c45892b00836a41a62e?utm_campaign=1057&amp;utm_source=sheet", "Apply")</f>
        <v>Apply</v>
      </c>
      <c r="C395" s="10" t="s">
        <v>24456</v>
      </c>
      <c r="D395" s="56" t="s">
        <v>4448</v>
      </c>
      <c r="E395" s="10" t="s">
        <v>71</v>
      </c>
      <c r="F395" s="10" t="s">
        <v>4449</v>
      </c>
      <c r="G395" s="10" t="s">
        <v>24043</v>
      </c>
      <c r="H395" s="10" t="s">
        <v>636</v>
      </c>
      <c r="I395" s="10" t="s">
        <v>55</v>
      </c>
      <c r="K395" s="10" t="s">
        <v>24062</v>
      </c>
      <c r="L395" s="10" t="s">
        <v>42</v>
      </c>
    </row>
    <row r="396" ht="15.75" customHeight="1">
      <c r="A396" s="66">
        <v>45494.0</v>
      </c>
      <c r="B396" s="55" t="str">
        <f>HYPERLINK("https://jobright.ai/jobs/info/669e4c45892b00836a41a62f?utm_campaign=1057&amp;utm_source=sheet", "Apply")</f>
        <v>Apply</v>
      </c>
      <c r="C396" s="10" t="s">
        <v>24457</v>
      </c>
      <c r="D396" s="56" t="s">
        <v>4448</v>
      </c>
      <c r="E396" s="10" t="s">
        <v>71</v>
      </c>
      <c r="F396" s="10" t="s">
        <v>4449</v>
      </c>
      <c r="G396" s="10" t="s">
        <v>24043</v>
      </c>
      <c r="H396" s="10" t="s">
        <v>21672</v>
      </c>
      <c r="I396" s="10" t="s">
        <v>55</v>
      </c>
      <c r="K396" s="10" t="s">
        <v>4450</v>
      </c>
      <c r="L396" s="10" t="s">
        <v>42</v>
      </c>
    </row>
    <row r="397" ht="15.75" customHeight="1">
      <c r="A397" s="66">
        <v>45494.0</v>
      </c>
      <c r="B397" s="55" t="str">
        <f>HYPERLINK("https://jobright.ai/jobs/info/669e4c20892b00836a41a33f?utm_campaign=1057&amp;utm_source=sheet", "Apply")</f>
        <v>Apply</v>
      </c>
      <c r="C397" s="10" t="s">
        <v>24458</v>
      </c>
      <c r="D397" s="56" t="s">
        <v>4448</v>
      </c>
      <c r="E397" s="10" t="s">
        <v>71</v>
      </c>
      <c r="F397" s="10" t="s">
        <v>4449</v>
      </c>
      <c r="G397" s="10" t="s">
        <v>24043</v>
      </c>
      <c r="H397" s="10" t="s">
        <v>24411</v>
      </c>
      <c r="I397" s="10" t="s">
        <v>55</v>
      </c>
      <c r="K397" s="10" t="s">
        <v>4450</v>
      </c>
      <c r="L397" s="10" t="s">
        <v>42</v>
      </c>
    </row>
    <row r="398" ht="15.75" customHeight="1">
      <c r="A398" s="66">
        <v>45494.0</v>
      </c>
      <c r="B398" s="55" t="str">
        <f>HYPERLINK("https://jobright.ai/jobs/info/669e4c45892b00836a41a636?utm_campaign=1057&amp;utm_source=sheet", "Apply")</f>
        <v>Apply</v>
      </c>
      <c r="C398" s="10" t="s">
        <v>24459</v>
      </c>
      <c r="D398" s="56" t="s">
        <v>4448</v>
      </c>
      <c r="E398" s="10" t="s">
        <v>71</v>
      </c>
      <c r="F398" s="10" t="s">
        <v>4449</v>
      </c>
      <c r="G398" s="10" t="s">
        <v>24043</v>
      </c>
      <c r="H398" s="10" t="s">
        <v>24408</v>
      </c>
      <c r="I398" s="10" t="s">
        <v>55</v>
      </c>
      <c r="K398" s="10" t="s">
        <v>4450</v>
      </c>
      <c r="L398" s="10" t="s">
        <v>42</v>
      </c>
    </row>
    <row r="399" ht="15.75" customHeight="1">
      <c r="A399" s="66">
        <v>45494.0</v>
      </c>
      <c r="B399" s="55" t="str">
        <f>HYPERLINK("https://jobright.ai/jobs/info/669e4c4a892b00836a41a6f8?utm_campaign=1057&amp;utm_source=sheet", "Apply")</f>
        <v>Apply</v>
      </c>
      <c r="C399" s="10" t="s">
        <v>24458</v>
      </c>
      <c r="D399" s="56" t="s">
        <v>4448</v>
      </c>
      <c r="E399" s="10" t="s">
        <v>71</v>
      </c>
      <c r="F399" s="10" t="s">
        <v>4449</v>
      </c>
      <c r="G399" s="10" t="s">
        <v>24043</v>
      </c>
      <c r="H399" s="10" t="s">
        <v>24408</v>
      </c>
      <c r="I399" s="10" t="s">
        <v>55</v>
      </c>
      <c r="K399" s="10" t="s">
        <v>4450</v>
      </c>
      <c r="L399" s="10" t="s">
        <v>42</v>
      </c>
    </row>
    <row r="400" ht="15.75" customHeight="1">
      <c r="A400" s="66">
        <v>45494.0</v>
      </c>
      <c r="B400" s="55" t="str">
        <f>HYPERLINK("https://jobright.ai/jobs/info/669fa2ac0978d429047d3aaf?utm_campaign=1057&amp;utm_source=sheet", "Apply")</f>
        <v>Apply</v>
      </c>
      <c r="C400" s="10" t="s">
        <v>24432</v>
      </c>
      <c r="D400" s="56" t="s">
        <v>4448</v>
      </c>
      <c r="E400" s="10" t="s">
        <v>71</v>
      </c>
      <c r="F400" s="10" t="s">
        <v>4449</v>
      </c>
      <c r="G400" s="10" t="s">
        <v>24043</v>
      </c>
      <c r="H400" s="10" t="s">
        <v>21672</v>
      </c>
      <c r="I400" s="10" t="s">
        <v>55</v>
      </c>
      <c r="K400" s="10" t="s">
        <v>4450</v>
      </c>
      <c r="L400" s="10" t="s">
        <v>42</v>
      </c>
    </row>
    <row r="401" ht="15.75" customHeight="1">
      <c r="A401" s="66">
        <v>45494.0</v>
      </c>
      <c r="B401" s="55" t="str">
        <f>HYPERLINK("https://jobright.ai/jobs/info/669fa2ac0978d429047d3ab9?utm_campaign=1057&amp;utm_source=sheet", "Apply")</f>
        <v>Apply</v>
      </c>
      <c r="C401" s="10" t="s">
        <v>24317</v>
      </c>
      <c r="D401" s="56" t="s">
        <v>4448</v>
      </c>
      <c r="E401" s="10" t="s">
        <v>71</v>
      </c>
      <c r="F401" s="10" t="s">
        <v>4449</v>
      </c>
      <c r="G401" s="10" t="s">
        <v>24043</v>
      </c>
      <c r="H401" s="10" t="s">
        <v>8248</v>
      </c>
      <c r="I401" s="10" t="s">
        <v>55</v>
      </c>
      <c r="K401" s="10" t="s">
        <v>4450</v>
      </c>
      <c r="L401" s="10" t="s">
        <v>42</v>
      </c>
    </row>
    <row r="402" ht="15.75" customHeight="1">
      <c r="A402" s="66">
        <v>45494.0</v>
      </c>
      <c r="B402" s="55" t="str">
        <f>HYPERLINK("https://jobright.ai/jobs/info/669fa05a23c3d3b512dfecb0?utm_campaign=1057&amp;utm_source=sheet", "Apply")</f>
        <v>Apply</v>
      </c>
      <c r="C402" s="10" t="s">
        <v>24430</v>
      </c>
      <c r="D402" s="56" t="s">
        <v>4448</v>
      </c>
      <c r="E402" s="10" t="s">
        <v>71</v>
      </c>
      <c r="F402" s="10" t="s">
        <v>4449</v>
      </c>
      <c r="G402" s="10" t="s">
        <v>24043</v>
      </c>
      <c r="H402" s="10" t="s">
        <v>24338</v>
      </c>
      <c r="I402" s="10" t="s">
        <v>55</v>
      </c>
      <c r="K402" s="10" t="s">
        <v>24062</v>
      </c>
      <c r="L402" s="10" t="s">
        <v>42</v>
      </c>
    </row>
    <row r="403" ht="15.75" customHeight="1">
      <c r="A403" s="66">
        <v>45494.0</v>
      </c>
      <c r="B403" s="55" t="str">
        <f>HYPERLINK("https://jobright.ai/jobs/info/669e4c45892b00836a41a64e?utm_campaign=1057&amp;utm_source=sheet", "Apply")</f>
        <v>Apply</v>
      </c>
      <c r="C403" s="10" t="s">
        <v>24316</v>
      </c>
      <c r="D403" s="56" t="s">
        <v>4448</v>
      </c>
      <c r="E403" s="10" t="s">
        <v>71</v>
      </c>
      <c r="F403" s="10" t="s">
        <v>4449</v>
      </c>
      <c r="G403" s="10" t="s">
        <v>24043</v>
      </c>
      <c r="H403" s="10" t="s">
        <v>4455</v>
      </c>
      <c r="I403" s="10" t="s">
        <v>55</v>
      </c>
      <c r="K403" s="10" t="s">
        <v>24062</v>
      </c>
      <c r="L403" s="10" t="s">
        <v>42</v>
      </c>
    </row>
    <row r="404" ht="15.75" customHeight="1">
      <c r="A404" s="66">
        <v>45494.0</v>
      </c>
      <c r="B404" s="55" t="str">
        <f>HYPERLINK("https://jobright.ai/jobs/info/669e4c45892b00836a41a64f?utm_campaign=1057&amp;utm_source=sheet", "Apply")</f>
        <v>Apply</v>
      </c>
      <c r="C404" s="10" t="s">
        <v>24421</v>
      </c>
      <c r="D404" s="56" t="s">
        <v>4448</v>
      </c>
      <c r="E404" s="10" t="s">
        <v>71</v>
      </c>
      <c r="F404" s="10" t="s">
        <v>4449</v>
      </c>
      <c r="G404" s="10" t="s">
        <v>24043</v>
      </c>
      <c r="H404" s="10" t="s">
        <v>5432</v>
      </c>
      <c r="I404" s="10" t="s">
        <v>55</v>
      </c>
      <c r="K404" s="10" t="s">
        <v>4450</v>
      </c>
      <c r="L404" s="10" t="s">
        <v>42</v>
      </c>
    </row>
    <row r="405" ht="15.75" customHeight="1">
      <c r="A405" s="66">
        <v>45494.0</v>
      </c>
      <c r="B405" s="55" t="str">
        <f>HYPERLINK("https://jobright.ai/jobs/info/669e4c45892b00836a41a65a?utm_campaign=1057&amp;utm_source=sheet", "Apply")</f>
        <v>Apply</v>
      </c>
      <c r="C405" s="10" t="s">
        <v>24433</v>
      </c>
      <c r="D405" s="56" t="s">
        <v>4448</v>
      </c>
      <c r="E405" s="10" t="s">
        <v>71</v>
      </c>
      <c r="F405" s="10" t="s">
        <v>4449</v>
      </c>
      <c r="G405" s="10" t="s">
        <v>24043</v>
      </c>
      <c r="H405" s="10" t="s">
        <v>24370</v>
      </c>
      <c r="I405" s="10" t="s">
        <v>55</v>
      </c>
      <c r="K405" s="10" t="s">
        <v>24062</v>
      </c>
      <c r="L405" s="10" t="s">
        <v>42</v>
      </c>
    </row>
    <row r="406" ht="15.75" customHeight="1">
      <c r="A406" s="66">
        <v>45494.0</v>
      </c>
      <c r="B406" s="55" t="str">
        <f>HYPERLINK("https://jobright.ai/jobs/info/669fa05a23c3d3b512dfecba?utm_campaign=1057&amp;utm_source=sheet", "Apply")</f>
        <v>Apply</v>
      </c>
      <c r="C406" s="10" t="s">
        <v>24433</v>
      </c>
      <c r="D406" s="56" t="s">
        <v>4448</v>
      </c>
      <c r="E406" s="10" t="s">
        <v>71</v>
      </c>
      <c r="F406" s="10" t="s">
        <v>4449</v>
      </c>
      <c r="G406" s="10" t="s">
        <v>24043</v>
      </c>
      <c r="H406" s="10" t="s">
        <v>20989</v>
      </c>
      <c r="I406" s="10" t="s">
        <v>55</v>
      </c>
      <c r="K406" s="10" t="s">
        <v>24062</v>
      </c>
      <c r="L406" s="10" t="s">
        <v>42</v>
      </c>
    </row>
    <row r="407" ht="15.75" customHeight="1">
      <c r="A407" s="66">
        <v>45494.0</v>
      </c>
      <c r="B407" s="55" t="str">
        <f>HYPERLINK("https://jobright.ai/jobs/info/669fa05a23c3d3b512dfecbf?utm_campaign=1057&amp;utm_source=sheet", "Apply")</f>
        <v>Apply</v>
      </c>
      <c r="C407" s="10" t="s">
        <v>24433</v>
      </c>
      <c r="D407" s="56" t="s">
        <v>4448</v>
      </c>
      <c r="E407" s="10" t="s">
        <v>71</v>
      </c>
      <c r="F407" s="10" t="s">
        <v>4449</v>
      </c>
      <c r="G407" s="10" t="s">
        <v>24043</v>
      </c>
      <c r="H407" s="10" t="s">
        <v>4456</v>
      </c>
      <c r="I407" s="10" t="s">
        <v>55</v>
      </c>
      <c r="K407" s="10" t="s">
        <v>24062</v>
      </c>
      <c r="L407" s="10" t="s">
        <v>42</v>
      </c>
    </row>
    <row r="408" ht="15.75" customHeight="1">
      <c r="A408" s="66">
        <v>45494.0</v>
      </c>
      <c r="B408" s="55" t="str">
        <f>HYPERLINK("https://jobright.ai/jobs/info/669fa05a23c3d3b512dfecc0?utm_campaign=1057&amp;utm_source=sheet", "Apply")</f>
        <v>Apply</v>
      </c>
      <c r="C408" s="10" t="s">
        <v>24439</v>
      </c>
      <c r="D408" s="56" t="s">
        <v>4448</v>
      </c>
      <c r="E408" s="10" t="s">
        <v>71</v>
      </c>
      <c r="F408" s="10" t="s">
        <v>4449</v>
      </c>
      <c r="G408" s="10" t="s">
        <v>24043</v>
      </c>
      <c r="H408" s="10" t="s">
        <v>24411</v>
      </c>
      <c r="I408" s="10" t="s">
        <v>55</v>
      </c>
      <c r="K408" s="10" t="s">
        <v>4450</v>
      </c>
      <c r="L408" s="10" t="s">
        <v>42</v>
      </c>
    </row>
    <row r="409" ht="15.75" customHeight="1">
      <c r="A409" s="66">
        <v>45494.0</v>
      </c>
      <c r="B409" s="55" t="str">
        <f>HYPERLINK("https://jobright.ai/jobs/info/669e49a21bef9e02d106cdcc?utm_campaign=1057&amp;utm_source=sheet", "Apply")</f>
        <v>Apply</v>
      </c>
      <c r="C409" s="10" t="s">
        <v>8336</v>
      </c>
      <c r="D409" s="56" t="s">
        <v>4448</v>
      </c>
      <c r="E409" s="10" t="s">
        <v>71</v>
      </c>
      <c r="F409" s="10" t="s">
        <v>4449</v>
      </c>
      <c r="G409" s="10" t="s">
        <v>24043</v>
      </c>
      <c r="H409" s="10" t="s">
        <v>3646</v>
      </c>
      <c r="I409" s="10" t="s">
        <v>55</v>
      </c>
      <c r="K409" s="10" t="s">
        <v>4450</v>
      </c>
      <c r="L409" s="10" t="s">
        <v>42</v>
      </c>
    </row>
    <row r="410" ht="15.75" customHeight="1">
      <c r="A410" s="66">
        <v>45494.0</v>
      </c>
      <c r="B410" s="55" t="str">
        <f>HYPERLINK("https://jobright.ai/jobs/info/669e49a21bef9e02d106cdcf?utm_campaign=1057&amp;utm_source=sheet", "Apply")</f>
        <v>Apply</v>
      </c>
      <c r="C410" s="10" t="s">
        <v>4453</v>
      </c>
      <c r="D410" s="56" t="s">
        <v>4448</v>
      </c>
      <c r="E410" s="10" t="s">
        <v>71</v>
      </c>
      <c r="F410" s="10" t="s">
        <v>4449</v>
      </c>
      <c r="G410" s="10" t="s">
        <v>24043</v>
      </c>
      <c r="H410" s="10" t="s">
        <v>2602</v>
      </c>
      <c r="I410" s="10" t="s">
        <v>55</v>
      </c>
      <c r="K410" s="10" t="s">
        <v>4450</v>
      </c>
      <c r="L410" s="10" t="s">
        <v>42</v>
      </c>
    </row>
    <row r="411" ht="15.75" customHeight="1">
      <c r="A411" s="66">
        <v>45494.0</v>
      </c>
      <c r="B411" s="55" t="str">
        <f>HYPERLINK("https://jobright.ai/jobs/info/669e49a21bef9e02d106cdd2?utm_campaign=1057&amp;utm_source=sheet", "Apply")</f>
        <v>Apply</v>
      </c>
      <c r="C411" s="10" t="s">
        <v>24430</v>
      </c>
      <c r="D411" s="56" t="s">
        <v>4448</v>
      </c>
      <c r="E411" s="10" t="s">
        <v>71</v>
      </c>
      <c r="F411" s="10" t="s">
        <v>4449</v>
      </c>
      <c r="G411" s="10" t="s">
        <v>24043</v>
      </c>
      <c r="H411" s="10" t="s">
        <v>3646</v>
      </c>
      <c r="I411" s="10" t="s">
        <v>55</v>
      </c>
      <c r="K411" s="10" t="s">
        <v>24062</v>
      </c>
      <c r="L411" s="10" t="s">
        <v>42</v>
      </c>
    </row>
    <row r="412" ht="15.75" customHeight="1">
      <c r="A412" s="66">
        <v>45494.0</v>
      </c>
      <c r="B412" s="55" t="str">
        <f>HYPERLINK("https://jobright.ai/jobs/info/669e49a21bef9e02d106cdd7?utm_campaign=1057&amp;utm_source=sheet", "Apply")</f>
        <v>Apply</v>
      </c>
      <c r="C412" s="10" t="s">
        <v>20988</v>
      </c>
      <c r="D412" s="56" t="s">
        <v>4448</v>
      </c>
      <c r="E412" s="10" t="s">
        <v>71</v>
      </c>
      <c r="F412" s="10" t="s">
        <v>4449</v>
      </c>
      <c r="G412" s="10" t="s">
        <v>24043</v>
      </c>
      <c r="H412" s="10" t="s">
        <v>24396</v>
      </c>
      <c r="I412" s="10" t="s">
        <v>55</v>
      </c>
      <c r="K412" s="10" t="s">
        <v>4450</v>
      </c>
      <c r="L412" s="10" t="s">
        <v>42</v>
      </c>
    </row>
    <row r="413" ht="15.75" customHeight="1">
      <c r="A413" s="66">
        <v>45494.0</v>
      </c>
      <c r="B413" s="55" t="str">
        <f>HYPERLINK("https://jobright.ai/jobs/info/669e497d1bef9e02d106cae6?utm_campaign=1057&amp;utm_source=sheet", "Apply")</f>
        <v>Apply</v>
      </c>
      <c r="C413" s="10" t="s">
        <v>24445</v>
      </c>
      <c r="D413" s="56" t="s">
        <v>4448</v>
      </c>
      <c r="E413" s="10" t="s">
        <v>71</v>
      </c>
      <c r="F413" s="10" t="s">
        <v>4449</v>
      </c>
      <c r="G413" s="10" t="s">
        <v>24043</v>
      </c>
      <c r="H413" s="10" t="s">
        <v>20990</v>
      </c>
      <c r="I413" s="10" t="s">
        <v>55</v>
      </c>
      <c r="K413" s="10" t="s">
        <v>24062</v>
      </c>
      <c r="L413" s="10" t="s">
        <v>42</v>
      </c>
    </row>
    <row r="414" ht="15.75" customHeight="1">
      <c r="A414" s="66">
        <v>45494.0</v>
      </c>
      <c r="B414" s="55" t="str">
        <f>HYPERLINK("https://jobright.ai/jobs/info/669e49a21bef9e02d106cdde?utm_campaign=1057&amp;utm_source=sheet", "Apply")</f>
        <v>Apply</v>
      </c>
      <c r="C414" s="10" t="s">
        <v>4453</v>
      </c>
      <c r="D414" s="56" t="s">
        <v>4448</v>
      </c>
      <c r="E414" s="10" t="s">
        <v>71</v>
      </c>
      <c r="F414" s="10" t="s">
        <v>4449</v>
      </c>
      <c r="G414" s="10" t="s">
        <v>24043</v>
      </c>
      <c r="H414" s="10" t="s">
        <v>255</v>
      </c>
      <c r="I414" s="10" t="s">
        <v>55</v>
      </c>
      <c r="K414" s="10" t="s">
        <v>4450</v>
      </c>
      <c r="L414" s="10" t="s">
        <v>42</v>
      </c>
    </row>
    <row r="415" ht="15.75" customHeight="1">
      <c r="A415" s="66">
        <v>45494.0</v>
      </c>
      <c r="B415" s="55" t="str">
        <f>HYPERLINK("https://jobright.ai/jobs/info/669e49a21bef9e02d106cde8?utm_campaign=1057&amp;utm_source=sheet", "Apply")</f>
        <v>Apply</v>
      </c>
      <c r="C415" s="10" t="s">
        <v>24421</v>
      </c>
      <c r="D415" s="56" t="s">
        <v>4448</v>
      </c>
      <c r="E415" s="10" t="s">
        <v>71</v>
      </c>
      <c r="F415" s="10" t="s">
        <v>4449</v>
      </c>
      <c r="G415" s="10" t="s">
        <v>24043</v>
      </c>
      <c r="H415" s="10" t="s">
        <v>4456</v>
      </c>
      <c r="I415" s="10" t="s">
        <v>55</v>
      </c>
      <c r="K415" s="10" t="s">
        <v>4450</v>
      </c>
      <c r="L415" s="10" t="s">
        <v>42</v>
      </c>
    </row>
    <row r="416" ht="15.75" customHeight="1">
      <c r="A416" s="66">
        <v>45494.0</v>
      </c>
      <c r="B416" s="55" t="str">
        <f>HYPERLINK("https://jobright.ai/jobs/info/669e49a21bef9e02d106cde0?utm_campaign=1057&amp;utm_source=sheet", "Apply")</f>
        <v>Apply</v>
      </c>
      <c r="C416" s="10" t="s">
        <v>24088</v>
      </c>
      <c r="D416" s="56" t="s">
        <v>4448</v>
      </c>
      <c r="E416" s="10" t="s">
        <v>71</v>
      </c>
      <c r="F416" s="10" t="s">
        <v>4449</v>
      </c>
      <c r="G416" s="10" t="s">
        <v>24043</v>
      </c>
      <c r="H416" s="10" t="s">
        <v>255</v>
      </c>
      <c r="I416" s="10" t="s">
        <v>55</v>
      </c>
      <c r="K416" s="10" t="s">
        <v>24062</v>
      </c>
      <c r="L416" s="10" t="s">
        <v>42</v>
      </c>
    </row>
    <row r="417" ht="15.75" customHeight="1">
      <c r="A417" s="66">
        <v>45494.0</v>
      </c>
      <c r="B417" s="55" t="str">
        <f>HYPERLINK("https://jobright.ai/jobs/info/669e49a21bef9e02d106cde1?utm_campaign=1057&amp;utm_source=sheet", "Apply")</f>
        <v>Apply</v>
      </c>
      <c r="C417" s="10" t="s">
        <v>24421</v>
      </c>
      <c r="D417" s="56" t="s">
        <v>4448</v>
      </c>
      <c r="E417" s="10" t="s">
        <v>71</v>
      </c>
      <c r="F417" s="10" t="s">
        <v>4449</v>
      </c>
      <c r="G417" s="10" t="s">
        <v>24043</v>
      </c>
      <c r="H417" s="10" t="s">
        <v>24408</v>
      </c>
      <c r="I417" s="10" t="s">
        <v>55</v>
      </c>
      <c r="K417" s="10" t="s">
        <v>4450</v>
      </c>
      <c r="L417" s="10" t="s">
        <v>42</v>
      </c>
    </row>
    <row r="418" ht="15.75" customHeight="1">
      <c r="A418" s="66">
        <v>45494.0</v>
      </c>
      <c r="B418" s="55" t="str">
        <f>HYPERLINK("https://jobright.ai/jobs/info/669fa05a23c3d3b512dfecc7?utm_campaign=1057&amp;utm_source=sheet", "Apply")</f>
        <v>Apply</v>
      </c>
      <c r="C418" s="10" t="s">
        <v>24422</v>
      </c>
      <c r="D418" s="56" t="s">
        <v>4448</v>
      </c>
      <c r="E418" s="10" t="s">
        <v>71</v>
      </c>
      <c r="F418" s="10" t="s">
        <v>4449</v>
      </c>
      <c r="G418" s="10" t="s">
        <v>24043</v>
      </c>
      <c r="H418" s="10" t="s">
        <v>16746</v>
      </c>
      <c r="I418" s="10" t="s">
        <v>55</v>
      </c>
      <c r="K418" s="10" t="s">
        <v>24062</v>
      </c>
      <c r="L418" s="10" t="s">
        <v>42</v>
      </c>
    </row>
    <row r="419" ht="15.75" customHeight="1">
      <c r="A419" s="66">
        <v>45494.0</v>
      </c>
      <c r="B419" s="55" t="str">
        <f>HYPERLINK("https://jobright.ai/jobs/info/669e49a21bef9e02d106cdf2?utm_campaign=1057&amp;utm_source=sheet", "Apply")</f>
        <v>Apply</v>
      </c>
      <c r="C419" s="10" t="s">
        <v>24430</v>
      </c>
      <c r="D419" s="56" t="s">
        <v>4448</v>
      </c>
      <c r="E419" s="10" t="s">
        <v>71</v>
      </c>
      <c r="F419" s="10" t="s">
        <v>4449</v>
      </c>
      <c r="G419" s="10" t="s">
        <v>24043</v>
      </c>
      <c r="H419" s="10" t="s">
        <v>20990</v>
      </c>
      <c r="I419" s="10" t="s">
        <v>55</v>
      </c>
      <c r="K419" s="10" t="s">
        <v>24062</v>
      </c>
      <c r="L419" s="10" t="s">
        <v>42</v>
      </c>
    </row>
    <row r="420" ht="15.75" customHeight="1">
      <c r="A420" s="66">
        <v>45494.0</v>
      </c>
      <c r="B420" s="55" t="str">
        <f>HYPERLINK("https://jobright.ai/jobs/info/669e49a21bef9e02d106cdfa?utm_campaign=1057&amp;utm_source=sheet", "Apply")</f>
        <v>Apply</v>
      </c>
      <c r="C420" s="10" t="s">
        <v>8336</v>
      </c>
      <c r="D420" s="56" t="s">
        <v>4448</v>
      </c>
      <c r="E420" s="10" t="s">
        <v>71</v>
      </c>
      <c r="F420" s="10" t="s">
        <v>4449</v>
      </c>
      <c r="G420" s="10" t="s">
        <v>24043</v>
      </c>
      <c r="H420" s="10" t="s">
        <v>4452</v>
      </c>
      <c r="I420" s="10" t="s">
        <v>55</v>
      </c>
      <c r="K420" s="10" t="s">
        <v>4450</v>
      </c>
      <c r="L420" s="10" t="s">
        <v>42</v>
      </c>
    </row>
    <row r="421" ht="15.75" customHeight="1">
      <c r="A421" s="66">
        <v>45494.0</v>
      </c>
      <c r="B421" s="55" t="str">
        <f>HYPERLINK("https://jobright.ai/jobs/info/669e49a51bef9e02d106ce9f?utm_campaign=1057&amp;utm_source=sheet", "Apply")</f>
        <v>Apply</v>
      </c>
      <c r="C421" s="10" t="s">
        <v>24460</v>
      </c>
      <c r="D421" s="56" t="s">
        <v>4448</v>
      </c>
      <c r="E421" s="10" t="s">
        <v>71</v>
      </c>
      <c r="F421" s="10" t="s">
        <v>4449</v>
      </c>
      <c r="G421" s="10" t="s">
        <v>24043</v>
      </c>
      <c r="H421" s="10" t="s">
        <v>24411</v>
      </c>
      <c r="I421" s="10" t="s">
        <v>55</v>
      </c>
      <c r="K421" s="10" t="s">
        <v>4450</v>
      </c>
      <c r="L421" s="10" t="s">
        <v>42</v>
      </c>
    </row>
    <row r="422" ht="15.75" customHeight="1">
      <c r="A422" s="66">
        <v>45494.0</v>
      </c>
      <c r="B422" s="55" t="str">
        <f>HYPERLINK("https://jobright.ai/jobs/info/669e49a21bef9e02d106ce06?utm_campaign=1057&amp;utm_source=sheet", "Apply")</f>
        <v>Apply</v>
      </c>
      <c r="C422" s="10" t="s">
        <v>8336</v>
      </c>
      <c r="D422" s="56" t="s">
        <v>4448</v>
      </c>
      <c r="E422" s="10" t="s">
        <v>71</v>
      </c>
      <c r="F422" s="10" t="s">
        <v>4449</v>
      </c>
      <c r="G422" s="10" t="s">
        <v>24043</v>
      </c>
      <c r="H422" s="10" t="s">
        <v>636</v>
      </c>
      <c r="I422" s="10" t="s">
        <v>55</v>
      </c>
      <c r="K422" s="10" t="s">
        <v>4450</v>
      </c>
      <c r="L422" s="10" t="s">
        <v>42</v>
      </c>
    </row>
    <row r="423" ht="15.75" customHeight="1">
      <c r="A423" s="66">
        <v>45494.0</v>
      </c>
      <c r="B423" s="55" t="str">
        <f>HYPERLINK("https://jobright.ai/jobs/info/66a3f951c344e12ad54412b2?utm_campaign=1057&amp;utm_source=sheet", "Apply")</f>
        <v>Apply</v>
      </c>
      <c r="C423" s="10" t="s">
        <v>24441</v>
      </c>
      <c r="D423" s="56" t="s">
        <v>4448</v>
      </c>
      <c r="E423" s="10" t="s">
        <v>71</v>
      </c>
      <c r="F423" s="10" t="s">
        <v>4449</v>
      </c>
      <c r="G423" s="10" t="s">
        <v>24043</v>
      </c>
      <c r="H423" s="10" t="s">
        <v>24338</v>
      </c>
      <c r="I423" s="10" t="s">
        <v>55</v>
      </c>
      <c r="K423" s="10" t="s">
        <v>4450</v>
      </c>
      <c r="L423" s="10" t="s">
        <v>42</v>
      </c>
    </row>
    <row r="424" ht="15.75" customHeight="1">
      <c r="A424" s="66">
        <v>45494.0</v>
      </c>
      <c r="B424" s="55" t="str">
        <f>HYPERLINK("https://jobright.ai/jobs/info/66a3f951c344e12ad54412b5?utm_campaign=1057&amp;utm_source=sheet", "Apply")</f>
        <v>Apply</v>
      </c>
      <c r="C424" s="10" t="s">
        <v>24461</v>
      </c>
      <c r="D424" s="56" t="s">
        <v>4448</v>
      </c>
      <c r="E424" s="10" t="s">
        <v>71</v>
      </c>
      <c r="F424" s="10" t="s">
        <v>4449</v>
      </c>
      <c r="G424" s="10" t="s">
        <v>24043</v>
      </c>
      <c r="H424" s="10" t="s">
        <v>24396</v>
      </c>
      <c r="I424" s="10" t="s">
        <v>55</v>
      </c>
      <c r="K424" s="10" t="s">
        <v>4450</v>
      </c>
      <c r="L424" s="10" t="s">
        <v>42</v>
      </c>
    </row>
    <row r="425" ht="15.75" customHeight="1">
      <c r="A425" s="66">
        <v>45494.0</v>
      </c>
      <c r="B425" s="55" t="str">
        <f>HYPERLINK("https://jobright.ai/jobs/info/669f9b296b4d6a5840810242?utm_campaign=1057&amp;utm_source=sheet", "Apply")</f>
        <v>Apply</v>
      </c>
      <c r="C425" s="10" t="s">
        <v>24428</v>
      </c>
      <c r="D425" s="56" t="s">
        <v>4448</v>
      </c>
      <c r="E425" s="10" t="s">
        <v>71</v>
      </c>
      <c r="F425" s="10" t="s">
        <v>4449</v>
      </c>
      <c r="G425" s="10" t="s">
        <v>24043</v>
      </c>
      <c r="H425" s="10" t="s">
        <v>1786</v>
      </c>
      <c r="I425" s="10" t="s">
        <v>55</v>
      </c>
      <c r="K425" s="10" t="s">
        <v>24062</v>
      </c>
      <c r="L425" s="10" t="s">
        <v>42</v>
      </c>
    </row>
    <row r="426" ht="15.75" customHeight="1">
      <c r="A426" s="66">
        <v>45494.0</v>
      </c>
      <c r="B426" s="55" t="str">
        <f>HYPERLINK("https://jobright.ai/jobs/info/66a3f951c344e12ad54412ba?utm_campaign=1057&amp;utm_source=sheet", "Apply")</f>
        <v>Apply</v>
      </c>
      <c r="C426" s="10" t="s">
        <v>24461</v>
      </c>
      <c r="D426" s="56" t="s">
        <v>4448</v>
      </c>
      <c r="E426" s="10" t="s">
        <v>71</v>
      </c>
      <c r="F426" s="10" t="s">
        <v>4449</v>
      </c>
      <c r="G426" s="10" t="s">
        <v>24043</v>
      </c>
      <c r="H426" s="10" t="s">
        <v>20990</v>
      </c>
      <c r="I426" s="10" t="s">
        <v>55</v>
      </c>
      <c r="K426" s="10" t="s">
        <v>4450</v>
      </c>
      <c r="L426" s="10" t="s">
        <v>42</v>
      </c>
    </row>
    <row r="427" ht="15.75" customHeight="1">
      <c r="A427" s="66">
        <v>45494.0</v>
      </c>
      <c r="B427" s="55" t="str">
        <f>HYPERLINK("https://jobright.ai/jobs/info/669f9b296b4d6a5840810243?utm_campaign=1057&amp;utm_source=sheet", "Apply")</f>
        <v>Apply</v>
      </c>
      <c r="C427" s="10" t="s">
        <v>24414</v>
      </c>
      <c r="D427" s="56" t="s">
        <v>4448</v>
      </c>
      <c r="E427" s="10" t="s">
        <v>71</v>
      </c>
      <c r="F427" s="10" t="s">
        <v>4449</v>
      </c>
      <c r="G427" s="10" t="s">
        <v>24043</v>
      </c>
      <c r="H427" s="10" t="s">
        <v>24370</v>
      </c>
      <c r="I427" s="10" t="s">
        <v>55</v>
      </c>
      <c r="K427" s="10" t="s">
        <v>4450</v>
      </c>
      <c r="L427" s="10" t="s">
        <v>42</v>
      </c>
    </row>
    <row r="428" ht="15.75" customHeight="1">
      <c r="A428" s="66">
        <v>45494.0</v>
      </c>
      <c r="B428" s="55" t="str">
        <f>HYPERLINK("https://jobright.ai/jobs/info/669f9b296b4d6a5840810244?utm_campaign=1057&amp;utm_source=sheet", "Apply")</f>
        <v>Apply</v>
      </c>
      <c r="C428" s="10" t="s">
        <v>24405</v>
      </c>
      <c r="D428" s="56" t="s">
        <v>4448</v>
      </c>
      <c r="E428" s="10" t="s">
        <v>71</v>
      </c>
      <c r="F428" s="10" t="s">
        <v>4449</v>
      </c>
      <c r="G428" s="10" t="s">
        <v>24043</v>
      </c>
      <c r="H428" s="10" t="s">
        <v>20989</v>
      </c>
      <c r="I428" s="10" t="s">
        <v>55</v>
      </c>
      <c r="K428" s="10" t="s">
        <v>4450</v>
      </c>
      <c r="L428" s="10" t="s">
        <v>42</v>
      </c>
    </row>
    <row r="429" ht="15.75" customHeight="1">
      <c r="A429" s="66">
        <v>45494.0</v>
      </c>
      <c r="B429" s="55" t="str">
        <f>HYPERLINK("https://jobright.ai/jobs/info/66a0e5b2b73fe09fb9e67b32?utm_campaign=1057&amp;utm_source=sheet", "Apply")</f>
        <v>Apply</v>
      </c>
      <c r="C429" s="10" t="s">
        <v>20988</v>
      </c>
      <c r="D429" s="56" t="s">
        <v>4448</v>
      </c>
      <c r="E429" s="10" t="s">
        <v>71</v>
      </c>
      <c r="F429" s="10" t="s">
        <v>4449</v>
      </c>
      <c r="G429" s="10" t="s">
        <v>24043</v>
      </c>
      <c r="H429" s="10" t="s">
        <v>5432</v>
      </c>
      <c r="I429" s="10" t="s">
        <v>55</v>
      </c>
      <c r="K429" s="10" t="s">
        <v>4450</v>
      </c>
      <c r="L429" s="10" t="s">
        <v>42</v>
      </c>
    </row>
    <row r="430" ht="15.75" customHeight="1">
      <c r="A430" s="66">
        <v>45494.0</v>
      </c>
      <c r="B430" s="55" t="str">
        <f>HYPERLINK("https://jobright.ai/jobs/info/66a3f951c344e12ad54412c1?utm_campaign=1057&amp;utm_source=sheet", "Apply")</f>
        <v>Apply</v>
      </c>
      <c r="C430" s="10" t="s">
        <v>4453</v>
      </c>
      <c r="D430" s="56" t="s">
        <v>4448</v>
      </c>
      <c r="E430" s="10" t="s">
        <v>71</v>
      </c>
      <c r="F430" s="10" t="s">
        <v>4449</v>
      </c>
      <c r="G430" s="10" t="s">
        <v>24043</v>
      </c>
      <c r="H430" s="10" t="s">
        <v>24370</v>
      </c>
      <c r="I430" s="10" t="s">
        <v>55</v>
      </c>
      <c r="K430" s="10" t="s">
        <v>4450</v>
      </c>
      <c r="L430" s="10" t="s">
        <v>42</v>
      </c>
    </row>
    <row r="431" ht="15.75" customHeight="1">
      <c r="A431" s="66">
        <v>45494.0</v>
      </c>
      <c r="B431" s="55" t="str">
        <f>HYPERLINK("https://jobright.ai/jobs/info/669f9b296b4d6a584081024e?utm_campaign=1057&amp;utm_source=sheet", "Apply")</f>
        <v>Apply</v>
      </c>
      <c r="C431" s="10" t="s">
        <v>24183</v>
      </c>
      <c r="D431" s="56" t="s">
        <v>4448</v>
      </c>
      <c r="E431" s="10" t="s">
        <v>71</v>
      </c>
      <c r="F431" s="10" t="s">
        <v>4449</v>
      </c>
      <c r="G431" s="10" t="s">
        <v>24043</v>
      </c>
      <c r="H431" s="10" t="s">
        <v>4458</v>
      </c>
      <c r="I431" s="10" t="s">
        <v>55</v>
      </c>
      <c r="K431" s="10" t="s">
        <v>4450</v>
      </c>
      <c r="L431" s="10" t="s">
        <v>42</v>
      </c>
    </row>
    <row r="432" ht="15.75" customHeight="1">
      <c r="A432" s="66">
        <v>45494.0</v>
      </c>
      <c r="B432" s="55" t="str">
        <f>HYPERLINK("https://jobright.ai/jobs/info/669f9b296b4d6a5840810250?utm_campaign=1057&amp;utm_source=sheet", "Apply")</f>
        <v>Apply</v>
      </c>
      <c r="C432" s="10" t="s">
        <v>24418</v>
      </c>
      <c r="D432" s="56" t="s">
        <v>4448</v>
      </c>
      <c r="E432" s="10" t="s">
        <v>71</v>
      </c>
      <c r="F432" s="10" t="s">
        <v>4449</v>
      </c>
      <c r="G432" s="10" t="s">
        <v>24043</v>
      </c>
      <c r="H432" s="10" t="s">
        <v>21486</v>
      </c>
      <c r="I432" s="10" t="s">
        <v>55</v>
      </c>
      <c r="K432" s="10" t="s">
        <v>4450</v>
      </c>
      <c r="L432" s="10" t="s">
        <v>42</v>
      </c>
    </row>
    <row r="433" ht="15.75" customHeight="1">
      <c r="A433" s="66">
        <v>45494.0</v>
      </c>
      <c r="B433" s="55" t="str">
        <f>HYPERLINK("https://jobright.ai/jobs/info/66a3f951c344e12ad54412c3?utm_campaign=1057&amp;utm_source=sheet", "Apply")</f>
        <v>Apply</v>
      </c>
      <c r="C433" s="10" t="s">
        <v>20987</v>
      </c>
      <c r="D433" s="56" t="s">
        <v>4448</v>
      </c>
      <c r="E433" s="10" t="s">
        <v>71</v>
      </c>
      <c r="F433" s="10" t="s">
        <v>4449</v>
      </c>
      <c r="G433" s="10" t="s">
        <v>24043</v>
      </c>
      <c r="H433" s="10" t="s">
        <v>24411</v>
      </c>
      <c r="I433" s="10" t="s">
        <v>55</v>
      </c>
      <c r="K433" s="10" t="s">
        <v>4450</v>
      </c>
      <c r="L433" s="10" t="s">
        <v>42</v>
      </c>
    </row>
    <row r="434" ht="15.75" customHeight="1">
      <c r="A434" s="66">
        <v>45494.0</v>
      </c>
      <c r="B434" s="55" t="str">
        <f>HYPERLINK("https://jobright.ai/jobs/info/66a3f951c344e12ad54412c5?utm_campaign=1057&amp;utm_source=sheet", "Apply")</f>
        <v>Apply</v>
      </c>
      <c r="C434" s="10" t="s">
        <v>24421</v>
      </c>
      <c r="D434" s="56" t="s">
        <v>4448</v>
      </c>
      <c r="E434" s="10" t="s">
        <v>71</v>
      </c>
      <c r="F434" s="10" t="s">
        <v>4449</v>
      </c>
      <c r="G434" s="10" t="s">
        <v>24043</v>
      </c>
      <c r="H434" s="10" t="s">
        <v>3646</v>
      </c>
      <c r="I434" s="10" t="s">
        <v>55</v>
      </c>
      <c r="K434" s="10" t="s">
        <v>4450</v>
      </c>
      <c r="L434" s="10" t="s">
        <v>42</v>
      </c>
    </row>
    <row r="435" ht="15.75" customHeight="1">
      <c r="A435" s="66">
        <v>45494.0</v>
      </c>
      <c r="B435" s="55" t="str">
        <f>HYPERLINK("https://jobright.ai/jobs/info/66a3f951c344e12ad54412c8?utm_campaign=1057&amp;utm_source=sheet", "Apply")</f>
        <v>Apply</v>
      </c>
      <c r="C435" s="10" t="s">
        <v>8247</v>
      </c>
      <c r="D435" s="56" t="s">
        <v>4448</v>
      </c>
      <c r="E435" s="10" t="s">
        <v>71</v>
      </c>
      <c r="F435" s="10" t="s">
        <v>4449</v>
      </c>
      <c r="G435" s="10" t="s">
        <v>24043</v>
      </c>
      <c r="H435" s="10" t="s">
        <v>4455</v>
      </c>
      <c r="I435" s="10" t="s">
        <v>55</v>
      </c>
      <c r="K435" s="10" t="s">
        <v>4450</v>
      </c>
      <c r="L435" s="10" t="s">
        <v>42</v>
      </c>
    </row>
    <row r="436" ht="15.75" customHeight="1">
      <c r="A436" s="66">
        <v>45494.0</v>
      </c>
      <c r="B436" s="55" t="str">
        <f>HYPERLINK("https://jobright.ai/jobs/info/669f9b296b4d6a5840810258?utm_campaign=1057&amp;utm_source=sheet", "Apply")</f>
        <v>Apply</v>
      </c>
      <c r="C436" s="10" t="s">
        <v>24425</v>
      </c>
      <c r="D436" s="56" t="s">
        <v>4448</v>
      </c>
      <c r="E436" s="10" t="s">
        <v>71</v>
      </c>
      <c r="F436" s="10" t="s">
        <v>4449</v>
      </c>
      <c r="G436" s="10" t="s">
        <v>24043</v>
      </c>
      <c r="H436" s="10" t="s">
        <v>24408</v>
      </c>
      <c r="I436" s="10" t="s">
        <v>55</v>
      </c>
      <c r="K436" s="10" t="s">
        <v>4450</v>
      </c>
      <c r="L436" s="10" t="s">
        <v>42</v>
      </c>
    </row>
    <row r="437" ht="15.75" customHeight="1">
      <c r="A437" s="66">
        <v>45494.0</v>
      </c>
      <c r="B437" s="55" t="str">
        <f>HYPERLINK("https://jobright.ai/jobs/info/66a3f951c344e12ad54412c9?utm_campaign=1057&amp;utm_source=sheet", "Apply")</f>
        <v>Apply</v>
      </c>
      <c r="C437" s="10" t="s">
        <v>24462</v>
      </c>
      <c r="D437" s="56" t="s">
        <v>4448</v>
      </c>
      <c r="E437" s="10" t="s">
        <v>71</v>
      </c>
      <c r="F437" s="10" t="s">
        <v>4449</v>
      </c>
      <c r="G437" s="10" t="s">
        <v>24043</v>
      </c>
      <c r="H437" s="10" t="s">
        <v>5432</v>
      </c>
      <c r="I437" s="10" t="s">
        <v>55</v>
      </c>
      <c r="K437" s="10" t="s">
        <v>4450</v>
      </c>
      <c r="L437" s="10" t="s">
        <v>42</v>
      </c>
    </row>
    <row r="438" ht="15.75" customHeight="1">
      <c r="A438" s="66">
        <v>45494.0</v>
      </c>
      <c r="B438" s="55" t="str">
        <f>HYPERLINK("https://jobright.ai/jobs/info/66a0e5b2b73fe09fb9e67b39?utm_campaign=1057&amp;utm_source=sheet", "Apply")</f>
        <v>Apply</v>
      </c>
      <c r="C438" s="10" t="s">
        <v>24375</v>
      </c>
      <c r="D438" s="56" t="s">
        <v>4448</v>
      </c>
      <c r="E438" s="10" t="s">
        <v>71</v>
      </c>
      <c r="F438" s="10" t="s">
        <v>4449</v>
      </c>
      <c r="G438" s="10" t="s">
        <v>24043</v>
      </c>
      <c r="H438" s="10" t="s">
        <v>5432</v>
      </c>
      <c r="I438" s="10" t="s">
        <v>55</v>
      </c>
      <c r="K438" s="10" t="s">
        <v>24062</v>
      </c>
      <c r="L438" s="10" t="s">
        <v>42</v>
      </c>
    </row>
    <row r="439" ht="15.75" customHeight="1">
      <c r="A439" s="66">
        <v>45494.0</v>
      </c>
      <c r="B439" s="55" t="str">
        <f>HYPERLINK("https://jobright.ai/jobs/info/66a0e5b2b73fe09fb9e67b3b?utm_campaign=1057&amp;utm_source=sheet", "Apply")</f>
        <v>Apply</v>
      </c>
      <c r="C439" s="10" t="s">
        <v>24460</v>
      </c>
      <c r="D439" s="56" t="s">
        <v>4448</v>
      </c>
      <c r="E439" s="10" t="s">
        <v>71</v>
      </c>
      <c r="F439" s="10" t="s">
        <v>4449</v>
      </c>
      <c r="G439" s="10" t="s">
        <v>24043</v>
      </c>
      <c r="H439" s="10" t="s">
        <v>20990</v>
      </c>
      <c r="I439" s="10" t="s">
        <v>55</v>
      </c>
      <c r="K439" s="10" t="s">
        <v>4450</v>
      </c>
      <c r="L439" s="10" t="s">
        <v>42</v>
      </c>
    </row>
    <row r="440" ht="15.75" customHeight="1">
      <c r="A440" s="66">
        <v>45494.0</v>
      </c>
      <c r="B440" s="55" t="str">
        <f>HYPERLINK("https://jobright.ai/jobs/info/669e467fca3e6aa92c887edb?utm_campaign=1057&amp;utm_source=sheet", "Apply")</f>
        <v>Apply</v>
      </c>
      <c r="C440" s="10" t="s">
        <v>24429</v>
      </c>
      <c r="D440" s="56" t="s">
        <v>4448</v>
      </c>
      <c r="E440" s="10" t="s">
        <v>71</v>
      </c>
      <c r="F440" s="10" t="s">
        <v>4449</v>
      </c>
      <c r="G440" s="10" t="s">
        <v>24043</v>
      </c>
      <c r="H440" s="10" t="s">
        <v>24370</v>
      </c>
      <c r="I440" s="10" t="s">
        <v>55</v>
      </c>
      <c r="K440" s="10" t="s">
        <v>24062</v>
      </c>
      <c r="L440" s="10" t="s">
        <v>42</v>
      </c>
    </row>
    <row r="441" ht="15.75" customHeight="1">
      <c r="A441" s="66">
        <v>45494.0</v>
      </c>
      <c r="B441" s="55" t="str">
        <f>HYPERLINK("https://jobright.ai/jobs/info/669e46a9ca3e6aa92c8882c5?utm_campaign=1057&amp;utm_source=sheet", "Apply")</f>
        <v>Apply</v>
      </c>
      <c r="C441" s="10" t="s">
        <v>24423</v>
      </c>
      <c r="D441" s="56" t="s">
        <v>4448</v>
      </c>
      <c r="E441" s="10" t="s">
        <v>71</v>
      </c>
      <c r="F441" s="10" t="s">
        <v>4449</v>
      </c>
      <c r="G441" s="10" t="s">
        <v>24043</v>
      </c>
      <c r="H441" s="10" t="s">
        <v>4452</v>
      </c>
      <c r="I441" s="10" t="s">
        <v>55</v>
      </c>
      <c r="K441" s="10" t="s">
        <v>24062</v>
      </c>
      <c r="L441" s="10" t="s">
        <v>42</v>
      </c>
    </row>
    <row r="442" ht="15.75" customHeight="1">
      <c r="A442" s="66">
        <v>45494.0</v>
      </c>
      <c r="B442" s="55" t="str">
        <f>HYPERLINK("https://jobright.ai/jobs/info/669e467fca3e6aa92c887ee8?utm_campaign=1057&amp;utm_source=sheet", "Apply")</f>
        <v>Apply</v>
      </c>
      <c r="C442" s="10" t="s">
        <v>24183</v>
      </c>
      <c r="D442" s="56" t="s">
        <v>4448</v>
      </c>
      <c r="E442" s="10" t="s">
        <v>71</v>
      </c>
      <c r="F442" s="10" t="s">
        <v>4449</v>
      </c>
      <c r="G442" s="10" t="s">
        <v>24043</v>
      </c>
      <c r="H442" s="10" t="s">
        <v>255</v>
      </c>
      <c r="I442" s="10" t="s">
        <v>55</v>
      </c>
      <c r="K442" s="10" t="s">
        <v>4450</v>
      </c>
      <c r="L442" s="10" t="s">
        <v>42</v>
      </c>
    </row>
    <row r="443" ht="15.75" customHeight="1">
      <c r="A443" s="66">
        <v>45494.0</v>
      </c>
      <c r="B443" s="55" t="str">
        <f>HYPERLINK("https://jobright.ai/jobs/info/669e46a9ca3e6aa92c8882ca?utm_campaign=1057&amp;utm_source=sheet", "Apply")</f>
        <v>Apply</v>
      </c>
      <c r="C443" s="10" t="s">
        <v>24316</v>
      </c>
      <c r="D443" s="56" t="s">
        <v>4448</v>
      </c>
      <c r="E443" s="10" t="s">
        <v>71</v>
      </c>
      <c r="F443" s="10" t="s">
        <v>4449</v>
      </c>
      <c r="G443" s="10" t="s">
        <v>24043</v>
      </c>
      <c r="H443" s="10" t="s">
        <v>24370</v>
      </c>
      <c r="I443" s="10" t="s">
        <v>55</v>
      </c>
      <c r="K443" s="10" t="s">
        <v>24062</v>
      </c>
      <c r="L443" s="10" t="s">
        <v>42</v>
      </c>
    </row>
    <row r="444" ht="15.75" customHeight="1">
      <c r="A444" s="66">
        <v>45494.0</v>
      </c>
      <c r="B444" s="55" t="str">
        <f>HYPERLINK("https://jobright.ai/jobs/info/669e468aca3e6aa92c887efc?utm_campaign=1057&amp;utm_source=sheet", "Apply")</f>
        <v>Apply</v>
      </c>
      <c r="C444" s="10" t="s">
        <v>24410</v>
      </c>
      <c r="D444" s="56" t="s">
        <v>4448</v>
      </c>
      <c r="E444" s="10" t="s">
        <v>71</v>
      </c>
      <c r="F444" s="10" t="s">
        <v>4449</v>
      </c>
      <c r="G444" s="10" t="s">
        <v>24043</v>
      </c>
      <c r="H444" s="10" t="s">
        <v>5432</v>
      </c>
      <c r="I444" s="10" t="s">
        <v>55</v>
      </c>
      <c r="K444" s="10" t="s">
        <v>4450</v>
      </c>
      <c r="L444" s="10" t="s">
        <v>42</v>
      </c>
    </row>
    <row r="445" ht="15.75" customHeight="1">
      <c r="A445" s="66">
        <v>45494.0</v>
      </c>
      <c r="B445" s="55" t="str">
        <f>HYPERLINK("https://jobright.ai/jobs/info/669e46a9ca3e6aa92c8882d2?utm_campaign=1057&amp;utm_source=sheet", "Apply")</f>
        <v>Apply</v>
      </c>
      <c r="C445" s="10" t="s">
        <v>24463</v>
      </c>
      <c r="D445" s="56" t="s">
        <v>4448</v>
      </c>
      <c r="E445" s="10" t="s">
        <v>71</v>
      </c>
      <c r="F445" s="10" t="s">
        <v>4449</v>
      </c>
      <c r="G445" s="10" t="s">
        <v>24043</v>
      </c>
      <c r="H445" s="10" t="s">
        <v>1786</v>
      </c>
      <c r="I445" s="10" t="s">
        <v>55</v>
      </c>
      <c r="K445" s="10" t="s">
        <v>24062</v>
      </c>
      <c r="L445" s="10" t="s">
        <v>42</v>
      </c>
    </row>
    <row r="446" ht="15.75" customHeight="1">
      <c r="A446" s="66">
        <v>45494.0</v>
      </c>
      <c r="B446" s="55" t="str">
        <f>HYPERLINK("https://jobright.ai/jobs/info/669e468aca3e6aa92c887f05?utm_campaign=1057&amp;utm_source=sheet", "Apply")</f>
        <v>Apply</v>
      </c>
      <c r="C446" s="10" t="s">
        <v>24155</v>
      </c>
      <c r="D446" s="56" t="s">
        <v>4448</v>
      </c>
      <c r="E446" s="10" t="s">
        <v>71</v>
      </c>
      <c r="F446" s="10" t="s">
        <v>4449</v>
      </c>
      <c r="G446" s="10" t="s">
        <v>24043</v>
      </c>
      <c r="H446" s="10" t="s">
        <v>636</v>
      </c>
      <c r="I446" s="10" t="s">
        <v>55</v>
      </c>
      <c r="K446" s="10" t="s">
        <v>24062</v>
      </c>
      <c r="L446" s="10" t="s">
        <v>42</v>
      </c>
    </row>
    <row r="447" ht="15.75" customHeight="1">
      <c r="A447" s="66">
        <v>45494.0</v>
      </c>
      <c r="B447" s="55" t="str">
        <f>HYPERLINK("https://jobright.ai/jobs/info/669e468aca3e6aa92c887f03?utm_campaign=1057&amp;utm_source=sheet", "Apply")</f>
        <v>Apply</v>
      </c>
      <c r="C447" s="10" t="s">
        <v>24464</v>
      </c>
      <c r="D447" s="56" t="s">
        <v>4448</v>
      </c>
      <c r="E447" s="10" t="s">
        <v>71</v>
      </c>
      <c r="F447" s="10" t="s">
        <v>4449</v>
      </c>
      <c r="G447" s="10" t="s">
        <v>24043</v>
      </c>
      <c r="H447" s="10" t="s">
        <v>1786</v>
      </c>
      <c r="I447" s="10" t="s">
        <v>55</v>
      </c>
      <c r="K447" s="10" t="s">
        <v>24062</v>
      </c>
      <c r="L447" s="10" t="s">
        <v>42</v>
      </c>
    </row>
    <row r="448" ht="15.75" customHeight="1">
      <c r="A448" s="66">
        <v>45494.0</v>
      </c>
      <c r="B448" s="55" t="str">
        <f>HYPERLINK("https://jobright.ai/jobs/info/669e46a9ca3e6aa92c8882dc?utm_campaign=1057&amp;utm_source=sheet", "Apply")</f>
        <v>Apply</v>
      </c>
      <c r="C448" s="10" t="s">
        <v>24405</v>
      </c>
      <c r="D448" s="56" t="s">
        <v>4448</v>
      </c>
      <c r="E448" s="10" t="s">
        <v>71</v>
      </c>
      <c r="F448" s="10" t="s">
        <v>4449</v>
      </c>
      <c r="G448" s="10" t="s">
        <v>24043</v>
      </c>
      <c r="H448" s="10" t="s">
        <v>24338</v>
      </c>
      <c r="I448" s="10" t="s">
        <v>55</v>
      </c>
      <c r="K448" s="10" t="s">
        <v>4450</v>
      </c>
      <c r="L448" s="10" t="s">
        <v>42</v>
      </c>
    </row>
    <row r="449" ht="15.75" customHeight="1">
      <c r="A449" s="66">
        <v>45494.0</v>
      </c>
      <c r="B449" s="55" t="str">
        <f>HYPERLINK("https://jobright.ai/jobs/info/669f9b296b4d6a5840810264?utm_campaign=1057&amp;utm_source=sheet", "Apply")</f>
        <v>Apply</v>
      </c>
      <c r="C449" s="10" t="s">
        <v>20987</v>
      </c>
      <c r="D449" s="56" t="s">
        <v>4448</v>
      </c>
      <c r="E449" s="10" t="s">
        <v>71</v>
      </c>
      <c r="F449" s="10" t="s">
        <v>4449</v>
      </c>
      <c r="G449" s="10" t="s">
        <v>24043</v>
      </c>
      <c r="H449" s="10" t="s">
        <v>21486</v>
      </c>
      <c r="I449" s="10" t="s">
        <v>55</v>
      </c>
      <c r="K449" s="10" t="s">
        <v>4450</v>
      </c>
      <c r="L449" s="10" t="s">
        <v>42</v>
      </c>
    </row>
    <row r="450" ht="15.75" customHeight="1">
      <c r="A450" s="66">
        <v>45494.0</v>
      </c>
      <c r="B450" s="55" t="str">
        <f>HYPERLINK("https://jobright.ai/jobs/info/669f9b296b4d6a5840810266?utm_campaign=1057&amp;utm_source=sheet", "Apply")</f>
        <v>Apply</v>
      </c>
      <c r="C450" s="10" t="s">
        <v>24395</v>
      </c>
      <c r="D450" s="56" t="s">
        <v>4448</v>
      </c>
      <c r="E450" s="10" t="s">
        <v>71</v>
      </c>
      <c r="F450" s="10" t="s">
        <v>4449</v>
      </c>
      <c r="G450" s="10" t="s">
        <v>24043</v>
      </c>
      <c r="H450" s="10" t="s">
        <v>5432</v>
      </c>
      <c r="I450" s="10" t="s">
        <v>55</v>
      </c>
      <c r="K450" s="10" t="s">
        <v>4450</v>
      </c>
      <c r="L450" s="10" t="s">
        <v>42</v>
      </c>
    </row>
    <row r="451" ht="15.75" customHeight="1">
      <c r="A451" s="66">
        <v>45494.0</v>
      </c>
      <c r="B451" s="55" t="str">
        <f>HYPERLINK("https://jobright.ai/jobs/info/669f9b296b4d6a5840810267?utm_campaign=1057&amp;utm_source=sheet", "Apply")</f>
        <v>Apply</v>
      </c>
      <c r="C451" s="10" t="s">
        <v>24439</v>
      </c>
      <c r="D451" s="56" t="s">
        <v>4448</v>
      </c>
      <c r="E451" s="10" t="s">
        <v>71</v>
      </c>
      <c r="F451" s="10" t="s">
        <v>4449</v>
      </c>
      <c r="G451" s="10" t="s">
        <v>24043</v>
      </c>
      <c r="H451" s="10" t="s">
        <v>24408</v>
      </c>
      <c r="I451" s="10" t="s">
        <v>55</v>
      </c>
      <c r="K451" s="10" t="s">
        <v>4450</v>
      </c>
      <c r="L451" s="10" t="s">
        <v>42</v>
      </c>
    </row>
    <row r="452" ht="15.75" customHeight="1">
      <c r="A452" s="66">
        <v>45494.0</v>
      </c>
      <c r="B452" s="55" t="str">
        <f>HYPERLINK("https://jobright.ai/jobs/info/66a0e2a9b056846ad15f00a2?utm_campaign=1057&amp;utm_source=sheet", "Apply")</f>
        <v>Apply</v>
      </c>
      <c r="C452" s="10" t="s">
        <v>24461</v>
      </c>
      <c r="D452" s="56" t="s">
        <v>4448</v>
      </c>
      <c r="E452" s="10" t="s">
        <v>71</v>
      </c>
      <c r="F452" s="10" t="s">
        <v>4449</v>
      </c>
      <c r="G452" s="10" t="s">
        <v>24043</v>
      </c>
      <c r="H452" s="10" t="s">
        <v>24411</v>
      </c>
      <c r="I452" s="10" t="s">
        <v>55</v>
      </c>
      <c r="K452" s="10" t="s">
        <v>4450</v>
      </c>
      <c r="L452" s="10" t="s">
        <v>42</v>
      </c>
    </row>
    <row r="453" ht="15.75" customHeight="1">
      <c r="A453" s="66">
        <v>45494.0</v>
      </c>
      <c r="B453" s="55" t="str">
        <f>HYPERLINK("https://jobright.ai/jobs/info/66a0e2a9b056846ad15f00a3?utm_campaign=1057&amp;utm_source=sheet", "Apply")</f>
        <v>Apply</v>
      </c>
      <c r="C453" s="10" t="s">
        <v>24429</v>
      </c>
      <c r="D453" s="56" t="s">
        <v>4448</v>
      </c>
      <c r="E453" s="10" t="s">
        <v>71</v>
      </c>
      <c r="F453" s="10" t="s">
        <v>4449</v>
      </c>
      <c r="G453" s="10" t="s">
        <v>24043</v>
      </c>
      <c r="H453" s="10" t="s">
        <v>4456</v>
      </c>
      <c r="I453" s="10" t="s">
        <v>55</v>
      </c>
      <c r="K453" s="10" t="s">
        <v>24062</v>
      </c>
      <c r="L453" s="10" t="s">
        <v>42</v>
      </c>
    </row>
    <row r="454" ht="15.75" customHeight="1">
      <c r="A454" s="66">
        <v>45494.0</v>
      </c>
      <c r="B454" s="55" t="str">
        <f>HYPERLINK("https://jobright.ai/jobs/info/66a0e2a9b056846ad15f00a4?utm_campaign=1057&amp;utm_source=sheet", "Apply")</f>
        <v>Apply</v>
      </c>
      <c r="C454" s="10" t="s">
        <v>8336</v>
      </c>
      <c r="D454" s="56" t="s">
        <v>4448</v>
      </c>
      <c r="E454" s="10" t="s">
        <v>71</v>
      </c>
      <c r="F454" s="10" t="s">
        <v>4449</v>
      </c>
      <c r="G454" s="10" t="s">
        <v>24043</v>
      </c>
      <c r="H454" s="10" t="s">
        <v>21672</v>
      </c>
      <c r="I454" s="10" t="s">
        <v>55</v>
      </c>
      <c r="K454" s="10" t="s">
        <v>4450</v>
      </c>
      <c r="L454" s="10" t="s">
        <v>42</v>
      </c>
    </row>
    <row r="455" ht="15.75" customHeight="1">
      <c r="A455" s="66">
        <v>45494.0</v>
      </c>
      <c r="B455" s="55" t="str">
        <f>HYPERLINK("https://jobright.ai/jobs/info/66a0e2a9b056846ad15f00a8?utm_campaign=1057&amp;utm_source=sheet", "Apply")</f>
        <v>Apply</v>
      </c>
      <c r="C455" s="10" t="s">
        <v>24316</v>
      </c>
      <c r="D455" s="56" t="s">
        <v>4448</v>
      </c>
      <c r="E455" s="10" t="s">
        <v>71</v>
      </c>
      <c r="F455" s="10" t="s">
        <v>4449</v>
      </c>
      <c r="G455" s="10" t="s">
        <v>24043</v>
      </c>
      <c r="H455" s="10" t="s">
        <v>255</v>
      </c>
      <c r="I455" s="10" t="s">
        <v>55</v>
      </c>
      <c r="K455" s="10" t="s">
        <v>24062</v>
      </c>
      <c r="L455" s="10" t="s">
        <v>42</v>
      </c>
    </row>
    <row r="456" ht="15.75" customHeight="1">
      <c r="A456" s="66">
        <v>45494.0</v>
      </c>
      <c r="B456" s="55" t="str">
        <f>HYPERLINK("https://jobright.ai/jobs/info/66a0e2a9b056846ad15f00ab?utm_campaign=1057&amp;utm_source=sheet", "Apply")</f>
        <v>Apply</v>
      </c>
      <c r="C456" s="10" t="s">
        <v>24088</v>
      </c>
      <c r="D456" s="56" t="s">
        <v>4448</v>
      </c>
      <c r="E456" s="10" t="s">
        <v>71</v>
      </c>
      <c r="F456" s="10" t="s">
        <v>4449</v>
      </c>
      <c r="G456" s="10" t="s">
        <v>24043</v>
      </c>
      <c r="H456" s="10" t="s">
        <v>8248</v>
      </c>
      <c r="I456" s="10" t="s">
        <v>55</v>
      </c>
      <c r="K456" s="10" t="s">
        <v>24062</v>
      </c>
      <c r="L456" s="10" t="s">
        <v>42</v>
      </c>
    </row>
    <row r="457" ht="15.75" customHeight="1">
      <c r="A457" s="66">
        <v>45494.0</v>
      </c>
      <c r="B457" s="55" t="str">
        <f>HYPERLINK("https://jobright.ai/jobs/info/669e43917102b7b2bcf216d9?utm_campaign=1057&amp;utm_source=sheet", "Apply")</f>
        <v>Apply</v>
      </c>
      <c r="C457" s="10" t="s">
        <v>24430</v>
      </c>
      <c r="D457" s="56" t="s">
        <v>4448</v>
      </c>
      <c r="E457" s="10" t="s">
        <v>71</v>
      </c>
      <c r="F457" s="10" t="s">
        <v>4449</v>
      </c>
      <c r="G457" s="10" t="s">
        <v>24043</v>
      </c>
      <c r="H457" s="10" t="s">
        <v>20989</v>
      </c>
      <c r="I457" s="10" t="s">
        <v>55</v>
      </c>
      <c r="K457" s="10" t="s">
        <v>24062</v>
      </c>
      <c r="L457" s="10" t="s">
        <v>42</v>
      </c>
    </row>
    <row r="458" ht="15.75" customHeight="1">
      <c r="A458" s="66">
        <v>45494.0</v>
      </c>
      <c r="B458" s="55" t="str">
        <f>HYPERLINK("https://jobright.ai/jobs/info/669e436c7102b7b2bcf2142a?utm_campaign=1057&amp;utm_source=sheet", "Apply")</f>
        <v>Apply</v>
      </c>
      <c r="C458" s="10" t="s">
        <v>24395</v>
      </c>
      <c r="D458" s="56" t="s">
        <v>4448</v>
      </c>
      <c r="E458" s="10" t="s">
        <v>71</v>
      </c>
      <c r="F458" s="10" t="s">
        <v>4449</v>
      </c>
      <c r="G458" s="10" t="s">
        <v>24043</v>
      </c>
      <c r="H458" s="10" t="s">
        <v>3646</v>
      </c>
      <c r="I458" s="10" t="s">
        <v>55</v>
      </c>
      <c r="K458" s="10" t="s">
        <v>4450</v>
      </c>
      <c r="L458" s="10" t="s">
        <v>42</v>
      </c>
    </row>
    <row r="459" ht="15.75" customHeight="1">
      <c r="A459" s="66">
        <v>45494.0</v>
      </c>
      <c r="B459" s="55" t="str">
        <f>HYPERLINK("https://jobright.ai/jobs/info/669e436c7102b7b2bcf21415?utm_campaign=1057&amp;utm_source=sheet", "Apply")</f>
        <v>Apply</v>
      </c>
      <c r="C459" s="10" t="s">
        <v>24420</v>
      </c>
      <c r="D459" s="56" t="s">
        <v>4448</v>
      </c>
      <c r="E459" s="10" t="s">
        <v>71</v>
      </c>
      <c r="F459" s="10" t="s">
        <v>4449</v>
      </c>
      <c r="G459" s="10" t="s">
        <v>24043</v>
      </c>
      <c r="H459" s="10" t="s">
        <v>4452</v>
      </c>
      <c r="I459" s="10" t="s">
        <v>55</v>
      </c>
      <c r="K459" s="10" t="s">
        <v>24062</v>
      </c>
      <c r="L459" s="10" t="s">
        <v>42</v>
      </c>
    </row>
    <row r="460" ht="15.75" customHeight="1">
      <c r="A460" s="66">
        <v>45494.0</v>
      </c>
      <c r="B460" s="55" t="str">
        <f>HYPERLINK("https://jobright.ai/jobs/info/669e43917102b7b2bcf216dd?utm_campaign=1057&amp;utm_source=sheet", "Apply")</f>
        <v>Apply</v>
      </c>
      <c r="C460" s="10" t="s">
        <v>24404</v>
      </c>
      <c r="D460" s="56" t="s">
        <v>4448</v>
      </c>
      <c r="E460" s="10" t="s">
        <v>71</v>
      </c>
      <c r="F460" s="10" t="s">
        <v>4449</v>
      </c>
      <c r="G460" s="10" t="s">
        <v>24043</v>
      </c>
      <c r="H460" s="10" t="s">
        <v>5432</v>
      </c>
      <c r="I460" s="10" t="s">
        <v>55</v>
      </c>
      <c r="K460" s="10" t="s">
        <v>24062</v>
      </c>
      <c r="L460" s="10" t="s">
        <v>42</v>
      </c>
    </row>
    <row r="461" ht="15.75" customHeight="1">
      <c r="A461" s="66">
        <v>45494.0</v>
      </c>
      <c r="B461" s="55" t="str">
        <f>HYPERLINK("https://jobright.ai/jobs/info/669e436c7102b7b2bcf2140d?utm_campaign=1057&amp;utm_source=sheet", "Apply")</f>
        <v>Apply</v>
      </c>
      <c r="C461" s="10" t="s">
        <v>24421</v>
      </c>
      <c r="D461" s="56" t="s">
        <v>4448</v>
      </c>
      <c r="E461" s="10" t="s">
        <v>71</v>
      </c>
      <c r="F461" s="10" t="s">
        <v>4449</v>
      </c>
      <c r="G461" s="10" t="s">
        <v>24043</v>
      </c>
      <c r="H461" s="10" t="s">
        <v>4455</v>
      </c>
      <c r="I461" s="10" t="s">
        <v>55</v>
      </c>
      <c r="K461" s="10" t="s">
        <v>4450</v>
      </c>
      <c r="L461" s="10" t="s">
        <v>42</v>
      </c>
    </row>
    <row r="462" ht="15.75" customHeight="1">
      <c r="A462" s="66">
        <v>45494.0</v>
      </c>
      <c r="B462" s="55" t="str">
        <f>HYPERLINK("https://jobright.ai/jobs/info/669e40c34ef9507440b486e6?utm_campaign=1057&amp;utm_source=sheet", "Apply")</f>
        <v>Apply</v>
      </c>
      <c r="C462" s="10" t="s">
        <v>24456</v>
      </c>
      <c r="D462" s="56" t="s">
        <v>4448</v>
      </c>
      <c r="E462" s="10" t="s">
        <v>71</v>
      </c>
      <c r="F462" s="10" t="s">
        <v>4449</v>
      </c>
      <c r="G462" s="10" t="s">
        <v>24043</v>
      </c>
      <c r="H462" s="10" t="s">
        <v>255</v>
      </c>
      <c r="I462" s="10" t="s">
        <v>55</v>
      </c>
      <c r="K462" s="10" t="s">
        <v>24062</v>
      </c>
      <c r="L462" s="10" t="s">
        <v>42</v>
      </c>
    </row>
    <row r="463" ht="15.75" customHeight="1">
      <c r="A463" s="66">
        <v>45494.0</v>
      </c>
      <c r="B463" s="55" t="str">
        <f>HYPERLINK("https://jobright.ai/jobs/info/669e40a44ef9507440b48472?utm_campaign=1057&amp;utm_source=sheet", "Apply")</f>
        <v>Apply</v>
      </c>
      <c r="C463" s="10" t="s">
        <v>24428</v>
      </c>
      <c r="D463" s="56" t="s">
        <v>4448</v>
      </c>
      <c r="E463" s="10" t="s">
        <v>71</v>
      </c>
      <c r="F463" s="10" t="s">
        <v>4449</v>
      </c>
      <c r="G463" s="10" t="s">
        <v>24043</v>
      </c>
      <c r="H463" s="10" t="s">
        <v>2602</v>
      </c>
      <c r="I463" s="10" t="s">
        <v>55</v>
      </c>
      <c r="K463" s="10" t="s">
        <v>24062</v>
      </c>
      <c r="L463" s="10" t="s">
        <v>42</v>
      </c>
    </row>
    <row r="464" ht="15.75" customHeight="1">
      <c r="A464" s="66">
        <v>45494.0</v>
      </c>
      <c r="B464" s="55" t="str">
        <f>HYPERLINK("https://jobright.ai/jobs/info/669e40a44ef9507440b48471?utm_campaign=1057&amp;utm_source=sheet", "Apply")</f>
        <v>Apply</v>
      </c>
      <c r="C464" s="10" t="s">
        <v>24443</v>
      </c>
      <c r="D464" s="56" t="s">
        <v>4448</v>
      </c>
      <c r="E464" s="10" t="s">
        <v>71</v>
      </c>
      <c r="F464" s="10" t="s">
        <v>4449</v>
      </c>
      <c r="G464" s="10" t="s">
        <v>24043</v>
      </c>
      <c r="H464" s="10" t="s">
        <v>4458</v>
      </c>
      <c r="I464" s="10" t="s">
        <v>55</v>
      </c>
      <c r="K464" s="10" t="s">
        <v>4450</v>
      </c>
      <c r="L464" s="10" t="s">
        <v>42</v>
      </c>
    </row>
    <row r="465" ht="15.75" customHeight="1">
      <c r="A465" s="66">
        <v>45494.0</v>
      </c>
      <c r="B465" s="55" t="str">
        <f>HYPERLINK("https://jobright.ai/jobs/info/669e40a44ef9507440b4846e?utm_campaign=1057&amp;utm_source=sheet", "Apply")</f>
        <v>Apply</v>
      </c>
      <c r="C465" s="10" t="s">
        <v>24449</v>
      </c>
      <c r="D465" s="56" t="s">
        <v>4448</v>
      </c>
      <c r="E465" s="10" t="s">
        <v>71</v>
      </c>
      <c r="F465" s="10" t="s">
        <v>4449</v>
      </c>
      <c r="G465" s="10" t="s">
        <v>24043</v>
      </c>
      <c r="H465" s="10" t="s">
        <v>8248</v>
      </c>
      <c r="I465" s="10" t="s">
        <v>55</v>
      </c>
      <c r="K465" s="10" t="s">
        <v>4450</v>
      </c>
      <c r="L465" s="10" t="s">
        <v>42</v>
      </c>
    </row>
    <row r="466" ht="15.75" customHeight="1">
      <c r="A466" s="66">
        <v>45494.0</v>
      </c>
      <c r="B466" s="55" t="str">
        <f>HYPERLINK("https://jobright.ai/jobs/info/669e40a44ef9507440b48498?utm_campaign=1057&amp;utm_source=sheet", "Apply")</f>
        <v>Apply</v>
      </c>
      <c r="C466" s="10" t="s">
        <v>24440</v>
      </c>
      <c r="D466" s="56" t="s">
        <v>4448</v>
      </c>
      <c r="E466" s="10" t="s">
        <v>71</v>
      </c>
      <c r="F466" s="10" t="s">
        <v>4449</v>
      </c>
      <c r="G466" s="10" t="s">
        <v>24043</v>
      </c>
      <c r="H466" s="10" t="s">
        <v>5432</v>
      </c>
      <c r="I466" s="10" t="s">
        <v>55</v>
      </c>
      <c r="K466" s="10" t="s">
        <v>24062</v>
      </c>
      <c r="L466" s="10" t="s">
        <v>42</v>
      </c>
    </row>
    <row r="467" ht="15.75" customHeight="1">
      <c r="A467" s="66">
        <v>45494.0</v>
      </c>
      <c r="B467" s="55" t="str">
        <f>HYPERLINK("https://jobright.ai/jobs/info/669e40a44ef9507440b48479?utm_campaign=1057&amp;utm_source=sheet", "Apply")</f>
        <v>Apply</v>
      </c>
      <c r="C467" s="10" t="s">
        <v>24450</v>
      </c>
      <c r="D467" s="56" t="s">
        <v>4448</v>
      </c>
      <c r="E467" s="10" t="s">
        <v>71</v>
      </c>
      <c r="F467" s="10" t="s">
        <v>4449</v>
      </c>
      <c r="G467" s="10" t="s">
        <v>24043</v>
      </c>
      <c r="H467" s="10" t="s">
        <v>4261</v>
      </c>
      <c r="I467" s="10" t="s">
        <v>55</v>
      </c>
      <c r="K467" s="10" t="s">
        <v>24062</v>
      </c>
      <c r="L467" s="10" t="s">
        <v>42</v>
      </c>
    </row>
    <row r="468" ht="15.75" customHeight="1">
      <c r="A468" s="66">
        <v>45494.0</v>
      </c>
      <c r="B468" s="55" t="str">
        <f>HYPERLINK("https://jobright.ai/jobs/info/669e40a44ef9507440b4847c?utm_campaign=1057&amp;utm_source=sheet", "Apply")</f>
        <v>Apply</v>
      </c>
      <c r="C468" s="10" t="s">
        <v>20987</v>
      </c>
      <c r="D468" s="56" t="s">
        <v>4448</v>
      </c>
      <c r="E468" s="10" t="s">
        <v>71</v>
      </c>
      <c r="F468" s="10" t="s">
        <v>4449</v>
      </c>
      <c r="G468" s="10" t="s">
        <v>24043</v>
      </c>
      <c r="H468" s="10" t="s">
        <v>20990</v>
      </c>
      <c r="I468" s="10" t="s">
        <v>55</v>
      </c>
      <c r="K468" s="10" t="s">
        <v>4450</v>
      </c>
      <c r="L468" s="10" t="s">
        <v>42</v>
      </c>
    </row>
    <row r="469" ht="15.75" customHeight="1">
      <c r="A469" s="66">
        <v>45494.0</v>
      </c>
      <c r="B469" s="55" t="str">
        <f>HYPERLINK("https://jobright.ai/jobs/info/669e40a44ef9507440b48484?utm_campaign=1057&amp;utm_source=sheet", "Apply")</f>
        <v>Apply</v>
      </c>
      <c r="C469" s="10" t="s">
        <v>24439</v>
      </c>
      <c r="D469" s="56" t="s">
        <v>4448</v>
      </c>
      <c r="E469" s="10" t="s">
        <v>71</v>
      </c>
      <c r="F469" s="10" t="s">
        <v>4449</v>
      </c>
      <c r="G469" s="10" t="s">
        <v>24043</v>
      </c>
      <c r="H469" s="10" t="s">
        <v>4456</v>
      </c>
      <c r="I469" s="10" t="s">
        <v>55</v>
      </c>
      <c r="K469" s="10" t="s">
        <v>4450</v>
      </c>
      <c r="L469" s="10" t="s">
        <v>42</v>
      </c>
    </row>
    <row r="470" ht="15.75" customHeight="1">
      <c r="A470" s="66">
        <v>45494.0</v>
      </c>
      <c r="B470" s="55" t="str">
        <f>HYPERLINK("https://jobright.ai/jobs/info/669e40a44ef9507440b4848c?utm_campaign=1057&amp;utm_source=sheet", "Apply")</f>
        <v>Apply</v>
      </c>
      <c r="C470" s="10" t="s">
        <v>8211</v>
      </c>
      <c r="D470" s="56" t="s">
        <v>4448</v>
      </c>
      <c r="E470" s="10" t="s">
        <v>71</v>
      </c>
      <c r="F470" s="10" t="s">
        <v>4449</v>
      </c>
      <c r="G470" s="10" t="s">
        <v>24043</v>
      </c>
      <c r="H470" s="10" t="s">
        <v>8248</v>
      </c>
      <c r="I470" s="10" t="s">
        <v>55</v>
      </c>
      <c r="K470" s="10" t="s">
        <v>4450</v>
      </c>
      <c r="L470" s="10" t="s">
        <v>42</v>
      </c>
    </row>
    <row r="471" ht="15.75" customHeight="1">
      <c r="A471" s="66">
        <v>45494.0</v>
      </c>
      <c r="B471" s="55" t="str">
        <f>HYPERLINK("https://jobright.ai/jobs/info/669e40a44ef9507440b4848a?utm_campaign=1057&amp;utm_source=sheet", "Apply")</f>
        <v>Apply</v>
      </c>
      <c r="C471" s="10" t="s">
        <v>24405</v>
      </c>
      <c r="D471" s="56" t="s">
        <v>4448</v>
      </c>
      <c r="E471" s="10" t="s">
        <v>71</v>
      </c>
      <c r="F471" s="10" t="s">
        <v>4449</v>
      </c>
      <c r="G471" s="10" t="s">
        <v>24043</v>
      </c>
      <c r="H471" s="10" t="s">
        <v>16746</v>
      </c>
      <c r="I471" s="10" t="s">
        <v>55</v>
      </c>
      <c r="K471" s="10" t="s">
        <v>4450</v>
      </c>
      <c r="L471" s="10" t="s">
        <v>42</v>
      </c>
    </row>
    <row r="472" ht="15.75" customHeight="1">
      <c r="A472" s="66">
        <v>45494.0</v>
      </c>
      <c r="B472" s="55" t="str">
        <f>HYPERLINK("https://jobright.ai/jobs/info/669e40a44ef9507440b4848f?utm_campaign=1057&amp;utm_source=sheet", "Apply")</f>
        <v>Apply</v>
      </c>
      <c r="C472" s="10" t="s">
        <v>20988</v>
      </c>
      <c r="D472" s="56" t="s">
        <v>4448</v>
      </c>
      <c r="E472" s="10" t="s">
        <v>71</v>
      </c>
      <c r="F472" s="10" t="s">
        <v>4449</v>
      </c>
      <c r="G472" s="10" t="s">
        <v>24043</v>
      </c>
      <c r="H472" s="10" t="s">
        <v>24338</v>
      </c>
      <c r="I472" s="10" t="s">
        <v>55</v>
      </c>
      <c r="K472" s="10" t="s">
        <v>4450</v>
      </c>
      <c r="L472" s="10" t="s">
        <v>42</v>
      </c>
    </row>
    <row r="473" ht="15.75" customHeight="1">
      <c r="A473" s="66">
        <v>45494.0</v>
      </c>
      <c r="B473" s="55" t="str">
        <f>HYPERLINK("https://jobright.ai/jobs/info/669e40d54ef9507440b48878?utm_campaign=1057&amp;utm_source=sheet", "Apply")</f>
        <v>Apply</v>
      </c>
      <c r="C473" s="10" t="s">
        <v>24374</v>
      </c>
      <c r="D473" s="56" t="s">
        <v>4448</v>
      </c>
      <c r="E473" s="10" t="s">
        <v>71</v>
      </c>
      <c r="F473" s="10" t="s">
        <v>4449</v>
      </c>
      <c r="G473" s="10" t="s">
        <v>24043</v>
      </c>
      <c r="H473" s="10" t="s">
        <v>4458</v>
      </c>
      <c r="I473" s="10" t="s">
        <v>55</v>
      </c>
      <c r="K473" s="10" t="s">
        <v>4450</v>
      </c>
      <c r="L473" s="10" t="s">
        <v>42</v>
      </c>
    </row>
    <row r="474" ht="15.75" customHeight="1">
      <c r="A474" s="66">
        <v>45494.0</v>
      </c>
      <c r="B474" s="55" t="str">
        <f>HYPERLINK("https://jobright.ai/jobs/info/669e40a44ef9507440b484a0?utm_campaign=1057&amp;utm_source=sheet", "Apply")</f>
        <v>Apply</v>
      </c>
      <c r="C474" s="10" t="s">
        <v>24158</v>
      </c>
      <c r="D474" s="56" t="s">
        <v>4448</v>
      </c>
      <c r="E474" s="10" t="s">
        <v>71</v>
      </c>
      <c r="F474" s="10" t="s">
        <v>4449</v>
      </c>
      <c r="G474" s="10" t="s">
        <v>24043</v>
      </c>
      <c r="H474" s="10" t="s">
        <v>4455</v>
      </c>
      <c r="I474" s="10" t="s">
        <v>55</v>
      </c>
      <c r="K474" s="10" t="s">
        <v>24062</v>
      </c>
      <c r="L474" s="10" t="s">
        <v>42</v>
      </c>
    </row>
    <row r="475" ht="15.75" customHeight="1">
      <c r="A475" s="66">
        <v>45494.0</v>
      </c>
      <c r="B475" s="55" t="str">
        <f>HYPERLINK("https://jobright.ai/jobs/info/669e40a44ef9507440b4849b?utm_campaign=1057&amp;utm_source=sheet", "Apply")</f>
        <v>Apply</v>
      </c>
      <c r="C475" s="10" t="s">
        <v>24430</v>
      </c>
      <c r="D475" s="56" t="s">
        <v>4448</v>
      </c>
      <c r="E475" s="10" t="s">
        <v>71</v>
      </c>
      <c r="F475" s="10" t="s">
        <v>4449</v>
      </c>
      <c r="G475" s="10" t="s">
        <v>24043</v>
      </c>
      <c r="H475" s="10" t="s">
        <v>255</v>
      </c>
      <c r="I475" s="10" t="s">
        <v>55</v>
      </c>
      <c r="K475" s="10" t="s">
        <v>24062</v>
      </c>
      <c r="L475" s="10" t="s">
        <v>42</v>
      </c>
    </row>
    <row r="476" ht="15.75" customHeight="1">
      <c r="A476" s="66">
        <v>45494.0</v>
      </c>
      <c r="B476" s="55" t="str">
        <f>HYPERLINK("https://jobright.ai/jobs/info/669e40a44ef9507440b484a4?utm_campaign=1057&amp;utm_source=sheet", "Apply")</f>
        <v>Apply</v>
      </c>
      <c r="C476" s="10" t="s">
        <v>24465</v>
      </c>
      <c r="D476" s="56" t="s">
        <v>4448</v>
      </c>
      <c r="E476" s="10" t="s">
        <v>71</v>
      </c>
      <c r="F476" s="10" t="s">
        <v>4449</v>
      </c>
      <c r="G476" s="10" t="s">
        <v>24043</v>
      </c>
      <c r="H476" s="10" t="s">
        <v>5432</v>
      </c>
      <c r="I476" s="10" t="s">
        <v>55</v>
      </c>
      <c r="K476" s="10" t="s">
        <v>4450</v>
      </c>
      <c r="L476" s="10" t="s">
        <v>42</v>
      </c>
    </row>
    <row r="477" ht="15.75" customHeight="1">
      <c r="A477" s="66">
        <v>45494.0</v>
      </c>
      <c r="B477" s="55" t="str">
        <f>HYPERLINK("https://jobright.ai/jobs/info/669e40a44ef9507440b4849e?utm_campaign=1057&amp;utm_source=sheet", "Apply")</f>
        <v>Apply</v>
      </c>
      <c r="C477" s="10" t="s">
        <v>24466</v>
      </c>
      <c r="D477" s="56" t="s">
        <v>4448</v>
      </c>
      <c r="E477" s="10" t="s">
        <v>71</v>
      </c>
      <c r="F477" s="10" t="s">
        <v>4449</v>
      </c>
      <c r="G477" s="10" t="s">
        <v>24043</v>
      </c>
      <c r="H477" s="10" t="s">
        <v>24408</v>
      </c>
      <c r="I477" s="10" t="s">
        <v>55</v>
      </c>
      <c r="K477" s="10" t="s">
        <v>24062</v>
      </c>
      <c r="L477" s="10" t="s">
        <v>42</v>
      </c>
    </row>
    <row r="478" ht="15.75" customHeight="1">
      <c r="A478" s="66">
        <v>45494.0</v>
      </c>
      <c r="B478" s="55" t="str">
        <f>HYPERLINK("https://jobright.ai/jobs/info/66a3f951c344e12ad54412e4?utm_campaign=1057&amp;utm_source=sheet", "Apply")</f>
        <v>Apply</v>
      </c>
      <c r="C478" s="10" t="s">
        <v>24421</v>
      </c>
      <c r="D478" s="56" t="s">
        <v>4448</v>
      </c>
      <c r="E478" s="10" t="s">
        <v>71</v>
      </c>
      <c r="F478" s="10" t="s">
        <v>4449</v>
      </c>
      <c r="G478" s="10" t="s">
        <v>24043</v>
      </c>
      <c r="H478" s="10" t="s">
        <v>24396</v>
      </c>
      <c r="I478" s="10" t="s">
        <v>55</v>
      </c>
      <c r="K478" s="10" t="s">
        <v>4450</v>
      </c>
      <c r="L478" s="10" t="s">
        <v>42</v>
      </c>
    </row>
    <row r="479" ht="15.75" customHeight="1">
      <c r="A479" s="66">
        <v>45494.0</v>
      </c>
      <c r="B479" s="55" t="str">
        <f>HYPERLINK("https://jobright.ai/jobs/info/669f9b296b4d6a584081027d?utm_campaign=1057&amp;utm_source=sheet", "Apply")</f>
        <v>Apply</v>
      </c>
      <c r="C479" s="10" t="s">
        <v>24467</v>
      </c>
      <c r="D479" s="56" t="s">
        <v>4448</v>
      </c>
      <c r="E479" s="10" t="s">
        <v>71</v>
      </c>
      <c r="F479" s="10" t="s">
        <v>4449</v>
      </c>
      <c r="G479" s="10" t="s">
        <v>24043</v>
      </c>
      <c r="H479" s="10" t="s">
        <v>3646</v>
      </c>
      <c r="I479" s="10" t="s">
        <v>55</v>
      </c>
      <c r="K479" s="10" t="s">
        <v>4450</v>
      </c>
      <c r="L479" s="10" t="s">
        <v>42</v>
      </c>
    </row>
    <row r="480" ht="15.75" customHeight="1">
      <c r="A480" s="66">
        <v>45494.0</v>
      </c>
      <c r="B480" s="55" t="str">
        <f>HYPERLINK("https://jobright.ai/jobs/info/669f9b296b4d6a584081027e?utm_campaign=1057&amp;utm_source=sheet", "Apply")</f>
        <v>Apply</v>
      </c>
      <c r="C480" s="10" t="s">
        <v>24462</v>
      </c>
      <c r="D480" s="56" t="s">
        <v>4448</v>
      </c>
      <c r="E480" s="10" t="s">
        <v>71</v>
      </c>
      <c r="F480" s="10" t="s">
        <v>4449</v>
      </c>
      <c r="G480" s="10" t="s">
        <v>24043</v>
      </c>
      <c r="H480" s="10" t="s">
        <v>24408</v>
      </c>
      <c r="I480" s="10" t="s">
        <v>55</v>
      </c>
      <c r="K480" s="10" t="s">
        <v>4450</v>
      </c>
      <c r="L480" s="10" t="s">
        <v>42</v>
      </c>
    </row>
    <row r="481" ht="15.75" customHeight="1">
      <c r="A481" s="66">
        <v>45494.0</v>
      </c>
      <c r="B481" s="55" t="str">
        <f>HYPERLINK("https://jobright.ai/jobs/info/66a3f951c344e12ad54412e8?utm_campaign=1057&amp;utm_source=sheet", "Apply")</f>
        <v>Apply</v>
      </c>
      <c r="C481" s="10" t="s">
        <v>24155</v>
      </c>
      <c r="D481" s="56" t="s">
        <v>4448</v>
      </c>
      <c r="E481" s="10" t="s">
        <v>71</v>
      </c>
      <c r="F481" s="10" t="s">
        <v>4449</v>
      </c>
      <c r="G481" s="10" t="s">
        <v>24043</v>
      </c>
      <c r="H481" s="10" t="s">
        <v>20990</v>
      </c>
      <c r="I481" s="10" t="s">
        <v>55</v>
      </c>
      <c r="K481" s="10" t="s">
        <v>24062</v>
      </c>
      <c r="L481" s="10" t="s">
        <v>42</v>
      </c>
    </row>
    <row r="482" ht="15.75" customHeight="1">
      <c r="A482" s="66">
        <v>45494.0</v>
      </c>
      <c r="B482" s="55" t="str">
        <f>HYPERLINK("https://jobright.ai/jobs/info/66a3f951c344e12ad54412ed?utm_campaign=1057&amp;utm_source=sheet", "Apply")</f>
        <v>Apply</v>
      </c>
      <c r="C482" s="10" t="s">
        <v>24375</v>
      </c>
      <c r="D482" s="56" t="s">
        <v>4448</v>
      </c>
      <c r="E482" s="10" t="s">
        <v>71</v>
      </c>
      <c r="F482" s="10" t="s">
        <v>4449</v>
      </c>
      <c r="G482" s="10" t="s">
        <v>24043</v>
      </c>
      <c r="H482" s="10" t="s">
        <v>4456</v>
      </c>
      <c r="I482" s="10" t="s">
        <v>55</v>
      </c>
      <c r="K482" s="10" t="s">
        <v>24062</v>
      </c>
      <c r="L482" s="10" t="s">
        <v>42</v>
      </c>
    </row>
    <row r="483" ht="15.75" customHeight="1">
      <c r="A483" s="66">
        <v>45494.0</v>
      </c>
      <c r="B483" s="55" t="str">
        <f>HYPERLINK("https://jobright.ai/jobs/info/66a3f951c344e12ad54412ef?utm_campaign=1057&amp;utm_source=sheet", "Apply")</f>
        <v>Apply</v>
      </c>
      <c r="C483" s="10" t="s">
        <v>24468</v>
      </c>
      <c r="D483" s="56" t="s">
        <v>4448</v>
      </c>
      <c r="E483" s="10" t="s">
        <v>71</v>
      </c>
      <c r="F483" s="10" t="s">
        <v>4449</v>
      </c>
      <c r="G483" s="10" t="s">
        <v>24043</v>
      </c>
      <c r="H483" s="10" t="s">
        <v>4261</v>
      </c>
      <c r="I483" s="10" t="s">
        <v>55</v>
      </c>
      <c r="K483" s="10" t="s">
        <v>4450</v>
      </c>
      <c r="L483" s="10" t="s">
        <v>42</v>
      </c>
    </row>
    <row r="484" ht="15.75" customHeight="1">
      <c r="A484" s="66">
        <v>45494.0</v>
      </c>
      <c r="B484" s="55" t="str">
        <f>HYPERLINK("https://jobright.ai/jobs/info/66a3f951c344e12ad54412f0?utm_campaign=1057&amp;utm_source=sheet", "Apply")</f>
        <v>Apply</v>
      </c>
      <c r="C484" s="10" t="s">
        <v>24456</v>
      </c>
      <c r="D484" s="56" t="s">
        <v>4448</v>
      </c>
      <c r="E484" s="10" t="s">
        <v>71</v>
      </c>
      <c r="F484" s="10" t="s">
        <v>4449</v>
      </c>
      <c r="G484" s="10" t="s">
        <v>24043</v>
      </c>
      <c r="H484" s="10" t="s">
        <v>4456</v>
      </c>
      <c r="I484" s="10" t="s">
        <v>55</v>
      </c>
      <c r="K484" s="10" t="s">
        <v>24062</v>
      </c>
      <c r="L484" s="10" t="s">
        <v>42</v>
      </c>
    </row>
    <row r="485" ht="15.75" customHeight="1">
      <c r="A485" s="66">
        <v>45494.0</v>
      </c>
      <c r="B485" s="55" t="str">
        <f>HYPERLINK("https://jobright.ai/jobs/info/66a3f951c344e12ad54412f2?utm_campaign=1057&amp;utm_source=sheet", "Apply")</f>
        <v>Apply</v>
      </c>
      <c r="C485" s="10" t="s">
        <v>8245</v>
      </c>
      <c r="D485" s="56" t="s">
        <v>4448</v>
      </c>
      <c r="E485" s="10" t="s">
        <v>71</v>
      </c>
      <c r="F485" s="10" t="s">
        <v>4449</v>
      </c>
      <c r="G485" s="10" t="s">
        <v>24043</v>
      </c>
      <c r="H485" s="10" t="s">
        <v>4261</v>
      </c>
      <c r="I485" s="10" t="s">
        <v>55</v>
      </c>
      <c r="K485" s="10" t="s">
        <v>24062</v>
      </c>
      <c r="L485" s="10" t="s">
        <v>42</v>
      </c>
    </row>
    <row r="486" ht="15.75" customHeight="1">
      <c r="A486" s="66">
        <v>45494.0</v>
      </c>
      <c r="B486" s="55" t="str">
        <f>HYPERLINK("https://jobright.ai/jobs/info/66a3f951c344e12ad54412f3?utm_campaign=1057&amp;utm_source=sheet", "Apply")</f>
        <v>Apply</v>
      </c>
      <c r="C486" s="10" t="s">
        <v>24183</v>
      </c>
      <c r="D486" s="56" t="s">
        <v>4448</v>
      </c>
      <c r="E486" s="10" t="s">
        <v>71</v>
      </c>
      <c r="F486" s="10" t="s">
        <v>4449</v>
      </c>
      <c r="G486" s="10" t="s">
        <v>24043</v>
      </c>
      <c r="H486" s="10" t="s">
        <v>21486</v>
      </c>
      <c r="I486" s="10" t="s">
        <v>55</v>
      </c>
      <c r="K486" s="10" t="s">
        <v>4450</v>
      </c>
      <c r="L486" s="10" t="s">
        <v>42</v>
      </c>
    </row>
    <row r="487" ht="15.75" customHeight="1">
      <c r="A487" s="66">
        <v>45494.0</v>
      </c>
      <c r="B487" s="55" t="str">
        <f>HYPERLINK("https://jobright.ai/jobs/info/669e3a1ce01d13c184ac3470?utm_campaign=1057&amp;utm_source=sheet", "Apply")</f>
        <v>Apply</v>
      </c>
      <c r="C487" s="10" t="s">
        <v>24469</v>
      </c>
      <c r="D487" s="56" t="s">
        <v>4448</v>
      </c>
      <c r="E487" s="10" t="s">
        <v>71</v>
      </c>
      <c r="F487" s="10" t="s">
        <v>4449</v>
      </c>
      <c r="G487" s="10" t="s">
        <v>24043</v>
      </c>
      <c r="H487" s="10" t="s">
        <v>4458</v>
      </c>
      <c r="I487" s="10" t="s">
        <v>55</v>
      </c>
      <c r="K487" s="10" t="s">
        <v>24062</v>
      </c>
      <c r="L487" s="10" t="s">
        <v>42</v>
      </c>
    </row>
    <row r="488" ht="15.75" customHeight="1">
      <c r="A488" s="66">
        <v>45494.0</v>
      </c>
      <c r="B488" s="55" t="str">
        <f>HYPERLINK("https://jobright.ai/jobs/info/669e3a1ce01d13c184ac3477?utm_campaign=1057&amp;utm_source=sheet", "Apply")</f>
        <v>Apply</v>
      </c>
      <c r="C488" s="10" t="s">
        <v>21661</v>
      </c>
      <c r="D488" s="56" t="s">
        <v>4448</v>
      </c>
      <c r="E488" s="10" t="s">
        <v>71</v>
      </c>
      <c r="F488" s="10" t="s">
        <v>4449</v>
      </c>
      <c r="G488" s="10" t="s">
        <v>24043</v>
      </c>
      <c r="H488" s="10" t="s">
        <v>4456</v>
      </c>
      <c r="I488" s="10" t="s">
        <v>55</v>
      </c>
      <c r="K488" s="10" t="s">
        <v>4450</v>
      </c>
      <c r="L488" s="10" t="s">
        <v>42</v>
      </c>
    </row>
    <row r="489" ht="15.75" customHeight="1">
      <c r="A489" s="66">
        <v>45494.0</v>
      </c>
      <c r="B489" s="55" t="str">
        <f>HYPERLINK("https://jobright.ai/jobs/info/66a3f91ec344e12ad5440ec7?utm_campaign=1057&amp;utm_source=sheet", "Apply")</f>
        <v>Apply</v>
      </c>
      <c r="C489" s="10" t="s">
        <v>24470</v>
      </c>
      <c r="D489" s="56" t="s">
        <v>4448</v>
      </c>
      <c r="E489" s="10" t="s">
        <v>71</v>
      </c>
      <c r="F489" s="10" t="s">
        <v>4449</v>
      </c>
      <c r="G489" s="10" t="s">
        <v>24043</v>
      </c>
      <c r="H489" s="10" t="s">
        <v>24370</v>
      </c>
      <c r="I489" s="10" t="s">
        <v>55</v>
      </c>
      <c r="K489" s="10" t="s">
        <v>4450</v>
      </c>
      <c r="L489" s="10" t="s">
        <v>42</v>
      </c>
    </row>
    <row r="490" ht="15.75" customHeight="1">
      <c r="A490" s="66">
        <v>45494.0</v>
      </c>
      <c r="B490" s="55" t="str">
        <f>HYPERLINK("https://jobright.ai/jobs/info/669f8a6017c96bdb2d76eaf5?utm_campaign=1057&amp;utm_source=sheet", "Apply")</f>
        <v>Apply</v>
      </c>
      <c r="C490" s="10" t="s">
        <v>24404</v>
      </c>
      <c r="D490" s="56" t="s">
        <v>4448</v>
      </c>
      <c r="E490" s="10" t="s">
        <v>71</v>
      </c>
      <c r="F490" s="10" t="s">
        <v>4449</v>
      </c>
      <c r="G490" s="10" t="s">
        <v>24043</v>
      </c>
      <c r="H490" s="10" t="s">
        <v>24370</v>
      </c>
      <c r="I490" s="10" t="s">
        <v>55</v>
      </c>
      <c r="K490" s="10" t="s">
        <v>24062</v>
      </c>
      <c r="L490" s="10" t="s">
        <v>42</v>
      </c>
    </row>
    <row r="491" ht="15.75" customHeight="1">
      <c r="A491" s="66">
        <v>45494.0</v>
      </c>
      <c r="B491" s="55" t="str">
        <f>HYPERLINK("https://jobright.ai/jobs/info/669e3a1ce01d13c184ac348a?utm_campaign=1057&amp;utm_source=sheet", "Apply")</f>
        <v>Apply</v>
      </c>
      <c r="C491" s="10" t="s">
        <v>24157</v>
      </c>
      <c r="D491" s="56" t="s">
        <v>4448</v>
      </c>
      <c r="E491" s="10" t="s">
        <v>71</v>
      </c>
      <c r="F491" s="10" t="s">
        <v>4449</v>
      </c>
      <c r="G491" s="10" t="s">
        <v>24043</v>
      </c>
      <c r="H491" s="10" t="s">
        <v>4455</v>
      </c>
      <c r="I491" s="10" t="s">
        <v>55</v>
      </c>
      <c r="K491" s="10" t="s">
        <v>24062</v>
      </c>
      <c r="L491" s="10" t="s">
        <v>42</v>
      </c>
    </row>
    <row r="492" ht="15.75" customHeight="1">
      <c r="A492" s="66">
        <v>45494.0</v>
      </c>
      <c r="B492" s="55" t="str">
        <f>HYPERLINK("https://jobright.ai/jobs/info/669f8a6017c96bdb2d76eaf7?utm_campaign=1057&amp;utm_source=sheet", "Apply")</f>
        <v>Apply</v>
      </c>
      <c r="C492" s="10" t="s">
        <v>24426</v>
      </c>
      <c r="D492" s="56" t="s">
        <v>4448</v>
      </c>
      <c r="E492" s="10" t="s">
        <v>71</v>
      </c>
      <c r="F492" s="10" t="s">
        <v>4449</v>
      </c>
      <c r="G492" s="10" t="s">
        <v>24043</v>
      </c>
      <c r="H492" s="10" t="s">
        <v>21486</v>
      </c>
      <c r="I492" s="10" t="s">
        <v>55</v>
      </c>
      <c r="K492" s="10" t="s">
        <v>24062</v>
      </c>
      <c r="L492" s="10" t="s">
        <v>42</v>
      </c>
    </row>
    <row r="493" ht="15.75" customHeight="1">
      <c r="A493" s="66">
        <v>45494.0</v>
      </c>
      <c r="B493" s="55" t="str">
        <f>HYPERLINK("https://jobright.ai/jobs/info/669e3a1ce01d13c184ac348c?utm_campaign=1057&amp;utm_source=sheet", "Apply")</f>
        <v>Apply</v>
      </c>
      <c r="C493" s="10" t="s">
        <v>24337</v>
      </c>
      <c r="D493" s="56" t="s">
        <v>4448</v>
      </c>
      <c r="E493" s="10" t="s">
        <v>71</v>
      </c>
      <c r="F493" s="10" t="s">
        <v>4449</v>
      </c>
      <c r="G493" s="10" t="s">
        <v>24043</v>
      </c>
      <c r="H493" s="10" t="s">
        <v>24370</v>
      </c>
      <c r="I493" s="10" t="s">
        <v>55</v>
      </c>
      <c r="K493" s="10" t="s">
        <v>4450</v>
      </c>
      <c r="L493" s="10" t="s">
        <v>42</v>
      </c>
    </row>
    <row r="494" ht="15.75" customHeight="1">
      <c r="A494" s="66">
        <v>45494.0</v>
      </c>
      <c r="B494" s="55" t="str">
        <f>HYPERLINK("https://jobright.ai/jobs/info/669e3a1ce01d13c184ac349c?utm_campaign=1057&amp;utm_source=sheet", "Apply")</f>
        <v>Apply</v>
      </c>
      <c r="C494" s="10" t="s">
        <v>24374</v>
      </c>
      <c r="D494" s="56" t="s">
        <v>4448</v>
      </c>
      <c r="E494" s="10" t="s">
        <v>71</v>
      </c>
      <c r="F494" s="10" t="s">
        <v>4449</v>
      </c>
      <c r="G494" s="10" t="s">
        <v>24043</v>
      </c>
      <c r="H494" s="10" t="s">
        <v>4455</v>
      </c>
      <c r="I494" s="10" t="s">
        <v>55</v>
      </c>
      <c r="K494" s="10" t="s">
        <v>4450</v>
      </c>
      <c r="L494" s="10" t="s">
        <v>42</v>
      </c>
    </row>
    <row r="495" ht="15.75" customHeight="1">
      <c r="A495" s="66">
        <v>45494.0</v>
      </c>
      <c r="B495" s="55" t="str">
        <f>HYPERLINK("https://jobright.ai/jobs/info/669e3a1ce01d13c184ac34b2?utm_campaign=1057&amp;utm_source=sheet", "Apply")</f>
        <v>Apply</v>
      </c>
      <c r="C495" s="10" t="s">
        <v>24061</v>
      </c>
      <c r="D495" s="56" t="s">
        <v>4448</v>
      </c>
      <c r="E495" s="10" t="s">
        <v>71</v>
      </c>
      <c r="F495" s="10" t="s">
        <v>4449</v>
      </c>
      <c r="G495" s="10" t="s">
        <v>24043</v>
      </c>
      <c r="H495" s="10" t="s">
        <v>4455</v>
      </c>
      <c r="I495" s="10" t="s">
        <v>55</v>
      </c>
      <c r="K495" s="10" t="s">
        <v>24062</v>
      </c>
      <c r="L495" s="10" t="s">
        <v>42</v>
      </c>
    </row>
    <row r="496" ht="15.75" customHeight="1">
      <c r="A496" s="66">
        <v>45494.0</v>
      </c>
      <c r="B496" s="55" t="str">
        <f>HYPERLINK("https://jobright.ai/jobs/info/669e3a1ce01d13c184ac3497?utm_campaign=1057&amp;utm_source=sheet", "Apply")</f>
        <v>Apply</v>
      </c>
      <c r="C496" s="10" t="s">
        <v>24414</v>
      </c>
      <c r="D496" s="56" t="s">
        <v>4448</v>
      </c>
      <c r="E496" s="10" t="s">
        <v>71</v>
      </c>
      <c r="F496" s="10" t="s">
        <v>4449</v>
      </c>
      <c r="G496" s="10" t="s">
        <v>24043</v>
      </c>
      <c r="H496" s="10" t="s">
        <v>1786</v>
      </c>
      <c r="I496" s="10" t="s">
        <v>55</v>
      </c>
      <c r="K496" s="10" t="s">
        <v>4450</v>
      </c>
      <c r="L496" s="10" t="s">
        <v>42</v>
      </c>
    </row>
    <row r="497" ht="15.75" customHeight="1">
      <c r="A497" s="66">
        <v>45494.0</v>
      </c>
      <c r="B497" s="55" t="str">
        <f>HYPERLINK("https://jobright.ai/jobs/info/669e3a1ce01d13c184ac34b6?utm_campaign=1057&amp;utm_source=sheet", "Apply")</f>
        <v>Apply</v>
      </c>
      <c r="C497" s="10" t="s">
        <v>24159</v>
      </c>
      <c r="D497" s="56" t="s">
        <v>4448</v>
      </c>
      <c r="E497" s="10" t="s">
        <v>71</v>
      </c>
      <c r="F497" s="10" t="s">
        <v>4449</v>
      </c>
      <c r="G497" s="10" t="s">
        <v>24043</v>
      </c>
      <c r="H497" s="10" t="s">
        <v>8248</v>
      </c>
      <c r="I497" s="10" t="s">
        <v>55</v>
      </c>
      <c r="K497" s="10" t="s">
        <v>24062</v>
      </c>
      <c r="L497" s="10" t="s">
        <v>42</v>
      </c>
    </row>
    <row r="498" ht="15.75" customHeight="1">
      <c r="A498" s="66">
        <v>45494.0</v>
      </c>
      <c r="B498" s="55" t="str">
        <f>HYPERLINK("https://jobright.ai/jobs/info/669e3a1ce01d13c184ac34d9?utm_campaign=1057&amp;utm_source=sheet", "Apply")</f>
        <v>Apply</v>
      </c>
      <c r="C498" s="10" t="s">
        <v>8336</v>
      </c>
      <c r="D498" s="56" t="s">
        <v>4448</v>
      </c>
      <c r="E498" s="10" t="s">
        <v>71</v>
      </c>
      <c r="F498" s="10" t="s">
        <v>4449</v>
      </c>
      <c r="G498" s="10" t="s">
        <v>24043</v>
      </c>
      <c r="H498" s="10" t="s">
        <v>20990</v>
      </c>
      <c r="I498" s="10" t="s">
        <v>55</v>
      </c>
      <c r="K498" s="10" t="s">
        <v>4450</v>
      </c>
      <c r="L498" s="10" t="s">
        <v>42</v>
      </c>
    </row>
    <row r="499" ht="15.75" customHeight="1">
      <c r="A499" s="66">
        <v>45494.0</v>
      </c>
      <c r="B499" s="55" t="str">
        <f>HYPERLINK("https://jobright.ai/jobs/info/669e3a1ce01d13c184ac34b8?utm_campaign=1057&amp;utm_source=sheet", "Apply")</f>
        <v>Apply</v>
      </c>
      <c r="C499" s="10" t="s">
        <v>24433</v>
      </c>
      <c r="D499" s="56" t="s">
        <v>4448</v>
      </c>
      <c r="E499" s="10" t="s">
        <v>71</v>
      </c>
      <c r="F499" s="10" t="s">
        <v>4449</v>
      </c>
      <c r="G499" s="10" t="s">
        <v>24043</v>
      </c>
      <c r="H499" s="10" t="s">
        <v>2602</v>
      </c>
      <c r="I499" s="10" t="s">
        <v>55</v>
      </c>
      <c r="K499" s="10" t="s">
        <v>24062</v>
      </c>
      <c r="L499" s="10" t="s">
        <v>42</v>
      </c>
    </row>
    <row r="500" ht="15.75" customHeight="1">
      <c r="A500" s="66">
        <v>45494.0</v>
      </c>
      <c r="B500" s="55" t="str">
        <f>HYPERLINK("https://jobright.ai/jobs/info/667424ab9634b665d7e50b6d?utm_campaign=1057&amp;utm_source=sheet", "Apply")</f>
        <v>Apply</v>
      </c>
      <c r="C500" s="10" t="s">
        <v>24471</v>
      </c>
      <c r="D500" s="56" t="s">
        <v>18248</v>
      </c>
      <c r="E500" s="10">
        <v>1545.0</v>
      </c>
      <c r="G500" s="10" t="s">
        <v>24043</v>
      </c>
      <c r="H500" s="10" t="s">
        <v>855</v>
      </c>
      <c r="I500" s="10" t="s">
        <v>48</v>
      </c>
      <c r="K500" s="10" t="s">
        <v>24472</v>
      </c>
      <c r="L500" s="10" t="s">
        <v>42</v>
      </c>
    </row>
    <row r="501" ht="15.75" customHeight="1">
      <c r="A501" s="66">
        <v>45494.0</v>
      </c>
      <c r="B501" s="55" t="str">
        <f>HYPERLINK("https://jobright.ai/jobs/info/66625787c9718709a3ba597f?utm_campaign=1057&amp;utm_source=sheet", "Apply")</f>
        <v>Apply</v>
      </c>
      <c r="C501" s="10" t="s">
        <v>24437</v>
      </c>
      <c r="D501" s="56" t="s">
        <v>4479</v>
      </c>
      <c r="E501" s="10" t="s">
        <v>45</v>
      </c>
      <c r="F501" s="10" t="s">
        <v>3778</v>
      </c>
      <c r="G501" s="10" t="s">
        <v>24022</v>
      </c>
      <c r="H501" s="10" t="s">
        <v>18021</v>
      </c>
      <c r="I501" s="10" t="s">
        <v>55</v>
      </c>
      <c r="J501" s="10" t="s">
        <v>5735</v>
      </c>
      <c r="K501" s="10" t="s">
        <v>24438</v>
      </c>
      <c r="L501" s="10" t="s">
        <v>42</v>
      </c>
    </row>
    <row r="502" ht="15.75" customHeight="1">
      <c r="A502" s="66">
        <v>45494.0</v>
      </c>
      <c r="B502" s="55" t="str">
        <f>HYPERLINK("https://jobright.ai/jobs/info/66624e5794810726f31114ff?utm_campaign=1057&amp;utm_source=sheet", "Apply")</f>
        <v>Apply</v>
      </c>
      <c r="C502" s="10" t="s">
        <v>24437</v>
      </c>
      <c r="D502" s="56" t="s">
        <v>4479</v>
      </c>
      <c r="E502" s="10" t="s">
        <v>45</v>
      </c>
      <c r="F502" s="10" t="s">
        <v>3778</v>
      </c>
      <c r="G502" s="10" t="s">
        <v>24022</v>
      </c>
      <c r="H502" s="10" t="s">
        <v>7347</v>
      </c>
      <c r="I502" s="10" t="s">
        <v>55</v>
      </c>
      <c r="J502" s="10" t="s">
        <v>5735</v>
      </c>
      <c r="K502" s="10" t="s">
        <v>24438</v>
      </c>
      <c r="L502" s="10" t="s">
        <v>42</v>
      </c>
    </row>
    <row r="503" ht="15.75" customHeight="1">
      <c r="A503" s="66">
        <v>45494.0</v>
      </c>
      <c r="B503" s="55" t="str">
        <f>HYPERLINK("https://jobright.ai/jobs/info/669d168635607f92f55d418d?utm_campaign=1057&amp;utm_source=sheet", "Apply")</f>
        <v>Apply</v>
      </c>
      <c r="C503" s="10" t="s">
        <v>24473</v>
      </c>
      <c r="D503" s="56" t="s">
        <v>18234</v>
      </c>
      <c r="E503" s="10" t="s">
        <v>71</v>
      </c>
      <c r="F503" s="10" t="s">
        <v>18235</v>
      </c>
      <c r="G503" s="10" t="s">
        <v>24043</v>
      </c>
      <c r="H503" s="10" t="s">
        <v>434</v>
      </c>
      <c r="I503" s="10" t="s">
        <v>55</v>
      </c>
      <c r="K503" s="10" t="s">
        <v>24474</v>
      </c>
      <c r="L503" s="10" t="s">
        <v>42</v>
      </c>
    </row>
    <row r="504" ht="15.75" customHeight="1">
      <c r="A504" s="66">
        <v>45493.0</v>
      </c>
      <c r="B504" s="55" t="str">
        <f>HYPERLINK("https://jobright.ai/jobs/info/669d0e103ddee9d2bb070ec6?utm_campaign=1057&amp;utm_source=sheet", "Apply")</f>
        <v>Apply</v>
      </c>
      <c r="C504" s="10" t="s">
        <v>24475</v>
      </c>
      <c r="D504" s="56" t="s">
        <v>2376</v>
      </c>
      <c r="E504" s="10" t="s">
        <v>45</v>
      </c>
      <c r="F504" s="10" t="s">
        <v>2377</v>
      </c>
      <c r="G504" s="10" t="s">
        <v>24043</v>
      </c>
      <c r="H504" s="10" t="s">
        <v>2380</v>
      </c>
      <c r="I504" s="10" t="s">
        <v>55</v>
      </c>
      <c r="J504" s="10" t="s">
        <v>24476</v>
      </c>
      <c r="K504" s="10" t="s">
        <v>24477</v>
      </c>
      <c r="L504" s="10" t="s">
        <v>42</v>
      </c>
    </row>
    <row r="505" ht="15.75" customHeight="1">
      <c r="A505" s="66">
        <v>45493.0</v>
      </c>
      <c r="B505" s="55" t="str">
        <f>HYPERLINK("https://jobright.ai/jobs/info/669c5939998bead1e5bfe1fa?utm_campaign=1057&amp;utm_source=sheet", "Apply")</f>
        <v>Apply</v>
      </c>
      <c r="C505" s="10" t="s">
        <v>24478</v>
      </c>
      <c r="D505" s="56" t="s">
        <v>14969</v>
      </c>
      <c r="E505" s="10" t="s">
        <v>65</v>
      </c>
      <c r="F505" s="10" t="s">
        <v>14970</v>
      </c>
      <c r="G505" s="10" t="s">
        <v>24031</v>
      </c>
      <c r="H505" s="10" t="s">
        <v>14971</v>
      </c>
      <c r="I505" s="10" t="s">
        <v>55</v>
      </c>
      <c r="K505" s="10" t="s">
        <v>24479</v>
      </c>
      <c r="L505" s="10" t="s">
        <v>42</v>
      </c>
    </row>
    <row r="506" ht="15.75" customHeight="1">
      <c r="A506" s="66">
        <v>45493.0</v>
      </c>
      <c r="B506" s="55" t="str">
        <f>HYPERLINK("https://jobright.ai/jobs/info/669ce0971cd80f4d8062cc48?utm_campaign=1057&amp;utm_source=sheet", "Apply")</f>
        <v>Apply</v>
      </c>
      <c r="C506" s="10" t="s">
        <v>24480</v>
      </c>
      <c r="D506" s="56" t="s">
        <v>24481</v>
      </c>
      <c r="E506" s="10" t="s">
        <v>79</v>
      </c>
      <c r="F506" s="10" t="s">
        <v>1587</v>
      </c>
      <c r="G506" s="10" t="s">
        <v>24043</v>
      </c>
      <c r="H506" s="10" t="s">
        <v>4789</v>
      </c>
      <c r="I506" s="10" t="s">
        <v>55</v>
      </c>
      <c r="J506" s="10" t="s">
        <v>24482</v>
      </c>
      <c r="K506" s="10" t="s">
        <v>24483</v>
      </c>
      <c r="L506" s="10" t="s">
        <v>42</v>
      </c>
    </row>
    <row r="507" ht="15.75" customHeight="1">
      <c r="A507" s="66">
        <v>45493.0</v>
      </c>
      <c r="B507" s="55" t="str">
        <f>HYPERLINK("https://jobright.ai/jobs/info/66a13b3364d0e1054c2d370a?utm_campaign=1057&amp;utm_source=sheet", "Apply")</f>
        <v>Apply</v>
      </c>
      <c r="C507" s="10" t="s">
        <v>24458</v>
      </c>
      <c r="D507" s="56" t="s">
        <v>4448</v>
      </c>
      <c r="E507" s="10" t="s">
        <v>71</v>
      </c>
      <c r="F507" s="10" t="s">
        <v>4449</v>
      </c>
      <c r="G507" s="10" t="s">
        <v>24043</v>
      </c>
      <c r="H507" s="10" t="s">
        <v>24396</v>
      </c>
      <c r="I507" s="10" t="s">
        <v>55</v>
      </c>
      <c r="K507" s="10" t="s">
        <v>4450</v>
      </c>
      <c r="L507" s="10" t="s">
        <v>42</v>
      </c>
    </row>
    <row r="508" ht="15.75" customHeight="1">
      <c r="A508" s="66">
        <v>45493.0</v>
      </c>
      <c r="B508" s="55" t="str">
        <f>HYPERLINK("https://jobright.ai/jobs/info/66a3f951c344e12ad54412ff?utm_campaign=1057&amp;utm_source=sheet", "Apply")</f>
        <v>Apply</v>
      </c>
      <c r="C508" s="10" t="s">
        <v>24368</v>
      </c>
      <c r="D508" s="56" t="s">
        <v>4448</v>
      </c>
      <c r="E508" s="10" t="s">
        <v>71</v>
      </c>
      <c r="F508" s="10" t="s">
        <v>4449</v>
      </c>
      <c r="G508" s="10" t="s">
        <v>24043</v>
      </c>
      <c r="H508" s="10" t="s">
        <v>21486</v>
      </c>
      <c r="I508" s="10" t="s">
        <v>55</v>
      </c>
      <c r="K508" s="10" t="s">
        <v>24062</v>
      </c>
      <c r="L508" s="10" t="s">
        <v>42</v>
      </c>
    </row>
    <row r="509" ht="15.75" customHeight="1">
      <c r="A509" s="66">
        <v>45493.0</v>
      </c>
      <c r="B509" s="55" t="str">
        <f>HYPERLINK("https://jobright.ai/jobs/info/66a3f951c344e12ad5441301?utm_campaign=1057&amp;utm_source=sheet", "Apply")</f>
        <v>Apply</v>
      </c>
      <c r="C509" s="10" t="s">
        <v>24457</v>
      </c>
      <c r="D509" s="56" t="s">
        <v>4448</v>
      </c>
      <c r="E509" s="10" t="s">
        <v>71</v>
      </c>
      <c r="F509" s="10" t="s">
        <v>4449</v>
      </c>
      <c r="G509" s="10" t="s">
        <v>24043</v>
      </c>
      <c r="H509" s="10" t="s">
        <v>24370</v>
      </c>
      <c r="I509" s="10" t="s">
        <v>55</v>
      </c>
      <c r="K509" s="10" t="s">
        <v>4450</v>
      </c>
      <c r="L509" s="10" t="s">
        <v>42</v>
      </c>
    </row>
    <row r="510" ht="15.75" customHeight="1">
      <c r="A510" s="66">
        <v>45493.0</v>
      </c>
      <c r="B510" s="55" t="str">
        <f>HYPERLINK("https://jobright.ai/jobs/info/66a3f951c344e12ad544130b?utm_campaign=1057&amp;utm_source=sheet", "Apply")</f>
        <v>Apply</v>
      </c>
      <c r="C510" s="10" t="s">
        <v>24459</v>
      </c>
      <c r="D510" s="56" t="s">
        <v>4448</v>
      </c>
      <c r="E510" s="10" t="s">
        <v>71</v>
      </c>
      <c r="F510" s="10" t="s">
        <v>4449</v>
      </c>
      <c r="G510" s="10" t="s">
        <v>24043</v>
      </c>
      <c r="H510" s="10" t="s">
        <v>24411</v>
      </c>
      <c r="I510" s="10" t="s">
        <v>55</v>
      </c>
      <c r="K510" s="10" t="s">
        <v>4450</v>
      </c>
      <c r="L510" s="10" t="s">
        <v>42</v>
      </c>
    </row>
    <row r="511" ht="15.75" customHeight="1">
      <c r="A511" s="66">
        <v>45493.0</v>
      </c>
      <c r="B511" s="55" t="str">
        <f>HYPERLINK("https://jobright.ai/jobs/info/66a135bea897a43af5f5a8c8?utm_campaign=1057&amp;utm_source=sheet", "Apply")</f>
        <v>Apply</v>
      </c>
      <c r="C511" s="10" t="s">
        <v>24419</v>
      </c>
      <c r="D511" s="56" t="s">
        <v>4448</v>
      </c>
      <c r="E511" s="10" t="s">
        <v>71</v>
      </c>
      <c r="F511" s="10" t="s">
        <v>4449</v>
      </c>
      <c r="G511" s="10" t="s">
        <v>24043</v>
      </c>
      <c r="H511" s="10" t="s">
        <v>3646</v>
      </c>
      <c r="I511" s="10" t="s">
        <v>55</v>
      </c>
      <c r="K511" s="10" t="s">
        <v>4450</v>
      </c>
      <c r="L511" s="10" t="s">
        <v>42</v>
      </c>
    </row>
    <row r="512" ht="15.75" customHeight="1">
      <c r="A512" s="66">
        <v>45493.0</v>
      </c>
      <c r="B512" s="55" t="str">
        <f>HYPERLINK("https://jobright.ai/jobs/info/66a3f95bc344e12ad5441320?utm_campaign=1057&amp;utm_source=sheet", "Apply")</f>
        <v>Apply</v>
      </c>
      <c r="C512" s="10" t="s">
        <v>8245</v>
      </c>
      <c r="D512" s="56" t="s">
        <v>4448</v>
      </c>
      <c r="E512" s="10" t="s">
        <v>71</v>
      </c>
      <c r="F512" s="10" t="s">
        <v>4449</v>
      </c>
      <c r="G512" s="10" t="s">
        <v>24043</v>
      </c>
      <c r="H512" s="10" t="s">
        <v>1786</v>
      </c>
      <c r="I512" s="10" t="s">
        <v>55</v>
      </c>
      <c r="K512" s="10" t="s">
        <v>24062</v>
      </c>
      <c r="L512" s="10" t="s">
        <v>42</v>
      </c>
    </row>
    <row r="513" ht="15.75" customHeight="1">
      <c r="A513" s="66">
        <v>45493.0</v>
      </c>
      <c r="B513" s="55" t="str">
        <f>HYPERLINK("https://jobright.ai/jobs/info/66a131f531705ece1e4d01b2?utm_campaign=1057&amp;utm_source=sheet", "Apply")</f>
        <v>Apply</v>
      </c>
      <c r="C513" s="10" t="s">
        <v>8336</v>
      </c>
      <c r="D513" s="56" t="s">
        <v>4448</v>
      </c>
      <c r="E513" s="10" t="s">
        <v>71</v>
      </c>
      <c r="F513" s="10" t="s">
        <v>4449</v>
      </c>
      <c r="G513" s="10" t="s">
        <v>24043</v>
      </c>
      <c r="H513" s="10" t="s">
        <v>4455</v>
      </c>
      <c r="I513" s="10" t="s">
        <v>55</v>
      </c>
      <c r="K513" s="10" t="s">
        <v>4450</v>
      </c>
      <c r="L513" s="10" t="s">
        <v>42</v>
      </c>
    </row>
    <row r="514" ht="15.75" customHeight="1">
      <c r="A514" s="66">
        <v>45493.0</v>
      </c>
      <c r="B514" s="55" t="str">
        <f>HYPERLINK("https://jobright.ai/jobs/info/66a131f531705ece1e4d01b4?utm_campaign=1057&amp;utm_source=sheet", "Apply")</f>
        <v>Apply</v>
      </c>
      <c r="C514" s="10" t="s">
        <v>8336</v>
      </c>
      <c r="D514" s="56" t="s">
        <v>4448</v>
      </c>
      <c r="E514" s="10" t="s">
        <v>71</v>
      </c>
      <c r="F514" s="10" t="s">
        <v>4449</v>
      </c>
      <c r="G514" s="10" t="s">
        <v>24043</v>
      </c>
      <c r="H514" s="10" t="s">
        <v>1786</v>
      </c>
      <c r="I514" s="10" t="s">
        <v>55</v>
      </c>
      <c r="K514" s="10" t="s">
        <v>4450</v>
      </c>
      <c r="L514" s="10" t="s">
        <v>42</v>
      </c>
    </row>
    <row r="515" ht="15.75" customHeight="1">
      <c r="A515" s="66">
        <v>45493.0</v>
      </c>
      <c r="B515" s="55" t="str">
        <f>HYPERLINK("https://jobright.ai/jobs/info/66a131f531705ece1e4d01b8?utm_campaign=1057&amp;utm_source=sheet", "Apply")</f>
        <v>Apply</v>
      </c>
      <c r="C515" s="10" t="s">
        <v>24407</v>
      </c>
      <c r="D515" s="56" t="s">
        <v>4448</v>
      </c>
      <c r="E515" s="10" t="s">
        <v>71</v>
      </c>
      <c r="F515" s="10" t="s">
        <v>4449</v>
      </c>
      <c r="G515" s="10" t="s">
        <v>24043</v>
      </c>
      <c r="H515" s="10" t="s">
        <v>3646</v>
      </c>
      <c r="I515" s="10" t="s">
        <v>55</v>
      </c>
      <c r="K515" s="10" t="s">
        <v>24062</v>
      </c>
      <c r="L515" s="10" t="s">
        <v>42</v>
      </c>
    </row>
    <row r="516" ht="15.75" customHeight="1">
      <c r="A516" s="66">
        <v>45493.0</v>
      </c>
      <c r="B516" s="55" t="str">
        <f>HYPERLINK("https://jobright.ai/jobs/info/66a131f531705ece1e4d01c0?utm_campaign=1057&amp;utm_source=sheet", "Apply")</f>
        <v>Apply</v>
      </c>
      <c r="C516" s="10" t="s">
        <v>24423</v>
      </c>
      <c r="D516" s="56" t="s">
        <v>4448</v>
      </c>
      <c r="E516" s="10" t="s">
        <v>71</v>
      </c>
      <c r="F516" s="10" t="s">
        <v>4449</v>
      </c>
      <c r="G516" s="10" t="s">
        <v>24043</v>
      </c>
      <c r="H516" s="10" t="s">
        <v>8248</v>
      </c>
      <c r="I516" s="10" t="s">
        <v>55</v>
      </c>
      <c r="K516" s="10" t="s">
        <v>24062</v>
      </c>
      <c r="L516" s="10" t="s">
        <v>42</v>
      </c>
    </row>
    <row r="517" ht="15.75" customHeight="1">
      <c r="A517" s="66">
        <v>45493.0</v>
      </c>
      <c r="B517" s="55" t="str">
        <f>HYPERLINK("https://jobright.ai/jobs/info/66a3f95bc344e12ad5441323?utm_campaign=1057&amp;utm_source=sheet", "Apply")</f>
        <v>Apply</v>
      </c>
      <c r="C517" s="10" t="s">
        <v>24431</v>
      </c>
      <c r="D517" s="56" t="s">
        <v>4448</v>
      </c>
      <c r="E517" s="10" t="s">
        <v>71</v>
      </c>
      <c r="F517" s="10" t="s">
        <v>4449</v>
      </c>
      <c r="G517" s="10" t="s">
        <v>24043</v>
      </c>
      <c r="H517" s="10" t="s">
        <v>255</v>
      </c>
      <c r="I517" s="10" t="s">
        <v>55</v>
      </c>
      <c r="K517" s="10" t="s">
        <v>4450</v>
      </c>
      <c r="L517" s="10" t="s">
        <v>42</v>
      </c>
    </row>
    <row r="518" ht="15.75" customHeight="1">
      <c r="A518" s="66">
        <v>45493.0</v>
      </c>
      <c r="B518" s="55" t="str">
        <f>HYPERLINK("https://jobright.ai/jobs/info/66a3f95bc344e12ad5441324?utm_campaign=1057&amp;utm_source=sheet", "Apply")</f>
        <v>Apply</v>
      </c>
      <c r="C518" s="10" t="s">
        <v>24420</v>
      </c>
      <c r="D518" s="56" t="s">
        <v>4448</v>
      </c>
      <c r="E518" s="10" t="s">
        <v>71</v>
      </c>
      <c r="F518" s="10" t="s">
        <v>4449</v>
      </c>
      <c r="G518" s="10" t="s">
        <v>24043</v>
      </c>
      <c r="H518" s="10" t="s">
        <v>255</v>
      </c>
      <c r="I518" s="10" t="s">
        <v>55</v>
      </c>
      <c r="K518" s="10" t="s">
        <v>24062</v>
      </c>
      <c r="L518" s="10" t="s">
        <v>42</v>
      </c>
    </row>
    <row r="519" ht="15.75" customHeight="1">
      <c r="A519" s="66">
        <v>45493.0</v>
      </c>
      <c r="B519" s="55" t="str">
        <f>HYPERLINK("https://jobright.ai/jobs/info/66a3f95bc344e12ad5441325?utm_campaign=1057&amp;utm_source=sheet", "Apply")</f>
        <v>Apply</v>
      </c>
      <c r="C519" s="10" t="s">
        <v>24484</v>
      </c>
      <c r="D519" s="56" t="s">
        <v>4448</v>
      </c>
      <c r="E519" s="10" t="s">
        <v>71</v>
      </c>
      <c r="F519" s="10" t="s">
        <v>4449</v>
      </c>
      <c r="G519" s="10" t="s">
        <v>24043</v>
      </c>
      <c r="H519" s="10" t="s">
        <v>21486</v>
      </c>
      <c r="I519" s="10" t="s">
        <v>55</v>
      </c>
      <c r="K519" s="10" t="s">
        <v>4450</v>
      </c>
      <c r="L519" s="10" t="s">
        <v>42</v>
      </c>
    </row>
    <row r="520" ht="15.75" customHeight="1">
      <c r="A520" s="66">
        <v>45493.0</v>
      </c>
      <c r="B520" s="55" t="str">
        <f>HYPERLINK("https://jobright.ai/jobs/info/66624742cb390f9013be2429?utm_campaign=1057&amp;utm_source=sheet", "Apply")</f>
        <v>Apply</v>
      </c>
      <c r="C520" s="10" t="s">
        <v>24437</v>
      </c>
      <c r="D520" s="56" t="s">
        <v>4479</v>
      </c>
      <c r="E520" s="10" t="s">
        <v>45</v>
      </c>
      <c r="F520" s="10" t="s">
        <v>3778</v>
      </c>
      <c r="G520" s="10" t="s">
        <v>24022</v>
      </c>
      <c r="H520" s="10" t="s">
        <v>24485</v>
      </c>
      <c r="I520" s="10" t="s">
        <v>55</v>
      </c>
      <c r="J520" s="10" t="s">
        <v>5735</v>
      </c>
      <c r="K520" s="10" t="s">
        <v>24438</v>
      </c>
      <c r="L520" s="10" t="s">
        <v>42</v>
      </c>
    </row>
    <row r="521" ht="15.75" customHeight="1">
      <c r="A521" s="66">
        <v>45493.0</v>
      </c>
      <c r="B521" s="55" t="str">
        <f>HYPERLINK("https://jobright.ai/jobs/info/66a3f95bc344e12ad5441327?utm_campaign=1057&amp;utm_source=sheet", "Apply")</f>
        <v>Apply</v>
      </c>
      <c r="C521" s="10" t="s">
        <v>24447</v>
      </c>
      <c r="D521" s="56" t="s">
        <v>4448</v>
      </c>
      <c r="E521" s="10" t="s">
        <v>71</v>
      </c>
      <c r="F521" s="10" t="s">
        <v>4449</v>
      </c>
      <c r="G521" s="10" t="s">
        <v>24043</v>
      </c>
      <c r="H521" s="10" t="s">
        <v>24411</v>
      </c>
      <c r="I521" s="10" t="s">
        <v>55</v>
      </c>
      <c r="K521" s="10" t="s">
        <v>4450</v>
      </c>
      <c r="L521" s="10" t="s">
        <v>42</v>
      </c>
    </row>
    <row r="522" ht="15.75" customHeight="1">
      <c r="A522" s="66">
        <v>45493.0</v>
      </c>
      <c r="B522" s="55" t="str">
        <f>HYPERLINK("https://jobright.ai/jobs/info/66a3f95bc344e12ad544132d?utm_campaign=1057&amp;utm_source=sheet", "Apply")</f>
        <v>Apply</v>
      </c>
      <c r="C522" s="10" t="s">
        <v>24486</v>
      </c>
      <c r="D522" s="56" t="s">
        <v>4448</v>
      </c>
      <c r="E522" s="10" t="s">
        <v>71</v>
      </c>
      <c r="F522" s="10" t="s">
        <v>4449</v>
      </c>
      <c r="G522" s="10" t="s">
        <v>24043</v>
      </c>
      <c r="H522" s="10" t="s">
        <v>5432</v>
      </c>
      <c r="I522" s="10" t="s">
        <v>55</v>
      </c>
      <c r="K522" s="10" t="s">
        <v>4450</v>
      </c>
      <c r="L522" s="10" t="s">
        <v>42</v>
      </c>
    </row>
    <row r="523" ht="15.75" customHeight="1">
      <c r="A523" s="66">
        <v>45493.0</v>
      </c>
      <c r="B523" s="55" t="str">
        <f>HYPERLINK("https://jobright.ai/jobs/info/66a3f95bc344e12ad5441338?utm_campaign=1057&amp;utm_source=sheet", "Apply")</f>
        <v>Apply</v>
      </c>
      <c r="C523" s="10" t="s">
        <v>8255</v>
      </c>
      <c r="D523" s="56" t="s">
        <v>4448</v>
      </c>
      <c r="E523" s="10" t="s">
        <v>71</v>
      </c>
      <c r="F523" s="10" t="s">
        <v>4449</v>
      </c>
      <c r="G523" s="10" t="s">
        <v>24043</v>
      </c>
      <c r="H523" s="10" t="s">
        <v>4458</v>
      </c>
      <c r="I523" s="10" t="s">
        <v>55</v>
      </c>
      <c r="K523" s="10" t="s">
        <v>24062</v>
      </c>
      <c r="L523" s="10" t="s">
        <v>42</v>
      </c>
    </row>
    <row r="524" ht="15.75" customHeight="1">
      <c r="A524" s="66">
        <v>45493.0</v>
      </c>
      <c r="B524" s="55" t="str">
        <f>HYPERLINK("https://jobright.ai/jobs/info/66a3f95bc344e12ad544133b?utm_campaign=1057&amp;utm_source=sheet", "Apply")</f>
        <v>Apply</v>
      </c>
      <c r="C524" s="10" t="s">
        <v>24487</v>
      </c>
      <c r="D524" s="56" t="s">
        <v>4448</v>
      </c>
      <c r="E524" s="10" t="s">
        <v>71</v>
      </c>
      <c r="F524" s="10" t="s">
        <v>4449</v>
      </c>
      <c r="G524" s="10" t="s">
        <v>24043</v>
      </c>
      <c r="H524" s="10" t="s">
        <v>3646</v>
      </c>
      <c r="I524" s="10" t="s">
        <v>55</v>
      </c>
      <c r="K524" s="10" t="s">
        <v>4450</v>
      </c>
      <c r="L524" s="10" t="s">
        <v>42</v>
      </c>
    </row>
    <row r="525" ht="15.75" customHeight="1">
      <c r="A525" s="66">
        <v>45493.0</v>
      </c>
      <c r="B525" s="55" t="str">
        <f>HYPERLINK("https://jobright.ai/jobs/info/66a3f95bc344e12ad544133d?utm_campaign=1057&amp;utm_source=sheet", "Apply")</f>
        <v>Apply</v>
      </c>
      <c r="C525" s="10" t="s">
        <v>24452</v>
      </c>
      <c r="D525" s="56" t="s">
        <v>4448</v>
      </c>
      <c r="E525" s="10" t="s">
        <v>71</v>
      </c>
      <c r="F525" s="10" t="s">
        <v>4449</v>
      </c>
      <c r="G525" s="10" t="s">
        <v>24043</v>
      </c>
      <c r="H525" s="10" t="s">
        <v>20990</v>
      </c>
      <c r="I525" s="10" t="s">
        <v>55</v>
      </c>
      <c r="K525" s="10" t="s">
        <v>24062</v>
      </c>
      <c r="L525" s="10" t="s">
        <v>42</v>
      </c>
    </row>
    <row r="526" ht="15.75" customHeight="1">
      <c r="A526" s="66">
        <v>45493.0</v>
      </c>
      <c r="B526" s="55" t="str">
        <f>HYPERLINK("https://jobright.ai/jobs/info/669c622e0641517343ceb685?utm_campaign=1057&amp;utm_source=sheet", "Apply")</f>
        <v>Apply</v>
      </c>
      <c r="C526" s="10" t="s">
        <v>24488</v>
      </c>
      <c r="D526" s="56" t="s">
        <v>24489</v>
      </c>
      <c r="E526" s="10" t="s">
        <v>249</v>
      </c>
      <c r="F526" s="10" t="s">
        <v>24490</v>
      </c>
      <c r="G526" s="10" t="s">
        <v>24022</v>
      </c>
      <c r="H526" s="10" t="s">
        <v>6771</v>
      </c>
      <c r="I526" s="10" t="s">
        <v>55</v>
      </c>
      <c r="J526" s="10" t="s">
        <v>5772</v>
      </c>
      <c r="K526" s="10" t="s">
        <v>24491</v>
      </c>
      <c r="L526" s="10" t="s">
        <v>42</v>
      </c>
    </row>
    <row r="527" ht="15.75" customHeight="1">
      <c r="A527" s="66">
        <v>45493.0</v>
      </c>
      <c r="B527" s="55" t="str">
        <f>HYPERLINK("https://jobright.ai/jobs/info/66a27d5fe5fb02e6e64b1cc6?utm_campaign=1057&amp;utm_source=sheet", "Apply")</f>
        <v>Apply</v>
      </c>
      <c r="C527" s="10" t="s">
        <v>24492</v>
      </c>
      <c r="D527" s="56" t="s">
        <v>4448</v>
      </c>
      <c r="E527" s="10" t="s">
        <v>71</v>
      </c>
      <c r="F527" s="10" t="s">
        <v>4449</v>
      </c>
      <c r="G527" s="10" t="s">
        <v>24043</v>
      </c>
      <c r="H527" s="10" t="s">
        <v>5432</v>
      </c>
      <c r="I527" s="10" t="s">
        <v>55</v>
      </c>
      <c r="K527" s="10" t="s">
        <v>4450</v>
      </c>
      <c r="L527" s="10" t="s">
        <v>42</v>
      </c>
    </row>
    <row r="528" ht="15.75" customHeight="1">
      <c r="A528" s="66">
        <v>45493.0</v>
      </c>
      <c r="B528" s="55" t="str">
        <f>HYPERLINK("https://jobright.ai/jobs/info/66a3f95bc344e12ad5441348?utm_campaign=1057&amp;utm_source=sheet", "Apply")</f>
        <v>Apply</v>
      </c>
      <c r="C528" s="10" t="s">
        <v>24492</v>
      </c>
      <c r="D528" s="56" t="s">
        <v>4448</v>
      </c>
      <c r="E528" s="10" t="s">
        <v>71</v>
      </c>
      <c r="F528" s="10" t="s">
        <v>4449</v>
      </c>
      <c r="G528" s="10" t="s">
        <v>24043</v>
      </c>
      <c r="H528" s="10" t="s">
        <v>24396</v>
      </c>
      <c r="I528" s="10" t="s">
        <v>55</v>
      </c>
      <c r="K528" s="10" t="s">
        <v>4450</v>
      </c>
      <c r="L528" s="10" t="s">
        <v>42</v>
      </c>
    </row>
    <row r="529" ht="15.75" customHeight="1">
      <c r="A529" s="66">
        <v>45493.0</v>
      </c>
      <c r="B529" s="55" t="str">
        <f>HYPERLINK("https://jobright.ai/jobs/info/66a3f95bc344e12ad544134a?utm_campaign=1057&amp;utm_source=sheet", "Apply")</f>
        <v>Apply</v>
      </c>
      <c r="C529" s="10" t="s">
        <v>24453</v>
      </c>
      <c r="D529" s="56" t="s">
        <v>4448</v>
      </c>
      <c r="E529" s="10" t="s">
        <v>71</v>
      </c>
      <c r="F529" s="10" t="s">
        <v>4449</v>
      </c>
      <c r="G529" s="10" t="s">
        <v>24043</v>
      </c>
      <c r="H529" s="10" t="s">
        <v>4455</v>
      </c>
      <c r="I529" s="10" t="s">
        <v>55</v>
      </c>
      <c r="K529" s="10" t="s">
        <v>24062</v>
      </c>
      <c r="L529" s="10" t="s">
        <v>42</v>
      </c>
    </row>
    <row r="530" ht="15.75" customHeight="1">
      <c r="A530" s="66">
        <v>45493.0</v>
      </c>
      <c r="B530" s="55" t="str">
        <f>HYPERLINK("https://jobright.ai/jobs/info/66a3f95bc344e12ad544134b?utm_campaign=1057&amp;utm_source=sheet", "Apply")</f>
        <v>Apply</v>
      </c>
      <c r="C530" s="10" t="s">
        <v>24421</v>
      </c>
      <c r="D530" s="56" t="s">
        <v>4448</v>
      </c>
      <c r="E530" s="10" t="s">
        <v>71</v>
      </c>
      <c r="F530" s="10" t="s">
        <v>4449</v>
      </c>
      <c r="G530" s="10" t="s">
        <v>24043</v>
      </c>
      <c r="H530" s="10" t="s">
        <v>21486</v>
      </c>
      <c r="I530" s="10" t="s">
        <v>55</v>
      </c>
      <c r="K530" s="10" t="s">
        <v>4450</v>
      </c>
      <c r="L530" s="10" t="s">
        <v>42</v>
      </c>
    </row>
    <row r="531" ht="15.75" customHeight="1">
      <c r="A531" s="66">
        <v>45493.0</v>
      </c>
      <c r="B531" s="55" t="str">
        <f>HYPERLINK("https://jobright.ai/jobs/info/669c452ef318798ab2b04cc9?utm_campaign=1057&amp;utm_source=sheet", "Apply")</f>
        <v>Apply</v>
      </c>
      <c r="C531" s="10" t="s">
        <v>24469</v>
      </c>
      <c r="D531" s="56" t="s">
        <v>4448</v>
      </c>
      <c r="E531" s="10" t="s">
        <v>71</v>
      </c>
      <c r="F531" s="10" t="s">
        <v>4449</v>
      </c>
      <c r="G531" s="10" t="s">
        <v>24043</v>
      </c>
      <c r="H531" s="10" t="s">
        <v>21486</v>
      </c>
      <c r="I531" s="10" t="s">
        <v>55</v>
      </c>
      <c r="K531" s="10" t="s">
        <v>4450</v>
      </c>
      <c r="L531" s="10" t="s">
        <v>42</v>
      </c>
    </row>
    <row r="532" ht="15.75" customHeight="1">
      <c r="A532" s="66">
        <v>45493.0</v>
      </c>
      <c r="B532" s="55" t="str">
        <f>HYPERLINK("https://jobright.ai/jobs/info/669c452ef318798ab2b04cd4?utm_campaign=1057&amp;utm_source=sheet", "Apply")</f>
        <v>Apply</v>
      </c>
      <c r="C532" s="10" t="s">
        <v>24493</v>
      </c>
      <c r="D532" s="56" t="s">
        <v>4448</v>
      </c>
      <c r="E532" s="10" t="s">
        <v>71</v>
      </c>
      <c r="F532" s="10" t="s">
        <v>4449</v>
      </c>
      <c r="G532" s="10" t="s">
        <v>24043</v>
      </c>
      <c r="H532" s="10" t="s">
        <v>21672</v>
      </c>
      <c r="I532" s="10" t="s">
        <v>55</v>
      </c>
      <c r="K532" s="10" t="s">
        <v>4450</v>
      </c>
      <c r="L532" s="10" t="s">
        <v>42</v>
      </c>
    </row>
    <row r="533" ht="15.75" customHeight="1">
      <c r="A533" s="66">
        <v>45493.0</v>
      </c>
      <c r="B533" s="55" t="str">
        <f>HYPERLINK("https://jobright.ai/jobs/info/669c452ef318798ab2b04d23?utm_campaign=1057&amp;utm_source=sheet", "Apply")</f>
        <v>Apply</v>
      </c>
      <c r="C533" s="10" t="s">
        <v>24317</v>
      </c>
      <c r="D533" s="56" t="s">
        <v>4448</v>
      </c>
      <c r="E533" s="10" t="s">
        <v>71</v>
      </c>
      <c r="F533" s="10" t="s">
        <v>4449</v>
      </c>
      <c r="G533" s="10" t="s">
        <v>24043</v>
      </c>
      <c r="H533" s="10" t="s">
        <v>4261</v>
      </c>
      <c r="I533" s="10" t="s">
        <v>55</v>
      </c>
      <c r="K533" s="10" t="s">
        <v>4450</v>
      </c>
      <c r="L533" s="10" t="s">
        <v>42</v>
      </c>
    </row>
    <row r="534" ht="15.75" customHeight="1">
      <c r="A534" s="66">
        <v>45493.0</v>
      </c>
      <c r="B534" s="55" t="str">
        <f>HYPERLINK("https://jobright.ai/jobs/info/669c452ef318798ab2b04d2a?utm_campaign=1057&amp;utm_source=sheet", "Apply")</f>
        <v>Apply</v>
      </c>
      <c r="C534" s="10" t="s">
        <v>24494</v>
      </c>
      <c r="D534" s="56" t="s">
        <v>4448</v>
      </c>
      <c r="E534" s="10" t="s">
        <v>71</v>
      </c>
      <c r="F534" s="10" t="s">
        <v>4449</v>
      </c>
      <c r="G534" s="10" t="s">
        <v>24043</v>
      </c>
      <c r="H534" s="10" t="s">
        <v>24338</v>
      </c>
      <c r="I534" s="10" t="s">
        <v>55</v>
      </c>
      <c r="K534" s="10" t="s">
        <v>4450</v>
      </c>
      <c r="L534" s="10" t="s">
        <v>42</v>
      </c>
    </row>
    <row r="535" ht="15.75" customHeight="1">
      <c r="A535" s="66">
        <v>45493.0</v>
      </c>
      <c r="B535" s="55" t="str">
        <f>HYPERLINK("https://jobright.ai/jobs/info/669c452ef318798ab2b04d3c?utm_campaign=1057&amp;utm_source=sheet", "Apply")</f>
        <v>Apply</v>
      </c>
      <c r="C535" s="10" t="s">
        <v>24495</v>
      </c>
      <c r="D535" s="56" t="s">
        <v>4448</v>
      </c>
      <c r="E535" s="10" t="s">
        <v>71</v>
      </c>
      <c r="F535" s="10" t="s">
        <v>4449</v>
      </c>
      <c r="G535" s="10" t="s">
        <v>24043</v>
      </c>
      <c r="H535" s="10" t="s">
        <v>3646</v>
      </c>
      <c r="I535" s="10" t="s">
        <v>55</v>
      </c>
      <c r="K535" s="10" t="s">
        <v>4450</v>
      </c>
      <c r="L535" s="10" t="s">
        <v>42</v>
      </c>
    </row>
    <row r="536" ht="15.75" customHeight="1">
      <c r="A536" s="66">
        <v>45493.0</v>
      </c>
      <c r="B536" s="55" t="str">
        <f>HYPERLINK("https://jobright.ai/jobs/info/669c452ef318798ab2b04d42?utm_campaign=1057&amp;utm_source=sheet", "Apply")</f>
        <v>Apply</v>
      </c>
      <c r="C536" s="10" t="s">
        <v>24496</v>
      </c>
      <c r="D536" s="56" t="s">
        <v>4448</v>
      </c>
      <c r="E536" s="10" t="s">
        <v>71</v>
      </c>
      <c r="F536" s="10" t="s">
        <v>4449</v>
      </c>
      <c r="G536" s="10" t="s">
        <v>24043</v>
      </c>
      <c r="H536" s="10" t="s">
        <v>4456</v>
      </c>
      <c r="I536" s="10" t="s">
        <v>55</v>
      </c>
      <c r="K536" s="10" t="s">
        <v>4450</v>
      </c>
      <c r="L536" s="10" t="s">
        <v>42</v>
      </c>
    </row>
    <row r="537" ht="15.75" customHeight="1">
      <c r="A537" s="66">
        <v>45493.0</v>
      </c>
      <c r="B537" s="55" t="str">
        <f>HYPERLINK("https://jobright.ai/jobs/info/669c452ef318798ab2b04d45?utm_campaign=1057&amp;utm_source=sheet", "Apply")</f>
        <v>Apply</v>
      </c>
      <c r="C537" s="10" t="s">
        <v>24497</v>
      </c>
      <c r="D537" s="56" t="s">
        <v>4448</v>
      </c>
      <c r="E537" s="10" t="s">
        <v>71</v>
      </c>
      <c r="F537" s="10" t="s">
        <v>4449</v>
      </c>
      <c r="G537" s="10" t="s">
        <v>24043</v>
      </c>
      <c r="H537" s="10" t="s">
        <v>24411</v>
      </c>
      <c r="I537" s="10" t="s">
        <v>55</v>
      </c>
      <c r="K537" s="10" t="s">
        <v>4450</v>
      </c>
      <c r="L537" s="10" t="s">
        <v>42</v>
      </c>
    </row>
    <row r="538" ht="15.75" customHeight="1">
      <c r="A538" s="66">
        <v>45493.0</v>
      </c>
      <c r="B538" s="55" t="str">
        <f>HYPERLINK("https://jobright.ai/jobs/info/669c452ef318798ab2b04d4f?utm_campaign=1057&amp;utm_source=sheet", "Apply")</f>
        <v>Apply</v>
      </c>
      <c r="C538" s="10" t="s">
        <v>24420</v>
      </c>
      <c r="D538" s="56" t="s">
        <v>4448</v>
      </c>
      <c r="E538" s="10" t="s">
        <v>71</v>
      </c>
      <c r="F538" s="10" t="s">
        <v>4449</v>
      </c>
      <c r="G538" s="10" t="s">
        <v>24043</v>
      </c>
      <c r="H538" s="10" t="s">
        <v>24338</v>
      </c>
      <c r="I538" s="10" t="s">
        <v>55</v>
      </c>
      <c r="K538" s="10" t="s">
        <v>4450</v>
      </c>
      <c r="L538" s="10" t="s">
        <v>42</v>
      </c>
    </row>
    <row r="539" ht="15.75" customHeight="1">
      <c r="A539" s="66">
        <v>45493.0</v>
      </c>
      <c r="B539" s="55" t="str">
        <f>HYPERLINK("https://jobright.ai/jobs/info/669c4535f318798ab2b04d5d?utm_campaign=1057&amp;utm_source=sheet", "Apply")</f>
        <v>Apply</v>
      </c>
      <c r="C539" s="10" t="s">
        <v>8336</v>
      </c>
      <c r="D539" s="56" t="s">
        <v>4448</v>
      </c>
      <c r="E539" s="10" t="s">
        <v>71</v>
      </c>
      <c r="F539" s="10" t="s">
        <v>4449</v>
      </c>
      <c r="G539" s="10" t="s">
        <v>24043</v>
      </c>
      <c r="H539" s="10" t="s">
        <v>8248</v>
      </c>
      <c r="I539" s="10" t="s">
        <v>55</v>
      </c>
      <c r="K539" s="10" t="s">
        <v>4450</v>
      </c>
      <c r="L539" s="10" t="s">
        <v>42</v>
      </c>
    </row>
    <row r="540" ht="15.75" customHeight="1">
      <c r="A540" s="66">
        <v>45493.0</v>
      </c>
      <c r="B540" s="55" t="str">
        <f>HYPERLINK("https://jobright.ai/jobs/info/669c4535f318798ab2b04d52?utm_campaign=1057&amp;utm_source=sheet", "Apply")</f>
        <v>Apply</v>
      </c>
      <c r="C540" s="10" t="s">
        <v>24498</v>
      </c>
      <c r="D540" s="56" t="s">
        <v>4448</v>
      </c>
      <c r="E540" s="10" t="s">
        <v>71</v>
      </c>
      <c r="F540" s="10" t="s">
        <v>4449</v>
      </c>
      <c r="G540" s="10" t="s">
        <v>24043</v>
      </c>
      <c r="H540" s="10" t="s">
        <v>4455</v>
      </c>
      <c r="I540" s="10" t="s">
        <v>55</v>
      </c>
      <c r="K540" s="10" t="s">
        <v>4450</v>
      </c>
      <c r="L540" s="10" t="s">
        <v>42</v>
      </c>
    </row>
    <row r="541" ht="15.75" customHeight="1">
      <c r="A541" s="66">
        <v>45493.0</v>
      </c>
      <c r="B541" s="55" t="str">
        <f>HYPERLINK("https://jobright.ai/jobs/info/669c4535f318798ab2b04d69?utm_campaign=1057&amp;utm_source=sheet", "Apply")</f>
        <v>Apply</v>
      </c>
      <c r="C541" s="10" t="s">
        <v>24498</v>
      </c>
      <c r="D541" s="56" t="s">
        <v>4448</v>
      </c>
      <c r="E541" s="10" t="s">
        <v>71</v>
      </c>
      <c r="F541" s="10" t="s">
        <v>4449</v>
      </c>
      <c r="G541" s="10" t="s">
        <v>24043</v>
      </c>
      <c r="H541" s="10" t="s">
        <v>8248</v>
      </c>
      <c r="I541" s="10" t="s">
        <v>55</v>
      </c>
      <c r="K541" s="10" t="s">
        <v>4450</v>
      </c>
      <c r="L541" s="10" t="s">
        <v>42</v>
      </c>
    </row>
    <row r="542" ht="15.75" customHeight="1">
      <c r="A542" s="66">
        <v>45493.0</v>
      </c>
      <c r="B542" s="55" t="str">
        <f>HYPERLINK("https://jobright.ai/jobs/info/669c4535f318798ab2b04d79?utm_campaign=1057&amp;utm_source=sheet", "Apply")</f>
        <v>Apply</v>
      </c>
      <c r="C542" s="10" t="s">
        <v>24445</v>
      </c>
      <c r="D542" s="56" t="s">
        <v>4448</v>
      </c>
      <c r="E542" s="10" t="s">
        <v>71</v>
      </c>
      <c r="F542" s="10" t="s">
        <v>4449</v>
      </c>
      <c r="G542" s="10" t="s">
        <v>24043</v>
      </c>
      <c r="H542" s="10" t="s">
        <v>24411</v>
      </c>
      <c r="I542" s="10" t="s">
        <v>55</v>
      </c>
      <c r="K542" s="10" t="s">
        <v>4450</v>
      </c>
      <c r="L542" s="10" t="s">
        <v>42</v>
      </c>
    </row>
    <row r="543" ht="15.75" customHeight="1">
      <c r="A543" s="66">
        <v>45493.0</v>
      </c>
      <c r="B543" s="55" t="str">
        <f>HYPERLINK("https://jobright.ai/jobs/info/669c4535f318798ab2b04d78?utm_campaign=1057&amp;utm_source=sheet", "Apply")</f>
        <v>Apply</v>
      </c>
      <c r="C543" s="10" t="s">
        <v>24451</v>
      </c>
      <c r="D543" s="56" t="s">
        <v>4448</v>
      </c>
      <c r="E543" s="10" t="s">
        <v>71</v>
      </c>
      <c r="F543" s="10" t="s">
        <v>4449</v>
      </c>
      <c r="G543" s="10" t="s">
        <v>24043</v>
      </c>
      <c r="H543" s="10" t="s">
        <v>24396</v>
      </c>
      <c r="I543" s="10" t="s">
        <v>55</v>
      </c>
      <c r="K543" s="10" t="s">
        <v>4450</v>
      </c>
      <c r="L543" s="10" t="s">
        <v>42</v>
      </c>
    </row>
    <row r="544" ht="15.75" customHeight="1">
      <c r="A544" s="66">
        <v>45493.0</v>
      </c>
      <c r="B544" s="55" t="str">
        <f>HYPERLINK("https://jobright.ai/jobs/info/669c4535f318798ab2b04d88?utm_campaign=1057&amp;utm_source=sheet", "Apply")</f>
        <v>Apply</v>
      </c>
      <c r="C544" s="10" t="s">
        <v>24499</v>
      </c>
      <c r="D544" s="56" t="s">
        <v>4448</v>
      </c>
      <c r="E544" s="10" t="s">
        <v>71</v>
      </c>
      <c r="F544" s="10" t="s">
        <v>4449</v>
      </c>
      <c r="G544" s="10" t="s">
        <v>24043</v>
      </c>
      <c r="H544" s="10" t="s">
        <v>636</v>
      </c>
      <c r="I544" s="10" t="s">
        <v>55</v>
      </c>
      <c r="K544" s="10" t="s">
        <v>4450</v>
      </c>
      <c r="L544" s="10" t="s">
        <v>42</v>
      </c>
    </row>
    <row r="545" ht="15.75" customHeight="1">
      <c r="A545" s="66">
        <v>45493.0</v>
      </c>
      <c r="B545" s="55" t="str">
        <f>HYPERLINK("https://jobright.ai/jobs/info/669c4535f318798ab2b04d8c?utm_campaign=1057&amp;utm_source=sheet", "Apply")</f>
        <v>Apply</v>
      </c>
      <c r="C545" s="10" t="s">
        <v>24500</v>
      </c>
      <c r="D545" s="56" t="s">
        <v>4448</v>
      </c>
      <c r="E545" s="10" t="s">
        <v>71</v>
      </c>
      <c r="F545" s="10" t="s">
        <v>4449</v>
      </c>
      <c r="G545" s="10" t="s">
        <v>24043</v>
      </c>
      <c r="H545" s="10" t="s">
        <v>255</v>
      </c>
      <c r="I545" s="10" t="s">
        <v>55</v>
      </c>
      <c r="K545" s="10" t="s">
        <v>4450</v>
      </c>
      <c r="L545" s="10" t="s">
        <v>42</v>
      </c>
    </row>
    <row r="546" ht="15.75" customHeight="1">
      <c r="A546" s="66">
        <v>45493.0</v>
      </c>
      <c r="B546" s="55" t="str">
        <f>HYPERLINK("https://jobright.ai/jobs/info/669c4535f318798ab2b04d99?utm_campaign=1057&amp;utm_source=sheet", "Apply")</f>
        <v>Apply</v>
      </c>
      <c r="C546" s="10" t="s">
        <v>24417</v>
      </c>
      <c r="D546" s="56" t="s">
        <v>4448</v>
      </c>
      <c r="E546" s="10" t="s">
        <v>71</v>
      </c>
      <c r="F546" s="10" t="s">
        <v>4449</v>
      </c>
      <c r="G546" s="10" t="s">
        <v>24043</v>
      </c>
      <c r="H546" s="10" t="s">
        <v>16746</v>
      </c>
      <c r="I546" s="10" t="s">
        <v>55</v>
      </c>
      <c r="K546" s="10" t="s">
        <v>4450</v>
      </c>
      <c r="L546" s="10" t="s">
        <v>42</v>
      </c>
    </row>
    <row r="547" ht="15.75" customHeight="1">
      <c r="A547" s="66">
        <v>45493.0</v>
      </c>
      <c r="B547" s="55" t="str">
        <f>HYPERLINK("https://jobright.ai/jobs/info/669c4535f318798ab2b04d98?utm_campaign=1057&amp;utm_source=sheet", "Apply")</f>
        <v>Apply</v>
      </c>
      <c r="C547" s="10" t="s">
        <v>24088</v>
      </c>
      <c r="D547" s="56" t="s">
        <v>4448</v>
      </c>
      <c r="E547" s="10" t="s">
        <v>71</v>
      </c>
      <c r="F547" s="10" t="s">
        <v>4449</v>
      </c>
      <c r="G547" s="10" t="s">
        <v>24043</v>
      </c>
      <c r="H547" s="10" t="s">
        <v>3646</v>
      </c>
      <c r="I547" s="10" t="s">
        <v>55</v>
      </c>
      <c r="K547" s="10" t="s">
        <v>4450</v>
      </c>
      <c r="L547" s="10" t="s">
        <v>42</v>
      </c>
    </row>
    <row r="548" ht="15.75" customHeight="1">
      <c r="A548" s="66">
        <v>45493.0</v>
      </c>
      <c r="B548" s="55" t="str">
        <f>HYPERLINK("https://jobright.ai/jobs/info/669c4535f318798ab2b04da1?utm_campaign=1057&amp;utm_source=sheet", "Apply")</f>
        <v>Apply</v>
      </c>
      <c r="C548" s="10" t="s">
        <v>24420</v>
      </c>
      <c r="D548" s="56" t="s">
        <v>4448</v>
      </c>
      <c r="E548" s="10" t="s">
        <v>71</v>
      </c>
      <c r="F548" s="10" t="s">
        <v>4449</v>
      </c>
      <c r="G548" s="10" t="s">
        <v>24043</v>
      </c>
      <c r="H548" s="10" t="s">
        <v>4456</v>
      </c>
      <c r="I548" s="10" t="s">
        <v>55</v>
      </c>
      <c r="K548" s="10" t="s">
        <v>4450</v>
      </c>
      <c r="L548" s="10" t="s">
        <v>42</v>
      </c>
    </row>
    <row r="549" ht="15.75" customHeight="1">
      <c r="A549" s="66">
        <v>45493.0</v>
      </c>
      <c r="B549" s="55" t="str">
        <f>HYPERLINK("https://jobright.ai/jobs/info/669c4535f318798ab2b04da3?utm_campaign=1057&amp;utm_source=sheet", "Apply")</f>
        <v>Apply</v>
      </c>
      <c r="C549" s="10" t="s">
        <v>24501</v>
      </c>
      <c r="D549" s="56" t="s">
        <v>4448</v>
      </c>
      <c r="E549" s="10" t="s">
        <v>71</v>
      </c>
      <c r="F549" s="10" t="s">
        <v>4449</v>
      </c>
      <c r="G549" s="10" t="s">
        <v>24043</v>
      </c>
      <c r="H549" s="10" t="s">
        <v>24396</v>
      </c>
      <c r="I549" s="10" t="s">
        <v>55</v>
      </c>
      <c r="K549" s="10" t="s">
        <v>4450</v>
      </c>
      <c r="L549" s="10" t="s">
        <v>42</v>
      </c>
    </row>
    <row r="550" ht="15.75" customHeight="1">
      <c r="A550" s="66">
        <v>45493.0</v>
      </c>
      <c r="B550" s="55" t="str">
        <f>HYPERLINK("https://jobright.ai/jobs/info/669c4535f318798ab2b04daf?utm_campaign=1057&amp;utm_source=sheet", "Apply")</f>
        <v>Apply</v>
      </c>
      <c r="C550" s="10" t="s">
        <v>24502</v>
      </c>
      <c r="D550" s="56" t="s">
        <v>4448</v>
      </c>
      <c r="E550" s="10" t="s">
        <v>71</v>
      </c>
      <c r="F550" s="10" t="s">
        <v>4449</v>
      </c>
      <c r="G550" s="10" t="s">
        <v>24043</v>
      </c>
      <c r="H550" s="10" t="s">
        <v>4261</v>
      </c>
      <c r="I550" s="10" t="s">
        <v>55</v>
      </c>
      <c r="K550" s="10" t="s">
        <v>4450</v>
      </c>
      <c r="L550" s="10" t="s">
        <v>42</v>
      </c>
    </row>
    <row r="551" ht="15.75" customHeight="1">
      <c r="A551" s="66">
        <v>45493.0</v>
      </c>
      <c r="B551" s="55" t="str">
        <f>HYPERLINK("https://jobright.ai/jobs/info/669c4535f318798ab2b04de5?utm_campaign=1057&amp;utm_source=sheet", "Apply")</f>
        <v>Apply</v>
      </c>
      <c r="C551" s="10" t="s">
        <v>24412</v>
      </c>
      <c r="D551" s="56" t="s">
        <v>4448</v>
      </c>
      <c r="E551" s="10" t="s">
        <v>71</v>
      </c>
      <c r="F551" s="10" t="s">
        <v>4449</v>
      </c>
      <c r="G551" s="10" t="s">
        <v>24043</v>
      </c>
      <c r="H551" s="10" t="s">
        <v>3646</v>
      </c>
      <c r="I551" s="10" t="s">
        <v>55</v>
      </c>
      <c r="K551" s="10" t="s">
        <v>4450</v>
      </c>
      <c r="L551" s="10" t="s">
        <v>42</v>
      </c>
    </row>
    <row r="552" ht="15.75" customHeight="1">
      <c r="A552" s="66">
        <v>45493.0</v>
      </c>
      <c r="B552" s="55" t="str">
        <f>HYPERLINK("https://jobright.ai/jobs/info/669c4535f318798ab2b04e03?utm_campaign=1057&amp;utm_source=sheet", "Apply")</f>
        <v>Apply</v>
      </c>
      <c r="C552" s="10" t="s">
        <v>24460</v>
      </c>
      <c r="D552" s="56" t="s">
        <v>4448</v>
      </c>
      <c r="E552" s="10" t="s">
        <v>71</v>
      </c>
      <c r="F552" s="10" t="s">
        <v>4449</v>
      </c>
      <c r="G552" s="10" t="s">
        <v>24043</v>
      </c>
      <c r="H552" s="10" t="s">
        <v>3646</v>
      </c>
      <c r="I552" s="10" t="s">
        <v>55</v>
      </c>
      <c r="K552" s="10" t="s">
        <v>4450</v>
      </c>
      <c r="L552" s="10" t="s">
        <v>42</v>
      </c>
    </row>
    <row r="553" ht="15.75" customHeight="1">
      <c r="A553" s="66">
        <v>45493.0</v>
      </c>
      <c r="B553" s="55" t="str">
        <f>HYPERLINK("https://jobright.ai/jobs/info/669c4535f318798ab2b04e01?utm_campaign=1057&amp;utm_source=sheet", "Apply")</f>
        <v>Apply</v>
      </c>
      <c r="C553" s="10" t="s">
        <v>24421</v>
      </c>
      <c r="D553" s="56" t="s">
        <v>4448</v>
      </c>
      <c r="E553" s="10" t="s">
        <v>71</v>
      </c>
      <c r="F553" s="10" t="s">
        <v>4449</v>
      </c>
      <c r="G553" s="10" t="s">
        <v>24043</v>
      </c>
      <c r="H553" s="10" t="s">
        <v>636</v>
      </c>
      <c r="I553" s="10" t="s">
        <v>55</v>
      </c>
      <c r="K553" s="10" t="s">
        <v>4450</v>
      </c>
      <c r="L553" s="10" t="s">
        <v>42</v>
      </c>
    </row>
    <row r="554" ht="15.75" customHeight="1">
      <c r="A554" s="66">
        <v>45493.0</v>
      </c>
      <c r="B554" s="55" t="str">
        <f>HYPERLINK("https://jobright.ai/jobs/info/669c4535f318798ab2b04e15?utm_campaign=1057&amp;utm_source=sheet", "Apply")</f>
        <v>Apply</v>
      </c>
      <c r="C554" s="10" t="s">
        <v>24503</v>
      </c>
      <c r="D554" s="56" t="s">
        <v>4448</v>
      </c>
      <c r="E554" s="10" t="s">
        <v>71</v>
      </c>
      <c r="F554" s="10" t="s">
        <v>4449</v>
      </c>
      <c r="G554" s="10" t="s">
        <v>24043</v>
      </c>
      <c r="H554" s="10" t="s">
        <v>3646</v>
      </c>
      <c r="I554" s="10" t="s">
        <v>55</v>
      </c>
      <c r="K554" s="10" t="s">
        <v>4450</v>
      </c>
      <c r="L554" s="10" t="s">
        <v>42</v>
      </c>
    </row>
    <row r="555" ht="15.75" customHeight="1">
      <c r="A555" s="66">
        <v>45493.0</v>
      </c>
      <c r="B555" s="55" t="str">
        <f>HYPERLINK("https://jobright.ai/jobs/info/669c4535f318798ab2b04e0b?utm_campaign=1057&amp;utm_source=sheet", "Apply")</f>
        <v>Apply</v>
      </c>
      <c r="C555" s="10" t="s">
        <v>24504</v>
      </c>
      <c r="D555" s="56" t="s">
        <v>4448</v>
      </c>
      <c r="E555" s="10" t="s">
        <v>71</v>
      </c>
      <c r="F555" s="10" t="s">
        <v>4449</v>
      </c>
      <c r="G555" s="10" t="s">
        <v>24043</v>
      </c>
      <c r="H555" s="10" t="s">
        <v>3646</v>
      </c>
      <c r="I555" s="10" t="s">
        <v>55</v>
      </c>
      <c r="K555" s="10" t="s">
        <v>4450</v>
      </c>
      <c r="L555" s="10" t="s">
        <v>42</v>
      </c>
    </row>
    <row r="556" ht="15.75" customHeight="1">
      <c r="A556" s="66">
        <v>45493.0</v>
      </c>
      <c r="B556" s="55" t="str">
        <f>HYPERLINK("https://jobright.ai/jobs/info/669c4535f318798ab2b04e02?utm_campaign=1057&amp;utm_source=sheet", "Apply")</f>
        <v>Apply</v>
      </c>
      <c r="C556" s="10" t="s">
        <v>24505</v>
      </c>
      <c r="D556" s="56" t="s">
        <v>4448</v>
      </c>
      <c r="E556" s="10" t="s">
        <v>71</v>
      </c>
      <c r="F556" s="10" t="s">
        <v>4449</v>
      </c>
      <c r="G556" s="10" t="s">
        <v>24043</v>
      </c>
      <c r="H556" s="10" t="s">
        <v>2602</v>
      </c>
      <c r="I556" s="10" t="s">
        <v>55</v>
      </c>
      <c r="K556" s="10" t="s">
        <v>4450</v>
      </c>
      <c r="L556" s="10" t="s">
        <v>42</v>
      </c>
    </row>
    <row r="557" ht="15.75" customHeight="1">
      <c r="A557" s="66">
        <v>45493.0</v>
      </c>
      <c r="B557" s="55" t="str">
        <f>HYPERLINK("https://jobright.ai/jobs/info/669c453cf318798ab2b04e21?utm_campaign=1057&amp;utm_source=sheet", "Apply")</f>
        <v>Apply</v>
      </c>
      <c r="C557" s="10" t="s">
        <v>24183</v>
      </c>
      <c r="D557" s="56" t="s">
        <v>4448</v>
      </c>
      <c r="E557" s="10" t="s">
        <v>71</v>
      </c>
      <c r="F557" s="10" t="s">
        <v>4449</v>
      </c>
      <c r="G557" s="10" t="s">
        <v>24043</v>
      </c>
      <c r="H557" s="10" t="s">
        <v>24396</v>
      </c>
      <c r="I557" s="10" t="s">
        <v>55</v>
      </c>
      <c r="K557" s="10" t="s">
        <v>4450</v>
      </c>
      <c r="L557" s="10" t="s">
        <v>42</v>
      </c>
    </row>
    <row r="558" ht="15.75" customHeight="1">
      <c r="A558" s="66">
        <v>45493.0</v>
      </c>
      <c r="B558" s="55" t="str">
        <f>HYPERLINK("https://jobright.ai/jobs/info/669c453cf318798ab2b04e43?utm_campaign=1057&amp;utm_source=sheet", "Apply")</f>
        <v>Apply</v>
      </c>
      <c r="C558" s="10" t="s">
        <v>24506</v>
      </c>
      <c r="D558" s="56" t="s">
        <v>4448</v>
      </c>
      <c r="E558" s="10" t="s">
        <v>71</v>
      </c>
      <c r="F558" s="10" t="s">
        <v>4449</v>
      </c>
      <c r="G558" s="10" t="s">
        <v>24043</v>
      </c>
      <c r="H558" s="10" t="s">
        <v>8248</v>
      </c>
      <c r="I558" s="10" t="s">
        <v>55</v>
      </c>
      <c r="K558" s="10" t="s">
        <v>4450</v>
      </c>
      <c r="L558" s="10" t="s">
        <v>42</v>
      </c>
    </row>
    <row r="559" ht="15.75" customHeight="1">
      <c r="A559" s="66">
        <v>45493.0</v>
      </c>
      <c r="B559" s="55" t="str">
        <f>HYPERLINK("https://jobright.ai/jobs/info/669c453cf318798ab2b04e67?utm_campaign=1057&amp;utm_source=sheet", "Apply")</f>
        <v>Apply</v>
      </c>
      <c r="C559" s="10" t="s">
        <v>24320</v>
      </c>
      <c r="D559" s="56" t="s">
        <v>4448</v>
      </c>
      <c r="E559" s="10" t="s">
        <v>71</v>
      </c>
      <c r="F559" s="10" t="s">
        <v>4449</v>
      </c>
      <c r="G559" s="10" t="s">
        <v>24043</v>
      </c>
      <c r="H559" s="10" t="s">
        <v>4261</v>
      </c>
      <c r="I559" s="10" t="s">
        <v>55</v>
      </c>
      <c r="K559" s="10" t="s">
        <v>4450</v>
      </c>
      <c r="L559" s="10" t="s">
        <v>42</v>
      </c>
    </row>
    <row r="560" ht="15.75" customHeight="1">
      <c r="A560" s="66">
        <v>45493.0</v>
      </c>
      <c r="B560" s="55" t="str">
        <f>HYPERLINK("https://jobright.ai/jobs/info/669c453cf318798ab2b04e65?utm_campaign=1057&amp;utm_source=sheet", "Apply")</f>
        <v>Apply</v>
      </c>
      <c r="C560" s="10" t="s">
        <v>24507</v>
      </c>
      <c r="D560" s="56" t="s">
        <v>4448</v>
      </c>
      <c r="E560" s="10" t="s">
        <v>71</v>
      </c>
      <c r="F560" s="10" t="s">
        <v>4449</v>
      </c>
      <c r="G560" s="10" t="s">
        <v>24043</v>
      </c>
      <c r="H560" s="10" t="s">
        <v>2602</v>
      </c>
      <c r="I560" s="10" t="s">
        <v>55</v>
      </c>
      <c r="K560" s="10" t="s">
        <v>4450</v>
      </c>
      <c r="L560" s="10" t="s">
        <v>42</v>
      </c>
    </row>
    <row r="561" ht="15.75" customHeight="1">
      <c r="A561" s="66">
        <v>45493.0</v>
      </c>
      <c r="B561" s="55" t="str">
        <f>HYPERLINK("https://jobright.ai/jobs/info/669c453cf318798ab2b04e73?utm_campaign=1057&amp;utm_source=sheet", "Apply")</f>
        <v>Apply</v>
      </c>
      <c r="C561" s="10" t="s">
        <v>24508</v>
      </c>
      <c r="D561" s="56" t="s">
        <v>4448</v>
      </c>
      <c r="E561" s="10" t="s">
        <v>71</v>
      </c>
      <c r="F561" s="10" t="s">
        <v>4449</v>
      </c>
      <c r="G561" s="10" t="s">
        <v>24043</v>
      </c>
      <c r="H561" s="10" t="s">
        <v>20989</v>
      </c>
      <c r="I561" s="10" t="s">
        <v>55</v>
      </c>
      <c r="K561" s="10" t="s">
        <v>4450</v>
      </c>
      <c r="L561" s="10" t="s">
        <v>42</v>
      </c>
    </row>
    <row r="562" ht="15.75" customHeight="1">
      <c r="A562" s="66">
        <v>45493.0</v>
      </c>
      <c r="B562" s="55" t="str">
        <f>HYPERLINK("https://jobright.ai/jobs/info/669c453cf318798ab2b04e7b?utm_campaign=1057&amp;utm_source=sheet", "Apply")</f>
        <v>Apply</v>
      </c>
      <c r="C562" s="10" t="s">
        <v>24509</v>
      </c>
      <c r="D562" s="56" t="s">
        <v>4448</v>
      </c>
      <c r="E562" s="10" t="s">
        <v>71</v>
      </c>
      <c r="F562" s="10" t="s">
        <v>4449</v>
      </c>
      <c r="G562" s="10" t="s">
        <v>24043</v>
      </c>
      <c r="H562" s="10" t="s">
        <v>20990</v>
      </c>
      <c r="I562" s="10" t="s">
        <v>55</v>
      </c>
      <c r="K562" s="10" t="s">
        <v>4450</v>
      </c>
      <c r="L562" s="10" t="s">
        <v>42</v>
      </c>
    </row>
    <row r="563" ht="15.75" customHeight="1">
      <c r="A563" s="66">
        <v>45493.0</v>
      </c>
      <c r="B563" s="55" t="str">
        <f>HYPERLINK("https://jobright.ai/jobs/info/669c453cf318798ab2b04e80?utm_campaign=1057&amp;utm_source=sheet", "Apply")</f>
        <v>Apply</v>
      </c>
      <c r="C563" s="10" t="s">
        <v>24510</v>
      </c>
      <c r="D563" s="56" t="s">
        <v>4448</v>
      </c>
      <c r="E563" s="10" t="s">
        <v>71</v>
      </c>
      <c r="F563" s="10" t="s">
        <v>4449</v>
      </c>
      <c r="G563" s="10" t="s">
        <v>24043</v>
      </c>
      <c r="H563" s="10" t="s">
        <v>2602</v>
      </c>
      <c r="I563" s="10" t="s">
        <v>55</v>
      </c>
      <c r="K563" s="10" t="s">
        <v>4450</v>
      </c>
      <c r="L563" s="10" t="s">
        <v>42</v>
      </c>
    </row>
    <row r="564" ht="15.75" customHeight="1">
      <c r="A564" s="66">
        <v>45493.0</v>
      </c>
      <c r="B564" s="55" t="str">
        <f>HYPERLINK("https://jobright.ai/jobs/info/669c453cf318798ab2b04e89?utm_campaign=1057&amp;utm_source=sheet", "Apply")</f>
        <v>Apply</v>
      </c>
      <c r="C564" s="10" t="s">
        <v>24417</v>
      </c>
      <c r="D564" s="56" t="s">
        <v>4448</v>
      </c>
      <c r="E564" s="10" t="s">
        <v>71</v>
      </c>
      <c r="F564" s="10" t="s">
        <v>4449</v>
      </c>
      <c r="G564" s="10" t="s">
        <v>24043</v>
      </c>
      <c r="H564" s="10" t="s">
        <v>1786</v>
      </c>
      <c r="I564" s="10" t="s">
        <v>55</v>
      </c>
      <c r="K564" s="10" t="s">
        <v>4450</v>
      </c>
      <c r="L564" s="10" t="s">
        <v>42</v>
      </c>
    </row>
    <row r="565" ht="15.75" customHeight="1">
      <c r="A565" s="66">
        <v>45493.0</v>
      </c>
      <c r="B565" s="55" t="str">
        <f>HYPERLINK("https://jobright.ai/jobs/info/669c453cf318798ab2b04e8b?utm_campaign=1057&amp;utm_source=sheet", "Apply")</f>
        <v>Apply</v>
      </c>
      <c r="C565" s="10" t="s">
        <v>24404</v>
      </c>
      <c r="D565" s="56" t="s">
        <v>4448</v>
      </c>
      <c r="E565" s="10" t="s">
        <v>71</v>
      </c>
      <c r="F565" s="10" t="s">
        <v>4449</v>
      </c>
      <c r="G565" s="10" t="s">
        <v>24043</v>
      </c>
      <c r="H565" s="10" t="s">
        <v>4452</v>
      </c>
      <c r="I565" s="10" t="s">
        <v>55</v>
      </c>
      <c r="K565" s="10" t="s">
        <v>4450</v>
      </c>
      <c r="L565" s="10" t="s">
        <v>42</v>
      </c>
    </row>
    <row r="566" ht="15.75" customHeight="1">
      <c r="A566" s="66">
        <v>45493.0</v>
      </c>
      <c r="B566" s="55" t="str">
        <f>HYPERLINK("https://jobright.ai/jobs/info/669c453cf318798ab2b04e96?utm_campaign=1057&amp;utm_source=sheet", "Apply")</f>
        <v>Apply</v>
      </c>
      <c r="C566" s="10" t="s">
        <v>24511</v>
      </c>
      <c r="D566" s="56" t="s">
        <v>4448</v>
      </c>
      <c r="E566" s="10" t="s">
        <v>71</v>
      </c>
      <c r="F566" s="10" t="s">
        <v>4449</v>
      </c>
      <c r="G566" s="10" t="s">
        <v>24043</v>
      </c>
      <c r="H566" s="10" t="s">
        <v>1786</v>
      </c>
      <c r="I566" s="10" t="s">
        <v>55</v>
      </c>
      <c r="K566" s="10" t="s">
        <v>4450</v>
      </c>
      <c r="L566" s="10" t="s">
        <v>42</v>
      </c>
    </row>
    <row r="567" ht="15.75" customHeight="1">
      <c r="A567" s="66">
        <v>45493.0</v>
      </c>
      <c r="B567" s="55" t="str">
        <f>HYPERLINK("https://jobright.ai/jobs/info/669c453cf318798ab2b04e92?utm_campaign=1057&amp;utm_source=sheet", "Apply")</f>
        <v>Apply</v>
      </c>
      <c r="C567" s="10" t="s">
        <v>24493</v>
      </c>
      <c r="D567" s="56" t="s">
        <v>4448</v>
      </c>
      <c r="E567" s="10" t="s">
        <v>71</v>
      </c>
      <c r="F567" s="10" t="s">
        <v>4449</v>
      </c>
      <c r="G567" s="10" t="s">
        <v>24043</v>
      </c>
      <c r="H567" s="10" t="s">
        <v>255</v>
      </c>
      <c r="I567" s="10" t="s">
        <v>55</v>
      </c>
      <c r="K567" s="10" t="s">
        <v>4450</v>
      </c>
      <c r="L567" s="10" t="s">
        <v>42</v>
      </c>
    </row>
    <row r="568" ht="15.75" customHeight="1">
      <c r="A568" s="66">
        <v>45493.0</v>
      </c>
      <c r="B568" s="55" t="str">
        <f>HYPERLINK("https://jobright.ai/jobs/info/669c453cf318798ab2b04eb1?utm_campaign=1057&amp;utm_source=sheet", "Apply")</f>
        <v>Apply</v>
      </c>
      <c r="C568" s="10" t="s">
        <v>24320</v>
      </c>
      <c r="D568" s="56" t="s">
        <v>4448</v>
      </c>
      <c r="E568" s="10" t="s">
        <v>71</v>
      </c>
      <c r="F568" s="10" t="s">
        <v>4449</v>
      </c>
      <c r="G568" s="10" t="s">
        <v>24043</v>
      </c>
      <c r="H568" s="10" t="s">
        <v>8248</v>
      </c>
      <c r="I568" s="10" t="s">
        <v>55</v>
      </c>
      <c r="K568" s="10" t="s">
        <v>4450</v>
      </c>
      <c r="L568" s="10" t="s">
        <v>42</v>
      </c>
    </row>
    <row r="569" ht="15.75" customHeight="1">
      <c r="A569" s="66">
        <v>45493.0</v>
      </c>
      <c r="B569" s="55" t="str">
        <f>HYPERLINK("https://jobright.ai/jobs/info/669c453cf318798ab2b04ec6?utm_campaign=1057&amp;utm_source=sheet", "Apply")</f>
        <v>Apply</v>
      </c>
      <c r="C569" s="10" t="s">
        <v>24510</v>
      </c>
      <c r="D569" s="56" t="s">
        <v>4448</v>
      </c>
      <c r="E569" s="10" t="s">
        <v>71</v>
      </c>
      <c r="F569" s="10" t="s">
        <v>4449</v>
      </c>
      <c r="G569" s="10" t="s">
        <v>24043</v>
      </c>
      <c r="H569" s="10" t="s">
        <v>20989</v>
      </c>
      <c r="I569" s="10" t="s">
        <v>55</v>
      </c>
      <c r="K569" s="10" t="s">
        <v>4450</v>
      </c>
      <c r="L569" s="10" t="s">
        <v>42</v>
      </c>
    </row>
    <row r="570" ht="15.75" customHeight="1">
      <c r="A570" s="66">
        <v>45493.0</v>
      </c>
      <c r="B570" s="55" t="str">
        <f>HYPERLINK("https://jobright.ai/jobs/info/669c453cf318798ab2b04ec4?utm_campaign=1057&amp;utm_source=sheet", "Apply")</f>
        <v>Apply</v>
      </c>
      <c r="C570" s="10" t="s">
        <v>24433</v>
      </c>
      <c r="D570" s="56" t="s">
        <v>4448</v>
      </c>
      <c r="E570" s="10" t="s">
        <v>71</v>
      </c>
      <c r="F570" s="10" t="s">
        <v>4449</v>
      </c>
      <c r="G570" s="10" t="s">
        <v>24043</v>
      </c>
      <c r="H570" s="10" t="s">
        <v>255</v>
      </c>
      <c r="I570" s="10" t="s">
        <v>55</v>
      </c>
      <c r="K570" s="10" t="s">
        <v>4450</v>
      </c>
      <c r="L570" s="10" t="s">
        <v>42</v>
      </c>
    </row>
    <row r="571" ht="15.75" customHeight="1">
      <c r="A571" s="66">
        <v>45493.0</v>
      </c>
      <c r="B571" s="55" t="str">
        <f>HYPERLINK("https://jobright.ai/jobs/info/669c453cf318798ab2b04ec2?utm_campaign=1057&amp;utm_source=sheet", "Apply")</f>
        <v>Apply</v>
      </c>
      <c r="C571" s="10" t="s">
        <v>24507</v>
      </c>
      <c r="D571" s="56" t="s">
        <v>4448</v>
      </c>
      <c r="E571" s="10" t="s">
        <v>71</v>
      </c>
      <c r="F571" s="10" t="s">
        <v>4449</v>
      </c>
      <c r="G571" s="10" t="s">
        <v>24043</v>
      </c>
      <c r="H571" s="10" t="s">
        <v>255</v>
      </c>
      <c r="I571" s="10" t="s">
        <v>55</v>
      </c>
      <c r="K571" s="10" t="s">
        <v>4450</v>
      </c>
      <c r="L571" s="10" t="s">
        <v>42</v>
      </c>
    </row>
    <row r="572" ht="15.75" customHeight="1">
      <c r="A572" s="66">
        <v>45493.0</v>
      </c>
      <c r="B572" s="55" t="str">
        <f>HYPERLINK("https://jobright.ai/jobs/info/669c4542f318798ab2b04ef2?utm_campaign=1057&amp;utm_source=sheet", "Apply")</f>
        <v>Apply</v>
      </c>
      <c r="C572" s="10" t="s">
        <v>24464</v>
      </c>
      <c r="D572" s="56" t="s">
        <v>4448</v>
      </c>
      <c r="E572" s="10" t="s">
        <v>71</v>
      </c>
      <c r="F572" s="10" t="s">
        <v>4449</v>
      </c>
      <c r="G572" s="10" t="s">
        <v>24043</v>
      </c>
      <c r="H572" s="10" t="s">
        <v>21672</v>
      </c>
      <c r="I572" s="10" t="s">
        <v>55</v>
      </c>
      <c r="K572" s="10" t="s">
        <v>4450</v>
      </c>
      <c r="L572" s="10" t="s">
        <v>42</v>
      </c>
    </row>
    <row r="573" ht="15.75" customHeight="1">
      <c r="A573" s="66">
        <v>45493.0</v>
      </c>
      <c r="B573" s="55" t="str">
        <f>HYPERLINK("https://jobright.ai/jobs/info/669c4542f318798ab2b04f08?utm_campaign=1057&amp;utm_source=sheet", "Apply")</f>
        <v>Apply</v>
      </c>
      <c r="C573" s="10" t="s">
        <v>21691</v>
      </c>
      <c r="D573" s="56" t="s">
        <v>4448</v>
      </c>
      <c r="E573" s="10" t="s">
        <v>71</v>
      </c>
      <c r="F573" s="10" t="s">
        <v>4449</v>
      </c>
      <c r="G573" s="10" t="s">
        <v>24043</v>
      </c>
      <c r="H573" s="10" t="s">
        <v>20989</v>
      </c>
      <c r="I573" s="10" t="s">
        <v>55</v>
      </c>
      <c r="K573" s="10" t="s">
        <v>4450</v>
      </c>
      <c r="L573" s="10" t="s">
        <v>42</v>
      </c>
    </row>
    <row r="574" ht="15.75" customHeight="1">
      <c r="A574" s="66">
        <v>45493.0</v>
      </c>
      <c r="B574" s="55" t="str">
        <f>HYPERLINK("https://jobright.ai/jobs/info/669c4542f318798ab2b04f0c?utm_campaign=1057&amp;utm_source=sheet", "Apply")</f>
        <v>Apply</v>
      </c>
      <c r="C574" s="10" t="s">
        <v>24494</v>
      </c>
      <c r="D574" s="56" t="s">
        <v>4448</v>
      </c>
      <c r="E574" s="10" t="s">
        <v>71</v>
      </c>
      <c r="F574" s="10" t="s">
        <v>4449</v>
      </c>
      <c r="G574" s="10" t="s">
        <v>24043</v>
      </c>
      <c r="H574" s="10" t="s">
        <v>24370</v>
      </c>
      <c r="I574" s="10" t="s">
        <v>55</v>
      </c>
      <c r="K574" s="10" t="s">
        <v>4450</v>
      </c>
      <c r="L574" s="10" t="s">
        <v>42</v>
      </c>
    </row>
    <row r="575" ht="15.75" customHeight="1">
      <c r="A575" s="66">
        <v>45493.0</v>
      </c>
      <c r="B575" s="55" t="str">
        <f>HYPERLINK("https://jobright.ai/jobs/info/669c4542f318798ab2b04f1c?utm_campaign=1057&amp;utm_source=sheet", "Apply")</f>
        <v>Apply</v>
      </c>
      <c r="C575" s="10" t="s">
        <v>8309</v>
      </c>
      <c r="D575" s="56" t="s">
        <v>4448</v>
      </c>
      <c r="E575" s="10" t="s">
        <v>71</v>
      </c>
      <c r="F575" s="10" t="s">
        <v>4449</v>
      </c>
      <c r="G575" s="10" t="s">
        <v>24043</v>
      </c>
      <c r="H575" s="10" t="s">
        <v>2602</v>
      </c>
      <c r="I575" s="10" t="s">
        <v>55</v>
      </c>
      <c r="K575" s="10" t="s">
        <v>4450</v>
      </c>
      <c r="L575" s="10" t="s">
        <v>42</v>
      </c>
    </row>
    <row r="576" ht="15.75" customHeight="1">
      <c r="A576" s="66">
        <v>45493.0</v>
      </c>
      <c r="B576" s="55" t="str">
        <f>HYPERLINK("https://jobright.ai/jobs/info/669c4542f318798ab2b04f30?utm_campaign=1057&amp;utm_source=sheet", "Apply")</f>
        <v>Apply</v>
      </c>
      <c r="C576" s="10" t="s">
        <v>24417</v>
      </c>
      <c r="D576" s="56" t="s">
        <v>4448</v>
      </c>
      <c r="E576" s="10" t="s">
        <v>71</v>
      </c>
      <c r="F576" s="10" t="s">
        <v>4449</v>
      </c>
      <c r="G576" s="10" t="s">
        <v>24043</v>
      </c>
      <c r="H576" s="10" t="s">
        <v>4458</v>
      </c>
      <c r="I576" s="10" t="s">
        <v>55</v>
      </c>
      <c r="K576" s="10" t="s">
        <v>4450</v>
      </c>
      <c r="L576" s="10" t="s">
        <v>42</v>
      </c>
    </row>
    <row r="577" ht="15.75" customHeight="1">
      <c r="A577" s="66">
        <v>45493.0</v>
      </c>
      <c r="B577" s="55" t="str">
        <f>HYPERLINK("https://jobright.ai/jobs/info/669c4542f318798ab2b04f4a?utm_campaign=1057&amp;utm_source=sheet", "Apply")</f>
        <v>Apply</v>
      </c>
      <c r="C577" s="10" t="s">
        <v>8245</v>
      </c>
      <c r="D577" s="56" t="s">
        <v>4448</v>
      </c>
      <c r="E577" s="10" t="s">
        <v>71</v>
      </c>
      <c r="F577" s="10" t="s">
        <v>4449</v>
      </c>
      <c r="G577" s="10" t="s">
        <v>24043</v>
      </c>
      <c r="H577" s="10" t="s">
        <v>636</v>
      </c>
      <c r="I577" s="10" t="s">
        <v>55</v>
      </c>
      <c r="K577" s="10" t="s">
        <v>4450</v>
      </c>
      <c r="L577" s="10" t="s">
        <v>42</v>
      </c>
    </row>
    <row r="578" ht="15.75" customHeight="1">
      <c r="A578" s="66">
        <v>45493.0</v>
      </c>
      <c r="B578" s="55" t="str">
        <f>HYPERLINK("https://jobright.ai/jobs/info/669c4542f318798ab2b04f41?utm_campaign=1057&amp;utm_source=sheet", "Apply")</f>
        <v>Apply</v>
      </c>
      <c r="C578" s="10" t="s">
        <v>24512</v>
      </c>
      <c r="D578" s="56" t="s">
        <v>4448</v>
      </c>
      <c r="E578" s="10" t="s">
        <v>71</v>
      </c>
      <c r="F578" s="10" t="s">
        <v>4449</v>
      </c>
      <c r="G578" s="10" t="s">
        <v>24043</v>
      </c>
      <c r="H578" s="10" t="s">
        <v>636</v>
      </c>
      <c r="I578" s="10" t="s">
        <v>55</v>
      </c>
      <c r="K578" s="10" t="s">
        <v>4450</v>
      </c>
      <c r="L578" s="10" t="s">
        <v>42</v>
      </c>
    </row>
    <row r="579" ht="15.75" customHeight="1">
      <c r="A579" s="66">
        <v>45493.0</v>
      </c>
      <c r="B579" s="55" t="str">
        <f>HYPERLINK("https://jobright.ai/jobs/info/669c4542f318798ab2b04f63?utm_campaign=1057&amp;utm_source=sheet", "Apply")</f>
        <v>Apply</v>
      </c>
      <c r="C579" s="10" t="s">
        <v>24397</v>
      </c>
      <c r="D579" s="56" t="s">
        <v>4448</v>
      </c>
      <c r="E579" s="10" t="s">
        <v>71</v>
      </c>
      <c r="F579" s="10" t="s">
        <v>4449</v>
      </c>
      <c r="G579" s="10" t="s">
        <v>24043</v>
      </c>
      <c r="H579" s="10" t="s">
        <v>636</v>
      </c>
      <c r="I579" s="10" t="s">
        <v>55</v>
      </c>
      <c r="K579" s="10" t="s">
        <v>4450</v>
      </c>
      <c r="L579" s="10" t="s">
        <v>42</v>
      </c>
    </row>
    <row r="580" ht="15.75" customHeight="1">
      <c r="A580" s="66">
        <v>45493.0</v>
      </c>
      <c r="B580" s="55" t="str">
        <f>HYPERLINK("https://jobright.ai/jobs/info/669c4542f318798ab2b04f80?utm_campaign=1057&amp;utm_source=sheet", "Apply")</f>
        <v>Apply</v>
      </c>
      <c r="C580" s="10" t="s">
        <v>8211</v>
      </c>
      <c r="D580" s="56" t="s">
        <v>4448</v>
      </c>
      <c r="E580" s="10" t="s">
        <v>71</v>
      </c>
      <c r="F580" s="10" t="s">
        <v>4449</v>
      </c>
      <c r="G580" s="10" t="s">
        <v>24043</v>
      </c>
      <c r="H580" s="10" t="s">
        <v>4261</v>
      </c>
      <c r="I580" s="10" t="s">
        <v>55</v>
      </c>
      <c r="K580" s="10" t="s">
        <v>4450</v>
      </c>
      <c r="L580" s="10" t="s">
        <v>42</v>
      </c>
    </row>
    <row r="581" ht="15.75" customHeight="1">
      <c r="A581" s="66">
        <v>45493.0</v>
      </c>
      <c r="B581" s="55" t="str">
        <f>HYPERLINK("https://jobright.ai/jobs/info/669c4542f318798ab2b04f89?utm_campaign=1057&amp;utm_source=sheet", "Apply")</f>
        <v>Apply</v>
      </c>
      <c r="C581" s="10" t="s">
        <v>24513</v>
      </c>
      <c r="D581" s="56" t="s">
        <v>4448</v>
      </c>
      <c r="E581" s="10" t="s">
        <v>71</v>
      </c>
      <c r="F581" s="10" t="s">
        <v>4449</v>
      </c>
      <c r="G581" s="10" t="s">
        <v>24043</v>
      </c>
      <c r="H581" s="10" t="s">
        <v>24408</v>
      </c>
      <c r="I581" s="10" t="s">
        <v>55</v>
      </c>
      <c r="K581" s="10" t="s">
        <v>4450</v>
      </c>
      <c r="L581" s="10" t="s">
        <v>42</v>
      </c>
    </row>
    <row r="582" ht="15.75" customHeight="1">
      <c r="A582" s="66">
        <v>45493.0</v>
      </c>
      <c r="B582" s="55" t="str">
        <f>HYPERLINK("https://jobright.ai/jobs/info/669c4542f318798ab2b04f90?utm_campaign=1057&amp;utm_source=sheet", "Apply")</f>
        <v>Apply</v>
      </c>
      <c r="C582" s="10" t="s">
        <v>24514</v>
      </c>
      <c r="D582" s="56" t="s">
        <v>4448</v>
      </c>
      <c r="E582" s="10" t="s">
        <v>71</v>
      </c>
      <c r="F582" s="10" t="s">
        <v>4449</v>
      </c>
      <c r="G582" s="10" t="s">
        <v>24043</v>
      </c>
      <c r="H582" s="10" t="s">
        <v>636</v>
      </c>
      <c r="I582" s="10" t="s">
        <v>55</v>
      </c>
      <c r="K582" s="10" t="s">
        <v>4450</v>
      </c>
      <c r="L582" s="10" t="s">
        <v>42</v>
      </c>
    </row>
    <row r="583" ht="15.75" customHeight="1">
      <c r="A583" s="66">
        <v>45493.0</v>
      </c>
      <c r="B583" s="55" t="str">
        <f>HYPERLINK("https://jobright.ai/jobs/info/669c4542f318798ab2b04f98?utm_campaign=1057&amp;utm_source=sheet", "Apply")</f>
        <v>Apply</v>
      </c>
      <c r="C583" s="10" t="s">
        <v>24515</v>
      </c>
      <c r="D583" s="56" t="s">
        <v>4448</v>
      </c>
      <c r="E583" s="10" t="s">
        <v>71</v>
      </c>
      <c r="F583" s="10" t="s">
        <v>4449</v>
      </c>
      <c r="G583" s="10" t="s">
        <v>24043</v>
      </c>
      <c r="H583" s="10" t="s">
        <v>8248</v>
      </c>
      <c r="I583" s="10" t="s">
        <v>55</v>
      </c>
      <c r="K583" s="10" t="s">
        <v>4450</v>
      </c>
      <c r="L583" s="10" t="s">
        <v>42</v>
      </c>
    </row>
    <row r="584" ht="15.75" customHeight="1">
      <c r="A584" s="66">
        <v>45493.0</v>
      </c>
      <c r="B584" s="55" t="str">
        <f>HYPERLINK("https://jobright.ai/jobs/info/669c4542f318798ab2b04f96?utm_campaign=1057&amp;utm_source=sheet", "Apply")</f>
        <v>Apply</v>
      </c>
      <c r="C584" s="10" t="s">
        <v>24463</v>
      </c>
      <c r="D584" s="56" t="s">
        <v>4448</v>
      </c>
      <c r="E584" s="10" t="s">
        <v>71</v>
      </c>
      <c r="F584" s="10" t="s">
        <v>4449</v>
      </c>
      <c r="G584" s="10" t="s">
        <v>24043</v>
      </c>
      <c r="H584" s="10" t="s">
        <v>24338</v>
      </c>
      <c r="I584" s="10" t="s">
        <v>55</v>
      </c>
      <c r="K584" s="10" t="s">
        <v>4450</v>
      </c>
      <c r="L584" s="10" t="s">
        <v>42</v>
      </c>
    </row>
    <row r="585" ht="15.75" customHeight="1">
      <c r="A585" s="66">
        <v>45493.0</v>
      </c>
      <c r="B585" s="55" t="str">
        <f>HYPERLINK("https://jobright.ai/jobs/info/669c4542f318798ab2b04fa0?utm_campaign=1057&amp;utm_source=sheet", "Apply")</f>
        <v>Apply</v>
      </c>
      <c r="C585" s="10" t="s">
        <v>24516</v>
      </c>
      <c r="D585" s="56" t="s">
        <v>4448</v>
      </c>
      <c r="E585" s="10" t="s">
        <v>71</v>
      </c>
      <c r="F585" s="10" t="s">
        <v>4449</v>
      </c>
      <c r="G585" s="10" t="s">
        <v>24043</v>
      </c>
      <c r="H585" s="10" t="s">
        <v>24408</v>
      </c>
      <c r="I585" s="10" t="s">
        <v>55</v>
      </c>
      <c r="K585" s="10" t="s">
        <v>4450</v>
      </c>
      <c r="L585" s="10" t="s">
        <v>42</v>
      </c>
    </row>
    <row r="586" ht="15.75" customHeight="1">
      <c r="A586" s="66">
        <v>45493.0</v>
      </c>
      <c r="B586" s="55" t="str">
        <f>HYPERLINK("https://jobright.ai/jobs/info/66a27b5c10e34507ec383daf?utm_campaign=1057&amp;utm_source=sheet", "Apply")</f>
        <v>Apply</v>
      </c>
      <c r="C586" s="10" t="s">
        <v>24431</v>
      </c>
      <c r="D586" s="56" t="s">
        <v>4448</v>
      </c>
      <c r="E586" s="10" t="s">
        <v>71</v>
      </c>
      <c r="F586" s="10" t="s">
        <v>4449</v>
      </c>
      <c r="G586" s="10" t="s">
        <v>24043</v>
      </c>
      <c r="H586" s="10" t="s">
        <v>24370</v>
      </c>
      <c r="I586" s="10" t="s">
        <v>55</v>
      </c>
      <c r="K586" s="10" t="s">
        <v>4450</v>
      </c>
      <c r="L586" s="10" t="s">
        <v>42</v>
      </c>
    </row>
    <row r="587" ht="15.75" customHeight="1">
      <c r="A587" s="66">
        <v>45493.0</v>
      </c>
      <c r="B587" s="55" t="str">
        <f>HYPERLINK("https://jobright.ai/jobs/info/669c4549f318798ab2b04fdf?utm_campaign=1057&amp;utm_source=sheet", "Apply")</f>
        <v>Apply</v>
      </c>
      <c r="C587" s="10" t="s">
        <v>24517</v>
      </c>
      <c r="D587" s="56" t="s">
        <v>4448</v>
      </c>
      <c r="E587" s="10" t="s">
        <v>71</v>
      </c>
      <c r="F587" s="10" t="s">
        <v>4449</v>
      </c>
      <c r="G587" s="10" t="s">
        <v>24043</v>
      </c>
      <c r="H587" s="10" t="s">
        <v>20989</v>
      </c>
      <c r="I587" s="10" t="s">
        <v>55</v>
      </c>
      <c r="K587" s="10" t="s">
        <v>4450</v>
      </c>
      <c r="L587" s="10" t="s">
        <v>42</v>
      </c>
    </row>
    <row r="588" ht="15.75" customHeight="1">
      <c r="A588" s="66">
        <v>45493.0</v>
      </c>
      <c r="B588" s="55" t="str">
        <f>HYPERLINK("https://jobright.ai/jobs/info/669c4549f318798ab2b04ff1?utm_campaign=1057&amp;utm_source=sheet", "Apply")</f>
        <v>Apply</v>
      </c>
      <c r="C588" s="10" t="s">
        <v>24404</v>
      </c>
      <c r="D588" s="56" t="s">
        <v>4448</v>
      </c>
      <c r="E588" s="10" t="s">
        <v>71</v>
      </c>
      <c r="F588" s="10" t="s">
        <v>4449</v>
      </c>
      <c r="G588" s="10" t="s">
        <v>24043</v>
      </c>
      <c r="H588" s="10" t="s">
        <v>4455</v>
      </c>
      <c r="I588" s="10" t="s">
        <v>55</v>
      </c>
      <c r="K588" s="10" t="s">
        <v>4450</v>
      </c>
      <c r="L588" s="10" t="s">
        <v>42</v>
      </c>
    </row>
    <row r="589" ht="15.75" customHeight="1">
      <c r="A589" s="66">
        <v>45493.0</v>
      </c>
      <c r="B589" s="55" t="str">
        <f>HYPERLINK("https://jobright.ai/jobs/info/669c4549f318798ab2b05005?utm_campaign=1057&amp;utm_source=sheet", "Apply")</f>
        <v>Apply</v>
      </c>
      <c r="C589" s="10" t="s">
        <v>21702</v>
      </c>
      <c r="D589" s="56" t="s">
        <v>4448</v>
      </c>
      <c r="E589" s="10" t="s">
        <v>71</v>
      </c>
      <c r="F589" s="10" t="s">
        <v>4449</v>
      </c>
      <c r="G589" s="10" t="s">
        <v>24043</v>
      </c>
      <c r="H589" s="10" t="s">
        <v>1786</v>
      </c>
      <c r="I589" s="10" t="s">
        <v>55</v>
      </c>
      <c r="K589" s="10" t="s">
        <v>4450</v>
      </c>
      <c r="L589" s="10" t="s">
        <v>42</v>
      </c>
    </row>
    <row r="590" ht="15.75" customHeight="1">
      <c r="A590" s="66">
        <v>45493.0</v>
      </c>
      <c r="B590" s="55" t="str">
        <f>HYPERLINK("https://jobright.ai/jobs/info/669c4549f318798ab2b05006?utm_campaign=1057&amp;utm_source=sheet", "Apply")</f>
        <v>Apply</v>
      </c>
      <c r="C590" s="10" t="s">
        <v>24088</v>
      </c>
      <c r="D590" s="56" t="s">
        <v>4448</v>
      </c>
      <c r="E590" s="10" t="s">
        <v>71</v>
      </c>
      <c r="F590" s="10" t="s">
        <v>4449</v>
      </c>
      <c r="G590" s="10" t="s">
        <v>24043</v>
      </c>
      <c r="H590" s="10" t="s">
        <v>24396</v>
      </c>
      <c r="I590" s="10" t="s">
        <v>55</v>
      </c>
      <c r="K590" s="10" t="s">
        <v>4450</v>
      </c>
      <c r="L590" s="10" t="s">
        <v>42</v>
      </c>
    </row>
    <row r="591" ht="15.75" customHeight="1">
      <c r="A591" s="66">
        <v>45493.0</v>
      </c>
      <c r="B591" s="55" t="str">
        <f>HYPERLINK("https://jobright.ai/jobs/info/669c4549f318798ab2b0500f?utm_campaign=1057&amp;utm_source=sheet", "Apply")</f>
        <v>Apply</v>
      </c>
      <c r="C591" s="10" t="s">
        <v>24518</v>
      </c>
      <c r="D591" s="56" t="s">
        <v>4448</v>
      </c>
      <c r="E591" s="10" t="s">
        <v>71</v>
      </c>
      <c r="F591" s="10" t="s">
        <v>4449</v>
      </c>
      <c r="G591" s="10" t="s">
        <v>24043</v>
      </c>
      <c r="H591" s="10" t="s">
        <v>2602</v>
      </c>
      <c r="I591" s="10" t="s">
        <v>55</v>
      </c>
      <c r="K591" s="10" t="s">
        <v>4450</v>
      </c>
      <c r="L591" s="10" t="s">
        <v>42</v>
      </c>
    </row>
    <row r="592" ht="15.75" customHeight="1">
      <c r="A592" s="66">
        <v>45493.0</v>
      </c>
      <c r="B592" s="55" t="str">
        <f>HYPERLINK("https://jobright.ai/jobs/info/669c4549f318798ab2b0501e?utm_campaign=1057&amp;utm_source=sheet", "Apply")</f>
        <v>Apply</v>
      </c>
      <c r="C592" s="10" t="s">
        <v>24517</v>
      </c>
      <c r="D592" s="56" t="s">
        <v>4448</v>
      </c>
      <c r="E592" s="10" t="s">
        <v>71</v>
      </c>
      <c r="F592" s="10" t="s">
        <v>4449</v>
      </c>
      <c r="G592" s="10" t="s">
        <v>24043</v>
      </c>
      <c r="H592" s="10" t="s">
        <v>4456</v>
      </c>
      <c r="I592" s="10" t="s">
        <v>55</v>
      </c>
      <c r="K592" s="10" t="s">
        <v>4450</v>
      </c>
      <c r="L592" s="10" t="s">
        <v>42</v>
      </c>
    </row>
    <row r="593" ht="15.75" customHeight="1">
      <c r="A593" s="66">
        <v>45493.0</v>
      </c>
      <c r="B593" s="55" t="str">
        <f>HYPERLINK("https://jobright.ai/jobs/info/669c4549f318798ab2b05028?utm_campaign=1057&amp;utm_source=sheet", "Apply")</f>
        <v>Apply</v>
      </c>
      <c r="C593" s="10" t="s">
        <v>21661</v>
      </c>
      <c r="D593" s="56" t="s">
        <v>4448</v>
      </c>
      <c r="E593" s="10" t="s">
        <v>71</v>
      </c>
      <c r="F593" s="10" t="s">
        <v>4449</v>
      </c>
      <c r="G593" s="10" t="s">
        <v>24043</v>
      </c>
      <c r="H593" s="10" t="s">
        <v>4452</v>
      </c>
      <c r="I593" s="10" t="s">
        <v>55</v>
      </c>
      <c r="K593" s="10" t="s">
        <v>4450</v>
      </c>
      <c r="L593" s="10" t="s">
        <v>42</v>
      </c>
    </row>
    <row r="594" ht="15.75" customHeight="1">
      <c r="A594" s="66">
        <v>45493.0</v>
      </c>
      <c r="B594" s="55" t="str">
        <f>HYPERLINK("https://jobright.ai/jobs/info/669c4549f318798ab2b0502d?utm_campaign=1057&amp;utm_source=sheet", "Apply")</f>
        <v>Apply</v>
      </c>
      <c r="C594" s="10" t="s">
        <v>24435</v>
      </c>
      <c r="D594" s="56" t="s">
        <v>4448</v>
      </c>
      <c r="E594" s="10" t="s">
        <v>71</v>
      </c>
      <c r="F594" s="10" t="s">
        <v>4449</v>
      </c>
      <c r="G594" s="10" t="s">
        <v>24043</v>
      </c>
      <c r="H594" s="10" t="s">
        <v>24411</v>
      </c>
      <c r="I594" s="10" t="s">
        <v>55</v>
      </c>
      <c r="K594" s="10" t="s">
        <v>4450</v>
      </c>
      <c r="L594" s="10" t="s">
        <v>42</v>
      </c>
    </row>
    <row r="595" ht="15.75" customHeight="1">
      <c r="A595" s="66">
        <v>45493.0</v>
      </c>
      <c r="B595" s="55" t="str">
        <f>HYPERLINK("https://jobright.ai/jobs/info/669c4549f318798ab2b0502a?utm_campaign=1057&amp;utm_source=sheet", "Apply")</f>
        <v>Apply</v>
      </c>
      <c r="C595" s="10" t="s">
        <v>24519</v>
      </c>
      <c r="D595" s="56" t="s">
        <v>4448</v>
      </c>
      <c r="E595" s="10" t="s">
        <v>71</v>
      </c>
      <c r="F595" s="10" t="s">
        <v>4449</v>
      </c>
      <c r="G595" s="10" t="s">
        <v>24043</v>
      </c>
      <c r="H595" s="10" t="s">
        <v>24370</v>
      </c>
      <c r="I595" s="10" t="s">
        <v>55</v>
      </c>
      <c r="K595" s="10" t="s">
        <v>4450</v>
      </c>
      <c r="L595" s="10" t="s">
        <v>42</v>
      </c>
    </row>
    <row r="596" ht="15.75" customHeight="1">
      <c r="A596" s="66">
        <v>45493.0</v>
      </c>
      <c r="B596" s="55" t="str">
        <f>HYPERLINK("https://jobright.ai/jobs/info/669c4549f318798ab2b05049?utm_campaign=1057&amp;utm_source=sheet", "Apply")</f>
        <v>Apply</v>
      </c>
      <c r="C596" s="10" t="s">
        <v>24421</v>
      </c>
      <c r="D596" s="56" t="s">
        <v>4448</v>
      </c>
      <c r="E596" s="10" t="s">
        <v>71</v>
      </c>
      <c r="F596" s="10" t="s">
        <v>4449</v>
      </c>
      <c r="G596" s="10" t="s">
        <v>24043</v>
      </c>
      <c r="H596" s="10" t="s">
        <v>24338</v>
      </c>
      <c r="I596" s="10" t="s">
        <v>55</v>
      </c>
      <c r="K596" s="10" t="s">
        <v>4450</v>
      </c>
      <c r="L596" s="10" t="s">
        <v>42</v>
      </c>
    </row>
    <row r="597" ht="15.75" customHeight="1">
      <c r="A597" s="66">
        <v>45493.0</v>
      </c>
      <c r="B597" s="55" t="str">
        <f>HYPERLINK("https://jobright.ai/jobs/info/669c4549f318798ab2b0505d?utm_campaign=1057&amp;utm_source=sheet", "Apply")</f>
        <v>Apply</v>
      </c>
      <c r="C597" s="10" t="s">
        <v>24511</v>
      </c>
      <c r="D597" s="56" t="s">
        <v>4448</v>
      </c>
      <c r="E597" s="10" t="s">
        <v>71</v>
      </c>
      <c r="F597" s="10" t="s">
        <v>4449</v>
      </c>
      <c r="G597" s="10" t="s">
        <v>24043</v>
      </c>
      <c r="H597" s="10" t="s">
        <v>24370</v>
      </c>
      <c r="I597" s="10" t="s">
        <v>55</v>
      </c>
      <c r="K597" s="10" t="s">
        <v>4450</v>
      </c>
      <c r="L597" s="10" t="s">
        <v>42</v>
      </c>
    </row>
    <row r="598" ht="15.75" customHeight="1">
      <c r="A598" s="66">
        <v>45493.0</v>
      </c>
      <c r="B598" s="55" t="str">
        <f>HYPERLINK("https://jobright.ai/jobs/info/669c4549f318798ab2b05070?utm_campaign=1057&amp;utm_source=sheet", "Apply")</f>
        <v>Apply</v>
      </c>
      <c r="C598" s="10" t="s">
        <v>24518</v>
      </c>
      <c r="D598" s="56" t="s">
        <v>4448</v>
      </c>
      <c r="E598" s="10" t="s">
        <v>71</v>
      </c>
      <c r="F598" s="10" t="s">
        <v>4449</v>
      </c>
      <c r="G598" s="10" t="s">
        <v>24043</v>
      </c>
      <c r="H598" s="10" t="s">
        <v>255</v>
      </c>
      <c r="I598" s="10" t="s">
        <v>55</v>
      </c>
      <c r="K598" s="10" t="s">
        <v>4450</v>
      </c>
      <c r="L598" s="10" t="s">
        <v>42</v>
      </c>
    </row>
    <row r="599" ht="15.75" customHeight="1">
      <c r="A599" s="66">
        <v>45493.0</v>
      </c>
      <c r="B599" s="55" t="str">
        <f>HYPERLINK("https://jobright.ai/jobs/info/669c4549f318798ab2b05069?utm_campaign=1057&amp;utm_source=sheet", "Apply")</f>
        <v>Apply</v>
      </c>
      <c r="C599" s="10" t="s">
        <v>21756</v>
      </c>
      <c r="D599" s="56" t="s">
        <v>4448</v>
      </c>
      <c r="E599" s="10" t="s">
        <v>71</v>
      </c>
      <c r="F599" s="10" t="s">
        <v>4449</v>
      </c>
      <c r="G599" s="10" t="s">
        <v>24043</v>
      </c>
      <c r="H599" s="10" t="s">
        <v>255</v>
      </c>
      <c r="I599" s="10" t="s">
        <v>55</v>
      </c>
      <c r="K599" s="10" t="s">
        <v>4450</v>
      </c>
      <c r="L599" s="10" t="s">
        <v>42</v>
      </c>
    </row>
    <row r="600" ht="15.75" customHeight="1">
      <c r="A600" s="66">
        <v>45493.0</v>
      </c>
      <c r="B600" s="55" t="str">
        <f>HYPERLINK("https://jobright.ai/jobs/info/669c454ff318798ab2b05077?utm_campaign=1057&amp;utm_source=sheet", "Apply")</f>
        <v>Apply</v>
      </c>
      <c r="C600" s="10" t="s">
        <v>24520</v>
      </c>
      <c r="D600" s="56" t="s">
        <v>4448</v>
      </c>
      <c r="E600" s="10" t="s">
        <v>71</v>
      </c>
      <c r="F600" s="10" t="s">
        <v>4449</v>
      </c>
      <c r="G600" s="10" t="s">
        <v>24043</v>
      </c>
      <c r="H600" s="10" t="s">
        <v>24396</v>
      </c>
      <c r="I600" s="10" t="s">
        <v>55</v>
      </c>
      <c r="K600" s="10" t="s">
        <v>4450</v>
      </c>
      <c r="L600" s="10" t="s">
        <v>42</v>
      </c>
    </row>
    <row r="601" ht="15.75" customHeight="1">
      <c r="A601" s="66">
        <v>45493.0</v>
      </c>
      <c r="B601" s="55" t="str">
        <f>HYPERLINK("https://jobright.ai/jobs/info/669c454ff318798ab2b05074?utm_campaign=1057&amp;utm_source=sheet", "Apply")</f>
        <v>Apply</v>
      </c>
      <c r="C601" s="10" t="s">
        <v>24088</v>
      </c>
      <c r="D601" s="56" t="s">
        <v>4448</v>
      </c>
      <c r="E601" s="10" t="s">
        <v>71</v>
      </c>
      <c r="F601" s="10" t="s">
        <v>4449</v>
      </c>
      <c r="G601" s="10" t="s">
        <v>24043</v>
      </c>
      <c r="H601" s="10" t="s">
        <v>21672</v>
      </c>
      <c r="I601" s="10" t="s">
        <v>55</v>
      </c>
      <c r="K601" s="10" t="s">
        <v>4450</v>
      </c>
      <c r="L601" s="10" t="s">
        <v>42</v>
      </c>
    </row>
    <row r="602" ht="15.75" customHeight="1">
      <c r="A602" s="66">
        <v>45493.0</v>
      </c>
      <c r="B602" s="55" t="str">
        <f>HYPERLINK("https://jobright.ai/jobs/info/669c454ff318798ab2b05079?utm_campaign=1057&amp;utm_source=sheet", "Apply")</f>
        <v>Apply</v>
      </c>
      <c r="C602" s="10" t="s">
        <v>24505</v>
      </c>
      <c r="D602" s="56" t="s">
        <v>4448</v>
      </c>
      <c r="E602" s="10" t="s">
        <v>71</v>
      </c>
      <c r="F602" s="10" t="s">
        <v>4449</v>
      </c>
      <c r="G602" s="10" t="s">
        <v>24043</v>
      </c>
      <c r="H602" s="10" t="s">
        <v>24338</v>
      </c>
      <c r="I602" s="10" t="s">
        <v>55</v>
      </c>
      <c r="K602" s="10" t="s">
        <v>4450</v>
      </c>
      <c r="L602" s="10" t="s">
        <v>42</v>
      </c>
    </row>
    <row r="603" ht="15.75" customHeight="1">
      <c r="A603" s="66">
        <v>45493.0</v>
      </c>
      <c r="B603" s="55" t="str">
        <f>HYPERLINK("https://jobright.ai/jobs/info/669c454ff318798ab2b05090?utm_campaign=1057&amp;utm_source=sheet", "Apply")</f>
        <v>Apply</v>
      </c>
      <c r="C603" s="10" t="s">
        <v>24494</v>
      </c>
      <c r="D603" s="56" t="s">
        <v>4448</v>
      </c>
      <c r="E603" s="10" t="s">
        <v>71</v>
      </c>
      <c r="F603" s="10" t="s">
        <v>4449</v>
      </c>
      <c r="G603" s="10" t="s">
        <v>24043</v>
      </c>
      <c r="H603" s="10" t="s">
        <v>20989</v>
      </c>
      <c r="I603" s="10" t="s">
        <v>55</v>
      </c>
      <c r="K603" s="10" t="s">
        <v>4450</v>
      </c>
      <c r="L603" s="10" t="s">
        <v>42</v>
      </c>
    </row>
    <row r="604" ht="15.75" customHeight="1">
      <c r="A604" s="66">
        <v>45493.0</v>
      </c>
      <c r="B604" s="55" t="str">
        <f>HYPERLINK("https://jobright.ai/jobs/info/669c454ff318798ab2b0509f?utm_campaign=1057&amp;utm_source=sheet", "Apply")</f>
        <v>Apply</v>
      </c>
      <c r="C604" s="10" t="s">
        <v>24441</v>
      </c>
      <c r="D604" s="56" t="s">
        <v>4448</v>
      </c>
      <c r="E604" s="10" t="s">
        <v>71</v>
      </c>
      <c r="F604" s="10" t="s">
        <v>4449</v>
      </c>
      <c r="G604" s="10" t="s">
        <v>24043</v>
      </c>
      <c r="H604" s="10" t="s">
        <v>24370</v>
      </c>
      <c r="I604" s="10" t="s">
        <v>55</v>
      </c>
      <c r="K604" s="10" t="s">
        <v>4450</v>
      </c>
      <c r="L604" s="10" t="s">
        <v>42</v>
      </c>
    </row>
    <row r="605" ht="15.75" customHeight="1">
      <c r="A605" s="66">
        <v>45493.0</v>
      </c>
      <c r="B605" s="55" t="str">
        <f>HYPERLINK("https://jobright.ai/jobs/info/669c454ff318798ab2b0509a?utm_campaign=1057&amp;utm_source=sheet", "Apply")</f>
        <v>Apply</v>
      </c>
      <c r="C605" s="10" t="s">
        <v>24505</v>
      </c>
      <c r="D605" s="56" t="s">
        <v>4448</v>
      </c>
      <c r="E605" s="10" t="s">
        <v>71</v>
      </c>
      <c r="F605" s="10" t="s">
        <v>4449</v>
      </c>
      <c r="G605" s="10" t="s">
        <v>24043</v>
      </c>
      <c r="H605" s="10" t="s">
        <v>4456</v>
      </c>
      <c r="I605" s="10" t="s">
        <v>55</v>
      </c>
      <c r="K605" s="10" t="s">
        <v>4450</v>
      </c>
      <c r="L605" s="10" t="s">
        <v>42</v>
      </c>
    </row>
    <row r="606" ht="15.75" customHeight="1">
      <c r="A606" s="66">
        <v>45493.0</v>
      </c>
      <c r="B606" s="55" t="str">
        <f>HYPERLINK("https://jobright.ai/jobs/info/669c454ff318798ab2b050a7?utm_campaign=1057&amp;utm_source=sheet", "Apply")</f>
        <v>Apply</v>
      </c>
      <c r="C606" s="10" t="s">
        <v>24521</v>
      </c>
      <c r="D606" s="56" t="s">
        <v>4448</v>
      </c>
      <c r="E606" s="10" t="s">
        <v>71</v>
      </c>
      <c r="F606" s="10" t="s">
        <v>4449</v>
      </c>
      <c r="G606" s="10" t="s">
        <v>24043</v>
      </c>
      <c r="H606" s="10" t="s">
        <v>24411</v>
      </c>
      <c r="I606" s="10" t="s">
        <v>55</v>
      </c>
      <c r="K606" s="10" t="s">
        <v>4450</v>
      </c>
      <c r="L606" s="10" t="s">
        <v>42</v>
      </c>
    </row>
    <row r="607" ht="15.75" customHeight="1">
      <c r="A607" s="66">
        <v>45493.0</v>
      </c>
      <c r="B607" s="55" t="str">
        <f>HYPERLINK("https://jobright.ai/jobs/info/669c454ff318798ab2b050a2?utm_campaign=1057&amp;utm_source=sheet", "Apply")</f>
        <v>Apply</v>
      </c>
      <c r="C607" s="10" t="s">
        <v>24456</v>
      </c>
      <c r="D607" s="56" t="s">
        <v>4448</v>
      </c>
      <c r="E607" s="10" t="s">
        <v>71</v>
      </c>
      <c r="F607" s="10" t="s">
        <v>4449</v>
      </c>
      <c r="G607" s="10" t="s">
        <v>24043</v>
      </c>
      <c r="H607" s="10" t="s">
        <v>4452</v>
      </c>
      <c r="I607" s="10" t="s">
        <v>55</v>
      </c>
      <c r="K607" s="10" t="s">
        <v>4450</v>
      </c>
      <c r="L607" s="10" t="s">
        <v>42</v>
      </c>
    </row>
    <row r="608" ht="15.75" customHeight="1">
      <c r="A608" s="66">
        <v>45493.0</v>
      </c>
      <c r="B608" s="55" t="str">
        <f>HYPERLINK("https://jobright.ai/jobs/info/669c454ff318798ab2b050b2?utm_campaign=1057&amp;utm_source=sheet", "Apply")</f>
        <v>Apply</v>
      </c>
      <c r="C608" s="10" t="s">
        <v>21661</v>
      </c>
      <c r="D608" s="56" t="s">
        <v>4448</v>
      </c>
      <c r="E608" s="10" t="s">
        <v>71</v>
      </c>
      <c r="F608" s="10" t="s">
        <v>4449</v>
      </c>
      <c r="G608" s="10" t="s">
        <v>24043</v>
      </c>
      <c r="H608" s="10" t="s">
        <v>2602</v>
      </c>
      <c r="I608" s="10" t="s">
        <v>55</v>
      </c>
      <c r="K608" s="10" t="s">
        <v>4450</v>
      </c>
      <c r="L608" s="10" t="s">
        <v>42</v>
      </c>
    </row>
    <row r="609" ht="15.75" customHeight="1">
      <c r="A609" s="66">
        <v>45493.0</v>
      </c>
      <c r="B609" s="55" t="str">
        <f>HYPERLINK("https://jobright.ai/jobs/info/669c454ff318798ab2b050b4?utm_campaign=1057&amp;utm_source=sheet", "Apply")</f>
        <v>Apply</v>
      </c>
      <c r="C609" s="10" t="s">
        <v>24519</v>
      </c>
      <c r="D609" s="56" t="s">
        <v>4448</v>
      </c>
      <c r="E609" s="10" t="s">
        <v>71</v>
      </c>
      <c r="F609" s="10" t="s">
        <v>4449</v>
      </c>
      <c r="G609" s="10" t="s">
        <v>24043</v>
      </c>
      <c r="H609" s="10" t="s">
        <v>16746</v>
      </c>
      <c r="I609" s="10" t="s">
        <v>55</v>
      </c>
      <c r="K609" s="10" t="s">
        <v>4450</v>
      </c>
      <c r="L609" s="10" t="s">
        <v>42</v>
      </c>
    </row>
    <row r="610" ht="15.75" customHeight="1">
      <c r="A610" s="66">
        <v>45493.0</v>
      </c>
      <c r="B610" s="55" t="str">
        <f>HYPERLINK("https://jobright.ai/jobs/info/669c454ff318798ab2b050cf?utm_campaign=1057&amp;utm_source=sheet", "Apply")</f>
        <v>Apply</v>
      </c>
      <c r="C610" s="10" t="s">
        <v>24513</v>
      </c>
      <c r="D610" s="56" t="s">
        <v>4448</v>
      </c>
      <c r="E610" s="10" t="s">
        <v>71</v>
      </c>
      <c r="F610" s="10" t="s">
        <v>4449</v>
      </c>
      <c r="G610" s="10" t="s">
        <v>24043</v>
      </c>
      <c r="H610" s="10" t="s">
        <v>24396</v>
      </c>
      <c r="I610" s="10" t="s">
        <v>55</v>
      </c>
      <c r="K610" s="10" t="s">
        <v>4450</v>
      </c>
      <c r="L610" s="10" t="s">
        <v>42</v>
      </c>
    </row>
    <row r="611" ht="15.75" customHeight="1">
      <c r="A611" s="66">
        <v>45493.0</v>
      </c>
      <c r="B611" s="55" t="str">
        <f>HYPERLINK("https://jobright.ai/jobs/info/669c454ff318798ab2b050c4?utm_campaign=1057&amp;utm_source=sheet", "Apply")</f>
        <v>Apply</v>
      </c>
      <c r="C611" s="10" t="s">
        <v>24494</v>
      </c>
      <c r="D611" s="56" t="s">
        <v>4448</v>
      </c>
      <c r="E611" s="10" t="s">
        <v>71</v>
      </c>
      <c r="F611" s="10" t="s">
        <v>4449</v>
      </c>
      <c r="G611" s="10" t="s">
        <v>24043</v>
      </c>
      <c r="H611" s="10" t="s">
        <v>8248</v>
      </c>
      <c r="I611" s="10" t="s">
        <v>55</v>
      </c>
      <c r="K611" s="10" t="s">
        <v>4450</v>
      </c>
      <c r="L611" s="10" t="s">
        <v>42</v>
      </c>
    </row>
    <row r="612" ht="15.75" customHeight="1">
      <c r="A612" s="66">
        <v>45493.0</v>
      </c>
      <c r="B612" s="55" t="str">
        <f>HYPERLINK("https://jobright.ai/jobs/info/669c454ff318798ab2b050dd?utm_campaign=1057&amp;utm_source=sheet", "Apply")</f>
        <v>Apply</v>
      </c>
      <c r="C612" s="10" t="s">
        <v>24416</v>
      </c>
      <c r="D612" s="56" t="s">
        <v>4448</v>
      </c>
      <c r="E612" s="10" t="s">
        <v>71</v>
      </c>
      <c r="F612" s="10" t="s">
        <v>4449</v>
      </c>
      <c r="G612" s="10" t="s">
        <v>24043</v>
      </c>
      <c r="H612" s="10" t="s">
        <v>3646</v>
      </c>
      <c r="I612" s="10" t="s">
        <v>55</v>
      </c>
      <c r="K612" s="10" t="s">
        <v>4450</v>
      </c>
      <c r="L612" s="10" t="s">
        <v>42</v>
      </c>
    </row>
    <row r="613" ht="15.75" customHeight="1">
      <c r="A613" s="66">
        <v>45493.0</v>
      </c>
      <c r="B613" s="55" t="str">
        <f>HYPERLINK("https://jobright.ai/jobs/info/669c454ff318798ab2b050e3?utm_campaign=1057&amp;utm_source=sheet", "Apply")</f>
        <v>Apply</v>
      </c>
      <c r="C613" s="10" t="s">
        <v>24496</v>
      </c>
      <c r="D613" s="56" t="s">
        <v>4448</v>
      </c>
      <c r="E613" s="10" t="s">
        <v>71</v>
      </c>
      <c r="F613" s="10" t="s">
        <v>4449</v>
      </c>
      <c r="G613" s="10" t="s">
        <v>24043</v>
      </c>
      <c r="H613" s="10" t="s">
        <v>255</v>
      </c>
      <c r="I613" s="10" t="s">
        <v>55</v>
      </c>
      <c r="K613" s="10" t="s">
        <v>4450</v>
      </c>
      <c r="L613" s="10" t="s">
        <v>42</v>
      </c>
    </row>
    <row r="614" ht="15.75" customHeight="1">
      <c r="A614" s="66">
        <v>45493.0</v>
      </c>
      <c r="B614" s="55" t="str">
        <f>HYPERLINK("https://jobright.ai/jobs/info/669c454ff318798ab2b0510c?utm_campaign=1057&amp;utm_source=sheet", "Apply")</f>
        <v>Apply</v>
      </c>
      <c r="C614" s="10" t="s">
        <v>8245</v>
      </c>
      <c r="D614" s="56" t="s">
        <v>4448</v>
      </c>
      <c r="E614" s="10" t="s">
        <v>71</v>
      </c>
      <c r="F614" s="10" t="s">
        <v>4449</v>
      </c>
      <c r="G614" s="10" t="s">
        <v>24043</v>
      </c>
      <c r="H614" s="10" t="s">
        <v>4452</v>
      </c>
      <c r="I614" s="10" t="s">
        <v>55</v>
      </c>
      <c r="K614" s="10" t="s">
        <v>4450</v>
      </c>
      <c r="L614" s="10" t="s">
        <v>42</v>
      </c>
    </row>
    <row r="615" ht="15.75" customHeight="1">
      <c r="A615" s="66">
        <v>45493.0</v>
      </c>
      <c r="B615" s="55" t="str">
        <f>HYPERLINK("https://jobright.ai/jobs/info/669c454ff318798ab2b05112?utm_campaign=1057&amp;utm_source=sheet", "Apply")</f>
        <v>Apply</v>
      </c>
      <c r="C615" s="10" t="s">
        <v>24417</v>
      </c>
      <c r="D615" s="56" t="s">
        <v>4448</v>
      </c>
      <c r="E615" s="10" t="s">
        <v>71</v>
      </c>
      <c r="F615" s="10" t="s">
        <v>4449</v>
      </c>
      <c r="G615" s="10" t="s">
        <v>24043</v>
      </c>
      <c r="H615" s="10" t="s">
        <v>21486</v>
      </c>
      <c r="I615" s="10" t="s">
        <v>55</v>
      </c>
      <c r="K615" s="10" t="s">
        <v>4450</v>
      </c>
      <c r="L615" s="10" t="s">
        <v>42</v>
      </c>
    </row>
    <row r="616" ht="15.75" customHeight="1">
      <c r="A616" s="66">
        <v>45493.0</v>
      </c>
      <c r="B616" s="55" t="str">
        <f>HYPERLINK("https://jobright.ai/jobs/info/669c454ff318798ab2b05123?utm_campaign=1057&amp;utm_source=sheet", "Apply")</f>
        <v>Apply</v>
      </c>
      <c r="C616" s="10" t="s">
        <v>24464</v>
      </c>
      <c r="D616" s="56" t="s">
        <v>4448</v>
      </c>
      <c r="E616" s="10" t="s">
        <v>71</v>
      </c>
      <c r="F616" s="10" t="s">
        <v>4449</v>
      </c>
      <c r="G616" s="10" t="s">
        <v>24043</v>
      </c>
      <c r="H616" s="10" t="s">
        <v>4456</v>
      </c>
      <c r="I616" s="10" t="s">
        <v>55</v>
      </c>
      <c r="K616" s="10" t="s">
        <v>4450</v>
      </c>
      <c r="L616" s="10" t="s">
        <v>42</v>
      </c>
    </row>
    <row r="617" ht="15.75" customHeight="1">
      <c r="A617" s="66">
        <v>45493.0</v>
      </c>
      <c r="B617" s="55" t="str">
        <f>HYPERLINK("https://jobright.ai/jobs/info/669c454ff318798ab2b05139?utm_campaign=1057&amp;utm_source=sheet", "Apply")</f>
        <v>Apply</v>
      </c>
      <c r="C617" s="10" t="s">
        <v>24427</v>
      </c>
      <c r="D617" s="56" t="s">
        <v>4448</v>
      </c>
      <c r="E617" s="10" t="s">
        <v>71</v>
      </c>
      <c r="F617" s="10" t="s">
        <v>4449</v>
      </c>
      <c r="G617" s="10" t="s">
        <v>24043</v>
      </c>
      <c r="H617" s="10" t="s">
        <v>3646</v>
      </c>
      <c r="I617" s="10" t="s">
        <v>55</v>
      </c>
      <c r="K617" s="10" t="s">
        <v>4450</v>
      </c>
      <c r="L617" s="10" t="s">
        <v>42</v>
      </c>
    </row>
    <row r="618" ht="15.75" customHeight="1">
      <c r="A618" s="66">
        <v>45493.0</v>
      </c>
      <c r="B618" s="55" t="str">
        <f>HYPERLINK("https://jobright.ai/jobs/info/669c4554f318798ab2b05145?utm_campaign=1057&amp;utm_source=sheet", "Apply")</f>
        <v>Apply</v>
      </c>
      <c r="C618" s="10" t="s">
        <v>24469</v>
      </c>
      <c r="D618" s="56" t="s">
        <v>4448</v>
      </c>
      <c r="E618" s="10" t="s">
        <v>71</v>
      </c>
      <c r="F618" s="10" t="s">
        <v>4449</v>
      </c>
      <c r="G618" s="10" t="s">
        <v>24043</v>
      </c>
      <c r="H618" s="10" t="s">
        <v>4455</v>
      </c>
      <c r="I618" s="10" t="s">
        <v>55</v>
      </c>
      <c r="K618" s="10" t="s">
        <v>4450</v>
      </c>
      <c r="L618" s="10" t="s">
        <v>42</v>
      </c>
    </row>
    <row r="619" ht="15.75" customHeight="1">
      <c r="A619" s="66">
        <v>45493.0</v>
      </c>
      <c r="B619" s="55" t="str">
        <f>HYPERLINK("https://jobright.ai/jobs/info/669c4554f318798ab2b05142?utm_campaign=1057&amp;utm_source=sheet", "Apply")</f>
        <v>Apply</v>
      </c>
      <c r="C619" s="10" t="s">
        <v>24421</v>
      </c>
      <c r="D619" s="56" t="s">
        <v>4448</v>
      </c>
      <c r="E619" s="10" t="s">
        <v>71</v>
      </c>
      <c r="F619" s="10" t="s">
        <v>4449</v>
      </c>
      <c r="G619" s="10" t="s">
        <v>24043</v>
      </c>
      <c r="H619" s="10" t="s">
        <v>2602</v>
      </c>
      <c r="I619" s="10" t="s">
        <v>55</v>
      </c>
      <c r="K619" s="10" t="s">
        <v>4450</v>
      </c>
      <c r="L619" s="10" t="s">
        <v>42</v>
      </c>
    </row>
    <row r="620" ht="15.75" customHeight="1">
      <c r="A620" s="66">
        <v>45493.0</v>
      </c>
      <c r="B620" s="55" t="str">
        <f>HYPERLINK("https://jobright.ai/jobs/info/669c4554f318798ab2b0513d?utm_campaign=1057&amp;utm_source=sheet", "Apply")</f>
        <v>Apply</v>
      </c>
      <c r="C620" s="10" t="s">
        <v>24512</v>
      </c>
      <c r="D620" s="56" t="s">
        <v>4448</v>
      </c>
      <c r="E620" s="10" t="s">
        <v>71</v>
      </c>
      <c r="F620" s="10" t="s">
        <v>4449</v>
      </c>
      <c r="G620" s="10" t="s">
        <v>24043</v>
      </c>
      <c r="H620" s="10" t="s">
        <v>21672</v>
      </c>
      <c r="I620" s="10" t="s">
        <v>55</v>
      </c>
      <c r="K620" s="10" t="s">
        <v>4450</v>
      </c>
      <c r="L620" s="10" t="s">
        <v>42</v>
      </c>
    </row>
    <row r="621" ht="15.75" customHeight="1">
      <c r="A621" s="66">
        <v>45493.0</v>
      </c>
      <c r="B621" s="55" t="str">
        <f>HYPERLINK("https://jobright.ai/jobs/info/669c4554f318798ab2b05152?utm_campaign=1057&amp;utm_source=sheet", "Apply")</f>
        <v>Apply</v>
      </c>
      <c r="C621" s="10" t="s">
        <v>24429</v>
      </c>
      <c r="D621" s="56" t="s">
        <v>4448</v>
      </c>
      <c r="E621" s="10" t="s">
        <v>71</v>
      </c>
      <c r="F621" s="10" t="s">
        <v>4449</v>
      </c>
      <c r="G621" s="10" t="s">
        <v>24043</v>
      </c>
      <c r="H621" s="10" t="s">
        <v>636</v>
      </c>
      <c r="I621" s="10" t="s">
        <v>55</v>
      </c>
      <c r="K621" s="10" t="s">
        <v>4450</v>
      </c>
      <c r="L621" s="10" t="s">
        <v>42</v>
      </c>
    </row>
    <row r="622" ht="15.75" customHeight="1">
      <c r="A622" s="66">
        <v>45493.0</v>
      </c>
      <c r="B622" s="55" t="str">
        <f>HYPERLINK("https://jobright.ai/jobs/info/669c4554f318798ab2b05155?utm_campaign=1057&amp;utm_source=sheet", "Apply")</f>
        <v>Apply</v>
      </c>
      <c r="C622" s="10" t="s">
        <v>24317</v>
      </c>
      <c r="D622" s="56" t="s">
        <v>4448</v>
      </c>
      <c r="E622" s="10" t="s">
        <v>71</v>
      </c>
      <c r="F622" s="10" t="s">
        <v>4449</v>
      </c>
      <c r="G622" s="10" t="s">
        <v>24043</v>
      </c>
      <c r="H622" s="10" t="s">
        <v>4455</v>
      </c>
      <c r="I622" s="10" t="s">
        <v>55</v>
      </c>
      <c r="K622" s="10" t="s">
        <v>4450</v>
      </c>
      <c r="L622" s="10" t="s">
        <v>42</v>
      </c>
    </row>
    <row r="623" ht="15.75" customHeight="1">
      <c r="A623" s="66">
        <v>45493.0</v>
      </c>
      <c r="B623" s="55" t="str">
        <f>HYPERLINK("https://jobright.ai/jobs/info/669c4554f318798ab2b0515f?utm_campaign=1057&amp;utm_source=sheet", "Apply")</f>
        <v>Apply</v>
      </c>
      <c r="C623" s="10" t="s">
        <v>24503</v>
      </c>
      <c r="D623" s="56" t="s">
        <v>4448</v>
      </c>
      <c r="E623" s="10" t="s">
        <v>71</v>
      </c>
      <c r="F623" s="10" t="s">
        <v>4449</v>
      </c>
      <c r="G623" s="10" t="s">
        <v>24043</v>
      </c>
      <c r="H623" s="10" t="s">
        <v>24408</v>
      </c>
      <c r="I623" s="10" t="s">
        <v>55</v>
      </c>
      <c r="K623" s="10" t="s">
        <v>4450</v>
      </c>
      <c r="L623" s="10" t="s">
        <v>42</v>
      </c>
    </row>
    <row r="624" ht="15.75" customHeight="1">
      <c r="A624" s="66">
        <v>45493.0</v>
      </c>
      <c r="B624" s="55" t="str">
        <f>HYPERLINK("https://jobright.ai/jobs/info/66a27b5c10e34507ec383db4?utm_campaign=1057&amp;utm_source=sheet", "Apply")</f>
        <v>Apply</v>
      </c>
      <c r="C624" s="10" t="s">
        <v>8245</v>
      </c>
      <c r="D624" s="56" t="s">
        <v>4448</v>
      </c>
      <c r="E624" s="10" t="s">
        <v>71</v>
      </c>
      <c r="F624" s="10" t="s">
        <v>4449</v>
      </c>
      <c r="G624" s="10" t="s">
        <v>24043</v>
      </c>
      <c r="H624" s="10" t="s">
        <v>21486</v>
      </c>
      <c r="I624" s="10" t="s">
        <v>55</v>
      </c>
      <c r="K624" s="10" t="s">
        <v>24062</v>
      </c>
      <c r="L624" s="10" t="s">
        <v>42</v>
      </c>
    </row>
    <row r="625" ht="15.75" customHeight="1">
      <c r="A625" s="66">
        <v>45493.0</v>
      </c>
      <c r="B625" s="55" t="str">
        <f>HYPERLINK("https://jobright.ai/jobs/info/669c4554f318798ab2b0516c?utm_campaign=1057&amp;utm_source=sheet", "Apply")</f>
        <v>Apply</v>
      </c>
      <c r="C625" s="10" t="s">
        <v>24522</v>
      </c>
      <c r="D625" s="56" t="s">
        <v>4448</v>
      </c>
      <c r="E625" s="10" t="s">
        <v>71</v>
      </c>
      <c r="F625" s="10" t="s">
        <v>4449</v>
      </c>
      <c r="G625" s="10" t="s">
        <v>24043</v>
      </c>
      <c r="H625" s="10" t="s">
        <v>20990</v>
      </c>
      <c r="I625" s="10" t="s">
        <v>55</v>
      </c>
      <c r="K625" s="10" t="s">
        <v>4450</v>
      </c>
      <c r="L625" s="10" t="s">
        <v>42</v>
      </c>
    </row>
    <row r="626" ht="15.75" customHeight="1">
      <c r="A626" s="66">
        <v>45493.0</v>
      </c>
      <c r="B626" s="55" t="str">
        <f>HYPERLINK("https://jobright.ai/jobs/info/669c4554f318798ab2b0517a?utm_campaign=1057&amp;utm_source=sheet", "Apply")</f>
        <v>Apply</v>
      </c>
      <c r="C626" s="10" t="s">
        <v>24523</v>
      </c>
      <c r="D626" s="56" t="s">
        <v>4448</v>
      </c>
      <c r="E626" s="10" t="s">
        <v>71</v>
      </c>
      <c r="F626" s="10" t="s">
        <v>4449</v>
      </c>
      <c r="G626" s="10" t="s">
        <v>24043</v>
      </c>
      <c r="H626" s="10" t="s">
        <v>21486</v>
      </c>
      <c r="I626" s="10" t="s">
        <v>55</v>
      </c>
      <c r="K626" s="10" t="s">
        <v>4450</v>
      </c>
      <c r="L626" s="10" t="s">
        <v>42</v>
      </c>
    </row>
    <row r="627" ht="15.75" customHeight="1">
      <c r="A627" s="66">
        <v>45493.0</v>
      </c>
      <c r="B627" s="55" t="str">
        <f>HYPERLINK("https://jobright.ai/jobs/info/669c4554f318798ab2b0517d?utm_campaign=1057&amp;utm_source=sheet", "Apply")</f>
        <v>Apply</v>
      </c>
      <c r="C627" s="10" t="s">
        <v>24508</v>
      </c>
      <c r="D627" s="56" t="s">
        <v>4448</v>
      </c>
      <c r="E627" s="10" t="s">
        <v>71</v>
      </c>
      <c r="F627" s="10" t="s">
        <v>4449</v>
      </c>
      <c r="G627" s="10" t="s">
        <v>24043</v>
      </c>
      <c r="H627" s="10" t="s">
        <v>2602</v>
      </c>
      <c r="I627" s="10" t="s">
        <v>55</v>
      </c>
      <c r="K627" s="10" t="s">
        <v>4450</v>
      </c>
      <c r="L627" s="10" t="s">
        <v>42</v>
      </c>
    </row>
    <row r="628" ht="15.75" customHeight="1">
      <c r="A628" s="66">
        <v>45493.0</v>
      </c>
      <c r="B628" s="55" t="str">
        <f>HYPERLINK("https://jobright.ai/jobs/info/669c4554f318798ab2b05180?utm_campaign=1057&amp;utm_source=sheet", "Apply")</f>
        <v>Apply</v>
      </c>
      <c r="C628" s="10" t="s">
        <v>24516</v>
      </c>
      <c r="D628" s="56" t="s">
        <v>4448</v>
      </c>
      <c r="E628" s="10" t="s">
        <v>71</v>
      </c>
      <c r="F628" s="10" t="s">
        <v>4449</v>
      </c>
      <c r="G628" s="10" t="s">
        <v>24043</v>
      </c>
      <c r="H628" s="10" t="s">
        <v>636</v>
      </c>
      <c r="I628" s="10" t="s">
        <v>55</v>
      </c>
      <c r="K628" s="10" t="s">
        <v>4450</v>
      </c>
      <c r="L628" s="10" t="s">
        <v>42</v>
      </c>
    </row>
    <row r="629" ht="15.75" customHeight="1">
      <c r="A629" s="66">
        <v>45493.0</v>
      </c>
      <c r="B629" s="55" t="str">
        <f>HYPERLINK("https://jobright.ai/jobs/info/669c4554f318798ab2b0518a?utm_campaign=1057&amp;utm_source=sheet", "Apply")</f>
        <v>Apply</v>
      </c>
      <c r="C629" s="10" t="s">
        <v>24467</v>
      </c>
      <c r="D629" s="56" t="s">
        <v>4448</v>
      </c>
      <c r="E629" s="10" t="s">
        <v>71</v>
      </c>
      <c r="F629" s="10" t="s">
        <v>4449</v>
      </c>
      <c r="G629" s="10" t="s">
        <v>24043</v>
      </c>
      <c r="H629" s="10" t="s">
        <v>5432</v>
      </c>
      <c r="I629" s="10" t="s">
        <v>55</v>
      </c>
      <c r="K629" s="10" t="s">
        <v>4450</v>
      </c>
      <c r="L629" s="10" t="s">
        <v>42</v>
      </c>
    </row>
    <row r="630" ht="15.75" customHeight="1">
      <c r="A630" s="66">
        <v>45493.0</v>
      </c>
      <c r="B630" s="55" t="str">
        <f>HYPERLINK("https://jobright.ai/jobs/info/669c4554f318798ab2b05189?utm_campaign=1057&amp;utm_source=sheet", "Apply")</f>
        <v>Apply</v>
      </c>
      <c r="C630" s="10" t="s">
        <v>24088</v>
      </c>
      <c r="D630" s="56" t="s">
        <v>4448</v>
      </c>
      <c r="E630" s="10" t="s">
        <v>71</v>
      </c>
      <c r="F630" s="10" t="s">
        <v>4449</v>
      </c>
      <c r="G630" s="10" t="s">
        <v>24043</v>
      </c>
      <c r="H630" s="10" t="s">
        <v>24411</v>
      </c>
      <c r="I630" s="10" t="s">
        <v>55</v>
      </c>
      <c r="K630" s="10" t="s">
        <v>4450</v>
      </c>
      <c r="L630" s="10" t="s">
        <v>42</v>
      </c>
    </row>
    <row r="631" ht="15.75" customHeight="1">
      <c r="A631" s="66">
        <v>45493.0</v>
      </c>
      <c r="B631" s="55" t="str">
        <f>HYPERLINK("https://jobright.ai/jobs/info/669c4554f318798ab2b05190?utm_campaign=1057&amp;utm_source=sheet", "Apply")</f>
        <v>Apply</v>
      </c>
      <c r="C631" s="10" t="s">
        <v>24467</v>
      </c>
      <c r="D631" s="56" t="s">
        <v>4448</v>
      </c>
      <c r="E631" s="10" t="s">
        <v>71</v>
      </c>
      <c r="F631" s="10" t="s">
        <v>4449</v>
      </c>
      <c r="G631" s="10" t="s">
        <v>24043</v>
      </c>
      <c r="H631" s="10" t="s">
        <v>24396</v>
      </c>
      <c r="I631" s="10" t="s">
        <v>55</v>
      </c>
      <c r="K631" s="10" t="s">
        <v>4450</v>
      </c>
      <c r="L631" s="10" t="s">
        <v>42</v>
      </c>
    </row>
    <row r="632" ht="15.75" customHeight="1">
      <c r="A632" s="66">
        <v>45493.0</v>
      </c>
      <c r="B632" s="55" t="str">
        <f>HYPERLINK("https://jobright.ai/jobs/info/669c4554f318798ab2b0519e?utm_campaign=1057&amp;utm_source=sheet", "Apply")</f>
        <v>Apply</v>
      </c>
      <c r="C632" s="10" t="s">
        <v>8309</v>
      </c>
      <c r="D632" s="56" t="s">
        <v>4448</v>
      </c>
      <c r="E632" s="10" t="s">
        <v>71</v>
      </c>
      <c r="F632" s="10" t="s">
        <v>4449</v>
      </c>
      <c r="G632" s="10" t="s">
        <v>24043</v>
      </c>
      <c r="H632" s="10" t="s">
        <v>1786</v>
      </c>
      <c r="I632" s="10" t="s">
        <v>55</v>
      </c>
      <c r="K632" s="10" t="s">
        <v>4450</v>
      </c>
      <c r="L632" s="10" t="s">
        <v>42</v>
      </c>
    </row>
    <row r="633" ht="15.75" customHeight="1">
      <c r="A633" s="66">
        <v>45493.0</v>
      </c>
      <c r="B633" s="55" t="str">
        <f>HYPERLINK("https://jobright.ai/jobs/info/669c4554f318798ab2b051a4?utm_campaign=1057&amp;utm_source=sheet", "Apply")</f>
        <v>Apply</v>
      </c>
      <c r="C633" s="10" t="s">
        <v>21756</v>
      </c>
      <c r="D633" s="56" t="s">
        <v>4448</v>
      </c>
      <c r="E633" s="10" t="s">
        <v>71</v>
      </c>
      <c r="F633" s="10" t="s">
        <v>4449</v>
      </c>
      <c r="G633" s="10" t="s">
        <v>24043</v>
      </c>
      <c r="H633" s="10" t="s">
        <v>24338</v>
      </c>
      <c r="I633" s="10" t="s">
        <v>55</v>
      </c>
      <c r="K633" s="10" t="s">
        <v>4450</v>
      </c>
      <c r="L633" s="10" t="s">
        <v>42</v>
      </c>
    </row>
    <row r="634" ht="15.75" customHeight="1">
      <c r="A634" s="66">
        <v>45493.0</v>
      </c>
      <c r="B634" s="55" t="str">
        <f>HYPERLINK("https://jobright.ai/jobs/info/669c4554f318798ab2b051b2?utm_campaign=1057&amp;utm_source=sheet", "Apply")</f>
        <v>Apply</v>
      </c>
      <c r="C634" s="10" t="s">
        <v>8336</v>
      </c>
      <c r="D634" s="56" t="s">
        <v>4448</v>
      </c>
      <c r="E634" s="10" t="s">
        <v>71</v>
      </c>
      <c r="F634" s="10" t="s">
        <v>4449</v>
      </c>
      <c r="G634" s="10" t="s">
        <v>24043</v>
      </c>
      <c r="H634" s="10" t="s">
        <v>20989</v>
      </c>
      <c r="I634" s="10" t="s">
        <v>55</v>
      </c>
      <c r="K634" s="10" t="s">
        <v>4450</v>
      </c>
      <c r="L634" s="10" t="s">
        <v>42</v>
      </c>
    </row>
    <row r="635" ht="15.75" customHeight="1">
      <c r="A635" s="66">
        <v>45493.0</v>
      </c>
      <c r="B635" s="55" t="str">
        <f>HYPERLINK("https://jobright.ai/jobs/info/669c4554f318798ab2b051c1?utm_campaign=1057&amp;utm_source=sheet", "Apply")</f>
        <v>Apply</v>
      </c>
      <c r="C635" s="10" t="s">
        <v>24416</v>
      </c>
      <c r="D635" s="56" t="s">
        <v>4448</v>
      </c>
      <c r="E635" s="10" t="s">
        <v>71</v>
      </c>
      <c r="F635" s="10" t="s">
        <v>4449</v>
      </c>
      <c r="G635" s="10" t="s">
        <v>24043</v>
      </c>
      <c r="H635" s="10" t="s">
        <v>24396</v>
      </c>
      <c r="I635" s="10" t="s">
        <v>55</v>
      </c>
      <c r="K635" s="10" t="s">
        <v>4450</v>
      </c>
      <c r="L635" s="10" t="s">
        <v>42</v>
      </c>
    </row>
    <row r="636" ht="15.75" customHeight="1">
      <c r="A636" s="66">
        <v>45493.0</v>
      </c>
      <c r="B636" s="55" t="str">
        <f>HYPERLINK("https://jobright.ai/jobs/info/669c4554f318798ab2b051e1?utm_campaign=1057&amp;utm_source=sheet", "Apply")</f>
        <v>Apply</v>
      </c>
      <c r="C636" s="10" t="s">
        <v>24467</v>
      </c>
      <c r="D636" s="56" t="s">
        <v>4448</v>
      </c>
      <c r="E636" s="10" t="s">
        <v>71</v>
      </c>
      <c r="F636" s="10" t="s">
        <v>4449</v>
      </c>
      <c r="G636" s="10" t="s">
        <v>24043</v>
      </c>
      <c r="H636" s="10" t="s">
        <v>24408</v>
      </c>
      <c r="I636" s="10" t="s">
        <v>55</v>
      </c>
      <c r="K636" s="10" t="s">
        <v>4450</v>
      </c>
      <c r="L636" s="10" t="s">
        <v>42</v>
      </c>
    </row>
    <row r="637" ht="15.75" customHeight="1">
      <c r="A637" s="66">
        <v>45493.0</v>
      </c>
      <c r="B637" s="55" t="str">
        <f>HYPERLINK("https://jobright.ai/jobs/info/669c4554f318798ab2b051db?utm_campaign=1057&amp;utm_source=sheet", "Apply")</f>
        <v>Apply</v>
      </c>
      <c r="C637" s="10" t="s">
        <v>24445</v>
      </c>
      <c r="D637" s="56" t="s">
        <v>4448</v>
      </c>
      <c r="E637" s="10" t="s">
        <v>71</v>
      </c>
      <c r="F637" s="10" t="s">
        <v>4449</v>
      </c>
      <c r="G637" s="10" t="s">
        <v>24043</v>
      </c>
      <c r="H637" s="10" t="s">
        <v>24408</v>
      </c>
      <c r="I637" s="10" t="s">
        <v>55</v>
      </c>
      <c r="K637" s="10" t="s">
        <v>4450</v>
      </c>
      <c r="L637" s="10" t="s">
        <v>42</v>
      </c>
    </row>
    <row r="638" ht="15.75" customHeight="1">
      <c r="A638" s="66">
        <v>45493.0</v>
      </c>
      <c r="B638" s="55" t="str">
        <f>HYPERLINK("https://jobright.ai/jobs/info/669c4554f318798ab2b051d4?utm_campaign=1057&amp;utm_source=sheet", "Apply")</f>
        <v>Apply</v>
      </c>
      <c r="C638" s="10" t="s">
        <v>8245</v>
      </c>
      <c r="D638" s="56" t="s">
        <v>4448</v>
      </c>
      <c r="E638" s="10" t="s">
        <v>71</v>
      </c>
      <c r="F638" s="10" t="s">
        <v>4449</v>
      </c>
      <c r="G638" s="10" t="s">
        <v>24043</v>
      </c>
      <c r="H638" s="10" t="s">
        <v>24408</v>
      </c>
      <c r="I638" s="10" t="s">
        <v>55</v>
      </c>
      <c r="K638" s="10" t="s">
        <v>4450</v>
      </c>
      <c r="L638" s="10" t="s">
        <v>42</v>
      </c>
    </row>
    <row r="639" ht="15.75" customHeight="1">
      <c r="A639" s="66">
        <v>45493.0</v>
      </c>
      <c r="B639" s="55" t="str">
        <f>HYPERLINK("https://jobright.ai/jobs/info/669c4554f318798ab2b051fd?utm_campaign=1057&amp;utm_source=sheet", "Apply")</f>
        <v>Apply</v>
      </c>
      <c r="C639" s="10" t="s">
        <v>24448</v>
      </c>
      <c r="D639" s="56" t="s">
        <v>4448</v>
      </c>
      <c r="E639" s="10" t="s">
        <v>71</v>
      </c>
      <c r="F639" s="10" t="s">
        <v>4449</v>
      </c>
      <c r="G639" s="10" t="s">
        <v>24043</v>
      </c>
      <c r="H639" s="10" t="s">
        <v>3646</v>
      </c>
      <c r="I639" s="10" t="s">
        <v>55</v>
      </c>
      <c r="K639" s="10" t="s">
        <v>4450</v>
      </c>
      <c r="L639" s="10" t="s">
        <v>42</v>
      </c>
    </row>
    <row r="640" ht="15.75" customHeight="1">
      <c r="A640" s="66">
        <v>45493.0</v>
      </c>
      <c r="B640" s="55" t="str">
        <f>HYPERLINK("https://jobright.ai/jobs/info/669c4554f318798ab2b051eb?utm_campaign=1057&amp;utm_source=sheet", "Apply")</f>
        <v>Apply</v>
      </c>
      <c r="C640" s="10" t="s">
        <v>24514</v>
      </c>
      <c r="D640" s="56" t="s">
        <v>4448</v>
      </c>
      <c r="E640" s="10" t="s">
        <v>71</v>
      </c>
      <c r="F640" s="10" t="s">
        <v>4449</v>
      </c>
      <c r="G640" s="10" t="s">
        <v>24043</v>
      </c>
      <c r="H640" s="10" t="s">
        <v>1786</v>
      </c>
      <c r="I640" s="10" t="s">
        <v>55</v>
      </c>
      <c r="K640" s="10" t="s">
        <v>4450</v>
      </c>
      <c r="L640" s="10" t="s">
        <v>42</v>
      </c>
    </row>
    <row r="641" ht="15.75" customHeight="1">
      <c r="A641" s="66">
        <v>45493.0</v>
      </c>
      <c r="B641" s="55" t="str">
        <f>HYPERLINK("https://jobright.ai/jobs/info/669c455af318798ab2b0520a?utm_campaign=1057&amp;utm_source=sheet", "Apply")</f>
        <v>Apply</v>
      </c>
      <c r="C641" s="10" t="s">
        <v>24420</v>
      </c>
      <c r="D641" s="56" t="s">
        <v>4448</v>
      </c>
      <c r="E641" s="10" t="s">
        <v>71</v>
      </c>
      <c r="F641" s="10" t="s">
        <v>4449</v>
      </c>
      <c r="G641" s="10" t="s">
        <v>24043</v>
      </c>
      <c r="H641" s="10" t="s">
        <v>2602</v>
      </c>
      <c r="I641" s="10" t="s">
        <v>55</v>
      </c>
      <c r="K641" s="10" t="s">
        <v>4450</v>
      </c>
      <c r="L641" s="10" t="s">
        <v>42</v>
      </c>
    </row>
    <row r="642" ht="15.75" customHeight="1">
      <c r="A642" s="66">
        <v>45493.0</v>
      </c>
      <c r="B642" s="55" t="str">
        <f>HYPERLINK("https://jobright.ai/jobs/info/669c455af318798ab2b05219?utm_campaign=1057&amp;utm_source=sheet", "Apply")</f>
        <v>Apply</v>
      </c>
      <c r="C642" s="10" t="s">
        <v>24524</v>
      </c>
      <c r="D642" s="56" t="s">
        <v>4448</v>
      </c>
      <c r="E642" s="10" t="s">
        <v>71</v>
      </c>
      <c r="F642" s="10" t="s">
        <v>4449</v>
      </c>
      <c r="G642" s="10" t="s">
        <v>24043</v>
      </c>
      <c r="H642" s="10" t="s">
        <v>3646</v>
      </c>
      <c r="I642" s="10" t="s">
        <v>55</v>
      </c>
      <c r="K642" s="10" t="s">
        <v>4450</v>
      </c>
      <c r="L642" s="10" t="s">
        <v>42</v>
      </c>
    </row>
    <row r="643" ht="15.75" customHeight="1">
      <c r="A643" s="66">
        <v>45493.0</v>
      </c>
      <c r="B643" s="55" t="str">
        <f>HYPERLINK("https://jobright.ai/jobs/info/669c455af318798ab2b0522a?utm_campaign=1057&amp;utm_source=sheet", "Apply")</f>
        <v>Apply</v>
      </c>
      <c r="C643" s="10" t="s">
        <v>24525</v>
      </c>
      <c r="D643" s="56" t="s">
        <v>4448</v>
      </c>
      <c r="E643" s="10" t="s">
        <v>71</v>
      </c>
      <c r="F643" s="10" t="s">
        <v>4449</v>
      </c>
      <c r="G643" s="10" t="s">
        <v>24043</v>
      </c>
      <c r="H643" s="10" t="s">
        <v>4455</v>
      </c>
      <c r="I643" s="10" t="s">
        <v>55</v>
      </c>
      <c r="K643" s="10" t="s">
        <v>4450</v>
      </c>
      <c r="L643" s="10" t="s">
        <v>42</v>
      </c>
    </row>
    <row r="644" ht="15.75" customHeight="1">
      <c r="A644" s="66">
        <v>45493.0</v>
      </c>
      <c r="B644" s="55" t="str">
        <f>HYPERLINK("https://jobright.ai/jobs/info/669c455af318798ab2b05234?utm_campaign=1057&amp;utm_source=sheet", "Apply")</f>
        <v>Apply</v>
      </c>
      <c r="C644" s="10" t="s">
        <v>24427</v>
      </c>
      <c r="D644" s="56" t="s">
        <v>4448</v>
      </c>
      <c r="E644" s="10" t="s">
        <v>71</v>
      </c>
      <c r="F644" s="10" t="s">
        <v>4449</v>
      </c>
      <c r="G644" s="10" t="s">
        <v>24043</v>
      </c>
      <c r="H644" s="10" t="s">
        <v>24396</v>
      </c>
      <c r="I644" s="10" t="s">
        <v>55</v>
      </c>
      <c r="K644" s="10" t="s">
        <v>4450</v>
      </c>
      <c r="L644" s="10" t="s">
        <v>42</v>
      </c>
    </row>
    <row r="645" ht="15.75" customHeight="1">
      <c r="A645" s="66">
        <v>45493.0</v>
      </c>
      <c r="B645" s="55" t="str">
        <f>HYPERLINK("https://jobright.ai/jobs/info/669c455af318798ab2b05237?utm_campaign=1057&amp;utm_source=sheet", "Apply")</f>
        <v>Apply</v>
      </c>
      <c r="C645" s="10" t="s">
        <v>24494</v>
      </c>
      <c r="D645" s="56" t="s">
        <v>4448</v>
      </c>
      <c r="E645" s="10" t="s">
        <v>71</v>
      </c>
      <c r="F645" s="10" t="s">
        <v>4449</v>
      </c>
      <c r="G645" s="10" t="s">
        <v>24043</v>
      </c>
      <c r="H645" s="10" t="s">
        <v>4455</v>
      </c>
      <c r="I645" s="10" t="s">
        <v>55</v>
      </c>
      <c r="K645" s="10" t="s">
        <v>4450</v>
      </c>
      <c r="L645" s="10" t="s">
        <v>42</v>
      </c>
    </row>
    <row r="646" ht="15.75" customHeight="1">
      <c r="A646" s="66">
        <v>45493.0</v>
      </c>
      <c r="B646" s="55" t="str">
        <f>HYPERLINK("https://jobright.ai/jobs/info/669c455af318798ab2b05235?utm_campaign=1057&amp;utm_source=sheet", "Apply")</f>
        <v>Apply</v>
      </c>
      <c r="C646" s="10" t="s">
        <v>24518</v>
      </c>
      <c r="D646" s="56" t="s">
        <v>4448</v>
      </c>
      <c r="E646" s="10" t="s">
        <v>71</v>
      </c>
      <c r="F646" s="10" t="s">
        <v>4449</v>
      </c>
      <c r="G646" s="10" t="s">
        <v>24043</v>
      </c>
      <c r="H646" s="10" t="s">
        <v>24338</v>
      </c>
      <c r="I646" s="10" t="s">
        <v>55</v>
      </c>
      <c r="K646" s="10" t="s">
        <v>4450</v>
      </c>
      <c r="L646" s="10" t="s">
        <v>42</v>
      </c>
    </row>
    <row r="647" ht="15.75" customHeight="1">
      <c r="A647" s="66">
        <v>45493.0</v>
      </c>
      <c r="B647" s="55" t="str">
        <f>HYPERLINK("https://jobright.ai/jobs/info/669c455af318798ab2b0523b?utm_campaign=1057&amp;utm_source=sheet", "Apply")</f>
        <v>Apply</v>
      </c>
      <c r="C647" s="10" t="s">
        <v>24508</v>
      </c>
      <c r="D647" s="56" t="s">
        <v>4448</v>
      </c>
      <c r="E647" s="10" t="s">
        <v>71</v>
      </c>
      <c r="F647" s="10" t="s">
        <v>4449</v>
      </c>
      <c r="G647" s="10" t="s">
        <v>24043</v>
      </c>
      <c r="H647" s="10" t="s">
        <v>3646</v>
      </c>
      <c r="I647" s="10" t="s">
        <v>55</v>
      </c>
      <c r="K647" s="10" t="s">
        <v>4450</v>
      </c>
      <c r="L647" s="10" t="s">
        <v>42</v>
      </c>
    </row>
    <row r="648" ht="15.75" customHeight="1">
      <c r="A648" s="66">
        <v>45493.0</v>
      </c>
      <c r="B648" s="55" t="str">
        <f>HYPERLINK("https://jobright.ai/jobs/info/669c455af318798ab2b05250?utm_campaign=1057&amp;utm_source=sheet", "Apply")</f>
        <v>Apply</v>
      </c>
      <c r="C648" s="10" t="s">
        <v>24526</v>
      </c>
      <c r="D648" s="56" t="s">
        <v>4448</v>
      </c>
      <c r="E648" s="10" t="s">
        <v>71</v>
      </c>
      <c r="F648" s="10" t="s">
        <v>4449</v>
      </c>
      <c r="G648" s="10" t="s">
        <v>24043</v>
      </c>
      <c r="H648" s="10" t="s">
        <v>24411</v>
      </c>
      <c r="I648" s="10" t="s">
        <v>55</v>
      </c>
      <c r="K648" s="10" t="s">
        <v>4450</v>
      </c>
      <c r="L648" s="10" t="s">
        <v>42</v>
      </c>
    </row>
    <row r="649" ht="15.75" customHeight="1">
      <c r="A649" s="66">
        <v>45493.0</v>
      </c>
      <c r="B649" s="55" t="str">
        <f>HYPERLINK("https://jobright.ai/jobs/info/669c455af318798ab2b0525e?utm_campaign=1057&amp;utm_source=sheet", "Apply")</f>
        <v>Apply</v>
      </c>
      <c r="C649" s="10" t="s">
        <v>24517</v>
      </c>
      <c r="D649" s="56" t="s">
        <v>4448</v>
      </c>
      <c r="E649" s="10" t="s">
        <v>71</v>
      </c>
      <c r="F649" s="10" t="s">
        <v>4449</v>
      </c>
      <c r="G649" s="10" t="s">
        <v>24043</v>
      </c>
      <c r="H649" s="10" t="s">
        <v>24370</v>
      </c>
      <c r="I649" s="10" t="s">
        <v>55</v>
      </c>
      <c r="K649" s="10" t="s">
        <v>4450</v>
      </c>
      <c r="L649" s="10" t="s">
        <v>42</v>
      </c>
    </row>
    <row r="650" ht="15.75" customHeight="1">
      <c r="A650" s="66">
        <v>45493.0</v>
      </c>
      <c r="B650" s="55" t="str">
        <f>HYPERLINK("https://jobright.ai/jobs/info/669c455af318798ab2b05262?utm_campaign=1057&amp;utm_source=sheet", "Apply")</f>
        <v>Apply</v>
      </c>
      <c r="C650" s="10" t="s">
        <v>8309</v>
      </c>
      <c r="D650" s="56" t="s">
        <v>4448</v>
      </c>
      <c r="E650" s="10" t="s">
        <v>71</v>
      </c>
      <c r="F650" s="10" t="s">
        <v>4449</v>
      </c>
      <c r="G650" s="10" t="s">
        <v>24043</v>
      </c>
      <c r="H650" s="10" t="s">
        <v>4452</v>
      </c>
      <c r="I650" s="10" t="s">
        <v>55</v>
      </c>
      <c r="K650" s="10" t="s">
        <v>4450</v>
      </c>
      <c r="L650" s="10" t="s">
        <v>42</v>
      </c>
    </row>
    <row r="651" ht="15.75" customHeight="1">
      <c r="A651" s="66">
        <v>45493.0</v>
      </c>
      <c r="B651" s="55" t="str">
        <f>HYPERLINK("https://jobright.ai/jobs/info/669c455af318798ab2b05293?utm_campaign=1057&amp;utm_source=sheet", "Apply")</f>
        <v>Apply</v>
      </c>
      <c r="C651" s="10" t="s">
        <v>24523</v>
      </c>
      <c r="D651" s="56" t="s">
        <v>4448</v>
      </c>
      <c r="E651" s="10" t="s">
        <v>71</v>
      </c>
      <c r="F651" s="10" t="s">
        <v>4449</v>
      </c>
      <c r="G651" s="10" t="s">
        <v>24043</v>
      </c>
      <c r="H651" s="10" t="s">
        <v>4458</v>
      </c>
      <c r="I651" s="10" t="s">
        <v>55</v>
      </c>
      <c r="K651" s="10" t="s">
        <v>4450</v>
      </c>
      <c r="L651" s="10" t="s">
        <v>42</v>
      </c>
    </row>
    <row r="652" ht="15.75" customHeight="1">
      <c r="A652" s="66">
        <v>45493.0</v>
      </c>
      <c r="B652" s="55" t="str">
        <f>HYPERLINK("https://jobright.ai/jobs/info/669c455af318798ab2b0528d?utm_campaign=1057&amp;utm_source=sheet", "Apply")</f>
        <v>Apply</v>
      </c>
      <c r="C652" s="10" t="s">
        <v>24527</v>
      </c>
      <c r="D652" s="56" t="s">
        <v>4448</v>
      </c>
      <c r="E652" s="10" t="s">
        <v>71</v>
      </c>
      <c r="F652" s="10" t="s">
        <v>4449</v>
      </c>
      <c r="G652" s="10" t="s">
        <v>24043</v>
      </c>
      <c r="H652" s="10" t="s">
        <v>1786</v>
      </c>
      <c r="I652" s="10" t="s">
        <v>55</v>
      </c>
      <c r="K652" s="10" t="s">
        <v>4450</v>
      </c>
      <c r="L652" s="10" t="s">
        <v>42</v>
      </c>
    </row>
    <row r="653" ht="15.75" customHeight="1">
      <c r="A653" s="66">
        <v>45493.0</v>
      </c>
      <c r="B653" s="55" t="str">
        <f>HYPERLINK("https://jobright.ai/jobs/info/669c455af318798ab2b0529a?utm_campaign=1057&amp;utm_source=sheet", "Apply")</f>
        <v>Apply</v>
      </c>
      <c r="C653" s="10" t="s">
        <v>21661</v>
      </c>
      <c r="D653" s="56" t="s">
        <v>4448</v>
      </c>
      <c r="E653" s="10" t="s">
        <v>71</v>
      </c>
      <c r="F653" s="10" t="s">
        <v>4449</v>
      </c>
      <c r="G653" s="10" t="s">
        <v>24043</v>
      </c>
      <c r="H653" s="10" t="s">
        <v>4261</v>
      </c>
      <c r="I653" s="10" t="s">
        <v>55</v>
      </c>
      <c r="K653" s="10" t="s">
        <v>4450</v>
      </c>
      <c r="L653" s="10" t="s">
        <v>42</v>
      </c>
    </row>
    <row r="654" ht="15.75" customHeight="1">
      <c r="A654" s="66">
        <v>45493.0</v>
      </c>
      <c r="B654" s="55" t="str">
        <f>HYPERLINK("https://jobright.ai/jobs/info/669c455af318798ab2b0529f?utm_campaign=1057&amp;utm_source=sheet", "Apply")</f>
        <v>Apply</v>
      </c>
      <c r="C654" s="10" t="s">
        <v>24508</v>
      </c>
      <c r="D654" s="56" t="s">
        <v>4448</v>
      </c>
      <c r="E654" s="10" t="s">
        <v>71</v>
      </c>
      <c r="F654" s="10" t="s">
        <v>4449</v>
      </c>
      <c r="G654" s="10" t="s">
        <v>24043</v>
      </c>
      <c r="H654" s="10" t="s">
        <v>4458</v>
      </c>
      <c r="I654" s="10" t="s">
        <v>55</v>
      </c>
      <c r="K654" s="10" t="s">
        <v>4450</v>
      </c>
      <c r="L654" s="10" t="s">
        <v>42</v>
      </c>
    </row>
    <row r="655" ht="15.75" customHeight="1">
      <c r="A655" s="66">
        <v>45493.0</v>
      </c>
      <c r="B655" s="55" t="str">
        <f>HYPERLINK("https://jobright.ai/jobs/info/669c455af318798ab2b052ab?utm_campaign=1057&amp;utm_source=sheet", "Apply")</f>
        <v>Apply</v>
      </c>
      <c r="C655" s="10" t="s">
        <v>24516</v>
      </c>
      <c r="D655" s="56" t="s">
        <v>4448</v>
      </c>
      <c r="E655" s="10" t="s">
        <v>71</v>
      </c>
      <c r="F655" s="10" t="s">
        <v>4449</v>
      </c>
      <c r="G655" s="10" t="s">
        <v>24043</v>
      </c>
      <c r="H655" s="10" t="s">
        <v>4458</v>
      </c>
      <c r="I655" s="10" t="s">
        <v>55</v>
      </c>
      <c r="K655" s="10" t="s">
        <v>4450</v>
      </c>
      <c r="L655" s="10" t="s">
        <v>42</v>
      </c>
    </row>
    <row r="656" ht="15.75" customHeight="1">
      <c r="A656" s="66">
        <v>45493.0</v>
      </c>
      <c r="B656" s="55" t="str">
        <f>HYPERLINK("https://jobright.ai/jobs/info/669c455af318798ab2b052b3?utm_campaign=1057&amp;utm_source=sheet", "Apply")</f>
        <v>Apply</v>
      </c>
      <c r="C656" s="10" t="s">
        <v>24528</v>
      </c>
      <c r="D656" s="56" t="s">
        <v>4448</v>
      </c>
      <c r="E656" s="10" t="s">
        <v>71</v>
      </c>
      <c r="F656" s="10" t="s">
        <v>4449</v>
      </c>
      <c r="G656" s="10" t="s">
        <v>24043</v>
      </c>
      <c r="H656" s="10" t="s">
        <v>24396</v>
      </c>
      <c r="I656" s="10" t="s">
        <v>55</v>
      </c>
      <c r="K656" s="10" t="s">
        <v>4450</v>
      </c>
      <c r="L656" s="10" t="s">
        <v>42</v>
      </c>
    </row>
    <row r="657" ht="15.75" customHeight="1">
      <c r="A657" s="66">
        <v>45493.0</v>
      </c>
      <c r="B657" s="55" t="str">
        <f>HYPERLINK("https://jobright.ai/jobs/info/669c455af318798ab2b052c1?utm_campaign=1057&amp;utm_source=sheet", "Apply")</f>
        <v>Apply</v>
      </c>
      <c r="C657" s="10" t="s">
        <v>24529</v>
      </c>
      <c r="D657" s="56" t="s">
        <v>4448</v>
      </c>
      <c r="E657" s="10" t="s">
        <v>71</v>
      </c>
      <c r="F657" s="10" t="s">
        <v>4449</v>
      </c>
      <c r="G657" s="10" t="s">
        <v>24043</v>
      </c>
      <c r="H657" s="10" t="s">
        <v>4458</v>
      </c>
      <c r="I657" s="10" t="s">
        <v>55</v>
      </c>
      <c r="K657" s="10" t="s">
        <v>4450</v>
      </c>
      <c r="L657" s="10" t="s">
        <v>42</v>
      </c>
    </row>
    <row r="658" ht="15.75" customHeight="1">
      <c r="A658" s="66">
        <v>45493.0</v>
      </c>
      <c r="B658" s="55" t="str">
        <f>HYPERLINK("https://jobright.ai/jobs/info/669c4560f318798ab2b052ca?utm_campaign=1057&amp;utm_source=sheet", "Apply")</f>
        <v>Apply</v>
      </c>
      <c r="C658" s="10" t="s">
        <v>24516</v>
      </c>
      <c r="D658" s="56" t="s">
        <v>4448</v>
      </c>
      <c r="E658" s="10" t="s">
        <v>71</v>
      </c>
      <c r="F658" s="10" t="s">
        <v>4449</v>
      </c>
      <c r="G658" s="10" t="s">
        <v>24043</v>
      </c>
      <c r="H658" s="10" t="s">
        <v>16746</v>
      </c>
      <c r="I658" s="10" t="s">
        <v>55</v>
      </c>
      <c r="K658" s="10" t="s">
        <v>4450</v>
      </c>
      <c r="L658" s="10" t="s">
        <v>42</v>
      </c>
    </row>
    <row r="659" ht="15.75" customHeight="1">
      <c r="A659" s="66">
        <v>45493.0</v>
      </c>
      <c r="B659" s="55" t="str">
        <f>HYPERLINK("https://jobright.ai/jobs/info/669c4560f318798ab2b052cd?utm_campaign=1057&amp;utm_source=sheet", "Apply")</f>
        <v>Apply</v>
      </c>
      <c r="C659" s="10" t="s">
        <v>24486</v>
      </c>
      <c r="D659" s="56" t="s">
        <v>4448</v>
      </c>
      <c r="E659" s="10" t="s">
        <v>71</v>
      </c>
      <c r="F659" s="10" t="s">
        <v>4449</v>
      </c>
      <c r="G659" s="10" t="s">
        <v>24043</v>
      </c>
      <c r="H659" s="10" t="s">
        <v>24408</v>
      </c>
      <c r="I659" s="10" t="s">
        <v>55</v>
      </c>
      <c r="K659" s="10" t="s">
        <v>4450</v>
      </c>
      <c r="L659" s="10" t="s">
        <v>42</v>
      </c>
    </row>
    <row r="660" ht="15.75" customHeight="1">
      <c r="A660" s="66">
        <v>45493.0</v>
      </c>
      <c r="B660" s="55" t="str">
        <f>HYPERLINK("https://jobright.ai/jobs/info/669c4560f318798ab2b052d8?utm_campaign=1057&amp;utm_source=sheet", "Apply")</f>
        <v>Apply</v>
      </c>
      <c r="C660" s="10" t="s">
        <v>24526</v>
      </c>
      <c r="D660" s="56" t="s">
        <v>4448</v>
      </c>
      <c r="E660" s="10" t="s">
        <v>71</v>
      </c>
      <c r="F660" s="10" t="s">
        <v>4449</v>
      </c>
      <c r="G660" s="10" t="s">
        <v>24043</v>
      </c>
      <c r="H660" s="10" t="s">
        <v>24396</v>
      </c>
      <c r="I660" s="10" t="s">
        <v>55</v>
      </c>
      <c r="K660" s="10" t="s">
        <v>4450</v>
      </c>
      <c r="L660" s="10" t="s">
        <v>42</v>
      </c>
    </row>
    <row r="661" ht="15.75" customHeight="1">
      <c r="A661" s="66">
        <v>45493.0</v>
      </c>
      <c r="B661" s="55" t="str">
        <f>HYPERLINK("https://jobright.ai/jobs/info/669c4560f318798ab2b052e5?utm_campaign=1057&amp;utm_source=sheet", "Apply")</f>
        <v>Apply</v>
      </c>
      <c r="C661" s="10" t="s">
        <v>24530</v>
      </c>
      <c r="D661" s="56" t="s">
        <v>4448</v>
      </c>
      <c r="E661" s="10" t="s">
        <v>71</v>
      </c>
      <c r="F661" s="10" t="s">
        <v>4449</v>
      </c>
      <c r="G661" s="10" t="s">
        <v>24043</v>
      </c>
      <c r="H661" s="10" t="s">
        <v>20989</v>
      </c>
      <c r="I661" s="10" t="s">
        <v>55</v>
      </c>
      <c r="K661" s="10" t="s">
        <v>4450</v>
      </c>
      <c r="L661" s="10" t="s">
        <v>42</v>
      </c>
    </row>
    <row r="662" ht="15.75" customHeight="1">
      <c r="A662" s="66">
        <v>45493.0</v>
      </c>
      <c r="B662" s="55" t="str">
        <f>HYPERLINK("https://jobright.ai/jobs/info/669c4560f318798ab2b052df?utm_campaign=1057&amp;utm_source=sheet", "Apply")</f>
        <v>Apply</v>
      </c>
      <c r="C662" s="10" t="s">
        <v>24456</v>
      </c>
      <c r="D662" s="56" t="s">
        <v>4448</v>
      </c>
      <c r="E662" s="10" t="s">
        <v>71</v>
      </c>
      <c r="F662" s="10" t="s">
        <v>4449</v>
      </c>
      <c r="G662" s="10" t="s">
        <v>24043</v>
      </c>
      <c r="H662" s="10" t="s">
        <v>24338</v>
      </c>
      <c r="I662" s="10" t="s">
        <v>55</v>
      </c>
      <c r="K662" s="10" t="s">
        <v>4450</v>
      </c>
      <c r="L662" s="10" t="s">
        <v>42</v>
      </c>
    </row>
    <row r="663" ht="15.75" customHeight="1">
      <c r="A663" s="66">
        <v>45493.0</v>
      </c>
      <c r="B663" s="55" t="str">
        <f>HYPERLINK("https://jobright.ai/jobs/info/669c4560f318798ab2b052eb?utm_campaign=1057&amp;utm_source=sheet", "Apply")</f>
        <v>Apply</v>
      </c>
      <c r="C663" s="10" t="s">
        <v>24502</v>
      </c>
      <c r="D663" s="56" t="s">
        <v>4448</v>
      </c>
      <c r="E663" s="10" t="s">
        <v>71</v>
      </c>
      <c r="F663" s="10" t="s">
        <v>4449</v>
      </c>
      <c r="G663" s="10" t="s">
        <v>24043</v>
      </c>
      <c r="H663" s="10" t="s">
        <v>20989</v>
      </c>
      <c r="I663" s="10" t="s">
        <v>55</v>
      </c>
      <c r="K663" s="10" t="s">
        <v>4450</v>
      </c>
      <c r="L663" s="10" t="s">
        <v>42</v>
      </c>
    </row>
    <row r="664" ht="15.75" customHeight="1">
      <c r="A664" s="66">
        <v>45493.0</v>
      </c>
      <c r="B664" s="55" t="str">
        <f>HYPERLINK("https://jobright.ai/jobs/info/669c4560f318798ab2b052ee?utm_campaign=1057&amp;utm_source=sheet", "Apply")</f>
        <v>Apply</v>
      </c>
      <c r="C664" s="10" t="s">
        <v>24486</v>
      </c>
      <c r="D664" s="56" t="s">
        <v>4448</v>
      </c>
      <c r="E664" s="10" t="s">
        <v>71</v>
      </c>
      <c r="F664" s="10" t="s">
        <v>4449</v>
      </c>
      <c r="G664" s="10" t="s">
        <v>24043</v>
      </c>
      <c r="H664" s="10" t="s">
        <v>20990</v>
      </c>
      <c r="I664" s="10" t="s">
        <v>55</v>
      </c>
      <c r="K664" s="10" t="s">
        <v>4450</v>
      </c>
      <c r="L664" s="10" t="s">
        <v>42</v>
      </c>
    </row>
    <row r="665" ht="15.75" customHeight="1">
      <c r="A665" s="66">
        <v>45493.0</v>
      </c>
      <c r="B665" s="55" t="str">
        <f>HYPERLINK("https://jobright.ai/jobs/info/669c4560f318798ab2b05300?utm_campaign=1057&amp;utm_source=sheet", "Apply")</f>
        <v>Apply</v>
      </c>
      <c r="C665" s="10" t="s">
        <v>21702</v>
      </c>
      <c r="D665" s="56" t="s">
        <v>4448</v>
      </c>
      <c r="E665" s="10" t="s">
        <v>71</v>
      </c>
      <c r="F665" s="10" t="s">
        <v>4449</v>
      </c>
      <c r="G665" s="10" t="s">
        <v>24043</v>
      </c>
      <c r="H665" s="10" t="s">
        <v>24370</v>
      </c>
      <c r="I665" s="10" t="s">
        <v>55</v>
      </c>
      <c r="K665" s="10" t="s">
        <v>4450</v>
      </c>
      <c r="L665" s="10" t="s">
        <v>42</v>
      </c>
    </row>
    <row r="666" ht="15.75" customHeight="1">
      <c r="A666" s="66">
        <v>45493.0</v>
      </c>
      <c r="B666" s="55" t="str">
        <f>HYPERLINK("https://jobright.ai/jobs/info/669c4560f318798ab2b05305?utm_campaign=1057&amp;utm_source=sheet", "Apply")</f>
        <v>Apply</v>
      </c>
      <c r="C666" s="10" t="s">
        <v>24512</v>
      </c>
      <c r="D666" s="56" t="s">
        <v>4448</v>
      </c>
      <c r="E666" s="10" t="s">
        <v>71</v>
      </c>
      <c r="F666" s="10" t="s">
        <v>4449</v>
      </c>
      <c r="G666" s="10" t="s">
        <v>24043</v>
      </c>
      <c r="H666" s="10" t="s">
        <v>16746</v>
      </c>
      <c r="I666" s="10" t="s">
        <v>55</v>
      </c>
      <c r="K666" s="10" t="s">
        <v>4450</v>
      </c>
      <c r="L666" s="10" t="s">
        <v>42</v>
      </c>
    </row>
    <row r="667" ht="15.75" customHeight="1">
      <c r="A667" s="66">
        <v>45493.0</v>
      </c>
      <c r="B667" s="55" t="str">
        <f>HYPERLINK("https://jobright.ai/jobs/info/669c4560f318798ab2b0530d?utm_campaign=1057&amp;utm_source=sheet", "Apply")</f>
        <v>Apply</v>
      </c>
      <c r="C667" s="10" t="s">
        <v>24527</v>
      </c>
      <c r="D667" s="56" t="s">
        <v>4448</v>
      </c>
      <c r="E667" s="10" t="s">
        <v>71</v>
      </c>
      <c r="F667" s="10" t="s">
        <v>4449</v>
      </c>
      <c r="G667" s="10" t="s">
        <v>24043</v>
      </c>
      <c r="H667" s="10" t="s">
        <v>255</v>
      </c>
      <c r="I667" s="10" t="s">
        <v>55</v>
      </c>
      <c r="K667" s="10" t="s">
        <v>4450</v>
      </c>
      <c r="L667" s="10" t="s">
        <v>42</v>
      </c>
    </row>
    <row r="668" ht="15.75" customHeight="1">
      <c r="A668" s="66">
        <v>45493.0</v>
      </c>
      <c r="B668" s="55" t="str">
        <f>HYPERLINK("https://jobright.ai/jobs/info/669c4560f318798ab2b05324?utm_campaign=1057&amp;utm_source=sheet", "Apply")</f>
        <v>Apply</v>
      </c>
      <c r="C668" s="10" t="s">
        <v>24404</v>
      </c>
      <c r="D668" s="56" t="s">
        <v>4448</v>
      </c>
      <c r="E668" s="10" t="s">
        <v>71</v>
      </c>
      <c r="F668" s="10" t="s">
        <v>4449</v>
      </c>
      <c r="G668" s="10" t="s">
        <v>24043</v>
      </c>
      <c r="H668" s="10" t="s">
        <v>1786</v>
      </c>
      <c r="I668" s="10" t="s">
        <v>55</v>
      </c>
      <c r="K668" s="10" t="s">
        <v>4450</v>
      </c>
      <c r="L668" s="10" t="s">
        <v>42</v>
      </c>
    </row>
    <row r="669" ht="15.75" customHeight="1">
      <c r="A669" s="66">
        <v>45493.0</v>
      </c>
      <c r="B669" s="55" t="str">
        <f>HYPERLINK("https://jobright.ai/jobs/info/669c4560f318798ab2b0532c?utm_campaign=1057&amp;utm_source=sheet", "Apply")</f>
        <v>Apply</v>
      </c>
      <c r="C669" s="10" t="s">
        <v>24519</v>
      </c>
      <c r="D669" s="56" t="s">
        <v>4448</v>
      </c>
      <c r="E669" s="10" t="s">
        <v>71</v>
      </c>
      <c r="F669" s="10" t="s">
        <v>4449</v>
      </c>
      <c r="G669" s="10" t="s">
        <v>24043</v>
      </c>
      <c r="H669" s="10" t="s">
        <v>21672</v>
      </c>
      <c r="I669" s="10" t="s">
        <v>55</v>
      </c>
      <c r="K669" s="10" t="s">
        <v>4450</v>
      </c>
      <c r="L669" s="10" t="s">
        <v>42</v>
      </c>
    </row>
    <row r="670" ht="15.75" customHeight="1">
      <c r="A670" s="66">
        <v>45493.0</v>
      </c>
      <c r="B670" s="55" t="str">
        <f>HYPERLINK("https://jobright.ai/jobs/info/669c4560f318798ab2b0533f?utm_campaign=1057&amp;utm_source=sheet", "Apply")</f>
        <v>Apply</v>
      </c>
      <c r="C670" s="10" t="s">
        <v>21661</v>
      </c>
      <c r="D670" s="56" t="s">
        <v>4448</v>
      </c>
      <c r="E670" s="10" t="s">
        <v>71</v>
      </c>
      <c r="F670" s="10" t="s">
        <v>4449</v>
      </c>
      <c r="G670" s="10" t="s">
        <v>24043</v>
      </c>
      <c r="H670" s="10" t="s">
        <v>20989</v>
      </c>
      <c r="I670" s="10" t="s">
        <v>55</v>
      </c>
      <c r="K670" s="10" t="s">
        <v>4450</v>
      </c>
      <c r="L670" s="10" t="s">
        <v>42</v>
      </c>
    </row>
    <row r="671" ht="15.75" customHeight="1">
      <c r="A671" s="66">
        <v>45493.0</v>
      </c>
      <c r="B671" s="55" t="str">
        <f>HYPERLINK("https://jobright.ai/jobs/info/669c4560f318798ab2b0534f?utm_campaign=1057&amp;utm_source=sheet", "Apply")</f>
        <v>Apply</v>
      </c>
      <c r="C671" s="10" t="s">
        <v>24457</v>
      </c>
      <c r="D671" s="56" t="s">
        <v>4448</v>
      </c>
      <c r="E671" s="10" t="s">
        <v>71</v>
      </c>
      <c r="F671" s="10" t="s">
        <v>4449</v>
      </c>
      <c r="G671" s="10" t="s">
        <v>24043</v>
      </c>
      <c r="H671" s="10" t="s">
        <v>4456</v>
      </c>
      <c r="I671" s="10" t="s">
        <v>55</v>
      </c>
      <c r="K671" s="10" t="s">
        <v>4450</v>
      </c>
      <c r="L671" s="10" t="s">
        <v>42</v>
      </c>
    </row>
    <row r="672" ht="15.75" customHeight="1">
      <c r="A672" s="66">
        <v>45493.0</v>
      </c>
      <c r="B672" s="55" t="str">
        <f>HYPERLINK("https://jobright.ai/jobs/info/669c4560f318798ab2b0536e?utm_campaign=1057&amp;utm_source=sheet", "Apply")</f>
        <v>Apply</v>
      </c>
      <c r="C672" s="10" t="s">
        <v>24499</v>
      </c>
      <c r="D672" s="56" t="s">
        <v>4448</v>
      </c>
      <c r="E672" s="10" t="s">
        <v>71</v>
      </c>
      <c r="F672" s="10" t="s">
        <v>4449</v>
      </c>
      <c r="G672" s="10" t="s">
        <v>24043</v>
      </c>
      <c r="H672" s="10" t="s">
        <v>21672</v>
      </c>
      <c r="I672" s="10" t="s">
        <v>55</v>
      </c>
      <c r="K672" s="10" t="s">
        <v>4450</v>
      </c>
      <c r="L672" s="10" t="s">
        <v>42</v>
      </c>
    </row>
    <row r="673" ht="15.75" customHeight="1">
      <c r="A673" s="66">
        <v>45493.0</v>
      </c>
      <c r="B673" s="55" t="str">
        <f>HYPERLINK("https://jobright.ai/jobs/info/669c4560f318798ab2b05364?utm_campaign=1057&amp;utm_source=sheet", "Apply")</f>
        <v>Apply</v>
      </c>
      <c r="C673" s="10" t="s">
        <v>24524</v>
      </c>
      <c r="D673" s="56" t="s">
        <v>4448</v>
      </c>
      <c r="E673" s="10" t="s">
        <v>71</v>
      </c>
      <c r="F673" s="10" t="s">
        <v>4449</v>
      </c>
      <c r="G673" s="10" t="s">
        <v>24043</v>
      </c>
      <c r="H673" s="10" t="s">
        <v>24408</v>
      </c>
      <c r="I673" s="10" t="s">
        <v>55</v>
      </c>
      <c r="K673" s="10" t="s">
        <v>4450</v>
      </c>
      <c r="L673" s="10" t="s">
        <v>42</v>
      </c>
    </row>
    <row r="674" ht="15.75" customHeight="1">
      <c r="A674" s="66">
        <v>45493.0</v>
      </c>
      <c r="B674" s="55" t="str">
        <f>HYPERLINK("https://jobright.ai/jobs/info/669c47dd6bb170e0a8d91c04?utm_campaign=1057&amp;utm_source=sheet", "Apply")</f>
        <v>Apply</v>
      </c>
      <c r="C674" s="10" t="s">
        <v>24508</v>
      </c>
      <c r="D674" s="56" t="s">
        <v>4448</v>
      </c>
      <c r="E674" s="10" t="s">
        <v>71</v>
      </c>
      <c r="F674" s="10" t="s">
        <v>4449</v>
      </c>
      <c r="G674" s="10" t="s">
        <v>24043</v>
      </c>
      <c r="H674" s="10" t="s">
        <v>8248</v>
      </c>
      <c r="I674" s="10" t="s">
        <v>55</v>
      </c>
      <c r="K674" s="10" t="s">
        <v>4450</v>
      </c>
      <c r="L674" s="10" t="s">
        <v>42</v>
      </c>
    </row>
    <row r="675" ht="15.75" customHeight="1">
      <c r="A675" s="66">
        <v>45493.0</v>
      </c>
      <c r="B675" s="55" t="str">
        <f>HYPERLINK("https://jobright.ai/jobs/info/66a27b5c10e34507ec383dbf?utm_campaign=1057&amp;utm_source=sheet", "Apply")</f>
        <v>Apply</v>
      </c>
      <c r="C675" s="10" t="s">
        <v>24061</v>
      </c>
      <c r="D675" s="56" t="s">
        <v>4448</v>
      </c>
      <c r="E675" s="10" t="s">
        <v>71</v>
      </c>
      <c r="F675" s="10" t="s">
        <v>4449</v>
      </c>
      <c r="G675" s="10" t="s">
        <v>24043</v>
      </c>
      <c r="H675" s="10" t="s">
        <v>21486</v>
      </c>
      <c r="I675" s="10" t="s">
        <v>55</v>
      </c>
      <c r="K675" s="10" t="s">
        <v>24062</v>
      </c>
      <c r="L675" s="10" t="s">
        <v>42</v>
      </c>
    </row>
    <row r="676" ht="15.75" customHeight="1">
      <c r="A676" s="66">
        <v>45493.0</v>
      </c>
      <c r="B676" s="55" t="str">
        <f>HYPERLINK("https://jobright.ai/jobs/info/66a27b5c10e34507ec383dc0?utm_campaign=1057&amp;utm_source=sheet", "Apply")</f>
        <v>Apply</v>
      </c>
      <c r="C676" s="10" t="s">
        <v>24444</v>
      </c>
      <c r="D676" s="56" t="s">
        <v>4448</v>
      </c>
      <c r="E676" s="10" t="s">
        <v>71</v>
      </c>
      <c r="F676" s="10" t="s">
        <v>4449</v>
      </c>
      <c r="G676" s="10" t="s">
        <v>24043</v>
      </c>
      <c r="H676" s="10" t="s">
        <v>24411</v>
      </c>
      <c r="I676" s="10" t="s">
        <v>55</v>
      </c>
      <c r="K676" s="10" t="s">
        <v>4450</v>
      </c>
      <c r="L676" s="10" t="s">
        <v>42</v>
      </c>
    </row>
    <row r="677" ht="15.75" customHeight="1">
      <c r="A677" s="66">
        <v>45493.0</v>
      </c>
      <c r="B677" s="55" t="str">
        <f>HYPERLINK("https://jobright.ai/jobs/info/669c47dd6bb170e0a8d91c1f?utm_campaign=1057&amp;utm_source=sheet", "Apply")</f>
        <v>Apply</v>
      </c>
      <c r="C677" s="10" t="s">
        <v>24417</v>
      </c>
      <c r="D677" s="56" t="s">
        <v>4448</v>
      </c>
      <c r="E677" s="10" t="s">
        <v>71</v>
      </c>
      <c r="F677" s="10" t="s">
        <v>4449</v>
      </c>
      <c r="G677" s="10" t="s">
        <v>24043</v>
      </c>
      <c r="H677" s="10" t="s">
        <v>24370</v>
      </c>
      <c r="I677" s="10" t="s">
        <v>55</v>
      </c>
      <c r="K677" s="10" t="s">
        <v>4450</v>
      </c>
      <c r="L677" s="10" t="s">
        <v>42</v>
      </c>
    </row>
    <row r="678" ht="15.75" customHeight="1">
      <c r="A678" s="66">
        <v>45493.0</v>
      </c>
      <c r="B678" s="55" t="str">
        <f>HYPERLINK("https://jobright.ai/jobs/info/669c47dd6bb170e0a8d91c2e?utm_campaign=1057&amp;utm_source=sheet", "Apply")</f>
        <v>Apply</v>
      </c>
      <c r="C678" s="10" t="s">
        <v>24412</v>
      </c>
      <c r="D678" s="56" t="s">
        <v>4448</v>
      </c>
      <c r="E678" s="10" t="s">
        <v>71</v>
      </c>
      <c r="F678" s="10" t="s">
        <v>4449</v>
      </c>
      <c r="G678" s="10" t="s">
        <v>24043</v>
      </c>
      <c r="H678" s="10" t="s">
        <v>24396</v>
      </c>
      <c r="I678" s="10" t="s">
        <v>55</v>
      </c>
      <c r="K678" s="10" t="s">
        <v>4450</v>
      </c>
      <c r="L678" s="10" t="s">
        <v>42</v>
      </c>
    </row>
    <row r="679" ht="15.75" customHeight="1">
      <c r="A679" s="66">
        <v>45493.0</v>
      </c>
      <c r="B679" s="55" t="str">
        <f>HYPERLINK("https://jobright.ai/jobs/info/66a1261bd6c9bfaafdffbfef?utm_campaign=1057&amp;utm_source=sheet", "Apply")</f>
        <v>Apply</v>
      </c>
      <c r="C679" s="10" t="s">
        <v>8336</v>
      </c>
      <c r="D679" s="56" t="s">
        <v>4448</v>
      </c>
      <c r="E679" s="10" t="s">
        <v>71</v>
      </c>
      <c r="F679" s="10" t="s">
        <v>4449</v>
      </c>
      <c r="G679" s="10" t="s">
        <v>24043</v>
      </c>
      <c r="H679" s="10" t="s">
        <v>24338</v>
      </c>
      <c r="I679" s="10" t="s">
        <v>55</v>
      </c>
      <c r="K679" s="10" t="s">
        <v>4450</v>
      </c>
      <c r="L679" s="10" t="s">
        <v>42</v>
      </c>
    </row>
    <row r="680" ht="15.75" customHeight="1">
      <c r="A680" s="66">
        <v>45493.0</v>
      </c>
      <c r="B680" s="55" t="str">
        <f>HYPERLINK("https://jobright.ai/jobs/info/66a1261bd6c9bfaafdffbff0?utm_campaign=1057&amp;utm_source=sheet", "Apply")</f>
        <v>Apply</v>
      </c>
      <c r="C680" s="10" t="s">
        <v>24419</v>
      </c>
      <c r="D680" s="56" t="s">
        <v>4448</v>
      </c>
      <c r="E680" s="10" t="s">
        <v>71</v>
      </c>
      <c r="F680" s="10" t="s">
        <v>4449</v>
      </c>
      <c r="G680" s="10" t="s">
        <v>24043</v>
      </c>
      <c r="H680" s="10" t="s">
        <v>24408</v>
      </c>
      <c r="I680" s="10" t="s">
        <v>55</v>
      </c>
      <c r="K680" s="10" t="s">
        <v>4450</v>
      </c>
      <c r="L680" s="10" t="s">
        <v>42</v>
      </c>
    </row>
    <row r="681" ht="15.75" customHeight="1">
      <c r="A681" s="66">
        <v>45493.0</v>
      </c>
      <c r="B681" s="55" t="str">
        <f>HYPERLINK("https://jobright.ai/jobs/info/66a3f95bc344e12ad544135b?utm_campaign=1057&amp;utm_source=sheet", "Apply")</f>
        <v>Apply</v>
      </c>
      <c r="C681" s="10" t="s">
        <v>8247</v>
      </c>
      <c r="D681" s="56" t="s">
        <v>4448</v>
      </c>
      <c r="E681" s="10" t="s">
        <v>71</v>
      </c>
      <c r="F681" s="10" t="s">
        <v>4449</v>
      </c>
      <c r="G681" s="10" t="s">
        <v>24043</v>
      </c>
      <c r="H681" s="10" t="s">
        <v>21486</v>
      </c>
      <c r="I681" s="10" t="s">
        <v>55</v>
      </c>
      <c r="K681" s="10" t="s">
        <v>4450</v>
      </c>
      <c r="L681" s="10" t="s">
        <v>42</v>
      </c>
    </row>
    <row r="682" ht="15.75" customHeight="1">
      <c r="A682" s="66">
        <v>45493.0</v>
      </c>
      <c r="B682" s="55" t="str">
        <f>HYPERLINK("https://jobright.ai/jobs/info/66a1261bd6c9bfaafdffbff9?utm_campaign=1057&amp;utm_source=sheet", "Apply")</f>
        <v>Apply</v>
      </c>
      <c r="C682" s="10" t="s">
        <v>24419</v>
      </c>
      <c r="D682" s="56" t="s">
        <v>4448</v>
      </c>
      <c r="E682" s="10" t="s">
        <v>71</v>
      </c>
      <c r="F682" s="10" t="s">
        <v>4449</v>
      </c>
      <c r="G682" s="10" t="s">
        <v>24043</v>
      </c>
      <c r="H682" s="10" t="s">
        <v>4261</v>
      </c>
      <c r="I682" s="10" t="s">
        <v>55</v>
      </c>
      <c r="K682" s="10" t="s">
        <v>4450</v>
      </c>
      <c r="L682" s="10" t="s">
        <v>42</v>
      </c>
    </row>
    <row r="683" ht="15.75" customHeight="1">
      <c r="A683" s="66">
        <v>45493.0</v>
      </c>
      <c r="B683" s="55" t="str">
        <f>HYPERLINK("https://jobright.ai/jobs/info/669fd456a9a3841552b5a26a?utm_campaign=1057&amp;utm_source=sheet", "Apply")</f>
        <v>Apply</v>
      </c>
      <c r="C683" s="10" t="s">
        <v>24395</v>
      </c>
      <c r="D683" s="56" t="s">
        <v>4448</v>
      </c>
      <c r="E683" s="10" t="s">
        <v>71</v>
      </c>
      <c r="F683" s="10" t="s">
        <v>4449</v>
      </c>
      <c r="G683" s="10" t="s">
        <v>24043</v>
      </c>
      <c r="H683" s="10" t="s">
        <v>4452</v>
      </c>
      <c r="I683" s="10" t="s">
        <v>55</v>
      </c>
      <c r="K683" s="10" t="s">
        <v>4450</v>
      </c>
      <c r="L683" s="10" t="s">
        <v>42</v>
      </c>
    </row>
    <row r="684" ht="15.75" customHeight="1">
      <c r="A684" s="66">
        <v>45493.0</v>
      </c>
      <c r="B684" s="55" t="str">
        <f>HYPERLINK("https://jobright.ai/jobs/info/669c446d7b9259a67122f1a2?utm_campaign=1057&amp;utm_source=sheet", "Apply")</f>
        <v>Apply</v>
      </c>
      <c r="C684" s="10" t="s">
        <v>24331</v>
      </c>
      <c r="D684" s="56" t="s">
        <v>4448</v>
      </c>
      <c r="E684" s="10" t="s">
        <v>71</v>
      </c>
      <c r="F684" s="10" t="s">
        <v>4449</v>
      </c>
      <c r="G684" s="10" t="s">
        <v>24043</v>
      </c>
      <c r="H684" s="10" t="s">
        <v>255</v>
      </c>
      <c r="I684" s="10" t="s">
        <v>55</v>
      </c>
      <c r="K684" s="10" t="s">
        <v>4450</v>
      </c>
      <c r="L684" s="10" t="s">
        <v>42</v>
      </c>
    </row>
    <row r="685" ht="15.75" customHeight="1">
      <c r="A685" s="66">
        <v>45493.0</v>
      </c>
      <c r="B685" s="55" t="str">
        <f>HYPERLINK("https://jobright.ai/jobs/info/669fd456a9a3841552b5a26d?utm_campaign=1057&amp;utm_source=sheet", "Apply")</f>
        <v>Apply</v>
      </c>
      <c r="C685" s="10" t="s">
        <v>20987</v>
      </c>
      <c r="D685" s="56" t="s">
        <v>4448</v>
      </c>
      <c r="E685" s="10" t="s">
        <v>71</v>
      </c>
      <c r="F685" s="10" t="s">
        <v>4449</v>
      </c>
      <c r="G685" s="10" t="s">
        <v>24043</v>
      </c>
      <c r="H685" s="10" t="s">
        <v>20989</v>
      </c>
      <c r="I685" s="10" t="s">
        <v>55</v>
      </c>
      <c r="K685" s="10" t="s">
        <v>4450</v>
      </c>
      <c r="L685" s="10" t="s">
        <v>42</v>
      </c>
    </row>
    <row r="686" ht="15.75" customHeight="1">
      <c r="A686" s="66">
        <v>45493.0</v>
      </c>
      <c r="B686" s="55" t="str">
        <f>HYPERLINK("https://jobright.ai/jobs/info/66a12441952485abf9abebe7?utm_campaign=1057&amp;utm_source=sheet", "Apply")</f>
        <v>Apply</v>
      </c>
      <c r="C686" s="10" t="s">
        <v>24449</v>
      </c>
      <c r="D686" s="56" t="s">
        <v>4448</v>
      </c>
      <c r="E686" s="10" t="s">
        <v>71</v>
      </c>
      <c r="F686" s="10" t="s">
        <v>4449</v>
      </c>
      <c r="G686" s="10" t="s">
        <v>24043</v>
      </c>
      <c r="H686" s="10" t="s">
        <v>4455</v>
      </c>
      <c r="I686" s="10" t="s">
        <v>55</v>
      </c>
      <c r="K686" s="10" t="s">
        <v>4450</v>
      </c>
      <c r="L686" s="10" t="s">
        <v>42</v>
      </c>
    </row>
    <row r="687" ht="15.75" customHeight="1">
      <c r="A687" s="66">
        <v>45493.0</v>
      </c>
      <c r="B687" s="55" t="str">
        <f>HYPERLINK("https://jobright.ai/jobs/info/669fd45ea9a3841552b5a278?utm_campaign=1057&amp;utm_source=sheet", "Apply")</f>
        <v>Apply</v>
      </c>
      <c r="C687" s="10" t="s">
        <v>24445</v>
      </c>
      <c r="D687" s="56" t="s">
        <v>4448</v>
      </c>
      <c r="E687" s="10" t="s">
        <v>71</v>
      </c>
      <c r="F687" s="10" t="s">
        <v>4449</v>
      </c>
      <c r="G687" s="10" t="s">
        <v>24043</v>
      </c>
      <c r="H687" s="10" t="s">
        <v>3646</v>
      </c>
      <c r="I687" s="10" t="s">
        <v>55</v>
      </c>
      <c r="K687" s="10" t="s">
        <v>24062</v>
      </c>
      <c r="L687" s="10" t="s">
        <v>42</v>
      </c>
    </row>
    <row r="688" ht="15.75" customHeight="1">
      <c r="A688" s="66">
        <v>45493.0</v>
      </c>
      <c r="B688" s="55" t="str">
        <f>HYPERLINK("https://jobright.ai/jobs/info/669fa29b0978d429047d38c9?utm_campaign=1057&amp;utm_source=sheet", "Apply")</f>
        <v>Apply</v>
      </c>
      <c r="C688" s="10" t="s">
        <v>24484</v>
      </c>
      <c r="D688" s="56" t="s">
        <v>4448</v>
      </c>
      <c r="E688" s="10" t="s">
        <v>71</v>
      </c>
      <c r="F688" s="10" t="s">
        <v>4449</v>
      </c>
      <c r="G688" s="10" t="s">
        <v>24043</v>
      </c>
      <c r="H688" s="10" t="s">
        <v>628</v>
      </c>
      <c r="I688" s="10" t="s">
        <v>55</v>
      </c>
      <c r="K688" s="10" t="s">
        <v>4450</v>
      </c>
      <c r="L688" s="10" t="s">
        <v>42</v>
      </c>
    </row>
    <row r="689" ht="15.75" customHeight="1">
      <c r="A689" s="66">
        <v>45493.0</v>
      </c>
      <c r="B689" s="55" t="str">
        <f>HYPERLINK("https://jobright.ai/jobs/info/667f171e67cd08a9a3f3ee8b?utm_campaign=1057&amp;utm_source=sheet", "Apply")</f>
        <v>Apply</v>
      </c>
      <c r="C689" s="10" t="s">
        <v>24531</v>
      </c>
      <c r="D689" s="56" t="s">
        <v>24532</v>
      </c>
      <c r="E689" s="10">
        <v>151.0</v>
      </c>
      <c r="G689" s="10" t="s">
        <v>24043</v>
      </c>
      <c r="H689" s="10" t="s">
        <v>113</v>
      </c>
      <c r="I689" s="10" t="s">
        <v>55</v>
      </c>
      <c r="K689" s="10" t="s">
        <v>24533</v>
      </c>
      <c r="L689" s="10" t="s">
        <v>42</v>
      </c>
    </row>
    <row r="690" ht="15.75" customHeight="1">
      <c r="A690" s="66">
        <v>45493.0</v>
      </c>
      <c r="B690" s="55" t="str">
        <f>HYPERLINK("https://jobright.ai/jobs/info/667f49484a8354e27fe8ad1a?utm_campaign=1057&amp;utm_source=sheet", "Apply")</f>
        <v>Apply</v>
      </c>
      <c r="C690" s="10" t="s">
        <v>24534</v>
      </c>
      <c r="D690" s="56" t="s">
        <v>21358</v>
      </c>
      <c r="E690" s="10" t="s">
        <v>71</v>
      </c>
      <c r="F690" s="10" t="s">
        <v>1234</v>
      </c>
      <c r="G690" s="10" t="s">
        <v>24022</v>
      </c>
      <c r="H690" s="10" t="s">
        <v>4170</v>
      </c>
      <c r="I690" s="10" t="s">
        <v>55</v>
      </c>
      <c r="J690" s="10" t="s">
        <v>24535</v>
      </c>
      <c r="K690" s="10" t="s">
        <v>24536</v>
      </c>
      <c r="L690" s="10" t="s">
        <v>42</v>
      </c>
    </row>
    <row r="691" ht="15.75" customHeight="1">
      <c r="A691" s="66">
        <v>45493.0</v>
      </c>
      <c r="B691" s="55" t="str">
        <f>HYPERLINK("https://jobright.ai/jobs/info/667f4148d75e995f5c706eb9?utm_campaign=1057&amp;utm_source=sheet", "Apply")</f>
        <v>Apply</v>
      </c>
      <c r="C691" s="10" t="s">
        <v>24537</v>
      </c>
      <c r="D691" s="56" t="s">
        <v>8233</v>
      </c>
      <c r="E691" s="10">
        <v>8937.0</v>
      </c>
      <c r="G691" s="10" t="s">
        <v>24022</v>
      </c>
      <c r="H691" s="10" t="s">
        <v>117</v>
      </c>
      <c r="I691" s="10" t="s">
        <v>55</v>
      </c>
      <c r="K691" s="10" t="s">
        <v>24538</v>
      </c>
      <c r="L691" s="10" t="s">
        <v>42</v>
      </c>
    </row>
    <row r="692" ht="15.75" customHeight="1">
      <c r="A692" s="66">
        <v>45493.0</v>
      </c>
      <c r="B692" s="55" t="str">
        <f>HYPERLINK("https://jobright.ai/jobs/info/6662386a41f9366fe5bbc2ac?utm_campaign=1057&amp;utm_source=sheet", "Apply")</f>
        <v>Apply</v>
      </c>
      <c r="C692" s="10" t="s">
        <v>24437</v>
      </c>
      <c r="D692" s="56" t="s">
        <v>4479</v>
      </c>
      <c r="E692" s="10" t="s">
        <v>45</v>
      </c>
      <c r="F692" s="10" t="s">
        <v>3778</v>
      </c>
      <c r="G692" s="10" t="s">
        <v>24022</v>
      </c>
      <c r="H692" s="10" t="s">
        <v>784</v>
      </c>
      <c r="I692" s="10" t="s">
        <v>55</v>
      </c>
      <c r="J692" s="10" t="s">
        <v>5735</v>
      </c>
      <c r="K692" s="10" t="s">
        <v>24438</v>
      </c>
      <c r="L692" s="10" t="s">
        <v>42</v>
      </c>
    </row>
    <row r="693" ht="15.75" customHeight="1">
      <c r="A693" s="66">
        <v>45493.0</v>
      </c>
      <c r="B693" s="55" t="str">
        <f>HYPERLINK("https://jobright.ai/jobs/info/66624e5794810726f31114fe?utm_campaign=1057&amp;utm_source=sheet", "Apply")</f>
        <v>Apply</v>
      </c>
      <c r="C693" s="10" t="s">
        <v>24437</v>
      </c>
      <c r="D693" s="56" t="s">
        <v>4479</v>
      </c>
      <c r="E693" s="10" t="s">
        <v>45</v>
      </c>
      <c r="F693" s="10" t="s">
        <v>3778</v>
      </c>
      <c r="G693" s="10" t="s">
        <v>24022</v>
      </c>
      <c r="H693" s="10" t="s">
        <v>24539</v>
      </c>
      <c r="I693" s="10" t="s">
        <v>55</v>
      </c>
      <c r="J693" s="10" t="s">
        <v>5735</v>
      </c>
      <c r="K693" s="10" t="s">
        <v>24438</v>
      </c>
      <c r="L693" s="10" t="s">
        <v>42</v>
      </c>
    </row>
    <row r="694" ht="15.75" customHeight="1">
      <c r="A694" s="66">
        <v>45493.0</v>
      </c>
      <c r="B694" s="55" t="str">
        <f>HYPERLINK("https://jobright.ai/jobs/info/66624742cb390f9013be242a?utm_campaign=1057&amp;utm_source=sheet", "Apply")</f>
        <v>Apply</v>
      </c>
      <c r="C694" s="10" t="s">
        <v>24437</v>
      </c>
      <c r="D694" s="56" t="s">
        <v>4479</v>
      </c>
      <c r="E694" s="10" t="s">
        <v>45</v>
      </c>
      <c r="F694" s="10" t="s">
        <v>3778</v>
      </c>
      <c r="G694" s="10" t="s">
        <v>24022</v>
      </c>
      <c r="H694" s="10" t="s">
        <v>24540</v>
      </c>
      <c r="I694" s="10" t="s">
        <v>55</v>
      </c>
      <c r="J694" s="10" t="s">
        <v>5735</v>
      </c>
      <c r="K694" s="10" t="s">
        <v>24438</v>
      </c>
      <c r="L694" s="10" t="s">
        <v>42</v>
      </c>
    </row>
    <row r="695" ht="15.75" customHeight="1">
      <c r="A695" s="66">
        <v>45493.0</v>
      </c>
      <c r="B695" s="55" t="str">
        <f>HYPERLINK("https://jobright.ai/jobs/info/669b59a88aecaf2c249ed435?utm_campaign=1057&amp;utm_source=sheet", "Apply")</f>
        <v>Apply</v>
      </c>
      <c r="C695" s="10" t="s">
        <v>24541</v>
      </c>
      <c r="D695" s="56" t="s">
        <v>24542</v>
      </c>
      <c r="E695" s="10" t="s">
        <v>45</v>
      </c>
      <c r="F695" s="10" t="s">
        <v>1909</v>
      </c>
      <c r="G695" s="10" t="s">
        <v>24022</v>
      </c>
      <c r="H695" s="10" t="s">
        <v>3373</v>
      </c>
      <c r="I695" s="10" t="s">
        <v>55</v>
      </c>
      <c r="K695" s="10" t="s">
        <v>24543</v>
      </c>
      <c r="L695" s="10" t="s">
        <v>42</v>
      </c>
    </row>
    <row r="696" ht="15.75" customHeight="1">
      <c r="A696" s="66">
        <v>45492.0</v>
      </c>
      <c r="B696" s="55" t="str">
        <f>HYPERLINK("https://jobright.ai/jobs/info/669aed15bb55c2faf5163fdc?utm_campaign=1057&amp;utm_source=sheet", "Apply")</f>
        <v>Apply</v>
      </c>
      <c r="C696" s="10" t="s">
        <v>24544</v>
      </c>
      <c r="D696" s="56" t="s">
        <v>24545</v>
      </c>
      <c r="E696" s="10" t="s">
        <v>65</v>
      </c>
      <c r="F696" s="10" t="s">
        <v>4000</v>
      </c>
      <c r="G696" s="10" t="s">
        <v>24022</v>
      </c>
      <c r="H696" s="10" t="s">
        <v>1007</v>
      </c>
      <c r="I696" s="10" t="s">
        <v>55</v>
      </c>
      <c r="J696" s="10" t="s">
        <v>24546</v>
      </c>
      <c r="K696" s="10" t="s">
        <v>24547</v>
      </c>
      <c r="L696" s="10" t="s">
        <v>42</v>
      </c>
    </row>
    <row r="697" ht="15.75" customHeight="1">
      <c r="A697" s="66">
        <v>45492.0</v>
      </c>
      <c r="B697" s="55" t="str">
        <f>HYPERLINK("https://jobright.ai/jobs/info/66983a45d3c641c08c6219a6?utm_campaign=1057&amp;utm_source=sheet", "Apply")</f>
        <v>Apply</v>
      </c>
      <c r="C697" s="10" t="s">
        <v>24548</v>
      </c>
      <c r="D697" s="56" t="s">
        <v>1650</v>
      </c>
      <c r="E697" s="10" t="s">
        <v>209</v>
      </c>
      <c r="F697" s="10" t="s">
        <v>1243</v>
      </c>
      <c r="G697" s="10" t="s">
        <v>24043</v>
      </c>
      <c r="H697" s="10" t="s">
        <v>971</v>
      </c>
      <c r="I697" s="10" t="s">
        <v>48</v>
      </c>
      <c r="K697" s="10" t="s">
        <v>24549</v>
      </c>
      <c r="L697" s="10" t="s">
        <v>42</v>
      </c>
    </row>
    <row r="698" ht="15.75" customHeight="1">
      <c r="A698" s="66">
        <v>45492.0</v>
      </c>
      <c r="B698" s="55" t="str">
        <f>HYPERLINK("https://jobright.ai/jobs/info/669af1c37460f5accae0379b?utm_campaign=1057&amp;utm_source=sheet", "Apply")</f>
        <v>Apply</v>
      </c>
      <c r="C698" s="10" t="s">
        <v>24550</v>
      </c>
      <c r="D698" s="56" t="s">
        <v>24119</v>
      </c>
      <c r="E698" s="10" t="s">
        <v>65</v>
      </c>
      <c r="F698" s="10" t="s">
        <v>24120</v>
      </c>
      <c r="G698" s="10" t="s">
        <v>24022</v>
      </c>
      <c r="H698" s="10" t="s">
        <v>994</v>
      </c>
      <c r="I698" s="10" t="s">
        <v>55</v>
      </c>
      <c r="J698" s="10" t="s">
        <v>1409</v>
      </c>
      <c r="K698" s="10" t="s">
        <v>24551</v>
      </c>
      <c r="L698" s="10" t="s">
        <v>42</v>
      </c>
    </row>
    <row r="699" ht="15.75" customHeight="1">
      <c r="A699" s="66">
        <v>45492.0</v>
      </c>
      <c r="B699" s="55" t="str">
        <f>HYPERLINK("https://jobright.ai/jobs/info/669af1c37460f5accae03779?utm_campaign=1057&amp;utm_source=sheet", "Apply")</f>
        <v>Apply</v>
      </c>
      <c r="C699" s="10" t="s">
        <v>24552</v>
      </c>
      <c r="D699" s="56" t="s">
        <v>24119</v>
      </c>
      <c r="E699" s="10" t="s">
        <v>65</v>
      </c>
      <c r="F699" s="10" t="s">
        <v>24120</v>
      </c>
      <c r="G699" s="10" t="s">
        <v>24022</v>
      </c>
      <c r="H699" s="10" t="s">
        <v>994</v>
      </c>
      <c r="I699" s="10" t="s">
        <v>55</v>
      </c>
      <c r="J699" s="10" t="s">
        <v>1409</v>
      </c>
      <c r="K699" s="10" t="s">
        <v>24551</v>
      </c>
      <c r="L699" s="10" t="s">
        <v>42</v>
      </c>
    </row>
    <row r="700" ht="15.75" customHeight="1">
      <c r="A700" s="66">
        <v>45492.0</v>
      </c>
      <c r="B700" s="55" t="str">
        <f>HYPERLINK("https://jobright.ai/jobs/info/669b0b44c6285ee39451144f?utm_campaign=1057&amp;utm_source=sheet", "Apply")</f>
        <v>Apply</v>
      </c>
      <c r="C700" s="10" t="s">
        <v>24553</v>
      </c>
      <c r="D700" s="56" t="s">
        <v>18248</v>
      </c>
      <c r="E700" s="10">
        <v>1545.0</v>
      </c>
      <c r="G700" s="10" t="s">
        <v>24043</v>
      </c>
      <c r="H700" s="10" t="s">
        <v>18249</v>
      </c>
      <c r="I700" s="10" t="s">
        <v>55</v>
      </c>
      <c r="J700" s="10" t="s">
        <v>24554</v>
      </c>
      <c r="K700" s="10" t="s">
        <v>24555</v>
      </c>
      <c r="L700" s="10" t="s">
        <v>42</v>
      </c>
    </row>
    <row r="701" ht="15.75" customHeight="1">
      <c r="A701" s="66">
        <v>45492.0</v>
      </c>
      <c r="B701" s="55" t="str">
        <f>HYPERLINK("https://jobright.ai/jobs/info/6696f42b8fdcab953eb0a7d5?utm_campaign=1057&amp;utm_source=sheet", "Apply")</f>
        <v>Apply</v>
      </c>
      <c r="C701" s="10" t="s">
        <v>1891</v>
      </c>
      <c r="D701" s="56" t="s">
        <v>1892</v>
      </c>
      <c r="E701" s="10" t="s">
        <v>45</v>
      </c>
      <c r="F701" s="10" t="s">
        <v>1893</v>
      </c>
      <c r="G701" s="10" t="s">
        <v>24031</v>
      </c>
      <c r="H701" s="10" t="s">
        <v>96</v>
      </c>
      <c r="I701" s="10" t="s">
        <v>55</v>
      </c>
      <c r="J701" s="10" t="s">
        <v>581</v>
      </c>
      <c r="K701" s="10" t="s">
        <v>1894</v>
      </c>
      <c r="L701" s="10" t="s">
        <v>42</v>
      </c>
    </row>
    <row r="702" ht="15.75" customHeight="1">
      <c r="A702" s="66">
        <v>45492.0</v>
      </c>
      <c r="B702" s="55" t="str">
        <f>HYPERLINK("https://jobright.ai/jobs/info/669af49e459d064d98ae2e07?utm_campaign=1057&amp;utm_source=sheet", "Apply")</f>
        <v>Apply</v>
      </c>
      <c r="C702" s="10" t="s">
        <v>24556</v>
      </c>
      <c r="D702" s="56" t="s">
        <v>24557</v>
      </c>
      <c r="E702" s="10" t="s">
        <v>65</v>
      </c>
      <c r="F702" s="10" t="s">
        <v>24558</v>
      </c>
      <c r="G702" s="10" t="s">
        <v>24031</v>
      </c>
      <c r="H702" s="10" t="s">
        <v>139</v>
      </c>
      <c r="I702" s="10" t="s">
        <v>55</v>
      </c>
      <c r="J702" s="10" t="s">
        <v>24559</v>
      </c>
      <c r="K702" s="10" t="s">
        <v>24560</v>
      </c>
      <c r="L702" s="10" t="s">
        <v>42</v>
      </c>
    </row>
    <row r="703" ht="15.75" customHeight="1">
      <c r="A703" s="66">
        <v>45492.0</v>
      </c>
      <c r="B703" s="55" t="str">
        <f>HYPERLINK("https://jobright.ai/jobs/info/669ae2a7f776b6fd3c6f9c3b?utm_campaign=1057&amp;utm_source=sheet", "Apply")</f>
        <v>Apply</v>
      </c>
      <c r="C703" s="10" t="s">
        <v>24561</v>
      </c>
      <c r="D703" s="56" t="s">
        <v>24562</v>
      </c>
      <c r="E703" s="10" t="s">
        <v>71</v>
      </c>
      <c r="F703" s="10" t="s">
        <v>14959</v>
      </c>
      <c r="G703" s="10" t="s">
        <v>24043</v>
      </c>
      <c r="H703" s="10" t="s">
        <v>810</v>
      </c>
      <c r="I703" s="10" t="s">
        <v>55</v>
      </c>
      <c r="K703" s="10" t="s">
        <v>24563</v>
      </c>
      <c r="L703" s="10" t="s">
        <v>42</v>
      </c>
    </row>
    <row r="704" ht="15.75" customHeight="1">
      <c r="A704" s="66">
        <v>45492.0</v>
      </c>
      <c r="B704" s="55" t="str">
        <f>HYPERLINK("https://jobright.ai/jobs/info/669ae2a7f776b6fd3c6f9c5c?utm_campaign=1057&amp;utm_source=sheet", "Apply")</f>
        <v>Apply</v>
      </c>
      <c r="C704" s="10" t="s">
        <v>24564</v>
      </c>
      <c r="D704" s="56" t="s">
        <v>24562</v>
      </c>
      <c r="E704" s="10" t="s">
        <v>71</v>
      </c>
      <c r="F704" s="10" t="s">
        <v>14959</v>
      </c>
      <c r="G704" s="10" t="s">
        <v>24022</v>
      </c>
      <c r="H704" s="10" t="s">
        <v>24565</v>
      </c>
      <c r="I704" s="10" t="s">
        <v>55</v>
      </c>
      <c r="K704" s="10" t="s">
        <v>24563</v>
      </c>
      <c r="L704" s="10" t="s">
        <v>42</v>
      </c>
    </row>
    <row r="705" ht="15.75" customHeight="1">
      <c r="A705" s="66">
        <v>45492.0</v>
      </c>
      <c r="B705" s="55" t="str">
        <f>HYPERLINK("https://jobright.ai/jobs/info/669aed15bb55c2faf516402f?utm_campaign=1057&amp;utm_source=sheet", "Apply")</f>
        <v>Apply</v>
      </c>
      <c r="C705" s="10" t="s">
        <v>24566</v>
      </c>
      <c r="D705" s="56" t="s">
        <v>1547</v>
      </c>
      <c r="E705" s="10">
        <v>408.0</v>
      </c>
      <c r="G705" s="10" t="s">
        <v>24031</v>
      </c>
      <c r="H705" s="10" t="s">
        <v>4073</v>
      </c>
      <c r="I705" s="10" t="s">
        <v>55</v>
      </c>
      <c r="J705" s="10" t="s">
        <v>24567</v>
      </c>
      <c r="K705" s="10" t="s">
        <v>24568</v>
      </c>
      <c r="L705" s="10" t="s">
        <v>42</v>
      </c>
    </row>
    <row r="706" ht="15.75" customHeight="1">
      <c r="A706" s="66">
        <v>45492.0</v>
      </c>
      <c r="B706" s="55" t="str">
        <f>HYPERLINK("https://jobright.ai/jobs/info/669adb905d47756f9c801a91?utm_campaign=1057&amp;utm_source=sheet", "Apply")</f>
        <v>Apply</v>
      </c>
      <c r="C706" s="10" t="s">
        <v>24569</v>
      </c>
      <c r="D706" s="56" t="s">
        <v>1547</v>
      </c>
      <c r="E706" s="10">
        <v>408.0</v>
      </c>
      <c r="G706" s="10" t="s">
        <v>24022</v>
      </c>
      <c r="H706" s="10" t="s">
        <v>4073</v>
      </c>
      <c r="I706" s="10" t="s">
        <v>55</v>
      </c>
      <c r="J706" s="10" t="s">
        <v>24567</v>
      </c>
      <c r="K706" s="10" t="s">
        <v>24570</v>
      </c>
      <c r="L706" s="10" t="s">
        <v>42</v>
      </c>
    </row>
    <row r="707" ht="15.75" customHeight="1">
      <c r="A707" s="66">
        <v>45492.0</v>
      </c>
      <c r="B707" s="55" t="str">
        <f>HYPERLINK("https://jobright.ai/jobs/info/669ad63ff41e12dc68a644dc?utm_campaign=1057&amp;utm_source=sheet", "Apply")</f>
        <v>Apply</v>
      </c>
      <c r="C707" s="10" t="s">
        <v>24571</v>
      </c>
      <c r="D707" s="56" t="s">
        <v>14671</v>
      </c>
      <c r="G707" s="10" t="s">
        <v>24022</v>
      </c>
      <c r="H707" s="10" t="s">
        <v>7569</v>
      </c>
      <c r="I707" s="10" t="s">
        <v>55</v>
      </c>
      <c r="K707" s="10" t="s">
        <v>24572</v>
      </c>
      <c r="L707" s="10" t="s">
        <v>42</v>
      </c>
    </row>
    <row r="708" ht="15.75" customHeight="1">
      <c r="A708" s="66">
        <v>45492.0</v>
      </c>
      <c r="B708" s="55" t="str">
        <f>HYPERLINK("https://jobright.ai/jobs/info/66a3f972c344e12ad54414ef?utm_campaign=1057&amp;utm_source=sheet", "Apply")</f>
        <v>Apply</v>
      </c>
      <c r="C708" s="10" t="s">
        <v>24573</v>
      </c>
      <c r="D708" s="56" t="s">
        <v>24574</v>
      </c>
      <c r="G708" s="10" t="s">
        <v>24022</v>
      </c>
      <c r="H708" s="10" t="s">
        <v>24575</v>
      </c>
      <c r="I708" s="10" t="s">
        <v>55</v>
      </c>
      <c r="K708" s="10" t="s">
        <v>24576</v>
      </c>
      <c r="L708" s="10" t="s">
        <v>42</v>
      </c>
    </row>
    <row r="709" ht="15.75" customHeight="1">
      <c r="A709" s="66">
        <v>45492.0</v>
      </c>
      <c r="B709" s="55" t="str">
        <f>HYPERLINK("https://jobright.ai/jobs/info/669aa2e47c95987868d8396c?utm_campaign=1057&amp;utm_source=sheet", "Apply")</f>
        <v>Apply</v>
      </c>
      <c r="C709" s="10" t="s">
        <v>24577</v>
      </c>
      <c r="D709" s="56" t="s">
        <v>24578</v>
      </c>
      <c r="E709" s="10">
        <v>35.0</v>
      </c>
      <c r="G709" s="10" t="s">
        <v>24031</v>
      </c>
      <c r="H709" s="10" t="s">
        <v>131</v>
      </c>
      <c r="I709" s="10" t="s">
        <v>55</v>
      </c>
      <c r="J709" s="10" t="s">
        <v>24579</v>
      </c>
      <c r="K709" s="10" t="s">
        <v>24580</v>
      </c>
      <c r="L709" s="10" t="s">
        <v>42</v>
      </c>
    </row>
    <row r="710" ht="15.75" customHeight="1">
      <c r="A710" s="66">
        <v>45492.0</v>
      </c>
      <c r="B710" s="55" t="str">
        <f>HYPERLINK("https://jobright.ai/jobs/info/6695a0d6c508bc0fadf56424?utm_campaign=1057&amp;utm_source=sheet", "Apply")</f>
        <v>Apply</v>
      </c>
      <c r="C710" s="10" t="s">
        <v>24581</v>
      </c>
      <c r="D710" s="56" t="s">
        <v>5458</v>
      </c>
      <c r="E710" s="10" t="s">
        <v>45</v>
      </c>
      <c r="F710" s="10" t="s">
        <v>3920</v>
      </c>
      <c r="G710" s="10" t="s">
        <v>24043</v>
      </c>
      <c r="H710" s="10" t="s">
        <v>106</v>
      </c>
      <c r="I710" s="10" t="s">
        <v>55</v>
      </c>
      <c r="K710" s="10" t="s">
        <v>24582</v>
      </c>
      <c r="L710" s="10" t="s">
        <v>42</v>
      </c>
    </row>
    <row r="711" ht="15.75" customHeight="1">
      <c r="A711" s="66">
        <v>45492.0</v>
      </c>
      <c r="B711" s="55" t="str">
        <f>HYPERLINK("https://jobright.ai/jobs/info/66a3fdb8d61cea1521a47495?utm_campaign=1057&amp;utm_source=sheet", "Apply")</f>
        <v>Apply</v>
      </c>
      <c r="C711" s="10" t="s">
        <v>24417</v>
      </c>
      <c r="D711" s="56" t="s">
        <v>4448</v>
      </c>
      <c r="E711" s="10" t="s">
        <v>71</v>
      </c>
      <c r="F711" s="10" t="s">
        <v>4449</v>
      </c>
      <c r="G711" s="10" t="s">
        <v>24043</v>
      </c>
      <c r="H711" s="10" t="s">
        <v>628</v>
      </c>
      <c r="I711" s="10" t="s">
        <v>55</v>
      </c>
      <c r="K711" s="10" t="s">
        <v>24062</v>
      </c>
      <c r="L711" s="10" t="s">
        <v>42</v>
      </c>
    </row>
    <row r="712" ht="15.75" customHeight="1">
      <c r="A712" s="66">
        <v>45492.0</v>
      </c>
      <c r="B712" s="55" t="str">
        <f>HYPERLINK("https://jobright.ai/jobs/info/66a3fdd1d61cea1521a475dc?utm_campaign=1057&amp;utm_source=sheet", "Apply")</f>
        <v>Apply</v>
      </c>
      <c r="C712" s="10" t="s">
        <v>24583</v>
      </c>
      <c r="D712" s="56" t="s">
        <v>24574</v>
      </c>
      <c r="G712" s="10" t="s">
        <v>24022</v>
      </c>
      <c r="H712" s="10" t="s">
        <v>24575</v>
      </c>
      <c r="I712" s="10" t="s">
        <v>55</v>
      </c>
      <c r="K712" s="10" t="s">
        <v>24576</v>
      </c>
      <c r="L712" s="10" t="s">
        <v>42</v>
      </c>
    </row>
    <row r="713" ht="15.75" customHeight="1">
      <c r="A713" s="66">
        <v>45492.0</v>
      </c>
      <c r="B713" s="55" t="str">
        <f>HYPERLINK("https://jobright.ai/jobs/info/66a3fddcd61cea1521a4768a?utm_campaign=1057&amp;utm_source=sheet", "Apply")</f>
        <v>Apply</v>
      </c>
      <c r="C713" s="10" t="s">
        <v>24374</v>
      </c>
      <c r="D713" s="56" t="s">
        <v>4448</v>
      </c>
      <c r="E713" s="10" t="s">
        <v>71</v>
      </c>
      <c r="F713" s="10" t="s">
        <v>4449</v>
      </c>
      <c r="G713" s="10" t="s">
        <v>24043</v>
      </c>
      <c r="H713" s="10" t="s">
        <v>7380</v>
      </c>
      <c r="I713" s="10" t="s">
        <v>55</v>
      </c>
      <c r="K713" s="10" t="s">
        <v>4450</v>
      </c>
      <c r="L713" s="10" t="s">
        <v>42</v>
      </c>
    </row>
    <row r="714" ht="15.75" customHeight="1">
      <c r="A714" s="66">
        <v>45492.0</v>
      </c>
      <c r="B714" s="55" t="str">
        <f>HYPERLINK("https://jobright.ai/jobs/info/669a89d0f84b499eedb492eb?utm_campaign=1057&amp;utm_source=sheet", "Apply")</f>
        <v>Apply</v>
      </c>
      <c r="C714" s="10" t="s">
        <v>24584</v>
      </c>
      <c r="D714" s="56" t="s">
        <v>24585</v>
      </c>
      <c r="E714" s="10" t="s">
        <v>71</v>
      </c>
      <c r="F714" s="10" t="s">
        <v>1234</v>
      </c>
      <c r="G714" s="10" t="s">
        <v>24031</v>
      </c>
      <c r="H714" s="10" t="s">
        <v>15886</v>
      </c>
      <c r="I714" s="10" t="s">
        <v>55</v>
      </c>
      <c r="K714" s="10" t="s">
        <v>24586</v>
      </c>
      <c r="L714" s="10" t="s">
        <v>42</v>
      </c>
    </row>
    <row r="715" ht="15.75" customHeight="1">
      <c r="A715" s="66">
        <v>45492.0</v>
      </c>
      <c r="B715" s="55" t="str">
        <f>HYPERLINK("https://jobright.ai/jobs/info/669fb2bfb78dda6ddf890754?utm_campaign=1057&amp;utm_source=sheet", "Apply")</f>
        <v>Apply</v>
      </c>
      <c r="C715" s="10" t="s">
        <v>24587</v>
      </c>
      <c r="D715" s="56" t="s">
        <v>13789</v>
      </c>
      <c r="F715" s="10" t="s">
        <v>1243</v>
      </c>
      <c r="G715" s="10" t="s">
        <v>24031</v>
      </c>
      <c r="H715" s="10" t="s">
        <v>4627</v>
      </c>
      <c r="I715" s="10" t="s">
        <v>55</v>
      </c>
      <c r="J715" s="10" t="s">
        <v>2217</v>
      </c>
      <c r="K715" s="10" t="s">
        <v>24588</v>
      </c>
      <c r="L715" s="10" t="s">
        <v>42</v>
      </c>
    </row>
    <row r="716" ht="15.75" customHeight="1">
      <c r="A716" s="66">
        <v>45492.0</v>
      </c>
      <c r="B716" s="55" t="str">
        <f>HYPERLINK("https://jobright.ai/jobs/info/66a3fdf4d61cea1521a47838?utm_campaign=1057&amp;utm_source=sheet", "Apply")</f>
        <v>Apply</v>
      </c>
      <c r="C716" s="10" t="s">
        <v>8245</v>
      </c>
      <c r="D716" s="56" t="s">
        <v>4448</v>
      </c>
      <c r="E716" s="10" t="s">
        <v>71</v>
      </c>
      <c r="F716" s="10" t="s">
        <v>4449</v>
      </c>
      <c r="G716" s="10" t="s">
        <v>24043</v>
      </c>
      <c r="H716" s="10" t="s">
        <v>628</v>
      </c>
      <c r="I716" s="10" t="s">
        <v>55</v>
      </c>
      <c r="K716" s="10" t="s">
        <v>24062</v>
      </c>
      <c r="L716" s="10" t="s">
        <v>42</v>
      </c>
    </row>
    <row r="717" ht="15.75" customHeight="1">
      <c r="A717" s="66">
        <v>45492.0</v>
      </c>
      <c r="B717" s="55" t="str">
        <f>HYPERLINK("https://jobright.ai/jobs/info/66a3fda5d61cea1521a472f3?utm_campaign=1057&amp;utm_source=sheet", "Apply")</f>
        <v>Apply</v>
      </c>
      <c r="C717" s="10" t="s">
        <v>24589</v>
      </c>
      <c r="D717" s="56" t="s">
        <v>7823</v>
      </c>
      <c r="E717" s="10" t="s">
        <v>45</v>
      </c>
      <c r="F717" s="10" t="s">
        <v>2409</v>
      </c>
      <c r="G717" s="10" t="s">
        <v>24031</v>
      </c>
      <c r="H717" s="10" t="s">
        <v>18921</v>
      </c>
      <c r="I717" s="10" t="s">
        <v>55</v>
      </c>
      <c r="J717" s="10" t="s">
        <v>24590</v>
      </c>
      <c r="L717" s="10" t="s">
        <v>42</v>
      </c>
    </row>
    <row r="718" ht="15.75" customHeight="1">
      <c r="A718" s="66">
        <v>45492.0</v>
      </c>
      <c r="B718" s="55" t="str">
        <f>HYPERLINK("https://jobright.ai/jobs/info/66a3fda5d61cea1521a47318?utm_campaign=1057&amp;utm_source=sheet", "Apply")</f>
        <v>Apply</v>
      </c>
      <c r="C718" s="10" t="s">
        <v>24591</v>
      </c>
      <c r="D718" s="56" t="s">
        <v>24592</v>
      </c>
      <c r="E718" s="10" t="s">
        <v>249</v>
      </c>
      <c r="F718" s="10" t="s">
        <v>7044</v>
      </c>
      <c r="G718" s="10" t="s">
        <v>24043</v>
      </c>
      <c r="H718" s="10" t="s">
        <v>966</v>
      </c>
      <c r="I718" s="10" t="s">
        <v>55</v>
      </c>
      <c r="K718" s="10" t="s">
        <v>24593</v>
      </c>
      <c r="L718" s="10" t="s">
        <v>42</v>
      </c>
    </row>
    <row r="719" ht="15.75" customHeight="1">
      <c r="A719" s="66">
        <v>45492.0</v>
      </c>
      <c r="B719" s="55" t="str">
        <f>HYPERLINK("https://jobright.ai/jobs/info/6661100d5a5d64f372b89c23?utm_campaign=1057&amp;utm_source=sheet", "Apply")</f>
        <v>Apply</v>
      </c>
      <c r="C719" s="10" t="s">
        <v>24232</v>
      </c>
      <c r="D719" s="56" t="s">
        <v>20697</v>
      </c>
      <c r="E719" s="10" t="s">
        <v>209</v>
      </c>
      <c r="F719" s="10" t="s">
        <v>2617</v>
      </c>
      <c r="G719" s="10" t="s">
        <v>24043</v>
      </c>
      <c r="H719" s="10" t="s">
        <v>24594</v>
      </c>
      <c r="I719" s="10" t="s">
        <v>55</v>
      </c>
      <c r="J719" s="10" t="s">
        <v>24234</v>
      </c>
      <c r="K719" s="10" t="s">
        <v>24235</v>
      </c>
      <c r="L719" s="10" t="s">
        <v>42</v>
      </c>
    </row>
    <row r="720" ht="15.75" customHeight="1">
      <c r="A720" s="66">
        <v>45492.0</v>
      </c>
      <c r="B720" s="55" t="str">
        <f>HYPERLINK("https://jobright.ai/jobs/info/669caf576fda3986568700ba?utm_campaign=1057&amp;utm_source=sheet", "Apply")</f>
        <v>Apply</v>
      </c>
      <c r="C720" s="10" t="s">
        <v>10658</v>
      </c>
      <c r="D720" s="56" t="s">
        <v>1757</v>
      </c>
      <c r="E720" s="10">
        <v>15243.0</v>
      </c>
      <c r="G720" s="10" t="s">
        <v>24022</v>
      </c>
      <c r="H720" s="10" t="s">
        <v>165</v>
      </c>
      <c r="I720" s="10" t="s">
        <v>55</v>
      </c>
      <c r="J720" s="10" t="s">
        <v>24595</v>
      </c>
      <c r="K720" s="10" t="s">
        <v>24596</v>
      </c>
      <c r="L720" s="10" t="s">
        <v>42</v>
      </c>
    </row>
    <row r="721" ht="15.75" customHeight="1">
      <c r="A721" s="66">
        <v>45492.0</v>
      </c>
      <c r="B721" s="55" t="str">
        <f>HYPERLINK("https://jobright.ai/jobs/info/669df82c0791324c7bc68e22?utm_campaign=1057&amp;utm_source=sheet", "Apply")</f>
        <v>Apply</v>
      </c>
      <c r="C721" s="10" t="s">
        <v>10658</v>
      </c>
      <c r="D721" s="56" t="s">
        <v>1757</v>
      </c>
      <c r="E721" s="10">
        <v>15243.0</v>
      </c>
      <c r="G721" s="10" t="s">
        <v>24022</v>
      </c>
      <c r="H721" s="10" t="s">
        <v>165</v>
      </c>
      <c r="I721" s="10" t="s">
        <v>55</v>
      </c>
      <c r="K721" s="10" t="s">
        <v>24597</v>
      </c>
      <c r="L721" s="10" t="s">
        <v>42</v>
      </c>
    </row>
    <row r="722" ht="15.75" customHeight="1">
      <c r="A722" s="66">
        <v>45492.0</v>
      </c>
      <c r="B722" s="55" t="str">
        <f>HYPERLINK("https://jobright.ai/jobs/info/669b48006e676d2b3d09d7ea?utm_campaign=1057&amp;utm_source=sheet", "Apply")</f>
        <v>Apply</v>
      </c>
      <c r="C722" s="10" t="s">
        <v>24598</v>
      </c>
      <c r="D722" s="56" t="s">
        <v>24599</v>
      </c>
      <c r="E722" s="10" t="s">
        <v>79</v>
      </c>
      <c r="G722" s="10" t="s">
        <v>24022</v>
      </c>
      <c r="H722" s="10" t="s">
        <v>607</v>
      </c>
      <c r="I722" s="10" t="s">
        <v>55</v>
      </c>
      <c r="J722" s="10" t="s">
        <v>3125</v>
      </c>
      <c r="K722" s="10" t="s">
        <v>24600</v>
      </c>
      <c r="L722" s="10" t="s">
        <v>42</v>
      </c>
    </row>
    <row r="723" ht="15.75" customHeight="1">
      <c r="A723" s="66">
        <v>45492.0</v>
      </c>
      <c r="B723" s="55" t="str">
        <f>HYPERLINK("https://jobright.ai/jobs/info/6699e8449604748bd1ee3650?utm_campaign=1057&amp;utm_source=sheet", "Apply")</f>
        <v>Apply</v>
      </c>
      <c r="C723" s="10" t="s">
        <v>24601</v>
      </c>
      <c r="D723" s="56" t="s">
        <v>8784</v>
      </c>
      <c r="E723" s="10" t="s">
        <v>65</v>
      </c>
      <c r="G723" s="10" t="s">
        <v>24022</v>
      </c>
      <c r="H723" s="10" t="s">
        <v>8785</v>
      </c>
      <c r="I723" s="10" t="s">
        <v>55</v>
      </c>
      <c r="J723" s="10" t="s">
        <v>24602</v>
      </c>
      <c r="K723" s="10" t="s">
        <v>19230</v>
      </c>
      <c r="L723" s="10" t="s">
        <v>42</v>
      </c>
    </row>
    <row r="724" ht="15.75" customHeight="1">
      <c r="A724" s="66">
        <v>45492.0</v>
      </c>
      <c r="B724" s="55" t="str">
        <f>HYPERLINK("https://jobright.ai/jobs/info/6699e3d32005736eb5060103?utm_campaign=1057&amp;utm_source=sheet", "Apply")</f>
        <v>Apply</v>
      </c>
      <c r="C724" s="10" t="s">
        <v>24603</v>
      </c>
      <c r="D724" s="56" t="s">
        <v>24292</v>
      </c>
      <c r="E724" s="10" t="s">
        <v>65</v>
      </c>
      <c r="F724" s="10" t="s">
        <v>2617</v>
      </c>
      <c r="G724" s="10" t="s">
        <v>24022</v>
      </c>
      <c r="H724" s="10" t="s">
        <v>774</v>
      </c>
      <c r="I724" s="10" t="s">
        <v>55</v>
      </c>
      <c r="K724" s="10" t="s">
        <v>24293</v>
      </c>
      <c r="L724" s="10" t="s">
        <v>42</v>
      </c>
    </row>
    <row r="725" ht="15.75" customHeight="1">
      <c r="A725" s="66">
        <v>45492.0</v>
      </c>
      <c r="B725" s="55" t="str">
        <f>HYPERLINK("https://jobright.ai/jobs/info/669b030092553d9511d7121c?utm_campaign=1057&amp;utm_source=sheet", "Apply")</f>
        <v>Apply</v>
      </c>
      <c r="C725" s="10" t="s">
        <v>24604</v>
      </c>
      <c r="D725" s="56" t="s">
        <v>24605</v>
      </c>
      <c r="E725" s="10" t="s">
        <v>79</v>
      </c>
      <c r="F725" s="10" t="s">
        <v>11362</v>
      </c>
      <c r="G725" s="10" t="s">
        <v>24022</v>
      </c>
      <c r="H725" s="10" t="s">
        <v>24606</v>
      </c>
      <c r="I725" s="10" t="s">
        <v>55</v>
      </c>
      <c r="J725" s="10" t="s">
        <v>24607</v>
      </c>
      <c r="K725" s="10" t="s">
        <v>24608</v>
      </c>
      <c r="L725" s="10" t="s">
        <v>42</v>
      </c>
    </row>
    <row r="726" ht="15.75" customHeight="1">
      <c r="A726" s="66">
        <v>45491.0</v>
      </c>
      <c r="B726" s="55" t="str">
        <f>HYPERLINK("https://jobright.ai/jobs/info/6699bbfbe8a08dd85247accd?utm_campaign=1057&amp;utm_source=sheet", "Apply")</f>
        <v>Apply</v>
      </c>
      <c r="C726" s="10" t="s">
        <v>24609</v>
      </c>
      <c r="D726" s="56" t="s">
        <v>1636</v>
      </c>
      <c r="E726" s="10">
        <v>6029.0</v>
      </c>
      <c r="G726" s="10" t="s">
        <v>24022</v>
      </c>
      <c r="H726" s="10" t="s">
        <v>170</v>
      </c>
      <c r="I726" s="10" t="s">
        <v>55</v>
      </c>
      <c r="J726" s="10" t="s">
        <v>1637</v>
      </c>
      <c r="K726" s="10" t="s">
        <v>24610</v>
      </c>
      <c r="L726" s="10" t="s">
        <v>42</v>
      </c>
    </row>
    <row r="727" ht="15.75" customHeight="1">
      <c r="A727" s="66">
        <v>45491.0</v>
      </c>
      <c r="B727" s="55" t="str">
        <f>HYPERLINK("https://jobright.ai/jobs/info/6699c62476390e6740f75d7d?utm_campaign=1057&amp;utm_source=sheet", "Apply")</f>
        <v>Apply</v>
      </c>
      <c r="C727" s="10" t="s">
        <v>24114</v>
      </c>
      <c r="D727" s="56" t="s">
        <v>24115</v>
      </c>
      <c r="F727" s="10" t="s">
        <v>1506</v>
      </c>
      <c r="G727" s="10" t="s">
        <v>24031</v>
      </c>
      <c r="H727" s="10" t="s">
        <v>24611</v>
      </c>
      <c r="I727" s="10" t="s">
        <v>55</v>
      </c>
      <c r="J727" s="10" t="s">
        <v>24116</v>
      </c>
      <c r="K727" s="10" t="s">
        <v>24612</v>
      </c>
      <c r="L727" s="10" t="s">
        <v>42</v>
      </c>
    </row>
    <row r="728" ht="15.75" customHeight="1">
      <c r="A728" s="66">
        <v>45491.0</v>
      </c>
      <c r="B728" s="55" t="str">
        <f>HYPERLINK("https://jobright.ai/jobs/info/6699b77ca88c5ef0817a6097?utm_campaign=1057&amp;utm_source=sheet", "Apply")</f>
        <v>Apply</v>
      </c>
      <c r="C728" s="10" t="s">
        <v>2066</v>
      </c>
      <c r="D728" s="56" t="s">
        <v>2069</v>
      </c>
      <c r="E728" s="10" t="s">
        <v>65</v>
      </c>
      <c r="F728" s="10" t="s">
        <v>1663</v>
      </c>
      <c r="G728" s="10" t="s">
        <v>24031</v>
      </c>
      <c r="H728" s="10" t="s">
        <v>2070</v>
      </c>
      <c r="I728" s="10" t="s">
        <v>55</v>
      </c>
      <c r="K728" s="10" t="s">
        <v>8987</v>
      </c>
      <c r="L728" s="10" t="s">
        <v>42</v>
      </c>
    </row>
    <row r="729" ht="15.75" customHeight="1">
      <c r="A729" s="66">
        <v>45491.0</v>
      </c>
      <c r="B729" s="55" t="str">
        <f>HYPERLINK("https://jobright.ai/jobs/info/6699ceb2560d5796a5dc9f99?utm_campaign=1057&amp;utm_source=sheet", "Apply")</f>
        <v>Apply</v>
      </c>
      <c r="C729" s="10" t="s">
        <v>24613</v>
      </c>
      <c r="D729" s="56" t="s">
        <v>24115</v>
      </c>
      <c r="F729" s="10" t="s">
        <v>1506</v>
      </c>
      <c r="G729" s="10" t="s">
        <v>24031</v>
      </c>
      <c r="H729" s="10" t="s">
        <v>24614</v>
      </c>
      <c r="I729" s="10" t="s">
        <v>55</v>
      </c>
      <c r="J729" s="10" t="s">
        <v>24116</v>
      </c>
      <c r="K729" s="10" t="s">
        <v>24615</v>
      </c>
      <c r="L729" s="10" t="s">
        <v>42</v>
      </c>
    </row>
    <row r="730" ht="15.75" customHeight="1">
      <c r="A730" s="66">
        <v>45491.0</v>
      </c>
      <c r="B730" s="55" t="str">
        <f>HYPERLINK("https://jobright.ai/jobs/info/6699bdedd6c71afb47fbbff7?utm_campaign=1057&amp;utm_source=sheet", "Apply")</f>
        <v>Apply</v>
      </c>
      <c r="C730" s="10" t="s">
        <v>24130</v>
      </c>
      <c r="D730" s="56" t="s">
        <v>24616</v>
      </c>
      <c r="E730" s="10" t="s">
        <v>209</v>
      </c>
      <c r="F730" s="10" t="s">
        <v>1243</v>
      </c>
      <c r="G730" s="10" t="s">
        <v>24022</v>
      </c>
      <c r="H730" s="10" t="s">
        <v>1007</v>
      </c>
      <c r="I730" s="10" t="s">
        <v>55</v>
      </c>
      <c r="J730" s="10" t="s">
        <v>10660</v>
      </c>
      <c r="K730" s="10" t="s">
        <v>24617</v>
      </c>
      <c r="L730" s="10" t="s">
        <v>42</v>
      </c>
    </row>
    <row r="731" ht="15.75" customHeight="1">
      <c r="A731" s="66">
        <v>45491.0</v>
      </c>
      <c r="B731" s="55" t="str">
        <f>HYPERLINK("https://jobright.ai/jobs/info/6661f2d125bcd4e28e65fff5?utm_campaign=1057&amp;utm_source=sheet", "Apply")</f>
        <v>Apply</v>
      </c>
      <c r="C731" s="10" t="s">
        <v>24618</v>
      </c>
      <c r="D731" s="56" t="s">
        <v>1662</v>
      </c>
      <c r="E731" s="10" t="s">
        <v>209</v>
      </c>
      <c r="F731" s="10" t="s">
        <v>1663</v>
      </c>
      <c r="G731" s="10" t="s">
        <v>24031</v>
      </c>
      <c r="H731" s="10" t="s">
        <v>167</v>
      </c>
      <c r="I731" s="10" t="s">
        <v>55</v>
      </c>
      <c r="J731" s="10" t="s">
        <v>24619</v>
      </c>
      <c r="K731" s="10" t="s">
        <v>24620</v>
      </c>
      <c r="L731" s="10" t="s">
        <v>42</v>
      </c>
    </row>
    <row r="732" ht="15.75" customHeight="1">
      <c r="A732" s="66">
        <v>45491.0</v>
      </c>
      <c r="B732" s="55" t="str">
        <f>HYPERLINK("https://jobright.ai/jobs/info/6699816886a11b09c0350f6b?utm_campaign=1057&amp;utm_source=sheet", "Apply")</f>
        <v>Apply</v>
      </c>
      <c r="C732" s="10" t="s">
        <v>24621</v>
      </c>
      <c r="D732" s="56" t="s">
        <v>2925</v>
      </c>
      <c r="E732" s="10" t="s">
        <v>45</v>
      </c>
      <c r="F732" s="10" t="s">
        <v>2926</v>
      </c>
      <c r="G732" s="10" t="s">
        <v>24022</v>
      </c>
      <c r="H732" s="10" t="s">
        <v>807</v>
      </c>
      <c r="I732" s="10" t="s">
        <v>48</v>
      </c>
      <c r="K732" s="10" t="s">
        <v>22073</v>
      </c>
      <c r="L732" s="10" t="s">
        <v>42</v>
      </c>
    </row>
    <row r="733" ht="15.75" customHeight="1">
      <c r="A733" s="66">
        <v>45491.0</v>
      </c>
      <c r="B733" s="55" t="str">
        <f>HYPERLINK("https://jobright.ai/jobs/info/66997ca111aefe0c6415c0f3?utm_campaign=1057&amp;utm_source=sheet", "Apply")</f>
        <v>Apply</v>
      </c>
      <c r="C733" s="10" t="s">
        <v>24622</v>
      </c>
      <c r="D733" s="56" t="s">
        <v>24623</v>
      </c>
      <c r="E733" s="10">
        <v>49.0</v>
      </c>
      <c r="G733" s="10" t="s">
        <v>24043</v>
      </c>
      <c r="H733" s="10" t="s">
        <v>10523</v>
      </c>
      <c r="I733" s="10" t="s">
        <v>48</v>
      </c>
      <c r="J733" s="10" t="s">
        <v>1984</v>
      </c>
      <c r="K733" s="10" t="s">
        <v>24624</v>
      </c>
      <c r="L733" s="10" t="s">
        <v>42</v>
      </c>
    </row>
    <row r="734" ht="15.75" customHeight="1">
      <c r="A734" s="66">
        <v>45491.0</v>
      </c>
      <c r="B734" s="55" t="str">
        <f>HYPERLINK("https://jobright.ai/jobs/info/669974efbafe4ca966734cca?utm_campaign=1057&amp;utm_source=sheet", "Apply")</f>
        <v>Apply</v>
      </c>
      <c r="C734" s="10" t="s">
        <v>24609</v>
      </c>
      <c r="D734" s="56" t="s">
        <v>1636</v>
      </c>
      <c r="E734" s="10">
        <v>6029.0</v>
      </c>
      <c r="G734" s="10" t="s">
        <v>24022</v>
      </c>
      <c r="H734" s="10" t="s">
        <v>170</v>
      </c>
      <c r="I734" s="10" t="s">
        <v>55</v>
      </c>
      <c r="J734" s="10" t="s">
        <v>1637</v>
      </c>
      <c r="K734" s="10" t="s">
        <v>24625</v>
      </c>
      <c r="L734" s="10" t="s">
        <v>42</v>
      </c>
    </row>
    <row r="735" ht="15.75" customHeight="1">
      <c r="A735" s="66">
        <v>45491.0</v>
      </c>
      <c r="B735" s="55" t="str">
        <f>HYPERLINK("https://jobright.ai/jobs/info/669a7c39e97f34632044e1d4?utm_campaign=1057&amp;utm_source=sheet", "Apply")</f>
        <v>Apply</v>
      </c>
      <c r="C735" s="10" t="s">
        <v>24626</v>
      </c>
      <c r="D735" s="56" t="s">
        <v>24627</v>
      </c>
      <c r="E735" s="10" t="s">
        <v>65</v>
      </c>
      <c r="G735" s="10" t="s">
        <v>24043</v>
      </c>
      <c r="H735" s="10" t="s">
        <v>3275</v>
      </c>
      <c r="I735" s="10" t="s">
        <v>55</v>
      </c>
      <c r="K735" s="10" t="s">
        <v>24628</v>
      </c>
      <c r="L735" s="10" t="s">
        <v>42</v>
      </c>
    </row>
    <row r="736" ht="15.75" customHeight="1">
      <c r="A736" s="66">
        <v>45491.0</v>
      </c>
      <c r="B736" s="55" t="str">
        <f>HYPERLINK("https://jobright.ai/jobs/info/66994a8b4eef6966d6c9ff65?utm_campaign=1057&amp;utm_source=sheet", "Apply")</f>
        <v>Apply</v>
      </c>
      <c r="C736" s="10" t="s">
        <v>10658</v>
      </c>
      <c r="D736" s="56" t="s">
        <v>6758</v>
      </c>
      <c r="E736" s="10" t="s">
        <v>65</v>
      </c>
      <c r="F736" s="10" t="s">
        <v>1695</v>
      </c>
      <c r="G736" s="10" t="s">
        <v>24031</v>
      </c>
      <c r="H736" s="10" t="s">
        <v>3387</v>
      </c>
      <c r="I736" s="10" t="s">
        <v>55</v>
      </c>
      <c r="K736" s="10" t="s">
        <v>24629</v>
      </c>
      <c r="L736" s="10" t="s">
        <v>42</v>
      </c>
    </row>
    <row r="737" ht="15.75" customHeight="1">
      <c r="A737" s="66">
        <v>45491.0</v>
      </c>
      <c r="B737" s="55" t="str">
        <f>HYPERLINK("https://jobright.ai/jobs/info/66a26f1f4a58115fdebd66ef?utm_campaign=1057&amp;utm_source=sheet", "Apply")</f>
        <v>Apply</v>
      </c>
      <c r="C737" s="10" t="s">
        <v>24630</v>
      </c>
      <c r="D737" s="56" t="s">
        <v>22182</v>
      </c>
      <c r="E737" s="10" t="s">
        <v>79</v>
      </c>
      <c r="F737" s="10" t="s">
        <v>14654</v>
      </c>
      <c r="G737" s="10" t="s">
        <v>24043</v>
      </c>
      <c r="H737" s="10" t="s">
        <v>96</v>
      </c>
      <c r="I737" s="10" t="s">
        <v>55</v>
      </c>
      <c r="K737" s="10" t="s">
        <v>24631</v>
      </c>
      <c r="L737" s="10" t="s">
        <v>42</v>
      </c>
    </row>
    <row r="738" ht="15.75" customHeight="1">
      <c r="A738" s="66">
        <v>45491.0</v>
      </c>
      <c r="B738" s="55" t="str">
        <f>HYPERLINK("https://jobright.ai/jobs/info/669d14716f6497fd2712f060?utm_campaign=1057&amp;utm_source=sheet", "Apply")</f>
        <v>Apply</v>
      </c>
      <c r="C738" s="10" t="s">
        <v>24632</v>
      </c>
      <c r="D738" s="56" t="s">
        <v>24046</v>
      </c>
      <c r="E738" s="10" t="s">
        <v>137</v>
      </c>
      <c r="F738" s="10" t="s">
        <v>24047</v>
      </c>
      <c r="G738" s="10" t="s">
        <v>24022</v>
      </c>
      <c r="H738" s="10" t="s">
        <v>3387</v>
      </c>
      <c r="I738" s="10" t="s">
        <v>55</v>
      </c>
      <c r="J738" s="10" t="s">
        <v>24048</v>
      </c>
      <c r="K738" s="10" t="s">
        <v>24049</v>
      </c>
      <c r="L738" s="10" t="s">
        <v>42</v>
      </c>
    </row>
    <row r="739" ht="15.75" customHeight="1">
      <c r="A739" s="66">
        <v>45491.0</v>
      </c>
      <c r="B739" s="55" t="str">
        <f>HYPERLINK("https://jobright.ai/jobs/info/668d5938687665eb3986aae3?utm_campaign=1057&amp;utm_source=sheet", "Apply")</f>
        <v>Apply</v>
      </c>
      <c r="C739" s="10" t="s">
        <v>24633</v>
      </c>
      <c r="D739" s="56" t="s">
        <v>1989</v>
      </c>
      <c r="E739" s="10">
        <v>11491.0</v>
      </c>
      <c r="G739" s="10" t="s">
        <v>24043</v>
      </c>
      <c r="H739" s="10" t="s">
        <v>1990</v>
      </c>
      <c r="I739" s="10" t="s">
        <v>55</v>
      </c>
      <c r="K739" s="10" t="s">
        <v>24634</v>
      </c>
      <c r="L739" s="10" t="s">
        <v>42</v>
      </c>
    </row>
    <row r="740" ht="15.75" customHeight="1">
      <c r="A740" s="66">
        <v>45491.0</v>
      </c>
      <c r="B740" s="55" t="str">
        <f>HYPERLINK("https://jobright.ai/jobs/info/66a0fc305adfd0bdf9ac4d19?utm_campaign=1057&amp;utm_source=sheet", "Apply")</f>
        <v>Apply</v>
      </c>
      <c r="C740" s="10" t="s">
        <v>24443</v>
      </c>
      <c r="D740" s="56" t="s">
        <v>4448</v>
      </c>
      <c r="E740" s="10" t="s">
        <v>71</v>
      </c>
      <c r="F740" s="10" t="s">
        <v>4449</v>
      </c>
      <c r="G740" s="10" t="s">
        <v>24043</v>
      </c>
      <c r="H740" s="10" t="s">
        <v>628</v>
      </c>
      <c r="I740" s="10" t="s">
        <v>55</v>
      </c>
      <c r="K740" s="10" t="s">
        <v>4450</v>
      </c>
      <c r="L740" s="10" t="s">
        <v>42</v>
      </c>
    </row>
    <row r="741" ht="15.75" customHeight="1">
      <c r="A741" s="66">
        <v>45491.0</v>
      </c>
      <c r="B741" s="55" t="str">
        <f>HYPERLINK("https://jobright.ai/jobs/info/669bac7abe8d79230df06a99?utm_campaign=1057&amp;utm_source=sheet", "Apply")</f>
        <v>Apply</v>
      </c>
      <c r="C741" s="10" t="s">
        <v>24635</v>
      </c>
      <c r="D741" s="56" t="s">
        <v>24636</v>
      </c>
      <c r="E741" s="10" t="s">
        <v>249</v>
      </c>
      <c r="F741" s="10" t="s">
        <v>1506</v>
      </c>
      <c r="G741" s="10" t="s">
        <v>24022</v>
      </c>
      <c r="H741" s="10" t="s">
        <v>3847</v>
      </c>
      <c r="I741" s="10" t="s">
        <v>55</v>
      </c>
      <c r="K741" s="10" t="s">
        <v>24637</v>
      </c>
      <c r="L741" s="10" t="s">
        <v>42</v>
      </c>
    </row>
    <row r="742" ht="15.75" customHeight="1">
      <c r="A742" s="66">
        <v>45491.0</v>
      </c>
      <c r="B742" s="55" t="str">
        <f>HYPERLINK("https://jobright.ai/jobs/info/669ba8f6b14cf70eadd8b763?utm_campaign=1057&amp;utm_source=sheet", "Apply")</f>
        <v>Apply</v>
      </c>
      <c r="C742" s="10" t="s">
        <v>24638</v>
      </c>
      <c r="D742" s="56" t="s">
        <v>13240</v>
      </c>
      <c r="E742" s="10" t="s">
        <v>249</v>
      </c>
      <c r="F742" s="10" t="s">
        <v>13241</v>
      </c>
      <c r="G742" s="10" t="s">
        <v>24022</v>
      </c>
      <c r="H742" s="10" t="s">
        <v>159</v>
      </c>
      <c r="I742" s="10" t="s">
        <v>55</v>
      </c>
      <c r="J742" s="10" t="s">
        <v>3294</v>
      </c>
      <c r="K742" s="10" t="s">
        <v>24639</v>
      </c>
      <c r="L742" s="10" t="s">
        <v>42</v>
      </c>
    </row>
    <row r="743" ht="15.75" customHeight="1">
      <c r="A743" s="66">
        <v>45491.0</v>
      </c>
      <c r="B743" s="55" t="str">
        <f>HYPERLINK("https://jobright.ai/jobs/info/669ba4d0570252d0306ef0d6?utm_campaign=1057&amp;utm_source=sheet", "Apply")</f>
        <v>Apply</v>
      </c>
      <c r="C743" s="10" t="s">
        <v>24640</v>
      </c>
      <c r="D743" s="56" t="s">
        <v>17975</v>
      </c>
      <c r="E743" s="10" t="s">
        <v>65</v>
      </c>
      <c r="F743" s="10" t="s">
        <v>1234</v>
      </c>
      <c r="G743" s="10" t="s">
        <v>24022</v>
      </c>
      <c r="H743" s="10" t="s">
        <v>216</v>
      </c>
      <c r="I743" s="10" t="s">
        <v>55</v>
      </c>
      <c r="J743" s="10" t="s">
        <v>24177</v>
      </c>
      <c r="K743" s="10" t="s">
        <v>24641</v>
      </c>
      <c r="L743" s="10" t="s">
        <v>42</v>
      </c>
    </row>
    <row r="744" ht="15.75" customHeight="1">
      <c r="A744" s="66">
        <v>45491.0</v>
      </c>
      <c r="B744" s="55" t="str">
        <f>HYPERLINK("https://jobright.ai/jobs/info/667c9c6f5bb91f3e5e18c056?utm_campaign=1057&amp;utm_source=sheet", "Apply")</f>
        <v>Apply</v>
      </c>
      <c r="C744" s="10" t="s">
        <v>24642</v>
      </c>
      <c r="D744" s="56" t="s">
        <v>24292</v>
      </c>
      <c r="E744" s="10" t="s">
        <v>65</v>
      </c>
      <c r="F744" s="10" t="s">
        <v>2617</v>
      </c>
      <c r="G744" s="10" t="s">
        <v>24022</v>
      </c>
      <c r="H744" s="10" t="s">
        <v>774</v>
      </c>
      <c r="I744" s="10" t="s">
        <v>48</v>
      </c>
      <c r="K744" s="10" t="s">
        <v>24643</v>
      </c>
      <c r="L744" s="10" t="s">
        <v>42</v>
      </c>
    </row>
    <row r="745" ht="15.75" customHeight="1">
      <c r="A745" s="66">
        <v>45491.0</v>
      </c>
      <c r="B745" s="55" t="str">
        <f>HYPERLINK("https://jobright.ai/jobs/info/6675866424f553052c296d52?utm_campaign=1057&amp;utm_source=sheet", "Apply")</f>
        <v>Apply</v>
      </c>
      <c r="C745" s="10" t="s">
        <v>24644</v>
      </c>
      <c r="D745" s="56" t="s">
        <v>325</v>
      </c>
      <c r="E745" s="10">
        <v>17752.0</v>
      </c>
      <c r="G745" s="10" t="s">
        <v>24031</v>
      </c>
      <c r="H745" s="10" t="s">
        <v>5228</v>
      </c>
      <c r="I745" s="10" t="s">
        <v>55</v>
      </c>
      <c r="J745" s="10" t="s">
        <v>327</v>
      </c>
      <c r="K745" s="10" t="s">
        <v>24645</v>
      </c>
      <c r="L745" s="10" t="s">
        <v>42</v>
      </c>
    </row>
    <row r="746" ht="15.75" customHeight="1">
      <c r="A746" s="66">
        <v>45491.0</v>
      </c>
      <c r="B746" s="55" t="str">
        <f>HYPERLINK("https://jobright.ai/jobs/info/667bf3ccdbedb566d5b34eef?utm_campaign=1057&amp;utm_source=sheet", "Apply")</f>
        <v>Apply</v>
      </c>
      <c r="C746" s="10" t="s">
        <v>20466</v>
      </c>
      <c r="D746" s="56" t="s">
        <v>20467</v>
      </c>
      <c r="E746" s="10" t="s">
        <v>45</v>
      </c>
      <c r="F746" s="10" t="s">
        <v>2409</v>
      </c>
      <c r="G746" s="10" t="s">
        <v>24022</v>
      </c>
      <c r="H746" s="10" t="s">
        <v>799</v>
      </c>
      <c r="I746" s="10" t="s">
        <v>55</v>
      </c>
      <c r="K746" s="10" t="s">
        <v>20468</v>
      </c>
      <c r="L746" s="10" t="s">
        <v>42</v>
      </c>
    </row>
    <row r="747" ht="15.75" customHeight="1">
      <c r="A747" s="66">
        <v>45491.0</v>
      </c>
      <c r="B747" s="55" t="str">
        <f>HYPERLINK("https://jobright.ai/jobs/info/6675a7af6fb7d4bb72dd770d?utm_campaign=1057&amp;utm_source=sheet", "Apply")</f>
        <v>Apply</v>
      </c>
      <c r="C747" s="10" t="s">
        <v>24646</v>
      </c>
      <c r="D747" s="56" t="s">
        <v>17890</v>
      </c>
      <c r="E747" s="10" t="s">
        <v>249</v>
      </c>
      <c r="F747" s="10" t="s">
        <v>3594</v>
      </c>
      <c r="G747" s="10" t="s">
        <v>24022</v>
      </c>
      <c r="H747" s="10" t="s">
        <v>9570</v>
      </c>
      <c r="I747" s="10" t="s">
        <v>55</v>
      </c>
      <c r="J747" s="10" t="s">
        <v>17891</v>
      </c>
      <c r="K747" s="10" t="s">
        <v>22779</v>
      </c>
      <c r="L747" s="10" t="s">
        <v>42</v>
      </c>
    </row>
    <row r="748" ht="15.75" customHeight="1">
      <c r="A748" s="66">
        <v>45491.0</v>
      </c>
      <c r="B748" s="55" t="str">
        <f>HYPERLINK("https://jobright.ai/jobs/info/6675e58d002960a5a8d1a483?utm_campaign=1057&amp;utm_source=sheet", "Apply")</f>
        <v>Apply</v>
      </c>
      <c r="C748" s="10" t="s">
        <v>24647</v>
      </c>
      <c r="D748" s="56" t="s">
        <v>17890</v>
      </c>
      <c r="E748" s="10" t="s">
        <v>249</v>
      </c>
      <c r="F748" s="10" t="s">
        <v>3594</v>
      </c>
      <c r="G748" s="10" t="s">
        <v>24022</v>
      </c>
      <c r="H748" s="10" t="s">
        <v>3674</v>
      </c>
      <c r="I748" s="10" t="s">
        <v>55</v>
      </c>
      <c r="J748" s="10" t="s">
        <v>17891</v>
      </c>
      <c r="K748" s="10" t="s">
        <v>24648</v>
      </c>
      <c r="L748" s="10" t="s">
        <v>42</v>
      </c>
    </row>
    <row r="749" ht="15.75" customHeight="1">
      <c r="A749" s="66">
        <v>45491.0</v>
      </c>
      <c r="B749" s="55" t="str">
        <f>HYPERLINK("https://jobright.ai/jobs/info/6698de28a067c0b813d41f28?utm_campaign=1057&amp;utm_source=sheet", "Apply")</f>
        <v>Apply</v>
      </c>
      <c r="C749" s="10" t="s">
        <v>24649</v>
      </c>
      <c r="D749" s="56" t="s">
        <v>24650</v>
      </c>
      <c r="G749" s="10" t="s">
        <v>24031</v>
      </c>
      <c r="H749" s="10" t="s">
        <v>4799</v>
      </c>
      <c r="I749" s="10" t="s">
        <v>55</v>
      </c>
      <c r="K749" s="10" t="s">
        <v>24651</v>
      </c>
      <c r="L749" s="10" t="s">
        <v>42</v>
      </c>
    </row>
    <row r="750" ht="15.75" customHeight="1">
      <c r="A750" s="66">
        <v>45491.0</v>
      </c>
      <c r="B750" s="55" t="str">
        <f>HYPERLINK("https://jobright.ai/jobs/info/66988fc82162357344d6a6a6?utm_campaign=1057&amp;utm_source=sheet", "Apply")</f>
        <v>Apply</v>
      </c>
      <c r="C750" s="10" t="s">
        <v>10658</v>
      </c>
      <c r="D750" s="56" t="s">
        <v>5159</v>
      </c>
      <c r="E750" s="10" t="s">
        <v>45</v>
      </c>
      <c r="F750" s="10" t="s">
        <v>1893</v>
      </c>
      <c r="G750" s="10" t="s">
        <v>24022</v>
      </c>
      <c r="H750" s="10" t="s">
        <v>965</v>
      </c>
      <c r="I750" s="10" t="s">
        <v>55</v>
      </c>
      <c r="K750" s="10" t="s">
        <v>24652</v>
      </c>
      <c r="L750" s="10" t="s">
        <v>42</v>
      </c>
    </row>
    <row r="751" ht="15.75" customHeight="1">
      <c r="A751" s="66">
        <v>45491.0</v>
      </c>
      <c r="B751" s="55" t="str">
        <f>HYPERLINK("https://jobright.ai/jobs/info/66988dc6c6a5e47355769d33?utm_campaign=1057&amp;utm_source=sheet", "Apply")</f>
        <v>Apply</v>
      </c>
      <c r="C751" s="10" t="s">
        <v>24653</v>
      </c>
      <c r="D751" s="56" t="s">
        <v>24654</v>
      </c>
      <c r="E751" s="10">
        <v>3035.0</v>
      </c>
      <c r="G751" s="10" t="s">
        <v>24043</v>
      </c>
      <c r="H751" s="10" t="s">
        <v>265</v>
      </c>
      <c r="I751" s="10" t="s">
        <v>55</v>
      </c>
      <c r="K751" s="10" t="s">
        <v>24655</v>
      </c>
      <c r="L751" s="10" t="s">
        <v>42</v>
      </c>
    </row>
    <row r="752" ht="15.75" customHeight="1">
      <c r="A752" s="66">
        <v>45491.0</v>
      </c>
      <c r="B752" s="55" t="str">
        <f>HYPERLINK("https://jobright.ai/jobs/info/669953362ca0263ce3e2b42a?utm_campaign=1057&amp;utm_source=sheet", "Apply")</f>
        <v>Apply</v>
      </c>
      <c r="C752" s="10" t="s">
        <v>24247</v>
      </c>
      <c r="D752" s="56" t="s">
        <v>24248</v>
      </c>
      <c r="E752" s="10" t="s">
        <v>45</v>
      </c>
      <c r="F752" s="10" t="s">
        <v>24249</v>
      </c>
      <c r="G752" s="10" t="s">
        <v>24043</v>
      </c>
      <c r="H752" s="10" t="s">
        <v>24656</v>
      </c>
      <c r="I752" s="10" t="s">
        <v>55</v>
      </c>
      <c r="K752" s="10" t="s">
        <v>24250</v>
      </c>
      <c r="L752" s="10" t="s">
        <v>42</v>
      </c>
    </row>
    <row r="753" ht="15.75" customHeight="1">
      <c r="A753" s="66">
        <v>45491.0</v>
      </c>
      <c r="B753" s="55" t="str">
        <f>HYPERLINK("https://jobright.ai/jobs/info/66997cb811aefe0c6415c39e?utm_campaign=1057&amp;utm_source=sheet", "Apply")</f>
        <v>Apply</v>
      </c>
      <c r="C753" s="10" t="s">
        <v>24657</v>
      </c>
      <c r="D753" s="56" t="s">
        <v>24658</v>
      </c>
      <c r="E753" s="10">
        <v>33.0</v>
      </c>
      <c r="G753" s="10" t="s">
        <v>24043</v>
      </c>
      <c r="H753" s="10" t="s">
        <v>661</v>
      </c>
      <c r="I753" s="10" t="s">
        <v>55</v>
      </c>
      <c r="K753" s="10" t="s">
        <v>24659</v>
      </c>
      <c r="L753" s="10" t="s">
        <v>42</v>
      </c>
    </row>
    <row r="754" ht="15.75" customHeight="1">
      <c r="A754" s="66">
        <v>45491.0</v>
      </c>
      <c r="B754" s="55" t="str">
        <f>HYPERLINK("https://jobright.ai/jobs/info/66987038b5ac2377eafc72e4?utm_campaign=1057&amp;utm_source=sheet", "Apply")</f>
        <v>Apply</v>
      </c>
      <c r="C754" s="10" t="s">
        <v>24660</v>
      </c>
      <c r="D754" s="56" t="s">
        <v>24661</v>
      </c>
      <c r="E754" s="10" t="s">
        <v>276</v>
      </c>
      <c r="G754" s="10" t="s">
        <v>24022</v>
      </c>
      <c r="H754" s="10" t="s">
        <v>24662</v>
      </c>
      <c r="I754" s="10" t="s">
        <v>55</v>
      </c>
      <c r="K754" s="10" t="s">
        <v>24663</v>
      </c>
      <c r="L754" s="10" t="s">
        <v>42</v>
      </c>
    </row>
    <row r="755" ht="15.75" customHeight="1">
      <c r="A755" s="66">
        <v>45491.0</v>
      </c>
      <c r="B755" s="55" t="str">
        <f>HYPERLINK("https://jobright.ai/jobs/info/6699a64b9a33b14b40b73b9e?utm_campaign=1057&amp;utm_source=sheet", "Apply")</f>
        <v>Apply</v>
      </c>
      <c r="C755" s="10" t="s">
        <v>8377</v>
      </c>
      <c r="D755" s="56" t="s">
        <v>2077</v>
      </c>
      <c r="E755" s="10" t="s">
        <v>45</v>
      </c>
      <c r="F755" s="10" t="s">
        <v>1234</v>
      </c>
      <c r="G755" s="10" t="s">
        <v>24031</v>
      </c>
      <c r="H755" s="10" t="s">
        <v>2078</v>
      </c>
      <c r="I755" s="10" t="s">
        <v>55</v>
      </c>
      <c r="J755" s="10" t="s">
        <v>24664</v>
      </c>
      <c r="K755" s="10" t="s">
        <v>24665</v>
      </c>
      <c r="L755" s="10" t="s">
        <v>42</v>
      </c>
    </row>
    <row r="756" ht="15.75" customHeight="1">
      <c r="A756" s="66">
        <v>45491.0</v>
      </c>
      <c r="B756" s="55" t="str">
        <f>HYPERLINK("https://jobright.ai/jobs/info/6699880d6857f00f1d02a54d?utm_campaign=1057&amp;utm_source=sheet", "Apply")</f>
        <v>Apply</v>
      </c>
      <c r="C756" s="10" t="s">
        <v>24666</v>
      </c>
      <c r="D756" s="56" t="s">
        <v>22313</v>
      </c>
      <c r="E756" s="10" t="s">
        <v>71</v>
      </c>
      <c r="F756" s="10" t="s">
        <v>22314</v>
      </c>
      <c r="G756" s="10" t="s">
        <v>24031</v>
      </c>
      <c r="H756" s="10" t="s">
        <v>153</v>
      </c>
      <c r="I756" s="10" t="s">
        <v>55</v>
      </c>
      <c r="J756" s="10" t="s">
        <v>24667</v>
      </c>
      <c r="K756" s="10" t="s">
        <v>24668</v>
      </c>
      <c r="L756" s="10" t="s">
        <v>42</v>
      </c>
    </row>
    <row r="757" ht="15.75" customHeight="1">
      <c r="A757" s="66">
        <v>45491.0</v>
      </c>
      <c r="B757" s="55" t="str">
        <f>HYPERLINK("https://jobright.ai/jobs/info/66996062e56fdd691f9cfc33?utm_campaign=1057&amp;utm_source=sheet", "Apply")</f>
        <v>Apply</v>
      </c>
      <c r="C757" s="10" t="s">
        <v>24669</v>
      </c>
      <c r="D757" s="56" t="s">
        <v>24670</v>
      </c>
      <c r="E757" s="10" t="s">
        <v>276</v>
      </c>
      <c r="F757" s="10" t="s">
        <v>20690</v>
      </c>
      <c r="G757" s="10" t="s">
        <v>24043</v>
      </c>
      <c r="H757" s="10" t="s">
        <v>24671</v>
      </c>
      <c r="I757" s="10" t="s">
        <v>55</v>
      </c>
      <c r="K757" s="10" t="s">
        <v>24672</v>
      </c>
      <c r="L757" s="10" t="s">
        <v>42</v>
      </c>
    </row>
    <row r="758" ht="15.75" customHeight="1">
      <c r="A758" s="66">
        <v>45491.0</v>
      </c>
      <c r="B758" s="55" t="str">
        <f>HYPERLINK("https://jobright.ai/jobs/info/66996062e56fdd691f9cfbea?utm_campaign=1057&amp;utm_source=sheet", "Apply")</f>
        <v>Apply</v>
      </c>
      <c r="C758" s="10" t="s">
        <v>24609</v>
      </c>
      <c r="D758" s="56" t="s">
        <v>1636</v>
      </c>
      <c r="E758" s="10">
        <v>6029.0</v>
      </c>
      <c r="G758" s="10" t="s">
        <v>24022</v>
      </c>
      <c r="H758" s="10" t="s">
        <v>24673</v>
      </c>
      <c r="I758" s="10" t="s">
        <v>55</v>
      </c>
      <c r="J758" s="10" t="s">
        <v>1637</v>
      </c>
      <c r="K758" s="10" t="s">
        <v>24610</v>
      </c>
      <c r="L758" s="10" t="s">
        <v>42</v>
      </c>
    </row>
    <row r="759" ht="15.75" customHeight="1">
      <c r="A759" s="66">
        <v>45490.0</v>
      </c>
      <c r="B759" s="55" t="str">
        <f>HYPERLINK("https://jobright.ai/jobs/info/66985e4448d5b075115a12de?utm_campaign=1057&amp;utm_source=sheet", "Apply")</f>
        <v>Apply</v>
      </c>
      <c r="C759" s="10" t="s">
        <v>24674</v>
      </c>
      <c r="D759" s="56" t="s">
        <v>2069</v>
      </c>
      <c r="E759" s="10" t="s">
        <v>65</v>
      </c>
      <c r="F759" s="10" t="s">
        <v>1663</v>
      </c>
      <c r="G759" s="10" t="s">
        <v>24022</v>
      </c>
      <c r="H759" s="10" t="s">
        <v>2070</v>
      </c>
      <c r="I759" s="10" t="s">
        <v>55</v>
      </c>
      <c r="K759" s="10" t="s">
        <v>24675</v>
      </c>
      <c r="L759" s="10" t="s">
        <v>42</v>
      </c>
    </row>
    <row r="760" ht="15.75" customHeight="1">
      <c r="A760" s="66">
        <v>45490.0</v>
      </c>
      <c r="B760" s="55" t="str">
        <f>HYPERLINK("https://jobright.ai/jobs/info/66985e4448d5b075115a12f0?utm_campaign=1057&amp;utm_source=sheet", "Apply")</f>
        <v>Apply</v>
      </c>
      <c r="C760" s="10" t="s">
        <v>24676</v>
      </c>
      <c r="D760" s="56" t="s">
        <v>2069</v>
      </c>
      <c r="E760" s="10" t="s">
        <v>65</v>
      </c>
      <c r="F760" s="10" t="s">
        <v>1663</v>
      </c>
      <c r="G760" s="10" t="s">
        <v>24031</v>
      </c>
      <c r="H760" s="10" t="s">
        <v>2070</v>
      </c>
      <c r="I760" s="10" t="s">
        <v>55</v>
      </c>
      <c r="K760" s="10" t="s">
        <v>24677</v>
      </c>
      <c r="L760" s="10" t="s">
        <v>42</v>
      </c>
    </row>
    <row r="761" ht="15.75" customHeight="1">
      <c r="A761" s="66">
        <v>45490.0</v>
      </c>
      <c r="B761" s="55" t="str">
        <f>HYPERLINK("https://jobright.ai/jobs/info/66985e4448d5b075115a129a?utm_campaign=1057&amp;utm_source=sheet", "Apply")</f>
        <v>Apply</v>
      </c>
      <c r="C761" s="10" t="s">
        <v>24678</v>
      </c>
      <c r="D761" s="56" t="s">
        <v>2069</v>
      </c>
      <c r="E761" s="10" t="s">
        <v>65</v>
      </c>
      <c r="F761" s="10" t="s">
        <v>1663</v>
      </c>
      <c r="G761" s="10" t="s">
        <v>24031</v>
      </c>
      <c r="H761" s="10" t="s">
        <v>2070</v>
      </c>
      <c r="I761" s="10" t="s">
        <v>55</v>
      </c>
      <c r="K761" s="10" t="s">
        <v>17383</v>
      </c>
      <c r="L761" s="10" t="s">
        <v>42</v>
      </c>
    </row>
    <row r="762" ht="15.75" customHeight="1">
      <c r="A762" s="66">
        <v>45490.0</v>
      </c>
      <c r="B762" s="55" t="str">
        <f>HYPERLINK("https://jobright.ai/jobs/info/66985555869b93a19d046a2f?utm_campaign=1057&amp;utm_source=sheet", "Apply")</f>
        <v>Apply</v>
      </c>
      <c r="C762" s="10" t="s">
        <v>24679</v>
      </c>
      <c r="D762" s="56" t="s">
        <v>8107</v>
      </c>
      <c r="E762" s="10" t="s">
        <v>209</v>
      </c>
      <c r="F762" s="10" t="s">
        <v>8108</v>
      </c>
      <c r="G762" s="10" t="s">
        <v>24043</v>
      </c>
      <c r="H762" s="10" t="s">
        <v>1290</v>
      </c>
      <c r="I762" s="10" t="s">
        <v>55</v>
      </c>
      <c r="K762" s="10" t="s">
        <v>24680</v>
      </c>
      <c r="L762" s="10" t="s">
        <v>42</v>
      </c>
    </row>
    <row r="763" ht="15.75" customHeight="1">
      <c r="A763" s="66">
        <v>45490.0</v>
      </c>
      <c r="B763" s="55" t="str">
        <f>HYPERLINK("https://jobright.ai/jobs/info/66986a27612f94d945991257?utm_campaign=1057&amp;utm_source=sheet", "Apply")</f>
        <v>Apply</v>
      </c>
      <c r="C763" s="10" t="s">
        <v>24681</v>
      </c>
      <c r="D763" s="56" t="s">
        <v>4750</v>
      </c>
      <c r="E763" s="10" t="s">
        <v>209</v>
      </c>
      <c r="F763" s="10" t="s">
        <v>1909</v>
      </c>
      <c r="G763" s="10" t="s">
        <v>24022</v>
      </c>
      <c r="H763" s="10" t="s">
        <v>958</v>
      </c>
      <c r="I763" s="10" t="s">
        <v>55</v>
      </c>
      <c r="J763" s="10" t="s">
        <v>24682</v>
      </c>
      <c r="K763" s="10" t="s">
        <v>24683</v>
      </c>
      <c r="L763" s="10" t="s">
        <v>42</v>
      </c>
    </row>
    <row r="764" ht="15.75" customHeight="1">
      <c r="A764" s="66">
        <v>45490.0</v>
      </c>
      <c r="B764" s="55" t="str">
        <f>HYPERLINK("https://jobright.ai/jobs/info/669837c613232b70689ad71f?utm_campaign=1057&amp;utm_source=sheet", "Apply")</f>
        <v>Apply</v>
      </c>
      <c r="C764" s="10" t="s">
        <v>24684</v>
      </c>
      <c r="D764" s="56" t="s">
        <v>24115</v>
      </c>
      <c r="F764" s="10" t="s">
        <v>1506</v>
      </c>
      <c r="G764" s="10" t="s">
        <v>24031</v>
      </c>
      <c r="H764" s="10" t="s">
        <v>3394</v>
      </c>
      <c r="I764" s="10" t="s">
        <v>55</v>
      </c>
      <c r="J764" s="10" t="s">
        <v>24116</v>
      </c>
      <c r="K764" s="10" t="s">
        <v>24612</v>
      </c>
      <c r="L764" s="10" t="s">
        <v>42</v>
      </c>
    </row>
    <row r="765" ht="15.75" customHeight="1">
      <c r="A765" s="66">
        <v>45490.0</v>
      </c>
      <c r="B765" s="55" t="str">
        <f>HYPERLINK("https://jobright.ai/jobs/info/667a4d905afaca18482a13db?utm_campaign=1057&amp;utm_source=sheet", "Apply")</f>
        <v>Apply</v>
      </c>
      <c r="C765" s="10" t="s">
        <v>24685</v>
      </c>
      <c r="D765" s="56" t="s">
        <v>12935</v>
      </c>
      <c r="E765" s="10" t="s">
        <v>65</v>
      </c>
      <c r="F765" s="10" t="s">
        <v>12936</v>
      </c>
      <c r="G765" s="10" t="s">
        <v>24031</v>
      </c>
      <c r="H765" s="10" t="s">
        <v>170</v>
      </c>
      <c r="I765" s="10" t="s">
        <v>48</v>
      </c>
      <c r="J765" s="10" t="s">
        <v>2742</v>
      </c>
      <c r="K765" s="10" t="s">
        <v>24686</v>
      </c>
      <c r="L765" s="10" t="s">
        <v>42</v>
      </c>
    </row>
    <row r="766" ht="15.75" customHeight="1">
      <c r="A766" s="66">
        <v>45490.0</v>
      </c>
      <c r="B766" s="55" t="str">
        <f>HYPERLINK("https://jobright.ai/jobs/info/669bea68c96a855813c36e67?utm_campaign=1057&amp;utm_source=sheet", "Apply")</f>
        <v>Apply</v>
      </c>
      <c r="C766" s="10" t="s">
        <v>24687</v>
      </c>
      <c r="D766" s="56" t="s">
        <v>1178</v>
      </c>
      <c r="E766" s="10" t="s">
        <v>137</v>
      </c>
      <c r="F766" s="10" t="s">
        <v>1179</v>
      </c>
      <c r="G766" s="10" t="s">
        <v>24043</v>
      </c>
      <c r="H766" s="10" t="s">
        <v>1254</v>
      </c>
      <c r="I766" s="10" t="s">
        <v>55</v>
      </c>
      <c r="K766" s="10" t="s">
        <v>24688</v>
      </c>
      <c r="L766" s="10" t="s">
        <v>42</v>
      </c>
    </row>
    <row r="767" ht="15.75" customHeight="1">
      <c r="A767" s="66">
        <v>45490.0</v>
      </c>
      <c r="B767" s="55" t="str">
        <f>HYPERLINK("https://jobright.ai/jobs/info/669813f971368582dc6e0227?utm_campaign=1057&amp;utm_source=sheet", "Apply")</f>
        <v>Apply</v>
      </c>
      <c r="C767" s="10" t="s">
        <v>24689</v>
      </c>
      <c r="D767" s="56" t="s">
        <v>5136</v>
      </c>
      <c r="E767" s="10" t="s">
        <v>45</v>
      </c>
      <c r="F767" s="10" t="s">
        <v>221</v>
      </c>
      <c r="G767" s="10" t="s">
        <v>24022</v>
      </c>
      <c r="H767" s="10" t="s">
        <v>5137</v>
      </c>
      <c r="I767" s="10" t="s">
        <v>55</v>
      </c>
      <c r="J767" s="10" t="s">
        <v>24690</v>
      </c>
      <c r="K767" s="10" t="s">
        <v>24691</v>
      </c>
      <c r="L767" s="10" t="s">
        <v>42</v>
      </c>
    </row>
    <row r="768" ht="15.75" customHeight="1">
      <c r="A768" s="66">
        <v>45490.0</v>
      </c>
      <c r="B768" s="55" t="str">
        <f>HYPERLINK("https://jobright.ai/jobs/info/66a1244e952485abf9abec42?utm_campaign=1057&amp;utm_source=sheet", "Apply")</f>
        <v>Apply</v>
      </c>
      <c r="C768" s="10" t="s">
        <v>24460</v>
      </c>
      <c r="D768" s="56" t="s">
        <v>4448</v>
      </c>
      <c r="E768" s="10" t="s">
        <v>71</v>
      </c>
      <c r="F768" s="10" t="s">
        <v>4449</v>
      </c>
      <c r="G768" s="10" t="s">
        <v>24043</v>
      </c>
      <c r="H768" s="10" t="s">
        <v>21253</v>
      </c>
      <c r="I768" s="10" t="s">
        <v>55</v>
      </c>
      <c r="K768" s="10" t="s">
        <v>4450</v>
      </c>
      <c r="L768" s="10" t="s">
        <v>42</v>
      </c>
    </row>
    <row r="769" ht="15.75" customHeight="1">
      <c r="A769" s="66">
        <v>45490.0</v>
      </c>
      <c r="B769" s="55" t="str">
        <f>HYPERLINK("https://jobright.ai/jobs/info/6697f31ace942828e55edd07?utm_campaign=1057&amp;utm_source=sheet", "Apply")</f>
        <v>Apply</v>
      </c>
      <c r="C769" s="10" t="s">
        <v>24692</v>
      </c>
      <c r="D769" s="56" t="s">
        <v>2252</v>
      </c>
      <c r="E769" s="10" t="s">
        <v>249</v>
      </c>
      <c r="F769" s="10" t="s">
        <v>2253</v>
      </c>
      <c r="G769" s="10" t="s">
        <v>24022</v>
      </c>
      <c r="H769" s="10" t="s">
        <v>996</v>
      </c>
      <c r="I769" s="10" t="s">
        <v>55</v>
      </c>
      <c r="J769" s="10" t="s">
        <v>24693</v>
      </c>
      <c r="K769" s="10" t="s">
        <v>24694</v>
      </c>
      <c r="L769" s="10" t="s">
        <v>42</v>
      </c>
    </row>
    <row r="770" ht="15.75" customHeight="1">
      <c r="A770" s="66">
        <v>45490.0</v>
      </c>
      <c r="B770" s="55" t="str">
        <f>HYPERLINK("https://jobright.ai/jobs/info/6697baa06cde579742e59546?utm_campaign=1057&amp;utm_source=sheet", "Apply")</f>
        <v>Apply</v>
      </c>
      <c r="C770" s="10" t="s">
        <v>24695</v>
      </c>
      <c r="D770" s="56" t="s">
        <v>24696</v>
      </c>
      <c r="E770" s="10" t="s">
        <v>71</v>
      </c>
      <c r="F770" s="10" t="s">
        <v>24697</v>
      </c>
      <c r="G770" s="10" t="s">
        <v>24022</v>
      </c>
      <c r="H770" s="10" t="s">
        <v>96</v>
      </c>
      <c r="I770" s="10" t="s">
        <v>55</v>
      </c>
      <c r="K770" s="10" t="s">
        <v>24698</v>
      </c>
      <c r="L770" s="10" t="s">
        <v>42</v>
      </c>
    </row>
    <row r="771" ht="15.75" customHeight="1">
      <c r="A771" s="66">
        <v>45490.0</v>
      </c>
      <c r="B771" s="55" t="str">
        <f>HYPERLINK("https://jobright.ai/jobs/info/663bbf0cd664bd08fbe311a8?utm_campaign=1057&amp;utm_source=sheet", "Apply")</f>
        <v>Apply</v>
      </c>
      <c r="C771" s="10" t="s">
        <v>24699</v>
      </c>
      <c r="D771" s="56" t="s">
        <v>24700</v>
      </c>
      <c r="E771" s="10" t="s">
        <v>249</v>
      </c>
      <c r="F771" s="10" t="s">
        <v>331</v>
      </c>
      <c r="G771" s="10" t="s">
        <v>24043</v>
      </c>
      <c r="H771" s="10" t="s">
        <v>7111</v>
      </c>
      <c r="I771" s="10" t="s">
        <v>55</v>
      </c>
      <c r="K771" s="10" t="s">
        <v>24701</v>
      </c>
      <c r="L771" s="10" t="s">
        <v>42</v>
      </c>
    </row>
    <row r="772" ht="15.75" customHeight="1">
      <c r="A772" s="66">
        <v>45490.0</v>
      </c>
      <c r="B772" s="55" t="str">
        <f>HYPERLINK("https://jobright.ai/jobs/info/6659f822eb0fdc5b95ec2358?utm_campaign=1057&amp;utm_source=sheet", "Apply")</f>
        <v>Apply</v>
      </c>
      <c r="C772" s="10" t="s">
        <v>24084</v>
      </c>
      <c r="D772" s="56" t="s">
        <v>22652</v>
      </c>
      <c r="E772" s="10" t="s">
        <v>79</v>
      </c>
      <c r="F772" s="10" t="s">
        <v>22653</v>
      </c>
      <c r="G772" s="10" t="s">
        <v>24022</v>
      </c>
      <c r="H772" s="10" t="s">
        <v>165</v>
      </c>
      <c r="I772" s="10" t="s">
        <v>48</v>
      </c>
      <c r="K772" s="10" t="s">
        <v>24085</v>
      </c>
      <c r="L772" s="10" t="s">
        <v>42</v>
      </c>
    </row>
    <row r="773" ht="15.75" customHeight="1">
      <c r="A773" s="66">
        <v>45490.0</v>
      </c>
      <c r="B773" s="55" t="str">
        <f>HYPERLINK("https://jobright.ai/jobs/info/6697a125faafd78eea23c206?utm_campaign=1057&amp;utm_source=sheet", "Apply")</f>
        <v>Apply</v>
      </c>
      <c r="C773" s="10" t="s">
        <v>24702</v>
      </c>
      <c r="D773" s="56" t="s">
        <v>24703</v>
      </c>
      <c r="E773" s="10">
        <v>2100.0</v>
      </c>
      <c r="G773" s="10" t="s">
        <v>24022</v>
      </c>
      <c r="H773" s="10" t="s">
        <v>3271</v>
      </c>
      <c r="I773" s="10" t="s">
        <v>48</v>
      </c>
      <c r="K773" s="10" t="s">
        <v>24704</v>
      </c>
      <c r="L773" s="10" t="s">
        <v>42</v>
      </c>
    </row>
    <row r="774" ht="15.75" customHeight="1">
      <c r="A774" s="66">
        <v>45490.0</v>
      </c>
      <c r="B774" s="55" t="str">
        <f>HYPERLINK("https://jobright.ai/jobs/info/667b41046c645d774025fbc2?utm_campaign=1057&amp;utm_source=sheet", "Apply")</f>
        <v>Apply</v>
      </c>
      <c r="C774" s="10" t="s">
        <v>24705</v>
      </c>
      <c r="D774" s="56" t="s">
        <v>208</v>
      </c>
      <c r="E774" s="10" t="s">
        <v>209</v>
      </c>
      <c r="F774" s="10" t="s">
        <v>210</v>
      </c>
      <c r="G774" s="10" t="s">
        <v>24031</v>
      </c>
      <c r="H774" s="10" t="s">
        <v>211</v>
      </c>
      <c r="I774" s="10" t="s">
        <v>55</v>
      </c>
      <c r="K774" s="10" t="s">
        <v>24706</v>
      </c>
      <c r="L774" s="10" t="s">
        <v>42</v>
      </c>
    </row>
    <row r="775" ht="15.75" customHeight="1">
      <c r="A775" s="66">
        <v>45490.0</v>
      </c>
      <c r="B775" s="55" t="str">
        <f>HYPERLINK("https://jobright.ai/jobs/info/65deaa4b0a925848742003fa?utm_campaign=1057&amp;utm_source=sheet", "Apply")</f>
        <v>Apply</v>
      </c>
      <c r="C775" s="10" t="s">
        <v>24707</v>
      </c>
      <c r="D775" s="56" t="s">
        <v>14812</v>
      </c>
      <c r="E775" s="10" t="s">
        <v>45</v>
      </c>
      <c r="F775" s="10" t="s">
        <v>14813</v>
      </c>
      <c r="G775" s="10" t="s">
        <v>24022</v>
      </c>
      <c r="H775" s="10" t="s">
        <v>4001</v>
      </c>
      <c r="I775" s="10" t="s">
        <v>55</v>
      </c>
      <c r="K775" s="10" t="s">
        <v>24708</v>
      </c>
      <c r="L775" s="10" t="s">
        <v>42</v>
      </c>
    </row>
    <row r="776" ht="15.75" customHeight="1">
      <c r="A776" s="66">
        <v>45490.0</v>
      </c>
      <c r="B776" s="55" t="str">
        <f>HYPERLINK("https://jobright.ai/jobs/info/669772e06e4cfd6f8eca2f9d?utm_campaign=1057&amp;utm_source=sheet", "Apply")</f>
        <v>Apply</v>
      </c>
      <c r="C776" s="10" t="s">
        <v>24709</v>
      </c>
      <c r="D776" s="56" t="s">
        <v>24710</v>
      </c>
      <c r="E776" s="10" t="s">
        <v>209</v>
      </c>
      <c r="F776" s="10" t="s">
        <v>1909</v>
      </c>
      <c r="G776" s="10" t="s">
        <v>24031</v>
      </c>
      <c r="H776" s="10" t="s">
        <v>11282</v>
      </c>
      <c r="I776" s="10" t="s">
        <v>55</v>
      </c>
      <c r="K776" s="10" t="s">
        <v>24711</v>
      </c>
      <c r="L776" s="10" t="s">
        <v>42</v>
      </c>
    </row>
    <row r="777" ht="15.75" customHeight="1">
      <c r="A777" s="66">
        <v>45490.0</v>
      </c>
      <c r="B777" s="55" t="str">
        <f>HYPERLINK("https://jobright.ai/jobs/info/66975d091ebb6df8dcbb841d?utm_campaign=1057&amp;utm_source=sheet", "Apply")</f>
        <v>Apply</v>
      </c>
      <c r="C777" s="10" t="s">
        <v>24709</v>
      </c>
      <c r="D777" s="56" t="s">
        <v>24710</v>
      </c>
      <c r="E777" s="10" t="s">
        <v>209</v>
      </c>
      <c r="F777" s="10" t="s">
        <v>1909</v>
      </c>
      <c r="G777" s="10" t="s">
        <v>24031</v>
      </c>
      <c r="H777" s="10" t="s">
        <v>16886</v>
      </c>
      <c r="I777" s="10" t="s">
        <v>55</v>
      </c>
      <c r="K777" s="10" t="s">
        <v>24711</v>
      </c>
      <c r="L777" s="10" t="s">
        <v>42</v>
      </c>
    </row>
    <row r="778" ht="15.75" customHeight="1">
      <c r="A778" s="66">
        <v>45490.0</v>
      </c>
      <c r="B778" s="55" t="str">
        <f>HYPERLINK("https://jobright.ai/jobs/info/669746169f32e03524056377?utm_campaign=1057&amp;utm_source=sheet", "Apply")</f>
        <v>Apply</v>
      </c>
      <c r="C778" s="10" t="s">
        <v>24712</v>
      </c>
      <c r="D778" s="56" t="s">
        <v>24713</v>
      </c>
      <c r="E778" s="10" t="s">
        <v>249</v>
      </c>
      <c r="F778" s="10" t="s">
        <v>1234</v>
      </c>
      <c r="G778" s="10" t="s">
        <v>24031</v>
      </c>
      <c r="H778" s="10" t="s">
        <v>769</v>
      </c>
      <c r="I778" s="10" t="s">
        <v>55</v>
      </c>
      <c r="K778" s="10" t="s">
        <v>24714</v>
      </c>
      <c r="L778" s="10" t="s">
        <v>42</v>
      </c>
    </row>
    <row r="779" ht="15.75" customHeight="1">
      <c r="A779" s="66">
        <v>45490.0</v>
      </c>
      <c r="B779" s="55" t="str">
        <f>HYPERLINK("https://jobright.ai/jobs/info/669740c95b3ead73efff4906?utm_campaign=1057&amp;utm_source=sheet", "Apply")</f>
        <v>Apply</v>
      </c>
      <c r="C779" s="10" t="s">
        <v>10658</v>
      </c>
      <c r="D779" s="56" t="s">
        <v>5159</v>
      </c>
      <c r="E779" s="10" t="s">
        <v>45</v>
      </c>
      <c r="F779" s="10" t="s">
        <v>1893</v>
      </c>
      <c r="G779" s="10" t="s">
        <v>24022</v>
      </c>
      <c r="H779" s="10" t="s">
        <v>965</v>
      </c>
      <c r="I779" s="10" t="s">
        <v>55</v>
      </c>
      <c r="K779" s="10" t="s">
        <v>24715</v>
      </c>
      <c r="L779" s="10" t="s">
        <v>42</v>
      </c>
    </row>
    <row r="780" ht="15.75" customHeight="1">
      <c r="A780" s="66">
        <v>45490.0</v>
      </c>
      <c r="B780" s="55" t="str">
        <f>HYPERLINK("https://jobright.ai/jobs/info/6697308c4f77dc04809cca4e?utm_campaign=1057&amp;utm_source=sheet", "Apply")</f>
        <v>Apply</v>
      </c>
      <c r="C780" s="10" t="s">
        <v>24716</v>
      </c>
      <c r="D780" s="56" t="s">
        <v>24717</v>
      </c>
      <c r="E780" s="10">
        <v>67.0</v>
      </c>
      <c r="G780" s="10" t="s">
        <v>24031</v>
      </c>
      <c r="H780" s="10" t="s">
        <v>3847</v>
      </c>
      <c r="I780" s="10" t="s">
        <v>55</v>
      </c>
      <c r="K780" s="10" t="s">
        <v>24718</v>
      </c>
      <c r="L780" s="10" t="s">
        <v>42</v>
      </c>
    </row>
    <row r="781" ht="15.75" customHeight="1">
      <c r="A781" s="66">
        <v>45490.0</v>
      </c>
      <c r="B781" s="55" t="str">
        <f>HYPERLINK("https://jobright.ai/jobs/info/669875e86fee7cf94963cea9?utm_campaign=1057&amp;utm_source=sheet", "Apply")</f>
        <v>Apply</v>
      </c>
      <c r="C781" s="10" t="s">
        <v>24719</v>
      </c>
      <c r="D781" s="56" t="s">
        <v>24248</v>
      </c>
      <c r="E781" s="10" t="s">
        <v>45</v>
      </c>
      <c r="F781" s="10" t="s">
        <v>24249</v>
      </c>
      <c r="G781" s="10" t="s">
        <v>24043</v>
      </c>
      <c r="H781" s="10" t="s">
        <v>6672</v>
      </c>
      <c r="I781" s="10" t="s">
        <v>55</v>
      </c>
      <c r="K781" s="10" t="s">
        <v>24250</v>
      </c>
      <c r="L781" s="10" t="s">
        <v>42</v>
      </c>
    </row>
    <row r="782" ht="15.75" customHeight="1">
      <c r="A782" s="66">
        <v>45490.0</v>
      </c>
      <c r="B782" s="55" t="str">
        <f>HYPERLINK("https://jobright.ai/jobs/info/669875e86fee7cf94963ce88?utm_campaign=1057&amp;utm_source=sheet", "Apply")</f>
        <v>Apply</v>
      </c>
      <c r="C782" s="10" t="s">
        <v>24720</v>
      </c>
      <c r="D782" s="56" t="s">
        <v>24248</v>
      </c>
      <c r="E782" s="10" t="s">
        <v>45</v>
      </c>
      <c r="F782" s="10" t="s">
        <v>24249</v>
      </c>
      <c r="G782" s="10" t="s">
        <v>24043</v>
      </c>
      <c r="H782" s="10" t="s">
        <v>169</v>
      </c>
      <c r="I782" s="10" t="s">
        <v>55</v>
      </c>
      <c r="K782" s="10" t="s">
        <v>24250</v>
      </c>
      <c r="L782" s="10" t="s">
        <v>42</v>
      </c>
    </row>
    <row r="783" ht="15.75" customHeight="1">
      <c r="A783" s="66">
        <v>45490.0</v>
      </c>
      <c r="B783" s="55" t="str">
        <f>HYPERLINK("https://jobright.ai/jobs/info/66985a9dff77973b4a17375c?utm_campaign=1057&amp;utm_source=sheet", "Apply")</f>
        <v>Apply</v>
      </c>
      <c r="C783" s="10" t="s">
        <v>24721</v>
      </c>
      <c r="D783" s="56" t="s">
        <v>24248</v>
      </c>
      <c r="E783" s="10" t="s">
        <v>45</v>
      </c>
      <c r="F783" s="10" t="s">
        <v>24249</v>
      </c>
      <c r="G783" s="10" t="s">
        <v>24043</v>
      </c>
      <c r="H783" s="10" t="s">
        <v>5519</v>
      </c>
      <c r="I783" s="10" t="s">
        <v>55</v>
      </c>
      <c r="K783" s="10" t="s">
        <v>24250</v>
      </c>
      <c r="L783" s="10" t="s">
        <v>42</v>
      </c>
    </row>
    <row r="784" ht="15.75" customHeight="1">
      <c r="A784" s="66">
        <v>45490.0</v>
      </c>
      <c r="B784" s="55" t="str">
        <f>HYPERLINK("https://jobright.ai/jobs/info/66984c68a353cfcf9467f131?utm_campaign=1057&amp;utm_source=sheet", "Apply")</f>
        <v>Apply</v>
      </c>
      <c r="C784" s="10" t="s">
        <v>24722</v>
      </c>
      <c r="D784" s="56" t="s">
        <v>24723</v>
      </c>
      <c r="E784" s="10" t="s">
        <v>79</v>
      </c>
      <c r="F784" s="10" t="s">
        <v>1234</v>
      </c>
      <c r="G784" s="10" t="s">
        <v>24031</v>
      </c>
      <c r="H784" s="10" t="s">
        <v>19416</v>
      </c>
      <c r="I784" s="10" t="s">
        <v>55</v>
      </c>
      <c r="J784" s="10" t="s">
        <v>24724</v>
      </c>
      <c r="K784" s="10" t="s">
        <v>24725</v>
      </c>
      <c r="L784" s="10" t="s">
        <v>42</v>
      </c>
    </row>
    <row r="785" ht="15.75" customHeight="1">
      <c r="A785" s="66">
        <v>45490.0</v>
      </c>
      <c r="B785" s="55" t="str">
        <f>HYPERLINK("https://jobright.ai/jobs/info/66972287f11ecbc261d91051?utm_campaign=1057&amp;utm_source=sheet", "Apply")</f>
        <v>Apply</v>
      </c>
      <c r="C785" s="10" t="s">
        <v>24726</v>
      </c>
      <c r="D785" s="56" t="s">
        <v>17991</v>
      </c>
      <c r="G785" s="10" t="s">
        <v>24022</v>
      </c>
      <c r="H785" s="10" t="s">
        <v>835</v>
      </c>
      <c r="I785" s="10" t="s">
        <v>55</v>
      </c>
      <c r="J785" s="10" t="s">
        <v>17992</v>
      </c>
      <c r="K785" s="10" t="s">
        <v>17993</v>
      </c>
      <c r="L785" s="10" t="s">
        <v>42</v>
      </c>
    </row>
    <row r="786" ht="15.75" customHeight="1">
      <c r="A786" s="66">
        <v>45490.0</v>
      </c>
      <c r="B786" s="55" t="str">
        <f>HYPERLINK("https://jobright.ai/jobs/info/669852d1672a66323d66b9ae?utm_campaign=1057&amp;utm_source=sheet", "Apply")</f>
        <v>Apply</v>
      </c>
      <c r="C786" s="10" t="s">
        <v>24727</v>
      </c>
      <c r="D786" s="56" t="s">
        <v>24723</v>
      </c>
      <c r="E786" s="10" t="s">
        <v>79</v>
      </c>
      <c r="F786" s="10" t="s">
        <v>1234</v>
      </c>
      <c r="G786" s="10" t="s">
        <v>24031</v>
      </c>
      <c r="H786" s="10" t="s">
        <v>19416</v>
      </c>
      <c r="I786" s="10" t="s">
        <v>55</v>
      </c>
      <c r="J786" s="10" t="s">
        <v>24724</v>
      </c>
      <c r="K786" s="10" t="s">
        <v>24725</v>
      </c>
      <c r="L786" s="10" t="s">
        <v>42</v>
      </c>
    </row>
    <row r="787" ht="15.75" customHeight="1">
      <c r="A787" s="66">
        <v>45489.0</v>
      </c>
      <c r="B787" s="55" t="str">
        <f>HYPERLINK("https://jobright.ai/jobs/info/66971ac2c1bf811b23c8cef7?utm_campaign=1057&amp;utm_source=sheet", "Apply")</f>
        <v>Apply</v>
      </c>
      <c r="C787" s="10" t="s">
        <v>24728</v>
      </c>
      <c r="D787" s="56" t="s">
        <v>2069</v>
      </c>
      <c r="E787" s="10" t="s">
        <v>65</v>
      </c>
      <c r="F787" s="10" t="s">
        <v>1663</v>
      </c>
      <c r="G787" s="10" t="s">
        <v>24022</v>
      </c>
      <c r="H787" s="10" t="s">
        <v>2070</v>
      </c>
      <c r="I787" s="10" t="s">
        <v>55</v>
      </c>
      <c r="K787" s="10" t="s">
        <v>17383</v>
      </c>
      <c r="L787" s="10" t="s">
        <v>42</v>
      </c>
    </row>
    <row r="788" ht="15.75" customHeight="1">
      <c r="A788" s="66">
        <v>45489.0</v>
      </c>
      <c r="B788" s="55" t="str">
        <f>HYPERLINK("https://jobright.ai/jobs/info/66970986f69735390cd954ec?utm_campaign=1057&amp;utm_source=sheet", "Apply")</f>
        <v>Apply</v>
      </c>
      <c r="C788" s="10" t="s">
        <v>24729</v>
      </c>
      <c r="D788" s="56" t="s">
        <v>2069</v>
      </c>
      <c r="E788" s="10" t="s">
        <v>65</v>
      </c>
      <c r="F788" s="10" t="s">
        <v>1663</v>
      </c>
      <c r="G788" s="10" t="s">
        <v>24031</v>
      </c>
      <c r="H788" s="10" t="s">
        <v>2070</v>
      </c>
      <c r="I788" s="10" t="s">
        <v>55</v>
      </c>
      <c r="K788" s="10" t="s">
        <v>24730</v>
      </c>
      <c r="L788" s="10" t="s">
        <v>42</v>
      </c>
    </row>
    <row r="789" ht="15.75" customHeight="1">
      <c r="A789" s="66">
        <v>45489.0</v>
      </c>
      <c r="B789" s="55" t="str">
        <f>HYPERLINK("https://jobright.ai/jobs/info/66915c502d2c286f89de1076?utm_campaign=1057&amp;utm_source=sheet", "Apply")</f>
        <v>Apply</v>
      </c>
      <c r="C789" s="10" t="s">
        <v>24731</v>
      </c>
      <c r="D789" s="56" t="s">
        <v>1650</v>
      </c>
      <c r="E789" s="10" t="s">
        <v>209</v>
      </c>
      <c r="F789" s="10" t="s">
        <v>1243</v>
      </c>
      <c r="G789" s="10" t="s">
        <v>24031</v>
      </c>
      <c r="H789" s="10" t="s">
        <v>835</v>
      </c>
      <c r="I789" s="10" t="s">
        <v>48</v>
      </c>
      <c r="K789" s="10" t="s">
        <v>24732</v>
      </c>
      <c r="L789" s="10" t="s">
        <v>42</v>
      </c>
    </row>
    <row r="790" ht="15.75" customHeight="1">
      <c r="A790" s="66">
        <v>45489.0</v>
      </c>
      <c r="B790" s="55" t="str">
        <f>HYPERLINK("https://jobright.ai/jobs/info/6697013130e8930d0757d111?utm_campaign=1057&amp;utm_source=sheet", "Apply")</f>
        <v>Apply</v>
      </c>
      <c r="C790" s="10" t="s">
        <v>24733</v>
      </c>
      <c r="D790" s="56" t="s">
        <v>21760</v>
      </c>
      <c r="G790" s="10" t="s">
        <v>24022</v>
      </c>
      <c r="H790" s="10" t="s">
        <v>4868</v>
      </c>
      <c r="I790" s="10" t="s">
        <v>55</v>
      </c>
      <c r="K790" s="10" t="s">
        <v>24734</v>
      </c>
      <c r="L790" s="10" t="s">
        <v>42</v>
      </c>
    </row>
    <row r="791" ht="15.75" customHeight="1">
      <c r="A791" s="66">
        <v>45489.0</v>
      </c>
      <c r="B791" s="55" t="str">
        <f>HYPERLINK("https://jobright.ai/jobs/info/6696e31d310ba44856b5c5d6?utm_campaign=1057&amp;utm_source=sheet", "Apply")</f>
        <v>Apply</v>
      </c>
      <c r="C791" s="10" t="s">
        <v>24735</v>
      </c>
      <c r="D791" s="56" t="s">
        <v>24574</v>
      </c>
      <c r="G791" s="10" t="s">
        <v>24022</v>
      </c>
      <c r="H791" s="10" t="s">
        <v>24575</v>
      </c>
      <c r="I791" s="10" t="s">
        <v>55</v>
      </c>
      <c r="K791" s="10" t="s">
        <v>24736</v>
      </c>
      <c r="L791" s="10" t="s">
        <v>42</v>
      </c>
    </row>
    <row r="792" ht="15.75" customHeight="1">
      <c r="A792" s="66">
        <v>45489.0</v>
      </c>
      <c r="B792" s="55" t="str">
        <f>HYPERLINK("https://jobright.ai/jobs/info/6696e6c1e9babfae6281c9d9?utm_campaign=1057&amp;utm_source=sheet", "Apply")</f>
        <v>Apply</v>
      </c>
      <c r="C792" s="10" t="s">
        <v>24737</v>
      </c>
      <c r="D792" s="56" t="s">
        <v>1955</v>
      </c>
      <c r="E792" s="10" t="s">
        <v>45</v>
      </c>
      <c r="F792" s="10" t="s">
        <v>1234</v>
      </c>
      <c r="G792" s="10" t="s">
        <v>24022</v>
      </c>
      <c r="H792" s="10" t="s">
        <v>139</v>
      </c>
      <c r="I792" s="10" t="s">
        <v>55</v>
      </c>
      <c r="J792" s="10" t="s">
        <v>1761</v>
      </c>
      <c r="K792" s="10" t="s">
        <v>24738</v>
      </c>
      <c r="L792" s="10" t="s">
        <v>42</v>
      </c>
    </row>
    <row r="793" ht="15.75" customHeight="1">
      <c r="A793" s="66">
        <v>45489.0</v>
      </c>
      <c r="B793" s="55" t="str">
        <f>HYPERLINK("https://jobright.ai/jobs/info/669fc95ffa502da7578651e2?utm_campaign=1057&amp;utm_source=sheet", "Apply")</f>
        <v>Apply</v>
      </c>
      <c r="C793" s="10" t="s">
        <v>8247</v>
      </c>
      <c r="D793" s="56" t="s">
        <v>4448</v>
      </c>
      <c r="E793" s="10" t="s">
        <v>71</v>
      </c>
      <c r="F793" s="10" t="s">
        <v>4449</v>
      </c>
      <c r="G793" s="10" t="s">
        <v>24043</v>
      </c>
      <c r="H793" s="10" t="s">
        <v>628</v>
      </c>
      <c r="I793" s="10" t="s">
        <v>55</v>
      </c>
      <c r="K793" s="10" t="s">
        <v>4450</v>
      </c>
      <c r="L793" s="10" t="s">
        <v>42</v>
      </c>
    </row>
    <row r="794" ht="15.75" customHeight="1">
      <c r="A794" s="66">
        <v>45489.0</v>
      </c>
      <c r="B794" s="55" t="str">
        <f>HYPERLINK("https://jobright.ai/jobs/info/66969111a1999a68b3d71d27?utm_campaign=1057&amp;utm_source=sheet", "Apply")</f>
        <v>Apply</v>
      </c>
      <c r="C794" s="10" t="s">
        <v>24739</v>
      </c>
      <c r="D794" s="56" t="s">
        <v>15387</v>
      </c>
      <c r="E794" s="10" t="s">
        <v>209</v>
      </c>
      <c r="F794" s="10" t="s">
        <v>15388</v>
      </c>
      <c r="G794" s="10" t="s">
        <v>24031</v>
      </c>
      <c r="H794" s="10" t="s">
        <v>844</v>
      </c>
      <c r="I794" s="10" t="s">
        <v>55</v>
      </c>
      <c r="J794" s="10" t="s">
        <v>23286</v>
      </c>
      <c r="K794" s="10" t="s">
        <v>23287</v>
      </c>
      <c r="L794" s="10" t="s">
        <v>42</v>
      </c>
    </row>
    <row r="795" ht="15.75" customHeight="1">
      <c r="A795" s="66">
        <v>45489.0</v>
      </c>
      <c r="B795" s="55" t="str">
        <f>HYPERLINK("https://jobright.ai/jobs/info/669fbd2452eff9ce93d1c94a?utm_campaign=1057&amp;utm_source=sheet", "Apply")</f>
        <v>Apply</v>
      </c>
      <c r="C795" s="10" t="s">
        <v>8245</v>
      </c>
      <c r="D795" s="56" t="s">
        <v>4448</v>
      </c>
      <c r="E795" s="10" t="s">
        <v>71</v>
      </c>
      <c r="F795" s="10" t="s">
        <v>4449</v>
      </c>
      <c r="G795" s="10" t="s">
        <v>24043</v>
      </c>
      <c r="H795" s="10" t="s">
        <v>21253</v>
      </c>
      <c r="I795" s="10" t="s">
        <v>55</v>
      </c>
      <c r="K795" s="10" t="s">
        <v>24062</v>
      </c>
      <c r="L795" s="10" t="s">
        <v>42</v>
      </c>
    </row>
    <row r="796" ht="15.75" customHeight="1">
      <c r="A796" s="66">
        <v>45489.0</v>
      </c>
      <c r="B796" s="55" t="str">
        <f>HYPERLINK("https://jobright.ai/jobs/info/669fba12a5eef26fc63284b0?utm_campaign=1057&amp;utm_source=sheet", "Apply")</f>
        <v>Apply</v>
      </c>
      <c r="C796" s="10" t="s">
        <v>24428</v>
      </c>
      <c r="D796" s="56" t="s">
        <v>4448</v>
      </c>
      <c r="E796" s="10" t="s">
        <v>71</v>
      </c>
      <c r="F796" s="10" t="s">
        <v>4449</v>
      </c>
      <c r="G796" s="10" t="s">
        <v>24043</v>
      </c>
      <c r="H796" s="10" t="s">
        <v>24740</v>
      </c>
      <c r="I796" s="10" t="s">
        <v>55</v>
      </c>
      <c r="K796" s="10" t="s">
        <v>24062</v>
      </c>
      <c r="L796" s="10" t="s">
        <v>42</v>
      </c>
    </row>
    <row r="797" ht="15.75" customHeight="1">
      <c r="A797" s="66">
        <v>45489.0</v>
      </c>
      <c r="B797" s="55" t="str">
        <f>HYPERLINK("https://jobright.ai/jobs/info/669e4c4a892b00836a41a6d0?utm_campaign=1057&amp;utm_source=sheet", "Apply")</f>
        <v>Apply</v>
      </c>
      <c r="C797" s="10" t="s">
        <v>21661</v>
      </c>
      <c r="D797" s="56" t="s">
        <v>4448</v>
      </c>
      <c r="E797" s="10" t="s">
        <v>71</v>
      </c>
      <c r="F797" s="10" t="s">
        <v>4449</v>
      </c>
      <c r="G797" s="10" t="s">
        <v>24043</v>
      </c>
      <c r="H797" s="10" t="s">
        <v>24741</v>
      </c>
      <c r="I797" s="10" t="s">
        <v>55</v>
      </c>
      <c r="K797" s="10" t="s">
        <v>4450</v>
      </c>
      <c r="L797" s="10" t="s">
        <v>42</v>
      </c>
    </row>
    <row r="798" ht="15.75" customHeight="1">
      <c r="A798" s="66">
        <v>45489.0</v>
      </c>
      <c r="B798" s="55" t="str">
        <f>HYPERLINK("https://jobright.ai/jobs/info/669f9b306b4d6a5840810321?utm_campaign=1057&amp;utm_source=sheet", "Apply")</f>
        <v>Apply</v>
      </c>
      <c r="C798" s="10" t="s">
        <v>24155</v>
      </c>
      <c r="D798" s="56" t="s">
        <v>4448</v>
      </c>
      <c r="E798" s="10" t="s">
        <v>71</v>
      </c>
      <c r="F798" s="10" t="s">
        <v>4449</v>
      </c>
      <c r="G798" s="10" t="s">
        <v>24043</v>
      </c>
      <c r="H798" s="10" t="s">
        <v>21253</v>
      </c>
      <c r="I798" s="10" t="s">
        <v>55</v>
      </c>
      <c r="K798" s="10" t="s">
        <v>24062</v>
      </c>
      <c r="L798" s="10" t="s">
        <v>42</v>
      </c>
    </row>
    <row r="799" ht="15.75" customHeight="1">
      <c r="A799" s="66">
        <v>45489.0</v>
      </c>
      <c r="B799" s="55" t="str">
        <f>HYPERLINK("https://jobright.ai/jobs/info/668fcf77228dfafddaffeab9?utm_campaign=1057&amp;utm_source=sheet", "Apply")</f>
        <v>Apply</v>
      </c>
      <c r="C799" s="10" t="s">
        <v>24742</v>
      </c>
      <c r="D799" s="56" t="s">
        <v>3166</v>
      </c>
      <c r="E799" s="10" t="s">
        <v>45</v>
      </c>
      <c r="F799" s="10" t="s">
        <v>3167</v>
      </c>
      <c r="G799" s="10" t="s">
        <v>24043</v>
      </c>
      <c r="H799" s="10" t="s">
        <v>1160</v>
      </c>
      <c r="I799" s="10" t="s">
        <v>55</v>
      </c>
      <c r="K799" s="10" t="s">
        <v>24743</v>
      </c>
      <c r="L799" s="10" t="s">
        <v>42</v>
      </c>
    </row>
    <row r="800" ht="15.75" customHeight="1">
      <c r="A800" s="66">
        <v>45489.0</v>
      </c>
      <c r="B800" s="55" t="str">
        <f>HYPERLINK("https://jobright.ai/jobs/info/6699f4b4818163790035f7f3?utm_campaign=1057&amp;utm_source=sheet", "Apply")</f>
        <v>Apply</v>
      </c>
      <c r="C800" s="10" t="s">
        <v>24744</v>
      </c>
      <c r="D800" s="56" t="s">
        <v>24745</v>
      </c>
      <c r="F800" s="10" t="s">
        <v>24281</v>
      </c>
      <c r="G800" s="10" t="s">
        <v>24022</v>
      </c>
      <c r="H800" s="10" t="s">
        <v>24746</v>
      </c>
      <c r="I800" s="10" t="s">
        <v>55</v>
      </c>
      <c r="J800" s="10" t="s">
        <v>24747</v>
      </c>
      <c r="K800" s="10" t="s">
        <v>24748</v>
      </c>
      <c r="L800" s="10" t="s">
        <v>42</v>
      </c>
    </row>
    <row r="801" ht="15.75" customHeight="1">
      <c r="A801" s="66">
        <v>45489.0</v>
      </c>
      <c r="B801" s="55" t="str">
        <f>HYPERLINK("https://jobright.ai/jobs/info/6695e6f58d2977e4b2ac0cbc?utm_campaign=1057&amp;utm_source=sheet", "Apply")</f>
        <v>Apply</v>
      </c>
      <c r="C801" s="10" t="s">
        <v>24749</v>
      </c>
      <c r="D801" s="56" t="s">
        <v>9550</v>
      </c>
      <c r="E801" s="10" t="s">
        <v>249</v>
      </c>
      <c r="F801" s="10" t="s">
        <v>722</v>
      </c>
      <c r="G801" s="10" t="s">
        <v>24022</v>
      </c>
      <c r="H801" s="10" t="s">
        <v>153</v>
      </c>
      <c r="I801" s="10" t="s">
        <v>48</v>
      </c>
      <c r="K801" s="10" t="s">
        <v>24750</v>
      </c>
      <c r="L801" s="10" t="s">
        <v>42</v>
      </c>
    </row>
    <row r="802" ht="15.75" customHeight="1">
      <c r="A802" s="66">
        <v>45489.0</v>
      </c>
      <c r="B802" s="55" t="str">
        <f>HYPERLINK("https://jobright.ai/jobs/info/6695e6f58d2977e4b2ac0d3f?utm_campaign=1057&amp;utm_source=sheet", "Apply")</f>
        <v>Apply</v>
      </c>
      <c r="C802" s="10" t="s">
        <v>24751</v>
      </c>
      <c r="D802" s="56" t="s">
        <v>22539</v>
      </c>
      <c r="E802" s="10" t="s">
        <v>65</v>
      </c>
      <c r="F802" s="10" t="s">
        <v>22540</v>
      </c>
      <c r="G802" s="10" t="s">
        <v>24031</v>
      </c>
      <c r="H802" s="10" t="s">
        <v>799</v>
      </c>
      <c r="I802" s="10" t="s">
        <v>55</v>
      </c>
      <c r="J802" s="10" t="s">
        <v>24752</v>
      </c>
      <c r="K802" s="10" t="s">
        <v>24753</v>
      </c>
      <c r="L802" s="10" t="s">
        <v>42</v>
      </c>
    </row>
    <row r="803" ht="15.75" customHeight="1">
      <c r="A803" s="66">
        <v>45489.0</v>
      </c>
      <c r="B803" s="55" t="str">
        <f>HYPERLINK("https://jobright.ai/jobs/info/66970bad5cae7d0519078cac?utm_campaign=1057&amp;utm_source=sheet", "Apply")</f>
        <v>Apply</v>
      </c>
      <c r="C803" s="10" t="s">
        <v>24754</v>
      </c>
      <c r="D803" s="56" t="s">
        <v>24248</v>
      </c>
      <c r="E803" s="10" t="s">
        <v>45</v>
      </c>
      <c r="F803" s="10" t="s">
        <v>24249</v>
      </c>
      <c r="G803" s="10" t="s">
        <v>24043</v>
      </c>
      <c r="H803" s="10" t="s">
        <v>24755</v>
      </c>
      <c r="I803" s="10" t="s">
        <v>55</v>
      </c>
      <c r="K803" s="10" t="s">
        <v>24250</v>
      </c>
      <c r="L803" s="10" t="s">
        <v>42</v>
      </c>
    </row>
    <row r="804" ht="15.75" customHeight="1">
      <c r="A804" s="66">
        <v>45489.0</v>
      </c>
      <c r="B804" s="55" t="str">
        <f>HYPERLINK("https://jobright.ai/jobs/info/66970582a7fefc347c736a22?utm_campaign=1057&amp;utm_source=sheet", "Apply")</f>
        <v>Apply</v>
      </c>
      <c r="C804" s="10" t="s">
        <v>24247</v>
      </c>
      <c r="D804" s="56" t="s">
        <v>24248</v>
      </c>
      <c r="E804" s="10" t="s">
        <v>45</v>
      </c>
      <c r="F804" s="10" t="s">
        <v>24249</v>
      </c>
      <c r="G804" s="10" t="s">
        <v>24043</v>
      </c>
      <c r="H804" s="10" t="s">
        <v>24756</v>
      </c>
      <c r="I804" s="10" t="s">
        <v>55</v>
      </c>
      <c r="K804" s="10" t="s">
        <v>24250</v>
      </c>
      <c r="L804" s="10" t="s">
        <v>42</v>
      </c>
    </row>
    <row r="805" ht="15.75" customHeight="1">
      <c r="A805" s="66">
        <v>45489.0</v>
      </c>
      <c r="B805" s="55" t="str">
        <f>HYPERLINK("https://jobright.ai/jobs/info/6696b0266ff37b6a8706e9a1?utm_campaign=1057&amp;utm_source=sheet", "Apply")</f>
        <v>Apply</v>
      </c>
      <c r="C805" s="10" t="s">
        <v>24757</v>
      </c>
      <c r="D805" s="56" t="s">
        <v>17975</v>
      </c>
      <c r="E805" s="10" t="s">
        <v>65</v>
      </c>
      <c r="F805" s="10" t="s">
        <v>1234</v>
      </c>
      <c r="G805" s="10" t="s">
        <v>24022</v>
      </c>
      <c r="H805" s="10" t="s">
        <v>216</v>
      </c>
      <c r="I805" s="10" t="s">
        <v>55</v>
      </c>
      <c r="J805" s="10" t="s">
        <v>24177</v>
      </c>
      <c r="K805" s="10" t="s">
        <v>24641</v>
      </c>
      <c r="L805" s="10" t="s">
        <v>42</v>
      </c>
    </row>
    <row r="806" ht="15.75" customHeight="1">
      <c r="A806" s="66">
        <v>45489.0</v>
      </c>
      <c r="B806" s="55" t="str">
        <f>HYPERLINK("https://jobright.ai/jobs/info/66971275ff29392ce4bfba04?utm_campaign=1057&amp;utm_source=sheet", "Apply")</f>
        <v>Apply</v>
      </c>
      <c r="C806" s="10" t="s">
        <v>24758</v>
      </c>
      <c r="D806" s="56" t="s">
        <v>21089</v>
      </c>
      <c r="E806" s="10">
        <v>4327.0</v>
      </c>
      <c r="G806" s="10" t="s">
        <v>24022</v>
      </c>
      <c r="H806" s="10" t="s">
        <v>13689</v>
      </c>
      <c r="I806" s="10" t="s">
        <v>55</v>
      </c>
      <c r="J806" s="10" t="s">
        <v>24759</v>
      </c>
      <c r="K806" s="10" t="s">
        <v>24760</v>
      </c>
      <c r="L806" s="10" t="s">
        <v>42</v>
      </c>
    </row>
    <row r="807" ht="15.75" customHeight="1">
      <c r="A807" s="66">
        <v>45489.0</v>
      </c>
      <c r="B807" s="55" t="str">
        <f>HYPERLINK("https://jobright.ai/jobs/info/6696f1d3fd603ea845274b59?utm_campaign=1057&amp;utm_source=sheet", "Apply")</f>
        <v>Apply</v>
      </c>
      <c r="C807" s="10" t="s">
        <v>24761</v>
      </c>
      <c r="D807" s="56" t="s">
        <v>19679</v>
      </c>
      <c r="E807" s="10">
        <v>980.0</v>
      </c>
      <c r="G807" s="10" t="s">
        <v>24022</v>
      </c>
      <c r="H807" s="10" t="s">
        <v>19680</v>
      </c>
      <c r="I807" s="10" t="s">
        <v>55</v>
      </c>
      <c r="J807" s="10" t="s">
        <v>24762</v>
      </c>
      <c r="K807" s="10" t="s">
        <v>24763</v>
      </c>
      <c r="L807" s="10" t="s">
        <v>42</v>
      </c>
    </row>
    <row r="808" ht="15.75" customHeight="1">
      <c r="A808" s="66">
        <v>45489.0</v>
      </c>
      <c r="B808" s="55" t="str">
        <f>HYPERLINK("https://jobright.ai/jobs/info/6696c7f820a0f940cf170e4a?utm_campaign=1057&amp;utm_source=sheet", "Apply")</f>
        <v>Apply</v>
      </c>
      <c r="C808" s="10" t="s">
        <v>24364</v>
      </c>
      <c r="D808" s="56" t="s">
        <v>17717</v>
      </c>
      <c r="E808" s="10" t="s">
        <v>45</v>
      </c>
      <c r="F808" s="10" t="s">
        <v>4000</v>
      </c>
      <c r="G808" s="10" t="s">
        <v>24043</v>
      </c>
      <c r="H808" s="10" t="s">
        <v>24764</v>
      </c>
      <c r="I808" s="10" t="s">
        <v>48</v>
      </c>
      <c r="J808" s="10" t="s">
        <v>17718</v>
      </c>
      <c r="K808" s="10" t="s">
        <v>24365</v>
      </c>
      <c r="L808" s="10" t="s">
        <v>42</v>
      </c>
    </row>
    <row r="809" ht="15.75" customHeight="1">
      <c r="A809" s="66">
        <v>45488.0</v>
      </c>
      <c r="B809" s="55" t="str">
        <f>HYPERLINK("https://jobright.ai/jobs/info/668fcf77228dfafddaffea5e?utm_campaign=1057&amp;utm_source=sheet", "Apply")</f>
        <v>Apply</v>
      </c>
      <c r="C809" s="10" t="s">
        <v>24765</v>
      </c>
      <c r="D809" s="56" t="s">
        <v>3166</v>
      </c>
      <c r="E809" s="10" t="s">
        <v>45</v>
      </c>
      <c r="F809" s="10" t="s">
        <v>3167</v>
      </c>
      <c r="G809" s="10" t="s">
        <v>24043</v>
      </c>
      <c r="H809" s="10" t="s">
        <v>1160</v>
      </c>
      <c r="I809" s="10" t="s">
        <v>55</v>
      </c>
      <c r="K809" s="10" t="s">
        <v>24766</v>
      </c>
      <c r="L809" s="10" t="s">
        <v>42</v>
      </c>
    </row>
    <row r="810" ht="15.75" customHeight="1">
      <c r="A810" s="66">
        <v>45488.0</v>
      </c>
      <c r="B810" s="55" t="str">
        <f>HYPERLINK("https://jobright.ai/jobs/info/668fcf77228dfafddaffead3?utm_campaign=1057&amp;utm_source=sheet", "Apply")</f>
        <v>Apply</v>
      </c>
      <c r="C810" s="10" t="s">
        <v>24767</v>
      </c>
      <c r="D810" s="56" t="s">
        <v>3166</v>
      </c>
      <c r="E810" s="10" t="s">
        <v>45</v>
      </c>
      <c r="F810" s="10" t="s">
        <v>3167</v>
      </c>
      <c r="G810" s="10" t="s">
        <v>24043</v>
      </c>
      <c r="H810" s="10" t="s">
        <v>1160</v>
      </c>
      <c r="I810" s="10" t="s">
        <v>55</v>
      </c>
      <c r="K810" s="10" t="s">
        <v>24768</v>
      </c>
      <c r="L810" s="10" t="s">
        <v>42</v>
      </c>
    </row>
    <row r="811" ht="15.75" customHeight="1">
      <c r="A811" s="66">
        <v>45488.0</v>
      </c>
      <c r="B811" s="55" t="str">
        <f>HYPERLINK("https://jobright.ai/jobs/info/6695bdd857849631a44cefe7?utm_campaign=1057&amp;utm_source=sheet", "Apply")</f>
        <v>Apply</v>
      </c>
      <c r="C811" s="10" t="s">
        <v>24114</v>
      </c>
      <c r="D811" s="56" t="s">
        <v>24115</v>
      </c>
      <c r="F811" s="10" t="s">
        <v>1506</v>
      </c>
      <c r="G811" s="10" t="s">
        <v>24031</v>
      </c>
      <c r="H811" s="10" t="s">
        <v>24769</v>
      </c>
      <c r="I811" s="10" t="s">
        <v>55</v>
      </c>
      <c r="J811" s="10" t="s">
        <v>24116</v>
      </c>
      <c r="K811" s="10" t="s">
        <v>24612</v>
      </c>
      <c r="L811" s="10" t="s">
        <v>42</v>
      </c>
    </row>
    <row r="812" ht="15.75" customHeight="1">
      <c r="A812" s="66">
        <v>45488.0</v>
      </c>
      <c r="B812" s="55" t="str">
        <f>HYPERLINK("https://jobright.ai/jobs/info/6695a0cdc508bc0fadf56396?utm_campaign=1057&amp;utm_source=sheet", "Apply")</f>
        <v>Apply</v>
      </c>
      <c r="C812" s="10" t="s">
        <v>24770</v>
      </c>
      <c r="D812" s="56" t="s">
        <v>24771</v>
      </c>
      <c r="E812" s="10" t="s">
        <v>79</v>
      </c>
      <c r="F812" s="10" t="s">
        <v>1769</v>
      </c>
      <c r="G812" s="10" t="s">
        <v>24022</v>
      </c>
      <c r="H812" s="10" t="s">
        <v>24772</v>
      </c>
      <c r="I812" s="10" t="s">
        <v>55</v>
      </c>
      <c r="K812" s="10" t="s">
        <v>24773</v>
      </c>
      <c r="L812" s="10" t="s">
        <v>42</v>
      </c>
    </row>
    <row r="813" ht="15.75" customHeight="1">
      <c r="A813" s="66">
        <v>45488.0</v>
      </c>
      <c r="B813" s="55" t="str">
        <f>HYPERLINK("https://jobright.ai/jobs/info/668691221e8fc8919453f9e0?utm_campaign=1057&amp;utm_source=sheet", "Apply")</f>
        <v>Apply</v>
      </c>
      <c r="C813" s="10" t="s">
        <v>24774</v>
      </c>
      <c r="D813" s="56" t="s">
        <v>24775</v>
      </c>
      <c r="F813" s="10" t="s">
        <v>2617</v>
      </c>
      <c r="G813" s="10" t="s">
        <v>24031</v>
      </c>
      <c r="H813" s="10" t="s">
        <v>11404</v>
      </c>
      <c r="I813" s="10" t="s">
        <v>55</v>
      </c>
      <c r="J813" s="10" t="s">
        <v>9353</v>
      </c>
      <c r="K813" s="10" t="s">
        <v>24776</v>
      </c>
      <c r="L813" s="10" t="s">
        <v>42</v>
      </c>
    </row>
    <row r="814" ht="15.75" customHeight="1">
      <c r="A814" s="66">
        <v>45488.0</v>
      </c>
      <c r="B814" s="55" t="str">
        <f>HYPERLINK("https://jobright.ai/jobs/info/66967aa233c0dda593f799fe?utm_campaign=1057&amp;utm_source=sheet", "Apply")</f>
        <v>Apply</v>
      </c>
      <c r="C814" s="10" t="s">
        <v>24777</v>
      </c>
      <c r="D814" s="56" t="s">
        <v>20675</v>
      </c>
      <c r="E814" s="10" t="s">
        <v>45</v>
      </c>
      <c r="F814" s="10" t="s">
        <v>20676</v>
      </c>
      <c r="G814" s="10" t="s">
        <v>24022</v>
      </c>
      <c r="H814" s="10" t="s">
        <v>2137</v>
      </c>
      <c r="I814" s="10" t="s">
        <v>55</v>
      </c>
      <c r="J814" s="10" t="s">
        <v>24778</v>
      </c>
      <c r="K814" s="10" t="s">
        <v>24779</v>
      </c>
      <c r="L814" s="10" t="s">
        <v>42</v>
      </c>
    </row>
    <row r="815" ht="15.75" customHeight="1">
      <c r="A815" s="66">
        <v>45488.0</v>
      </c>
      <c r="B815" s="55" t="str">
        <f>HYPERLINK("https://jobright.ai/jobs/info/668613fd2f02a10a93d18ee0?utm_campaign=1057&amp;utm_source=sheet", "Apply")</f>
        <v>Apply</v>
      </c>
      <c r="C815" s="10" t="s">
        <v>24774</v>
      </c>
      <c r="D815" s="56" t="s">
        <v>24775</v>
      </c>
      <c r="F815" s="10" t="s">
        <v>2617</v>
      </c>
      <c r="G815" s="10" t="s">
        <v>24031</v>
      </c>
      <c r="H815" s="10" t="s">
        <v>11404</v>
      </c>
      <c r="I815" s="10" t="s">
        <v>48</v>
      </c>
      <c r="J815" s="10" t="s">
        <v>9353</v>
      </c>
      <c r="K815" s="10" t="s">
        <v>24776</v>
      </c>
      <c r="L815" s="10" t="s">
        <v>42</v>
      </c>
    </row>
    <row r="816" ht="15.75" customHeight="1">
      <c r="A816" s="66">
        <v>45488.0</v>
      </c>
      <c r="B816" s="55" t="str">
        <f>HYPERLINK("https://jobright.ai/jobs/info/669581218c0508fab845d004?utm_campaign=1057&amp;utm_source=sheet", "Apply")</f>
        <v>Apply</v>
      </c>
      <c r="C816" s="10" t="s">
        <v>24780</v>
      </c>
      <c r="D816" s="56" t="s">
        <v>24574</v>
      </c>
      <c r="G816" s="10" t="s">
        <v>24022</v>
      </c>
      <c r="H816" s="10" t="s">
        <v>24575</v>
      </c>
      <c r="I816" s="10" t="s">
        <v>55</v>
      </c>
      <c r="K816" s="10" t="s">
        <v>24736</v>
      </c>
      <c r="L816" s="10" t="s">
        <v>42</v>
      </c>
    </row>
    <row r="817" ht="15.75" customHeight="1">
      <c r="A817" s="66">
        <v>45488.0</v>
      </c>
      <c r="B817" s="55" t="str">
        <f>HYPERLINK("https://jobright.ai/jobs/info/6695a8ea2579c28f575c6843?utm_campaign=1057&amp;utm_source=sheet", "Apply")</f>
        <v>Apply</v>
      </c>
      <c r="C817" s="10" t="s">
        <v>24781</v>
      </c>
      <c r="D817" s="56" t="s">
        <v>196</v>
      </c>
      <c r="E817" s="10" t="s">
        <v>71</v>
      </c>
      <c r="F817" s="10" t="s">
        <v>197</v>
      </c>
      <c r="G817" s="10" t="s">
        <v>24031</v>
      </c>
      <c r="H817" s="10" t="s">
        <v>193</v>
      </c>
      <c r="I817" s="10" t="s">
        <v>55</v>
      </c>
      <c r="K817" s="10" t="s">
        <v>24782</v>
      </c>
      <c r="L817" s="10" t="s">
        <v>42</v>
      </c>
    </row>
    <row r="818" ht="15.75" customHeight="1">
      <c r="A818" s="66">
        <v>45488.0</v>
      </c>
      <c r="B818" s="55" t="str">
        <f>HYPERLINK("https://jobright.ai/jobs/info/669e4c4a892b00836a41a6d5?utm_campaign=1057&amp;utm_source=sheet", "Apply")</f>
        <v>Apply</v>
      </c>
      <c r="C818" s="10" t="s">
        <v>24369</v>
      </c>
      <c r="D818" s="56" t="s">
        <v>4448</v>
      </c>
      <c r="E818" s="10" t="s">
        <v>71</v>
      </c>
      <c r="F818" s="10" t="s">
        <v>4449</v>
      </c>
      <c r="G818" s="10" t="s">
        <v>24043</v>
      </c>
      <c r="H818" s="10" t="s">
        <v>22285</v>
      </c>
      <c r="I818" s="10" t="s">
        <v>55</v>
      </c>
      <c r="K818" s="10" t="s">
        <v>24062</v>
      </c>
      <c r="L818" s="10" t="s">
        <v>42</v>
      </c>
    </row>
    <row r="819" ht="15.75" customHeight="1">
      <c r="A819" s="66">
        <v>45488.0</v>
      </c>
      <c r="B819" s="55" t="str">
        <f>HYPERLINK("https://jobright.ai/jobs/info/66951895259dc0b3529aba9a?utm_campaign=1057&amp;utm_source=sheet", "Apply")</f>
        <v>Apply</v>
      </c>
      <c r="C819" s="10" t="s">
        <v>24783</v>
      </c>
      <c r="D819" s="56" t="s">
        <v>196</v>
      </c>
      <c r="E819" s="10" t="s">
        <v>71</v>
      </c>
      <c r="F819" s="10" t="s">
        <v>197</v>
      </c>
      <c r="G819" s="10" t="s">
        <v>24022</v>
      </c>
      <c r="H819" s="10" t="s">
        <v>24784</v>
      </c>
      <c r="I819" s="10" t="s">
        <v>55</v>
      </c>
      <c r="K819" s="10" t="s">
        <v>24785</v>
      </c>
      <c r="L819" s="10" t="s">
        <v>42</v>
      </c>
    </row>
    <row r="820" ht="15.75" customHeight="1">
      <c r="A820" s="66">
        <v>45488.0</v>
      </c>
      <c r="B820" s="55" t="str">
        <f>HYPERLINK("https://jobright.ai/jobs/info/665b56769c907a27d7bcd962?utm_campaign=1057&amp;utm_source=sheet", "Apply")</f>
        <v>Apply</v>
      </c>
      <c r="C820" s="10" t="s">
        <v>24786</v>
      </c>
      <c r="D820" s="56" t="s">
        <v>24787</v>
      </c>
      <c r="E820" s="10" t="s">
        <v>65</v>
      </c>
      <c r="F820" s="10" t="s">
        <v>24788</v>
      </c>
      <c r="G820" s="10" t="s">
        <v>24022</v>
      </c>
      <c r="H820" s="10" t="s">
        <v>159</v>
      </c>
      <c r="I820" s="10" t="s">
        <v>55</v>
      </c>
      <c r="J820" s="10" t="s">
        <v>24789</v>
      </c>
      <c r="K820" s="10" t="s">
        <v>24790</v>
      </c>
      <c r="L820" s="10" t="s">
        <v>42</v>
      </c>
    </row>
    <row r="821" ht="15.75" customHeight="1">
      <c r="A821" s="66">
        <v>45488.0</v>
      </c>
      <c r="B821" s="55" t="str">
        <f>HYPERLINK("https://jobright.ai/jobs/info/6693b23c4a877f3af7e0f0a9?utm_campaign=1057&amp;utm_source=sheet", "Apply")</f>
        <v>Apply</v>
      </c>
      <c r="C821" s="10" t="s">
        <v>24791</v>
      </c>
      <c r="D821" s="56" t="s">
        <v>1707</v>
      </c>
      <c r="E821" s="10" t="s">
        <v>45</v>
      </c>
      <c r="F821" s="10" t="s">
        <v>1708</v>
      </c>
      <c r="G821" s="10" t="s">
        <v>24022</v>
      </c>
      <c r="H821" s="10" t="s">
        <v>4804</v>
      </c>
      <c r="I821" s="10" t="s">
        <v>55</v>
      </c>
      <c r="K821" s="10" t="s">
        <v>24792</v>
      </c>
      <c r="L821" s="10" t="s">
        <v>42</v>
      </c>
    </row>
    <row r="822" ht="15.75" customHeight="1">
      <c r="A822" s="66">
        <v>45488.0</v>
      </c>
      <c r="B822" s="55" t="str">
        <f>HYPERLINK("https://jobright.ai/jobs/info/66948cc39b439772614e02a8?utm_campaign=1057&amp;utm_source=sheet", "Apply")</f>
        <v>Apply</v>
      </c>
      <c r="C822" s="10" t="s">
        <v>24793</v>
      </c>
      <c r="D822" s="56" t="s">
        <v>1955</v>
      </c>
      <c r="E822" s="10" t="s">
        <v>45</v>
      </c>
      <c r="F822" s="10" t="s">
        <v>1234</v>
      </c>
      <c r="G822" s="10" t="s">
        <v>24022</v>
      </c>
      <c r="H822" s="10" t="s">
        <v>139</v>
      </c>
      <c r="I822" s="10" t="s">
        <v>55</v>
      </c>
      <c r="J822" s="10" t="s">
        <v>1960</v>
      </c>
      <c r="K822" s="10" t="s">
        <v>24794</v>
      </c>
      <c r="L822" s="10" t="s">
        <v>42</v>
      </c>
    </row>
    <row r="823" ht="15.75" customHeight="1">
      <c r="A823" s="66">
        <v>45488.0</v>
      </c>
      <c r="B823" s="55" t="str">
        <f>HYPERLINK("https://jobright.ai/jobs/info/66953d351e1f8009851f6985?utm_campaign=1057&amp;utm_source=sheet", "Apply")</f>
        <v>Apply</v>
      </c>
      <c r="C823" s="10" t="s">
        <v>24795</v>
      </c>
      <c r="D823" s="56" t="s">
        <v>24796</v>
      </c>
      <c r="E823" s="10" t="s">
        <v>79</v>
      </c>
      <c r="F823" s="10" t="s">
        <v>2617</v>
      </c>
      <c r="G823" s="10" t="s">
        <v>24043</v>
      </c>
      <c r="H823" s="10" t="s">
        <v>7853</v>
      </c>
      <c r="I823" s="10" t="s">
        <v>55</v>
      </c>
      <c r="K823" s="10" t="s">
        <v>24797</v>
      </c>
      <c r="L823" s="10" t="s">
        <v>42</v>
      </c>
    </row>
    <row r="824" ht="15.75" customHeight="1">
      <c r="A824" s="66">
        <v>45488.0</v>
      </c>
      <c r="B824" s="55" t="str">
        <f>HYPERLINK("https://jobright.ai/jobs/info/6695787e3bbf45b28ba87f59?utm_campaign=1057&amp;utm_source=sheet", "Apply")</f>
        <v>Apply</v>
      </c>
      <c r="C824" s="10" t="s">
        <v>24781</v>
      </c>
      <c r="D824" s="56" t="s">
        <v>196</v>
      </c>
      <c r="E824" s="10" t="s">
        <v>71</v>
      </c>
      <c r="F824" s="10" t="s">
        <v>197</v>
      </c>
      <c r="G824" s="10" t="s">
        <v>24031</v>
      </c>
      <c r="H824" s="10" t="s">
        <v>2352</v>
      </c>
      <c r="I824" s="10" t="s">
        <v>48</v>
      </c>
      <c r="K824" s="10" t="s">
        <v>24798</v>
      </c>
      <c r="L824" s="10" t="s">
        <v>42</v>
      </c>
    </row>
    <row r="825" ht="15.75" customHeight="1">
      <c r="A825" s="66">
        <v>45488.0</v>
      </c>
      <c r="B825" s="55" t="str">
        <f>HYPERLINK("https://jobright.ai/jobs/info/669532a866c253004df48357?utm_campaign=1057&amp;utm_source=sheet", "Apply")</f>
        <v>Apply</v>
      </c>
      <c r="C825" s="10" t="s">
        <v>4331</v>
      </c>
      <c r="D825" s="56" t="s">
        <v>12927</v>
      </c>
      <c r="E825" s="10" t="s">
        <v>65</v>
      </c>
      <c r="F825" s="10" t="s">
        <v>1893</v>
      </c>
      <c r="G825" s="10" t="s">
        <v>24022</v>
      </c>
      <c r="H825" s="10" t="s">
        <v>914</v>
      </c>
      <c r="I825" s="10" t="s">
        <v>55</v>
      </c>
      <c r="K825" s="10" t="s">
        <v>24799</v>
      </c>
      <c r="L825" s="10" t="s">
        <v>42</v>
      </c>
    </row>
    <row r="826" ht="15.75" customHeight="1">
      <c r="A826" s="66">
        <v>45487.0</v>
      </c>
      <c r="B826" s="55" t="str">
        <f>HYPERLINK("https://jobright.ai/jobs/info/669d147c6f6497fd2712f184?utm_campaign=1057&amp;utm_source=sheet", "Apply")</f>
        <v>Apply</v>
      </c>
      <c r="C826" s="10" t="s">
        <v>24448</v>
      </c>
      <c r="D826" s="56" t="s">
        <v>4448</v>
      </c>
      <c r="E826" s="10" t="s">
        <v>71</v>
      </c>
      <c r="F826" s="10" t="s">
        <v>4449</v>
      </c>
      <c r="G826" s="10" t="s">
        <v>24043</v>
      </c>
      <c r="H826" s="10" t="s">
        <v>24800</v>
      </c>
      <c r="I826" s="10" t="s">
        <v>55</v>
      </c>
      <c r="K826" s="10" t="s">
        <v>4450</v>
      </c>
      <c r="L826" s="10" t="s">
        <v>42</v>
      </c>
    </row>
    <row r="827" ht="15.75" customHeight="1">
      <c r="A827" s="66">
        <v>45487.0</v>
      </c>
      <c r="B827" s="55" t="str">
        <f>HYPERLINK("https://jobright.ai/jobs/info/665a04e2844831dbde0c480a?utm_campaign=1057&amp;utm_source=sheet", "Apply")</f>
        <v>Apply</v>
      </c>
      <c r="C827" s="10" t="s">
        <v>24801</v>
      </c>
      <c r="D827" s="56" t="s">
        <v>10806</v>
      </c>
      <c r="E827" s="10" t="s">
        <v>276</v>
      </c>
      <c r="F827" s="10" t="s">
        <v>3382</v>
      </c>
      <c r="G827" s="10" t="s">
        <v>24022</v>
      </c>
      <c r="H827" s="10" t="s">
        <v>96</v>
      </c>
      <c r="I827" s="10" t="s">
        <v>55</v>
      </c>
      <c r="J827" s="10" t="s">
        <v>11075</v>
      </c>
      <c r="K827" s="10" t="s">
        <v>16398</v>
      </c>
      <c r="L827" s="10" t="s">
        <v>42</v>
      </c>
    </row>
    <row r="828" ht="15.75" customHeight="1">
      <c r="A828" s="66">
        <v>45487.0</v>
      </c>
      <c r="B828" s="55" t="str">
        <f>HYPERLINK("https://jobright.ai/jobs/info/6676c671807f31af72077171?utm_campaign=1057&amp;utm_source=sheet", "Apply")</f>
        <v>Apply</v>
      </c>
      <c r="C828" s="10" t="s">
        <v>24802</v>
      </c>
      <c r="D828" s="56" t="s">
        <v>17964</v>
      </c>
      <c r="E828" s="10">
        <v>2182.0</v>
      </c>
      <c r="G828" s="10" t="s">
        <v>24022</v>
      </c>
      <c r="H828" s="10" t="s">
        <v>96</v>
      </c>
      <c r="I828" s="10" t="s">
        <v>55</v>
      </c>
      <c r="J828" s="10" t="s">
        <v>3671</v>
      </c>
      <c r="K828" s="10" t="s">
        <v>18069</v>
      </c>
      <c r="L828" s="10" t="s">
        <v>42</v>
      </c>
    </row>
    <row r="829" ht="15.75" customHeight="1">
      <c r="A829" s="66">
        <v>45487.0</v>
      </c>
      <c r="B829" s="55" t="str">
        <f>HYPERLINK("https://jobright.ai/jobs/info/6676bc089b9f24e2dbdca882?utm_campaign=1057&amp;utm_source=sheet", "Apply")</f>
        <v>Apply</v>
      </c>
      <c r="C829" s="10" t="s">
        <v>24803</v>
      </c>
      <c r="D829" s="56" t="s">
        <v>17964</v>
      </c>
      <c r="E829" s="10">
        <v>2182.0</v>
      </c>
      <c r="G829" s="10" t="s">
        <v>24022</v>
      </c>
      <c r="H829" s="10" t="s">
        <v>165</v>
      </c>
      <c r="I829" s="10" t="s">
        <v>55</v>
      </c>
      <c r="J829" s="10" t="s">
        <v>3671</v>
      </c>
      <c r="K829" s="10" t="s">
        <v>18069</v>
      </c>
      <c r="L829" s="10" t="s">
        <v>42</v>
      </c>
    </row>
    <row r="830" ht="15.75" customHeight="1">
      <c r="A830" s="66">
        <v>45487.0</v>
      </c>
      <c r="B830" s="55" t="str">
        <f>HYPERLINK("https://jobright.ai/jobs/info/66763353e272243dcd4f5d33?utm_campaign=1057&amp;utm_source=sheet", "Apply")</f>
        <v>Apply</v>
      </c>
      <c r="C830" s="10" t="s">
        <v>24072</v>
      </c>
      <c r="D830" s="56" t="s">
        <v>5854</v>
      </c>
      <c r="E830" s="10" t="s">
        <v>209</v>
      </c>
      <c r="F830" s="10" t="s">
        <v>1695</v>
      </c>
      <c r="G830" s="10" t="s">
        <v>24031</v>
      </c>
      <c r="H830" s="10" t="s">
        <v>860</v>
      </c>
      <c r="I830" s="10" t="s">
        <v>55</v>
      </c>
      <c r="K830" s="10" t="s">
        <v>24804</v>
      </c>
      <c r="L830" s="10" t="s">
        <v>42</v>
      </c>
    </row>
    <row r="831" ht="15.75" customHeight="1">
      <c r="A831" s="66">
        <v>45487.0</v>
      </c>
      <c r="B831" s="55" t="str">
        <f>HYPERLINK("https://jobright.ai/jobs/info/6675ef783f0763b7548cfa1e?utm_campaign=1057&amp;utm_source=sheet", "Apply")</f>
        <v>Apply</v>
      </c>
      <c r="C831" s="10" t="s">
        <v>24805</v>
      </c>
      <c r="D831" s="56" t="s">
        <v>17964</v>
      </c>
      <c r="E831" s="10">
        <v>2182.0</v>
      </c>
      <c r="G831" s="10" t="s">
        <v>24022</v>
      </c>
      <c r="H831" s="10" t="s">
        <v>113</v>
      </c>
      <c r="I831" s="10" t="s">
        <v>55</v>
      </c>
      <c r="J831" s="10" t="s">
        <v>3671</v>
      </c>
      <c r="K831" s="10" t="s">
        <v>18069</v>
      </c>
      <c r="L831" s="10" t="s">
        <v>42</v>
      </c>
    </row>
    <row r="832" ht="15.75" customHeight="1">
      <c r="A832" s="66">
        <v>45487.0</v>
      </c>
      <c r="B832" s="55" t="str">
        <f>HYPERLINK("https://jobright.ai/jobs/info/6675ef3f3f0763b7548cf584?utm_campaign=1057&amp;utm_source=sheet", "Apply")</f>
        <v>Apply</v>
      </c>
      <c r="C832" s="10" t="s">
        <v>24806</v>
      </c>
      <c r="D832" s="56" t="s">
        <v>17964</v>
      </c>
      <c r="E832" s="10">
        <v>2182.0</v>
      </c>
      <c r="G832" s="10" t="s">
        <v>24022</v>
      </c>
      <c r="H832" s="10" t="s">
        <v>131</v>
      </c>
      <c r="I832" s="10" t="s">
        <v>55</v>
      </c>
      <c r="J832" s="10" t="s">
        <v>3671</v>
      </c>
      <c r="K832" s="10" t="s">
        <v>18069</v>
      </c>
      <c r="L832" s="10" t="s">
        <v>42</v>
      </c>
    </row>
    <row r="833" ht="15.75" customHeight="1">
      <c r="A833" s="66">
        <v>45487.0</v>
      </c>
      <c r="B833" s="55" t="str">
        <f>HYPERLINK("https://jobright.ai/jobs/info/664e2071b45b688e7b70fbfa?utm_campaign=1057&amp;utm_source=sheet", "Apply")</f>
        <v>Apply</v>
      </c>
      <c r="C833" s="10" t="s">
        <v>24807</v>
      </c>
      <c r="D833" s="56" t="s">
        <v>5854</v>
      </c>
      <c r="E833" s="10" t="s">
        <v>209</v>
      </c>
      <c r="F833" s="10" t="s">
        <v>1695</v>
      </c>
      <c r="G833" s="10" t="s">
        <v>24031</v>
      </c>
      <c r="H833" s="10" t="s">
        <v>860</v>
      </c>
      <c r="I833" s="10" t="s">
        <v>55</v>
      </c>
      <c r="K833" s="10" t="s">
        <v>6065</v>
      </c>
      <c r="L833" s="10" t="s">
        <v>42</v>
      </c>
    </row>
    <row r="834" ht="15.75" customHeight="1">
      <c r="A834" s="66">
        <v>45487.0</v>
      </c>
      <c r="B834" s="55" t="str">
        <f>HYPERLINK("https://jobright.ai/jobs/info/66250631829f460816ada785?utm_campaign=1057&amp;utm_source=sheet", "Apply")</f>
        <v>Apply</v>
      </c>
      <c r="C834" s="10" t="s">
        <v>24808</v>
      </c>
      <c r="D834" s="56" t="s">
        <v>24809</v>
      </c>
      <c r="E834" s="10" t="s">
        <v>209</v>
      </c>
      <c r="F834" s="10" t="s">
        <v>24810</v>
      </c>
      <c r="G834" s="10" t="s">
        <v>24043</v>
      </c>
      <c r="H834" s="10" t="s">
        <v>1978</v>
      </c>
      <c r="I834" s="10" t="s">
        <v>55</v>
      </c>
      <c r="K834" s="10" t="s">
        <v>24811</v>
      </c>
      <c r="L834" s="10" t="s">
        <v>42</v>
      </c>
    </row>
    <row r="835" ht="15.75" customHeight="1">
      <c r="A835" s="66">
        <v>45487.0</v>
      </c>
      <c r="B835" s="55" t="str">
        <f>HYPERLINK("https://jobright.ai/jobs/info/6642f8dc457134082c211f8f?utm_campaign=1057&amp;utm_source=sheet", "Apply")</f>
        <v>Apply</v>
      </c>
      <c r="C835" s="10" t="s">
        <v>24812</v>
      </c>
      <c r="D835" s="56" t="s">
        <v>5854</v>
      </c>
      <c r="E835" s="10" t="s">
        <v>209</v>
      </c>
      <c r="F835" s="10" t="s">
        <v>1695</v>
      </c>
      <c r="G835" s="10" t="s">
        <v>24031</v>
      </c>
      <c r="H835" s="10" t="s">
        <v>860</v>
      </c>
      <c r="I835" s="10" t="s">
        <v>55</v>
      </c>
      <c r="K835" s="10" t="s">
        <v>5855</v>
      </c>
      <c r="L835" s="10" t="s">
        <v>42</v>
      </c>
    </row>
    <row r="836" ht="15.75" customHeight="1">
      <c r="A836" s="66">
        <v>45487.0</v>
      </c>
      <c r="B836" s="55" t="str">
        <f>HYPERLINK("https://jobright.ai/jobs/info/66779747417c3aa48b86ea51?utm_campaign=1057&amp;utm_source=sheet", "Apply")</f>
        <v>Apply</v>
      </c>
      <c r="C836" s="10" t="s">
        <v>24130</v>
      </c>
      <c r="D836" s="56" t="s">
        <v>24813</v>
      </c>
      <c r="E836" s="10" t="s">
        <v>65</v>
      </c>
      <c r="F836" s="10" t="s">
        <v>24814</v>
      </c>
      <c r="G836" s="10" t="s">
        <v>24043</v>
      </c>
      <c r="H836" s="10" t="s">
        <v>24815</v>
      </c>
      <c r="I836" s="10" t="s">
        <v>55</v>
      </c>
      <c r="J836" s="10" t="s">
        <v>24816</v>
      </c>
      <c r="K836" s="10" t="s">
        <v>24817</v>
      </c>
      <c r="L836" s="10" t="s">
        <v>42</v>
      </c>
    </row>
    <row r="837" ht="15.75" customHeight="1">
      <c r="A837" s="66">
        <v>45487.0</v>
      </c>
      <c r="B837" s="55" t="str">
        <f>HYPERLINK("https://jobright.ai/jobs/info/6676c68b807f31af72077348?utm_campaign=1057&amp;utm_source=sheet", "Apply")</f>
        <v>Apply</v>
      </c>
      <c r="C837" s="10" t="s">
        <v>24818</v>
      </c>
      <c r="D837" s="56" t="s">
        <v>17964</v>
      </c>
      <c r="E837" s="10">
        <v>2182.0</v>
      </c>
      <c r="G837" s="10" t="s">
        <v>24022</v>
      </c>
      <c r="H837" s="10" t="s">
        <v>144</v>
      </c>
      <c r="I837" s="10" t="s">
        <v>55</v>
      </c>
      <c r="J837" s="10" t="s">
        <v>3671</v>
      </c>
      <c r="K837" s="10" t="s">
        <v>24819</v>
      </c>
      <c r="L837" s="10" t="s">
        <v>42</v>
      </c>
    </row>
    <row r="838" ht="15.75" customHeight="1">
      <c r="A838" s="66">
        <v>45487.0</v>
      </c>
      <c r="B838" s="55" t="str">
        <f>HYPERLINK("https://jobright.ai/jobs/info/6677971a417c3aa48b86e760?utm_campaign=1057&amp;utm_source=sheet", "Apply")</f>
        <v>Apply</v>
      </c>
      <c r="C838" s="10" t="s">
        <v>24820</v>
      </c>
      <c r="D838" s="56" t="s">
        <v>20660</v>
      </c>
      <c r="E838" s="10" t="s">
        <v>209</v>
      </c>
      <c r="F838" s="10" t="s">
        <v>19187</v>
      </c>
      <c r="G838" s="10" t="s">
        <v>24043</v>
      </c>
      <c r="H838" s="10" t="s">
        <v>167</v>
      </c>
      <c r="I838" s="10" t="s">
        <v>55</v>
      </c>
      <c r="K838" s="10" t="s">
        <v>24821</v>
      </c>
      <c r="L838" s="10" t="s">
        <v>42</v>
      </c>
    </row>
    <row r="839" ht="15.75" customHeight="1">
      <c r="A839" s="66">
        <v>45487.0</v>
      </c>
      <c r="B839" s="55" t="str">
        <f>HYPERLINK("https://jobright.ai/jobs/info/6642f858457134082c210e34?utm_campaign=1057&amp;utm_source=sheet", "Apply")</f>
        <v>Apply</v>
      </c>
      <c r="C839" s="10" t="s">
        <v>3183</v>
      </c>
      <c r="D839" s="56" t="s">
        <v>22178</v>
      </c>
      <c r="E839" s="10" t="s">
        <v>65</v>
      </c>
      <c r="F839" s="10" t="s">
        <v>18269</v>
      </c>
      <c r="G839" s="10" t="s">
        <v>24022</v>
      </c>
      <c r="H839" s="10" t="s">
        <v>22179</v>
      </c>
      <c r="I839" s="10" t="s">
        <v>55</v>
      </c>
      <c r="K839" s="10" t="s">
        <v>24822</v>
      </c>
      <c r="L839" s="10" t="s">
        <v>42</v>
      </c>
    </row>
    <row r="840" ht="15.75" customHeight="1">
      <c r="A840" s="66">
        <v>45487.0</v>
      </c>
      <c r="B840" s="55" t="str">
        <f>HYPERLINK("https://jobright.ai/jobs/info/664e2b2efd06ab529d525758?utm_campaign=1057&amp;utm_source=sheet", "Apply")</f>
        <v>Apply</v>
      </c>
      <c r="C840" s="10" t="s">
        <v>24823</v>
      </c>
      <c r="D840" s="56" t="s">
        <v>24824</v>
      </c>
      <c r="E840" s="10" t="s">
        <v>65</v>
      </c>
      <c r="F840" s="10" t="s">
        <v>2409</v>
      </c>
      <c r="G840" s="10" t="s">
        <v>24043</v>
      </c>
      <c r="H840" s="10" t="s">
        <v>216</v>
      </c>
      <c r="I840" s="10" t="s">
        <v>55</v>
      </c>
      <c r="K840" s="10" t="s">
        <v>24825</v>
      </c>
      <c r="L840" s="10" t="s">
        <v>42</v>
      </c>
    </row>
    <row r="841" ht="15.75" customHeight="1">
      <c r="A841" s="66">
        <v>45487.0</v>
      </c>
      <c r="B841" s="55" t="str">
        <f>HYPERLINK("https://jobright.ai/jobs/info/6675f3592617111d53a44460?utm_campaign=1057&amp;utm_source=sheet", "Apply")</f>
        <v>Apply</v>
      </c>
      <c r="C841" s="10" t="s">
        <v>24826</v>
      </c>
      <c r="D841" s="56" t="s">
        <v>17964</v>
      </c>
      <c r="E841" s="10">
        <v>2182.0</v>
      </c>
      <c r="G841" s="10" t="s">
        <v>24022</v>
      </c>
      <c r="H841" s="10" t="s">
        <v>994</v>
      </c>
      <c r="I841" s="10" t="s">
        <v>55</v>
      </c>
      <c r="J841" s="10" t="s">
        <v>3671</v>
      </c>
      <c r="K841" s="10" t="s">
        <v>24827</v>
      </c>
      <c r="L841" s="10" t="s">
        <v>42</v>
      </c>
    </row>
    <row r="842" ht="15.75" customHeight="1">
      <c r="A842" s="66">
        <v>45487.0</v>
      </c>
      <c r="B842" s="55" t="str">
        <f>HYPERLINK("https://jobright.ai/jobs/info/666c254241bd8bbbc79fda4b?utm_campaign=1057&amp;utm_source=sheet", "Apply")</f>
        <v>Apply</v>
      </c>
      <c r="C842" s="10" t="s">
        <v>24828</v>
      </c>
      <c r="D842" s="56" t="s">
        <v>6683</v>
      </c>
      <c r="E842" s="10" t="s">
        <v>45</v>
      </c>
      <c r="F842" s="10" t="s">
        <v>6684</v>
      </c>
      <c r="G842" s="10" t="s">
        <v>24043</v>
      </c>
      <c r="H842" s="10" t="s">
        <v>113</v>
      </c>
      <c r="I842" s="10" t="s">
        <v>55</v>
      </c>
      <c r="K842" s="10" t="s">
        <v>24829</v>
      </c>
      <c r="L842" s="10" t="s">
        <v>42</v>
      </c>
    </row>
    <row r="843" ht="15.75" customHeight="1">
      <c r="A843" s="66">
        <v>45487.0</v>
      </c>
      <c r="B843" s="55" t="str">
        <f>HYPERLINK("https://jobright.ai/jobs/info/66525d43e285189cf2c8719f?utm_campaign=1057&amp;utm_source=sheet", "Apply")</f>
        <v>Apply</v>
      </c>
      <c r="C843" s="10" t="s">
        <v>24830</v>
      </c>
      <c r="D843" s="56" t="s">
        <v>5636</v>
      </c>
      <c r="E843" s="10" t="s">
        <v>45</v>
      </c>
      <c r="F843" s="10" t="s">
        <v>5637</v>
      </c>
      <c r="G843" s="10" t="s">
        <v>24022</v>
      </c>
      <c r="H843" s="10" t="s">
        <v>24831</v>
      </c>
      <c r="I843" s="10" t="s">
        <v>55</v>
      </c>
      <c r="K843" s="10" t="s">
        <v>24832</v>
      </c>
      <c r="L843" s="10" t="s">
        <v>42</v>
      </c>
    </row>
    <row r="844" ht="15.75" customHeight="1">
      <c r="A844" s="66">
        <v>45487.0</v>
      </c>
      <c r="B844" s="55" t="str">
        <f>HYPERLINK("https://jobright.ai/jobs/info/664e36385ea75b6f96bed9be?utm_campaign=1057&amp;utm_source=sheet", "Apply")</f>
        <v>Apply</v>
      </c>
      <c r="C844" s="10" t="s">
        <v>24833</v>
      </c>
      <c r="D844" s="56" t="s">
        <v>4526</v>
      </c>
      <c r="E844" s="10" t="s">
        <v>209</v>
      </c>
      <c r="F844" s="10" t="s">
        <v>3124</v>
      </c>
      <c r="G844" s="10" t="s">
        <v>24031</v>
      </c>
      <c r="H844" s="10" t="s">
        <v>113</v>
      </c>
      <c r="I844" s="10" t="s">
        <v>48</v>
      </c>
      <c r="K844" s="10" t="s">
        <v>24834</v>
      </c>
      <c r="L844" s="10" t="s">
        <v>42</v>
      </c>
    </row>
    <row r="845" ht="15.75" customHeight="1">
      <c r="A845" s="66">
        <v>45486.0</v>
      </c>
      <c r="B845" s="55" t="str">
        <f>HYPERLINK("https://jobright.ai/jobs/info/6692ce2d4e75f630e5fc3437?utm_campaign=1057&amp;utm_source=sheet", "Apply")</f>
        <v>Apply</v>
      </c>
      <c r="C845" s="10" t="s">
        <v>24783</v>
      </c>
      <c r="D845" s="56" t="s">
        <v>196</v>
      </c>
      <c r="E845" s="10" t="s">
        <v>71</v>
      </c>
      <c r="F845" s="10" t="s">
        <v>197</v>
      </c>
      <c r="G845" s="10" t="s">
        <v>24022</v>
      </c>
      <c r="H845" s="10" t="s">
        <v>24835</v>
      </c>
      <c r="I845" s="10" t="s">
        <v>55</v>
      </c>
      <c r="K845" s="10" t="s">
        <v>24785</v>
      </c>
      <c r="L845" s="10" t="s">
        <v>42</v>
      </c>
    </row>
    <row r="846" ht="15.75" customHeight="1">
      <c r="A846" s="66">
        <v>45486.0</v>
      </c>
      <c r="B846" s="55" t="str">
        <f>HYPERLINK("https://jobright.ai/jobs/info/667968f4d86d626ab8b77fd2?utm_campaign=1057&amp;utm_source=sheet", "Apply")</f>
        <v>Apply</v>
      </c>
      <c r="C846" s="10" t="s">
        <v>24836</v>
      </c>
      <c r="D846" s="56" t="s">
        <v>24837</v>
      </c>
      <c r="E846" s="10" t="s">
        <v>71</v>
      </c>
      <c r="F846" s="10" t="s">
        <v>1833</v>
      </c>
      <c r="G846" s="10" t="s">
        <v>24043</v>
      </c>
      <c r="H846" s="10" t="s">
        <v>113</v>
      </c>
      <c r="I846" s="10" t="s">
        <v>55</v>
      </c>
      <c r="K846" s="10" t="s">
        <v>24838</v>
      </c>
      <c r="L846" s="10" t="s">
        <v>42</v>
      </c>
    </row>
    <row r="847" ht="15.75" customHeight="1">
      <c r="A847" s="66">
        <v>45486.0</v>
      </c>
      <c r="B847" s="55" t="str">
        <f>HYPERLINK("https://jobright.ai/jobs/info/66251ade8cf80f645a93a337?utm_campaign=1057&amp;utm_source=sheet", "Apply")</f>
        <v>Apply</v>
      </c>
      <c r="C847" s="10" t="s">
        <v>24839</v>
      </c>
      <c r="D847" s="56" t="s">
        <v>24840</v>
      </c>
      <c r="E847" s="10" t="s">
        <v>45</v>
      </c>
      <c r="F847" s="10" t="s">
        <v>665</v>
      </c>
      <c r="G847" s="10" t="s">
        <v>24043</v>
      </c>
      <c r="H847" s="10" t="s">
        <v>24841</v>
      </c>
      <c r="I847" s="10" t="s">
        <v>55</v>
      </c>
      <c r="K847" s="10" t="s">
        <v>24842</v>
      </c>
      <c r="L847" s="10" t="s">
        <v>42</v>
      </c>
    </row>
    <row r="848" ht="15.75" customHeight="1">
      <c r="A848" s="66">
        <v>45486.0</v>
      </c>
      <c r="B848" s="55" t="str">
        <f>HYPERLINK("https://jobright.ai/jobs/info/664eb1fbcd9154b3e60137b7?utm_campaign=1057&amp;utm_source=sheet", "Apply")</f>
        <v>Apply</v>
      </c>
      <c r="C848" s="10" t="s">
        <v>24843</v>
      </c>
      <c r="D848" s="56" t="s">
        <v>4526</v>
      </c>
      <c r="E848" s="10" t="s">
        <v>209</v>
      </c>
      <c r="F848" s="10" t="s">
        <v>3124</v>
      </c>
      <c r="G848" s="10" t="s">
        <v>24031</v>
      </c>
      <c r="H848" s="10" t="s">
        <v>113</v>
      </c>
      <c r="I848" s="10" t="s">
        <v>48</v>
      </c>
      <c r="K848" s="10" t="s">
        <v>24844</v>
      </c>
      <c r="L848" s="10" t="s">
        <v>42</v>
      </c>
    </row>
    <row r="849" ht="15.75" customHeight="1">
      <c r="A849" s="66">
        <v>45486.0</v>
      </c>
      <c r="B849" s="55" t="str">
        <f>HYPERLINK("https://jobright.ai/jobs/info/66155e28bcc415064207bc46?utm_campaign=1057&amp;utm_source=sheet", "Apply")</f>
        <v>Apply</v>
      </c>
      <c r="C849" s="10" t="s">
        <v>10658</v>
      </c>
      <c r="D849" s="56" t="s">
        <v>24845</v>
      </c>
      <c r="E849" s="10" t="s">
        <v>209</v>
      </c>
      <c r="F849" s="10" t="s">
        <v>24846</v>
      </c>
      <c r="G849" s="10" t="s">
        <v>24022</v>
      </c>
      <c r="H849" s="10" t="s">
        <v>860</v>
      </c>
      <c r="I849" s="10" t="s">
        <v>55</v>
      </c>
      <c r="K849" s="10" t="s">
        <v>24847</v>
      </c>
      <c r="L849" s="10" t="s">
        <v>42</v>
      </c>
    </row>
    <row r="850" ht="15.75" customHeight="1">
      <c r="A850" s="66">
        <v>45486.0</v>
      </c>
      <c r="B850" s="55" t="str">
        <f>HYPERLINK("https://jobright.ai/jobs/info/667633d9e272243dcd4f665f?utm_campaign=1057&amp;utm_source=sheet", "Apply")</f>
        <v>Apply</v>
      </c>
      <c r="C850" s="10" t="s">
        <v>24848</v>
      </c>
      <c r="D850" s="56" t="s">
        <v>24849</v>
      </c>
      <c r="E850" s="10" t="s">
        <v>45</v>
      </c>
      <c r="F850" s="10" t="s">
        <v>24850</v>
      </c>
      <c r="G850" s="10" t="s">
        <v>24022</v>
      </c>
      <c r="H850" s="10" t="s">
        <v>947</v>
      </c>
      <c r="I850" s="10" t="s">
        <v>55</v>
      </c>
      <c r="K850" s="10" t="s">
        <v>24851</v>
      </c>
      <c r="L850" s="10" t="s">
        <v>42</v>
      </c>
    </row>
    <row r="851" ht="15.75" customHeight="1">
      <c r="A851" s="66">
        <v>45486.0</v>
      </c>
      <c r="B851" s="55" t="str">
        <f>HYPERLINK("https://jobright.ai/jobs/info/66767cf737c63b2c9fc03332?utm_campaign=1057&amp;utm_source=sheet", "Apply")</f>
        <v>Apply</v>
      </c>
      <c r="C851" s="10" t="s">
        <v>24852</v>
      </c>
      <c r="D851" s="56" t="s">
        <v>16508</v>
      </c>
      <c r="E851" s="10" t="s">
        <v>45</v>
      </c>
      <c r="F851" s="10" t="s">
        <v>1723</v>
      </c>
      <c r="G851" s="10" t="s">
        <v>24043</v>
      </c>
      <c r="H851" s="10" t="s">
        <v>371</v>
      </c>
      <c r="I851" s="10" t="s">
        <v>55</v>
      </c>
      <c r="K851" s="10" t="s">
        <v>24853</v>
      </c>
      <c r="L851" s="10" t="s">
        <v>42</v>
      </c>
    </row>
    <row r="852" ht="15.75" customHeight="1">
      <c r="A852" s="66">
        <v>45486.0</v>
      </c>
      <c r="B852" s="55" t="str">
        <f>HYPERLINK("https://jobright.ai/jobs/info/6675be0b6f7095ca90c070da?utm_campaign=1057&amp;utm_source=sheet", "Apply")</f>
        <v>Apply</v>
      </c>
      <c r="C852" s="10" t="s">
        <v>24854</v>
      </c>
      <c r="D852" s="56" t="s">
        <v>16508</v>
      </c>
      <c r="E852" s="10" t="s">
        <v>45</v>
      </c>
      <c r="F852" s="10" t="s">
        <v>1723</v>
      </c>
      <c r="G852" s="10" t="s">
        <v>24043</v>
      </c>
      <c r="H852" s="10" t="s">
        <v>572</v>
      </c>
      <c r="I852" s="10" t="s">
        <v>55</v>
      </c>
      <c r="K852" s="10" t="s">
        <v>24853</v>
      </c>
      <c r="L852" s="10" t="s">
        <v>42</v>
      </c>
    </row>
    <row r="853" ht="15.75" customHeight="1">
      <c r="A853" s="66">
        <v>45486.0</v>
      </c>
      <c r="B853" s="55" t="str">
        <f>HYPERLINK("https://jobright.ai/jobs/info/66922a266eacbcac05fe2742?utm_campaign=1057&amp;utm_source=sheet", "Apply")</f>
        <v>Apply</v>
      </c>
      <c r="C853" s="10" t="s">
        <v>24855</v>
      </c>
      <c r="D853" s="56" t="s">
        <v>24856</v>
      </c>
      <c r="G853" s="10" t="s">
        <v>24022</v>
      </c>
      <c r="H853" s="10" t="s">
        <v>23631</v>
      </c>
      <c r="I853" s="10" t="s">
        <v>55</v>
      </c>
      <c r="K853" s="10" t="s">
        <v>24857</v>
      </c>
      <c r="L853" s="10" t="s">
        <v>42</v>
      </c>
    </row>
    <row r="854" ht="15.75" customHeight="1">
      <c r="A854" s="66">
        <v>45486.0</v>
      </c>
      <c r="B854" s="55" t="str">
        <f>HYPERLINK("https://jobright.ai/jobs/info/669b45bbc60041f6f420ac25?utm_campaign=1057&amp;utm_source=sheet", "Apply")</f>
        <v>Apply</v>
      </c>
      <c r="C854" s="10" t="s">
        <v>24858</v>
      </c>
      <c r="D854" s="56" t="s">
        <v>2077</v>
      </c>
      <c r="E854" s="10" t="s">
        <v>45</v>
      </c>
      <c r="F854" s="10" t="s">
        <v>1234</v>
      </c>
      <c r="G854" s="10" t="s">
        <v>24031</v>
      </c>
      <c r="H854" s="10" t="s">
        <v>2078</v>
      </c>
      <c r="I854" s="10" t="s">
        <v>55</v>
      </c>
      <c r="J854" s="10" t="s">
        <v>1409</v>
      </c>
      <c r="K854" s="10" t="s">
        <v>24859</v>
      </c>
      <c r="L854" s="10" t="s">
        <v>42</v>
      </c>
    </row>
    <row r="855" ht="15.75" customHeight="1">
      <c r="A855" s="66">
        <v>45486.0</v>
      </c>
      <c r="B855" s="55" t="str">
        <f>HYPERLINK("https://jobright.ai/jobs/info/6691ff163cfaeeee17b79b8f?utm_campaign=1057&amp;utm_source=sheet", "Apply")</f>
        <v>Apply</v>
      </c>
      <c r="C855" s="10" t="s">
        <v>24860</v>
      </c>
      <c r="D855" s="56" t="s">
        <v>9048</v>
      </c>
      <c r="E855" s="10" t="s">
        <v>209</v>
      </c>
      <c r="F855" s="10" t="s">
        <v>1234</v>
      </c>
      <c r="G855" s="10" t="s">
        <v>24022</v>
      </c>
      <c r="H855" s="10" t="s">
        <v>3791</v>
      </c>
      <c r="I855" s="10" t="s">
        <v>48</v>
      </c>
      <c r="J855" s="10" t="s">
        <v>24861</v>
      </c>
      <c r="K855" s="10" t="s">
        <v>24862</v>
      </c>
      <c r="L855" s="10" t="s">
        <v>42</v>
      </c>
    </row>
    <row r="856" ht="15.75" customHeight="1">
      <c r="A856" s="66">
        <v>45485.0</v>
      </c>
      <c r="B856" s="55" t="str">
        <f>HYPERLINK("https://jobright.ai/jobs/info/6691c77455fdc8d51c7e43e7?utm_campaign=1057&amp;utm_source=sheet", "Apply")</f>
        <v>Apply</v>
      </c>
      <c r="C856" s="10" t="s">
        <v>24863</v>
      </c>
      <c r="D856" s="58" t="s">
        <v>1572</v>
      </c>
      <c r="E856" s="10" t="s">
        <v>249</v>
      </c>
      <c r="F856" s="10" t="s">
        <v>1573</v>
      </c>
      <c r="G856" s="10" t="s">
        <v>24043</v>
      </c>
      <c r="H856" s="10" t="s">
        <v>106</v>
      </c>
      <c r="I856" s="10" t="s">
        <v>48</v>
      </c>
      <c r="K856" s="10" t="s">
        <v>24864</v>
      </c>
      <c r="L856" s="10" t="s">
        <v>42</v>
      </c>
    </row>
    <row r="857" ht="15.75" customHeight="1">
      <c r="A857" s="66">
        <v>45485.0</v>
      </c>
      <c r="B857" s="55" t="str">
        <f>HYPERLINK("https://jobright.ai/jobs/info/668d983d274a895265383f10?utm_campaign=1057&amp;utm_source=sheet", "Apply")</f>
        <v>Apply</v>
      </c>
      <c r="C857" s="10" t="s">
        <v>24865</v>
      </c>
      <c r="D857" s="56" t="s">
        <v>1662</v>
      </c>
      <c r="E857" s="10" t="s">
        <v>209</v>
      </c>
      <c r="F857" s="10" t="s">
        <v>1663</v>
      </c>
      <c r="G857" s="10" t="s">
        <v>24031</v>
      </c>
      <c r="H857" s="10" t="s">
        <v>167</v>
      </c>
      <c r="I857" s="10" t="s">
        <v>55</v>
      </c>
      <c r="J857" s="10" t="s">
        <v>2234</v>
      </c>
      <c r="K857" s="10" t="s">
        <v>24866</v>
      </c>
      <c r="L857" s="10" t="s">
        <v>42</v>
      </c>
    </row>
    <row r="858" ht="15.75" customHeight="1">
      <c r="A858" s="66">
        <v>45485.0</v>
      </c>
      <c r="B858" s="55" t="str">
        <f>HYPERLINK("https://jobright.ai/jobs/info/6691902d4c69d669ab536391?utm_campaign=1057&amp;utm_source=sheet", "Apply")</f>
        <v>Apply</v>
      </c>
      <c r="C858" s="10" t="s">
        <v>24867</v>
      </c>
      <c r="D858" s="56" t="s">
        <v>14105</v>
      </c>
      <c r="E858" s="10" t="s">
        <v>79</v>
      </c>
      <c r="F858" s="10" t="s">
        <v>3770</v>
      </c>
      <c r="G858" s="10" t="s">
        <v>24043</v>
      </c>
      <c r="H858" s="10" t="s">
        <v>8635</v>
      </c>
      <c r="I858" s="10" t="s">
        <v>55</v>
      </c>
      <c r="K858" s="10" t="s">
        <v>24868</v>
      </c>
      <c r="L858" s="10" t="s">
        <v>42</v>
      </c>
    </row>
    <row r="859" ht="15.75" customHeight="1">
      <c r="A859" s="66">
        <v>45485.0</v>
      </c>
      <c r="B859" s="55" t="str">
        <f>HYPERLINK("https://jobright.ai/jobs/info/66918977ac10c1640df70b1e?utm_campaign=1057&amp;utm_source=sheet", "Apply")</f>
        <v>Apply</v>
      </c>
      <c r="C859" s="10" t="s">
        <v>24869</v>
      </c>
      <c r="D859" s="56" t="s">
        <v>14671</v>
      </c>
      <c r="G859" s="10" t="s">
        <v>24022</v>
      </c>
      <c r="H859" s="10" t="s">
        <v>7462</v>
      </c>
      <c r="I859" s="10" t="s">
        <v>55</v>
      </c>
      <c r="K859" s="10" t="s">
        <v>24870</v>
      </c>
      <c r="L859" s="10" t="s">
        <v>42</v>
      </c>
    </row>
    <row r="860" ht="15.75" customHeight="1">
      <c r="A860" s="66">
        <v>45485.0</v>
      </c>
      <c r="B860" s="55" t="str">
        <f>HYPERLINK("https://jobright.ai/jobs/info/6691770c1c5d42e9ec386000?utm_campaign=1057&amp;utm_source=sheet", "Apply")</f>
        <v>Apply</v>
      </c>
      <c r="C860" s="10" t="s">
        <v>24871</v>
      </c>
      <c r="D860" s="56" t="s">
        <v>8289</v>
      </c>
      <c r="E860" s="10" t="s">
        <v>65</v>
      </c>
      <c r="F860" s="10" t="s">
        <v>7760</v>
      </c>
      <c r="G860" s="10" t="s">
        <v>24043</v>
      </c>
      <c r="H860" s="10" t="s">
        <v>898</v>
      </c>
      <c r="I860" s="10" t="s">
        <v>55</v>
      </c>
      <c r="K860" s="10" t="s">
        <v>24872</v>
      </c>
      <c r="L860" s="10" t="s">
        <v>42</v>
      </c>
    </row>
    <row r="861" ht="15.75" customHeight="1">
      <c r="A861" s="66">
        <v>45485.0</v>
      </c>
      <c r="B861" s="55" t="str">
        <f>HYPERLINK("https://jobright.ai/jobs/info/66a403460d09d8a9054b3cdb?utm_campaign=1057&amp;utm_source=sheet", "Apply")</f>
        <v>Apply</v>
      </c>
      <c r="C861" s="10" t="s">
        <v>24873</v>
      </c>
      <c r="D861" s="56" t="s">
        <v>24874</v>
      </c>
      <c r="E861" s="10" t="s">
        <v>249</v>
      </c>
      <c r="F861" s="10" t="s">
        <v>1234</v>
      </c>
      <c r="G861" s="10" t="s">
        <v>24031</v>
      </c>
      <c r="H861" s="10" t="s">
        <v>24875</v>
      </c>
      <c r="I861" s="10" t="s">
        <v>55</v>
      </c>
      <c r="J861" s="10" t="s">
        <v>20304</v>
      </c>
      <c r="K861" s="10" t="s">
        <v>24876</v>
      </c>
      <c r="L861" s="10" t="s">
        <v>42</v>
      </c>
    </row>
    <row r="862" ht="15.75" customHeight="1">
      <c r="A862" s="66">
        <v>45485.0</v>
      </c>
      <c r="B862" s="55" t="str">
        <f>HYPERLINK("https://jobright.ai/jobs/info/6691902d4c69d669ab5363bb?utm_campaign=1057&amp;utm_source=sheet", "Apply")</f>
        <v>Apply</v>
      </c>
      <c r="C862" s="10" t="s">
        <v>8334</v>
      </c>
      <c r="D862" s="56" t="s">
        <v>1908</v>
      </c>
      <c r="E862" s="10" t="s">
        <v>45</v>
      </c>
      <c r="F862" s="10" t="s">
        <v>1909</v>
      </c>
      <c r="G862" s="10" t="s">
        <v>24031</v>
      </c>
      <c r="H862" s="10" t="s">
        <v>153</v>
      </c>
      <c r="I862" s="10" t="s">
        <v>55</v>
      </c>
      <c r="L862" s="10" t="s">
        <v>42</v>
      </c>
    </row>
    <row r="863" ht="15.75" customHeight="1">
      <c r="A863" s="66">
        <v>45485.0</v>
      </c>
      <c r="B863" s="55" t="str">
        <f>HYPERLINK("https://jobright.ai/jobs/info/6672223f96df7b9790bcf133?utm_campaign=1057&amp;utm_source=sheet", "Apply")</f>
        <v>Apply</v>
      </c>
      <c r="C863" s="10" t="s">
        <v>24877</v>
      </c>
      <c r="D863" s="56" t="s">
        <v>24878</v>
      </c>
      <c r="E863" s="10" t="s">
        <v>65</v>
      </c>
      <c r="F863" s="10" t="s">
        <v>24879</v>
      </c>
      <c r="G863" s="10" t="s">
        <v>24022</v>
      </c>
      <c r="H863" s="10" t="s">
        <v>5959</v>
      </c>
      <c r="I863" s="10" t="s">
        <v>55</v>
      </c>
      <c r="J863" s="10" t="s">
        <v>24880</v>
      </c>
      <c r="K863" s="10" t="s">
        <v>24881</v>
      </c>
      <c r="L863" s="10" t="s">
        <v>42</v>
      </c>
    </row>
    <row r="864" ht="15.75" customHeight="1">
      <c r="A864" s="66">
        <v>45485.0</v>
      </c>
      <c r="B864" s="55" t="str">
        <f>HYPERLINK("https://jobright.ai/jobs/info/66a403940d09d8a9054b4280?utm_campaign=1057&amp;utm_source=sheet", "Apply")</f>
        <v>Apply</v>
      </c>
      <c r="C864" s="10" t="s">
        <v>21661</v>
      </c>
      <c r="D864" s="56" t="s">
        <v>4448</v>
      </c>
      <c r="E864" s="10" t="s">
        <v>71</v>
      </c>
      <c r="F864" s="10" t="s">
        <v>4449</v>
      </c>
      <c r="G864" s="10" t="s">
        <v>24043</v>
      </c>
      <c r="H864" s="10" t="s">
        <v>21253</v>
      </c>
      <c r="I864" s="10" t="s">
        <v>55</v>
      </c>
      <c r="K864" s="10" t="s">
        <v>4450</v>
      </c>
      <c r="L864" s="10" t="s">
        <v>42</v>
      </c>
    </row>
    <row r="865" ht="15.75" customHeight="1">
      <c r="A865" s="66">
        <v>45485.0</v>
      </c>
      <c r="B865" s="55" t="str">
        <f>HYPERLINK("https://jobright.ai/jobs/info/6699381914d162ccb38c6e98?utm_campaign=1057&amp;utm_source=sheet", "Apply")</f>
        <v>Apply</v>
      </c>
      <c r="C865" s="10" t="s">
        <v>24882</v>
      </c>
      <c r="D865" s="56" t="s">
        <v>4448</v>
      </c>
      <c r="E865" s="10" t="s">
        <v>71</v>
      </c>
      <c r="F865" s="10" t="s">
        <v>4449</v>
      </c>
      <c r="G865" s="10" t="s">
        <v>24043</v>
      </c>
      <c r="H865" s="10" t="s">
        <v>21253</v>
      </c>
      <c r="I865" s="10" t="s">
        <v>55</v>
      </c>
      <c r="K865" s="10" t="s">
        <v>4450</v>
      </c>
      <c r="L865" s="10" t="s">
        <v>42</v>
      </c>
    </row>
    <row r="866" ht="15.75" customHeight="1">
      <c r="A866" s="66">
        <v>45485.0</v>
      </c>
      <c r="B866" s="55" t="str">
        <f>HYPERLINK("https://jobright.ai/jobs/info/66a408139d6a30be4effa2d4?utm_campaign=1057&amp;utm_source=sheet", "Apply")</f>
        <v>Apply</v>
      </c>
      <c r="C866" s="10" t="s">
        <v>24417</v>
      </c>
      <c r="D866" s="56" t="s">
        <v>4448</v>
      </c>
      <c r="E866" s="10" t="s">
        <v>71</v>
      </c>
      <c r="F866" s="10" t="s">
        <v>4449</v>
      </c>
      <c r="G866" s="10" t="s">
        <v>24043</v>
      </c>
      <c r="H866" s="10" t="s">
        <v>21253</v>
      </c>
      <c r="I866" s="10" t="s">
        <v>55</v>
      </c>
      <c r="K866" s="10" t="s">
        <v>24062</v>
      </c>
      <c r="L866" s="10" t="s">
        <v>42</v>
      </c>
    </row>
    <row r="867" ht="15.75" customHeight="1">
      <c r="A867" s="66">
        <v>45485.0</v>
      </c>
      <c r="B867" s="55" t="str">
        <f>HYPERLINK("https://jobright.ai/jobs/info/669a7f94d6a8ad59ac565547?utm_campaign=1057&amp;utm_source=sheet", "Apply")</f>
        <v>Apply</v>
      </c>
      <c r="C867" s="10" t="s">
        <v>24883</v>
      </c>
      <c r="D867" s="56" t="s">
        <v>2077</v>
      </c>
      <c r="E867" s="10" t="s">
        <v>45</v>
      </c>
      <c r="F867" s="10" t="s">
        <v>1234</v>
      </c>
      <c r="G867" s="10" t="s">
        <v>24031</v>
      </c>
      <c r="H867" s="10" t="s">
        <v>2078</v>
      </c>
      <c r="I867" s="10" t="s">
        <v>55</v>
      </c>
      <c r="J867" s="10" t="s">
        <v>10706</v>
      </c>
      <c r="K867" s="10" t="s">
        <v>24884</v>
      </c>
      <c r="L867" s="10" t="s">
        <v>42</v>
      </c>
    </row>
    <row r="868" ht="15.75" customHeight="1">
      <c r="A868" s="66">
        <v>45485.0</v>
      </c>
      <c r="B868" s="55" t="str">
        <f>HYPERLINK("https://jobright.ai/jobs/info/6699226c10e3fec36b685eb8?utm_campaign=1057&amp;utm_source=sheet", "Apply")</f>
        <v>Apply</v>
      </c>
      <c r="C868" s="10" t="s">
        <v>24885</v>
      </c>
      <c r="D868" s="56" t="s">
        <v>4448</v>
      </c>
      <c r="E868" s="10" t="s">
        <v>71</v>
      </c>
      <c r="F868" s="10" t="s">
        <v>4449</v>
      </c>
      <c r="G868" s="10" t="s">
        <v>24043</v>
      </c>
      <c r="H868" s="10" t="s">
        <v>628</v>
      </c>
      <c r="I868" s="10" t="s">
        <v>55</v>
      </c>
      <c r="K868" s="10" t="s">
        <v>4450</v>
      </c>
      <c r="L868" s="10" t="s">
        <v>42</v>
      </c>
    </row>
    <row r="869" ht="15.75" customHeight="1">
      <c r="A869" s="66">
        <v>45485.0</v>
      </c>
      <c r="B869" s="55" t="str">
        <f>HYPERLINK("https://jobright.ai/jobs/info/66a4081e9d6a30be4effa37d?utm_campaign=1057&amp;utm_source=sheet", "Apply")</f>
        <v>Apply</v>
      </c>
      <c r="C869" s="10" t="s">
        <v>24395</v>
      </c>
      <c r="D869" s="56" t="s">
        <v>4448</v>
      </c>
      <c r="E869" s="10" t="s">
        <v>71</v>
      </c>
      <c r="F869" s="10" t="s">
        <v>4449</v>
      </c>
      <c r="G869" s="10" t="s">
        <v>24043</v>
      </c>
      <c r="H869" s="10" t="s">
        <v>7501</v>
      </c>
      <c r="I869" s="10" t="s">
        <v>55</v>
      </c>
      <c r="K869" s="10" t="s">
        <v>4450</v>
      </c>
      <c r="L869" s="10" t="s">
        <v>42</v>
      </c>
    </row>
    <row r="870" ht="15.75" customHeight="1">
      <c r="A870" s="66">
        <v>45485.0</v>
      </c>
      <c r="B870" s="55" t="str">
        <f>HYPERLINK("https://jobright.ai/jobs/info/6697b2ac0f3f19c85006ef13?utm_campaign=1057&amp;utm_source=sheet", "Apply")</f>
        <v>Apply</v>
      </c>
      <c r="C870" s="10" t="s">
        <v>24886</v>
      </c>
      <c r="D870" s="56" t="s">
        <v>19679</v>
      </c>
      <c r="E870" s="10">
        <v>980.0</v>
      </c>
      <c r="G870" s="10" t="s">
        <v>24022</v>
      </c>
      <c r="H870" s="10" t="s">
        <v>24887</v>
      </c>
      <c r="I870" s="10" t="s">
        <v>55</v>
      </c>
      <c r="K870" s="10" t="s">
        <v>24888</v>
      </c>
      <c r="L870" s="10" t="s">
        <v>42</v>
      </c>
    </row>
    <row r="871" ht="15.75" customHeight="1">
      <c r="A871" s="66">
        <v>45485.0</v>
      </c>
      <c r="B871" s="55" t="str">
        <f>HYPERLINK("https://jobright.ai/jobs/info/66a408289d6a30be4effa41f?utm_campaign=1057&amp;utm_source=sheet", "Apply")</f>
        <v>Apply</v>
      </c>
      <c r="C871" s="10" t="s">
        <v>24395</v>
      </c>
      <c r="D871" s="56" t="s">
        <v>4448</v>
      </c>
      <c r="E871" s="10" t="s">
        <v>71</v>
      </c>
      <c r="F871" s="10" t="s">
        <v>4449</v>
      </c>
      <c r="G871" s="10" t="s">
        <v>24043</v>
      </c>
      <c r="H871" s="10" t="s">
        <v>24800</v>
      </c>
      <c r="I871" s="10" t="s">
        <v>55</v>
      </c>
      <c r="K871" s="10" t="s">
        <v>4450</v>
      </c>
      <c r="L871" s="10" t="s">
        <v>42</v>
      </c>
    </row>
    <row r="872" ht="15.75" customHeight="1">
      <c r="A872" s="66">
        <v>45485.0</v>
      </c>
      <c r="B872" s="55" t="str">
        <f>HYPERLINK("https://jobright.ai/jobs/info/6697ab34aa30cb60b00b6b26?utm_campaign=1057&amp;utm_source=sheet", "Apply")</f>
        <v>Apply</v>
      </c>
      <c r="C872" s="10" t="s">
        <v>24889</v>
      </c>
      <c r="D872" s="56" t="s">
        <v>196</v>
      </c>
      <c r="E872" s="10" t="s">
        <v>71</v>
      </c>
      <c r="F872" s="10" t="s">
        <v>197</v>
      </c>
      <c r="G872" s="10" t="s">
        <v>24022</v>
      </c>
      <c r="H872" s="10" t="s">
        <v>193</v>
      </c>
      <c r="I872" s="10" t="s">
        <v>55</v>
      </c>
      <c r="J872" s="10" t="s">
        <v>16681</v>
      </c>
      <c r="K872" s="10" t="s">
        <v>24890</v>
      </c>
      <c r="L872" s="10" t="s">
        <v>42</v>
      </c>
    </row>
    <row r="873" ht="15.75" customHeight="1">
      <c r="A873" s="66">
        <v>45485.0</v>
      </c>
      <c r="B873" s="55" t="str">
        <f>HYPERLINK("https://jobright.ai/jobs/info/669a490904ee6c4ed8197d37?utm_campaign=1057&amp;utm_source=sheet", "Apply")</f>
        <v>Apply</v>
      </c>
      <c r="C873" s="10" t="s">
        <v>24522</v>
      </c>
      <c r="D873" s="56" t="s">
        <v>4448</v>
      </c>
      <c r="E873" s="10" t="s">
        <v>71</v>
      </c>
      <c r="F873" s="10" t="s">
        <v>4449</v>
      </c>
      <c r="G873" s="10" t="s">
        <v>24043</v>
      </c>
      <c r="H873" s="10" t="s">
        <v>24891</v>
      </c>
      <c r="I873" s="10" t="s">
        <v>55</v>
      </c>
      <c r="K873" s="10" t="s">
        <v>4450</v>
      </c>
      <c r="L873" s="10" t="s">
        <v>42</v>
      </c>
    </row>
    <row r="874" ht="15.75" customHeight="1">
      <c r="A874" s="66">
        <v>45485.0</v>
      </c>
      <c r="B874" s="55" t="str">
        <f>HYPERLINK("https://jobright.ai/jobs/info/66910b0bd91291d9c9d42bd9?utm_campaign=1057&amp;utm_source=sheet", "Apply")</f>
        <v>Apply</v>
      </c>
      <c r="C874" s="10" t="s">
        <v>24892</v>
      </c>
      <c r="D874" s="56" t="s">
        <v>24893</v>
      </c>
      <c r="E874" s="10" t="s">
        <v>45</v>
      </c>
      <c r="F874" s="10" t="s">
        <v>1893</v>
      </c>
      <c r="G874" s="10" t="s">
        <v>24022</v>
      </c>
      <c r="H874" s="10" t="s">
        <v>989</v>
      </c>
      <c r="I874" s="10" t="s">
        <v>48</v>
      </c>
      <c r="K874" s="10" t="s">
        <v>24894</v>
      </c>
      <c r="L874" s="10" t="s">
        <v>42</v>
      </c>
    </row>
    <row r="875" ht="15.75" customHeight="1">
      <c r="A875" s="66">
        <v>45485.0</v>
      </c>
      <c r="B875" s="55" t="str">
        <f>HYPERLINK("https://jobright.ai/jobs/info/66453715962742f43c44c4e5?utm_campaign=1057&amp;utm_source=sheet", "Apply")</f>
        <v>Apply</v>
      </c>
      <c r="C875" s="10" t="s">
        <v>24895</v>
      </c>
      <c r="D875" s="56" t="s">
        <v>24896</v>
      </c>
      <c r="E875" s="10" t="s">
        <v>45</v>
      </c>
      <c r="F875" s="10" t="s">
        <v>1893</v>
      </c>
      <c r="G875" s="10" t="s">
        <v>24043</v>
      </c>
      <c r="H875" s="10" t="s">
        <v>24897</v>
      </c>
      <c r="I875" s="10" t="s">
        <v>55</v>
      </c>
      <c r="K875" s="10" t="s">
        <v>24898</v>
      </c>
      <c r="L875" s="10" t="s">
        <v>42</v>
      </c>
    </row>
    <row r="876" ht="15.75" customHeight="1">
      <c r="A876" s="66">
        <v>45485.0</v>
      </c>
      <c r="B876" s="55" t="str">
        <f>HYPERLINK("https://jobright.ai/jobs/info/6690fd2c471f442058ed236f?utm_campaign=1057&amp;utm_source=sheet", "Apply")</f>
        <v>Apply</v>
      </c>
      <c r="C876" s="10" t="s">
        <v>24899</v>
      </c>
      <c r="D876" s="56" t="s">
        <v>24900</v>
      </c>
      <c r="E876" s="10" t="s">
        <v>65</v>
      </c>
      <c r="F876" s="10" t="s">
        <v>1506</v>
      </c>
      <c r="G876" s="10" t="s">
        <v>24043</v>
      </c>
      <c r="H876" s="10" t="s">
        <v>216</v>
      </c>
      <c r="I876" s="10" t="s">
        <v>55</v>
      </c>
      <c r="K876" s="10" t="s">
        <v>24901</v>
      </c>
      <c r="L876" s="10" t="s">
        <v>42</v>
      </c>
    </row>
    <row r="877" ht="15.75" customHeight="1">
      <c r="A877" s="66">
        <v>45485.0</v>
      </c>
      <c r="B877" s="55" t="str">
        <f>HYPERLINK("https://jobright.ai/jobs/info/6690f2dfe1539dd2bde355c1?utm_campaign=1057&amp;utm_source=sheet", "Apply")</f>
        <v>Apply</v>
      </c>
      <c r="C877" s="10" t="s">
        <v>24902</v>
      </c>
      <c r="D877" s="56" t="s">
        <v>24903</v>
      </c>
      <c r="E877" s="10" t="s">
        <v>276</v>
      </c>
      <c r="F877" s="10" t="s">
        <v>3958</v>
      </c>
      <c r="G877" s="10" t="s">
        <v>24031</v>
      </c>
      <c r="H877" s="10" t="s">
        <v>2241</v>
      </c>
      <c r="I877" s="10" t="s">
        <v>55</v>
      </c>
      <c r="J877" s="10" t="s">
        <v>3782</v>
      </c>
      <c r="K877" s="10" t="s">
        <v>24904</v>
      </c>
      <c r="L877" s="10" t="s">
        <v>42</v>
      </c>
    </row>
    <row r="878" ht="15.75" customHeight="1">
      <c r="A878" s="66">
        <v>45485.0</v>
      </c>
      <c r="B878" s="55" t="str">
        <f>HYPERLINK("https://jobright.ai/jobs/info/6690f69dd7238b7c2cb4916f?utm_campaign=1057&amp;utm_source=sheet", "Apply")</f>
        <v>Apply</v>
      </c>
      <c r="C878" s="10" t="s">
        <v>24561</v>
      </c>
      <c r="D878" s="56" t="s">
        <v>14105</v>
      </c>
      <c r="E878" s="10" t="s">
        <v>79</v>
      </c>
      <c r="F878" s="10" t="s">
        <v>3770</v>
      </c>
      <c r="G878" s="10" t="s">
        <v>24043</v>
      </c>
      <c r="H878" s="10" t="s">
        <v>8635</v>
      </c>
      <c r="I878" s="10" t="s">
        <v>55</v>
      </c>
      <c r="K878" s="10" t="s">
        <v>24905</v>
      </c>
      <c r="L878" s="10" t="s">
        <v>42</v>
      </c>
    </row>
    <row r="879" ht="15.75" customHeight="1">
      <c r="A879" s="66">
        <v>45485.0</v>
      </c>
      <c r="B879" s="55" t="str">
        <f>HYPERLINK("https://jobright.ai/jobs/info/6690f2dfe1539dd2bde35598?utm_campaign=1057&amp;utm_source=sheet", "Apply")</f>
        <v>Apply</v>
      </c>
      <c r="C879" s="10" t="s">
        <v>24906</v>
      </c>
      <c r="D879" s="56" t="s">
        <v>14105</v>
      </c>
      <c r="E879" s="10" t="s">
        <v>79</v>
      </c>
      <c r="F879" s="10" t="s">
        <v>3770</v>
      </c>
      <c r="G879" s="10" t="s">
        <v>24022</v>
      </c>
      <c r="H879" s="10" t="s">
        <v>8635</v>
      </c>
      <c r="I879" s="10" t="s">
        <v>55</v>
      </c>
      <c r="K879" s="10" t="s">
        <v>24907</v>
      </c>
      <c r="L879" s="10" t="s">
        <v>42</v>
      </c>
    </row>
    <row r="880" ht="15.75" customHeight="1">
      <c r="A880" s="66">
        <v>45485.0</v>
      </c>
      <c r="B880" s="55" t="str">
        <f>HYPERLINK("https://jobright.ai/jobs/info/668d8373e45593dfb218d2d8?utm_campaign=1057&amp;utm_source=sheet", "Apply")</f>
        <v>Apply</v>
      </c>
      <c r="C880" s="10" t="s">
        <v>24908</v>
      </c>
      <c r="D880" s="56" t="s">
        <v>3166</v>
      </c>
      <c r="E880" s="10" t="s">
        <v>45</v>
      </c>
      <c r="F880" s="10" t="s">
        <v>3167</v>
      </c>
      <c r="G880" s="10" t="s">
        <v>24022</v>
      </c>
      <c r="H880" s="10" t="s">
        <v>1160</v>
      </c>
      <c r="I880" s="10" t="s">
        <v>48</v>
      </c>
      <c r="J880" s="10" t="s">
        <v>24909</v>
      </c>
      <c r="K880" s="10" t="s">
        <v>24910</v>
      </c>
      <c r="L880" s="10" t="s">
        <v>42</v>
      </c>
    </row>
    <row r="881" ht="15.75" customHeight="1">
      <c r="A881" s="66">
        <v>45485.0</v>
      </c>
      <c r="B881" s="55" t="str">
        <f>HYPERLINK("https://jobright.ai/jobs/info/669739a89b7162c55383cb77?utm_campaign=1057&amp;utm_source=sheet", "Apply")</f>
        <v>Apply</v>
      </c>
      <c r="C881" s="10" t="s">
        <v>24911</v>
      </c>
      <c r="D881" s="56" t="s">
        <v>2077</v>
      </c>
      <c r="E881" s="10" t="s">
        <v>45</v>
      </c>
      <c r="F881" s="10" t="s">
        <v>1234</v>
      </c>
      <c r="G881" s="10" t="s">
        <v>24022</v>
      </c>
      <c r="H881" s="10" t="s">
        <v>2078</v>
      </c>
      <c r="I881" s="10" t="s">
        <v>55</v>
      </c>
      <c r="J881" s="10" t="s">
        <v>10706</v>
      </c>
      <c r="K881" s="10" t="s">
        <v>24912</v>
      </c>
      <c r="L881" s="10" t="s">
        <v>42</v>
      </c>
    </row>
    <row r="882" ht="15.75" customHeight="1">
      <c r="A882" s="66">
        <v>45485.0</v>
      </c>
      <c r="B882" s="55" t="str">
        <f>HYPERLINK("https://jobright.ai/jobs/info/6690cfa7b9480c9896c8ec70?utm_campaign=1057&amp;utm_source=sheet", "Apply")</f>
        <v>Apply</v>
      </c>
      <c r="C882" s="10" t="s">
        <v>24913</v>
      </c>
      <c r="D882" s="56" t="s">
        <v>24914</v>
      </c>
      <c r="E882" s="10" t="s">
        <v>249</v>
      </c>
      <c r="F882" s="10" t="s">
        <v>1695</v>
      </c>
      <c r="G882" s="10" t="s">
        <v>24022</v>
      </c>
      <c r="H882" s="10" t="s">
        <v>24915</v>
      </c>
      <c r="I882" s="10" t="s">
        <v>55</v>
      </c>
      <c r="J882" s="10" t="s">
        <v>24916</v>
      </c>
      <c r="K882" s="10" t="s">
        <v>24917</v>
      </c>
      <c r="L882" s="10" t="s">
        <v>42</v>
      </c>
    </row>
    <row r="883" ht="15.75" customHeight="1">
      <c r="A883" s="66">
        <v>45485.0</v>
      </c>
      <c r="B883" s="55" t="str">
        <f>HYPERLINK("https://jobright.ai/jobs/info/668c8bee8ed7931878918021?utm_campaign=1057&amp;utm_source=sheet", "Apply")</f>
        <v>Apply</v>
      </c>
      <c r="C883" s="10" t="s">
        <v>24918</v>
      </c>
      <c r="D883" s="56" t="s">
        <v>3166</v>
      </c>
      <c r="E883" s="10" t="s">
        <v>45</v>
      </c>
      <c r="F883" s="10" t="s">
        <v>3167</v>
      </c>
      <c r="G883" s="10" t="s">
        <v>24022</v>
      </c>
      <c r="H883" s="10" t="s">
        <v>1160</v>
      </c>
      <c r="I883" s="10" t="s">
        <v>48</v>
      </c>
      <c r="K883" s="10" t="s">
        <v>24919</v>
      </c>
      <c r="L883" s="10" t="s">
        <v>42</v>
      </c>
    </row>
    <row r="884" ht="15.75" customHeight="1">
      <c r="A884" s="66">
        <v>45484.0</v>
      </c>
      <c r="B884" s="55" t="str">
        <f>HYPERLINK("https://jobright.ai/jobs/info/66907b4ebd3cdcb8e1dd2d36?utm_campaign=1057&amp;utm_source=sheet", "Apply")</f>
        <v>Apply</v>
      </c>
      <c r="C884" s="10" t="s">
        <v>24920</v>
      </c>
      <c r="D884" s="56" t="s">
        <v>3166</v>
      </c>
      <c r="E884" s="10" t="s">
        <v>45</v>
      </c>
      <c r="F884" s="10" t="s">
        <v>3167</v>
      </c>
      <c r="G884" s="10" t="s">
        <v>24043</v>
      </c>
      <c r="H884" s="10" t="s">
        <v>1160</v>
      </c>
      <c r="I884" s="10" t="s">
        <v>55</v>
      </c>
      <c r="J884" s="10" t="s">
        <v>3168</v>
      </c>
      <c r="K884" s="10" t="s">
        <v>24921</v>
      </c>
      <c r="L884" s="10" t="s">
        <v>42</v>
      </c>
    </row>
    <row r="885" ht="15.75" customHeight="1">
      <c r="A885" s="66">
        <v>45484.0</v>
      </c>
      <c r="B885" s="55" t="str">
        <f>HYPERLINK("https://jobright.ai/jobs/info/66905995f6b922c3462caf49?utm_campaign=1057&amp;utm_source=sheet", "Apply")</f>
        <v>Apply</v>
      </c>
      <c r="C885" s="10" t="s">
        <v>24922</v>
      </c>
      <c r="D885" s="56" t="s">
        <v>5929</v>
      </c>
      <c r="E885" s="10" t="s">
        <v>65</v>
      </c>
      <c r="F885" s="10" t="s">
        <v>5930</v>
      </c>
      <c r="G885" s="10" t="s">
        <v>24031</v>
      </c>
      <c r="H885" s="10" t="s">
        <v>848</v>
      </c>
      <c r="I885" s="10" t="s">
        <v>55</v>
      </c>
      <c r="J885" s="10" t="s">
        <v>8200</v>
      </c>
      <c r="K885" s="10" t="s">
        <v>24923</v>
      </c>
      <c r="L885" s="10" t="s">
        <v>42</v>
      </c>
    </row>
    <row r="886" ht="15.75" customHeight="1">
      <c r="A886" s="66">
        <v>45484.0</v>
      </c>
      <c r="B886" s="55" t="str">
        <f>HYPERLINK("https://jobright.ai/jobs/info/6690c92550a8322cf99b8618?utm_campaign=1057&amp;utm_source=sheet", "Apply")</f>
        <v>Apply</v>
      </c>
      <c r="C886" s="10" t="s">
        <v>24899</v>
      </c>
      <c r="D886" s="56" t="s">
        <v>24900</v>
      </c>
      <c r="E886" s="10" t="s">
        <v>65</v>
      </c>
      <c r="F886" s="10" t="s">
        <v>1506</v>
      </c>
      <c r="G886" s="10" t="s">
        <v>24043</v>
      </c>
      <c r="H886" s="10" t="s">
        <v>17682</v>
      </c>
      <c r="I886" s="10" t="s">
        <v>55</v>
      </c>
      <c r="K886" s="10" t="s">
        <v>24901</v>
      </c>
      <c r="L886" s="10" t="s">
        <v>42</v>
      </c>
    </row>
    <row r="887" ht="15.75" customHeight="1">
      <c r="A887" s="66">
        <v>45484.0</v>
      </c>
      <c r="B887" s="55" t="str">
        <f>HYPERLINK("https://jobright.ai/jobs/info/6690cfcdb9480c9896c8efa7?utm_campaign=1057&amp;utm_source=sheet", "Apply")</f>
        <v>Apply</v>
      </c>
      <c r="C887" s="10" t="s">
        <v>24899</v>
      </c>
      <c r="D887" s="56" t="s">
        <v>24900</v>
      </c>
      <c r="E887" s="10" t="s">
        <v>65</v>
      </c>
      <c r="F887" s="10" t="s">
        <v>1506</v>
      </c>
      <c r="G887" s="10" t="s">
        <v>24043</v>
      </c>
      <c r="H887" s="10" t="s">
        <v>1007</v>
      </c>
      <c r="I887" s="10" t="s">
        <v>55</v>
      </c>
      <c r="K887" s="10" t="s">
        <v>24901</v>
      </c>
      <c r="L887" s="10" t="s">
        <v>42</v>
      </c>
    </row>
    <row r="888" ht="15.75" customHeight="1">
      <c r="A888" s="66">
        <v>45484.0</v>
      </c>
      <c r="B888" s="55" t="str">
        <f>HYPERLINK("https://jobright.ai/jobs/info/6690c92550a8322cf99b867b?utm_campaign=1057&amp;utm_source=sheet", "Apply")</f>
        <v>Apply</v>
      </c>
      <c r="C888" s="10" t="s">
        <v>24899</v>
      </c>
      <c r="D888" s="56" t="s">
        <v>24900</v>
      </c>
      <c r="E888" s="10" t="s">
        <v>65</v>
      </c>
      <c r="F888" s="10" t="s">
        <v>1506</v>
      </c>
      <c r="G888" s="10" t="s">
        <v>24043</v>
      </c>
      <c r="H888" s="10" t="s">
        <v>5959</v>
      </c>
      <c r="I888" s="10" t="s">
        <v>55</v>
      </c>
      <c r="K888" s="10" t="s">
        <v>24901</v>
      </c>
      <c r="L888" s="10" t="s">
        <v>42</v>
      </c>
    </row>
    <row r="889" ht="15.75" customHeight="1">
      <c r="A889" s="66">
        <v>45484.0</v>
      </c>
      <c r="B889" s="55" t="str">
        <f>HYPERLINK("https://jobright.ai/jobs/info/6690a97a0020afd5a76da10c?utm_campaign=1057&amp;utm_source=sheet", "Apply")</f>
        <v>Apply</v>
      </c>
      <c r="C889" s="10" t="s">
        <v>24899</v>
      </c>
      <c r="D889" s="56" t="s">
        <v>24900</v>
      </c>
      <c r="E889" s="10" t="s">
        <v>65</v>
      </c>
      <c r="F889" s="10" t="s">
        <v>1506</v>
      </c>
      <c r="G889" s="10" t="s">
        <v>24043</v>
      </c>
      <c r="H889" s="10" t="s">
        <v>883</v>
      </c>
      <c r="I889" s="10" t="s">
        <v>55</v>
      </c>
      <c r="K889" s="10" t="s">
        <v>24901</v>
      </c>
      <c r="L889" s="10" t="s">
        <v>42</v>
      </c>
    </row>
    <row r="890" ht="15.75" customHeight="1">
      <c r="A890" s="66">
        <v>45484.0</v>
      </c>
      <c r="B890" s="55" t="str">
        <f>HYPERLINK("https://jobright.ai/jobs/info/66993f812b9c65a3e5eb8cb9?utm_campaign=1057&amp;utm_source=sheet", "Apply")</f>
        <v>Apply</v>
      </c>
      <c r="C890" s="10" t="s">
        <v>24421</v>
      </c>
      <c r="D890" s="56" t="s">
        <v>4448</v>
      </c>
      <c r="E890" s="10" t="s">
        <v>71</v>
      </c>
      <c r="F890" s="10" t="s">
        <v>4449</v>
      </c>
      <c r="G890" s="10" t="s">
        <v>24043</v>
      </c>
      <c r="H890" s="10" t="s">
        <v>628</v>
      </c>
      <c r="I890" s="10" t="s">
        <v>55</v>
      </c>
      <c r="K890" s="10" t="s">
        <v>4450</v>
      </c>
      <c r="L890" s="10" t="s">
        <v>42</v>
      </c>
    </row>
    <row r="891" ht="15.75" customHeight="1">
      <c r="A891" s="66">
        <v>45484.0</v>
      </c>
      <c r="B891" s="55" t="str">
        <f>HYPERLINK("https://jobright.ai/jobs/info/6692a08026ba329262b1b68e?utm_campaign=1057&amp;utm_source=sheet", "Apply")</f>
        <v>Apply</v>
      </c>
      <c r="C891" s="10" t="s">
        <v>24924</v>
      </c>
      <c r="D891" s="56" t="s">
        <v>2077</v>
      </c>
      <c r="E891" s="10" t="s">
        <v>45</v>
      </c>
      <c r="F891" s="10" t="s">
        <v>1234</v>
      </c>
      <c r="G891" s="10" t="s">
        <v>24031</v>
      </c>
      <c r="H891" s="10" t="s">
        <v>2078</v>
      </c>
      <c r="I891" s="10" t="s">
        <v>55</v>
      </c>
      <c r="J891" s="10" t="s">
        <v>1608</v>
      </c>
      <c r="K891" s="10" t="s">
        <v>24925</v>
      </c>
      <c r="L891" s="10" t="s">
        <v>42</v>
      </c>
    </row>
    <row r="892" ht="15.75" customHeight="1">
      <c r="A892" s="66">
        <v>45484.0</v>
      </c>
      <c r="B892" s="55" t="str">
        <f>HYPERLINK("https://jobright.ai/jobs/info/669001786322084f2d52cd3b?utm_campaign=1057&amp;utm_source=sheet", "Apply")</f>
        <v>Apply</v>
      </c>
      <c r="C892" s="10" t="s">
        <v>24926</v>
      </c>
      <c r="D892" s="56" t="s">
        <v>24927</v>
      </c>
      <c r="E892" s="10" t="s">
        <v>45</v>
      </c>
      <c r="F892" s="10" t="s">
        <v>1234</v>
      </c>
      <c r="G892" s="10" t="s">
        <v>24022</v>
      </c>
      <c r="H892" s="10" t="s">
        <v>7347</v>
      </c>
      <c r="I892" s="10" t="s">
        <v>55</v>
      </c>
      <c r="J892" s="10" t="s">
        <v>1960</v>
      </c>
      <c r="K892" s="10" t="s">
        <v>24928</v>
      </c>
      <c r="L892" s="10" t="s">
        <v>42</v>
      </c>
    </row>
    <row r="893" ht="15.75" customHeight="1">
      <c r="A893" s="66">
        <v>45484.0</v>
      </c>
      <c r="B893" s="55" t="str">
        <f>HYPERLINK("https://jobright.ai/jobs/info/66321f5fbe2edaf1edb97972?utm_campaign=1057&amp;utm_source=sheet", "Apply")</f>
        <v>Apply</v>
      </c>
      <c r="C893" s="10" t="s">
        <v>24929</v>
      </c>
      <c r="D893" s="56" t="s">
        <v>24930</v>
      </c>
      <c r="E893" s="10" t="s">
        <v>79</v>
      </c>
      <c r="F893" s="10" t="s">
        <v>24931</v>
      </c>
      <c r="G893" s="10" t="s">
        <v>24031</v>
      </c>
      <c r="H893" s="10" t="s">
        <v>24932</v>
      </c>
      <c r="I893" s="10" t="s">
        <v>55</v>
      </c>
      <c r="J893" s="10" t="s">
        <v>24933</v>
      </c>
      <c r="K893" s="10" t="s">
        <v>24934</v>
      </c>
      <c r="L893" s="10" t="s">
        <v>42</v>
      </c>
    </row>
    <row r="894" ht="15.75" customHeight="1">
      <c r="A894" s="66">
        <v>45484.0</v>
      </c>
      <c r="B894" s="55" t="str">
        <f>HYPERLINK("https://jobright.ai/jobs/info/669918f2f68d49a9355a2244?utm_campaign=1057&amp;utm_source=sheet", "Apply")</f>
        <v>Apply</v>
      </c>
      <c r="C894" s="10" t="s">
        <v>24444</v>
      </c>
      <c r="D894" s="56" t="s">
        <v>4448</v>
      </c>
      <c r="E894" s="10" t="s">
        <v>71</v>
      </c>
      <c r="F894" s="10" t="s">
        <v>4449</v>
      </c>
      <c r="G894" s="10" t="s">
        <v>24043</v>
      </c>
      <c r="H894" s="10" t="s">
        <v>21253</v>
      </c>
      <c r="I894" s="10" t="s">
        <v>55</v>
      </c>
      <c r="K894" s="10" t="s">
        <v>4450</v>
      </c>
      <c r="L894" s="10" t="s">
        <v>42</v>
      </c>
    </row>
    <row r="895" ht="15.75" customHeight="1">
      <c r="A895" s="66">
        <v>45484.0</v>
      </c>
      <c r="B895" s="55" t="str">
        <f>HYPERLINK("https://jobright.ai/jobs/info/66990b95c8a59dc96df53749?utm_campaign=1057&amp;utm_source=sheet", "Apply")</f>
        <v>Apply</v>
      </c>
      <c r="C895" s="10" t="s">
        <v>22312</v>
      </c>
      <c r="D895" s="56" t="s">
        <v>22313</v>
      </c>
      <c r="E895" s="10" t="s">
        <v>71</v>
      </c>
      <c r="F895" s="10" t="s">
        <v>22314</v>
      </c>
      <c r="G895" s="10" t="s">
        <v>24043</v>
      </c>
      <c r="H895" s="10" t="s">
        <v>10592</v>
      </c>
      <c r="I895" s="10" t="s">
        <v>55</v>
      </c>
      <c r="J895" s="10" t="s">
        <v>24935</v>
      </c>
      <c r="K895" s="10" t="s">
        <v>24936</v>
      </c>
      <c r="L895" s="10" t="s">
        <v>42</v>
      </c>
    </row>
    <row r="896" ht="15.75" customHeight="1">
      <c r="A896" s="66">
        <v>45484.0</v>
      </c>
      <c r="B896" s="55" t="str">
        <f>HYPERLINK("https://jobright.ai/jobs/info/6690a2e995550c95a978d3cf?utm_campaign=1057&amp;utm_source=sheet", "Apply")</f>
        <v>Apply</v>
      </c>
      <c r="C896" s="10" t="s">
        <v>24937</v>
      </c>
      <c r="D896" s="56" t="s">
        <v>16508</v>
      </c>
      <c r="E896" s="10" t="s">
        <v>45</v>
      </c>
      <c r="F896" s="10" t="s">
        <v>1723</v>
      </c>
      <c r="G896" s="10" t="s">
        <v>24043</v>
      </c>
      <c r="H896" s="10" t="s">
        <v>11436</v>
      </c>
      <c r="I896" s="10" t="s">
        <v>55</v>
      </c>
      <c r="K896" s="10" t="s">
        <v>24853</v>
      </c>
      <c r="L896" s="10" t="s">
        <v>42</v>
      </c>
    </row>
    <row r="897" ht="15.75" customHeight="1">
      <c r="A897" s="66">
        <v>45484.0</v>
      </c>
      <c r="B897" s="55" t="str">
        <f>HYPERLINK("https://jobright.ai/jobs/info/66a23761a3cccf144e98812f?utm_campaign=1057&amp;utm_source=sheet", "Apply")</f>
        <v>Apply</v>
      </c>
      <c r="C897" s="10" t="s">
        <v>24938</v>
      </c>
      <c r="D897" s="56" t="s">
        <v>19679</v>
      </c>
      <c r="E897" s="10">
        <v>980.0</v>
      </c>
      <c r="G897" s="10" t="s">
        <v>24022</v>
      </c>
      <c r="H897" s="10" t="s">
        <v>19680</v>
      </c>
      <c r="I897" s="10" t="s">
        <v>55</v>
      </c>
      <c r="K897" s="10" t="s">
        <v>24939</v>
      </c>
      <c r="L897" s="10" t="s">
        <v>42</v>
      </c>
    </row>
    <row r="898" ht="15.75" customHeight="1">
      <c r="A898" s="66">
        <v>45484.0</v>
      </c>
      <c r="B898" s="55" t="str">
        <f>HYPERLINK("https://jobright.ai/jobs/info/6690de8db63f2faa3634a541?utm_campaign=1057&amp;utm_source=sheet", "Apply")</f>
        <v>Apply</v>
      </c>
      <c r="C898" s="10" t="s">
        <v>24940</v>
      </c>
      <c r="D898" s="56" t="s">
        <v>1636</v>
      </c>
      <c r="E898" s="10">
        <v>6029.0</v>
      </c>
      <c r="G898" s="10" t="s">
        <v>24022</v>
      </c>
      <c r="H898" s="10" t="s">
        <v>170</v>
      </c>
      <c r="I898" s="10" t="s">
        <v>55</v>
      </c>
      <c r="J898" s="10" t="s">
        <v>1637</v>
      </c>
      <c r="K898" s="10" t="s">
        <v>24941</v>
      </c>
      <c r="L898" s="10" t="s">
        <v>42</v>
      </c>
    </row>
    <row r="899" ht="15.75" customHeight="1">
      <c r="A899" s="66">
        <v>45484.0</v>
      </c>
      <c r="B899" s="55" t="str">
        <f>HYPERLINK("https://jobright.ai/jobs/info/6690de96b63f2faa3634a5a1?utm_campaign=1057&amp;utm_source=sheet", "Apply")</f>
        <v>Apply</v>
      </c>
      <c r="C899" s="10" t="s">
        <v>24942</v>
      </c>
      <c r="D899" s="56" t="s">
        <v>1636</v>
      </c>
      <c r="E899" s="10">
        <v>6029.0</v>
      </c>
      <c r="G899" s="10" t="s">
        <v>24022</v>
      </c>
      <c r="H899" s="10" t="s">
        <v>170</v>
      </c>
      <c r="I899" s="10" t="s">
        <v>55</v>
      </c>
      <c r="J899" s="10" t="s">
        <v>2127</v>
      </c>
      <c r="K899" s="10" t="s">
        <v>24943</v>
      </c>
      <c r="L899" s="10" t="s">
        <v>42</v>
      </c>
    </row>
    <row r="900" ht="15.75" customHeight="1">
      <c r="A900" s="66">
        <v>45484.0</v>
      </c>
      <c r="B900" s="55" t="str">
        <f>HYPERLINK("https://jobright.ai/jobs/info/6690de8db63f2faa3634a568?utm_campaign=1057&amp;utm_source=sheet", "Apply")</f>
        <v>Apply</v>
      </c>
      <c r="C900" s="10" t="s">
        <v>24944</v>
      </c>
      <c r="D900" s="56" t="s">
        <v>1636</v>
      </c>
      <c r="E900" s="10">
        <v>6029.0</v>
      </c>
      <c r="G900" s="10" t="s">
        <v>24022</v>
      </c>
      <c r="H900" s="10" t="s">
        <v>170</v>
      </c>
      <c r="I900" s="10" t="s">
        <v>55</v>
      </c>
      <c r="J900" s="10" t="s">
        <v>1637</v>
      </c>
      <c r="K900" s="10" t="s">
        <v>24945</v>
      </c>
      <c r="L900" s="10" t="s">
        <v>42</v>
      </c>
    </row>
    <row r="901" ht="15.75" customHeight="1">
      <c r="A901" s="66">
        <v>45484.0</v>
      </c>
      <c r="B901" s="55" t="str">
        <f>HYPERLINK("https://jobright.ai/jobs/info/6690dea2b63f2faa3634a68e?utm_campaign=1057&amp;utm_source=sheet", "Apply")</f>
        <v>Apply</v>
      </c>
      <c r="C901" s="10" t="s">
        <v>24946</v>
      </c>
      <c r="D901" s="56" t="s">
        <v>24947</v>
      </c>
      <c r="E901" s="10" t="s">
        <v>137</v>
      </c>
      <c r="F901" s="10" t="s">
        <v>1607</v>
      </c>
      <c r="G901" s="10" t="s">
        <v>24022</v>
      </c>
      <c r="H901" s="10" t="s">
        <v>159</v>
      </c>
      <c r="I901" s="10" t="s">
        <v>55</v>
      </c>
      <c r="J901" s="10" t="s">
        <v>6311</v>
      </c>
      <c r="K901" s="10" t="s">
        <v>24948</v>
      </c>
      <c r="L901" s="10" t="s">
        <v>42</v>
      </c>
    </row>
    <row r="902" ht="15.75" customHeight="1">
      <c r="A902" s="66">
        <v>45484.0</v>
      </c>
      <c r="B902" s="55" t="str">
        <f>HYPERLINK("https://jobright.ai/jobs/info/6698b8f97639b3b6fe92136e?utm_campaign=1057&amp;utm_source=sheet", "Apply")</f>
        <v>Apply</v>
      </c>
      <c r="C902" s="10" t="s">
        <v>24949</v>
      </c>
      <c r="D902" s="56" t="s">
        <v>22313</v>
      </c>
      <c r="E902" s="10" t="s">
        <v>71</v>
      </c>
      <c r="F902" s="10" t="s">
        <v>22314</v>
      </c>
      <c r="G902" s="10" t="s">
        <v>24043</v>
      </c>
      <c r="H902" s="10" t="s">
        <v>3056</v>
      </c>
      <c r="I902" s="10" t="s">
        <v>55</v>
      </c>
      <c r="J902" s="10" t="s">
        <v>24950</v>
      </c>
      <c r="L902" s="10" t="s">
        <v>42</v>
      </c>
    </row>
    <row r="903" ht="15.75" customHeight="1">
      <c r="A903" s="66">
        <v>45484.0</v>
      </c>
      <c r="B903" s="55" t="str">
        <f>HYPERLINK("https://jobright.ai/jobs/info/6698b8f97639b3b6fe921388?utm_campaign=1057&amp;utm_source=sheet", "Apply")</f>
        <v>Apply</v>
      </c>
      <c r="C903" s="10" t="s">
        <v>22312</v>
      </c>
      <c r="D903" s="56" t="s">
        <v>22313</v>
      </c>
      <c r="E903" s="10" t="s">
        <v>71</v>
      </c>
      <c r="F903" s="10" t="s">
        <v>22314</v>
      </c>
      <c r="G903" s="10" t="s">
        <v>24022</v>
      </c>
      <c r="H903" s="10" t="s">
        <v>3056</v>
      </c>
      <c r="I903" s="10" t="s">
        <v>55</v>
      </c>
      <c r="J903" s="10" t="s">
        <v>24935</v>
      </c>
      <c r="K903" s="10" t="s">
        <v>24936</v>
      </c>
      <c r="L903" s="10" t="s">
        <v>42</v>
      </c>
    </row>
    <row r="904" ht="15.75" customHeight="1">
      <c r="A904" s="66">
        <v>45484.0</v>
      </c>
      <c r="B904" s="55" t="str">
        <f>HYPERLINK("https://jobright.ai/jobs/info/6690a4b6bde41292f4f54cc1?utm_campaign=1057&amp;utm_source=sheet", "Apply")</f>
        <v>Apply</v>
      </c>
      <c r="C904" s="10" t="s">
        <v>24951</v>
      </c>
      <c r="D904" s="56" t="s">
        <v>14671</v>
      </c>
      <c r="G904" s="10" t="s">
        <v>24022</v>
      </c>
      <c r="H904" s="10" t="s">
        <v>7462</v>
      </c>
      <c r="I904" s="10" t="s">
        <v>55</v>
      </c>
      <c r="K904" s="10" t="s">
        <v>24952</v>
      </c>
      <c r="L904" s="10" t="s">
        <v>42</v>
      </c>
    </row>
    <row r="905" ht="15.75" customHeight="1">
      <c r="A905" s="66">
        <v>45484.0</v>
      </c>
      <c r="B905" s="55" t="str">
        <f>HYPERLINK("https://jobright.ai/jobs/info/6690a0d743cab07c25cd0aba?utm_campaign=1057&amp;utm_source=sheet", "Apply")</f>
        <v>Apply</v>
      </c>
      <c r="C905" s="10" t="s">
        <v>24953</v>
      </c>
      <c r="D905" s="56" t="s">
        <v>24954</v>
      </c>
      <c r="G905" s="10" t="s">
        <v>24022</v>
      </c>
      <c r="H905" s="10" t="s">
        <v>2099</v>
      </c>
      <c r="I905" s="10" t="s">
        <v>55</v>
      </c>
      <c r="J905" s="10" t="s">
        <v>24955</v>
      </c>
      <c r="K905" s="10" t="s">
        <v>24956</v>
      </c>
      <c r="L905" s="10" t="s">
        <v>42</v>
      </c>
    </row>
    <row r="906" ht="15.75" customHeight="1">
      <c r="A906" s="66">
        <v>45484.0</v>
      </c>
      <c r="B906" s="55" t="str">
        <f>HYPERLINK("https://jobright.ai/jobs/info/668fc15ad472624446c99ead?utm_campaign=1057&amp;utm_source=sheet", "Apply")</f>
        <v>Apply</v>
      </c>
      <c r="C906" s="10" t="s">
        <v>24957</v>
      </c>
      <c r="D906" s="56" t="s">
        <v>1955</v>
      </c>
      <c r="E906" s="10" t="s">
        <v>45</v>
      </c>
      <c r="F906" s="10" t="s">
        <v>1234</v>
      </c>
      <c r="G906" s="10" t="s">
        <v>24022</v>
      </c>
      <c r="H906" s="10" t="s">
        <v>139</v>
      </c>
      <c r="I906" s="10" t="s">
        <v>55</v>
      </c>
      <c r="J906" s="10" t="s">
        <v>1409</v>
      </c>
      <c r="K906" s="10" t="s">
        <v>24958</v>
      </c>
      <c r="L906" s="10" t="s">
        <v>42</v>
      </c>
    </row>
    <row r="907" ht="15.75" customHeight="1">
      <c r="A907" s="66">
        <v>45484.0</v>
      </c>
      <c r="B907" s="55" t="str">
        <f>HYPERLINK("https://jobright.ai/jobs/info/668f4991478c8663838f2733?utm_campaign=1057&amp;utm_source=sheet", "Apply")</f>
        <v>Apply</v>
      </c>
      <c r="C907" s="10" t="s">
        <v>24959</v>
      </c>
      <c r="D907" s="56" t="s">
        <v>1955</v>
      </c>
      <c r="E907" s="10" t="s">
        <v>45</v>
      </c>
      <c r="F907" s="10" t="s">
        <v>1234</v>
      </c>
      <c r="G907" s="10" t="s">
        <v>24022</v>
      </c>
      <c r="H907" s="10" t="s">
        <v>139</v>
      </c>
      <c r="I907" s="10" t="s">
        <v>55</v>
      </c>
      <c r="J907" s="10" t="s">
        <v>4117</v>
      </c>
      <c r="K907" s="10" t="s">
        <v>24960</v>
      </c>
      <c r="L907" s="10" t="s">
        <v>42</v>
      </c>
    </row>
    <row r="908" ht="15.75" customHeight="1">
      <c r="A908" s="66">
        <v>45484.0</v>
      </c>
      <c r="B908" s="55" t="str">
        <f>HYPERLINK("https://jobright.ai/jobs/info/6690271040a392ac7323edd8?utm_campaign=1057&amp;utm_source=sheet", "Apply")</f>
        <v>Apply</v>
      </c>
      <c r="C908" s="10" t="s">
        <v>24961</v>
      </c>
      <c r="D908" s="56" t="s">
        <v>24962</v>
      </c>
      <c r="E908" s="10" t="s">
        <v>71</v>
      </c>
      <c r="F908" s="10" t="s">
        <v>1234</v>
      </c>
      <c r="G908" s="10" t="s">
        <v>24022</v>
      </c>
      <c r="H908" s="10" t="s">
        <v>167</v>
      </c>
      <c r="I908" s="10" t="s">
        <v>55</v>
      </c>
      <c r="K908" s="10" t="s">
        <v>24963</v>
      </c>
      <c r="L908" s="10" t="s">
        <v>42</v>
      </c>
    </row>
    <row r="909" ht="15.75" customHeight="1">
      <c r="A909" s="66">
        <v>45483.0</v>
      </c>
      <c r="B909" s="55" t="str">
        <f>HYPERLINK("https://jobright.ai/jobs/info/668c2d36dc14ede91846ad75?utm_campaign=1057&amp;utm_source=sheet", "Apply")</f>
        <v>Apply</v>
      </c>
      <c r="C909" s="10" t="s">
        <v>24964</v>
      </c>
      <c r="D909" s="56" t="s">
        <v>3166</v>
      </c>
      <c r="E909" s="10" t="s">
        <v>45</v>
      </c>
      <c r="F909" s="10" t="s">
        <v>3167</v>
      </c>
      <c r="G909" s="10" t="s">
        <v>24022</v>
      </c>
      <c r="H909" s="10" t="s">
        <v>1160</v>
      </c>
      <c r="I909" s="10" t="s">
        <v>55</v>
      </c>
      <c r="J909" s="10" t="s">
        <v>24965</v>
      </c>
      <c r="K909" s="10" t="s">
        <v>24966</v>
      </c>
      <c r="L909" s="10" t="s">
        <v>42</v>
      </c>
    </row>
    <row r="910" ht="15.75" customHeight="1">
      <c r="A910" s="66">
        <v>45483.0</v>
      </c>
      <c r="B910" s="55" t="str">
        <f>HYPERLINK("https://jobright.ai/jobs/info/668c9108a04664baea38a3e2?utm_campaign=1057&amp;utm_source=sheet", "Apply")</f>
        <v>Apply</v>
      </c>
      <c r="C910" s="10" t="s">
        <v>24967</v>
      </c>
      <c r="D910" s="56" t="s">
        <v>3166</v>
      </c>
      <c r="E910" s="10" t="s">
        <v>45</v>
      </c>
      <c r="F910" s="10" t="s">
        <v>3167</v>
      </c>
      <c r="G910" s="10" t="s">
        <v>24022</v>
      </c>
      <c r="H910" s="10" t="s">
        <v>1160</v>
      </c>
      <c r="I910" s="10" t="s">
        <v>55</v>
      </c>
      <c r="K910" s="10" t="s">
        <v>24968</v>
      </c>
      <c r="L910" s="10" t="s">
        <v>42</v>
      </c>
    </row>
    <row r="911" ht="15.75" customHeight="1">
      <c r="A911" s="66">
        <v>45483.0</v>
      </c>
      <c r="B911" s="55" t="str">
        <f>HYPERLINK("https://jobright.ai/jobs/info/668fcf89228dfafddaffebb3?utm_campaign=1057&amp;utm_source=sheet", "Apply")</f>
        <v>Apply</v>
      </c>
      <c r="C911" s="10" t="s">
        <v>24684</v>
      </c>
      <c r="D911" s="56" t="s">
        <v>24115</v>
      </c>
      <c r="F911" s="10" t="s">
        <v>1506</v>
      </c>
      <c r="G911" s="10" t="s">
        <v>24031</v>
      </c>
      <c r="H911" s="10" t="s">
        <v>12845</v>
      </c>
      <c r="I911" s="10" t="s">
        <v>55</v>
      </c>
      <c r="J911" s="10" t="s">
        <v>24116</v>
      </c>
      <c r="K911" s="10" t="s">
        <v>24615</v>
      </c>
      <c r="L911" s="10" t="s">
        <v>42</v>
      </c>
    </row>
    <row r="912" ht="15.75" customHeight="1">
      <c r="A912" s="66">
        <v>45483.0</v>
      </c>
      <c r="B912" s="55" t="str">
        <f>HYPERLINK("https://jobright.ai/jobs/info/669008d36c7a1d8aa6d74198?utm_campaign=1057&amp;utm_source=sheet", "Apply")</f>
        <v>Apply</v>
      </c>
      <c r="C912" s="10" t="s">
        <v>24084</v>
      </c>
      <c r="D912" s="56" t="s">
        <v>22652</v>
      </c>
      <c r="E912" s="10" t="s">
        <v>79</v>
      </c>
      <c r="F912" s="10" t="s">
        <v>22653</v>
      </c>
      <c r="G912" s="10" t="s">
        <v>24022</v>
      </c>
      <c r="H912" s="10" t="s">
        <v>822</v>
      </c>
      <c r="I912" s="10" t="s">
        <v>55</v>
      </c>
      <c r="K912" s="10" t="s">
        <v>24085</v>
      </c>
      <c r="L912" s="10" t="s">
        <v>42</v>
      </c>
    </row>
    <row r="913" ht="15.75" customHeight="1">
      <c r="A913" s="66">
        <v>45483.0</v>
      </c>
      <c r="B913" s="55" t="str">
        <f>HYPERLINK("https://jobright.ai/jobs/info/668c56216d9edb82d509e460?utm_campaign=1057&amp;utm_source=sheet", "Apply")</f>
        <v>Apply</v>
      </c>
      <c r="C913" s="10" t="s">
        <v>24969</v>
      </c>
      <c r="D913" s="56" t="s">
        <v>21518</v>
      </c>
      <c r="E913" s="10" t="s">
        <v>65</v>
      </c>
      <c r="G913" s="10" t="s">
        <v>24022</v>
      </c>
      <c r="H913" s="10" t="s">
        <v>24970</v>
      </c>
      <c r="I913" s="10" t="s">
        <v>55</v>
      </c>
      <c r="K913" s="10" t="s">
        <v>24971</v>
      </c>
      <c r="L913" s="10" t="s">
        <v>42</v>
      </c>
    </row>
    <row r="914" ht="15.75" customHeight="1">
      <c r="A914" s="66">
        <v>45483.0</v>
      </c>
      <c r="B914" s="55" t="str">
        <f>HYPERLINK("https://jobright.ai/jobs/info/66903d953440919128d67c51?utm_campaign=1057&amp;utm_source=sheet", "Apply")</f>
        <v>Apply</v>
      </c>
      <c r="C914" s="10" t="s">
        <v>24972</v>
      </c>
      <c r="D914" s="56" t="s">
        <v>4560</v>
      </c>
      <c r="E914" s="10" t="s">
        <v>137</v>
      </c>
      <c r="F914" s="10" t="s">
        <v>1587</v>
      </c>
      <c r="G914" s="10" t="s">
        <v>24022</v>
      </c>
      <c r="H914" s="10" t="s">
        <v>251</v>
      </c>
      <c r="I914" s="10" t="s">
        <v>252</v>
      </c>
      <c r="K914" s="10" t="s">
        <v>24973</v>
      </c>
      <c r="L914" s="10" t="s">
        <v>42</v>
      </c>
    </row>
    <row r="915" ht="15.75" customHeight="1">
      <c r="A915" s="66">
        <v>45483.0</v>
      </c>
      <c r="B915" s="55" t="str">
        <f>HYPERLINK("https://jobright.ai/jobs/info/668ef29e651a25f9b6aedc09?utm_campaign=1057&amp;utm_source=sheet", "Apply")</f>
        <v>Apply</v>
      </c>
      <c r="C915" s="10" t="s">
        <v>24974</v>
      </c>
      <c r="D915" s="56" t="s">
        <v>1955</v>
      </c>
      <c r="E915" s="10" t="s">
        <v>45</v>
      </c>
      <c r="F915" s="10" t="s">
        <v>1234</v>
      </c>
      <c r="G915" s="10" t="s">
        <v>24022</v>
      </c>
      <c r="H915" s="10" t="s">
        <v>139</v>
      </c>
      <c r="I915" s="10" t="s">
        <v>55</v>
      </c>
      <c r="J915" s="10" t="s">
        <v>1761</v>
      </c>
      <c r="K915" s="10" t="s">
        <v>24975</v>
      </c>
      <c r="L915" s="10" t="s">
        <v>42</v>
      </c>
    </row>
    <row r="916" ht="15.75" customHeight="1">
      <c r="A916" s="66">
        <v>45483.0</v>
      </c>
      <c r="B916" s="55" t="str">
        <f>HYPERLINK("https://jobright.ai/jobs/info/668eea4b97cc7c3025b923da?utm_campaign=1057&amp;utm_source=sheet", "Apply")</f>
        <v>Apply</v>
      </c>
      <c r="C916" s="10" t="s">
        <v>24976</v>
      </c>
      <c r="D916" s="56" t="s">
        <v>12911</v>
      </c>
      <c r="G916" s="10" t="s">
        <v>24022</v>
      </c>
      <c r="H916" s="10" t="s">
        <v>4858</v>
      </c>
      <c r="I916" s="10" t="s">
        <v>55</v>
      </c>
      <c r="K916" s="10" t="s">
        <v>20125</v>
      </c>
      <c r="L916" s="10" t="s">
        <v>42</v>
      </c>
    </row>
    <row r="917" ht="15.75" customHeight="1">
      <c r="A917" s="66">
        <v>45483.0</v>
      </c>
      <c r="B917" s="55" t="str">
        <f>HYPERLINK("https://jobright.ai/jobs/info/6675e577002960a5a8d1a2b9?utm_campaign=1057&amp;utm_source=sheet", "Apply")</f>
        <v>Apply</v>
      </c>
      <c r="C917" s="10" t="s">
        <v>24977</v>
      </c>
      <c r="D917" s="56" t="s">
        <v>24954</v>
      </c>
      <c r="G917" s="10" t="s">
        <v>24022</v>
      </c>
      <c r="H917" s="10" t="s">
        <v>2099</v>
      </c>
      <c r="I917" s="10" t="s">
        <v>55</v>
      </c>
      <c r="J917" s="10" t="s">
        <v>24955</v>
      </c>
      <c r="K917" s="10" t="s">
        <v>24978</v>
      </c>
      <c r="L917" s="10" t="s">
        <v>42</v>
      </c>
    </row>
    <row r="918" ht="15.75" customHeight="1">
      <c r="A918" s="66">
        <v>45483.0</v>
      </c>
      <c r="B918" s="55" t="str">
        <f>HYPERLINK("https://jobright.ai/jobs/info/66a135b5a897a43af5f5a814?utm_campaign=1057&amp;utm_source=sheet", "Apply")</f>
        <v>Apply</v>
      </c>
      <c r="C918" s="10" t="s">
        <v>24979</v>
      </c>
      <c r="D918" s="56" t="s">
        <v>24980</v>
      </c>
      <c r="E918" s="10" t="s">
        <v>79</v>
      </c>
      <c r="F918" s="10" t="s">
        <v>8108</v>
      </c>
      <c r="G918" s="10" t="s">
        <v>24022</v>
      </c>
      <c r="H918" s="10" t="s">
        <v>14864</v>
      </c>
      <c r="I918" s="10" t="s">
        <v>55</v>
      </c>
      <c r="J918" s="10" t="s">
        <v>11457</v>
      </c>
      <c r="K918" s="10" t="s">
        <v>24981</v>
      </c>
      <c r="L918" s="10" t="s">
        <v>42</v>
      </c>
    </row>
    <row r="919" ht="15.75" customHeight="1">
      <c r="A919" s="66">
        <v>45483.0</v>
      </c>
      <c r="B919" s="55" t="str">
        <f>HYPERLINK("https://jobright.ai/jobs/info/668fb7d298879498119623a9?utm_campaign=1057&amp;utm_source=sheet", "Apply")</f>
        <v>Apply</v>
      </c>
      <c r="C919" s="10" t="s">
        <v>24982</v>
      </c>
      <c r="D919" s="56" t="s">
        <v>24983</v>
      </c>
      <c r="E919" s="10" t="s">
        <v>209</v>
      </c>
      <c r="F919" s="10" t="s">
        <v>3124</v>
      </c>
      <c r="G919" s="10" t="s">
        <v>24031</v>
      </c>
      <c r="H919" s="10" t="s">
        <v>251</v>
      </c>
      <c r="I919" s="10" t="s">
        <v>252</v>
      </c>
      <c r="K919" s="10" t="s">
        <v>24984</v>
      </c>
      <c r="L919" s="10" t="s">
        <v>42</v>
      </c>
    </row>
    <row r="920" ht="15.75" customHeight="1">
      <c r="A920" s="66">
        <v>45483.0</v>
      </c>
      <c r="B920" s="55" t="str">
        <f>HYPERLINK("https://jobright.ai/jobs/info/6672efe209fa87accf6a477b?utm_campaign=1057&amp;utm_source=sheet", "Apply")</f>
        <v>Apply</v>
      </c>
      <c r="C920" s="10" t="s">
        <v>24130</v>
      </c>
      <c r="D920" s="56" t="s">
        <v>24166</v>
      </c>
      <c r="E920" s="10" t="s">
        <v>65</v>
      </c>
      <c r="F920" s="10" t="s">
        <v>4000</v>
      </c>
      <c r="G920" s="10" t="s">
        <v>24022</v>
      </c>
      <c r="H920" s="10" t="s">
        <v>20025</v>
      </c>
      <c r="I920" s="10" t="s">
        <v>55</v>
      </c>
      <c r="J920" s="10" t="s">
        <v>24985</v>
      </c>
      <c r="K920" s="10" t="s">
        <v>24986</v>
      </c>
      <c r="L920" s="10" t="s">
        <v>42</v>
      </c>
    </row>
    <row r="921" ht="15.75" customHeight="1">
      <c r="A921" s="66">
        <v>45483.0</v>
      </c>
      <c r="B921" s="55" t="str">
        <f>HYPERLINK("https://jobright.ai/jobs/info/668d6e8f22aefc489b077ed7?utm_campaign=1057&amp;utm_source=sheet", "Apply")</f>
        <v>Apply</v>
      </c>
      <c r="C921" s="10" t="s">
        <v>24987</v>
      </c>
      <c r="D921" s="56" t="s">
        <v>24988</v>
      </c>
      <c r="E921" s="10" t="s">
        <v>71</v>
      </c>
      <c r="F921" s="10" t="s">
        <v>24989</v>
      </c>
      <c r="G921" s="10" t="s">
        <v>24043</v>
      </c>
      <c r="H921" s="10" t="s">
        <v>113</v>
      </c>
      <c r="I921" s="10" t="s">
        <v>55</v>
      </c>
      <c r="K921" s="10" t="s">
        <v>24990</v>
      </c>
      <c r="L921" s="10" t="s">
        <v>42</v>
      </c>
    </row>
    <row r="922" ht="15.75" customHeight="1">
      <c r="A922" s="66">
        <v>45483.0</v>
      </c>
      <c r="B922" s="55" t="str">
        <f>HYPERLINK("https://jobright.ai/jobs/info/668fcf89228dfafddaffec64?utm_campaign=1057&amp;utm_source=sheet", "Apply")</f>
        <v>Apply</v>
      </c>
      <c r="C922" s="10" t="s">
        <v>24991</v>
      </c>
      <c r="D922" s="56" t="s">
        <v>24992</v>
      </c>
      <c r="E922" s="10" t="s">
        <v>137</v>
      </c>
      <c r="F922" s="10" t="s">
        <v>24993</v>
      </c>
      <c r="G922" s="10" t="s">
        <v>24043</v>
      </c>
      <c r="H922" s="10" t="s">
        <v>159</v>
      </c>
      <c r="I922" s="10" t="s">
        <v>55</v>
      </c>
      <c r="K922" s="10" t="s">
        <v>24994</v>
      </c>
      <c r="L922" s="10" t="s">
        <v>42</v>
      </c>
    </row>
    <row r="923" ht="15.75" customHeight="1">
      <c r="A923" s="66">
        <v>45483.0</v>
      </c>
      <c r="B923" s="55" t="str">
        <f>HYPERLINK("https://jobright.ai/jobs/info/668fcf92228dfafddaffece6?utm_campaign=1057&amp;utm_source=sheet", "Apply")</f>
        <v>Apply</v>
      </c>
      <c r="C923" s="10" t="s">
        <v>24995</v>
      </c>
      <c r="D923" s="56" t="s">
        <v>24996</v>
      </c>
      <c r="E923" s="10" t="s">
        <v>65</v>
      </c>
      <c r="F923" s="10" t="s">
        <v>24281</v>
      </c>
      <c r="G923" s="10" t="s">
        <v>24022</v>
      </c>
      <c r="H923" s="10" t="s">
        <v>146</v>
      </c>
      <c r="I923" s="10" t="s">
        <v>55</v>
      </c>
      <c r="K923" s="10" t="s">
        <v>24997</v>
      </c>
      <c r="L923" s="10" t="s">
        <v>42</v>
      </c>
    </row>
    <row r="924" ht="15.75" customHeight="1">
      <c r="A924" s="66">
        <v>45483.0</v>
      </c>
      <c r="B924" s="55" t="str">
        <f>HYPERLINK("https://jobright.ai/jobs/info/66975d121ebb6df8dcbb858f?utm_campaign=1057&amp;utm_source=sheet", "Apply")</f>
        <v>Apply</v>
      </c>
      <c r="C924" s="10" t="s">
        <v>24998</v>
      </c>
      <c r="D924" s="56" t="s">
        <v>24999</v>
      </c>
      <c r="E924" s="10" t="s">
        <v>276</v>
      </c>
      <c r="G924" s="10" t="s">
        <v>24022</v>
      </c>
      <c r="H924" s="10" t="s">
        <v>25000</v>
      </c>
      <c r="I924" s="10" t="s">
        <v>55</v>
      </c>
      <c r="K924" s="10" t="s">
        <v>25001</v>
      </c>
      <c r="L924" s="10" t="s">
        <v>42</v>
      </c>
    </row>
    <row r="925" ht="15.75" customHeight="1">
      <c r="A925" s="66">
        <v>45483.0</v>
      </c>
      <c r="B925" s="55" t="str">
        <f>HYPERLINK("https://jobright.ai/jobs/info/668edae374297e1dfe012b66?utm_campaign=1057&amp;utm_source=sheet", "Apply")</f>
        <v>Apply</v>
      </c>
      <c r="C925" s="10" t="s">
        <v>25002</v>
      </c>
      <c r="D925" s="56" t="s">
        <v>24223</v>
      </c>
      <c r="E925" s="10" t="s">
        <v>276</v>
      </c>
      <c r="F925" s="10" t="s">
        <v>2409</v>
      </c>
      <c r="G925" s="10" t="s">
        <v>24022</v>
      </c>
      <c r="H925" s="10" t="s">
        <v>25003</v>
      </c>
      <c r="I925" s="10" t="s">
        <v>55</v>
      </c>
      <c r="J925" s="10" t="s">
        <v>24224</v>
      </c>
      <c r="K925" s="10" t="s">
        <v>25004</v>
      </c>
      <c r="L925" s="10" t="s">
        <v>42</v>
      </c>
    </row>
    <row r="926" ht="15.75" customHeight="1">
      <c r="A926" s="66">
        <v>45482.0</v>
      </c>
      <c r="B926" s="55" t="str">
        <f>HYPERLINK("https://jobright.ai/jobs/info/668e4fae3e89132c2331993d?utm_campaign=1057&amp;utm_source=sheet", "Apply")</f>
        <v>Apply</v>
      </c>
      <c r="C926" s="10" t="s">
        <v>25005</v>
      </c>
      <c r="D926" s="56" t="s">
        <v>1636</v>
      </c>
      <c r="E926" s="10">
        <v>6029.0</v>
      </c>
      <c r="G926" s="10" t="s">
        <v>24022</v>
      </c>
      <c r="H926" s="10" t="s">
        <v>170</v>
      </c>
      <c r="I926" s="10" t="s">
        <v>55</v>
      </c>
      <c r="J926" s="10" t="s">
        <v>2127</v>
      </c>
      <c r="K926" s="10" t="s">
        <v>25006</v>
      </c>
      <c r="L926" s="10" t="s">
        <v>42</v>
      </c>
    </row>
    <row r="927" ht="15.75" customHeight="1">
      <c r="A927" s="66">
        <v>45482.0</v>
      </c>
      <c r="B927" s="55" t="str">
        <f>HYPERLINK("https://jobright.ai/jobs/info/668e626a394cc2e566364bcf?utm_campaign=1057&amp;utm_source=sheet", "Apply")</f>
        <v>Apply</v>
      </c>
      <c r="C927" s="10" t="s">
        <v>24979</v>
      </c>
      <c r="D927" s="56" t="s">
        <v>24980</v>
      </c>
      <c r="E927" s="10" t="s">
        <v>79</v>
      </c>
      <c r="F927" s="10" t="s">
        <v>8108</v>
      </c>
      <c r="G927" s="10" t="s">
        <v>24022</v>
      </c>
      <c r="H927" s="10" t="s">
        <v>14864</v>
      </c>
      <c r="I927" s="10" t="s">
        <v>55</v>
      </c>
      <c r="J927" s="10" t="s">
        <v>11457</v>
      </c>
      <c r="K927" s="10" t="s">
        <v>25007</v>
      </c>
      <c r="L927" s="10" t="s">
        <v>42</v>
      </c>
    </row>
    <row r="928" ht="15.75" customHeight="1">
      <c r="A928" s="66">
        <v>45482.0</v>
      </c>
      <c r="B928" s="55" t="str">
        <f>HYPERLINK("https://jobright.ai/jobs/info/667dbd26ae1eddb4e04e2bd4?utm_campaign=1057&amp;utm_source=sheet", "Apply")</f>
        <v>Apply</v>
      </c>
      <c r="C928" s="10" t="s">
        <v>25008</v>
      </c>
      <c r="D928" s="56" t="s">
        <v>25009</v>
      </c>
      <c r="E928" s="10" t="s">
        <v>79</v>
      </c>
      <c r="F928" s="10" t="s">
        <v>3035</v>
      </c>
      <c r="G928" s="10" t="s">
        <v>24043</v>
      </c>
      <c r="H928" s="10" t="s">
        <v>96</v>
      </c>
      <c r="I928" s="10" t="s">
        <v>55</v>
      </c>
      <c r="J928" s="10" t="s">
        <v>1960</v>
      </c>
      <c r="K928" s="10" t="s">
        <v>25010</v>
      </c>
      <c r="L928" s="10" t="s">
        <v>42</v>
      </c>
    </row>
    <row r="929" ht="15.75" customHeight="1">
      <c r="A929" s="66">
        <v>45482.0</v>
      </c>
      <c r="B929" s="55" t="str">
        <f>HYPERLINK("https://jobright.ai/jobs/info/668ebb6af8776ede103d0c3b?utm_campaign=1057&amp;utm_source=sheet", "Apply")</f>
        <v>Apply</v>
      </c>
      <c r="C929" s="10" t="s">
        <v>25011</v>
      </c>
      <c r="D929" s="56" t="s">
        <v>7075</v>
      </c>
      <c r="E929" s="10" t="s">
        <v>45</v>
      </c>
      <c r="F929" s="10" t="s">
        <v>7076</v>
      </c>
      <c r="G929" s="10" t="s">
        <v>24031</v>
      </c>
      <c r="H929" s="10" t="s">
        <v>869</v>
      </c>
      <c r="I929" s="10" t="s">
        <v>55</v>
      </c>
      <c r="J929" s="10" t="s">
        <v>25012</v>
      </c>
      <c r="K929" s="10" t="s">
        <v>25013</v>
      </c>
      <c r="L929" s="10" t="s">
        <v>42</v>
      </c>
    </row>
    <row r="930" ht="15.75" customHeight="1">
      <c r="A930" s="66">
        <v>45482.0</v>
      </c>
      <c r="B930" s="55" t="str">
        <f>HYPERLINK("https://jobright.ai/jobs/info/668ebb74f8776ede103d0d64?utm_campaign=1057&amp;utm_source=sheet", "Apply")</f>
        <v>Apply</v>
      </c>
      <c r="C930" s="10" t="s">
        <v>25014</v>
      </c>
      <c r="D930" s="56" t="s">
        <v>7075</v>
      </c>
      <c r="E930" s="10" t="s">
        <v>45</v>
      </c>
      <c r="F930" s="10" t="s">
        <v>7076</v>
      </c>
      <c r="G930" s="10" t="s">
        <v>24022</v>
      </c>
      <c r="H930" s="10" t="s">
        <v>794</v>
      </c>
      <c r="I930" s="10" t="s">
        <v>55</v>
      </c>
      <c r="K930" s="10" t="s">
        <v>25015</v>
      </c>
      <c r="L930" s="10" t="s">
        <v>42</v>
      </c>
    </row>
    <row r="931" ht="15.75" customHeight="1">
      <c r="A931" s="66">
        <v>45482.0</v>
      </c>
      <c r="B931" s="55" t="str">
        <f>HYPERLINK("https://jobright.ai/jobs/info/669fd08942744ff6f3a38285?utm_campaign=1057&amp;utm_source=sheet", "Apply")</f>
        <v>Apply</v>
      </c>
      <c r="C931" s="10" t="s">
        <v>24452</v>
      </c>
      <c r="D931" s="56" t="s">
        <v>4448</v>
      </c>
      <c r="E931" s="10" t="s">
        <v>71</v>
      </c>
      <c r="F931" s="10" t="s">
        <v>4449</v>
      </c>
      <c r="G931" s="10" t="s">
        <v>24043</v>
      </c>
      <c r="H931" s="10" t="s">
        <v>25016</v>
      </c>
      <c r="I931" s="10" t="s">
        <v>55</v>
      </c>
      <c r="K931" s="10" t="s">
        <v>24062</v>
      </c>
      <c r="L931" s="10" t="s">
        <v>42</v>
      </c>
    </row>
    <row r="932" ht="15.75" customHeight="1">
      <c r="A932" s="66">
        <v>45482.0</v>
      </c>
      <c r="B932" s="55" t="str">
        <f>HYPERLINK("https://jobright.ai/jobs/info/668eab896a54d7e82ea099f9?utm_campaign=1057&amp;utm_source=sheet", "Apply")</f>
        <v>Apply</v>
      </c>
      <c r="C932" s="10" t="s">
        <v>7125</v>
      </c>
      <c r="D932" s="56" t="s">
        <v>2033</v>
      </c>
      <c r="E932" s="10" t="s">
        <v>209</v>
      </c>
      <c r="F932" s="10" t="s">
        <v>2034</v>
      </c>
      <c r="G932" s="10" t="s">
        <v>24022</v>
      </c>
      <c r="H932" s="10" t="s">
        <v>86</v>
      </c>
      <c r="I932" s="10" t="s">
        <v>55</v>
      </c>
      <c r="K932" s="10" t="s">
        <v>2035</v>
      </c>
      <c r="L932" s="10" t="s">
        <v>42</v>
      </c>
    </row>
    <row r="933" ht="15.75" customHeight="1">
      <c r="A933" s="66">
        <v>45482.0</v>
      </c>
      <c r="B933" s="55" t="str">
        <f>HYPERLINK("https://jobright.ai/jobs/info/669fc964fa502da757865282?utm_campaign=1057&amp;utm_source=sheet", "Apply")</f>
        <v>Apply</v>
      </c>
      <c r="C933" s="10" t="s">
        <v>24155</v>
      </c>
      <c r="D933" s="56" t="s">
        <v>4448</v>
      </c>
      <c r="E933" s="10" t="s">
        <v>71</v>
      </c>
      <c r="F933" s="10" t="s">
        <v>4449</v>
      </c>
      <c r="G933" s="10" t="s">
        <v>24043</v>
      </c>
      <c r="H933" s="10" t="s">
        <v>25017</v>
      </c>
      <c r="I933" s="10" t="s">
        <v>55</v>
      </c>
      <c r="K933" s="10" t="s">
        <v>24062</v>
      </c>
      <c r="L933" s="10" t="s">
        <v>42</v>
      </c>
    </row>
    <row r="934" ht="15.75" customHeight="1">
      <c r="A934" s="66">
        <v>45482.0</v>
      </c>
      <c r="B934" s="55" t="str">
        <f>HYPERLINK("https://jobright.ai/jobs/info/669fc5b84a5bc44dcb542000?utm_campaign=1057&amp;utm_source=sheet", "Apply")</f>
        <v>Apply</v>
      </c>
      <c r="C934" s="10" t="s">
        <v>8211</v>
      </c>
      <c r="D934" s="56" t="s">
        <v>4448</v>
      </c>
      <c r="E934" s="10" t="s">
        <v>71</v>
      </c>
      <c r="F934" s="10" t="s">
        <v>4449</v>
      </c>
      <c r="G934" s="10" t="s">
        <v>24043</v>
      </c>
      <c r="H934" s="10" t="s">
        <v>6668</v>
      </c>
      <c r="I934" s="10" t="s">
        <v>55</v>
      </c>
      <c r="K934" s="10" t="s">
        <v>4450</v>
      </c>
      <c r="L934" s="10" t="s">
        <v>42</v>
      </c>
    </row>
    <row r="935" ht="15.75" customHeight="1">
      <c r="A935" s="66">
        <v>45482.0</v>
      </c>
      <c r="B935" s="55" t="str">
        <f>HYPERLINK("https://jobright.ai/jobs/info/668fef8e4a16829a49be6f30?utm_campaign=1057&amp;utm_source=sheet", "Apply")</f>
        <v>Apply</v>
      </c>
      <c r="C935" s="10" t="s">
        <v>25018</v>
      </c>
      <c r="D935" s="56" t="s">
        <v>2033</v>
      </c>
      <c r="E935" s="10" t="s">
        <v>209</v>
      </c>
      <c r="F935" s="10" t="s">
        <v>2034</v>
      </c>
      <c r="G935" s="10" t="s">
        <v>24043</v>
      </c>
      <c r="H935" s="10" t="s">
        <v>86</v>
      </c>
      <c r="I935" s="10" t="s">
        <v>55</v>
      </c>
      <c r="J935" s="10" t="s">
        <v>1608</v>
      </c>
      <c r="K935" s="10" t="s">
        <v>2035</v>
      </c>
      <c r="L935" s="10" t="s">
        <v>42</v>
      </c>
    </row>
    <row r="936" ht="15.75" customHeight="1">
      <c r="A936" s="66">
        <v>45482.0</v>
      </c>
      <c r="B936" s="55" t="str">
        <f>HYPERLINK("https://jobright.ai/jobs/info/664e98b1f97ff61ecf83bc24?utm_campaign=1057&amp;utm_source=sheet", "Apply")</f>
        <v>Apply</v>
      </c>
      <c r="C936" s="10" t="s">
        <v>25019</v>
      </c>
      <c r="D936" s="56" t="s">
        <v>25020</v>
      </c>
      <c r="E936" s="10" t="s">
        <v>249</v>
      </c>
      <c r="F936" s="10" t="s">
        <v>25021</v>
      </c>
      <c r="G936" s="10" t="s">
        <v>24031</v>
      </c>
      <c r="H936" s="10" t="s">
        <v>9299</v>
      </c>
      <c r="I936" s="10" t="s">
        <v>55</v>
      </c>
      <c r="K936" s="10" t="s">
        <v>25022</v>
      </c>
      <c r="L936" s="10" t="s">
        <v>42</v>
      </c>
    </row>
    <row r="937" ht="15.75" customHeight="1">
      <c r="A937" s="66">
        <v>45482.0</v>
      </c>
      <c r="B937" s="55" t="str">
        <f>HYPERLINK("https://jobright.ai/jobs/info/669fb7b32623b0fc8308afa6?utm_campaign=1057&amp;utm_source=sheet", "Apply")</f>
        <v>Apply</v>
      </c>
      <c r="C937" s="10" t="s">
        <v>24419</v>
      </c>
      <c r="D937" s="56" t="s">
        <v>4448</v>
      </c>
      <c r="E937" s="10" t="s">
        <v>71</v>
      </c>
      <c r="F937" s="10" t="s">
        <v>4449</v>
      </c>
      <c r="G937" s="10" t="s">
        <v>24043</v>
      </c>
      <c r="H937" s="10" t="s">
        <v>7296</v>
      </c>
      <c r="I937" s="10" t="s">
        <v>55</v>
      </c>
      <c r="K937" s="10" t="s">
        <v>4450</v>
      </c>
      <c r="L937" s="10" t="s">
        <v>42</v>
      </c>
    </row>
    <row r="938" ht="15.75" customHeight="1">
      <c r="A938" s="66">
        <v>45482.0</v>
      </c>
      <c r="B938" s="55" t="str">
        <f>HYPERLINK("https://jobright.ai/jobs/info/669fb7b32623b0fc8308afda?utm_campaign=1057&amp;utm_source=sheet", "Apply")</f>
        <v>Apply</v>
      </c>
      <c r="C938" s="10" t="s">
        <v>24405</v>
      </c>
      <c r="D938" s="56" t="s">
        <v>4448</v>
      </c>
      <c r="E938" s="10" t="s">
        <v>71</v>
      </c>
      <c r="F938" s="10" t="s">
        <v>4449</v>
      </c>
      <c r="G938" s="10" t="s">
        <v>24043</v>
      </c>
      <c r="H938" s="10" t="s">
        <v>25023</v>
      </c>
      <c r="I938" s="10" t="s">
        <v>55</v>
      </c>
      <c r="K938" s="10" t="s">
        <v>4450</v>
      </c>
      <c r="L938" s="10" t="s">
        <v>42</v>
      </c>
    </row>
    <row r="939" ht="15.75" customHeight="1">
      <c r="A939" s="66">
        <v>45482.0</v>
      </c>
      <c r="B939" s="55" t="str">
        <f>HYPERLINK("https://jobright.ai/jobs/info/667561d242bae55a958283a9?utm_campaign=1057&amp;utm_source=sheet", "Apply")</f>
        <v>Apply</v>
      </c>
      <c r="C939" s="10" t="s">
        <v>25024</v>
      </c>
      <c r="D939" s="56" t="s">
        <v>25025</v>
      </c>
      <c r="E939" s="10" t="s">
        <v>209</v>
      </c>
      <c r="F939" s="10" t="s">
        <v>25026</v>
      </c>
      <c r="G939" s="10" t="s">
        <v>24022</v>
      </c>
      <c r="H939" s="10" t="s">
        <v>251</v>
      </c>
      <c r="I939" s="10" t="s">
        <v>252</v>
      </c>
      <c r="K939" s="10" t="s">
        <v>25027</v>
      </c>
      <c r="L939" s="10" t="s">
        <v>42</v>
      </c>
    </row>
    <row r="940" ht="15.75" customHeight="1">
      <c r="A940" s="66">
        <v>45482.0</v>
      </c>
      <c r="B940" s="55" t="str">
        <f>HYPERLINK("https://jobright.ai/jobs/info/669faf5e409ac17305d785ee?utm_campaign=1057&amp;utm_source=sheet", "Apply")</f>
        <v>Apply</v>
      </c>
      <c r="C940" s="10" t="s">
        <v>24414</v>
      </c>
      <c r="D940" s="56" t="s">
        <v>4448</v>
      </c>
      <c r="E940" s="10" t="s">
        <v>71</v>
      </c>
      <c r="F940" s="10" t="s">
        <v>4449</v>
      </c>
      <c r="G940" s="10" t="s">
        <v>24043</v>
      </c>
      <c r="H940" s="10" t="s">
        <v>7483</v>
      </c>
      <c r="I940" s="10" t="s">
        <v>55</v>
      </c>
      <c r="K940" s="10" t="s">
        <v>4450</v>
      </c>
      <c r="L940" s="10" t="s">
        <v>42</v>
      </c>
    </row>
    <row r="941" ht="15.75" customHeight="1">
      <c r="A941" s="66">
        <v>45482.0</v>
      </c>
      <c r="B941" s="55" t="str">
        <f>HYPERLINK("https://jobright.ai/jobs/info/6670ca9430f6216c998d7f44?utm_campaign=1057&amp;utm_source=sheet", "Apply")</f>
        <v>Apply</v>
      </c>
      <c r="C941" s="10" t="s">
        <v>25028</v>
      </c>
      <c r="D941" s="56" t="s">
        <v>13308</v>
      </c>
      <c r="E941" s="10" t="s">
        <v>79</v>
      </c>
      <c r="F941" s="10" t="s">
        <v>13309</v>
      </c>
      <c r="G941" s="10" t="s">
        <v>24043</v>
      </c>
      <c r="H941" s="10" t="s">
        <v>188</v>
      </c>
      <c r="I941" s="10" t="s">
        <v>55</v>
      </c>
      <c r="K941" s="10" t="s">
        <v>25029</v>
      </c>
      <c r="L941" s="10" t="s">
        <v>42</v>
      </c>
    </row>
    <row r="942" ht="15.75" customHeight="1">
      <c r="A942" s="66">
        <v>45482.0</v>
      </c>
      <c r="B942" s="55" t="str">
        <f>HYPERLINK("https://jobright.ai/jobs/info/66966c7479c45aa4ef69c990?utm_campaign=1057&amp;utm_source=sheet", "Apply")</f>
        <v>Apply</v>
      </c>
      <c r="C942" s="10" t="s">
        <v>25030</v>
      </c>
      <c r="D942" s="56" t="s">
        <v>196</v>
      </c>
      <c r="E942" s="10" t="s">
        <v>71</v>
      </c>
      <c r="F942" s="10" t="s">
        <v>197</v>
      </c>
      <c r="G942" s="10" t="s">
        <v>24031</v>
      </c>
      <c r="H942" s="10" t="s">
        <v>20799</v>
      </c>
      <c r="I942" s="10" t="s">
        <v>55</v>
      </c>
      <c r="K942" s="10" t="s">
        <v>25031</v>
      </c>
      <c r="L942" s="10" t="s">
        <v>42</v>
      </c>
    </row>
    <row r="943" ht="15.75" customHeight="1">
      <c r="A943" s="66">
        <v>45482.0</v>
      </c>
      <c r="B943" s="55" t="str">
        <f>HYPERLINK("https://jobright.ai/jobs/info/669fa759ea48813283fdf591?utm_campaign=1057&amp;utm_source=sheet", "Apply")</f>
        <v>Apply</v>
      </c>
      <c r="C943" s="10" t="s">
        <v>24453</v>
      </c>
      <c r="D943" s="56" t="s">
        <v>4448</v>
      </c>
      <c r="E943" s="10" t="s">
        <v>71</v>
      </c>
      <c r="F943" s="10" t="s">
        <v>4449</v>
      </c>
      <c r="G943" s="10" t="s">
        <v>24043</v>
      </c>
      <c r="H943" s="10" t="s">
        <v>25032</v>
      </c>
      <c r="I943" s="10" t="s">
        <v>55</v>
      </c>
      <c r="K943" s="10" t="s">
        <v>24062</v>
      </c>
      <c r="L943" s="10" t="s">
        <v>42</v>
      </c>
    </row>
    <row r="944" ht="15.75" customHeight="1">
      <c r="A944" s="66">
        <v>45482.0</v>
      </c>
      <c r="B944" s="55" t="str">
        <f>HYPERLINK("https://jobright.ai/jobs/info/6685baf6daed635a51efaf80?utm_campaign=1057&amp;utm_source=sheet", "Apply")</f>
        <v>Apply</v>
      </c>
      <c r="C944" s="10" t="s">
        <v>25033</v>
      </c>
      <c r="D944" s="56" t="s">
        <v>15387</v>
      </c>
      <c r="E944" s="10" t="s">
        <v>209</v>
      </c>
      <c r="F944" s="10" t="s">
        <v>15388</v>
      </c>
      <c r="G944" s="10" t="s">
        <v>24031</v>
      </c>
      <c r="H944" s="10" t="s">
        <v>829</v>
      </c>
      <c r="I944" s="10" t="s">
        <v>55</v>
      </c>
      <c r="J944" s="10" t="s">
        <v>23286</v>
      </c>
      <c r="K944" s="10" t="s">
        <v>23287</v>
      </c>
      <c r="L944" s="10" t="s">
        <v>42</v>
      </c>
    </row>
    <row r="945" ht="15.75" customHeight="1">
      <c r="A945" s="66">
        <v>45482.0</v>
      </c>
      <c r="B945" s="55" t="str">
        <f>HYPERLINK("https://jobright.ai/jobs/info/668fcfd5228dfafddafff205?utm_campaign=1057&amp;utm_source=sheet", "Apply")</f>
        <v>Apply</v>
      </c>
      <c r="C945" s="10" t="s">
        <v>24886</v>
      </c>
      <c r="D945" s="56" t="s">
        <v>19679</v>
      </c>
      <c r="E945" s="10">
        <v>980.0</v>
      </c>
      <c r="G945" s="10" t="s">
        <v>24022</v>
      </c>
      <c r="H945" s="10" t="s">
        <v>19680</v>
      </c>
      <c r="I945" s="10" t="s">
        <v>55</v>
      </c>
      <c r="K945" s="10" t="s">
        <v>24888</v>
      </c>
      <c r="L945" s="10" t="s">
        <v>42</v>
      </c>
    </row>
    <row r="946" ht="15.75" customHeight="1">
      <c r="A946" s="66">
        <v>45482.0</v>
      </c>
      <c r="B946" s="55" t="str">
        <f>HYPERLINK("https://jobright.ai/jobs/info/669fa06b23c3d3b512dfee78?utm_campaign=1057&amp;utm_source=sheet", "Apply")</f>
        <v>Apply</v>
      </c>
      <c r="C946" s="10" t="s">
        <v>24464</v>
      </c>
      <c r="D946" s="56" t="s">
        <v>4448</v>
      </c>
      <c r="E946" s="10" t="s">
        <v>71</v>
      </c>
      <c r="F946" s="10" t="s">
        <v>4449</v>
      </c>
      <c r="G946" s="10" t="s">
        <v>24043</v>
      </c>
      <c r="H946" s="10" t="s">
        <v>1569</v>
      </c>
      <c r="I946" s="10" t="s">
        <v>55</v>
      </c>
      <c r="K946" s="10" t="s">
        <v>24062</v>
      </c>
      <c r="L946" s="10" t="s">
        <v>42</v>
      </c>
    </row>
    <row r="947" ht="15.75" customHeight="1">
      <c r="A947" s="66">
        <v>45482.0</v>
      </c>
      <c r="B947" s="55" t="str">
        <f>HYPERLINK("https://jobright.ai/jobs/info/669110671275f0d7353dd44f?utm_campaign=1057&amp;utm_source=sheet", "Apply")</f>
        <v>Apply</v>
      </c>
      <c r="C947" s="10" t="s">
        <v>25034</v>
      </c>
      <c r="D947" s="56" t="s">
        <v>25035</v>
      </c>
      <c r="E947" s="10">
        <v>2306.0</v>
      </c>
      <c r="G947" s="10" t="s">
        <v>24022</v>
      </c>
      <c r="H947" s="10" t="s">
        <v>159</v>
      </c>
      <c r="I947" s="10" t="s">
        <v>55</v>
      </c>
      <c r="K947" s="10" t="s">
        <v>25036</v>
      </c>
      <c r="L947" s="10" t="s">
        <v>42</v>
      </c>
    </row>
    <row r="948" ht="15.75" customHeight="1">
      <c r="A948" s="66">
        <v>45482.0</v>
      </c>
      <c r="B948" s="55" t="str">
        <f>HYPERLINK("https://jobright.ai/jobs/info/668cfdd4f4e8f250ae559806?utm_campaign=1057&amp;utm_source=sheet", "Apply")</f>
        <v>Apply</v>
      </c>
      <c r="C948" s="10" t="s">
        <v>25037</v>
      </c>
      <c r="D948" s="56" t="s">
        <v>18575</v>
      </c>
      <c r="F948" s="10" t="s">
        <v>2216</v>
      </c>
      <c r="G948" s="10" t="s">
        <v>24022</v>
      </c>
      <c r="H948" s="10" t="s">
        <v>25038</v>
      </c>
      <c r="I948" s="10" t="s">
        <v>55</v>
      </c>
      <c r="J948" s="10" t="s">
        <v>1761</v>
      </c>
      <c r="K948" s="10" t="s">
        <v>25039</v>
      </c>
      <c r="L948" s="10" t="s">
        <v>42</v>
      </c>
    </row>
    <row r="949" ht="15.75" customHeight="1">
      <c r="A949" s="66">
        <v>45482.0</v>
      </c>
      <c r="B949" s="55" t="str">
        <f>HYPERLINK("https://jobright.ai/jobs/info/6673591bc4ef395f5c37b606?utm_campaign=1057&amp;utm_source=sheet", "Apply")</f>
        <v>Apply</v>
      </c>
      <c r="C949" s="10" t="s">
        <v>25040</v>
      </c>
      <c r="D949" s="56" t="s">
        <v>3074</v>
      </c>
      <c r="E949" s="10" t="s">
        <v>65</v>
      </c>
      <c r="F949" s="10" t="s">
        <v>3075</v>
      </c>
      <c r="G949" s="10" t="s">
        <v>24043</v>
      </c>
      <c r="H949" s="10" t="s">
        <v>169</v>
      </c>
      <c r="I949" s="10" t="s">
        <v>55</v>
      </c>
      <c r="K949" s="10" t="s">
        <v>25041</v>
      </c>
      <c r="L949" s="10" t="s">
        <v>42</v>
      </c>
    </row>
    <row r="950" ht="15.75" customHeight="1">
      <c r="A950" s="66">
        <v>45482.0</v>
      </c>
      <c r="B950" s="55" t="str">
        <f>HYPERLINK("https://jobright.ai/jobs/info/668df9067ad721a70cf40801?utm_campaign=1057&amp;utm_source=sheet", "Apply")</f>
        <v>Apply</v>
      </c>
      <c r="C950" s="10" t="s">
        <v>22312</v>
      </c>
      <c r="D950" s="56" t="s">
        <v>22313</v>
      </c>
      <c r="E950" s="10" t="s">
        <v>71</v>
      </c>
      <c r="F950" s="10" t="s">
        <v>22314</v>
      </c>
      <c r="G950" s="10" t="s">
        <v>24022</v>
      </c>
      <c r="H950" s="10" t="s">
        <v>578</v>
      </c>
      <c r="I950" s="10" t="s">
        <v>55</v>
      </c>
      <c r="J950" s="10" t="s">
        <v>25042</v>
      </c>
      <c r="K950" s="10" t="s">
        <v>25043</v>
      </c>
      <c r="L950" s="10" t="s">
        <v>42</v>
      </c>
    </row>
    <row r="951" ht="15.75" customHeight="1">
      <c r="A951" s="66">
        <v>45482.0</v>
      </c>
      <c r="B951" s="55" t="str">
        <f>HYPERLINK("https://jobright.ai/jobs/info/666ec1806e12a7812fdcaf42?utm_campaign=1057&amp;utm_source=sheet", "Apply")</f>
        <v>Apply</v>
      </c>
      <c r="C951" s="10" t="s">
        <v>25044</v>
      </c>
      <c r="D951" s="56" t="s">
        <v>5225</v>
      </c>
      <c r="E951" s="10" t="s">
        <v>45</v>
      </c>
      <c r="F951" s="10" t="s">
        <v>1833</v>
      </c>
      <c r="G951" s="10" t="s">
        <v>24031</v>
      </c>
      <c r="H951" s="10" t="s">
        <v>13305</v>
      </c>
      <c r="I951" s="10" t="s">
        <v>55</v>
      </c>
      <c r="J951" s="10" t="s">
        <v>22100</v>
      </c>
      <c r="K951" s="10" t="s">
        <v>22101</v>
      </c>
      <c r="L951" s="10" t="s">
        <v>42</v>
      </c>
    </row>
    <row r="952" ht="15.75" customHeight="1">
      <c r="A952" s="66">
        <v>45482.0</v>
      </c>
      <c r="B952" s="55" t="str">
        <f>HYPERLINK("https://jobright.ai/jobs/info/668d838fe45593dfb218d584?utm_campaign=1057&amp;utm_source=sheet", "Apply")</f>
        <v>Apply</v>
      </c>
      <c r="C952" s="10" t="s">
        <v>25045</v>
      </c>
      <c r="D952" s="56" t="s">
        <v>4460</v>
      </c>
      <c r="E952" s="10" t="s">
        <v>209</v>
      </c>
      <c r="F952" s="10" t="s">
        <v>4461</v>
      </c>
      <c r="G952" s="10" t="s">
        <v>24043</v>
      </c>
      <c r="H952" s="10" t="s">
        <v>3945</v>
      </c>
      <c r="I952" s="10" t="s">
        <v>55</v>
      </c>
      <c r="J952" s="10" t="s">
        <v>4476</v>
      </c>
      <c r="K952" s="10" t="s">
        <v>25046</v>
      </c>
      <c r="L952" s="10" t="s">
        <v>42</v>
      </c>
    </row>
    <row r="953" ht="15.75" customHeight="1">
      <c r="A953" s="66">
        <v>45482.0</v>
      </c>
      <c r="B953" s="55" t="str">
        <f>HYPERLINK("https://jobright.ai/jobs/info/668d8860a77fbe807aad38c7?utm_campaign=1057&amp;utm_source=sheet", "Apply")</f>
        <v>Apply</v>
      </c>
      <c r="C953" s="10" t="s">
        <v>25047</v>
      </c>
      <c r="D953" s="56" t="s">
        <v>25048</v>
      </c>
      <c r="E953" s="10">
        <v>233.0</v>
      </c>
      <c r="G953" s="10" t="s">
        <v>24022</v>
      </c>
      <c r="H953" s="10" t="s">
        <v>25049</v>
      </c>
      <c r="I953" s="10" t="s">
        <v>55</v>
      </c>
      <c r="J953" s="10" t="s">
        <v>25050</v>
      </c>
      <c r="K953" s="10" t="s">
        <v>25051</v>
      </c>
      <c r="L953" s="10" t="s">
        <v>42</v>
      </c>
    </row>
    <row r="954" ht="15.75" customHeight="1">
      <c r="A954" s="66">
        <v>45482.0</v>
      </c>
      <c r="B954" s="55" t="str">
        <f>HYPERLINK("https://jobright.ai/jobs/info/668d8dfc6abc78b21c1dca5f?utm_campaign=1057&amp;utm_source=sheet", "Apply")</f>
        <v>Apply</v>
      </c>
      <c r="C954" s="10" t="s">
        <v>25052</v>
      </c>
      <c r="D954" s="56" t="s">
        <v>25053</v>
      </c>
      <c r="E954" s="10" t="s">
        <v>249</v>
      </c>
      <c r="G954" s="10" t="s">
        <v>24031</v>
      </c>
      <c r="H954" s="10" t="s">
        <v>25054</v>
      </c>
      <c r="I954" s="10" t="s">
        <v>55</v>
      </c>
      <c r="J954" s="10" t="s">
        <v>25055</v>
      </c>
      <c r="K954" s="10" t="s">
        <v>25056</v>
      </c>
      <c r="L954" s="10" t="s">
        <v>42</v>
      </c>
    </row>
    <row r="955" ht="15.75" customHeight="1">
      <c r="A955" s="66">
        <v>45481.0</v>
      </c>
      <c r="B955" s="55" t="str">
        <f>HYPERLINK("https://jobright.ai/jobs/info/6623f4c1fb7d7f6e55fe6c1f?utm_campaign=1057&amp;utm_source=sheet", "Apply")</f>
        <v>Apply</v>
      </c>
      <c r="C955" s="10" t="s">
        <v>25057</v>
      </c>
      <c r="D955" s="56" t="s">
        <v>25058</v>
      </c>
      <c r="E955" s="10" t="s">
        <v>209</v>
      </c>
      <c r="F955" s="10" t="s">
        <v>1601</v>
      </c>
      <c r="G955" s="10" t="s">
        <v>24031</v>
      </c>
      <c r="H955" s="10" t="s">
        <v>13279</v>
      </c>
      <c r="I955" s="10" t="s">
        <v>55</v>
      </c>
      <c r="J955" s="10" t="s">
        <v>9875</v>
      </c>
      <c r="K955" s="10" t="s">
        <v>25059</v>
      </c>
      <c r="L955" s="10" t="s">
        <v>42</v>
      </c>
    </row>
    <row r="956" ht="15.75" customHeight="1">
      <c r="A956" s="66">
        <v>45481.0</v>
      </c>
      <c r="B956" s="55" t="str">
        <f>HYPERLINK("https://jobright.ai/jobs/info/668c6f53722799dac2280419?utm_campaign=1057&amp;utm_source=sheet", "Apply")</f>
        <v>Apply</v>
      </c>
      <c r="C956" s="10" t="s">
        <v>25060</v>
      </c>
      <c r="D956" s="56" t="s">
        <v>2103</v>
      </c>
      <c r="E956" s="10" t="s">
        <v>209</v>
      </c>
      <c r="F956" s="10" t="s">
        <v>2104</v>
      </c>
      <c r="G956" s="10" t="s">
        <v>24043</v>
      </c>
      <c r="H956" s="10" t="s">
        <v>170</v>
      </c>
      <c r="I956" s="10" t="s">
        <v>55</v>
      </c>
      <c r="K956" s="10" t="s">
        <v>25061</v>
      </c>
      <c r="L956" s="10" t="s">
        <v>42</v>
      </c>
    </row>
    <row r="957" ht="15.75" customHeight="1">
      <c r="A957" s="66">
        <v>45481.0</v>
      </c>
      <c r="B957" s="55" t="str">
        <f>HYPERLINK("https://jobright.ai/jobs/info/668c61a3980e9b9331fff4f5?utm_campaign=1057&amp;utm_source=sheet", "Apply")</f>
        <v>Apply</v>
      </c>
      <c r="C957" s="10" t="s">
        <v>25062</v>
      </c>
      <c r="D957" s="56" t="s">
        <v>25063</v>
      </c>
      <c r="E957" s="10" t="s">
        <v>276</v>
      </c>
      <c r="F957" s="10" t="s">
        <v>1243</v>
      </c>
      <c r="G957" s="10" t="s">
        <v>24022</v>
      </c>
      <c r="H957" s="10" t="s">
        <v>25064</v>
      </c>
      <c r="I957" s="10" t="s">
        <v>55</v>
      </c>
      <c r="J957" s="10" t="s">
        <v>25065</v>
      </c>
      <c r="K957" s="10" t="s">
        <v>25066</v>
      </c>
      <c r="L957" s="10" t="s">
        <v>42</v>
      </c>
    </row>
    <row r="958" ht="15.75" customHeight="1">
      <c r="A958" s="66">
        <v>45481.0</v>
      </c>
      <c r="B958" s="55" t="str">
        <f>HYPERLINK("https://jobright.ai/jobs/info/668c6182980e9b9331fff271?utm_campaign=1057&amp;utm_source=sheet", "Apply")</f>
        <v>Apply</v>
      </c>
      <c r="C958" s="10" t="s">
        <v>25067</v>
      </c>
      <c r="D958" s="56" t="s">
        <v>204</v>
      </c>
      <c r="E958" s="10" t="s">
        <v>45</v>
      </c>
      <c r="F958" s="10" t="s">
        <v>205</v>
      </c>
      <c r="G958" s="10" t="s">
        <v>24022</v>
      </c>
      <c r="H958" s="10" t="s">
        <v>487</v>
      </c>
      <c r="I958" s="10" t="s">
        <v>55</v>
      </c>
      <c r="K958" s="10" t="s">
        <v>25068</v>
      </c>
      <c r="L958" s="10" t="s">
        <v>42</v>
      </c>
    </row>
    <row r="959" ht="15.75" customHeight="1">
      <c r="A959" s="66">
        <v>45481.0</v>
      </c>
      <c r="B959" s="55" t="str">
        <f>HYPERLINK("https://jobright.ai/jobs/info/668c5dcba0bdbc20c7ddcd68?utm_campaign=1057&amp;utm_source=sheet", "Apply")</f>
        <v>Apply</v>
      </c>
      <c r="C959" s="10" t="s">
        <v>25069</v>
      </c>
      <c r="D959" s="56" t="s">
        <v>25070</v>
      </c>
      <c r="E959" s="10">
        <v>249.0</v>
      </c>
      <c r="G959" s="10" t="s">
        <v>24022</v>
      </c>
      <c r="H959" s="10" t="s">
        <v>174</v>
      </c>
      <c r="I959" s="10" t="s">
        <v>55</v>
      </c>
      <c r="J959" s="10" t="s">
        <v>3125</v>
      </c>
      <c r="K959" s="10" t="s">
        <v>25071</v>
      </c>
      <c r="L959" s="10" t="s">
        <v>42</v>
      </c>
    </row>
    <row r="960" ht="15.75" customHeight="1">
      <c r="A960" s="66">
        <v>45481.0</v>
      </c>
      <c r="B960" s="55" t="str">
        <f>HYPERLINK("https://jobright.ai/jobs/info/668cea396a1f2f64c90b87ea?utm_campaign=1057&amp;utm_source=sheet", "Apply")</f>
        <v>Apply</v>
      </c>
      <c r="C960" s="10" t="s">
        <v>24918</v>
      </c>
      <c r="D960" s="56" t="s">
        <v>3166</v>
      </c>
      <c r="E960" s="10" t="s">
        <v>45</v>
      </c>
      <c r="F960" s="10" t="s">
        <v>3167</v>
      </c>
      <c r="G960" s="10" t="s">
        <v>24022</v>
      </c>
      <c r="H960" s="10" t="s">
        <v>1160</v>
      </c>
      <c r="I960" s="10" t="s">
        <v>48</v>
      </c>
      <c r="K960" s="10" t="s">
        <v>24919</v>
      </c>
      <c r="L960" s="10" t="s">
        <v>42</v>
      </c>
    </row>
    <row r="961" ht="15.75" customHeight="1">
      <c r="A961" s="66">
        <v>45481.0</v>
      </c>
      <c r="B961" s="55" t="str">
        <f>HYPERLINK("https://jobright.ai/jobs/info/668d0eb75c1b1ddc8b1936af?utm_campaign=1057&amp;utm_source=sheet", "Apply")</f>
        <v>Apply</v>
      </c>
      <c r="C961" s="10" t="s">
        <v>25072</v>
      </c>
      <c r="D961" s="56" t="s">
        <v>2033</v>
      </c>
      <c r="E961" s="10" t="s">
        <v>209</v>
      </c>
      <c r="F961" s="10" t="s">
        <v>2034</v>
      </c>
      <c r="G961" s="10" t="s">
        <v>24022</v>
      </c>
      <c r="H961" s="10" t="s">
        <v>86</v>
      </c>
      <c r="I961" s="10" t="s">
        <v>55</v>
      </c>
      <c r="J961" s="10" t="s">
        <v>1608</v>
      </c>
      <c r="K961" s="10" t="s">
        <v>2035</v>
      </c>
      <c r="L961" s="10" t="s">
        <v>42</v>
      </c>
    </row>
    <row r="962" ht="15.75" customHeight="1">
      <c r="A962" s="66">
        <v>45481.0</v>
      </c>
      <c r="B962" s="55" t="str">
        <f>HYPERLINK("https://jobright.ai/jobs/info/668d0ebf5c1b1ddc8b193707?utm_campaign=1057&amp;utm_source=sheet", "Apply")</f>
        <v>Apply</v>
      </c>
      <c r="C962" s="10" t="s">
        <v>10658</v>
      </c>
      <c r="D962" s="56" t="s">
        <v>2033</v>
      </c>
      <c r="E962" s="10" t="s">
        <v>209</v>
      </c>
      <c r="F962" s="10" t="s">
        <v>2034</v>
      </c>
      <c r="G962" s="10" t="s">
        <v>24022</v>
      </c>
      <c r="H962" s="10" t="s">
        <v>86</v>
      </c>
      <c r="I962" s="10" t="s">
        <v>55</v>
      </c>
      <c r="K962" s="10" t="s">
        <v>25073</v>
      </c>
      <c r="L962" s="10" t="s">
        <v>42</v>
      </c>
    </row>
    <row r="963" ht="15.75" customHeight="1">
      <c r="A963" s="66">
        <v>45481.0</v>
      </c>
      <c r="B963" s="55" t="str">
        <f>HYPERLINK("https://jobright.ai/jobs/info/668d0eb75c1b1ddc8b1936a2?utm_campaign=1057&amp;utm_source=sheet", "Apply")</f>
        <v>Apply</v>
      </c>
      <c r="C963" s="10" t="s">
        <v>25074</v>
      </c>
      <c r="D963" s="56" t="s">
        <v>2033</v>
      </c>
      <c r="E963" s="10" t="s">
        <v>209</v>
      </c>
      <c r="F963" s="10" t="s">
        <v>2034</v>
      </c>
      <c r="G963" s="10" t="s">
        <v>24022</v>
      </c>
      <c r="H963" s="10" t="s">
        <v>86</v>
      </c>
      <c r="I963" s="10" t="s">
        <v>55</v>
      </c>
      <c r="K963" s="10" t="s">
        <v>25075</v>
      </c>
      <c r="L963" s="10" t="s">
        <v>42</v>
      </c>
    </row>
    <row r="964" ht="15.75" customHeight="1">
      <c r="A964" s="66">
        <v>45481.0</v>
      </c>
      <c r="B964" s="55" t="str">
        <f>HYPERLINK("https://jobright.ai/jobs/info/668d0ebf5c1b1ddc8b193733?utm_campaign=1057&amp;utm_source=sheet", "Apply")</f>
        <v>Apply</v>
      </c>
      <c r="C964" s="10" t="s">
        <v>25076</v>
      </c>
      <c r="D964" s="56" t="s">
        <v>2033</v>
      </c>
      <c r="E964" s="10" t="s">
        <v>209</v>
      </c>
      <c r="F964" s="10" t="s">
        <v>2034</v>
      </c>
      <c r="G964" s="10" t="s">
        <v>24043</v>
      </c>
      <c r="H964" s="10" t="s">
        <v>86</v>
      </c>
      <c r="I964" s="10" t="s">
        <v>55</v>
      </c>
      <c r="J964" s="10" t="s">
        <v>1608</v>
      </c>
      <c r="K964" s="10" t="s">
        <v>2035</v>
      </c>
      <c r="L964" s="10" t="s">
        <v>42</v>
      </c>
    </row>
    <row r="965" ht="15.75" customHeight="1">
      <c r="A965" s="66">
        <v>45481.0</v>
      </c>
      <c r="B965" s="55" t="str">
        <f>HYPERLINK("https://jobright.ai/jobs/info/6685f92cde0c26c0b6cceab6?utm_campaign=1057&amp;utm_source=sheet", "Apply")</f>
        <v>Apply</v>
      </c>
      <c r="C965" s="10" t="s">
        <v>24276</v>
      </c>
      <c r="D965" s="56" t="s">
        <v>15315</v>
      </c>
      <c r="E965" s="10" t="s">
        <v>45</v>
      </c>
      <c r="F965" s="10" t="s">
        <v>15316</v>
      </c>
      <c r="G965" s="10" t="s">
        <v>24043</v>
      </c>
      <c r="H965" s="10" t="s">
        <v>10033</v>
      </c>
      <c r="I965" s="10" t="s">
        <v>55</v>
      </c>
      <c r="K965" s="10" t="s">
        <v>25077</v>
      </c>
      <c r="L965" s="10" t="s">
        <v>42</v>
      </c>
    </row>
    <row r="966" ht="15.75" customHeight="1">
      <c r="A966" s="66">
        <v>45481.0</v>
      </c>
      <c r="B966" s="55" t="str">
        <f>HYPERLINK("https://jobright.ai/jobs/info/668c327e080f3f924dacbbb1?utm_campaign=1057&amp;utm_source=sheet", "Apply")</f>
        <v>Apply</v>
      </c>
      <c r="C966" s="10" t="s">
        <v>25078</v>
      </c>
      <c r="D966" s="56" t="s">
        <v>8537</v>
      </c>
      <c r="E966" s="10">
        <v>685.0</v>
      </c>
      <c r="G966" s="10" t="s">
        <v>24043</v>
      </c>
      <c r="H966" s="10" t="s">
        <v>572</v>
      </c>
      <c r="I966" s="10" t="s">
        <v>48</v>
      </c>
      <c r="K966" s="10" t="s">
        <v>25079</v>
      </c>
      <c r="L966" s="10" t="s">
        <v>42</v>
      </c>
    </row>
    <row r="967" ht="15.75" customHeight="1">
      <c r="A967" s="66">
        <v>45481.0</v>
      </c>
      <c r="B967" s="55" t="str">
        <f>HYPERLINK("https://jobright.ai/jobs/info/668c2960dbe1aedcdfe00a17?utm_campaign=1057&amp;utm_source=sheet", "Apply")</f>
        <v>Apply</v>
      </c>
      <c r="C967" s="10" t="s">
        <v>25080</v>
      </c>
      <c r="D967" s="56" t="s">
        <v>12377</v>
      </c>
      <c r="E967" s="10" t="s">
        <v>79</v>
      </c>
      <c r="G967" s="10" t="s">
        <v>24022</v>
      </c>
      <c r="H967" s="10" t="s">
        <v>12378</v>
      </c>
      <c r="I967" s="10" t="s">
        <v>55</v>
      </c>
      <c r="J967" s="10" t="s">
        <v>1984</v>
      </c>
      <c r="K967" s="10" t="s">
        <v>25081</v>
      </c>
      <c r="L967" s="10" t="s">
        <v>42</v>
      </c>
    </row>
    <row r="968" ht="15.75" customHeight="1">
      <c r="A968" s="66">
        <v>45481.0</v>
      </c>
      <c r="B968" s="55" t="str">
        <f>HYPERLINK("https://jobright.ai/jobs/info/669e5e4776c6144940234d19?utm_campaign=1057&amp;utm_source=sheet", "Apply")</f>
        <v>Apply</v>
      </c>
      <c r="C968" s="10" t="s">
        <v>24183</v>
      </c>
      <c r="D968" s="56" t="s">
        <v>4448</v>
      </c>
      <c r="E968" s="10" t="s">
        <v>71</v>
      </c>
      <c r="F968" s="10" t="s">
        <v>4449</v>
      </c>
      <c r="G968" s="10" t="s">
        <v>24043</v>
      </c>
      <c r="H968" s="10" t="s">
        <v>25082</v>
      </c>
      <c r="I968" s="10" t="s">
        <v>55</v>
      </c>
      <c r="K968" s="10" t="s">
        <v>4450</v>
      </c>
      <c r="L968" s="10" t="s">
        <v>42</v>
      </c>
    </row>
    <row r="969" ht="15.75" customHeight="1">
      <c r="A969" s="66">
        <v>45481.0</v>
      </c>
      <c r="B969" s="55" t="str">
        <f>HYPERLINK("https://jobright.ai/jobs/info/669e5e4776c6144940234d25?utm_campaign=1057&amp;utm_source=sheet", "Apply")</f>
        <v>Apply</v>
      </c>
      <c r="C969" s="10" t="s">
        <v>24426</v>
      </c>
      <c r="D969" s="56" t="s">
        <v>4448</v>
      </c>
      <c r="E969" s="10" t="s">
        <v>71</v>
      </c>
      <c r="F969" s="10" t="s">
        <v>4449</v>
      </c>
      <c r="G969" s="10" t="s">
        <v>24043</v>
      </c>
      <c r="H969" s="10" t="s">
        <v>7476</v>
      </c>
      <c r="I969" s="10" t="s">
        <v>55</v>
      </c>
      <c r="K969" s="10" t="s">
        <v>24062</v>
      </c>
      <c r="L969" s="10" t="s">
        <v>42</v>
      </c>
    </row>
    <row r="970" ht="15.75" customHeight="1">
      <c r="A970" s="66">
        <v>45481.0</v>
      </c>
      <c r="B970" s="55" t="str">
        <f>HYPERLINK("https://jobright.ai/jobs/info/669e52831829144f3c798057?utm_campaign=1057&amp;utm_source=sheet", "Apply")</f>
        <v>Apply</v>
      </c>
      <c r="C970" s="10" t="s">
        <v>24451</v>
      </c>
      <c r="D970" s="56" t="s">
        <v>4448</v>
      </c>
      <c r="E970" s="10" t="s">
        <v>71</v>
      </c>
      <c r="F970" s="10" t="s">
        <v>4449</v>
      </c>
      <c r="G970" s="10" t="s">
        <v>24043</v>
      </c>
      <c r="H970" s="10" t="s">
        <v>25083</v>
      </c>
      <c r="I970" s="10" t="s">
        <v>55</v>
      </c>
      <c r="K970" s="10" t="s">
        <v>4450</v>
      </c>
      <c r="L970" s="10" t="s">
        <v>42</v>
      </c>
    </row>
    <row r="971" ht="15.75" customHeight="1">
      <c r="A971" s="66">
        <v>45481.0</v>
      </c>
      <c r="B971" s="55" t="str">
        <f>HYPERLINK("https://jobright.ai/jobs/info/669e52831829144f3c798059?utm_campaign=1057&amp;utm_source=sheet", "Apply")</f>
        <v>Apply</v>
      </c>
      <c r="C971" s="10" t="s">
        <v>24449</v>
      </c>
      <c r="D971" s="56" t="s">
        <v>4448</v>
      </c>
      <c r="E971" s="10" t="s">
        <v>71</v>
      </c>
      <c r="F971" s="10" t="s">
        <v>4449</v>
      </c>
      <c r="G971" s="10" t="s">
        <v>24043</v>
      </c>
      <c r="H971" s="10" t="s">
        <v>7485</v>
      </c>
      <c r="I971" s="10" t="s">
        <v>55</v>
      </c>
      <c r="K971" s="10" t="s">
        <v>4450</v>
      </c>
      <c r="L971" s="10" t="s">
        <v>42</v>
      </c>
    </row>
    <row r="972" ht="15.75" customHeight="1">
      <c r="A972" s="66">
        <v>45481.0</v>
      </c>
      <c r="B972" s="55" t="str">
        <f>HYPERLINK("https://jobright.ai/jobs/info/669e52831829144f3c798078?utm_campaign=1057&amp;utm_source=sheet", "Apply")</f>
        <v>Apply</v>
      </c>
      <c r="C972" s="10" t="s">
        <v>24413</v>
      </c>
      <c r="D972" s="56" t="s">
        <v>4448</v>
      </c>
      <c r="E972" s="10" t="s">
        <v>71</v>
      </c>
      <c r="F972" s="10" t="s">
        <v>4449</v>
      </c>
      <c r="G972" s="10" t="s">
        <v>24043</v>
      </c>
      <c r="H972" s="10" t="s">
        <v>25084</v>
      </c>
      <c r="I972" s="10" t="s">
        <v>55</v>
      </c>
      <c r="K972" s="10" t="s">
        <v>4450</v>
      </c>
      <c r="L972" s="10" t="s">
        <v>42</v>
      </c>
    </row>
    <row r="973" ht="15.75" customHeight="1">
      <c r="A973" s="66">
        <v>45481.0</v>
      </c>
      <c r="B973" s="55" t="str">
        <f>HYPERLINK("https://jobright.ai/jobs/info/669e4f334761975356c35360?utm_campaign=1057&amp;utm_source=sheet", "Apply")</f>
        <v>Apply</v>
      </c>
      <c r="C973" s="10" t="s">
        <v>24369</v>
      </c>
      <c r="D973" s="56" t="s">
        <v>4448</v>
      </c>
      <c r="E973" s="10" t="s">
        <v>71</v>
      </c>
      <c r="F973" s="10" t="s">
        <v>4449</v>
      </c>
      <c r="G973" s="10" t="s">
        <v>24043</v>
      </c>
      <c r="H973" s="10" t="s">
        <v>25085</v>
      </c>
      <c r="I973" s="10" t="s">
        <v>55</v>
      </c>
      <c r="K973" s="10" t="s">
        <v>24062</v>
      </c>
      <c r="L973" s="10" t="s">
        <v>42</v>
      </c>
    </row>
    <row r="974" ht="15.75" customHeight="1">
      <c r="A974" s="66">
        <v>45481.0</v>
      </c>
      <c r="B974" s="55" t="str">
        <f>HYPERLINK("https://jobright.ai/jobs/info/669e4f334761975356c3536b?utm_campaign=1057&amp;utm_source=sheet", "Apply")</f>
        <v>Apply</v>
      </c>
      <c r="C974" s="10" t="s">
        <v>24061</v>
      </c>
      <c r="D974" s="56" t="s">
        <v>4448</v>
      </c>
      <c r="E974" s="10" t="s">
        <v>71</v>
      </c>
      <c r="F974" s="10" t="s">
        <v>4449</v>
      </c>
      <c r="G974" s="10" t="s">
        <v>24043</v>
      </c>
      <c r="H974" s="10" t="s">
        <v>25086</v>
      </c>
      <c r="I974" s="10" t="s">
        <v>55</v>
      </c>
      <c r="K974" s="10" t="s">
        <v>24062</v>
      </c>
      <c r="L974" s="10" t="s">
        <v>42</v>
      </c>
    </row>
    <row r="975" ht="15.75" customHeight="1">
      <c r="A975" s="66">
        <v>45481.0</v>
      </c>
      <c r="B975" s="55" t="str">
        <f>HYPERLINK("https://jobright.ai/jobs/info/669e49a51bef9e02d106ce6a?utm_campaign=1057&amp;utm_source=sheet", "Apply")</f>
        <v>Apply</v>
      </c>
      <c r="C975" s="10" t="s">
        <v>24157</v>
      </c>
      <c r="D975" s="56" t="s">
        <v>4448</v>
      </c>
      <c r="E975" s="10" t="s">
        <v>71</v>
      </c>
      <c r="F975" s="10" t="s">
        <v>4449</v>
      </c>
      <c r="G975" s="10" t="s">
        <v>24043</v>
      </c>
      <c r="H975" s="10" t="s">
        <v>25087</v>
      </c>
      <c r="I975" s="10" t="s">
        <v>55</v>
      </c>
      <c r="K975" s="10" t="s">
        <v>24062</v>
      </c>
      <c r="L975" s="10" t="s">
        <v>42</v>
      </c>
    </row>
    <row r="976" ht="15.75" customHeight="1">
      <c r="A976" s="66">
        <v>45481.0</v>
      </c>
      <c r="B976" s="55" t="str">
        <f>HYPERLINK("https://jobright.ai/jobs/info/669e49a51bef9e02d106ce6d?utm_campaign=1057&amp;utm_source=sheet", "Apply")</f>
        <v>Apply</v>
      </c>
      <c r="C976" s="10" t="s">
        <v>24455</v>
      </c>
      <c r="D976" s="56" t="s">
        <v>4448</v>
      </c>
      <c r="E976" s="10" t="s">
        <v>71</v>
      </c>
      <c r="F976" s="10" t="s">
        <v>4449</v>
      </c>
      <c r="G976" s="10" t="s">
        <v>24043</v>
      </c>
      <c r="H976" s="10" t="s">
        <v>21674</v>
      </c>
      <c r="I976" s="10" t="s">
        <v>55</v>
      </c>
      <c r="K976" s="10" t="s">
        <v>4450</v>
      </c>
      <c r="L976" s="10" t="s">
        <v>42</v>
      </c>
    </row>
    <row r="977" ht="15.75" customHeight="1">
      <c r="A977" s="66">
        <v>45481.0</v>
      </c>
      <c r="B977" s="55" t="str">
        <f>HYPERLINK("https://jobright.ai/jobs/info/669e49a51bef9e02d106ce76?utm_campaign=1057&amp;utm_source=sheet", "Apply")</f>
        <v>Apply</v>
      </c>
      <c r="C977" s="10" t="s">
        <v>24449</v>
      </c>
      <c r="D977" s="56" t="s">
        <v>4448</v>
      </c>
      <c r="E977" s="10" t="s">
        <v>71</v>
      </c>
      <c r="F977" s="10" t="s">
        <v>4449</v>
      </c>
      <c r="G977" s="10" t="s">
        <v>24043</v>
      </c>
      <c r="H977" s="10" t="s">
        <v>24059</v>
      </c>
      <c r="I977" s="10" t="s">
        <v>55</v>
      </c>
      <c r="K977" s="10" t="s">
        <v>4450</v>
      </c>
      <c r="L977" s="10" t="s">
        <v>42</v>
      </c>
    </row>
    <row r="978" ht="15.75" customHeight="1">
      <c r="A978" s="66">
        <v>45481.0</v>
      </c>
      <c r="B978" s="55" t="str">
        <f>HYPERLINK("https://jobright.ai/jobs/info/669e49991bef9e02d106ccda?utm_campaign=1057&amp;utm_source=sheet", "Apply")</f>
        <v>Apply</v>
      </c>
      <c r="C978" s="10" t="s">
        <v>24434</v>
      </c>
      <c r="D978" s="56" t="s">
        <v>4448</v>
      </c>
      <c r="E978" s="10" t="s">
        <v>71</v>
      </c>
      <c r="F978" s="10" t="s">
        <v>4449</v>
      </c>
      <c r="G978" s="10" t="s">
        <v>24043</v>
      </c>
      <c r="H978" s="10" t="s">
        <v>25088</v>
      </c>
      <c r="I978" s="10" t="s">
        <v>55</v>
      </c>
      <c r="K978" s="10" t="s">
        <v>4450</v>
      </c>
      <c r="L978" s="10" t="s">
        <v>42</v>
      </c>
    </row>
    <row r="979" ht="15.75" customHeight="1">
      <c r="A979" s="66">
        <v>45481.0</v>
      </c>
      <c r="B979" s="55" t="str">
        <f>HYPERLINK("https://jobright.ai/jobs/info/669e49a51bef9e02d106ce78?utm_campaign=1057&amp;utm_source=sheet", "Apply")</f>
        <v>Apply</v>
      </c>
      <c r="C979" s="10" t="s">
        <v>20988</v>
      </c>
      <c r="D979" s="56" t="s">
        <v>4448</v>
      </c>
      <c r="E979" s="10" t="s">
        <v>71</v>
      </c>
      <c r="F979" s="10" t="s">
        <v>4449</v>
      </c>
      <c r="G979" s="10" t="s">
        <v>24043</v>
      </c>
      <c r="H979" s="10" t="s">
        <v>10627</v>
      </c>
      <c r="I979" s="10" t="s">
        <v>55</v>
      </c>
      <c r="K979" s="10" t="s">
        <v>4450</v>
      </c>
      <c r="L979" s="10" t="s">
        <v>42</v>
      </c>
    </row>
    <row r="980" ht="15.75" customHeight="1">
      <c r="A980" s="66">
        <v>45481.0</v>
      </c>
      <c r="B980" s="55" t="str">
        <f>HYPERLINK("https://jobright.ai/jobs/info/669e49a51bef9e02d106ce7a?utm_campaign=1057&amp;utm_source=sheet", "Apply")</f>
        <v>Apply</v>
      </c>
      <c r="C980" s="10" t="s">
        <v>24439</v>
      </c>
      <c r="D980" s="56" t="s">
        <v>4448</v>
      </c>
      <c r="E980" s="10" t="s">
        <v>71</v>
      </c>
      <c r="F980" s="10" t="s">
        <v>4449</v>
      </c>
      <c r="G980" s="10" t="s">
        <v>24043</v>
      </c>
      <c r="H980" s="10" t="s">
        <v>6856</v>
      </c>
      <c r="I980" s="10" t="s">
        <v>55</v>
      </c>
      <c r="K980" s="10" t="s">
        <v>4450</v>
      </c>
      <c r="L980" s="10" t="s">
        <v>42</v>
      </c>
    </row>
    <row r="981" ht="15.75" customHeight="1">
      <c r="A981" s="66">
        <v>45481.0</v>
      </c>
      <c r="B981" s="55" t="str">
        <f>HYPERLINK("https://jobright.ai/jobs/info/669e49991bef9e02d106ccdd?utm_campaign=1057&amp;utm_source=sheet", "Apply")</f>
        <v>Apply</v>
      </c>
      <c r="C981" s="10" t="s">
        <v>24446</v>
      </c>
      <c r="D981" s="56" t="s">
        <v>4448</v>
      </c>
      <c r="E981" s="10" t="s">
        <v>71</v>
      </c>
      <c r="F981" s="10" t="s">
        <v>4449</v>
      </c>
      <c r="G981" s="10" t="s">
        <v>24043</v>
      </c>
      <c r="H981" s="10" t="s">
        <v>6668</v>
      </c>
      <c r="I981" s="10" t="s">
        <v>55</v>
      </c>
      <c r="K981" s="10" t="s">
        <v>24062</v>
      </c>
      <c r="L981" s="10" t="s">
        <v>42</v>
      </c>
    </row>
    <row r="982" ht="15.75" customHeight="1">
      <c r="A982" s="66">
        <v>45481.0</v>
      </c>
      <c r="B982" s="55" t="str">
        <f>HYPERLINK("https://jobright.ai/jobs/info/669e46b1ca3e6aa92c888358?utm_campaign=1057&amp;utm_source=sheet", "Apply")</f>
        <v>Apply</v>
      </c>
      <c r="C982" s="10" t="s">
        <v>24404</v>
      </c>
      <c r="D982" s="56" t="s">
        <v>4448</v>
      </c>
      <c r="E982" s="10" t="s">
        <v>71</v>
      </c>
      <c r="F982" s="10" t="s">
        <v>4449</v>
      </c>
      <c r="G982" s="10" t="s">
        <v>24043</v>
      </c>
      <c r="H982" s="10" t="s">
        <v>8230</v>
      </c>
      <c r="I982" s="10" t="s">
        <v>55</v>
      </c>
      <c r="K982" s="10" t="s">
        <v>24062</v>
      </c>
      <c r="L982" s="10" t="s">
        <v>42</v>
      </c>
    </row>
    <row r="983" ht="15.75" customHeight="1">
      <c r="A983" s="66">
        <v>45481.0</v>
      </c>
      <c r="B983" s="55" t="str">
        <f>HYPERLINK("https://jobright.ai/jobs/info/669e46b1ca3e6aa92c888368?utm_campaign=1057&amp;utm_source=sheet", "Apply")</f>
        <v>Apply</v>
      </c>
      <c r="C983" s="10" t="s">
        <v>8211</v>
      </c>
      <c r="D983" s="56" t="s">
        <v>4448</v>
      </c>
      <c r="E983" s="10" t="s">
        <v>71</v>
      </c>
      <c r="F983" s="10" t="s">
        <v>4449</v>
      </c>
      <c r="G983" s="10" t="s">
        <v>24043</v>
      </c>
      <c r="H983" s="10" t="s">
        <v>25089</v>
      </c>
      <c r="I983" s="10" t="s">
        <v>55</v>
      </c>
      <c r="K983" s="10" t="s">
        <v>4450</v>
      </c>
      <c r="L983" s="10" t="s">
        <v>42</v>
      </c>
    </row>
    <row r="984" ht="15.75" customHeight="1">
      <c r="A984" s="66">
        <v>45481.0</v>
      </c>
      <c r="B984" s="55" t="str">
        <f>HYPERLINK("https://jobright.ai/jobs/info/669e46b1ca3e6aa92c888369?utm_campaign=1057&amp;utm_source=sheet", "Apply")</f>
        <v>Apply</v>
      </c>
      <c r="C984" s="10" t="s">
        <v>24404</v>
      </c>
      <c r="D984" s="56" t="s">
        <v>4448</v>
      </c>
      <c r="E984" s="10" t="s">
        <v>71</v>
      </c>
      <c r="F984" s="10" t="s">
        <v>4449</v>
      </c>
      <c r="G984" s="10" t="s">
        <v>24043</v>
      </c>
      <c r="H984" s="10" t="s">
        <v>8254</v>
      </c>
      <c r="I984" s="10" t="s">
        <v>55</v>
      </c>
      <c r="K984" s="10" t="s">
        <v>24062</v>
      </c>
      <c r="L984" s="10" t="s">
        <v>42</v>
      </c>
    </row>
    <row r="985" ht="15.75" customHeight="1">
      <c r="A985" s="66">
        <v>45481.0</v>
      </c>
      <c r="B985" s="55" t="str">
        <f>HYPERLINK("https://jobright.ai/jobs/info/669e46b1ca3e6aa92c888374?utm_campaign=1057&amp;utm_source=sheet", "Apply")</f>
        <v>Apply</v>
      </c>
      <c r="C985" s="10" t="s">
        <v>24418</v>
      </c>
      <c r="D985" s="56" t="s">
        <v>4448</v>
      </c>
      <c r="E985" s="10" t="s">
        <v>71</v>
      </c>
      <c r="F985" s="10" t="s">
        <v>4449</v>
      </c>
      <c r="G985" s="10" t="s">
        <v>24043</v>
      </c>
      <c r="H985" s="10" t="s">
        <v>25084</v>
      </c>
      <c r="I985" s="10" t="s">
        <v>55</v>
      </c>
      <c r="K985" s="10" t="s">
        <v>4450</v>
      </c>
      <c r="L985" s="10" t="s">
        <v>42</v>
      </c>
    </row>
    <row r="986" ht="15.75" customHeight="1">
      <c r="A986" s="66">
        <v>45481.0</v>
      </c>
      <c r="B986" s="55" t="str">
        <f>HYPERLINK("https://jobright.ai/jobs/info/669e43917102b7b2bcf21717?utm_campaign=1057&amp;utm_source=sheet", "Apply")</f>
        <v>Apply</v>
      </c>
      <c r="C986" s="10" t="s">
        <v>24337</v>
      </c>
      <c r="D986" s="56" t="s">
        <v>4448</v>
      </c>
      <c r="E986" s="10" t="s">
        <v>71</v>
      </c>
      <c r="F986" s="10" t="s">
        <v>4449</v>
      </c>
      <c r="G986" s="10" t="s">
        <v>24043</v>
      </c>
      <c r="H986" s="10" t="s">
        <v>7476</v>
      </c>
      <c r="I986" s="10" t="s">
        <v>55</v>
      </c>
      <c r="K986" s="10" t="s">
        <v>4450</v>
      </c>
      <c r="L986" s="10" t="s">
        <v>42</v>
      </c>
    </row>
    <row r="987" ht="15.75" customHeight="1">
      <c r="A987" s="66">
        <v>45481.0</v>
      </c>
      <c r="B987" s="55" t="str">
        <f>HYPERLINK("https://jobright.ai/jobs/info/669e40b84ef9507440b4867f?utm_campaign=1057&amp;utm_source=sheet", "Apply")</f>
        <v>Apply</v>
      </c>
      <c r="C987" s="10" t="s">
        <v>24404</v>
      </c>
      <c r="D987" s="56" t="s">
        <v>4448</v>
      </c>
      <c r="E987" s="10" t="s">
        <v>71</v>
      </c>
      <c r="F987" s="10" t="s">
        <v>4449</v>
      </c>
      <c r="G987" s="10" t="s">
        <v>24043</v>
      </c>
      <c r="H987" s="10" t="s">
        <v>25090</v>
      </c>
      <c r="I987" s="10" t="s">
        <v>55</v>
      </c>
      <c r="K987" s="10" t="s">
        <v>24062</v>
      </c>
      <c r="L987" s="10" t="s">
        <v>42</v>
      </c>
    </row>
    <row r="988" ht="15.75" customHeight="1">
      <c r="A988" s="66">
        <v>45481.0</v>
      </c>
      <c r="B988" s="55" t="str">
        <f>HYPERLINK("https://jobright.ai/jobs/info/669e3a2fe01d13c184ac366a?utm_campaign=1057&amp;utm_source=sheet", "Apply")</f>
        <v>Apply</v>
      </c>
      <c r="C988" s="10" t="s">
        <v>24426</v>
      </c>
      <c r="D988" s="56" t="s">
        <v>4448</v>
      </c>
      <c r="E988" s="10" t="s">
        <v>71</v>
      </c>
      <c r="F988" s="10" t="s">
        <v>4449</v>
      </c>
      <c r="G988" s="10" t="s">
        <v>24043</v>
      </c>
      <c r="H988" s="10" t="s">
        <v>7398</v>
      </c>
      <c r="I988" s="10" t="s">
        <v>55</v>
      </c>
      <c r="K988" s="10" t="s">
        <v>24062</v>
      </c>
      <c r="L988" s="10" t="s">
        <v>42</v>
      </c>
    </row>
    <row r="989" ht="15.75" customHeight="1">
      <c r="A989" s="66">
        <v>45481.0</v>
      </c>
      <c r="B989" s="55" t="str">
        <f>HYPERLINK("https://jobright.ai/jobs/info/669e3a2fe01d13c184ac3662?utm_campaign=1057&amp;utm_source=sheet", "Apply")</f>
        <v>Apply</v>
      </c>
      <c r="C989" s="10" t="s">
        <v>24422</v>
      </c>
      <c r="D989" s="56" t="s">
        <v>4448</v>
      </c>
      <c r="E989" s="10" t="s">
        <v>71</v>
      </c>
      <c r="F989" s="10" t="s">
        <v>4449</v>
      </c>
      <c r="G989" s="10" t="s">
        <v>24043</v>
      </c>
      <c r="H989" s="10" t="s">
        <v>25091</v>
      </c>
      <c r="I989" s="10" t="s">
        <v>55</v>
      </c>
      <c r="K989" s="10" t="s">
        <v>24062</v>
      </c>
      <c r="L989" s="10" t="s">
        <v>42</v>
      </c>
    </row>
    <row r="990" ht="15.75" customHeight="1">
      <c r="A990" s="66">
        <v>45481.0</v>
      </c>
      <c r="B990" s="55" t="str">
        <f>HYPERLINK("https://jobright.ai/jobs/info/669e3a2fe01d13c184ac366f?utm_campaign=1057&amp;utm_source=sheet", "Apply")</f>
        <v>Apply</v>
      </c>
      <c r="C990" s="10" t="s">
        <v>24419</v>
      </c>
      <c r="D990" s="56" t="s">
        <v>4448</v>
      </c>
      <c r="E990" s="10" t="s">
        <v>71</v>
      </c>
      <c r="F990" s="10" t="s">
        <v>4449</v>
      </c>
      <c r="G990" s="10" t="s">
        <v>24043</v>
      </c>
      <c r="H990" s="10" t="s">
        <v>7412</v>
      </c>
      <c r="I990" s="10" t="s">
        <v>55</v>
      </c>
      <c r="K990" s="10" t="s">
        <v>4450</v>
      </c>
      <c r="L990" s="10" t="s">
        <v>42</v>
      </c>
    </row>
    <row r="991" ht="15.75" customHeight="1">
      <c r="A991" s="66">
        <v>45481.0</v>
      </c>
      <c r="B991" s="55" t="str">
        <f>HYPERLINK("https://jobright.ai/jobs/info/668b4db636fc66f4e341ee3f?utm_campaign=1057&amp;utm_source=sheet", "Apply")</f>
        <v>Apply</v>
      </c>
      <c r="C991" s="10" t="s">
        <v>25092</v>
      </c>
      <c r="D991" s="56" t="s">
        <v>1955</v>
      </c>
      <c r="E991" s="10" t="s">
        <v>45</v>
      </c>
      <c r="F991" s="10" t="s">
        <v>1234</v>
      </c>
      <c r="G991" s="10" t="s">
        <v>24022</v>
      </c>
      <c r="H991" s="10" t="s">
        <v>139</v>
      </c>
      <c r="I991" s="10" t="s">
        <v>55</v>
      </c>
      <c r="J991" s="10" t="s">
        <v>521</v>
      </c>
      <c r="K991" s="10" t="s">
        <v>25093</v>
      </c>
      <c r="L991" s="10" t="s">
        <v>42</v>
      </c>
    </row>
    <row r="992" ht="15.75" customHeight="1">
      <c r="A992" s="66">
        <v>45481.0</v>
      </c>
      <c r="B992" s="55" t="str">
        <f>HYPERLINK("https://jobright.ai/jobs/info/668b4db636fc66f4e341ee36?utm_campaign=1057&amp;utm_source=sheet", "Apply")</f>
        <v>Apply</v>
      </c>
      <c r="C992" s="10" t="s">
        <v>25094</v>
      </c>
      <c r="D992" s="56" t="s">
        <v>1955</v>
      </c>
      <c r="E992" s="10" t="s">
        <v>45</v>
      </c>
      <c r="F992" s="10" t="s">
        <v>1234</v>
      </c>
      <c r="G992" s="10" t="s">
        <v>24022</v>
      </c>
      <c r="H992" s="10" t="s">
        <v>21435</v>
      </c>
      <c r="I992" s="10" t="s">
        <v>55</v>
      </c>
      <c r="J992" s="10" t="s">
        <v>1761</v>
      </c>
      <c r="K992" s="10" t="s">
        <v>21436</v>
      </c>
      <c r="L992" s="10" t="s">
        <v>42</v>
      </c>
    </row>
    <row r="993" ht="15.75" customHeight="1">
      <c r="A993" s="66">
        <v>45481.0</v>
      </c>
      <c r="B993" s="55" t="str">
        <f>HYPERLINK("https://jobright.ai/jobs/info/668c6530931376fe72d74704?utm_campaign=1057&amp;utm_source=sheet", "Apply")</f>
        <v>Apply</v>
      </c>
      <c r="C993" s="10" t="s">
        <v>22312</v>
      </c>
      <c r="D993" s="56" t="s">
        <v>22313</v>
      </c>
      <c r="E993" s="10" t="s">
        <v>71</v>
      </c>
      <c r="F993" s="10" t="s">
        <v>22314</v>
      </c>
      <c r="G993" s="10" t="s">
        <v>24022</v>
      </c>
      <c r="H993" s="10" t="s">
        <v>802</v>
      </c>
      <c r="I993" s="10" t="s">
        <v>55</v>
      </c>
      <c r="J993" s="10" t="s">
        <v>25042</v>
      </c>
      <c r="K993" s="10" t="s">
        <v>25043</v>
      </c>
      <c r="L993" s="10" t="s">
        <v>42</v>
      </c>
    </row>
    <row r="994" ht="15.75" customHeight="1">
      <c r="A994" s="66">
        <v>45481.0</v>
      </c>
      <c r="B994" s="55" t="str">
        <f>HYPERLINK("https://jobright.ai/jobs/info/668bf081442b145cef991330?utm_campaign=1057&amp;utm_source=sheet", "Apply")</f>
        <v>Apply</v>
      </c>
      <c r="C994" s="10" t="s">
        <v>24122</v>
      </c>
      <c r="D994" s="56" t="s">
        <v>3855</v>
      </c>
      <c r="E994" s="10" t="s">
        <v>45</v>
      </c>
      <c r="F994" s="10" t="s">
        <v>3167</v>
      </c>
      <c r="G994" s="10" t="s">
        <v>24022</v>
      </c>
      <c r="H994" s="10" t="s">
        <v>25095</v>
      </c>
      <c r="I994" s="10" t="s">
        <v>55</v>
      </c>
      <c r="K994" s="10" t="s">
        <v>24123</v>
      </c>
      <c r="L994" s="10" t="s">
        <v>42</v>
      </c>
    </row>
    <row r="995" ht="15.75" customHeight="1">
      <c r="A995" s="66">
        <v>45481.0</v>
      </c>
      <c r="B995" s="55" t="str">
        <f>HYPERLINK("https://jobright.ai/jobs/info/668bf081442b145cef991327?utm_campaign=1057&amp;utm_source=sheet", "Apply")</f>
        <v>Apply</v>
      </c>
      <c r="C995" s="10" t="s">
        <v>24892</v>
      </c>
      <c r="D995" s="56" t="s">
        <v>12931</v>
      </c>
      <c r="G995" s="10" t="s">
        <v>24022</v>
      </c>
      <c r="H995" s="10" t="s">
        <v>25096</v>
      </c>
      <c r="I995" s="10" t="s">
        <v>48</v>
      </c>
      <c r="K995" s="10" t="s">
        <v>24894</v>
      </c>
      <c r="L995" s="10" t="s">
        <v>42</v>
      </c>
    </row>
    <row r="996" ht="15.75" customHeight="1">
      <c r="A996" s="66">
        <v>45480.0</v>
      </c>
      <c r="B996" s="55" t="str">
        <f>HYPERLINK("https://jobright.ai/jobs/info/668b25da4e4c737303d13a22?utm_campaign=1057&amp;utm_source=sheet", "Apply")</f>
        <v>Apply</v>
      </c>
      <c r="C996" s="10" t="s">
        <v>25097</v>
      </c>
      <c r="D996" s="56" t="s">
        <v>14898</v>
      </c>
      <c r="E996" s="10" t="s">
        <v>249</v>
      </c>
      <c r="F996" s="10" t="s">
        <v>5166</v>
      </c>
      <c r="G996" s="10" t="s">
        <v>24031</v>
      </c>
      <c r="H996" s="10" t="s">
        <v>159</v>
      </c>
      <c r="I996" s="10" t="s">
        <v>55</v>
      </c>
      <c r="J996" s="10" t="s">
        <v>1608</v>
      </c>
      <c r="K996" s="10" t="s">
        <v>25098</v>
      </c>
      <c r="L996" s="10" t="s">
        <v>42</v>
      </c>
    </row>
    <row r="997" ht="15.75" customHeight="1">
      <c r="A997" s="66">
        <v>45480.0</v>
      </c>
      <c r="B997" s="55" t="str">
        <f>HYPERLINK("https://jobright.ai/jobs/info/669d1738cc2913c69c0f3ec8?utm_campaign=1057&amp;utm_source=sheet", "Apply")</f>
        <v>Apply</v>
      </c>
      <c r="C997" s="10" t="s">
        <v>25099</v>
      </c>
      <c r="D997" s="56" t="s">
        <v>4448</v>
      </c>
      <c r="E997" s="10" t="s">
        <v>71</v>
      </c>
      <c r="F997" s="10" t="s">
        <v>4449</v>
      </c>
      <c r="G997" s="10" t="s">
        <v>24043</v>
      </c>
      <c r="H997" s="10" t="s">
        <v>8257</v>
      </c>
      <c r="I997" s="10" t="s">
        <v>55</v>
      </c>
      <c r="K997" s="10" t="s">
        <v>4450</v>
      </c>
      <c r="L997" s="10" t="s">
        <v>42</v>
      </c>
    </row>
    <row r="998" ht="15.75" customHeight="1">
      <c r="A998" s="66">
        <v>45480.0</v>
      </c>
      <c r="B998" s="55" t="str">
        <f>HYPERLINK("https://jobright.ai/jobs/info/669d1738cc2913c69c0f3ee1?utm_campaign=1057&amp;utm_source=sheet", "Apply")</f>
        <v>Apply</v>
      </c>
      <c r="C998" s="10" t="s">
        <v>24525</v>
      </c>
      <c r="D998" s="56" t="s">
        <v>4448</v>
      </c>
      <c r="E998" s="10" t="s">
        <v>71</v>
      </c>
      <c r="F998" s="10" t="s">
        <v>4449</v>
      </c>
      <c r="G998" s="10" t="s">
        <v>24043</v>
      </c>
      <c r="H998" s="10" t="s">
        <v>25100</v>
      </c>
      <c r="I998" s="10" t="s">
        <v>55</v>
      </c>
      <c r="K998" s="10" t="s">
        <v>4450</v>
      </c>
      <c r="L998" s="10" t="s">
        <v>42</v>
      </c>
    </row>
    <row r="999" ht="15.75" customHeight="1">
      <c r="A999" s="66">
        <v>45480.0</v>
      </c>
      <c r="B999" s="55" t="str">
        <f>HYPERLINK("https://jobright.ai/jobs/info/669d14846f6497fd2712f272?utm_campaign=1057&amp;utm_source=sheet", "Apply")</f>
        <v>Apply</v>
      </c>
      <c r="C999" s="10" t="s">
        <v>24417</v>
      </c>
      <c r="D999" s="56" t="s">
        <v>4448</v>
      </c>
      <c r="E999" s="10" t="s">
        <v>71</v>
      </c>
      <c r="F999" s="10" t="s">
        <v>4449</v>
      </c>
      <c r="G999" s="10" t="s">
        <v>24043</v>
      </c>
      <c r="H999" s="10" t="s">
        <v>21482</v>
      </c>
      <c r="I999" s="10" t="s">
        <v>55</v>
      </c>
      <c r="K999" s="10" t="s">
        <v>4450</v>
      </c>
      <c r="L999" s="10" t="s">
        <v>42</v>
      </c>
    </row>
    <row r="1000" ht="15.75" customHeight="1">
      <c r="A1000" s="66">
        <v>45480.0</v>
      </c>
      <c r="B1000" s="55" t="str">
        <f>HYPERLINK("https://jobright.ai/jobs/info/669d0a8204c007d24af47f1c?utm_campaign=1057&amp;utm_source=sheet", "Apply")</f>
        <v>Apply</v>
      </c>
      <c r="C1000" s="10" t="s">
        <v>24404</v>
      </c>
      <c r="D1000" s="56" t="s">
        <v>4448</v>
      </c>
      <c r="E1000" s="10" t="s">
        <v>71</v>
      </c>
      <c r="F1000" s="10" t="s">
        <v>4449</v>
      </c>
      <c r="G1000" s="10" t="s">
        <v>24043</v>
      </c>
      <c r="H1000" s="10" t="s">
        <v>25101</v>
      </c>
      <c r="I1000" s="10" t="s">
        <v>55</v>
      </c>
      <c r="K1000" s="10" t="s">
        <v>4450</v>
      </c>
      <c r="L1000" s="10" t="s">
        <v>42</v>
      </c>
    </row>
    <row r="1001" ht="15.75" customHeight="1">
      <c r="A1001" s="66">
        <v>45480.0</v>
      </c>
      <c r="B1001" s="55" t="str">
        <f>HYPERLINK("https://jobright.ai/jobs/info/669d061c8b644bfcaf127dfc?utm_campaign=1057&amp;utm_source=sheet", "Apply")</f>
        <v>Apply</v>
      </c>
      <c r="C1001" s="10" t="s">
        <v>24494</v>
      </c>
      <c r="D1001" s="56" t="s">
        <v>4448</v>
      </c>
      <c r="E1001" s="10" t="s">
        <v>71</v>
      </c>
      <c r="F1001" s="10" t="s">
        <v>4449</v>
      </c>
      <c r="G1001" s="10" t="s">
        <v>24043</v>
      </c>
      <c r="H1001" s="10" t="s">
        <v>25102</v>
      </c>
      <c r="I1001" s="10" t="s">
        <v>55</v>
      </c>
      <c r="K1001" s="10" t="s">
        <v>4450</v>
      </c>
      <c r="L1001" s="10" t="s">
        <v>42</v>
      </c>
    </row>
    <row r="1002" ht="15.75" customHeight="1">
      <c r="A1002" s="66">
        <v>45479.0</v>
      </c>
      <c r="B1002" s="55" t="str">
        <f>HYPERLINK("https://jobright.ai/jobs/info/668583a6798cca6c3817368c?utm_campaign=1057&amp;utm_source=sheet", "Apply")</f>
        <v>Apply</v>
      </c>
      <c r="C1002" s="10" t="s">
        <v>25103</v>
      </c>
      <c r="D1002" s="56" t="s">
        <v>2103</v>
      </c>
      <c r="E1002" s="10" t="s">
        <v>209</v>
      </c>
      <c r="F1002" s="10" t="s">
        <v>2104</v>
      </c>
      <c r="G1002" s="10" t="s">
        <v>24043</v>
      </c>
      <c r="H1002" s="10" t="s">
        <v>170</v>
      </c>
      <c r="I1002" s="10" t="s">
        <v>55</v>
      </c>
      <c r="K1002" s="10" t="s">
        <v>25061</v>
      </c>
      <c r="L1002" s="10" t="s">
        <v>42</v>
      </c>
    </row>
    <row r="1003" ht="15.75" customHeight="1">
      <c r="A1003" s="66">
        <v>45479.0</v>
      </c>
      <c r="B1003" s="55" t="str">
        <f>HYPERLINK("https://jobright.ai/jobs/info/669bea68c96a855813c36eb4?utm_campaign=1057&amp;utm_source=sheet", "Apply")</f>
        <v>Apply</v>
      </c>
      <c r="C1003" s="10" t="s">
        <v>24530</v>
      </c>
      <c r="D1003" s="56" t="s">
        <v>4448</v>
      </c>
      <c r="E1003" s="10" t="s">
        <v>71</v>
      </c>
      <c r="F1003" s="10" t="s">
        <v>4449</v>
      </c>
      <c r="G1003" s="10" t="s">
        <v>24043</v>
      </c>
      <c r="H1003" s="10" t="s">
        <v>25104</v>
      </c>
      <c r="I1003" s="10" t="s">
        <v>55</v>
      </c>
      <c r="K1003" s="10" t="s">
        <v>4450</v>
      </c>
      <c r="L1003" s="10" t="s">
        <v>42</v>
      </c>
    </row>
    <row r="1004" ht="15.75" customHeight="1">
      <c r="A1004" s="66">
        <v>45479.0</v>
      </c>
      <c r="B1004" s="55" t="str">
        <f>HYPERLINK("https://jobright.ai/jobs/info/66897ea01b148f8fe85e13cc?utm_campaign=1057&amp;utm_source=sheet", "Apply")</f>
        <v>Apply</v>
      </c>
      <c r="C1004" s="10" t="s">
        <v>25105</v>
      </c>
      <c r="D1004" s="56" t="s">
        <v>24149</v>
      </c>
      <c r="E1004" s="10">
        <v>53.0</v>
      </c>
      <c r="G1004" s="10" t="s">
        <v>24031</v>
      </c>
      <c r="H1004" s="10" t="s">
        <v>915</v>
      </c>
      <c r="I1004" s="10" t="s">
        <v>55</v>
      </c>
      <c r="K1004" s="10" t="s">
        <v>25106</v>
      </c>
      <c r="L1004" s="10" t="s">
        <v>42</v>
      </c>
    </row>
    <row r="1005" ht="15.75" customHeight="1">
      <c r="A1005" s="66">
        <v>45479.0</v>
      </c>
      <c r="B1005" s="55" t="str">
        <f>HYPERLINK("https://jobright.ai/jobs/info/669bcb1e434221017ea568f3?utm_campaign=1057&amp;utm_source=sheet", "Apply")</f>
        <v>Apply</v>
      </c>
      <c r="C1005" s="10" t="s">
        <v>25107</v>
      </c>
      <c r="D1005" s="56" t="s">
        <v>4448</v>
      </c>
      <c r="E1005" s="10" t="s">
        <v>71</v>
      </c>
      <c r="F1005" s="10" t="s">
        <v>4449</v>
      </c>
      <c r="G1005" s="10" t="s">
        <v>24043</v>
      </c>
      <c r="H1005" s="10" t="s">
        <v>8212</v>
      </c>
      <c r="I1005" s="10" t="s">
        <v>55</v>
      </c>
      <c r="K1005" s="10" t="s">
        <v>4450</v>
      </c>
      <c r="L1005" s="10" t="s">
        <v>42</v>
      </c>
    </row>
    <row r="1006" ht="15.75" customHeight="1">
      <c r="A1006" s="66">
        <v>45479.0</v>
      </c>
      <c r="B1006" s="55" t="str">
        <f>HYPERLINK("https://jobright.ai/jobs/info/669bc03ff7afaee06d0e6b09?utm_campaign=1057&amp;utm_source=sheet", "Apply")</f>
        <v>Apply</v>
      </c>
      <c r="C1006" s="10" t="s">
        <v>24413</v>
      </c>
      <c r="D1006" s="56" t="s">
        <v>4448</v>
      </c>
      <c r="E1006" s="10" t="s">
        <v>71</v>
      </c>
      <c r="F1006" s="10" t="s">
        <v>4449</v>
      </c>
      <c r="G1006" s="10" t="s">
        <v>24043</v>
      </c>
      <c r="H1006" s="10" t="s">
        <v>25108</v>
      </c>
      <c r="I1006" s="10" t="s">
        <v>55</v>
      </c>
      <c r="K1006" s="10" t="s">
        <v>4450</v>
      </c>
      <c r="L1006" s="10" t="s">
        <v>42</v>
      </c>
    </row>
    <row r="1007" ht="15.75" customHeight="1">
      <c r="A1007" s="66">
        <v>45479.0</v>
      </c>
      <c r="B1007" s="55" t="str">
        <f>HYPERLINK("https://jobright.ai/jobs/info/669bb368713dc0db50b4ef94?utm_campaign=1057&amp;utm_source=sheet", "Apply")</f>
        <v>Apply</v>
      </c>
      <c r="C1007" s="10" t="s">
        <v>24527</v>
      </c>
      <c r="D1007" s="56" t="s">
        <v>4448</v>
      </c>
      <c r="E1007" s="10" t="s">
        <v>71</v>
      </c>
      <c r="F1007" s="10" t="s">
        <v>4449</v>
      </c>
      <c r="G1007" s="10" t="s">
        <v>24043</v>
      </c>
      <c r="H1007" s="10" t="s">
        <v>25109</v>
      </c>
      <c r="I1007" s="10" t="s">
        <v>55</v>
      </c>
      <c r="K1007" s="10" t="s">
        <v>4450</v>
      </c>
      <c r="L1007" s="10" t="s">
        <v>42</v>
      </c>
    </row>
    <row r="1008" ht="15.75" customHeight="1">
      <c r="A1008" s="66">
        <v>45479.0</v>
      </c>
      <c r="B1008" s="55" t="str">
        <f>HYPERLINK("https://jobright.ai/jobs/info/6642160ded4d19127d877888?utm_campaign=1057&amp;utm_source=sheet", "Apply")</f>
        <v>Apply</v>
      </c>
      <c r="C1008" s="10" t="s">
        <v>25110</v>
      </c>
      <c r="D1008" s="56" t="s">
        <v>7326</v>
      </c>
      <c r="E1008" s="10">
        <v>40.0</v>
      </c>
      <c r="G1008" s="10" t="s">
        <v>24022</v>
      </c>
      <c r="H1008" s="10" t="s">
        <v>914</v>
      </c>
      <c r="I1008" s="10" t="s">
        <v>55</v>
      </c>
      <c r="K1008" s="10" t="s">
        <v>25111</v>
      </c>
      <c r="L1008" s="10" t="s">
        <v>42</v>
      </c>
    </row>
    <row r="1009" ht="15.75" customHeight="1">
      <c r="A1009" s="66">
        <v>45479.0</v>
      </c>
      <c r="B1009" s="55" t="str">
        <f>HYPERLINK("https://jobright.ai/jobs/info/669bb04f9cc20b26d98c07aa?utm_campaign=1057&amp;utm_source=sheet", "Apply")</f>
        <v>Apply</v>
      </c>
      <c r="C1009" s="10" t="s">
        <v>24515</v>
      </c>
      <c r="D1009" s="56" t="s">
        <v>4448</v>
      </c>
      <c r="E1009" s="10" t="s">
        <v>71</v>
      </c>
      <c r="F1009" s="10" t="s">
        <v>4449</v>
      </c>
      <c r="G1009" s="10" t="s">
        <v>24043</v>
      </c>
      <c r="H1009" s="10" t="s">
        <v>13924</v>
      </c>
      <c r="I1009" s="10" t="s">
        <v>55</v>
      </c>
      <c r="K1009" s="10" t="s">
        <v>4450</v>
      </c>
      <c r="L1009" s="10" t="s">
        <v>42</v>
      </c>
    </row>
    <row r="1010" ht="15.75" customHeight="1">
      <c r="A1010" s="66">
        <v>45479.0</v>
      </c>
      <c r="B1010" s="55" t="str">
        <f>HYPERLINK("https://jobright.ai/jobs/info/669bb04f9cc20b26d98c07ad?utm_campaign=1057&amp;utm_source=sheet", "Apply")</f>
        <v>Apply</v>
      </c>
      <c r="C1010" s="10" t="s">
        <v>24406</v>
      </c>
      <c r="D1010" s="56" t="s">
        <v>4448</v>
      </c>
      <c r="E1010" s="10" t="s">
        <v>71</v>
      </c>
      <c r="F1010" s="10" t="s">
        <v>4449</v>
      </c>
      <c r="G1010" s="10" t="s">
        <v>24043</v>
      </c>
      <c r="H1010" s="10" t="s">
        <v>8246</v>
      </c>
      <c r="I1010" s="10" t="s">
        <v>55</v>
      </c>
      <c r="K1010" s="10" t="s">
        <v>4450</v>
      </c>
      <c r="L1010" s="10" t="s">
        <v>42</v>
      </c>
    </row>
    <row r="1011" ht="15.75" customHeight="1">
      <c r="A1011" s="66">
        <v>45479.0</v>
      </c>
      <c r="B1011" s="55" t="str">
        <f>HYPERLINK("https://jobright.ai/jobs/info/669ba4f7570252d0306ef402?utm_campaign=1057&amp;utm_source=sheet", "Apply")</f>
        <v>Apply</v>
      </c>
      <c r="C1011" s="10" t="s">
        <v>24317</v>
      </c>
      <c r="D1011" s="56" t="s">
        <v>4448</v>
      </c>
      <c r="E1011" s="10" t="s">
        <v>71</v>
      </c>
      <c r="F1011" s="10" t="s">
        <v>4449</v>
      </c>
      <c r="G1011" s="10" t="s">
        <v>24043</v>
      </c>
      <c r="H1011" s="10" t="s">
        <v>25112</v>
      </c>
      <c r="I1011" s="10" t="s">
        <v>55</v>
      </c>
      <c r="K1011" s="10" t="s">
        <v>4450</v>
      </c>
      <c r="L1011" s="10" t="s">
        <v>42</v>
      </c>
    </row>
    <row r="1012" ht="15.75" customHeight="1">
      <c r="A1012" s="66">
        <v>45479.0</v>
      </c>
      <c r="B1012" s="55" t="str">
        <f>HYPERLINK("https://jobright.ai/jobs/info/669ba4f9570252d0306ef454?utm_campaign=1057&amp;utm_source=sheet", "Apply")</f>
        <v>Apply</v>
      </c>
      <c r="C1012" s="10" t="s">
        <v>24515</v>
      </c>
      <c r="D1012" s="56" t="s">
        <v>4448</v>
      </c>
      <c r="E1012" s="10" t="s">
        <v>71</v>
      </c>
      <c r="F1012" s="10" t="s">
        <v>4449</v>
      </c>
      <c r="G1012" s="10" t="s">
        <v>24043</v>
      </c>
      <c r="H1012" s="10" t="s">
        <v>25113</v>
      </c>
      <c r="I1012" s="10" t="s">
        <v>55</v>
      </c>
      <c r="K1012" s="10" t="s">
        <v>4450</v>
      </c>
      <c r="L1012" s="10" t="s">
        <v>42</v>
      </c>
    </row>
    <row r="1013" ht="15.75" customHeight="1">
      <c r="A1013" s="66">
        <v>45479.0</v>
      </c>
      <c r="B1013" s="55" t="str">
        <f>HYPERLINK("https://jobright.ai/jobs/info/668b446175ed76c11539338d?utm_campaign=1057&amp;utm_source=sheet", "Apply")</f>
        <v>Apply</v>
      </c>
      <c r="C1013" s="10" t="s">
        <v>25114</v>
      </c>
      <c r="D1013" s="56" t="s">
        <v>25115</v>
      </c>
      <c r="E1013" s="10">
        <v>82.0</v>
      </c>
      <c r="G1013" s="10" t="s">
        <v>24022</v>
      </c>
      <c r="H1013" s="10" t="s">
        <v>25116</v>
      </c>
      <c r="I1013" s="10" t="s">
        <v>55</v>
      </c>
      <c r="K1013" s="10" t="s">
        <v>25117</v>
      </c>
      <c r="L1013" s="10" t="s">
        <v>42</v>
      </c>
    </row>
    <row r="1014" ht="15.75" customHeight="1">
      <c r="A1014" s="66">
        <v>45479.0</v>
      </c>
      <c r="B1014" s="55" t="str">
        <f>HYPERLINK("https://jobright.ai/jobs/info/668b448d75ed76c11539393d?utm_campaign=1057&amp;utm_source=sheet", "Apply")</f>
        <v>Apply</v>
      </c>
      <c r="C1014" s="10" t="s">
        <v>25114</v>
      </c>
      <c r="D1014" s="56" t="s">
        <v>25115</v>
      </c>
      <c r="E1014" s="10">
        <v>82.0</v>
      </c>
      <c r="G1014" s="10" t="s">
        <v>24022</v>
      </c>
      <c r="H1014" s="10" t="s">
        <v>25118</v>
      </c>
      <c r="I1014" s="10" t="s">
        <v>55</v>
      </c>
      <c r="K1014" s="10" t="s">
        <v>25117</v>
      </c>
      <c r="L1014" s="10" t="s">
        <v>42</v>
      </c>
    </row>
    <row r="1015" ht="15.75" customHeight="1">
      <c r="A1015" s="66">
        <v>45478.0</v>
      </c>
      <c r="B1015" s="55" t="str">
        <f>HYPERLINK("https://jobright.ai/jobs/info/669a844a9923480de0ec93ae?utm_campaign=1057&amp;utm_source=sheet", "Apply")</f>
        <v>Apply</v>
      </c>
      <c r="C1015" s="10" t="s">
        <v>24374</v>
      </c>
      <c r="D1015" s="56" t="s">
        <v>4448</v>
      </c>
      <c r="E1015" s="10" t="s">
        <v>71</v>
      </c>
      <c r="F1015" s="10" t="s">
        <v>4449</v>
      </c>
      <c r="G1015" s="10" t="s">
        <v>24043</v>
      </c>
      <c r="H1015" s="10" t="s">
        <v>25119</v>
      </c>
      <c r="I1015" s="10" t="s">
        <v>55</v>
      </c>
      <c r="K1015" s="10" t="s">
        <v>4450</v>
      </c>
      <c r="L1015" s="10" t="s">
        <v>42</v>
      </c>
    </row>
    <row r="1016" ht="15.75" customHeight="1">
      <c r="A1016" s="66">
        <v>45478.0</v>
      </c>
      <c r="B1016" s="55" t="str">
        <f>HYPERLINK("https://jobright.ai/jobs/info/669a7c47e97f34632044e375?utm_campaign=1057&amp;utm_source=sheet", "Apply")</f>
        <v>Apply</v>
      </c>
      <c r="C1016" s="10" t="s">
        <v>25120</v>
      </c>
      <c r="D1016" s="56" t="s">
        <v>4448</v>
      </c>
      <c r="E1016" s="10" t="s">
        <v>71</v>
      </c>
      <c r="F1016" s="10" t="s">
        <v>4449</v>
      </c>
      <c r="G1016" s="10" t="s">
        <v>24043</v>
      </c>
      <c r="H1016" s="10" t="s">
        <v>7476</v>
      </c>
      <c r="I1016" s="10" t="s">
        <v>55</v>
      </c>
      <c r="K1016" s="10" t="s">
        <v>4450</v>
      </c>
      <c r="L1016" s="10" t="s">
        <v>42</v>
      </c>
    </row>
    <row r="1017" ht="15.75" customHeight="1">
      <c r="A1017" s="66">
        <v>45478.0</v>
      </c>
      <c r="B1017" s="55" t="str">
        <f>HYPERLINK("https://jobright.ai/jobs/info/669a7c47e97f34632044e378?utm_campaign=1057&amp;utm_source=sheet", "Apply")</f>
        <v>Apply</v>
      </c>
      <c r="C1017" s="10" t="s">
        <v>24158</v>
      </c>
      <c r="D1017" s="56" t="s">
        <v>4448</v>
      </c>
      <c r="E1017" s="10" t="s">
        <v>71</v>
      </c>
      <c r="F1017" s="10" t="s">
        <v>4449</v>
      </c>
      <c r="G1017" s="10" t="s">
        <v>24043</v>
      </c>
      <c r="H1017" s="10" t="s">
        <v>8254</v>
      </c>
      <c r="I1017" s="10" t="s">
        <v>55</v>
      </c>
      <c r="K1017" s="10" t="s">
        <v>4450</v>
      </c>
      <c r="L1017" s="10" t="s">
        <v>42</v>
      </c>
    </row>
    <row r="1018" ht="15.75" customHeight="1">
      <c r="A1018" s="66">
        <v>45478.0</v>
      </c>
      <c r="B1018" s="55" t="str">
        <f>HYPERLINK("https://jobright.ai/jobs/info/669a77a6a898614b42f9d45e?utm_campaign=1057&amp;utm_source=sheet", "Apply")</f>
        <v>Apply</v>
      </c>
      <c r="C1018" s="10" t="s">
        <v>25121</v>
      </c>
      <c r="D1018" s="56" t="s">
        <v>14728</v>
      </c>
      <c r="E1018" s="10" t="s">
        <v>65</v>
      </c>
      <c r="F1018" s="10" t="s">
        <v>3906</v>
      </c>
      <c r="G1018" s="10" t="s">
        <v>24043</v>
      </c>
      <c r="H1018" s="10" t="s">
        <v>951</v>
      </c>
      <c r="I1018" s="10" t="s">
        <v>55</v>
      </c>
      <c r="K1018" s="10" t="s">
        <v>25122</v>
      </c>
      <c r="L1018" s="10" t="s">
        <v>42</v>
      </c>
    </row>
    <row r="1019" ht="15.75" customHeight="1">
      <c r="A1019" s="66">
        <v>45478.0</v>
      </c>
      <c r="B1019" s="55" t="str">
        <f>HYPERLINK("https://jobright.ai/jobs/info/669a7533608a5562480ae2c6?utm_campaign=1057&amp;utm_source=sheet", "Apply")</f>
        <v>Apply</v>
      </c>
      <c r="C1019" s="10" t="s">
        <v>24484</v>
      </c>
      <c r="D1019" s="56" t="s">
        <v>4448</v>
      </c>
      <c r="E1019" s="10" t="s">
        <v>71</v>
      </c>
      <c r="F1019" s="10" t="s">
        <v>4449</v>
      </c>
      <c r="G1019" s="10" t="s">
        <v>24043</v>
      </c>
      <c r="H1019" s="10" t="s">
        <v>25123</v>
      </c>
      <c r="I1019" s="10" t="s">
        <v>55</v>
      </c>
      <c r="K1019" s="10" t="s">
        <v>4450</v>
      </c>
      <c r="L1019" s="10" t="s">
        <v>42</v>
      </c>
    </row>
    <row r="1020" ht="15.75" customHeight="1">
      <c r="A1020" s="66">
        <v>45478.0</v>
      </c>
      <c r="B1020" s="55" t="str">
        <f>HYPERLINK("https://jobright.ai/jobs/info/669a6d4dd0b5f76ddffc23eb?utm_campaign=1057&amp;utm_source=sheet", "Apply")</f>
        <v>Apply</v>
      </c>
      <c r="C1020" s="10" t="s">
        <v>24508</v>
      </c>
      <c r="D1020" s="56" t="s">
        <v>4448</v>
      </c>
      <c r="E1020" s="10" t="s">
        <v>71</v>
      </c>
      <c r="F1020" s="10" t="s">
        <v>4449</v>
      </c>
      <c r="G1020" s="10" t="s">
        <v>24043</v>
      </c>
      <c r="H1020" s="10" t="s">
        <v>25124</v>
      </c>
      <c r="I1020" s="10" t="s">
        <v>55</v>
      </c>
      <c r="K1020" s="10" t="s">
        <v>4450</v>
      </c>
      <c r="L1020" s="10" t="s">
        <v>42</v>
      </c>
    </row>
    <row r="1021" ht="15.75" customHeight="1">
      <c r="A1021" s="66">
        <v>45478.0</v>
      </c>
      <c r="B1021" s="55" t="str">
        <f>HYPERLINK("https://jobright.ai/jobs/info/669a6d4dd0b5f76ddffc23f6?utm_campaign=1057&amp;utm_source=sheet", "Apply")</f>
        <v>Apply</v>
      </c>
      <c r="C1021" s="10" t="s">
        <v>25125</v>
      </c>
      <c r="D1021" s="56" t="s">
        <v>4448</v>
      </c>
      <c r="E1021" s="10" t="s">
        <v>71</v>
      </c>
      <c r="F1021" s="10" t="s">
        <v>4449</v>
      </c>
      <c r="G1021" s="10" t="s">
        <v>24043</v>
      </c>
      <c r="H1021" s="10" t="s">
        <v>25126</v>
      </c>
      <c r="I1021" s="10" t="s">
        <v>55</v>
      </c>
      <c r="K1021" s="10" t="s">
        <v>4450</v>
      </c>
      <c r="L1021" s="10" t="s">
        <v>42</v>
      </c>
    </row>
    <row r="1022" ht="15.75" customHeight="1">
      <c r="A1022" s="66">
        <v>45478.0</v>
      </c>
      <c r="B1022" s="55" t="str">
        <f>HYPERLINK("https://jobright.ai/jobs/info/666bb7fa4f2df602085b0856?utm_campaign=1057&amp;utm_source=sheet", "Apply")</f>
        <v>Apply</v>
      </c>
      <c r="C1022" s="10" t="s">
        <v>24232</v>
      </c>
      <c r="D1022" s="56" t="s">
        <v>20697</v>
      </c>
      <c r="E1022" s="10" t="s">
        <v>209</v>
      </c>
      <c r="F1022" s="10" t="s">
        <v>2617</v>
      </c>
      <c r="G1022" s="10" t="s">
        <v>24043</v>
      </c>
      <c r="H1022" s="10" t="s">
        <v>12987</v>
      </c>
      <c r="I1022" s="10" t="s">
        <v>55</v>
      </c>
      <c r="J1022" s="10" t="s">
        <v>24234</v>
      </c>
      <c r="K1022" s="10" t="s">
        <v>24235</v>
      </c>
      <c r="L1022" s="10" t="s">
        <v>42</v>
      </c>
    </row>
    <row r="1023" ht="15.75" customHeight="1">
      <c r="A1023" s="66">
        <v>45478.0</v>
      </c>
      <c r="B1023" s="55" t="str">
        <f>HYPERLINK("https://jobright.ai/jobs/info/669a658dccbc474c18d0b1a6?utm_campaign=1057&amp;utm_source=sheet", "Apply")</f>
        <v>Apply</v>
      </c>
      <c r="C1023" s="10" t="s">
        <v>25127</v>
      </c>
      <c r="D1023" s="56" t="s">
        <v>4448</v>
      </c>
      <c r="E1023" s="10" t="s">
        <v>71</v>
      </c>
      <c r="F1023" s="10" t="s">
        <v>4449</v>
      </c>
      <c r="G1023" s="10" t="s">
        <v>24043</v>
      </c>
      <c r="H1023" s="10" t="s">
        <v>7610</v>
      </c>
      <c r="I1023" s="10" t="s">
        <v>55</v>
      </c>
      <c r="K1023" s="10" t="s">
        <v>4450</v>
      </c>
      <c r="L1023" s="10" t="s">
        <v>42</v>
      </c>
    </row>
    <row r="1024" ht="15.75" customHeight="1">
      <c r="A1024" s="66">
        <v>45478.0</v>
      </c>
      <c r="B1024" s="55" t="str">
        <f>HYPERLINK("https://jobright.ai/jobs/info/666ba70a47c3162fb6450891?utm_campaign=1057&amp;utm_source=sheet", "Apply")</f>
        <v>Apply</v>
      </c>
      <c r="C1024" s="10" t="s">
        <v>24232</v>
      </c>
      <c r="D1024" s="56" t="s">
        <v>20697</v>
      </c>
      <c r="E1024" s="10" t="s">
        <v>209</v>
      </c>
      <c r="F1024" s="10" t="s">
        <v>2617</v>
      </c>
      <c r="G1024" s="10" t="s">
        <v>24043</v>
      </c>
      <c r="H1024" s="10" t="s">
        <v>5373</v>
      </c>
      <c r="I1024" s="10" t="s">
        <v>55</v>
      </c>
      <c r="J1024" s="10" t="s">
        <v>24234</v>
      </c>
      <c r="K1024" s="10" t="s">
        <v>24235</v>
      </c>
      <c r="L1024" s="10" t="s">
        <v>42</v>
      </c>
    </row>
    <row r="1025" ht="15.75" customHeight="1">
      <c r="A1025" s="66">
        <v>45478.0</v>
      </c>
      <c r="B1025" s="55" t="str">
        <f>HYPERLINK("https://jobright.ai/jobs/info/6676b863022d43fb7b689119?utm_campaign=1057&amp;utm_source=sheet", "Apply")</f>
        <v>Apply</v>
      </c>
      <c r="C1025" s="10" t="s">
        <v>25128</v>
      </c>
      <c r="D1025" s="56" t="s">
        <v>25129</v>
      </c>
      <c r="E1025" s="10" t="s">
        <v>209</v>
      </c>
      <c r="F1025" s="10" t="s">
        <v>5470</v>
      </c>
      <c r="G1025" s="10" t="s">
        <v>24031</v>
      </c>
      <c r="H1025" s="10" t="s">
        <v>25130</v>
      </c>
      <c r="I1025" s="10" t="s">
        <v>55</v>
      </c>
      <c r="K1025" s="10" t="s">
        <v>25131</v>
      </c>
      <c r="L1025" s="10" t="s">
        <v>42</v>
      </c>
    </row>
    <row r="1026" ht="15.75" customHeight="1">
      <c r="A1026" s="66">
        <v>45478.0</v>
      </c>
      <c r="B1026" s="55" t="str">
        <f>HYPERLINK("https://jobright.ai/jobs/info/666b23c7efc55bec90187a50?utm_campaign=1057&amp;utm_source=sheet", "Apply")</f>
        <v>Apply</v>
      </c>
      <c r="C1026" s="10" t="s">
        <v>24084</v>
      </c>
      <c r="D1026" s="56" t="s">
        <v>22652</v>
      </c>
      <c r="E1026" s="10" t="s">
        <v>79</v>
      </c>
      <c r="F1026" s="10" t="s">
        <v>22653</v>
      </c>
      <c r="G1026" s="10" t="s">
        <v>24031</v>
      </c>
      <c r="H1026" s="10" t="s">
        <v>423</v>
      </c>
      <c r="I1026" s="10" t="s">
        <v>48</v>
      </c>
      <c r="K1026" s="10" t="s">
        <v>24085</v>
      </c>
      <c r="L1026" s="10" t="s">
        <v>42</v>
      </c>
    </row>
    <row r="1027" ht="15.75" customHeight="1">
      <c r="A1027" s="66">
        <v>45478.0</v>
      </c>
      <c r="B1027" s="55" t="str">
        <f>HYPERLINK("https://jobright.ai/jobs/info/6672e790d742a3597e9ab50c?utm_campaign=1057&amp;utm_source=sheet", "Apply")</f>
        <v>Apply</v>
      </c>
      <c r="C1027" s="10" t="s">
        <v>25132</v>
      </c>
      <c r="D1027" s="56" t="s">
        <v>5288</v>
      </c>
      <c r="E1027" s="10" t="s">
        <v>65</v>
      </c>
      <c r="F1027" s="10" t="s">
        <v>2583</v>
      </c>
      <c r="G1027" s="10" t="s">
        <v>24031</v>
      </c>
      <c r="H1027" s="10" t="s">
        <v>893</v>
      </c>
      <c r="I1027" s="10" t="s">
        <v>55</v>
      </c>
      <c r="J1027" s="10" t="s">
        <v>5290</v>
      </c>
      <c r="K1027" s="10" t="s">
        <v>25133</v>
      </c>
      <c r="L1027" s="10" t="s">
        <v>42</v>
      </c>
    </row>
    <row r="1028" ht="15.75" customHeight="1">
      <c r="A1028" s="66">
        <v>45478.0</v>
      </c>
      <c r="B1028" s="55" t="str">
        <f>HYPERLINK("https://jobright.ai/jobs/info/664e208cb45b688e7b70fdc9?utm_campaign=1057&amp;utm_source=sheet", "Apply")</f>
        <v>Apply</v>
      </c>
      <c r="C1028" s="10" t="s">
        <v>25134</v>
      </c>
      <c r="D1028" s="56" t="s">
        <v>7209</v>
      </c>
      <c r="E1028" s="10" t="s">
        <v>45</v>
      </c>
      <c r="F1028" s="10" t="s">
        <v>7210</v>
      </c>
      <c r="G1028" s="10" t="s">
        <v>24031</v>
      </c>
      <c r="H1028" s="10" t="s">
        <v>18312</v>
      </c>
      <c r="I1028" s="10" t="s">
        <v>55</v>
      </c>
      <c r="J1028" s="10" t="s">
        <v>1409</v>
      </c>
      <c r="K1028" s="10" t="s">
        <v>25135</v>
      </c>
      <c r="L1028" s="10" t="s">
        <v>42</v>
      </c>
    </row>
    <row r="1029" ht="15.75" customHeight="1">
      <c r="A1029" s="66">
        <v>45477.0</v>
      </c>
      <c r="B1029" s="55" t="str">
        <f>HYPERLINK("https://jobright.ai/jobs/info/66993f892b9c65a3e5eb8d66?utm_campaign=1057&amp;utm_source=sheet", "Apply")</f>
        <v>Apply</v>
      </c>
      <c r="C1029" s="10" t="s">
        <v>25125</v>
      </c>
      <c r="D1029" s="56" t="s">
        <v>4448</v>
      </c>
      <c r="E1029" s="10" t="s">
        <v>71</v>
      </c>
      <c r="F1029" s="10" t="s">
        <v>4449</v>
      </c>
      <c r="G1029" s="10" t="s">
        <v>24043</v>
      </c>
      <c r="H1029" s="10" t="s">
        <v>25136</v>
      </c>
      <c r="I1029" s="10" t="s">
        <v>55</v>
      </c>
      <c r="K1029" s="10" t="s">
        <v>4450</v>
      </c>
      <c r="L1029" s="10" t="s">
        <v>42</v>
      </c>
    </row>
    <row r="1030" ht="15.75" customHeight="1">
      <c r="A1030" s="66">
        <v>45477.0</v>
      </c>
      <c r="B1030" s="55" t="str">
        <f>HYPERLINK("https://jobright.ai/jobs/info/66993f892b9c65a3e5eb8d97?utm_campaign=1057&amp;utm_source=sheet", "Apply")</f>
        <v>Apply</v>
      </c>
      <c r="C1030" s="10" t="s">
        <v>24885</v>
      </c>
      <c r="D1030" s="56" t="s">
        <v>4448</v>
      </c>
      <c r="E1030" s="10" t="s">
        <v>71</v>
      </c>
      <c r="F1030" s="10" t="s">
        <v>4449</v>
      </c>
      <c r="G1030" s="10" t="s">
        <v>24043</v>
      </c>
      <c r="H1030" s="10" t="s">
        <v>25137</v>
      </c>
      <c r="I1030" s="10" t="s">
        <v>55</v>
      </c>
      <c r="K1030" s="10" t="s">
        <v>4450</v>
      </c>
      <c r="L1030" s="10" t="s">
        <v>42</v>
      </c>
    </row>
    <row r="1031" ht="15.75" customHeight="1">
      <c r="A1031" s="66">
        <v>45477.0</v>
      </c>
      <c r="B1031" s="55" t="str">
        <f>HYPERLINK("https://jobright.ai/jobs/info/66993f892b9c65a3e5eb8d9d?utm_campaign=1057&amp;utm_source=sheet", "Apply")</f>
        <v>Apply</v>
      </c>
      <c r="C1031" s="10" t="s">
        <v>25138</v>
      </c>
      <c r="D1031" s="56" t="s">
        <v>4448</v>
      </c>
      <c r="E1031" s="10" t="s">
        <v>71</v>
      </c>
      <c r="F1031" s="10" t="s">
        <v>4449</v>
      </c>
      <c r="G1031" s="10" t="s">
        <v>24043</v>
      </c>
      <c r="H1031" s="10" t="s">
        <v>21674</v>
      </c>
      <c r="I1031" s="10" t="s">
        <v>55</v>
      </c>
      <c r="K1031" s="10" t="s">
        <v>4450</v>
      </c>
      <c r="L1031" s="10" t="s">
        <v>42</v>
      </c>
    </row>
    <row r="1032" ht="15.75" customHeight="1">
      <c r="A1032" s="66">
        <v>45477.0</v>
      </c>
      <c r="B1032" s="55" t="str">
        <f>HYPERLINK("https://jobright.ai/jobs/info/66993f892b9c65a3e5eb8da9?utm_campaign=1057&amp;utm_source=sheet", "Apply")</f>
        <v>Apply</v>
      </c>
      <c r="C1032" s="10" t="s">
        <v>25120</v>
      </c>
      <c r="D1032" s="56" t="s">
        <v>4448</v>
      </c>
      <c r="E1032" s="10" t="s">
        <v>71</v>
      </c>
      <c r="F1032" s="10" t="s">
        <v>4449</v>
      </c>
      <c r="G1032" s="10" t="s">
        <v>24043</v>
      </c>
      <c r="H1032" s="10" t="s">
        <v>628</v>
      </c>
      <c r="I1032" s="10" t="s">
        <v>55</v>
      </c>
      <c r="K1032" s="10" t="s">
        <v>4450</v>
      </c>
      <c r="L1032" s="10" t="s">
        <v>42</v>
      </c>
    </row>
    <row r="1033" ht="15.75" customHeight="1">
      <c r="A1033" s="66">
        <v>45477.0</v>
      </c>
      <c r="B1033" s="55" t="str">
        <f>HYPERLINK("https://jobright.ai/jobs/info/66993f892b9c65a3e5eb8db0?utm_campaign=1057&amp;utm_source=sheet", "Apply")</f>
        <v>Apply</v>
      </c>
      <c r="C1033" s="10" t="s">
        <v>24317</v>
      </c>
      <c r="D1033" s="56" t="s">
        <v>4448</v>
      </c>
      <c r="E1033" s="10" t="s">
        <v>71</v>
      </c>
      <c r="F1033" s="10" t="s">
        <v>4449</v>
      </c>
      <c r="G1033" s="10" t="s">
        <v>24043</v>
      </c>
      <c r="H1033" s="10" t="s">
        <v>25091</v>
      </c>
      <c r="I1033" s="10" t="s">
        <v>55</v>
      </c>
      <c r="K1033" s="10" t="s">
        <v>4450</v>
      </c>
      <c r="L1033" s="10" t="s">
        <v>42</v>
      </c>
    </row>
    <row r="1034" ht="15.75" customHeight="1">
      <c r="A1034" s="66">
        <v>45477.0</v>
      </c>
      <c r="B1034" s="55" t="str">
        <f>HYPERLINK("https://jobright.ai/jobs/info/66993f892b9c65a3e5eb8dba?utm_campaign=1057&amp;utm_source=sheet", "Apply")</f>
        <v>Apply</v>
      </c>
      <c r="C1034" s="10" t="s">
        <v>25107</v>
      </c>
      <c r="D1034" s="56" t="s">
        <v>4448</v>
      </c>
      <c r="E1034" s="10" t="s">
        <v>71</v>
      </c>
      <c r="F1034" s="10" t="s">
        <v>4449</v>
      </c>
      <c r="G1034" s="10" t="s">
        <v>24043</v>
      </c>
      <c r="H1034" s="10" t="s">
        <v>7474</v>
      </c>
      <c r="I1034" s="10" t="s">
        <v>55</v>
      </c>
      <c r="K1034" s="10" t="s">
        <v>4450</v>
      </c>
      <c r="L1034" s="10" t="s">
        <v>42</v>
      </c>
    </row>
    <row r="1035" ht="15.75" customHeight="1">
      <c r="A1035" s="66">
        <v>45477.0</v>
      </c>
      <c r="B1035" s="55" t="str">
        <f>HYPERLINK("https://jobright.ai/jobs/info/66993f892b9c65a3e5eb8dc1?utm_campaign=1057&amp;utm_source=sheet", "Apply")</f>
        <v>Apply</v>
      </c>
      <c r="C1035" s="10" t="s">
        <v>25107</v>
      </c>
      <c r="D1035" s="56" t="s">
        <v>4448</v>
      </c>
      <c r="E1035" s="10" t="s">
        <v>71</v>
      </c>
      <c r="F1035" s="10" t="s">
        <v>4449</v>
      </c>
      <c r="G1035" s="10" t="s">
        <v>24043</v>
      </c>
      <c r="H1035" s="10" t="s">
        <v>21698</v>
      </c>
      <c r="I1035" s="10" t="s">
        <v>55</v>
      </c>
      <c r="K1035" s="10" t="s">
        <v>4450</v>
      </c>
      <c r="L1035" s="10" t="s">
        <v>42</v>
      </c>
    </row>
    <row r="1036" ht="15.75" customHeight="1">
      <c r="A1036" s="66">
        <v>45477.0</v>
      </c>
      <c r="B1036" s="55" t="str">
        <f>HYPERLINK("https://jobright.ai/jobs/info/669934234a18fa4d837fc44d?utm_campaign=1057&amp;utm_source=sheet", "Apply")</f>
        <v>Apply</v>
      </c>
      <c r="C1036" s="10" t="s">
        <v>24514</v>
      </c>
      <c r="D1036" s="56" t="s">
        <v>4448</v>
      </c>
      <c r="E1036" s="10" t="s">
        <v>71</v>
      </c>
      <c r="F1036" s="10" t="s">
        <v>4449</v>
      </c>
      <c r="G1036" s="10" t="s">
        <v>24043</v>
      </c>
      <c r="H1036" s="10" t="s">
        <v>25139</v>
      </c>
      <c r="I1036" s="10" t="s">
        <v>55</v>
      </c>
      <c r="K1036" s="10" t="s">
        <v>4450</v>
      </c>
      <c r="L1036" s="10" t="s">
        <v>42</v>
      </c>
    </row>
    <row r="1037" ht="15.75" customHeight="1">
      <c r="A1037" s="66">
        <v>45477.0</v>
      </c>
      <c r="B1037" s="55" t="str">
        <f>HYPERLINK("https://jobright.ai/jobs/info/669934234a18fa4d837fc459?utm_campaign=1057&amp;utm_source=sheet", "Apply")</f>
        <v>Apply</v>
      </c>
      <c r="C1037" s="10" t="s">
        <v>24061</v>
      </c>
      <c r="D1037" s="56" t="s">
        <v>4448</v>
      </c>
      <c r="E1037" s="10" t="s">
        <v>71</v>
      </c>
      <c r="F1037" s="10" t="s">
        <v>4449</v>
      </c>
      <c r="G1037" s="10" t="s">
        <v>24043</v>
      </c>
      <c r="H1037" s="10" t="s">
        <v>25140</v>
      </c>
      <c r="I1037" s="10" t="s">
        <v>55</v>
      </c>
      <c r="K1037" s="10" t="s">
        <v>4450</v>
      </c>
      <c r="L1037" s="10" t="s">
        <v>42</v>
      </c>
    </row>
    <row r="1038" ht="15.75" customHeight="1">
      <c r="A1038" s="66">
        <v>45477.0</v>
      </c>
      <c r="B1038" s="55" t="str">
        <f>HYPERLINK("https://jobright.ai/jobs/info/669934234a18fa4d837fc45a?utm_campaign=1057&amp;utm_source=sheet", "Apply")</f>
        <v>Apply</v>
      </c>
      <c r="C1038" s="10" t="s">
        <v>21691</v>
      </c>
      <c r="D1038" s="56" t="s">
        <v>4448</v>
      </c>
      <c r="E1038" s="10" t="s">
        <v>71</v>
      </c>
      <c r="F1038" s="10" t="s">
        <v>4449</v>
      </c>
      <c r="G1038" s="10" t="s">
        <v>24043</v>
      </c>
      <c r="H1038" s="10" t="s">
        <v>25109</v>
      </c>
      <c r="I1038" s="10" t="s">
        <v>55</v>
      </c>
      <c r="K1038" s="10" t="s">
        <v>4450</v>
      </c>
      <c r="L1038" s="10" t="s">
        <v>42</v>
      </c>
    </row>
    <row r="1039" ht="15.75" customHeight="1">
      <c r="A1039" s="66">
        <v>45477.0</v>
      </c>
      <c r="B1039" s="55" t="str">
        <f>HYPERLINK("https://jobright.ai/jobs/info/6699342c4a18fa4d837fc478?utm_campaign=1057&amp;utm_source=sheet", "Apply")</f>
        <v>Apply</v>
      </c>
      <c r="C1039" s="10" t="s">
        <v>25120</v>
      </c>
      <c r="D1039" s="56" t="s">
        <v>4448</v>
      </c>
      <c r="E1039" s="10" t="s">
        <v>71</v>
      </c>
      <c r="F1039" s="10" t="s">
        <v>4449</v>
      </c>
      <c r="G1039" s="10" t="s">
        <v>24043</v>
      </c>
      <c r="H1039" s="10" t="s">
        <v>24059</v>
      </c>
      <c r="I1039" s="10" t="s">
        <v>55</v>
      </c>
      <c r="K1039" s="10" t="s">
        <v>4450</v>
      </c>
      <c r="L1039" s="10" t="s">
        <v>42</v>
      </c>
    </row>
    <row r="1040" ht="15.75" customHeight="1">
      <c r="A1040" s="66">
        <v>45477.0</v>
      </c>
      <c r="B1040" s="55" t="str">
        <f>HYPERLINK("https://jobright.ai/jobs/info/669934324a18fa4d837fc543?utm_campaign=1057&amp;utm_source=sheet", "Apply")</f>
        <v>Apply</v>
      </c>
      <c r="C1040" s="10" t="s">
        <v>25120</v>
      </c>
      <c r="D1040" s="56" t="s">
        <v>4448</v>
      </c>
      <c r="E1040" s="10" t="s">
        <v>71</v>
      </c>
      <c r="F1040" s="10" t="s">
        <v>4449</v>
      </c>
      <c r="G1040" s="10" t="s">
        <v>24043</v>
      </c>
      <c r="H1040" s="10" t="s">
        <v>25123</v>
      </c>
      <c r="I1040" s="10" t="s">
        <v>55</v>
      </c>
      <c r="K1040" s="10" t="s">
        <v>4450</v>
      </c>
      <c r="L1040" s="10" t="s">
        <v>42</v>
      </c>
    </row>
    <row r="1041" ht="15.75" customHeight="1">
      <c r="A1041" s="66">
        <v>45477.0</v>
      </c>
      <c r="B1041" s="55" t="str">
        <f>HYPERLINK("https://jobright.ai/jobs/info/669934324a18fa4d837fc582?utm_campaign=1057&amp;utm_source=sheet", "Apply")</f>
        <v>Apply</v>
      </c>
      <c r="C1041" s="10" t="s">
        <v>24061</v>
      </c>
      <c r="D1041" s="56" t="s">
        <v>4448</v>
      </c>
      <c r="E1041" s="10" t="s">
        <v>71</v>
      </c>
      <c r="F1041" s="10" t="s">
        <v>4449</v>
      </c>
      <c r="G1041" s="10" t="s">
        <v>24043</v>
      </c>
      <c r="H1041" s="10" t="s">
        <v>25141</v>
      </c>
      <c r="I1041" s="10" t="s">
        <v>55</v>
      </c>
      <c r="K1041" s="10" t="s">
        <v>4450</v>
      </c>
      <c r="L1041" s="10" t="s">
        <v>42</v>
      </c>
    </row>
    <row r="1042" ht="15.75" customHeight="1">
      <c r="A1042" s="66">
        <v>45477.0</v>
      </c>
      <c r="B1042" s="55" t="str">
        <f>HYPERLINK("https://jobright.ai/jobs/info/66992f6a4b629452f53c3da3?utm_campaign=1057&amp;utm_source=sheet", "Apply")</f>
        <v>Apply</v>
      </c>
      <c r="C1042" s="10" t="s">
        <v>24374</v>
      </c>
      <c r="D1042" s="56" t="s">
        <v>4448</v>
      </c>
      <c r="E1042" s="10" t="s">
        <v>71</v>
      </c>
      <c r="F1042" s="10" t="s">
        <v>4449</v>
      </c>
      <c r="G1042" s="10" t="s">
        <v>24043</v>
      </c>
      <c r="H1042" s="10" t="s">
        <v>970</v>
      </c>
      <c r="I1042" s="10" t="s">
        <v>55</v>
      </c>
      <c r="K1042" s="10" t="s">
        <v>4450</v>
      </c>
      <c r="L1042" s="10" t="s">
        <v>42</v>
      </c>
    </row>
    <row r="1043" ht="15.75" customHeight="1">
      <c r="A1043" s="66">
        <v>45477.0</v>
      </c>
      <c r="B1043" s="55" t="str">
        <f>HYPERLINK("https://jobright.ai/jobs/info/66992c50751dbade0dd17cfb?utm_campaign=1057&amp;utm_source=sheet", "Apply")</f>
        <v>Apply</v>
      </c>
      <c r="C1043" s="10" t="s">
        <v>25138</v>
      </c>
      <c r="D1043" s="56" t="s">
        <v>4448</v>
      </c>
      <c r="E1043" s="10" t="s">
        <v>71</v>
      </c>
      <c r="F1043" s="10" t="s">
        <v>4449</v>
      </c>
      <c r="G1043" s="10" t="s">
        <v>24043</v>
      </c>
      <c r="H1043" s="10" t="s">
        <v>25137</v>
      </c>
      <c r="I1043" s="10" t="s">
        <v>55</v>
      </c>
      <c r="K1043" s="10" t="s">
        <v>4450</v>
      </c>
      <c r="L1043" s="10" t="s">
        <v>42</v>
      </c>
    </row>
    <row r="1044" ht="15.75" customHeight="1">
      <c r="A1044" s="66">
        <v>45477.0</v>
      </c>
      <c r="B1044" s="55" t="str">
        <f>HYPERLINK("https://jobright.ai/jobs/info/66992c50751dbade0dd17d00?utm_campaign=1057&amp;utm_source=sheet", "Apply")</f>
        <v>Apply</v>
      </c>
      <c r="C1044" s="10" t="s">
        <v>24469</v>
      </c>
      <c r="D1044" s="56" t="s">
        <v>4448</v>
      </c>
      <c r="E1044" s="10" t="s">
        <v>71</v>
      </c>
      <c r="F1044" s="10" t="s">
        <v>4449</v>
      </c>
      <c r="G1044" s="10" t="s">
        <v>24043</v>
      </c>
      <c r="H1044" s="10" t="s">
        <v>25140</v>
      </c>
      <c r="I1044" s="10" t="s">
        <v>55</v>
      </c>
      <c r="K1044" s="10" t="s">
        <v>4450</v>
      </c>
      <c r="L1044" s="10" t="s">
        <v>42</v>
      </c>
    </row>
    <row r="1045" ht="15.75" customHeight="1">
      <c r="A1045" s="66">
        <v>45477.0</v>
      </c>
      <c r="B1045" s="55" t="str">
        <f>HYPERLINK("https://jobright.ai/jobs/info/66992c50751dbade0dd17d1a?utm_campaign=1057&amp;utm_source=sheet", "Apply")</f>
        <v>Apply</v>
      </c>
      <c r="C1045" s="10" t="s">
        <v>25142</v>
      </c>
      <c r="D1045" s="56" t="s">
        <v>4448</v>
      </c>
      <c r="E1045" s="10" t="s">
        <v>71</v>
      </c>
      <c r="F1045" s="10" t="s">
        <v>4449</v>
      </c>
      <c r="G1045" s="10" t="s">
        <v>24043</v>
      </c>
      <c r="H1045" s="10" t="s">
        <v>25143</v>
      </c>
      <c r="I1045" s="10" t="s">
        <v>55</v>
      </c>
      <c r="K1045" s="10" t="s">
        <v>4450</v>
      </c>
      <c r="L1045" s="10" t="s">
        <v>42</v>
      </c>
    </row>
    <row r="1046" ht="15.75" customHeight="1">
      <c r="A1046" s="66">
        <v>45477.0</v>
      </c>
      <c r="B1046" s="55" t="str">
        <f>HYPERLINK("https://jobright.ai/jobs/info/66992a1b51cbb3cd564b461f?utm_campaign=1057&amp;utm_source=sheet", "Apply")</f>
        <v>Apply</v>
      </c>
      <c r="C1046" s="10" t="s">
        <v>24429</v>
      </c>
      <c r="D1046" s="56" t="s">
        <v>4448</v>
      </c>
      <c r="E1046" s="10" t="s">
        <v>71</v>
      </c>
      <c r="F1046" s="10" t="s">
        <v>4449</v>
      </c>
      <c r="G1046" s="10" t="s">
        <v>24043</v>
      </c>
      <c r="H1046" s="10" t="s">
        <v>25144</v>
      </c>
      <c r="I1046" s="10" t="s">
        <v>55</v>
      </c>
      <c r="K1046" s="10" t="s">
        <v>4450</v>
      </c>
      <c r="L1046" s="10" t="s">
        <v>42</v>
      </c>
    </row>
    <row r="1047" ht="15.75" customHeight="1">
      <c r="A1047" s="66">
        <v>45477.0</v>
      </c>
      <c r="B1047" s="55" t="str">
        <f>HYPERLINK("https://jobright.ai/jobs/info/66992a2451cbb3cd564b4668?utm_campaign=1057&amp;utm_source=sheet", "Apply")</f>
        <v>Apply</v>
      </c>
      <c r="C1047" s="10" t="s">
        <v>24374</v>
      </c>
      <c r="D1047" s="56" t="s">
        <v>4448</v>
      </c>
      <c r="E1047" s="10" t="s">
        <v>71</v>
      </c>
      <c r="F1047" s="10" t="s">
        <v>4449</v>
      </c>
      <c r="G1047" s="10" t="s">
        <v>24043</v>
      </c>
      <c r="H1047" s="10" t="s">
        <v>25145</v>
      </c>
      <c r="I1047" s="10" t="s">
        <v>55</v>
      </c>
      <c r="K1047" s="10" t="s">
        <v>4450</v>
      </c>
      <c r="L1047" s="10" t="s">
        <v>42</v>
      </c>
    </row>
    <row r="1048" ht="15.75" customHeight="1">
      <c r="A1048" s="66">
        <v>45477.0</v>
      </c>
      <c r="B1048" s="55" t="str">
        <f>HYPERLINK("https://jobright.ai/jobs/info/66992a2451cbb3cd564b4696?utm_campaign=1057&amp;utm_source=sheet", "Apply")</f>
        <v>Apply</v>
      </c>
      <c r="C1048" s="10" t="s">
        <v>24061</v>
      </c>
      <c r="D1048" s="56" t="s">
        <v>4448</v>
      </c>
      <c r="E1048" s="10" t="s">
        <v>71</v>
      </c>
      <c r="F1048" s="10" t="s">
        <v>4449</v>
      </c>
      <c r="G1048" s="10" t="s">
        <v>24043</v>
      </c>
      <c r="H1048" s="10" t="s">
        <v>25119</v>
      </c>
      <c r="I1048" s="10" t="s">
        <v>55</v>
      </c>
      <c r="K1048" s="10" t="s">
        <v>4450</v>
      </c>
      <c r="L1048" s="10" t="s">
        <v>42</v>
      </c>
    </row>
    <row r="1049" ht="15.75" customHeight="1">
      <c r="A1049" s="66">
        <v>45477.0</v>
      </c>
      <c r="B1049" s="55" t="str">
        <f>HYPERLINK("https://jobright.ai/jobs/info/6686c1970306e37f0b253aca?utm_campaign=1057&amp;utm_source=sheet", "Apply")</f>
        <v>Apply</v>
      </c>
      <c r="C1049" s="10" t="s">
        <v>25146</v>
      </c>
      <c r="D1049" s="56" t="s">
        <v>25147</v>
      </c>
      <c r="E1049" s="10" t="s">
        <v>79</v>
      </c>
      <c r="F1049" s="10" t="s">
        <v>2454</v>
      </c>
      <c r="G1049" s="10" t="s">
        <v>24031</v>
      </c>
      <c r="H1049" s="10" t="s">
        <v>636</v>
      </c>
      <c r="I1049" s="10" t="s">
        <v>55</v>
      </c>
      <c r="J1049" s="10" t="s">
        <v>1797</v>
      </c>
      <c r="K1049" s="10" t="s">
        <v>25148</v>
      </c>
      <c r="L1049" s="10" t="s">
        <v>42</v>
      </c>
    </row>
    <row r="1050" ht="15.75" customHeight="1">
      <c r="A1050" s="66">
        <v>45477.0</v>
      </c>
      <c r="B1050" s="55" t="str">
        <f>HYPERLINK("https://jobright.ai/jobs/info/6699227410e3fec36b685f4e?utm_campaign=1057&amp;utm_source=sheet", "Apply")</f>
        <v>Apply</v>
      </c>
      <c r="C1050" s="10" t="s">
        <v>24320</v>
      </c>
      <c r="D1050" s="56" t="s">
        <v>4448</v>
      </c>
      <c r="E1050" s="10" t="s">
        <v>71</v>
      </c>
      <c r="F1050" s="10" t="s">
        <v>4449</v>
      </c>
      <c r="G1050" s="10" t="s">
        <v>24043</v>
      </c>
      <c r="H1050" s="10" t="s">
        <v>7380</v>
      </c>
      <c r="I1050" s="10" t="s">
        <v>55</v>
      </c>
      <c r="K1050" s="10" t="s">
        <v>4450</v>
      </c>
      <c r="L1050" s="10" t="s">
        <v>42</v>
      </c>
    </row>
    <row r="1051" ht="15.75" customHeight="1">
      <c r="A1051" s="66">
        <v>45477.0</v>
      </c>
      <c r="B1051" s="55" t="str">
        <f>HYPERLINK("https://jobright.ai/jobs/info/6699227410e3fec36b685f62?utm_campaign=1057&amp;utm_source=sheet", "Apply")</f>
        <v>Apply</v>
      </c>
      <c r="C1051" s="10" t="s">
        <v>8211</v>
      </c>
      <c r="D1051" s="56" t="s">
        <v>4448</v>
      </c>
      <c r="E1051" s="10" t="s">
        <v>71</v>
      </c>
      <c r="F1051" s="10" t="s">
        <v>4449</v>
      </c>
      <c r="G1051" s="10" t="s">
        <v>24043</v>
      </c>
      <c r="H1051" s="10" t="s">
        <v>13924</v>
      </c>
      <c r="I1051" s="10" t="s">
        <v>55</v>
      </c>
      <c r="K1051" s="10" t="s">
        <v>4450</v>
      </c>
      <c r="L1051" s="10" t="s">
        <v>42</v>
      </c>
    </row>
    <row r="1052" ht="15.75" customHeight="1">
      <c r="A1052" s="66">
        <v>45477.0</v>
      </c>
      <c r="B1052" s="55" t="str">
        <f>HYPERLINK("https://jobright.ai/jobs/info/6699227410e3fec36b685faf?utm_campaign=1057&amp;utm_source=sheet", "Apply")</f>
        <v>Apply</v>
      </c>
      <c r="C1052" s="10" t="s">
        <v>25107</v>
      </c>
      <c r="D1052" s="56" t="s">
        <v>4448</v>
      </c>
      <c r="E1052" s="10" t="s">
        <v>71</v>
      </c>
      <c r="F1052" s="10" t="s">
        <v>4449</v>
      </c>
      <c r="G1052" s="10" t="s">
        <v>24043</v>
      </c>
      <c r="H1052" s="10" t="s">
        <v>25123</v>
      </c>
      <c r="I1052" s="10" t="s">
        <v>55</v>
      </c>
      <c r="K1052" s="10" t="s">
        <v>4450</v>
      </c>
      <c r="L1052" s="10" t="s">
        <v>42</v>
      </c>
    </row>
    <row r="1053" ht="15.75" customHeight="1">
      <c r="A1053" s="66">
        <v>45477.0</v>
      </c>
      <c r="B1053" s="55" t="str">
        <f>HYPERLINK("https://jobright.ai/jobs/info/6699227b10e3fec36b685fda?utm_campaign=1057&amp;utm_source=sheet", "Apply")</f>
        <v>Apply</v>
      </c>
      <c r="C1053" s="10" t="s">
        <v>25138</v>
      </c>
      <c r="D1053" s="56" t="s">
        <v>4448</v>
      </c>
      <c r="E1053" s="10" t="s">
        <v>71</v>
      </c>
      <c r="F1053" s="10" t="s">
        <v>4449</v>
      </c>
      <c r="G1053" s="10" t="s">
        <v>24043</v>
      </c>
      <c r="H1053" s="10" t="s">
        <v>25149</v>
      </c>
      <c r="I1053" s="10" t="s">
        <v>55</v>
      </c>
      <c r="K1053" s="10" t="s">
        <v>4450</v>
      </c>
      <c r="L1053" s="10" t="s">
        <v>42</v>
      </c>
    </row>
    <row r="1054" ht="15.75" customHeight="1">
      <c r="A1054" s="66">
        <v>45477.0</v>
      </c>
      <c r="B1054" s="55" t="str">
        <f>HYPERLINK("https://jobright.ai/jobs/info/6699227b10e3fec36b685fe5?utm_campaign=1057&amp;utm_source=sheet", "Apply")</f>
        <v>Apply</v>
      </c>
      <c r="C1054" s="10" t="s">
        <v>24484</v>
      </c>
      <c r="D1054" s="56" t="s">
        <v>4448</v>
      </c>
      <c r="E1054" s="10" t="s">
        <v>71</v>
      </c>
      <c r="F1054" s="10" t="s">
        <v>4449</v>
      </c>
      <c r="G1054" s="10" t="s">
        <v>24043</v>
      </c>
      <c r="H1054" s="10" t="s">
        <v>8212</v>
      </c>
      <c r="I1054" s="10" t="s">
        <v>55</v>
      </c>
      <c r="K1054" s="10" t="s">
        <v>4450</v>
      </c>
      <c r="L1054" s="10" t="s">
        <v>42</v>
      </c>
    </row>
    <row r="1055" ht="15.75" customHeight="1">
      <c r="A1055" s="66">
        <v>45477.0</v>
      </c>
      <c r="B1055" s="55" t="str">
        <f>HYPERLINK("https://jobright.ai/jobs/info/66991cedcf3e3e1ced3d8447?utm_campaign=1057&amp;utm_source=sheet", "Apply")</f>
        <v>Apply</v>
      </c>
      <c r="C1055" s="10" t="s">
        <v>24320</v>
      </c>
      <c r="D1055" s="56" t="s">
        <v>4448</v>
      </c>
      <c r="E1055" s="10" t="s">
        <v>71</v>
      </c>
      <c r="F1055" s="10" t="s">
        <v>4449</v>
      </c>
      <c r="G1055" s="10" t="s">
        <v>24043</v>
      </c>
      <c r="H1055" s="10" t="s">
        <v>7477</v>
      </c>
      <c r="I1055" s="10" t="s">
        <v>55</v>
      </c>
      <c r="K1055" s="10" t="s">
        <v>4450</v>
      </c>
      <c r="L1055" s="10" t="s">
        <v>42</v>
      </c>
    </row>
    <row r="1056" ht="15.75" customHeight="1">
      <c r="A1056" s="66">
        <v>45477.0</v>
      </c>
      <c r="B1056" s="55" t="str">
        <f>HYPERLINK("https://jobright.ai/jobs/info/66991cf6cf3e3e1ced3d847a?utm_campaign=1057&amp;utm_source=sheet", "Apply")</f>
        <v>Apply</v>
      </c>
      <c r="C1056" s="10" t="s">
        <v>24317</v>
      </c>
      <c r="D1056" s="56" t="s">
        <v>4448</v>
      </c>
      <c r="E1056" s="10" t="s">
        <v>71</v>
      </c>
      <c r="F1056" s="10" t="s">
        <v>4449</v>
      </c>
      <c r="G1056" s="10" t="s">
        <v>24043</v>
      </c>
      <c r="H1056" s="10" t="s">
        <v>8254</v>
      </c>
      <c r="I1056" s="10" t="s">
        <v>55</v>
      </c>
      <c r="K1056" s="10" t="s">
        <v>4450</v>
      </c>
      <c r="L1056" s="10" t="s">
        <v>42</v>
      </c>
    </row>
    <row r="1057" ht="15.75" customHeight="1">
      <c r="A1057" s="66">
        <v>45477.0</v>
      </c>
      <c r="B1057" s="55" t="str">
        <f>HYPERLINK("https://jobright.ai/jobs/info/669918f2f68d49a9355a2282?utm_campaign=1057&amp;utm_source=sheet", "Apply")</f>
        <v>Apply</v>
      </c>
      <c r="C1057" s="10" t="s">
        <v>24520</v>
      </c>
      <c r="D1057" s="56" t="s">
        <v>4448</v>
      </c>
      <c r="E1057" s="10" t="s">
        <v>71</v>
      </c>
      <c r="F1057" s="10" t="s">
        <v>4449</v>
      </c>
      <c r="G1057" s="10" t="s">
        <v>24043</v>
      </c>
      <c r="H1057" s="10" t="s">
        <v>19926</v>
      </c>
      <c r="I1057" s="10" t="s">
        <v>55</v>
      </c>
      <c r="K1057" s="10" t="s">
        <v>4450</v>
      </c>
      <c r="L1057" s="10" t="s">
        <v>42</v>
      </c>
    </row>
    <row r="1058" ht="15.75" customHeight="1">
      <c r="A1058" s="66">
        <v>45477.0</v>
      </c>
      <c r="B1058" s="55" t="str">
        <f>HYPERLINK("https://jobright.ai/jobs/info/669915e1631213140cd58afa?utm_campaign=1057&amp;utm_source=sheet", "Apply")</f>
        <v>Apply</v>
      </c>
      <c r="C1058" s="10" t="s">
        <v>24501</v>
      </c>
      <c r="D1058" s="56" t="s">
        <v>4448</v>
      </c>
      <c r="E1058" s="10" t="s">
        <v>71</v>
      </c>
      <c r="F1058" s="10" t="s">
        <v>4449</v>
      </c>
      <c r="G1058" s="10" t="s">
        <v>24043</v>
      </c>
      <c r="H1058" s="10" t="s">
        <v>19926</v>
      </c>
      <c r="I1058" s="10" t="s">
        <v>55</v>
      </c>
      <c r="K1058" s="10" t="s">
        <v>4450</v>
      </c>
      <c r="L1058" s="10" t="s">
        <v>42</v>
      </c>
    </row>
    <row r="1059" ht="15.75" customHeight="1">
      <c r="A1059" s="66">
        <v>45477.0</v>
      </c>
      <c r="B1059" s="55" t="str">
        <f>HYPERLINK("https://jobright.ai/jobs/info/669915e1631213140cd58afe?utm_campaign=1057&amp;utm_source=sheet", "Apply")</f>
        <v>Apply</v>
      </c>
      <c r="C1059" s="10" t="s">
        <v>24511</v>
      </c>
      <c r="D1059" s="56" t="s">
        <v>4448</v>
      </c>
      <c r="E1059" s="10" t="s">
        <v>71</v>
      </c>
      <c r="F1059" s="10" t="s">
        <v>4449</v>
      </c>
      <c r="G1059" s="10" t="s">
        <v>24043</v>
      </c>
      <c r="H1059" s="10" t="s">
        <v>9029</v>
      </c>
      <c r="I1059" s="10" t="s">
        <v>55</v>
      </c>
      <c r="K1059" s="10" t="s">
        <v>4450</v>
      </c>
      <c r="L1059" s="10" t="s">
        <v>42</v>
      </c>
    </row>
    <row r="1060" ht="15.75" customHeight="1">
      <c r="A1060" s="66">
        <v>45477.0</v>
      </c>
      <c r="B1060" s="55" t="str">
        <f>HYPERLINK("https://jobright.ai/jobs/info/669915e9631213140cd58bd4?utm_campaign=1057&amp;utm_source=sheet", "Apply")</f>
        <v>Apply</v>
      </c>
      <c r="C1060" s="10" t="s">
        <v>24502</v>
      </c>
      <c r="D1060" s="56" t="s">
        <v>4448</v>
      </c>
      <c r="E1060" s="10" t="s">
        <v>71</v>
      </c>
      <c r="F1060" s="10" t="s">
        <v>4449</v>
      </c>
      <c r="G1060" s="10" t="s">
        <v>24043</v>
      </c>
      <c r="H1060" s="10" t="s">
        <v>25150</v>
      </c>
      <c r="I1060" s="10" t="s">
        <v>55</v>
      </c>
      <c r="K1060" s="10" t="s">
        <v>4450</v>
      </c>
      <c r="L1060" s="10" t="s">
        <v>42</v>
      </c>
    </row>
    <row r="1061" ht="15.75" customHeight="1">
      <c r="A1061" s="66">
        <v>45477.0</v>
      </c>
      <c r="B1061" s="55" t="str">
        <f>HYPERLINK("https://jobright.ai/jobs/info/66990ee073d5af3493603e8a?utm_campaign=1057&amp;utm_source=sheet", "Apply")</f>
        <v>Apply</v>
      </c>
      <c r="C1061" s="10" t="s">
        <v>24521</v>
      </c>
      <c r="D1061" s="56" t="s">
        <v>4448</v>
      </c>
      <c r="E1061" s="10" t="s">
        <v>71</v>
      </c>
      <c r="F1061" s="10" t="s">
        <v>4449</v>
      </c>
      <c r="G1061" s="10" t="s">
        <v>24043</v>
      </c>
      <c r="H1061" s="10" t="s">
        <v>24891</v>
      </c>
      <c r="I1061" s="10" t="s">
        <v>55</v>
      </c>
      <c r="K1061" s="10" t="s">
        <v>4450</v>
      </c>
      <c r="L1061" s="10" t="s">
        <v>42</v>
      </c>
    </row>
    <row r="1062" ht="15.75" customHeight="1">
      <c r="A1062" s="66">
        <v>45477.0</v>
      </c>
      <c r="B1062" s="55" t="str">
        <f>HYPERLINK("https://jobright.ai/jobs/info/66990bcec8a59dc96df53c86?utm_campaign=1057&amp;utm_source=sheet", "Apply")</f>
        <v>Apply</v>
      </c>
      <c r="C1062" s="10" t="s">
        <v>24374</v>
      </c>
      <c r="D1062" s="56" t="s">
        <v>4448</v>
      </c>
      <c r="E1062" s="10" t="s">
        <v>71</v>
      </c>
      <c r="F1062" s="10" t="s">
        <v>4449</v>
      </c>
      <c r="G1062" s="10" t="s">
        <v>24043</v>
      </c>
      <c r="H1062" s="10" t="s">
        <v>25090</v>
      </c>
      <c r="I1062" s="10" t="s">
        <v>55</v>
      </c>
      <c r="K1062" s="10" t="s">
        <v>4450</v>
      </c>
      <c r="L1062" s="10" t="s">
        <v>42</v>
      </c>
    </row>
    <row r="1063" ht="15.75" customHeight="1">
      <c r="A1063" s="66">
        <v>45477.0</v>
      </c>
      <c r="B1063" s="55" t="str">
        <f>HYPERLINK("https://jobright.ai/jobs/info/66990bd6c8a59dc96df53ccc?utm_campaign=1057&amp;utm_source=sheet", "Apply")</f>
        <v>Apply</v>
      </c>
      <c r="C1063" s="10" t="s">
        <v>24508</v>
      </c>
      <c r="D1063" s="56" t="s">
        <v>4448</v>
      </c>
      <c r="E1063" s="10" t="s">
        <v>71</v>
      </c>
      <c r="F1063" s="10" t="s">
        <v>4449</v>
      </c>
      <c r="G1063" s="10" t="s">
        <v>24043</v>
      </c>
      <c r="H1063" s="10" t="s">
        <v>1569</v>
      </c>
      <c r="I1063" s="10" t="s">
        <v>55</v>
      </c>
      <c r="K1063" s="10" t="s">
        <v>4450</v>
      </c>
      <c r="L1063" s="10" t="s">
        <v>42</v>
      </c>
    </row>
    <row r="1064" ht="15.75" customHeight="1">
      <c r="A1064" s="66">
        <v>45477.0</v>
      </c>
      <c r="B1064" s="55" t="str">
        <f>HYPERLINK("https://jobright.ai/jobs/info/66990bd6c8a59dc96df53cd7?utm_campaign=1057&amp;utm_source=sheet", "Apply")</f>
        <v>Apply</v>
      </c>
      <c r="C1064" s="10" t="s">
        <v>25151</v>
      </c>
      <c r="D1064" s="56" t="s">
        <v>4448</v>
      </c>
      <c r="E1064" s="10" t="s">
        <v>71</v>
      </c>
      <c r="F1064" s="10" t="s">
        <v>4449</v>
      </c>
      <c r="G1064" s="10" t="s">
        <v>24043</v>
      </c>
      <c r="H1064" s="10" t="s">
        <v>22285</v>
      </c>
      <c r="I1064" s="10" t="s">
        <v>55</v>
      </c>
      <c r="K1064" s="10" t="s">
        <v>4450</v>
      </c>
      <c r="L1064" s="10" t="s">
        <v>42</v>
      </c>
    </row>
    <row r="1065" ht="15.75" customHeight="1">
      <c r="A1065" s="66">
        <v>45477.0</v>
      </c>
      <c r="B1065" s="55" t="str">
        <f>HYPERLINK("https://jobright.ai/jobs/info/66990bd6c8a59dc96df53cdb?utm_campaign=1057&amp;utm_source=sheet", "Apply")</f>
        <v>Apply</v>
      </c>
      <c r="C1065" s="10" t="s">
        <v>24515</v>
      </c>
      <c r="D1065" s="56" t="s">
        <v>4448</v>
      </c>
      <c r="E1065" s="10" t="s">
        <v>71</v>
      </c>
      <c r="F1065" s="10" t="s">
        <v>4449</v>
      </c>
      <c r="G1065" s="10" t="s">
        <v>24043</v>
      </c>
      <c r="H1065" s="10" t="s">
        <v>8246</v>
      </c>
      <c r="I1065" s="10" t="s">
        <v>55</v>
      </c>
      <c r="K1065" s="10" t="s">
        <v>4450</v>
      </c>
      <c r="L1065" s="10" t="s">
        <v>42</v>
      </c>
    </row>
    <row r="1066" ht="15.75" customHeight="1">
      <c r="A1066" s="66">
        <v>45477.0</v>
      </c>
      <c r="B1066" s="55" t="str">
        <f>HYPERLINK("https://jobright.ai/jobs/info/669903657a1a867c6b893bc7?utm_campaign=1057&amp;utm_source=sheet", "Apply")</f>
        <v>Apply</v>
      </c>
      <c r="C1066" s="10" t="s">
        <v>25152</v>
      </c>
      <c r="D1066" s="56" t="s">
        <v>4448</v>
      </c>
      <c r="E1066" s="10" t="s">
        <v>71</v>
      </c>
      <c r="F1066" s="10" t="s">
        <v>4449</v>
      </c>
      <c r="G1066" s="10" t="s">
        <v>24043</v>
      </c>
      <c r="H1066" s="10" t="s">
        <v>8246</v>
      </c>
      <c r="I1066" s="10" t="s">
        <v>55</v>
      </c>
      <c r="K1066" s="10" t="s">
        <v>4450</v>
      </c>
      <c r="L1066" s="10" t="s">
        <v>42</v>
      </c>
    </row>
    <row r="1067" ht="15.75" customHeight="1">
      <c r="A1067" s="66">
        <v>45477.0</v>
      </c>
      <c r="B1067" s="55" t="str">
        <f>HYPERLINK("https://jobright.ai/jobs/info/669903657a1a867c6b893bfd?utm_campaign=1057&amp;utm_source=sheet", "Apply")</f>
        <v>Apply</v>
      </c>
      <c r="C1067" s="10" t="s">
        <v>25107</v>
      </c>
      <c r="D1067" s="56" t="s">
        <v>4448</v>
      </c>
      <c r="E1067" s="10" t="s">
        <v>71</v>
      </c>
      <c r="F1067" s="10" t="s">
        <v>4449</v>
      </c>
      <c r="G1067" s="10" t="s">
        <v>24043</v>
      </c>
      <c r="H1067" s="10" t="s">
        <v>7477</v>
      </c>
      <c r="I1067" s="10" t="s">
        <v>55</v>
      </c>
      <c r="K1067" s="10" t="s">
        <v>4450</v>
      </c>
      <c r="L1067" s="10" t="s">
        <v>42</v>
      </c>
    </row>
    <row r="1068" ht="15.75" customHeight="1">
      <c r="A1068" s="66">
        <v>45477.0</v>
      </c>
      <c r="B1068" s="55" t="str">
        <f>HYPERLINK("https://jobright.ai/jobs/info/669900613ff35d25bbba3bee?utm_campaign=1057&amp;utm_source=sheet", "Apply")</f>
        <v>Apply</v>
      </c>
      <c r="C1068" s="10" t="s">
        <v>24499</v>
      </c>
      <c r="D1068" s="56" t="s">
        <v>4448</v>
      </c>
      <c r="E1068" s="10" t="s">
        <v>71</v>
      </c>
      <c r="F1068" s="10" t="s">
        <v>4449</v>
      </c>
      <c r="G1068" s="10" t="s">
        <v>24043</v>
      </c>
      <c r="H1068" s="10" t="s">
        <v>25144</v>
      </c>
      <c r="I1068" s="10" t="s">
        <v>55</v>
      </c>
      <c r="K1068" s="10" t="s">
        <v>4450</v>
      </c>
      <c r="L1068" s="10" t="s">
        <v>42</v>
      </c>
    </row>
    <row r="1069" ht="15.75" customHeight="1">
      <c r="A1069" s="66">
        <v>45477.0</v>
      </c>
      <c r="B1069" s="55" t="str">
        <f>HYPERLINK("https://jobright.ai/jobs/info/669900613ff35d25bbba3c3b?utm_campaign=1057&amp;utm_source=sheet", "Apply")</f>
        <v>Apply</v>
      </c>
      <c r="C1069" s="10" t="s">
        <v>24374</v>
      </c>
      <c r="D1069" s="56" t="s">
        <v>4448</v>
      </c>
      <c r="E1069" s="10" t="s">
        <v>71</v>
      </c>
      <c r="F1069" s="10" t="s">
        <v>4449</v>
      </c>
      <c r="G1069" s="10" t="s">
        <v>24043</v>
      </c>
      <c r="H1069" s="10" t="s">
        <v>7412</v>
      </c>
      <c r="I1069" s="10" t="s">
        <v>55</v>
      </c>
      <c r="K1069" s="10" t="s">
        <v>4450</v>
      </c>
      <c r="L1069" s="10" t="s">
        <v>42</v>
      </c>
    </row>
    <row r="1070" ht="15.75" customHeight="1">
      <c r="A1070" s="66">
        <v>45477.0</v>
      </c>
      <c r="B1070" s="55" t="str">
        <f>HYPERLINK("https://jobright.ai/jobs/info/669900613ff35d25bbba3c58?utm_campaign=1057&amp;utm_source=sheet", "Apply")</f>
        <v>Apply</v>
      </c>
      <c r="C1070" s="10" t="s">
        <v>24374</v>
      </c>
      <c r="D1070" s="56" t="s">
        <v>4448</v>
      </c>
      <c r="E1070" s="10" t="s">
        <v>71</v>
      </c>
      <c r="F1070" s="10" t="s">
        <v>4449</v>
      </c>
      <c r="G1070" s="10" t="s">
        <v>24043</v>
      </c>
      <c r="H1070" s="10" t="s">
        <v>24059</v>
      </c>
      <c r="I1070" s="10" t="s">
        <v>55</v>
      </c>
      <c r="K1070" s="10" t="s">
        <v>4450</v>
      </c>
      <c r="L1070" s="10" t="s">
        <v>42</v>
      </c>
    </row>
    <row r="1071" ht="15.75" customHeight="1">
      <c r="A1071" s="66">
        <v>45477.0</v>
      </c>
      <c r="B1071" s="55" t="str">
        <f>HYPERLINK("https://jobright.ai/jobs/info/669900613ff35d25bbba3c5c?utm_campaign=1057&amp;utm_source=sheet", "Apply")</f>
        <v>Apply</v>
      </c>
      <c r="C1071" s="10" t="s">
        <v>25120</v>
      </c>
      <c r="D1071" s="56" t="s">
        <v>4448</v>
      </c>
      <c r="E1071" s="10" t="s">
        <v>71</v>
      </c>
      <c r="F1071" s="10" t="s">
        <v>4449</v>
      </c>
      <c r="G1071" s="10" t="s">
        <v>24043</v>
      </c>
      <c r="H1071" s="10" t="s">
        <v>7474</v>
      </c>
      <c r="I1071" s="10" t="s">
        <v>55</v>
      </c>
      <c r="K1071" s="10" t="s">
        <v>4450</v>
      </c>
      <c r="L1071" s="10" t="s">
        <v>42</v>
      </c>
    </row>
    <row r="1072" ht="15.75" customHeight="1">
      <c r="A1072" s="66">
        <v>45477.0</v>
      </c>
      <c r="B1072" s="55" t="str">
        <f>HYPERLINK("https://jobright.ai/jobs/info/6698fc924a6cb2aa5490ac89?utm_campaign=1057&amp;utm_source=sheet", "Apply")</f>
        <v>Apply</v>
      </c>
      <c r="C1072" s="10" t="s">
        <v>24061</v>
      </c>
      <c r="D1072" s="56" t="s">
        <v>4448</v>
      </c>
      <c r="E1072" s="10" t="s">
        <v>71</v>
      </c>
      <c r="F1072" s="10" t="s">
        <v>4449</v>
      </c>
      <c r="G1072" s="10" t="s">
        <v>24043</v>
      </c>
      <c r="H1072" s="10" t="s">
        <v>25137</v>
      </c>
      <c r="I1072" s="10" t="s">
        <v>55</v>
      </c>
      <c r="K1072" s="10" t="s">
        <v>4450</v>
      </c>
      <c r="L1072" s="10" t="s">
        <v>42</v>
      </c>
    </row>
    <row r="1073" ht="15.75" customHeight="1">
      <c r="A1073" s="66">
        <v>45477.0</v>
      </c>
      <c r="B1073" s="55" t="str">
        <f>HYPERLINK("https://jobright.ai/jobs/info/6698fc924a6cb2aa5490ac92?utm_campaign=1057&amp;utm_source=sheet", "Apply")</f>
        <v>Apply</v>
      </c>
      <c r="C1073" s="10" t="s">
        <v>25152</v>
      </c>
      <c r="D1073" s="56" t="s">
        <v>4448</v>
      </c>
      <c r="E1073" s="10" t="s">
        <v>71</v>
      </c>
      <c r="F1073" s="10" t="s">
        <v>4449</v>
      </c>
      <c r="G1073" s="10" t="s">
        <v>24043</v>
      </c>
      <c r="H1073" s="10" t="s">
        <v>21286</v>
      </c>
      <c r="I1073" s="10" t="s">
        <v>55</v>
      </c>
      <c r="K1073" s="10" t="s">
        <v>4450</v>
      </c>
      <c r="L1073" s="10" t="s">
        <v>42</v>
      </c>
    </row>
    <row r="1074" ht="15.75" customHeight="1">
      <c r="A1074" s="66">
        <v>45477.0</v>
      </c>
      <c r="B1074" s="55" t="str">
        <f>HYPERLINK("https://jobright.ai/jobs/info/6698f8fed83e60337ee6864b?utm_campaign=1057&amp;utm_source=sheet", "Apply")</f>
        <v>Apply</v>
      </c>
      <c r="C1074" s="10" t="s">
        <v>24515</v>
      </c>
      <c r="D1074" s="56" t="s">
        <v>4448</v>
      </c>
      <c r="E1074" s="10" t="s">
        <v>71</v>
      </c>
      <c r="F1074" s="10" t="s">
        <v>4449</v>
      </c>
      <c r="G1074" s="10" t="s">
        <v>24043</v>
      </c>
      <c r="H1074" s="10" t="s">
        <v>25032</v>
      </c>
      <c r="I1074" s="10" t="s">
        <v>55</v>
      </c>
      <c r="K1074" s="10" t="s">
        <v>4450</v>
      </c>
      <c r="L1074" s="10" t="s">
        <v>42</v>
      </c>
    </row>
    <row r="1075" ht="15.75" customHeight="1">
      <c r="A1075" s="66">
        <v>45477.0</v>
      </c>
      <c r="B1075" s="55" t="str">
        <f>HYPERLINK("https://jobright.ai/jobs/info/6698f8fed83e60337ee6864d?utm_campaign=1057&amp;utm_source=sheet", "Apply")</f>
        <v>Apply</v>
      </c>
      <c r="C1075" s="10" t="s">
        <v>24406</v>
      </c>
      <c r="D1075" s="56" t="s">
        <v>4448</v>
      </c>
      <c r="E1075" s="10" t="s">
        <v>71</v>
      </c>
      <c r="F1075" s="10" t="s">
        <v>4449</v>
      </c>
      <c r="G1075" s="10" t="s">
        <v>24043</v>
      </c>
      <c r="H1075" s="10" t="s">
        <v>25112</v>
      </c>
      <c r="I1075" s="10" t="s">
        <v>55</v>
      </c>
      <c r="K1075" s="10" t="s">
        <v>4450</v>
      </c>
      <c r="L1075" s="10" t="s">
        <v>42</v>
      </c>
    </row>
    <row r="1076" ht="15.75" customHeight="1">
      <c r="A1076" s="66">
        <v>45477.0</v>
      </c>
      <c r="B1076" s="55" t="str">
        <f>HYPERLINK("https://jobright.ai/jobs/info/6698f8fed83e60337ee68652?utm_campaign=1057&amp;utm_source=sheet", "Apply")</f>
        <v>Apply</v>
      </c>
      <c r="C1076" s="10" t="s">
        <v>24494</v>
      </c>
      <c r="D1076" s="56" t="s">
        <v>4448</v>
      </c>
      <c r="E1076" s="10" t="s">
        <v>71</v>
      </c>
      <c r="F1076" s="10" t="s">
        <v>4449</v>
      </c>
      <c r="G1076" s="10" t="s">
        <v>24043</v>
      </c>
      <c r="H1076" s="10" t="s">
        <v>8216</v>
      </c>
      <c r="I1076" s="10" t="s">
        <v>55</v>
      </c>
      <c r="K1076" s="10" t="s">
        <v>4450</v>
      </c>
      <c r="L1076" s="10" t="s">
        <v>42</v>
      </c>
    </row>
    <row r="1077" ht="15.75" customHeight="1">
      <c r="A1077" s="66">
        <v>45477.0</v>
      </c>
      <c r="B1077" s="55" t="str">
        <f>HYPERLINK("https://jobright.ai/jobs/info/6698f908d83e60337ee68730?utm_campaign=1057&amp;utm_source=sheet", "Apply")</f>
        <v>Apply</v>
      </c>
      <c r="C1077" s="10" t="s">
        <v>24515</v>
      </c>
      <c r="D1077" s="56" t="s">
        <v>4448</v>
      </c>
      <c r="E1077" s="10" t="s">
        <v>71</v>
      </c>
      <c r="F1077" s="10" t="s">
        <v>4449</v>
      </c>
      <c r="G1077" s="10" t="s">
        <v>24043</v>
      </c>
      <c r="H1077" s="10" t="s">
        <v>25153</v>
      </c>
      <c r="I1077" s="10" t="s">
        <v>55</v>
      </c>
      <c r="K1077" s="10" t="s">
        <v>4450</v>
      </c>
      <c r="L1077" s="10" t="s">
        <v>42</v>
      </c>
    </row>
    <row r="1078" ht="15.75" customHeight="1">
      <c r="A1078" s="66">
        <v>45477.0</v>
      </c>
      <c r="B1078" s="55" t="str">
        <f>HYPERLINK("https://jobright.ai/jobs/info/664d0313124370dcd92ddb34?utm_campaign=1057&amp;utm_source=sheet", "Apply")</f>
        <v>Apply</v>
      </c>
      <c r="C1078" s="10" t="s">
        <v>25154</v>
      </c>
      <c r="D1078" s="56" t="s">
        <v>24076</v>
      </c>
      <c r="E1078" s="10" t="s">
        <v>276</v>
      </c>
      <c r="F1078" s="10" t="s">
        <v>23548</v>
      </c>
      <c r="G1078" s="10" t="s">
        <v>24031</v>
      </c>
      <c r="H1078" s="10" t="s">
        <v>86</v>
      </c>
      <c r="I1078" s="10" t="s">
        <v>55</v>
      </c>
      <c r="J1078" s="10" t="s">
        <v>25155</v>
      </c>
      <c r="K1078" s="10" t="s">
        <v>24077</v>
      </c>
      <c r="L1078" s="10" t="s">
        <v>42</v>
      </c>
    </row>
    <row r="1079" ht="15.75" customHeight="1">
      <c r="A1079" s="66">
        <v>45477.0</v>
      </c>
      <c r="B1079" s="55" t="str">
        <f>HYPERLINK("https://jobright.ai/jobs/info/6686783262fee5182d24b22d?utm_campaign=1057&amp;utm_source=sheet", "Apply")</f>
        <v>Apply</v>
      </c>
      <c r="C1079" s="10" t="s">
        <v>25156</v>
      </c>
      <c r="D1079" s="56" t="s">
        <v>21518</v>
      </c>
      <c r="E1079" s="10" t="s">
        <v>65</v>
      </c>
      <c r="G1079" s="10" t="s">
        <v>24022</v>
      </c>
      <c r="H1079" s="10" t="s">
        <v>25157</v>
      </c>
      <c r="I1079" s="10" t="s">
        <v>55</v>
      </c>
      <c r="K1079" s="10" t="s">
        <v>25158</v>
      </c>
      <c r="L1079" s="10" t="s">
        <v>42</v>
      </c>
    </row>
    <row r="1080" ht="15.75" customHeight="1">
      <c r="A1080" s="66">
        <v>45477.0</v>
      </c>
      <c r="B1080" s="55" t="str">
        <f>HYPERLINK("https://jobright.ai/jobs/info/6686783262fee5182d24b295?utm_campaign=1057&amp;utm_source=sheet", "Apply")</f>
        <v>Apply</v>
      </c>
      <c r="C1080" s="10" t="s">
        <v>25159</v>
      </c>
      <c r="D1080" s="56" t="s">
        <v>3593</v>
      </c>
      <c r="E1080" s="59">
        <v>45301.0</v>
      </c>
      <c r="F1080" s="10" t="s">
        <v>3594</v>
      </c>
      <c r="G1080" s="10" t="s">
        <v>24022</v>
      </c>
      <c r="H1080" s="10" t="s">
        <v>636</v>
      </c>
      <c r="I1080" s="10" t="s">
        <v>55</v>
      </c>
      <c r="J1080" s="10" t="s">
        <v>3911</v>
      </c>
      <c r="K1080" s="10" t="s">
        <v>25160</v>
      </c>
      <c r="L1080" s="10" t="s">
        <v>42</v>
      </c>
    </row>
    <row r="1081" ht="15.75" customHeight="1">
      <c r="A1081" s="66">
        <v>45477.0</v>
      </c>
      <c r="B1081" s="55" t="str">
        <f>HYPERLINK("https://jobright.ai/jobs/info/6686631bf5ea75266998418a?utm_campaign=1057&amp;utm_source=sheet", "Apply")</f>
        <v>Apply</v>
      </c>
      <c r="C1081" s="10" t="s">
        <v>25161</v>
      </c>
      <c r="D1081" s="56" t="s">
        <v>21518</v>
      </c>
      <c r="E1081" s="10" t="s">
        <v>65</v>
      </c>
      <c r="G1081" s="10" t="s">
        <v>24022</v>
      </c>
      <c r="H1081" s="10" t="s">
        <v>25157</v>
      </c>
      <c r="I1081" s="10" t="s">
        <v>55</v>
      </c>
      <c r="K1081" s="10" t="s">
        <v>25162</v>
      </c>
      <c r="L1081" s="10" t="s">
        <v>42</v>
      </c>
    </row>
    <row r="1082" ht="15.75" customHeight="1">
      <c r="A1082" s="66">
        <v>45477.0</v>
      </c>
      <c r="B1082" s="55" t="str">
        <f>HYPERLINK("https://jobright.ai/jobs/info/668636f4c3a227946a5ec4b6?utm_campaign=1057&amp;utm_source=sheet", "Apply")</f>
        <v>Apply</v>
      </c>
      <c r="C1082" s="10" t="s">
        <v>25163</v>
      </c>
      <c r="D1082" s="56" t="s">
        <v>25164</v>
      </c>
      <c r="E1082" s="10" t="s">
        <v>79</v>
      </c>
      <c r="F1082" s="10" t="s">
        <v>1506</v>
      </c>
      <c r="G1082" s="10" t="s">
        <v>24022</v>
      </c>
      <c r="H1082" s="10" t="s">
        <v>2241</v>
      </c>
      <c r="I1082" s="10" t="s">
        <v>55</v>
      </c>
      <c r="K1082" s="10" t="s">
        <v>25165</v>
      </c>
      <c r="L1082" s="10" t="s">
        <v>42</v>
      </c>
    </row>
    <row r="1083" ht="15.75" customHeight="1">
      <c r="A1083" s="66">
        <v>45476.0</v>
      </c>
      <c r="B1083" s="55" t="str">
        <f>HYPERLINK("https://jobright.ai/jobs/info/6685f061188ab17c33cd7e4e?utm_campaign=1057&amp;utm_source=sheet", "Apply")</f>
        <v>Apply</v>
      </c>
      <c r="C1083" s="10" t="s">
        <v>25166</v>
      </c>
      <c r="D1083" s="56" t="s">
        <v>1794</v>
      </c>
      <c r="E1083" s="10" t="s">
        <v>65</v>
      </c>
      <c r="F1083" s="10" t="s">
        <v>1795</v>
      </c>
      <c r="G1083" s="10" t="s">
        <v>24022</v>
      </c>
      <c r="H1083" s="10" t="s">
        <v>1796</v>
      </c>
      <c r="I1083" s="10" t="s">
        <v>55</v>
      </c>
      <c r="J1083" s="10" t="s">
        <v>25167</v>
      </c>
      <c r="K1083" s="10" t="s">
        <v>25168</v>
      </c>
      <c r="L1083" s="10" t="s">
        <v>42</v>
      </c>
    </row>
    <row r="1084" ht="15.75" customHeight="1">
      <c r="A1084" s="66">
        <v>45476.0</v>
      </c>
      <c r="B1084" s="55" t="str">
        <f>HYPERLINK("https://jobright.ai/jobs/info/6685ae68f090003c734f6ad6?utm_campaign=1057&amp;utm_source=sheet", "Apply")</f>
        <v>Apply</v>
      </c>
      <c r="C1084" s="10" t="s">
        <v>25169</v>
      </c>
      <c r="D1084" s="56" t="s">
        <v>25170</v>
      </c>
      <c r="E1084" s="10">
        <v>612.0</v>
      </c>
      <c r="G1084" s="10" t="s">
        <v>24022</v>
      </c>
      <c r="H1084" s="10" t="s">
        <v>25171</v>
      </c>
      <c r="I1084" s="10" t="s">
        <v>55</v>
      </c>
      <c r="K1084" s="10" t="s">
        <v>25172</v>
      </c>
      <c r="L1084" s="10" t="s">
        <v>42</v>
      </c>
    </row>
    <row r="1085" ht="15.75" customHeight="1">
      <c r="A1085" s="66">
        <v>45476.0</v>
      </c>
      <c r="B1085" s="55" t="str">
        <f>HYPERLINK("https://jobright.ai/jobs/info/66858c7d1b1f4c2377c85e92?utm_campaign=1057&amp;utm_source=sheet", "Apply")</f>
        <v>Apply</v>
      </c>
      <c r="C1085" s="10" t="s">
        <v>25173</v>
      </c>
      <c r="D1085" s="56" t="s">
        <v>24149</v>
      </c>
      <c r="E1085" s="10">
        <v>53.0</v>
      </c>
      <c r="G1085" s="10" t="s">
        <v>24031</v>
      </c>
      <c r="H1085" s="10" t="s">
        <v>12857</v>
      </c>
      <c r="I1085" s="10" t="s">
        <v>55</v>
      </c>
      <c r="K1085" s="10" t="s">
        <v>25174</v>
      </c>
      <c r="L1085" s="10" t="s">
        <v>42</v>
      </c>
    </row>
    <row r="1086" ht="15.75" customHeight="1">
      <c r="A1086" s="66">
        <v>45476.0</v>
      </c>
      <c r="B1086" s="55" t="str">
        <f>HYPERLINK("https://jobright.ai/jobs/info/66855f23c86324fc35ac5c8a?utm_campaign=1057&amp;utm_source=sheet", "Apply")</f>
        <v>Apply</v>
      </c>
      <c r="C1086" s="10" t="s">
        <v>25175</v>
      </c>
      <c r="D1086" s="56" t="s">
        <v>3119</v>
      </c>
      <c r="E1086" s="10" t="s">
        <v>45</v>
      </c>
      <c r="F1086" s="10" t="s">
        <v>3120</v>
      </c>
      <c r="G1086" s="10" t="s">
        <v>24031</v>
      </c>
      <c r="H1086" s="10" t="s">
        <v>340</v>
      </c>
      <c r="I1086" s="10" t="s">
        <v>55</v>
      </c>
      <c r="K1086" s="10" t="s">
        <v>25176</v>
      </c>
      <c r="L1086" s="10" t="s">
        <v>42</v>
      </c>
    </row>
    <row r="1087" ht="15.75" customHeight="1">
      <c r="A1087" s="66">
        <v>45476.0</v>
      </c>
      <c r="B1087" s="55" t="str">
        <f>HYPERLINK("https://jobright.ai/jobs/info/6684dec205d49fabee74186c?utm_campaign=1057&amp;utm_source=sheet", "Apply")</f>
        <v>Apply</v>
      </c>
      <c r="C1087" s="10" t="s">
        <v>25177</v>
      </c>
      <c r="D1087" s="56" t="s">
        <v>20697</v>
      </c>
      <c r="E1087" s="10" t="s">
        <v>209</v>
      </c>
      <c r="F1087" s="10" t="s">
        <v>2617</v>
      </c>
      <c r="G1087" s="10" t="s">
        <v>24043</v>
      </c>
      <c r="H1087" s="10" t="s">
        <v>24241</v>
      </c>
      <c r="I1087" s="10" t="s">
        <v>55</v>
      </c>
      <c r="J1087" s="10" t="s">
        <v>24234</v>
      </c>
      <c r="K1087" s="10" t="s">
        <v>25178</v>
      </c>
      <c r="L1087" s="10" t="s">
        <v>42</v>
      </c>
    </row>
    <row r="1088" ht="15.75" customHeight="1">
      <c r="A1088" s="66">
        <v>45476.0</v>
      </c>
      <c r="B1088" s="55" t="str">
        <f>HYPERLINK("https://jobright.ai/jobs/info/6684dec205d49fabee74186d?utm_campaign=1057&amp;utm_source=sheet", "Apply")</f>
        <v>Apply</v>
      </c>
      <c r="C1088" s="10" t="s">
        <v>25177</v>
      </c>
      <c r="D1088" s="56" t="s">
        <v>20697</v>
      </c>
      <c r="E1088" s="10" t="s">
        <v>209</v>
      </c>
      <c r="F1088" s="10" t="s">
        <v>2617</v>
      </c>
      <c r="G1088" s="10" t="s">
        <v>24043</v>
      </c>
      <c r="H1088" s="10" t="s">
        <v>24243</v>
      </c>
      <c r="I1088" s="10" t="s">
        <v>55</v>
      </c>
      <c r="J1088" s="10" t="s">
        <v>24234</v>
      </c>
      <c r="K1088" s="10" t="s">
        <v>25178</v>
      </c>
      <c r="L1088" s="10" t="s">
        <v>42</v>
      </c>
    </row>
    <row r="1089" ht="15.75" customHeight="1">
      <c r="A1089" s="66">
        <v>45476.0</v>
      </c>
      <c r="B1089" s="55" t="str">
        <f>HYPERLINK("https://jobright.ai/jobs/info/6684dec205d49fabee74186e?utm_campaign=1057&amp;utm_source=sheet", "Apply")</f>
        <v>Apply</v>
      </c>
      <c r="C1089" s="10" t="s">
        <v>25177</v>
      </c>
      <c r="D1089" s="56" t="s">
        <v>20697</v>
      </c>
      <c r="E1089" s="10" t="s">
        <v>209</v>
      </c>
      <c r="F1089" s="10" t="s">
        <v>2617</v>
      </c>
      <c r="G1089" s="10" t="s">
        <v>24043</v>
      </c>
      <c r="H1089" s="10" t="s">
        <v>24236</v>
      </c>
      <c r="I1089" s="10" t="s">
        <v>55</v>
      </c>
      <c r="J1089" s="10" t="s">
        <v>24234</v>
      </c>
      <c r="K1089" s="10" t="s">
        <v>25178</v>
      </c>
      <c r="L1089" s="10" t="s">
        <v>42</v>
      </c>
    </row>
    <row r="1090" ht="15.75" customHeight="1">
      <c r="A1090" s="66">
        <v>45476.0</v>
      </c>
      <c r="B1090" s="55" t="str">
        <f>HYPERLINK("https://jobright.ai/jobs/info/6684dec205d49fabee74186f?utm_campaign=1057&amp;utm_source=sheet", "Apply")</f>
        <v>Apply</v>
      </c>
      <c r="C1090" s="10" t="s">
        <v>25177</v>
      </c>
      <c r="D1090" s="56" t="s">
        <v>20697</v>
      </c>
      <c r="E1090" s="10" t="s">
        <v>209</v>
      </c>
      <c r="F1090" s="10" t="s">
        <v>2617</v>
      </c>
      <c r="G1090" s="10" t="s">
        <v>24043</v>
      </c>
      <c r="H1090" s="10" t="s">
        <v>25179</v>
      </c>
      <c r="I1090" s="10" t="s">
        <v>55</v>
      </c>
      <c r="J1090" s="10" t="s">
        <v>24234</v>
      </c>
      <c r="K1090" s="10" t="s">
        <v>25178</v>
      </c>
      <c r="L1090" s="10" t="s">
        <v>42</v>
      </c>
    </row>
    <row r="1091" ht="15.75" customHeight="1">
      <c r="A1091" s="66">
        <v>45476.0</v>
      </c>
      <c r="B1091" s="55" t="str">
        <f>HYPERLINK("https://jobright.ai/jobs/info/6684dec205d49fabee741870?utm_campaign=1057&amp;utm_source=sheet", "Apply")</f>
        <v>Apply</v>
      </c>
      <c r="C1091" s="10" t="s">
        <v>25177</v>
      </c>
      <c r="D1091" s="56" t="s">
        <v>20697</v>
      </c>
      <c r="E1091" s="10" t="s">
        <v>209</v>
      </c>
      <c r="F1091" s="10" t="s">
        <v>2617</v>
      </c>
      <c r="G1091" s="10" t="s">
        <v>24043</v>
      </c>
      <c r="H1091" s="10" t="s">
        <v>10654</v>
      </c>
      <c r="I1091" s="10" t="s">
        <v>55</v>
      </c>
      <c r="J1091" s="10" t="s">
        <v>24234</v>
      </c>
      <c r="K1091" s="10" t="s">
        <v>25178</v>
      </c>
      <c r="L1091" s="10" t="s">
        <v>42</v>
      </c>
    </row>
    <row r="1092" ht="15.75" customHeight="1">
      <c r="A1092" s="66">
        <v>45476.0</v>
      </c>
      <c r="B1092" s="55" t="str">
        <f>HYPERLINK("https://jobright.ai/jobs/info/6684dec205d49fabee741871?utm_campaign=1057&amp;utm_source=sheet", "Apply")</f>
        <v>Apply</v>
      </c>
      <c r="C1092" s="10" t="s">
        <v>25177</v>
      </c>
      <c r="D1092" s="56" t="s">
        <v>20697</v>
      </c>
      <c r="E1092" s="10" t="s">
        <v>209</v>
      </c>
      <c r="F1092" s="10" t="s">
        <v>2617</v>
      </c>
      <c r="G1092" s="10" t="s">
        <v>24043</v>
      </c>
      <c r="H1092" s="10" t="s">
        <v>1978</v>
      </c>
      <c r="I1092" s="10" t="s">
        <v>55</v>
      </c>
      <c r="J1092" s="10" t="s">
        <v>24234</v>
      </c>
      <c r="K1092" s="10" t="s">
        <v>25178</v>
      </c>
      <c r="L1092" s="10" t="s">
        <v>42</v>
      </c>
    </row>
    <row r="1093" ht="15.75" customHeight="1">
      <c r="A1093" s="66">
        <v>45476.0</v>
      </c>
      <c r="B1093" s="55" t="str">
        <f>HYPERLINK("https://jobright.ai/jobs/info/6684dec205d49fabee741872?utm_campaign=1057&amp;utm_source=sheet", "Apply")</f>
        <v>Apply</v>
      </c>
      <c r="C1093" s="10" t="s">
        <v>25177</v>
      </c>
      <c r="D1093" s="56" t="s">
        <v>20697</v>
      </c>
      <c r="E1093" s="10" t="s">
        <v>209</v>
      </c>
      <c r="F1093" s="10" t="s">
        <v>2617</v>
      </c>
      <c r="G1093" s="10" t="s">
        <v>24043</v>
      </c>
      <c r="H1093" s="10" t="s">
        <v>24237</v>
      </c>
      <c r="I1093" s="10" t="s">
        <v>55</v>
      </c>
      <c r="J1093" s="10" t="s">
        <v>24234</v>
      </c>
      <c r="K1093" s="10" t="s">
        <v>25178</v>
      </c>
      <c r="L1093" s="10" t="s">
        <v>42</v>
      </c>
    </row>
    <row r="1094" ht="15.75" customHeight="1">
      <c r="A1094" s="66">
        <v>45476.0</v>
      </c>
      <c r="B1094" s="55" t="str">
        <f>HYPERLINK("https://jobright.ai/jobs/info/6684dec205d49fabee741873?utm_campaign=1057&amp;utm_source=sheet", "Apply")</f>
        <v>Apply</v>
      </c>
      <c r="C1094" s="10" t="s">
        <v>25177</v>
      </c>
      <c r="D1094" s="56" t="s">
        <v>20697</v>
      </c>
      <c r="E1094" s="10" t="s">
        <v>209</v>
      </c>
      <c r="F1094" s="10" t="s">
        <v>2617</v>
      </c>
      <c r="G1094" s="10" t="s">
        <v>24043</v>
      </c>
      <c r="H1094" s="10" t="s">
        <v>8958</v>
      </c>
      <c r="I1094" s="10" t="s">
        <v>55</v>
      </c>
      <c r="J1094" s="10" t="s">
        <v>24234</v>
      </c>
      <c r="K1094" s="10" t="s">
        <v>25178</v>
      </c>
      <c r="L1094" s="10" t="s">
        <v>42</v>
      </c>
    </row>
    <row r="1095" ht="15.75" customHeight="1">
      <c r="A1095" s="66">
        <v>45476.0</v>
      </c>
      <c r="B1095" s="55" t="str">
        <f>HYPERLINK("https://jobright.ai/jobs/info/6684dec205d49fabee741874?utm_campaign=1057&amp;utm_source=sheet", "Apply")</f>
        <v>Apply</v>
      </c>
      <c r="C1095" s="10" t="s">
        <v>25177</v>
      </c>
      <c r="D1095" s="56" t="s">
        <v>20697</v>
      </c>
      <c r="E1095" s="10" t="s">
        <v>209</v>
      </c>
      <c r="F1095" s="10" t="s">
        <v>2617</v>
      </c>
      <c r="G1095" s="10" t="s">
        <v>24043</v>
      </c>
      <c r="H1095" s="10" t="s">
        <v>271</v>
      </c>
      <c r="I1095" s="10" t="s">
        <v>55</v>
      </c>
      <c r="J1095" s="10" t="s">
        <v>24234</v>
      </c>
      <c r="K1095" s="10" t="s">
        <v>25178</v>
      </c>
      <c r="L1095" s="10" t="s">
        <v>42</v>
      </c>
    </row>
    <row r="1096" ht="15.75" customHeight="1">
      <c r="A1096" s="66">
        <v>45476.0</v>
      </c>
      <c r="B1096" s="55" t="str">
        <f>HYPERLINK("https://jobright.ai/jobs/info/6684dec205d49fabee741875?utm_campaign=1057&amp;utm_source=sheet", "Apply")</f>
        <v>Apply</v>
      </c>
      <c r="C1096" s="10" t="s">
        <v>25177</v>
      </c>
      <c r="D1096" s="56" t="s">
        <v>20697</v>
      </c>
      <c r="E1096" s="10" t="s">
        <v>209</v>
      </c>
      <c r="F1096" s="10" t="s">
        <v>2617</v>
      </c>
      <c r="G1096" s="10" t="s">
        <v>24043</v>
      </c>
      <c r="H1096" s="10" t="s">
        <v>3374</v>
      </c>
      <c r="I1096" s="10" t="s">
        <v>55</v>
      </c>
      <c r="J1096" s="10" t="s">
        <v>24234</v>
      </c>
      <c r="K1096" s="10" t="s">
        <v>25178</v>
      </c>
      <c r="L1096" s="10" t="s">
        <v>42</v>
      </c>
    </row>
    <row r="1097" ht="15.75" customHeight="1">
      <c r="A1097" s="66">
        <v>45476.0</v>
      </c>
      <c r="B1097" s="55" t="str">
        <f>HYPERLINK("https://jobright.ai/jobs/info/6684dec205d49fabee741876?utm_campaign=1057&amp;utm_source=sheet", "Apply")</f>
        <v>Apply</v>
      </c>
      <c r="C1097" s="10" t="s">
        <v>25177</v>
      </c>
      <c r="D1097" s="56" t="s">
        <v>20697</v>
      </c>
      <c r="E1097" s="10" t="s">
        <v>209</v>
      </c>
      <c r="F1097" s="10" t="s">
        <v>2617</v>
      </c>
      <c r="G1097" s="10" t="s">
        <v>24043</v>
      </c>
      <c r="H1097" s="10" t="s">
        <v>16749</v>
      </c>
      <c r="I1097" s="10" t="s">
        <v>55</v>
      </c>
      <c r="J1097" s="10" t="s">
        <v>24234</v>
      </c>
      <c r="K1097" s="10" t="s">
        <v>25178</v>
      </c>
      <c r="L1097" s="10" t="s">
        <v>42</v>
      </c>
    </row>
    <row r="1098" ht="15.75" customHeight="1">
      <c r="A1098" s="66">
        <v>45476.0</v>
      </c>
      <c r="B1098" s="55" t="str">
        <f>HYPERLINK("https://jobright.ai/jobs/info/6684dec205d49fabee741877?utm_campaign=1057&amp;utm_source=sheet", "Apply")</f>
        <v>Apply</v>
      </c>
      <c r="C1098" s="10" t="s">
        <v>25177</v>
      </c>
      <c r="D1098" s="56" t="s">
        <v>20697</v>
      </c>
      <c r="E1098" s="10" t="s">
        <v>209</v>
      </c>
      <c r="F1098" s="10" t="s">
        <v>2617</v>
      </c>
      <c r="G1098" s="10" t="s">
        <v>24043</v>
      </c>
      <c r="H1098" s="10" t="s">
        <v>20920</v>
      </c>
      <c r="I1098" s="10" t="s">
        <v>55</v>
      </c>
      <c r="J1098" s="10" t="s">
        <v>24234</v>
      </c>
      <c r="K1098" s="10" t="s">
        <v>25178</v>
      </c>
      <c r="L1098" s="10" t="s">
        <v>42</v>
      </c>
    </row>
    <row r="1099" ht="15.75" customHeight="1">
      <c r="A1099" s="66">
        <v>45476.0</v>
      </c>
      <c r="B1099" s="55" t="str">
        <f>HYPERLINK("https://jobright.ai/jobs/info/6684dec205d49fabee741878?utm_campaign=1057&amp;utm_source=sheet", "Apply")</f>
        <v>Apply</v>
      </c>
      <c r="C1099" s="10" t="s">
        <v>25177</v>
      </c>
      <c r="D1099" s="56" t="s">
        <v>20697</v>
      </c>
      <c r="E1099" s="10" t="s">
        <v>209</v>
      </c>
      <c r="F1099" s="10" t="s">
        <v>2617</v>
      </c>
      <c r="G1099" s="10" t="s">
        <v>24043</v>
      </c>
      <c r="H1099" s="10" t="s">
        <v>994</v>
      </c>
      <c r="I1099" s="10" t="s">
        <v>55</v>
      </c>
      <c r="J1099" s="10" t="s">
        <v>24234</v>
      </c>
      <c r="K1099" s="10" t="s">
        <v>25178</v>
      </c>
      <c r="L1099" s="10" t="s">
        <v>42</v>
      </c>
    </row>
    <row r="1100" ht="15.75" customHeight="1">
      <c r="A1100" s="66">
        <v>45476.0</v>
      </c>
      <c r="B1100" s="55" t="str">
        <f>HYPERLINK("https://jobright.ai/jobs/info/6684dec205d49fabee741879?utm_campaign=1057&amp;utm_source=sheet", "Apply")</f>
        <v>Apply</v>
      </c>
      <c r="C1100" s="10" t="s">
        <v>25177</v>
      </c>
      <c r="D1100" s="56" t="s">
        <v>20697</v>
      </c>
      <c r="E1100" s="10" t="s">
        <v>209</v>
      </c>
      <c r="F1100" s="10" t="s">
        <v>2617</v>
      </c>
      <c r="G1100" s="10" t="s">
        <v>24043</v>
      </c>
      <c r="H1100" s="10" t="s">
        <v>131</v>
      </c>
      <c r="I1100" s="10" t="s">
        <v>55</v>
      </c>
      <c r="J1100" s="10" t="s">
        <v>24234</v>
      </c>
      <c r="K1100" s="10" t="s">
        <v>25178</v>
      </c>
      <c r="L1100" s="10" t="s">
        <v>42</v>
      </c>
    </row>
    <row r="1101" ht="15.75" customHeight="1">
      <c r="A1101" s="66">
        <v>45476.0</v>
      </c>
      <c r="B1101" s="55" t="str">
        <f>HYPERLINK("https://jobright.ai/jobs/info/6684dec205d49fabee74187a?utm_campaign=1057&amp;utm_source=sheet", "Apply")</f>
        <v>Apply</v>
      </c>
      <c r="C1101" s="10" t="s">
        <v>25177</v>
      </c>
      <c r="D1101" s="56" t="s">
        <v>20697</v>
      </c>
      <c r="E1101" s="10" t="s">
        <v>209</v>
      </c>
      <c r="F1101" s="10" t="s">
        <v>2617</v>
      </c>
      <c r="G1101" s="10" t="s">
        <v>24043</v>
      </c>
      <c r="H1101" s="10" t="s">
        <v>152</v>
      </c>
      <c r="I1101" s="10" t="s">
        <v>55</v>
      </c>
      <c r="J1101" s="10" t="s">
        <v>24234</v>
      </c>
      <c r="K1101" s="10" t="s">
        <v>25178</v>
      </c>
      <c r="L1101" s="10" t="s">
        <v>42</v>
      </c>
    </row>
    <row r="1102" ht="15.75" customHeight="1">
      <c r="A1102" s="66">
        <v>45476.0</v>
      </c>
      <c r="B1102" s="55" t="str">
        <f>HYPERLINK("https://jobright.ai/jobs/info/6684dec205d49fabee74187b?utm_campaign=1057&amp;utm_source=sheet", "Apply")</f>
        <v>Apply</v>
      </c>
      <c r="C1102" s="10" t="s">
        <v>25177</v>
      </c>
      <c r="D1102" s="56" t="s">
        <v>20697</v>
      </c>
      <c r="E1102" s="10" t="s">
        <v>209</v>
      </c>
      <c r="F1102" s="10" t="s">
        <v>2617</v>
      </c>
      <c r="G1102" s="10" t="s">
        <v>24043</v>
      </c>
      <c r="H1102" s="10" t="s">
        <v>21586</v>
      </c>
      <c r="I1102" s="10" t="s">
        <v>55</v>
      </c>
      <c r="J1102" s="10" t="s">
        <v>24234</v>
      </c>
      <c r="K1102" s="10" t="s">
        <v>25178</v>
      </c>
      <c r="L1102" s="10" t="s">
        <v>42</v>
      </c>
    </row>
    <row r="1103" ht="15.75" customHeight="1">
      <c r="A1103" s="66">
        <v>45476.0</v>
      </c>
      <c r="B1103" s="55" t="str">
        <f>HYPERLINK("https://jobright.ai/jobs/info/6684dec205d49fabee74187c?utm_campaign=1057&amp;utm_source=sheet", "Apply")</f>
        <v>Apply</v>
      </c>
      <c r="C1103" s="10" t="s">
        <v>25177</v>
      </c>
      <c r="D1103" s="56" t="s">
        <v>20697</v>
      </c>
      <c r="E1103" s="10" t="s">
        <v>209</v>
      </c>
      <c r="F1103" s="10" t="s">
        <v>2617</v>
      </c>
      <c r="G1103" s="10" t="s">
        <v>24043</v>
      </c>
      <c r="H1103" s="10" t="s">
        <v>24246</v>
      </c>
      <c r="I1103" s="10" t="s">
        <v>55</v>
      </c>
      <c r="J1103" s="10" t="s">
        <v>24234</v>
      </c>
      <c r="K1103" s="10" t="s">
        <v>25178</v>
      </c>
      <c r="L1103" s="10" t="s">
        <v>42</v>
      </c>
    </row>
    <row r="1104" ht="15.75" customHeight="1">
      <c r="A1104" s="66">
        <v>45476.0</v>
      </c>
      <c r="B1104" s="55" t="str">
        <f>HYPERLINK("https://jobright.ai/jobs/info/6684dec205d49fabee74187d?utm_campaign=1057&amp;utm_source=sheet", "Apply")</f>
        <v>Apply</v>
      </c>
      <c r="C1104" s="10" t="s">
        <v>25177</v>
      </c>
      <c r="D1104" s="56" t="s">
        <v>20697</v>
      </c>
      <c r="E1104" s="10" t="s">
        <v>209</v>
      </c>
      <c r="F1104" s="10" t="s">
        <v>2617</v>
      </c>
      <c r="G1104" s="10" t="s">
        <v>24043</v>
      </c>
      <c r="H1104" s="10" t="s">
        <v>24242</v>
      </c>
      <c r="I1104" s="10" t="s">
        <v>55</v>
      </c>
      <c r="J1104" s="10" t="s">
        <v>24234</v>
      </c>
      <c r="K1104" s="10" t="s">
        <v>25178</v>
      </c>
      <c r="L1104" s="10" t="s">
        <v>42</v>
      </c>
    </row>
    <row r="1105" ht="15.75" customHeight="1">
      <c r="A1105" s="66">
        <v>45476.0</v>
      </c>
      <c r="B1105" s="55" t="str">
        <f>HYPERLINK("https://jobright.ai/jobs/info/6684dec205d49fabee74187f?utm_campaign=1057&amp;utm_source=sheet", "Apply")</f>
        <v>Apply</v>
      </c>
      <c r="C1105" s="10" t="s">
        <v>25177</v>
      </c>
      <c r="D1105" s="56" t="s">
        <v>20697</v>
      </c>
      <c r="E1105" s="10" t="s">
        <v>209</v>
      </c>
      <c r="F1105" s="10" t="s">
        <v>2617</v>
      </c>
      <c r="G1105" s="10" t="s">
        <v>24043</v>
      </c>
      <c r="H1105" s="10" t="s">
        <v>12596</v>
      </c>
      <c r="I1105" s="10" t="s">
        <v>55</v>
      </c>
      <c r="J1105" s="10" t="s">
        <v>24234</v>
      </c>
      <c r="K1105" s="10" t="s">
        <v>25178</v>
      </c>
      <c r="L1105" s="10" t="s">
        <v>42</v>
      </c>
    </row>
    <row r="1106" ht="15.75" customHeight="1">
      <c r="A1106" s="66">
        <v>45476.0</v>
      </c>
      <c r="B1106" s="55" t="str">
        <f>HYPERLINK("https://jobright.ai/jobs/info/6685441df9a1794ebc97826a?utm_campaign=1057&amp;utm_source=sheet", "Apply")</f>
        <v>Apply</v>
      </c>
      <c r="C1106" s="10" t="s">
        <v>25177</v>
      </c>
      <c r="D1106" s="56" t="s">
        <v>20697</v>
      </c>
      <c r="E1106" s="10" t="s">
        <v>209</v>
      </c>
      <c r="F1106" s="10" t="s">
        <v>2617</v>
      </c>
      <c r="G1106" s="10" t="s">
        <v>24043</v>
      </c>
      <c r="H1106" s="10" t="s">
        <v>294</v>
      </c>
      <c r="I1106" s="10" t="s">
        <v>55</v>
      </c>
      <c r="J1106" s="10" t="s">
        <v>24234</v>
      </c>
      <c r="K1106" s="10" t="s">
        <v>25178</v>
      </c>
      <c r="L1106" s="10" t="s">
        <v>42</v>
      </c>
    </row>
    <row r="1107" ht="15.75" customHeight="1">
      <c r="A1107" s="66">
        <v>45476.0</v>
      </c>
      <c r="B1107" s="55" t="str">
        <f>HYPERLINK("https://jobright.ai/jobs/info/668583bb798cca6c381737c9?utm_campaign=1057&amp;utm_source=sheet", "Apply")</f>
        <v>Apply</v>
      </c>
      <c r="C1107" s="10" t="s">
        <v>14366</v>
      </c>
      <c r="D1107" s="56" t="s">
        <v>24223</v>
      </c>
      <c r="E1107" s="10" t="s">
        <v>276</v>
      </c>
      <c r="F1107" s="10" t="s">
        <v>2409</v>
      </c>
      <c r="G1107" s="10" t="s">
        <v>24043</v>
      </c>
      <c r="H1107" s="10" t="s">
        <v>25180</v>
      </c>
      <c r="I1107" s="10" t="s">
        <v>48</v>
      </c>
      <c r="J1107" s="10" t="s">
        <v>1984</v>
      </c>
      <c r="K1107" s="10" t="s">
        <v>25181</v>
      </c>
      <c r="L1107" s="10" t="s">
        <v>42</v>
      </c>
    </row>
    <row r="1108" ht="15.75" customHeight="1">
      <c r="A1108" s="66">
        <v>45475.0</v>
      </c>
      <c r="B1108" s="55" t="str">
        <f>HYPERLINK("https://jobright.ai/jobs/info/667e3e752370d685e8a614dc?utm_campaign=1057&amp;utm_source=sheet", "Apply")</f>
        <v>Apply</v>
      </c>
      <c r="C1108" s="10" t="s">
        <v>25182</v>
      </c>
      <c r="D1108" s="56" t="s">
        <v>1650</v>
      </c>
      <c r="E1108" s="10" t="s">
        <v>209</v>
      </c>
      <c r="F1108" s="10" t="s">
        <v>1243</v>
      </c>
      <c r="G1108" s="10" t="s">
        <v>24022</v>
      </c>
      <c r="H1108" s="10" t="s">
        <v>898</v>
      </c>
      <c r="I1108" s="10" t="s">
        <v>48</v>
      </c>
      <c r="K1108" s="10" t="s">
        <v>25183</v>
      </c>
      <c r="L1108" s="10" t="s">
        <v>42</v>
      </c>
    </row>
    <row r="1109" ht="15.75" customHeight="1">
      <c r="A1109" s="66">
        <v>45475.0</v>
      </c>
      <c r="B1109" s="55" t="str">
        <f>HYPERLINK("https://jobright.ai/jobs/info/66848dc5f77b2c8f7053f4b0?utm_campaign=1057&amp;utm_source=sheet", "Apply")</f>
        <v>Apply</v>
      </c>
      <c r="C1109" s="10" t="s">
        <v>25184</v>
      </c>
      <c r="D1109" s="56" t="s">
        <v>6758</v>
      </c>
      <c r="E1109" s="10" t="s">
        <v>65</v>
      </c>
      <c r="F1109" s="10" t="s">
        <v>1695</v>
      </c>
      <c r="G1109" s="10" t="s">
        <v>24022</v>
      </c>
      <c r="H1109" s="10" t="s">
        <v>3387</v>
      </c>
      <c r="I1109" s="10" t="s">
        <v>55</v>
      </c>
      <c r="K1109" s="10" t="s">
        <v>25185</v>
      </c>
      <c r="L1109" s="10" t="s">
        <v>42</v>
      </c>
    </row>
    <row r="1110" ht="15.75" customHeight="1">
      <c r="A1110" s="66">
        <v>45475.0</v>
      </c>
      <c r="B1110" s="55" t="str">
        <f>HYPERLINK("https://jobright.ai/jobs/info/66845d1470c65f3f20cb2999?utm_campaign=1057&amp;utm_source=sheet", "Apply")</f>
        <v>Apply</v>
      </c>
      <c r="C1110" s="10" t="s">
        <v>24192</v>
      </c>
      <c r="D1110" s="56" t="s">
        <v>25186</v>
      </c>
      <c r="E1110" s="10" t="s">
        <v>209</v>
      </c>
      <c r="F1110" s="10" t="s">
        <v>25187</v>
      </c>
      <c r="G1110" s="10" t="s">
        <v>24022</v>
      </c>
      <c r="H1110" s="10" t="s">
        <v>965</v>
      </c>
      <c r="I1110" s="10" t="s">
        <v>55</v>
      </c>
      <c r="K1110" s="10" t="s">
        <v>25188</v>
      </c>
      <c r="L1110" s="10" t="s">
        <v>42</v>
      </c>
    </row>
    <row r="1111" ht="15.75" customHeight="1">
      <c r="A1111" s="66">
        <v>45475.0</v>
      </c>
      <c r="B1111" s="55" t="str">
        <f>HYPERLINK("https://jobright.ai/jobs/info/66751afa1345ca9e335e6b59?utm_campaign=1057&amp;utm_source=sheet", "Apply")</f>
        <v>Apply</v>
      </c>
      <c r="C1111" s="10" t="s">
        <v>25189</v>
      </c>
      <c r="D1111" s="56" t="s">
        <v>18323</v>
      </c>
      <c r="E1111" s="10" t="s">
        <v>45</v>
      </c>
      <c r="F1111" s="10" t="s">
        <v>1485</v>
      </c>
      <c r="G1111" s="10" t="s">
        <v>24043</v>
      </c>
      <c r="H1111" s="10" t="s">
        <v>96</v>
      </c>
      <c r="I1111" s="10" t="s">
        <v>55</v>
      </c>
      <c r="K1111" s="10" t="s">
        <v>25190</v>
      </c>
      <c r="L1111" s="10" t="s">
        <v>42</v>
      </c>
    </row>
    <row r="1112" ht="15.75" customHeight="1">
      <c r="A1112" s="66">
        <v>45475.0</v>
      </c>
      <c r="B1112" s="55" t="str">
        <f>HYPERLINK("https://jobright.ai/jobs/info/6684298a628914e2e22f596c?utm_campaign=1057&amp;utm_source=sheet", "Apply")</f>
        <v>Apply</v>
      </c>
      <c r="C1112" s="10" t="s">
        <v>25191</v>
      </c>
      <c r="D1112" s="56" t="s">
        <v>15021</v>
      </c>
      <c r="E1112" s="10">
        <v>283.0</v>
      </c>
      <c r="G1112" s="10" t="s">
        <v>24043</v>
      </c>
      <c r="H1112" s="10" t="s">
        <v>774</v>
      </c>
      <c r="I1112" s="10" t="s">
        <v>55</v>
      </c>
      <c r="J1112" s="10" t="s">
        <v>15022</v>
      </c>
      <c r="K1112" s="10" t="s">
        <v>15023</v>
      </c>
      <c r="L1112" s="10" t="s">
        <v>42</v>
      </c>
    </row>
    <row r="1113" ht="15.75" customHeight="1">
      <c r="A1113" s="66">
        <v>45475.0</v>
      </c>
      <c r="B1113" s="55" t="str">
        <f>HYPERLINK("https://jobright.ai/jobs/info/66842994628914e2e22f59ed?utm_campaign=1057&amp;utm_source=sheet", "Apply")</f>
        <v>Apply</v>
      </c>
      <c r="C1113" s="10" t="s">
        <v>25192</v>
      </c>
      <c r="D1113" s="56" t="s">
        <v>25193</v>
      </c>
      <c r="E1113" s="10" t="s">
        <v>276</v>
      </c>
      <c r="F1113" s="10" t="s">
        <v>25194</v>
      </c>
      <c r="G1113" s="10" t="s">
        <v>24043</v>
      </c>
      <c r="H1113" s="10" t="s">
        <v>25195</v>
      </c>
      <c r="I1113" s="10" t="s">
        <v>55</v>
      </c>
      <c r="K1113" s="10" t="s">
        <v>25196</v>
      </c>
      <c r="L1113" s="10" t="s">
        <v>42</v>
      </c>
    </row>
    <row r="1114" ht="15.75" customHeight="1">
      <c r="A1114" s="66">
        <v>45475.0</v>
      </c>
      <c r="B1114" s="55" t="str">
        <f>HYPERLINK("https://jobright.ai/jobs/info/6696771283577aa838573c9d?utm_campaign=1057&amp;utm_source=sheet", "Apply")</f>
        <v>Apply</v>
      </c>
      <c r="C1114" s="10" t="s">
        <v>25120</v>
      </c>
      <c r="D1114" s="56" t="s">
        <v>4448</v>
      </c>
      <c r="E1114" s="10" t="s">
        <v>71</v>
      </c>
      <c r="F1114" s="10" t="s">
        <v>4449</v>
      </c>
      <c r="G1114" s="10" t="s">
        <v>24043</v>
      </c>
      <c r="H1114" s="10" t="s">
        <v>13924</v>
      </c>
      <c r="I1114" s="10" t="s">
        <v>55</v>
      </c>
      <c r="K1114" s="10" t="s">
        <v>4450</v>
      </c>
      <c r="L1114" s="10" t="s">
        <v>42</v>
      </c>
    </row>
    <row r="1115" ht="15.75" customHeight="1">
      <c r="A1115" s="66">
        <v>45475.0</v>
      </c>
      <c r="B1115" s="55" t="str">
        <f>HYPERLINK("https://jobright.ai/jobs/info/668507e8905dce40045c3573?utm_campaign=1057&amp;utm_source=sheet", "Apply")</f>
        <v>Apply</v>
      </c>
      <c r="C1115" s="10" t="s">
        <v>25177</v>
      </c>
      <c r="D1115" s="56" t="s">
        <v>20697</v>
      </c>
      <c r="E1115" s="10" t="s">
        <v>209</v>
      </c>
      <c r="F1115" s="10" t="s">
        <v>2617</v>
      </c>
      <c r="G1115" s="10" t="s">
        <v>24043</v>
      </c>
      <c r="H1115" s="10" t="s">
        <v>24245</v>
      </c>
      <c r="I1115" s="10" t="s">
        <v>55</v>
      </c>
      <c r="J1115" s="10" t="s">
        <v>24234</v>
      </c>
      <c r="K1115" s="10" t="s">
        <v>25178</v>
      </c>
      <c r="L1115" s="10" t="s">
        <v>42</v>
      </c>
    </row>
    <row r="1116" ht="15.75" customHeight="1">
      <c r="A1116" s="66">
        <v>45475.0</v>
      </c>
      <c r="B1116" s="55" t="str">
        <f>HYPERLINK("https://jobright.ai/jobs/info/668507e8905dce40045c3574?utm_campaign=1057&amp;utm_source=sheet", "Apply")</f>
        <v>Apply</v>
      </c>
      <c r="C1116" s="10" t="s">
        <v>25177</v>
      </c>
      <c r="D1116" s="56" t="s">
        <v>20697</v>
      </c>
      <c r="E1116" s="10" t="s">
        <v>209</v>
      </c>
      <c r="F1116" s="10" t="s">
        <v>2617</v>
      </c>
      <c r="G1116" s="10" t="s">
        <v>24043</v>
      </c>
      <c r="H1116" s="10" t="s">
        <v>22754</v>
      </c>
      <c r="I1116" s="10" t="s">
        <v>55</v>
      </c>
      <c r="J1116" s="10" t="s">
        <v>24234</v>
      </c>
      <c r="K1116" s="10" t="s">
        <v>25178</v>
      </c>
      <c r="L1116" s="10" t="s">
        <v>42</v>
      </c>
    </row>
    <row r="1117" ht="15.75" customHeight="1">
      <c r="A1117" s="66">
        <v>45475.0</v>
      </c>
      <c r="B1117" s="55" t="str">
        <f>HYPERLINK("https://jobright.ai/jobs/info/6684f6deb14c6ad2d8bd5fd6?utm_campaign=1057&amp;utm_source=sheet", "Apply")</f>
        <v>Apply</v>
      </c>
      <c r="C1117" s="10" t="s">
        <v>25197</v>
      </c>
      <c r="D1117" s="56" t="s">
        <v>25198</v>
      </c>
      <c r="E1117" s="10">
        <v>21.0</v>
      </c>
      <c r="G1117" s="10" t="s">
        <v>24022</v>
      </c>
      <c r="H1117" s="10" t="s">
        <v>25199</v>
      </c>
      <c r="I1117" s="10" t="s">
        <v>55</v>
      </c>
      <c r="K1117" s="10" t="s">
        <v>25200</v>
      </c>
      <c r="L1117" s="10" t="s">
        <v>42</v>
      </c>
    </row>
    <row r="1118" ht="15.75" customHeight="1">
      <c r="A1118" s="66">
        <v>45475.0</v>
      </c>
      <c r="B1118" s="55" t="str">
        <f>HYPERLINK("https://jobright.ai/jobs/info/6683ceff4131aaad7b7c0f72?utm_campaign=1057&amp;utm_source=sheet", "Apply")</f>
        <v>Apply</v>
      </c>
      <c r="C1118" s="10" t="s">
        <v>25201</v>
      </c>
      <c r="D1118" s="56" t="s">
        <v>18753</v>
      </c>
      <c r="F1118" s="10" t="s">
        <v>3035</v>
      </c>
      <c r="G1118" s="10" t="s">
        <v>24022</v>
      </c>
      <c r="H1118" s="10" t="s">
        <v>878</v>
      </c>
      <c r="I1118" s="10" t="s">
        <v>55</v>
      </c>
      <c r="J1118" s="10" t="s">
        <v>1761</v>
      </c>
      <c r="K1118" s="10" t="s">
        <v>25202</v>
      </c>
      <c r="L1118" s="10" t="s">
        <v>42</v>
      </c>
    </row>
    <row r="1119" ht="15.75" customHeight="1">
      <c r="A1119" s="66">
        <v>45475.0</v>
      </c>
      <c r="B1119" s="55" t="str">
        <f>HYPERLINK("https://jobright.ai/jobs/info/6684dec205d49fabee741881?utm_campaign=1057&amp;utm_source=sheet", "Apply")</f>
        <v>Apply</v>
      </c>
      <c r="C1119" s="10" t="s">
        <v>25177</v>
      </c>
      <c r="D1119" s="56" t="s">
        <v>20697</v>
      </c>
      <c r="E1119" s="10" t="s">
        <v>209</v>
      </c>
      <c r="F1119" s="10" t="s">
        <v>2617</v>
      </c>
      <c r="G1119" s="10" t="s">
        <v>24043</v>
      </c>
      <c r="H1119" s="10" t="s">
        <v>809</v>
      </c>
      <c r="I1119" s="10" t="s">
        <v>55</v>
      </c>
      <c r="J1119" s="10" t="s">
        <v>24234</v>
      </c>
      <c r="K1119" s="10" t="s">
        <v>25178</v>
      </c>
      <c r="L1119" s="10" t="s">
        <v>42</v>
      </c>
    </row>
    <row r="1120" ht="15.75" customHeight="1">
      <c r="A1120" s="66">
        <v>45475.0</v>
      </c>
      <c r="B1120" s="55" t="str">
        <f>HYPERLINK("https://jobright.ai/jobs/info/6684ded005d49fabee741886?utm_campaign=1057&amp;utm_source=sheet", "Apply")</f>
        <v>Apply</v>
      </c>
      <c r="C1120" s="10" t="s">
        <v>25177</v>
      </c>
      <c r="D1120" s="56" t="s">
        <v>20697</v>
      </c>
      <c r="E1120" s="10" t="s">
        <v>209</v>
      </c>
      <c r="F1120" s="10" t="s">
        <v>2617</v>
      </c>
      <c r="G1120" s="10" t="s">
        <v>24043</v>
      </c>
      <c r="H1120" s="10" t="s">
        <v>3387</v>
      </c>
      <c r="I1120" s="10" t="s">
        <v>55</v>
      </c>
      <c r="J1120" s="10" t="s">
        <v>24234</v>
      </c>
      <c r="K1120" s="10" t="s">
        <v>25178</v>
      </c>
      <c r="L1120" s="10" t="s">
        <v>42</v>
      </c>
    </row>
    <row r="1121" ht="15.75" customHeight="1">
      <c r="A1121" s="66">
        <v>45475.0</v>
      </c>
      <c r="B1121" s="55" t="str">
        <f>HYPERLINK("https://jobright.ai/jobs/info/6684ded005d49fabee741888?utm_campaign=1057&amp;utm_source=sheet", "Apply")</f>
        <v>Apply</v>
      </c>
      <c r="C1121" s="10" t="s">
        <v>25177</v>
      </c>
      <c r="D1121" s="56" t="s">
        <v>20697</v>
      </c>
      <c r="E1121" s="10" t="s">
        <v>209</v>
      </c>
      <c r="F1121" s="10" t="s">
        <v>2617</v>
      </c>
      <c r="G1121" s="10" t="s">
        <v>24043</v>
      </c>
      <c r="H1121" s="10" t="s">
        <v>914</v>
      </c>
      <c r="I1121" s="10" t="s">
        <v>55</v>
      </c>
      <c r="J1121" s="10" t="s">
        <v>24234</v>
      </c>
      <c r="K1121" s="10" t="s">
        <v>25178</v>
      </c>
      <c r="L1121" s="10" t="s">
        <v>42</v>
      </c>
    </row>
    <row r="1122" ht="15.75" customHeight="1">
      <c r="A1122" s="66">
        <v>45475.0</v>
      </c>
      <c r="B1122" s="55" t="str">
        <f>HYPERLINK("https://jobright.ai/jobs/info/66862e4ce93d49a5926c937e?utm_campaign=1057&amp;utm_source=sheet", "Apply")</f>
        <v>Apply</v>
      </c>
      <c r="C1122" s="10" t="s">
        <v>25203</v>
      </c>
      <c r="D1122" s="56" t="s">
        <v>20215</v>
      </c>
      <c r="E1122" s="10" t="s">
        <v>71</v>
      </c>
      <c r="F1122" s="10" t="s">
        <v>20216</v>
      </c>
      <c r="G1122" s="10" t="s">
        <v>24022</v>
      </c>
      <c r="H1122" s="10" t="s">
        <v>17673</v>
      </c>
      <c r="I1122" s="10" t="s">
        <v>55</v>
      </c>
      <c r="J1122" s="10" t="s">
        <v>25204</v>
      </c>
      <c r="K1122" s="10" t="s">
        <v>25205</v>
      </c>
      <c r="L1122" s="10" t="s">
        <v>42</v>
      </c>
    </row>
    <row r="1123" ht="15.75" customHeight="1">
      <c r="A1123" s="66">
        <v>45475.0</v>
      </c>
      <c r="B1123" s="55" t="str">
        <f>HYPERLINK("https://jobright.ai/jobs/info/66839da384f17aa9184d2f3f?utm_campaign=1057&amp;utm_source=sheet", "Apply")</f>
        <v>Apply</v>
      </c>
      <c r="C1123" s="10" t="s">
        <v>25206</v>
      </c>
      <c r="D1123" s="56" t="s">
        <v>4516</v>
      </c>
      <c r="E1123" s="10">
        <v>803.0</v>
      </c>
      <c r="G1123" s="10" t="s">
        <v>24022</v>
      </c>
      <c r="H1123" s="10" t="s">
        <v>25207</v>
      </c>
      <c r="I1123" s="10" t="s">
        <v>55</v>
      </c>
      <c r="J1123" s="10" t="s">
        <v>25208</v>
      </c>
      <c r="K1123" s="10" t="s">
        <v>25209</v>
      </c>
      <c r="L1123" s="10" t="s">
        <v>42</v>
      </c>
    </row>
    <row r="1124" ht="15.75" customHeight="1">
      <c r="A1124" s="66">
        <v>45475.0</v>
      </c>
      <c r="B1124" s="55" t="str">
        <f>HYPERLINK("https://jobright.ai/jobs/info/668386d14c38f18b71e212d1?utm_campaign=1057&amp;utm_source=sheet", "Apply")</f>
        <v>Apply</v>
      </c>
      <c r="C1124" s="10" t="s">
        <v>25210</v>
      </c>
      <c r="D1124" s="56" t="s">
        <v>4516</v>
      </c>
      <c r="E1124" s="10">
        <v>803.0</v>
      </c>
      <c r="G1124" s="10" t="s">
        <v>24022</v>
      </c>
      <c r="H1124" s="10" t="s">
        <v>25207</v>
      </c>
      <c r="I1124" s="10" t="s">
        <v>55</v>
      </c>
      <c r="J1124" s="10" t="s">
        <v>25208</v>
      </c>
      <c r="K1124" s="10" t="s">
        <v>25209</v>
      </c>
      <c r="L1124" s="10" t="s">
        <v>42</v>
      </c>
    </row>
    <row r="1125" ht="15.75" customHeight="1">
      <c r="A1125" s="66">
        <v>45475.0</v>
      </c>
      <c r="B1125" s="55" t="str">
        <f>HYPERLINK("https://jobright.ai/jobs/info/66837e051fa52d9d07361018?utm_campaign=1057&amp;utm_source=sheet", "Apply")</f>
        <v>Apply</v>
      </c>
      <c r="C1125" s="10" t="s">
        <v>25211</v>
      </c>
      <c r="D1125" s="56" t="s">
        <v>20449</v>
      </c>
      <c r="E1125" s="10" t="s">
        <v>45</v>
      </c>
      <c r="F1125" s="10" t="s">
        <v>1234</v>
      </c>
      <c r="G1125" s="10" t="s">
        <v>24022</v>
      </c>
      <c r="H1125" s="10" t="s">
        <v>845</v>
      </c>
      <c r="I1125" s="10" t="s">
        <v>55</v>
      </c>
      <c r="J1125" s="10" t="s">
        <v>25212</v>
      </c>
      <c r="K1125" s="10" t="s">
        <v>25213</v>
      </c>
      <c r="L1125" s="10" t="s">
        <v>42</v>
      </c>
    </row>
    <row r="1126" ht="15.75" customHeight="1">
      <c r="A1126" s="66">
        <v>45475.0</v>
      </c>
      <c r="B1126" s="55" t="str">
        <f>HYPERLINK("https://jobright.ai/jobs/info/6684970589906a0228a89a2c?utm_campaign=1057&amp;utm_source=sheet", "Apply")</f>
        <v>Apply</v>
      </c>
      <c r="C1126" s="10" t="s">
        <v>25177</v>
      </c>
      <c r="D1126" s="56" t="s">
        <v>20697</v>
      </c>
      <c r="E1126" s="10" t="s">
        <v>209</v>
      </c>
      <c r="F1126" s="10" t="s">
        <v>2617</v>
      </c>
      <c r="G1126" s="10" t="s">
        <v>24043</v>
      </c>
      <c r="H1126" s="10" t="s">
        <v>24244</v>
      </c>
      <c r="I1126" s="10" t="s">
        <v>55</v>
      </c>
      <c r="J1126" s="10" t="s">
        <v>24234</v>
      </c>
      <c r="K1126" s="10" t="s">
        <v>25178</v>
      </c>
      <c r="L1126" s="10" t="s">
        <v>42</v>
      </c>
    </row>
    <row r="1127" ht="15.75" customHeight="1">
      <c r="A1127" s="66">
        <v>45475.0</v>
      </c>
      <c r="B1127" s="55" t="str">
        <f>HYPERLINK("https://jobright.ai/jobs/info/6684970589906a0228a89a2d?utm_campaign=1057&amp;utm_source=sheet", "Apply")</f>
        <v>Apply</v>
      </c>
      <c r="C1127" s="10" t="s">
        <v>25177</v>
      </c>
      <c r="D1127" s="56" t="s">
        <v>20697</v>
      </c>
      <c r="E1127" s="10" t="s">
        <v>209</v>
      </c>
      <c r="F1127" s="10" t="s">
        <v>2617</v>
      </c>
      <c r="G1127" s="10" t="s">
        <v>24043</v>
      </c>
      <c r="H1127" s="10" t="s">
        <v>5234</v>
      </c>
      <c r="I1127" s="10" t="s">
        <v>55</v>
      </c>
      <c r="J1127" s="10" t="s">
        <v>24234</v>
      </c>
      <c r="K1127" s="10" t="s">
        <v>25178</v>
      </c>
      <c r="L1127" s="10" t="s">
        <v>42</v>
      </c>
    </row>
    <row r="1128" ht="15.75" customHeight="1">
      <c r="A1128" s="66">
        <v>45475.0</v>
      </c>
      <c r="B1128" s="55" t="str">
        <f>HYPERLINK("https://jobright.ai/jobs/info/6684a7d7c6303b9ad44e4dac?utm_campaign=1057&amp;utm_source=sheet", "Apply")</f>
        <v>Apply</v>
      </c>
      <c r="C1128" s="10" t="s">
        <v>25177</v>
      </c>
      <c r="D1128" s="56" t="s">
        <v>20697</v>
      </c>
      <c r="E1128" s="10" t="s">
        <v>209</v>
      </c>
      <c r="F1128" s="10" t="s">
        <v>2617</v>
      </c>
      <c r="G1128" s="10" t="s">
        <v>24043</v>
      </c>
      <c r="H1128" s="10" t="s">
        <v>154</v>
      </c>
      <c r="I1128" s="10" t="s">
        <v>55</v>
      </c>
      <c r="J1128" s="10" t="s">
        <v>24234</v>
      </c>
      <c r="K1128" s="10" t="s">
        <v>25178</v>
      </c>
      <c r="L1128" s="10" t="s">
        <v>42</v>
      </c>
    </row>
    <row r="1129" ht="15.75" customHeight="1">
      <c r="A1129" s="66">
        <v>45475.0</v>
      </c>
      <c r="B1129" s="55" t="str">
        <f>HYPERLINK("https://jobright.ai/jobs/info/6684956bbe126f4204d09d56?utm_campaign=1057&amp;utm_source=sheet", "Apply")</f>
        <v>Apply</v>
      </c>
      <c r="C1129" s="10" t="s">
        <v>25177</v>
      </c>
      <c r="D1129" s="56" t="s">
        <v>20697</v>
      </c>
      <c r="E1129" s="10" t="s">
        <v>209</v>
      </c>
      <c r="F1129" s="10" t="s">
        <v>2617</v>
      </c>
      <c r="G1129" s="10" t="s">
        <v>24043</v>
      </c>
      <c r="H1129" s="10" t="s">
        <v>131</v>
      </c>
      <c r="I1129" s="10" t="s">
        <v>55</v>
      </c>
      <c r="J1129" s="10" t="s">
        <v>24234</v>
      </c>
      <c r="K1129" s="10" t="s">
        <v>25178</v>
      </c>
      <c r="L1129" s="10" t="s">
        <v>42</v>
      </c>
    </row>
    <row r="1130" ht="15.75" customHeight="1">
      <c r="A1130" s="66">
        <v>45475.0</v>
      </c>
      <c r="B1130" s="55" t="str">
        <f>HYPERLINK("https://jobright.ai/jobs/info/6684956bbe126f4204d09d57?utm_campaign=1057&amp;utm_source=sheet", "Apply")</f>
        <v>Apply</v>
      </c>
      <c r="C1130" s="10" t="s">
        <v>25177</v>
      </c>
      <c r="D1130" s="56" t="s">
        <v>20697</v>
      </c>
      <c r="E1130" s="10" t="s">
        <v>209</v>
      </c>
      <c r="F1130" s="10" t="s">
        <v>2617</v>
      </c>
      <c r="G1130" s="10" t="s">
        <v>24043</v>
      </c>
      <c r="H1130" s="10" t="s">
        <v>816</v>
      </c>
      <c r="I1130" s="10" t="s">
        <v>55</v>
      </c>
      <c r="J1130" s="10" t="s">
        <v>24234</v>
      </c>
      <c r="K1130" s="10" t="s">
        <v>25178</v>
      </c>
      <c r="L1130" s="10" t="s">
        <v>42</v>
      </c>
    </row>
    <row r="1131" ht="15.75" customHeight="1">
      <c r="A1131" s="66">
        <v>45475.0</v>
      </c>
      <c r="B1131" s="55" t="str">
        <f>HYPERLINK("https://jobright.ai/jobs/info/6684913623fbc70f728ba4d7?utm_campaign=1057&amp;utm_source=sheet", "Apply")</f>
        <v>Apply</v>
      </c>
      <c r="C1131" s="10" t="s">
        <v>25177</v>
      </c>
      <c r="D1131" s="56" t="s">
        <v>20697</v>
      </c>
      <c r="E1131" s="10" t="s">
        <v>209</v>
      </c>
      <c r="F1131" s="10" t="s">
        <v>2617</v>
      </c>
      <c r="G1131" s="10" t="s">
        <v>24043</v>
      </c>
      <c r="H1131" s="10" t="s">
        <v>4777</v>
      </c>
      <c r="I1131" s="10" t="s">
        <v>55</v>
      </c>
      <c r="J1131" s="10" t="s">
        <v>24234</v>
      </c>
      <c r="K1131" s="10" t="s">
        <v>25178</v>
      </c>
      <c r="L1131" s="10" t="s">
        <v>42</v>
      </c>
    </row>
    <row r="1132" ht="15.75" customHeight="1">
      <c r="A1132" s="66">
        <v>45475.0</v>
      </c>
      <c r="B1132" s="55" t="str">
        <f>HYPERLINK("https://jobright.ai/jobs/info/66849cb3215271273fc378c2?utm_campaign=1057&amp;utm_source=sheet", "Apply")</f>
        <v>Apply</v>
      </c>
      <c r="C1132" s="10" t="s">
        <v>25177</v>
      </c>
      <c r="D1132" s="56" t="s">
        <v>20697</v>
      </c>
      <c r="E1132" s="10" t="s">
        <v>209</v>
      </c>
      <c r="F1132" s="10" t="s">
        <v>2617</v>
      </c>
      <c r="G1132" s="10" t="s">
        <v>24043</v>
      </c>
      <c r="H1132" s="10" t="s">
        <v>24233</v>
      </c>
      <c r="I1132" s="10" t="s">
        <v>55</v>
      </c>
      <c r="J1132" s="10" t="s">
        <v>24234</v>
      </c>
      <c r="K1132" s="10" t="s">
        <v>25178</v>
      </c>
      <c r="L1132" s="10" t="s">
        <v>42</v>
      </c>
    </row>
    <row r="1133" ht="15.75" customHeight="1">
      <c r="A1133" s="66">
        <v>45475.0</v>
      </c>
      <c r="B1133" s="55" t="str">
        <f>HYPERLINK("https://jobright.ai/jobs/info/66849cb3215271273fc378c3?utm_campaign=1057&amp;utm_source=sheet", "Apply")</f>
        <v>Apply</v>
      </c>
      <c r="C1133" s="10" t="s">
        <v>25177</v>
      </c>
      <c r="D1133" s="56" t="s">
        <v>20697</v>
      </c>
      <c r="E1133" s="10" t="s">
        <v>209</v>
      </c>
      <c r="F1133" s="10" t="s">
        <v>2617</v>
      </c>
      <c r="G1133" s="10" t="s">
        <v>24043</v>
      </c>
      <c r="H1133" s="10" t="s">
        <v>168</v>
      </c>
      <c r="I1133" s="10" t="s">
        <v>55</v>
      </c>
      <c r="J1133" s="10" t="s">
        <v>24234</v>
      </c>
      <c r="K1133" s="10" t="s">
        <v>25178</v>
      </c>
      <c r="L1133" s="10" t="s">
        <v>42</v>
      </c>
    </row>
    <row r="1134" ht="15.75" customHeight="1">
      <c r="A1134" s="66">
        <v>45475.0</v>
      </c>
      <c r="B1134" s="55" t="str">
        <f>HYPERLINK("https://jobright.ai/jobs/info/66849cb3215271273fc378c1?utm_campaign=1057&amp;utm_source=sheet", "Apply")</f>
        <v>Apply</v>
      </c>
      <c r="C1134" s="10" t="s">
        <v>25177</v>
      </c>
      <c r="D1134" s="56" t="s">
        <v>20697</v>
      </c>
      <c r="E1134" s="10" t="s">
        <v>209</v>
      </c>
      <c r="F1134" s="10" t="s">
        <v>2617</v>
      </c>
      <c r="G1134" s="10" t="s">
        <v>24043</v>
      </c>
      <c r="H1134" s="10" t="s">
        <v>13300</v>
      </c>
      <c r="I1134" s="10" t="s">
        <v>55</v>
      </c>
      <c r="J1134" s="10" t="s">
        <v>24234</v>
      </c>
      <c r="K1134" s="10" t="s">
        <v>25178</v>
      </c>
      <c r="L1134" s="10" t="s">
        <v>42</v>
      </c>
    </row>
    <row r="1135" ht="15.75" customHeight="1">
      <c r="A1135" s="66">
        <v>45474.0</v>
      </c>
      <c r="B1135" s="55" t="str">
        <f>HYPERLINK("https://jobright.ai/jobs/info/667a1b7c30a37849eb7b16e7?utm_campaign=1057&amp;utm_source=sheet", "Apply")</f>
        <v>Apply</v>
      </c>
      <c r="C1135" s="10" t="s">
        <v>25214</v>
      </c>
      <c r="D1135" s="56" t="s">
        <v>15315</v>
      </c>
      <c r="E1135" s="10" t="s">
        <v>45</v>
      </c>
      <c r="F1135" s="10" t="s">
        <v>15316</v>
      </c>
      <c r="G1135" s="10" t="s">
        <v>24043</v>
      </c>
      <c r="H1135" s="10" t="s">
        <v>12786</v>
      </c>
      <c r="I1135" s="10" t="s">
        <v>55</v>
      </c>
      <c r="K1135" s="10" t="s">
        <v>25077</v>
      </c>
      <c r="L1135" s="10" t="s">
        <v>42</v>
      </c>
    </row>
    <row r="1136" ht="15.75" customHeight="1">
      <c r="A1136" s="66">
        <v>45474.0</v>
      </c>
      <c r="B1136" s="55" t="str">
        <f>HYPERLINK("https://jobright.ai/jobs/info/66866327f5ea75266998424e?utm_campaign=1057&amp;utm_source=sheet", "Apply")</f>
        <v>Apply</v>
      </c>
      <c r="C1136" s="10" t="s">
        <v>25215</v>
      </c>
      <c r="D1136" s="56" t="s">
        <v>25216</v>
      </c>
      <c r="E1136" s="10" t="s">
        <v>276</v>
      </c>
      <c r="F1136" s="10" t="s">
        <v>1234</v>
      </c>
      <c r="G1136" s="10" t="s">
        <v>24022</v>
      </c>
      <c r="H1136" s="10" t="s">
        <v>9894</v>
      </c>
      <c r="I1136" s="10" t="s">
        <v>55</v>
      </c>
      <c r="K1136" s="10" t="s">
        <v>25217</v>
      </c>
      <c r="L1136" s="10" t="s">
        <v>42</v>
      </c>
    </row>
    <row r="1137" ht="15.75" customHeight="1">
      <c r="A1137" s="66">
        <v>45474.0</v>
      </c>
      <c r="B1137" s="55" t="str">
        <f>HYPERLINK("https://jobright.ai/jobs/info/66592162dc30f127d7d7070a?utm_campaign=1057&amp;utm_source=sheet", "Apply")</f>
        <v>Apply</v>
      </c>
      <c r="C1137" s="10" t="s">
        <v>24310</v>
      </c>
      <c r="D1137" s="56" t="s">
        <v>8289</v>
      </c>
      <c r="E1137" s="10" t="s">
        <v>65</v>
      </c>
      <c r="F1137" s="10" t="s">
        <v>7760</v>
      </c>
      <c r="G1137" s="10" t="s">
        <v>24043</v>
      </c>
      <c r="H1137" s="10" t="s">
        <v>25218</v>
      </c>
      <c r="I1137" s="10" t="s">
        <v>55</v>
      </c>
      <c r="K1137" s="10" t="s">
        <v>24311</v>
      </c>
      <c r="L1137" s="10" t="s">
        <v>42</v>
      </c>
    </row>
    <row r="1138" ht="15.75" customHeight="1">
      <c r="A1138" s="66">
        <v>45474.0</v>
      </c>
      <c r="B1138" s="55" t="str">
        <f>HYPERLINK("https://jobright.ai/jobs/info/668349280b681d66d86de1d5?utm_campaign=1057&amp;utm_source=sheet", "Apply")</f>
        <v>Apply</v>
      </c>
      <c r="C1138" s="10" t="s">
        <v>25177</v>
      </c>
      <c r="D1138" s="56" t="s">
        <v>20697</v>
      </c>
      <c r="E1138" s="10" t="s">
        <v>209</v>
      </c>
      <c r="F1138" s="10" t="s">
        <v>2617</v>
      </c>
      <c r="G1138" s="10" t="s">
        <v>24043</v>
      </c>
      <c r="H1138" s="10" t="s">
        <v>616</v>
      </c>
      <c r="I1138" s="10" t="s">
        <v>55</v>
      </c>
      <c r="J1138" s="10" t="s">
        <v>24234</v>
      </c>
      <c r="K1138" s="10" t="s">
        <v>25178</v>
      </c>
      <c r="L1138" s="10" t="s">
        <v>42</v>
      </c>
    </row>
    <row r="1139" ht="15.75" customHeight="1">
      <c r="A1139" s="66">
        <v>45474.0</v>
      </c>
      <c r="B1139" s="55" t="str">
        <f>HYPERLINK("https://jobright.ai/jobs/info/6683534cff4382b2f8e416d8?utm_campaign=1057&amp;utm_source=sheet", "Apply")</f>
        <v>Apply</v>
      </c>
      <c r="C1139" s="10" t="s">
        <v>25177</v>
      </c>
      <c r="D1139" s="56" t="s">
        <v>20697</v>
      </c>
      <c r="E1139" s="10" t="s">
        <v>209</v>
      </c>
      <c r="F1139" s="10" t="s">
        <v>2617</v>
      </c>
      <c r="G1139" s="10" t="s">
        <v>24043</v>
      </c>
      <c r="H1139" s="10" t="s">
        <v>113</v>
      </c>
      <c r="I1139" s="10" t="s">
        <v>55</v>
      </c>
      <c r="J1139" s="10" t="s">
        <v>24234</v>
      </c>
      <c r="K1139" s="10" t="s">
        <v>25178</v>
      </c>
      <c r="L1139" s="10" t="s">
        <v>42</v>
      </c>
    </row>
    <row r="1140" ht="15.75" customHeight="1">
      <c r="A1140" s="66">
        <v>45474.0</v>
      </c>
      <c r="B1140" s="55" t="str">
        <f>HYPERLINK("https://jobright.ai/jobs/info/668344698264d4aa18e9972f?utm_campaign=1057&amp;utm_source=sheet", "Apply")</f>
        <v>Apply</v>
      </c>
      <c r="C1140" s="10" t="s">
        <v>25177</v>
      </c>
      <c r="D1140" s="56" t="s">
        <v>20697</v>
      </c>
      <c r="E1140" s="10" t="s">
        <v>209</v>
      </c>
      <c r="F1140" s="10" t="s">
        <v>2617</v>
      </c>
      <c r="G1140" s="10" t="s">
        <v>24043</v>
      </c>
      <c r="H1140" s="10" t="s">
        <v>9605</v>
      </c>
      <c r="I1140" s="10" t="s">
        <v>55</v>
      </c>
      <c r="J1140" s="10" t="s">
        <v>24234</v>
      </c>
      <c r="K1140" s="10" t="s">
        <v>25178</v>
      </c>
      <c r="L1140" s="10" t="s">
        <v>42</v>
      </c>
    </row>
    <row r="1141" ht="15.75" customHeight="1">
      <c r="A1141" s="66">
        <v>45474.0</v>
      </c>
      <c r="B1141" s="55" t="str">
        <f>HYPERLINK("https://jobright.ai/jobs/info/668344698264d4aa18e9972b?utm_campaign=1057&amp;utm_source=sheet", "Apply")</f>
        <v>Apply</v>
      </c>
      <c r="C1141" s="10" t="s">
        <v>25177</v>
      </c>
      <c r="D1141" s="56" t="s">
        <v>20697</v>
      </c>
      <c r="E1141" s="10" t="s">
        <v>209</v>
      </c>
      <c r="F1141" s="10" t="s">
        <v>2617</v>
      </c>
      <c r="G1141" s="10" t="s">
        <v>24043</v>
      </c>
      <c r="H1141" s="10" t="s">
        <v>1303</v>
      </c>
      <c r="I1141" s="10" t="s">
        <v>55</v>
      </c>
      <c r="J1141" s="10" t="s">
        <v>24234</v>
      </c>
      <c r="K1141" s="10" t="s">
        <v>25178</v>
      </c>
      <c r="L1141" s="10" t="s">
        <v>42</v>
      </c>
    </row>
    <row r="1142" ht="15.75" customHeight="1">
      <c r="A1142" s="66">
        <v>45474.0</v>
      </c>
      <c r="B1142" s="55" t="str">
        <f>HYPERLINK("https://jobright.ai/jobs/info/668344698264d4aa18e99730?utm_campaign=1057&amp;utm_source=sheet", "Apply")</f>
        <v>Apply</v>
      </c>
      <c r="C1142" s="10" t="s">
        <v>25177</v>
      </c>
      <c r="D1142" s="56" t="s">
        <v>20697</v>
      </c>
      <c r="E1142" s="10" t="s">
        <v>209</v>
      </c>
      <c r="F1142" s="10" t="s">
        <v>2617</v>
      </c>
      <c r="G1142" s="10" t="s">
        <v>24043</v>
      </c>
      <c r="H1142" s="10" t="s">
        <v>434</v>
      </c>
      <c r="I1142" s="10" t="s">
        <v>55</v>
      </c>
      <c r="J1142" s="10" t="s">
        <v>24234</v>
      </c>
      <c r="K1142" s="10" t="s">
        <v>25178</v>
      </c>
      <c r="L1142" s="10" t="s">
        <v>42</v>
      </c>
    </row>
    <row r="1143" ht="15.75" customHeight="1">
      <c r="A1143" s="66">
        <v>45474.0</v>
      </c>
      <c r="B1143" s="55" t="str">
        <f>HYPERLINK("https://jobright.ai/jobs/info/668344698264d4aa18e99731?utm_campaign=1057&amp;utm_source=sheet", "Apply")</f>
        <v>Apply</v>
      </c>
      <c r="C1143" s="10" t="s">
        <v>25177</v>
      </c>
      <c r="D1143" s="56" t="s">
        <v>20697</v>
      </c>
      <c r="E1143" s="10" t="s">
        <v>209</v>
      </c>
      <c r="F1143" s="10" t="s">
        <v>2617</v>
      </c>
      <c r="G1143" s="10" t="s">
        <v>24043</v>
      </c>
      <c r="H1143" s="10" t="s">
        <v>24332</v>
      </c>
      <c r="I1143" s="10" t="s">
        <v>55</v>
      </c>
      <c r="J1143" s="10" t="s">
        <v>24234</v>
      </c>
      <c r="K1143" s="10" t="s">
        <v>25178</v>
      </c>
      <c r="L1143" s="10" t="s">
        <v>42</v>
      </c>
    </row>
    <row r="1144" ht="15.75" customHeight="1">
      <c r="A1144" s="66">
        <v>45474.0</v>
      </c>
      <c r="B1144" s="55" t="str">
        <f>HYPERLINK("https://jobright.ai/jobs/info/6682cee9ac1ecadd06f38e02?utm_campaign=1057&amp;utm_source=sheet", "Apply")</f>
        <v>Apply</v>
      </c>
      <c r="C1144" s="10" t="s">
        <v>25219</v>
      </c>
      <c r="D1144" s="56" t="s">
        <v>25220</v>
      </c>
      <c r="E1144" s="10" t="s">
        <v>209</v>
      </c>
      <c r="F1144" s="10" t="s">
        <v>24281</v>
      </c>
      <c r="G1144" s="10" t="s">
        <v>24031</v>
      </c>
      <c r="H1144" s="10" t="s">
        <v>131</v>
      </c>
      <c r="I1144" s="10" t="s">
        <v>55</v>
      </c>
      <c r="K1144" s="10" t="s">
        <v>25221</v>
      </c>
      <c r="L1144" s="10" t="s">
        <v>42</v>
      </c>
    </row>
    <row r="1145" ht="15.75" customHeight="1">
      <c r="A1145" s="66">
        <v>45474.0</v>
      </c>
      <c r="B1145" s="55" t="str">
        <f>HYPERLINK("https://jobright.ai/jobs/info/668344698264d4aa18e9973f?utm_campaign=1057&amp;utm_source=sheet", "Apply")</f>
        <v>Apply</v>
      </c>
      <c r="C1145" s="10" t="s">
        <v>25177</v>
      </c>
      <c r="D1145" s="56" t="s">
        <v>20697</v>
      </c>
      <c r="E1145" s="10" t="s">
        <v>209</v>
      </c>
      <c r="F1145" s="10" t="s">
        <v>2617</v>
      </c>
      <c r="G1145" s="10" t="s">
        <v>24043</v>
      </c>
      <c r="H1145" s="10" t="s">
        <v>16444</v>
      </c>
      <c r="I1145" s="10" t="s">
        <v>55</v>
      </c>
      <c r="J1145" s="10" t="s">
        <v>24234</v>
      </c>
      <c r="K1145" s="10" t="s">
        <v>25178</v>
      </c>
      <c r="L1145" s="10" t="s">
        <v>42</v>
      </c>
    </row>
    <row r="1146" ht="15.75" customHeight="1">
      <c r="A1146" s="66">
        <v>45474.0</v>
      </c>
      <c r="B1146" s="55" t="str">
        <f>HYPERLINK("https://jobright.ai/jobs/info/668344698264d4aa18e99740?utm_campaign=1057&amp;utm_source=sheet", "Apply")</f>
        <v>Apply</v>
      </c>
      <c r="C1146" s="10" t="s">
        <v>25177</v>
      </c>
      <c r="D1146" s="56" t="s">
        <v>20697</v>
      </c>
      <c r="E1146" s="10" t="s">
        <v>209</v>
      </c>
      <c r="F1146" s="10" t="s">
        <v>2617</v>
      </c>
      <c r="G1146" s="10" t="s">
        <v>24043</v>
      </c>
      <c r="H1146" s="10" t="s">
        <v>761</v>
      </c>
      <c r="I1146" s="10" t="s">
        <v>55</v>
      </c>
      <c r="J1146" s="10" t="s">
        <v>24234</v>
      </c>
      <c r="K1146" s="10" t="s">
        <v>25178</v>
      </c>
      <c r="L1146" s="10" t="s">
        <v>42</v>
      </c>
    </row>
    <row r="1147" ht="15.75" customHeight="1">
      <c r="A1147" s="66">
        <v>45474.0</v>
      </c>
      <c r="B1147" s="55" t="str">
        <f>HYPERLINK("https://jobright.ai/jobs/info/668344698264d4aa18e99741?utm_campaign=1057&amp;utm_source=sheet", "Apply")</f>
        <v>Apply</v>
      </c>
      <c r="C1147" s="10" t="s">
        <v>25177</v>
      </c>
      <c r="D1147" s="56" t="s">
        <v>20697</v>
      </c>
      <c r="E1147" s="10" t="s">
        <v>209</v>
      </c>
      <c r="F1147" s="10" t="s">
        <v>2617</v>
      </c>
      <c r="G1147" s="10" t="s">
        <v>24043</v>
      </c>
      <c r="H1147" s="10" t="s">
        <v>9890</v>
      </c>
      <c r="I1147" s="10" t="s">
        <v>55</v>
      </c>
      <c r="J1147" s="10" t="s">
        <v>24234</v>
      </c>
      <c r="K1147" s="10" t="s">
        <v>25178</v>
      </c>
      <c r="L1147" s="10" t="s">
        <v>42</v>
      </c>
    </row>
    <row r="1148" ht="15.75" customHeight="1">
      <c r="A1148" s="66">
        <v>45474.0</v>
      </c>
      <c r="B1148" s="55" t="str">
        <f>HYPERLINK("https://jobright.ai/jobs/info/668344698264d4aa18e99742?utm_campaign=1057&amp;utm_source=sheet", "Apply")</f>
        <v>Apply</v>
      </c>
      <c r="C1148" s="10" t="s">
        <v>25177</v>
      </c>
      <c r="D1148" s="56" t="s">
        <v>20697</v>
      </c>
      <c r="E1148" s="10" t="s">
        <v>209</v>
      </c>
      <c r="F1148" s="10" t="s">
        <v>2617</v>
      </c>
      <c r="G1148" s="10" t="s">
        <v>24043</v>
      </c>
      <c r="H1148" s="10" t="s">
        <v>18018</v>
      </c>
      <c r="I1148" s="10" t="s">
        <v>55</v>
      </c>
      <c r="J1148" s="10" t="s">
        <v>24234</v>
      </c>
      <c r="K1148" s="10" t="s">
        <v>25178</v>
      </c>
      <c r="L1148" s="10" t="s">
        <v>42</v>
      </c>
    </row>
    <row r="1149" ht="15.75" customHeight="1">
      <c r="A1149" s="66">
        <v>45473.0</v>
      </c>
      <c r="B1149" s="55" t="str">
        <f>HYPERLINK("https://jobright.ai/jobs/info/6686826f60fc882479d6c3d7?utm_campaign=1057&amp;utm_source=sheet", "Apply")</f>
        <v>Apply</v>
      </c>
      <c r="C1149" s="10" t="s">
        <v>25222</v>
      </c>
      <c r="D1149" s="56" t="s">
        <v>18323</v>
      </c>
      <c r="E1149" s="10" t="s">
        <v>45</v>
      </c>
      <c r="F1149" s="10" t="s">
        <v>1485</v>
      </c>
      <c r="G1149" s="10" t="s">
        <v>24022</v>
      </c>
      <c r="H1149" s="10" t="s">
        <v>96</v>
      </c>
      <c r="I1149" s="10" t="s">
        <v>55</v>
      </c>
      <c r="K1149" s="10" t="s">
        <v>25223</v>
      </c>
      <c r="L1149" s="10" t="s">
        <v>42</v>
      </c>
    </row>
    <row r="1150" ht="15.75" customHeight="1">
      <c r="A1150" s="66">
        <v>45472.0</v>
      </c>
      <c r="B1150" s="55" t="str">
        <f>HYPERLINK("https://jobright.ai/jobs/info/66802bd53b2e728dc3b27449?utm_campaign=1057&amp;utm_source=sheet", "Apply")</f>
        <v>Apply</v>
      </c>
      <c r="C1150" s="10" t="s">
        <v>25224</v>
      </c>
      <c r="D1150" s="56" t="s">
        <v>20449</v>
      </c>
      <c r="E1150" s="10" t="s">
        <v>45</v>
      </c>
      <c r="F1150" s="10" t="s">
        <v>1234</v>
      </c>
      <c r="G1150" s="10" t="s">
        <v>24043</v>
      </c>
      <c r="H1150" s="10" t="s">
        <v>845</v>
      </c>
      <c r="I1150" s="10" t="s">
        <v>48</v>
      </c>
      <c r="J1150" s="10" t="s">
        <v>3132</v>
      </c>
      <c r="K1150" s="10" t="s">
        <v>25225</v>
      </c>
      <c r="L1150" s="10" t="s">
        <v>42</v>
      </c>
    </row>
    <row r="1151" ht="15.75" customHeight="1">
      <c r="A1151" s="66">
        <v>45472.0</v>
      </c>
      <c r="B1151" s="55" t="str">
        <f>HYPERLINK("https://jobright.ai/jobs/info/66759baf59c208aac14d1f61?utm_campaign=1057&amp;utm_source=sheet", "Apply")</f>
        <v>Apply</v>
      </c>
      <c r="C1151" s="10" t="s">
        <v>24774</v>
      </c>
      <c r="D1151" s="56" t="s">
        <v>24775</v>
      </c>
      <c r="F1151" s="10" t="s">
        <v>2617</v>
      </c>
      <c r="G1151" s="10" t="s">
        <v>24031</v>
      </c>
      <c r="H1151" s="10" t="s">
        <v>11404</v>
      </c>
      <c r="I1151" s="10" t="s">
        <v>55</v>
      </c>
      <c r="J1151" s="10" t="s">
        <v>9353</v>
      </c>
      <c r="K1151" s="10" t="s">
        <v>24776</v>
      </c>
      <c r="L1151" s="10" t="s">
        <v>42</v>
      </c>
    </row>
    <row r="1152" ht="15.75" customHeight="1">
      <c r="A1152" s="66">
        <v>45472.0</v>
      </c>
      <c r="B1152" s="55" t="str">
        <f>HYPERLINK("https://jobright.ai/jobs/info/667f6a535e2e018177ec08e3?utm_campaign=1057&amp;utm_source=sheet", "Apply")</f>
        <v>Apply</v>
      </c>
      <c r="C1152" s="10" t="s">
        <v>25226</v>
      </c>
      <c r="D1152" s="56" t="s">
        <v>1636</v>
      </c>
      <c r="E1152" s="10">
        <v>6029.0</v>
      </c>
      <c r="G1152" s="10" t="s">
        <v>24022</v>
      </c>
      <c r="H1152" s="10" t="s">
        <v>170</v>
      </c>
      <c r="I1152" s="10" t="s">
        <v>55</v>
      </c>
      <c r="J1152" s="10" t="s">
        <v>2127</v>
      </c>
      <c r="K1152" s="10" t="s">
        <v>25227</v>
      </c>
      <c r="L1152" s="10" t="s">
        <v>42</v>
      </c>
    </row>
    <row r="1153" ht="15.75" customHeight="1">
      <c r="A1153" s="66">
        <v>45471.0</v>
      </c>
      <c r="B1153" s="55" t="str">
        <f>HYPERLINK("https://jobright.ai/jobs/info/66800f7a837d16e3277f504d?utm_campaign=1057&amp;utm_source=sheet", "Apply")</f>
        <v>Apply</v>
      </c>
      <c r="C1153" s="10" t="s">
        <v>1771</v>
      </c>
      <c r="D1153" s="56" t="s">
        <v>1908</v>
      </c>
      <c r="E1153" s="10" t="s">
        <v>45</v>
      </c>
      <c r="F1153" s="10" t="s">
        <v>1909</v>
      </c>
      <c r="G1153" s="10" t="s">
        <v>24022</v>
      </c>
      <c r="H1153" s="10" t="s">
        <v>153</v>
      </c>
      <c r="I1153" s="10" t="s">
        <v>55</v>
      </c>
      <c r="K1153" s="10" t="s">
        <v>7918</v>
      </c>
      <c r="L1153" s="10" t="s">
        <v>42</v>
      </c>
    </row>
    <row r="1154" ht="15.75" customHeight="1">
      <c r="A1154" s="66">
        <v>45471.0</v>
      </c>
      <c r="B1154" s="55" t="str">
        <f>HYPERLINK("https://jobright.ai/jobs/info/667f2d3826819fa820f74d76?utm_campaign=1057&amp;utm_source=sheet", "Apply")</f>
        <v>Apply</v>
      </c>
      <c r="C1154" s="10" t="s">
        <v>24024</v>
      </c>
      <c r="D1154" s="56" t="s">
        <v>20373</v>
      </c>
      <c r="E1154" s="10" t="s">
        <v>276</v>
      </c>
      <c r="F1154" s="10" t="s">
        <v>665</v>
      </c>
      <c r="G1154" s="10" t="s">
        <v>24022</v>
      </c>
      <c r="H1154" s="10" t="s">
        <v>902</v>
      </c>
      <c r="I1154" s="10" t="s">
        <v>55</v>
      </c>
      <c r="K1154" s="10" t="s">
        <v>25228</v>
      </c>
      <c r="L1154" s="10" t="s">
        <v>42</v>
      </c>
    </row>
    <row r="1155" ht="15.75" customHeight="1">
      <c r="A1155" s="66">
        <v>45471.0</v>
      </c>
      <c r="B1155" s="55" t="str">
        <f>HYPERLINK("https://jobright.ai/jobs/info/667ac5676fec2de82002a0a2?utm_campaign=1057&amp;utm_source=sheet", "Apply")</f>
        <v>Apply</v>
      </c>
      <c r="C1155" s="10" t="s">
        <v>25229</v>
      </c>
      <c r="D1155" s="56" t="s">
        <v>5418</v>
      </c>
      <c r="E1155" s="10" t="s">
        <v>249</v>
      </c>
      <c r="F1155" s="10" t="s">
        <v>5419</v>
      </c>
      <c r="G1155" s="10" t="s">
        <v>24031</v>
      </c>
      <c r="H1155" s="10" t="s">
        <v>1020</v>
      </c>
      <c r="I1155" s="10" t="s">
        <v>55</v>
      </c>
      <c r="K1155" s="10" t="s">
        <v>25230</v>
      </c>
      <c r="L1155" s="10" t="s">
        <v>42</v>
      </c>
    </row>
    <row r="1156" ht="15.75" customHeight="1">
      <c r="A1156" s="66">
        <v>45471.0</v>
      </c>
      <c r="B1156" s="55" t="str">
        <f>HYPERLINK("https://jobright.ai/jobs/info/667f1d7d86f1f771815ce7cc?utm_campaign=1057&amp;utm_source=sheet", "Apply")</f>
        <v>Apply</v>
      </c>
      <c r="C1156" s="10" t="s">
        <v>25231</v>
      </c>
      <c r="D1156" s="56" t="s">
        <v>2118</v>
      </c>
      <c r="E1156" s="10" t="s">
        <v>276</v>
      </c>
      <c r="F1156" s="10" t="s">
        <v>2119</v>
      </c>
      <c r="G1156" s="10" t="s">
        <v>24031</v>
      </c>
      <c r="H1156" s="10" t="s">
        <v>167</v>
      </c>
      <c r="I1156" s="10" t="s">
        <v>55</v>
      </c>
      <c r="K1156" s="10" t="s">
        <v>25232</v>
      </c>
      <c r="L1156" s="10" t="s">
        <v>42</v>
      </c>
    </row>
    <row r="1157" ht="15.75" customHeight="1">
      <c r="A1157" s="66">
        <v>45471.0</v>
      </c>
      <c r="B1157" s="55" t="str">
        <f>HYPERLINK("https://jobright.ai/jobs/info/667f15841074e518685ce306?utm_campaign=1057&amp;utm_source=sheet", "Apply")</f>
        <v>Apply</v>
      </c>
      <c r="C1157" s="10" t="s">
        <v>25233</v>
      </c>
      <c r="D1157" s="56" t="s">
        <v>25234</v>
      </c>
      <c r="E1157" s="10" t="s">
        <v>276</v>
      </c>
      <c r="F1157" s="10" t="s">
        <v>7760</v>
      </c>
      <c r="G1157" s="10" t="s">
        <v>24043</v>
      </c>
      <c r="H1157" s="10" t="s">
        <v>25235</v>
      </c>
      <c r="I1157" s="10" t="s">
        <v>55</v>
      </c>
      <c r="K1157" s="10" t="s">
        <v>25236</v>
      </c>
      <c r="L1157" s="10" t="s">
        <v>42</v>
      </c>
    </row>
    <row r="1158" ht="15.75" customHeight="1">
      <c r="A1158" s="66">
        <v>45471.0</v>
      </c>
      <c r="B1158" s="55" t="str">
        <f>HYPERLINK("https://jobright.ai/jobs/info/667ed82c31f9110acbfb0617?utm_campaign=1057&amp;utm_source=sheet", "Apply")</f>
        <v>Apply</v>
      </c>
      <c r="C1158" s="10" t="s">
        <v>25237</v>
      </c>
      <c r="D1158" s="56" t="s">
        <v>2252</v>
      </c>
      <c r="E1158" s="10" t="s">
        <v>249</v>
      </c>
      <c r="F1158" s="10" t="s">
        <v>2253</v>
      </c>
      <c r="G1158" s="10" t="s">
        <v>24031</v>
      </c>
      <c r="H1158" s="10" t="s">
        <v>996</v>
      </c>
      <c r="I1158" s="10" t="s">
        <v>55</v>
      </c>
      <c r="K1158" s="10" t="s">
        <v>25238</v>
      </c>
      <c r="L1158" s="10" t="s">
        <v>42</v>
      </c>
    </row>
    <row r="1159" ht="15.75" customHeight="1">
      <c r="A1159" s="66">
        <v>45471.0</v>
      </c>
      <c r="B1159" s="55" t="str">
        <f>HYPERLINK("https://jobright.ai/jobs/info/6684023a2e6d4f73d0307885?utm_campaign=1057&amp;utm_source=sheet", "Apply")</f>
        <v>Apply</v>
      </c>
      <c r="C1159" s="10" t="s">
        <v>25239</v>
      </c>
      <c r="D1159" s="56" t="s">
        <v>8363</v>
      </c>
      <c r="E1159" s="10" t="s">
        <v>45</v>
      </c>
      <c r="F1159" s="10" t="s">
        <v>1234</v>
      </c>
      <c r="G1159" s="10" t="s">
        <v>24031</v>
      </c>
      <c r="H1159" s="10" t="s">
        <v>896</v>
      </c>
      <c r="I1159" s="10" t="s">
        <v>55</v>
      </c>
      <c r="J1159" s="10" t="s">
        <v>25240</v>
      </c>
      <c r="K1159" s="10" t="s">
        <v>25241</v>
      </c>
      <c r="L1159" s="10" t="s">
        <v>42</v>
      </c>
    </row>
    <row r="1160" ht="15.75" customHeight="1">
      <c r="A1160" s="66">
        <v>45471.0</v>
      </c>
      <c r="B1160" s="55" t="str">
        <f>HYPERLINK("https://jobright.ai/jobs/info/667e55439cbdce30e7c61062?utm_campaign=1057&amp;utm_source=sheet", "Apply")</f>
        <v>Apply</v>
      </c>
      <c r="C1160" s="10" t="s">
        <v>25242</v>
      </c>
      <c r="D1160" s="56" t="s">
        <v>25243</v>
      </c>
      <c r="E1160" s="10" t="s">
        <v>79</v>
      </c>
      <c r="F1160" s="10" t="s">
        <v>25244</v>
      </c>
      <c r="G1160" s="10" t="s">
        <v>24022</v>
      </c>
      <c r="H1160" s="10" t="s">
        <v>25245</v>
      </c>
      <c r="I1160" s="10" t="s">
        <v>55</v>
      </c>
      <c r="K1160" s="10" t="s">
        <v>25246</v>
      </c>
      <c r="L1160" s="10" t="s">
        <v>42</v>
      </c>
    </row>
    <row r="1161" ht="15.75" customHeight="1">
      <c r="A1161" s="66">
        <v>45471.0</v>
      </c>
      <c r="B1161" s="55" t="str">
        <f>HYPERLINK("https://jobright.ai/jobs/info/667f01db6900d892b3bcbdf2?utm_campaign=1057&amp;utm_source=sheet", "Apply")</f>
        <v>Apply</v>
      </c>
      <c r="C1161" s="10" t="s">
        <v>25226</v>
      </c>
      <c r="D1161" s="56" t="s">
        <v>1636</v>
      </c>
      <c r="E1161" s="10">
        <v>6029.0</v>
      </c>
      <c r="G1161" s="10" t="s">
        <v>24022</v>
      </c>
      <c r="H1161" s="10" t="s">
        <v>15113</v>
      </c>
      <c r="I1161" s="10" t="s">
        <v>55</v>
      </c>
      <c r="J1161" s="10" t="s">
        <v>2127</v>
      </c>
      <c r="K1161" s="10" t="s">
        <v>25227</v>
      </c>
      <c r="L1161" s="10" t="s">
        <v>42</v>
      </c>
    </row>
    <row r="1162" ht="15.75" customHeight="1">
      <c r="A1162" s="66">
        <v>45470.0</v>
      </c>
      <c r="B1162" s="55" t="str">
        <f>HYPERLINK("https://jobright.ai/jobs/info/667e023eae99fb6a149785f7?utm_campaign=1057&amp;utm_source=sheet", "Apply")</f>
        <v>Apply</v>
      </c>
      <c r="C1162" s="10" t="s">
        <v>24871</v>
      </c>
      <c r="D1162" s="56" t="s">
        <v>8289</v>
      </c>
      <c r="E1162" s="10" t="s">
        <v>65</v>
      </c>
      <c r="F1162" s="10" t="s">
        <v>7760</v>
      </c>
      <c r="G1162" s="10" t="s">
        <v>24043</v>
      </c>
      <c r="H1162" s="10" t="s">
        <v>740</v>
      </c>
      <c r="I1162" s="10" t="s">
        <v>55</v>
      </c>
      <c r="K1162" s="10" t="s">
        <v>24872</v>
      </c>
      <c r="L1162" s="10" t="s">
        <v>42</v>
      </c>
    </row>
    <row r="1163" ht="15.75" customHeight="1">
      <c r="A1163" s="66">
        <v>45470.0</v>
      </c>
      <c r="B1163" s="55" t="str">
        <f>HYPERLINK("https://jobright.ai/jobs/info/667debbbf8422465584898ec?utm_campaign=1057&amp;utm_source=sheet", "Apply")</f>
        <v>Apply</v>
      </c>
      <c r="C1163" s="10" t="s">
        <v>25247</v>
      </c>
      <c r="D1163" s="56" t="s">
        <v>25248</v>
      </c>
      <c r="E1163" s="10" t="s">
        <v>276</v>
      </c>
      <c r="G1163" s="10" t="s">
        <v>24031</v>
      </c>
      <c r="H1163" s="10" t="s">
        <v>11341</v>
      </c>
      <c r="I1163" s="10" t="s">
        <v>55</v>
      </c>
      <c r="K1163" s="10" t="s">
        <v>25249</v>
      </c>
      <c r="L1163" s="10" t="s">
        <v>42</v>
      </c>
    </row>
    <row r="1164" ht="15.75" customHeight="1">
      <c r="A1164" s="66">
        <v>45470.0</v>
      </c>
      <c r="B1164" s="55" t="str">
        <f>HYPERLINK("https://jobright.ai/jobs/info/667db779eade89152c9701c9?utm_campaign=1057&amp;utm_source=sheet", "Apply")</f>
        <v>Apply</v>
      </c>
      <c r="C1164" s="10" t="s">
        <v>25250</v>
      </c>
      <c r="D1164" s="56" t="s">
        <v>13400</v>
      </c>
      <c r="E1164" s="10" t="s">
        <v>276</v>
      </c>
      <c r="F1164" s="10" t="s">
        <v>3770</v>
      </c>
      <c r="G1164" s="10" t="s">
        <v>24043</v>
      </c>
      <c r="H1164" s="10" t="s">
        <v>411</v>
      </c>
      <c r="I1164" s="10" t="s">
        <v>55</v>
      </c>
      <c r="J1164" s="10" t="s">
        <v>3651</v>
      </c>
      <c r="K1164" s="10" t="s">
        <v>25251</v>
      </c>
      <c r="L1164" s="10" t="s">
        <v>42</v>
      </c>
    </row>
    <row r="1165" ht="15.75" customHeight="1">
      <c r="A1165" s="66">
        <v>45470.0</v>
      </c>
      <c r="B1165" s="55" t="str">
        <f>HYPERLINK("https://jobright.ai/jobs/info/667d41f0018edf2ee85c200f?utm_campaign=1057&amp;utm_source=sheet", "Apply")</f>
        <v>Apply</v>
      </c>
      <c r="C1165" s="10" t="s">
        <v>25252</v>
      </c>
      <c r="D1165" s="56" t="s">
        <v>1502</v>
      </c>
      <c r="E1165" s="10">
        <v>10345.0</v>
      </c>
      <c r="G1165" s="10" t="s">
        <v>24043</v>
      </c>
      <c r="H1165" s="10" t="s">
        <v>106</v>
      </c>
      <c r="I1165" s="10" t="s">
        <v>55</v>
      </c>
      <c r="J1165" s="10" t="s">
        <v>23703</v>
      </c>
      <c r="K1165" s="10" t="s">
        <v>25253</v>
      </c>
      <c r="L1165" s="10" t="s">
        <v>42</v>
      </c>
    </row>
    <row r="1166" ht="15.75" customHeight="1">
      <c r="A1166" s="66">
        <v>45470.0</v>
      </c>
      <c r="B1166" s="55" t="str">
        <f>HYPERLINK("https://jobright.ai/jobs/info/667fb2e7c53d26f2744b0598?utm_campaign=1057&amp;utm_source=sheet", "Apply")</f>
        <v>Apply</v>
      </c>
      <c r="C1166" s="10" t="s">
        <v>25254</v>
      </c>
      <c r="D1166" s="56" t="s">
        <v>25255</v>
      </c>
      <c r="E1166" s="10">
        <v>720.0</v>
      </c>
      <c r="G1166" s="10" t="s">
        <v>24022</v>
      </c>
      <c r="H1166" s="10" t="s">
        <v>11736</v>
      </c>
      <c r="I1166" s="10" t="s">
        <v>55</v>
      </c>
      <c r="J1166" s="10" t="s">
        <v>1409</v>
      </c>
      <c r="K1166" s="10" t="s">
        <v>25256</v>
      </c>
      <c r="L1166" s="10" t="s">
        <v>42</v>
      </c>
    </row>
    <row r="1167" ht="15.75" customHeight="1">
      <c r="A1167" s="66">
        <v>45470.0</v>
      </c>
      <c r="B1167" s="55" t="str">
        <f>HYPERLINK("https://jobright.ai/jobs/info/667fb2f1c53d26f2744b05a9?utm_campaign=1057&amp;utm_source=sheet", "Apply")</f>
        <v>Apply</v>
      </c>
      <c r="C1167" s="10" t="s">
        <v>25257</v>
      </c>
      <c r="D1167" s="56" t="s">
        <v>25258</v>
      </c>
      <c r="E1167" s="10">
        <v>23.0</v>
      </c>
      <c r="G1167" s="10" t="s">
        <v>24022</v>
      </c>
      <c r="H1167" s="10" t="s">
        <v>12606</v>
      </c>
      <c r="I1167" s="10" t="s">
        <v>55</v>
      </c>
      <c r="J1167" s="10" t="s">
        <v>25259</v>
      </c>
      <c r="K1167" s="10" t="s">
        <v>25260</v>
      </c>
      <c r="L1167" s="10" t="s">
        <v>42</v>
      </c>
    </row>
    <row r="1168" ht="15.75" customHeight="1">
      <c r="A1168" s="66">
        <v>45470.0</v>
      </c>
      <c r="B1168" s="55" t="str">
        <f>HYPERLINK("https://jobright.ai/jobs/info/667d1cfbef978bc256caed71?utm_campaign=1057&amp;utm_source=sheet", "Apply")</f>
        <v>Apply</v>
      </c>
      <c r="C1168" s="10" t="s">
        <v>25261</v>
      </c>
      <c r="D1168" s="56" t="s">
        <v>25170</v>
      </c>
      <c r="E1168" s="10">
        <v>612.0</v>
      </c>
      <c r="G1168" s="10" t="s">
        <v>24022</v>
      </c>
      <c r="H1168" s="10" t="s">
        <v>25171</v>
      </c>
      <c r="I1168" s="10" t="s">
        <v>55</v>
      </c>
      <c r="K1168" s="10" t="s">
        <v>25172</v>
      </c>
      <c r="L1168" s="10" t="s">
        <v>42</v>
      </c>
    </row>
    <row r="1169" ht="15.75" customHeight="1">
      <c r="A1169" s="66">
        <v>45470.0</v>
      </c>
      <c r="B1169" s="55" t="str">
        <f>HYPERLINK("https://jobright.ai/jobs/info/667d1d06ef978bc256caedec?utm_campaign=1057&amp;utm_source=sheet", "Apply")</f>
        <v>Apply</v>
      </c>
      <c r="C1169" s="10" t="s">
        <v>25262</v>
      </c>
      <c r="D1169" s="56" t="s">
        <v>4516</v>
      </c>
      <c r="E1169" s="10">
        <v>803.0</v>
      </c>
      <c r="G1169" s="10" t="s">
        <v>24031</v>
      </c>
      <c r="H1169" s="10" t="s">
        <v>898</v>
      </c>
      <c r="I1169" s="10" t="s">
        <v>55</v>
      </c>
      <c r="J1169" s="10" t="s">
        <v>1797</v>
      </c>
      <c r="K1169" s="10" t="s">
        <v>25263</v>
      </c>
      <c r="L1169" s="10" t="s">
        <v>42</v>
      </c>
    </row>
    <row r="1170" ht="15.75" customHeight="1">
      <c r="A1170" s="66">
        <v>45470.0</v>
      </c>
      <c r="B1170" s="55" t="str">
        <f>HYPERLINK("https://jobright.ai/jobs/info/667cdb1cef16833fe2030f93?utm_campaign=1057&amp;utm_source=sheet", "Apply")</f>
        <v>Apply</v>
      </c>
      <c r="C1170" s="10" t="s">
        <v>10658</v>
      </c>
      <c r="D1170" s="56" t="s">
        <v>2922</v>
      </c>
      <c r="E1170" s="10" t="s">
        <v>45</v>
      </c>
      <c r="F1170" s="10" t="s">
        <v>1234</v>
      </c>
      <c r="G1170" s="10" t="s">
        <v>24031</v>
      </c>
      <c r="H1170" s="10" t="s">
        <v>965</v>
      </c>
      <c r="I1170" s="10" t="s">
        <v>55</v>
      </c>
      <c r="J1170" s="10" t="s">
        <v>4117</v>
      </c>
      <c r="K1170" s="10" t="s">
        <v>25264</v>
      </c>
      <c r="L1170" s="10" t="s">
        <v>42</v>
      </c>
    </row>
    <row r="1171" ht="15.75" customHeight="1">
      <c r="A1171" s="66">
        <v>45470.0</v>
      </c>
      <c r="B1171" s="55" t="str">
        <f>HYPERLINK("https://jobright.ai/jobs/info/667ddd8a083431332d6812d8?utm_campaign=1057&amp;utm_source=sheet", "Apply")</f>
        <v>Apply</v>
      </c>
      <c r="C1171" s="10" t="s">
        <v>25265</v>
      </c>
      <c r="D1171" s="56" t="s">
        <v>25266</v>
      </c>
      <c r="E1171" s="10" t="s">
        <v>65</v>
      </c>
      <c r="F1171" s="10" t="s">
        <v>3709</v>
      </c>
      <c r="G1171" s="10" t="s">
        <v>24022</v>
      </c>
      <c r="H1171" s="10" t="s">
        <v>25267</v>
      </c>
      <c r="I1171" s="10" t="s">
        <v>55</v>
      </c>
      <c r="J1171" s="10" t="s">
        <v>25268</v>
      </c>
      <c r="K1171" s="10" t="s">
        <v>25269</v>
      </c>
      <c r="L1171" s="10" t="s">
        <v>42</v>
      </c>
    </row>
    <row r="1172" ht="15.75" customHeight="1">
      <c r="A1172" s="66">
        <v>45469.0</v>
      </c>
      <c r="B1172" s="55" t="str">
        <f>HYPERLINK("https://jobright.ai/jobs/info/667cb71e7f13acf322d94867?utm_campaign=1057&amp;utm_source=sheet", "Apply")</f>
        <v>Apply</v>
      </c>
      <c r="C1172" s="10" t="s">
        <v>25270</v>
      </c>
      <c r="D1172" s="56" t="s">
        <v>25271</v>
      </c>
      <c r="E1172" s="10" t="s">
        <v>137</v>
      </c>
      <c r="F1172" s="10" t="s">
        <v>722</v>
      </c>
      <c r="G1172" s="10" t="s">
        <v>24022</v>
      </c>
      <c r="H1172" s="10" t="s">
        <v>1000</v>
      </c>
      <c r="I1172" s="10" t="s">
        <v>55</v>
      </c>
      <c r="L1172" s="10" t="s">
        <v>42</v>
      </c>
    </row>
    <row r="1173" ht="15.75" customHeight="1">
      <c r="A1173" s="66">
        <v>45469.0</v>
      </c>
      <c r="B1173" s="55" t="str">
        <f>HYPERLINK("https://jobright.ai/jobs/info/667cb7507f13acf322d94bb0?utm_campaign=1057&amp;utm_source=sheet", "Apply")</f>
        <v>Apply</v>
      </c>
      <c r="C1173" s="10" t="s">
        <v>24871</v>
      </c>
      <c r="D1173" s="56" t="s">
        <v>8289</v>
      </c>
      <c r="E1173" s="10" t="s">
        <v>65</v>
      </c>
      <c r="F1173" s="10" t="s">
        <v>7760</v>
      </c>
      <c r="G1173" s="10" t="s">
        <v>24043</v>
      </c>
      <c r="H1173" s="10" t="s">
        <v>96</v>
      </c>
      <c r="I1173" s="10" t="s">
        <v>55</v>
      </c>
      <c r="K1173" s="10" t="s">
        <v>24872</v>
      </c>
      <c r="L1173" s="10" t="s">
        <v>42</v>
      </c>
    </row>
    <row r="1174" ht="15.75" customHeight="1">
      <c r="A1174" s="66">
        <v>45469.0</v>
      </c>
      <c r="B1174" s="55" t="str">
        <f>HYPERLINK("https://jobright.ai/jobs/info/6670d9406693be2cfa8b042f?utm_campaign=1057&amp;utm_source=sheet", "Apply")</f>
        <v>Apply</v>
      </c>
      <c r="C1174" s="10" t="s">
        <v>25272</v>
      </c>
      <c r="D1174" s="56" t="s">
        <v>8289</v>
      </c>
      <c r="E1174" s="10" t="s">
        <v>65</v>
      </c>
      <c r="F1174" s="10" t="s">
        <v>7760</v>
      </c>
      <c r="G1174" s="10" t="s">
        <v>24043</v>
      </c>
      <c r="H1174" s="10" t="s">
        <v>146</v>
      </c>
      <c r="I1174" s="10" t="s">
        <v>48</v>
      </c>
      <c r="K1174" s="10" t="s">
        <v>25273</v>
      </c>
      <c r="L1174" s="10" t="s">
        <v>42</v>
      </c>
    </row>
    <row r="1175" ht="15.75" customHeight="1">
      <c r="A1175" s="66">
        <v>45469.0</v>
      </c>
      <c r="B1175" s="55" t="str">
        <f>HYPERLINK("https://jobright.ai/jobs/info/667cad60d9af9dd1ef5d7dc6?utm_campaign=1057&amp;utm_source=sheet", "Apply")</f>
        <v>Apply</v>
      </c>
      <c r="C1175" s="10" t="s">
        <v>24871</v>
      </c>
      <c r="D1175" s="56" t="s">
        <v>8289</v>
      </c>
      <c r="E1175" s="10" t="s">
        <v>65</v>
      </c>
      <c r="F1175" s="10" t="s">
        <v>7760</v>
      </c>
      <c r="G1175" s="10" t="s">
        <v>24043</v>
      </c>
      <c r="H1175" s="10" t="s">
        <v>374</v>
      </c>
      <c r="I1175" s="10" t="s">
        <v>55</v>
      </c>
      <c r="K1175" s="10" t="s">
        <v>24872</v>
      </c>
      <c r="L1175" s="10" t="s">
        <v>42</v>
      </c>
    </row>
    <row r="1176" ht="15.75" customHeight="1">
      <c r="A1176" s="66">
        <v>45469.0</v>
      </c>
      <c r="B1176" s="55" t="str">
        <f>HYPERLINK("https://jobright.ai/jobs/info/667cad60d9af9dd1ef5d7dcd?utm_campaign=1057&amp;utm_source=sheet", "Apply")</f>
        <v>Apply</v>
      </c>
      <c r="C1176" s="10" t="s">
        <v>24871</v>
      </c>
      <c r="D1176" s="56" t="s">
        <v>8289</v>
      </c>
      <c r="E1176" s="10" t="s">
        <v>65</v>
      </c>
      <c r="F1176" s="10" t="s">
        <v>7760</v>
      </c>
      <c r="G1176" s="10" t="s">
        <v>24043</v>
      </c>
      <c r="H1176" s="10" t="s">
        <v>859</v>
      </c>
      <c r="I1176" s="10" t="s">
        <v>55</v>
      </c>
      <c r="K1176" s="10" t="s">
        <v>24872</v>
      </c>
      <c r="L1176" s="10" t="s">
        <v>42</v>
      </c>
    </row>
    <row r="1177" ht="15.75" customHeight="1">
      <c r="A1177" s="66">
        <v>45469.0</v>
      </c>
      <c r="B1177" s="55" t="str">
        <f>HYPERLINK("https://jobright.ai/jobs/info/667d4e62205769d09114ecfe?utm_campaign=1057&amp;utm_source=sheet", "Apply")</f>
        <v>Apply</v>
      </c>
      <c r="C1177" s="10" t="s">
        <v>25274</v>
      </c>
      <c r="D1177" s="56" t="s">
        <v>25275</v>
      </c>
      <c r="E1177" s="10" t="s">
        <v>71</v>
      </c>
      <c r="F1177" s="10" t="s">
        <v>1695</v>
      </c>
      <c r="G1177" s="10" t="s">
        <v>24031</v>
      </c>
      <c r="H1177" s="10" t="s">
        <v>794</v>
      </c>
      <c r="I1177" s="10" t="s">
        <v>55</v>
      </c>
      <c r="K1177" s="10" t="s">
        <v>25276</v>
      </c>
      <c r="L1177" s="10" t="s">
        <v>42</v>
      </c>
    </row>
    <row r="1178" ht="15.75" customHeight="1">
      <c r="A1178" s="66">
        <v>45469.0</v>
      </c>
      <c r="B1178" s="55" t="str">
        <f>HYPERLINK("https://jobright.ai/jobs/info/667ca3007b6b9db4746b16fe?utm_campaign=1057&amp;utm_source=sheet", "Apply")</f>
        <v>Apply</v>
      </c>
      <c r="C1178" s="10" t="s">
        <v>25277</v>
      </c>
      <c r="D1178" s="56" t="s">
        <v>1794</v>
      </c>
      <c r="E1178" s="10" t="s">
        <v>65</v>
      </c>
      <c r="F1178" s="10" t="s">
        <v>1795</v>
      </c>
      <c r="G1178" s="10" t="s">
        <v>24031</v>
      </c>
      <c r="H1178" s="10" t="s">
        <v>1796</v>
      </c>
      <c r="I1178" s="10" t="s">
        <v>55</v>
      </c>
      <c r="J1178" s="10" t="s">
        <v>6879</v>
      </c>
      <c r="K1178" s="10" t="s">
        <v>25278</v>
      </c>
      <c r="L1178" s="10" t="s">
        <v>42</v>
      </c>
    </row>
    <row r="1179" ht="15.75" customHeight="1">
      <c r="A1179" s="66">
        <v>45469.0</v>
      </c>
      <c r="B1179" s="55" t="str">
        <f>HYPERLINK("https://jobright.ai/jobs/info/667463f936042babb8d72050?utm_campaign=1057&amp;utm_source=sheet", "Apply")</f>
        <v>Apply</v>
      </c>
      <c r="C1179" s="10" t="s">
        <v>25279</v>
      </c>
      <c r="D1179" s="56" t="s">
        <v>1794</v>
      </c>
      <c r="E1179" s="10" t="s">
        <v>65</v>
      </c>
      <c r="F1179" s="10" t="s">
        <v>1795</v>
      </c>
      <c r="G1179" s="10" t="s">
        <v>24031</v>
      </c>
      <c r="H1179" s="10" t="s">
        <v>1796</v>
      </c>
      <c r="I1179" s="10" t="s">
        <v>55</v>
      </c>
      <c r="J1179" s="10" t="s">
        <v>25280</v>
      </c>
      <c r="K1179" s="10" t="s">
        <v>25281</v>
      </c>
      <c r="L1179" s="10" t="s">
        <v>42</v>
      </c>
    </row>
    <row r="1180" ht="15.75" customHeight="1">
      <c r="A1180" s="66">
        <v>45469.0</v>
      </c>
      <c r="B1180" s="55" t="str">
        <f>HYPERLINK("https://jobright.ai/jobs/info/667ca3007b6b9db4746b173f?utm_campaign=1057&amp;utm_source=sheet", "Apply")</f>
        <v>Apply</v>
      </c>
      <c r="C1180" s="10" t="s">
        <v>25282</v>
      </c>
      <c r="D1180" s="56" t="s">
        <v>1794</v>
      </c>
      <c r="E1180" s="10" t="s">
        <v>65</v>
      </c>
      <c r="F1180" s="10" t="s">
        <v>1795</v>
      </c>
      <c r="G1180" s="10" t="s">
        <v>24022</v>
      </c>
      <c r="H1180" s="10" t="s">
        <v>1796</v>
      </c>
      <c r="I1180" s="10" t="s">
        <v>48</v>
      </c>
      <c r="J1180" s="10" t="s">
        <v>3125</v>
      </c>
      <c r="K1180" s="10" t="s">
        <v>25283</v>
      </c>
      <c r="L1180" s="10" t="s">
        <v>42</v>
      </c>
    </row>
    <row r="1181" ht="15.75" customHeight="1">
      <c r="A1181" s="66">
        <v>45469.0</v>
      </c>
      <c r="B1181" s="55" t="str">
        <f>HYPERLINK("https://jobright.ai/jobs/info/667ca3457b6b9db4746b1c99?utm_campaign=1057&amp;utm_source=sheet", "Apply")</f>
        <v>Apply</v>
      </c>
      <c r="C1181" s="10" t="s">
        <v>25284</v>
      </c>
      <c r="D1181" s="56" t="s">
        <v>1794</v>
      </c>
      <c r="E1181" s="10" t="s">
        <v>65</v>
      </c>
      <c r="F1181" s="10" t="s">
        <v>1795</v>
      </c>
      <c r="G1181" s="10" t="s">
        <v>24022</v>
      </c>
      <c r="H1181" s="10" t="s">
        <v>1796</v>
      </c>
      <c r="I1181" s="10" t="s">
        <v>55</v>
      </c>
      <c r="J1181" s="10" t="s">
        <v>1960</v>
      </c>
      <c r="K1181" s="10" t="s">
        <v>25285</v>
      </c>
      <c r="L1181" s="10" t="s">
        <v>42</v>
      </c>
    </row>
    <row r="1182" ht="15.75" customHeight="1">
      <c r="A1182" s="66">
        <v>45469.0</v>
      </c>
      <c r="B1182" s="55" t="str">
        <f>HYPERLINK("https://jobright.ai/jobs/info/667ca30b7b6b9db4746b17a7?utm_campaign=1057&amp;utm_source=sheet", "Apply")</f>
        <v>Apply</v>
      </c>
      <c r="C1182" s="10" t="s">
        <v>25286</v>
      </c>
      <c r="D1182" s="56" t="s">
        <v>1794</v>
      </c>
      <c r="E1182" s="10" t="s">
        <v>65</v>
      </c>
      <c r="F1182" s="10" t="s">
        <v>1795</v>
      </c>
      <c r="G1182" s="10" t="s">
        <v>24022</v>
      </c>
      <c r="H1182" s="10" t="s">
        <v>1796</v>
      </c>
      <c r="I1182" s="10" t="s">
        <v>55</v>
      </c>
      <c r="J1182" s="10" t="s">
        <v>3125</v>
      </c>
      <c r="K1182" s="10" t="s">
        <v>25287</v>
      </c>
      <c r="L1182" s="10" t="s">
        <v>42</v>
      </c>
    </row>
    <row r="1183" ht="15.75" customHeight="1">
      <c r="A1183" s="66">
        <v>45469.0</v>
      </c>
      <c r="B1183" s="55" t="str">
        <f>HYPERLINK("https://jobright.ai/jobs/info/667ca30b7b6b9db4746b17ed?utm_campaign=1057&amp;utm_source=sheet", "Apply")</f>
        <v>Apply</v>
      </c>
      <c r="C1183" s="10" t="s">
        <v>25288</v>
      </c>
      <c r="D1183" s="56" t="s">
        <v>1794</v>
      </c>
      <c r="E1183" s="10" t="s">
        <v>65</v>
      </c>
      <c r="F1183" s="10" t="s">
        <v>1795</v>
      </c>
      <c r="G1183" s="10" t="s">
        <v>24031</v>
      </c>
      <c r="H1183" s="10" t="s">
        <v>1796</v>
      </c>
      <c r="I1183" s="10" t="s">
        <v>55</v>
      </c>
      <c r="J1183" s="10" t="s">
        <v>3651</v>
      </c>
      <c r="K1183" s="10" t="s">
        <v>25289</v>
      </c>
      <c r="L1183" s="10" t="s">
        <v>42</v>
      </c>
    </row>
    <row r="1184" ht="15.75" customHeight="1">
      <c r="A1184" s="66">
        <v>45469.0</v>
      </c>
      <c r="B1184" s="55" t="str">
        <f>HYPERLINK("https://jobright.ai/jobs/info/667ca3007b6b9db4746b1729?utm_campaign=1057&amp;utm_source=sheet", "Apply")</f>
        <v>Apply</v>
      </c>
      <c r="C1184" s="10" t="s">
        <v>25290</v>
      </c>
      <c r="D1184" s="56" t="s">
        <v>1794</v>
      </c>
      <c r="E1184" s="10" t="s">
        <v>65</v>
      </c>
      <c r="F1184" s="10" t="s">
        <v>1795</v>
      </c>
      <c r="G1184" s="10" t="s">
        <v>24031</v>
      </c>
      <c r="H1184" s="10" t="s">
        <v>1796</v>
      </c>
      <c r="I1184" s="10" t="s">
        <v>48</v>
      </c>
      <c r="J1184" s="10" t="s">
        <v>3125</v>
      </c>
      <c r="K1184" s="10" t="s">
        <v>25291</v>
      </c>
      <c r="L1184" s="10" t="s">
        <v>42</v>
      </c>
    </row>
    <row r="1185" ht="15.75" customHeight="1">
      <c r="A1185" s="66">
        <v>45469.0</v>
      </c>
      <c r="B1185" s="55" t="str">
        <f>HYPERLINK("https://jobright.ai/jobs/info/667ca3007b6b9db4746b1736?utm_campaign=1057&amp;utm_source=sheet", "Apply")</f>
        <v>Apply</v>
      </c>
      <c r="C1185" s="10" t="s">
        <v>25292</v>
      </c>
      <c r="D1185" s="56" t="s">
        <v>1794</v>
      </c>
      <c r="E1185" s="10" t="s">
        <v>65</v>
      </c>
      <c r="F1185" s="10" t="s">
        <v>1795</v>
      </c>
      <c r="G1185" s="10" t="s">
        <v>24022</v>
      </c>
      <c r="H1185" s="10" t="s">
        <v>1796</v>
      </c>
      <c r="I1185" s="10" t="s">
        <v>55</v>
      </c>
      <c r="J1185" s="10" t="s">
        <v>3125</v>
      </c>
      <c r="K1185" s="10" t="s">
        <v>25293</v>
      </c>
      <c r="L1185" s="10" t="s">
        <v>42</v>
      </c>
    </row>
    <row r="1186" ht="15.75" customHeight="1">
      <c r="A1186" s="66">
        <v>45469.0</v>
      </c>
      <c r="B1186" s="55" t="str">
        <f>HYPERLINK("https://jobright.ai/jobs/info/667cd5a469583c2fc08b20bf?utm_campaign=1057&amp;utm_source=sheet", "Apply")</f>
        <v>Apply</v>
      </c>
      <c r="C1186" s="10" t="s">
        <v>25294</v>
      </c>
      <c r="D1186" s="56" t="s">
        <v>1794</v>
      </c>
      <c r="E1186" s="10" t="s">
        <v>65</v>
      </c>
      <c r="F1186" s="10" t="s">
        <v>1795</v>
      </c>
      <c r="G1186" s="10" t="s">
        <v>24022</v>
      </c>
      <c r="H1186" s="10" t="s">
        <v>1796</v>
      </c>
      <c r="I1186" s="10" t="s">
        <v>48</v>
      </c>
      <c r="J1186" s="10" t="s">
        <v>11533</v>
      </c>
      <c r="K1186" s="10" t="s">
        <v>25295</v>
      </c>
      <c r="L1186" s="10" t="s">
        <v>42</v>
      </c>
    </row>
    <row r="1187" ht="15.75" customHeight="1">
      <c r="A1187" s="66">
        <v>45469.0</v>
      </c>
      <c r="B1187" s="55" t="str">
        <f>HYPERLINK("https://jobright.ai/jobs/info/667ca022c08973d614a46aca?utm_campaign=1057&amp;utm_source=sheet", "Apply")</f>
        <v>Apply</v>
      </c>
      <c r="C1187" s="10" t="s">
        <v>25296</v>
      </c>
      <c r="D1187" s="56" t="s">
        <v>1794</v>
      </c>
      <c r="E1187" s="10" t="s">
        <v>65</v>
      </c>
      <c r="F1187" s="10" t="s">
        <v>1795</v>
      </c>
      <c r="G1187" s="10" t="s">
        <v>24031</v>
      </c>
      <c r="H1187" s="10" t="s">
        <v>1796</v>
      </c>
      <c r="I1187" s="10" t="s">
        <v>55</v>
      </c>
      <c r="J1187" s="10" t="s">
        <v>19561</v>
      </c>
      <c r="K1187" s="10" t="s">
        <v>25297</v>
      </c>
      <c r="L1187" s="10" t="s">
        <v>42</v>
      </c>
    </row>
    <row r="1188" ht="15.75" customHeight="1">
      <c r="A1188" s="66">
        <v>45469.0</v>
      </c>
      <c r="B1188" s="55" t="str">
        <f>HYPERLINK("https://jobright.ai/jobs/info/667ca022c08973d614a46ae6?utm_campaign=1057&amp;utm_source=sheet", "Apply")</f>
        <v>Apply</v>
      </c>
      <c r="C1188" s="10" t="s">
        <v>25298</v>
      </c>
      <c r="D1188" s="56" t="s">
        <v>1794</v>
      </c>
      <c r="E1188" s="10" t="s">
        <v>65</v>
      </c>
      <c r="F1188" s="10" t="s">
        <v>1795</v>
      </c>
      <c r="G1188" s="10" t="s">
        <v>24031</v>
      </c>
      <c r="H1188" s="10" t="s">
        <v>1796</v>
      </c>
      <c r="I1188" s="10" t="s">
        <v>55</v>
      </c>
      <c r="J1188" s="10" t="s">
        <v>1409</v>
      </c>
      <c r="K1188" s="10" t="s">
        <v>25299</v>
      </c>
      <c r="L1188" s="10" t="s">
        <v>42</v>
      </c>
    </row>
    <row r="1189" ht="15.75" customHeight="1">
      <c r="A1189" s="66">
        <v>45469.0</v>
      </c>
      <c r="B1189" s="55" t="str">
        <f>HYPERLINK("https://jobright.ai/jobs/info/667c95988b79c077c3ac2132?utm_campaign=1057&amp;utm_source=sheet", "Apply")</f>
        <v>Apply</v>
      </c>
      <c r="C1189" s="10" t="s">
        <v>25300</v>
      </c>
      <c r="D1189" s="56" t="s">
        <v>1794</v>
      </c>
      <c r="E1189" s="10" t="s">
        <v>65</v>
      </c>
      <c r="F1189" s="10" t="s">
        <v>1795</v>
      </c>
      <c r="G1189" s="10" t="s">
        <v>24031</v>
      </c>
      <c r="H1189" s="10" t="s">
        <v>1796</v>
      </c>
      <c r="I1189" s="10" t="s">
        <v>55</v>
      </c>
      <c r="J1189" s="10" t="s">
        <v>15533</v>
      </c>
      <c r="K1189" s="10" t="s">
        <v>25301</v>
      </c>
      <c r="L1189" s="10" t="s">
        <v>42</v>
      </c>
    </row>
    <row r="1190" ht="15.75" customHeight="1">
      <c r="A1190" s="66">
        <v>45469.0</v>
      </c>
      <c r="B1190" s="55" t="str">
        <f>HYPERLINK("https://jobright.ai/jobs/info/667c95508b79c077c3ac1c56?utm_campaign=1057&amp;utm_source=sheet", "Apply")</f>
        <v>Apply</v>
      </c>
      <c r="C1190" s="10" t="s">
        <v>25302</v>
      </c>
      <c r="D1190" s="56" t="s">
        <v>1794</v>
      </c>
      <c r="E1190" s="10" t="s">
        <v>65</v>
      </c>
      <c r="F1190" s="10" t="s">
        <v>1795</v>
      </c>
      <c r="G1190" s="10" t="s">
        <v>24031</v>
      </c>
      <c r="H1190" s="10" t="s">
        <v>1796</v>
      </c>
      <c r="I1190" s="10" t="s">
        <v>55</v>
      </c>
      <c r="J1190" s="10" t="s">
        <v>13509</v>
      </c>
      <c r="K1190" s="10" t="s">
        <v>25303</v>
      </c>
      <c r="L1190" s="10" t="s">
        <v>42</v>
      </c>
    </row>
    <row r="1191" ht="15.75" customHeight="1">
      <c r="A1191" s="66">
        <v>45469.0</v>
      </c>
      <c r="B1191" s="55" t="str">
        <f>HYPERLINK("https://jobright.ai/jobs/info/667cc4e76b5c78f2a4863f47?utm_campaign=1057&amp;utm_source=sheet", "Apply")</f>
        <v>Apply</v>
      </c>
      <c r="C1191" s="10" t="s">
        <v>25304</v>
      </c>
      <c r="D1191" s="56" t="s">
        <v>24896</v>
      </c>
      <c r="E1191" s="10" t="s">
        <v>45</v>
      </c>
      <c r="F1191" s="10" t="s">
        <v>1893</v>
      </c>
      <c r="G1191" s="10" t="s">
        <v>24043</v>
      </c>
      <c r="H1191" s="10" t="s">
        <v>898</v>
      </c>
      <c r="I1191" s="10" t="s">
        <v>55</v>
      </c>
      <c r="K1191" s="10" t="s">
        <v>24898</v>
      </c>
      <c r="L1191" s="10" t="s">
        <v>42</v>
      </c>
    </row>
    <row r="1192" ht="15.75" customHeight="1">
      <c r="A1192" s="66">
        <v>45469.0</v>
      </c>
      <c r="B1192" s="55" t="str">
        <f>HYPERLINK("https://jobright.ai/jobs/info/667c5a74659765ee8d5c9d71?utm_campaign=1057&amp;utm_source=sheet", "Apply")</f>
        <v>Apply</v>
      </c>
      <c r="C1192" s="10" t="s">
        <v>25305</v>
      </c>
      <c r="D1192" s="56" t="s">
        <v>25306</v>
      </c>
      <c r="E1192" s="10" t="s">
        <v>276</v>
      </c>
      <c r="F1192" s="10" t="s">
        <v>1708</v>
      </c>
      <c r="G1192" s="10" t="s">
        <v>24022</v>
      </c>
      <c r="H1192" s="10" t="s">
        <v>153</v>
      </c>
      <c r="I1192" s="10" t="s">
        <v>48</v>
      </c>
      <c r="K1192" s="10" t="s">
        <v>25307</v>
      </c>
      <c r="L1192" s="10" t="s">
        <v>42</v>
      </c>
    </row>
    <row r="1193" ht="15.75" customHeight="1">
      <c r="A1193" s="66">
        <v>45469.0</v>
      </c>
      <c r="B1193" s="55" t="str">
        <f>HYPERLINK("https://jobright.ai/jobs/info/667cfe6f87c246eb6a52a876?utm_campaign=1057&amp;utm_source=sheet", "Apply")</f>
        <v>Apply</v>
      </c>
      <c r="C1193" s="10" t="s">
        <v>25308</v>
      </c>
      <c r="D1193" s="56" t="s">
        <v>25309</v>
      </c>
      <c r="E1193" s="10" t="s">
        <v>65</v>
      </c>
      <c r="F1193" s="10" t="s">
        <v>192</v>
      </c>
      <c r="G1193" s="10" t="s">
        <v>24022</v>
      </c>
      <c r="H1193" s="10" t="s">
        <v>9446</v>
      </c>
      <c r="I1193" s="10" t="s">
        <v>55</v>
      </c>
      <c r="J1193" s="10" t="s">
        <v>1984</v>
      </c>
      <c r="K1193" s="10" t="s">
        <v>25310</v>
      </c>
      <c r="L1193" s="10" t="s">
        <v>42</v>
      </c>
    </row>
    <row r="1194" ht="15.75" customHeight="1">
      <c r="A1194" s="66">
        <v>45469.0</v>
      </c>
      <c r="B1194" s="55" t="str">
        <f>HYPERLINK("https://jobright.ai/jobs/info/667be0762a1ad180766995cb?utm_campaign=1057&amp;utm_source=sheet", "Apply")</f>
        <v>Apply</v>
      </c>
      <c r="C1194" s="10" t="s">
        <v>24716</v>
      </c>
      <c r="D1194" s="56" t="s">
        <v>24717</v>
      </c>
      <c r="E1194" s="10">
        <v>67.0</v>
      </c>
      <c r="G1194" s="10" t="s">
        <v>24031</v>
      </c>
      <c r="H1194" s="10" t="s">
        <v>815</v>
      </c>
      <c r="I1194" s="10" t="s">
        <v>55</v>
      </c>
      <c r="K1194" s="10" t="s">
        <v>25311</v>
      </c>
      <c r="L1194" s="10" t="s">
        <v>42</v>
      </c>
    </row>
    <row r="1195" ht="15.75" customHeight="1">
      <c r="A1195" s="66">
        <v>45469.0</v>
      </c>
      <c r="B1195" s="55" t="str">
        <f>HYPERLINK("https://jobright.ai/jobs/info/667e5cb0f6a81203f19477d1?utm_campaign=1057&amp;utm_source=sheet", "Apply")</f>
        <v>Apply</v>
      </c>
      <c r="C1195" s="10" t="s">
        <v>25312</v>
      </c>
      <c r="D1195" s="56" t="s">
        <v>25313</v>
      </c>
      <c r="E1195" s="10">
        <v>213.0</v>
      </c>
      <c r="G1195" s="10" t="s">
        <v>24031</v>
      </c>
      <c r="H1195" s="10" t="s">
        <v>4327</v>
      </c>
      <c r="I1195" s="10" t="s">
        <v>55</v>
      </c>
      <c r="K1195" s="10" t="s">
        <v>25314</v>
      </c>
      <c r="L1195" s="10" t="s">
        <v>42</v>
      </c>
    </row>
    <row r="1196" ht="15.75" customHeight="1">
      <c r="A1196" s="66">
        <v>45469.0</v>
      </c>
      <c r="B1196" s="55" t="str">
        <f>HYPERLINK("https://jobright.ai/jobs/info/667bbc0e37e36c7eb36e2d90?utm_campaign=1057&amp;utm_source=sheet", "Apply")</f>
        <v>Apply</v>
      </c>
      <c r="C1196" s="10" t="s">
        <v>25315</v>
      </c>
      <c r="D1196" s="56" t="s">
        <v>15153</v>
      </c>
      <c r="G1196" s="10" t="s">
        <v>24022</v>
      </c>
      <c r="H1196" s="10" t="s">
        <v>811</v>
      </c>
      <c r="I1196" s="10" t="s">
        <v>55</v>
      </c>
      <c r="K1196" s="10" t="s">
        <v>25316</v>
      </c>
      <c r="L1196" s="10" t="s">
        <v>42</v>
      </c>
    </row>
    <row r="1197" ht="15.75" customHeight="1">
      <c r="A1197" s="66">
        <v>45469.0</v>
      </c>
      <c r="B1197" s="55" t="str">
        <f>HYPERLINK("https://jobright.ai/jobs/info/666b23c7efc55bec90187a75?utm_campaign=1057&amp;utm_source=sheet", "Apply")</f>
        <v>Apply</v>
      </c>
      <c r="C1197" s="10" t="s">
        <v>25317</v>
      </c>
      <c r="D1197" s="56" t="s">
        <v>2182</v>
      </c>
      <c r="E1197" s="10" t="s">
        <v>45</v>
      </c>
      <c r="F1197" s="10" t="s">
        <v>665</v>
      </c>
      <c r="G1197" s="10" t="s">
        <v>24043</v>
      </c>
      <c r="H1197" s="10" t="s">
        <v>2183</v>
      </c>
      <c r="I1197" s="10" t="s">
        <v>55</v>
      </c>
      <c r="K1197" s="10" t="s">
        <v>2184</v>
      </c>
      <c r="L1197" s="10" t="s">
        <v>42</v>
      </c>
    </row>
    <row r="1198" ht="15.75" customHeight="1">
      <c r="A1198" s="66">
        <v>45469.0</v>
      </c>
      <c r="B1198" s="55" t="str">
        <f>HYPERLINK("https://jobright.ai/jobs/info/667e252be800db00783801fe?utm_campaign=1057&amp;utm_source=sheet", "Apply")</f>
        <v>Apply</v>
      </c>
      <c r="C1198" s="10" t="s">
        <v>25318</v>
      </c>
      <c r="D1198" s="56" t="s">
        <v>3769</v>
      </c>
      <c r="E1198" s="10" t="s">
        <v>65</v>
      </c>
      <c r="F1198" s="10" t="s">
        <v>3770</v>
      </c>
      <c r="G1198" s="10" t="s">
        <v>24043</v>
      </c>
      <c r="H1198" s="10" t="s">
        <v>5295</v>
      </c>
      <c r="I1198" s="10" t="s">
        <v>55</v>
      </c>
      <c r="J1198" s="10" t="s">
        <v>3771</v>
      </c>
      <c r="K1198" s="10" t="s">
        <v>25319</v>
      </c>
      <c r="L1198" s="10" t="s">
        <v>42</v>
      </c>
    </row>
    <row r="1199" ht="15.75" customHeight="1">
      <c r="A1199" s="66">
        <v>45469.0</v>
      </c>
      <c r="B1199" s="55" t="str">
        <f>HYPERLINK("https://jobright.ai/jobs/info/667c50d3fc279489db4ec086?utm_campaign=1057&amp;utm_source=sheet", "Apply")</f>
        <v>Apply</v>
      </c>
      <c r="C1199" s="10" t="s">
        <v>25320</v>
      </c>
      <c r="D1199" s="56" t="s">
        <v>25321</v>
      </c>
      <c r="E1199" s="10" t="s">
        <v>249</v>
      </c>
      <c r="F1199" s="10" t="s">
        <v>1506</v>
      </c>
      <c r="G1199" s="10" t="s">
        <v>24022</v>
      </c>
      <c r="H1199" s="10" t="s">
        <v>938</v>
      </c>
      <c r="I1199" s="10" t="s">
        <v>55</v>
      </c>
      <c r="L1199" s="10" t="s">
        <v>42</v>
      </c>
    </row>
    <row r="1200" ht="15.75" customHeight="1">
      <c r="A1200" s="66">
        <v>45469.0</v>
      </c>
      <c r="B1200" s="55" t="str">
        <f>HYPERLINK("https://jobright.ai/jobs/info/667c8c627dcf43f2e6752061?utm_campaign=1057&amp;utm_source=sheet", "Apply")</f>
        <v>Apply</v>
      </c>
      <c r="C1200" s="10" t="s">
        <v>25322</v>
      </c>
      <c r="D1200" s="56" t="s">
        <v>25323</v>
      </c>
      <c r="E1200" s="10" t="s">
        <v>45</v>
      </c>
      <c r="F1200" s="10" t="s">
        <v>25324</v>
      </c>
      <c r="G1200" s="10" t="s">
        <v>24043</v>
      </c>
      <c r="H1200" s="10" t="s">
        <v>5367</v>
      </c>
      <c r="I1200" s="10" t="s">
        <v>55</v>
      </c>
      <c r="K1200" s="10" t="s">
        <v>25325</v>
      </c>
      <c r="L1200" s="10" t="s">
        <v>42</v>
      </c>
    </row>
    <row r="1201" ht="15.75" customHeight="1">
      <c r="A1201" s="66">
        <v>45468.0</v>
      </c>
      <c r="B1201" s="55" t="str">
        <f>HYPERLINK("https://jobright.ai/jobs/info/667b593846c6f972c505d485?utm_campaign=1057&amp;utm_source=sheet", "Apply")</f>
        <v>Apply</v>
      </c>
      <c r="C1201" s="10" t="s">
        <v>25326</v>
      </c>
      <c r="D1201" s="56" t="s">
        <v>4465</v>
      </c>
      <c r="E1201" s="10" t="s">
        <v>209</v>
      </c>
      <c r="F1201" s="10" t="s">
        <v>4466</v>
      </c>
      <c r="G1201" s="10" t="s">
        <v>24022</v>
      </c>
      <c r="H1201" s="10" t="s">
        <v>15802</v>
      </c>
      <c r="I1201" s="10" t="s">
        <v>55</v>
      </c>
      <c r="J1201" s="10" t="s">
        <v>25327</v>
      </c>
      <c r="K1201" s="10" t="s">
        <v>25328</v>
      </c>
      <c r="L1201" s="10" t="s">
        <v>42</v>
      </c>
    </row>
    <row r="1202" ht="15.75" customHeight="1">
      <c r="A1202" s="66">
        <v>45468.0</v>
      </c>
      <c r="B1202" s="55" t="str">
        <f>HYPERLINK("https://jobright.ai/jobs/info/667b52b1777bd4167efd1a44?utm_campaign=1057&amp;utm_source=sheet", "Apply")</f>
        <v>Apply</v>
      </c>
      <c r="C1202" s="10" t="s">
        <v>25329</v>
      </c>
      <c r="D1202" s="56" t="s">
        <v>25330</v>
      </c>
      <c r="E1202" s="10" t="s">
        <v>79</v>
      </c>
      <c r="F1202" s="10" t="s">
        <v>25331</v>
      </c>
      <c r="G1202" s="10" t="s">
        <v>24031</v>
      </c>
      <c r="H1202" s="10" t="s">
        <v>86</v>
      </c>
      <c r="I1202" s="10" t="s">
        <v>55</v>
      </c>
      <c r="K1202" s="10" t="s">
        <v>25332</v>
      </c>
      <c r="L1202" s="10" t="s">
        <v>42</v>
      </c>
    </row>
    <row r="1203" ht="15.75" customHeight="1">
      <c r="A1203" s="66">
        <v>45468.0</v>
      </c>
      <c r="B1203" s="55" t="str">
        <f>HYPERLINK("https://jobright.ai/jobs/info/667b41046c645d774025fb8f?utm_campaign=1057&amp;utm_source=sheet", "Apply")</f>
        <v>Apply</v>
      </c>
      <c r="C1203" s="10" t="s">
        <v>25333</v>
      </c>
      <c r="D1203" s="56" t="s">
        <v>7830</v>
      </c>
      <c r="E1203" s="10" t="s">
        <v>249</v>
      </c>
      <c r="F1203" s="10" t="s">
        <v>3906</v>
      </c>
      <c r="G1203" s="10" t="s">
        <v>24031</v>
      </c>
      <c r="H1203" s="10" t="s">
        <v>96</v>
      </c>
      <c r="I1203" s="10" t="s">
        <v>55</v>
      </c>
      <c r="J1203" s="10" t="s">
        <v>3979</v>
      </c>
      <c r="K1203" s="10" t="s">
        <v>25334</v>
      </c>
      <c r="L1203" s="10" t="s">
        <v>42</v>
      </c>
    </row>
    <row r="1204" ht="15.75" customHeight="1">
      <c r="A1204" s="66">
        <v>45468.0</v>
      </c>
      <c r="B1204" s="55" t="str">
        <f>HYPERLINK("https://jobright.ai/jobs/info/667b1aae7660e72714b3ae3d?utm_campaign=1057&amp;utm_source=sheet", "Apply")</f>
        <v>Apply</v>
      </c>
      <c r="C1204" s="10" t="s">
        <v>25335</v>
      </c>
      <c r="D1204" s="56" t="s">
        <v>25336</v>
      </c>
      <c r="E1204" s="10" t="s">
        <v>65</v>
      </c>
      <c r="F1204" s="10" t="s">
        <v>1234</v>
      </c>
      <c r="G1204" s="10" t="s">
        <v>24031</v>
      </c>
      <c r="H1204" s="10" t="s">
        <v>25337</v>
      </c>
      <c r="I1204" s="10" t="s">
        <v>55</v>
      </c>
      <c r="J1204" s="10" t="s">
        <v>25338</v>
      </c>
      <c r="K1204" s="10" t="s">
        <v>25339</v>
      </c>
      <c r="L1204" s="10" t="s">
        <v>42</v>
      </c>
    </row>
    <row r="1205" ht="15.75" customHeight="1">
      <c r="A1205" s="66">
        <v>45468.0</v>
      </c>
      <c r="B1205" s="55" t="str">
        <f>HYPERLINK("https://jobright.ai/jobs/info/667d78d37f52fab5a9ba22b8?utm_campaign=1057&amp;utm_source=sheet", "Apply")</f>
        <v>Apply</v>
      </c>
      <c r="C1205" s="10" t="s">
        <v>25340</v>
      </c>
      <c r="D1205" s="56" t="s">
        <v>1502</v>
      </c>
      <c r="E1205" s="10">
        <v>10345.0</v>
      </c>
      <c r="G1205" s="10" t="s">
        <v>24043</v>
      </c>
      <c r="H1205" s="10" t="s">
        <v>106</v>
      </c>
      <c r="I1205" s="10" t="s">
        <v>55</v>
      </c>
      <c r="K1205" s="10" t="s">
        <v>25341</v>
      </c>
      <c r="L1205" s="10" t="s">
        <v>42</v>
      </c>
    </row>
    <row r="1206" ht="15.75" customHeight="1">
      <c r="A1206" s="66">
        <v>45468.0</v>
      </c>
      <c r="B1206" s="55" t="str">
        <f>HYPERLINK("https://jobright.ai/jobs/info/668d36fa38255351a9d0d09b?utm_campaign=1057&amp;utm_source=sheet", "Apply")</f>
        <v>Apply</v>
      </c>
      <c r="C1206" s="10" t="s">
        <v>25342</v>
      </c>
      <c r="D1206" s="56" t="s">
        <v>2231</v>
      </c>
      <c r="E1206" s="10" t="s">
        <v>45</v>
      </c>
      <c r="F1206" s="10" t="s">
        <v>1506</v>
      </c>
      <c r="G1206" s="10" t="s">
        <v>24031</v>
      </c>
      <c r="H1206" s="10" t="s">
        <v>1024</v>
      </c>
      <c r="I1206" s="10" t="s">
        <v>55</v>
      </c>
      <c r="J1206" s="10" t="s">
        <v>1409</v>
      </c>
      <c r="K1206" s="10" t="s">
        <v>25343</v>
      </c>
      <c r="L1206" s="10" t="s">
        <v>42</v>
      </c>
    </row>
    <row r="1207" ht="15.75" customHeight="1">
      <c r="A1207" s="66">
        <v>45468.0</v>
      </c>
      <c r="B1207" s="55" t="str">
        <f>HYPERLINK("https://jobright.ai/jobs/info/667d47bc175f90388ced19dd?utm_campaign=1057&amp;utm_source=sheet", "Apply")</f>
        <v>Apply</v>
      </c>
      <c r="C1207" s="10" t="s">
        <v>25344</v>
      </c>
      <c r="D1207" s="56" t="s">
        <v>25345</v>
      </c>
      <c r="E1207" s="10">
        <v>936.0</v>
      </c>
      <c r="G1207" s="10" t="s">
        <v>24031</v>
      </c>
      <c r="H1207" s="10" t="s">
        <v>982</v>
      </c>
      <c r="I1207" s="10" t="s">
        <v>55</v>
      </c>
      <c r="J1207" s="10" t="s">
        <v>25346</v>
      </c>
      <c r="K1207" s="10" t="s">
        <v>25347</v>
      </c>
      <c r="L1207" s="10" t="s">
        <v>42</v>
      </c>
    </row>
    <row r="1208" ht="15.75" customHeight="1">
      <c r="A1208" s="66">
        <v>45468.0</v>
      </c>
      <c r="B1208" s="55" t="str">
        <f>HYPERLINK("https://jobright.ai/jobs/info/667aa76158c7161a65665110?utm_campaign=1057&amp;utm_source=sheet", "Apply")</f>
        <v>Apply</v>
      </c>
      <c r="C1208" s="10" t="s">
        <v>25348</v>
      </c>
      <c r="D1208" s="56" t="s">
        <v>25349</v>
      </c>
      <c r="E1208" s="10" t="s">
        <v>249</v>
      </c>
      <c r="F1208" s="10" t="s">
        <v>25350</v>
      </c>
      <c r="G1208" s="10" t="s">
        <v>24031</v>
      </c>
      <c r="H1208" s="10" t="s">
        <v>144</v>
      </c>
      <c r="I1208" s="10" t="s">
        <v>55</v>
      </c>
      <c r="J1208" s="10" t="s">
        <v>366</v>
      </c>
      <c r="K1208" s="10" t="s">
        <v>25351</v>
      </c>
      <c r="L1208" s="10" t="s">
        <v>42</v>
      </c>
    </row>
    <row r="1209" ht="15.75" customHeight="1">
      <c r="A1209" s="66">
        <v>45468.0</v>
      </c>
      <c r="B1209" s="55" t="str">
        <f>HYPERLINK("https://jobright.ai/jobs/info/667a8d8bc63318791ec25a27?utm_campaign=1057&amp;utm_source=sheet", "Apply")</f>
        <v>Apply</v>
      </c>
      <c r="C1209" s="10" t="s">
        <v>24716</v>
      </c>
      <c r="D1209" s="56" t="s">
        <v>24717</v>
      </c>
      <c r="E1209" s="10">
        <v>67.0</v>
      </c>
      <c r="G1209" s="10" t="s">
        <v>24031</v>
      </c>
      <c r="H1209" s="10" t="s">
        <v>896</v>
      </c>
      <c r="I1209" s="10" t="s">
        <v>55</v>
      </c>
      <c r="K1209" s="10" t="s">
        <v>25311</v>
      </c>
      <c r="L1209" s="10" t="s">
        <v>42</v>
      </c>
    </row>
    <row r="1210" ht="15.75" customHeight="1">
      <c r="A1210" s="66">
        <v>45468.0</v>
      </c>
      <c r="B1210" s="55" t="str">
        <f>HYPERLINK("https://jobright.ai/jobs/info/6683639e1c528914733c0895?utm_campaign=1057&amp;utm_source=sheet", "Apply")</f>
        <v>Apply</v>
      </c>
      <c r="C1210" s="10" t="s">
        <v>25352</v>
      </c>
      <c r="D1210" s="56" t="s">
        <v>25353</v>
      </c>
      <c r="E1210" s="10" t="s">
        <v>276</v>
      </c>
      <c r="F1210" s="10" t="s">
        <v>25354</v>
      </c>
      <c r="G1210" s="10" t="s">
        <v>24031</v>
      </c>
      <c r="H1210" s="10" t="s">
        <v>25355</v>
      </c>
      <c r="I1210" s="10" t="s">
        <v>55</v>
      </c>
      <c r="K1210" s="10" t="s">
        <v>25356</v>
      </c>
      <c r="L1210" s="10" t="s">
        <v>42</v>
      </c>
    </row>
    <row r="1211" ht="15.75" customHeight="1">
      <c r="A1211" s="66">
        <v>45468.0</v>
      </c>
      <c r="B1211" s="55" t="str">
        <f>HYPERLINK("https://jobright.ai/jobs/info/667b3b2bbbd383089817f812?utm_campaign=1057&amp;utm_source=sheet", "Apply")</f>
        <v>Apply</v>
      </c>
      <c r="C1211" s="10" t="s">
        <v>25357</v>
      </c>
      <c r="D1211" s="56" t="s">
        <v>25358</v>
      </c>
      <c r="E1211" s="10" t="s">
        <v>249</v>
      </c>
      <c r="F1211" s="10" t="s">
        <v>1695</v>
      </c>
      <c r="G1211" s="10" t="s">
        <v>24043</v>
      </c>
      <c r="H1211" s="10" t="s">
        <v>3440</v>
      </c>
      <c r="I1211" s="10" t="s">
        <v>55</v>
      </c>
      <c r="J1211" s="10" t="s">
        <v>25359</v>
      </c>
      <c r="K1211" s="10" t="s">
        <v>25360</v>
      </c>
      <c r="L1211" s="10" t="s">
        <v>42</v>
      </c>
    </row>
    <row r="1212" ht="15.75" customHeight="1">
      <c r="A1212" s="66">
        <v>45468.0</v>
      </c>
      <c r="B1212" s="55" t="str">
        <f>HYPERLINK("https://jobright.ai/jobs/info/667b2b381b02ac33e0d757e6?utm_campaign=1057&amp;utm_source=sheet", "Apply")</f>
        <v>Apply</v>
      </c>
      <c r="C1212" s="10" t="s">
        <v>25361</v>
      </c>
      <c r="D1212" s="56" t="s">
        <v>10126</v>
      </c>
      <c r="E1212" s="10">
        <v>276.0</v>
      </c>
      <c r="G1212" s="10" t="s">
        <v>24022</v>
      </c>
      <c r="H1212" s="10" t="s">
        <v>10127</v>
      </c>
      <c r="I1212" s="10" t="s">
        <v>55</v>
      </c>
      <c r="J1212" s="10" t="s">
        <v>25362</v>
      </c>
      <c r="K1212" s="10" t="s">
        <v>24101</v>
      </c>
      <c r="L1212" s="10" t="s">
        <v>42</v>
      </c>
    </row>
    <row r="1213" ht="15.75" customHeight="1">
      <c r="A1213" s="66">
        <v>45468.0</v>
      </c>
      <c r="B1213" s="55" t="str">
        <f>HYPERLINK("https://jobright.ai/jobs/info/667b2fa33ba8e5990a093db1?utm_campaign=1057&amp;utm_source=sheet", "Apply")</f>
        <v>Apply</v>
      </c>
      <c r="C1213" s="10" t="s">
        <v>25363</v>
      </c>
      <c r="D1213" s="56" t="s">
        <v>25364</v>
      </c>
      <c r="E1213" s="10" t="s">
        <v>65</v>
      </c>
      <c r="F1213" s="10" t="s">
        <v>1234</v>
      </c>
      <c r="G1213" s="10" t="s">
        <v>24031</v>
      </c>
      <c r="H1213" s="10" t="s">
        <v>25365</v>
      </c>
      <c r="I1213" s="10" t="s">
        <v>55</v>
      </c>
      <c r="K1213" s="10" t="s">
        <v>25366</v>
      </c>
      <c r="L1213" s="10" t="s">
        <v>42</v>
      </c>
    </row>
    <row r="1214" ht="15.75" customHeight="1">
      <c r="A1214" s="66">
        <v>45467.0</v>
      </c>
      <c r="B1214" s="55" t="str">
        <f>HYPERLINK("https://jobright.ai/jobs/info/6679ebfb9cc16adbd1942f90?utm_campaign=1057&amp;utm_source=sheet", "Apply")</f>
        <v>Apply</v>
      </c>
      <c r="C1214" s="10" t="s">
        <v>25367</v>
      </c>
      <c r="D1214" s="56" t="s">
        <v>2252</v>
      </c>
      <c r="E1214" s="10" t="s">
        <v>249</v>
      </c>
      <c r="F1214" s="10" t="s">
        <v>2253</v>
      </c>
      <c r="G1214" s="10" t="s">
        <v>24022</v>
      </c>
      <c r="H1214" s="10" t="s">
        <v>996</v>
      </c>
      <c r="I1214" s="10" t="s">
        <v>55</v>
      </c>
      <c r="K1214" s="10" t="s">
        <v>25368</v>
      </c>
      <c r="L1214" s="10" t="s">
        <v>42</v>
      </c>
    </row>
    <row r="1215" ht="15.75" customHeight="1">
      <c r="A1215" s="66">
        <v>45467.0</v>
      </c>
      <c r="B1215" s="55" t="str">
        <f>HYPERLINK("https://jobright.ai/jobs/info/668bc7b6882bb0e124cd55be?utm_campaign=1057&amp;utm_source=sheet", "Apply")</f>
        <v>Apply</v>
      </c>
      <c r="C1215" s="10" t="s">
        <v>25369</v>
      </c>
      <c r="D1215" s="56" t="s">
        <v>2231</v>
      </c>
      <c r="E1215" s="10" t="s">
        <v>45</v>
      </c>
      <c r="F1215" s="10" t="s">
        <v>1506</v>
      </c>
      <c r="G1215" s="10" t="s">
        <v>24022</v>
      </c>
      <c r="H1215" s="10" t="s">
        <v>1024</v>
      </c>
      <c r="I1215" s="10" t="s">
        <v>55</v>
      </c>
      <c r="K1215" s="10" t="s">
        <v>25370</v>
      </c>
      <c r="L1215" s="10" t="s">
        <v>42</v>
      </c>
    </row>
    <row r="1216" ht="15.75" customHeight="1">
      <c r="A1216" s="66">
        <v>45466.0</v>
      </c>
      <c r="B1216" s="55" t="str">
        <f>HYPERLINK("https://jobright.ai/jobs/info/667aa76b58c7161a6566519c?utm_campaign=1057&amp;utm_source=sheet", "Apply")</f>
        <v>Apply</v>
      </c>
      <c r="C1216" s="10" t="s">
        <v>25320</v>
      </c>
      <c r="D1216" s="56" t="s">
        <v>25321</v>
      </c>
      <c r="E1216" s="10" t="s">
        <v>249</v>
      </c>
      <c r="F1216" s="10" t="s">
        <v>1506</v>
      </c>
      <c r="G1216" s="10" t="s">
        <v>24022</v>
      </c>
      <c r="H1216" s="10" t="s">
        <v>938</v>
      </c>
      <c r="I1216" s="10" t="s">
        <v>55</v>
      </c>
      <c r="L1216" s="10" t="s">
        <v>42</v>
      </c>
    </row>
    <row r="1217" ht="15.75" customHeight="1">
      <c r="A1217" s="66">
        <v>45465.0</v>
      </c>
      <c r="B1217" s="55" t="str">
        <f>HYPERLINK("https://jobright.ai/jobs/info/667968f4d86d626ab8b77fd5?utm_campaign=1057&amp;utm_source=sheet", "Apply")</f>
        <v>Apply</v>
      </c>
      <c r="C1217" s="10" t="s">
        <v>25371</v>
      </c>
      <c r="D1217" s="56" t="s">
        <v>25372</v>
      </c>
      <c r="E1217" s="10" t="s">
        <v>65</v>
      </c>
      <c r="F1217" s="10" t="s">
        <v>3906</v>
      </c>
      <c r="G1217" s="10" t="s">
        <v>24022</v>
      </c>
      <c r="H1217" s="10" t="s">
        <v>922</v>
      </c>
      <c r="I1217" s="10" t="s">
        <v>55</v>
      </c>
      <c r="K1217" s="10" t="s">
        <v>25373</v>
      </c>
      <c r="L1217" s="10" t="s">
        <v>42</v>
      </c>
    </row>
    <row r="1218" ht="15.75" customHeight="1">
      <c r="A1218" s="66">
        <v>45465.0</v>
      </c>
      <c r="B1218" s="55" t="str">
        <f>HYPERLINK("https://jobright.ai/jobs/info/6676ced4131cc9dd67df272c?utm_campaign=1057&amp;utm_source=sheet", "Apply")</f>
        <v>Apply</v>
      </c>
      <c r="C1218" s="10" t="s">
        <v>2066</v>
      </c>
      <c r="D1218" s="56" t="s">
        <v>2069</v>
      </c>
      <c r="E1218" s="10" t="s">
        <v>65</v>
      </c>
      <c r="F1218" s="10" t="s">
        <v>1663</v>
      </c>
      <c r="G1218" s="10" t="s">
        <v>24022</v>
      </c>
      <c r="H1218" s="10" t="s">
        <v>2070</v>
      </c>
      <c r="I1218" s="10" t="s">
        <v>55</v>
      </c>
      <c r="K1218" s="10" t="s">
        <v>8987</v>
      </c>
      <c r="L1218" s="10" t="s">
        <v>42</v>
      </c>
    </row>
    <row r="1219" ht="15.75" customHeight="1">
      <c r="A1219" s="66">
        <v>45465.0</v>
      </c>
      <c r="B1219" s="55" t="str">
        <f>HYPERLINK("https://jobright.ai/jobs/info/6677b1a3d57a2b58a480bd32?utm_campaign=1057&amp;utm_source=sheet", "Apply")</f>
        <v>Apply</v>
      </c>
      <c r="C1219" s="10" t="s">
        <v>25374</v>
      </c>
      <c r="D1219" s="56" t="s">
        <v>2069</v>
      </c>
      <c r="E1219" s="10" t="s">
        <v>65</v>
      </c>
      <c r="F1219" s="10" t="s">
        <v>1663</v>
      </c>
      <c r="G1219" s="10" t="s">
        <v>24031</v>
      </c>
      <c r="H1219" s="10" t="s">
        <v>2070</v>
      </c>
      <c r="I1219" s="10" t="s">
        <v>55</v>
      </c>
      <c r="J1219" s="10" t="s">
        <v>15312</v>
      </c>
      <c r="K1219" s="10" t="s">
        <v>17383</v>
      </c>
      <c r="L1219" s="10" t="s">
        <v>42</v>
      </c>
    </row>
    <row r="1220" ht="15.75" customHeight="1">
      <c r="A1220" s="66">
        <v>45465.0</v>
      </c>
      <c r="B1220" s="55" t="str">
        <f>HYPERLINK("https://jobright.ai/jobs/info/667637905a93920dc6d8252b?utm_campaign=1057&amp;utm_source=sheet", "Apply")</f>
        <v>Apply</v>
      </c>
      <c r="C1220" s="10" t="s">
        <v>25375</v>
      </c>
      <c r="D1220" s="56" t="s">
        <v>3957</v>
      </c>
      <c r="E1220" s="10" t="s">
        <v>45</v>
      </c>
      <c r="F1220" s="10" t="s">
        <v>3958</v>
      </c>
      <c r="G1220" s="10" t="s">
        <v>24022</v>
      </c>
      <c r="H1220" s="10" t="s">
        <v>25376</v>
      </c>
      <c r="I1220" s="10" t="s">
        <v>55</v>
      </c>
      <c r="J1220" s="10" t="s">
        <v>25377</v>
      </c>
      <c r="K1220" s="10" t="s">
        <v>25378</v>
      </c>
      <c r="L1220" s="10" t="s">
        <v>42</v>
      </c>
    </row>
    <row r="1221" ht="15.75" customHeight="1">
      <c r="A1221" s="66">
        <v>45464.0</v>
      </c>
      <c r="B1221" s="55" t="str">
        <f>HYPERLINK("https://jobright.ai/jobs/info/6675a7a56fb7d4bb72dd75d5?utm_campaign=1057&amp;utm_source=sheet", "Apply")</f>
        <v>Apply</v>
      </c>
      <c r="C1221" s="10" t="s">
        <v>25379</v>
      </c>
      <c r="D1221" s="56" t="s">
        <v>25380</v>
      </c>
      <c r="E1221" s="10" t="s">
        <v>65</v>
      </c>
      <c r="F1221" s="10" t="s">
        <v>2639</v>
      </c>
      <c r="G1221" s="10" t="s">
        <v>24022</v>
      </c>
      <c r="H1221" s="10" t="s">
        <v>22605</v>
      </c>
      <c r="I1221" s="10" t="s">
        <v>55</v>
      </c>
      <c r="J1221" s="10" t="s">
        <v>25381</v>
      </c>
      <c r="K1221" s="10" t="s">
        <v>25382</v>
      </c>
      <c r="L1221" s="10" t="s">
        <v>42</v>
      </c>
    </row>
    <row r="1222" ht="15.75" customHeight="1">
      <c r="A1222" s="66">
        <v>45464.0</v>
      </c>
      <c r="B1222" s="55" t="str">
        <f>HYPERLINK("https://jobright.ai/jobs/info/6677096f38fff9bc65400077?utm_campaign=1057&amp;utm_source=sheet", "Apply")</f>
        <v>Apply</v>
      </c>
      <c r="C1222" s="10" t="s">
        <v>25383</v>
      </c>
      <c r="D1222" s="56" t="s">
        <v>24900</v>
      </c>
      <c r="E1222" s="10" t="s">
        <v>65</v>
      </c>
      <c r="F1222" s="10" t="s">
        <v>1506</v>
      </c>
      <c r="G1222" s="10" t="s">
        <v>24043</v>
      </c>
      <c r="H1222" s="10" t="s">
        <v>792</v>
      </c>
      <c r="I1222" s="10" t="s">
        <v>55</v>
      </c>
      <c r="K1222" s="10" t="s">
        <v>24901</v>
      </c>
      <c r="L1222" s="10" t="s">
        <v>42</v>
      </c>
    </row>
    <row r="1223" ht="15.75" customHeight="1">
      <c r="A1223" s="66">
        <v>45464.0</v>
      </c>
      <c r="B1223" s="55" t="str">
        <f>HYPERLINK("https://jobright.ai/jobs/info/6675eee63f0763b7548cef51?utm_campaign=1057&amp;utm_source=sheet", "Apply")</f>
        <v>Apply</v>
      </c>
      <c r="C1223" s="10" t="s">
        <v>25384</v>
      </c>
      <c r="D1223" s="56" t="s">
        <v>25385</v>
      </c>
      <c r="E1223" s="10" t="s">
        <v>249</v>
      </c>
      <c r="G1223" s="10" t="s">
        <v>24031</v>
      </c>
      <c r="H1223" s="10" t="s">
        <v>25386</v>
      </c>
      <c r="I1223" s="10" t="s">
        <v>55</v>
      </c>
      <c r="K1223" s="10" t="s">
        <v>25387</v>
      </c>
      <c r="L1223" s="10" t="s">
        <v>42</v>
      </c>
    </row>
    <row r="1224" ht="15.75" customHeight="1">
      <c r="A1224" s="66">
        <v>45464.0</v>
      </c>
      <c r="B1224" s="55" t="str">
        <f>HYPERLINK("https://jobright.ai/jobs/info/6676a99dfdeefaeb92e85e81?utm_campaign=1057&amp;utm_source=sheet", "Apply")</f>
        <v>Apply</v>
      </c>
      <c r="C1224" s="10" t="s">
        <v>24494</v>
      </c>
      <c r="D1224" s="56" t="s">
        <v>4448</v>
      </c>
      <c r="E1224" s="10" t="s">
        <v>71</v>
      </c>
      <c r="F1224" s="10" t="s">
        <v>4449</v>
      </c>
      <c r="G1224" s="10" t="s">
        <v>24043</v>
      </c>
      <c r="H1224" s="10" t="s">
        <v>25388</v>
      </c>
      <c r="I1224" s="10" t="s">
        <v>55</v>
      </c>
      <c r="K1224" s="10" t="s">
        <v>25389</v>
      </c>
      <c r="L1224" s="10" t="s">
        <v>42</v>
      </c>
    </row>
    <row r="1225" ht="15.75" customHeight="1">
      <c r="A1225" s="66">
        <v>45464.0</v>
      </c>
      <c r="B1225" s="55" t="str">
        <f>HYPERLINK("https://jobright.ai/jobs/info/6676a99dfdeefaeb92e85e82?utm_campaign=1057&amp;utm_source=sheet", "Apply")</f>
        <v>Apply</v>
      </c>
      <c r="C1225" s="10" t="s">
        <v>24494</v>
      </c>
      <c r="D1225" s="56" t="s">
        <v>4448</v>
      </c>
      <c r="E1225" s="10" t="s">
        <v>71</v>
      </c>
      <c r="F1225" s="10" t="s">
        <v>4449</v>
      </c>
      <c r="G1225" s="10" t="s">
        <v>24043</v>
      </c>
      <c r="H1225" s="10" t="s">
        <v>3006</v>
      </c>
      <c r="I1225" s="10" t="s">
        <v>55</v>
      </c>
      <c r="K1225" s="10" t="s">
        <v>25389</v>
      </c>
      <c r="L1225" s="10" t="s">
        <v>42</v>
      </c>
    </row>
    <row r="1226" ht="15.75" customHeight="1">
      <c r="A1226" s="66">
        <v>45464.0</v>
      </c>
      <c r="B1226" s="55" t="str">
        <f>HYPERLINK("https://jobright.ai/jobs/info/6676a99dfdeefaeb92e85e84?utm_campaign=1057&amp;utm_source=sheet", "Apply")</f>
        <v>Apply</v>
      </c>
      <c r="C1226" s="10" t="s">
        <v>24428</v>
      </c>
      <c r="D1226" s="56" t="s">
        <v>4448</v>
      </c>
      <c r="E1226" s="10" t="s">
        <v>71</v>
      </c>
      <c r="F1226" s="10" t="s">
        <v>4449</v>
      </c>
      <c r="G1226" s="10" t="s">
        <v>24043</v>
      </c>
      <c r="H1226" s="10" t="s">
        <v>7497</v>
      </c>
      <c r="I1226" s="10" t="s">
        <v>55</v>
      </c>
      <c r="K1226" s="10" t="s">
        <v>25389</v>
      </c>
      <c r="L1226" s="10" t="s">
        <v>42</v>
      </c>
    </row>
    <row r="1227" ht="15.75" customHeight="1">
      <c r="A1227" s="66">
        <v>45464.0</v>
      </c>
      <c r="B1227" s="55" t="str">
        <f>HYPERLINK("https://jobright.ai/jobs/info/6676a99dfdeefaeb92e85e85?utm_campaign=1057&amp;utm_source=sheet", "Apply")</f>
        <v>Apply</v>
      </c>
      <c r="C1227" s="10" t="s">
        <v>25390</v>
      </c>
      <c r="D1227" s="56" t="s">
        <v>4448</v>
      </c>
      <c r="E1227" s="10" t="s">
        <v>71</v>
      </c>
      <c r="F1227" s="10" t="s">
        <v>4449</v>
      </c>
      <c r="G1227" s="10" t="s">
        <v>24043</v>
      </c>
      <c r="H1227" s="10" t="s">
        <v>25391</v>
      </c>
      <c r="I1227" s="10" t="s">
        <v>55</v>
      </c>
      <c r="K1227" s="10" t="s">
        <v>25392</v>
      </c>
      <c r="L1227" s="10" t="s">
        <v>42</v>
      </c>
    </row>
    <row r="1228" ht="15.75" customHeight="1">
      <c r="A1228" s="66">
        <v>45464.0</v>
      </c>
      <c r="B1228" s="55" t="str">
        <f>HYPERLINK("https://jobright.ai/jobs/info/6676c6cf807f31af72077e23?utm_campaign=1057&amp;utm_source=sheet", "Apply")</f>
        <v>Apply</v>
      </c>
      <c r="C1228" s="10" t="s">
        <v>24404</v>
      </c>
      <c r="D1228" s="56" t="s">
        <v>4448</v>
      </c>
      <c r="E1228" s="10" t="s">
        <v>71</v>
      </c>
      <c r="F1228" s="10" t="s">
        <v>4449</v>
      </c>
      <c r="G1228" s="10" t="s">
        <v>24043</v>
      </c>
      <c r="H1228" s="10" t="s">
        <v>7483</v>
      </c>
      <c r="I1228" s="10" t="s">
        <v>55</v>
      </c>
      <c r="K1228" s="10" t="s">
        <v>25389</v>
      </c>
      <c r="L1228" s="10" t="s">
        <v>42</v>
      </c>
    </row>
    <row r="1229" ht="15.75" customHeight="1">
      <c r="A1229" s="66">
        <v>45464.0</v>
      </c>
      <c r="B1229" s="55" t="str">
        <f>HYPERLINK("https://jobright.ai/jobs/info/6676c6cf807f31af72077e3b?utm_campaign=1057&amp;utm_source=sheet", "Apply")</f>
        <v>Apply</v>
      </c>
      <c r="C1229" s="10" t="s">
        <v>24523</v>
      </c>
      <c r="D1229" s="56" t="s">
        <v>4448</v>
      </c>
      <c r="E1229" s="10" t="s">
        <v>71</v>
      </c>
      <c r="F1229" s="10" t="s">
        <v>4449</v>
      </c>
      <c r="G1229" s="10" t="s">
        <v>24043</v>
      </c>
      <c r="H1229" s="10" t="s">
        <v>21486</v>
      </c>
      <c r="I1229" s="10" t="s">
        <v>55</v>
      </c>
      <c r="K1229" s="10" t="s">
        <v>25392</v>
      </c>
      <c r="L1229" s="10" t="s">
        <v>42</v>
      </c>
    </row>
    <row r="1230" ht="15.75" customHeight="1">
      <c r="A1230" s="66">
        <v>45464.0</v>
      </c>
      <c r="B1230" s="55" t="str">
        <f>HYPERLINK("https://jobright.ai/jobs/info/6676b418a2f49d4e236dcfc7?utm_campaign=1057&amp;utm_source=sheet", "Apply")</f>
        <v>Apply</v>
      </c>
      <c r="C1230" s="10" t="s">
        <v>24428</v>
      </c>
      <c r="D1230" s="56" t="s">
        <v>4448</v>
      </c>
      <c r="E1230" s="10" t="s">
        <v>71</v>
      </c>
      <c r="F1230" s="10" t="s">
        <v>4449</v>
      </c>
      <c r="G1230" s="10" t="s">
        <v>24043</v>
      </c>
      <c r="H1230" s="10" t="s">
        <v>3006</v>
      </c>
      <c r="I1230" s="10" t="s">
        <v>55</v>
      </c>
      <c r="K1230" s="10" t="s">
        <v>25389</v>
      </c>
      <c r="L1230" s="10" t="s">
        <v>42</v>
      </c>
    </row>
    <row r="1231" ht="15.75" customHeight="1">
      <c r="A1231" s="66">
        <v>45464.0</v>
      </c>
      <c r="B1231" s="55" t="str">
        <f>HYPERLINK("https://jobright.ai/jobs/info/6676b418a2f49d4e236dcfcb?utm_campaign=1057&amp;utm_source=sheet", "Apply")</f>
        <v>Apply</v>
      </c>
      <c r="C1231" s="10" t="s">
        <v>24497</v>
      </c>
      <c r="D1231" s="56" t="s">
        <v>4448</v>
      </c>
      <c r="E1231" s="10" t="s">
        <v>71</v>
      </c>
      <c r="F1231" s="10" t="s">
        <v>4449</v>
      </c>
      <c r="G1231" s="10" t="s">
        <v>24043</v>
      </c>
      <c r="H1231" s="10" t="s">
        <v>25143</v>
      </c>
      <c r="I1231" s="10" t="s">
        <v>55</v>
      </c>
      <c r="K1231" s="10" t="s">
        <v>25389</v>
      </c>
      <c r="L1231" s="10" t="s">
        <v>42</v>
      </c>
    </row>
    <row r="1232" ht="15.75" customHeight="1">
      <c r="A1232" s="66">
        <v>45464.0</v>
      </c>
      <c r="B1232" s="55" t="str">
        <f>HYPERLINK("https://jobright.ai/jobs/info/6676bc619b9f24e2dbdcaecb?utm_campaign=1057&amp;utm_source=sheet", "Apply")</f>
        <v>Apply</v>
      </c>
      <c r="C1232" s="10" t="s">
        <v>24513</v>
      </c>
      <c r="D1232" s="56" t="s">
        <v>4448</v>
      </c>
      <c r="E1232" s="10" t="s">
        <v>71</v>
      </c>
      <c r="F1232" s="10" t="s">
        <v>4449</v>
      </c>
      <c r="G1232" s="10" t="s">
        <v>24043</v>
      </c>
      <c r="H1232" s="10" t="s">
        <v>25393</v>
      </c>
      <c r="I1232" s="10" t="s">
        <v>55</v>
      </c>
      <c r="K1232" s="10" t="s">
        <v>25389</v>
      </c>
      <c r="L1232" s="10" t="s">
        <v>42</v>
      </c>
    </row>
    <row r="1233" ht="15.75" customHeight="1">
      <c r="A1233" s="66">
        <v>45464.0</v>
      </c>
      <c r="B1233" s="55" t="str">
        <f>HYPERLINK("https://jobright.ai/jobs/info/6676a99dfdeefaeb92e85e95?utm_campaign=1057&amp;utm_source=sheet", "Apply")</f>
        <v>Apply</v>
      </c>
      <c r="C1233" s="10" t="s">
        <v>24513</v>
      </c>
      <c r="D1233" s="56" t="s">
        <v>4448</v>
      </c>
      <c r="E1233" s="10" t="s">
        <v>71</v>
      </c>
      <c r="F1233" s="10" t="s">
        <v>4449</v>
      </c>
      <c r="G1233" s="10" t="s">
        <v>24043</v>
      </c>
      <c r="H1233" s="10" t="s">
        <v>4777</v>
      </c>
      <c r="I1233" s="10" t="s">
        <v>55</v>
      </c>
      <c r="K1233" s="10" t="s">
        <v>25389</v>
      </c>
      <c r="L1233" s="10" t="s">
        <v>42</v>
      </c>
    </row>
    <row r="1234" ht="15.75" customHeight="1">
      <c r="A1234" s="66">
        <v>45464.0</v>
      </c>
      <c r="B1234" s="55" t="str">
        <f>HYPERLINK("https://jobright.ai/jobs/info/6676a99dfdeefaeb92e85e99?utm_campaign=1057&amp;utm_source=sheet", "Apply")</f>
        <v>Apply</v>
      </c>
      <c r="C1234" s="10" t="s">
        <v>25394</v>
      </c>
      <c r="D1234" s="56" t="s">
        <v>4448</v>
      </c>
      <c r="E1234" s="10" t="s">
        <v>71</v>
      </c>
      <c r="F1234" s="10" t="s">
        <v>4449</v>
      </c>
      <c r="G1234" s="10" t="s">
        <v>24043</v>
      </c>
      <c r="H1234" s="10" t="s">
        <v>25395</v>
      </c>
      <c r="I1234" s="10" t="s">
        <v>55</v>
      </c>
      <c r="K1234" s="10" t="s">
        <v>25392</v>
      </c>
      <c r="L1234" s="10" t="s">
        <v>42</v>
      </c>
    </row>
    <row r="1235" ht="15.75" customHeight="1">
      <c r="A1235" s="66">
        <v>45464.0</v>
      </c>
      <c r="B1235" s="55" t="str">
        <f>HYPERLINK("https://jobright.ai/jobs/info/6675cdfbfde6a7756c6359cf?utm_campaign=1057&amp;utm_source=sheet", "Apply")</f>
        <v>Apply</v>
      </c>
      <c r="C1235" s="10" t="s">
        <v>24421</v>
      </c>
      <c r="D1235" s="56" t="s">
        <v>4448</v>
      </c>
      <c r="E1235" s="10" t="s">
        <v>71</v>
      </c>
      <c r="F1235" s="10" t="s">
        <v>4449</v>
      </c>
      <c r="G1235" s="10" t="s">
        <v>24043</v>
      </c>
      <c r="H1235" s="10" t="s">
        <v>25396</v>
      </c>
      <c r="I1235" s="10" t="s">
        <v>55</v>
      </c>
      <c r="K1235" s="10" t="s">
        <v>25389</v>
      </c>
      <c r="L1235" s="10" t="s">
        <v>42</v>
      </c>
    </row>
    <row r="1236" ht="15.75" customHeight="1">
      <c r="A1236" s="66">
        <v>45464.0</v>
      </c>
      <c r="B1236" s="55" t="str">
        <f>HYPERLINK("https://jobright.ai/jobs/info/6675ce17fde6a7756c635c16?utm_campaign=1057&amp;utm_source=sheet", "Apply")</f>
        <v>Apply</v>
      </c>
      <c r="C1236" s="10" t="s">
        <v>24434</v>
      </c>
      <c r="D1236" s="56" t="s">
        <v>4448</v>
      </c>
      <c r="E1236" s="10" t="s">
        <v>71</v>
      </c>
      <c r="F1236" s="10" t="s">
        <v>4449</v>
      </c>
      <c r="G1236" s="10" t="s">
        <v>24043</v>
      </c>
      <c r="H1236" s="10" t="s">
        <v>24370</v>
      </c>
      <c r="I1236" s="10" t="s">
        <v>55</v>
      </c>
      <c r="K1236" s="10" t="s">
        <v>4450</v>
      </c>
      <c r="L1236" s="10" t="s">
        <v>42</v>
      </c>
    </row>
    <row r="1237" ht="15.75" customHeight="1">
      <c r="A1237" s="66">
        <v>45464.0</v>
      </c>
      <c r="B1237" s="55" t="str">
        <f>HYPERLINK("https://jobright.ai/jobs/info/6675d7e428c07253dad6999a?utm_campaign=1057&amp;utm_source=sheet", "Apply")</f>
        <v>Apply</v>
      </c>
      <c r="C1237" s="10" t="s">
        <v>25099</v>
      </c>
      <c r="D1237" s="56" t="s">
        <v>4448</v>
      </c>
      <c r="E1237" s="10" t="s">
        <v>71</v>
      </c>
      <c r="F1237" s="10" t="s">
        <v>4449</v>
      </c>
      <c r="G1237" s="10" t="s">
        <v>24043</v>
      </c>
      <c r="H1237" s="10" t="s">
        <v>25141</v>
      </c>
      <c r="I1237" s="10" t="s">
        <v>55</v>
      </c>
      <c r="K1237" s="10" t="s">
        <v>4450</v>
      </c>
      <c r="L1237" s="10" t="s">
        <v>42</v>
      </c>
    </row>
    <row r="1238" ht="15.75" customHeight="1">
      <c r="A1238" s="66">
        <v>45464.0</v>
      </c>
      <c r="B1238" s="55" t="str">
        <f>HYPERLINK("https://jobright.ai/jobs/info/6675c8a23b408d33d5602a24?utm_campaign=1057&amp;utm_source=sheet", "Apply")</f>
        <v>Apply</v>
      </c>
      <c r="C1238" s="10" t="s">
        <v>25397</v>
      </c>
      <c r="D1238" s="56" t="s">
        <v>4448</v>
      </c>
      <c r="E1238" s="10" t="s">
        <v>71</v>
      </c>
      <c r="F1238" s="10" t="s">
        <v>4449</v>
      </c>
      <c r="G1238" s="10" t="s">
        <v>24043</v>
      </c>
      <c r="H1238" s="10" t="s">
        <v>25398</v>
      </c>
      <c r="I1238" s="10" t="s">
        <v>55</v>
      </c>
      <c r="K1238" s="10" t="s">
        <v>4450</v>
      </c>
      <c r="L1238" s="10" t="s">
        <v>42</v>
      </c>
    </row>
    <row r="1239" ht="15.75" customHeight="1">
      <c r="A1239" s="66">
        <v>45464.0</v>
      </c>
      <c r="B1239" s="55" t="str">
        <f>HYPERLINK("https://jobright.ai/jobs/info/667963d4f6b36b4aa01a3f4c?utm_campaign=1057&amp;utm_source=sheet", "Apply")</f>
        <v>Apply</v>
      </c>
      <c r="C1239" s="10" t="s">
        <v>25399</v>
      </c>
      <c r="D1239" s="56" t="s">
        <v>7959</v>
      </c>
      <c r="E1239" s="10">
        <v>175.0</v>
      </c>
      <c r="G1239" s="10" t="s">
        <v>24043</v>
      </c>
      <c r="H1239" s="10" t="s">
        <v>170</v>
      </c>
      <c r="I1239" s="10" t="s">
        <v>55</v>
      </c>
      <c r="J1239" s="10" t="s">
        <v>7769</v>
      </c>
      <c r="K1239" s="10" t="s">
        <v>25400</v>
      </c>
      <c r="L1239" s="10" t="s">
        <v>42</v>
      </c>
    </row>
    <row r="1240" ht="15.75" customHeight="1">
      <c r="A1240" s="66">
        <v>45464.0</v>
      </c>
      <c r="B1240" s="55" t="str">
        <f>HYPERLINK("https://jobright.ai/jobs/info/6675a336a05c85bb25afa4a5?utm_campaign=1057&amp;utm_source=sheet", "Apply")</f>
        <v>Apply</v>
      </c>
      <c r="C1240" s="10" t="s">
        <v>25401</v>
      </c>
      <c r="D1240" s="56" t="s">
        <v>12738</v>
      </c>
      <c r="E1240" s="10" t="s">
        <v>276</v>
      </c>
      <c r="F1240" s="10" t="s">
        <v>1893</v>
      </c>
      <c r="G1240" s="10" t="s">
        <v>24022</v>
      </c>
      <c r="H1240" s="10" t="s">
        <v>278</v>
      </c>
      <c r="I1240" s="10" t="s">
        <v>55</v>
      </c>
      <c r="J1240" s="10" t="s">
        <v>15638</v>
      </c>
      <c r="K1240" s="10" t="s">
        <v>25402</v>
      </c>
      <c r="L1240" s="10" t="s">
        <v>42</v>
      </c>
    </row>
    <row r="1241" ht="15.75" customHeight="1">
      <c r="A1241" s="66">
        <v>45464.0</v>
      </c>
      <c r="B1241" s="55" t="str">
        <f>HYPERLINK("https://jobright.ai/jobs/info/667714153ab189f6697e9734?utm_campaign=1057&amp;utm_source=sheet", "Apply")</f>
        <v>Apply</v>
      </c>
      <c r="C1241" s="10" t="s">
        <v>25403</v>
      </c>
      <c r="D1241" s="56" t="s">
        <v>23800</v>
      </c>
      <c r="E1241" s="10">
        <v>9.0</v>
      </c>
      <c r="G1241" s="10" t="s">
        <v>24022</v>
      </c>
      <c r="H1241" s="10" t="s">
        <v>117</v>
      </c>
      <c r="I1241" s="10" t="s">
        <v>55</v>
      </c>
      <c r="J1241" s="10" t="s">
        <v>1608</v>
      </c>
      <c r="K1241" s="10" t="s">
        <v>25404</v>
      </c>
      <c r="L1241" s="10" t="s">
        <v>42</v>
      </c>
    </row>
    <row r="1242" ht="15.75" customHeight="1">
      <c r="A1242" s="66">
        <v>45464.0</v>
      </c>
      <c r="B1242" s="55" t="str">
        <f>HYPERLINK("https://jobright.ai/jobs/info/667714153ab189f6697e973d?utm_campaign=1057&amp;utm_source=sheet", "Apply")</f>
        <v>Apply</v>
      </c>
      <c r="C1242" s="10" t="s">
        <v>25405</v>
      </c>
      <c r="D1242" s="56" t="s">
        <v>23800</v>
      </c>
      <c r="E1242" s="10">
        <v>9.0</v>
      </c>
      <c r="G1242" s="10" t="s">
        <v>24022</v>
      </c>
      <c r="H1242" s="10" t="s">
        <v>117</v>
      </c>
      <c r="I1242" s="10" t="s">
        <v>55</v>
      </c>
      <c r="J1242" s="10" t="s">
        <v>1608</v>
      </c>
      <c r="K1242" s="10" t="s">
        <v>25406</v>
      </c>
      <c r="L1242" s="10" t="s">
        <v>42</v>
      </c>
    </row>
    <row r="1243" ht="15.75" customHeight="1">
      <c r="A1243" s="66">
        <v>45463.0</v>
      </c>
      <c r="B1243" s="55" t="str">
        <f>HYPERLINK("https://jobright.ai/jobs/info/6674bf919174cca5a71dd269?utm_campaign=1057&amp;utm_source=sheet", "Apply")</f>
        <v>Apply</v>
      </c>
      <c r="C1243" s="10" t="s">
        <v>25407</v>
      </c>
      <c r="D1243" s="56" t="s">
        <v>25408</v>
      </c>
      <c r="E1243" s="10" t="s">
        <v>65</v>
      </c>
      <c r="G1243" s="10" t="s">
        <v>24022</v>
      </c>
      <c r="H1243" s="10" t="s">
        <v>25409</v>
      </c>
      <c r="I1243" s="10" t="s">
        <v>55</v>
      </c>
      <c r="J1243" s="10" t="s">
        <v>4124</v>
      </c>
      <c r="K1243" s="10" t="s">
        <v>25410</v>
      </c>
      <c r="L1243" s="10" t="s">
        <v>42</v>
      </c>
    </row>
    <row r="1244" ht="15.75" customHeight="1">
      <c r="A1244" s="66">
        <v>45463.0</v>
      </c>
      <c r="B1244" s="55" t="str">
        <f>HYPERLINK("https://jobright.ai/jobs/info/6675ce58fde6a7756c63616a?utm_campaign=1057&amp;utm_source=sheet", "Apply")</f>
        <v>Apply</v>
      </c>
      <c r="C1244" s="10" t="s">
        <v>24508</v>
      </c>
      <c r="D1244" s="56" t="s">
        <v>4448</v>
      </c>
      <c r="E1244" s="10" t="s">
        <v>71</v>
      </c>
      <c r="F1244" s="10" t="s">
        <v>4449</v>
      </c>
      <c r="G1244" s="10" t="s">
        <v>24043</v>
      </c>
      <c r="H1244" s="10" t="s">
        <v>8230</v>
      </c>
      <c r="I1244" s="10" t="s">
        <v>55</v>
      </c>
      <c r="K1244" s="10" t="s">
        <v>4450</v>
      </c>
      <c r="L1244" s="10" t="s">
        <v>42</v>
      </c>
    </row>
    <row r="1245" ht="15.75" customHeight="1">
      <c r="A1245" s="66">
        <v>45463.0</v>
      </c>
      <c r="B1245" s="55" t="str">
        <f>HYPERLINK("https://jobright.ai/jobs/info/6674996ee2555414447e626a?utm_campaign=1057&amp;utm_source=sheet", "Apply")</f>
        <v>Apply</v>
      </c>
      <c r="C1245" s="10" t="s">
        <v>24871</v>
      </c>
      <c r="D1245" s="56" t="s">
        <v>8289</v>
      </c>
      <c r="E1245" s="10" t="s">
        <v>65</v>
      </c>
      <c r="F1245" s="10" t="s">
        <v>7760</v>
      </c>
      <c r="G1245" s="10" t="s">
        <v>24043</v>
      </c>
      <c r="H1245" s="10" t="s">
        <v>152</v>
      </c>
      <c r="I1245" s="10" t="s">
        <v>55</v>
      </c>
      <c r="K1245" s="10" t="s">
        <v>24872</v>
      </c>
      <c r="L1245" s="10" t="s">
        <v>42</v>
      </c>
    </row>
    <row r="1246" ht="15.75" customHeight="1">
      <c r="A1246" s="66">
        <v>45463.0</v>
      </c>
      <c r="B1246" s="55" t="str">
        <f>HYPERLINK("https://jobright.ai/jobs/info/6675be776f7095ca90c0796e?utm_campaign=1057&amp;utm_source=sheet", "Apply")</f>
        <v>Apply</v>
      </c>
      <c r="C1246" s="10" t="s">
        <v>25411</v>
      </c>
      <c r="D1246" s="56" t="s">
        <v>4448</v>
      </c>
      <c r="E1246" s="10" t="s">
        <v>71</v>
      </c>
      <c r="F1246" s="10" t="s">
        <v>4449</v>
      </c>
      <c r="G1246" s="10" t="s">
        <v>24043</v>
      </c>
      <c r="H1246" s="10" t="s">
        <v>4261</v>
      </c>
      <c r="I1246" s="10" t="s">
        <v>55</v>
      </c>
      <c r="K1246" s="10" t="s">
        <v>21739</v>
      </c>
      <c r="L1246" s="10" t="s">
        <v>42</v>
      </c>
    </row>
    <row r="1247" ht="15.75" customHeight="1">
      <c r="A1247" s="66">
        <v>45463.0</v>
      </c>
      <c r="B1247" s="55" t="str">
        <f>HYPERLINK("https://jobright.ai/jobs/info/66747752a404bed170398f8a?utm_campaign=1057&amp;utm_source=sheet", "Apply")</f>
        <v>Apply</v>
      </c>
      <c r="C1247" s="10" t="s">
        <v>24871</v>
      </c>
      <c r="D1247" s="56" t="s">
        <v>8289</v>
      </c>
      <c r="E1247" s="10" t="s">
        <v>65</v>
      </c>
      <c r="F1247" s="10" t="s">
        <v>7760</v>
      </c>
      <c r="G1247" s="10" t="s">
        <v>24043</v>
      </c>
      <c r="H1247" s="10" t="s">
        <v>96</v>
      </c>
      <c r="I1247" s="10" t="s">
        <v>55</v>
      </c>
      <c r="K1247" s="10" t="s">
        <v>24872</v>
      </c>
      <c r="L1247" s="10" t="s">
        <v>42</v>
      </c>
    </row>
    <row r="1248" ht="15.75" customHeight="1">
      <c r="A1248" s="66">
        <v>45463.0</v>
      </c>
      <c r="B1248" s="55" t="str">
        <f>HYPERLINK("https://jobright.ai/jobs/info/66747718a404bed170398a8b?utm_campaign=1057&amp;utm_source=sheet", "Apply")</f>
        <v>Apply</v>
      </c>
      <c r="C1248" s="10" t="s">
        <v>24871</v>
      </c>
      <c r="D1248" s="56" t="s">
        <v>8289</v>
      </c>
      <c r="E1248" s="10" t="s">
        <v>65</v>
      </c>
      <c r="F1248" s="10" t="s">
        <v>7760</v>
      </c>
      <c r="G1248" s="10" t="s">
        <v>24043</v>
      </c>
      <c r="H1248" s="10" t="s">
        <v>918</v>
      </c>
      <c r="I1248" s="10" t="s">
        <v>55</v>
      </c>
      <c r="K1248" s="10" t="s">
        <v>24872</v>
      </c>
      <c r="L1248" s="10" t="s">
        <v>42</v>
      </c>
    </row>
    <row r="1249" ht="15.75" customHeight="1">
      <c r="A1249" s="66">
        <v>45463.0</v>
      </c>
      <c r="B1249" s="55" t="str">
        <f>HYPERLINK("https://jobright.ai/jobs/info/6674714576972002f5bdb8e6?utm_campaign=1057&amp;utm_source=sheet", "Apply")</f>
        <v>Apply</v>
      </c>
      <c r="C1249" s="10" t="s">
        <v>25412</v>
      </c>
      <c r="D1249" s="56" t="s">
        <v>9105</v>
      </c>
      <c r="E1249" s="10" t="s">
        <v>45</v>
      </c>
      <c r="G1249" s="10" t="s">
        <v>24043</v>
      </c>
      <c r="H1249" s="10" t="s">
        <v>9106</v>
      </c>
      <c r="I1249" s="10" t="s">
        <v>55</v>
      </c>
      <c r="K1249" s="10" t="s">
        <v>25413</v>
      </c>
      <c r="L1249" s="10" t="s">
        <v>42</v>
      </c>
    </row>
    <row r="1250" ht="15.75" customHeight="1">
      <c r="A1250" s="66">
        <v>45463.0</v>
      </c>
      <c r="B1250" s="55" t="str">
        <f>HYPERLINK("https://jobright.ai/jobs/info/66748a13348c2efcd6aa3e58?utm_campaign=1057&amp;utm_source=sheet", "Apply")</f>
        <v>Apply</v>
      </c>
      <c r="C1250" s="10" t="s">
        <v>24508</v>
      </c>
      <c r="D1250" s="56" t="s">
        <v>4448</v>
      </c>
      <c r="E1250" s="10" t="s">
        <v>71</v>
      </c>
      <c r="F1250" s="10" t="s">
        <v>4449</v>
      </c>
      <c r="G1250" s="10" t="s">
        <v>24043</v>
      </c>
      <c r="H1250" s="10" t="s">
        <v>25414</v>
      </c>
      <c r="I1250" s="10" t="s">
        <v>55</v>
      </c>
      <c r="K1250" s="10" t="s">
        <v>4450</v>
      </c>
      <c r="L1250" s="10" t="s">
        <v>42</v>
      </c>
    </row>
    <row r="1251" ht="15.75" customHeight="1">
      <c r="A1251" s="66">
        <v>45463.0</v>
      </c>
      <c r="B1251" s="55" t="str">
        <f>HYPERLINK("https://jobright.ai/jobs/info/6676caed0367cb83573ccf36?utm_campaign=1057&amp;utm_source=sheet", "Apply")</f>
        <v>Apply</v>
      </c>
      <c r="C1251" s="10" t="s">
        <v>25415</v>
      </c>
      <c r="D1251" s="56" t="s">
        <v>4448</v>
      </c>
      <c r="E1251" s="10" t="s">
        <v>71</v>
      </c>
      <c r="F1251" s="10" t="s">
        <v>4449</v>
      </c>
      <c r="G1251" s="10" t="s">
        <v>24043</v>
      </c>
      <c r="H1251" s="10" t="s">
        <v>25416</v>
      </c>
      <c r="I1251" s="10" t="s">
        <v>55</v>
      </c>
      <c r="K1251" s="10" t="s">
        <v>4450</v>
      </c>
      <c r="L1251" s="10" t="s">
        <v>42</v>
      </c>
    </row>
    <row r="1252" ht="15.75" customHeight="1">
      <c r="A1252" s="66">
        <v>45463.0</v>
      </c>
      <c r="B1252" s="55" t="str">
        <f>HYPERLINK("https://jobright.ai/jobs/info/6676caed0367cb83573ccf3b?utm_campaign=1057&amp;utm_source=sheet", "Apply")</f>
        <v>Apply</v>
      </c>
      <c r="C1252" s="10" t="s">
        <v>24404</v>
      </c>
      <c r="D1252" s="56" t="s">
        <v>4448</v>
      </c>
      <c r="E1252" s="10" t="s">
        <v>71</v>
      </c>
      <c r="F1252" s="10" t="s">
        <v>4449</v>
      </c>
      <c r="G1252" s="10" t="s">
        <v>24043</v>
      </c>
      <c r="H1252" s="10" t="s">
        <v>25417</v>
      </c>
      <c r="I1252" s="10" t="s">
        <v>55</v>
      </c>
      <c r="K1252" s="10" t="s">
        <v>4450</v>
      </c>
      <c r="L1252" s="10" t="s">
        <v>42</v>
      </c>
    </row>
    <row r="1253" ht="15.75" customHeight="1">
      <c r="A1253" s="66">
        <v>45463.0</v>
      </c>
      <c r="B1253" s="55" t="str">
        <f>HYPERLINK("https://jobright.ai/jobs/info/6676caed0367cb83573ccf46?utm_campaign=1057&amp;utm_source=sheet", "Apply")</f>
        <v>Apply</v>
      </c>
      <c r="C1253" s="10" t="s">
        <v>24404</v>
      </c>
      <c r="D1253" s="56" t="s">
        <v>4448</v>
      </c>
      <c r="E1253" s="10" t="s">
        <v>71</v>
      </c>
      <c r="F1253" s="10" t="s">
        <v>4449</v>
      </c>
      <c r="G1253" s="10" t="s">
        <v>24043</v>
      </c>
      <c r="H1253" s="10" t="s">
        <v>16095</v>
      </c>
      <c r="I1253" s="10" t="s">
        <v>55</v>
      </c>
      <c r="K1253" s="10" t="s">
        <v>4450</v>
      </c>
      <c r="L1253" s="10" t="s">
        <v>42</v>
      </c>
    </row>
    <row r="1254" ht="15.75" customHeight="1">
      <c r="A1254" s="66">
        <v>45463.0</v>
      </c>
      <c r="B1254" s="55" t="str">
        <f>HYPERLINK("https://jobright.ai/jobs/info/6676c1ebc9dc0237d722b064?utm_campaign=1057&amp;utm_source=sheet", "Apply")</f>
        <v>Apply</v>
      </c>
      <c r="C1254" s="10" t="s">
        <v>24494</v>
      </c>
      <c r="D1254" s="56" t="s">
        <v>4448</v>
      </c>
      <c r="E1254" s="10" t="s">
        <v>71</v>
      </c>
      <c r="F1254" s="10" t="s">
        <v>4449</v>
      </c>
      <c r="G1254" s="10" t="s">
        <v>24043</v>
      </c>
      <c r="H1254" s="10" t="s">
        <v>21253</v>
      </c>
      <c r="I1254" s="10" t="s">
        <v>55</v>
      </c>
      <c r="K1254" s="10" t="s">
        <v>4450</v>
      </c>
      <c r="L1254" s="10" t="s">
        <v>42</v>
      </c>
    </row>
    <row r="1255" ht="15.75" customHeight="1">
      <c r="A1255" s="66">
        <v>45463.0</v>
      </c>
      <c r="B1255" s="55" t="str">
        <f>HYPERLINK("https://jobright.ai/jobs/info/6673213b317409355dd95bc4?utm_campaign=1057&amp;utm_source=sheet", "Apply")</f>
        <v>Apply</v>
      </c>
      <c r="C1255" s="10" t="s">
        <v>25418</v>
      </c>
      <c r="D1255" s="56" t="s">
        <v>25419</v>
      </c>
      <c r="E1255" s="10" t="s">
        <v>276</v>
      </c>
      <c r="F1255" s="10" t="s">
        <v>21476</v>
      </c>
      <c r="G1255" s="10" t="s">
        <v>24022</v>
      </c>
      <c r="H1255" s="10" t="s">
        <v>251</v>
      </c>
      <c r="I1255" s="10" t="s">
        <v>252</v>
      </c>
      <c r="J1255" s="10" t="s">
        <v>1189</v>
      </c>
      <c r="K1255" s="10" t="s">
        <v>25420</v>
      </c>
      <c r="L1255" s="10" t="s">
        <v>42</v>
      </c>
    </row>
    <row r="1256" ht="15.75" customHeight="1">
      <c r="A1256" s="66">
        <v>45463.0</v>
      </c>
      <c r="B1256" s="55" t="str">
        <f>HYPERLINK("https://jobright.ai/jobs/info/667428262e2115fb0d03a531?utm_campaign=1057&amp;utm_source=sheet", "Apply")</f>
        <v>Apply</v>
      </c>
      <c r="C1256" s="10" t="s">
        <v>24508</v>
      </c>
      <c r="D1256" s="56" t="s">
        <v>4448</v>
      </c>
      <c r="E1256" s="10" t="s">
        <v>71</v>
      </c>
      <c r="F1256" s="10" t="s">
        <v>4449</v>
      </c>
      <c r="G1256" s="10" t="s">
        <v>24043</v>
      </c>
      <c r="H1256" s="10" t="s">
        <v>25421</v>
      </c>
      <c r="I1256" s="10" t="s">
        <v>55</v>
      </c>
      <c r="K1256" s="10" t="s">
        <v>4450</v>
      </c>
      <c r="L1256" s="10" t="s">
        <v>42</v>
      </c>
    </row>
    <row r="1257" ht="15.75" customHeight="1">
      <c r="A1257" s="66">
        <v>45463.0</v>
      </c>
      <c r="B1257" s="55" t="str">
        <f>HYPERLINK("https://jobright.ai/jobs/info/6673ccaf34f0b083f43d0c5b?utm_campaign=1057&amp;utm_source=sheet", "Apply")</f>
        <v>Apply</v>
      </c>
      <c r="C1257" s="10" t="s">
        <v>24508</v>
      </c>
      <c r="D1257" s="56" t="s">
        <v>4448</v>
      </c>
      <c r="E1257" s="10" t="s">
        <v>71</v>
      </c>
      <c r="F1257" s="10" t="s">
        <v>4449</v>
      </c>
      <c r="G1257" s="10" t="s">
        <v>24043</v>
      </c>
      <c r="H1257" s="10" t="s">
        <v>4777</v>
      </c>
      <c r="I1257" s="10" t="s">
        <v>55</v>
      </c>
      <c r="K1257" s="10" t="s">
        <v>4450</v>
      </c>
      <c r="L1257" s="10" t="s">
        <v>42</v>
      </c>
    </row>
    <row r="1258" ht="15.75" customHeight="1">
      <c r="A1258" s="66">
        <v>45463.0</v>
      </c>
      <c r="B1258" s="55" t="str">
        <f>HYPERLINK("https://jobright.ai/jobs/info/6675170659005313f1c8275b?utm_campaign=1057&amp;utm_source=sheet", "Apply")</f>
        <v>Apply</v>
      </c>
      <c r="C1258" s="10" t="s">
        <v>25422</v>
      </c>
      <c r="D1258" s="56" t="s">
        <v>20675</v>
      </c>
      <c r="E1258" s="10" t="s">
        <v>45</v>
      </c>
      <c r="F1258" s="10" t="s">
        <v>20676</v>
      </c>
      <c r="G1258" s="10" t="s">
        <v>24022</v>
      </c>
      <c r="H1258" s="10" t="s">
        <v>20677</v>
      </c>
      <c r="I1258" s="10" t="s">
        <v>55</v>
      </c>
      <c r="J1258" s="10" t="s">
        <v>25423</v>
      </c>
      <c r="K1258" s="10" t="s">
        <v>24779</v>
      </c>
      <c r="L1258" s="10" t="s">
        <v>42</v>
      </c>
    </row>
    <row r="1259" ht="15.75" customHeight="1">
      <c r="A1259" s="66">
        <v>45463.0</v>
      </c>
      <c r="B1259" s="55" t="str">
        <f>HYPERLINK("https://jobright.ai/jobs/info/667489e8348c2efcd6aa3b4a?utm_campaign=1057&amp;utm_source=sheet", "Apply")</f>
        <v>Apply</v>
      </c>
      <c r="C1259" s="10" t="s">
        <v>25424</v>
      </c>
      <c r="D1259" s="56" t="s">
        <v>18277</v>
      </c>
      <c r="E1259" s="10" t="s">
        <v>276</v>
      </c>
      <c r="G1259" s="10" t="s">
        <v>24022</v>
      </c>
      <c r="H1259" s="10" t="s">
        <v>3852</v>
      </c>
      <c r="I1259" s="10" t="s">
        <v>55</v>
      </c>
      <c r="K1259" s="10" t="s">
        <v>25425</v>
      </c>
      <c r="L1259" s="10" t="s">
        <v>42</v>
      </c>
    </row>
    <row r="1260" ht="15.75" customHeight="1">
      <c r="A1260" s="66">
        <v>45463.0</v>
      </c>
      <c r="B1260" s="55" t="str">
        <f>HYPERLINK("https://jobright.ai/jobs/info/6674bfa69174cca5a71dd3c1?utm_campaign=1057&amp;utm_source=sheet", "Apply")</f>
        <v>Apply</v>
      </c>
      <c r="C1260" s="10" t="s">
        <v>25426</v>
      </c>
      <c r="D1260" s="56" t="s">
        <v>25427</v>
      </c>
      <c r="E1260" s="10" t="s">
        <v>45</v>
      </c>
      <c r="F1260" s="10" t="s">
        <v>1695</v>
      </c>
      <c r="G1260" s="10" t="s">
        <v>24022</v>
      </c>
      <c r="H1260" s="10" t="s">
        <v>11767</v>
      </c>
      <c r="I1260" s="10" t="s">
        <v>55</v>
      </c>
      <c r="K1260" s="10" t="s">
        <v>25428</v>
      </c>
      <c r="L1260" s="10" t="s">
        <v>42</v>
      </c>
    </row>
    <row r="1261" ht="15.75" customHeight="1">
      <c r="A1261" s="66">
        <v>45462.0</v>
      </c>
      <c r="B1261" s="55" t="str">
        <f>HYPERLINK("https://jobright.ai/jobs/info/66592b7bfb1dd944df45a346?utm_campaign=1057&amp;utm_source=sheet", "Apply")</f>
        <v>Apply</v>
      </c>
      <c r="C1261" s="10" t="s">
        <v>25429</v>
      </c>
      <c r="D1261" s="56" t="s">
        <v>25430</v>
      </c>
      <c r="E1261" s="10" t="s">
        <v>209</v>
      </c>
      <c r="F1261" s="10" t="s">
        <v>1506</v>
      </c>
      <c r="G1261" s="10" t="s">
        <v>24031</v>
      </c>
      <c r="H1261" s="10" t="s">
        <v>578</v>
      </c>
      <c r="I1261" s="10" t="s">
        <v>55</v>
      </c>
      <c r="J1261" s="10" t="s">
        <v>25431</v>
      </c>
      <c r="K1261" s="10" t="s">
        <v>25432</v>
      </c>
      <c r="L1261" s="10" t="s">
        <v>42</v>
      </c>
    </row>
    <row r="1262" ht="15.75" customHeight="1">
      <c r="A1262" s="66">
        <v>45462.0</v>
      </c>
      <c r="B1262" s="55" t="str">
        <f>HYPERLINK("https://jobright.ai/jobs/info/6673c2af1adf452983f80da5?utm_campaign=1057&amp;utm_source=sheet", "Apply")</f>
        <v>Apply</v>
      </c>
      <c r="C1262" s="10" t="s">
        <v>25433</v>
      </c>
      <c r="D1262" s="56" t="s">
        <v>4448</v>
      </c>
      <c r="E1262" s="10" t="s">
        <v>71</v>
      </c>
      <c r="F1262" s="10" t="s">
        <v>4449</v>
      </c>
      <c r="G1262" s="10" t="s">
        <v>24043</v>
      </c>
      <c r="H1262" s="10" t="s">
        <v>25434</v>
      </c>
      <c r="I1262" s="10" t="s">
        <v>55</v>
      </c>
      <c r="K1262" s="10" t="s">
        <v>25389</v>
      </c>
      <c r="L1262" s="10" t="s">
        <v>42</v>
      </c>
    </row>
    <row r="1263" ht="15.75" customHeight="1">
      <c r="A1263" s="66">
        <v>45462.0</v>
      </c>
      <c r="B1263" s="55" t="str">
        <f>HYPERLINK("https://jobright.ai/jobs/info/6673c2af1adf452983f80d9f?utm_campaign=1057&amp;utm_source=sheet", "Apply")</f>
        <v>Apply</v>
      </c>
      <c r="C1263" s="10" t="s">
        <v>25435</v>
      </c>
      <c r="D1263" s="56" t="s">
        <v>4448</v>
      </c>
      <c r="E1263" s="10" t="s">
        <v>71</v>
      </c>
      <c r="F1263" s="10" t="s">
        <v>4449</v>
      </c>
      <c r="G1263" s="10" t="s">
        <v>24043</v>
      </c>
      <c r="H1263" s="10" t="s">
        <v>24237</v>
      </c>
      <c r="I1263" s="10" t="s">
        <v>55</v>
      </c>
      <c r="K1263" s="10" t="s">
        <v>25389</v>
      </c>
      <c r="L1263" s="10" t="s">
        <v>42</v>
      </c>
    </row>
    <row r="1264" ht="15.75" customHeight="1">
      <c r="A1264" s="66">
        <v>45462.0</v>
      </c>
      <c r="B1264" s="55" t="str">
        <f>HYPERLINK("https://jobright.ai/jobs/info/6673c2af1adf452983f80db1?utm_campaign=1057&amp;utm_source=sheet", "Apply")</f>
        <v>Apply</v>
      </c>
      <c r="C1264" s="10" t="s">
        <v>25436</v>
      </c>
      <c r="D1264" s="56" t="s">
        <v>4448</v>
      </c>
      <c r="E1264" s="10" t="s">
        <v>71</v>
      </c>
      <c r="F1264" s="10" t="s">
        <v>4449</v>
      </c>
      <c r="G1264" s="10" t="s">
        <v>24043</v>
      </c>
      <c r="H1264" s="10" t="s">
        <v>25391</v>
      </c>
      <c r="I1264" s="10" t="s">
        <v>55</v>
      </c>
      <c r="K1264" s="10" t="s">
        <v>25389</v>
      </c>
      <c r="L1264" s="10" t="s">
        <v>42</v>
      </c>
    </row>
    <row r="1265" ht="15.75" customHeight="1">
      <c r="A1265" s="66">
        <v>45462.0</v>
      </c>
      <c r="B1265" s="55" t="str">
        <f>HYPERLINK("https://jobright.ai/jobs/info/6673c2bd1adf452983f80ef9?utm_campaign=1057&amp;utm_source=sheet", "Apply")</f>
        <v>Apply</v>
      </c>
      <c r="C1265" s="10" t="s">
        <v>25433</v>
      </c>
      <c r="D1265" s="56" t="s">
        <v>4448</v>
      </c>
      <c r="E1265" s="10" t="s">
        <v>71</v>
      </c>
      <c r="F1265" s="10" t="s">
        <v>4449</v>
      </c>
      <c r="G1265" s="10" t="s">
        <v>24043</v>
      </c>
      <c r="H1265" s="10" t="s">
        <v>1062</v>
      </c>
      <c r="I1265" s="10" t="s">
        <v>55</v>
      </c>
      <c r="K1265" s="10" t="s">
        <v>25389</v>
      </c>
      <c r="L1265" s="10" t="s">
        <v>42</v>
      </c>
    </row>
    <row r="1266" ht="15.75" customHeight="1">
      <c r="A1266" s="66">
        <v>45462.0</v>
      </c>
      <c r="B1266" s="55" t="str">
        <f>HYPERLINK("https://jobright.ai/jobs/info/6673c2bd1adf452983f80f41?utm_campaign=1057&amp;utm_source=sheet", "Apply")</f>
        <v>Apply</v>
      </c>
      <c r="C1266" s="10" t="s">
        <v>25437</v>
      </c>
      <c r="D1266" s="56" t="s">
        <v>4448</v>
      </c>
      <c r="E1266" s="10" t="s">
        <v>71</v>
      </c>
      <c r="F1266" s="10" t="s">
        <v>4449</v>
      </c>
      <c r="G1266" s="10" t="s">
        <v>24043</v>
      </c>
      <c r="H1266" s="10" t="s">
        <v>25438</v>
      </c>
      <c r="I1266" s="10" t="s">
        <v>55</v>
      </c>
      <c r="K1266" s="10" t="s">
        <v>25389</v>
      </c>
      <c r="L1266" s="10" t="s">
        <v>42</v>
      </c>
    </row>
    <row r="1267" ht="15.75" customHeight="1">
      <c r="A1267" s="66">
        <v>45462.0</v>
      </c>
      <c r="B1267" s="55" t="str">
        <f>HYPERLINK("https://jobright.ai/jobs/info/6673c2bd1adf452983f80f5c?utm_campaign=1057&amp;utm_source=sheet", "Apply")</f>
        <v>Apply</v>
      </c>
      <c r="C1267" s="10" t="s">
        <v>25436</v>
      </c>
      <c r="D1267" s="56" t="s">
        <v>4448</v>
      </c>
      <c r="E1267" s="10" t="s">
        <v>71</v>
      </c>
      <c r="F1267" s="10" t="s">
        <v>4449</v>
      </c>
      <c r="G1267" s="10" t="s">
        <v>24043</v>
      </c>
      <c r="H1267" s="10" t="s">
        <v>25439</v>
      </c>
      <c r="I1267" s="10" t="s">
        <v>55</v>
      </c>
      <c r="K1267" s="10" t="s">
        <v>25389</v>
      </c>
      <c r="L1267" s="10" t="s">
        <v>42</v>
      </c>
    </row>
    <row r="1268" ht="15.75" customHeight="1">
      <c r="A1268" s="66">
        <v>45462.0</v>
      </c>
      <c r="B1268" s="55" t="str">
        <f>HYPERLINK("https://jobright.ai/jobs/info/6673c2bd1adf452983f80f5f?utm_campaign=1057&amp;utm_source=sheet", "Apply")</f>
        <v>Apply</v>
      </c>
      <c r="C1268" s="10" t="s">
        <v>25437</v>
      </c>
      <c r="D1268" s="56" t="s">
        <v>4448</v>
      </c>
      <c r="E1268" s="10" t="s">
        <v>71</v>
      </c>
      <c r="F1268" s="10" t="s">
        <v>4449</v>
      </c>
      <c r="G1268" s="10" t="s">
        <v>24043</v>
      </c>
      <c r="H1268" s="10" t="s">
        <v>25440</v>
      </c>
      <c r="I1268" s="10" t="s">
        <v>55</v>
      </c>
      <c r="K1268" s="10" t="s">
        <v>25389</v>
      </c>
      <c r="L1268" s="10" t="s">
        <v>42</v>
      </c>
    </row>
    <row r="1269" ht="15.75" customHeight="1">
      <c r="A1269" s="66">
        <v>45462.0</v>
      </c>
      <c r="B1269" s="55" t="str">
        <f>HYPERLINK("https://jobright.ai/jobs/info/6673c2bd1adf452983f80f9c?utm_campaign=1057&amp;utm_source=sheet", "Apply")</f>
        <v>Apply</v>
      </c>
      <c r="C1269" s="10" t="s">
        <v>25433</v>
      </c>
      <c r="D1269" s="56" t="s">
        <v>4448</v>
      </c>
      <c r="E1269" s="10" t="s">
        <v>71</v>
      </c>
      <c r="F1269" s="10" t="s">
        <v>4449</v>
      </c>
      <c r="G1269" s="10" t="s">
        <v>24043</v>
      </c>
      <c r="H1269" s="10" t="s">
        <v>18959</v>
      </c>
      <c r="I1269" s="10" t="s">
        <v>55</v>
      </c>
      <c r="K1269" s="10" t="s">
        <v>25389</v>
      </c>
      <c r="L1269" s="10" t="s">
        <v>42</v>
      </c>
    </row>
    <row r="1270" ht="15.75" customHeight="1">
      <c r="A1270" s="66">
        <v>45462.0</v>
      </c>
      <c r="B1270" s="55" t="str">
        <f>HYPERLINK("https://jobright.ai/jobs/info/6673c2c21adf452983f80fb8?utm_campaign=1057&amp;utm_source=sheet", "Apply")</f>
        <v>Apply</v>
      </c>
      <c r="C1270" s="10" t="s">
        <v>24404</v>
      </c>
      <c r="D1270" s="56" t="s">
        <v>4448</v>
      </c>
      <c r="E1270" s="10" t="s">
        <v>71</v>
      </c>
      <c r="F1270" s="10" t="s">
        <v>4449</v>
      </c>
      <c r="G1270" s="10" t="s">
        <v>24043</v>
      </c>
      <c r="H1270" s="10" t="s">
        <v>25441</v>
      </c>
      <c r="I1270" s="10" t="s">
        <v>55</v>
      </c>
      <c r="K1270" s="10" t="s">
        <v>25389</v>
      </c>
      <c r="L1270" s="10" t="s">
        <v>42</v>
      </c>
    </row>
    <row r="1271" ht="15.75" customHeight="1">
      <c r="A1271" s="66">
        <v>45462.0</v>
      </c>
      <c r="B1271" s="55" t="str">
        <f>HYPERLINK("https://jobright.ai/jobs/info/6673c2c21adf452983f80fb3?utm_campaign=1057&amp;utm_source=sheet", "Apply")</f>
        <v>Apply</v>
      </c>
      <c r="C1271" s="10" t="s">
        <v>25433</v>
      </c>
      <c r="D1271" s="56" t="s">
        <v>4448</v>
      </c>
      <c r="E1271" s="10" t="s">
        <v>71</v>
      </c>
      <c r="F1271" s="10" t="s">
        <v>4449</v>
      </c>
      <c r="G1271" s="10" t="s">
        <v>24043</v>
      </c>
      <c r="H1271" s="10" t="s">
        <v>25440</v>
      </c>
      <c r="I1271" s="10" t="s">
        <v>55</v>
      </c>
      <c r="K1271" s="10" t="s">
        <v>25389</v>
      </c>
      <c r="L1271" s="10" t="s">
        <v>42</v>
      </c>
    </row>
    <row r="1272" ht="15.75" customHeight="1">
      <c r="A1272" s="66">
        <v>45462.0</v>
      </c>
      <c r="B1272" s="55" t="str">
        <f>HYPERLINK("https://jobright.ai/jobs/info/6673c2c21adf452983f80fd6?utm_campaign=1057&amp;utm_source=sheet", "Apply")</f>
        <v>Apply</v>
      </c>
      <c r="C1272" s="10" t="s">
        <v>25433</v>
      </c>
      <c r="D1272" s="56" t="s">
        <v>4448</v>
      </c>
      <c r="E1272" s="10" t="s">
        <v>71</v>
      </c>
      <c r="F1272" s="10" t="s">
        <v>4449</v>
      </c>
      <c r="G1272" s="10" t="s">
        <v>24043</v>
      </c>
      <c r="H1272" s="10" t="s">
        <v>25442</v>
      </c>
      <c r="I1272" s="10" t="s">
        <v>55</v>
      </c>
      <c r="K1272" s="10" t="s">
        <v>25389</v>
      </c>
      <c r="L1272" s="10" t="s">
        <v>42</v>
      </c>
    </row>
    <row r="1273" ht="15.75" customHeight="1">
      <c r="A1273" s="66">
        <v>45462.0</v>
      </c>
      <c r="B1273" s="55" t="str">
        <f>HYPERLINK("https://jobright.ai/jobs/info/6673c2c21adf452983f80fec?utm_campaign=1057&amp;utm_source=sheet", "Apply")</f>
        <v>Apply</v>
      </c>
      <c r="C1273" s="10" t="s">
        <v>25437</v>
      </c>
      <c r="D1273" s="56" t="s">
        <v>4448</v>
      </c>
      <c r="E1273" s="10" t="s">
        <v>71</v>
      </c>
      <c r="F1273" s="10" t="s">
        <v>4449</v>
      </c>
      <c r="G1273" s="10" t="s">
        <v>24043</v>
      </c>
      <c r="H1273" s="10" t="s">
        <v>25443</v>
      </c>
      <c r="I1273" s="10" t="s">
        <v>55</v>
      </c>
      <c r="K1273" s="10" t="s">
        <v>25389</v>
      </c>
      <c r="L1273" s="10" t="s">
        <v>42</v>
      </c>
    </row>
    <row r="1274" ht="15.75" customHeight="1">
      <c r="A1274" s="66">
        <v>45462.0</v>
      </c>
      <c r="B1274" s="55" t="str">
        <f>HYPERLINK("https://jobright.ai/jobs/info/6673c2c21adf452983f80fee?utm_campaign=1057&amp;utm_source=sheet", "Apply")</f>
        <v>Apply</v>
      </c>
      <c r="C1274" s="10" t="s">
        <v>25437</v>
      </c>
      <c r="D1274" s="56" t="s">
        <v>4448</v>
      </c>
      <c r="E1274" s="10" t="s">
        <v>71</v>
      </c>
      <c r="F1274" s="10" t="s">
        <v>4449</v>
      </c>
      <c r="G1274" s="10" t="s">
        <v>24043</v>
      </c>
      <c r="H1274" s="10" t="s">
        <v>25388</v>
      </c>
      <c r="I1274" s="10" t="s">
        <v>55</v>
      </c>
      <c r="K1274" s="10" t="s">
        <v>25389</v>
      </c>
      <c r="L1274" s="10" t="s">
        <v>42</v>
      </c>
    </row>
    <row r="1275" ht="15.75" customHeight="1">
      <c r="A1275" s="66">
        <v>45462.0</v>
      </c>
      <c r="B1275" s="55" t="str">
        <f>HYPERLINK("https://jobright.ai/jobs/info/6673c2c21adf452983f8101e?utm_campaign=1057&amp;utm_source=sheet", "Apply")</f>
        <v>Apply</v>
      </c>
      <c r="C1275" s="10" t="s">
        <v>25433</v>
      </c>
      <c r="D1275" s="56" t="s">
        <v>4448</v>
      </c>
      <c r="E1275" s="10" t="s">
        <v>71</v>
      </c>
      <c r="F1275" s="10" t="s">
        <v>4449</v>
      </c>
      <c r="G1275" s="10" t="s">
        <v>24043</v>
      </c>
      <c r="H1275" s="10" t="s">
        <v>25444</v>
      </c>
      <c r="I1275" s="10" t="s">
        <v>55</v>
      </c>
      <c r="K1275" s="10" t="s">
        <v>25389</v>
      </c>
      <c r="L1275" s="10" t="s">
        <v>42</v>
      </c>
    </row>
    <row r="1276" ht="15.75" customHeight="1">
      <c r="A1276" s="66">
        <v>45462.0</v>
      </c>
      <c r="B1276" s="55" t="str">
        <f>HYPERLINK("https://jobright.ai/jobs/info/6673c2c21adf452983f8102d?utm_campaign=1057&amp;utm_source=sheet", "Apply")</f>
        <v>Apply</v>
      </c>
      <c r="C1276" s="10" t="s">
        <v>25433</v>
      </c>
      <c r="D1276" s="56" t="s">
        <v>4448</v>
      </c>
      <c r="E1276" s="10" t="s">
        <v>71</v>
      </c>
      <c r="F1276" s="10" t="s">
        <v>4449</v>
      </c>
      <c r="G1276" s="10" t="s">
        <v>24043</v>
      </c>
      <c r="H1276" s="10" t="s">
        <v>12857</v>
      </c>
      <c r="I1276" s="10" t="s">
        <v>55</v>
      </c>
      <c r="K1276" s="10" t="s">
        <v>25389</v>
      </c>
      <c r="L1276" s="10" t="s">
        <v>42</v>
      </c>
    </row>
    <row r="1277" ht="15.75" customHeight="1">
      <c r="A1277" s="66">
        <v>45462.0</v>
      </c>
      <c r="B1277" s="55" t="str">
        <f>HYPERLINK("https://jobright.ai/jobs/info/6673c2c21adf452983f81067?utm_campaign=1057&amp;utm_source=sheet", "Apply")</f>
        <v>Apply</v>
      </c>
      <c r="C1277" s="10" t="s">
        <v>25433</v>
      </c>
      <c r="D1277" s="56" t="s">
        <v>4448</v>
      </c>
      <c r="E1277" s="10" t="s">
        <v>71</v>
      </c>
      <c r="F1277" s="10" t="s">
        <v>4449</v>
      </c>
      <c r="G1277" s="10" t="s">
        <v>24043</v>
      </c>
      <c r="H1277" s="10" t="s">
        <v>25445</v>
      </c>
      <c r="I1277" s="10" t="s">
        <v>55</v>
      </c>
      <c r="K1277" s="10" t="s">
        <v>25389</v>
      </c>
      <c r="L1277" s="10" t="s">
        <v>42</v>
      </c>
    </row>
    <row r="1278" ht="15.75" customHeight="1">
      <c r="A1278" s="66">
        <v>45462.0</v>
      </c>
      <c r="B1278" s="55" t="str">
        <f>HYPERLINK("https://jobright.ai/jobs/info/6673c2c81adf452983f81091?utm_campaign=1057&amp;utm_source=sheet", "Apply")</f>
        <v>Apply</v>
      </c>
      <c r="C1278" s="10" t="s">
        <v>25433</v>
      </c>
      <c r="D1278" s="56" t="s">
        <v>4448</v>
      </c>
      <c r="E1278" s="10" t="s">
        <v>71</v>
      </c>
      <c r="F1278" s="10" t="s">
        <v>4449</v>
      </c>
      <c r="G1278" s="10" t="s">
        <v>24043</v>
      </c>
      <c r="H1278" s="10" t="s">
        <v>25446</v>
      </c>
      <c r="I1278" s="10" t="s">
        <v>55</v>
      </c>
      <c r="K1278" s="10" t="s">
        <v>25389</v>
      </c>
      <c r="L1278" s="10" t="s">
        <v>42</v>
      </c>
    </row>
    <row r="1279" ht="15.75" customHeight="1">
      <c r="A1279" s="66">
        <v>45462.0</v>
      </c>
      <c r="B1279" s="55" t="str">
        <f>HYPERLINK("https://jobright.ai/jobs/info/6673c2c81adf452983f810d6?utm_campaign=1057&amp;utm_source=sheet", "Apply")</f>
        <v>Apply</v>
      </c>
      <c r="C1279" s="10" t="s">
        <v>25437</v>
      </c>
      <c r="D1279" s="56" t="s">
        <v>4448</v>
      </c>
      <c r="E1279" s="10" t="s">
        <v>71</v>
      </c>
      <c r="F1279" s="10" t="s">
        <v>4449</v>
      </c>
      <c r="G1279" s="10" t="s">
        <v>24043</v>
      </c>
      <c r="H1279" s="10" t="s">
        <v>25447</v>
      </c>
      <c r="I1279" s="10" t="s">
        <v>55</v>
      </c>
      <c r="K1279" s="10" t="s">
        <v>25389</v>
      </c>
      <c r="L1279" s="10" t="s">
        <v>42</v>
      </c>
    </row>
    <row r="1280" ht="15.75" customHeight="1">
      <c r="A1280" s="66">
        <v>45462.0</v>
      </c>
      <c r="B1280" s="55" t="str">
        <f>HYPERLINK("https://jobright.ai/jobs/info/6673c2c81adf452983f810d5?utm_campaign=1057&amp;utm_source=sheet", "Apply")</f>
        <v>Apply</v>
      </c>
      <c r="C1280" s="10" t="s">
        <v>25437</v>
      </c>
      <c r="D1280" s="56" t="s">
        <v>4448</v>
      </c>
      <c r="E1280" s="10" t="s">
        <v>71</v>
      </c>
      <c r="F1280" s="10" t="s">
        <v>4449</v>
      </c>
      <c r="G1280" s="10" t="s">
        <v>24043</v>
      </c>
      <c r="H1280" s="10" t="s">
        <v>25442</v>
      </c>
      <c r="I1280" s="10" t="s">
        <v>55</v>
      </c>
      <c r="K1280" s="10" t="s">
        <v>25389</v>
      </c>
      <c r="L1280" s="10" t="s">
        <v>42</v>
      </c>
    </row>
    <row r="1281" ht="15.75" customHeight="1">
      <c r="A1281" s="66">
        <v>45462.0</v>
      </c>
      <c r="B1281" s="55" t="str">
        <f>HYPERLINK("https://jobright.ai/jobs/info/6673c2c81adf452983f810eb?utm_campaign=1057&amp;utm_source=sheet", "Apply")</f>
        <v>Apply</v>
      </c>
      <c r="C1281" s="10" t="s">
        <v>25437</v>
      </c>
      <c r="D1281" s="56" t="s">
        <v>4448</v>
      </c>
      <c r="E1281" s="10" t="s">
        <v>71</v>
      </c>
      <c r="F1281" s="10" t="s">
        <v>4449</v>
      </c>
      <c r="G1281" s="10" t="s">
        <v>24043</v>
      </c>
      <c r="H1281" s="10" t="s">
        <v>25445</v>
      </c>
      <c r="I1281" s="10" t="s">
        <v>55</v>
      </c>
      <c r="K1281" s="10" t="s">
        <v>25389</v>
      </c>
      <c r="L1281" s="10" t="s">
        <v>42</v>
      </c>
    </row>
    <row r="1282" ht="15.75" customHeight="1">
      <c r="A1282" s="66">
        <v>45462.0</v>
      </c>
      <c r="B1282" s="55" t="str">
        <f>HYPERLINK("https://jobright.ai/jobs/info/6673c2c81adf452983f810df?utm_campaign=1057&amp;utm_source=sheet", "Apply")</f>
        <v>Apply</v>
      </c>
      <c r="C1282" s="10" t="s">
        <v>25436</v>
      </c>
      <c r="D1282" s="56" t="s">
        <v>4448</v>
      </c>
      <c r="E1282" s="10" t="s">
        <v>71</v>
      </c>
      <c r="F1282" s="10" t="s">
        <v>4449</v>
      </c>
      <c r="G1282" s="10" t="s">
        <v>24043</v>
      </c>
      <c r="H1282" s="10" t="s">
        <v>25448</v>
      </c>
      <c r="I1282" s="10" t="s">
        <v>55</v>
      </c>
      <c r="K1282" s="10" t="s">
        <v>25389</v>
      </c>
      <c r="L1282" s="10" t="s">
        <v>42</v>
      </c>
    </row>
    <row r="1283" ht="15.75" customHeight="1">
      <c r="A1283" s="66">
        <v>45462.0</v>
      </c>
      <c r="B1283" s="55" t="str">
        <f>HYPERLINK("https://jobright.ai/jobs/info/6673c2c81adf452983f8111e?utm_campaign=1057&amp;utm_source=sheet", "Apply")</f>
        <v>Apply</v>
      </c>
      <c r="C1283" s="10" t="s">
        <v>24404</v>
      </c>
      <c r="D1283" s="56" t="s">
        <v>4448</v>
      </c>
      <c r="E1283" s="10" t="s">
        <v>71</v>
      </c>
      <c r="F1283" s="10" t="s">
        <v>4449</v>
      </c>
      <c r="G1283" s="10" t="s">
        <v>24043</v>
      </c>
      <c r="H1283" s="10" t="s">
        <v>955</v>
      </c>
      <c r="I1283" s="10" t="s">
        <v>55</v>
      </c>
      <c r="K1283" s="10" t="s">
        <v>25389</v>
      </c>
      <c r="L1283" s="10" t="s">
        <v>42</v>
      </c>
    </row>
    <row r="1284" ht="15.75" customHeight="1">
      <c r="A1284" s="66">
        <v>45462.0</v>
      </c>
      <c r="B1284" s="55" t="str">
        <f>HYPERLINK("https://jobright.ai/jobs/info/6673c2ce1adf452983f8113b?utm_campaign=1057&amp;utm_source=sheet", "Apply")</f>
        <v>Apply</v>
      </c>
      <c r="C1284" s="10" t="s">
        <v>25437</v>
      </c>
      <c r="D1284" s="56" t="s">
        <v>4448</v>
      </c>
      <c r="E1284" s="10" t="s">
        <v>71</v>
      </c>
      <c r="F1284" s="10" t="s">
        <v>4449</v>
      </c>
      <c r="G1284" s="10" t="s">
        <v>24043</v>
      </c>
      <c r="H1284" s="10" t="s">
        <v>25441</v>
      </c>
      <c r="I1284" s="10" t="s">
        <v>55</v>
      </c>
      <c r="K1284" s="10" t="s">
        <v>25389</v>
      </c>
      <c r="L1284" s="10" t="s">
        <v>42</v>
      </c>
    </row>
    <row r="1285" ht="15.75" customHeight="1">
      <c r="A1285" s="66">
        <v>45462.0</v>
      </c>
      <c r="B1285" s="55" t="str">
        <f>HYPERLINK("https://jobright.ai/jobs/info/6673c2ce1adf452983f8114a?utm_campaign=1057&amp;utm_source=sheet", "Apply")</f>
        <v>Apply</v>
      </c>
      <c r="C1285" s="10" t="s">
        <v>24404</v>
      </c>
      <c r="D1285" s="56" t="s">
        <v>4448</v>
      </c>
      <c r="E1285" s="10" t="s">
        <v>71</v>
      </c>
      <c r="F1285" s="10" t="s">
        <v>4449</v>
      </c>
      <c r="G1285" s="10" t="s">
        <v>24043</v>
      </c>
      <c r="H1285" s="10" t="s">
        <v>24237</v>
      </c>
      <c r="I1285" s="10" t="s">
        <v>55</v>
      </c>
      <c r="K1285" s="10" t="s">
        <v>25389</v>
      </c>
      <c r="L1285" s="10" t="s">
        <v>42</v>
      </c>
    </row>
    <row r="1286" ht="15.75" customHeight="1">
      <c r="A1286" s="66">
        <v>45462.0</v>
      </c>
      <c r="B1286" s="55" t="str">
        <f>HYPERLINK("https://jobright.ai/jobs/info/6673c2ce1adf452983f8117b?utm_campaign=1057&amp;utm_source=sheet", "Apply")</f>
        <v>Apply</v>
      </c>
      <c r="C1286" s="10" t="s">
        <v>25433</v>
      </c>
      <c r="D1286" s="56" t="s">
        <v>4448</v>
      </c>
      <c r="E1286" s="10" t="s">
        <v>71</v>
      </c>
      <c r="F1286" s="10" t="s">
        <v>4449</v>
      </c>
      <c r="G1286" s="10" t="s">
        <v>24043</v>
      </c>
      <c r="H1286" s="10" t="s">
        <v>25449</v>
      </c>
      <c r="I1286" s="10" t="s">
        <v>55</v>
      </c>
      <c r="K1286" s="10" t="s">
        <v>25389</v>
      </c>
      <c r="L1286" s="10" t="s">
        <v>42</v>
      </c>
    </row>
    <row r="1287" ht="15.75" customHeight="1">
      <c r="A1287" s="66">
        <v>45462.0</v>
      </c>
      <c r="B1287" s="55" t="str">
        <f>HYPERLINK("https://jobright.ai/jobs/info/6673c2ce1adf452983f811d2?utm_campaign=1057&amp;utm_source=sheet", "Apply")</f>
        <v>Apply</v>
      </c>
      <c r="C1287" s="10" t="s">
        <v>25433</v>
      </c>
      <c r="D1287" s="56" t="s">
        <v>4448</v>
      </c>
      <c r="E1287" s="10" t="s">
        <v>71</v>
      </c>
      <c r="F1287" s="10" t="s">
        <v>4449</v>
      </c>
      <c r="G1287" s="10" t="s">
        <v>24043</v>
      </c>
      <c r="H1287" s="10" t="s">
        <v>25450</v>
      </c>
      <c r="I1287" s="10" t="s">
        <v>55</v>
      </c>
      <c r="K1287" s="10" t="s">
        <v>25389</v>
      </c>
      <c r="L1287" s="10" t="s">
        <v>42</v>
      </c>
    </row>
    <row r="1288" ht="15.75" customHeight="1">
      <c r="A1288" s="66">
        <v>45462.0</v>
      </c>
      <c r="B1288" s="55" t="str">
        <f>HYPERLINK("https://jobright.ai/jobs/info/6673c2d31adf452983f81249?utm_campaign=1057&amp;utm_source=sheet", "Apply")</f>
        <v>Apply</v>
      </c>
      <c r="C1288" s="10" t="s">
        <v>24404</v>
      </c>
      <c r="D1288" s="56" t="s">
        <v>4448</v>
      </c>
      <c r="E1288" s="10" t="s">
        <v>71</v>
      </c>
      <c r="F1288" s="10" t="s">
        <v>4449</v>
      </c>
      <c r="G1288" s="10" t="s">
        <v>24043</v>
      </c>
      <c r="H1288" s="10" t="s">
        <v>25451</v>
      </c>
      <c r="I1288" s="10" t="s">
        <v>55</v>
      </c>
      <c r="K1288" s="10" t="s">
        <v>25389</v>
      </c>
      <c r="L1288" s="10" t="s">
        <v>42</v>
      </c>
    </row>
    <row r="1289" ht="15.75" customHeight="1">
      <c r="A1289" s="66">
        <v>45462.0</v>
      </c>
      <c r="B1289" s="55" t="str">
        <f>HYPERLINK("https://jobright.ai/jobs/info/6673c2d31adf452983f8124c?utm_campaign=1057&amp;utm_source=sheet", "Apply")</f>
        <v>Apply</v>
      </c>
      <c r="C1289" s="10" t="s">
        <v>25433</v>
      </c>
      <c r="D1289" s="56" t="s">
        <v>4448</v>
      </c>
      <c r="E1289" s="10" t="s">
        <v>71</v>
      </c>
      <c r="F1289" s="10" t="s">
        <v>4449</v>
      </c>
      <c r="G1289" s="10" t="s">
        <v>24043</v>
      </c>
      <c r="H1289" s="10" t="s">
        <v>25452</v>
      </c>
      <c r="I1289" s="10" t="s">
        <v>55</v>
      </c>
      <c r="K1289" s="10" t="s">
        <v>25389</v>
      </c>
      <c r="L1289" s="10" t="s">
        <v>42</v>
      </c>
    </row>
    <row r="1290" ht="15.75" customHeight="1">
      <c r="A1290" s="66">
        <v>45462.0</v>
      </c>
      <c r="B1290" s="55" t="str">
        <f>HYPERLINK("https://jobright.ai/jobs/info/6673c2d31adf452983f81263?utm_campaign=1057&amp;utm_source=sheet", "Apply")</f>
        <v>Apply</v>
      </c>
      <c r="C1290" s="10" t="s">
        <v>25433</v>
      </c>
      <c r="D1290" s="56" t="s">
        <v>4448</v>
      </c>
      <c r="E1290" s="10" t="s">
        <v>71</v>
      </c>
      <c r="F1290" s="10" t="s">
        <v>4449</v>
      </c>
      <c r="G1290" s="10" t="s">
        <v>24043</v>
      </c>
      <c r="H1290" s="10" t="s">
        <v>3006</v>
      </c>
      <c r="I1290" s="10" t="s">
        <v>55</v>
      </c>
      <c r="K1290" s="10" t="s">
        <v>25389</v>
      </c>
      <c r="L1290" s="10" t="s">
        <v>42</v>
      </c>
    </row>
    <row r="1291" ht="15.75" customHeight="1">
      <c r="A1291" s="66">
        <v>45462.0</v>
      </c>
      <c r="B1291" s="55" t="str">
        <f>HYPERLINK("https://jobright.ai/jobs/info/6673c2d31adf452983f812c0?utm_campaign=1057&amp;utm_source=sheet", "Apply")</f>
        <v>Apply</v>
      </c>
      <c r="C1291" s="10" t="s">
        <v>25433</v>
      </c>
      <c r="D1291" s="56" t="s">
        <v>4448</v>
      </c>
      <c r="E1291" s="10" t="s">
        <v>71</v>
      </c>
      <c r="F1291" s="10" t="s">
        <v>4449</v>
      </c>
      <c r="G1291" s="10" t="s">
        <v>24043</v>
      </c>
      <c r="H1291" s="10" t="s">
        <v>914</v>
      </c>
      <c r="I1291" s="10" t="s">
        <v>55</v>
      </c>
      <c r="K1291" s="10" t="s">
        <v>25389</v>
      </c>
      <c r="L1291" s="10" t="s">
        <v>42</v>
      </c>
    </row>
    <row r="1292" ht="15.75" customHeight="1">
      <c r="A1292" s="66">
        <v>45462.0</v>
      </c>
      <c r="B1292" s="55" t="str">
        <f>HYPERLINK("https://jobright.ai/jobs/info/6673c2d31adf452983f812bb?utm_campaign=1057&amp;utm_source=sheet", "Apply")</f>
        <v>Apply</v>
      </c>
      <c r="C1292" s="10" t="s">
        <v>25433</v>
      </c>
      <c r="D1292" s="56" t="s">
        <v>4448</v>
      </c>
      <c r="E1292" s="10" t="s">
        <v>71</v>
      </c>
      <c r="F1292" s="10" t="s">
        <v>4449</v>
      </c>
      <c r="G1292" s="10" t="s">
        <v>24043</v>
      </c>
      <c r="H1292" s="10" t="s">
        <v>25391</v>
      </c>
      <c r="I1292" s="10" t="s">
        <v>55</v>
      </c>
      <c r="K1292" s="10" t="s">
        <v>25389</v>
      </c>
      <c r="L1292" s="10" t="s">
        <v>42</v>
      </c>
    </row>
    <row r="1293" ht="15.75" customHeight="1">
      <c r="A1293" s="66">
        <v>45462.0</v>
      </c>
      <c r="B1293" s="55" t="str">
        <f>HYPERLINK("https://jobright.ai/jobs/info/6673c2d31adf452983f812b7?utm_campaign=1057&amp;utm_source=sheet", "Apply")</f>
        <v>Apply</v>
      </c>
      <c r="C1293" s="10" t="s">
        <v>25433</v>
      </c>
      <c r="D1293" s="56" t="s">
        <v>4448</v>
      </c>
      <c r="E1293" s="10" t="s">
        <v>71</v>
      </c>
      <c r="F1293" s="10" t="s">
        <v>4449</v>
      </c>
      <c r="G1293" s="10" t="s">
        <v>24043</v>
      </c>
      <c r="H1293" s="10" t="s">
        <v>15590</v>
      </c>
      <c r="I1293" s="10" t="s">
        <v>55</v>
      </c>
      <c r="K1293" s="10" t="s">
        <v>25389</v>
      </c>
      <c r="L1293" s="10" t="s">
        <v>42</v>
      </c>
    </row>
    <row r="1294" ht="15.75" customHeight="1">
      <c r="A1294" s="66">
        <v>45462.0</v>
      </c>
      <c r="B1294" s="55" t="str">
        <f>HYPERLINK("https://jobright.ai/jobs/info/6673c2d91adf452983f81354?utm_campaign=1057&amp;utm_source=sheet", "Apply")</f>
        <v>Apply</v>
      </c>
      <c r="C1294" s="10" t="s">
        <v>25437</v>
      </c>
      <c r="D1294" s="56" t="s">
        <v>4448</v>
      </c>
      <c r="E1294" s="10" t="s">
        <v>71</v>
      </c>
      <c r="F1294" s="10" t="s">
        <v>4449</v>
      </c>
      <c r="G1294" s="10" t="s">
        <v>24043</v>
      </c>
      <c r="H1294" s="10" t="s">
        <v>16925</v>
      </c>
      <c r="I1294" s="10" t="s">
        <v>55</v>
      </c>
      <c r="K1294" s="10" t="s">
        <v>25389</v>
      </c>
      <c r="L1294" s="10" t="s">
        <v>42</v>
      </c>
    </row>
    <row r="1295" ht="15.75" customHeight="1">
      <c r="A1295" s="66">
        <v>45462.0</v>
      </c>
      <c r="B1295" s="55" t="str">
        <f>HYPERLINK("https://jobright.ai/jobs/info/6673c2d91adf452983f8135c?utm_campaign=1057&amp;utm_source=sheet", "Apply")</f>
        <v>Apply</v>
      </c>
      <c r="C1295" s="10" t="s">
        <v>25437</v>
      </c>
      <c r="D1295" s="56" t="s">
        <v>4448</v>
      </c>
      <c r="E1295" s="10" t="s">
        <v>71</v>
      </c>
      <c r="F1295" s="10" t="s">
        <v>4449</v>
      </c>
      <c r="G1295" s="10" t="s">
        <v>24043</v>
      </c>
      <c r="H1295" s="10" t="s">
        <v>25453</v>
      </c>
      <c r="I1295" s="10" t="s">
        <v>55</v>
      </c>
      <c r="K1295" s="10" t="s">
        <v>25389</v>
      </c>
      <c r="L1295" s="10" t="s">
        <v>42</v>
      </c>
    </row>
    <row r="1296" ht="15.75" customHeight="1">
      <c r="A1296" s="66">
        <v>45462.0</v>
      </c>
      <c r="B1296" s="55" t="str">
        <f>HYPERLINK("https://jobright.ai/jobs/info/6673c2d91adf452983f8137d?utm_campaign=1057&amp;utm_source=sheet", "Apply")</f>
        <v>Apply</v>
      </c>
      <c r="C1296" s="10" t="s">
        <v>25437</v>
      </c>
      <c r="D1296" s="56" t="s">
        <v>4448</v>
      </c>
      <c r="E1296" s="10" t="s">
        <v>71</v>
      </c>
      <c r="F1296" s="10" t="s">
        <v>4449</v>
      </c>
      <c r="G1296" s="10" t="s">
        <v>24043</v>
      </c>
      <c r="H1296" s="10" t="s">
        <v>25454</v>
      </c>
      <c r="I1296" s="10" t="s">
        <v>55</v>
      </c>
      <c r="K1296" s="10" t="s">
        <v>25389</v>
      </c>
      <c r="L1296" s="10" t="s">
        <v>42</v>
      </c>
    </row>
    <row r="1297" ht="15.75" customHeight="1">
      <c r="A1297" s="66">
        <v>45462.0</v>
      </c>
      <c r="B1297" s="55" t="str">
        <f>HYPERLINK("https://jobright.ai/jobs/info/6673c2d91adf452983f8138b?utm_campaign=1057&amp;utm_source=sheet", "Apply")</f>
        <v>Apply</v>
      </c>
      <c r="C1297" s="10" t="s">
        <v>25437</v>
      </c>
      <c r="D1297" s="56" t="s">
        <v>4448</v>
      </c>
      <c r="E1297" s="10" t="s">
        <v>71</v>
      </c>
      <c r="F1297" s="10" t="s">
        <v>4449</v>
      </c>
      <c r="G1297" s="10" t="s">
        <v>24043</v>
      </c>
      <c r="H1297" s="10" t="s">
        <v>25439</v>
      </c>
      <c r="I1297" s="10" t="s">
        <v>55</v>
      </c>
      <c r="K1297" s="10" t="s">
        <v>25389</v>
      </c>
      <c r="L1297" s="10" t="s">
        <v>42</v>
      </c>
    </row>
    <row r="1298" ht="15.75" customHeight="1">
      <c r="A1298" s="66">
        <v>45462.0</v>
      </c>
      <c r="B1298" s="55" t="str">
        <f>HYPERLINK("https://jobright.ai/jobs/info/6673c2df1adf452983f8138e?utm_campaign=1057&amp;utm_source=sheet", "Apply")</f>
        <v>Apply</v>
      </c>
      <c r="C1298" s="10" t="s">
        <v>25436</v>
      </c>
      <c r="D1298" s="56" t="s">
        <v>4448</v>
      </c>
      <c r="E1298" s="10" t="s">
        <v>71</v>
      </c>
      <c r="F1298" s="10" t="s">
        <v>4449</v>
      </c>
      <c r="G1298" s="10" t="s">
        <v>24043</v>
      </c>
      <c r="H1298" s="10" t="s">
        <v>25434</v>
      </c>
      <c r="I1298" s="10" t="s">
        <v>55</v>
      </c>
      <c r="K1298" s="10" t="s">
        <v>25389</v>
      </c>
      <c r="L1298" s="10" t="s">
        <v>42</v>
      </c>
    </row>
    <row r="1299" ht="15.75" customHeight="1">
      <c r="A1299" s="66">
        <v>45462.0</v>
      </c>
      <c r="B1299" s="55" t="str">
        <f>HYPERLINK("https://jobright.ai/jobs/info/6673c2d91adf452983f81384?utm_campaign=1057&amp;utm_source=sheet", "Apply")</f>
        <v>Apply</v>
      </c>
      <c r="C1299" s="10" t="s">
        <v>25437</v>
      </c>
      <c r="D1299" s="56" t="s">
        <v>4448</v>
      </c>
      <c r="E1299" s="10" t="s">
        <v>71</v>
      </c>
      <c r="F1299" s="10" t="s">
        <v>4449</v>
      </c>
      <c r="G1299" s="10" t="s">
        <v>24043</v>
      </c>
      <c r="H1299" s="10" t="s">
        <v>25455</v>
      </c>
      <c r="I1299" s="10" t="s">
        <v>55</v>
      </c>
      <c r="K1299" s="10" t="s">
        <v>25389</v>
      </c>
      <c r="L1299" s="10" t="s">
        <v>42</v>
      </c>
    </row>
    <row r="1300" ht="15.75" customHeight="1">
      <c r="A1300" s="66">
        <v>45462.0</v>
      </c>
      <c r="B1300" s="55" t="str">
        <f>HYPERLINK("https://jobright.ai/jobs/info/6673c2df1adf452983f8139b?utm_campaign=1057&amp;utm_source=sheet", "Apply")</f>
        <v>Apply</v>
      </c>
      <c r="C1300" s="10" t="s">
        <v>25433</v>
      </c>
      <c r="D1300" s="56" t="s">
        <v>4448</v>
      </c>
      <c r="E1300" s="10" t="s">
        <v>71</v>
      </c>
      <c r="F1300" s="10" t="s">
        <v>4449</v>
      </c>
      <c r="G1300" s="10" t="s">
        <v>24043</v>
      </c>
      <c r="H1300" s="10" t="s">
        <v>25456</v>
      </c>
      <c r="I1300" s="10" t="s">
        <v>55</v>
      </c>
      <c r="K1300" s="10" t="s">
        <v>25389</v>
      </c>
      <c r="L1300" s="10" t="s">
        <v>42</v>
      </c>
    </row>
    <row r="1301" ht="15.75" customHeight="1">
      <c r="A1301" s="66">
        <v>45462.0</v>
      </c>
      <c r="B1301" s="55" t="str">
        <f>HYPERLINK("https://jobright.ai/jobs/info/6673c2df1adf452983f813be?utm_campaign=1057&amp;utm_source=sheet", "Apply")</f>
        <v>Apply</v>
      </c>
      <c r="C1301" s="10" t="s">
        <v>24404</v>
      </c>
      <c r="D1301" s="56" t="s">
        <v>4448</v>
      </c>
      <c r="E1301" s="10" t="s">
        <v>71</v>
      </c>
      <c r="F1301" s="10" t="s">
        <v>4449</v>
      </c>
      <c r="G1301" s="10" t="s">
        <v>24043</v>
      </c>
      <c r="H1301" s="10" t="s">
        <v>8160</v>
      </c>
      <c r="I1301" s="10" t="s">
        <v>55</v>
      </c>
      <c r="K1301" s="10" t="s">
        <v>25389</v>
      </c>
      <c r="L1301" s="10" t="s">
        <v>42</v>
      </c>
    </row>
    <row r="1302" ht="15.75" customHeight="1">
      <c r="A1302" s="66">
        <v>45462.0</v>
      </c>
      <c r="B1302" s="55" t="str">
        <f>HYPERLINK("https://jobright.ai/jobs/info/6673c2df1adf452983f813ad?utm_campaign=1057&amp;utm_source=sheet", "Apply")</f>
        <v>Apply</v>
      </c>
      <c r="C1302" s="10" t="s">
        <v>25433</v>
      </c>
      <c r="D1302" s="56" t="s">
        <v>4448</v>
      </c>
      <c r="E1302" s="10" t="s">
        <v>71</v>
      </c>
      <c r="F1302" s="10" t="s">
        <v>4449</v>
      </c>
      <c r="G1302" s="10" t="s">
        <v>24043</v>
      </c>
      <c r="H1302" s="10" t="s">
        <v>25451</v>
      </c>
      <c r="I1302" s="10" t="s">
        <v>55</v>
      </c>
      <c r="K1302" s="10" t="s">
        <v>25389</v>
      </c>
      <c r="L1302" s="10" t="s">
        <v>42</v>
      </c>
    </row>
    <row r="1303" ht="15.75" customHeight="1">
      <c r="A1303" s="66">
        <v>45462.0</v>
      </c>
      <c r="B1303" s="55" t="str">
        <f>HYPERLINK("https://jobright.ai/jobs/info/6673c2df1adf452983f813a1?utm_campaign=1057&amp;utm_source=sheet", "Apply")</f>
        <v>Apply</v>
      </c>
      <c r="C1303" s="10" t="s">
        <v>25437</v>
      </c>
      <c r="D1303" s="56" t="s">
        <v>4448</v>
      </c>
      <c r="E1303" s="10" t="s">
        <v>71</v>
      </c>
      <c r="F1303" s="10" t="s">
        <v>4449</v>
      </c>
      <c r="G1303" s="10" t="s">
        <v>24043</v>
      </c>
      <c r="H1303" s="10" t="s">
        <v>25456</v>
      </c>
      <c r="I1303" s="10" t="s">
        <v>55</v>
      </c>
      <c r="K1303" s="10" t="s">
        <v>25389</v>
      </c>
      <c r="L1303" s="10" t="s">
        <v>42</v>
      </c>
    </row>
    <row r="1304" ht="15.75" customHeight="1">
      <c r="A1304" s="66">
        <v>45462.0</v>
      </c>
      <c r="B1304" s="55" t="str">
        <f>HYPERLINK("https://jobright.ai/jobs/info/6673c2df1adf452983f81428?utm_campaign=1057&amp;utm_source=sheet", "Apply")</f>
        <v>Apply</v>
      </c>
      <c r="C1304" s="10" t="s">
        <v>25433</v>
      </c>
      <c r="D1304" s="56" t="s">
        <v>4448</v>
      </c>
      <c r="E1304" s="10" t="s">
        <v>71</v>
      </c>
      <c r="F1304" s="10" t="s">
        <v>4449</v>
      </c>
      <c r="G1304" s="10" t="s">
        <v>24043</v>
      </c>
      <c r="H1304" s="10" t="s">
        <v>25455</v>
      </c>
      <c r="I1304" s="10" t="s">
        <v>55</v>
      </c>
      <c r="K1304" s="10" t="s">
        <v>25389</v>
      </c>
      <c r="L1304" s="10" t="s">
        <v>42</v>
      </c>
    </row>
    <row r="1305" ht="15.75" customHeight="1">
      <c r="A1305" s="66">
        <v>45462.0</v>
      </c>
      <c r="B1305" s="55" t="str">
        <f>HYPERLINK("https://jobright.ai/jobs/info/6673c2df1adf452983f8142c?utm_campaign=1057&amp;utm_source=sheet", "Apply")</f>
        <v>Apply</v>
      </c>
      <c r="C1305" s="10" t="s">
        <v>24404</v>
      </c>
      <c r="D1305" s="56" t="s">
        <v>4448</v>
      </c>
      <c r="E1305" s="10" t="s">
        <v>71</v>
      </c>
      <c r="F1305" s="10" t="s">
        <v>4449</v>
      </c>
      <c r="G1305" s="10" t="s">
        <v>24043</v>
      </c>
      <c r="H1305" s="10" t="s">
        <v>25450</v>
      </c>
      <c r="I1305" s="10" t="s">
        <v>55</v>
      </c>
      <c r="K1305" s="10" t="s">
        <v>25389</v>
      </c>
      <c r="L1305" s="10" t="s">
        <v>42</v>
      </c>
    </row>
    <row r="1306" ht="15.75" customHeight="1">
      <c r="A1306" s="66">
        <v>45462.0</v>
      </c>
      <c r="B1306" s="55" t="str">
        <f>HYPERLINK("https://jobright.ai/jobs/info/6673c2df1adf452983f81430?utm_campaign=1057&amp;utm_source=sheet", "Apply")</f>
        <v>Apply</v>
      </c>
      <c r="C1306" s="10" t="s">
        <v>25437</v>
      </c>
      <c r="D1306" s="56" t="s">
        <v>4448</v>
      </c>
      <c r="E1306" s="10" t="s">
        <v>71</v>
      </c>
      <c r="F1306" s="10" t="s">
        <v>4449</v>
      </c>
      <c r="G1306" s="10" t="s">
        <v>24043</v>
      </c>
      <c r="H1306" s="10" t="s">
        <v>994</v>
      </c>
      <c r="I1306" s="10" t="s">
        <v>55</v>
      </c>
      <c r="K1306" s="10" t="s">
        <v>25389</v>
      </c>
      <c r="L1306" s="10" t="s">
        <v>42</v>
      </c>
    </row>
    <row r="1307" ht="15.75" customHeight="1">
      <c r="A1307" s="66">
        <v>45462.0</v>
      </c>
      <c r="B1307" s="55" t="str">
        <f>HYPERLINK("https://jobright.ai/jobs/info/6673c2df1adf452983f81452?utm_campaign=1057&amp;utm_source=sheet", "Apply")</f>
        <v>Apply</v>
      </c>
      <c r="C1307" s="10" t="s">
        <v>25437</v>
      </c>
      <c r="D1307" s="56" t="s">
        <v>4448</v>
      </c>
      <c r="E1307" s="10" t="s">
        <v>71</v>
      </c>
      <c r="F1307" s="10" t="s">
        <v>4449</v>
      </c>
      <c r="G1307" s="10" t="s">
        <v>24043</v>
      </c>
      <c r="H1307" s="10" t="s">
        <v>25457</v>
      </c>
      <c r="I1307" s="10" t="s">
        <v>55</v>
      </c>
      <c r="K1307" s="10" t="s">
        <v>25389</v>
      </c>
      <c r="L1307" s="10" t="s">
        <v>42</v>
      </c>
    </row>
    <row r="1308" ht="15.75" customHeight="1">
      <c r="A1308" s="66">
        <v>45462.0</v>
      </c>
      <c r="B1308" s="55" t="str">
        <f>HYPERLINK("https://jobright.ai/jobs/info/6673c2e41adf452983f81480?utm_campaign=1057&amp;utm_source=sheet", "Apply")</f>
        <v>Apply</v>
      </c>
      <c r="C1308" s="10" t="s">
        <v>25437</v>
      </c>
      <c r="D1308" s="56" t="s">
        <v>4448</v>
      </c>
      <c r="E1308" s="10" t="s">
        <v>71</v>
      </c>
      <c r="F1308" s="10" t="s">
        <v>4449</v>
      </c>
      <c r="G1308" s="10" t="s">
        <v>24043</v>
      </c>
      <c r="H1308" s="10" t="s">
        <v>25458</v>
      </c>
      <c r="I1308" s="10" t="s">
        <v>55</v>
      </c>
      <c r="K1308" s="10" t="s">
        <v>25389</v>
      </c>
      <c r="L1308" s="10" t="s">
        <v>42</v>
      </c>
    </row>
    <row r="1309" ht="15.75" customHeight="1">
      <c r="A1309" s="66">
        <v>45462.0</v>
      </c>
      <c r="B1309" s="55" t="str">
        <f>HYPERLINK("https://jobright.ai/jobs/info/6673c2e41adf452983f81498?utm_campaign=1057&amp;utm_source=sheet", "Apply")</f>
        <v>Apply</v>
      </c>
      <c r="C1309" s="10" t="s">
        <v>25437</v>
      </c>
      <c r="D1309" s="56" t="s">
        <v>4448</v>
      </c>
      <c r="E1309" s="10" t="s">
        <v>71</v>
      </c>
      <c r="F1309" s="10" t="s">
        <v>4449</v>
      </c>
      <c r="G1309" s="10" t="s">
        <v>24043</v>
      </c>
      <c r="H1309" s="10" t="s">
        <v>25393</v>
      </c>
      <c r="I1309" s="10" t="s">
        <v>55</v>
      </c>
      <c r="K1309" s="10" t="s">
        <v>25389</v>
      </c>
      <c r="L1309" s="10" t="s">
        <v>42</v>
      </c>
    </row>
    <row r="1310" ht="15.75" customHeight="1">
      <c r="A1310" s="66">
        <v>45462.0</v>
      </c>
      <c r="B1310" s="55" t="str">
        <f>HYPERLINK("https://jobright.ai/jobs/info/6673c2ea1adf452983f8155e?utm_campaign=1057&amp;utm_source=sheet", "Apply")</f>
        <v>Apply</v>
      </c>
      <c r="C1310" s="10" t="s">
        <v>25437</v>
      </c>
      <c r="D1310" s="56" t="s">
        <v>4448</v>
      </c>
      <c r="E1310" s="10" t="s">
        <v>71</v>
      </c>
      <c r="F1310" s="10" t="s">
        <v>4449</v>
      </c>
      <c r="G1310" s="10" t="s">
        <v>24043</v>
      </c>
      <c r="H1310" s="10" t="s">
        <v>25434</v>
      </c>
      <c r="I1310" s="10" t="s">
        <v>55</v>
      </c>
      <c r="K1310" s="10" t="s">
        <v>25389</v>
      </c>
      <c r="L1310" s="10" t="s">
        <v>42</v>
      </c>
    </row>
    <row r="1311" ht="15.75" customHeight="1">
      <c r="A1311" s="66">
        <v>45462.0</v>
      </c>
      <c r="B1311" s="55" t="str">
        <f>HYPERLINK("https://jobright.ai/jobs/info/6673c2ea1adf452983f81573?utm_campaign=1057&amp;utm_source=sheet", "Apply")</f>
        <v>Apply</v>
      </c>
      <c r="C1311" s="10" t="s">
        <v>25436</v>
      </c>
      <c r="D1311" s="56" t="s">
        <v>4448</v>
      </c>
      <c r="E1311" s="10" t="s">
        <v>71</v>
      </c>
      <c r="F1311" s="10" t="s">
        <v>4449</v>
      </c>
      <c r="G1311" s="10" t="s">
        <v>24043</v>
      </c>
      <c r="H1311" s="10" t="s">
        <v>25459</v>
      </c>
      <c r="I1311" s="10" t="s">
        <v>55</v>
      </c>
      <c r="K1311" s="10" t="s">
        <v>25389</v>
      </c>
      <c r="L1311" s="10" t="s">
        <v>42</v>
      </c>
    </row>
    <row r="1312" ht="15.75" customHeight="1">
      <c r="A1312" s="66">
        <v>45462.0</v>
      </c>
      <c r="B1312" s="55" t="str">
        <f>HYPERLINK("https://jobright.ai/jobs/info/6673c2ea1adf452983f815b0?utm_campaign=1057&amp;utm_source=sheet", "Apply")</f>
        <v>Apply</v>
      </c>
      <c r="C1312" s="10" t="s">
        <v>25437</v>
      </c>
      <c r="D1312" s="56" t="s">
        <v>4448</v>
      </c>
      <c r="E1312" s="10" t="s">
        <v>71</v>
      </c>
      <c r="F1312" s="10" t="s">
        <v>4449</v>
      </c>
      <c r="G1312" s="10" t="s">
        <v>24043</v>
      </c>
      <c r="H1312" s="10" t="s">
        <v>914</v>
      </c>
      <c r="I1312" s="10" t="s">
        <v>55</v>
      </c>
      <c r="K1312" s="10" t="s">
        <v>25389</v>
      </c>
      <c r="L1312" s="10" t="s">
        <v>42</v>
      </c>
    </row>
    <row r="1313" ht="15.75" customHeight="1">
      <c r="A1313" s="66">
        <v>45462.0</v>
      </c>
      <c r="B1313" s="55" t="str">
        <f>HYPERLINK("https://jobright.ai/jobs/info/6673c2ef1adf452983f815e8?utm_campaign=1057&amp;utm_source=sheet", "Apply")</f>
        <v>Apply</v>
      </c>
      <c r="C1313" s="10" t="s">
        <v>24508</v>
      </c>
      <c r="D1313" s="56" t="s">
        <v>4448</v>
      </c>
      <c r="E1313" s="10" t="s">
        <v>71</v>
      </c>
      <c r="F1313" s="10" t="s">
        <v>4449</v>
      </c>
      <c r="G1313" s="10" t="s">
        <v>24043</v>
      </c>
      <c r="H1313" s="10" t="s">
        <v>25455</v>
      </c>
      <c r="I1313" s="10" t="s">
        <v>55</v>
      </c>
      <c r="K1313" s="10" t="s">
        <v>25392</v>
      </c>
      <c r="L1313" s="10" t="s">
        <v>42</v>
      </c>
    </row>
    <row r="1314" ht="15.75" customHeight="1">
      <c r="A1314" s="66">
        <v>45462.0</v>
      </c>
      <c r="B1314" s="55" t="str">
        <f>HYPERLINK("https://jobright.ai/jobs/info/6673c2ef1adf452983f815f7?utm_campaign=1057&amp;utm_source=sheet", "Apply")</f>
        <v>Apply</v>
      </c>
      <c r="C1314" s="10" t="s">
        <v>25437</v>
      </c>
      <c r="D1314" s="56" t="s">
        <v>4448</v>
      </c>
      <c r="E1314" s="10" t="s">
        <v>71</v>
      </c>
      <c r="F1314" s="10" t="s">
        <v>4449</v>
      </c>
      <c r="G1314" s="10" t="s">
        <v>24043</v>
      </c>
      <c r="H1314" s="10" t="s">
        <v>955</v>
      </c>
      <c r="I1314" s="10" t="s">
        <v>55</v>
      </c>
      <c r="K1314" s="10" t="s">
        <v>25389</v>
      </c>
      <c r="L1314" s="10" t="s">
        <v>42</v>
      </c>
    </row>
    <row r="1315" ht="15.75" customHeight="1">
      <c r="A1315" s="66">
        <v>45462.0</v>
      </c>
      <c r="B1315" s="55" t="str">
        <f>HYPERLINK("https://jobright.ai/jobs/info/6673c2ef1adf452983f8160b?utm_campaign=1057&amp;utm_source=sheet", "Apply")</f>
        <v>Apply</v>
      </c>
      <c r="C1315" s="10" t="s">
        <v>25437</v>
      </c>
      <c r="D1315" s="56" t="s">
        <v>4448</v>
      </c>
      <c r="E1315" s="10" t="s">
        <v>71</v>
      </c>
      <c r="F1315" s="10" t="s">
        <v>4449</v>
      </c>
      <c r="G1315" s="10" t="s">
        <v>24043</v>
      </c>
      <c r="H1315" s="10" t="s">
        <v>1062</v>
      </c>
      <c r="I1315" s="10" t="s">
        <v>55</v>
      </c>
      <c r="K1315" s="10" t="s">
        <v>25389</v>
      </c>
      <c r="L1315" s="10" t="s">
        <v>42</v>
      </c>
    </row>
    <row r="1316" ht="15.75" customHeight="1">
      <c r="A1316" s="66">
        <v>45462.0</v>
      </c>
      <c r="B1316" s="55" t="str">
        <f>HYPERLINK("https://jobright.ai/jobs/info/6673c2ef1adf452983f81644?utm_campaign=1057&amp;utm_source=sheet", "Apply")</f>
        <v>Apply</v>
      </c>
      <c r="C1316" s="10" t="s">
        <v>25437</v>
      </c>
      <c r="D1316" s="56" t="s">
        <v>4448</v>
      </c>
      <c r="E1316" s="10" t="s">
        <v>71</v>
      </c>
      <c r="F1316" s="10" t="s">
        <v>4449</v>
      </c>
      <c r="G1316" s="10" t="s">
        <v>24043</v>
      </c>
      <c r="H1316" s="10" t="s">
        <v>25460</v>
      </c>
      <c r="I1316" s="10" t="s">
        <v>55</v>
      </c>
      <c r="K1316" s="10" t="s">
        <v>25389</v>
      </c>
      <c r="L1316" s="10" t="s">
        <v>42</v>
      </c>
    </row>
    <row r="1317" ht="15.75" customHeight="1">
      <c r="A1317" s="66">
        <v>45462.0</v>
      </c>
      <c r="B1317" s="55" t="str">
        <f>HYPERLINK("https://jobright.ai/jobs/info/6673c2ef1adf452983f8165b?utm_campaign=1057&amp;utm_source=sheet", "Apply")</f>
        <v>Apply</v>
      </c>
      <c r="C1317" s="10" t="s">
        <v>25437</v>
      </c>
      <c r="D1317" s="56" t="s">
        <v>4448</v>
      </c>
      <c r="E1317" s="10" t="s">
        <v>71</v>
      </c>
      <c r="F1317" s="10" t="s">
        <v>4449</v>
      </c>
      <c r="G1317" s="10" t="s">
        <v>24043</v>
      </c>
      <c r="H1317" s="10" t="s">
        <v>688</v>
      </c>
      <c r="I1317" s="10" t="s">
        <v>55</v>
      </c>
      <c r="K1317" s="10" t="s">
        <v>25389</v>
      </c>
      <c r="L1317" s="10" t="s">
        <v>42</v>
      </c>
    </row>
    <row r="1318" ht="15.75" customHeight="1">
      <c r="A1318" s="66">
        <v>45462.0</v>
      </c>
      <c r="B1318" s="55" t="str">
        <f>HYPERLINK("https://jobright.ai/jobs/info/6673c2ef1adf452983f8166b?utm_campaign=1057&amp;utm_source=sheet", "Apply")</f>
        <v>Apply</v>
      </c>
      <c r="C1318" s="10" t="s">
        <v>24508</v>
      </c>
      <c r="D1318" s="56" t="s">
        <v>4448</v>
      </c>
      <c r="E1318" s="10" t="s">
        <v>71</v>
      </c>
      <c r="F1318" s="10" t="s">
        <v>4449</v>
      </c>
      <c r="G1318" s="10" t="s">
        <v>24043</v>
      </c>
      <c r="H1318" s="10" t="s">
        <v>25445</v>
      </c>
      <c r="I1318" s="10" t="s">
        <v>55</v>
      </c>
      <c r="K1318" s="10" t="s">
        <v>25392</v>
      </c>
      <c r="L1318" s="10" t="s">
        <v>42</v>
      </c>
    </row>
    <row r="1319" ht="15.75" customHeight="1">
      <c r="A1319" s="66">
        <v>45462.0</v>
      </c>
      <c r="B1319" s="55" t="str">
        <f>HYPERLINK("https://jobright.ai/jobs/info/6673c2f51adf452983f81757?utm_campaign=1057&amp;utm_source=sheet", "Apply")</f>
        <v>Apply</v>
      </c>
      <c r="C1319" s="10" t="s">
        <v>25437</v>
      </c>
      <c r="D1319" s="56" t="s">
        <v>4448</v>
      </c>
      <c r="E1319" s="10" t="s">
        <v>71</v>
      </c>
      <c r="F1319" s="10" t="s">
        <v>4449</v>
      </c>
      <c r="G1319" s="10" t="s">
        <v>24043</v>
      </c>
      <c r="H1319" s="10" t="s">
        <v>25452</v>
      </c>
      <c r="I1319" s="10" t="s">
        <v>55</v>
      </c>
      <c r="K1319" s="10" t="s">
        <v>25389</v>
      </c>
      <c r="L1319" s="10" t="s">
        <v>42</v>
      </c>
    </row>
    <row r="1320" ht="15.75" customHeight="1">
      <c r="A1320" s="66">
        <v>45462.0</v>
      </c>
      <c r="B1320" s="55" t="str">
        <f>HYPERLINK("https://jobright.ai/jobs/info/6673c2fa1adf452983f817aa?utm_campaign=1057&amp;utm_source=sheet", "Apply")</f>
        <v>Apply</v>
      </c>
      <c r="C1320" s="10" t="s">
        <v>24508</v>
      </c>
      <c r="D1320" s="56" t="s">
        <v>4448</v>
      </c>
      <c r="E1320" s="10" t="s">
        <v>71</v>
      </c>
      <c r="F1320" s="10" t="s">
        <v>4449</v>
      </c>
      <c r="G1320" s="10" t="s">
        <v>24043</v>
      </c>
      <c r="H1320" s="10" t="s">
        <v>25451</v>
      </c>
      <c r="I1320" s="10" t="s">
        <v>55</v>
      </c>
      <c r="K1320" s="10" t="s">
        <v>25392</v>
      </c>
      <c r="L1320" s="10" t="s">
        <v>42</v>
      </c>
    </row>
    <row r="1321" ht="15.75" customHeight="1">
      <c r="A1321" s="66">
        <v>45462.0</v>
      </c>
      <c r="B1321" s="55" t="str">
        <f>HYPERLINK("https://jobright.ai/jobs/info/6673c2fa1adf452983f817d6?utm_campaign=1057&amp;utm_source=sheet", "Apply")</f>
        <v>Apply</v>
      </c>
      <c r="C1321" s="10" t="s">
        <v>25437</v>
      </c>
      <c r="D1321" s="56" t="s">
        <v>4448</v>
      </c>
      <c r="E1321" s="10" t="s">
        <v>71</v>
      </c>
      <c r="F1321" s="10" t="s">
        <v>4449</v>
      </c>
      <c r="G1321" s="10" t="s">
        <v>24043</v>
      </c>
      <c r="H1321" s="10" t="s">
        <v>25451</v>
      </c>
      <c r="I1321" s="10" t="s">
        <v>55</v>
      </c>
      <c r="K1321" s="10" t="s">
        <v>25389</v>
      </c>
      <c r="L1321" s="10" t="s">
        <v>42</v>
      </c>
    </row>
    <row r="1322" ht="15.75" customHeight="1">
      <c r="A1322" s="66">
        <v>45462.0</v>
      </c>
      <c r="B1322" s="55" t="str">
        <f>HYPERLINK("https://jobright.ai/jobs/info/6673c2fa1adf452983f8181d?utm_campaign=1057&amp;utm_source=sheet", "Apply")</f>
        <v>Apply</v>
      </c>
      <c r="C1322" s="10" t="s">
        <v>24508</v>
      </c>
      <c r="D1322" s="56" t="s">
        <v>4448</v>
      </c>
      <c r="E1322" s="10" t="s">
        <v>71</v>
      </c>
      <c r="F1322" s="10" t="s">
        <v>4449</v>
      </c>
      <c r="G1322" s="10" t="s">
        <v>24043</v>
      </c>
      <c r="H1322" s="10" t="s">
        <v>25438</v>
      </c>
      <c r="I1322" s="10" t="s">
        <v>55</v>
      </c>
      <c r="K1322" s="10" t="s">
        <v>25392</v>
      </c>
      <c r="L1322" s="10" t="s">
        <v>42</v>
      </c>
    </row>
    <row r="1323" ht="15.75" customHeight="1">
      <c r="A1323" s="66">
        <v>45462.0</v>
      </c>
      <c r="B1323" s="55" t="str">
        <f>HYPERLINK("https://jobright.ai/jobs/info/6673c2fa1adf452983f8182a?utm_campaign=1057&amp;utm_source=sheet", "Apply")</f>
        <v>Apply</v>
      </c>
      <c r="C1323" s="10" t="s">
        <v>25437</v>
      </c>
      <c r="D1323" s="56" t="s">
        <v>4448</v>
      </c>
      <c r="E1323" s="10" t="s">
        <v>71</v>
      </c>
      <c r="F1323" s="10" t="s">
        <v>4449</v>
      </c>
      <c r="G1323" s="10" t="s">
        <v>24043</v>
      </c>
      <c r="H1323" s="10" t="s">
        <v>25396</v>
      </c>
      <c r="I1323" s="10" t="s">
        <v>55</v>
      </c>
      <c r="K1323" s="10" t="s">
        <v>25389</v>
      </c>
      <c r="L1323" s="10" t="s">
        <v>42</v>
      </c>
    </row>
    <row r="1324" ht="15.75" customHeight="1">
      <c r="A1324" s="66">
        <v>45462.0</v>
      </c>
      <c r="B1324" s="55" t="str">
        <f>HYPERLINK("https://jobright.ai/jobs/info/6673c2ff1adf452983f818a2?utm_campaign=1057&amp;utm_source=sheet", "Apply")</f>
        <v>Apply</v>
      </c>
      <c r="C1324" s="10" t="s">
        <v>24508</v>
      </c>
      <c r="D1324" s="56" t="s">
        <v>4448</v>
      </c>
      <c r="E1324" s="10" t="s">
        <v>71</v>
      </c>
      <c r="F1324" s="10" t="s">
        <v>4449</v>
      </c>
      <c r="G1324" s="10" t="s">
        <v>24043</v>
      </c>
      <c r="H1324" s="10" t="s">
        <v>25441</v>
      </c>
      <c r="I1324" s="10" t="s">
        <v>55</v>
      </c>
      <c r="K1324" s="10" t="s">
        <v>25392</v>
      </c>
      <c r="L1324" s="10" t="s">
        <v>42</v>
      </c>
    </row>
    <row r="1325" ht="15.75" customHeight="1">
      <c r="A1325" s="66">
        <v>45462.0</v>
      </c>
      <c r="B1325" s="55" t="str">
        <f>HYPERLINK("https://jobright.ai/jobs/info/6673c2ff1adf452983f8188e?utm_campaign=1057&amp;utm_source=sheet", "Apply")</f>
        <v>Apply</v>
      </c>
      <c r="C1325" s="10" t="s">
        <v>25437</v>
      </c>
      <c r="D1325" s="56" t="s">
        <v>4448</v>
      </c>
      <c r="E1325" s="10" t="s">
        <v>71</v>
      </c>
      <c r="F1325" s="10" t="s">
        <v>4449</v>
      </c>
      <c r="G1325" s="10" t="s">
        <v>24043</v>
      </c>
      <c r="H1325" s="10" t="s">
        <v>25449</v>
      </c>
      <c r="I1325" s="10" t="s">
        <v>55</v>
      </c>
      <c r="K1325" s="10" t="s">
        <v>25389</v>
      </c>
      <c r="L1325" s="10" t="s">
        <v>42</v>
      </c>
    </row>
    <row r="1326" ht="15.75" customHeight="1">
      <c r="A1326" s="66">
        <v>45462.0</v>
      </c>
      <c r="B1326" s="55" t="str">
        <f>HYPERLINK("https://jobright.ai/jobs/info/6673c3041adf452983f81951?utm_campaign=1057&amp;utm_source=sheet", "Apply")</f>
        <v>Apply</v>
      </c>
      <c r="C1326" s="10" t="s">
        <v>25437</v>
      </c>
      <c r="D1326" s="56" t="s">
        <v>4448</v>
      </c>
      <c r="E1326" s="10" t="s">
        <v>71</v>
      </c>
      <c r="F1326" s="10" t="s">
        <v>4449</v>
      </c>
      <c r="G1326" s="10" t="s">
        <v>24043</v>
      </c>
      <c r="H1326" s="10" t="s">
        <v>15590</v>
      </c>
      <c r="I1326" s="10" t="s">
        <v>55</v>
      </c>
      <c r="K1326" s="10" t="s">
        <v>25389</v>
      </c>
      <c r="L1326" s="10" t="s">
        <v>42</v>
      </c>
    </row>
    <row r="1327" ht="15.75" customHeight="1">
      <c r="A1327" s="66">
        <v>45462.0</v>
      </c>
      <c r="B1327" s="55" t="str">
        <f>HYPERLINK("https://jobright.ai/jobs/info/6673c3041adf452983f8195b?utm_campaign=1057&amp;utm_source=sheet", "Apply")</f>
        <v>Apply</v>
      </c>
      <c r="C1327" s="10" t="s">
        <v>25437</v>
      </c>
      <c r="D1327" s="56" t="s">
        <v>4448</v>
      </c>
      <c r="E1327" s="10" t="s">
        <v>71</v>
      </c>
      <c r="F1327" s="10" t="s">
        <v>4449</v>
      </c>
      <c r="G1327" s="10" t="s">
        <v>24043</v>
      </c>
      <c r="H1327" s="10" t="s">
        <v>25391</v>
      </c>
      <c r="I1327" s="10" t="s">
        <v>55</v>
      </c>
      <c r="K1327" s="10" t="s">
        <v>25389</v>
      </c>
      <c r="L1327" s="10" t="s">
        <v>42</v>
      </c>
    </row>
    <row r="1328" ht="15.75" customHeight="1">
      <c r="A1328" s="66">
        <v>45462.0</v>
      </c>
      <c r="B1328" s="55" t="str">
        <f>HYPERLINK("https://jobright.ai/jobs/info/6673c3041adf452983f819b2?utm_campaign=1057&amp;utm_source=sheet", "Apply")</f>
        <v>Apply</v>
      </c>
      <c r="C1328" s="10" t="s">
        <v>24508</v>
      </c>
      <c r="D1328" s="56" t="s">
        <v>4448</v>
      </c>
      <c r="E1328" s="10" t="s">
        <v>71</v>
      </c>
      <c r="F1328" s="10" t="s">
        <v>4449</v>
      </c>
      <c r="G1328" s="10" t="s">
        <v>24043</v>
      </c>
      <c r="H1328" s="10" t="s">
        <v>25460</v>
      </c>
      <c r="I1328" s="10" t="s">
        <v>55</v>
      </c>
      <c r="K1328" s="10" t="s">
        <v>25392</v>
      </c>
      <c r="L1328" s="10" t="s">
        <v>42</v>
      </c>
    </row>
    <row r="1329" ht="15.75" customHeight="1">
      <c r="A1329" s="66">
        <v>45462.0</v>
      </c>
      <c r="B1329" s="55" t="str">
        <f>HYPERLINK("https://jobright.ai/jobs/info/6673c3041adf452983f819b8?utm_campaign=1057&amp;utm_source=sheet", "Apply")</f>
        <v>Apply</v>
      </c>
      <c r="C1329" s="10" t="s">
        <v>24508</v>
      </c>
      <c r="D1329" s="56" t="s">
        <v>4448</v>
      </c>
      <c r="E1329" s="10" t="s">
        <v>71</v>
      </c>
      <c r="F1329" s="10" t="s">
        <v>4449</v>
      </c>
      <c r="G1329" s="10" t="s">
        <v>24043</v>
      </c>
      <c r="H1329" s="10" t="s">
        <v>955</v>
      </c>
      <c r="I1329" s="10" t="s">
        <v>55</v>
      </c>
      <c r="K1329" s="10" t="s">
        <v>25392</v>
      </c>
      <c r="L1329" s="10" t="s">
        <v>42</v>
      </c>
    </row>
    <row r="1330" ht="15.75" customHeight="1">
      <c r="A1330" s="66">
        <v>45462.0</v>
      </c>
      <c r="B1330" s="55" t="str">
        <f>HYPERLINK("https://jobright.ai/jobs/info/6673c30a1adf452983f81a36?utm_campaign=1057&amp;utm_source=sheet", "Apply")</f>
        <v>Apply</v>
      </c>
      <c r="C1330" s="10" t="s">
        <v>24508</v>
      </c>
      <c r="D1330" s="56" t="s">
        <v>4448</v>
      </c>
      <c r="E1330" s="10" t="s">
        <v>71</v>
      </c>
      <c r="F1330" s="10" t="s">
        <v>4449</v>
      </c>
      <c r="G1330" s="10" t="s">
        <v>24043</v>
      </c>
      <c r="H1330" s="10" t="s">
        <v>15590</v>
      </c>
      <c r="I1330" s="10" t="s">
        <v>55</v>
      </c>
      <c r="K1330" s="10" t="s">
        <v>25392</v>
      </c>
      <c r="L1330" s="10" t="s">
        <v>42</v>
      </c>
    </row>
    <row r="1331" ht="15.75" customHeight="1">
      <c r="A1331" s="66">
        <v>45462.0</v>
      </c>
      <c r="B1331" s="55" t="str">
        <f>HYPERLINK("https://jobright.ai/jobs/info/6675ce61fde6a7756c636209?utm_campaign=1057&amp;utm_source=sheet", "Apply")</f>
        <v>Apply</v>
      </c>
      <c r="C1331" s="10" t="s">
        <v>25461</v>
      </c>
      <c r="D1331" s="56" t="s">
        <v>4448</v>
      </c>
      <c r="E1331" s="10" t="s">
        <v>71</v>
      </c>
      <c r="F1331" s="10" t="s">
        <v>4449</v>
      </c>
      <c r="G1331" s="10" t="s">
        <v>24043</v>
      </c>
      <c r="H1331" s="10" t="s">
        <v>970</v>
      </c>
      <c r="I1331" s="10" t="s">
        <v>55</v>
      </c>
      <c r="K1331" s="10" t="s">
        <v>4450</v>
      </c>
      <c r="L1331" s="10" t="s">
        <v>42</v>
      </c>
    </row>
    <row r="1332" ht="15.75" customHeight="1">
      <c r="A1332" s="66">
        <v>45462.0</v>
      </c>
      <c r="B1332" s="55" t="str">
        <f>HYPERLINK("https://jobright.ai/jobs/info/6673c7d3d561bade6f1a674b?utm_campaign=1057&amp;utm_source=sheet", "Apply")</f>
        <v>Apply</v>
      </c>
      <c r="C1332" s="10" t="s">
        <v>24421</v>
      </c>
      <c r="D1332" s="56" t="s">
        <v>4448</v>
      </c>
      <c r="E1332" s="10" t="s">
        <v>71</v>
      </c>
      <c r="F1332" s="10" t="s">
        <v>4449</v>
      </c>
      <c r="G1332" s="10" t="s">
        <v>24043</v>
      </c>
      <c r="H1332" s="10" t="s">
        <v>955</v>
      </c>
      <c r="I1332" s="10" t="s">
        <v>55</v>
      </c>
      <c r="K1332" s="10" t="s">
        <v>25389</v>
      </c>
      <c r="L1332" s="10" t="s">
        <v>42</v>
      </c>
    </row>
    <row r="1333" ht="15.75" customHeight="1">
      <c r="A1333" s="66">
        <v>45462.0</v>
      </c>
      <c r="B1333" s="55" t="str">
        <f>HYPERLINK("https://jobright.ai/jobs/info/6673c7d3d561bade6f1a6765?utm_campaign=1057&amp;utm_source=sheet", "Apply")</f>
        <v>Apply</v>
      </c>
      <c r="C1333" s="10" t="s">
        <v>25462</v>
      </c>
      <c r="D1333" s="56" t="s">
        <v>4448</v>
      </c>
      <c r="E1333" s="10" t="s">
        <v>71</v>
      </c>
      <c r="F1333" s="10" t="s">
        <v>4449</v>
      </c>
      <c r="G1333" s="10" t="s">
        <v>24043</v>
      </c>
      <c r="H1333" s="10" t="s">
        <v>24237</v>
      </c>
      <c r="I1333" s="10" t="s">
        <v>55</v>
      </c>
      <c r="K1333" s="10" t="s">
        <v>25392</v>
      </c>
      <c r="L1333" s="10" t="s">
        <v>42</v>
      </c>
    </row>
    <row r="1334" ht="15.75" customHeight="1">
      <c r="A1334" s="66">
        <v>45462.0</v>
      </c>
      <c r="B1334" s="55" t="str">
        <f>HYPERLINK("https://jobright.ai/jobs/info/6673c7d3d561bade6f1a6783?utm_campaign=1057&amp;utm_source=sheet", "Apply")</f>
        <v>Apply</v>
      </c>
      <c r="C1334" s="10" t="s">
        <v>24494</v>
      </c>
      <c r="D1334" s="56" t="s">
        <v>4448</v>
      </c>
      <c r="E1334" s="10" t="s">
        <v>71</v>
      </c>
      <c r="F1334" s="10" t="s">
        <v>4449</v>
      </c>
      <c r="G1334" s="10" t="s">
        <v>24043</v>
      </c>
      <c r="H1334" s="10" t="s">
        <v>24237</v>
      </c>
      <c r="I1334" s="10" t="s">
        <v>55</v>
      </c>
      <c r="K1334" s="10" t="s">
        <v>25389</v>
      </c>
      <c r="L1334" s="10" t="s">
        <v>42</v>
      </c>
    </row>
    <row r="1335" ht="15.75" customHeight="1">
      <c r="A1335" s="66">
        <v>45462.0</v>
      </c>
      <c r="B1335" s="55" t="str">
        <f>HYPERLINK("https://jobright.ai/jobs/info/6673c7d3d561bade6f1a6798?utm_campaign=1057&amp;utm_source=sheet", "Apply")</f>
        <v>Apply</v>
      </c>
      <c r="C1335" s="10" t="s">
        <v>25462</v>
      </c>
      <c r="D1335" s="56" t="s">
        <v>4448</v>
      </c>
      <c r="E1335" s="10" t="s">
        <v>71</v>
      </c>
      <c r="F1335" s="10" t="s">
        <v>4449</v>
      </c>
      <c r="G1335" s="10" t="s">
        <v>24043</v>
      </c>
      <c r="H1335" s="10" t="s">
        <v>914</v>
      </c>
      <c r="I1335" s="10" t="s">
        <v>55</v>
      </c>
      <c r="K1335" s="10" t="s">
        <v>25392</v>
      </c>
      <c r="L1335" s="10" t="s">
        <v>42</v>
      </c>
    </row>
    <row r="1336" ht="15.75" customHeight="1">
      <c r="A1336" s="66">
        <v>45462.0</v>
      </c>
      <c r="B1336" s="55" t="str">
        <f>HYPERLINK("https://jobright.ai/jobs/info/6673c7d3d561bade6f1a67b8?utm_campaign=1057&amp;utm_source=sheet", "Apply")</f>
        <v>Apply</v>
      </c>
      <c r="C1336" s="10" t="s">
        <v>25462</v>
      </c>
      <c r="D1336" s="56" t="s">
        <v>4448</v>
      </c>
      <c r="E1336" s="10" t="s">
        <v>71</v>
      </c>
      <c r="F1336" s="10" t="s">
        <v>4449</v>
      </c>
      <c r="G1336" s="10" t="s">
        <v>24043</v>
      </c>
      <c r="H1336" s="10" t="s">
        <v>25459</v>
      </c>
      <c r="I1336" s="10" t="s">
        <v>55</v>
      </c>
      <c r="K1336" s="10" t="s">
        <v>25392</v>
      </c>
      <c r="L1336" s="10" t="s">
        <v>42</v>
      </c>
    </row>
    <row r="1337" ht="15.75" customHeight="1">
      <c r="A1337" s="66">
        <v>45462.0</v>
      </c>
      <c r="B1337" s="55" t="str">
        <f>HYPERLINK("https://jobright.ai/jobs/info/6673c7d3d561bade6f1a67c1?utm_campaign=1057&amp;utm_source=sheet", "Apply")</f>
        <v>Apply</v>
      </c>
      <c r="C1337" s="10" t="s">
        <v>24494</v>
      </c>
      <c r="D1337" s="56" t="s">
        <v>4448</v>
      </c>
      <c r="E1337" s="10" t="s">
        <v>71</v>
      </c>
      <c r="F1337" s="10" t="s">
        <v>4449</v>
      </c>
      <c r="G1337" s="10" t="s">
        <v>24043</v>
      </c>
      <c r="H1337" s="10" t="s">
        <v>25438</v>
      </c>
      <c r="I1337" s="10" t="s">
        <v>55</v>
      </c>
      <c r="K1337" s="10" t="s">
        <v>25389</v>
      </c>
      <c r="L1337" s="10" t="s">
        <v>42</v>
      </c>
    </row>
    <row r="1338" ht="15.75" customHeight="1">
      <c r="A1338" s="66">
        <v>45462.0</v>
      </c>
      <c r="B1338" s="55" t="str">
        <f>HYPERLINK("https://jobright.ai/jobs/info/6673c7d3d561bade6f1a67cc?utm_campaign=1057&amp;utm_source=sheet", "Apply")</f>
        <v>Apply</v>
      </c>
      <c r="C1338" s="10" t="s">
        <v>24494</v>
      </c>
      <c r="D1338" s="56" t="s">
        <v>4448</v>
      </c>
      <c r="E1338" s="10" t="s">
        <v>71</v>
      </c>
      <c r="F1338" s="10" t="s">
        <v>4449</v>
      </c>
      <c r="G1338" s="10" t="s">
        <v>24043</v>
      </c>
      <c r="H1338" s="10" t="s">
        <v>25451</v>
      </c>
      <c r="I1338" s="10" t="s">
        <v>55</v>
      </c>
      <c r="K1338" s="10" t="s">
        <v>25389</v>
      </c>
      <c r="L1338" s="10" t="s">
        <v>42</v>
      </c>
    </row>
    <row r="1339" ht="15.75" customHeight="1">
      <c r="A1339" s="66">
        <v>45462.0</v>
      </c>
      <c r="B1339" s="55" t="str">
        <f>HYPERLINK("https://jobright.ai/jobs/info/6673c7d3d561bade6f1a67d0?utm_campaign=1057&amp;utm_source=sheet", "Apply")</f>
        <v>Apply</v>
      </c>
      <c r="C1339" s="10" t="s">
        <v>25462</v>
      </c>
      <c r="D1339" s="56" t="s">
        <v>4448</v>
      </c>
      <c r="E1339" s="10" t="s">
        <v>71</v>
      </c>
      <c r="F1339" s="10" t="s">
        <v>4449</v>
      </c>
      <c r="G1339" s="10" t="s">
        <v>24043</v>
      </c>
      <c r="H1339" s="10" t="s">
        <v>25454</v>
      </c>
      <c r="I1339" s="10" t="s">
        <v>55</v>
      </c>
      <c r="K1339" s="10" t="s">
        <v>25392</v>
      </c>
      <c r="L1339" s="10" t="s">
        <v>42</v>
      </c>
    </row>
    <row r="1340" ht="15.75" customHeight="1">
      <c r="A1340" s="66">
        <v>45462.0</v>
      </c>
      <c r="B1340" s="55" t="str">
        <f>HYPERLINK("https://jobright.ai/jobs/info/6673c7ccd561bade6f1a66dd?utm_campaign=1057&amp;utm_source=sheet", "Apply")</f>
        <v>Apply</v>
      </c>
      <c r="C1340" s="10" t="s">
        <v>25463</v>
      </c>
      <c r="D1340" s="56" t="s">
        <v>4448</v>
      </c>
      <c r="E1340" s="10" t="s">
        <v>71</v>
      </c>
      <c r="F1340" s="10" t="s">
        <v>4449</v>
      </c>
      <c r="G1340" s="10" t="s">
        <v>24043</v>
      </c>
      <c r="H1340" s="10" t="s">
        <v>24237</v>
      </c>
      <c r="I1340" s="10" t="s">
        <v>55</v>
      </c>
      <c r="K1340" s="10" t="s">
        <v>25392</v>
      </c>
      <c r="L1340" s="10" t="s">
        <v>42</v>
      </c>
    </row>
    <row r="1341" ht="15.75" customHeight="1">
      <c r="A1341" s="66">
        <v>45462.0</v>
      </c>
      <c r="B1341" s="55" t="str">
        <f>HYPERLINK("https://jobright.ai/jobs/info/6673c7dad561bade6f1a67e3?utm_campaign=1057&amp;utm_source=sheet", "Apply")</f>
        <v>Apply</v>
      </c>
      <c r="C1341" s="10" t="s">
        <v>25464</v>
      </c>
      <c r="D1341" s="56" t="s">
        <v>4448</v>
      </c>
      <c r="E1341" s="10" t="s">
        <v>71</v>
      </c>
      <c r="F1341" s="10" t="s">
        <v>4449</v>
      </c>
      <c r="G1341" s="10" t="s">
        <v>24043</v>
      </c>
      <c r="H1341" s="10" t="s">
        <v>25459</v>
      </c>
      <c r="I1341" s="10" t="s">
        <v>55</v>
      </c>
      <c r="K1341" s="10" t="s">
        <v>25389</v>
      </c>
      <c r="L1341" s="10" t="s">
        <v>42</v>
      </c>
    </row>
    <row r="1342" ht="15.75" customHeight="1">
      <c r="A1342" s="66">
        <v>45462.0</v>
      </c>
      <c r="B1342" s="55" t="str">
        <f>HYPERLINK("https://jobright.ai/jobs/info/6673c7ccd561bade6f1a666b?utm_campaign=1057&amp;utm_source=sheet", "Apply")</f>
        <v>Apply</v>
      </c>
      <c r="C1342" s="10" t="s">
        <v>25465</v>
      </c>
      <c r="D1342" s="56" t="s">
        <v>4448</v>
      </c>
      <c r="E1342" s="10" t="s">
        <v>71</v>
      </c>
      <c r="F1342" s="10" t="s">
        <v>4449</v>
      </c>
      <c r="G1342" s="10" t="s">
        <v>24043</v>
      </c>
      <c r="H1342" s="10" t="s">
        <v>24237</v>
      </c>
      <c r="I1342" s="10" t="s">
        <v>55</v>
      </c>
      <c r="K1342" s="10" t="s">
        <v>25392</v>
      </c>
      <c r="L1342" s="10" t="s">
        <v>42</v>
      </c>
    </row>
    <row r="1343" ht="15.75" customHeight="1">
      <c r="A1343" s="66">
        <v>45462.0</v>
      </c>
      <c r="B1343" s="55" t="str">
        <f>HYPERLINK("https://jobright.ai/jobs/info/6673c7dad561bade6f1a67e0?utm_campaign=1057&amp;utm_source=sheet", "Apply")</f>
        <v>Apply</v>
      </c>
      <c r="C1343" s="10" t="s">
        <v>25464</v>
      </c>
      <c r="D1343" s="56" t="s">
        <v>4448</v>
      </c>
      <c r="E1343" s="10" t="s">
        <v>71</v>
      </c>
      <c r="F1343" s="10" t="s">
        <v>4449</v>
      </c>
      <c r="G1343" s="10" t="s">
        <v>24043</v>
      </c>
      <c r="H1343" s="10" t="s">
        <v>24237</v>
      </c>
      <c r="I1343" s="10" t="s">
        <v>55</v>
      </c>
      <c r="K1343" s="10" t="s">
        <v>25389</v>
      </c>
      <c r="L1343" s="10" t="s">
        <v>42</v>
      </c>
    </row>
    <row r="1344" ht="15.75" customHeight="1">
      <c r="A1344" s="66">
        <v>45462.0</v>
      </c>
      <c r="B1344" s="55" t="str">
        <f>HYPERLINK("https://jobright.ai/jobs/info/6673c7dad561bade6f1a67e9?utm_campaign=1057&amp;utm_source=sheet", "Apply")</f>
        <v>Apply</v>
      </c>
      <c r="C1344" s="10" t="s">
        <v>25466</v>
      </c>
      <c r="D1344" s="56" t="s">
        <v>4448</v>
      </c>
      <c r="E1344" s="10" t="s">
        <v>71</v>
      </c>
      <c r="F1344" s="10" t="s">
        <v>4449</v>
      </c>
      <c r="G1344" s="10" t="s">
        <v>24043</v>
      </c>
      <c r="H1344" s="10" t="s">
        <v>25441</v>
      </c>
      <c r="I1344" s="10" t="s">
        <v>55</v>
      </c>
      <c r="K1344" s="10" t="s">
        <v>25389</v>
      </c>
      <c r="L1344" s="10" t="s">
        <v>42</v>
      </c>
    </row>
    <row r="1345" ht="15.75" customHeight="1">
      <c r="A1345" s="66">
        <v>45462.0</v>
      </c>
      <c r="B1345" s="55" t="str">
        <f>HYPERLINK("https://jobright.ai/jobs/info/6673c7dad561bade6f1a67f0?utm_campaign=1057&amp;utm_source=sheet", "Apply")</f>
        <v>Apply</v>
      </c>
      <c r="C1345" s="10" t="s">
        <v>25466</v>
      </c>
      <c r="D1345" s="56" t="s">
        <v>4448</v>
      </c>
      <c r="E1345" s="10" t="s">
        <v>71</v>
      </c>
      <c r="F1345" s="10" t="s">
        <v>4449</v>
      </c>
      <c r="G1345" s="10" t="s">
        <v>24043</v>
      </c>
      <c r="H1345" s="10" t="s">
        <v>15590</v>
      </c>
      <c r="I1345" s="10" t="s">
        <v>55</v>
      </c>
      <c r="K1345" s="10" t="s">
        <v>25389</v>
      </c>
      <c r="L1345" s="10" t="s">
        <v>42</v>
      </c>
    </row>
    <row r="1346" ht="15.75" customHeight="1">
      <c r="A1346" s="66">
        <v>45462.0</v>
      </c>
      <c r="B1346" s="55" t="str">
        <f>HYPERLINK("https://jobright.ai/jobs/info/6673c2af1adf452983f80db2?utm_campaign=1057&amp;utm_source=sheet", "Apply")</f>
        <v>Apply</v>
      </c>
      <c r="C1346" s="10" t="s">
        <v>25467</v>
      </c>
      <c r="D1346" s="56" t="s">
        <v>4448</v>
      </c>
      <c r="E1346" s="10" t="s">
        <v>71</v>
      </c>
      <c r="F1346" s="10" t="s">
        <v>4449</v>
      </c>
      <c r="G1346" s="10" t="s">
        <v>24043</v>
      </c>
      <c r="H1346" s="10" t="s">
        <v>24237</v>
      </c>
      <c r="I1346" s="10" t="s">
        <v>55</v>
      </c>
      <c r="K1346" s="10" t="s">
        <v>25392</v>
      </c>
      <c r="L1346" s="10" t="s">
        <v>42</v>
      </c>
    </row>
    <row r="1347" ht="15.75" customHeight="1">
      <c r="A1347" s="66">
        <v>45462.0</v>
      </c>
      <c r="B1347" s="55" t="str">
        <f>HYPERLINK("https://jobright.ai/jobs/info/6673c31f1adf452983f81d23?utm_campaign=1057&amp;utm_source=sheet", "Apply")</f>
        <v>Apply</v>
      </c>
      <c r="C1347" s="10" t="s">
        <v>25464</v>
      </c>
      <c r="D1347" s="56" t="s">
        <v>4448</v>
      </c>
      <c r="E1347" s="10" t="s">
        <v>71</v>
      </c>
      <c r="F1347" s="10" t="s">
        <v>4449</v>
      </c>
      <c r="G1347" s="10" t="s">
        <v>24043</v>
      </c>
      <c r="H1347" s="10" t="s">
        <v>25454</v>
      </c>
      <c r="I1347" s="10" t="s">
        <v>55</v>
      </c>
      <c r="K1347" s="10" t="s">
        <v>25389</v>
      </c>
      <c r="L1347" s="10" t="s">
        <v>42</v>
      </c>
    </row>
    <row r="1348" ht="15.75" customHeight="1">
      <c r="A1348" s="66">
        <v>45462.0</v>
      </c>
      <c r="B1348" s="55" t="str">
        <f>HYPERLINK("https://jobright.ai/jobs/info/6673c31f1adf452983f81d2e?utm_campaign=1057&amp;utm_source=sheet", "Apply")</f>
        <v>Apply</v>
      </c>
      <c r="C1348" s="10" t="s">
        <v>25462</v>
      </c>
      <c r="D1348" s="56" t="s">
        <v>4448</v>
      </c>
      <c r="E1348" s="10" t="s">
        <v>71</v>
      </c>
      <c r="F1348" s="10" t="s">
        <v>4449</v>
      </c>
      <c r="G1348" s="10" t="s">
        <v>24043</v>
      </c>
      <c r="H1348" s="10" t="s">
        <v>25439</v>
      </c>
      <c r="I1348" s="10" t="s">
        <v>55</v>
      </c>
      <c r="K1348" s="10" t="s">
        <v>25392</v>
      </c>
      <c r="L1348" s="10" t="s">
        <v>42</v>
      </c>
    </row>
    <row r="1349" ht="15.75" customHeight="1">
      <c r="A1349" s="66">
        <v>45462.0</v>
      </c>
      <c r="B1349" s="55" t="str">
        <f>HYPERLINK("https://jobright.ai/jobs/info/6673c31f1adf452983f81d62?utm_campaign=1057&amp;utm_source=sheet", "Apply")</f>
        <v>Apply</v>
      </c>
      <c r="C1349" s="10" t="s">
        <v>25464</v>
      </c>
      <c r="D1349" s="56" t="s">
        <v>4448</v>
      </c>
      <c r="E1349" s="10" t="s">
        <v>71</v>
      </c>
      <c r="F1349" s="10" t="s">
        <v>4449</v>
      </c>
      <c r="G1349" s="10" t="s">
        <v>24043</v>
      </c>
      <c r="H1349" s="10" t="s">
        <v>25391</v>
      </c>
      <c r="I1349" s="10" t="s">
        <v>55</v>
      </c>
      <c r="K1349" s="10" t="s">
        <v>25389</v>
      </c>
      <c r="L1349" s="10" t="s">
        <v>42</v>
      </c>
    </row>
    <row r="1350" ht="15.75" customHeight="1">
      <c r="A1350" s="66">
        <v>45462.0</v>
      </c>
      <c r="B1350" s="55" t="str">
        <f>HYPERLINK("https://jobright.ai/jobs/info/6673c31f1adf452983f81d64?utm_campaign=1057&amp;utm_source=sheet", "Apply")</f>
        <v>Apply</v>
      </c>
      <c r="C1350" s="10" t="s">
        <v>25468</v>
      </c>
      <c r="D1350" s="56" t="s">
        <v>4448</v>
      </c>
      <c r="E1350" s="10" t="s">
        <v>71</v>
      </c>
      <c r="F1350" s="10" t="s">
        <v>4449</v>
      </c>
      <c r="G1350" s="10" t="s">
        <v>24043</v>
      </c>
      <c r="H1350" s="10" t="s">
        <v>25442</v>
      </c>
      <c r="I1350" s="10" t="s">
        <v>55</v>
      </c>
      <c r="K1350" s="10" t="s">
        <v>25392</v>
      </c>
      <c r="L1350" s="10" t="s">
        <v>42</v>
      </c>
    </row>
    <row r="1351" ht="15.75" customHeight="1">
      <c r="A1351" s="66">
        <v>45462.0</v>
      </c>
      <c r="B1351" s="55" t="str">
        <f>HYPERLINK("https://jobright.ai/jobs/info/6673c31f1adf452983f81d88?utm_campaign=1057&amp;utm_source=sheet", "Apply")</f>
        <v>Apply</v>
      </c>
      <c r="C1351" s="10" t="s">
        <v>24494</v>
      </c>
      <c r="D1351" s="56" t="s">
        <v>4448</v>
      </c>
      <c r="E1351" s="10" t="s">
        <v>71</v>
      </c>
      <c r="F1351" s="10" t="s">
        <v>4449</v>
      </c>
      <c r="G1351" s="10" t="s">
        <v>24043</v>
      </c>
      <c r="H1351" s="10" t="s">
        <v>25450</v>
      </c>
      <c r="I1351" s="10" t="s">
        <v>55</v>
      </c>
      <c r="K1351" s="10" t="s">
        <v>25389</v>
      </c>
      <c r="L1351" s="10" t="s">
        <v>42</v>
      </c>
    </row>
    <row r="1352" ht="15.75" customHeight="1">
      <c r="A1352" s="66">
        <v>45462.0</v>
      </c>
      <c r="B1352" s="55" t="str">
        <f>HYPERLINK("https://jobright.ai/jobs/info/6673c31f1adf452983f81d92?utm_campaign=1057&amp;utm_source=sheet", "Apply")</f>
        <v>Apply</v>
      </c>
      <c r="C1352" s="10" t="s">
        <v>25464</v>
      </c>
      <c r="D1352" s="56" t="s">
        <v>4448</v>
      </c>
      <c r="E1352" s="10" t="s">
        <v>71</v>
      </c>
      <c r="F1352" s="10" t="s">
        <v>4449</v>
      </c>
      <c r="G1352" s="10" t="s">
        <v>24043</v>
      </c>
      <c r="H1352" s="10" t="s">
        <v>914</v>
      </c>
      <c r="I1352" s="10" t="s">
        <v>55</v>
      </c>
      <c r="K1352" s="10" t="s">
        <v>25389</v>
      </c>
      <c r="L1352" s="10" t="s">
        <v>42</v>
      </c>
    </row>
    <row r="1353" ht="15.75" customHeight="1">
      <c r="A1353" s="66">
        <v>45462.0</v>
      </c>
      <c r="B1353" s="55" t="str">
        <f>HYPERLINK("https://jobright.ai/jobs/info/6673c31f1adf452983f81da0?utm_campaign=1057&amp;utm_source=sheet", "Apply")</f>
        <v>Apply</v>
      </c>
      <c r="C1353" s="10" t="s">
        <v>25462</v>
      </c>
      <c r="D1353" s="56" t="s">
        <v>4448</v>
      </c>
      <c r="E1353" s="10" t="s">
        <v>71</v>
      </c>
      <c r="F1353" s="10" t="s">
        <v>4449</v>
      </c>
      <c r="G1353" s="10" t="s">
        <v>24043</v>
      </c>
      <c r="H1353" s="10" t="s">
        <v>25391</v>
      </c>
      <c r="I1353" s="10" t="s">
        <v>55</v>
      </c>
      <c r="K1353" s="10" t="s">
        <v>25392</v>
      </c>
      <c r="L1353" s="10" t="s">
        <v>42</v>
      </c>
    </row>
    <row r="1354" ht="15.75" customHeight="1">
      <c r="A1354" s="66">
        <v>45462.0</v>
      </c>
      <c r="B1354" s="55" t="str">
        <f>HYPERLINK("https://jobright.ai/jobs/info/6673c2af1adf452983f80d91?utm_campaign=1057&amp;utm_source=sheet", "Apply")</f>
        <v>Apply</v>
      </c>
      <c r="C1354" s="10" t="s">
        <v>25466</v>
      </c>
      <c r="D1354" s="56" t="s">
        <v>4448</v>
      </c>
      <c r="E1354" s="10" t="s">
        <v>71</v>
      </c>
      <c r="F1354" s="10" t="s">
        <v>4449</v>
      </c>
      <c r="G1354" s="10" t="s">
        <v>24043</v>
      </c>
      <c r="H1354" s="10" t="s">
        <v>25450</v>
      </c>
      <c r="I1354" s="10" t="s">
        <v>55</v>
      </c>
      <c r="K1354" s="10" t="s">
        <v>25389</v>
      </c>
      <c r="L1354" s="10" t="s">
        <v>42</v>
      </c>
    </row>
    <row r="1355" ht="15.75" customHeight="1">
      <c r="A1355" s="66">
        <v>45462.0</v>
      </c>
      <c r="B1355" s="55" t="str">
        <f>HYPERLINK("https://jobright.ai/jobs/info/6673c31f1adf452983f81da4?utm_campaign=1057&amp;utm_source=sheet", "Apply")</f>
        <v>Apply</v>
      </c>
      <c r="C1355" s="10" t="s">
        <v>25462</v>
      </c>
      <c r="D1355" s="56" t="s">
        <v>4448</v>
      </c>
      <c r="E1355" s="10" t="s">
        <v>71</v>
      </c>
      <c r="F1355" s="10" t="s">
        <v>4449</v>
      </c>
      <c r="G1355" s="10" t="s">
        <v>24043</v>
      </c>
      <c r="H1355" s="10" t="s">
        <v>25448</v>
      </c>
      <c r="I1355" s="10" t="s">
        <v>55</v>
      </c>
      <c r="K1355" s="10" t="s">
        <v>25392</v>
      </c>
      <c r="L1355" s="10" t="s">
        <v>42</v>
      </c>
    </row>
    <row r="1356" ht="15.75" customHeight="1">
      <c r="A1356" s="66">
        <v>45462.0</v>
      </c>
      <c r="B1356" s="55" t="str">
        <f>HYPERLINK("https://jobright.ai/jobs/info/6673c31f1adf452983f81db5?utm_campaign=1057&amp;utm_source=sheet", "Apply")</f>
        <v>Apply</v>
      </c>
      <c r="C1356" s="10" t="s">
        <v>25464</v>
      </c>
      <c r="D1356" s="56" t="s">
        <v>4448</v>
      </c>
      <c r="E1356" s="10" t="s">
        <v>71</v>
      </c>
      <c r="F1356" s="10" t="s">
        <v>4449</v>
      </c>
      <c r="G1356" s="10" t="s">
        <v>24043</v>
      </c>
      <c r="H1356" s="10" t="s">
        <v>25434</v>
      </c>
      <c r="I1356" s="10" t="s">
        <v>55</v>
      </c>
      <c r="K1356" s="10" t="s">
        <v>25389</v>
      </c>
      <c r="L1356" s="10" t="s">
        <v>42</v>
      </c>
    </row>
    <row r="1357" ht="15.75" customHeight="1">
      <c r="A1357" s="66">
        <v>45462.0</v>
      </c>
      <c r="B1357" s="55" t="str">
        <f>HYPERLINK("https://jobright.ai/jobs/info/6673c3251adf452983f81de2?utm_campaign=1057&amp;utm_source=sheet", "Apply")</f>
        <v>Apply</v>
      </c>
      <c r="C1357" s="10" t="s">
        <v>25464</v>
      </c>
      <c r="D1357" s="56" t="s">
        <v>4448</v>
      </c>
      <c r="E1357" s="10" t="s">
        <v>71</v>
      </c>
      <c r="F1357" s="10" t="s">
        <v>4449</v>
      </c>
      <c r="G1357" s="10" t="s">
        <v>24043</v>
      </c>
      <c r="H1357" s="10" t="s">
        <v>25442</v>
      </c>
      <c r="I1357" s="10" t="s">
        <v>55</v>
      </c>
      <c r="K1357" s="10" t="s">
        <v>25389</v>
      </c>
      <c r="L1357" s="10" t="s">
        <v>42</v>
      </c>
    </row>
    <row r="1358" ht="15.75" customHeight="1">
      <c r="A1358" s="66">
        <v>45462.0</v>
      </c>
      <c r="B1358" s="55" t="str">
        <f>HYPERLINK("https://jobright.ai/jobs/info/6673c3251adf452983f81e2d?utm_campaign=1057&amp;utm_source=sheet", "Apply")</f>
        <v>Apply</v>
      </c>
      <c r="C1358" s="10" t="s">
        <v>24494</v>
      </c>
      <c r="D1358" s="56" t="s">
        <v>4448</v>
      </c>
      <c r="E1358" s="10" t="s">
        <v>71</v>
      </c>
      <c r="F1358" s="10" t="s">
        <v>4449</v>
      </c>
      <c r="G1358" s="10" t="s">
        <v>24043</v>
      </c>
      <c r="H1358" s="10" t="s">
        <v>955</v>
      </c>
      <c r="I1358" s="10" t="s">
        <v>55</v>
      </c>
      <c r="K1358" s="10" t="s">
        <v>25389</v>
      </c>
      <c r="L1358" s="10" t="s">
        <v>42</v>
      </c>
    </row>
    <row r="1359" ht="15.75" customHeight="1">
      <c r="A1359" s="66">
        <v>45462.0</v>
      </c>
      <c r="B1359" s="55" t="str">
        <f>HYPERLINK("https://jobright.ai/jobs/info/6673c3251adf452983f81e43?utm_campaign=1057&amp;utm_source=sheet", "Apply")</f>
        <v>Apply</v>
      </c>
      <c r="C1359" s="10" t="s">
        <v>25464</v>
      </c>
      <c r="D1359" s="56" t="s">
        <v>4448</v>
      </c>
      <c r="E1359" s="10" t="s">
        <v>71</v>
      </c>
      <c r="F1359" s="10" t="s">
        <v>4449</v>
      </c>
      <c r="G1359" s="10" t="s">
        <v>24043</v>
      </c>
      <c r="H1359" s="10" t="s">
        <v>25448</v>
      </c>
      <c r="I1359" s="10" t="s">
        <v>55</v>
      </c>
      <c r="K1359" s="10" t="s">
        <v>25389</v>
      </c>
      <c r="L1359" s="10" t="s">
        <v>42</v>
      </c>
    </row>
    <row r="1360" ht="15.75" customHeight="1">
      <c r="A1360" s="66">
        <v>45462.0</v>
      </c>
      <c r="B1360" s="55" t="str">
        <f>HYPERLINK("https://jobright.ai/jobs/info/6673c3251adf452983f81e5a?utm_campaign=1057&amp;utm_source=sheet", "Apply")</f>
        <v>Apply</v>
      </c>
      <c r="C1360" s="10" t="s">
        <v>25466</v>
      </c>
      <c r="D1360" s="56" t="s">
        <v>4448</v>
      </c>
      <c r="E1360" s="10" t="s">
        <v>71</v>
      </c>
      <c r="F1360" s="10" t="s">
        <v>4449</v>
      </c>
      <c r="G1360" s="10" t="s">
        <v>24043</v>
      </c>
      <c r="H1360" s="10" t="s">
        <v>25460</v>
      </c>
      <c r="I1360" s="10" t="s">
        <v>55</v>
      </c>
      <c r="K1360" s="10" t="s">
        <v>25389</v>
      </c>
      <c r="L1360" s="10" t="s">
        <v>42</v>
      </c>
    </row>
    <row r="1361" ht="15.75" customHeight="1">
      <c r="A1361" s="66">
        <v>45462.0</v>
      </c>
      <c r="B1361" s="55" t="str">
        <f>HYPERLINK("https://jobright.ai/jobs/info/6673c3251adf452983f81e63?utm_campaign=1057&amp;utm_source=sheet", "Apply")</f>
        <v>Apply</v>
      </c>
      <c r="C1361" s="10" t="s">
        <v>25466</v>
      </c>
      <c r="D1361" s="56" t="s">
        <v>4448</v>
      </c>
      <c r="E1361" s="10" t="s">
        <v>71</v>
      </c>
      <c r="F1361" s="10" t="s">
        <v>4449</v>
      </c>
      <c r="G1361" s="10" t="s">
        <v>24043</v>
      </c>
      <c r="H1361" s="10" t="s">
        <v>8160</v>
      </c>
      <c r="I1361" s="10" t="s">
        <v>55</v>
      </c>
      <c r="K1361" s="10" t="s">
        <v>25389</v>
      </c>
      <c r="L1361" s="10" t="s">
        <v>42</v>
      </c>
    </row>
    <row r="1362" ht="15.75" customHeight="1">
      <c r="A1362" s="66">
        <v>45462.0</v>
      </c>
      <c r="B1362" s="55" t="str">
        <f>HYPERLINK("https://jobright.ai/jobs/info/6673c32a1adf452983f81e8f?utm_campaign=1057&amp;utm_source=sheet", "Apply")</f>
        <v>Apply</v>
      </c>
      <c r="C1362" s="10" t="s">
        <v>24494</v>
      </c>
      <c r="D1362" s="56" t="s">
        <v>4448</v>
      </c>
      <c r="E1362" s="10" t="s">
        <v>71</v>
      </c>
      <c r="F1362" s="10" t="s">
        <v>4449</v>
      </c>
      <c r="G1362" s="10" t="s">
        <v>24043</v>
      </c>
      <c r="H1362" s="10" t="s">
        <v>8160</v>
      </c>
      <c r="I1362" s="10" t="s">
        <v>55</v>
      </c>
      <c r="K1362" s="10" t="s">
        <v>25389</v>
      </c>
      <c r="L1362" s="10" t="s">
        <v>42</v>
      </c>
    </row>
    <row r="1363" ht="15.75" customHeight="1">
      <c r="A1363" s="66">
        <v>45462.0</v>
      </c>
      <c r="B1363" s="55" t="str">
        <f>HYPERLINK("https://jobright.ai/jobs/info/6673c32a1adf452983f81ea3?utm_campaign=1057&amp;utm_source=sheet", "Apply")</f>
        <v>Apply</v>
      </c>
      <c r="C1363" s="10" t="s">
        <v>24494</v>
      </c>
      <c r="D1363" s="56" t="s">
        <v>4448</v>
      </c>
      <c r="E1363" s="10" t="s">
        <v>71</v>
      </c>
      <c r="F1363" s="10" t="s">
        <v>4449</v>
      </c>
      <c r="G1363" s="10" t="s">
        <v>24043</v>
      </c>
      <c r="H1363" s="10" t="s">
        <v>5367</v>
      </c>
      <c r="I1363" s="10" t="s">
        <v>55</v>
      </c>
      <c r="K1363" s="10" t="s">
        <v>25389</v>
      </c>
      <c r="L1363" s="10" t="s">
        <v>42</v>
      </c>
    </row>
    <row r="1364" ht="15.75" customHeight="1">
      <c r="A1364" s="66">
        <v>45462.0</v>
      </c>
      <c r="B1364" s="55" t="str">
        <f>HYPERLINK("https://jobright.ai/jobs/info/6673c2af1adf452983f80ded?utm_campaign=1057&amp;utm_source=sheet", "Apply")</f>
        <v>Apply</v>
      </c>
      <c r="C1364" s="10" t="s">
        <v>25469</v>
      </c>
      <c r="D1364" s="56" t="s">
        <v>4448</v>
      </c>
      <c r="E1364" s="10" t="s">
        <v>71</v>
      </c>
      <c r="F1364" s="10" t="s">
        <v>4449</v>
      </c>
      <c r="G1364" s="10" t="s">
        <v>24043</v>
      </c>
      <c r="H1364" s="10" t="s">
        <v>24237</v>
      </c>
      <c r="I1364" s="10" t="s">
        <v>55</v>
      </c>
      <c r="K1364" s="10" t="s">
        <v>25389</v>
      </c>
      <c r="L1364" s="10" t="s">
        <v>42</v>
      </c>
    </row>
    <row r="1365" ht="15.75" customHeight="1">
      <c r="A1365" s="66">
        <v>45462.0</v>
      </c>
      <c r="B1365" s="55" t="str">
        <f>HYPERLINK("https://jobright.ai/jobs/info/6673c32a1adf452983f81f05?utm_campaign=1057&amp;utm_source=sheet", "Apply")</f>
        <v>Apply</v>
      </c>
      <c r="C1365" s="10" t="s">
        <v>24494</v>
      </c>
      <c r="D1365" s="56" t="s">
        <v>4448</v>
      </c>
      <c r="E1365" s="10" t="s">
        <v>71</v>
      </c>
      <c r="F1365" s="10" t="s">
        <v>4449</v>
      </c>
      <c r="G1365" s="10" t="s">
        <v>24043</v>
      </c>
      <c r="H1365" s="10" t="s">
        <v>25445</v>
      </c>
      <c r="I1365" s="10" t="s">
        <v>55</v>
      </c>
      <c r="K1365" s="10" t="s">
        <v>25389</v>
      </c>
      <c r="L1365" s="10" t="s">
        <v>42</v>
      </c>
    </row>
    <row r="1366" ht="15.75" customHeight="1">
      <c r="A1366" s="66">
        <v>45462.0</v>
      </c>
      <c r="B1366" s="55" t="str">
        <f>HYPERLINK("https://jobright.ai/jobs/info/6673c32a1adf452983f81f16?utm_campaign=1057&amp;utm_source=sheet", "Apply")</f>
        <v>Apply</v>
      </c>
      <c r="C1366" s="10" t="s">
        <v>24428</v>
      </c>
      <c r="D1366" s="56" t="s">
        <v>4448</v>
      </c>
      <c r="E1366" s="10" t="s">
        <v>71</v>
      </c>
      <c r="F1366" s="10" t="s">
        <v>4449</v>
      </c>
      <c r="G1366" s="10" t="s">
        <v>24043</v>
      </c>
      <c r="H1366" s="10" t="s">
        <v>25450</v>
      </c>
      <c r="I1366" s="10" t="s">
        <v>55</v>
      </c>
      <c r="K1366" s="10" t="s">
        <v>25389</v>
      </c>
      <c r="L1366" s="10" t="s">
        <v>42</v>
      </c>
    </row>
    <row r="1367" ht="15.75" customHeight="1">
      <c r="A1367" s="66">
        <v>45462.0</v>
      </c>
      <c r="B1367" s="55" t="str">
        <f>HYPERLINK("https://jobright.ai/jobs/info/6673c3301adf452983f81f4f?utm_campaign=1057&amp;utm_source=sheet", "Apply")</f>
        <v>Apply</v>
      </c>
      <c r="C1367" s="10" t="s">
        <v>25468</v>
      </c>
      <c r="D1367" s="56" t="s">
        <v>4448</v>
      </c>
      <c r="E1367" s="10" t="s">
        <v>71</v>
      </c>
      <c r="F1367" s="10" t="s">
        <v>4449</v>
      </c>
      <c r="G1367" s="10" t="s">
        <v>24043</v>
      </c>
      <c r="H1367" s="10" t="s">
        <v>25448</v>
      </c>
      <c r="I1367" s="10" t="s">
        <v>55</v>
      </c>
      <c r="K1367" s="10" t="s">
        <v>25392</v>
      </c>
      <c r="L1367" s="10" t="s">
        <v>42</v>
      </c>
    </row>
    <row r="1368" ht="15.75" customHeight="1">
      <c r="A1368" s="66">
        <v>45462.0</v>
      </c>
      <c r="B1368" s="55" t="str">
        <f>HYPERLINK("https://jobright.ai/jobs/info/6673c3301adf452983f81f69?utm_campaign=1057&amp;utm_source=sheet", "Apply")</f>
        <v>Apply</v>
      </c>
      <c r="C1368" s="10" t="s">
        <v>25466</v>
      </c>
      <c r="D1368" s="56" t="s">
        <v>4448</v>
      </c>
      <c r="E1368" s="10" t="s">
        <v>71</v>
      </c>
      <c r="F1368" s="10" t="s">
        <v>4449</v>
      </c>
      <c r="G1368" s="10" t="s">
        <v>24043</v>
      </c>
      <c r="H1368" s="10" t="s">
        <v>25451</v>
      </c>
      <c r="I1368" s="10" t="s">
        <v>55</v>
      </c>
      <c r="K1368" s="10" t="s">
        <v>25389</v>
      </c>
      <c r="L1368" s="10" t="s">
        <v>42</v>
      </c>
    </row>
    <row r="1369" ht="15.75" customHeight="1">
      <c r="A1369" s="66">
        <v>45462.0</v>
      </c>
      <c r="B1369" s="55" t="str">
        <f>HYPERLINK("https://jobright.ai/jobs/info/6673c3301adf452983f81f6b?utm_campaign=1057&amp;utm_source=sheet", "Apply")</f>
        <v>Apply</v>
      </c>
      <c r="C1369" s="10" t="s">
        <v>25468</v>
      </c>
      <c r="D1369" s="56" t="s">
        <v>4448</v>
      </c>
      <c r="E1369" s="10" t="s">
        <v>71</v>
      </c>
      <c r="F1369" s="10" t="s">
        <v>4449</v>
      </c>
      <c r="G1369" s="10" t="s">
        <v>24043</v>
      </c>
      <c r="H1369" s="10" t="s">
        <v>25454</v>
      </c>
      <c r="I1369" s="10" t="s">
        <v>55</v>
      </c>
      <c r="K1369" s="10" t="s">
        <v>25392</v>
      </c>
      <c r="L1369" s="10" t="s">
        <v>42</v>
      </c>
    </row>
    <row r="1370" ht="15.75" customHeight="1">
      <c r="A1370" s="66">
        <v>45462.0</v>
      </c>
      <c r="B1370" s="55" t="str">
        <f>HYPERLINK("https://jobright.ai/jobs/info/6673c3301adf452983f81f95?utm_campaign=1057&amp;utm_source=sheet", "Apply")</f>
        <v>Apply</v>
      </c>
      <c r="C1370" s="10" t="s">
        <v>25464</v>
      </c>
      <c r="D1370" s="56" t="s">
        <v>4448</v>
      </c>
      <c r="E1370" s="10" t="s">
        <v>71</v>
      </c>
      <c r="F1370" s="10" t="s">
        <v>4449</v>
      </c>
      <c r="G1370" s="10" t="s">
        <v>24043</v>
      </c>
      <c r="H1370" s="10" t="s">
        <v>25439</v>
      </c>
      <c r="I1370" s="10" t="s">
        <v>55</v>
      </c>
      <c r="K1370" s="10" t="s">
        <v>25389</v>
      </c>
      <c r="L1370" s="10" t="s">
        <v>42</v>
      </c>
    </row>
    <row r="1371" ht="15.75" customHeight="1">
      <c r="A1371" s="66">
        <v>45462.0</v>
      </c>
      <c r="B1371" s="55" t="str">
        <f>HYPERLINK("https://jobright.ai/jobs/info/6673c5537efa6ff3fe3a177d?utm_campaign=1057&amp;utm_source=sheet", "Apply")</f>
        <v>Apply</v>
      </c>
      <c r="C1371" s="10" t="s">
        <v>25470</v>
      </c>
      <c r="D1371" s="56" t="s">
        <v>4448</v>
      </c>
      <c r="E1371" s="10" t="s">
        <v>71</v>
      </c>
      <c r="F1371" s="10" t="s">
        <v>4449</v>
      </c>
      <c r="G1371" s="10" t="s">
        <v>24043</v>
      </c>
      <c r="H1371" s="10" t="s">
        <v>24237</v>
      </c>
      <c r="I1371" s="10" t="s">
        <v>55</v>
      </c>
      <c r="K1371" s="10" t="s">
        <v>25389</v>
      </c>
      <c r="L1371" s="10" t="s">
        <v>42</v>
      </c>
    </row>
    <row r="1372" ht="15.75" customHeight="1">
      <c r="A1372" s="66">
        <v>45462.0</v>
      </c>
      <c r="B1372" s="55" t="str">
        <f>HYPERLINK("https://jobright.ai/jobs/info/6673c5747efa6ff3fe3a1b0e?utm_campaign=1057&amp;utm_source=sheet", "Apply")</f>
        <v>Apply</v>
      </c>
      <c r="C1372" s="10" t="s">
        <v>24428</v>
      </c>
      <c r="D1372" s="56" t="s">
        <v>4448</v>
      </c>
      <c r="E1372" s="10" t="s">
        <v>71</v>
      </c>
      <c r="F1372" s="10" t="s">
        <v>4449</v>
      </c>
      <c r="G1372" s="10" t="s">
        <v>24043</v>
      </c>
      <c r="H1372" s="10" t="s">
        <v>15590</v>
      </c>
      <c r="I1372" s="10" t="s">
        <v>55</v>
      </c>
      <c r="K1372" s="10" t="s">
        <v>25389</v>
      </c>
      <c r="L1372" s="10" t="s">
        <v>42</v>
      </c>
    </row>
    <row r="1373" ht="15.75" customHeight="1">
      <c r="A1373" s="66">
        <v>45462.0</v>
      </c>
      <c r="B1373" s="55" t="str">
        <f>HYPERLINK("https://jobright.ai/jobs/info/6673c57f7efa6ff3fe3a1c0d?utm_campaign=1057&amp;utm_source=sheet", "Apply")</f>
        <v>Apply</v>
      </c>
      <c r="C1373" s="10" t="s">
        <v>25468</v>
      </c>
      <c r="D1373" s="56" t="s">
        <v>4448</v>
      </c>
      <c r="E1373" s="10" t="s">
        <v>71</v>
      </c>
      <c r="F1373" s="10" t="s">
        <v>4449</v>
      </c>
      <c r="G1373" s="10" t="s">
        <v>24043</v>
      </c>
      <c r="H1373" s="10" t="s">
        <v>24237</v>
      </c>
      <c r="I1373" s="10" t="s">
        <v>55</v>
      </c>
      <c r="K1373" s="10" t="s">
        <v>25392</v>
      </c>
      <c r="L1373" s="10" t="s">
        <v>42</v>
      </c>
    </row>
    <row r="1374" ht="15.75" customHeight="1">
      <c r="A1374" s="66">
        <v>45462.0</v>
      </c>
      <c r="B1374" s="55" t="str">
        <f>HYPERLINK("https://jobright.ai/jobs/info/6673c57f7efa6ff3fe3a1c32?utm_campaign=1057&amp;utm_source=sheet", "Apply")</f>
        <v>Apply</v>
      </c>
      <c r="C1374" s="10" t="s">
        <v>24428</v>
      </c>
      <c r="D1374" s="56" t="s">
        <v>4448</v>
      </c>
      <c r="E1374" s="10" t="s">
        <v>71</v>
      </c>
      <c r="F1374" s="10" t="s">
        <v>4449</v>
      </c>
      <c r="G1374" s="10" t="s">
        <v>24043</v>
      </c>
      <c r="H1374" s="10" t="s">
        <v>5367</v>
      </c>
      <c r="I1374" s="10" t="s">
        <v>55</v>
      </c>
      <c r="K1374" s="10" t="s">
        <v>25389</v>
      </c>
      <c r="L1374" s="10" t="s">
        <v>42</v>
      </c>
    </row>
    <row r="1375" ht="15.75" customHeight="1">
      <c r="A1375" s="66">
        <v>45462.0</v>
      </c>
      <c r="B1375" s="55" t="str">
        <f>HYPERLINK("https://jobright.ai/jobs/info/6673c5857efa6ff3fe3a1d0d?utm_campaign=1057&amp;utm_source=sheet", "Apply")</f>
        <v>Apply</v>
      </c>
      <c r="C1375" s="10" t="s">
        <v>24428</v>
      </c>
      <c r="D1375" s="56" t="s">
        <v>4448</v>
      </c>
      <c r="E1375" s="10" t="s">
        <v>71</v>
      </c>
      <c r="F1375" s="10" t="s">
        <v>4449</v>
      </c>
      <c r="G1375" s="10" t="s">
        <v>24043</v>
      </c>
      <c r="H1375" s="10" t="s">
        <v>24237</v>
      </c>
      <c r="I1375" s="10" t="s">
        <v>55</v>
      </c>
      <c r="K1375" s="10" t="s">
        <v>25389</v>
      </c>
      <c r="L1375" s="10" t="s">
        <v>42</v>
      </c>
    </row>
    <row r="1376" ht="15.75" customHeight="1">
      <c r="A1376" s="66">
        <v>45462.0</v>
      </c>
      <c r="B1376" s="55" t="str">
        <f>HYPERLINK("https://jobright.ai/jobs/info/6673c58a7efa6ff3fe3a1e31?utm_campaign=1057&amp;utm_source=sheet", "Apply")</f>
        <v>Apply</v>
      </c>
      <c r="C1376" s="10" t="s">
        <v>25433</v>
      </c>
      <c r="D1376" s="56" t="s">
        <v>4448</v>
      </c>
      <c r="E1376" s="10" t="s">
        <v>71</v>
      </c>
      <c r="F1376" s="10" t="s">
        <v>4449</v>
      </c>
      <c r="G1376" s="10" t="s">
        <v>24043</v>
      </c>
      <c r="H1376" s="10" t="s">
        <v>25471</v>
      </c>
      <c r="I1376" s="10" t="s">
        <v>55</v>
      </c>
      <c r="K1376" s="10" t="s">
        <v>25389</v>
      </c>
      <c r="L1376" s="10" t="s">
        <v>42</v>
      </c>
    </row>
    <row r="1377" ht="15.75" customHeight="1">
      <c r="A1377" s="66">
        <v>45462.0</v>
      </c>
      <c r="B1377" s="55" t="str">
        <f>HYPERLINK("https://jobright.ai/jobs/info/6673c5537efa6ff3fe3a177c?utm_campaign=1057&amp;utm_source=sheet", "Apply")</f>
        <v>Apply</v>
      </c>
      <c r="C1377" s="10" t="s">
        <v>25472</v>
      </c>
      <c r="D1377" s="56" t="s">
        <v>4448</v>
      </c>
      <c r="E1377" s="10" t="s">
        <v>71</v>
      </c>
      <c r="F1377" s="10" t="s">
        <v>4449</v>
      </c>
      <c r="G1377" s="10" t="s">
        <v>24043</v>
      </c>
      <c r="H1377" s="10" t="s">
        <v>24237</v>
      </c>
      <c r="I1377" s="10" t="s">
        <v>55</v>
      </c>
      <c r="K1377" s="10" t="s">
        <v>25392</v>
      </c>
      <c r="L1377" s="10" t="s">
        <v>42</v>
      </c>
    </row>
    <row r="1378" ht="15.75" customHeight="1">
      <c r="A1378" s="66">
        <v>45462.0</v>
      </c>
      <c r="B1378" s="55" t="str">
        <f>HYPERLINK("https://jobright.ai/jobs/info/6673c59c7efa6ff3fe3a2028?utm_campaign=1057&amp;utm_source=sheet", "Apply")</f>
        <v>Apply</v>
      </c>
      <c r="C1378" s="10" t="s">
        <v>25433</v>
      </c>
      <c r="D1378" s="56" t="s">
        <v>4448</v>
      </c>
      <c r="E1378" s="10" t="s">
        <v>71</v>
      </c>
      <c r="F1378" s="10" t="s">
        <v>4449</v>
      </c>
      <c r="G1378" s="10" t="s">
        <v>24043</v>
      </c>
      <c r="H1378" s="10" t="s">
        <v>18402</v>
      </c>
      <c r="I1378" s="10" t="s">
        <v>55</v>
      </c>
      <c r="K1378" s="10" t="s">
        <v>25389</v>
      </c>
      <c r="L1378" s="10" t="s">
        <v>42</v>
      </c>
    </row>
    <row r="1379" ht="15.75" customHeight="1">
      <c r="A1379" s="66">
        <v>45462.0</v>
      </c>
      <c r="B1379" s="55" t="str">
        <f>HYPERLINK("https://jobright.ai/jobs/info/6673c59c7efa6ff3fe3a201c?utm_campaign=1057&amp;utm_source=sheet", "Apply")</f>
        <v>Apply</v>
      </c>
      <c r="C1379" s="10" t="s">
        <v>25433</v>
      </c>
      <c r="D1379" s="56" t="s">
        <v>4448</v>
      </c>
      <c r="E1379" s="10" t="s">
        <v>71</v>
      </c>
      <c r="F1379" s="10" t="s">
        <v>4449</v>
      </c>
      <c r="G1379" s="10" t="s">
        <v>24043</v>
      </c>
      <c r="H1379" s="10" t="s">
        <v>25454</v>
      </c>
      <c r="I1379" s="10" t="s">
        <v>55</v>
      </c>
      <c r="K1379" s="10" t="s">
        <v>25389</v>
      </c>
      <c r="L1379" s="10" t="s">
        <v>42</v>
      </c>
    </row>
    <row r="1380" ht="15.75" customHeight="1">
      <c r="A1380" s="66">
        <v>45462.0</v>
      </c>
      <c r="B1380" s="55" t="str">
        <f>HYPERLINK("https://jobright.ai/jobs/info/6673c59c7efa6ff3fe3a2052?utm_campaign=1057&amp;utm_source=sheet", "Apply")</f>
        <v>Apply</v>
      </c>
      <c r="C1380" s="10" t="s">
        <v>25433</v>
      </c>
      <c r="D1380" s="56" t="s">
        <v>4448</v>
      </c>
      <c r="E1380" s="10" t="s">
        <v>71</v>
      </c>
      <c r="F1380" s="10" t="s">
        <v>4449</v>
      </c>
      <c r="G1380" s="10" t="s">
        <v>24043</v>
      </c>
      <c r="H1380" s="10" t="s">
        <v>25448</v>
      </c>
      <c r="I1380" s="10" t="s">
        <v>55</v>
      </c>
      <c r="K1380" s="10" t="s">
        <v>25389</v>
      </c>
      <c r="L1380" s="10" t="s">
        <v>42</v>
      </c>
    </row>
    <row r="1381" ht="15.75" customHeight="1">
      <c r="A1381" s="66">
        <v>45462.0</v>
      </c>
      <c r="B1381" s="55" t="str">
        <f>HYPERLINK("https://jobright.ai/jobs/info/6673c5a27efa6ff3fe3a20d0?utm_campaign=1057&amp;utm_source=sheet", "Apply")</f>
        <v>Apply</v>
      </c>
      <c r="C1381" s="10" t="s">
        <v>25433</v>
      </c>
      <c r="D1381" s="56" t="s">
        <v>4448</v>
      </c>
      <c r="E1381" s="10" t="s">
        <v>71</v>
      </c>
      <c r="F1381" s="10" t="s">
        <v>4449</v>
      </c>
      <c r="G1381" s="10" t="s">
        <v>24043</v>
      </c>
      <c r="H1381" s="10" t="s">
        <v>25460</v>
      </c>
      <c r="I1381" s="10" t="s">
        <v>55</v>
      </c>
      <c r="K1381" s="10" t="s">
        <v>25389</v>
      </c>
      <c r="L1381" s="10" t="s">
        <v>42</v>
      </c>
    </row>
    <row r="1382" ht="15.75" customHeight="1">
      <c r="A1382" s="66">
        <v>45462.0</v>
      </c>
      <c r="B1382" s="55" t="str">
        <f>HYPERLINK("https://jobright.ai/jobs/info/6673c5a27efa6ff3fe3a20ed?utm_campaign=1057&amp;utm_source=sheet", "Apply")</f>
        <v>Apply</v>
      </c>
      <c r="C1382" s="10" t="s">
        <v>25433</v>
      </c>
      <c r="D1382" s="56" t="s">
        <v>4448</v>
      </c>
      <c r="E1382" s="10" t="s">
        <v>71</v>
      </c>
      <c r="F1382" s="10" t="s">
        <v>4449</v>
      </c>
      <c r="G1382" s="10" t="s">
        <v>24043</v>
      </c>
      <c r="H1382" s="10" t="s">
        <v>25395</v>
      </c>
      <c r="I1382" s="10" t="s">
        <v>55</v>
      </c>
      <c r="K1382" s="10" t="s">
        <v>25389</v>
      </c>
      <c r="L1382" s="10" t="s">
        <v>42</v>
      </c>
    </row>
    <row r="1383" ht="15.75" customHeight="1">
      <c r="A1383" s="66">
        <v>45462.0</v>
      </c>
      <c r="B1383" s="55" t="str">
        <f>HYPERLINK("https://jobright.ai/jobs/info/6673c5a27efa6ff3fe3a2132?utm_campaign=1057&amp;utm_source=sheet", "Apply")</f>
        <v>Apply</v>
      </c>
      <c r="C1383" s="10" t="s">
        <v>25433</v>
      </c>
      <c r="D1383" s="56" t="s">
        <v>4448</v>
      </c>
      <c r="E1383" s="10" t="s">
        <v>71</v>
      </c>
      <c r="F1383" s="10" t="s">
        <v>4449</v>
      </c>
      <c r="G1383" s="10" t="s">
        <v>24043</v>
      </c>
      <c r="H1383" s="10" t="s">
        <v>5367</v>
      </c>
      <c r="I1383" s="10" t="s">
        <v>55</v>
      </c>
      <c r="K1383" s="10" t="s">
        <v>25389</v>
      </c>
      <c r="L1383" s="10" t="s">
        <v>42</v>
      </c>
    </row>
    <row r="1384" ht="15.75" customHeight="1">
      <c r="A1384" s="66">
        <v>45462.0</v>
      </c>
      <c r="B1384" s="55" t="str">
        <f>HYPERLINK("https://jobright.ai/jobs/info/6673c5a27efa6ff3fe3a2138?utm_campaign=1057&amp;utm_source=sheet", "Apply")</f>
        <v>Apply</v>
      </c>
      <c r="C1384" s="10" t="s">
        <v>25433</v>
      </c>
      <c r="D1384" s="56" t="s">
        <v>4448</v>
      </c>
      <c r="E1384" s="10" t="s">
        <v>71</v>
      </c>
      <c r="F1384" s="10" t="s">
        <v>4449</v>
      </c>
      <c r="G1384" s="10" t="s">
        <v>24043</v>
      </c>
      <c r="H1384" s="10" t="s">
        <v>16925</v>
      </c>
      <c r="I1384" s="10" t="s">
        <v>55</v>
      </c>
      <c r="K1384" s="10" t="s">
        <v>25389</v>
      </c>
      <c r="L1384" s="10" t="s">
        <v>42</v>
      </c>
    </row>
    <row r="1385" ht="15.75" customHeight="1">
      <c r="A1385" s="66">
        <v>45462.0</v>
      </c>
      <c r="B1385" s="55" t="str">
        <f>HYPERLINK("https://jobright.ai/jobs/info/6673c5a27efa6ff3fe3a2149?utm_campaign=1057&amp;utm_source=sheet", "Apply")</f>
        <v>Apply</v>
      </c>
      <c r="C1385" s="10" t="s">
        <v>24404</v>
      </c>
      <c r="D1385" s="56" t="s">
        <v>4448</v>
      </c>
      <c r="E1385" s="10" t="s">
        <v>71</v>
      </c>
      <c r="F1385" s="10" t="s">
        <v>4449</v>
      </c>
      <c r="G1385" s="10" t="s">
        <v>24043</v>
      </c>
      <c r="H1385" s="10" t="s">
        <v>25460</v>
      </c>
      <c r="I1385" s="10" t="s">
        <v>55</v>
      </c>
      <c r="K1385" s="10" t="s">
        <v>25389</v>
      </c>
      <c r="L1385" s="10" t="s">
        <v>42</v>
      </c>
    </row>
    <row r="1386" ht="15.75" customHeight="1">
      <c r="A1386" s="66">
        <v>45462.0</v>
      </c>
      <c r="B1386" s="55" t="str">
        <f>HYPERLINK("https://jobright.ai/jobs/info/6673c5a77efa6ff3fe3a21a8?utm_campaign=1057&amp;utm_source=sheet", "Apply")</f>
        <v>Apply</v>
      </c>
      <c r="C1386" s="10" t="s">
        <v>24404</v>
      </c>
      <c r="D1386" s="56" t="s">
        <v>4448</v>
      </c>
      <c r="E1386" s="10" t="s">
        <v>71</v>
      </c>
      <c r="F1386" s="10" t="s">
        <v>4449</v>
      </c>
      <c r="G1386" s="10" t="s">
        <v>24043</v>
      </c>
      <c r="H1386" s="10" t="s">
        <v>25455</v>
      </c>
      <c r="I1386" s="10" t="s">
        <v>55</v>
      </c>
      <c r="K1386" s="10" t="s">
        <v>25389</v>
      </c>
      <c r="L1386" s="10" t="s">
        <v>42</v>
      </c>
    </row>
    <row r="1387" ht="15.75" customHeight="1">
      <c r="A1387" s="66">
        <v>45462.0</v>
      </c>
      <c r="B1387" s="55" t="str">
        <f>HYPERLINK("https://jobright.ai/jobs/info/6673c5a77efa6ff3fe3a21b9?utm_campaign=1057&amp;utm_source=sheet", "Apply")</f>
        <v>Apply</v>
      </c>
      <c r="C1387" s="10" t="s">
        <v>25433</v>
      </c>
      <c r="D1387" s="56" t="s">
        <v>4448</v>
      </c>
      <c r="E1387" s="10" t="s">
        <v>71</v>
      </c>
      <c r="F1387" s="10" t="s">
        <v>4449</v>
      </c>
      <c r="G1387" s="10" t="s">
        <v>24043</v>
      </c>
      <c r="H1387" s="10" t="s">
        <v>25388</v>
      </c>
      <c r="I1387" s="10" t="s">
        <v>55</v>
      </c>
      <c r="K1387" s="10" t="s">
        <v>25389</v>
      </c>
      <c r="L1387" s="10" t="s">
        <v>42</v>
      </c>
    </row>
    <row r="1388" ht="15.75" customHeight="1">
      <c r="A1388" s="66">
        <v>45462.0</v>
      </c>
      <c r="B1388" s="55" t="str">
        <f>HYPERLINK("https://jobright.ai/jobs/info/6675ce61fde6a7756c63629a?utm_campaign=1057&amp;utm_source=sheet", "Apply")</f>
        <v>Apply</v>
      </c>
      <c r="C1388" s="10" t="s">
        <v>25461</v>
      </c>
      <c r="D1388" s="56" t="s">
        <v>4448</v>
      </c>
      <c r="E1388" s="10" t="s">
        <v>71</v>
      </c>
      <c r="F1388" s="10" t="s">
        <v>4449</v>
      </c>
      <c r="G1388" s="10" t="s">
        <v>24043</v>
      </c>
      <c r="H1388" s="10" t="s">
        <v>21672</v>
      </c>
      <c r="I1388" s="10" t="s">
        <v>55</v>
      </c>
      <c r="K1388" s="10" t="s">
        <v>4450</v>
      </c>
      <c r="L1388" s="10" t="s">
        <v>42</v>
      </c>
    </row>
    <row r="1389" ht="15.75" customHeight="1">
      <c r="A1389" s="66">
        <v>45462.0</v>
      </c>
      <c r="B1389" s="55" t="str">
        <f>HYPERLINK("https://jobright.ai/jobs/info/6677ad81dc7be138508a2ca7?utm_campaign=1057&amp;utm_source=sheet", "Apply")</f>
        <v>Apply</v>
      </c>
      <c r="C1389" s="10" t="s">
        <v>25473</v>
      </c>
      <c r="D1389" s="56" t="s">
        <v>25430</v>
      </c>
      <c r="E1389" s="10" t="s">
        <v>209</v>
      </c>
      <c r="F1389" s="10" t="s">
        <v>1506</v>
      </c>
      <c r="G1389" s="10" t="s">
        <v>24031</v>
      </c>
      <c r="H1389" s="10" t="s">
        <v>578</v>
      </c>
      <c r="I1389" s="10" t="s">
        <v>55</v>
      </c>
      <c r="J1389" s="10" t="s">
        <v>25431</v>
      </c>
      <c r="K1389" s="10" t="s">
        <v>25474</v>
      </c>
      <c r="L1389" s="10" t="s">
        <v>42</v>
      </c>
    </row>
    <row r="1390" ht="15.75" customHeight="1">
      <c r="A1390" s="66">
        <v>45462.0</v>
      </c>
      <c r="B1390" s="55" t="str">
        <f>HYPERLINK("https://jobright.ai/jobs/info/6675be8c6f7095ca90c07b1c?utm_campaign=1057&amp;utm_source=sheet", "Apply")</f>
        <v>Apply</v>
      </c>
      <c r="C1390" s="10" t="s">
        <v>25461</v>
      </c>
      <c r="D1390" s="56" t="s">
        <v>4448</v>
      </c>
      <c r="E1390" s="10" t="s">
        <v>71</v>
      </c>
      <c r="F1390" s="10" t="s">
        <v>4449</v>
      </c>
      <c r="G1390" s="10" t="s">
        <v>24043</v>
      </c>
      <c r="H1390" s="10" t="s">
        <v>25124</v>
      </c>
      <c r="I1390" s="10" t="s">
        <v>55</v>
      </c>
      <c r="K1390" s="10" t="s">
        <v>4450</v>
      </c>
      <c r="L1390" s="10" t="s">
        <v>42</v>
      </c>
    </row>
    <row r="1391" ht="15.75" customHeight="1">
      <c r="A1391" s="66">
        <v>45462.0</v>
      </c>
      <c r="B1391" s="55" t="str">
        <f>HYPERLINK("https://jobright.ai/jobs/info/6675be8c6f7095ca90c07b4d?utm_campaign=1057&amp;utm_source=sheet", "Apply")</f>
        <v>Apply</v>
      </c>
      <c r="C1391" s="10" t="s">
        <v>24404</v>
      </c>
      <c r="D1391" s="56" t="s">
        <v>4448</v>
      </c>
      <c r="E1391" s="10" t="s">
        <v>71</v>
      </c>
      <c r="F1391" s="10" t="s">
        <v>4449</v>
      </c>
      <c r="G1391" s="10" t="s">
        <v>24043</v>
      </c>
      <c r="H1391" s="10" t="s">
        <v>25141</v>
      </c>
      <c r="I1391" s="10" t="s">
        <v>55</v>
      </c>
      <c r="K1391" s="10" t="s">
        <v>4450</v>
      </c>
      <c r="L1391" s="10" t="s">
        <v>42</v>
      </c>
    </row>
    <row r="1392" ht="15.75" customHeight="1">
      <c r="A1392" s="66">
        <v>45462.0</v>
      </c>
      <c r="B1392" s="55" t="str">
        <f>HYPERLINK("https://jobright.ai/jobs/info/66732ea1a5eb8f08e40741f8?utm_campaign=1057&amp;utm_source=sheet", "Apply")</f>
        <v>Apply</v>
      </c>
      <c r="C1392" s="10" t="s">
        <v>25475</v>
      </c>
      <c r="D1392" s="56" t="s">
        <v>24036</v>
      </c>
      <c r="E1392" s="10" t="s">
        <v>209</v>
      </c>
      <c r="F1392" s="10" t="s">
        <v>3124</v>
      </c>
      <c r="G1392" s="10" t="s">
        <v>24022</v>
      </c>
      <c r="H1392" s="10" t="s">
        <v>859</v>
      </c>
      <c r="I1392" s="10" t="s">
        <v>55</v>
      </c>
      <c r="K1392" s="10" t="s">
        <v>25476</v>
      </c>
      <c r="L1392" s="10" t="s">
        <v>42</v>
      </c>
    </row>
    <row r="1393" ht="15.75" customHeight="1">
      <c r="A1393" s="66">
        <v>45462.0</v>
      </c>
      <c r="B1393" s="55" t="str">
        <f>HYPERLINK("https://jobright.ai/jobs/info/66745e1b6d0c13fd67e4902d?utm_campaign=1057&amp;utm_source=sheet", "Apply")</f>
        <v>Apply</v>
      </c>
      <c r="C1393" s="10" t="s">
        <v>25477</v>
      </c>
      <c r="D1393" s="56" t="s">
        <v>4448</v>
      </c>
      <c r="E1393" s="10" t="s">
        <v>71</v>
      </c>
      <c r="F1393" s="10" t="s">
        <v>4449</v>
      </c>
      <c r="G1393" s="10" t="s">
        <v>24043</v>
      </c>
      <c r="H1393" s="10" t="s">
        <v>7499</v>
      </c>
      <c r="I1393" s="10" t="s">
        <v>55</v>
      </c>
      <c r="K1393" s="10" t="s">
        <v>4450</v>
      </c>
      <c r="L1393" s="10" t="s">
        <v>42</v>
      </c>
    </row>
    <row r="1394" ht="15.75" customHeight="1">
      <c r="A1394" s="66">
        <v>45462.0</v>
      </c>
      <c r="B1394" s="55" t="str">
        <f>HYPERLINK("https://jobright.ai/jobs/info/66745e1b6d0c13fd67e49042?utm_campaign=1057&amp;utm_source=sheet", "Apply")</f>
        <v>Apply</v>
      </c>
      <c r="C1394" s="10" t="s">
        <v>25478</v>
      </c>
      <c r="D1394" s="56" t="s">
        <v>4448</v>
      </c>
      <c r="E1394" s="10" t="s">
        <v>71</v>
      </c>
      <c r="F1394" s="10" t="s">
        <v>4449</v>
      </c>
      <c r="G1394" s="10" t="s">
        <v>24043</v>
      </c>
      <c r="H1394" s="10" t="s">
        <v>25479</v>
      </c>
      <c r="I1394" s="10" t="s">
        <v>55</v>
      </c>
      <c r="K1394" s="10" t="s">
        <v>4450</v>
      </c>
      <c r="L1394" s="10" t="s">
        <v>42</v>
      </c>
    </row>
    <row r="1395" ht="15.75" customHeight="1">
      <c r="A1395" s="66">
        <v>45462.0</v>
      </c>
      <c r="B1395" s="55" t="str">
        <f>HYPERLINK("https://jobright.ai/jobs/info/66745e216d0c13fd67e4907c?utm_campaign=1057&amp;utm_source=sheet", "Apply")</f>
        <v>Apply</v>
      </c>
      <c r="C1395" s="10" t="s">
        <v>25461</v>
      </c>
      <c r="D1395" s="56" t="s">
        <v>4448</v>
      </c>
      <c r="E1395" s="10" t="s">
        <v>71</v>
      </c>
      <c r="F1395" s="10" t="s">
        <v>4449</v>
      </c>
      <c r="G1395" s="10" t="s">
        <v>24043</v>
      </c>
      <c r="H1395" s="10" t="s">
        <v>25480</v>
      </c>
      <c r="I1395" s="10" t="s">
        <v>55</v>
      </c>
      <c r="K1395" s="10" t="s">
        <v>4450</v>
      </c>
      <c r="L1395" s="10" t="s">
        <v>42</v>
      </c>
    </row>
    <row r="1396" ht="15.75" customHeight="1">
      <c r="A1396" s="66">
        <v>45462.0</v>
      </c>
      <c r="B1396" s="55" t="str">
        <f>HYPERLINK("https://jobright.ai/jobs/info/66745e266d0c13fd67e4911e?utm_campaign=1057&amp;utm_source=sheet", "Apply")</f>
        <v>Apply</v>
      </c>
      <c r="C1396" s="10" t="s">
        <v>25478</v>
      </c>
      <c r="D1396" s="56" t="s">
        <v>4448</v>
      </c>
      <c r="E1396" s="10" t="s">
        <v>71</v>
      </c>
      <c r="F1396" s="10" t="s">
        <v>4449</v>
      </c>
      <c r="G1396" s="10" t="s">
        <v>24043</v>
      </c>
      <c r="H1396" s="10" t="s">
        <v>25145</v>
      </c>
      <c r="I1396" s="10" t="s">
        <v>55</v>
      </c>
      <c r="K1396" s="10" t="s">
        <v>4450</v>
      </c>
      <c r="L1396" s="10" t="s">
        <v>42</v>
      </c>
    </row>
    <row r="1397" ht="15.75" customHeight="1">
      <c r="A1397" s="66">
        <v>45462.0</v>
      </c>
      <c r="B1397" s="55" t="str">
        <f>HYPERLINK("https://jobright.ai/jobs/info/66745e266d0c13fd67e4918f?utm_campaign=1057&amp;utm_source=sheet", "Apply")</f>
        <v>Apply</v>
      </c>
      <c r="C1397" s="10" t="s">
        <v>24494</v>
      </c>
      <c r="D1397" s="56" t="s">
        <v>4448</v>
      </c>
      <c r="E1397" s="10" t="s">
        <v>71</v>
      </c>
      <c r="F1397" s="10" t="s">
        <v>4449</v>
      </c>
      <c r="G1397" s="10" t="s">
        <v>24043</v>
      </c>
      <c r="H1397" s="10" t="s">
        <v>2123</v>
      </c>
      <c r="I1397" s="10" t="s">
        <v>55</v>
      </c>
      <c r="K1397" s="10" t="s">
        <v>4450</v>
      </c>
      <c r="L1397" s="10" t="s">
        <v>42</v>
      </c>
    </row>
    <row r="1398" ht="15.75" customHeight="1">
      <c r="A1398" s="66">
        <v>45462.0</v>
      </c>
      <c r="B1398" s="55" t="str">
        <f>HYPERLINK("https://jobright.ai/jobs/info/66745e2c6d0c13fd67e4920f?utm_campaign=1057&amp;utm_source=sheet", "Apply")</f>
        <v>Apply</v>
      </c>
      <c r="C1398" s="10" t="s">
        <v>25415</v>
      </c>
      <c r="D1398" s="56" t="s">
        <v>4448</v>
      </c>
      <c r="E1398" s="10" t="s">
        <v>71</v>
      </c>
      <c r="F1398" s="10" t="s">
        <v>4449</v>
      </c>
      <c r="G1398" s="10" t="s">
        <v>24043</v>
      </c>
      <c r="H1398" s="10" t="s">
        <v>7497</v>
      </c>
      <c r="I1398" s="10" t="s">
        <v>55</v>
      </c>
      <c r="K1398" s="10" t="s">
        <v>4450</v>
      </c>
      <c r="L1398" s="10" t="s">
        <v>42</v>
      </c>
    </row>
    <row r="1399" ht="15.75" customHeight="1">
      <c r="A1399" s="66">
        <v>45462.0</v>
      </c>
      <c r="B1399" s="55" t="str">
        <f>HYPERLINK("https://jobright.ai/jobs/info/66745e2c6d0c13fd67e49208?utm_campaign=1057&amp;utm_source=sheet", "Apply")</f>
        <v>Apply</v>
      </c>
      <c r="C1399" s="10" t="s">
        <v>24494</v>
      </c>
      <c r="D1399" s="56" t="s">
        <v>4448</v>
      </c>
      <c r="E1399" s="10" t="s">
        <v>71</v>
      </c>
      <c r="F1399" s="10" t="s">
        <v>4449</v>
      </c>
      <c r="G1399" s="10" t="s">
        <v>24043</v>
      </c>
      <c r="H1399" s="10" t="s">
        <v>25481</v>
      </c>
      <c r="I1399" s="10" t="s">
        <v>55</v>
      </c>
      <c r="K1399" s="10" t="s">
        <v>4450</v>
      </c>
      <c r="L1399" s="10" t="s">
        <v>42</v>
      </c>
    </row>
    <row r="1400" ht="15.75" customHeight="1">
      <c r="A1400" s="66">
        <v>45462.0</v>
      </c>
      <c r="B1400" s="55" t="str">
        <f>HYPERLINK("https://jobright.ai/jobs/info/66745e2c6d0c13fd67e49292?utm_campaign=1057&amp;utm_source=sheet", "Apply")</f>
        <v>Apply</v>
      </c>
      <c r="C1400" s="10" t="s">
        <v>24494</v>
      </c>
      <c r="D1400" s="56" t="s">
        <v>4448</v>
      </c>
      <c r="E1400" s="10" t="s">
        <v>71</v>
      </c>
      <c r="F1400" s="10" t="s">
        <v>4449</v>
      </c>
      <c r="G1400" s="10" t="s">
        <v>24043</v>
      </c>
      <c r="H1400" s="10" t="s">
        <v>13924</v>
      </c>
      <c r="I1400" s="10" t="s">
        <v>55</v>
      </c>
      <c r="K1400" s="10" t="s">
        <v>4450</v>
      </c>
      <c r="L1400" s="10" t="s">
        <v>42</v>
      </c>
    </row>
    <row r="1401" ht="15.75" customHeight="1">
      <c r="A1401" s="66">
        <v>45462.0</v>
      </c>
      <c r="B1401" s="55" t="str">
        <f>HYPERLINK("https://jobright.ai/jobs/info/66745e326d0c13fd67e49313?utm_campaign=1057&amp;utm_source=sheet", "Apply")</f>
        <v>Apply</v>
      </c>
      <c r="C1401" s="10" t="s">
        <v>25482</v>
      </c>
      <c r="D1401" s="56" t="s">
        <v>4448</v>
      </c>
      <c r="E1401" s="10" t="s">
        <v>71</v>
      </c>
      <c r="F1401" s="10" t="s">
        <v>4449</v>
      </c>
      <c r="G1401" s="10" t="s">
        <v>24043</v>
      </c>
      <c r="H1401" s="10" t="s">
        <v>21698</v>
      </c>
      <c r="I1401" s="10" t="s">
        <v>55</v>
      </c>
      <c r="K1401" s="10" t="s">
        <v>4450</v>
      </c>
      <c r="L1401" s="10" t="s">
        <v>42</v>
      </c>
    </row>
    <row r="1402" ht="15.75" customHeight="1">
      <c r="A1402" s="66">
        <v>45462.0</v>
      </c>
      <c r="B1402" s="55" t="str">
        <f>HYPERLINK("https://jobright.ai/jobs/info/66745e326d0c13fd67e4932b?utm_campaign=1057&amp;utm_source=sheet", "Apply")</f>
        <v>Apply</v>
      </c>
      <c r="C1402" s="10" t="s">
        <v>20988</v>
      </c>
      <c r="D1402" s="56" t="s">
        <v>4448</v>
      </c>
      <c r="E1402" s="10" t="s">
        <v>71</v>
      </c>
      <c r="F1402" s="10" t="s">
        <v>4449</v>
      </c>
      <c r="G1402" s="10" t="s">
        <v>24043</v>
      </c>
      <c r="H1402" s="10" t="s">
        <v>21698</v>
      </c>
      <c r="I1402" s="10" t="s">
        <v>55</v>
      </c>
      <c r="K1402" s="10" t="s">
        <v>4450</v>
      </c>
      <c r="L1402" s="10" t="s">
        <v>42</v>
      </c>
    </row>
    <row r="1403" ht="15.75" customHeight="1">
      <c r="A1403" s="66">
        <v>45462.0</v>
      </c>
      <c r="B1403" s="55" t="str">
        <f>HYPERLINK("https://jobright.ai/jobs/info/66745e326d0c13fd67e49343?utm_campaign=1057&amp;utm_source=sheet", "Apply")</f>
        <v>Apply</v>
      </c>
      <c r="C1403" s="10" t="s">
        <v>25415</v>
      </c>
      <c r="D1403" s="56" t="s">
        <v>4448</v>
      </c>
      <c r="E1403" s="10" t="s">
        <v>71</v>
      </c>
      <c r="F1403" s="10" t="s">
        <v>4449</v>
      </c>
      <c r="G1403" s="10" t="s">
        <v>24043</v>
      </c>
      <c r="H1403" s="10" t="s">
        <v>2123</v>
      </c>
      <c r="I1403" s="10" t="s">
        <v>55</v>
      </c>
      <c r="K1403" s="10" t="s">
        <v>4450</v>
      </c>
      <c r="L1403" s="10" t="s">
        <v>42</v>
      </c>
    </row>
    <row r="1404" ht="15.75" customHeight="1">
      <c r="A1404" s="66">
        <v>45462.0</v>
      </c>
      <c r="B1404" s="55" t="str">
        <f>HYPERLINK("https://jobright.ai/jobs/info/66745e376d0c13fd67e493ea?utm_campaign=1057&amp;utm_source=sheet", "Apply")</f>
        <v>Apply</v>
      </c>
      <c r="C1404" s="10" t="s">
        <v>25478</v>
      </c>
      <c r="D1404" s="56" t="s">
        <v>4448</v>
      </c>
      <c r="E1404" s="10" t="s">
        <v>71</v>
      </c>
      <c r="F1404" s="10" t="s">
        <v>4449</v>
      </c>
      <c r="G1404" s="10" t="s">
        <v>24043</v>
      </c>
      <c r="H1404" s="10" t="s">
        <v>16746</v>
      </c>
      <c r="I1404" s="10" t="s">
        <v>55</v>
      </c>
      <c r="K1404" s="10" t="s">
        <v>4450</v>
      </c>
      <c r="L1404" s="10" t="s">
        <v>42</v>
      </c>
    </row>
    <row r="1405" ht="15.75" customHeight="1">
      <c r="A1405" s="66">
        <v>45462.0</v>
      </c>
      <c r="B1405" s="55" t="str">
        <f>HYPERLINK("https://jobright.ai/jobs/info/66745e376d0c13fd67e493f1?utm_campaign=1057&amp;utm_source=sheet", "Apply")</f>
        <v>Apply</v>
      </c>
      <c r="C1405" s="10" t="s">
        <v>20988</v>
      </c>
      <c r="D1405" s="56" t="s">
        <v>4448</v>
      </c>
      <c r="E1405" s="10" t="s">
        <v>71</v>
      </c>
      <c r="F1405" s="10" t="s">
        <v>4449</v>
      </c>
      <c r="G1405" s="10" t="s">
        <v>24043</v>
      </c>
      <c r="H1405" s="10" t="s">
        <v>25483</v>
      </c>
      <c r="I1405" s="10" t="s">
        <v>55</v>
      </c>
      <c r="K1405" s="10" t="s">
        <v>4450</v>
      </c>
      <c r="L1405" s="10" t="s">
        <v>42</v>
      </c>
    </row>
    <row r="1406" ht="15.75" customHeight="1">
      <c r="A1406" s="66">
        <v>45462.0</v>
      </c>
      <c r="B1406" s="55" t="str">
        <f>HYPERLINK("https://jobright.ai/jobs/info/66745e376d0c13fd67e4942e?utm_campaign=1057&amp;utm_source=sheet", "Apply")</f>
        <v>Apply</v>
      </c>
      <c r="C1406" s="10" t="s">
        <v>25477</v>
      </c>
      <c r="D1406" s="56" t="s">
        <v>4448</v>
      </c>
      <c r="E1406" s="10" t="s">
        <v>71</v>
      </c>
      <c r="F1406" s="10" t="s">
        <v>4449</v>
      </c>
      <c r="G1406" s="10" t="s">
        <v>24043</v>
      </c>
      <c r="H1406" s="10" t="s">
        <v>25085</v>
      </c>
      <c r="I1406" s="10" t="s">
        <v>55</v>
      </c>
      <c r="K1406" s="10" t="s">
        <v>4450</v>
      </c>
      <c r="L1406" s="10" t="s">
        <v>42</v>
      </c>
    </row>
    <row r="1407" ht="15.75" customHeight="1">
      <c r="A1407" s="66">
        <v>45462.0</v>
      </c>
      <c r="B1407" s="55" t="str">
        <f>HYPERLINK("https://jobright.ai/jobs/info/66745e436d0c13fd67e4952b?utm_campaign=1057&amp;utm_source=sheet", "Apply")</f>
        <v>Apply</v>
      </c>
      <c r="C1407" s="10" t="s">
        <v>24494</v>
      </c>
      <c r="D1407" s="56" t="s">
        <v>4448</v>
      </c>
      <c r="E1407" s="10" t="s">
        <v>71</v>
      </c>
      <c r="F1407" s="10" t="s">
        <v>4449</v>
      </c>
      <c r="G1407" s="10" t="s">
        <v>24043</v>
      </c>
      <c r="H1407" s="10" t="s">
        <v>1025</v>
      </c>
      <c r="I1407" s="10" t="s">
        <v>55</v>
      </c>
      <c r="K1407" s="10" t="s">
        <v>4450</v>
      </c>
      <c r="L1407" s="10" t="s">
        <v>42</v>
      </c>
    </row>
    <row r="1408" ht="15.75" customHeight="1">
      <c r="A1408" s="66">
        <v>45462.0</v>
      </c>
      <c r="B1408" s="55" t="str">
        <f>HYPERLINK("https://jobright.ai/jobs/info/66745e436d0c13fd67e495c1?utm_campaign=1057&amp;utm_source=sheet", "Apply")</f>
        <v>Apply</v>
      </c>
      <c r="C1408" s="10" t="s">
        <v>24494</v>
      </c>
      <c r="D1408" s="56" t="s">
        <v>4448</v>
      </c>
      <c r="E1408" s="10" t="s">
        <v>71</v>
      </c>
      <c r="F1408" s="10" t="s">
        <v>4449</v>
      </c>
      <c r="G1408" s="10" t="s">
        <v>24043</v>
      </c>
      <c r="H1408" s="10" t="s">
        <v>25484</v>
      </c>
      <c r="I1408" s="10" t="s">
        <v>55</v>
      </c>
      <c r="K1408" s="10" t="s">
        <v>4450</v>
      </c>
      <c r="L1408" s="10" t="s">
        <v>42</v>
      </c>
    </row>
    <row r="1409" ht="15.75" customHeight="1">
      <c r="A1409" s="66">
        <v>45462.0</v>
      </c>
      <c r="B1409" s="55" t="str">
        <f>HYPERLINK("https://jobright.ai/jobs/info/66745e4f6d0c13fd67e49724?utm_campaign=1057&amp;utm_source=sheet", "Apply")</f>
        <v>Apply</v>
      </c>
      <c r="C1409" s="10" t="s">
        <v>24404</v>
      </c>
      <c r="D1409" s="56" t="s">
        <v>4448</v>
      </c>
      <c r="E1409" s="10" t="s">
        <v>71</v>
      </c>
      <c r="F1409" s="10" t="s">
        <v>4449</v>
      </c>
      <c r="G1409" s="10" t="s">
        <v>24043</v>
      </c>
      <c r="H1409" s="10" t="s">
        <v>2602</v>
      </c>
      <c r="I1409" s="10" t="s">
        <v>55</v>
      </c>
      <c r="K1409" s="10" t="s">
        <v>4450</v>
      </c>
      <c r="L1409" s="10" t="s">
        <v>42</v>
      </c>
    </row>
    <row r="1410" ht="15.75" customHeight="1">
      <c r="A1410" s="66">
        <v>45462.0</v>
      </c>
      <c r="B1410" s="55" t="str">
        <f>HYPERLINK("https://jobright.ai/jobs/info/66745e4f6d0c13fd67e49726?utm_campaign=1057&amp;utm_source=sheet", "Apply")</f>
        <v>Apply</v>
      </c>
      <c r="C1410" s="10" t="s">
        <v>25415</v>
      </c>
      <c r="D1410" s="56" t="s">
        <v>4448</v>
      </c>
      <c r="E1410" s="10" t="s">
        <v>71</v>
      </c>
      <c r="F1410" s="10" t="s">
        <v>4449</v>
      </c>
      <c r="G1410" s="10" t="s">
        <v>24043</v>
      </c>
      <c r="H1410" s="10" t="s">
        <v>21699</v>
      </c>
      <c r="I1410" s="10" t="s">
        <v>55</v>
      </c>
      <c r="K1410" s="10" t="s">
        <v>4450</v>
      </c>
      <c r="L1410" s="10" t="s">
        <v>42</v>
      </c>
    </row>
    <row r="1411" ht="15.75" customHeight="1">
      <c r="A1411" s="66">
        <v>45462.0</v>
      </c>
      <c r="B1411" s="55" t="str">
        <f>HYPERLINK("https://jobright.ai/jobs/info/66745e4f6d0c13fd67e4972e?utm_campaign=1057&amp;utm_source=sheet", "Apply")</f>
        <v>Apply</v>
      </c>
      <c r="C1411" s="10" t="s">
        <v>20988</v>
      </c>
      <c r="D1411" s="56" t="s">
        <v>4448</v>
      </c>
      <c r="E1411" s="10" t="s">
        <v>71</v>
      </c>
      <c r="F1411" s="10" t="s">
        <v>4449</v>
      </c>
      <c r="G1411" s="10" t="s">
        <v>24043</v>
      </c>
      <c r="H1411" s="10" t="s">
        <v>4455</v>
      </c>
      <c r="I1411" s="10" t="s">
        <v>55</v>
      </c>
      <c r="K1411" s="10" t="s">
        <v>4450</v>
      </c>
      <c r="L1411" s="10" t="s">
        <v>42</v>
      </c>
    </row>
    <row r="1412" ht="15.75" customHeight="1">
      <c r="A1412" s="66">
        <v>45462.0</v>
      </c>
      <c r="B1412" s="55" t="str">
        <f>HYPERLINK("https://jobright.ai/jobs/info/66745e546d0c13fd67e49783?utm_campaign=1057&amp;utm_source=sheet", "Apply")</f>
        <v>Apply</v>
      </c>
      <c r="C1412" s="10" t="s">
        <v>25461</v>
      </c>
      <c r="D1412" s="56" t="s">
        <v>4448</v>
      </c>
      <c r="E1412" s="10" t="s">
        <v>71</v>
      </c>
      <c r="F1412" s="10" t="s">
        <v>4449</v>
      </c>
      <c r="G1412" s="10" t="s">
        <v>24043</v>
      </c>
      <c r="H1412" s="10" t="s">
        <v>24396</v>
      </c>
      <c r="I1412" s="10" t="s">
        <v>55</v>
      </c>
      <c r="K1412" s="10" t="s">
        <v>4450</v>
      </c>
      <c r="L1412" s="10" t="s">
        <v>42</v>
      </c>
    </row>
    <row r="1413" ht="15.75" customHeight="1">
      <c r="A1413" s="66">
        <v>45462.0</v>
      </c>
      <c r="B1413" s="55" t="str">
        <f>HYPERLINK("https://jobright.ai/jobs/info/66745e546d0c13fd67e497ba?utm_campaign=1057&amp;utm_source=sheet", "Apply")</f>
        <v>Apply</v>
      </c>
      <c r="C1413" s="10" t="s">
        <v>25461</v>
      </c>
      <c r="D1413" s="56" t="s">
        <v>4448</v>
      </c>
      <c r="E1413" s="10" t="s">
        <v>71</v>
      </c>
      <c r="F1413" s="10" t="s">
        <v>4449</v>
      </c>
      <c r="G1413" s="10" t="s">
        <v>24043</v>
      </c>
      <c r="H1413" s="10" t="s">
        <v>24059</v>
      </c>
      <c r="I1413" s="10" t="s">
        <v>55</v>
      </c>
      <c r="K1413" s="10" t="s">
        <v>4450</v>
      </c>
      <c r="L1413" s="10" t="s">
        <v>42</v>
      </c>
    </row>
    <row r="1414" ht="15.75" customHeight="1">
      <c r="A1414" s="66">
        <v>45462.0</v>
      </c>
      <c r="B1414" s="55" t="str">
        <f>HYPERLINK("https://jobright.ai/jobs/info/66745e546d0c13fd67e497db?utm_campaign=1057&amp;utm_source=sheet", "Apply")</f>
        <v>Apply</v>
      </c>
      <c r="C1414" s="10" t="s">
        <v>20988</v>
      </c>
      <c r="D1414" s="56" t="s">
        <v>4448</v>
      </c>
      <c r="E1414" s="10" t="s">
        <v>71</v>
      </c>
      <c r="F1414" s="10" t="s">
        <v>4449</v>
      </c>
      <c r="G1414" s="10" t="s">
        <v>24043</v>
      </c>
      <c r="H1414" s="10" t="s">
        <v>7475</v>
      </c>
      <c r="I1414" s="10" t="s">
        <v>55</v>
      </c>
      <c r="K1414" s="10" t="s">
        <v>4450</v>
      </c>
      <c r="L1414" s="10" t="s">
        <v>42</v>
      </c>
    </row>
    <row r="1415" ht="15.75" customHeight="1">
      <c r="A1415" s="66">
        <v>45462.0</v>
      </c>
      <c r="B1415" s="55" t="str">
        <f>HYPERLINK("https://jobright.ai/jobs/info/66745e5a6d0c13fd67e49838?utm_campaign=1057&amp;utm_source=sheet", "Apply")</f>
        <v>Apply</v>
      </c>
      <c r="C1415" s="10" t="s">
        <v>24508</v>
      </c>
      <c r="D1415" s="56" t="s">
        <v>4448</v>
      </c>
      <c r="E1415" s="10" t="s">
        <v>71</v>
      </c>
      <c r="F1415" s="10" t="s">
        <v>4449</v>
      </c>
      <c r="G1415" s="10" t="s">
        <v>24043</v>
      </c>
      <c r="H1415" s="10" t="s">
        <v>25109</v>
      </c>
      <c r="I1415" s="10" t="s">
        <v>55</v>
      </c>
      <c r="K1415" s="10" t="s">
        <v>4450</v>
      </c>
      <c r="L1415" s="10" t="s">
        <v>42</v>
      </c>
    </row>
    <row r="1416" ht="15.75" customHeight="1">
      <c r="A1416" s="66">
        <v>45462.0</v>
      </c>
      <c r="B1416" s="55" t="str">
        <f>HYPERLINK("https://jobright.ai/jobs/info/66745e5a6d0c13fd67e4989a?utm_campaign=1057&amp;utm_source=sheet", "Apply")</f>
        <v>Apply</v>
      </c>
      <c r="C1416" s="10" t="s">
        <v>25415</v>
      </c>
      <c r="D1416" s="56" t="s">
        <v>4448</v>
      </c>
      <c r="E1416" s="10" t="s">
        <v>71</v>
      </c>
      <c r="F1416" s="10" t="s">
        <v>4449</v>
      </c>
      <c r="G1416" s="10" t="s">
        <v>24043</v>
      </c>
      <c r="H1416" s="10" t="s">
        <v>25126</v>
      </c>
      <c r="I1416" s="10" t="s">
        <v>55</v>
      </c>
      <c r="K1416" s="10" t="s">
        <v>4450</v>
      </c>
      <c r="L1416" s="10" t="s">
        <v>42</v>
      </c>
    </row>
    <row r="1417" ht="15.75" customHeight="1">
      <c r="A1417" s="66">
        <v>45462.0</v>
      </c>
      <c r="B1417" s="55" t="str">
        <f>HYPERLINK("https://jobright.ai/jobs/info/66745e606d0c13fd67e49950?utm_campaign=1057&amp;utm_source=sheet", "Apply")</f>
        <v>Apply</v>
      </c>
      <c r="C1417" s="10" t="s">
        <v>25485</v>
      </c>
      <c r="D1417" s="56" t="s">
        <v>4448</v>
      </c>
      <c r="E1417" s="10" t="s">
        <v>71</v>
      </c>
      <c r="F1417" s="10" t="s">
        <v>4449</v>
      </c>
      <c r="G1417" s="10" t="s">
        <v>24043</v>
      </c>
      <c r="H1417" s="10" t="s">
        <v>21671</v>
      </c>
      <c r="I1417" s="10" t="s">
        <v>55</v>
      </c>
      <c r="K1417" s="10" t="s">
        <v>4450</v>
      </c>
      <c r="L1417" s="10" t="s">
        <v>42</v>
      </c>
    </row>
    <row r="1418" ht="15.75" customHeight="1">
      <c r="A1418" s="66">
        <v>45462.0</v>
      </c>
      <c r="B1418" s="55" t="str">
        <f>HYPERLINK("https://jobright.ai/jobs/info/66746af7afaefe573cacf29c?utm_campaign=1057&amp;utm_source=sheet", "Apply")</f>
        <v>Apply</v>
      </c>
      <c r="C1418" s="10" t="s">
        <v>24502</v>
      </c>
      <c r="D1418" s="56" t="s">
        <v>4448</v>
      </c>
      <c r="E1418" s="10" t="s">
        <v>71</v>
      </c>
      <c r="F1418" s="10" t="s">
        <v>4449</v>
      </c>
      <c r="G1418" s="10" t="s">
        <v>24043</v>
      </c>
      <c r="H1418" s="10" t="s">
        <v>25486</v>
      </c>
      <c r="I1418" s="10" t="s">
        <v>55</v>
      </c>
      <c r="K1418" s="10" t="s">
        <v>4450</v>
      </c>
      <c r="L1418" s="10" t="s">
        <v>42</v>
      </c>
    </row>
    <row r="1419" ht="15.75" customHeight="1">
      <c r="A1419" s="66">
        <v>45462.0</v>
      </c>
      <c r="B1419" s="55" t="str">
        <f>HYPERLINK("https://jobright.ai/jobs/info/66746af7afaefe573cacf2b2?utm_campaign=1057&amp;utm_source=sheet", "Apply")</f>
        <v>Apply</v>
      </c>
      <c r="C1419" s="10" t="s">
        <v>25477</v>
      </c>
      <c r="D1419" s="56" t="s">
        <v>4448</v>
      </c>
      <c r="E1419" s="10" t="s">
        <v>71</v>
      </c>
      <c r="F1419" s="10" t="s">
        <v>4449</v>
      </c>
      <c r="G1419" s="10" t="s">
        <v>24043</v>
      </c>
      <c r="H1419" s="10" t="s">
        <v>25487</v>
      </c>
      <c r="I1419" s="10" t="s">
        <v>55</v>
      </c>
      <c r="K1419" s="10" t="s">
        <v>4450</v>
      </c>
      <c r="L1419" s="10" t="s">
        <v>42</v>
      </c>
    </row>
    <row r="1420" ht="15.75" customHeight="1">
      <c r="A1420" s="66">
        <v>45462.0</v>
      </c>
      <c r="B1420" s="55" t="str">
        <f>HYPERLINK("https://jobright.ai/jobs/info/66746af7afaefe573cacf319?utm_campaign=1057&amp;utm_source=sheet", "Apply")</f>
        <v>Apply</v>
      </c>
      <c r="C1420" s="10" t="s">
        <v>24508</v>
      </c>
      <c r="D1420" s="56" t="s">
        <v>4448</v>
      </c>
      <c r="E1420" s="10" t="s">
        <v>71</v>
      </c>
      <c r="F1420" s="10" t="s">
        <v>4449</v>
      </c>
      <c r="G1420" s="10" t="s">
        <v>24043</v>
      </c>
      <c r="H1420" s="10" t="s">
        <v>25488</v>
      </c>
      <c r="I1420" s="10" t="s">
        <v>55</v>
      </c>
      <c r="K1420" s="10" t="s">
        <v>4450</v>
      </c>
      <c r="L1420" s="10" t="s">
        <v>42</v>
      </c>
    </row>
    <row r="1421" ht="15.75" customHeight="1">
      <c r="A1421" s="66">
        <v>45462.0</v>
      </c>
      <c r="B1421" s="55" t="str">
        <f>HYPERLINK("https://jobright.ai/jobs/info/66746af7afaefe573cacf326?utm_campaign=1057&amp;utm_source=sheet", "Apply")</f>
        <v>Apply</v>
      </c>
      <c r="C1421" s="10" t="s">
        <v>24508</v>
      </c>
      <c r="D1421" s="56" t="s">
        <v>4448</v>
      </c>
      <c r="E1421" s="10" t="s">
        <v>71</v>
      </c>
      <c r="F1421" s="10" t="s">
        <v>4449</v>
      </c>
      <c r="G1421" s="10" t="s">
        <v>24043</v>
      </c>
      <c r="H1421" s="10" t="s">
        <v>25489</v>
      </c>
      <c r="I1421" s="10" t="s">
        <v>55</v>
      </c>
      <c r="K1421" s="10" t="s">
        <v>4450</v>
      </c>
      <c r="L1421" s="10" t="s">
        <v>42</v>
      </c>
    </row>
    <row r="1422" ht="15.75" customHeight="1">
      <c r="A1422" s="66">
        <v>45462.0</v>
      </c>
      <c r="B1422" s="55" t="str">
        <f>HYPERLINK("https://jobright.ai/jobs/info/66746afcafaefe573cacf36c?utm_campaign=1057&amp;utm_source=sheet", "Apply")</f>
        <v>Apply</v>
      </c>
      <c r="C1422" s="10" t="s">
        <v>25461</v>
      </c>
      <c r="D1422" s="56" t="s">
        <v>4448</v>
      </c>
      <c r="E1422" s="10" t="s">
        <v>71</v>
      </c>
      <c r="F1422" s="10" t="s">
        <v>4449</v>
      </c>
      <c r="G1422" s="10" t="s">
        <v>24043</v>
      </c>
      <c r="H1422" s="10" t="s">
        <v>2602</v>
      </c>
      <c r="I1422" s="10" t="s">
        <v>55</v>
      </c>
      <c r="K1422" s="10" t="s">
        <v>4450</v>
      </c>
      <c r="L1422" s="10" t="s">
        <v>42</v>
      </c>
    </row>
    <row r="1423" ht="15.75" customHeight="1">
      <c r="A1423" s="66">
        <v>45462.0</v>
      </c>
      <c r="B1423" s="55" t="str">
        <f>HYPERLINK("https://jobright.ai/jobs/info/66746b01afaefe573cacf41c?utm_campaign=1057&amp;utm_source=sheet", "Apply")</f>
        <v>Apply</v>
      </c>
      <c r="C1423" s="10" t="s">
        <v>25485</v>
      </c>
      <c r="D1423" s="56" t="s">
        <v>4448</v>
      </c>
      <c r="E1423" s="10" t="s">
        <v>71</v>
      </c>
      <c r="F1423" s="10" t="s">
        <v>4449</v>
      </c>
      <c r="G1423" s="10" t="s">
        <v>24043</v>
      </c>
      <c r="H1423" s="10" t="s">
        <v>2123</v>
      </c>
      <c r="I1423" s="10" t="s">
        <v>55</v>
      </c>
      <c r="K1423" s="10" t="s">
        <v>4450</v>
      </c>
      <c r="L1423" s="10" t="s">
        <v>42</v>
      </c>
    </row>
    <row r="1424" ht="15.75" customHeight="1">
      <c r="A1424" s="66">
        <v>45462.0</v>
      </c>
      <c r="B1424" s="55" t="str">
        <f>HYPERLINK("https://jobright.ai/jobs/info/66746b01afaefe573cacf42b?utm_campaign=1057&amp;utm_source=sheet", "Apply")</f>
        <v>Apply</v>
      </c>
      <c r="C1424" s="10" t="s">
        <v>25485</v>
      </c>
      <c r="D1424" s="56" t="s">
        <v>4448</v>
      </c>
      <c r="E1424" s="10" t="s">
        <v>71</v>
      </c>
      <c r="F1424" s="10" t="s">
        <v>4449</v>
      </c>
      <c r="G1424" s="10" t="s">
        <v>24043</v>
      </c>
      <c r="H1424" s="10" t="s">
        <v>25490</v>
      </c>
      <c r="I1424" s="10" t="s">
        <v>55</v>
      </c>
      <c r="K1424" s="10" t="s">
        <v>4450</v>
      </c>
      <c r="L1424" s="10" t="s">
        <v>42</v>
      </c>
    </row>
    <row r="1425" ht="15.75" customHeight="1">
      <c r="A1425" s="66">
        <v>45462.0</v>
      </c>
      <c r="B1425" s="55" t="str">
        <f>HYPERLINK("https://jobright.ai/jobs/info/66746b01afaefe573cacf463?utm_campaign=1057&amp;utm_source=sheet", "Apply")</f>
        <v>Apply</v>
      </c>
      <c r="C1425" s="10" t="s">
        <v>24508</v>
      </c>
      <c r="D1425" s="56" t="s">
        <v>4448</v>
      </c>
      <c r="E1425" s="10" t="s">
        <v>71</v>
      </c>
      <c r="F1425" s="10" t="s">
        <v>4449</v>
      </c>
      <c r="G1425" s="10" t="s">
        <v>24043</v>
      </c>
      <c r="H1425" s="10" t="s">
        <v>25085</v>
      </c>
      <c r="I1425" s="10" t="s">
        <v>55</v>
      </c>
      <c r="K1425" s="10" t="s">
        <v>4450</v>
      </c>
      <c r="L1425" s="10" t="s">
        <v>42</v>
      </c>
    </row>
    <row r="1426" ht="15.75" customHeight="1">
      <c r="A1426" s="66">
        <v>45462.0</v>
      </c>
      <c r="B1426" s="55" t="str">
        <f>HYPERLINK("https://jobright.ai/jobs/info/66746b01afaefe573cacf459?utm_campaign=1057&amp;utm_source=sheet", "Apply")</f>
        <v>Apply</v>
      </c>
      <c r="C1426" s="10" t="s">
        <v>24494</v>
      </c>
      <c r="D1426" s="56" t="s">
        <v>4448</v>
      </c>
      <c r="E1426" s="10" t="s">
        <v>71</v>
      </c>
      <c r="F1426" s="10" t="s">
        <v>4449</v>
      </c>
      <c r="G1426" s="10" t="s">
        <v>24043</v>
      </c>
      <c r="H1426" s="10" t="s">
        <v>25137</v>
      </c>
      <c r="I1426" s="10" t="s">
        <v>55</v>
      </c>
      <c r="K1426" s="10" t="s">
        <v>4450</v>
      </c>
      <c r="L1426" s="10" t="s">
        <v>42</v>
      </c>
    </row>
    <row r="1427" ht="15.75" customHeight="1">
      <c r="A1427" s="66">
        <v>45462.0</v>
      </c>
      <c r="B1427" s="55" t="str">
        <f>HYPERLINK("https://jobright.ai/jobs/info/66746b01afaefe573cacf4ad?utm_campaign=1057&amp;utm_source=sheet", "Apply")</f>
        <v>Apply</v>
      </c>
      <c r="C1427" s="10" t="s">
        <v>24404</v>
      </c>
      <c r="D1427" s="56" t="s">
        <v>4448</v>
      </c>
      <c r="E1427" s="10" t="s">
        <v>71</v>
      </c>
      <c r="F1427" s="10" t="s">
        <v>4449</v>
      </c>
      <c r="G1427" s="10" t="s">
        <v>24043</v>
      </c>
      <c r="H1427" s="10" t="s">
        <v>25023</v>
      </c>
      <c r="I1427" s="10" t="s">
        <v>55</v>
      </c>
      <c r="K1427" s="10" t="s">
        <v>4450</v>
      </c>
      <c r="L1427" s="10" t="s">
        <v>42</v>
      </c>
    </row>
    <row r="1428" ht="15.75" customHeight="1">
      <c r="A1428" s="66">
        <v>45462.0</v>
      </c>
      <c r="B1428" s="55" t="str">
        <f>HYPERLINK("https://jobright.ai/jobs/info/66746b01afaefe573cacf4b9?utm_campaign=1057&amp;utm_source=sheet", "Apply")</f>
        <v>Apply</v>
      </c>
      <c r="C1428" s="10" t="s">
        <v>24502</v>
      </c>
      <c r="D1428" s="56" t="s">
        <v>4448</v>
      </c>
      <c r="E1428" s="10" t="s">
        <v>71</v>
      </c>
      <c r="F1428" s="10" t="s">
        <v>4449</v>
      </c>
      <c r="G1428" s="10" t="s">
        <v>24043</v>
      </c>
      <c r="H1428" s="10" t="s">
        <v>10627</v>
      </c>
      <c r="I1428" s="10" t="s">
        <v>55</v>
      </c>
      <c r="K1428" s="10" t="s">
        <v>4450</v>
      </c>
      <c r="L1428" s="10" t="s">
        <v>42</v>
      </c>
    </row>
    <row r="1429" ht="15.75" customHeight="1">
      <c r="A1429" s="66">
        <v>45462.0</v>
      </c>
      <c r="B1429" s="55" t="str">
        <f>HYPERLINK("https://jobright.ai/jobs/info/66746b07afaefe573cacf4e6?utm_campaign=1057&amp;utm_source=sheet", "Apply")</f>
        <v>Apply</v>
      </c>
      <c r="C1429" s="10" t="s">
        <v>24508</v>
      </c>
      <c r="D1429" s="56" t="s">
        <v>4448</v>
      </c>
      <c r="E1429" s="10" t="s">
        <v>71</v>
      </c>
      <c r="F1429" s="10" t="s">
        <v>4449</v>
      </c>
      <c r="G1429" s="10" t="s">
        <v>24043</v>
      </c>
      <c r="H1429" s="10" t="s">
        <v>21674</v>
      </c>
      <c r="I1429" s="10" t="s">
        <v>55</v>
      </c>
      <c r="K1429" s="10" t="s">
        <v>4450</v>
      </c>
      <c r="L1429" s="10" t="s">
        <v>42</v>
      </c>
    </row>
    <row r="1430" ht="15.75" customHeight="1">
      <c r="A1430" s="66">
        <v>45462.0</v>
      </c>
      <c r="B1430" s="55" t="str">
        <f>HYPERLINK("https://jobright.ai/jobs/info/66746b07afaefe573cacf4ee?utm_campaign=1057&amp;utm_source=sheet", "Apply")</f>
        <v>Apply</v>
      </c>
      <c r="C1430" s="10" t="s">
        <v>24508</v>
      </c>
      <c r="D1430" s="56" t="s">
        <v>4448</v>
      </c>
      <c r="E1430" s="10" t="s">
        <v>71</v>
      </c>
      <c r="F1430" s="10" t="s">
        <v>4449</v>
      </c>
      <c r="G1430" s="10" t="s">
        <v>24043</v>
      </c>
      <c r="H1430" s="10" t="s">
        <v>8212</v>
      </c>
      <c r="I1430" s="10" t="s">
        <v>55</v>
      </c>
      <c r="K1430" s="10" t="s">
        <v>4450</v>
      </c>
      <c r="L1430" s="10" t="s">
        <v>42</v>
      </c>
    </row>
    <row r="1431" ht="15.75" customHeight="1">
      <c r="A1431" s="66">
        <v>45462.0</v>
      </c>
      <c r="B1431" s="55" t="str">
        <f>HYPERLINK("https://jobright.ai/jobs/info/66746b07afaefe573cacf4ef?utm_campaign=1057&amp;utm_source=sheet", "Apply")</f>
        <v>Apply</v>
      </c>
      <c r="C1431" s="10" t="s">
        <v>25461</v>
      </c>
      <c r="D1431" s="56" t="s">
        <v>4448</v>
      </c>
      <c r="E1431" s="10" t="s">
        <v>71</v>
      </c>
      <c r="F1431" s="10" t="s">
        <v>4449</v>
      </c>
      <c r="G1431" s="10" t="s">
        <v>24043</v>
      </c>
      <c r="H1431" s="10" t="s">
        <v>25084</v>
      </c>
      <c r="I1431" s="10" t="s">
        <v>55</v>
      </c>
      <c r="K1431" s="10" t="s">
        <v>4450</v>
      </c>
      <c r="L1431" s="10" t="s">
        <v>42</v>
      </c>
    </row>
    <row r="1432" ht="15.75" customHeight="1">
      <c r="A1432" s="66">
        <v>45462.0</v>
      </c>
      <c r="B1432" s="55" t="str">
        <f>HYPERLINK("https://jobright.ai/jobs/info/66746b07afaefe573cacf522?utm_campaign=1057&amp;utm_source=sheet", "Apply")</f>
        <v>Apply</v>
      </c>
      <c r="C1432" s="10" t="s">
        <v>20988</v>
      </c>
      <c r="D1432" s="56" t="s">
        <v>4448</v>
      </c>
      <c r="E1432" s="10" t="s">
        <v>71</v>
      </c>
      <c r="F1432" s="10" t="s">
        <v>4449</v>
      </c>
      <c r="G1432" s="10" t="s">
        <v>24043</v>
      </c>
      <c r="H1432" s="10" t="s">
        <v>24784</v>
      </c>
      <c r="I1432" s="10" t="s">
        <v>55</v>
      </c>
      <c r="K1432" s="10" t="s">
        <v>4450</v>
      </c>
      <c r="L1432" s="10" t="s">
        <v>42</v>
      </c>
    </row>
    <row r="1433" ht="15.75" customHeight="1">
      <c r="A1433" s="66">
        <v>45462.0</v>
      </c>
      <c r="B1433" s="55" t="str">
        <f>HYPERLINK("https://jobright.ai/jobs/info/66746b07afaefe573cacf571?utm_campaign=1057&amp;utm_source=sheet", "Apply")</f>
        <v>Apply</v>
      </c>
      <c r="C1433" s="10" t="s">
        <v>24508</v>
      </c>
      <c r="D1433" s="56" t="s">
        <v>4448</v>
      </c>
      <c r="E1433" s="10" t="s">
        <v>71</v>
      </c>
      <c r="F1433" s="10" t="s">
        <v>4449</v>
      </c>
      <c r="G1433" s="10" t="s">
        <v>24043</v>
      </c>
      <c r="H1433" s="10" t="s">
        <v>25491</v>
      </c>
      <c r="I1433" s="10" t="s">
        <v>55</v>
      </c>
      <c r="K1433" s="10" t="s">
        <v>4450</v>
      </c>
      <c r="L1433" s="10" t="s">
        <v>42</v>
      </c>
    </row>
    <row r="1434" ht="15.75" customHeight="1">
      <c r="A1434" s="66">
        <v>45462.0</v>
      </c>
      <c r="B1434" s="55" t="str">
        <f>HYPERLINK("https://jobright.ai/jobs/info/66746b0cafaefe573cacf5d6?utm_campaign=1057&amp;utm_source=sheet", "Apply")</f>
        <v>Apply</v>
      </c>
      <c r="C1434" s="10" t="s">
        <v>25415</v>
      </c>
      <c r="D1434" s="56" t="s">
        <v>4448</v>
      </c>
      <c r="E1434" s="10" t="s">
        <v>71</v>
      </c>
      <c r="F1434" s="10" t="s">
        <v>4449</v>
      </c>
      <c r="G1434" s="10" t="s">
        <v>24043</v>
      </c>
      <c r="H1434" s="10" t="s">
        <v>16741</v>
      </c>
      <c r="I1434" s="10" t="s">
        <v>55</v>
      </c>
      <c r="K1434" s="10" t="s">
        <v>4450</v>
      </c>
      <c r="L1434" s="10" t="s">
        <v>42</v>
      </c>
    </row>
    <row r="1435" ht="15.75" customHeight="1">
      <c r="A1435" s="66">
        <v>45462.0</v>
      </c>
      <c r="B1435" s="55" t="str">
        <f>HYPERLINK("https://jobright.ai/jobs/info/66746b0cafaefe573cacf604?utm_campaign=1057&amp;utm_source=sheet", "Apply")</f>
        <v>Apply</v>
      </c>
      <c r="C1435" s="10" t="s">
        <v>25415</v>
      </c>
      <c r="D1435" s="56" t="s">
        <v>4448</v>
      </c>
      <c r="E1435" s="10" t="s">
        <v>71</v>
      </c>
      <c r="F1435" s="10" t="s">
        <v>4449</v>
      </c>
      <c r="G1435" s="10" t="s">
        <v>24043</v>
      </c>
      <c r="H1435" s="10" t="s">
        <v>25023</v>
      </c>
      <c r="I1435" s="10" t="s">
        <v>55</v>
      </c>
      <c r="K1435" s="10" t="s">
        <v>4450</v>
      </c>
      <c r="L1435" s="10" t="s">
        <v>42</v>
      </c>
    </row>
    <row r="1436" ht="15.75" customHeight="1">
      <c r="A1436" s="66">
        <v>45462.0</v>
      </c>
      <c r="B1436" s="55" t="str">
        <f>HYPERLINK("https://jobright.ai/jobs/info/66746b11afaefe573cacf65c?utm_campaign=1057&amp;utm_source=sheet", "Apply")</f>
        <v>Apply</v>
      </c>
      <c r="C1436" s="10" t="s">
        <v>25461</v>
      </c>
      <c r="D1436" s="56" t="s">
        <v>4448</v>
      </c>
      <c r="E1436" s="10" t="s">
        <v>71</v>
      </c>
      <c r="F1436" s="10" t="s">
        <v>4449</v>
      </c>
      <c r="G1436" s="10" t="s">
        <v>24043</v>
      </c>
      <c r="H1436" s="10" t="s">
        <v>25492</v>
      </c>
      <c r="I1436" s="10" t="s">
        <v>55</v>
      </c>
      <c r="K1436" s="10" t="s">
        <v>4450</v>
      </c>
      <c r="L1436" s="10" t="s">
        <v>42</v>
      </c>
    </row>
    <row r="1437" ht="15.75" customHeight="1">
      <c r="A1437" s="66">
        <v>45462.0</v>
      </c>
      <c r="B1437" s="55" t="str">
        <f>HYPERLINK("https://jobright.ai/jobs/info/66746b11afaefe573cacf690?utm_campaign=1057&amp;utm_source=sheet", "Apply")</f>
        <v>Apply</v>
      </c>
      <c r="C1437" s="10" t="s">
        <v>24508</v>
      </c>
      <c r="D1437" s="56" t="s">
        <v>4448</v>
      </c>
      <c r="E1437" s="10" t="s">
        <v>71</v>
      </c>
      <c r="F1437" s="10" t="s">
        <v>4449</v>
      </c>
      <c r="G1437" s="10" t="s">
        <v>24043</v>
      </c>
      <c r="H1437" s="10" t="s">
        <v>25416</v>
      </c>
      <c r="I1437" s="10" t="s">
        <v>55</v>
      </c>
      <c r="K1437" s="10" t="s">
        <v>4450</v>
      </c>
      <c r="L1437" s="10" t="s">
        <v>42</v>
      </c>
    </row>
    <row r="1438" ht="15.75" customHeight="1">
      <c r="A1438" s="66">
        <v>45462.0</v>
      </c>
      <c r="B1438" s="55" t="str">
        <f>HYPERLINK("https://jobright.ai/jobs/info/66746b11afaefe573cacf6d3?utm_campaign=1057&amp;utm_source=sheet", "Apply")</f>
        <v>Apply</v>
      </c>
      <c r="C1438" s="10" t="s">
        <v>24508</v>
      </c>
      <c r="D1438" s="56" t="s">
        <v>4448</v>
      </c>
      <c r="E1438" s="10" t="s">
        <v>71</v>
      </c>
      <c r="F1438" s="10" t="s">
        <v>4449</v>
      </c>
      <c r="G1438" s="10" t="s">
        <v>24043</v>
      </c>
      <c r="H1438" s="10" t="s">
        <v>25481</v>
      </c>
      <c r="I1438" s="10" t="s">
        <v>55</v>
      </c>
      <c r="K1438" s="10" t="s">
        <v>4450</v>
      </c>
      <c r="L1438" s="10" t="s">
        <v>42</v>
      </c>
    </row>
    <row r="1439" ht="15.75" customHeight="1">
      <c r="A1439" s="66">
        <v>45462.0</v>
      </c>
      <c r="B1439" s="55" t="str">
        <f>HYPERLINK("https://jobright.ai/jobs/info/66746b11afaefe573cacf6fc?utm_campaign=1057&amp;utm_source=sheet", "Apply")</f>
        <v>Apply</v>
      </c>
      <c r="C1439" s="10" t="s">
        <v>25415</v>
      </c>
      <c r="D1439" s="56" t="s">
        <v>4448</v>
      </c>
      <c r="E1439" s="10" t="s">
        <v>71</v>
      </c>
      <c r="F1439" s="10" t="s">
        <v>4449</v>
      </c>
      <c r="G1439" s="10" t="s">
        <v>24043</v>
      </c>
      <c r="H1439" s="10" t="s">
        <v>25109</v>
      </c>
      <c r="I1439" s="10" t="s">
        <v>55</v>
      </c>
      <c r="K1439" s="10" t="s">
        <v>4450</v>
      </c>
      <c r="L1439" s="10" t="s">
        <v>42</v>
      </c>
    </row>
    <row r="1440" ht="15.75" customHeight="1">
      <c r="A1440" s="66">
        <v>45462.0</v>
      </c>
      <c r="B1440" s="55" t="str">
        <f>HYPERLINK("https://jobright.ai/jobs/info/66746b17afaefe573cacf734?utm_campaign=1057&amp;utm_source=sheet", "Apply")</f>
        <v>Apply</v>
      </c>
      <c r="C1440" s="10" t="s">
        <v>24502</v>
      </c>
      <c r="D1440" s="56" t="s">
        <v>4448</v>
      </c>
      <c r="E1440" s="10" t="s">
        <v>71</v>
      </c>
      <c r="F1440" s="10" t="s">
        <v>4449</v>
      </c>
      <c r="G1440" s="10" t="s">
        <v>24043</v>
      </c>
      <c r="H1440" s="10" t="s">
        <v>25123</v>
      </c>
      <c r="I1440" s="10" t="s">
        <v>55</v>
      </c>
      <c r="K1440" s="10" t="s">
        <v>4450</v>
      </c>
      <c r="L1440" s="10" t="s">
        <v>42</v>
      </c>
    </row>
    <row r="1441" ht="15.75" customHeight="1">
      <c r="A1441" s="66">
        <v>45462.0</v>
      </c>
      <c r="B1441" s="55" t="str">
        <f>HYPERLINK("https://jobright.ai/jobs/info/66746b17afaefe573cacf72b?utm_campaign=1057&amp;utm_source=sheet", "Apply")</f>
        <v>Apply</v>
      </c>
      <c r="C1441" s="10" t="s">
        <v>25477</v>
      </c>
      <c r="D1441" s="56" t="s">
        <v>4448</v>
      </c>
      <c r="E1441" s="10" t="s">
        <v>71</v>
      </c>
      <c r="F1441" s="10" t="s">
        <v>4449</v>
      </c>
      <c r="G1441" s="10" t="s">
        <v>24043</v>
      </c>
      <c r="H1441" s="10" t="s">
        <v>21748</v>
      </c>
      <c r="I1441" s="10" t="s">
        <v>55</v>
      </c>
      <c r="K1441" s="10" t="s">
        <v>4450</v>
      </c>
      <c r="L1441" s="10" t="s">
        <v>42</v>
      </c>
    </row>
    <row r="1442" ht="15.75" customHeight="1">
      <c r="A1442" s="66">
        <v>45462.0</v>
      </c>
      <c r="B1442" s="55" t="str">
        <f>HYPERLINK("https://jobright.ai/jobs/info/66746b17afaefe573cacf757?utm_campaign=1057&amp;utm_source=sheet", "Apply")</f>
        <v>Apply</v>
      </c>
      <c r="C1442" s="10" t="s">
        <v>25485</v>
      </c>
      <c r="D1442" s="56" t="s">
        <v>4448</v>
      </c>
      <c r="E1442" s="10" t="s">
        <v>71</v>
      </c>
      <c r="F1442" s="10" t="s">
        <v>4449</v>
      </c>
      <c r="G1442" s="10" t="s">
        <v>24043</v>
      </c>
      <c r="H1442" s="10" t="s">
        <v>25124</v>
      </c>
      <c r="I1442" s="10" t="s">
        <v>55</v>
      </c>
      <c r="K1442" s="10" t="s">
        <v>4450</v>
      </c>
      <c r="L1442" s="10" t="s">
        <v>42</v>
      </c>
    </row>
    <row r="1443" ht="15.75" customHeight="1">
      <c r="A1443" s="66">
        <v>45462.0</v>
      </c>
      <c r="B1443" s="55" t="str">
        <f>HYPERLINK("https://jobright.ai/jobs/info/66746b17afaefe573cacf763?utm_campaign=1057&amp;utm_source=sheet", "Apply")</f>
        <v>Apply</v>
      </c>
      <c r="C1443" s="10" t="s">
        <v>20988</v>
      </c>
      <c r="D1443" s="56" t="s">
        <v>4448</v>
      </c>
      <c r="E1443" s="10" t="s">
        <v>71</v>
      </c>
      <c r="F1443" s="10" t="s">
        <v>4449</v>
      </c>
      <c r="G1443" s="10" t="s">
        <v>24043</v>
      </c>
      <c r="H1443" s="10" t="s">
        <v>25088</v>
      </c>
      <c r="I1443" s="10" t="s">
        <v>55</v>
      </c>
      <c r="K1443" s="10" t="s">
        <v>4450</v>
      </c>
      <c r="L1443" s="10" t="s">
        <v>42</v>
      </c>
    </row>
    <row r="1444" ht="15.75" customHeight="1">
      <c r="A1444" s="66">
        <v>45462.0</v>
      </c>
      <c r="B1444" s="55" t="str">
        <f>HYPERLINK("https://jobright.ai/jobs/info/66746b17afaefe573cacf794?utm_campaign=1057&amp;utm_source=sheet", "Apply")</f>
        <v>Apply</v>
      </c>
      <c r="C1444" s="10" t="s">
        <v>25477</v>
      </c>
      <c r="D1444" s="56" t="s">
        <v>4448</v>
      </c>
      <c r="E1444" s="10" t="s">
        <v>71</v>
      </c>
      <c r="F1444" s="10" t="s">
        <v>4449</v>
      </c>
      <c r="G1444" s="10" t="s">
        <v>24043</v>
      </c>
      <c r="H1444" s="10" t="s">
        <v>21286</v>
      </c>
      <c r="I1444" s="10" t="s">
        <v>55</v>
      </c>
      <c r="K1444" s="10" t="s">
        <v>4450</v>
      </c>
      <c r="L1444" s="10" t="s">
        <v>42</v>
      </c>
    </row>
    <row r="1445" ht="15.75" customHeight="1">
      <c r="A1445" s="66">
        <v>45462.0</v>
      </c>
      <c r="B1445" s="55" t="str">
        <f>HYPERLINK("https://jobright.ai/jobs/info/66746b17afaefe573cacf7e3?utm_campaign=1057&amp;utm_source=sheet", "Apply")</f>
        <v>Apply</v>
      </c>
      <c r="C1445" s="10" t="s">
        <v>24508</v>
      </c>
      <c r="D1445" s="56" t="s">
        <v>4448</v>
      </c>
      <c r="E1445" s="10" t="s">
        <v>71</v>
      </c>
      <c r="F1445" s="10" t="s">
        <v>4449</v>
      </c>
      <c r="G1445" s="10" t="s">
        <v>24043</v>
      </c>
      <c r="H1445" s="10" t="s">
        <v>25490</v>
      </c>
      <c r="I1445" s="10" t="s">
        <v>55</v>
      </c>
      <c r="K1445" s="10" t="s">
        <v>4450</v>
      </c>
      <c r="L1445" s="10" t="s">
        <v>42</v>
      </c>
    </row>
    <row r="1446" ht="15.75" customHeight="1">
      <c r="A1446" s="66">
        <v>45462.0</v>
      </c>
      <c r="B1446" s="55" t="str">
        <f>HYPERLINK("https://jobright.ai/jobs/info/66746b1cafaefe573cacf811?utm_campaign=1057&amp;utm_source=sheet", "Apply")</f>
        <v>Apply</v>
      </c>
      <c r="C1446" s="10" t="s">
        <v>25461</v>
      </c>
      <c r="D1446" s="56" t="s">
        <v>4448</v>
      </c>
      <c r="E1446" s="10" t="s">
        <v>71</v>
      </c>
      <c r="F1446" s="10" t="s">
        <v>4449</v>
      </c>
      <c r="G1446" s="10" t="s">
        <v>24043</v>
      </c>
      <c r="H1446" s="10" t="s">
        <v>25493</v>
      </c>
      <c r="I1446" s="10" t="s">
        <v>55</v>
      </c>
      <c r="K1446" s="10" t="s">
        <v>4450</v>
      </c>
      <c r="L1446" s="10" t="s">
        <v>42</v>
      </c>
    </row>
    <row r="1447" ht="15.75" customHeight="1">
      <c r="A1447" s="66">
        <v>45462.0</v>
      </c>
      <c r="B1447" s="55" t="str">
        <f>HYPERLINK("https://jobright.ai/jobs/info/66746b1cafaefe573cacf815?utm_campaign=1057&amp;utm_source=sheet", "Apply")</f>
        <v>Apply</v>
      </c>
      <c r="C1447" s="10" t="s">
        <v>25485</v>
      </c>
      <c r="D1447" s="56" t="s">
        <v>4448</v>
      </c>
      <c r="E1447" s="10" t="s">
        <v>71</v>
      </c>
      <c r="F1447" s="10" t="s">
        <v>4449</v>
      </c>
      <c r="G1447" s="10" t="s">
        <v>24043</v>
      </c>
      <c r="H1447" s="10" t="s">
        <v>21692</v>
      </c>
      <c r="I1447" s="10" t="s">
        <v>55</v>
      </c>
      <c r="K1447" s="10" t="s">
        <v>4450</v>
      </c>
      <c r="L1447" s="10" t="s">
        <v>42</v>
      </c>
    </row>
    <row r="1448" ht="15.75" customHeight="1">
      <c r="A1448" s="66">
        <v>45462.0</v>
      </c>
      <c r="B1448" s="55" t="str">
        <f>HYPERLINK("https://jobright.ai/jobs/info/66746b1cafaefe573cacf851?utm_campaign=1057&amp;utm_source=sheet", "Apply")</f>
        <v>Apply</v>
      </c>
      <c r="C1448" s="10" t="s">
        <v>25478</v>
      </c>
      <c r="D1448" s="56" t="s">
        <v>4448</v>
      </c>
      <c r="E1448" s="10" t="s">
        <v>71</v>
      </c>
      <c r="F1448" s="10" t="s">
        <v>4449</v>
      </c>
      <c r="G1448" s="10" t="s">
        <v>24043</v>
      </c>
      <c r="H1448" s="10" t="s">
        <v>25489</v>
      </c>
      <c r="I1448" s="10" t="s">
        <v>55</v>
      </c>
      <c r="K1448" s="10" t="s">
        <v>4450</v>
      </c>
      <c r="L1448" s="10" t="s">
        <v>42</v>
      </c>
    </row>
    <row r="1449" ht="15.75" customHeight="1">
      <c r="A1449" s="66">
        <v>45462.0</v>
      </c>
      <c r="B1449" s="55" t="str">
        <f>HYPERLINK("https://jobright.ai/jobs/info/66746b1cafaefe573cacf880?utm_campaign=1057&amp;utm_source=sheet", "Apply")</f>
        <v>Apply</v>
      </c>
      <c r="C1449" s="10" t="s">
        <v>20988</v>
      </c>
      <c r="D1449" s="56" t="s">
        <v>4448</v>
      </c>
      <c r="E1449" s="10" t="s">
        <v>71</v>
      </c>
      <c r="F1449" s="10" t="s">
        <v>4449</v>
      </c>
      <c r="G1449" s="10" t="s">
        <v>24043</v>
      </c>
      <c r="H1449" s="10" t="s">
        <v>25494</v>
      </c>
      <c r="I1449" s="10" t="s">
        <v>55</v>
      </c>
      <c r="K1449" s="10" t="s">
        <v>4450</v>
      </c>
      <c r="L1449" s="10" t="s">
        <v>42</v>
      </c>
    </row>
    <row r="1450" ht="15.75" customHeight="1">
      <c r="A1450" s="66">
        <v>45462.0</v>
      </c>
      <c r="B1450" s="55" t="str">
        <f>HYPERLINK("https://jobright.ai/jobs/info/66746b21afaefe573cacf902?utm_campaign=1057&amp;utm_source=sheet", "Apply")</f>
        <v>Apply</v>
      </c>
      <c r="C1450" s="10" t="s">
        <v>24508</v>
      </c>
      <c r="D1450" s="56" t="s">
        <v>4448</v>
      </c>
      <c r="E1450" s="10" t="s">
        <v>71</v>
      </c>
      <c r="F1450" s="10" t="s">
        <v>4449</v>
      </c>
      <c r="G1450" s="10" t="s">
        <v>24043</v>
      </c>
      <c r="H1450" s="10" t="s">
        <v>25143</v>
      </c>
      <c r="I1450" s="10" t="s">
        <v>55</v>
      </c>
      <c r="K1450" s="10" t="s">
        <v>4450</v>
      </c>
      <c r="L1450" s="10" t="s">
        <v>42</v>
      </c>
    </row>
    <row r="1451" ht="15.75" customHeight="1">
      <c r="A1451" s="66">
        <v>45462.0</v>
      </c>
      <c r="B1451" s="55" t="str">
        <f>HYPERLINK("https://jobright.ai/jobs/info/66746b21afaefe573cacf928?utm_campaign=1057&amp;utm_source=sheet", "Apply")</f>
        <v>Apply</v>
      </c>
      <c r="C1451" s="10" t="s">
        <v>24508</v>
      </c>
      <c r="D1451" s="56" t="s">
        <v>4448</v>
      </c>
      <c r="E1451" s="10" t="s">
        <v>71</v>
      </c>
      <c r="F1451" s="10" t="s">
        <v>4449</v>
      </c>
      <c r="G1451" s="10" t="s">
        <v>24043</v>
      </c>
      <c r="H1451" s="10" t="s">
        <v>25089</v>
      </c>
      <c r="I1451" s="10" t="s">
        <v>55</v>
      </c>
      <c r="K1451" s="10" t="s">
        <v>4450</v>
      </c>
      <c r="L1451" s="10" t="s">
        <v>42</v>
      </c>
    </row>
    <row r="1452" ht="15.75" customHeight="1">
      <c r="A1452" s="66">
        <v>45462.0</v>
      </c>
      <c r="B1452" s="55" t="str">
        <f>HYPERLINK("https://jobright.ai/jobs/info/66747796a404bed1703994e3?utm_campaign=1057&amp;utm_source=sheet", "Apply")</f>
        <v>Apply</v>
      </c>
      <c r="C1452" s="10" t="s">
        <v>24508</v>
      </c>
      <c r="D1452" s="56" t="s">
        <v>4448</v>
      </c>
      <c r="E1452" s="10" t="s">
        <v>71</v>
      </c>
      <c r="F1452" s="10" t="s">
        <v>4449</v>
      </c>
      <c r="G1452" s="10" t="s">
        <v>24043</v>
      </c>
      <c r="H1452" s="10" t="s">
        <v>25495</v>
      </c>
      <c r="I1452" s="10" t="s">
        <v>55</v>
      </c>
      <c r="K1452" s="10" t="s">
        <v>4450</v>
      </c>
      <c r="L1452" s="10" t="s">
        <v>42</v>
      </c>
    </row>
    <row r="1453" ht="15.75" customHeight="1">
      <c r="A1453" s="66">
        <v>45462.0</v>
      </c>
      <c r="B1453" s="55" t="str">
        <f>HYPERLINK("https://jobright.ai/jobs/info/66747796a404bed1703994f9?utm_campaign=1057&amp;utm_source=sheet", "Apply")</f>
        <v>Apply</v>
      </c>
      <c r="C1453" s="10" t="s">
        <v>24508</v>
      </c>
      <c r="D1453" s="56" t="s">
        <v>4448</v>
      </c>
      <c r="E1453" s="10" t="s">
        <v>71</v>
      </c>
      <c r="F1453" s="10" t="s">
        <v>4449</v>
      </c>
      <c r="G1453" s="10" t="s">
        <v>24043</v>
      </c>
      <c r="H1453" s="10" t="s">
        <v>13924</v>
      </c>
      <c r="I1453" s="10" t="s">
        <v>55</v>
      </c>
      <c r="K1453" s="10" t="s">
        <v>4450</v>
      </c>
      <c r="L1453" s="10" t="s">
        <v>42</v>
      </c>
    </row>
    <row r="1454" ht="15.75" customHeight="1">
      <c r="A1454" s="66">
        <v>45462.0</v>
      </c>
      <c r="B1454" s="55" t="str">
        <f>HYPERLINK("https://jobright.ai/jobs/info/66747796a404bed170399520?utm_campaign=1057&amp;utm_source=sheet", "Apply")</f>
        <v>Apply</v>
      </c>
      <c r="C1454" s="10" t="s">
        <v>24508</v>
      </c>
      <c r="D1454" s="56" t="s">
        <v>4448</v>
      </c>
      <c r="E1454" s="10" t="s">
        <v>71</v>
      </c>
      <c r="F1454" s="10" t="s">
        <v>4449</v>
      </c>
      <c r="G1454" s="10" t="s">
        <v>24043</v>
      </c>
      <c r="H1454" s="10" t="s">
        <v>168</v>
      </c>
      <c r="I1454" s="10" t="s">
        <v>55</v>
      </c>
      <c r="K1454" s="10" t="s">
        <v>4450</v>
      </c>
      <c r="L1454" s="10" t="s">
        <v>42</v>
      </c>
    </row>
    <row r="1455" ht="15.75" customHeight="1">
      <c r="A1455" s="66">
        <v>45462.0</v>
      </c>
      <c r="B1455" s="55" t="str">
        <f>HYPERLINK("https://jobright.ai/jobs/info/66747796a404bed170399519?utm_campaign=1057&amp;utm_source=sheet", "Apply")</f>
        <v>Apply</v>
      </c>
      <c r="C1455" s="10" t="s">
        <v>24508</v>
      </c>
      <c r="D1455" s="56" t="s">
        <v>4448</v>
      </c>
      <c r="E1455" s="10" t="s">
        <v>71</v>
      </c>
      <c r="F1455" s="10" t="s">
        <v>4449</v>
      </c>
      <c r="G1455" s="10" t="s">
        <v>24043</v>
      </c>
      <c r="H1455" s="10" t="s">
        <v>25017</v>
      </c>
      <c r="I1455" s="10" t="s">
        <v>55</v>
      </c>
      <c r="K1455" s="10" t="s">
        <v>4450</v>
      </c>
      <c r="L1455" s="10" t="s">
        <v>42</v>
      </c>
    </row>
    <row r="1456" ht="15.75" customHeight="1">
      <c r="A1456" s="66">
        <v>45462.0</v>
      </c>
      <c r="B1456" s="55" t="str">
        <f>HYPERLINK("https://jobright.ai/jobs/info/66747796a404bed17039952a?utm_campaign=1057&amp;utm_source=sheet", "Apply")</f>
        <v>Apply</v>
      </c>
      <c r="C1456" s="10" t="s">
        <v>24494</v>
      </c>
      <c r="D1456" s="56" t="s">
        <v>4448</v>
      </c>
      <c r="E1456" s="10" t="s">
        <v>71</v>
      </c>
      <c r="F1456" s="10" t="s">
        <v>4449</v>
      </c>
      <c r="G1456" s="10" t="s">
        <v>24043</v>
      </c>
      <c r="H1456" s="10" t="s">
        <v>25495</v>
      </c>
      <c r="I1456" s="10" t="s">
        <v>55</v>
      </c>
      <c r="K1456" s="10" t="s">
        <v>4450</v>
      </c>
      <c r="L1456" s="10" t="s">
        <v>42</v>
      </c>
    </row>
    <row r="1457" ht="15.75" customHeight="1">
      <c r="A1457" s="66">
        <v>45462.0</v>
      </c>
      <c r="B1457" s="55" t="str">
        <f>HYPERLINK("https://jobright.ai/jobs/info/66747796a404bed17039953d?utm_campaign=1057&amp;utm_source=sheet", "Apply")</f>
        <v>Apply</v>
      </c>
      <c r="C1457" s="10" t="s">
        <v>24508</v>
      </c>
      <c r="D1457" s="56" t="s">
        <v>4448</v>
      </c>
      <c r="E1457" s="10" t="s">
        <v>71</v>
      </c>
      <c r="F1457" s="10" t="s">
        <v>4449</v>
      </c>
      <c r="G1457" s="10" t="s">
        <v>24043</v>
      </c>
      <c r="H1457" s="10" t="s">
        <v>25496</v>
      </c>
      <c r="I1457" s="10" t="s">
        <v>55</v>
      </c>
      <c r="K1457" s="10" t="s">
        <v>4450</v>
      </c>
      <c r="L1457" s="10" t="s">
        <v>42</v>
      </c>
    </row>
    <row r="1458" ht="15.75" customHeight="1">
      <c r="A1458" s="66">
        <v>45462.0</v>
      </c>
      <c r="B1458" s="55" t="str">
        <f>HYPERLINK("https://jobright.ai/jobs/info/66747796a404bed170399558?utm_campaign=1057&amp;utm_source=sheet", "Apply")</f>
        <v>Apply</v>
      </c>
      <c r="C1458" s="10" t="s">
        <v>24508</v>
      </c>
      <c r="D1458" s="56" t="s">
        <v>4448</v>
      </c>
      <c r="E1458" s="10" t="s">
        <v>71</v>
      </c>
      <c r="F1458" s="10" t="s">
        <v>4449</v>
      </c>
      <c r="G1458" s="10" t="s">
        <v>24043</v>
      </c>
      <c r="H1458" s="10" t="s">
        <v>25104</v>
      </c>
      <c r="I1458" s="10" t="s">
        <v>55</v>
      </c>
      <c r="K1458" s="10" t="s">
        <v>4450</v>
      </c>
      <c r="L1458" s="10" t="s">
        <v>42</v>
      </c>
    </row>
    <row r="1459" ht="15.75" customHeight="1">
      <c r="A1459" s="66">
        <v>45462.0</v>
      </c>
      <c r="B1459" s="55" t="str">
        <f>HYPERLINK("https://jobright.ai/jobs/info/667c13e3a3f6c1af6aff138d?utm_campaign=1057&amp;utm_source=sheet", "Apply")</f>
        <v>Apply</v>
      </c>
      <c r="C1459" s="10" t="s">
        <v>25497</v>
      </c>
      <c r="D1459" s="56" t="s">
        <v>196</v>
      </c>
      <c r="E1459" s="10" t="s">
        <v>71</v>
      </c>
      <c r="F1459" s="10" t="s">
        <v>197</v>
      </c>
      <c r="G1459" s="10" t="s">
        <v>24022</v>
      </c>
      <c r="H1459" s="10" t="s">
        <v>8358</v>
      </c>
      <c r="I1459" s="10" t="s">
        <v>55</v>
      </c>
      <c r="K1459" s="10" t="s">
        <v>25498</v>
      </c>
      <c r="L1459" s="10" t="s">
        <v>42</v>
      </c>
    </row>
    <row r="1460" ht="15.75" customHeight="1">
      <c r="A1460" s="66">
        <v>45462.0</v>
      </c>
      <c r="B1460" s="55" t="str">
        <f>HYPERLINK("https://jobright.ai/jobs/info/6676cb0f0367cb83573cd132?utm_campaign=1057&amp;utm_source=sheet", "Apply")</f>
        <v>Apply</v>
      </c>
      <c r="C1460" s="10" t="s">
        <v>25099</v>
      </c>
      <c r="D1460" s="56" t="s">
        <v>4448</v>
      </c>
      <c r="E1460" s="10" t="s">
        <v>71</v>
      </c>
      <c r="F1460" s="10" t="s">
        <v>4449</v>
      </c>
      <c r="G1460" s="10" t="s">
        <v>24043</v>
      </c>
      <c r="H1460" s="10" t="s">
        <v>21699</v>
      </c>
      <c r="I1460" s="10" t="s">
        <v>55</v>
      </c>
      <c r="K1460" s="10" t="s">
        <v>4450</v>
      </c>
      <c r="L1460" s="10" t="s">
        <v>42</v>
      </c>
    </row>
    <row r="1461" ht="15.75" customHeight="1">
      <c r="A1461" s="66">
        <v>45462.0</v>
      </c>
      <c r="B1461" s="55" t="str">
        <f>HYPERLINK("https://jobright.ai/jobs/info/66757000d6fc00345300bc5c?utm_campaign=1057&amp;utm_source=sheet", "Apply")</f>
        <v>Apply</v>
      </c>
      <c r="C1461" s="10" t="s">
        <v>24506</v>
      </c>
      <c r="D1461" s="56" t="s">
        <v>4448</v>
      </c>
      <c r="E1461" s="10" t="s">
        <v>71</v>
      </c>
      <c r="F1461" s="10" t="s">
        <v>4449</v>
      </c>
      <c r="G1461" s="10" t="s">
        <v>24043</v>
      </c>
      <c r="H1461" s="10" t="s">
        <v>8212</v>
      </c>
      <c r="I1461" s="10" t="s">
        <v>55</v>
      </c>
      <c r="K1461" s="10" t="s">
        <v>4450</v>
      </c>
      <c r="L1461" s="10" t="s">
        <v>42</v>
      </c>
    </row>
    <row r="1462" ht="15.75" customHeight="1">
      <c r="A1462" s="66">
        <v>45462.0</v>
      </c>
      <c r="B1462" s="55" t="str">
        <f>HYPERLINK("https://jobright.ai/jobs/info/6676cb270367cb83573cd2c7?utm_campaign=1057&amp;utm_source=sheet", "Apply")</f>
        <v>Apply</v>
      </c>
      <c r="C1462" s="10" t="s">
        <v>25499</v>
      </c>
      <c r="D1462" s="56" t="s">
        <v>4448</v>
      </c>
      <c r="E1462" s="10" t="s">
        <v>71</v>
      </c>
      <c r="F1462" s="10" t="s">
        <v>4449</v>
      </c>
      <c r="G1462" s="10" t="s">
        <v>24043</v>
      </c>
      <c r="H1462" s="10" t="s">
        <v>25492</v>
      </c>
      <c r="I1462" s="10" t="s">
        <v>55</v>
      </c>
      <c r="K1462" s="10" t="s">
        <v>4450</v>
      </c>
      <c r="L1462" s="10" t="s">
        <v>42</v>
      </c>
    </row>
    <row r="1463" ht="15.75" customHeight="1">
      <c r="A1463" s="66">
        <v>45462.0</v>
      </c>
      <c r="B1463" s="55" t="str">
        <f>HYPERLINK("https://jobright.ai/jobs/info/6676c20dc9dc0237d722b244?utm_campaign=1057&amp;utm_source=sheet", "Apply")</f>
        <v>Apply</v>
      </c>
      <c r="C1463" s="10" t="s">
        <v>24434</v>
      </c>
      <c r="D1463" s="56" t="s">
        <v>4448</v>
      </c>
      <c r="E1463" s="10" t="s">
        <v>71</v>
      </c>
      <c r="F1463" s="10" t="s">
        <v>4449</v>
      </c>
      <c r="G1463" s="10" t="s">
        <v>24043</v>
      </c>
      <c r="H1463" s="10" t="s">
        <v>21692</v>
      </c>
      <c r="I1463" s="10" t="s">
        <v>55</v>
      </c>
      <c r="K1463" s="10" t="s">
        <v>4450</v>
      </c>
      <c r="L1463" s="10" t="s">
        <v>42</v>
      </c>
    </row>
    <row r="1464" ht="15.75" customHeight="1">
      <c r="A1464" s="66">
        <v>45462.0</v>
      </c>
      <c r="B1464" s="55" t="str">
        <f>HYPERLINK("https://jobright.ai/jobs/info/6676c20dc9dc0237d722b2cf?utm_campaign=1057&amp;utm_source=sheet", "Apply")</f>
        <v>Apply</v>
      </c>
      <c r="C1464" s="10" t="s">
        <v>25500</v>
      </c>
      <c r="D1464" s="56" t="s">
        <v>4448</v>
      </c>
      <c r="E1464" s="10" t="s">
        <v>71</v>
      </c>
      <c r="F1464" s="10" t="s">
        <v>4449</v>
      </c>
      <c r="G1464" s="10" t="s">
        <v>24043</v>
      </c>
      <c r="H1464" s="10" t="s">
        <v>8246</v>
      </c>
      <c r="I1464" s="10" t="s">
        <v>55</v>
      </c>
      <c r="K1464" s="10" t="s">
        <v>4450</v>
      </c>
      <c r="L1464" s="10" t="s">
        <v>42</v>
      </c>
    </row>
    <row r="1465" ht="15.75" customHeight="1">
      <c r="A1465" s="66">
        <v>45462.0</v>
      </c>
      <c r="B1465" s="55" t="str">
        <f>HYPERLINK("https://jobright.ai/jobs/info/6676c21ac9dc0237d722b37e?utm_campaign=1057&amp;utm_source=sheet", "Apply")</f>
        <v>Apply</v>
      </c>
      <c r="C1465" s="10" t="s">
        <v>24397</v>
      </c>
      <c r="D1465" s="56" t="s">
        <v>4448</v>
      </c>
      <c r="E1465" s="10" t="s">
        <v>71</v>
      </c>
      <c r="F1465" s="10" t="s">
        <v>4449</v>
      </c>
      <c r="G1465" s="10" t="s">
        <v>24043</v>
      </c>
      <c r="H1465" s="10" t="s">
        <v>8230</v>
      </c>
      <c r="I1465" s="10" t="s">
        <v>55</v>
      </c>
      <c r="K1465" s="10" t="s">
        <v>4450</v>
      </c>
      <c r="L1465" s="10" t="s">
        <v>42</v>
      </c>
    </row>
    <row r="1466" ht="15.75" customHeight="1">
      <c r="A1466" s="66">
        <v>45462.0</v>
      </c>
      <c r="B1466" s="55" t="str">
        <f>HYPERLINK("https://jobright.ai/jobs/info/6676c226c9dc0237d722b3ce?utm_campaign=1057&amp;utm_source=sheet", "Apply")</f>
        <v>Apply</v>
      </c>
      <c r="C1466" s="10" t="s">
        <v>24517</v>
      </c>
      <c r="D1466" s="56" t="s">
        <v>4448</v>
      </c>
      <c r="E1466" s="10" t="s">
        <v>71</v>
      </c>
      <c r="F1466" s="10" t="s">
        <v>4449</v>
      </c>
      <c r="G1466" s="10" t="s">
        <v>24043</v>
      </c>
      <c r="H1466" s="10" t="s">
        <v>25109</v>
      </c>
      <c r="I1466" s="10" t="s">
        <v>55</v>
      </c>
      <c r="K1466" s="10" t="s">
        <v>4450</v>
      </c>
      <c r="L1466" s="10" t="s">
        <v>42</v>
      </c>
    </row>
    <row r="1467" ht="15.75" customHeight="1">
      <c r="A1467" s="66">
        <v>45462.0</v>
      </c>
      <c r="B1467" s="55" t="str">
        <f>HYPERLINK("https://jobright.ai/jobs/info/6676b44aa2f49d4e236dd377?utm_campaign=1057&amp;utm_source=sheet", "Apply")</f>
        <v>Apply</v>
      </c>
      <c r="C1467" s="10" t="s">
        <v>4451</v>
      </c>
      <c r="D1467" s="56" t="s">
        <v>4448</v>
      </c>
      <c r="E1467" s="10" t="s">
        <v>71</v>
      </c>
      <c r="F1467" s="10" t="s">
        <v>4449</v>
      </c>
      <c r="G1467" s="10" t="s">
        <v>24043</v>
      </c>
      <c r="H1467" s="10" t="s">
        <v>8230</v>
      </c>
      <c r="I1467" s="10" t="s">
        <v>55</v>
      </c>
      <c r="K1467" s="10" t="s">
        <v>4450</v>
      </c>
      <c r="L1467" s="10" t="s">
        <v>42</v>
      </c>
    </row>
    <row r="1468" ht="15.75" customHeight="1">
      <c r="A1468" s="66">
        <v>45462.0</v>
      </c>
      <c r="B1468" s="55" t="str">
        <f>HYPERLINK("https://jobright.ai/jobs/info/6675622442bae55a958289e1?utm_campaign=1057&amp;utm_source=sheet", "Apply")</f>
        <v>Apply</v>
      </c>
      <c r="C1468" s="10" t="s">
        <v>24513</v>
      </c>
      <c r="D1468" s="56" t="s">
        <v>4448</v>
      </c>
      <c r="E1468" s="10" t="s">
        <v>71</v>
      </c>
      <c r="F1468" s="10" t="s">
        <v>4449</v>
      </c>
      <c r="G1468" s="10" t="s">
        <v>24043</v>
      </c>
      <c r="H1468" s="10" t="s">
        <v>7483</v>
      </c>
      <c r="I1468" s="10" t="s">
        <v>55</v>
      </c>
      <c r="K1468" s="10" t="s">
        <v>4450</v>
      </c>
      <c r="L1468" s="10" t="s">
        <v>42</v>
      </c>
    </row>
    <row r="1469" ht="15.75" customHeight="1">
      <c r="A1469" s="66">
        <v>45462.0</v>
      </c>
      <c r="B1469" s="55" t="str">
        <f>HYPERLINK("https://jobright.ai/jobs/info/6676b461a2f49d4e236dd4d9?utm_campaign=1057&amp;utm_source=sheet", "Apply")</f>
        <v>Apply</v>
      </c>
      <c r="C1469" s="10" t="s">
        <v>24058</v>
      </c>
      <c r="D1469" s="56" t="s">
        <v>4448</v>
      </c>
      <c r="E1469" s="10" t="s">
        <v>71</v>
      </c>
      <c r="F1469" s="10" t="s">
        <v>4449</v>
      </c>
      <c r="G1469" s="10" t="s">
        <v>24043</v>
      </c>
      <c r="H1469" s="10" t="s">
        <v>21692</v>
      </c>
      <c r="I1469" s="10" t="s">
        <v>55</v>
      </c>
      <c r="K1469" s="10" t="s">
        <v>4450</v>
      </c>
      <c r="L1469" s="10" t="s">
        <v>42</v>
      </c>
    </row>
    <row r="1470" ht="15.75" customHeight="1">
      <c r="A1470" s="66">
        <v>45461.0</v>
      </c>
      <c r="B1470" s="55" t="str">
        <f>HYPERLINK("https://jobright.ai/jobs/info/66723076a86f7ed89bf85913?utm_campaign=1057&amp;utm_source=sheet", "Apply")</f>
        <v>Apply</v>
      </c>
      <c r="C1470" s="10" t="s">
        <v>25501</v>
      </c>
      <c r="D1470" s="56" t="s">
        <v>8289</v>
      </c>
      <c r="E1470" s="10" t="s">
        <v>65</v>
      </c>
      <c r="F1470" s="10" t="s">
        <v>7760</v>
      </c>
      <c r="G1470" s="10" t="s">
        <v>24043</v>
      </c>
      <c r="H1470" s="10" t="s">
        <v>3374</v>
      </c>
      <c r="I1470" s="10" t="s">
        <v>55</v>
      </c>
      <c r="K1470" s="10" t="s">
        <v>25502</v>
      </c>
      <c r="L1470" s="10" t="s">
        <v>42</v>
      </c>
    </row>
    <row r="1471" ht="15.75" customHeight="1">
      <c r="A1471" s="66">
        <v>45461.0</v>
      </c>
      <c r="B1471" s="55" t="str">
        <f>HYPERLINK("https://jobright.ai/jobs/info/6672455abd2830cd1a1019d6?utm_campaign=1057&amp;utm_source=sheet", "Apply")</f>
        <v>Apply</v>
      </c>
      <c r="C1471" s="10" t="s">
        <v>24310</v>
      </c>
      <c r="D1471" s="56" t="s">
        <v>8289</v>
      </c>
      <c r="E1471" s="10" t="s">
        <v>65</v>
      </c>
      <c r="F1471" s="10" t="s">
        <v>7760</v>
      </c>
      <c r="G1471" s="10" t="s">
        <v>24043</v>
      </c>
      <c r="H1471" s="10" t="s">
        <v>775</v>
      </c>
      <c r="I1471" s="10" t="s">
        <v>55</v>
      </c>
      <c r="K1471" s="10" t="s">
        <v>24311</v>
      </c>
      <c r="L1471" s="10" t="s">
        <v>42</v>
      </c>
    </row>
    <row r="1472" ht="15.75" customHeight="1">
      <c r="A1472" s="66">
        <v>45461.0</v>
      </c>
      <c r="B1472" s="55" t="str">
        <f>HYPERLINK("https://jobright.ai/jobs/info/6672222b96df7b9790bcf0b0?utm_campaign=1057&amp;utm_source=sheet", "Apply")</f>
        <v>Apply</v>
      </c>
      <c r="C1472" s="10" t="s">
        <v>25503</v>
      </c>
      <c r="D1472" s="56" t="s">
        <v>2069</v>
      </c>
      <c r="E1472" s="10" t="s">
        <v>65</v>
      </c>
      <c r="F1472" s="10" t="s">
        <v>1663</v>
      </c>
      <c r="G1472" s="10" t="s">
        <v>24022</v>
      </c>
      <c r="H1472" s="10" t="s">
        <v>2070</v>
      </c>
      <c r="I1472" s="10" t="s">
        <v>55</v>
      </c>
      <c r="J1472" s="10" t="s">
        <v>15312</v>
      </c>
      <c r="K1472" s="10" t="s">
        <v>17383</v>
      </c>
      <c r="L1472" s="10" t="s">
        <v>42</v>
      </c>
    </row>
    <row r="1473" ht="15.75" customHeight="1">
      <c r="A1473" s="66">
        <v>45461.0</v>
      </c>
      <c r="B1473" s="55" t="str">
        <f>HYPERLINK("https://jobright.ai/jobs/info/66731f254a5e5e7478ebad5b?utm_campaign=1057&amp;utm_source=sheet", "Apply")</f>
        <v>Apply</v>
      </c>
      <c r="C1473" s="10" t="s">
        <v>25504</v>
      </c>
      <c r="D1473" s="56" t="s">
        <v>25505</v>
      </c>
      <c r="E1473" s="10" t="s">
        <v>276</v>
      </c>
      <c r="F1473" s="10" t="s">
        <v>25506</v>
      </c>
      <c r="G1473" s="10" t="s">
        <v>24022</v>
      </c>
      <c r="H1473" s="10" t="s">
        <v>25507</v>
      </c>
      <c r="I1473" s="10" t="s">
        <v>55</v>
      </c>
      <c r="K1473" s="10" t="s">
        <v>25508</v>
      </c>
      <c r="L1473" s="10" t="s">
        <v>42</v>
      </c>
    </row>
    <row r="1474" ht="15.75" customHeight="1">
      <c r="A1474" s="66">
        <v>45461.0</v>
      </c>
      <c r="B1474" s="55" t="str">
        <f>HYPERLINK("https://jobright.ai/jobs/info/6672642395c884a8a3f6bba4?utm_campaign=1057&amp;utm_source=sheet", "Apply")</f>
        <v>Apply</v>
      </c>
      <c r="C1474" s="10" t="s">
        <v>8250</v>
      </c>
      <c r="D1474" s="56" t="s">
        <v>4448</v>
      </c>
      <c r="E1474" s="10" t="s">
        <v>71</v>
      </c>
      <c r="F1474" s="10" t="s">
        <v>4449</v>
      </c>
      <c r="G1474" s="10" t="s">
        <v>24043</v>
      </c>
      <c r="H1474" s="10" t="s">
        <v>25450</v>
      </c>
      <c r="I1474" s="10" t="s">
        <v>55</v>
      </c>
      <c r="K1474" s="10" t="s">
        <v>25392</v>
      </c>
      <c r="L1474" s="10" t="s">
        <v>42</v>
      </c>
    </row>
    <row r="1475" ht="15.75" customHeight="1">
      <c r="A1475" s="66">
        <v>45461.0</v>
      </c>
      <c r="B1475" s="55" t="str">
        <f>HYPERLINK("https://jobright.ai/jobs/info/6672642395c884a8a3f6bbb0?utm_campaign=1057&amp;utm_source=sheet", "Apply")</f>
        <v>Apply</v>
      </c>
      <c r="C1475" s="10" t="s">
        <v>8245</v>
      </c>
      <c r="D1475" s="56" t="s">
        <v>4448</v>
      </c>
      <c r="E1475" s="10" t="s">
        <v>71</v>
      </c>
      <c r="F1475" s="10" t="s">
        <v>4449</v>
      </c>
      <c r="G1475" s="10" t="s">
        <v>24043</v>
      </c>
      <c r="H1475" s="10" t="s">
        <v>24237</v>
      </c>
      <c r="I1475" s="10" t="s">
        <v>55</v>
      </c>
      <c r="K1475" s="10" t="s">
        <v>25389</v>
      </c>
      <c r="L1475" s="10" t="s">
        <v>42</v>
      </c>
    </row>
    <row r="1476" ht="15.75" customHeight="1">
      <c r="A1476" s="66">
        <v>45461.0</v>
      </c>
      <c r="B1476" s="55" t="str">
        <f>HYPERLINK("https://jobright.ai/jobs/info/6672642395c884a8a3f6bbc9?utm_campaign=1057&amp;utm_source=sheet", "Apply")</f>
        <v>Apply</v>
      </c>
      <c r="C1476" s="10" t="s">
        <v>25509</v>
      </c>
      <c r="D1476" s="56" t="s">
        <v>4448</v>
      </c>
      <c r="E1476" s="10" t="s">
        <v>71</v>
      </c>
      <c r="F1476" s="10" t="s">
        <v>4449</v>
      </c>
      <c r="G1476" s="10" t="s">
        <v>24043</v>
      </c>
      <c r="H1476" s="10" t="s">
        <v>25455</v>
      </c>
      <c r="I1476" s="10" t="s">
        <v>55</v>
      </c>
      <c r="K1476" s="10" t="s">
        <v>25389</v>
      </c>
      <c r="L1476" s="10" t="s">
        <v>42</v>
      </c>
    </row>
    <row r="1477" ht="15.75" customHeight="1">
      <c r="A1477" s="66">
        <v>45461.0</v>
      </c>
      <c r="B1477" s="55" t="str">
        <f>HYPERLINK("https://jobright.ai/jobs/info/6672642395c884a8a3f6bbbd?utm_campaign=1057&amp;utm_source=sheet", "Apply")</f>
        <v>Apply</v>
      </c>
      <c r="C1477" s="10" t="s">
        <v>8245</v>
      </c>
      <c r="D1477" s="56" t="s">
        <v>4448</v>
      </c>
      <c r="E1477" s="10" t="s">
        <v>71</v>
      </c>
      <c r="F1477" s="10" t="s">
        <v>4449</v>
      </c>
      <c r="G1477" s="10" t="s">
        <v>24043</v>
      </c>
      <c r="H1477" s="10" t="s">
        <v>25460</v>
      </c>
      <c r="I1477" s="10" t="s">
        <v>55</v>
      </c>
      <c r="K1477" s="10" t="s">
        <v>25389</v>
      </c>
      <c r="L1477" s="10" t="s">
        <v>42</v>
      </c>
    </row>
    <row r="1478" ht="15.75" customHeight="1">
      <c r="A1478" s="66">
        <v>45461.0</v>
      </c>
      <c r="B1478" s="55" t="str">
        <f>HYPERLINK("https://jobright.ai/jobs/info/6672643295c884a8a3f6bbd5?utm_campaign=1057&amp;utm_source=sheet", "Apply")</f>
        <v>Apply</v>
      </c>
      <c r="C1478" s="10" t="s">
        <v>24417</v>
      </c>
      <c r="D1478" s="56" t="s">
        <v>4448</v>
      </c>
      <c r="E1478" s="10" t="s">
        <v>71</v>
      </c>
      <c r="F1478" s="10" t="s">
        <v>4449</v>
      </c>
      <c r="G1478" s="10" t="s">
        <v>24043</v>
      </c>
      <c r="H1478" s="10" t="s">
        <v>15590</v>
      </c>
      <c r="I1478" s="10" t="s">
        <v>55</v>
      </c>
      <c r="K1478" s="10" t="s">
        <v>25389</v>
      </c>
      <c r="L1478" s="10" t="s">
        <v>42</v>
      </c>
    </row>
    <row r="1479" ht="15.75" customHeight="1">
      <c r="A1479" s="66">
        <v>45461.0</v>
      </c>
      <c r="B1479" s="55" t="str">
        <f>HYPERLINK("https://jobright.ai/jobs/info/6672643295c884a8a3f6bc5b?utm_campaign=1057&amp;utm_source=sheet", "Apply")</f>
        <v>Apply</v>
      </c>
      <c r="C1479" s="10" t="s">
        <v>25510</v>
      </c>
      <c r="D1479" s="56" t="s">
        <v>4448</v>
      </c>
      <c r="E1479" s="10" t="s">
        <v>71</v>
      </c>
      <c r="F1479" s="10" t="s">
        <v>4449</v>
      </c>
      <c r="G1479" s="10" t="s">
        <v>24043</v>
      </c>
      <c r="H1479" s="10" t="s">
        <v>5367</v>
      </c>
      <c r="I1479" s="10" t="s">
        <v>55</v>
      </c>
      <c r="K1479" s="10" t="s">
        <v>25389</v>
      </c>
      <c r="L1479" s="10" t="s">
        <v>42</v>
      </c>
    </row>
    <row r="1480" ht="15.75" customHeight="1">
      <c r="A1480" s="66">
        <v>45461.0</v>
      </c>
      <c r="B1480" s="55" t="str">
        <f>HYPERLINK("https://jobright.ai/jobs/info/6672644195c884a8a3f6bccd?utm_campaign=1057&amp;utm_source=sheet", "Apply")</f>
        <v>Apply</v>
      </c>
      <c r="C1480" s="10" t="s">
        <v>8250</v>
      </c>
      <c r="D1480" s="56" t="s">
        <v>4448</v>
      </c>
      <c r="E1480" s="10" t="s">
        <v>71</v>
      </c>
      <c r="F1480" s="10" t="s">
        <v>4449</v>
      </c>
      <c r="G1480" s="10" t="s">
        <v>24043</v>
      </c>
      <c r="H1480" s="10" t="s">
        <v>24237</v>
      </c>
      <c r="I1480" s="10" t="s">
        <v>55</v>
      </c>
      <c r="K1480" s="10" t="s">
        <v>25392</v>
      </c>
      <c r="L1480" s="10" t="s">
        <v>42</v>
      </c>
    </row>
    <row r="1481" ht="15.75" customHeight="1">
      <c r="A1481" s="66">
        <v>45461.0</v>
      </c>
      <c r="B1481" s="55" t="str">
        <f>HYPERLINK("https://jobright.ai/jobs/info/6672644195c884a8a3f6bd0f?utm_campaign=1057&amp;utm_source=sheet", "Apply")</f>
        <v>Apply</v>
      </c>
      <c r="C1481" s="10" t="s">
        <v>24417</v>
      </c>
      <c r="D1481" s="56" t="s">
        <v>4448</v>
      </c>
      <c r="E1481" s="10" t="s">
        <v>71</v>
      </c>
      <c r="F1481" s="10" t="s">
        <v>4449</v>
      </c>
      <c r="G1481" s="10" t="s">
        <v>24043</v>
      </c>
      <c r="H1481" s="10" t="s">
        <v>25445</v>
      </c>
      <c r="I1481" s="10" t="s">
        <v>55</v>
      </c>
      <c r="K1481" s="10" t="s">
        <v>25389</v>
      </c>
      <c r="L1481" s="10" t="s">
        <v>42</v>
      </c>
    </row>
    <row r="1482" ht="15.75" customHeight="1">
      <c r="A1482" s="66">
        <v>45461.0</v>
      </c>
      <c r="B1482" s="55" t="str">
        <f>HYPERLINK("https://jobright.ai/jobs/info/6672644195c884a8a3f6bd23?utm_campaign=1057&amp;utm_source=sheet", "Apply")</f>
        <v>Apply</v>
      </c>
      <c r="C1482" s="10" t="s">
        <v>25511</v>
      </c>
      <c r="D1482" s="56" t="s">
        <v>4448</v>
      </c>
      <c r="E1482" s="10" t="s">
        <v>71</v>
      </c>
      <c r="F1482" s="10" t="s">
        <v>4449</v>
      </c>
      <c r="G1482" s="10" t="s">
        <v>24043</v>
      </c>
      <c r="H1482" s="10" t="s">
        <v>5367</v>
      </c>
      <c r="I1482" s="10" t="s">
        <v>55</v>
      </c>
      <c r="K1482" s="10" t="s">
        <v>25392</v>
      </c>
      <c r="L1482" s="10" t="s">
        <v>42</v>
      </c>
    </row>
    <row r="1483" ht="15.75" customHeight="1">
      <c r="A1483" s="66">
        <v>45461.0</v>
      </c>
      <c r="B1483" s="55" t="str">
        <f>HYPERLINK("https://jobright.ai/jobs/info/6672644195c884a8a3f6bd20?utm_campaign=1057&amp;utm_source=sheet", "Apply")</f>
        <v>Apply</v>
      </c>
      <c r="C1483" s="10" t="s">
        <v>8245</v>
      </c>
      <c r="D1483" s="56" t="s">
        <v>4448</v>
      </c>
      <c r="E1483" s="10" t="s">
        <v>71</v>
      </c>
      <c r="F1483" s="10" t="s">
        <v>4449</v>
      </c>
      <c r="G1483" s="10" t="s">
        <v>24043</v>
      </c>
      <c r="H1483" s="10" t="s">
        <v>25445</v>
      </c>
      <c r="I1483" s="10" t="s">
        <v>55</v>
      </c>
      <c r="K1483" s="10" t="s">
        <v>25389</v>
      </c>
      <c r="L1483" s="10" t="s">
        <v>42</v>
      </c>
    </row>
    <row r="1484" ht="15.75" customHeight="1">
      <c r="A1484" s="66">
        <v>45461.0</v>
      </c>
      <c r="B1484" s="55" t="str">
        <f>HYPERLINK("https://jobright.ai/jobs/info/6672646e95c884a8a3f6bf05?utm_campaign=1057&amp;utm_source=sheet", "Apply")</f>
        <v>Apply</v>
      </c>
      <c r="C1484" s="10" t="s">
        <v>24513</v>
      </c>
      <c r="D1484" s="56" t="s">
        <v>4448</v>
      </c>
      <c r="E1484" s="10" t="s">
        <v>71</v>
      </c>
      <c r="F1484" s="10" t="s">
        <v>4449</v>
      </c>
      <c r="G1484" s="10" t="s">
        <v>24043</v>
      </c>
      <c r="H1484" s="10" t="s">
        <v>25438</v>
      </c>
      <c r="I1484" s="10" t="s">
        <v>55</v>
      </c>
      <c r="K1484" s="10" t="s">
        <v>25389</v>
      </c>
      <c r="L1484" s="10" t="s">
        <v>42</v>
      </c>
    </row>
    <row r="1485" ht="15.75" customHeight="1">
      <c r="A1485" s="66">
        <v>45461.0</v>
      </c>
      <c r="B1485" s="55" t="str">
        <f>HYPERLINK("https://jobright.ai/jobs/info/6672646e95c884a8a3f6bf2a?utm_campaign=1057&amp;utm_source=sheet", "Apply")</f>
        <v>Apply</v>
      </c>
      <c r="C1485" s="10" t="s">
        <v>8250</v>
      </c>
      <c r="D1485" s="56" t="s">
        <v>4448</v>
      </c>
      <c r="E1485" s="10" t="s">
        <v>71</v>
      </c>
      <c r="F1485" s="10" t="s">
        <v>4449</v>
      </c>
      <c r="G1485" s="10" t="s">
        <v>24043</v>
      </c>
      <c r="H1485" s="10" t="s">
        <v>25445</v>
      </c>
      <c r="I1485" s="10" t="s">
        <v>55</v>
      </c>
      <c r="K1485" s="10" t="s">
        <v>25392</v>
      </c>
      <c r="L1485" s="10" t="s">
        <v>42</v>
      </c>
    </row>
    <row r="1486" ht="15.75" customHeight="1">
      <c r="A1486" s="66">
        <v>45461.0</v>
      </c>
      <c r="B1486" s="55" t="str">
        <f>HYPERLINK("https://jobright.ai/jobs/info/6672648b95c884a8a3f6c0da?utm_campaign=1057&amp;utm_source=sheet", "Apply")</f>
        <v>Apply</v>
      </c>
      <c r="C1486" s="10" t="s">
        <v>25512</v>
      </c>
      <c r="D1486" s="56" t="s">
        <v>4448</v>
      </c>
      <c r="E1486" s="10" t="s">
        <v>71</v>
      </c>
      <c r="F1486" s="10" t="s">
        <v>4449</v>
      </c>
      <c r="G1486" s="10" t="s">
        <v>24043</v>
      </c>
      <c r="H1486" s="10" t="s">
        <v>25445</v>
      </c>
      <c r="I1486" s="10" t="s">
        <v>55</v>
      </c>
      <c r="K1486" s="10" t="s">
        <v>25389</v>
      </c>
      <c r="L1486" s="10" t="s">
        <v>42</v>
      </c>
    </row>
    <row r="1487" ht="15.75" customHeight="1">
      <c r="A1487" s="66">
        <v>45461.0</v>
      </c>
      <c r="B1487" s="55" t="str">
        <f>HYPERLINK("https://jobright.ai/jobs/info/667268514c081b3f6ad0c46d?utm_campaign=1057&amp;utm_source=sheet", "Apply")</f>
        <v>Apply</v>
      </c>
      <c r="C1487" s="10" t="s">
        <v>24417</v>
      </c>
      <c r="D1487" s="56" t="s">
        <v>4448</v>
      </c>
      <c r="E1487" s="10" t="s">
        <v>71</v>
      </c>
      <c r="F1487" s="10" t="s">
        <v>4449</v>
      </c>
      <c r="G1487" s="10" t="s">
        <v>24043</v>
      </c>
      <c r="H1487" s="10" t="s">
        <v>25451</v>
      </c>
      <c r="I1487" s="10" t="s">
        <v>55</v>
      </c>
      <c r="K1487" s="10" t="s">
        <v>25389</v>
      </c>
      <c r="L1487" s="10" t="s">
        <v>42</v>
      </c>
    </row>
    <row r="1488" ht="15.75" customHeight="1">
      <c r="A1488" s="66">
        <v>45461.0</v>
      </c>
      <c r="B1488" s="55" t="str">
        <f>HYPERLINK("https://jobright.ai/jobs/info/667268604c081b3f6ad0c4d3?utm_campaign=1057&amp;utm_source=sheet", "Apply")</f>
        <v>Apply</v>
      </c>
      <c r="C1488" s="10" t="s">
        <v>24513</v>
      </c>
      <c r="D1488" s="56" t="s">
        <v>4448</v>
      </c>
      <c r="E1488" s="10" t="s">
        <v>71</v>
      </c>
      <c r="F1488" s="10" t="s">
        <v>4449</v>
      </c>
      <c r="G1488" s="10" t="s">
        <v>24043</v>
      </c>
      <c r="H1488" s="10" t="s">
        <v>24237</v>
      </c>
      <c r="I1488" s="10" t="s">
        <v>55</v>
      </c>
      <c r="K1488" s="10" t="s">
        <v>25389</v>
      </c>
      <c r="L1488" s="10" t="s">
        <v>42</v>
      </c>
    </row>
    <row r="1489" ht="15.75" customHeight="1">
      <c r="A1489" s="66">
        <v>45461.0</v>
      </c>
      <c r="B1489" s="55" t="str">
        <f>HYPERLINK("https://jobright.ai/jobs/info/66726bc67cfcefa51555ae7f?utm_campaign=1057&amp;utm_source=sheet", "Apply")</f>
        <v>Apply</v>
      </c>
      <c r="C1489" s="10" t="s">
        <v>25513</v>
      </c>
      <c r="D1489" s="56" t="s">
        <v>4448</v>
      </c>
      <c r="E1489" s="10" t="s">
        <v>71</v>
      </c>
      <c r="F1489" s="10" t="s">
        <v>4449</v>
      </c>
      <c r="G1489" s="10" t="s">
        <v>24043</v>
      </c>
      <c r="H1489" s="10" t="s">
        <v>25455</v>
      </c>
      <c r="I1489" s="10" t="s">
        <v>55</v>
      </c>
      <c r="K1489" s="10" t="s">
        <v>25392</v>
      </c>
      <c r="L1489" s="10" t="s">
        <v>42</v>
      </c>
    </row>
    <row r="1490" ht="15.75" customHeight="1">
      <c r="A1490" s="66">
        <v>45461.0</v>
      </c>
      <c r="B1490" s="55" t="str">
        <f>HYPERLINK("https://jobright.ai/jobs/info/66726c537cfcefa51555b630?utm_campaign=1057&amp;utm_source=sheet", "Apply")</f>
        <v>Apply</v>
      </c>
      <c r="C1490" s="10" t="s">
        <v>25513</v>
      </c>
      <c r="D1490" s="56" t="s">
        <v>4448</v>
      </c>
      <c r="E1490" s="10" t="s">
        <v>71</v>
      </c>
      <c r="F1490" s="10" t="s">
        <v>4449</v>
      </c>
      <c r="G1490" s="10" t="s">
        <v>24043</v>
      </c>
      <c r="H1490" s="10" t="s">
        <v>5367</v>
      </c>
      <c r="I1490" s="10" t="s">
        <v>55</v>
      </c>
      <c r="K1490" s="10" t="s">
        <v>25392</v>
      </c>
      <c r="L1490" s="10" t="s">
        <v>42</v>
      </c>
    </row>
    <row r="1491" ht="15.75" customHeight="1">
      <c r="A1491" s="66">
        <v>45461.0</v>
      </c>
      <c r="B1491" s="55" t="str">
        <f>HYPERLINK("https://jobright.ai/jobs/info/66726fba74f409fb5e04737d?utm_campaign=1057&amp;utm_source=sheet", "Apply")</f>
        <v>Apply</v>
      </c>
      <c r="C1491" s="10" t="s">
        <v>20987</v>
      </c>
      <c r="D1491" s="56" t="s">
        <v>4448</v>
      </c>
      <c r="E1491" s="10" t="s">
        <v>71</v>
      </c>
      <c r="F1491" s="10" t="s">
        <v>4449</v>
      </c>
      <c r="G1491" s="10" t="s">
        <v>24043</v>
      </c>
      <c r="H1491" s="10" t="s">
        <v>24237</v>
      </c>
      <c r="I1491" s="10" t="s">
        <v>55</v>
      </c>
      <c r="K1491" s="10" t="s">
        <v>25389</v>
      </c>
      <c r="L1491" s="10" t="s">
        <v>42</v>
      </c>
    </row>
    <row r="1492" ht="15.75" customHeight="1">
      <c r="A1492" s="66">
        <v>45461.0</v>
      </c>
      <c r="B1492" s="55" t="str">
        <f>HYPERLINK("https://jobright.ai/jobs/info/66726fe674f409fb5e047606?utm_campaign=1057&amp;utm_source=sheet", "Apply")</f>
        <v>Apply</v>
      </c>
      <c r="C1492" s="10" t="s">
        <v>20987</v>
      </c>
      <c r="D1492" s="56" t="s">
        <v>4448</v>
      </c>
      <c r="E1492" s="10" t="s">
        <v>71</v>
      </c>
      <c r="F1492" s="10" t="s">
        <v>4449</v>
      </c>
      <c r="G1492" s="10" t="s">
        <v>24043</v>
      </c>
      <c r="H1492" s="10" t="s">
        <v>25460</v>
      </c>
      <c r="I1492" s="10" t="s">
        <v>55</v>
      </c>
      <c r="K1492" s="10" t="s">
        <v>25389</v>
      </c>
      <c r="L1492" s="10" t="s">
        <v>42</v>
      </c>
    </row>
    <row r="1493" ht="15.75" customHeight="1">
      <c r="A1493" s="66">
        <v>45461.0</v>
      </c>
      <c r="B1493" s="55" t="str">
        <f>HYPERLINK("https://jobright.ai/jobs/info/66727217ba5a63cfe3caef99?utm_campaign=1057&amp;utm_source=sheet", "Apply")</f>
        <v>Apply</v>
      </c>
      <c r="C1493" s="10" t="s">
        <v>25514</v>
      </c>
      <c r="D1493" s="56" t="s">
        <v>4448</v>
      </c>
      <c r="E1493" s="10" t="s">
        <v>71</v>
      </c>
      <c r="F1493" s="10" t="s">
        <v>4449</v>
      </c>
      <c r="G1493" s="10" t="s">
        <v>24043</v>
      </c>
      <c r="H1493" s="10" t="s">
        <v>5367</v>
      </c>
      <c r="I1493" s="10" t="s">
        <v>55</v>
      </c>
      <c r="K1493" s="10" t="s">
        <v>25389</v>
      </c>
      <c r="L1493" s="10" t="s">
        <v>42</v>
      </c>
    </row>
    <row r="1494" ht="15.75" customHeight="1">
      <c r="A1494" s="66">
        <v>45461.0</v>
      </c>
      <c r="B1494" s="55" t="str">
        <f>HYPERLINK("https://jobright.ai/jobs/info/66727217ba5a63cfe3caefa3?utm_campaign=1057&amp;utm_source=sheet", "Apply")</f>
        <v>Apply</v>
      </c>
      <c r="C1494" s="10" t="s">
        <v>25515</v>
      </c>
      <c r="D1494" s="56" t="s">
        <v>4448</v>
      </c>
      <c r="E1494" s="10" t="s">
        <v>71</v>
      </c>
      <c r="F1494" s="10" t="s">
        <v>4449</v>
      </c>
      <c r="G1494" s="10" t="s">
        <v>24043</v>
      </c>
      <c r="H1494" s="10" t="s">
        <v>25445</v>
      </c>
      <c r="I1494" s="10" t="s">
        <v>55</v>
      </c>
      <c r="K1494" s="10" t="s">
        <v>25389</v>
      </c>
      <c r="L1494" s="10" t="s">
        <v>42</v>
      </c>
    </row>
    <row r="1495" ht="15.75" customHeight="1">
      <c r="A1495" s="66">
        <v>45461.0</v>
      </c>
      <c r="B1495" s="55" t="str">
        <f>HYPERLINK("https://jobright.ai/jobs/info/66727234ba5a63cfe3caf159?utm_campaign=1057&amp;utm_source=sheet", "Apply")</f>
        <v>Apply</v>
      </c>
      <c r="C1495" s="10" t="s">
        <v>24421</v>
      </c>
      <c r="D1495" s="56" t="s">
        <v>4448</v>
      </c>
      <c r="E1495" s="10" t="s">
        <v>71</v>
      </c>
      <c r="F1495" s="10" t="s">
        <v>4449</v>
      </c>
      <c r="G1495" s="10" t="s">
        <v>24043</v>
      </c>
      <c r="H1495" s="10" t="s">
        <v>15590</v>
      </c>
      <c r="I1495" s="10" t="s">
        <v>55</v>
      </c>
      <c r="K1495" s="10" t="s">
        <v>25389</v>
      </c>
      <c r="L1495" s="10" t="s">
        <v>42</v>
      </c>
    </row>
    <row r="1496" ht="15.75" customHeight="1">
      <c r="A1496" s="66">
        <v>45461.0</v>
      </c>
      <c r="B1496" s="55" t="str">
        <f>HYPERLINK("https://jobright.ai/jobs/info/66727234ba5a63cfe3caf144?utm_campaign=1057&amp;utm_source=sheet", "Apply")</f>
        <v>Apply</v>
      </c>
      <c r="C1496" s="10" t="s">
        <v>25515</v>
      </c>
      <c r="D1496" s="56" t="s">
        <v>4448</v>
      </c>
      <c r="E1496" s="10" t="s">
        <v>71</v>
      </c>
      <c r="F1496" s="10" t="s">
        <v>4449</v>
      </c>
      <c r="G1496" s="10" t="s">
        <v>24043</v>
      </c>
      <c r="H1496" s="10" t="s">
        <v>5367</v>
      </c>
      <c r="I1496" s="10" t="s">
        <v>55</v>
      </c>
      <c r="K1496" s="10" t="s">
        <v>25389</v>
      </c>
      <c r="L1496" s="10" t="s">
        <v>42</v>
      </c>
    </row>
    <row r="1497" ht="15.75" customHeight="1">
      <c r="A1497" s="66">
        <v>45461.0</v>
      </c>
      <c r="B1497" s="55" t="str">
        <f>HYPERLINK("https://jobright.ai/jobs/info/667272f0ba5a63cfe3cafbd7?utm_campaign=1057&amp;utm_source=sheet", "Apply")</f>
        <v>Apply</v>
      </c>
      <c r="C1497" s="10" t="s">
        <v>25516</v>
      </c>
      <c r="D1497" s="56" t="s">
        <v>4448</v>
      </c>
      <c r="E1497" s="10" t="s">
        <v>71</v>
      </c>
      <c r="F1497" s="10" t="s">
        <v>4449</v>
      </c>
      <c r="G1497" s="10" t="s">
        <v>24043</v>
      </c>
      <c r="H1497" s="10" t="s">
        <v>25455</v>
      </c>
      <c r="I1497" s="10" t="s">
        <v>55</v>
      </c>
      <c r="K1497" s="10" t="s">
        <v>25392</v>
      </c>
      <c r="L1497" s="10" t="s">
        <v>42</v>
      </c>
    </row>
    <row r="1498" ht="15.75" customHeight="1">
      <c r="A1498" s="66">
        <v>45461.0</v>
      </c>
      <c r="B1498" s="55" t="str">
        <f>HYPERLINK("https://jobright.ai/jobs/info/667272a8ba5a63cfe3caf746?utm_campaign=1057&amp;utm_source=sheet", "Apply")</f>
        <v>Apply</v>
      </c>
      <c r="C1498" s="10" t="s">
        <v>24421</v>
      </c>
      <c r="D1498" s="56" t="s">
        <v>4448</v>
      </c>
      <c r="E1498" s="10" t="s">
        <v>71</v>
      </c>
      <c r="F1498" s="10" t="s">
        <v>4449</v>
      </c>
      <c r="G1498" s="10" t="s">
        <v>24043</v>
      </c>
      <c r="H1498" s="10" t="s">
        <v>25438</v>
      </c>
      <c r="I1498" s="10" t="s">
        <v>55</v>
      </c>
      <c r="K1498" s="10" t="s">
        <v>25389</v>
      </c>
      <c r="L1498" s="10" t="s">
        <v>42</v>
      </c>
    </row>
    <row r="1499" ht="15.75" customHeight="1">
      <c r="A1499" s="66">
        <v>45461.0</v>
      </c>
      <c r="B1499" s="55" t="str">
        <f>HYPERLINK("https://jobright.ai/jobs/info/667272a8ba5a63cfe3caf7f5?utm_campaign=1057&amp;utm_source=sheet", "Apply")</f>
        <v>Apply</v>
      </c>
      <c r="C1499" s="10" t="s">
        <v>25517</v>
      </c>
      <c r="D1499" s="56" t="s">
        <v>4448</v>
      </c>
      <c r="E1499" s="10" t="s">
        <v>71</v>
      </c>
      <c r="F1499" s="10" t="s">
        <v>4449</v>
      </c>
      <c r="G1499" s="10" t="s">
        <v>24043</v>
      </c>
      <c r="H1499" s="10" t="s">
        <v>5367</v>
      </c>
      <c r="I1499" s="10" t="s">
        <v>55</v>
      </c>
      <c r="K1499" s="10" t="s">
        <v>25389</v>
      </c>
      <c r="L1499" s="10" t="s">
        <v>42</v>
      </c>
    </row>
    <row r="1500" ht="15.75" customHeight="1">
      <c r="A1500" s="66">
        <v>45461.0</v>
      </c>
      <c r="B1500" s="55" t="str">
        <f>HYPERLINK("https://jobright.ai/jobs/info/667274f443c523e40f58ac5c?utm_campaign=1057&amp;utm_source=sheet", "Apply")</f>
        <v>Apply</v>
      </c>
      <c r="C1500" s="10" t="s">
        <v>25518</v>
      </c>
      <c r="D1500" s="56" t="s">
        <v>4448</v>
      </c>
      <c r="E1500" s="10" t="s">
        <v>71</v>
      </c>
      <c r="F1500" s="10" t="s">
        <v>4449</v>
      </c>
      <c r="G1500" s="10" t="s">
        <v>24043</v>
      </c>
      <c r="H1500" s="10" t="s">
        <v>5367</v>
      </c>
      <c r="I1500" s="10" t="s">
        <v>55</v>
      </c>
      <c r="K1500" s="10" t="s">
        <v>25389</v>
      </c>
      <c r="L1500" s="10" t="s">
        <v>42</v>
      </c>
    </row>
    <row r="1501" ht="15.75" customHeight="1">
      <c r="A1501" s="66">
        <v>45461.0</v>
      </c>
      <c r="B1501" s="55" t="str">
        <f>HYPERLINK("https://jobright.ai/jobs/info/667275b043c523e40f58b57c?utm_campaign=1057&amp;utm_source=sheet", "Apply")</f>
        <v>Apply</v>
      </c>
      <c r="C1501" s="10" t="s">
        <v>24088</v>
      </c>
      <c r="D1501" s="56" t="s">
        <v>4448</v>
      </c>
      <c r="E1501" s="10" t="s">
        <v>71</v>
      </c>
      <c r="F1501" s="10" t="s">
        <v>4449</v>
      </c>
      <c r="G1501" s="10" t="s">
        <v>24043</v>
      </c>
      <c r="H1501" s="10" t="s">
        <v>25451</v>
      </c>
      <c r="I1501" s="10" t="s">
        <v>55</v>
      </c>
      <c r="K1501" s="10" t="s">
        <v>25389</v>
      </c>
      <c r="L1501" s="10" t="s">
        <v>42</v>
      </c>
    </row>
    <row r="1502" ht="15.75" customHeight="1">
      <c r="A1502" s="66">
        <v>45461.0</v>
      </c>
      <c r="B1502" s="55" t="str">
        <f>HYPERLINK("https://jobright.ai/jobs/info/667275d143c523e40f58b6f3?utm_campaign=1057&amp;utm_source=sheet", "Apply")</f>
        <v>Apply</v>
      </c>
      <c r="C1502" s="10" t="s">
        <v>25519</v>
      </c>
      <c r="D1502" s="56" t="s">
        <v>4448</v>
      </c>
      <c r="E1502" s="10" t="s">
        <v>71</v>
      </c>
      <c r="F1502" s="10" t="s">
        <v>4449</v>
      </c>
      <c r="G1502" s="10" t="s">
        <v>24043</v>
      </c>
      <c r="H1502" s="10" t="s">
        <v>25445</v>
      </c>
      <c r="I1502" s="10" t="s">
        <v>55</v>
      </c>
      <c r="K1502" s="10" t="s">
        <v>25389</v>
      </c>
      <c r="L1502" s="10" t="s">
        <v>42</v>
      </c>
    </row>
    <row r="1503" ht="15.75" customHeight="1">
      <c r="A1503" s="66">
        <v>45461.0</v>
      </c>
      <c r="B1503" s="55" t="str">
        <f>HYPERLINK("https://jobright.ai/jobs/info/667275e243c523e40f58b748?utm_campaign=1057&amp;utm_source=sheet", "Apply")</f>
        <v>Apply</v>
      </c>
      <c r="C1503" s="10" t="s">
        <v>25520</v>
      </c>
      <c r="D1503" s="56" t="s">
        <v>4448</v>
      </c>
      <c r="E1503" s="10" t="s">
        <v>71</v>
      </c>
      <c r="F1503" s="10" t="s">
        <v>4449</v>
      </c>
      <c r="G1503" s="10" t="s">
        <v>24043</v>
      </c>
      <c r="H1503" s="10" t="s">
        <v>5367</v>
      </c>
      <c r="I1503" s="10" t="s">
        <v>55</v>
      </c>
      <c r="K1503" s="10" t="s">
        <v>25392</v>
      </c>
      <c r="L1503" s="10" t="s">
        <v>42</v>
      </c>
    </row>
    <row r="1504" ht="15.75" customHeight="1">
      <c r="A1504" s="66">
        <v>45461.0</v>
      </c>
      <c r="B1504" s="55" t="str">
        <f>HYPERLINK("https://jobright.ai/jobs/info/667477a8a404bed170399647?utm_campaign=1057&amp;utm_source=sheet", "Apply")</f>
        <v>Apply</v>
      </c>
      <c r="C1504" s="10" t="s">
        <v>24506</v>
      </c>
      <c r="D1504" s="56" t="s">
        <v>4448</v>
      </c>
      <c r="E1504" s="10" t="s">
        <v>71</v>
      </c>
      <c r="F1504" s="10" t="s">
        <v>4449</v>
      </c>
      <c r="G1504" s="10" t="s">
        <v>24043</v>
      </c>
      <c r="H1504" s="10" t="s">
        <v>25141</v>
      </c>
      <c r="I1504" s="10" t="s">
        <v>55</v>
      </c>
      <c r="K1504" s="10" t="s">
        <v>4450</v>
      </c>
      <c r="L1504" s="10" t="s">
        <v>42</v>
      </c>
    </row>
    <row r="1505" ht="15.75" customHeight="1">
      <c r="A1505" s="66">
        <v>45461.0</v>
      </c>
      <c r="B1505" s="55" t="str">
        <f>HYPERLINK("https://jobright.ai/jobs/info/667477a8a404bed170399669?utm_campaign=1057&amp;utm_source=sheet", "Apply")</f>
        <v>Apply</v>
      </c>
      <c r="C1505" s="10" t="s">
        <v>25521</v>
      </c>
      <c r="D1505" s="56" t="s">
        <v>4448</v>
      </c>
      <c r="E1505" s="10" t="s">
        <v>71</v>
      </c>
      <c r="F1505" s="10" t="s">
        <v>4449</v>
      </c>
      <c r="G1505" s="10" t="s">
        <v>24043</v>
      </c>
      <c r="H1505" s="10" t="s">
        <v>25493</v>
      </c>
      <c r="I1505" s="10" t="s">
        <v>55</v>
      </c>
      <c r="K1505" s="10" t="s">
        <v>4450</v>
      </c>
      <c r="L1505" s="10" t="s">
        <v>42</v>
      </c>
    </row>
    <row r="1506" ht="15.75" customHeight="1">
      <c r="A1506" s="66">
        <v>45461.0</v>
      </c>
      <c r="B1506" s="55" t="str">
        <f>HYPERLINK("https://jobright.ai/jobs/info/667477a8a404bed1703996b3?utm_campaign=1057&amp;utm_source=sheet", "Apply")</f>
        <v>Apply</v>
      </c>
      <c r="C1506" s="10" t="s">
        <v>25522</v>
      </c>
      <c r="D1506" s="56" t="s">
        <v>4448</v>
      </c>
      <c r="E1506" s="10" t="s">
        <v>71</v>
      </c>
      <c r="F1506" s="10" t="s">
        <v>4449</v>
      </c>
      <c r="G1506" s="10" t="s">
        <v>24043</v>
      </c>
      <c r="H1506" s="10" t="s">
        <v>25493</v>
      </c>
      <c r="I1506" s="10" t="s">
        <v>55</v>
      </c>
      <c r="K1506" s="10" t="s">
        <v>4450</v>
      </c>
      <c r="L1506" s="10" t="s">
        <v>42</v>
      </c>
    </row>
    <row r="1507" ht="15.75" customHeight="1">
      <c r="A1507" s="66">
        <v>45461.0</v>
      </c>
      <c r="B1507" s="55" t="str">
        <f>HYPERLINK("https://jobright.ai/jobs/info/667477a8a404bed1703996c0?utm_campaign=1057&amp;utm_source=sheet", "Apply")</f>
        <v>Apply</v>
      </c>
      <c r="C1507" s="10" t="s">
        <v>25523</v>
      </c>
      <c r="D1507" s="56" t="s">
        <v>4448</v>
      </c>
      <c r="E1507" s="10" t="s">
        <v>71</v>
      </c>
      <c r="F1507" s="10" t="s">
        <v>4449</v>
      </c>
      <c r="G1507" s="10" t="s">
        <v>24043</v>
      </c>
      <c r="H1507" s="10" t="s">
        <v>25109</v>
      </c>
      <c r="I1507" s="10" t="s">
        <v>55</v>
      </c>
      <c r="K1507" s="10" t="s">
        <v>4450</v>
      </c>
      <c r="L1507" s="10" t="s">
        <v>42</v>
      </c>
    </row>
    <row r="1508" ht="15.75" customHeight="1">
      <c r="A1508" s="66">
        <v>45461.0</v>
      </c>
      <c r="B1508" s="55" t="str">
        <f>HYPERLINK("https://jobright.ai/jobs/info/667477a8a404bed1703996c4?utm_campaign=1057&amp;utm_source=sheet", "Apply")</f>
        <v>Apply</v>
      </c>
      <c r="C1508" s="10" t="s">
        <v>24513</v>
      </c>
      <c r="D1508" s="56" t="s">
        <v>4448</v>
      </c>
      <c r="E1508" s="10" t="s">
        <v>71</v>
      </c>
      <c r="F1508" s="10" t="s">
        <v>4449</v>
      </c>
      <c r="G1508" s="10" t="s">
        <v>24043</v>
      </c>
      <c r="H1508" s="10" t="s">
        <v>8216</v>
      </c>
      <c r="I1508" s="10" t="s">
        <v>55</v>
      </c>
      <c r="K1508" s="10" t="s">
        <v>4450</v>
      </c>
      <c r="L1508" s="10" t="s">
        <v>42</v>
      </c>
    </row>
    <row r="1509" ht="15.75" customHeight="1">
      <c r="A1509" s="66">
        <v>45461.0</v>
      </c>
      <c r="B1509" s="55" t="str">
        <f>HYPERLINK("https://jobright.ai/jobs/info/667477a8a404bed1703996dd?utm_campaign=1057&amp;utm_source=sheet", "Apply")</f>
        <v>Apply</v>
      </c>
      <c r="C1509" s="10" t="s">
        <v>24058</v>
      </c>
      <c r="D1509" s="56" t="s">
        <v>4448</v>
      </c>
      <c r="E1509" s="10" t="s">
        <v>71</v>
      </c>
      <c r="F1509" s="10" t="s">
        <v>4449</v>
      </c>
      <c r="G1509" s="10" t="s">
        <v>24043</v>
      </c>
      <c r="H1509" s="10" t="s">
        <v>21698</v>
      </c>
      <c r="I1509" s="10" t="s">
        <v>55</v>
      </c>
      <c r="K1509" s="10" t="s">
        <v>4450</v>
      </c>
      <c r="L1509" s="10" t="s">
        <v>42</v>
      </c>
    </row>
    <row r="1510" ht="15.75" customHeight="1">
      <c r="A1510" s="66">
        <v>45461.0</v>
      </c>
      <c r="B1510" s="55" t="str">
        <f>HYPERLINK("https://jobright.ai/jobs/info/667477b3a404bed17039971f?utm_campaign=1057&amp;utm_source=sheet", "Apply")</f>
        <v>Apply</v>
      </c>
      <c r="C1510" s="10" t="s">
        <v>24525</v>
      </c>
      <c r="D1510" s="56" t="s">
        <v>4448</v>
      </c>
      <c r="E1510" s="10" t="s">
        <v>71</v>
      </c>
      <c r="F1510" s="10" t="s">
        <v>4449</v>
      </c>
      <c r="G1510" s="10" t="s">
        <v>24043</v>
      </c>
      <c r="H1510" s="10" t="s">
        <v>25414</v>
      </c>
      <c r="I1510" s="10" t="s">
        <v>55</v>
      </c>
      <c r="K1510" s="10" t="s">
        <v>4450</v>
      </c>
      <c r="L1510" s="10" t="s">
        <v>42</v>
      </c>
    </row>
    <row r="1511" ht="15.75" customHeight="1">
      <c r="A1511" s="66">
        <v>45461.0</v>
      </c>
      <c r="B1511" s="55" t="str">
        <f>HYPERLINK("https://jobright.ai/jobs/info/667477bea404bed170399814?utm_campaign=1057&amp;utm_source=sheet", "Apply")</f>
        <v>Apply</v>
      </c>
      <c r="C1511" s="10" t="s">
        <v>24368</v>
      </c>
      <c r="D1511" s="56" t="s">
        <v>4448</v>
      </c>
      <c r="E1511" s="10" t="s">
        <v>71</v>
      </c>
      <c r="F1511" s="10" t="s">
        <v>4449</v>
      </c>
      <c r="G1511" s="10" t="s">
        <v>24043</v>
      </c>
      <c r="H1511" s="10" t="s">
        <v>25089</v>
      </c>
      <c r="I1511" s="10" t="s">
        <v>55</v>
      </c>
      <c r="K1511" s="10" t="s">
        <v>4450</v>
      </c>
      <c r="L1511" s="10" t="s">
        <v>42</v>
      </c>
    </row>
    <row r="1512" ht="15.75" customHeight="1">
      <c r="A1512" s="66">
        <v>45461.0</v>
      </c>
      <c r="B1512" s="55" t="str">
        <f>HYPERLINK("https://jobright.ai/jobs/info/667477bea404bed170399829?utm_campaign=1057&amp;utm_source=sheet", "Apply")</f>
        <v>Apply</v>
      </c>
      <c r="C1512" s="10" t="s">
        <v>20987</v>
      </c>
      <c r="D1512" s="56" t="s">
        <v>4448</v>
      </c>
      <c r="E1512" s="10" t="s">
        <v>71</v>
      </c>
      <c r="F1512" s="10" t="s">
        <v>4449</v>
      </c>
      <c r="G1512" s="10" t="s">
        <v>24043</v>
      </c>
      <c r="H1512" s="10" t="s">
        <v>7497</v>
      </c>
      <c r="I1512" s="10" t="s">
        <v>55</v>
      </c>
      <c r="K1512" s="10" t="s">
        <v>4450</v>
      </c>
      <c r="L1512" s="10" t="s">
        <v>42</v>
      </c>
    </row>
    <row r="1513" ht="15.75" customHeight="1">
      <c r="A1513" s="66">
        <v>45461.0</v>
      </c>
      <c r="B1513" s="55" t="str">
        <f>HYPERLINK("https://jobright.ai/jobs/info/667477d6a404bed1703999da?utm_campaign=1057&amp;utm_source=sheet", "Apply")</f>
        <v>Apply</v>
      </c>
      <c r="C1513" s="10" t="s">
        <v>25482</v>
      </c>
      <c r="D1513" s="56" t="s">
        <v>4448</v>
      </c>
      <c r="E1513" s="10" t="s">
        <v>71</v>
      </c>
      <c r="F1513" s="10" t="s">
        <v>4449</v>
      </c>
      <c r="G1513" s="10" t="s">
        <v>24043</v>
      </c>
      <c r="H1513" s="10" t="s">
        <v>25089</v>
      </c>
      <c r="I1513" s="10" t="s">
        <v>55</v>
      </c>
      <c r="K1513" s="10" t="s">
        <v>4450</v>
      </c>
      <c r="L1513" s="10" t="s">
        <v>42</v>
      </c>
    </row>
    <row r="1514" ht="15.75" customHeight="1">
      <c r="A1514" s="66">
        <v>45461.0</v>
      </c>
      <c r="B1514" s="55" t="str">
        <f>HYPERLINK("https://jobright.ai/jobs/info/667477d6a404bed1703999dc?utm_campaign=1057&amp;utm_source=sheet", "Apply")</f>
        <v>Apply</v>
      </c>
      <c r="C1514" s="10" t="s">
        <v>4451</v>
      </c>
      <c r="D1514" s="56" t="s">
        <v>4448</v>
      </c>
      <c r="E1514" s="10" t="s">
        <v>71</v>
      </c>
      <c r="F1514" s="10" t="s">
        <v>4449</v>
      </c>
      <c r="G1514" s="10" t="s">
        <v>24043</v>
      </c>
      <c r="H1514" s="10" t="s">
        <v>25493</v>
      </c>
      <c r="I1514" s="10" t="s">
        <v>55</v>
      </c>
      <c r="K1514" s="10" t="s">
        <v>4450</v>
      </c>
      <c r="L1514" s="10" t="s">
        <v>42</v>
      </c>
    </row>
    <row r="1515" ht="15.75" customHeight="1">
      <c r="A1515" s="66">
        <v>45461.0</v>
      </c>
      <c r="B1515" s="55" t="str">
        <f>HYPERLINK("https://jobright.ai/jobs/info/667296737a950455a4046703?utm_campaign=1057&amp;utm_source=sheet", "Apply")</f>
        <v>Apply</v>
      </c>
      <c r="C1515" s="10" t="s">
        <v>25524</v>
      </c>
      <c r="D1515" s="56" t="s">
        <v>4448</v>
      </c>
      <c r="E1515" s="10" t="s">
        <v>71</v>
      </c>
      <c r="F1515" s="10" t="s">
        <v>4449</v>
      </c>
      <c r="G1515" s="10" t="s">
        <v>24043</v>
      </c>
      <c r="H1515" s="10" t="s">
        <v>8254</v>
      </c>
      <c r="I1515" s="10" t="s">
        <v>55</v>
      </c>
      <c r="K1515" s="10" t="s">
        <v>4450</v>
      </c>
      <c r="L1515" s="10" t="s">
        <v>42</v>
      </c>
    </row>
    <row r="1516" ht="15.75" customHeight="1">
      <c r="A1516" s="66">
        <v>45461.0</v>
      </c>
      <c r="B1516" s="55" t="str">
        <f>HYPERLINK("https://jobright.ai/jobs/info/667296837a950455a40467e3?utm_campaign=1057&amp;utm_source=sheet", "Apply")</f>
        <v>Apply</v>
      </c>
      <c r="C1516" s="10" t="s">
        <v>24517</v>
      </c>
      <c r="D1516" s="56" t="s">
        <v>4448</v>
      </c>
      <c r="E1516" s="10" t="s">
        <v>71</v>
      </c>
      <c r="F1516" s="10" t="s">
        <v>4449</v>
      </c>
      <c r="G1516" s="10" t="s">
        <v>24043</v>
      </c>
      <c r="H1516" s="10" t="s">
        <v>25084</v>
      </c>
      <c r="I1516" s="10" t="s">
        <v>55</v>
      </c>
      <c r="K1516" s="10" t="s">
        <v>4450</v>
      </c>
      <c r="L1516" s="10" t="s">
        <v>42</v>
      </c>
    </row>
    <row r="1517" ht="15.75" customHeight="1">
      <c r="A1517" s="66">
        <v>45461.0</v>
      </c>
      <c r="B1517" s="55" t="str">
        <f>HYPERLINK("https://jobright.ai/jobs/info/667296927a950455a404680f?utm_campaign=1057&amp;utm_source=sheet", "Apply")</f>
        <v>Apply</v>
      </c>
      <c r="C1517" s="10" t="s">
        <v>24525</v>
      </c>
      <c r="D1517" s="56" t="s">
        <v>4448</v>
      </c>
      <c r="E1517" s="10" t="s">
        <v>71</v>
      </c>
      <c r="F1517" s="10" t="s">
        <v>4449</v>
      </c>
      <c r="G1517" s="10" t="s">
        <v>24043</v>
      </c>
      <c r="H1517" s="10" t="s">
        <v>25017</v>
      </c>
      <c r="I1517" s="10" t="s">
        <v>55</v>
      </c>
      <c r="K1517" s="10" t="s">
        <v>4450</v>
      </c>
      <c r="L1517" s="10" t="s">
        <v>42</v>
      </c>
    </row>
    <row r="1518" ht="15.75" customHeight="1">
      <c r="A1518" s="66">
        <v>45461.0</v>
      </c>
      <c r="B1518" s="55" t="str">
        <f>HYPERLINK("https://jobright.ai/jobs/info/667296927a950455a4046838?utm_campaign=1057&amp;utm_source=sheet", "Apply")</f>
        <v>Apply</v>
      </c>
      <c r="C1518" s="10" t="s">
        <v>24430</v>
      </c>
      <c r="D1518" s="56" t="s">
        <v>4448</v>
      </c>
      <c r="E1518" s="10" t="s">
        <v>71</v>
      </c>
      <c r="F1518" s="10" t="s">
        <v>4449</v>
      </c>
      <c r="G1518" s="10" t="s">
        <v>24043</v>
      </c>
      <c r="H1518" s="10" t="s">
        <v>25141</v>
      </c>
      <c r="I1518" s="10" t="s">
        <v>55</v>
      </c>
      <c r="K1518" s="10" t="s">
        <v>4450</v>
      </c>
      <c r="L1518" s="10" t="s">
        <v>42</v>
      </c>
    </row>
    <row r="1519" ht="15.75" customHeight="1">
      <c r="A1519" s="66">
        <v>45461.0</v>
      </c>
      <c r="B1519" s="55" t="str">
        <f>HYPERLINK("https://jobright.ai/jobs/info/667296927a950455a404686a?utm_campaign=1057&amp;utm_source=sheet", "Apply")</f>
        <v>Apply</v>
      </c>
      <c r="C1519" s="10" t="s">
        <v>24430</v>
      </c>
      <c r="D1519" s="56" t="s">
        <v>4448</v>
      </c>
      <c r="E1519" s="10" t="s">
        <v>71</v>
      </c>
      <c r="F1519" s="10" t="s">
        <v>4449</v>
      </c>
      <c r="G1519" s="10" t="s">
        <v>24043</v>
      </c>
      <c r="H1519" s="10" t="s">
        <v>25090</v>
      </c>
      <c r="I1519" s="10" t="s">
        <v>55</v>
      </c>
      <c r="K1519" s="10" t="s">
        <v>4450</v>
      </c>
      <c r="L1519" s="10" t="s">
        <v>42</v>
      </c>
    </row>
    <row r="1520" ht="15.75" customHeight="1">
      <c r="A1520" s="66">
        <v>45461.0</v>
      </c>
      <c r="B1520" s="55" t="str">
        <f>HYPERLINK("https://jobright.ai/jobs/info/667296a17a950455a4046904?utm_campaign=1057&amp;utm_source=sheet", "Apply")</f>
        <v>Apply</v>
      </c>
      <c r="C1520" s="10" t="s">
        <v>24058</v>
      </c>
      <c r="D1520" s="56" t="s">
        <v>4448</v>
      </c>
      <c r="E1520" s="10" t="s">
        <v>71</v>
      </c>
      <c r="F1520" s="10" t="s">
        <v>4449</v>
      </c>
      <c r="G1520" s="10" t="s">
        <v>24043</v>
      </c>
      <c r="H1520" s="10" t="s">
        <v>25414</v>
      </c>
      <c r="I1520" s="10" t="s">
        <v>55</v>
      </c>
      <c r="K1520" s="10" t="s">
        <v>4450</v>
      </c>
      <c r="L1520" s="10" t="s">
        <v>42</v>
      </c>
    </row>
    <row r="1521" ht="15.75" customHeight="1">
      <c r="A1521" s="66">
        <v>45461.0</v>
      </c>
      <c r="B1521" s="55" t="str">
        <f>HYPERLINK("https://jobright.ai/jobs/info/667296b07a950455a40469b5?utm_campaign=1057&amp;utm_source=sheet", "Apply")</f>
        <v>Apply</v>
      </c>
      <c r="C1521" s="10" t="s">
        <v>24058</v>
      </c>
      <c r="D1521" s="56" t="s">
        <v>4448</v>
      </c>
      <c r="E1521" s="10" t="s">
        <v>71</v>
      </c>
      <c r="F1521" s="10" t="s">
        <v>4449</v>
      </c>
      <c r="G1521" s="10" t="s">
        <v>24043</v>
      </c>
      <c r="H1521" s="10" t="s">
        <v>25017</v>
      </c>
      <c r="I1521" s="10" t="s">
        <v>55</v>
      </c>
      <c r="K1521" s="10" t="s">
        <v>4450</v>
      </c>
      <c r="L1521" s="10" t="s">
        <v>42</v>
      </c>
    </row>
    <row r="1522" ht="15.75" customHeight="1">
      <c r="A1522" s="66">
        <v>45461.0</v>
      </c>
      <c r="B1522" s="55" t="str">
        <f>HYPERLINK("https://jobright.ai/jobs/info/667296b07a950455a40469bd?utm_campaign=1057&amp;utm_source=sheet", "Apply")</f>
        <v>Apply</v>
      </c>
      <c r="C1522" s="10" t="s">
        <v>25099</v>
      </c>
      <c r="D1522" s="56" t="s">
        <v>4448</v>
      </c>
      <c r="E1522" s="10" t="s">
        <v>71</v>
      </c>
      <c r="F1522" s="10" t="s">
        <v>4449</v>
      </c>
      <c r="G1522" s="10" t="s">
        <v>24043</v>
      </c>
      <c r="H1522" s="10" t="s">
        <v>25089</v>
      </c>
      <c r="I1522" s="10" t="s">
        <v>55</v>
      </c>
      <c r="K1522" s="10" t="s">
        <v>4450</v>
      </c>
      <c r="L1522" s="10" t="s">
        <v>42</v>
      </c>
    </row>
    <row r="1523" ht="15.75" customHeight="1">
      <c r="A1523" s="66">
        <v>45461.0</v>
      </c>
      <c r="B1523" s="55" t="str">
        <f>HYPERLINK("https://jobright.ai/jobs/info/667296cf7a950455a4046b6a?utm_campaign=1057&amp;utm_source=sheet", "Apply")</f>
        <v>Apply</v>
      </c>
      <c r="C1523" s="10" t="s">
        <v>20987</v>
      </c>
      <c r="D1523" s="56" t="s">
        <v>4448</v>
      </c>
      <c r="E1523" s="10" t="s">
        <v>71</v>
      </c>
      <c r="F1523" s="10" t="s">
        <v>4449</v>
      </c>
      <c r="G1523" s="10" t="s">
        <v>24043</v>
      </c>
      <c r="H1523" s="10" t="s">
        <v>25492</v>
      </c>
      <c r="I1523" s="10" t="s">
        <v>55</v>
      </c>
      <c r="K1523" s="10" t="s">
        <v>4450</v>
      </c>
      <c r="L1523" s="10" t="s">
        <v>42</v>
      </c>
    </row>
    <row r="1524" ht="15.75" customHeight="1">
      <c r="A1524" s="66">
        <v>45461.0</v>
      </c>
      <c r="B1524" s="55" t="str">
        <f>HYPERLINK("https://jobright.ai/jobs/info/667296cf7a950455a4046bc8?utm_campaign=1057&amp;utm_source=sheet", "Apply")</f>
        <v>Apply</v>
      </c>
      <c r="C1524" s="10" t="s">
        <v>24443</v>
      </c>
      <c r="D1524" s="56" t="s">
        <v>4448</v>
      </c>
      <c r="E1524" s="10" t="s">
        <v>71</v>
      </c>
      <c r="F1524" s="10" t="s">
        <v>4449</v>
      </c>
      <c r="G1524" s="10" t="s">
        <v>24043</v>
      </c>
      <c r="H1524" s="10" t="s">
        <v>8212</v>
      </c>
      <c r="I1524" s="10" t="s">
        <v>55</v>
      </c>
      <c r="K1524" s="10" t="s">
        <v>4450</v>
      </c>
      <c r="L1524" s="10" t="s">
        <v>42</v>
      </c>
    </row>
    <row r="1525" ht="15.75" customHeight="1">
      <c r="A1525" s="66">
        <v>45461.0</v>
      </c>
      <c r="B1525" s="55" t="str">
        <f>HYPERLINK("https://jobright.ai/jobs/info/6672970c7a950455a4046eaa?utm_campaign=1057&amp;utm_source=sheet", "Apply")</f>
        <v>Apply</v>
      </c>
      <c r="C1525" s="10" t="s">
        <v>25525</v>
      </c>
      <c r="D1525" s="56" t="s">
        <v>4448</v>
      </c>
      <c r="E1525" s="10" t="s">
        <v>71</v>
      </c>
      <c r="F1525" s="10" t="s">
        <v>4449</v>
      </c>
      <c r="G1525" s="10" t="s">
        <v>24043</v>
      </c>
      <c r="H1525" s="10" t="s">
        <v>7501</v>
      </c>
      <c r="I1525" s="10" t="s">
        <v>55</v>
      </c>
      <c r="K1525" s="10" t="s">
        <v>4450</v>
      </c>
      <c r="L1525" s="10" t="s">
        <v>42</v>
      </c>
    </row>
    <row r="1526" ht="15.75" customHeight="1">
      <c r="A1526" s="66">
        <v>45461.0</v>
      </c>
      <c r="B1526" s="55" t="str">
        <f>HYPERLINK("https://jobright.ai/jobs/info/667296de7a950455a4046c71?utm_campaign=1057&amp;utm_source=sheet", "Apply")</f>
        <v>Apply</v>
      </c>
      <c r="C1526" s="10" t="s">
        <v>24518</v>
      </c>
      <c r="D1526" s="56" t="s">
        <v>4448</v>
      </c>
      <c r="E1526" s="10" t="s">
        <v>71</v>
      </c>
      <c r="F1526" s="10" t="s">
        <v>4449</v>
      </c>
      <c r="G1526" s="10" t="s">
        <v>24043</v>
      </c>
      <c r="H1526" s="10" t="s">
        <v>25493</v>
      </c>
      <c r="I1526" s="10" t="s">
        <v>55</v>
      </c>
      <c r="K1526" s="10" t="s">
        <v>4450</v>
      </c>
      <c r="L1526" s="10" t="s">
        <v>42</v>
      </c>
    </row>
    <row r="1527" ht="15.75" customHeight="1">
      <c r="A1527" s="66">
        <v>45461.0</v>
      </c>
      <c r="B1527" s="55" t="str">
        <f>HYPERLINK("https://jobright.ai/jobs/info/667ad349ea7720d72c724280?utm_campaign=1057&amp;utm_source=sheet", "Apply")</f>
        <v>Apply</v>
      </c>
      <c r="C1527" s="10" t="s">
        <v>25526</v>
      </c>
      <c r="D1527" s="56" t="s">
        <v>25527</v>
      </c>
      <c r="E1527" s="10" t="s">
        <v>45</v>
      </c>
      <c r="F1527" s="10" t="s">
        <v>651</v>
      </c>
      <c r="G1527" s="10" t="s">
        <v>24043</v>
      </c>
      <c r="H1527" s="10" t="s">
        <v>3263</v>
      </c>
      <c r="I1527" s="10" t="s">
        <v>55</v>
      </c>
      <c r="K1527" s="10" t="s">
        <v>25528</v>
      </c>
      <c r="L1527" s="10" t="s">
        <v>42</v>
      </c>
    </row>
    <row r="1528" ht="15.75" customHeight="1">
      <c r="A1528" s="66">
        <v>45461.0</v>
      </c>
      <c r="B1528" s="55" t="str">
        <f>HYPERLINK("https://jobright.ai/jobs/info/667439304bad03f9b038a115?utm_campaign=1057&amp;utm_source=sheet", "Apply")</f>
        <v>Apply</v>
      </c>
      <c r="C1528" s="10" t="s">
        <v>25529</v>
      </c>
      <c r="D1528" s="56" t="s">
        <v>25530</v>
      </c>
      <c r="E1528" s="10" t="s">
        <v>249</v>
      </c>
      <c r="F1528" s="10" t="s">
        <v>1234</v>
      </c>
      <c r="G1528" s="10" t="s">
        <v>24022</v>
      </c>
      <c r="H1528" s="10" t="s">
        <v>13002</v>
      </c>
      <c r="I1528" s="10" t="s">
        <v>55</v>
      </c>
      <c r="J1528" s="10" t="s">
        <v>25531</v>
      </c>
      <c r="K1528" s="10" t="s">
        <v>25532</v>
      </c>
      <c r="L1528" s="10" t="s">
        <v>42</v>
      </c>
    </row>
    <row r="1529" ht="15.75" customHeight="1">
      <c r="A1529" s="66">
        <v>45461.0</v>
      </c>
      <c r="B1529" s="55" t="str">
        <f>HYPERLINK("https://jobright.ai/jobs/info/6683e75dbff8e7c8fbc4b660?utm_campaign=1057&amp;utm_source=sheet", "Apply")</f>
        <v>Apply</v>
      </c>
      <c r="C1529" s="10" t="s">
        <v>25533</v>
      </c>
      <c r="D1529" s="56" t="s">
        <v>196</v>
      </c>
      <c r="E1529" s="10" t="s">
        <v>71</v>
      </c>
      <c r="F1529" s="10" t="s">
        <v>197</v>
      </c>
      <c r="G1529" s="10" t="s">
        <v>24022</v>
      </c>
      <c r="H1529" s="10" t="s">
        <v>193</v>
      </c>
      <c r="I1529" s="10" t="s">
        <v>55</v>
      </c>
      <c r="K1529" s="10" t="s">
        <v>25534</v>
      </c>
      <c r="L1529" s="10" t="s">
        <v>42</v>
      </c>
    </row>
    <row r="1530" ht="15.75" customHeight="1">
      <c r="A1530" s="66">
        <v>45461.0</v>
      </c>
      <c r="B1530" s="55" t="str">
        <f>HYPERLINK("https://jobright.ai/jobs/info/6638434c33149a0435d6248b?utm_campaign=1057&amp;utm_source=sheet", "Apply")</f>
        <v>Apply</v>
      </c>
      <c r="C1530" s="10" t="s">
        <v>24192</v>
      </c>
      <c r="D1530" s="56" t="s">
        <v>25535</v>
      </c>
      <c r="E1530" s="10" t="s">
        <v>65</v>
      </c>
      <c r="G1530" s="10" t="s">
        <v>24031</v>
      </c>
      <c r="H1530" s="10" t="s">
        <v>25536</v>
      </c>
      <c r="I1530" s="10" t="s">
        <v>55</v>
      </c>
      <c r="J1530" s="10" t="s">
        <v>25537</v>
      </c>
      <c r="K1530" s="10" t="s">
        <v>25538</v>
      </c>
      <c r="L1530" s="10" t="s">
        <v>42</v>
      </c>
    </row>
    <row r="1531" ht="15.75" customHeight="1">
      <c r="A1531" s="66">
        <v>45461.0</v>
      </c>
      <c r="B1531" s="55" t="str">
        <f>HYPERLINK("https://jobright.ai/jobs/info/667106bc5a5b1aa2d9aae72a?utm_campaign=1057&amp;utm_source=sheet", "Apply")</f>
        <v>Apply</v>
      </c>
      <c r="C1531" s="10" t="s">
        <v>24716</v>
      </c>
      <c r="D1531" s="56" t="s">
        <v>24717</v>
      </c>
      <c r="E1531" s="10">
        <v>67.0</v>
      </c>
      <c r="G1531" s="10" t="s">
        <v>24031</v>
      </c>
      <c r="H1531" s="10" t="s">
        <v>25245</v>
      </c>
      <c r="I1531" s="10" t="s">
        <v>55</v>
      </c>
      <c r="K1531" s="10" t="s">
        <v>25311</v>
      </c>
      <c r="L1531" s="10" t="s">
        <v>42</v>
      </c>
    </row>
    <row r="1532" ht="15.75" customHeight="1">
      <c r="A1532" s="66">
        <v>45461.0</v>
      </c>
      <c r="B1532" s="55" t="str">
        <f>HYPERLINK("https://jobright.ai/jobs/info/667714333ab189f6697e9a94?utm_campaign=1057&amp;utm_source=sheet", "Apply")</f>
        <v>Apply</v>
      </c>
      <c r="C1532" s="10" t="s">
        <v>25539</v>
      </c>
      <c r="D1532" s="56" t="s">
        <v>20368</v>
      </c>
      <c r="E1532" s="10" t="s">
        <v>249</v>
      </c>
      <c r="F1532" s="10" t="s">
        <v>1506</v>
      </c>
      <c r="G1532" s="10" t="s">
        <v>24022</v>
      </c>
      <c r="H1532" s="10" t="s">
        <v>5616</v>
      </c>
      <c r="I1532" s="10" t="s">
        <v>55</v>
      </c>
      <c r="J1532" s="10" t="s">
        <v>25540</v>
      </c>
      <c r="L1532" s="10" t="s">
        <v>42</v>
      </c>
    </row>
    <row r="1533" ht="15.75" customHeight="1">
      <c r="A1533" s="66">
        <v>45461.0</v>
      </c>
      <c r="B1533" s="55" t="str">
        <f>HYPERLINK("https://jobright.ai/jobs/info/667714333ab189f6697e9a99?utm_campaign=1057&amp;utm_source=sheet", "Apply")</f>
        <v>Apply</v>
      </c>
      <c r="C1533" s="10" t="s">
        <v>25541</v>
      </c>
      <c r="D1533" s="56" t="s">
        <v>20368</v>
      </c>
      <c r="E1533" s="10" t="s">
        <v>249</v>
      </c>
      <c r="F1533" s="10" t="s">
        <v>1506</v>
      </c>
      <c r="G1533" s="10" t="s">
        <v>24022</v>
      </c>
      <c r="H1533" s="10" t="s">
        <v>5616</v>
      </c>
      <c r="I1533" s="10" t="s">
        <v>55</v>
      </c>
      <c r="J1533" s="10" t="s">
        <v>25542</v>
      </c>
      <c r="L1533" s="10" t="s">
        <v>42</v>
      </c>
    </row>
    <row r="1534" ht="15.75" customHeight="1">
      <c r="A1534" s="66">
        <v>45461.0</v>
      </c>
      <c r="B1534" s="55" t="str">
        <f>HYPERLINK("https://jobright.ai/jobs/info/66723e75d2d9e8b741ebe868?utm_campaign=1057&amp;utm_source=sheet", "Apply")</f>
        <v>Apply</v>
      </c>
      <c r="C1534" s="10" t="s">
        <v>15272</v>
      </c>
      <c r="D1534" s="56" t="s">
        <v>2387</v>
      </c>
      <c r="E1534" s="10" t="s">
        <v>45</v>
      </c>
      <c r="F1534" s="10" t="s">
        <v>1084</v>
      </c>
      <c r="G1534" s="10" t="s">
        <v>24043</v>
      </c>
      <c r="H1534" s="10" t="s">
        <v>2388</v>
      </c>
      <c r="I1534" s="10" t="s">
        <v>55</v>
      </c>
      <c r="K1534" s="10" t="s">
        <v>15274</v>
      </c>
      <c r="L1534" s="10" t="s">
        <v>42</v>
      </c>
    </row>
    <row r="1535" ht="15.75" customHeight="1">
      <c r="A1535" s="66">
        <v>45461.0</v>
      </c>
      <c r="B1535" s="55" t="str">
        <f>HYPERLINK("https://jobright.ai/jobs/info/66727d3d8ce3decedf2536a3?utm_campaign=1057&amp;utm_source=sheet", "Apply")</f>
        <v>Apply</v>
      </c>
      <c r="C1535" s="10" t="s">
        <v>25543</v>
      </c>
      <c r="D1535" s="56" t="s">
        <v>18398</v>
      </c>
      <c r="E1535" s="10" t="s">
        <v>249</v>
      </c>
      <c r="F1535" s="10" t="s">
        <v>13546</v>
      </c>
      <c r="G1535" s="10" t="s">
        <v>24022</v>
      </c>
      <c r="H1535" s="10" t="s">
        <v>25544</v>
      </c>
      <c r="I1535" s="10" t="s">
        <v>55</v>
      </c>
      <c r="K1535" s="10" t="s">
        <v>25545</v>
      </c>
      <c r="L1535" s="10" t="s">
        <v>42</v>
      </c>
    </row>
    <row r="1536" ht="15.75" customHeight="1">
      <c r="A1536" s="66">
        <v>45461.0</v>
      </c>
      <c r="B1536" s="55" t="str">
        <f>HYPERLINK("https://jobright.ai/jobs/info/6671ef391924329b05c7d242?utm_campaign=1057&amp;utm_source=sheet", "Apply")</f>
        <v>Apply</v>
      </c>
      <c r="C1536" s="10" t="s">
        <v>25308</v>
      </c>
      <c r="D1536" s="56" t="s">
        <v>25309</v>
      </c>
      <c r="E1536" s="10" t="s">
        <v>65</v>
      </c>
      <c r="F1536" s="10" t="s">
        <v>192</v>
      </c>
      <c r="G1536" s="10" t="s">
        <v>24022</v>
      </c>
      <c r="H1536" s="10" t="s">
        <v>9446</v>
      </c>
      <c r="I1536" s="10" t="s">
        <v>55</v>
      </c>
      <c r="J1536" s="10" t="s">
        <v>1984</v>
      </c>
      <c r="K1536" s="10" t="s">
        <v>25310</v>
      </c>
      <c r="L1536" s="10" t="s">
        <v>42</v>
      </c>
    </row>
    <row r="1537" ht="15.75" customHeight="1">
      <c r="A1537" s="66">
        <v>45460.0</v>
      </c>
      <c r="B1537" s="55" t="str">
        <f>HYPERLINK("https://jobright.ai/jobs/info/6672e741d742a3597e9ab295?utm_campaign=1057&amp;utm_source=sheet", "Apply")</f>
        <v>Apply</v>
      </c>
      <c r="C1537" s="10" t="s">
        <v>25546</v>
      </c>
      <c r="D1537" s="56" t="s">
        <v>24326</v>
      </c>
      <c r="E1537" s="10" t="s">
        <v>249</v>
      </c>
      <c r="F1537" s="10" t="s">
        <v>2319</v>
      </c>
      <c r="G1537" s="10" t="s">
        <v>24022</v>
      </c>
      <c r="H1537" s="10" t="s">
        <v>921</v>
      </c>
      <c r="I1537" s="10" t="s">
        <v>55</v>
      </c>
      <c r="K1537" s="10" t="s">
        <v>25547</v>
      </c>
      <c r="L1537" s="10" t="s">
        <v>42</v>
      </c>
    </row>
    <row r="1538" ht="15.75" customHeight="1">
      <c r="A1538" s="66">
        <v>45460.0</v>
      </c>
      <c r="B1538" s="55" t="str">
        <f>HYPERLINK("https://jobright.ai/jobs/info/66708cf827f2855eff25f930?utm_campaign=1057&amp;utm_source=sheet", "Apply")</f>
        <v>Apply</v>
      </c>
      <c r="C1538" s="10" t="s">
        <v>25548</v>
      </c>
      <c r="D1538" s="56" t="s">
        <v>25549</v>
      </c>
      <c r="E1538" s="10" t="s">
        <v>79</v>
      </c>
      <c r="F1538" s="10" t="s">
        <v>2216</v>
      </c>
      <c r="G1538" s="10" t="s">
        <v>24022</v>
      </c>
      <c r="H1538" s="10" t="s">
        <v>994</v>
      </c>
      <c r="I1538" s="10" t="s">
        <v>55</v>
      </c>
      <c r="J1538" s="10" t="s">
        <v>4117</v>
      </c>
      <c r="K1538" s="10" t="s">
        <v>25550</v>
      </c>
      <c r="L1538" s="10" t="s">
        <v>42</v>
      </c>
    </row>
    <row r="1539" ht="15.75" customHeight="1">
      <c r="A1539" s="66">
        <v>45460.0</v>
      </c>
      <c r="B1539" s="55" t="str">
        <f>HYPERLINK("https://jobright.ai/jobs/info/66796d9a3f452d31d55f95d2?utm_campaign=1057&amp;utm_source=sheet", "Apply")</f>
        <v>Apply</v>
      </c>
      <c r="C1539" s="10" t="s">
        <v>25551</v>
      </c>
      <c r="D1539" s="56" t="s">
        <v>25552</v>
      </c>
      <c r="E1539" s="59">
        <v>45301.0</v>
      </c>
      <c r="F1539" s="10" t="s">
        <v>2617</v>
      </c>
      <c r="G1539" s="10" t="s">
        <v>24043</v>
      </c>
      <c r="H1539" s="10" t="s">
        <v>10592</v>
      </c>
      <c r="I1539" s="10" t="s">
        <v>55</v>
      </c>
      <c r="J1539" s="10" t="s">
        <v>1566</v>
      </c>
      <c r="K1539" s="10" t="s">
        <v>25553</v>
      </c>
      <c r="L1539" s="10" t="s">
        <v>42</v>
      </c>
    </row>
    <row r="1540" ht="15.75" customHeight="1">
      <c r="A1540" s="66">
        <v>45460.0</v>
      </c>
      <c r="B1540" s="55" t="str">
        <f>HYPERLINK("https://jobright.ai/jobs/info/66796432f6b36b4aa01a4631?utm_campaign=1057&amp;utm_source=sheet", "Apply")</f>
        <v>Apply</v>
      </c>
      <c r="C1540" s="10" t="s">
        <v>25554</v>
      </c>
      <c r="D1540" s="56" t="s">
        <v>196</v>
      </c>
      <c r="E1540" s="10" t="s">
        <v>71</v>
      </c>
      <c r="F1540" s="10" t="s">
        <v>197</v>
      </c>
      <c r="G1540" s="10" t="s">
        <v>24031</v>
      </c>
      <c r="H1540" s="10" t="s">
        <v>193</v>
      </c>
      <c r="I1540" s="10" t="s">
        <v>55</v>
      </c>
      <c r="K1540" s="10" t="s">
        <v>25555</v>
      </c>
      <c r="L1540" s="10" t="s">
        <v>42</v>
      </c>
    </row>
    <row r="1541" ht="15.75" customHeight="1">
      <c r="A1541" s="66">
        <v>45460.0</v>
      </c>
      <c r="B1541" s="55" t="str">
        <f>HYPERLINK("https://jobright.ai/jobs/info/66795bafdcb1db3fc098ecdc?utm_campaign=1057&amp;utm_source=sheet", "Apply")</f>
        <v>Apply</v>
      </c>
      <c r="C1541" s="10" t="s">
        <v>25556</v>
      </c>
      <c r="D1541" s="56" t="s">
        <v>25557</v>
      </c>
      <c r="E1541" s="10" t="s">
        <v>65</v>
      </c>
      <c r="F1541" s="10" t="s">
        <v>2409</v>
      </c>
      <c r="G1541" s="10" t="s">
        <v>24031</v>
      </c>
      <c r="H1541" s="10" t="s">
        <v>10999</v>
      </c>
      <c r="I1541" s="10" t="s">
        <v>55</v>
      </c>
      <c r="K1541" s="10" t="s">
        <v>25558</v>
      </c>
      <c r="L1541" s="10" t="s">
        <v>42</v>
      </c>
    </row>
    <row r="1542" ht="15.75" customHeight="1">
      <c r="A1542" s="66">
        <v>45460.0</v>
      </c>
      <c r="B1542" s="55" t="str">
        <f>HYPERLINK("https://jobright.ai/jobs/info/6670ec1e49a298a17f482ef5?utm_campaign=1057&amp;utm_source=sheet", "Apply")</f>
        <v>Apply</v>
      </c>
      <c r="C1542" s="10" t="s">
        <v>25559</v>
      </c>
      <c r="D1542" s="56" t="s">
        <v>25560</v>
      </c>
      <c r="E1542" s="10" t="s">
        <v>65</v>
      </c>
      <c r="F1542" s="10" t="s">
        <v>1506</v>
      </c>
      <c r="G1542" s="10" t="s">
        <v>24031</v>
      </c>
      <c r="H1542" s="10" t="s">
        <v>25561</v>
      </c>
      <c r="I1542" s="10" t="s">
        <v>55</v>
      </c>
      <c r="J1542" s="10" t="s">
        <v>25562</v>
      </c>
      <c r="K1542" s="10" t="s">
        <v>25563</v>
      </c>
      <c r="L1542" s="10" t="s">
        <v>42</v>
      </c>
    </row>
    <row r="1543" ht="15.75" customHeight="1">
      <c r="A1543" s="66">
        <v>45460.0</v>
      </c>
      <c r="B1543" s="55" t="str">
        <f>HYPERLINK("https://jobright.ai/jobs/info/66727dce8ce3decedf253be0?utm_campaign=1057&amp;utm_source=sheet", "Apply")</f>
        <v>Apply</v>
      </c>
      <c r="C1543" s="10" t="s">
        <v>25564</v>
      </c>
      <c r="D1543" s="56" t="s">
        <v>25565</v>
      </c>
      <c r="E1543" s="10" t="s">
        <v>65</v>
      </c>
      <c r="F1543" s="10" t="s">
        <v>25566</v>
      </c>
      <c r="G1543" s="10" t="s">
        <v>24022</v>
      </c>
      <c r="H1543" s="10" t="s">
        <v>21275</v>
      </c>
      <c r="I1543" s="10" t="s">
        <v>55</v>
      </c>
      <c r="K1543" s="10" t="s">
        <v>25567</v>
      </c>
      <c r="L1543" s="10" t="s">
        <v>42</v>
      </c>
    </row>
    <row r="1544" ht="15.75" customHeight="1">
      <c r="A1544" s="66">
        <v>45459.0</v>
      </c>
      <c r="B1544" s="55" t="str">
        <f>HYPERLINK("https://jobright.ai/jobs/info/66747b069e5d771319da1ace?utm_campaign=1057&amp;utm_source=sheet", "Apply")</f>
        <v>Apply</v>
      </c>
      <c r="C1544" s="10" t="s">
        <v>24417</v>
      </c>
      <c r="D1544" s="56" t="s">
        <v>4448</v>
      </c>
      <c r="E1544" s="10" t="s">
        <v>71</v>
      </c>
      <c r="F1544" s="10" t="s">
        <v>4449</v>
      </c>
      <c r="G1544" s="10" t="s">
        <v>24043</v>
      </c>
      <c r="H1544" s="10" t="s">
        <v>25139</v>
      </c>
      <c r="I1544" s="10" t="s">
        <v>55</v>
      </c>
      <c r="K1544" s="10" t="s">
        <v>4450</v>
      </c>
      <c r="L1544" s="10" t="s">
        <v>42</v>
      </c>
    </row>
    <row r="1545" ht="15.75" customHeight="1">
      <c r="A1545" s="66">
        <v>45459.0</v>
      </c>
      <c r="B1545" s="55" t="str">
        <f>HYPERLINK("https://jobright.ai/jobs/info/6672e753d742a3597e9ab2f3?utm_campaign=1057&amp;utm_source=sheet", "Apply")</f>
        <v>Apply</v>
      </c>
      <c r="C1545" s="10" t="s">
        <v>24397</v>
      </c>
      <c r="D1545" s="56" t="s">
        <v>4448</v>
      </c>
      <c r="E1545" s="10" t="s">
        <v>71</v>
      </c>
      <c r="F1545" s="10" t="s">
        <v>4449</v>
      </c>
      <c r="G1545" s="10" t="s">
        <v>24043</v>
      </c>
      <c r="H1545" s="10" t="s">
        <v>25144</v>
      </c>
      <c r="I1545" s="10" t="s">
        <v>55</v>
      </c>
      <c r="K1545" s="10" t="s">
        <v>4450</v>
      </c>
      <c r="L1545" s="10" t="s">
        <v>42</v>
      </c>
    </row>
    <row r="1546" ht="15.75" customHeight="1">
      <c r="A1546" s="66">
        <v>45459.0</v>
      </c>
      <c r="B1546" s="55" t="str">
        <f>HYPERLINK("https://jobright.ai/jobs/info/667434953e9ad103ffe27536?utm_campaign=1057&amp;utm_source=sheet", "Apply")</f>
        <v>Apply</v>
      </c>
      <c r="C1546" s="10" t="s">
        <v>24192</v>
      </c>
      <c r="D1546" s="56" t="s">
        <v>25568</v>
      </c>
      <c r="E1546" s="10">
        <v>8.0</v>
      </c>
      <c r="G1546" s="10" t="s">
        <v>24031</v>
      </c>
      <c r="H1546" s="10" t="s">
        <v>25569</v>
      </c>
      <c r="I1546" s="10" t="s">
        <v>55</v>
      </c>
      <c r="J1546" s="10" t="s">
        <v>25570</v>
      </c>
      <c r="K1546" s="10" t="s">
        <v>25571</v>
      </c>
      <c r="L1546" s="10" t="s">
        <v>42</v>
      </c>
    </row>
    <row r="1547" ht="15.75" customHeight="1">
      <c r="A1547" s="66">
        <v>45459.0</v>
      </c>
      <c r="B1547" s="55" t="str">
        <f>HYPERLINK("https://jobright.ai/jobs/info/6676cb470367cb83573cd56d?utm_campaign=1057&amp;utm_source=sheet", "Apply")</f>
        <v>Apply</v>
      </c>
      <c r="C1547" s="10" t="s">
        <v>24058</v>
      </c>
      <c r="D1547" s="56" t="s">
        <v>4448</v>
      </c>
      <c r="E1547" s="10" t="s">
        <v>71</v>
      </c>
      <c r="F1547" s="10" t="s">
        <v>4449</v>
      </c>
      <c r="G1547" s="10" t="s">
        <v>24043</v>
      </c>
      <c r="H1547" s="10" t="s">
        <v>25572</v>
      </c>
      <c r="I1547" s="10" t="s">
        <v>55</v>
      </c>
      <c r="K1547" s="10" t="s">
        <v>4450</v>
      </c>
      <c r="L1547" s="10" t="s">
        <v>42</v>
      </c>
    </row>
    <row r="1548" ht="15.75" customHeight="1">
      <c r="A1548" s="66">
        <v>45459.0</v>
      </c>
      <c r="B1548" s="55" t="str">
        <f>HYPERLINK("https://jobright.ai/jobs/info/667176182401e0f56d8f68c6?utm_campaign=1057&amp;utm_source=sheet", "Apply")</f>
        <v>Apply</v>
      </c>
      <c r="C1548" s="10" t="s">
        <v>24518</v>
      </c>
      <c r="D1548" s="56" t="s">
        <v>4448</v>
      </c>
      <c r="E1548" s="10" t="s">
        <v>71</v>
      </c>
      <c r="F1548" s="10" t="s">
        <v>4449</v>
      </c>
      <c r="G1548" s="10" t="s">
        <v>24043</v>
      </c>
      <c r="H1548" s="10" t="s">
        <v>4456</v>
      </c>
      <c r="I1548" s="10" t="s">
        <v>55</v>
      </c>
      <c r="K1548" s="10" t="s">
        <v>4450</v>
      </c>
      <c r="L1548" s="10" t="s">
        <v>42</v>
      </c>
    </row>
    <row r="1549" ht="15.75" customHeight="1">
      <c r="A1549" s="66">
        <v>45459.0</v>
      </c>
      <c r="B1549" s="55" t="str">
        <f>HYPERLINK("https://jobright.ai/jobs/info/666f3b1152d3a72b6244fb02?utm_campaign=1057&amp;utm_source=sheet", "Apply")</f>
        <v>Apply</v>
      </c>
      <c r="C1549" s="10" t="s">
        <v>25522</v>
      </c>
      <c r="D1549" s="56" t="s">
        <v>4448</v>
      </c>
      <c r="E1549" s="10" t="s">
        <v>71</v>
      </c>
      <c r="F1549" s="10" t="s">
        <v>4449</v>
      </c>
      <c r="G1549" s="10" t="s">
        <v>24043</v>
      </c>
      <c r="H1549" s="10" t="s">
        <v>8310</v>
      </c>
      <c r="I1549" s="10" t="s">
        <v>55</v>
      </c>
      <c r="K1549" s="10" t="s">
        <v>4450</v>
      </c>
      <c r="L1549" s="10" t="s">
        <v>42</v>
      </c>
    </row>
    <row r="1550" ht="15.75" customHeight="1">
      <c r="A1550" s="66">
        <v>45458.0</v>
      </c>
      <c r="B1550" s="55" t="str">
        <f>HYPERLINK("https://jobright.ai/jobs/info/6675c8823b408d33d56026ac?utm_campaign=1057&amp;utm_source=sheet", "Apply")</f>
        <v>Apply</v>
      </c>
      <c r="C1550" s="10" t="s">
        <v>25573</v>
      </c>
      <c r="D1550" s="56" t="s">
        <v>25275</v>
      </c>
      <c r="E1550" s="10" t="s">
        <v>71</v>
      </c>
      <c r="F1550" s="10" t="s">
        <v>1695</v>
      </c>
      <c r="G1550" s="10" t="s">
        <v>24031</v>
      </c>
      <c r="H1550" s="10" t="s">
        <v>794</v>
      </c>
      <c r="I1550" s="10" t="s">
        <v>55</v>
      </c>
      <c r="K1550" s="10" t="s">
        <v>25574</v>
      </c>
      <c r="L1550" s="10" t="s">
        <v>42</v>
      </c>
    </row>
    <row r="1551" ht="15.75" customHeight="1">
      <c r="A1551" s="66">
        <v>45458.0</v>
      </c>
      <c r="B1551" s="55" t="str">
        <f>HYPERLINK("https://jobright.ai/jobs/info/6677b8d79c2d9fa5bf0894a4?utm_campaign=1057&amp;utm_source=sheet", "Apply")</f>
        <v>Apply</v>
      </c>
      <c r="C1551" s="10" t="s">
        <v>25575</v>
      </c>
      <c r="D1551" s="56" t="s">
        <v>25576</v>
      </c>
      <c r="E1551" s="10">
        <v>535.0</v>
      </c>
      <c r="G1551" s="10" t="s">
        <v>24031</v>
      </c>
      <c r="H1551" s="10" t="s">
        <v>6131</v>
      </c>
      <c r="I1551" s="10" t="s">
        <v>55</v>
      </c>
      <c r="K1551" s="10" t="s">
        <v>25577</v>
      </c>
      <c r="L1551" s="10" t="s">
        <v>42</v>
      </c>
    </row>
    <row r="1552" ht="15.75" customHeight="1">
      <c r="A1552" s="66">
        <v>45458.0</v>
      </c>
      <c r="B1552" s="55" t="str">
        <f>HYPERLINK("https://jobright.ai/jobs/info/6677b9039c2d9fa5bf08983a?utm_campaign=1057&amp;utm_source=sheet", "Apply")</f>
        <v>Apply</v>
      </c>
      <c r="C1552" s="10" t="s">
        <v>25177</v>
      </c>
      <c r="D1552" s="56" t="s">
        <v>20697</v>
      </c>
      <c r="E1552" s="10" t="s">
        <v>209</v>
      </c>
      <c r="F1552" s="10" t="s">
        <v>2617</v>
      </c>
      <c r="G1552" s="10" t="s">
        <v>24043</v>
      </c>
      <c r="H1552" s="10" t="s">
        <v>12987</v>
      </c>
      <c r="I1552" s="10" t="s">
        <v>55</v>
      </c>
      <c r="J1552" s="10" t="s">
        <v>24234</v>
      </c>
      <c r="K1552" s="10" t="s">
        <v>25178</v>
      </c>
      <c r="L1552" s="10" t="s">
        <v>42</v>
      </c>
    </row>
    <row r="1553" ht="15.75" customHeight="1">
      <c r="A1553" s="66">
        <v>45458.0</v>
      </c>
      <c r="B1553" s="55" t="str">
        <f>HYPERLINK("https://jobright.ai/jobs/info/6677bd0f27c0e726e8f4e3c9?utm_campaign=1057&amp;utm_source=sheet", "Apply")</f>
        <v>Apply</v>
      </c>
      <c r="C1553" s="10" t="s">
        <v>25578</v>
      </c>
      <c r="D1553" s="56" t="s">
        <v>196</v>
      </c>
      <c r="E1553" s="10" t="s">
        <v>71</v>
      </c>
      <c r="F1553" s="10" t="s">
        <v>197</v>
      </c>
      <c r="G1553" s="10" t="s">
        <v>24031</v>
      </c>
      <c r="H1553" s="10" t="s">
        <v>193</v>
      </c>
      <c r="I1553" s="10" t="s">
        <v>55</v>
      </c>
      <c r="K1553" s="10" t="s">
        <v>25579</v>
      </c>
      <c r="L1553" s="10" t="s">
        <v>42</v>
      </c>
    </row>
    <row r="1554" ht="15.75" customHeight="1">
      <c r="A1554" s="66">
        <v>45458.0</v>
      </c>
      <c r="B1554" s="55" t="str">
        <f>HYPERLINK("https://jobright.ai/jobs/info/6677bdac27c0e726e8f4eff1?utm_campaign=1057&amp;utm_source=sheet", "Apply")</f>
        <v>Apply</v>
      </c>
      <c r="C1554" s="10" t="s">
        <v>25177</v>
      </c>
      <c r="D1554" s="56" t="s">
        <v>20697</v>
      </c>
      <c r="E1554" s="10" t="s">
        <v>209</v>
      </c>
      <c r="F1554" s="10" t="s">
        <v>2617</v>
      </c>
      <c r="G1554" s="10" t="s">
        <v>24043</v>
      </c>
      <c r="H1554" s="10" t="s">
        <v>5373</v>
      </c>
      <c r="I1554" s="10" t="s">
        <v>55</v>
      </c>
      <c r="J1554" s="10" t="s">
        <v>24234</v>
      </c>
      <c r="K1554" s="10" t="s">
        <v>25178</v>
      </c>
      <c r="L1554" s="10" t="s">
        <v>42</v>
      </c>
    </row>
    <row r="1555" ht="15.75" customHeight="1">
      <c r="A1555" s="66">
        <v>45458.0</v>
      </c>
      <c r="B1555" s="55" t="str">
        <f>HYPERLINK("https://jobright.ai/jobs/info/6677be2027c0e726e8f4f89a?utm_campaign=1057&amp;utm_source=sheet", "Apply")</f>
        <v>Apply</v>
      </c>
      <c r="C1555" s="10" t="s">
        <v>25580</v>
      </c>
      <c r="D1555" s="56" t="s">
        <v>196</v>
      </c>
      <c r="E1555" s="10" t="s">
        <v>71</v>
      </c>
      <c r="F1555" s="10" t="s">
        <v>197</v>
      </c>
      <c r="G1555" s="10" t="s">
        <v>24022</v>
      </c>
      <c r="H1555" s="10" t="s">
        <v>193</v>
      </c>
      <c r="I1555" s="10" t="s">
        <v>55</v>
      </c>
      <c r="K1555" s="10" t="s">
        <v>25581</v>
      </c>
      <c r="L1555" s="10" t="s">
        <v>42</v>
      </c>
    </row>
    <row r="1556" ht="15.75" customHeight="1">
      <c r="A1556" s="66">
        <v>45458.0</v>
      </c>
      <c r="B1556" s="55" t="str">
        <f>HYPERLINK("https://jobright.ai/jobs/info/6677be2a27c0e726e8f4f8cb?utm_campaign=1057&amp;utm_source=sheet", "Apply")</f>
        <v>Apply</v>
      </c>
      <c r="C1556" s="10" t="s">
        <v>25582</v>
      </c>
      <c r="D1556" s="56" t="s">
        <v>196</v>
      </c>
      <c r="E1556" s="10" t="s">
        <v>71</v>
      </c>
      <c r="F1556" s="10" t="s">
        <v>197</v>
      </c>
      <c r="G1556" s="10" t="s">
        <v>24031</v>
      </c>
      <c r="H1556" s="10" t="s">
        <v>193</v>
      </c>
      <c r="I1556" s="10" t="s">
        <v>55</v>
      </c>
      <c r="K1556" s="10" t="s">
        <v>25583</v>
      </c>
      <c r="L1556" s="10" t="s">
        <v>42</v>
      </c>
    </row>
    <row r="1557" ht="15.75" customHeight="1">
      <c r="A1557" s="66">
        <v>45458.0</v>
      </c>
      <c r="B1557" s="55" t="str">
        <f>HYPERLINK("https://jobright.ai/jobs/info/66747b369e5d771319da1db5?utm_campaign=1057&amp;utm_source=sheet", "Apply")</f>
        <v>Apply</v>
      </c>
      <c r="C1557" s="10" t="s">
        <v>24451</v>
      </c>
      <c r="D1557" s="56" t="s">
        <v>4448</v>
      </c>
      <c r="E1557" s="10" t="s">
        <v>71</v>
      </c>
      <c r="F1557" s="10" t="s">
        <v>4449</v>
      </c>
      <c r="G1557" s="10" t="s">
        <v>24043</v>
      </c>
      <c r="H1557" s="10" t="s">
        <v>25495</v>
      </c>
      <c r="I1557" s="10" t="s">
        <v>55</v>
      </c>
      <c r="K1557" s="10" t="s">
        <v>4450</v>
      </c>
      <c r="L1557" s="10" t="s">
        <v>42</v>
      </c>
    </row>
    <row r="1558" ht="15.75" customHeight="1">
      <c r="A1558" s="66">
        <v>45458.0</v>
      </c>
      <c r="B1558" s="55" t="str">
        <f>HYPERLINK("https://jobright.ai/jobs/info/66747b369e5d771319da1de2?utm_campaign=1057&amp;utm_source=sheet", "Apply")</f>
        <v>Apply</v>
      </c>
      <c r="C1558" s="10" t="s">
        <v>25584</v>
      </c>
      <c r="D1558" s="56" t="s">
        <v>1650</v>
      </c>
      <c r="E1558" s="10" t="s">
        <v>209</v>
      </c>
      <c r="F1558" s="10" t="s">
        <v>1243</v>
      </c>
      <c r="G1558" s="10" t="s">
        <v>24043</v>
      </c>
      <c r="H1558" s="10" t="s">
        <v>8687</v>
      </c>
      <c r="I1558" s="10" t="s">
        <v>55</v>
      </c>
      <c r="K1558" s="10" t="s">
        <v>25585</v>
      </c>
      <c r="L1558" s="10" t="s">
        <v>42</v>
      </c>
    </row>
    <row r="1559" ht="15.75" customHeight="1">
      <c r="A1559" s="66">
        <v>45458.0</v>
      </c>
      <c r="B1559" s="55" t="str">
        <f>HYPERLINK("https://jobright.ai/jobs/info/666dc5e46724b4d0bfd8dd08?utm_campaign=1057&amp;utm_source=sheet", "Apply")</f>
        <v>Apply</v>
      </c>
      <c r="C1559" s="10" t="s">
        <v>24513</v>
      </c>
      <c r="D1559" s="56" t="s">
        <v>4448</v>
      </c>
      <c r="E1559" s="10" t="s">
        <v>71</v>
      </c>
      <c r="F1559" s="10" t="s">
        <v>4449</v>
      </c>
      <c r="G1559" s="10" t="s">
        <v>24043</v>
      </c>
      <c r="H1559" s="10" t="s">
        <v>25488</v>
      </c>
      <c r="I1559" s="10" t="s">
        <v>55</v>
      </c>
      <c r="K1559" s="10" t="s">
        <v>4450</v>
      </c>
      <c r="L1559" s="10" t="s">
        <v>42</v>
      </c>
    </row>
    <row r="1560" ht="15.75" customHeight="1">
      <c r="A1560" s="66">
        <v>45458.0</v>
      </c>
      <c r="B1560" s="55" t="str">
        <f>HYPERLINK("https://jobright.ai/jobs/info/666dc5e46724b4d0bfd8dd2a?utm_campaign=1057&amp;utm_source=sheet", "Apply")</f>
        <v>Apply</v>
      </c>
      <c r="C1560" s="10" t="s">
        <v>24521</v>
      </c>
      <c r="D1560" s="56" t="s">
        <v>4448</v>
      </c>
      <c r="E1560" s="10" t="s">
        <v>71</v>
      </c>
      <c r="F1560" s="10" t="s">
        <v>4449</v>
      </c>
      <c r="G1560" s="10" t="s">
        <v>24043</v>
      </c>
      <c r="H1560" s="10" t="s">
        <v>25487</v>
      </c>
      <c r="I1560" s="10" t="s">
        <v>55</v>
      </c>
      <c r="K1560" s="10" t="s">
        <v>4450</v>
      </c>
      <c r="L1560" s="10" t="s">
        <v>42</v>
      </c>
    </row>
    <row r="1561" ht="15.75" customHeight="1">
      <c r="A1561" s="66">
        <v>45458.0</v>
      </c>
      <c r="B1561" s="55" t="str">
        <f>HYPERLINK("https://jobright.ai/jobs/info/66744eecae3176a277e59d8e?utm_campaign=1057&amp;utm_source=sheet", "Apply")</f>
        <v>Apply</v>
      </c>
      <c r="C1561" s="10" t="s">
        <v>24421</v>
      </c>
      <c r="D1561" s="56" t="s">
        <v>4448</v>
      </c>
      <c r="E1561" s="10" t="s">
        <v>71</v>
      </c>
      <c r="F1561" s="10" t="s">
        <v>4449</v>
      </c>
      <c r="G1561" s="10" t="s">
        <v>24043</v>
      </c>
      <c r="H1561" s="10" t="s">
        <v>21672</v>
      </c>
      <c r="I1561" s="10" t="s">
        <v>55</v>
      </c>
      <c r="K1561" s="10" t="s">
        <v>21739</v>
      </c>
      <c r="L1561" s="10" t="s">
        <v>42</v>
      </c>
    </row>
    <row r="1562" ht="15.75" customHeight="1">
      <c r="A1562" s="66">
        <v>45458.0</v>
      </c>
      <c r="B1562" s="55" t="str">
        <f>HYPERLINK("https://jobright.ai/jobs/info/6677c2792b6ed5133f444139?utm_campaign=1057&amp;utm_source=sheet", "Apply")</f>
        <v>Apply</v>
      </c>
      <c r="C1562" s="10" t="s">
        <v>25586</v>
      </c>
      <c r="D1562" s="56" t="s">
        <v>196</v>
      </c>
      <c r="E1562" s="10" t="s">
        <v>71</v>
      </c>
      <c r="F1562" s="10" t="s">
        <v>197</v>
      </c>
      <c r="G1562" s="10" t="s">
        <v>24031</v>
      </c>
      <c r="H1562" s="10" t="s">
        <v>193</v>
      </c>
      <c r="I1562" s="10" t="s">
        <v>55</v>
      </c>
      <c r="K1562" s="10" t="s">
        <v>25579</v>
      </c>
      <c r="L1562" s="10" t="s">
        <v>42</v>
      </c>
    </row>
    <row r="1563" ht="15.75" customHeight="1">
      <c r="A1563" s="66">
        <v>45458.0</v>
      </c>
      <c r="B1563" s="55" t="str">
        <f>HYPERLINK("https://jobright.ai/jobs/info/6672e2abeeb3fec798789af2?utm_campaign=1057&amp;utm_source=sheet", "Apply")</f>
        <v>Apply</v>
      </c>
      <c r="C1563" s="10" t="s">
        <v>24451</v>
      </c>
      <c r="D1563" s="56" t="s">
        <v>4448</v>
      </c>
      <c r="E1563" s="10" t="s">
        <v>71</v>
      </c>
      <c r="F1563" s="10" t="s">
        <v>4449</v>
      </c>
      <c r="G1563" s="10" t="s">
        <v>24043</v>
      </c>
      <c r="H1563" s="10" t="s">
        <v>25483</v>
      </c>
      <c r="I1563" s="10" t="s">
        <v>55</v>
      </c>
      <c r="K1563" s="10" t="s">
        <v>21739</v>
      </c>
      <c r="L1563" s="10" t="s">
        <v>42</v>
      </c>
    </row>
    <row r="1564" ht="15.75" customHeight="1">
      <c r="A1564" s="66">
        <v>45458.0</v>
      </c>
      <c r="B1564" s="55" t="str">
        <f>HYPERLINK("https://jobright.ai/jobs/info/6677c7d864f2e472ffd63740?utm_campaign=1057&amp;utm_source=sheet", "Apply")</f>
        <v>Apply</v>
      </c>
      <c r="C1564" s="10" t="s">
        <v>25587</v>
      </c>
      <c r="D1564" s="56" t="s">
        <v>2069</v>
      </c>
      <c r="E1564" s="10" t="s">
        <v>65</v>
      </c>
      <c r="F1564" s="10" t="s">
        <v>1663</v>
      </c>
      <c r="G1564" s="10" t="s">
        <v>24043</v>
      </c>
      <c r="H1564" s="10" t="s">
        <v>2070</v>
      </c>
      <c r="I1564" s="10" t="s">
        <v>55</v>
      </c>
      <c r="J1564" s="10" t="s">
        <v>15312</v>
      </c>
      <c r="K1564" s="10" t="s">
        <v>17383</v>
      </c>
      <c r="L1564" s="10" t="s">
        <v>42</v>
      </c>
    </row>
    <row r="1565" ht="15.75" customHeight="1">
      <c r="A1565" s="66">
        <v>45458.0</v>
      </c>
      <c r="B1565" s="55" t="str">
        <f>HYPERLINK("https://jobright.ai/jobs/info/6676cb500367cb83573cd601?utm_campaign=1057&amp;utm_source=sheet", "Apply")</f>
        <v>Apply</v>
      </c>
      <c r="C1565" s="10" t="s">
        <v>24466</v>
      </c>
      <c r="D1565" s="56" t="s">
        <v>4448</v>
      </c>
      <c r="E1565" s="10" t="s">
        <v>71</v>
      </c>
      <c r="F1565" s="10" t="s">
        <v>4449</v>
      </c>
      <c r="G1565" s="10" t="s">
        <v>24043</v>
      </c>
      <c r="H1565" s="10" t="s">
        <v>25126</v>
      </c>
      <c r="I1565" s="10" t="s">
        <v>55</v>
      </c>
      <c r="K1565" s="10" t="s">
        <v>21739</v>
      </c>
      <c r="L1565" s="10" t="s">
        <v>42</v>
      </c>
    </row>
    <row r="1566" ht="15.75" customHeight="1">
      <c r="A1566" s="66">
        <v>45458.0</v>
      </c>
      <c r="B1566" s="55" t="str">
        <f>HYPERLINK("https://jobright.ai/jobs/info/6676cb500367cb83573cd64a?utm_campaign=1057&amp;utm_source=sheet", "Apply")</f>
        <v>Apply</v>
      </c>
      <c r="C1566" s="10" t="s">
        <v>25523</v>
      </c>
      <c r="D1566" s="56" t="s">
        <v>4448</v>
      </c>
      <c r="E1566" s="10" t="s">
        <v>71</v>
      </c>
      <c r="F1566" s="10" t="s">
        <v>4449</v>
      </c>
      <c r="G1566" s="10" t="s">
        <v>24043</v>
      </c>
      <c r="H1566" s="10" t="s">
        <v>21748</v>
      </c>
      <c r="I1566" s="10" t="s">
        <v>55</v>
      </c>
      <c r="K1566" s="10" t="s">
        <v>21739</v>
      </c>
      <c r="L1566" s="10" t="s">
        <v>42</v>
      </c>
    </row>
    <row r="1567" ht="15.75" customHeight="1">
      <c r="A1567" s="66">
        <v>45458.0</v>
      </c>
      <c r="B1567" s="55" t="str">
        <f>HYPERLINK("https://jobright.ai/jobs/info/6676cb5a0367cb83573cd6e0?utm_campaign=1057&amp;utm_source=sheet", "Apply")</f>
        <v>Apply</v>
      </c>
      <c r="C1567" s="10" t="s">
        <v>24516</v>
      </c>
      <c r="D1567" s="56" t="s">
        <v>4448</v>
      </c>
      <c r="E1567" s="10" t="s">
        <v>71</v>
      </c>
      <c r="F1567" s="10" t="s">
        <v>4449</v>
      </c>
      <c r="G1567" s="10" t="s">
        <v>24043</v>
      </c>
      <c r="H1567" s="10" t="s">
        <v>25588</v>
      </c>
      <c r="I1567" s="10" t="s">
        <v>55</v>
      </c>
      <c r="K1567" s="10" t="s">
        <v>21739</v>
      </c>
      <c r="L1567" s="10" t="s">
        <v>42</v>
      </c>
    </row>
    <row r="1568" ht="15.75" customHeight="1">
      <c r="A1568" s="66">
        <v>45458.0</v>
      </c>
      <c r="B1568" s="55" t="str">
        <f>HYPERLINK("https://jobright.ai/jobs/info/6676cb5a0367cb83573cd6f2?utm_campaign=1057&amp;utm_source=sheet", "Apply")</f>
        <v>Apply</v>
      </c>
      <c r="C1568" s="10" t="s">
        <v>25589</v>
      </c>
      <c r="D1568" s="56" t="s">
        <v>4448</v>
      </c>
      <c r="E1568" s="10" t="s">
        <v>71</v>
      </c>
      <c r="F1568" s="10" t="s">
        <v>4449</v>
      </c>
      <c r="G1568" s="10" t="s">
        <v>24043</v>
      </c>
      <c r="H1568" s="10" t="s">
        <v>2123</v>
      </c>
      <c r="I1568" s="10" t="s">
        <v>55</v>
      </c>
      <c r="K1568" s="10" t="s">
        <v>21739</v>
      </c>
      <c r="L1568" s="10" t="s">
        <v>42</v>
      </c>
    </row>
    <row r="1569" ht="15.75" customHeight="1">
      <c r="A1569" s="66">
        <v>45458.0</v>
      </c>
      <c r="B1569" s="55" t="str">
        <f>HYPERLINK("https://jobright.ai/jobs/info/6676cb640367cb83573cd7a3?utm_campaign=1057&amp;utm_source=sheet", "Apply")</f>
        <v>Apply</v>
      </c>
      <c r="C1569" s="10" t="s">
        <v>24514</v>
      </c>
      <c r="D1569" s="56" t="s">
        <v>4448</v>
      </c>
      <c r="E1569" s="10" t="s">
        <v>71</v>
      </c>
      <c r="F1569" s="10" t="s">
        <v>4449</v>
      </c>
      <c r="G1569" s="10" t="s">
        <v>24043</v>
      </c>
      <c r="H1569" s="10" t="s">
        <v>7610</v>
      </c>
      <c r="I1569" s="10" t="s">
        <v>55</v>
      </c>
      <c r="K1569" s="10" t="s">
        <v>21739</v>
      </c>
      <c r="L1569" s="10" t="s">
        <v>42</v>
      </c>
    </row>
    <row r="1570" ht="15.75" customHeight="1">
      <c r="A1570" s="66">
        <v>45458.0</v>
      </c>
      <c r="B1570" s="55" t="str">
        <f>HYPERLINK("https://jobright.ai/jobs/info/6676cb640367cb83573cd7f5?utm_campaign=1057&amp;utm_source=sheet", "Apply")</f>
        <v>Apply</v>
      </c>
      <c r="C1570" s="10" t="s">
        <v>4457</v>
      </c>
      <c r="D1570" s="56" t="s">
        <v>4448</v>
      </c>
      <c r="E1570" s="10" t="s">
        <v>71</v>
      </c>
      <c r="F1570" s="10" t="s">
        <v>4449</v>
      </c>
      <c r="G1570" s="10" t="s">
        <v>24043</v>
      </c>
      <c r="H1570" s="10" t="s">
        <v>24059</v>
      </c>
      <c r="I1570" s="10" t="s">
        <v>55</v>
      </c>
      <c r="K1570" s="10" t="s">
        <v>21739</v>
      </c>
      <c r="L1570" s="10" t="s">
        <v>42</v>
      </c>
    </row>
    <row r="1571" ht="15.75" customHeight="1">
      <c r="A1571" s="66">
        <v>45458.0</v>
      </c>
      <c r="B1571" s="55" t="str">
        <f>HYPERLINK("https://jobright.ai/jobs/info/66717b899b564e066922c4a3?utm_campaign=1057&amp;utm_source=sheet", "Apply")</f>
        <v>Apply</v>
      </c>
      <c r="C1571" s="10" t="s">
        <v>25590</v>
      </c>
      <c r="D1571" s="56" t="s">
        <v>4448</v>
      </c>
      <c r="E1571" s="10" t="s">
        <v>71</v>
      </c>
      <c r="F1571" s="10" t="s">
        <v>4449</v>
      </c>
      <c r="G1571" s="10" t="s">
        <v>24043</v>
      </c>
      <c r="H1571" s="10" t="s">
        <v>24059</v>
      </c>
      <c r="I1571" s="10" t="s">
        <v>55</v>
      </c>
      <c r="K1571" s="10" t="s">
        <v>21739</v>
      </c>
      <c r="L1571" s="10" t="s">
        <v>42</v>
      </c>
    </row>
    <row r="1572" ht="15.75" customHeight="1">
      <c r="A1572" s="66">
        <v>45458.0</v>
      </c>
      <c r="B1572" s="55" t="str">
        <f>HYPERLINK("https://jobright.ai/jobs/info/6676cba60367cb83573cdc60?utm_campaign=1057&amp;utm_source=sheet", "Apply")</f>
        <v>Apply</v>
      </c>
      <c r="C1572" s="10" t="s">
        <v>21691</v>
      </c>
      <c r="D1572" s="56" t="s">
        <v>4448</v>
      </c>
      <c r="E1572" s="10" t="s">
        <v>71</v>
      </c>
      <c r="F1572" s="10" t="s">
        <v>4449</v>
      </c>
      <c r="G1572" s="10" t="s">
        <v>24043</v>
      </c>
      <c r="H1572" s="10" t="s">
        <v>1569</v>
      </c>
      <c r="I1572" s="10" t="s">
        <v>55</v>
      </c>
      <c r="K1572" s="10" t="s">
        <v>21739</v>
      </c>
      <c r="L1572" s="10" t="s">
        <v>42</v>
      </c>
    </row>
    <row r="1573" ht="15.75" customHeight="1">
      <c r="A1573" s="66">
        <v>45458.0</v>
      </c>
      <c r="B1573" s="55" t="str">
        <f>HYPERLINK("https://jobright.ai/jobs/info/6676cbc50367cb83573cdec0?utm_campaign=1057&amp;utm_source=sheet", "Apply")</f>
        <v>Apply</v>
      </c>
      <c r="C1573" s="10" t="s">
        <v>24516</v>
      </c>
      <c r="D1573" s="56" t="s">
        <v>4448</v>
      </c>
      <c r="E1573" s="10" t="s">
        <v>71</v>
      </c>
      <c r="F1573" s="10" t="s">
        <v>4449</v>
      </c>
      <c r="G1573" s="10" t="s">
        <v>24043</v>
      </c>
      <c r="H1573" s="10" t="s">
        <v>25591</v>
      </c>
      <c r="I1573" s="10" t="s">
        <v>55</v>
      </c>
      <c r="K1573" s="10" t="s">
        <v>21739</v>
      </c>
      <c r="L1573" s="10" t="s">
        <v>42</v>
      </c>
    </row>
    <row r="1574" ht="15.75" customHeight="1">
      <c r="A1574" s="66">
        <v>45458.0</v>
      </c>
      <c r="B1574" s="55" t="str">
        <f>HYPERLINK("https://jobright.ai/jobs/info/6676c247c9dc0237d722b60e?utm_campaign=1057&amp;utm_source=sheet", "Apply")</f>
        <v>Apply</v>
      </c>
      <c r="C1574" s="10" t="s">
        <v>4447</v>
      </c>
      <c r="D1574" s="56" t="s">
        <v>4448</v>
      </c>
      <c r="E1574" s="10" t="s">
        <v>71</v>
      </c>
      <c r="F1574" s="10" t="s">
        <v>4449</v>
      </c>
      <c r="G1574" s="10" t="s">
        <v>24043</v>
      </c>
      <c r="H1574" s="10" t="s">
        <v>7475</v>
      </c>
      <c r="I1574" s="10" t="s">
        <v>55</v>
      </c>
      <c r="K1574" s="10" t="s">
        <v>21739</v>
      </c>
      <c r="L1574" s="10" t="s">
        <v>42</v>
      </c>
    </row>
    <row r="1575" ht="15.75" customHeight="1">
      <c r="A1575" s="66">
        <v>45458.0</v>
      </c>
      <c r="B1575" s="55" t="str">
        <f>HYPERLINK("https://jobright.ai/jobs/info/6676c2a7c9dc0237d722bd0c?utm_campaign=1057&amp;utm_source=sheet", "Apply")</f>
        <v>Apply</v>
      </c>
      <c r="C1575" s="10" t="s">
        <v>25592</v>
      </c>
      <c r="D1575" s="56" t="s">
        <v>4448</v>
      </c>
      <c r="E1575" s="10" t="s">
        <v>71</v>
      </c>
      <c r="F1575" s="10" t="s">
        <v>4449</v>
      </c>
      <c r="G1575" s="10" t="s">
        <v>24043</v>
      </c>
      <c r="H1575" s="10" t="s">
        <v>6668</v>
      </c>
      <c r="I1575" s="10" t="s">
        <v>55</v>
      </c>
      <c r="K1575" s="10" t="s">
        <v>21739</v>
      </c>
      <c r="L1575" s="10" t="s">
        <v>42</v>
      </c>
    </row>
    <row r="1576" ht="15.75" customHeight="1">
      <c r="A1576" s="66">
        <v>45458.0</v>
      </c>
      <c r="B1576" s="55" t="str">
        <f>HYPERLINK("https://jobright.ai/jobs/info/6676b824022d43fb7b688bfa?utm_campaign=1057&amp;utm_source=sheet", "Apply")</f>
        <v>Apply</v>
      </c>
      <c r="C1576" s="10" t="s">
        <v>8309</v>
      </c>
      <c r="D1576" s="56" t="s">
        <v>4448</v>
      </c>
      <c r="E1576" s="10" t="s">
        <v>71</v>
      </c>
      <c r="F1576" s="10" t="s">
        <v>4449</v>
      </c>
      <c r="G1576" s="10" t="s">
        <v>24043</v>
      </c>
      <c r="H1576" s="10" t="s">
        <v>25416</v>
      </c>
      <c r="I1576" s="10" t="s">
        <v>55</v>
      </c>
      <c r="K1576" s="10" t="s">
        <v>21739</v>
      </c>
      <c r="L1576" s="10" t="s">
        <v>42</v>
      </c>
    </row>
    <row r="1577" ht="15.75" customHeight="1">
      <c r="A1577" s="66">
        <v>45458.0</v>
      </c>
      <c r="B1577" s="55" t="str">
        <f>HYPERLINK("https://jobright.ai/jobs/info/6672c17b7210194c5f5b2364?utm_campaign=1057&amp;utm_source=sheet", "Apply")</f>
        <v>Apply</v>
      </c>
      <c r="C1577" s="10" t="s">
        <v>25099</v>
      </c>
      <c r="D1577" s="56" t="s">
        <v>4448</v>
      </c>
      <c r="E1577" s="10" t="s">
        <v>71</v>
      </c>
      <c r="F1577" s="10" t="s">
        <v>4449</v>
      </c>
      <c r="G1577" s="10" t="s">
        <v>24043</v>
      </c>
      <c r="H1577" s="10" t="s">
        <v>6668</v>
      </c>
      <c r="I1577" s="10" t="s">
        <v>55</v>
      </c>
      <c r="K1577" s="10" t="s">
        <v>21739</v>
      </c>
      <c r="L1577" s="10" t="s">
        <v>42</v>
      </c>
    </row>
    <row r="1578" ht="15.75" customHeight="1">
      <c r="A1578" s="66">
        <v>45458.0</v>
      </c>
      <c r="B1578" s="55" t="str">
        <f>HYPERLINK("https://jobright.ai/jobs/info/6676b843022d43fb7b688ec4?utm_campaign=1057&amp;utm_source=sheet", "Apply")</f>
        <v>Apply</v>
      </c>
      <c r="C1578" s="10" t="s">
        <v>24450</v>
      </c>
      <c r="D1578" s="56" t="s">
        <v>4448</v>
      </c>
      <c r="E1578" s="10" t="s">
        <v>71</v>
      </c>
      <c r="F1578" s="10" t="s">
        <v>4449</v>
      </c>
      <c r="G1578" s="10" t="s">
        <v>24043</v>
      </c>
      <c r="H1578" s="10" t="s">
        <v>24059</v>
      </c>
      <c r="I1578" s="10" t="s">
        <v>55</v>
      </c>
      <c r="K1578" s="10" t="s">
        <v>21739</v>
      </c>
      <c r="L1578" s="10" t="s">
        <v>42</v>
      </c>
    </row>
    <row r="1579" ht="15.75" customHeight="1">
      <c r="A1579" s="66">
        <v>45458.0</v>
      </c>
      <c r="B1579" s="55" t="str">
        <f>HYPERLINK("https://jobright.ai/jobs/info/6676b84e022d43fb7b688f89?utm_campaign=1057&amp;utm_source=sheet", "Apply")</f>
        <v>Apply</v>
      </c>
      <c r="C1579" s="10" t="s">
        <v>25593</v>
      </c>
      <c r="D1579" s="56" t="s">
        <v>4448</v>
      </c>
      <c r="E1579" s="10" t="s">
        <v>71</v>
      </c>
      <c r="F1579" s="10" t="s">
        <v>4449</v>
      </c>
      <c r="G1579" s="10" t="s">
        <v>24043</v>
      </c>
      <c r="H1579" s="10" t="s">
        <v>25491</v>
      </c>
      <c r="I1579" s="10" t="s">
        <v>55</v>
      </c>
      <c r="K1579" s="10" t="s">
        <v>21739</v>
      </c>
      <c r="L1579" s="10" t="s">
        <v>42</v>
      </c>
    </row>
    <row r="1580" ht="15.75" customHeight="1">
      <c r="A1580" s="66">
        <v>45458.0</v>
      </c>
      <c r="B1580" s="55" t="str">
        <f>HYPERLINK("https://jobright.ai/jobs/info/6676b863022d43fb7b68912b?utm_campaign=1057&amp;utm_source=sheet", "Apply")</f>
        <v>Apply</v>
      </c>
      <c r="C1580" s="10" t="s">
        <v>25594</v>
      </c>
      <c r="D1580" s="56" t="s">
        <v>196</v>
      </c>
      <c r="E1580" s="10" t="s">
        <v>71</v>
      </c>
      <c r="F1580" s="10" t="s">
        <v>197</v>
      </c>
      <c r="G1580" s="10" t="s">
        <v>24031</v>
      </c>
      <c r="H1580" s="10" t="s">
        <v>193</v>
      </c>
      <c r="I1580" s="10" t="s">
        <v>55</v>
      </c>
      <c r="K1580" s="10" t="s">
        <v>25595</v>
      </c>
      <c r="L1580" s="10" t="s">
        <v>42</v>
      </c>
    </row>
    <row r="1581" ht="15.75" customHeight="1">
      <c r="A1581" s="66">
        <v>45458.0</v>
      </c>
      <c r="B1581" s="55" t="str">
        <f>HYPERLINK("https://jobright.ai/jobs/info/6676b878022d43fb7b68925c?utm_campaign=1057&amp;utm_source=sheet", "Apply")</f>
        <v>Apply</v>
      </c>
      <c r="C1581" s="10" t="s">
        <v>25596</v>
      </c>
      <c r="D1581" s="56" t="s">
        <v>4448</v>
      </c>
      <c r="E1581" s="10" t="s">
        <v>71</v>
      </c>
      <c r="F1581" s="10" t="s">
        <v>4449</v>
      </c>
      <c r="G1581" s="10" t="s">
        <v>24043</v>
      </c>
      <c r="H1581" s="10" t="s">
        <v>9029</v>
      </c>
      <c r="I1581" s="10" t="s">
        <v>55</v>
      </c>
      <c r="K1581" s="10" t="s">
        <v>21739</v>
      </c>
      <c r="L1581" s="10" t="s">
        <v>42</v>
      </c>
    </row>
    <row r="1582" ht="15.75" customHeight="1">
      <c r="A1582" s="66">
        <v>45458.0</v>
      </c>
      <c r="B1582" s="55" t="str">
        <f>HYPERLINK("https://jobright.ai/jobs/info/66727e618ce3decedf2541f8?utm_campaign=1057&amp;utm_source=sheet", "Apply")</f>
        <v>Apply</v>
      </c>
      <c r="C1582" s="10" t="s">
        <v>25597</v>
      </c>
      <c r="D1582" s="56" t="s">
        <v>15348</v>
      </c>
      <c r="E1582" s="10">
        <v>333.0</v>
      </c>
      <c r="G1582" s="10" t="s">
        <v>24031</v>
      </c>
      <c r="H1582" s="10" t="s">
        <v>15349</v>
      </c>
      <c r="I1582" s="10" t="s">
        <v>55</v>
      </c>
      <c r="K1582" s="10" t="s">
        <v>25598</v>
      </c>
      <c r="L1582" s="10" t="s">
        <v>42</v>
      </c>
    </row>
    <row r="1583" ht="15.75" customHeight="1">
      <c r="A1583" s="64">
        <v>45458.0</v>
      </c>
      <c r="B1583" s="55" t="str">
        <f>HYPERLINK("https://jobright.ai/jobs/info/66727e618ce3decedf254202?utm_campaign=1057&amp;utm_source=sheet", "Apply")</f>
        <v>Apply</v>
      </c>
      <c r="C1583" s="10" t="s">
        <v>25599</v>
      </c>
      <c r="D1583" s="56" t="s">
        <v>15348</v>
      </c>
      <c r="E1583" s="10">
        <v>333.0</v>
      </c>
      <c r="G1583" s="10" t="s">
        <v>24031</v>
      </c>
      <c r="H1583" s="10" t="s">
        <v>15349</v>
      </c>
      <c r="I1583" s="10" t="s">
        <v>55</v>
      </c>
      <c r="K1583" s="10" t="s">
        <v>15350</v>
      </c>
      <c r="L1583" s="10" t="s">
        <v>42</v>
      </c>
    </row>
    <row r="1584" ht="15.75" customHeight="1">
      <c r="A1584" s="64">
        <v>45458.0</v>
      </c>
      <c r="B1584" s="55" t="str">
        <f>HYPERLINK("https://jobright.ai/jobs/info/66727e618ce3decedf2541fe?utm_campaign=1057&amp;utm_source=sheet", "Apply")</f>
        <v>Apply</v>
      </c>
      <c r="C1584" s="10" t="s">
        <v>25600</v>
      </c>
      <c r="D1584" s="56" t="s">
        <v>15348</v>
      </c>
      <c r="E1584" s="10">
        <v>333.0</v>
      </c>
      <c r="G1584" s="10" t="s">
        <v>24031</v>
      </c>
      <c r="H1584" s="10" t="s">
        <v>15349</v>
      </c>
      <c r="I1584" s="10" t="s">
        <v>55</v>
      </c>
      <c r="K1584" s="10" t="s">
        <v>25601</v>
      </c>
      <c r="L1584" s="10" t="s">
        <v>42</v>
      </c>
    </row>
    <row r="1585" ht="15.75" customHeight="1">
      <c r="A1585" s="64">
        <v>45457.0</v>
      </c>
      <c r="B1585" s="55" t="str">
        <f>HYPERLINK("https://jobright.ai/jobs/info/666d254925b5d65a370849e6?utm_campaign=1057&amp;utm_source=sheet", "Apply")</f>
        <v>Apply</v>
      </c>
      <c r="C1585" s="10" t="s">
        <v>25592</v>
      </c>
      <c r="D1585" s="56" t="s">
        <v>4448</v>
      </c>
      <c r="E1585" s="10" t="s">
        <v>71</v>
      </c>
      <c r="F1585" s="10" t="s">
        <v>4449</v>
      </c>
      <c r="G1585" s="10" t="s">
        <v>24043</v>
      </c>
      <c r="H1585" s="10" t="s">
        <v>8160</v>
      </c>
      <c r="I1585" s="10" t="s">
        <v>55</v>
      </c>
      <c r="K1585" s="10" t="s">
        <v>25602</v>
      </c>
      <c r="L1585" s="10" t="s">
        <v>42</v>
      </c>
    </row>
    <row r="1586" ht="15.75" customHeight="1">
      <c r="A1586" s="64">
        <v>45457.0</v>
      </c>
      <c r="B1586" s="55" t="str">
        <f>HYPERLINK("https://jobright.ai/jobs/info/666d254925b5d65a370849f7?utm_campaign=1057&amp;utm_source=sheet", "Apply")</f>
        <v>Apply</v>
      </c>
      <c r="C1586" s="10" t="s">
        <v>24155</v>
      </c>
      <c r="D1586" s="56" t="s">
        <v>4448</v>
      </c>
      <c r="E1586" s="10" t="s">
        <v>71</v>
      </c>
      <c r="F1586" s="10" t="s">
        <v>4449</v>
      </c>
      <c r="G1586" s="10" t="s">
        <v>24043</v>
      </c>
      <c r="H1586" s="10" t="s">
        <v>25441</v>
      </c>
      <c r="I1586" s="10" t="s">
        <v>55</v>
      </c>
      <c r="K1586" s="10" t="s">
        <v>25602</v>
      </c>
      <c r="L1586" s="10" t="s">
        <v>42</v>
      </c>
    </row>
    <row r="1587" ht="15.75" customHeight="1">
      <c r="A1587" s="64">
        <v>45457.0</v>
      </c>
      <c r="B1587" s="55" t="str">
        <f>HYPERLINK("https://jobright.ai/jobs/info/666d254925b5d65a37084a32?utm_campaign=1057&amp;utm_source=sheet", "Apply")</f>
        <v>Apply</v>
      </c>
      <c r="C1587" s="10" t="s">
        <v>24418</v>
      </c>
      <c r="D1587" s="56" t="s">
        <v>4448</v>
      </c>
      <c r="E1587" s="10" t="s">
        <v>71</v>
      </c>
      <c r="F1587" s="10" t="s">
        <v>4449</v>
      </c>
      <c r="G1587" s="10" t="s">
        <v>24043</v>
      </c>
      <c r="H1587" s="10" t="s">
        <v>8160</v>
      </c>
      <c r="I1587" s="10" t="s">
        <v>55</v>
      </c>
      <c r="K1587" s="10" t="s">
        <v>25602</v>
      </c>
      <c r="L1587" s="10" t="s">
        <v>42</v>
      </c>
    </row>
    <row r="1588" ht="15.75" customHeight="1">
      <c r="A1588" s="64">
        <v>45457.0</v>
      </c>
      <c r="B1588" s="55" t="str">
        <f>HYPERLINK("https://jobright.ai/jobs/info/666d255025b5d65a37084a74?utm_campaign=1057&amp;utm_source=sheet", "Apply")</f>
        <v>Apply</v>
      </c>
      <c r="C1588" s="10" t="s">
        <v>24088</v>
      </c>
      <c r="D1588" s="56" t="s">
        <v>4448</v>
      </c>
      <c r="E1588" s="10" t="s">
        <v>71</v>
      </c>
      <c r="F1588" s="10" t="s">
        <v>4449</v>
      </c>
      <c r="G1588" s="10" t="s">
        <v>24043</v>
      </c>
      <c r="H1588" s="10" t="s">
        <v>8160</v>
      </c>
      <c r="I1588" s="10" t="s">
        <v>55</v>
      </c>
      <c r="K1588" s="10" t="s">
        <v>25602</v>
      </c>
      <c r="L1588" s="10" t="s">
        <v>42</v>
      </c>
    </row>
    <row r="1589" ht="15.75" customHeight="1">
      <c r="A1589" s="64">
        <v>45457.0</v>
      </c>
      <c r="B1589" s="55" t="str">
        <f>HYPERLINK("https://jobright.ai/jobs/info/666d255025b5d65a37084a93?utm_campaign=1057&amp;utm_source=sheet", "Apply")</f>
        <v>Apply</v>
      </c>
      <c r="C1589" s="10" t="s">
        <v>25603</v>
      </c>
      <c r="D1589" s="56" t="s">
        <v>4448</v>
      </c>
      <c r="E1589" s="10" t="s">
        <v>71</v>
      </c>
      <c r="F1589" s="10" t="s">
        <v>4449</v>
      </c>
      <c r="G1589" s="10" t="s">
        <v>24043</v>
      </c>
      <c r="H1589" s="10" t="s">
        <v>25441</v>
      </c>
      <c r="I1589" s="10" t="s">
        <v>55</v>
      </c>
      <c r="K1589" s="10" t="s">
        <v>25602</v>
      </c>
      <c r="L1589" s="10" t="s">
        <v>42</v>
      </c>
    </row>
    <row r="1590" ht="15.75" customHeight="1">
      <c r="A1590" s="64">
        <v>45457.0</v>
      </c>
      <c r="B1590" s="55" t="str">
        <f>HYPERLINK("https://jobright.ai/jobs/info/666d255025b5d65a37084af2?utm_campaign=1057&amp;utm_source=sheet", "Apply")</f>
        <v>Apply</v>
      </c>
      <c r="C1590" s="10" t="s">
        <v>8245</v>
      </c>
      <c r="D1590" s="56" t="s">
        <v>4448</v>
      </c>
      <c r="E1590" s="10" t="s">
        <v>71</v>
      </c>
      <c r="F1590" s="10" t="s">
        <v>4449</v>
      </c>
      <c r="G1590" s="10" t="s">
        <v>24043</v>
      </c>
      <c r="H1590" s="10" t="s">
        <v>8160</v>
      </c>
      <c r="I1590" s="10" t="s">
        <v>55</v>
      </c>
      <c r="K1590" s="10" t="s">
        <v>25602</v>
      </c>
      <c r="L1590" s="10" t="s">
        <v>42</v>
      </c>
    </row>
    <row r="1591" ht="15.75" customHeight="1">
      <c r="A1591" s="64">
        <v>45457.0</v>
      </c>
      <c r="B1591" s="55" t="str">
        <f>HYPERLINK("https://jobright.ai/jobs/info/666d255025b5d65a37084ae9?utm_campaign=1057&amp;utm_source=sheet", "Apply")</f>
        <v>Apply</v>
      </c>
      <c r="C1591" s="10" t="s">
        <v>8336</v>
      </c>
      <c r="D1591" s="56" t="s">
        <v>4448</v>
      </c>
      <c r="E1591" s="10" t="s">
        <v>71</v>
      </c>
      <c r="F1591" s="10" t="s">
        <v>4449</v>
      </c>
      <c r="G1591" s="10" t="s">
        <v>24043</v>
      </c>
      <c r="H1591" s="10" t="s">
        <v>25441</v>
      </c>
      <c r="I1591" s="10" t="s">
        <v>55</v>
      </c>
      <c r="K1591" s="10" t="s">
        <v>25602</v>
      </c>
      <c r="L1591" s="10" t="s">
        <v>42</v>
      </c>
    </row>
    <row r="1592" ht="15.75" customHeight="1">
      <c r="A1592" s="64">
        <v>45457.0</v>
      </c>
      <c r="B1592" s="55" t="str">
        <f>HYPERLINK("https://jobright.ai/jobs/info/666d255025b5d65a37084b05?utm_campaign=1057&amp;utm_source=sheet", "Apply")</f>
        <v>Apply</v>
      </c>
      <c r="C1592" s="10" t="s">
        <v>8336</v>
      </c>
      <c r="D1592" s="56" t="s">
        <v>4448</v>
      </c>
      <c r="E1592" s="10" t="s">
        <v>71</v>
      </c>
      <c r="F1592" s="10" t="s">
        <v>4449</v>
      </c>
      <c r="G1592" s="10" t="s">
        <v>24043</v>
      </c>
      <c r="H1592" s="10" t="s">
        <v>8160</v>
      </c>
      <c r="I1592" s="10" t="s">
        <v>55</v>
      </c>
      <c r="K1592" s="10" t="s">
        <v>25602</v>
      </c>
      <c r="L1592" s="10" t="s">
        <v>42</v>
      </c>
    </row>
    <row r="1593" ht="15.75" customHeight="1">
      <c r="A1593" s="64">
        <v>45457.0</v>
      </c>
      <c r="B1593" s="55" t="str">
        <f>HYPERLINK("https://jobright.ai/jobs/info/666d255625b5d65a37084b47?utm_campaign=1057&amp;utm_source=sheet", "Apply")</f>
        <v>Apply</v>
      </c>
      <c r="C1593" s="10" t="s">
        <v>24414</v>
      </c>
      <c r="D1593" s="56" t="s">
        <v>4448</v>
      </c>
      <c r="E1593" s="10" t="s">
        <v>71</v>
      </c>
      <c r="F1593" s="10" t="s">
        <v>4449</v>
      </c>
      <c r="G1593" s="10" t="s">
        <v>24043</v>
      </c>
      <c r="H1593" s="10" t="s">
        <v>25441</v>
      </c>
      <c r="I1593" s="10" t="s">
        <v>55</v>
      </c>
      <c r="K1593" s="10" t="s">
        <v>25602</v>
      </c>
      <c r="L1593" s="10" t="s">
        <v>42</v>
      </c>
    </row>
    <row r="1594" ht="15.75" customHeight="1">
      <c r="A1594" s="64">
        <v>45457.0</v>
      </c>
      <c r="B1594" s="55" t="str">
        <f>HYPERLINK("https://jobright.ai/jobs/info/666d252f25b5d65a3708475a?utm_campaign=1057&amp;utm_source=sheet", "Apply")</f>
        <v>Apply</v>
      </c>
      <c r="C1594" s="10" t="s">
        <v>25512</v>
      </c>
      <c r="D1594" s="56" t="s">
        <v>4448</v>
      </c>
      <c r="E1594" s="10" t="s">
        <v>71</v>
      </c>
      <c r="F1594" s="10" t="s">
        <v>4449</v>
      </c>
      <c r="G1594" s="10" t="s">
        <v>24043</v>
      </c>
      <c r="H1594" s="10" t="s">
        <v>18959</v>
      </c>
      <c r="I1594" s="10" t="s">
        <v>55</v>
      </c>
      <c r="K1594" s="10" t="s">
        <v>25602</v>
      </c>
      <c r="L1594" s="10" t="s">
        <v>42</v>
      </c>
    </row>
    <row r="1595" ht="15.75" customHeight="1">
      <c r="A1595" s="64">
        <v>45457.0</v>
      </c>
      <c r="B1595" s="55" t="str">
        <f>HYPERLINK("https://jobright.ai/jobs/info/666d255625b5d65a37084b61?utm_campaign=1057&amp;utm_source=sheet", "Apply")</f>
        <v>Apply</v>
      </c>
      <c r="C1595" s="10" t="s">
        <v>24183</v>
      </c>
      <c r="D1595" s="56" t="s">
        <v>4448</v>
      </c>
      <c r="E1595" s="10" t="s">
        <v>71</v>
      </c>
      <c r="F1595" s="10" t="s">
        <v>4449</v>
      </c>
      <c r="G1595" s="10" t="s">
        <v>24043</v>
      </c>
      <c r="H1595" s="10" t="s">
        <v>25441</v>
      </c>
      <c r="I1595" s="10" t="s">
        <v>55</v>
      </c>
      <c r="K1595" s="10" t="s">
        <v>25602</v>
      </c>
      <c r="L1595" s="10" t="s">
        <v>42</v>
      </c>
    </row>
    <row r="1596" ht="15.75" customHeight="1">
      <c r="A1596" s="64">
        <v>45457.0</v>
      </c>
      <c r="B1596" s="55" t="str">
        <f>HYPERLINK("https://jobright.ai/jobs/info/666d255f25b5d65a37084cd9?utm_campaign=1057&amp;utm_source=sheet", "Apply")</f>
        <v>Apply</v>
      </c>
      <c r="C1596" s="10" t="s">
        <v>25512</v>
      </c>
      <c r="D1596" s="56" t="s">
        <v>4448</v>
      </c>
      <c r="E1596" s="10" t="s">
        <v>71</v>
      </c>
      <c r="F1596" s="10" t="s">
        <v>4449</v>
      </c>
      <c r="G1596" s="10" t="s">
        <v>24043</v>
      </c>
      <c r="H1596" s="10" t="s">
        <v>18402</v>
      </c>
      <c r="I1596" s="10" t="s">
        <v>55</v>
      </c>
      <c r="K1596" s="10" t="s">
        <v>25602</v>
      </c>
      <c r="L1596" s="10" t="s">
        <v>42</v>
      </c>
    </row>
    <row r="1597" ht="15.75" customHeight="1">
      <c r="A1597" s="64">
        <v>45457.0</v>
      </c>
      <c r="B1597" s="55" t="str">
        <f>HYPERLINK("https://jobright.ai/jobs/info/666d255625b5d65a37084b74?utm_campaign=1057&amp;utm_source=sheet", "Apply")</f>
        <v>Apply</v>
      </c>
      <c r="C1597" s="10" t="s">
        <v>24513</v>
      </c>
      <c r="D1597" s="56" t="s">
        <v>4448</v>
      </c>
      <c r="E1597" s="10" t="s">
        <v>71</v>
      </c>
      <c r="F1597" s="10" t="s">
        <v>4449</v>
      </c>
      <c r="G1597" s="10" t="s">
        <v>24043</v>
      </c>
      <c r="H1597" s="10" t="s">
        <v>8160</v>
      </c>
      <c r="I1597" s="10" t="s">
        <v>55</v>
      </c>
      <c r="K1597" s="10" t="s">
        <v>25602</v>
      </c>
      <c r="L1597" s="10" t="s">
        <v>42</v>
      </c>
    </row>
    <row r="1598" ht="15.75" customHeight="1">
      <c r="A1598" s="64">
        <v>45457.0</v>
      </c>
      <c r="B1598" s="55" t="str">
        <f>HYPERLINK("https://jobright.ai/jobs/info/666d255625b5d65a37084bb5?utm_campaign=1057&amp;utm_source=sheet", "Apply")</f>
        <v>Apply</v>
      </c>
      <c r="C1598" s="10" t="s">
        <v>24417</v>
      </c>
      <c r="D1598" s="56" t="s">
        <v>4448</v>
      </c>
      <c r="E1598" s="10" t="s">
        <v>71</v>
      </c>
      <c r="F1598" s="10" t="s">
        <v>4449</v>
      </c>
      <c r="G1598" s="10" t="s">
        <v>24043</v>
      </c>
      <c r="H1598" s="10" t="s">
        <v>8160</v>
      </c>
      <c r="I1598" s="10" t="s">
        <v>55</v>
      </c>
      <c r="K1598" s="10" t="s">
        <v>25602</v>
      </c>
      <c r="L1598" s="10" t="s">
        <v>42</v>
      </c>
    </row>
    <row r="1599" ht="15.75" customHeight="1">
      <c r="A1599" s="64">
        <v>45457.0</v>
      </c>
      <c r="B1599" s="55" t="str">
        <f>HYPERLINK("https://jobright.ai/jobs/info/666d255f25b5d65a37084ce6?utm_campaign=1057&amp;utm_source=sheet", "Apply")</f>
        <v>Apply</v>
      </c>
      <c r="C1599" s="10" t="s">
        <v>25512</v>
      </c>
      <c r="D1599" s="56" t="s">
        <v>4448</v>
      </c>
      <c r="E1599" s="10" t="s">
        <v>71</v>
      </c>
      <c r="F1599" s="10" t="s">
        <v>4449</v>
      </c>
      <c r="G1599" s="10" t="s">
        <v>24043</v>
      </c>
      <c r="H1599" s="10" t="s">
        <v>3006</v>
      </c>
      <c r="I1599" s="10" t="s">
        <v>55</v>
      </c>
      <c r="K1599" s="10" t="s">
        <v>25602</v>
      </c>
      <c r="L1599" s="10" t="s">
        <v>42</v>
      </c>
    </row>
    <row r="1600" ht="15.75" customHeight="1">
      <c r="A1600" s="64">
        <v>45457.0</v>
      </c>
      <c r="B1600" s="55" t="str">
        <f>HYPERLINK("https://jobright.ai/jobs/info/6675dcb5d40a616e2378278c?utm_campaign=1057&amp;utm_source=sheet", "Apply")</f>
        <v>Apply</v>
      </c>
      <c r="C1600" s="10" t="s">
        <v>25604</v>
      </c>
      <c r="D1600" s="56" t="s">
        <v>4448</v>
      </c>
      <c r="E1600" s="10" t="s">
        <v>71</v>
      </c>
      <c r="F1600" s="10" t="s">
        <v>4449</v>
      </c>
      <c r="G1600" s="10" t="s">
        <v>24043</v>
      </c>
      <c r="H1600" s="10" t="s">
        <v>4261</v>
      </c>
      <c r="I1600" s="10" t="s">
        <v>55</v>
      </c>
      <c r="K1600" s="10" t="s">
        <v>21739</v>
      </c>
      <c r="L1600" s="10" t="s">
        <v>42</v>
      </c>
    </row>
    <row r="1601" ht="15.75" customHeight="1">
      <c r="A1601" s="64">
        <v>45457.0</v>
      </c>
      <c r="B1601" s="55" t="str">
        <f>HYPERLINK("https://jobright.ai/jobs/info/6675dcd5d40a616e23782a46?utm_campaign=1057&amp;utm_source=sheet", "Apply")</f>
        <v>Apply</v>
      </c>
      <c r="C1601" s="10" t="s">
        <v>25605</v>
      </c>
      <c r="D1601" s="56" t="s">
        <v>2189</v>
      </c>
      <c r="F1601" s="10" t="s">
        <v>1234</v>
      </c>
      <c r="G1601" s="10" t="s">
        <v>24022</v>
      </c>
      <c r="H1601" s="10" t="s">
        <v>1013</v>
      </c>
      <c r="I1601" s="10" t="s">
        <v>55</v>
      </c>
      <c r="K1601" s="10" t="s">
        <v>25606</v>
      </c>
      <c r="L1601" s="10" t="s">
        <v>42</v>
      </c>
    </row>
    <row r="1602" ht="15.75" customHeight="1">
      <c r="A1602" s="64">
        <v>45457.0</v>
      </c>
      <c r="B1602" s="55" t="str">
        <f>HYPERLINK("https://jobright.ai/jobs/info/6675c8e93b408d33d5602f6b?utm_campaign=1057&amp;utm_source=sheet", "Apply")</f>
        <v>Apply</v>
      </c>
      <c r="C1602" s="10" t="s">
        <v>25607</v>
      </c>
      <c r="D1602" s="56" t="s">
        <v>25608</v>
      </c>
      <c r="E1602" s="10">
        <v>1009.0</v>
      </c>
      <c r="G1602" s="10" t="s">
        <v>24022</v>
      </c>
      <c r="H1602" s="10" t="s">
        <v>836</v>
      </c>
      <c r="I1602" s="10" t="s">
        <v>55</v>
      </c>
      <c r="J1602" s="10" t="s">
        <v>25609</v>
      </c>
      <c r="K1602" s="10" t="s">
        <v>25610</v>
      </c>
      <c r="L1602" s="10" t="s">
        <v>42</v>
      </c>
    </row>
    <row r="1603" ht="15.75" customHeight="1">
      <c r="A1603" s="64">
        <v>45457.0</v>
      </c>
      <c r="B1603" s="55" t="str">
        <f>HYPERLINK("https://jobright.ai/jobs/info/6675e1bee95c1a0a225b9119?utm_campaign=1057&amp;utm_source=sheet", "Apply")</f>
        <v>Apply</v>
      </c>
      <c r="C1603" s="10" t="s">
        <v>24058</v>
      </c>
      <c r="D1603" s="56" t="s">
        <v>4448</v>
      </c>
      <c r="E1603" s="10" t="s">
        <v>71</v>
      </c>
      <c r="F1603" s="10" t="s">
        <v>4449</v>
      </c>
      <c r="G1603" s="10" t="s">
        <v>24043</v>
      </c>
      <c r="H1603" s="10" t="s">
        <v>10627</v>
      </c>
      <c r="I1603" s="10" t="s">
        <v>55</v>
      </c>
      <c r="K1603" s="10" t="s">
        <v>21739</v>
      </c>
      <c r="L1603" s="10" t="s">
        <v>42</v>
      </c>
    </row>
    <row r="1604" ht="15.75" customHeight="1">
      <c r="A1604" s="64">
        <v>45457.0</v>
      </c>
      <c r="B1604" s="55" t="str">
        <f>HYPERLINK("https://jobright.ai/jobs/info/6675e1c9e95c1a0a225b9174?utm_campaign=1057&amp;utm_source=sheet", "Apply")</f>
        <v>Apply</v>
      </c>
      <c r="C1604" s="10" t="s">
        <v>24430</v>
      </c>
      <c r="D1604" s="56" t="s">
        <v>4448</v>
      </c>
      <c r="E1604" s="10" t="s">
        <v>71</v>
      </c>
      <c r="F1604" s="10" t="s">
        <v>4449</v>
      </c>
      <c r="G1604" s="10" t="s">
        <v>24043</v>
      </c>
      <c r="H1604" s="10" t="s">
        <v>25486</v>
      </c>
      <c r="I1604" s="10" t="s">
        <v>55</v>
      </c>
      <c r="K1604" s="10" t="s">
        <v>21739</v>
      </c>
      <c r="L1604" s="10" t="s">
        <v>42</v>
      </c>
    </row>
    <row r="1605" ht="15.75" customHeight="1">
      <c r="A1605" s="64">
        <v>45457.0</v>
      </c>
      <c r="B1605" s="55" t="str">
        <f>HYPERLINK("https://jobright.ai/jobs/info/6675e1c9e95c1a0a225b91c2?utm_campaign=1057&amp;utm_source=sheet", "Apply")</f>
        <v>Apply</v>
      </c>
      <c r="C1605" s="10" t="s">
        <v>24058</v>
      </c>
      <c r="D1605" s="56" t="s">
        <v>4448</v>
      </c>
      <c r="E1605" s="10" t="s">
        <v>71</v>
      </c>
      <c r="F1605" s="10" t="s">
        <v>4449</v>
      </c>
      <c r="G1605" s="10" t="s">
        <v>24043</v>
      </c>
      <c r="H1605" s="10" t="s">
        <v>13924</v>
      </c>
      <c r="I1605" s="10" t="s">
        <v>55</v>
      </c>
      <c r="K1605" s="10" t="s">
        <v>21739</v>
      </c>
      <c r="L1605" s="10" t="s">
        <v>42</v>
      </c>
    </row>
    <row r="1606" ht="15.75" customHeight="1">
      <c r="A1606" s="64">
        <v>45457.0</v>
      </c>
      <c r="B1606" s="55" t="str">
        <f>HYPERLINK("https://jobright.ai/jobs/info/66747b5d9e5d771319da2013?utm_campaign=1057&amp;utm_source=sheet", "Apply")</f>
        <v>Apply</v>
      </c>
      <c r="C1606" s="10" t="s">
        <v>24430</v>
      </c>
      <c r="D1606" s="56" t="s">
        <v>4448</v>
      </c>
      <c r="E1606" s="10" t="s">
        <v>71</v>
      </c>
      <c r="F1606" s="10" t="s">
        <v>4449</v>
      </c>
      <c r="G1606" s="10" t="s">
        <v>24043</v>
      </c>
      <c r="H1606" s="10" t="s">
        <v>25083</v>
      </c>
      <c r="I1606" s="10" t="s">
        <v>55</v>
      </c>
      <c r="K1606" s="10" t="s">
        <v>21739</v>
      </c>
      <c r="L1606" s="10" t="s">
        <v>42</v>
      </c>
    </row>
    <row r="1607" ht="15.75" customHeight="1">
      <c r="A1607" s="64">
        <v>45457.0</v>
      </c>
      <c r="B1607" s="55" t="str">
        <f>HYPERLINK("https://jobright.ai/jobs/info/666d34687a5fb8e4c9da9595?utm_campaign=1057&amp;utm_source=sheet", "Apply")</f>
        <v>Apply</v>
      </c>
      <c r="C1607" s="10" t="s">
        <v>25611</v>
      </c>
      <c r="D1607" s="56" t="s">
        <v>4448</v>
      </c>
      <c r="E1607" s="10" t="s">
        <v>71</v>
      </c>
      <c r="F1607" s="10" t="s">
        <v>4449</v>
      </c>
      <c r="G1607" s="10" t="s">
        <v>24043</v>
      </c>
      <c r="H1607" s="10" t="s">
        <v>3703</v>
      </c>
      <c r="I1607" s="10" t="s">
        <v>55</v>
      </c>
      <c r="K1607" s="10" t="s">
        <v>21739</v>
      </c>
      <c r="L1607" s="10" t="s">
        <v>42</v>
      </c>
    </row>
    <row r="1608" ht="15.75" customHeight="1">
      <c r="A1608" s="64">
        <v>45457.0</v>
      </c>
      <c r="B1608" s="55" t="str">
        <f>HYPERLINK("https://jobright.ai/jobs/info/66747e88d8033409f2da31ba?utm_campaign=1057&amp;utm_source=sheet", "Apply")</f>
        <v>Apply</v>
      </c>
      <c r="C1608" s="10" t="s">
        <v>24058</v>
      </c>
      <c r="D1608" s="56" t="s">
        <v>4448</v>
      </c>
      <c r="E1608" s="10" t="s">
        <v>71</v>
      </c>
      <c r="F1608" s="10" t="s">
        <v>4449</v>
      </c>
      <c r="G1608" s="10" t="s">
        <v>24043</v>
      </c>
      <c r="H1608" s="10" t="s">
        <v>1097</v>
      </c>
      <c r="I1608" s="10" t="s">
        <v>55</v>
      </c>
      <c r="K1608" s="10" t="s">
        <v>21739</v>
      </c>
      <c r="L1608" s="10" t="s">
        <v>42</v>
      </c>
    </row>
    <row r="1609" ht="15.75" customHeight="1">
      <c r="A1609" s="64">
        <v>45457.0</v>
      </c>
      <c r="B1609" s="55" t="str">
        <f>HYPERLINK("https://jobright.ai/jobs/info/6675ac046d8340c59f8e448c?utm_campaign=1057&amp;utm_source=sheet", "Apply")</f>
        <v>Apply</v>
      </c>
      <c r="C1609" s="10" t="s">
        <v>24413</v>
      </c>
      <c r="D1609" s="56" t="s">
        <v>4448</v>
      </c>
      <c r="E1609" s="10" t="s">
        <v>71</v>
      </c>
      <c r="F1609" s="10" t="s">
        <v>4449</v>
      </c>
      <c r="G1609" s="10" t="s">
        <v>24043</v>
      </c>
      <c r="H1609" s="10" t="s">
        <v>16746</v>
      </c>
      <c r="I1609" s="10" t="s">
        <v>55</v>
      </c>
      <c r="K1609" s="10" t="s">
        <v>21739</v>
      </c>
      <c r="L1609" s="10" t="s">
        <v>42</v>
      </c>
    </row>
    <row r="1610" ht="15.75" customHeight="1">
      <c r="A1610" s="64">
        <v>45457.0</v>
      </c>
      <c r="B1610" s="55" t="str">
        <f>HYPERLINK("https://jobright.ai/jobs/info/6675ac0e6d8340c59f8e4510?utm_campaign=1057&amp;utm_source=sheet", "Apply")</f>
        <v>Apply</v>
      </c>
      <c r="C1610" s="10" t="s">
        <v>8245</v>
      </c>
      <c r="D1610" s="56" t="s">
        <v>4448</v>
      </c>
      <c r="E1610" s="10" t="s">
        <v>71</v>
      </c>
      <c r="F1610" s="10" t="s">
        <v>4449</v>
      </c>
      <c r="G1610" s="10" t="s">
        <v>24043</v>
      </c>
      <c r="H1610" s="10" t="s">
        <v>25088</v>
      </c>
      <c r="I1610" s="10" t="s">
        <v>55</v>
      </c>
      <c r="K1610" s="10" t="s">
        <v>21739</v>
      </c>
      <c r="L1610" s="10" t="s">
        <v>42</v>
      </c>
    </row>
    <row r="1611" ht="15.75" customHeight="1">
      <c r="A1611" s="64">
        <v>45457.0</v>
      </c>
      <c r="B1611" s="55" t="str">
        <f>HYPERLINK("https://jobright.ai/jobs/info/6675ac0e6d8340c59f8e453d?utm_campaign=1057&amp;utm_source=sheet", "Apply")</f>
        <v>Apply</v>
      </c>
      <c r="C1611" s="10" t="s">
        <v>8250</v>
      </c>
      <c r="D1611" s="56" t="s">
        <v>4448</v>
      </c>
      <c r="E1611" s="10" t="s">
        <v>71</v>
      </c>
      <c r="F1611" s="10" t="s">
        <v>4449</v>
      </c>
      <c r="G1611" s="10" t="s">
        <v>24043</v>
      </c>
      <c r="H1611" s="10" t="s">
        <v>25612</v>
      </c>
      <c r="I1611" s="10" t="s">
        <v>55</v>
      </c>
      <c r="K1611" s="10" t="s">
        <v>21739</v>
      </c>
      <c r="L1611" s="10" t="s">
        <v>42</v>
      </c>
    </row>
    <row r="1612" ht="15.75" customHeight="1">
      <c r="A1612" s="64">
        <v>45457.0</v>
      </c>
      <c r="B1612" s="55" t="str">
        <f>HYPERLINK("https://jobright.ai/jobs/info/6675ac236d8340c59f8e4681?utm_campaign=1057&amp;utm_source=sheet", "Apply")</f>
        <v>Apply</v>
      </c>
      <c r="C1612" s="10" t="s">
        <v>4457</v>
      </c>
      <c r="D1612" s="56" t="s">
        <v>4448</v>
      </c>
      <c r="E1612" s="10" t="s">
        <v>71</v>
      </c>
      <c r="F1612" s="10" t="s">
        <v>4449</v>
      </c>
      <c r="G1612" s="10" t="s">
        <v>24043</v>
      </c>
      <c r="H1612" s="10" t="s">
        <v>21486</v>
      </c>
      <c r="I1612" s="10" t="s">
        <v>55</v>
      </c>
      <c r="K1612" s="10" t="s">
        <v>21739</v>
      </c>
      <c r="L1612" s="10" t="s">
        <v>42</v>
      </c>
    </row>
    <row r="1613" ht="15.75" customHeight="1">
      <c r="A1613" s="64">
        <v>45457.0</v>
      </c>
      <c r="B1613" s="55" t="str">
        <f>HYPERLINK("https://jobright.ai/jobs/info/666d1344a8d1116bb438f2cf?utm_campaign=1057&amp;utm_source=sheet", "Apply")</f>
        <v>Apply</v>
      </c>
      <c r="C1613" s="10" t="s">
        <v>8336</v>
      </c>
      <c r="D1613" s="56" t="s">
        <v>4448</v>
      </c>
      <c r="E1613" s="10" t="s">
        <v>71</v>
      </c>
      <c r="F1613" s="10" t="s">
        <v>4449</v>
      </c>
      <c r="G1613" s="10" t="s">
        <v>24043</v>
      </c>
      <c r="H1613" s="10" t="s">
        <v>628</v>
      </c>
      <c r="I1613" s="10" t="s">
        <v>55</v>
      </c>
      <c r="K1613" s="10" t="s">
        <v>21739</v>
      </c>
      <c r="L1613" s="10" t="s">
        <v>42</v>
      </c>
    </row>
    <row r="1614" ht="15.75" customHeight="1">
      <c r="A1614" s="64">
        <v>45457.0</v>
      </c>
      <c r="B1614" s="55" t="str">
        <f>HYPERLINK("https://jobright.ai/jobs/info/666d2c7a00e2f71a5889f56e?utm_campaign=1057&amp;utm_source=sheet", "Apply")</f>
        <v>Apply</v>
      </c>
      <c r="C1614" s="10" t="s">
        <v>21691</v>
      </c>
      <c r="D1614" s="56" t="s">
        <v>4448</v>
      </c>
      <c r="E1614" s="10" t="s">
        <v>71</v>
      </c>
      <c r="F1614" s="10" t="s">
        <v>4449</v>
      </c>
      <c r="G1614" s="10" t="s">
        <v>24043</v>
      </c>
      <c r="H1614" s="10" t="s">
        <v>21748</v>
      </c>
      <c r="I1614" s="10" t="s">
        <v>55</v>
      </c>
      <c r="K1614" s="10" t="s">
        <v>21739</v>
      </c>
      <c r="L1614" s="10" t="s">
        <v>42</v>
      </c>
    </row>
    <row r="1615" ht="15.75" customHeight="1">
      <c r="A1615" s="64">
        <v>45457.0</v>
      </c>
      <c r="B1615" s="55" t="str">
        <f>HYPERLINK("https://jobright.ai/jobs/info/6672f459b9ba0405d001e513?utm_campaign=1057&amp;utm_source=sheet", "Apply")</f>
        <v>Apply</v>
      </c>
      <c r="C1615" s="10" t="s">
        <v>25613</v>
      </c>
      <c r="D1615" s="56" t="s">
        <v>4448</v>
      </c>
      <c r="E1615" s="10" t="s">
        <v>71</v>
      </c>
      <c r="F1615" s="10" t="s">
        <v>4449</v>
      </c>
      <c r="G1615" s="10" t="s">
        <v>24043</v>
      </c>
      <c r="H1615" s="10" t="s">
        <v>25614</v>
      </c>
      <c r="I1615" s="10" t="s">
        <v>55</v>
      </c>
      <c r="K1615" s="10" t="s">
        <v>21739</v>
      </c>
      <c r="L1615" s="10" t="s">
        <v>42</v>
      </c>
    </row>
    <row r="1616" ht="15.75" customHeight="1">
      <c r="A1616" s="64">
        <v>45457.0</v>
      </c>
      <c r="B1616" s="55" t="str">
        <f>HYPERLINK("https://jobright.ai/jobs/info/6672f46db9ba0405d001e60a?utm_campaign=1057&amp;utm_source=sheet", "Apply")</f>
        <v>Apply</v>
      </c>
      <c r="C1616" s="10" t="s">
        <v>24410</v>
      </c>
      <c r="D1616" s="56" t="s">
        <v>4448</v>
      </c>
      <c r="E1616" s="10" t="s">
        <v>71</v>
      </c>
      <c r="F1616" s="10" t="s">
        <v>4449</v>
      </c>
      <c r="G1616" s="10" t="s">
        <v>24043</v>
      </c>
      <c r="H1616" s="10" t="s">
        <v>25614</v>
      </c>
      <c r="I1616" s="10" t="s">
        <v>55</v>
      </c>
      <c r="K1616" s="10" t="s">
        <v>21739</v>
      </c>
      <c r="L1616" s="10" t="s">
        <v>42</v>
      </c>
    </row>
    <row r="1617" ht="15.75" customHeight="1">
      <c r="A1617" s="64">
        <v>45457.0</v>
      </c>
      <c r="B1617" s="55" t="str">
        <f>HYPERLINK("https://jobright.ai/jobs/info/6672f00909fa87accf6a49a2?utm_campaign=1057&amp;utm_source=sheet", "Apply")</f>
        <v>Apply</v>
      </c>
      <c r="C1617" s="10" t="s">
        <v>8355</v>
      </c>
      <c r="D1617" s="56" t="s">
        <v>4448</v>
      </c>
      <c r="E1617" s="10" t="s">
        <v>71</v>
      </c>
      <c r="F1617" s="10" t="s">
        <v>4449</v>
      </c>
      <c r="G1617" s="10" t="s">
        <v>24043</v>
      </c>
      <c r="H1617" s="10" t="s">
        <v>25145</v>
      </c>
      <c r="I1617" s="10" t="s">
        <v>55</v>
      </c>
      <c r="K1617" s="10" t="s">
        <v>21739</v>
      </c>
      <c r="L1617" s="10" t="s">
        <v>42</v>
      </c>
    </row>
    <row r="1618" ht="15.75" customHeight="1">
      <c r="A1618" s="64">
        <v>45457.0</v>
      </c>
      <c r="B1618" s="55" t="str">
        <f>HYPERLINK("https://jobright.ai/jobs/info/6672f03309fa87accf6a4a92?utm_campaign=1057&amp;utm_source=sheet", "Apply")</f>
        <v>Apply</v>
      </c>
      <c r="C1618" s="10" t="s">
        <v>25596</v>
      </c>
      <c r="D1618" s="56" t="s">
        <v>4448</v>
      </c>
      <c r="E1618" s="10" t="s">
        <v>71</v>
      </c>
      <c r="F1618" s="10" t="s">
        <v>4449</v>
      </c>
      <c r="G1618" s="10" t="s">
        <v>24043</v>
      </c>
      <c r="H1618" s="10" t="s">
        <v>25614</v>
      </c>
      <c r="I1618" s="10" t="s">
        <v>55</v>
      </c>
      <c r="K1618" s="10" t="s">
        <v>21739</v>
      </c>
      <c r="L1618" s="10" t="s">
        <v>42</v>
      </c>
    </row>
    <row r="1619" ht="15.75" customHeight="1">
      <c r="A1619" s="64">
        <v>45457.0</v>
      </c>
      <c r="B1619" s="55" t="str">
        <f>HYPERLINK("https://jobright.ai/jobs/info/6672ebb73bc1bf09bd16de2b?utm_campaign=1057&amp;utm_source=sheet", "Apply")</f>
        <v>Apply</v>
      </c>
      <c r="C1619" s="10" t="s">
        <v>25522</v>
      </c>
      <c r="D1619" s="56" t="s">
        <v>4448</v>
      </c>
      <c r="E1619" s="10" t="s">
        <v>71</v>
      </c>
      <c r="F1619" s="10" t="s">
        <v>4449</v>
      </c>
      <c r="G1619" s="10" t="s">
        <v>24043</v>
      </c>
      <c r="H1619" s="10" t="s">
        <v>21748</v>
      </c>
      <c r="I1619" s="10" t="s">
        <v>55</v>
      </c>
      <c r="K1619" s="10" t="s">
        <v>21739</v>
      </c>
      <c r="L1619" s="10" t="s">
        <v>42</v>
      </c>
    </row>
    <row r="1620" ht="15.75" customHeight="1">
      <c r="A1620" s="64">
        <v>45457.0</v>
      </c>
      <c r="B1620" s="55" t="str">
        <f>HYPERLINK("https://jobright.ai/jobs/info/6672e7b9d742a3597e9ab72a?utm_campaign=1057&amp;utm_source=sheet", "Apply")</f>
        <v>Apply</v>
      </c>
      <c r="C1620" s="10" t="s">
        <v>24514</v>
      </c>
      <c r="D1620" s="56" t="s">
        <v>4448</v>
      </c>
      <c r="E1620" s="10" t="s">
        <v>71</v>
      </c>
      <c r="F1620" s="10" t="s">
        <v>4449</v>
      </c>
      <c r="G1620" s="10" t="s">
        <v>24043</v>
      </c>
      <c r="H1620" s="10" t="s">
        <v>2602</v>
      </c>
      <c r="I1620" s="10" t="s">
        <v>55</v>
      </c>
      <c r="K1620" s="10" t="s">
        <v>21739</v>
      </c>
      <c r="L1620" s="10" t="s">
        <v>42</v>
      </c>
    </row>
    <row r="1621" ht="15.75" customHeight="1">
      <c r="A1621" s="64">
        <v>45457.0</v>
      </c>
      <c r="B1621" s="55" t="str">
        <f>HYPERLINK("https://jobright.ai/jobs/info/6672de9d6a9a1248b5ba1b20?utm_campaign=1057&amp;utm_source=sheet", "Apply")</f>
        <v>Apply</v>
      </c>
      <c r="C1621" s="10" t="s">
        <v>24058</v>
      </c>
      <c r="D1621" s="56" t="s">
        <v>4448</v>
      </c>
      <c r="E1621" s="10" t="s">
        <v>71</v>
      </c>
      <c r="F1621" s="10" t="s">
        <v>4449</v>
      </c>
      <c r="G1621" s="10" t="s">
        <v>24043</v>
      </c>
      <c r="H1621" s="10" t="s">
        <v>24800</v>
      </c>
      <c r="I1621" s="10" t="s">
        <v>55</v>
      </c>
      <c r="K1621" s="10" t="s">
        <v>21739</v>
      </c>
      <c r="L1621" s="10" t="s">
        <v>42</v>
      </c>
    </row>
    <row r="1622" ht="15.75" customHeight="1">
      <c r="A1622" s="64">
        <v>45457.0</v>
      </c>
      <c r="B1622" s="55" t="str">
        <f>HYPERLINK("https://jobright.ai/jobs/info/667581ecb8ac7f4a9d6b9d1a?utm_campaign=1057&amp;utm_source=sheet", "Apply")</f>
        <v>Apply</v>
      </c>
      <c r="C1622" s="10" t="s">
        <v>25615</v>
      </c>
      <c r="D1622" s="56" t="s">
        <v>25616</v>
      </c>
      <c r="E1622" s="10" t="s">
        <v>65</v>
      </c>
      <c r="F1622" s="10" t="s">
        <v>3225</v>
      </c>
      <c r="G1622" s="10" t="s">
        <v>24031</v>
      </c>
      <c r="H1622" s="10" t="s">
        <v>25617</v>
      </c>
      <c r="I1622" s="10" t="s">
        <v>55</v>
      </c>
      <c r="K1622" s="10" t="s">
        <v>25618</v>
      </c>
      <c r="L1622" s="10" t="s">
        <v>42</v>
      </c>
    </row>
    <row r="1623" ht="15.75" customHeight="1">
      <c r="A1623" s="64">
        <v>45457.0</v>
      </c>
      <c r="B1623" s="55" t="str">
        <f>HYPERLINK("https://jobright.ai/jobs/info/667035579c97135751d2bdbb?utm_campaign=1057&amp;utm_source=sheet", "Apply")</f>
        <v>Apply</v>
      </c>
      <c r="C1623" s="10" t="s">
        <v>4451</v>
      </c>
      <c r="D1623" s="56" t="s">
        <v>4448</v>
      </c>
      <c r="E1623" s="10" t="s">
        <v>71</v>
      </c>
      <c r="F1623" s="10" t="s">
        <v>4449</v>
      </c>
      <c r="G1623" s="10" t="s">
        <v>24043</v>
      </c>
      <c r="H1623" s="10" t="s">
        <v>25416</v>
      </c>
      <c r="I1623" s="10" t="s">
        <v>55</v>
      </c>
      <c r="K1623" s="10" t="s">
        <v>21739</v>
      </c>
      <c r="L1623" s="10" t="s">
        <v>42</v>
      </c>
    </row>
    <row r="1624" ht="15.75" customHeight="1">
      <c r="A1624" s="64">
        <v>45457.0</v>
      </c>
      <c r="B1624" s="55" t="str">
        <f>HYPERLINK("https://jobright.ai/jobs/info/6672e323eeb3fec798789fd1?utm_campaign=1057&amp;utm_source=sheet", "Apply")</f>
        <v>Apply</v>
      </c>
      <c r="C1624" s="10" t="s">
        <v>24435</v>
      </c>
      <c r="D1624" s="56" t="s">
        <v>4448</v>
      </c>
      <c r="E1624" s="10" t="s">
        <v>71</v>
      </c>
      <c r="F1624" s="10" t="s">
        <v>4449</v>
      </c>
      <c r="G1624" s="10" t="s">
        <v>24043</v>
      </c>
      <c r="H1624" s="10" t="s">
        <v>1025</v>
      </c>
      <c r="I1624" s="10" t="s">
        <v>55</v>
      </c>
      <c r="K1624" s="10" t="s">
        <v>21739</v>
      </c>
      <c r="L1624" s="10" t="s">
        <v>42</v>
      </c>
    </row>
    <row r="1625" ht="15.75" customHeight="1">
      <c r="A1625" s="64">
        <v>45457.0</v>
      </c>
      <c r="B1625" s="55" t="str">
        <f>HYPERLINK("https://jobright.ai/jobs/info/6672e34aeeb3fec79878a172?utm_campaign=1057&amp;utm_source=sheet", "Apply")</f>
        <v>Apply</v>
      </c>
      <c r="C1625" s="10" t="s">
        <v>25619</v>
      </c>
      <c r="D1625" s="56" t="s">
        <v>4448</v>
      </c>
      <c r="E1625" s="10" t="s">
        <v>71</v>
      </c>
      <c r="F1625" s="10" t="s">
        <v>4449</v>
      </c>
      <c r="G1625" s="10" t="s">
        <v>24043</v>
      </c>
      <c r="H1625" s="10" t="s">
        <v>24396</v>
      </c>
      <c r="I1625" s="10" t="s">
        <v>55</v>
      </c>
      <c r="K1625" s="10" t="s">
        <v>21739</v>
      </c>
      <c r="L1625" s="10" t="s">
        <v>42</v>
      </c>
    </row>
    <row r="1626" ht="15.75" customHeight="1">
      <c r="A1626" s="64">
        <v>45457.0</v>
      </c>
      <c r="B1626" s="55" t="str">
        <f>HYPERLINK("https://jobright.ai/jobs/info/6672d3c1c48414916dc8fc6a?utm_campaign=1057&amp;utm_source=sheet", "Apply")</f>
        <v>Apply</v>
      </c>
      <c r="C1626" s="10" t="s">
        <v>4453</v>
      </c>
      <c r="D1626" s="56" t="s">
        <v>4448</v>
      </c>
      <c r="E1626" s="10" t="s">
        <v>71</v>
      </c>
      <c r="F1626" s="10" t="s">
        <v>4449</v>
      </c>
      <c r="G1626" s="10" t="s">
        <v>24043</v>
      </c>
      <c r="H1626" s="10" t="s">
        <v>9029</v>
      </c>
      <c r="I1626" s="10" t="s">
        <v>55</v>
      </c>
      <c r="K1626" s="10" t="s">
        <v>21739</v>
      </c>
      <c r="L1626" s="10" t="s">
        <v>42</v>
      </c>
    </row>
    <row r="1627" ht="15.75" customHeight="1">
      <c r="A1627" s="64">
        <v>45457.0</v>
      </c>
      <c r="B1627" s="55" t="str">
        <f>HYPERLINK("https://jobright.ai/jobs/info/6672ce4d4b9042a3b20641a4?utm_campaign=1057&amp;utm_source=sheet", "Apply")</f>
        <v>Apply</v>
      </c>
      <c r="C1627" s="10" t="s">
        <v>24525</v>
      </c>
      <c r="D1627" s="56" t="s">
        <v>4448</v>
      </c>
      <c r="E1627" s="10" t="s">
        <v>71</v>
      </c>
      <c r="F1627" s="10" t="s">
        <v>4449</v>
      </c>
      <c r="G1627" s="10" t="s">
        <v>24043</v>
      </c>
      <c r="H1627" s="10" t="s">
        <v>13924</v>
      </c>
      <c r="I1627" s="10" t="s">
        <v>55</v>
      </c>
      <c r="K1627" s="10" t="s">
        <v>21739</v>
      </c>
      <c r="L1627" s="10" t="s">
        <v>42</v>
      </c>
    </row>
    <row r="1628" ht="15.75" customHeight="1">
      <c r="A1628" s="64">
        <v>45457.0</v>
      </c>
      <c r="B1628" s="55" t="str">
        <f>HYPERLINK("https://jobright.ai/jobs/info/66717932b1932a0172d21292?utm_campaign=1057&amp;utm_source=sheet", "Apply")</f>
        <v>Apply</v>
      </c>
      <c r="C1628" s="10" t="s">
        <v>25619</v>
      </c>
      <c r="D1628" s="56" t="s">
        <v>4448</v>
      </c>
      <c r="E1628" s="10" t="s">
        <v>71</v>
      </c>
      <c r="F1628" s="10" t="s">
        <v>4449</v>
      </c>
      <c r="G1628" s="10" t="s">
        <v>24043</v>
      </c>
      <c r="H1628" s="10" t="s">
        <v>10627</v>
      </c>
      <c r="I1628" s="10" t="s">
        <v>55</v>
      </c>
      <c r="K1628" s="10" t="s">
        <v>21739</v>
      </c>
      <c r="L1628" s="10" t="s">
        <v>42</v>
      </c>
    </row>
    <row r="1629" ht="15.75" customHeight="1">
      <c r="A1629" s="64">
        <v>45457.0</v>
      </c>
      <c r="B1629" s="55" t="str">
        <f>HYPERLINK("https://jobright.ai/jobs/info/6670279106eabee8c1bf86fb?utm_campaign=1057&amp;utm_source=sheet", "Apply")</f>
        <v>Apply</v>
      </c>
      <c r="C1629" s="10" t="s">
        <v>25620</v>
      </c>
      <c r="D1629" s="56" t="s">
        <v>4448</v>
      </c>
      <c r="E1629" s="10" t="s">
        <v>71</v>
      </c>
      <c r="F1629" s="10" t="s">
        <v>4449</v>
      </c>
      <c r="G1629" s="10" t="s">
        <v>24043</v>
      </c>
      <c r="H1629" s="10" t="s">
        <v>25088</v>
      </c>
      <c r="I1629" s="10" t="s">
        <v>55</v>
      </c>
      <c r="K1629" s="10" t="s">
        <v>21739</v>
      </c>
      <c r="L1629" s="10" t="s">
        <v>42</v>
      </c>
    </row>
    <row r="1630" ht="15.75" customHeight="1">
      <c r="A1630" s="64">
        <v>45457.0</v>
      </c>
      <c r="B1630" s="55" t="str">
        <f>HYPERLINK("https://jobright.ai/jobs/info/66717932b1932a0172d212f9?utm_campaign=1057&amp;utm_source=sheet", "Apply")</f>
        <v>Apply</v>
      </c>
      <c r="C1630" s="10" t="s">
        <v>24518</v>
      </c>
      <c r="D1630" s="56" t="s">
        <v>4448</v>
      </c>
      <c r="E1630" s="10" t="s">
        <v>71</v>
      </c>
      <c r="F1630" s="10" t="s">
        <v>4449</v>
      </c>
      <c r="G1630" s="10" t="s">
        <v>24043</v>
      </c>
      <c r="H1630" s="10" t="s">
        <v>21748</v>
      </c>
      <c r="I1630" s="10" t="s">
        <v>55</v>
      </c>
      <c r="K1630" s="10" t="s">
        <v>21739</v>
      </c>
      <c r="L1630" s="10" t="s">
        <v>42</v>
      </c>
    </row>
    <row r="1631" ht="15.75" customHeight="1">
      <c r="A1631" s="64">
        <v>45457.0</v>
      </c>
      <c r="B1631" s="55" t="str">
        <f>HYPERLINK("https://jobright.ai/jobs/info/6670245b8fe4dd5c3d1ab9e4?utm_campaign=1057&amp;utm_source=sheet", "Apply")</f>
        <v>Apply</v>
      </c>
      <c r="C1631" s="10" t="s">
        <v>24058</v>
      </c>
      <c r="D1631" s="56" t="s">
        <v>4448</v>
      </c>
      <c r="E1631" s="10" t="s">
        <v>71</v>
      </c>
      <c r="F1631" s="10" t="s">
        <v>4449</v>
      </c>
      <c r="G1631" s="10" t="s">
        <v>24043</v>
      </c>
      <c r="H1631" s="10" t="s">
        <v>21673</v>
      </c>
      <c r="I1631" s="10" t="s">
        <v>55</v>
      </c>
      <c r="K1631" s="10" t="s">
        <v>21739</v>
      </c>
      <c r="L1631" s="10" t="s">
        <v>42</v>
      </c>
    </row>
    <row r="1632" ht="15.75" customHeight="1">
      <c r="A1632" s="64">
        <v>45457.0</v>
      </c>
      <c r="B1632" s="55" t="str">
        <f>HYPERLINK("https://jobright.ai/jobs/info/66756b91e2a826d24a0e02a6?utm_campaign=1057&amp;utm_source=sheet", "Apply")</f>
        <v>Apply</v>
      </c>
      <c r="C1632" s="10" t="s">
        <v>24497</v>
      </c>
      <c r="D1632" s="56" t="s">
        <v>4448</v>
      </c>
      <c r="E1632" s="10" t="s">
        <v>71</v>
      </c>
      <c r="F1632" s="10" t="s">
        <v>4449</v>
      </c>
      <c r="G1632" s="10" t="s">
        <v>24043</v>
      </c>
      <c r="H1632" s="10" t="s">
        <v>6491</v>
      </c>
      <c r="I1632" s="10" t="s">
        <v>55</v>
      </c>
      <c r="K1632" s="10" t="s">
        <v>21739</v>
      </c>
      <c r="L1632" s="10" t="s">
        <v>42</v>
      </c>
    </row>
    <row r="1633" ht="15.75" customHeight="1">
      <c r="A1633" s="64">
        <v>45457.0</v>
      </c>
      <c r="B1633" s="55" t="str">
        <f>HYPERLINK("https://jobright.ai/jobs/info/666ed0c9cfaf83a47e1e8272?utm_campaign=1057&amp;utm_source=sheet", "Apply")</f>
        <v>Apply</v>
      </c>
      <c r="C1633" s="10" t="s">
        <v>25621</v>
      </c>
      <c r="D1633" s="56" t="s">
        <v>4448</v>
      </c>
      <c r="E1633" s="10" t="s">
        <v>71</v>
      </c>
      <c r="F1633" s="10" t="s">
        <v>4449</v>
      </c>
      <c r="G1633" s="10" t="s">
        <v>24043</v>
      </c>
      <c r="H1633" s="10" t="s">
        <v>24800</v>
      </c>
      <c r="I1633" s="10" t="s">
        <v>55</v>
      </c>
      <c r="K1633" s="10" t="s">
        <v>21739</v>
      </c>
      <c r="L1633" s="10" t="s">
        <v>42</v>
      </c>
    </row>
    <row r="1634" ht="15.75" customHeight="1">
      <c r="A1634" s="64">
        <v>45457.0</v>
      </c>
      <c r="B1634" s="55" t="str">
        <f>HYPERLINK("https://jobright.ai/jobs/info/667173396c34d28ea073ea57?utm_campaign=1057&amp;utm_source=sheet", "Apply")</f>
        <v>Apply</v>
      </c>
      <c r="C1634" s="10" t="s">
        <v>25622</v>
      </c>
      <c r="D1634" s="56" t="s">
        <v>4448</v>
      </c>
      <c r="E1634" s="10" t="s">
        <v>71</v>
      </c>
      <c r="F1634" s="10" t="s">
        <v>4449</v>
      </c>
      <c r="G1634" s="10" t="s">
        <v>24043</v>
      </c>
      <c r="H1634" s="10" t="s">
        <v>25614</v>
      </c>
      <c r="I1634" s="10" t="s">
        <v>55</v>
      </c>
      <c r="K1634" s="10" t="s">
        <v>21739</v>
      </c>
      <c r="L1634" s="10" t="s">
        <v>42</v>
      </c>
    </row>
    <row r="1635" ht="15.75" customHeight="1">
      <c r="A1635" s="64">
        <v>45457.0</v>
      </c>
      <c r="B1635" s="55" t="str">
        <f>HYPERLINK("https://jobright.ai/jobs/info/66701b34a2a6c0758f8066cc?utm_campaign=1057&amp;utm_source=sheet", "Apply")</f>
        <v>Apply</v>
      </c>
      <c r="C1635" s="10" t="s">
        <v>24432</v>
      </c>
      <c r="D1635" s="56" t="s">
        <v>4448</v>
      </c>
      <c r="E1635" s="10" t="s">
        <v>71</v>
      </c>
      <c r="F1635" s="10" t="s">
        <v>4449</v>
      </c>
      <c r="G1635" s="10" t="s">
        <v>24043</v>
      </c>
      <c r="H1635" s="10" t="s">
        <v>25591</v>
      </c>
      <c r="I1635" s="10" t="s">
        <v>55</v>
      </c>
      <c r="K1635" s="10" t="s">
        <v>21739</v>
      </c>
      <c r="L1635" s="10" t="s">
        <v>42</v>
      </c>
    </row>
    <row r="1636" ht="15.75" customHeight="1">
      <c r="A1636" s="64">
        <v>45457.0</v>
      </c>
      <c r="B1636" s="55" t="str">
        <f>HYPERLINK("https://jobright.ai/jobs/info/6671734c6c34d28ea073ea9b?utm_campaign=1057&amp;utm_source=sheet", "Apply")</f>
        <v>Apply</v>
      </c>
      <c r="C1636" s="10" t="s">
        <v>24461</v>
      </c>
      <c r="D1636" s="56" t="s">
        <v>4448</v>
      </c>
      <c r="E1636" s="10" t="s">
        <v>71</v>
      </c>
      <c r="F1636" s="10" t="s">
        <v>4449</v>
      </c>
      <c r="G1636" s="10" t="s">
        <v>24043</v>
      </c>
      <c r="H1636" s="10" t="s">
        <v>25588</v>
      </c>
      <c r="I1636" s="10" t="s">
        <v>55</v>
      </c>
      <c r="K1636" s="10" t="s">
        <v>21739</v>
      </c>
      <c r="L1636" s="10" t="s">
        <v>42</v>
      </c>
    </row>
    <row r="1637" ht="15.75" customHeight="1">
      <c r="A1637" s="64">
        <v>45457.0</v>
      </c>
      <c r="B1637" s="55" t="str">
        <f>HYPERLINK("https://jobright.ai/jobs/info/6671734c6c34d28ea073ea9f?utm_campaign=1057&amp;utm_source=sheet", "Apply")</f>
        <v>Apply</v>
      </c>
      <c r="C1637" s="10" t="s">
        <v>24368</v>
      </c>
      <c r="D1637" s="56" t="s">
        <v>4448</v>
      </c>
      <c r="E1637" s="10" t="s">
        <v>71</v>
      </c>
      <c r="F1637" s="10" t="s">
        <v>4449</v>
      </c>
      <c r="G1637" s="10" t="s">
        <v>24043</v>
      </c>
      <c r="H1637" s="10" t="s">
        <v>21486</v>
      </c>
      <c r="I1637" s="10" t="s">
        <v>55</v>
      </c>
      <c r="K1637" s="10" t="s">
        <v>21739</v>
      </c>
      <c r="L1637" s="10" t="s">
        <v>42</v>
      </c>
    </row>
    <row r="1638" ht="15.75" customHeight="1">
      <c r="A1638" s="64">
        <v>45457.0</v>
      </c>
      <c r="B1638" s="55" t="str">
        <f>HYPERLINK("https://jobright.ai/jobs/info/6671734c6c34d28ea073eab8?utm_campaign=1057&amp;utm_source=sheet", "Apply")</f>
        <v>Apply</v>
      </c>
      <c r="C1638" s="10" t="s">
        <v>24460</v>
      </c>
      <c r="D1638" s="56" t="s">
        <v>4448</v>
      </c>
      <c r="E1638" s="10" t="s">
        <v>71</v>
      </c>
      <c r="F1638" s="10" t="s">
        <v>4449</v>
      </c>
      <c r="G1638" s="10" t="s">
        <v>24043</v>
      </c>
      <c r="H1638" s="10" t="s">
        <v>4777</v>
      </c>
      <c r="I1638" s="10" t="s">
        <v>55</v>
      </c>
      <c r="K1638" s="10" t="s">
        <v>21739</v>
      </c>
      <c r="L1638" s="10" t="s">
        <v>42</v>
      </c>
    </row>
    <row r="1639" ht="15.75" customHeight="1">
      <c r="A1639" s="64">
        <v>45457.0</v>
      </c>
      <c r="B1639" s="55" t="str">
        <f>HYPERLINK("https://jobright.ai/jobs/info/66716edc19e1b94c19ca970c?utm_campaign=1057&amp;utm_source=sheet", "Apply")</f>
        <v>Apply</v>
      </c>
      <c r="C1639" s="10" t="s">
        <v>4457</v>
      </c>
      <c r="D1639" s="56" t="s">
        <v>4448</v>
      </c>
      <c r="E1639" s="10" t="s">
        <v>71</v>
      </c>
      <c r="F1639" s="10" t="s">
        <v>4449</v>
      </c>
      <c r="G1639" s="10" t="s">
        <v>24043</v>
      </c>
      <c r="H1639" s="10" t="s">
        <v>16741</v>
      </c>
      <c r="I1639" s="10" t="s">
        <v>55</v>
      </c>
      <c r="K1639" s="10" t="s">
        <v>21739</v>
      </c>
      <c r="L1639" s="10" t="s">
        <v>42</v>
      </c>
    </row>
    <row r="1640" ht="15.75" customHeight="1">
      <c r="A1640" s="64">
        <v>45457.0</v>
      </c>
      <c r="B1640" s="55" t="str">
        <f>HYPERLINK("https://jobright.ai/jobs/info/6672c1bb7210194c5f5b2530?utm_campaign=1057&amp;utm_source=sheet", "Apply")</f>
        <v>Apply</v>
      </c>
      <c r="C1640" s="10" t="s">
        <v>24412</v>
      </c>
      <c r="D1640" s="56" t="s">
        <v>4448</v>
      </c>
      <c r="E1640" s="10" t="s">
        <v>71</v>
      </c>
      <c r="F1640" s="10" t="s">
        <v>4449</v>
      </c>
      <c r="G1640" s="10" t="s">
        <v>24043</v>
      </c>
      <c r="H1640" s="10" t="s">
        <v>5790</v>
      </c>
      <c r="I1640" s="10" t="s">
        <v>55</v>
      </c>
      <c r="K1640" s="10" t="s">
        <v>21739</v>
      </c>
      <c r="L1640" s="10" t="s">
        <v>42</v>
      </c>
    </row>
    <row r="1641" ht="15.75" customHeight="1">
      <c r="A1641" s="64">
        <v>45457.0</v>
      </c>
      <c r="B1641" s="55" t="str">
        <f>HYPERLINK("https://jobright.ai/jobs/info/6672c1bb7210194c5f5b258b?utm_campaign=1057&amp;utm_source=sheet", "Apply")</f>
        <v>Apply</v>
      </c>
      <c r="C1641" s="10" t="s">
        <v>21702</v>
      </c>
      <c r="D1641" s="56" t="s">
        <v>4448</v>
      </c>
      <c r="E1641" s="10" t="s">
        <v>71</v>
      </c>
      <c r="F1641" s="10" t="s">
        <v>4449</v>
      </c>
      <c r="G1641" s="10" t="s">
        <v>24043</v>
      </c>
      <c r="H1641" s="10" t="s">
        <v>6856</v>
      </c>
      <c r="I1641" s="10" t="s">
        <v>55</v>
      </c>
      <c r="K1641" s="10" t="s">
        <v>21739</v>
      </c>
      <c r="L1641" s="10" t="s">
        <v>42</v>
      </c>
    </row>
    <row r="1642" ht="15.75" customHeight="1">
      <c r="A1642" s="64">
        <v>45457.0</v>
      </c>
      <c r="B1642" s="55" t="str">
        <f>HYPERLINK("https://jobright.ai/jobs/info/6675625942bae55a95828d78?utm_campaign=1057&amp;utm_source=sheet", "Apply")</f>
        <v>Apply</v>
      </c>
      <c r="C1642" s="10" t="s">
        <v>25593</v>
      </c>
      <c r="D1642" s="56" t="s">
        <v>4448</v>
      </c>
      <c r="E1642" s="10" t="s">
        <v>71</v>
      </c>
      <c r="F1642" s="10" t="s">
        <v>4449</v>
      </c>
      <c r="G1642" s="10" t="s">
        <v>24043</v>
      </c>
      <c r="H1642" s="10" t="s">
        <v>4261</v>
      </c>
      <c r="I1642" s="10" t="s">
        <v>55</v>
      </c>
      <c r="K1642" s="10" t="s">
        <v>21739</v>
      </c>
      <c r="L1642" s="10" t="s">
        <v>42</v>
      </c>
    </row>
    <row r="1643" ht="15.75" customHeight="1">
      <c r="A1643" s="64">
        <v>45457.0</v>
      </c>
      <c r="B1643" s="55" t="str">
        <f>HYPERLINK("https://jobright.ai/jobs/info/6675626242bae55a95828e8f?utm_campaign=1057&amp;utm_source=sheet", "Apply")</f>
        <v>Apply</v>
      </c>
      <c r="C1643" s="10" t="s">
        <v>25125</v>
      </c>
      <c r="D1643" s="56" t="s">
        <v>4448</v>
      </c>
      <c r="E1643" s="10" t="s">
        <v>71</v>
      </c>
      <c r="F1643" s="10" t="s">
        <v>4449</v>
      </c>
      <c r="G1643" s="10" t="s">
        <v>24043</v>
      </c>
      <c r="H1643" s="10" t="s">
        <v>25479</v>
      </c>
      <c r="I1643" s="10" t="s">
        <v>55</v>
      </c>
      <c r="K1643" s="10" t="s">
        <v>21739</v>
      </c>
      <c r="L1643" s="10" t="s">
        <v>42</v>
      </c>
    </row>
    <row r="1644" ht="15.75" customHeight="1">
      <c r="A1644" s="64">
        <v>45457.0</v>
      </c>
      <c r="B1644" s="55" t="str">
        <f>HYPERLINK("https://jobright.ai/jobs/info/6672be0d94e65e71a8fba084?utm_campaign=1057&amp;utm_source=sheet", "Apply")</f>
        <v>Apply</v>
      </c>
      <c r="C1644" s="10" t="s">
        <v>25596</v>
      </c>
      <c r="D1644" s="56" t="s">
        <v>4448</v>
      </c>
      <c r="E1644" s="10" t="s">
        <v>71</v>
      </c>
      <c r="F1644" s="10" t="s">
        <v>4449</v>
      </c>
      <c r="G1644" s="10" t="s">
        <v>24043</v>
      </c>
      <c r="H1644" s="10" t="s">
        <v>4777</v>
      </c>
      <c r="I1644" s="10" t="s">
        <v>55</v>
      </c>
      <c r="K1644" s="10" t="s">
        <v>21739</v>
      </c>
      <c r="L1644" s="10" t="s">
        <v>42</v>
      </c>
    </row>
    <row r="1645" ht="15.75" customHeight="1">
      <c r="A1645" s="64">
        <v>45457.0</v>
      </c>
      <c r="B1645" s="55" t="str">
        <f>HYPERLINK("https://jobright.ai/jobs/info/6675626c42bae55a95828ee8?utm_campaign=1057&amp;utm_source=sheet", "Apply")</f>
        <v>Apply</v>
      </c>
      <c r="C1645" s="10" t="s">
        <v>25623</v>
      </c>
      <c r="D1645" s="56" t="s">
        <v>2189</v>
      </c>
      <c r="F1645" s="10" t="s">
        <v>1234</v>
      </c>
      <c r="G1645" s="10" t="s">
        <v>24022</v>
      </c>
      <c r="H1645" s="10" t="s">
        <v>1013</v>
      </c>
      <c r="I1645" s="10" t="s">
        <v>55</v>
      </c>
      <c r="K1645" s="10" t="s">
        <v>25624</v>
      </c>
      <c r="L1645" s="10" t="s">
        <v>42</v>
      </c>
    </row>
    <row r="1646" ht="15.75" customHeight="1">
      <c r="A1646" s="64">
        <v>45456.0</v>
      </c>
      <c r="B1646" s="55" t="str">
        <f>HYPERLINK("https://jobright.ai/jobs/info/66747ee2d8033409f2da3766?utm_campaign=1057&amp;utm_source=sheet", "Apply")</f>
        <v>Apply</v>
      </c>
      <c r="C1646" s="10" t="s">
        <v>24418</v>
      </c>
      <c r="D1646" s="56" t="s">
        <v>4448</v>
      </c>
      <c r="E1646" s="10" t="s">
        <v>71</v>
      </c>
      <c r="F1646" s="10" t="s">
        <v>4449</v>
      </c>
      <c r="G1646" s="10" t="s">
        <v>24043</v>
      </c>
      <c r="H1646" s="10" t="s">
        <v>25486</v>
      </c>
      <c r="I1646" s="10" t="s">
        <v>55</v>
      </c>
      <c r="K1646" s="10" t="s">
        <v>21739</v>
      </c>
      <c r="L1646" s="10" t="s">
        <v>42</v>
      </c>
    </row>
    <row r="1647" ht="15.75" customHeight="1">
      <c r="A1647" s="64">
        <v>45456.0</v>
      </c>
      <c r="B1647" s="55" t="str">
        <f>HYPERLINK("https://jobright.ai/jobs/info/66747eead8033409f2da3790?utm_campaign=1057&amp;utm_source=sheet", "Apply")</f>
        <v>Apply</v>
      </c>
      <c r="C1647" s="10" t="s">
        <v>24058</v>
      </c>
      <c r="D1647" s="56" t="s">
        <v>4448</v>
      </c>
      <c r="E1647" s="10" t="s">
        <v>71</v>
      </c>
      <c r="F1647" s="10" t="s">
        <v>4449</v>
      </c>
      <c r="G1647" s="10" t="s">
        <v>24043</v>
      </c>
      <c r="H1647" s="10" t="s">
        <v>7475</v>
      </c>
      <c r="I1647" s="10" t="s">
        <v>55</v>
      </c>
      <c r="K1647" s="10" t="s">
        <v>21739</v>
      </c>
      <c r="L1647" s="10" t="s">
        <v>42</v>
      </c>
    </row>
    <row r="1648" ht="15.75" customHeight="1">
      <c r="A1648" s="64">
        <v>45456.0</v>
      </c>
      <c r="B1648" s="55" t="str">
        <f>HYPERLINK("https://jobright.ai/jobs/info/66747eead8033409f2da3797?utm_campaign=1057&amp;utm_source=sheet", "Apply")</f>
        <v>Apply</v>
      </c>
      <c r="C1648" s="10" t="s">
        <v>24414</v>
      </c>
      <c r="D1648" s="56" t="s">
        <v>4448</v>
      </c>
      <c r="E1648" s="10" t="s">
        <v>71</v>
      </c>
      <c r="F1648" s="10" t="s">
        <v>4449</v>
      </c>
      <c r="G1648" s="10" t="s">
        <v>24043</v>
      </c>
      <c r="H1648" s="10" t="s">
        <v>21738</v>
      </c>
      <c r="I1648" s="10" t="s">
        <v>55</v>
      </c>
      <c r="K1648" s="10" t="s">
        <v>21739</v>
      </c>
      <c r="L1648" s="10" t="s">
        <v>42</v>
      </c>
    </row>
    <row r="1649" ht="15.75" customHeight="1">
      <c r="A1649" s="64">
        <v>45456.0</v>
      </c>
      <c r="B1649" s="55" t="str">
        <f>HYPERLINK("https://jobright.ai/jobs/info/66747eead8033409f2da37a7?utm_campaign=1057&amp;utm_source=sheet", "Apply")</f>
        <v>Apply</v>
      </c>
      <c r="C1649" s="10" t="s">
        <v>24418</v>
      </c>
      <c r="D1649" s="56" t="s">
        <v>4448</v>
      </c>
      <c r="E1649" s="10" t="s">
        <v>71</v>
      </c>
      <c r="F1649" s="10" t="s">
        <v>4449</v>
      </c>
      <c r="G1649" s="10" t="s">
        <v>24043</v>
      </c>
      <c r="H1649" s="10" t="s">
        <v>16741</v>
      </c>
      <c r="I1649" s="10" t="s">
        <v>55</v>
      </c>
      <c r="K1649" s="10" t="s">
        <v>21739</v>
      </c>
      <c r="L1649" s="10" t="s">
        <v>42</v>
      </c>
    </row>
    <row r="1650" ht="15.75" customHeight="1">
      <c r="A1650" s="64">
        <v>45456.0</v>
      </c>
      <c r="B1650" s="55" t="str">
        <f>HYPERLINK("https://jobright.ai/jobs/info/66747eead8033409f2da37b2?utm_campaign=1057&amp;utm_source=sheet", "Apply")</f>
        <v>Apply</v>
      </c>
      <c r="C1650" s="10" t="s">
        <v>24183</v>
      </c>
      <c r="D1650" s="56" t="s">
        <v>4448</v>
      </c>
      <c r="E1650" s="10" t="s">
        <v>71</v>
      </c>
      <c r="F1650" s="10" t="s">
        <v>4449</v>
      </c>
      <c r="G1650" s="10" t="s">
        <v>24043</v>
      </c>
      <c r="H1650" s="10" t="s">
        <v>25491</v>
      </c>
      <c r="I1650" s="10" t="s">
        <v>55</v>
      </c>
      <c r="K1650" s="10" t="s">
        <v>21739</v>
      </c>
      <c r="L1650" s="10" t="s">
        <v>42</v>
      </c>
    </row>
    <row r="1651" ht="15.75" customHeight="1">
      <c r="A1651" s="64">
        <v>45456.0</v>
      </c>
      <c r="B1651" s="55" t="str">
        <f>HYPERLINK("https://jobright.ai/jobs/info/66747eead8033409f2da3810?utm_campaign=1057&amp;utm_source=sheet", "Apply")</f>
        <v>Apply</v>
      </c>
      <c r="C1651" s="10" t="s">
        <v>25603</v>
      </c>
      <c r="D1651" s="56" t="s">
        <v>4448</v>
      </c>
      <c r="E1651" s="10" t="s">
        <v>71</v>
      </c>
      <c r="F1651" s="10" t="s">
        <v>4449</v>
      </c>
      <c r="G1651" s="10" t="s">
        <v>24043</v>
      </c>
      <c r="H1651" s="10" t="s">
        <v>21748</v>
      </c>
      <c r="I1651" s="10" t="s">
        <v>55</v>
      </c>
      <c r="K1651" s="10" t="s">
        <v>21739</v>
      </c>
      <c r="L1651" s="10" t="s">
        <v>42</v>
      </c>
    </row>
    <row r="1652" ht="15.75" customHeight="1">
      <c r="A1652" s="64">
        <v>45456.0</v>
      </c>
      <c r="B1652" s="55" t="str">
        <f>HYPERLINK("https://jobright.ai/jobs/info/66747ef4d8033409f2da3854?utm_campaign=1057&amp;utm_source=sheet", "Apply")</f>
        <v>Apply</v>
      </c>
      <c r="C1652" s="10" t="s">
        <v>24418</v>
      </c>
      <c r="D1652" s="56" t="s">
        <v>4448</v>
      </c>
      <c r="E1652" s="10" t="s">
        <v>71</v>
      </c>
      <c r="F1652" s="10" t="s">
        <v>4449</v>
      </c>
      <c r="G1652" s="10" t="s">
        <v>24043</v>
      </c>
      <c r="H1652" s="10" t="s">
        <v>168</v>
      </c>
      <c r="I1652" s="10" t="s">
        <v>55</v>
      </c>
      <c r="K1652" s="10" t="s">
        <v>21739</v>
      </c>
      <c r="L1652" s="10" t="s">
        <v>42</v>
      </c>
    </row>
    <row r="1653" ht="15.75" customHeight="1">
      <c r="A1653" s="64">
        <v>45456.0</v>
      </c>
      <c r="B1653" s="55" t="str">
        <f>HYPERLINK("https://jobright.ai/jobs/info/66747ef4d8033409f2da3876?utm_campaign=1057&amp;utm_source=sheet", "Apply")</f>
        <v>Apply</v>
      </c>
      <c r="C1653" s="10" t="s">
        <v>24412</v>
      </c>
      <c r="D1653" s="56" t="s">
        <v>4448</v>
      </c>
      <c r="E1653" s="10" t="s">
        <v>71</v>
      </c>
      <c r="F1653" s="10" t="s">
        <v>4449</v>
      </c>
      <c r="G1653" s="10" t="s">
        <v>24043</v>
      </c>
      <c r="H1653" s="10" t="s">
        <v>1025</v>
      </c>
      <c r="I1653" s="10" t="s">
        <v>55</v>
      </c>
      <c r="K1653" s="10" t="s">
        <v>21739</v>
      </c>
      <c r="L1653" s="10" t="s">
        <v>42</v>
      </c>
    </row>
    <row r="1654" ht="15.75" customHeight="1">
      <c r="A1654" s="64">
        <v>45456.0</v>
      </c>
      <c r="B1654" s="55" t="str">
        <f>HYPERLINK("https://jobright.ai/jobs/info/666b3d557a387139ef1f2302?utm_campaign=1057&amp;utm_source=sheet", "Apply")</f>
        <v>Apply</v>
      </c>
      <c r="C1654" s="10" t="s">
        <v>25625</v>
      </c>
      <c r="D1654" s="56" t="s">
        <v>12377</v>
      </c>
      <c r="E1654" s="10" t="s">
        <v>79</v>
      </c>
      <c r="G1654" s="10" t="s">
        <v>24022</v>
      </c>
      <c r="H1654" s="10" t="s">
        <v>12378</v>
      </c>
      <c r="I1654" s="10" t="s">
        <v>55</v>
      </c>
      <c r="J1654" s="10" t="s">
        <v>21454</v>
      </c>
      <c r="K1654" s="10" t="s">
        <v>25626</v>
      </c>
      <c r="L1654" s="10" t="s">
        <v>42</v>
      </c>
    </row>
    <row r="1655" ht="15.75" customHeight="1">
      <c r="A1655" s="64">
        <v>45456.0</v>
      </c>
      <c r="B1655" s="55" t="str">
        <f>HYPERLINK("https://jobright.ai/jobs/info/66747ef4d8033409f2da38d1?utm_campaign=1057&amp;utm_source=sheet", "Apply")</f>
        <v>Apply</v>
      </c>
      <c r="C1655" s="10" t="s">
        <v>24183</v>
      </c>
      <c r="D1655" s="56" t="s">
        <v>4448</v>
      </c>
      <c r="E1655" s="10" t="s">
        <v>71</v>
      </c>
      <c r="F1655" s="10" t="s">
        <v>4449</v>
      </c>
      <c r="G1655" s="10" t="s">
        <v>24043</v>
      </c>
      <c r="H1655" s="10" t="s">
        <v>25588</v>
      </c>
      <c r="I1655" s="10" t="s">
        <v>55</v>
      </c>
      <c r="K1655" s="10" t="s">
        <v>21739</v>
      </c>
      <c r="L1655" s="10" t="s">
        <v>42</v>
      </c>
    </row>
    <row r="1656" ht="15.75" customHeight="1">
      <c r="A1656" s="64">
        <v>45456.0</v>
      </c>
      <c r="B1656" s="55" t="str">
        <f>HYPERLINK("https://jobright.ai/jobs/info/667482f21582b42ce4502798?utm_campaign=1057&amp;utm_source=sheet", "Apply")</f>
        <v>Apply</v>
      </c>
      <c r="C1656" s="10" t="s">
        <v>24517</v>
      </c>
      <c r="D1656" s="56" t="s">
        <v>4448</v>
      </c>
      <c r="E1656" s="10" t="s">
        <v>71</v>
      </c>
      <c r="F1656" s="10" t="s">
        <v>4449</v>
      </c>
      <c r="G1656" s="10" t="s">
        <v>24043</v>
      </c>
      <c r="H1656" s="10" t="s">
        <v>25612</v>
      </c>
      <c r="I1656" s="10" t="s">
        <v>55</v>
      </c>
      <c r="K1656" s="10" t="s">
        <v>21739</v>
      </c>
      <c r="L1656" s="10" t="s">
        <v>42</v>
      </c>
    </row>
    <row r="1657" ht="15.75" customHeight="1">
      <c r="A1657" s="64">
        <v>45456.0</v>
      </c>
      <c r="B1657" s="55" t="str">
        <f>HYPERLINK("https://jobright.ai/jobs/info/667482fa1582b42ce450282c?utm_campaign=1057&amp;utm_source=sheet", "Apply")</f>
        <v>Apply</v>
      </c>
      <c r="C1657" s="10" t="s">
        <v>24418</v>
      </c>
      <c r="D1657" s="56" t="s">
        <v>4448</v>
      </c>
      <c r="E1657" s="10" t="s">
        <v>71</v>
      </c>
      <c r="F1657" s="10" t="s">
        <v>4449</v>
      </c>
      <c r="G1657" s="10" t="s">
        <v>24043</v>
      </c>
      <c r="H1657" s="10" t="s">
        <v>4777</v>
      </c>
      <c r="I1657" s="10" t="s">
        <v>55</v>
      </c>
      <c r="K1657" s="10" t="s">
        <v>21739</v>
      </c>
      <c r="L1657" s="10" t="s">
        <v>42</v>
      </c>
    </row>
    <row r="1658" ht="15.75" customHeight="1">
      <c r="A1658" s="64">
        <v>45456.0</v>
      </c>
      <c r="B1658" s="55" t="str">
        <f>HYPERLINK("https://jobright.ai/jobs/info/667482fa1582b42ce450289b?utm_campaign=1057&amp;utm_source=sheet", "Apply")</f>
        <v>Apply</v>
      </c>
      <c r="C1658" s="10" t="s">
        <v>24514</v>
      </c>
      <c r="D1658" s="56" t="s">
        <v>4448</v>
      </c>
      <c r="E1658" s="10" t="s">
        <v>71</v>
      </c>
      <c r="F1658" s="10" t="s">
        <v>4449</v>
      </c>
      <c r="G1658" s="10" t="s">
        <v>24043</v>
      </c>
      <c r="H1658" s="10" t="s">
        <v>25486</v>
      </c>
      <c r="I1658" s="10" t="s">
        <v>55</v>
      </c>
      <c r="K1658" s="10" t="s">
        <v>21739</v>
      </c>
      <c r="L1658" s="10" t="s">
        <v>42</v>
      </c>
    </row>
    <row r="1659" ht="15.75" customHeight="1">
      <c r="A1659" s="64">
        <v>45456.0</v>
      </c>
      <c r="B1659" s="55" t="str">
        <f>HYPERLINK("https://jobright.ai/jobs/info/667482fa1582b42ce450289d?utm_campaign=1057&amp;utm_source=sheet", "Apply")</f>
        <v>Apply</v>
      </c>
      <c r="C1659" s="10" t="s">
        <v>25627</v>
      </c>
      <c r="D1659" s="56" t="s">
        <v>4448</v>
      </c>
      <c r="E1659" s="10" t="s">
        <v>71</v>
      </c>
      <c r="F1659" s="10" t="s">
        <v>4449</v>
      </c>
      <c r="G1659" s="10" t="s">
        <v>24043</v>
      </c>
      <c r="H1659" s="10" t="s">
        <v>7412</v>
      </c>
      <c r="I1659" s="10" t="s">
        <v>55</v>
      </c>
      <c r="K1659" s="10" t="s">
        <v>21739</v>
      </c>
      <c r="L1659" s="10" t="s">
        <v>42</v>
      </c>
    </row>
    <row r="1660" ht="15.75" customHeight="1">
      <c r="A1660" s="64">
        <v>45456.0</v>
      </c>
      <c r="B1660" s="55" t="str">
        <f>HYPERLINK("https://jobright.ai/jobs/info/666b69897fd6068197f9b9c2?utm_campaign=1057&amp;utm_source=sheet", "Apply")</f>
        <v>Apply</v>
      </c>
      <c r="C1660" s="10" t="s">
        <v>25596</v>
      </c>
      <c r="D1660" s="56" t="s">
        <v>4448</v>
      </c>
      <c r="E1660" s="10" t="s">
        <v>71</v>
      </c>
      <c r="F1660" s="10" t="s">
        <v>4449</v>
      </c>
      <c r="G1660" s="10" t="s">
        <v>24043</v>
      </c>
      <c r="H1660" s="10" t="s">
        <v>2123</v>
      </c>
      <c r="I1660" s="10" t="s">
        <v>55</v>
      </c>
      <c r="K1660" s="10" t="s">
        <v>21739</v>
      </c>
      <c r="L1660" s="10" t="s">
        <v>42</v>
      </c>
    </row>
    <row r="1661" ht="15.75" customHeight="1">
      <c r="A1661" s="64">
        <v>45456.0</v>
      </c>
      <c r="B1661" s="55" t="str">
        <f>HYPERLINK("https://jobright.ai/jobs/info/667486741cdb1fdbb8e55d46?utm_campaign=1057&amp;utm_source=sheet", "Apply")</f>
        <v>Apply</v>
      </c>
      <c r="C1661" s="10" t="s">
        <v>25628</v>
      </c>
      <c r="D1661" s="56" t="s">
        <v>4448</v>
      </c>
      <c r="E1661" s="10" t="s">
        <v>71</v>
      </c>
      <c r="F1661" s="10" t="s">
        <v>4449</v>
      </c>
      <c r="G1661" s="10" t="s">
        <v>24043</v>
      </c>
      <c r="H1661" s="10" t="s">
        <v>25480</v>
      </c>
      <c r="I1661" s="10" t="s">
        <v>55</v>
      </c>
      <c r="K1661" s="10" t="s">
        <v>21739</v>
      </c>
      <c r="L1661" s="10" t="s">
        <v>42</v>
      </c>
    </row>
    <row r="1662" ht="15.75" customHeight="1">
      <c r="A1662" s="64">
        <v>45456.0</v>
      </c>
      <c r="B1662" s="55" t="str">
        <f>HYPERLINK("https://jobright.ai/jobs/info/667486741cdb1fdbb8e55d59?utm_campaign=1057&amp;utm_source=sheet", "Apply")</f>
        <v>Apply</v>
      </c>
      <c r="C1662" s="10" t="s">
        <v>4451</v>
      </c>
      <c r="D1662" s="56" t="s">
        <v>4448</v>
      </c>
      <c r="E1662" s="10" t="s">
        <v>71</v>
      </c>
      <c r="F1662" s="10" t="s">
        <v>4449</v>
      </c>
      <c r="G1662" s="10" t="s">
        <v>24043</v>
      </c>
      <c r="H1662" s="10" t="s">
        <v>1097</v>
      </c>
      <c r="I1662" s="10" t="s">
        <v>55</v>
      </c>
      <c r="K1662" s="10" t="s">
        <v>21739</v>
      </c>
      <c r="L1662" s="10" t="s">
        <v>42</v>
      </c>
    </row>
    <row r="1663" ht="15.75" customHeight="1">
      <c r="A1663" s="64">
        <v>45456.0</v>
      </c>
      <c r="B1663" s="55" t="str">
        <f>HYPERLINK("https://jobright.ai/jobs/info/6674867d1cdb1fdbb8e55e84?utm_campaign=1057&amp;utm_source=sheet", "Apply")</f>
        <v>Apply</v>
      </c>
      <c r="C1663" s="10" t="s">
        <v>24503</v>
      </c>
      <c r="D1663" s="56" t="s">
        <v>4448</v>
      </c>
      <c r="E1663" s="10" t="s">
        <v>71</v>
      </c>
      <c r="F1663" s="10" t="s">
        <v>4449</v>
      </c>
      <c r="G1663" s="10" t="s">
        <v>24043</v>
      </c>
      <c r="H1663" s="10" t="s">
        <v>25588</v>
      </c>
      <c r="I1663" s="10" t="s">
        <v>55</v>
      </c>
      <c r="K1663" s="10" t="s">
        <v>21739</v>
      </c>
      <c r="L1663" s="10" t="s">
        <v>42</v>
      </c>
    </row>
    <row r="1664" ht="15.75" customHeight="1">
      <c r="A1664" s="64">
        <v>45456.0</v>
      </c>
      <c r="B1664" s="55" t="str">
        <f>HYPERLINK("https://jobright.ai/jobs/info/666c18d551501fed50d73309?utm_campaign=1057&amp;utm_source=sheet", "Apply")</f>
        <v>Apply</v>
      </c>
      <c r="C1664" s="10" t="s">
        <v>25611</v>
      </c>
      <c r="D1664" s="56" t="s">
        <v>4448</v>
      </c>
      <c r="E1664" s="10" t="s">
        <v>71</v>
      </c>
      <c r="F1664" s="10" t="s">
        <v>4449</v>
      </c>
      <c r="G1664" s="10" t="s">
        <v>24043</v>
      </c>
      <c r="H1664" s="10" t="s">
        <v>21673</v>
      </c>
      <c r="I1664" s="10" t="s">
        <v>55</v>
      </c>
      <c r="K1664" s="10" t="s">
        <v>21739</v>
      </c>
      <c r="L1664" s="10" t="s">
        <v>42</v>
      </c>
    </row>
    <row r="1665" ht="15.75" customHeight="1">
      <c r="A1665" s="64">
        <v>45456.0</v>
      </c>
      <c r="B1665" s="55" t="str">
        <f>HYPERLINK("https://jobright.ai/jobs/info/666c18e451501fed50d73479?utm_campaign=1057&amp;utm_source=sheet", "Apply")</f>
        <v>Apply</v>
      </c>
      <c r="C1665" s="10" t="s">
        <v>8229</v>
      </c>
      <c r="D1665" s="56" t="s">
        <v>4448</v>
      </c>
      <c r="E1665" s="10" t="s">
        <v>71</v>
      </c>
      <c r="F1665" s="10" t="s">
        <v>4449</v>
      </c>
      <c r="G1665" s="10" t="s">
        <v>24043</v>
      </c>
      <c r="H1665" s="10" t="s">
        <v>6856</v>
      </c>
      <c r="I1665" s="10" t="s">
        <v>55</v>
      </c>
      <c r="K1665" s="10" t="s">
        <v>21739</v>
      </c>
      <c r="L1665" s="10" t="s">
        <v>42</v>
      </c>
    </row>
    <row r="1666" ht="15.75" customHeight="1">
      <c r="A1666" s="64">
        <v>45456.0</v>
      </c>
      <c r="B1666" s="55" t="str">
        <f>HYPERLINK("https://jobright.ai/jobs/info/666c18e451501fed50d734a0?utm_campaign=1057&amp;utm_source=sheet", "Apply")</f>
        <v>Apply</v>
      </c>
      <c r="C1666" s="10" t="s">
        <v>24462</v>
      </c>
      <c r="D1666" s="56" t="s">
        <v>4448</v>
      </c>
      <c r="E1666" s="10" t="s">
        <v>71</v>
      </c>
      <c r="F1666" s="10" t="s">
        <v>4449</v>
      </c>
      <c r="G1666" s="10" t="s">
        <v>24043</v>
      </c>
      <c r="H1666" s="10" t="s">
        <v>4808</v>
      </c>
      <c r="I1666" s="10" t="s">
        <v>55</v>
      </c>
      <c r="K1666" s="10" t="s">
        <v>21739</v>
      </c>
      <c r="L1666" s="10" t="s">
        <v>42</v>
      </c>
    </row>
    <row r="1667" ht="15.75" customHeight="1">
      <c r="A1667" s="64">
        <v>45456.0</v>
      </c>
      <c r="B1667" s="55" t="str">
        <f>HYPERLINK("https://jobright.ai/jobs/info/666c18ec51501fed50d73548?utm_campaign=1057&amp;utm_source=sheet", "Apply")</f>
        <v>Apply</v>
      </c>
      <c r="C1667" s="10" t="s">
        <v>25596</v>
      </c>
      <c r="D1667" s="56" t="s">
        <v>4448</v>
      </c>
      <c r="E1667" s="10" t="s">
        <v>71</v>
      </c>
      <c r="F1667" s="10" t="s">
        <v>4449</v>
      </c>
      <c r="G1667" s="10" t="s">
        <v>24043</v>
      </c>
      <c r="H1667" s="10" t="s">
        <v>25483</v>
      </c>
      <c r="I1667" s="10" t="s">
        <v>55</v>
      </c>
      <c r="K1667" s="10" t="s">
        <v>21739</v>
      </c>
      <c r="L1667" s="10" t="s">
        <v>42</v>
      </c>
    </row>
    <row r="1668" ht="15.75" customHeight="1">
      <c r="A1668" s="64">
        <v>45456.0</v>
      </c>
      <c r="B1668" s="55" t="str">
        <f>HYPERLINK("https://jobright.ai/jobs/info/666c18ec51501fed50d73567?utm_campaign=1057&amp;utm_source=sheet", "Apply")</f>
        <v>Apply</v>
      </c>
      <c r="C1668" s="10" t="s">
        <v>24451</v>
      </c>
      <c r="D1668" s="56" t="s">
        <v>4448</v>
      </c>
      <c r="E1668" s="10" t="s">
        <v>71</v>
      </c>
      <c r="F1668" s="10" t="s">
        <v>4449</v>
      </c>
      <c r="G1668" s="10" t="s">
        <v>24043</v>
      </c>
      <c r="H1668" s="10" t="s">
        <v>4808</v>
      </c>
      <c r="I1668" s="10" t="s">
        <v>55</v>
      </c>
      <c r="K1668" s="10" t="s">
        <v>21739</v>
      </c>
      <c r="L1668" s="10" t="s">
        <v>42</v>
      </c>
    </row>
    <row r="1669" ht="15.75" customHeight="1">
      <c r="A1669" s="64">
        <v>45456.0</v>
      </c>
      <c r="B1669" s="55" t="str">
        <f>HYPERLINK("https://jobright.ai/jobs/info/666c18f351501fed50d73610?utm_campaign=1057&amp;utm_source=sheet", "Apply")</f>
        <v>Apply</v>
      </c>
      <c r="C1669" s="10" t="s">
        <v>24463</v>
      </c>
      <c r="D1669" s="56" t="s">
        <v>4448</v>
      </c>
      <c r="E1669" s="10" t="s">
        <v>71</v>
      </c>
      <c r="F1669" s="10" t="s">
        <v>4449</v>
      </c>
      <c r="G1669" s="10" t="s">
        <v>24043</v>
      </c>
      <c r="H1669" s="10" t="s">
        <v>9029</v>
      </c>
      <c r="I1669" s="10" t="s">
        <v>55</v>
      </c>
      <c r="K1669" s="10" t="s">
        <v>21739</v>
      </c>
      <c r="L1669" s="10" t="s">
        <v>42</v>
      </c>
    </row>
    <row r="1670" ht="15.75" customHeight="1">
      <c r="A1670" s="64">
        <v>45456.0</v>
      </c>
      <c r="B1670" s="55" t="str">
        <f>HYPERLINK("https://jobright.ai/jobs/info/666c18f351501fed50d73623?utm_campaign=1057&amp;utm_source=sheet", "Apply")</f>
        <v>Apply</v>
      </c>
      <c r="C1670" s="10" t="s">
        <v>25629</v>
      </c>
      <c r="D1670" s="56" t="s">
        <v>4448</v>
      </c>
      <c r="E1670" s="10" t="s">
        <v>71</v>
      </c>
      <c r="F1670" s="10" t="s">
        <v>4449</v>
      </c>
      <c r="G1670" s="10" t="s">
        <v>24043</v>
      </c>
      <c r="H1670" s="10" t="s">
        <v>2602</v>
      </c>
      <c r="I1670" s="10" t="s">
        <v>55</v>
      </c>
      <c r="K1670" s="10" t="s">
        <v>21739</v>
      </c>
      <c r="L1670" s="10" t="s">
        <v>42</v>
      </c>
    </row>
    <row r="1671" ht="15.75" customHeight="1">
      <c r="A1671" s="64">
        <v>45456.0</v>
      </c>
      <c r="B1671" s="55" t="str">
        <f>HYPERLINK("https://jobright.ai/jobs/info/666c190b51501fed50d7398d?utm_campaign=1057&amp;utm_source=sheet", "Apply")</f>
        <v>Apply</v>
      </c>
      <c r="C1671" s="10" t="s">
        <v>25619</v>
      </c>
      <c r="D1671" s="56" t="s">
        <v>4448</v>
      </c>
      <c r="E1671" s="10" t="s">
        <v>71</v>
      </c>
      <c r="F1671" s="10" t="s">
        <v>4449</v>
      </c>
      <c r="G1671" s="10" t="s">
        <v>24043</v>
      </c>
      <c r="H1671" s="10" t="s">
        <v>24800</v>
      </c>
      <c r="I1671" s="10" t="s">
        <v>55</v>
      </c>
      <c r="K1671" s="10" t="s">
        <v>21739</v>
      </c>
      <c r="L1671" s="10" t="s">
        <v>42</v>
      </c>
    </row>
    <row r="1672" ht="15.75" customHeight="1">
      <c r="A1672" s="64">
        <v>45456.0</v>
      </c>
      <c r="B1672" s="55" t="str">
        <f>HYPERLINK("https://jobright.ai/jobs/info/666c18f851501fed50d736c9?utm_campaign=1057&amp;utm_source=sheet", "Apply")</f>
        <v>Apply</v>
      </c>
      <c r="C1672" s="10" t="s">
        <v>25613</v>
      </c>
      <c r="D1672" s="56" t="s">
        <v>4448</v>
      </c>
      <c r="E1672" s="10" t="s">
        <v>71</v>
      </c>
      <c r="F1672" s="10" t="s">
        <v>4449</v>
      </c>
      <c r="G1672" s="10" t="s">
        <v>24043</v>
      </c>
      <c r="H1672" s="10" t="s">
        <v>24396</v>
      </c>
      <c r="I1672" s="10" t="s">
        <v>55</v>
      </c>
      <c r="K1672" s="10" t="s">
        <v>21739</v>
      </c>
      <c r="L1672" s="10" t="s">
        <v>42</v>
      </c>
    </row>
    <row r="1673" ht="15.75" customHeight="1">
      <c r="A1673" s="64">
        <v>45456.0</v>
      </c>
      <c r="B1673" s="55" t="str">
        <f>HYPERLINK("https://jobright.ai/jobs/info/666c18f851501fed50d736d1?utm_campaign=1057&amp;utm_source=sheet", "Apply")</f>
        <v>Apply</v>
      </c>
      <c r="C1673" s="10" t="s">
        <v>21702</v>
      </c>
      <c r="D1673" s="56" t="s">
        <v>4448</v>
      </c>
      <c r="E1673" s="10" t="s">
        <v>71</v>
      </c>
      <c r="F1673" s="10" t="s">
        <v>4449</v>
      </c>
      <c r="G1673" s="10" t="s">
        <v>24043</v>
      </c>
      <c r="H1673" s="10" t="s">
        <v>1569</v>
      </c>
      <c r="I1673" s="10" t="s">
        <v>55</v>
      </c>
      <c r="K1673" s="10" t="s">
        <v>21739</v>
      </c>
      <c r="L1673" s="10" t="s">
        <v>42</v>
      </c>
    </row>
    <row r="1674" ht="15.75" customHeight="1">
      <c r="A1674" s="64">
        <v>45456.0</v>
      </c>
      <c r="B1674" s="55" t="str">
        <f>HYPERLINK("https://jobright.ai/jobs/info/666c18f851501fed50d73706?utm_campaign=1057&amp;utm_source=sheet", "Apply")</f>
        <v>Apply</v>
      </c>
      <c r="C1674" s="10" t="s">
        <v>25630</v>
      </c>
      <c r="D1674" s="56" t="s">
        <v>4448</v>
      </c>
      <c r="E1674" s="10" t="s">
        <v>71</v>
      </c>
      <c r="F1674" s="10" t="s">
        <v>4449</v>
      </c>
      <c r="G1674" s="10" t="s">
        <v>24043</v>
      </c>
      <c r="H1674" s="10" t="s">
        <v>25479</v>
      </c>
      <c r="I1674" s="10" t="s">
        <v>55</v>
      </c>
      <c r="K1674" s="10" t="s">
        <v>21739</v>
      </c>
      <c r="L1674" s="10" t="s">
        <v>42</v>
      </c>
    </row>
    <row r="1675" ht="15.75" customHeight="1">
      <c r="A1675" s="64">
        <v>45456.0</v>
      </c>
      <c r="B1675" s="55" t="str">
        <f>HYPERLINK("https://jobright.ai/jobs/info/666c18fd51501fed50d73792?utm_campaign=1057&amp;utm_source=sheet", "Apply")</f>
        <v>Apply</v>
      </c>
      <c r="C1675" s="10" t="s">
        <v>25125</v>
      </c>
      <c r="D1675" s="56" t="s">
        <v>4448</v>
      </c>
      <c r="E1675" s="10" t="s">
        <v>71</v>
      </c>
      <c r="F1675" s="10" t="s">
        <v>4449</v>
      </c>
      <c r="G1675" s="10" t="s">
        <v>24043</v>
      </c>
      <c r="H1675" s="10" t="s">
        <v>25480</v>
      </c>
      <c r="I1675" s="10" t="s">
        <v>55</v>
      </c>
      <c r="K1675" s="10" t="s">
        <v>21739</v>
      </c>
      <c r="L1675" s="10" t="s">
        <v>42</v>
      </c>
    </row>
    <row r="1676" ht="15.75" customHeight="1">
      <c r="A1676" s="64">
        <v>45456.0</v>
      </c>
      <c r="B1676" s="55" t="str">
        <f>HYPERLINK("https://jobright.ai/jobs/info/666c18fd51501fed50d737d3?utm_campaign=1057&amp;utm_source=sheet", "Apply")</f>
        <v>Apply</v>
      </c>
      <c r="C1676" s="10" t="s">
        <v>25596</v>
      </c>
      <c r="D1676" s="56" t="s">
        <v>4448</v>
      </c>
      <c r="E1676" s="10" t="s">
        <v>71</v>
      </c>
      <c r="F1676" s="10" t="s">
        <v>4449</v>
      </c>
      <c r="G1676" s="10" t="s">
        <v>24043</v>
      </c>
      <c r="H1676" s="10" t="s">
        <v>21286</v>
      </c>
      <c r="I1676" s="10" t="s">
        <v>55</v>
      </c>
      <c r="K1676" s="10" t="s">
        <v>21739</v>
      </c>
      <c r="L1676" s="10" t="s">
        <v>42</v>
      </c>
    </row>
    <row r="1677" ht="15.75" customHeight="1">
      <c r="A1677" s="64">
        <v>45456.0</v>
      </c>
      <c r="B1677" s="55" t="str">
        <f>HYPERLINK("https://jobright.ai/jobs/info/666c18fd51501fed50d737f8?utm_campaign=1057&amp;utm_source=sheet", "Apply")</f>
        <v>Apply</v>
      </c>
      <c r="C1677" s="10" t="s">
        <v>21697</v>
      </c>
      <c r="D1677" s="56" t="s">
        <v>4448</v>
      </c>
      <c r="E1677" s="10" t="s">
        <v>71</v>
      </c>
      <c r="F1677" s="10" t="s">
        <v>4449</v>
      </c>
      <c r="G1677" s="10" t="s">
        <v>24043</v>
      </c>
      <c r="H1677" s="10" t="s">
        <v>16741</v>
      </c>
      <c r="I1677" s="10" t="s">
        <v>55</v>
      </c>
      <c r="K1677" s="10" t="s">
        <v>21739</v>
      </c>
      <c r="L1677" s="10" t="s">
        <v>42</v>
      </c>
    </row>
    <row r="1678" ht="15.75" customHeight="1">
      <c r="A1678" s="64">
        <v>45456.0</v>
      </c>
      <c r="B1678" s="55" t="str">
        <f>HYPERLINK("https://jobright.ai/jobs/info/666c190b51501fed50d739b5?utm_campaign=1057&amp;utm_source=sheet", "Apply")</f>
        <v>Apply</v>
      </c>
      <c r="C1678" s="10" t="s">
        <v>25631</v>
      </c>
      <c r="D1678" s="56" t="s">
        <v>4448</v>
      </c>
      <c r="E1678" s="10" t="s">
        <v>71</v>
      </c>
      <c r="F1678" s="10" t="s">
        <v>4449</v>
      </c>
      <c r="G1678" s="10" t="s">
        <v>24043</v>
      </c>
      <c r="H1678" s="10" t="s">
        <v>25483</v>
      </c>
      <c r="I1678" s="10" t="s">
        <v>55</v>
      </c>
      <c r="K1678" s="10" t="s">
        <v>21739</v>
      </c>
      <c r="L1678" s="10" t="s">
        <v>42</v>
      </c>
    </row>
    <row r="1679" ht="15.75" customHeight="1">
      <c r="A1679" s="64">
        <v>45456.0</v>
      </c>
      <c r="B1679" s="55" t="str">
        <f>HYPERLINK("https://jobright.ai/jobs/info/666c18fd51501fed50d73817?utm_campaign=1057&amp;utm_source=sheet", "Apply")</f>
        <v>Apply</v>
      </c>
      <c r="C1679" s="10" t="s">
        <v>24058</v>
      </c>
      <c r="D1679" s="56" t="s">
        <v>4448</v>
      </c>
      <c r="E1679" s="10" t="s">
        <v>71</v>
      </c>
      <c r="F1679" s="10" t="s">
        <v>4449</v>
      </c>
      <c r="G1679" s="10" t="s">
        <v>24043</v>
      </c>
      <c r="H1679" s="10" t="s">
        <v>24396</v>
      </c>
      <c r="I1679" s="10" t="s">
        <v>55</v>
      </c>
      <c r="K1679" s="10" t="s">
        <v>21739</v>
      </c>
      <c r="L1679" s="10" t="s">
        <v>42</v>
      </c>
    </row>
    <row r="1680" ht="15.75" customHeight="1">
      <c r="A1680" s="64">
        <v>45456.0</v>
      </c>
      <c r="B1680" s="55" t="str">
        <f>HYPERLINK("https://jobright.ai/jobs/info/667453e4951b5ae68ba9b9d0?utm_campaign=1057&amp;utm_source=sheet", "Apply")</f>
        <v>Apply</v>
      </c>
      <c r="C1680" s="10" t="s">
        <v>24451</v>
      </c>
      <c r="D1680" s="56" t="s">
        <v>4448</v>
      </c>
      <c r="E1680" s="10" t="s">
        <v>71</v>
      </c>
      <c r="F1680" s="10" t="s">
        <v>4449</v>
      </c>
      <c r="G1680" s="10" t="s">
        <v>24043</v>
      </c>
      <c r="H1680" s="10" t="s">
        <v>20990</v>
      </c>
      <c r="I1680" s="10" t="s">
        <v>55</v>
      </c>
      <c r="K1680" s="10" t="s">
        <v>21739</v>
      </c>
      <c r="L1680" s="10" t="s">
        <v>42</v>
      </c>
    </row>
    <row r="1681" ht="15.75" customHeight="1">
      <c r="A1681" s="64">
        <v>45456.0</v>
      </c>
      <c r="B1681" s="55" t="str">
        <f>HYPERLINK("https://jobright.ai/jobs/info/6672f4acb9ba0405d001e823?utm_campaign=1057&amp;utm_source=sheet", "Apply")</f>
        <v>Apply</v>
      </c>
      <c r="C1681" s="10" t="s">
        <v>25632</v>
      </c>
      <c r="D1681" s="56" t="s">
        <v>4448</v>
      </c>
      <c r="E1681" s="10" t="s">
        <v>71</v>
      </c>
      <c r="F1681" s="10" t="s">
        <v>4449</v>
      </c>
      <c r="G1681" s="10" t="s">
        <v>24043</v>
      </c>
      <c r="H1681" s="10" t="s">
        <v>628</v>
      </c>
      <c r="I1681" s="10" t="s">
        <v>55</v>
      </c>
      <c r="K1681" s="10" t="s">
        <v>21739</v>
      </c>
      <c r="L1681" s="10" t="s">
        <v>42</v>
      </c>
    </row>
    <row r="1682" ht="15.75" customHeight="1">
      <c r="A1682" s="64">
        <v>45456.0</v>
      </c>
      <c r="B1682" s="55" t="str">
        <f>HYPERLINK("https://jobright.ai/jobs/info/6672e36feeb3fec79878a2a4?utm_campaign=1057&amp;utm_source=sheet", "Apply")</f>
        <v>Apply</v>
      </c>
      <c r="C1682" s="10" t="s">
        <v>8377</v>
      </c>
      <c r="D1682" s="56" t="s">
        <v>2202</v>
      </c>
      <c r="E1682" s="10" t="s">
        <v>249</v>
      </c>
      <c r="F1682" s="10" t="s">
        <v>1234</v>
      </c>
      <c r="G1682" s="10" t="s">
        <v>24031</v>
      </c>
      <c r="H1682" s="10" t="s">
        <v>2203</v>
      </c>
      <c r="I1682" s="10" t="s">
        <v>55</v>
      </c>
      <c r="K1682" s="10" t="s">
        <v>25633</v>
      </c>
      <c r="L1682" s="10" t="s">
        <v>42</v>
      </c>
    </row>
    <row r="1683" ht="15.75" customHeight="1">
      <c r="A1683" s="64">
        <v>45456.0</v>
      </c>
      <c r="B1683" s="55" t="str">
        <f>HYPERLINK("https://jobright.ai/jobs/info/6672c4f54712379b49f50fe3?utm_campaign=1057&amp;utm_source=sheet", "Apply")</f>
        <v>Apply</v>
      </c>
      <c r="C1683" s="10" t="s">
        <v>25634</v>
      </c>
      <c r="D1683" s="56" t="s">
        <v>196</v>
      </c>
      <c r="E1683" s="10" t="s">
        <v>71</v>
      </c>
      <c r="F1683" s="10" t="s">
        <v>197</v>
      </c>
      <c r="G1683" s="10" t="s">
        <v>24031</v>
      </c>
      <c r="H1683" s="10" t="s">
        <v>193</v>
      </c>
      <c r="I1683" s="10" t="s">
        <v>55</v>
      </c>
      <c r="K1683" s="10" t="s">
        <v>25635</v>
      </c>
      <c r="L1683" s="10" t="s">
        <v>42</v>
      </c>
    </row>
    <row r="1684" ht="15.75" customHeight="1">
      <c r="A1684" s="64">
        <v>45456.0</v>
      </c>
      <c r="B1684" s="55" t="str">
        <f>HYPERLINK("https://jobright.ai/jobs/info/667413be44674b0124a28e17?utm_campaign=1057&amp;utm_source=sheet", "Apply")</f>
        <v>Apply</v>
      </c>
      <c r="C1684" s="10" t="s">
        <v>25615</v>
      </c>
      <c r="D1684" s="56" t="s">
        <v>25616</v>
      </c>
      <c r="E1684" s="10" t="s">
        <v>65</v>
      </c>
      <c r="F1684" s="10" t="s">
        <v>3225</v>
      </c>
      <c r="G1684" s="10" t="s">
        <v>24031</v>
      </c>
      <c r="H1684" s="10" t="s">
        <v>25617</v>
      </c>
      <c r="I1684" s="10" t="s">
        <v>55</v>
      </c>
      <c r="K1684" s="10" t="s">
        <v>25618</v>
      </c>
      <c r="L1684" s="10" t="s">
        <v>42</v>
      </c>
    </row>
    <row r="1685" ht="15.75" customHeight="1">
      <c r="A1685" s="64">
        <v>45456.0</v>
      </c>
      <c r="B1685" s="55" t="str">
        <f>HYPERLINK("https://jobright.ai/jobs/info/66740f295ff28865e7a715d4?utm_campaign=1057&amp;utm_source=sheet", "Apply")</f>
        <v>Apply</v>
      </c>
      <c r="C1685" s="10" t="s">
        <v>25636</v>
      </c>
      <c r="D1685" s="56" t="s">
        <v>25637</v>
      </c>
      <c r="E1685" s="10" t="s">
        <v>65</v>
      </c>
      <c r="F1685" s="10" t="s">
        <v>651</v>
      </c>
      <c r="G1685" s="10" t="s">
        <v>24043</v>
      </c>
      <c r="H1685" s="10" t="s">
        <v>25638</v>
      </c>
      <c r="I1685" s="10" t="s">
        <v>55</v>
      </c>
      <c r="J1685" s="10" t="s">
        <v>25639</v>
      </c>
      <c r="K1685" s="10" t="s">
        <v>25640</v>
      </c>
      <c r="L1685" s="10" t="s">
        <v>42</v>
      </c>
    </row>
    <row r="1686" ht="15.75" customHeight="1">
      <c r="A1686" s="64">
        <v>45456.0</v>
      </c>
      <c r="B1686" s="55" t="str">
        <f>HYPERLINK("https://jobright.ai/jobs/info/666a8fe60de4a528563d7d9e?utm_campaign=1057&amp;utm_source=sheet", "Apply")</f>
        <v>Apply</v>
      </c>
      <c r="C1686" s="10" t="s">
        <v>25582</v>
      </c>
      <c r="D1686" s="56" t="s">
        <v>196</v>
      </c>
      <c r="E1686" s="10" t="s">
        <v>71</v>
      </c>
      <c r="F1686" s="10" t="s">
        <v>197</v>
      </c>
      <c r="G1686" s="10" t="s">
        <v>24031</v>
      </c>
      <c r="H1686" s="10" t="s">
        <v>193</v>
      </c>
      <c r="I1686" s="10" t="s">
        <v>55</v>
      </c>
      <c r="K1686" s="10" t="s">
        <v>25583</v>
      </c>
      <c r="L1686" s="10" t="s">
        <v>42</v>
      </c>
    </row>
    <row r="1687" ht="15.75" customHeight="1">
      <c r="A1687" s="64">
        <v>45456.0</v>
      </c>
      <c r="B1687" s="55" t="str">
        <f>HYPERLINK("https://jobright.ai/jobs/info/666a9cb97bb7de0f13cd930b?utm_campaign=1057&amp;utm_source=sheet", "Apply")</f>
        <v>Apply</v>
      </c>
      <c r="C1687" s="10" t="s">
        <v>24466</v>
      </c>
      <c r="D1687" s="56" t="s">
        <v>4448</v>
      </c>
      <c r="E1687" s="10" t="s">
        <v>71</v>
      </c>
      <c r="F1687" s="10" t="s">
        <v>4449</v>
      </c>
      <c r="G1687" s="10" t="s">
        <v>24043</v>
      </c>
      <c r="H1687" s="10" t="s">
        <v>168</v>
      </c>
      <c r="I1687" s="10" t="s">
        <v>55</v>
      </c>
      <c r="K1687" s="10" t="s">
        <v>21739</v>
      </c>
      <c r="L1687" s="10" t="s">
        <v>42</v>
      </c>
    </row>
    <row r="1688" ht="15.75" customHeight="1">
      <c r="A1688" s="64">
        <v>45455.0</v>
      </c>
      <c r="B1688" s="55" t="str">
        <f>HYPERLINK("https://jobright.ai/jobs/info/666a16c16456bde9177e3fbf?utm_campaign=1057&amp;utm_source=sheet", "Apply")</f>
        <v>Apply</v>
      </c>
      <c r="C1688" s="10" t="s">
        <v>25641</v>
      </c>
      <c r="D1688" s="56" t="s">
        <v>21618</v>
      </c>
      <c r="E1688" s="10">
        <v>3412.0</v>
      </c>
      <c r="G1688" s="10" t="s">
        <v>24022</v>
      </c>
      <c r="H1688" s="10" t="s">
        <v>8168</v>
      </c>
      <c r="I1688" s="10" t="s">
        <v>48</v>
      </c>
      <c r="J1688" s="10" t="s">
        <v>1608</v>
      </c>
      <c r="K1688" s="10" t="s">
        <v>25642</v>
      </c>
      <c r="L1688" s="10" t="s">
        <v>42</v>
      </c>
    </row>
    <row r="1689" ht="15.75" customHeight="1">
      <c r="A1689" s="64">
        <v>45455.0</v>
      </c>
      <c r="B1689" s="55" t="str">
        <f>HYPERLINK("https://jobright.ai/jobs/info/666a0df6c1380fdcaca3f768?utm_campaign=1057&amp;utm_source=sheet", "Apply")</f>
        <v>Apply</v>
      </c>
      <c r="C1689" s="10" t="s">
        <v>25643</v>
      </c>
      <c r="D1689" s="56" t="s">
        <v>2202</v>
      </c>
      <c r="E1689" s="10" t="s">
        <v>249</v>
      </c>
      <c r="F1689" s="10" t="s">
        <v>1234</v>
      </c>
      <c r="G1689" s="10" t="s">
        <v>24022</v>
      </c>
      <c r="H1689" s="10" t="s">
        <v>2203</v>
      </c>
      <c r="I1689" s="10" t="s">
        <v>55</v>
      </c>
      <c r="K1689" s="10" t="s">
        <v>21684</v>
      </c>
      <c r="L1689" s="10" t="s">
        <v>42</v>
      </c>
    </row>
    <row r="1690" ht="15.75" customHeight="1">
      <c r="A1690" s="64">
        <v>45455.0</v>
      </c>
      <c r="B1690" s="55" t="str">
        <f>HYPERLINK("https://jobright.ai/jobs/info/6669faba7deaa00713729a68?utm_campaign=1057&amp;utm_source=sheet", "Apply")</f>
        <v>Apply</v>
      </c>
      <c r="C1690" s="10" t="s">
        <v>25644</v>
      </c>
      <c r="D1690" s="56" t="s">
        <v>2202</v>
      </c>
      <c r="E1690" s="10" t="s">
        <v>249</v>
      </c>
      <c r="F1690" s="10" t="s">
        <v>1234</v>
      </c>
      <c r="G1690" s="10" t="s">
        <v>24031</v>
      </c>
      <c r="H1690" s="10" t="s">
        <v>2203</v>
      </c>
      <c r="I1690" s="10" t="s">
        <v>55</v>
      </c>
      <c r="K1690" s="10" t="s">
        <v>2204</v>
      </c>
      <c r="L1690" s="10" t="s">
        <v>42</v>
      </c>
    </row>
    <row r="1691" ht="15.75" customHeight="1">
      <c r="A1691" s="64">
        <v>45455.0</v>
      </c>
      <c r="B1691" s="55" t="str">
        <f>HYPERLINK("https://jobright.ai/jobs/info/6641f62a5a70ed6547b686cd?utm_campaign=1057&amp;utm_source=sheet", "Apply")</f>
        <v>Apply</v>
      </c>
      <c r="C1691" s="10" t="s">
        <v>25645</v>
      </c>
      <c r="D1691" s="56" t="s">
        <v>2202</v>
      </c>
      <c r="E1691" s="10" t="s">
        <v>249</v>
      </c>
      <c r="F1691" s="10" t="s">
        <v>1234</v>
      </c>
      <c r="G1691" s="10" t="s">
        <v>24022</v>
      </c>
      <c r="H1691" s="10" t="s">
        <v>2203</v>
      </c>
      <c r="I1691" s="10" t="s">
        <v>55</v>
      </c>
      <c r="K1691" s="10" t="s">
        <v>25646</v>
      </c>
      <c r="L1691" s="10" t="s">
        <v>42</v>
      </c>
    </row>
    <row r="1692" ht="15.75" customHeight="1">
      <c r="A1692" s="64">
        <v>45455.0</v>
      </c>
      <c r="B1692" s="55" t="str">
        <f>HYPERLINK("https://jobright.ai/jobs/info/6669f93e206eeca2b342a756?utm_campaign=1057&amp;utm_source=sheet", "Apply")</f>
        <v>Apply</v>
      </c>
      <c r="C1692" s="10" t="s">
        <v>25647</v>
      </c>
      <c r="D1692" s="56" t="s">
        <v>2202</v>
      </c>
      <c r="E1692" s="10" t="s">
        <v>249</v>
      </c>
      <c r="F1692" s="10" t="s">
        <v>1234</v>
      </c>
      <c r="G1692" s="10" t="s">
        <v>24022</v>
      </c>
      <c r="H1692" s="10" t="s">
        <v>2203</v>
      </c>
      <c r="I1692" s="10" t="s">
        <v>55</v>
      </c>
      <c r="K1692" s="10" t="s">
        <v>21684</v>
      </c>
      <c r="L1692" s="10" t="s">
        <v>42</v>
      </c>
    </row>
    <row r="1693" ht="15.75" customHeight="1">
      <c r="A1693" s="64">
        <v>45455.0</v>
      </c>
      <c r="B1693" s="55" t="str">
        <f>HYPERLINK("https://jobright.ai/jobs/info/6669f91a206eeca2b342a3ea?utm_campaign=1057&amp;utm_source=sheet", "Apply")</f>
        <v>Apply</v>
      </c>
      <c r="C1693" s="10" t="s">
        <v>25648</v>
      </c>
      <c r="D1693" s="56" t="s">
        <v>4758</v>
      </c>
      <c r="E1693" s="10" t="s">
        <v>249</v>
      </c>
      <c r="F1693" s="10" t="s">
        <v>1234</v>
      </c>
      <c r="G1693" s="10" t="s">
        <v>24022</v>
      </c>
      <c r="H1693" s="10" t="s">
        <v>607</v>
      </c>
      <c r="I1693" s="10" t="s">
        <v>55</v>
      </c>
      <c r="K1693" s="10" t="s">
        <v>25649</v>
      </c>
      <c r="L1693" s="10" t="s">
        <v>42</v>
      </c>
    </row>
    <row r="1694" ht="15.75" customHeight="1">
      <c r="A1694" s="64">
        <v>45455.0</v>
      </c>
      <c r="B1694" s="55" t="str">
        <f>HYPERLINK("https://jobright.ai/jobs/info/66592b5efb1dd944df45a07c?utm_campaign=1057&amp;utm_source=sheet", "Apply")</f>
        <v>Apply</v>
      </c>
      <c r="C1694" s="10" t="s">
        <v>25650</v>
      </c>
      <c r="D1694" s="56" t="s">
        <v>2202</v>
      </c>
      <c r="E1694" s="10" t="s">
        <v>249</v>
      </c>
      <c r="F1694" s="10" t="s">
        <v>1234</v>
      </c>
      <c r="G1694" s="10" t="s">
        <v>24022</v>
      </c>
      <c r="H1694" s="10" t="s">
        <v>2203</v>
      </c>
      <c r="I1694" s="10" t="s">
        <v>55</v>
      </c>
      <c r="K1694" s="10" t="s">
        <v>25651</v>
      </c>
      <c r="L1694" s="10" t="s">
        <v>42</v>
      </c>
    </row>
    <row r="1695" ht="15.75" customHeight="1">
      <c r="A1695" s="64">
        <v>45455.0</v>
      </c>
      <c r="B1695" s="55" t="str">
        <f>HYPERLINK("https://jobright.ai/jobs/info/6669f08f6e96538ed2678093?utm_campaign=1057&amp;utm_source=sheet", "Apply")</f>
        <v>Apply</v>
      </c>
      <c r="C1695" s="10" t="s">
        <v>25652</v>
      </c>
      <c r="D1695" s="56" t="s">
        <v>2202</v>
      </c>
      <c r="E1695" s="10" t="s">
        <v>249</v>
      </c>
      <c r="F1695" s="10" t="s">
        <v>1234</v>
      </c>
      <c r="G1695" s="10" t="s">
        <v>24031</v>
      </c>
      <c r="H1695" s="10" t="s">
        <v>2203</v>
      </c>
      <c r="I1695" s="10" t="s">
        <v>55</v>
      </c>
      <c r="K1695" s="10" t="s">
        <v>25653</v>
      </c>
      <c r="L1695" s="10" t="s">
        <v>42</v>
      </c>
    </row>
    <row r="1696" ht="15.75" customHeight="1">
      <c r="A1696" s="64">
        <v>45455.0</v>
      </c>
      <c r="B1696" s="55" t="str">
        <f>HYPERLINK("https://jobright.ai/jobs/info/666a3cc6010f8db930080087?utm_campaign=1057&amp;utm_source=sheet", "Apply")</f>
        <v>Apply</v>
      </c>
      <c r="C1696" s="10" t="s">
        <v>25654</v>
      </c>
      <c r="D1696" s="56" t="s">
        <v>196</v>
      </c>
      <c r="E1696" s="10" t="s">
        <v>71</v>
      </c>
      <c r="F1696" s="10" t="s">
        <v>197</v>
      </c>
      <c r="G1696" s="10" t="s">
        <v>24031</v>
      </c>
      <c r="H1696" s="10" t="s">
        <v>193</v>
      </c>
      <c r="I1696" s="10" t="s">
        <v>55</v>
      </c>
      <c r="K1696" s="10" t="s">
        <v>25655</v>
      </c>
      <c r="L1696" s="10" t="s">
        <v>42</v>
      </c>
    </row>
    <row r="1697" ht="15.75" customHeight="1">
      <c r="A1697" s="64">
        <v>45455.0</v>
      </c>
      <c r="B1697" s="55" t="str">
        <f>HYPERLINK("https://jobright.ai/jobs/info/6669f949206eeca2b342a7fd?utm_campaign=1057&amp;utm_source=sheet", "Apply")</f>
        <v>Apply</v>
      </c>
      <c r="C1697" s="10" t="s">
        <v>25656</v>
      </c>
      <c r="D1697" s="56" t="s">
        <v>15066</v>
      </c>
      <c r="G1697" s="10" t="s">
        <v>24022</v>
      </c>
      <c r="H1697" s="10" t="s">
        <v>914</v>
      </c>
      <c r="I1697" s="10" t="s">
        <v>55</v>
      </c>
      <c r="J1697" s="10" t="s">
        <v>6879</v>
      </c>
      <c r="K1697" s="10" t="s">
        <v>25657</v>
      </c>
      <c r="L1697" s="10" t="s">
        <v>42</v>
      </c>
    </row>
    <row r="1698" ht="15.75" customHeight="1">
      <c r="A1698" s="64">
        <v>45455.0</v>
      </c>
      <c r="B1698" s="55" t="str">
        <f>HYPERLINK("https://jobright.ai/jobs/info/6672f4acb9ba0405d001e892?utm_campaign=1057&amp;utm_source=sheet", "Apply")</f>
        <v>Apply</v>
      </c>
      <c r="C1698" s="10" t="s">
        <v>25596</v>
      </c>
      <c r="D1698" s="56" t="s">
        <v>4448</v>
      </c>
      <c r="E1698" s="10" t="s">
        <v>71</v>
      </c>
      <c r="F1698" s="10" t="s">
        <v>4449</v>
      </c>
      <c r="G1698" s="10" t="s">
        <v>24043</v>
      </c>
      <c r="H1698" s="10" t="s">
        <v>25658</v>
      </c>
      <c r="I1698" s="10" t="s">
        <v>55</v>
      </c>
      <c r="K1698" s="10" t="s">
        <v>21739</v>
      </c>
      <c r="L1698" s="10" t="s">
        <v>42</v>
      </c>
    </row>
    <row r="1699" ht="15.75" customHeight="1">
      <c r="A1699" s="64">
        <v>45455.0</v>
      </c>
      <c r="B1699" s="55" t="str">
        <f>HYPERLINK("https://jobright.ai/jobs/info/6672f4beb9ba0405d001e8f0?utm_campaign=1057&amp;utm_source=sheet", "Apply")</f>
        <v>Apply</v>
      </c>
      <c r="C1699" s="10" t="s">
        <v>25659</v>
      </c>
      <c r="D1699" s="56" t="s">
        <v>4448</v>
      </c>
      <c r="E1699" s="10" t="s">
        <v>71</v>
      </c>
      <c r="F1699" s="10" t="s">
        <v>4449</v>
      </c>
      <c r="G1699" s="10" t="s">
        <v>24043</v>
      </c>
      <c r="H1699" s="10" t="s">
        <v>25614</v>
      </c>
      <c r="I1699" s="10" t="s">
        <v>55</v>
      </c>
      <c r="K1699" s="10" t="s">
        <v>21739</v>
      </c>
      <c r="L1699" s="10" t="s">
        <v>42</v>
      </c>
    </row>
    <row r="1700" ht="15.75" customHeight="1">
      <c r="A1700" s="64">
        <v>45455.0</v>
      </c>
      <c r="B1700" s="55" t="str">
        <f>HYPERLINK("https://jobright.ai/jobs/info/6672f4beb9ba0405d001e914?utm_campaign=1057&amp;utm_source=sheet", "Apply")</f>
        <v>Apply</v>
      </c>
      <c r="C1700" s="10" t="s">
        <v>25593</v>
      </c>
      <c r="D1700" s="56" t="s">
        <v>4448</v>
      </c>
      <c r="E1700" s="10" t="s">
        <v>71</v>
      </c>
      <c r="F1700" s="10" t="s">
        <v>4449</v>
      </c>
      <c r="G1700" s="10" t="s">
        <v>24043</v>
      </c>
      <c r="H1700" s="10" t="s">
        <v>25486</v>
      </c>
      <c r="I1700" s="10" t="s">
        <v>55</v>
      </c>
      <c r="K1700" s="10" t="s">
        <v>21739</v>
      </c>
      <c r="L1700" s="10" t="s">
        <v>42</v>
      </c>
    </row>
    <row r="1701" ht="15.75" customHeight="1">
      <c r="A1701" s="64">
        <v>45455.0</v>
      </c>
      <c r="B1701" s="55" t="str">
        <f>HYPERLINK("https://jobright.ai/jobs/info/6672f4beb9ba0405d001e96a?utm_campaign=1057&amp;utm_source=sheet", "Apply")</f>
        <v>Apply</v>
      </c>
      <c r="C1701" s="10" t="s">
        <v>24183</v>
      </c>
      <c r="D1701" s="56" t="s">
        <v>4448</v>
      </c>
      <c r="E1701" s="10" t="s">
        <v>71</v>
      </c>
      <c r="F1701" s="10" t="s">
        <v>4449</v>
      </c>
      <c r="G1701" s="10" t="s">
        <v>24043</v>
      </c>
      <c r="H1701" s="10" t="s">
        <v>24740</v>
      </c>
      <c r="I1701" s="10" t="s">
        <v>55</v>
      </c>
      <c r="K1701" s="10" t="s">
        <v>21739</v>
      </c>
      <c r="L1701" s="10" t="s">
        <v>42</v>
      </c>
    </row>
    <row r="1702" ht="15.75" customHeight="1">
      <c r="A1702" s="64">
        <v>45455.0</v>
      </c>
      <c r="B1702" s="55" t="str">
        <f>HYPERLINK("https://jobright.ai/jobs/info/6672ec083bc1bf09bd16e155?utm_campaign=1057&amp;utm_source=sheet", "Apply")</f>
        <v>Apply</v>
      </c>
      <c r="C1702" s="10" t="s">
        <v>24421</v>
      </c>
      <c r="D1702" s="56" t="s">
        <v>4448</v>
      </c>
      <c r="E1702" s="10" t="s">
        <v>71</v>
      </c>
      <c r="F1702" s="10" t="s">
        <v>4449</v>
      </c>
      <c r="G1702" s="10" t="s">
        <v>24043</v>
      </c>
      <c r="H1702" s="10" t="s">
        <v>16095</v>
      </c>
      <c r="I1702" s="10" t="s">
        <v>55</v>
      </c>
      <c r="K1702" s="10" t="s">
        <v>21739</v>
      </c>
      <c r="L1702" s="10" t="s">
        <v>42</v>
      </c>
    </row>
    <row r="1703" ht="15.75" customHeight="1">
      <c r="A1703" s="64">
        <v>45455.0</v>
      </c>
      <c r="B1703" s="55" t="str">
        <f>HYPERLINK("https://jobright.ai/jobs/info/6672ec1a3bc1bf09bd16e1b8?utm_campaign=1057&amp;utm_source=sheet", "Apply")</f>
        <v>Apply</v>
      </c>
      <c r="C1703" s="10" t="s">
        <v>24414</v>
      </c>
      <c r="D1703" s="56" t="s">
        <v>4448</v>
      </c>
      <c r="E1703" s="10" t="s">
        <v>71</v>
      </c>
      <c r="F1703" s="10" t="s">
        <v>4449</v>
      </c>
      <c r="G1703" s="10" t="s">
        <v>24043</v>
      </c>
      <c r="H1703" s="10" t="s">
        <v>25591</v>
      </c>
      <c r="I1703" s="10" t="s">
        <v>55</v>
      </c>
      <c r="K1703" s="10" t="s">
        <v>21739</v>
      </c>
      <c r="L1703" s="10" t="s">
        <v>42</v>
      </c>
    </row>
    <row r="1704" ht="15.75" customHeight="1">
      <c r="A1704" s="64">
        <v>45455.0</v>
      </c>
      <c r="B1704" s="55" t="str">
        <f>HYPERLINK("https://jobright.ai/jobs/info/666c48bf5e5b402302c37cce?utm_campaign=1057&amp;utm_source=sheet", "Apply")</f>
        <v>Apply</v>
      </c>
      <c r="C1704" s="10" t="s">
        <v>25596</v>
      </c>
      <c r="D1704" s="56" t="s">
        <v>4448</v>
      </c>
      <c r="E1704" s="10" t="s">
        <v>71</v>
      </c>
      <c r="F1704" s="10" t="s">
        <v>4449</v>
      </c>
      <c r="G1704" s="10" t="s">
        <v>24043</v>
      </c>
      <c r="H1704" s="10" t="s">
        <v>4808</v>
      </c>
      <c r="I1704" s="10" t="s">
        <v>55</v>
      </c>
      <c r="K1704" s="10" t="s">
        <v>21739</v>
      </c>
      <c r="L1704" s="10" t="s">
        <v>42</v>
      </c>
    </row>
    <row r="1705" ht="15.75" customHeight="1">
      <c r="A1705" s="64">
        <v>45455.0</v>
      </c>
      <c r="B1705" s="55" t="str">
        <f>HYPERLINK("https://jobright.ai/jobs/info/6671903a7bad920507d3f80c?utm_campaign=1057&amp;utm_source=sheet", "Apply")</f>
        <v>Apply</v>
      </c>
      <c r="C1705" s="10" t="s">
        <v>24414</v>
      </c>
      <c r="D1705" s="56" t="s">
        <v>4448</v>
      </c>
      <c r="E1705" s="10" t="s">
        <v>71</v>
      </c>
      <c r="F1705" s="10" t="s">
        <v>4449</v>
      </c>
      <c r="G1705" s="10" t="s">
        <v>24043</v>
      </c>
      <c r="H1705" s="10" t="s">
        <v>25483</v>
      </c>
      <c r="I1705" s="10" t="s">
        <v>55</v>
      </c>
      <c r="K1705" s="10" t="s">
        <v>21739</v>
      </c>
      <c r="L1705" s="10" t="s">
        <v>42</v>
      </c>
    </row>
    <row r="1706" ht="15.75" customHeight="1">
      <c r="A1706" s="64">
        <v>45455.0</v>
      </c>
      <c r="B1706" s="55" t="str">
        <f>HYPERLINK("https://jobright.ai/jobs/info/6672ec2c3bc1bf09bd16e345?utm_campaign=1057&amp;utm_source=sheet", "Apply")</f>
        <v>Apply</v>
      </c>
      <c r="C1706" s="10" t="s">
        <v>24421</v>
      </c>
      <c r="D1706" s="56" t="s">
        <v>4448</v>
      </c>
      <c r="E1706" s="10" t="s">
        <v>71</v>
      </c>
      <c r="F1706" s="10" t="s">
        <v>4449</v>
      </c>
      <c r="G1706" s="10" t="s">
        <v>24043</v>
      </c>
      <c r="H1706" s="10" t="s">
        <v>25491</v>
      </c>
      <c r="I1706" s="10" t="s">
        <v>55</v>
      </c>
      <c r="K1706" s="10" t="s">
        <v>21739</v>
      </c>
      <c r="L1706" s="10" t="s">
        <v>42</v>
      </c>
    </row>
    <row r="1707" ht="15.75" customHeight="1">
      <c r="A1707" s="64">
        <v>45455.0</v>
      </c>
      <c r="B1707" s="55" t="str">
        <f>HYPERLINK("https://jobright.ai/jobs/info/6672f0db09fa87accf6a51df?utm_campaign=1057&amp;utm_source=sheet", "Apply")</f>
        <v>Apply</v>
      </c>
      <c r="C1707" s="10" t="s">
        <v>8250</v>
      </c>
      <c r="D1707" s="56" t="s">
        <v>4448</v>
      </c>
      <c r="E1707" s="10" t="s">
        <v>71</v>
      </c>
      <c r="F1707" s="10" t="s">
        <v>4449</v>
      </c>
      <c r="G1707" s="10" t="s">
        <v>24043</v>
      </c>
      <c r="H1707" s="10" t="s">
        <v>1097</v>
      </c>
      <c r="I1707" s="10" t="s">
        <v>55</v>
      </c>
      <c r="K1707" s="10" t="s">
        <v>21739</v>
      </c>
      <c r="L1707" s="10" t="s">
        <v>42</v>
      </c>
    </row>
    <row r="1708" ht="15.75" customHeight="1">
      <c r="A1708" s="64">
        <v>45455.0</v>
      </c>
      <c r="B1708" s="55" t="str">
        <f>HYPERLINK("https://jobright.ai/jobs/info/666c44c6b3b6eb3a161cacb4?utm_campaign=1057&amp;utm_source=sheet", "Apply")</f>
        <v>Apply</v>
      </c>
      <c r="C1708" s="10" t="s">
        <v>25628</v>
      </c>
      <c r="D1708" s="56" t="s">
        <v>4448</v>
      </c>
      <c r="E1708" s="10" t="s">
        <v>71</v>
      </c>
      <c r="F1708" s="10" t="s">
        <v>4449</v>
      </c>
      <c r="G1708" s="10" t="s">
        <v>24043</v>
      </c>
      <c r="H1708" s="10" t="s">
        <v>25083</v>
      </c>
      <c r="I1708" s="10" t="s">
        <v>55</v>
      </c>
      <c r="K1708" s="10" t="s">
        <v>21739</v>
      </c>
      <c r="L1708" s="10" t="s">
        <v>42</v>
      </c>
    </row>
    <row r="1709" ht="15.75" customHeight="1">
      <c r="A1709" s="64">
        <v>45455.0</v>
      </c>
      <c r="B1709" s="55" t="str">
        <f>HYPERLINK("https://jobright.ai/jobs/info/6672f4d1b9ba0405d001e981?utm_campaign=1057&amp;utm_source=sheet", "Apply")</f>
        <v>Apply</v>
      </c>
      <c r="C1709" s="10" t="s">
        <v>24417</v>
      </c>
      <c r="D1709" s="56" t="s">
        <v>4448</v>
      </c>
      <c r="E1709" s="10" t="s">
        <v>71</v>
      </c>
      <c r="F1709" s="10" t="s">
        <v>4449</v>
      </c>
      <c r="G1709" s="10" t="s">
        <v>24043</v>
      </c>
      <c r="H1709" s="10" t="s">
        <v>6856</v>
      </c>
      <c r="I1709" s="10" t="s">
        <v>55</v>
      </c>
      <c r="K1709" s="10" t="s">
        <v>21739</v>
      </c>
      <c r="L1709" s="10" t="s">
        <v>42</v>
      </c>
    </row>
    <row r="1710" ht="15.75" customHeight="1">
      <c r="A1710" s="64">
        <v>45455.0</v>
      </c>
      <c r="B1710" s="55" t="str">
        <f>HYPERLINK("https://jobright.ai/jobs/info/6672f4d1b9ba0405d001e99a?utm_campaign=1057&amp;utm_source=sheet", "Apply")</f>
        <v>Apply</v>
      </c>
      <c r="C1710" s="10" t="s">
        <v>25593</v>
      </c>
      <c r="D1710" s="56" t="s">
        <v>4448</v>
      </c>
      <c r="E1710" s="10" t="s">
        <v>71</v>
      </c>
      <c r="F1710" s="10" t="s">
        <v>4449</v>
      </c>
      <c r="G1710" s="10" t="s">
        <v>24043</v>
      </c>
      <c r="H1710" s="10" t="s">
        <v>25612</v>
      </c>
      <c r="I1710" s="10" t="s">
        <v>55</v>
      </c>
      <c r="K1710" s="10" t="s">
        <v>21739</v>
      </c>
      <c r="L1710" s="10" t="s">
        <v>42</v>
      </c>
    </row>
    <row r="1711" ht="15.75" customHeight="1">
      <c r="A1711" s="64">
        <v>45455.0</v>
      </c>
      <c r="B1711" s="55" t="str">
        <f>HYPERLINK("https://jobright.ai/jobs/info/6672f532b9ba0405d001ed88?utm_campaign=1057&amp;utm_source=sheet", "Apply")</f>
        <v>Apply</v>
      </c>
      <c r="C1711" s="10" t="s">
        <v>25596</v>
      </c>
      <c r="D1711" s="56" t="s">
        <v>4448</v>
      </c>
      <c r="E1711" s="10" t="s">
        <v>71</v>
      </c>
      <c r="F1711" s="10" t="s">
        <v>4449</v>
      </c>
      <c r="G1711" s="10" t="s">
        <v>24043</v>
      </c>
      <c r="H1711" s="10" t="s">
        <v>2602</v>
      </c>
      <c r="I1711" s="10" t="s">
        <v>55</v>
      </c>
      <c r="K1711" s="10" t="s">
        <v>21739</v>
      </c>
      <c r="L1711" s="10" t="s">
        <v>42</v>
      </c>
    </row>
    <row r="1712" ht="15.75" customHeight="1">
      <c r="A1712" s="64">
        <v>45455.0</v>
      </c>
      <c r="B1712" s="55" t="str">
        <f>HYPERLINK("https://jobright.ai/jobs/info/6672f532b9ba0405d001edf2?utm_campaign=1057&amp;utm_source=sheet", "Apply")</f>
        <v>Apply</v>
      </c>
      <c r="C1712" s="10" t="s">
        <v>8245</v>
      </c>
      <c r="D1712" s="56" t="s">
        <v>4448</v>
      </c>
      <c r="E1712" s="10" t="s">
        <v>71</v>
      </c>
      <c r="F1712" s="10" t="s">
        <v>4449</v>
      </c>
      <c r="G1712" s="10" t="s">
        <v>24043</v>
      </c>
      <c r="H1712" s="10" t="s">
        <v>1569</v>
      </c>
      <c r="I1712" s="10" t="s">
        <v>55</v>
      </c>
      <c r="K1712" s="10" t="s">
        <v>21739</v>
      </c>
      <c r="L1712" s="10" t="s">
        <v>42</v>
      </c>
    </row>
    <row r="1713" ht="15.75" customHeight="1">
      <c r="A1713" s="64">
        <v>45455.0</v>
      </c>
      <c r="B1713" s="55" t="str">
        <f>HYPERLINK("https://jobright.ai/jobs/info/667033c4f08d8f131d7b39d2?utm_campaign=1057&amp;utm_source=sheet", "Apply")</f>
        <v>Apply</v>
      </c>
      <c r="C1713" s="10" t="s">
        <v>25593</v>
      </c>
      <c r="D1713" s="56" t="s">
        <v>4448</v>
      </c>
      <c r="E1713" s="10" t="s">
        <v>71</v>
      </c>
      <c r="F1713" s="10" t="s">
        <v>4449</v>
      </c>
      <c r="G1713" s="10" t="s">
        <v>24043</v>
      </c>
      <c r="H1713" s="10" t="s">
        <v>25483</v>
      </c>
      <c r="I1713" s="10" t="s">
        <v>55</v>
      </c>
      <c r="K1713" s="10" t="s">
        <v>21739</v>
      </c>
      <c r="L1713" s="10" t="s">
        <v>42</v>
      </c>
    </row>
    <row r="1714" ht="15.75" customHeight="1">
      <c r="A1714" s="64">
        <v>45455.0</v>
      </c>
      <c r="B1714" s="55" t="str">
        <f>HYPERLINK("https://jobright.ai/jobs/info/66717f448da549fae7b76975?utm_campaign=1057&amp;utm_source=sheet", "Apply")</f>
        <v>Apply</v>
      </c>
      <c r="C1714" s="10" t="s">
        <v>24513</v>
      </c>
      <c r="D1714" s="56" t="s">
        <v>4448</v>
      </c>
      <c r="E1714" s="10" t="s">
        <v>71</v>
      </c>
      <c r="F1714" s="10" t="s">
        <v>4449</v>
      </c>
      <c r="G1714" s="10" t="s">
        <v>24043</v>
      </c>
      <c r="H1714" s="10" t="s">
        <v>20990</v>
      </c>
      <c r="I1714" s="10" t="s">
        <v>55</v>
      </c>
      <c r="K1714" s="10" t="s">
        <v>21739</v>
      </c>
      <c r="L1714" s="10" t="s">
        <v>42</v>
      </c>
    </row>
    <row r="1715" ht="15.75" customHeight="1">
      <c r="A1715" s="64">
        <v>45455.0</v>
      </c>
      <c r="B1715" s="55" t="str">
        <f>HYPERLINK("https://jobright.ai/jobs/info/666c36e09dae7f4f872a1030?utm_campaign=1057&amp;utm_source=sheet", "Apply")</f>
        <v>Apply</v>
      </c>
      <c r="C1715" s="10" t="s">
        <v>24418</v>
      </c>
      <c r="D1715" s="56" t="s">
        <v>4448</v>
      </c>
      <c r="E1715" s="10" t="s">
        <v>71</v>
      </c>
      <c r="F1715" s="10" t="s">
        <v>4449</v>
      </c>
      <c r="G1715" s="10" t="s">
        <v>24043</v>
      </c>
      <c r="H1715" s="10" t="s">
        <v>628</v>
      </c>
      <c r="I1715" s="10" t="s">
        <v>55</v>
      </c>
      <c r="K1715" s="10" t="s">
        <v>21739</v>
      </c>
      <c r="L1715" s="10" t="s">
        <v>42</v>
      </c>
    </row>
    <row r="1716" ht="15.75" customHeight="1">
      <c r="A1716" s="64">
        <v>45455.0</v>
      </c>
      <c r="B1716" s="55" t="str">
        <f>HYPERLINK("https://jobright.ai/jobs/info/6672ce9e4b9042a3b20644ce?utm_campaign=1057&amp;utm_source=sheet", "Apply")</f>
        <v>Apply</v>
      </c>
      <c r="C1716" s="10" t="s">
        <v>8250</v>
      </c>
      <c r="D1716" s="56" t="s">
        <v>4448</v>
      </c>
      <c r="E1716" s="10" t="s">
        <v>71</v>
      </c>
      <c r="F1716" s="10" t="s">
        <v>4449</v>
      </c>
      <c r="G1716" s="10" t="s">
        <v>24043</v>
      </c>
      <c r="H1716" s="10" t="s">
        <v>2123</v>
      </c>
      <c r="I1716" s="10" t="s">
        <v>55</v>
      </c>
      <c r="K1716" s="10" t="s">
        <v>21739</v>
      </c>
      <c r="L1716" s="10" t="s">
        <v>42</v>
      </c>
    </row>
    <row r="1717" ht="15.75" customHeight="1">
      <c r="A1717" s="64">
        <v>45455.0</v>
      </c>
      <c r="B1717" s="55" t="str">
        <f>HYPERLINK("https://jobright.ai/jobs/info/6672ce9e4b9042a3b20644fd?utm_campaign=1057&amp;utm_source=sheet", "Apply")</f>
        <v>Apply</v>
      </c>
      <c r="C1717" s="10" t="s">
        <v>25628</v>
      </c>
      <c r="D1717" s="56" t="s">
        <v>4448</v>
      </c>
      <c r="E1717" s="10" t="s">
        <v>71</v>
      </c>
      <c r="F1717" s="10" t="s">
        <v>4449</v>
      </c>
      <c r="G1717" s="10" t="s">
        <v>24043</v>
      </c>
      <c r="H1717" s="10" t="s">
        <v>25591</v>
      </c>
      <c r="I1717" s="10" t="s">
        <v>55</v>
      </c>
      <c r="K1717" s="10" t="s">
        <v>21739</v>
      </c>
      <c r="L1717" s="10" t="s">
        <v>42</v>
      </c>
    </row>
    <row r="1718" ht="15.75" customHeight="1">
      <c r="A1718" s="64">
        <v>45455.0</v>
      </c>
      <c r="B1718" s="55" t="str">
        <f>HYPERLINK("https://jobright.ai/jobs/info/667024de8fe4dd5c3d1abf07?utm_campaign=1057&amp;utm_source=sheet", "Apply")</f>
        <v>Apply</v>
      </c>
      <c r="C1718" s="10" t="s">
        <v>8245</v>
      </c>
      <c r="D1718" s="56" t="s">
        <v>4448</v>
      </c>
      <c r="E1718" s="10" t="s">
        <v>71</v>
      </c>
      <c r="F1718" s="10" t="s">
        <v>4449</v>
      </c>
      <c r="G1718" s="10" t="s">
        <v>24043</v>
      </c>
      <c r="H1718" s="10" t="s">
        <v>21286</v>
      </c>
      <c r="I1718" s="10" t="s">
        <v>55</v>
      </c>
      <c r="K1718" s="10" t="s">
        <v>21739</v>
      </c>
      <c r="L1718" s="10" t="s">
        <v>42</v>
      </c>
    </row>
    <row r="1719" ht="15.75" customHeight="1">
      <c r="A1719" s="64">
        <v>45455.0</v>
      </c>
      <c r="B1719" s="55" t="str">
        <f>HYPERLINK("https://jobright.ai/jobs/info/6671735e6c34d28ea073ebb5?utm_campaign=1057&amp;utm_source=sheet", "Apply")</f>
        <v>Apply</v>
      </c>
      <c r="C1719" s="10" t="s">
        <v>24421</v>
      </c>
      <c r="D1719" s="56" t="s">
        <v>4448</v>
      </c>
      <c r="E1719" s="10" t="s">
        <v>71</v>
      </c>
      <c r="F1719" s="10" t="s">
        <v>4449</v>
      </c>
      <c r="G1719" s="10" t="s">
        <v>24043</v>
      </c>
      <c r="H1719" s="10" t="s">
        <v>20990</v>
      </c>
      <c r="I1719" s="10" t="s">
        <v>55</v>
      </c>
      <c r="K1719" s="10" t="s">
        <v>21739</v>
      </c>
      <c r="L1719" s="10" t="s">
        <v>42</v>
      </c>
    </row>
    <row r="1720" ht="15.75" customHeight="1">
      <c r="A1720" s="64">
        <v>45455.0</v>
      </c>
      <c r="B1720" s="55" t="str">
        <f>HYPERLINK("https://jobright.ai/jobs/info/6672c5074712379b49f510fa?utm_campaign=1057&amp;utm_source=sheet", "Apply")</f>
        <v>Apply</v>
      </c>
      <c r="C1720" s="10" t="s">
        <v>25603</v>
      </c>
      <c r="D1720" s="56" t="s">
        <v>4448</v>
      </c>
      <c r="E1720" s="10" t="s">
        <v>71</v>
      </c>
      <c r="F1720" s="10" t="s">
        <v>4449</v>
      </c>
      <c r="G1720" s="10" t="s">
        <v>24043</v>
      </c>
      <c r="H1720" s="10" t="s">
        <v>4777</v>
      </c>
      <c r="I1720" s="10" t="s">
        <v>55</v>
      </c>
      <c r="K1720" s="10" t="s">
        <v>21739</v>
      </c>
      <c r="L1720" s="10" t="s">
        <v>42</v>
      </c>
    </row>
    <row r="1721" ht="15.75" customHeight="1">
      <c r="A1721" s="64">
        <v>45455.0</v>
      </c>
      <c r="B1721" s="55" t="str">
        <f>HYPERLINK("https://jobright.ai/jobs/info/667021b57fdde7a5e2b2d502?utm_campaign=1057&amp;utm_source=sheet", "Apply")</f>
        <v>Apply</v>
      </c>
      <c r="C1721" s="10" t="s">
        <v>8250</v>
      </c>
      <c r="D1721" s="56" t="s">
        <v>4448</v>
      </c>
      <c r="E1721" s="10" t="s">
        <v>71</v>
      </c>
      <c r="F1721" s="10" t="s">
        <v>4449</v>
      </c>
      <c r="G1721" s="10" t="s">
        <v>24043</v>
      </c>
      <c r="H1721" s="10" t="s">
        <v>21738</v>
      </c>
      <c r="I1721" s="10" t="s">
        <v>55</v>
      </c>
      <c r="K1721" s="10" t="s">
        <v>21739</v>
      </c>
      <c r="L1721" s="10" t="s">
        <v>42</v>
      </c>
    </row>
    <row r="1722" ht="15.75" customHeight="1">
      <c r="A1722" s="64">
        <v>45455.0</v>
      </c>
      <c r="B1722" s="55" t="str">
        <f>HYPERLINK("https://jobright.ai/jobs/info/6672c5194712379b49f51175?utm_campaign=1057&amp;utm_source=sheet", "Apply")</f>
        <v>Apply</v>
      </c>
      <c r="C1722" s="10" t="s">
        <v>25628</v>
      </c>
      <c r="D1722" s="56" t="s">
        <v>4448</v>
      </c>
      <c r="E1722" s="10" t="s">
        <v>71</v>
      </c>
      <c r="F1722" s="10" t="s">
        <v>4449</v>
      </c>
      <c r="G1722" s="10" t="s">
        <v>24043</v>
      </c>
      <c r="H1722" s="10" t="s">
        <v>21673</v>
      </c>
      <c r="I1722" s="10" t="s">
        <v>55</v>
      </c>
      <c r="K1722" s="10" t="s">
        <v>21739</v>
      </c>
      <c r="L1722" s="10" t="s">
        <v>42</v>
      </c>
    </row>
    <row r="1723" ht="15.75" customHeight="1">
      <c r="A1723" s="64">
        <v>45455.0</v>
      </c>
      <c r="B1723" s="55" t="str">
        <f>HYPERLINK("https://jobright.ai/jobs/info/667021b57fdde7a5e2b2d51b?utm_campaign=1057&amp;utm_source=sheet", "Apply")</f>
        <v>Apply</v>
      </c>
      <c r="C1723" s="10" t="s">
        <v>25593</v>
      </c>
      <c r="D1723" s="56" t="s">
        <v>4448</v>
      </c>
      <c r="E1723" s="10" t="s">
        <v>71</v>
      </c>
      <c r="F1723" s="10" t="s">
        <v>4449</v>
      </c>
      <c r="G1723" s="10" t="s">
        <v>24043</v>
      </c>
      <c r="H1723" s="10" t="s">
        <v>25489</v>
      </c>
      <c r="I1723" s="10" t="s">
        <v>55</v>
      </c>
      <c r="K1723" s="10" t="s">
        <v>21739</v>
      </c>
      <c r="L1723" s="10" t="s">
        <v>42</v>
      </c>
    </row>
    <row r="1724" ht="15.75" customHeight="1">
      <c r="A1724" s="64">
        <v>45455.0</v>
      </c>
      <c r="B1724" s="55" t="str">
        <f>HYPERLINK("https://jobright.ai/jobs/info/6671735e6c34d28ea073ebd0?utm_campaign=1057&amp;utm_source=sheet", "Apply")</f>
        <v>Apply</v>
      </c>
      <c r="C1724" s="10" t="s">
        <v>25628</v>
      </c>
      <c r="D1724" s="56" t="s">
        <v>4448</v>
      </c>
      <c r="E1724" s="10" t="s">
        <v>71</v>
      </c>
      <c r="F1724" s="10" t="s">
        <v>4449</v>
      </c>
      <c r="G1724" s="10" t="s">
        <v>24043</v>
      </c>
      <c r="H1724" s="10" t="s">
        <v>25588</v>
      </c>
      <c r="I1724" s="10" t="s">
        <v>55</v>
      </c>
      <c r="K1724" s="10" t="s">
        <v>21739</v>
      </c>
      <c r="L1724" s="10" t="s">
        <v>42</v>
      </c>
    </row>
    <row r="1725" ht="15.75" customHeight="1">
      <c r="A1725" s="64">
        <v>45455.0</v>
      </c>
      <c r="B1725" s="55" t="str">
        <f>HYPERLINK("https://jobright.ai/jobs/info/6671735e6c34d28ea073ebe0?utm_campaign=1057&amp;utm_source=sheet", "Apply")</f>
        <v>Apply</v>
      </c>
      <c r="C1725" s="10" t="s">
        <v>24058</v>
      </c>
      <c r="D1725" s="56" t="s">
        <v>4448</v>
      </c>
      <c r="E1725" s="10" t="s">
        <v>71</v>
      </c>
      <c r="F1725" s="10" t="s">
        <v>4449</v>
      </c>
      <c r="G1725" s="10" t="s">
        <v>24043</v>
      </c>
      <c r="H1725" s="10" t="s">
        <v>20990</v>
      </c>
      <c r="I1725" s="10" t="s">
        <v>55</v>
      </c>
      <c r="K1725" s="10" t="s">
        <v>21739</v>
      </c>
      <c r="L1725" s="10" t="s">
        <v>42</v>
      </c>
    </row>
    <row r="1726" ht="15.75" customHeight="1">
      <c r="A1726" s="64">
        <v>45455.0</v>
      </c>
      <c r="B1726" s="55" t="str">
        <f>HYPERLINK("https://jobright.ai/jobs/info/6671735e6c34d28ea073ec08?utm_campaign=1057&amp;utm_source=sheet", "Apply")</f>
        <v>Apply</v>
      </c>
      <c r="C1726" s="10" t="s">
        <v>25593</v>
      </c>
      <c r="D1726" s="56" t="s">
        <v>4448</v>
      </c>
      <c r="E1726" s="10" t="s">
        <v>71</v>
      </c>
      <c r="F1726" s="10" t="s">
        <v>4449</v>
      </c>
      <c r="G1726" s="10" t="s">
        <v>24043</v>
      </c>
      <c r="H1726" s="10" t="s">
        <v>25591</v>
      </c>
      <c r="I1726" s="10" t="s">
        <v>55</v>
      </c>
      <c r="K1726" s="10" t="s">
        <v>21739</v>
      </c>
      <c r="L1726" s="10" t="s">
        <v>42</v>
      </c>
    </row>
    <row r="1727" ht="15.75" customHeight="1">
      <c r="A1727" s="64">
        <v>45455.0</v>
      </c>
      <c r="B1727" s="55" t="str">
        <f>HYPERLINK("https://jobright.ai/jobs/info/666c24f041bd8bbbc79fd3b0?utm_campaign=1057&amp;utm_source=sheet", "Apply")</f>
        <v>Apply</v>
      </c>
      <c r="C1727" s="10" t="s">
        <v>24414</v>
      </c>
      <c r="D1727" s="56" t="s">
        <v>4448</v>
      </c>
      <c r="E1727" s="10" t="s">
        <v>71</v>
      </c>
      <c r="F1727" s="10" t="s">
        <v>4449</v>
      </c>
      <c r="G1727" s="10" t="s">
        <v>24043</v>
      </c>
      <c r="H1727" s="10" t="s">
        <v>5790</v>
      </c>
      <c r="I1727" s="10" t="s">
        <v>55</v>
      </c>
      <c r="K1727" s="10" t="s">
        <v>21739</v>
      </c>
      <c r="L1727" s="10" t="s">
        <v>42</v>
      </c>
    </row>
    <row r="1728" ht="15.75" customHeight="1">
      <c r="A1728" s="64">
        <v>45455.0</v>
      </c>
      <c r="B1728" s="55" t="str">
        <f>HYPERLINK("https://jobright.ai/jobs/info/6672c20b7210194c5f5b282c?utm_campaign=1057&amp;utm_source=sheet", "Apply")</f>
        <v>Apply</v>
      </c>
      <c r="C1728" s="10" t="s">
        <v>25596</v>
      </c>
      <c r="D1728" s="56" t="s">
        <v>4448</v>
      </c>
      <c r="E1728" s="10" t="s">
        <v>71</v>
      </c>
      <c r="F1728" s="10" t="s">
        <v>4449</v>
      </c>
      <c r="G1728" s="10" t="s">
        <v>24043</v>
      </c>
      <c r="H1728" s="10" t="s">
        <v>25588</v>
      </c>
      <c r="I1728" s="10" t="s">
        <v>55</v>
      </c>
      <c r="K1728" s="10" t="s">
        <v>21739</v>
      </c>
      <c r="L1728" s="10" t="s">
        <v>42</v>
      </c>
    </row>
    <row r="1729" ht="15.75" customHeight="1">
      <c r="A1729" s="64">
        <v>45455.0</v>
      </c>
      <c r="B1729" s="55" t="str">
        <f>HYPERLINK("https://jobright.ai/jobs/info/6672be2094e65e71a8fba13a?utm_campaign=1057&amp;utm_source=sheet", "Apply")</f>
        <v>Apply</v>
      </c>
      <c r="C1729" s="10" t="s">
        <v>24183</v>
      </c>
      <c r="D1729" s="56" t="s">
        <v>4448</v>
      </c>
      <c r="E1729" s="10" t="s">
        <v>71</v>
      </c>
      <c r="F1729" s="10" t="s">
        <v>4449</v>
      </c>
      <c r="G1729" s="10" t="s">
        <v>24043</v>
      </c>
      <c r="H1729" s="10" t="s">
        <v>25123</v>
      </c>
      <c r="I1729" s="10" t="s">
        <v>55</v>
      </c>
      <c r="K1729" s="10" t="s">
        <v>21739</v>
      </c>
      <c r="L1729" s="10" t="s">
        <v>42</v>
      </c>
    </row>
    <row r="1730" ht="15.75" customHeight="1">
      <c r="A1730" s="64">
        <v>45455.0</v>
      </c>
      <c r="B1730" s="55" t="str">
        <f>HYPERLINK("https://jobright.ai/jobs/info/666a90140de4a528563d7fff?utm_campaign=1057&amp;utm_source=sheet", "Apply")</f>
        <v>Apply</v>
      </c>
      <c r="C1730" s="10" t="s">
        <v>25660</v>
      </c>
      <c r="D1730" s="56" t="s">
        <v>25661</v>
      </c>
      <c r="E1730" s="10" t="s">
        <v>65</v>
      </c>
      <c r="F1730" s="10" t="s">
        <v>19545</v>
      </c>
      <c r="G1730" s="10" t="s">
        <v>24022</v>
      </c>
      <c r="H1730" s="10" t="s">
        <v>131</v>
      </c>
      <c r="I1730" s="10" t="s">
        <v>55</v>
      </c>
      <c r="J1730" s="10" t="s">
        <v>14475</v>
      </c>
      <c r="K1730" s="10" t="s">
        <v>25662</v>
      </c>
      <c r="L1730" s="10" t="s">
        <v>42</v>
      </c>
    </row>
    <row r="1731" ht="15.75" customHeight="1">
      <c r="A1731" s="64">
        <v>45455.0</v>
      </c>
      <c r="B1731" s="55" t="str">
        <f>HYPERLINK("https://jobright.ai/jobs/info/666bd5e5cf309ffb07c0beaa?utm_campaign=1057&amp;utm_source=sheet", "Apply")</f>
        <v>Apply</v>
      </c>
      <c r="C1731" s="10" t="s">
        <v>25663</v>
      </c>
      <c r="D1731" s="56" t="s">
        <v>7959</v>
      </c>
      <c r="E1731" s="10">
        <v>175.0</v>
      </c>
      <c r="G1731" s="10" t="s">
        <v>24043</v>
      </c>
      <c r="H1731" s="10" t="s">
        <v>25664</v>
      </c>
      <c r="I1731" s="10" t="s">
        <v>55</v>
      </c>
      <c r="J1731" s="10" t="s">
        <v>25665</v>
      </c>
      <c r="K1731" s="10" t="s">
        <v>25666</v>
      </c>
      <c r="L1731" s="10" t="s">
        <v>42</v>
      </c>
    </row>
    <row r="1732" ht="15.75" customHeight="1">
      <c r="A1732" s="64">
        <v>45455.0</v>
      </c>
      <c r="B1732" s="55" t="str">
        <f>HYPERLINK("https://jobright.ai/jobs/info/663cf8c9c66a2f8935f1c48b?utm_campaign=1057&amp;utm_source=sheet", "Apply")</f>
        <v>Apply</v>
      </c>
      <c r="C1732" s="10" t="s">
        <v>25667</v>
      </c>
      <c r="D1732" s="56" t="s">
        <v>25430</v>
      </c>
      <c r="E1732" s="10" t="s">
        <v>209</v>
      </c>
      <c r="F1732" s="10" t="s">
        <v>1506</v>
      </c>
      <c r="G1732" s="10" t="s">
        <v>24022</v>
      </c>
      <c r="H1732" s="10" t="s">
        <v>578</v>
      </c>
      <c r="I1732" s="10" t="s">
        <v>55</v>
      </c>
      <c r="J1732" s="10" t="s">
        <v>25668</v>
      </c>
      <c r="K1732" s="10" t="s">
        <v>25669</v>
      </c>
      <c r="L1732" s="10" t="s">
        <v>42</v>
      </c>
    </row>
    <row r="1733" ht="15.75" customHeight="1">
      <c r="A1733" s="64">
        <v>45455.0</v>
      </c>
      <c r="B1733" s="55" t="str">
        <f>HYPERLINK("https://jobright.ai/jobs/info/666a541f2e0a56242cd634d5?utm_campaign=1057&amp;utm_source=sheet", "Apply")</f>
        <v>Apply</v>
      </c>
      <c r="C1733" s="10" t="s">
        <v>25670</v>
      </c>
      <c r="D1733" s="56" t="s">
        <v>25671</v>
      </c>
      <c r="E1733" s="10">
        <v>3916.0</v>
      </c>
      <c r="G1733" s="10" t="s">
        <v>24031</v>
      </c>
      <c r="H1733" s="10" t="s">
        <v>767</v>
      </c>
      <c r="I1733" s="10" t="s">
        <v>55</v>
      </c>
      <c r="K1733" s="10" t="s">
        <v>25672</v>
      </c>
      <c r="L1733" s="10" t="s">
        <v>42</v>
      </c>
    </row>
    <row r="1734" ht="15.75" customHeight="1">
      <c r="A1734" s="64">
        <v>45454.0</v>
      </c>
      <c r="B1734" s="55" t="str">
        <f>HYPERLINK("https://jobright.ai/jobs/info/666969e7fea9e1f2d30a1da5?utm_campaign=1057&amp;utm_source=sheet", "Apply")</f>
        <v>Apply</v>
      </c>
      <c r="C1734" s="10" t="s">
        <v>24414</v>
      </c>
      <c r="D1734" s="56" t="s">
        <v>4448</v>
      </c>
      <c r="E1734" s="10" t="s">
        <v>71</v>
      </c>
      <c r="F1734" s="10" t="s">
        <v>4449</v>
      </c>
      <c r="G1734" s="10" t="s">
        <v>24043</v>
      </c>
      <c r="H1734" s="10" t="s">
        <v>25673</v>
      </c>
      <c r="I1734" s="10" t="s">
        <v>55</v>
      </c>
      <c r="K1734" s="10" t="s">
        <v>21739</v>
      </c>
      <c r="L1734" s="10" t="s">
        <v>42</v>
      </c>
    </row>
    <row r="1735" ht="15.75" customHeight="1">
      <c r="A1735" s="64">
        <v>45454.0</v>
      </c>
      <c r="B1735" s="55" t="str">
        <f>HYPERLINK("https://jobright.ai/jobs/info/666969f9fea9e1f2d30a206b?utm_campaign=1057&amp;utm_source=sheet", "Apply")</f>
        <v>Apply</v>
      </c>
      <c r="C1735" s="10" t="s">
        <v>20987</v>
      </c>
      <c r="D1735" s="56" t="s">
        <v>4448</v>
      </c>
      <c r="E1735" s="10" t="s">
        <v>71</v>
      </c>
      <c r="F1735" s="10" t="s">
        <v>4449</v>
      </c>
      <c r="G1735" s="10" t="s">
        <v>24043</v>
      </c>
      <c r="H1735" s="10" t="s">
        <v>5790</v>
      </c>
      <c r="I1735" s="10" t="s">
        <v>55</v>
      </c>
      <c r="K1735" s="10" t="s">
        <v>21739</v>
      </c>
      <c r="L1735" s="10" t="s">
        <v>42</v>
      </c>
    </row>
    <row r="1736" ht="15.75" customHeight="1">
      <c r="A1736" s="64">
        <v>45454.0</v>
      </c>
      <c r="B1736" s="55" t="str">
        <f>HYPERLINK("https://jobright.ai/jobs/info/66695df1098f0929b79871be?utm_campaign=1057&amp;utm_source=sheet", "Apply")</f>
        <v>Apply</v>
      </c>
      <c r="C1736" s="10" t="s">
        <v>25674</v>
      </c>
      <c r="D1736" s="56" t="s">
        <v>25675</v>
      </c>
      <c r="E1736" s="10" t="s">
        <v>79</v>
      </c>
      <c r="F1736" s="10" t="s">
        <v>1506</v>
      </c>
      <c r="G1736" s="10" t="s">
        <v>24022</v>
      </c>
      <c r="H1736" s="10" t="s">
        <v>25676</v>
      </c>
      <c r="I1736" s="10" t="s">
        <v>55</v>
      </c>
      <c r="K1736" s="10" t="s">
        <v>25677</v>
      </c>
      <c r="L1736" s="10" t="s">
        <v>42</v>
      </c>
    </row>
    <row r="1737" ht="15.75" customHeight="1">
      <c r="A1737" s="64">
        <v>45454.0</v>
      </c>
      <c r="B1737" s="55" t="str">
        <f>HYPERLINK("https://jobright.ai/jobs/info/6667f26511143f8b1a90c50c?utm_campaign=1057&amp;utm_source=sheet", "Apply")</f>
        <v>Apply</v>
      </c>
      <c r="C1737" s="10" t="s">
        <v>25678</v>
      </c>
      <c r="D1737" s="56" t="s">
        <v>24954</v>
      </c>
      <c r="G1737" s="10" t="s">
        <v>24022</v>
      </c>
      <c r="H1737" s="10" t="s">
        <v>2099</v>
      </c>
      <c r="I1737" s="10" t="s">
        <v>55</v>
      </c>
      <c r="J1737" s="10" t="s">
        <v>25679</v>
      </c>
      <c r="K1737" s="10" t="s">
        <v>25680</v>
      </c>
      <c r="L1737" s="10" t="s">
        <v>42</v>
      </c>
    </row>
    <row r="1738" ht="15.75" customHeight="1">
      <c r="A1738" s="64">
        <v>45454.0</v>
      </c>
      <c r="B1738" s="55" t="str">
        <f>HYPERLINK("https://jobright.ai/jobs/info/6667e0a81669c8572799eff7?utm_campaign=1057&amp;utm_source=sheet", "Apply")</f>
        <v>Apply</v>
      </c>
      <c r="C1738" s="10" t="s">
        <v>25681</v>
      </c>
      <c r="D1738" s="56" t="s">
        <v>24654</v>
      </c>
      <c r="E1738" s="10">
        <v>3035.0</v>
      </c>
      <c r="G1738" s="10" t="s">
        <v>24043</v>
      </c>
      <c r="H1738" s="10" t="s">
        <v>167</v>
      </c>
      <c r="I1738" s="10" t="s">
        <v>55</v>
      </c>
      <c r="K1738" s="10" t="s">
        <v>24655</v>
      </c>
      <c r="L1738" s="10" t="s">
        <v>42</v>
      </c>
    </row>
    <row r="1739" ht="15.75" customHeight="1">
      <c r="A1739" s="64">
        <v>45454.0</v>
      </c>
      <c r="B1739" s="55" t="str">
        <f>HYPERLINK("https://jobright.ai/jobs/info/667282648781854cc12ee346?utm_campaign=1057&amp;utm_source=sheet", "Apply")</f>
        <v>Apply</v>
      </c>
      <c r="C1739" s="10" t="s">
        <v>25682</v>
      </c>
      <c r="D1739" s="56" t="s">
        <v>21858</v>
      </c>
      <c r="E1739" s="10" t="s">
        <v>65</v>
      </c>
      <c r="F1739" s="10" t="s">
        <v>13595</v>
      </c>
      <c r="G1739" s="10" t="s">
        <v>24043</v>
      </c>
      <c r="H1739" s="10" t="s">
        <v>14002</v>
      </c>
      <c r="I1739" s="10" t="s">
        <v>55</v>
      </c>
      <c r="K1739" s="10" t="s">
        <v>25683</v>
      </c>
      <c r="L1739" s="10" t="s">
        <v>42</v>
      </c>
    </row>
    <row r="1740" ht="15.75" customHeight="1">
      <c r="A1740" s="64">
        <v>45454.0</v>
      </c>
      <c r="B1740" s="55" t="str">
        <f>HYPERLINK("https://jobright.ai/jobs/info/667282df8781854cc12ee7bb?utm_campaign=1057&amp;utm_source=sheet", "Apply")</f>
        <v>Apply</v>
      </c>
      <c r="C1740" s="10" t="s">
        <v>25564</v>
      </c>
      <c r="D1740" s="56" t="s">
        <v>25565</v>
      </c>
      <c r="E1740" s="10" t="s">
        <v>65</v>
      </c>
      <c r="F1740" s="10" t="s">
        <v>25566</v>
      </c>
      <c r="G1740" s="10" t="s">
        <v>24022</v>
      </c>
      <c r="H1740" s="10" t="s">
        <v>21275</v>
      </c>
      <c r="I1740" s="10" t="s">
        <v>55</v>
      </c>
      <c r="K1740" s="10" t="s">
        <v>25567</v>
      </c>
      <c r="L1740" s="10" t="s">
        <v>42</v>
      </c>
    </row>
    <row r="1741" ht="15.75" customHeight="1">
      <c r="A1741" s="64">
        <v>45454.0</v>
      </c>
      <c r="B1741" s="55" t="str">
        <f>HYPERLINK("https://jobright.ai/jobs/info/667283168781854cc12eea26?utm_campaign=1057&amp;utm_source=sheet", "Apply")</f>
        <v>Apply</v>
      </c>
      <c r="C1741" s="10" t="s">
        <v>25543</v>
      </c>
      <c r="D1741" s="56" t="s">
        <v>18398</v>
      </c>
      <c r="E1741" s="10" t="s">
        <v>249</v>
      </c>
      <c r="F1741" s="10" t="s">
        <v>13546</v>
      </c>
      <c r="G1741" s="10" t="s">
        <v>24022</v>
      </c>
      <c r="H1741" s="10" t="s">
        <v>25544</v>
      </c>
      <c r="I1741" s="10" t="s">
        <v>55</v>
      </c>
      <c r="K1741" s="10" t="s">
        <v>25545</v>
      </c>
      <c r="L1741" s="10" t="s">
        <v>42</v>
      </c>
    </row>
    <row r="1742" ht="15.75" customHeight="1">
      <c r="A1742" s="64">
        <v>45453.0</v>
      </c>
      <c r="B1742" s="55" t="str">
        <f>HYPERLINK("https://jobright.ai/jobs/info/66672caab5e2e46e1c4ffa3f?utm_campaign=1057&amp;utm_source=sheet", "Apply")</f>
        <v>Apply</v>
      </c>
      <c r="C1742" s="10" t="s">
        <v>25684</v>
      </c>
      <c r="D1742" s="56" t="s">
        <v>21452</v>
      </c>
      <c r="E1742" s="10" t="s">
        <v>45</v>
      </c>
      <c r="F1742" s="10" t="s">
        <v>2409</v>
      </c>
      <c r="G1742" s="10" t="s">
        <v>24031</v>
      </c>
      <c r="H1742" s="10" t="s">
        <v>785</v>
      </c>
      <c r="I1742" s="10" t="s">
        <v>55</v>
      </c>
      <c r="K1742" s="10" t="s">
        <v>21754</v>
      </c>
      <c r="L1742" s="10" t="s">
        <v>42</v>
      </c>
    </row>
    <row r="1743" ht="15.75" customHeight="1">
      <c r="A1743" s="64">
        <v>45453.0</v>
      </c>
      <c r="B1743" s="55" t="str">
        <f>HYPERLINK("https://jobright.ai/jobs/info/666721db2c128277505f265b?utm_campaign=1057&amp;utm_source=sheet", "Apply")</f>
        <v>Apply</v>
      </c>
      <c r="C1743" s="10" t="s">
        <v>25684</v>
      </c>
      <c r="D1743" s="56" t="s">
        <v>21892</v>
      </c>
      <c r="E1743" s="10" t="s">
        <v>65</v>
      </c>
      <c r="F1743" s="10" t="s">
        <v>2409</v>
      </c>
      <c r="G1743" s="10" t="s">
        <v>24031</v>
      </c>
      <c r="H1743" s="10" t="s">
        <v>785</v>
      </c>
      <c r="I1743" s="10" t="s">
        <v>55</v>
      </c>
      <c r="K1743" s="10" t="s">
        <v>21754</v>
      </c>
      <c r="L1743" s="10" t="s">
        <v>42</v>
      </c>
    </row>
    <row r="1744" ht="15.75" customHeight="1">
      <c r="A1744" s="64">
        <v>45453.0</v>
      </c>
      <c r="B1744" s="55" t="str">
        <f>HYPERLINK("https://jobright.ai/jobs/info/66679b9349717280c92ad541?utm_campaign=1057&amp;utm_source=sheet", "Apply")</f>
        <v>Apply</v>
      </c>
      <c r="C1744" s="10" t="s">
        <v>25685</v>
      </c>
      <c r="D1744" s="56" t="s">
        <v>25686</v>
      </c>
      <c r="E1744" s="10">
        <v>1391.0</v>
      </c>
      <c r="G1744" s="10" t="s">
        <v>24022</v>
      </c>
      <c r="H1744" s="10" t="s">
        <v>19239</v>
      </c>
      <c r="I1744" s="10" t="s">
        <v>55</v>
      </c>
      <c r="J1744" s="10" t="s">
        <v>25687</v>
      </c>
      <c r="K1744" s="10" t="s">
        <v>25688</v>
      </c>
      <c r="L1744" s="10" t="s">
        <v>42</v>
      </c>
    </row>
    <row r="1745" ht="15.75" customHeight="1">
      <c r="A1745" s="64">
        <v>45451.0</v>
      </c>
      <c r="B1745" s="55" t="str">
        <f>HYPERLINK("https://jobright.ai/jobs/info/6677c81464f2e472ffd63c9d?utm_campaign=1057&amp;utm_source=sheet", "Apply")</f>
        <v>Apply</v>
      </c>
      <c r="C1745" s="10" t="s">
        <v>1891</v>
      </c>
      <c r="D1745" s="56" t="s">
        <v>1892</v>
      </c>
      <c r="E1745" s="10" t="s">
        <v>45</v>
      </c>
      <c r="F1745" s="10" t="s">
        <v>1893</v>
      </c>
      <c r="G1745" s="10" t="s">
        <v>24022</v>
      </c>
      <c r="H1745" s="10" t="s">
        <v>96</v>
      </c>
      <c r="I1745" s="10" t="s">
        <v>55</v>
      </c>
      <c r="J1745" s="10" t="s">
        <v>521</v>
      </c>
      <c r="K1745" s="10" t="s">
        <v>25689</v>
      </c>
      <c r="L1745" s="10" t="s">
        <v>42</v>
      </c>
    </row>
    <row r="1746" ht="15.75" customHeight="1">
      <c r="A1746" s="64">
        <v>45451.0</v>
      </c>
      <c r="B1746" s="55" t="str">
        <f>HYPERLINK("https://jobright.ai/jobs/info/6677cd1974ec1a95a89aedb6?utm_campaign=1057&amp;utm_source=sheet", "Apply")</f>
        <v>Apply</v>
      </c>
      <c r="C1746" s="10" t="s">
        <v>25690</v>
      </c>
      <c r="D1746" s="56" t="s">
        <v>18176</v>
      </c>
      <c r="E1746" s="10" t="s">
        <v>45</v>
      </c>
      <c r="F1746" s="10" t="s">
        <v>4323</v>
      </c>
      <c r="G1746" s="10" t="s">
        <v>24031</v>
      </c>
      <c r="H1746" s="10" t="s">
        <v>914</v>
      </c>
      <c r="I1746" s="10" t="s">
        <v>55</v>
      </c>
      <c r="J1746" s="10" t="s">
        <v>25691</v>
      </c>
      <c r="K1746" s="10" t="s">
        <v>25692</v>
      </c>
      <c r="L1746" s="10" t="s">
        <v>42</v>
      </c>
    </row>
    <row r="1747" ht="15.75" customHeight="1">
      <c r="A1747" s="64">
        <v>45451.0</v>
      </c>
      <c r="B1747" s="55" t="str">
        <f>HYPERLINK("https://jobright.ai/jobs/info/6677cc1074ec1a95a89adc71?utm_campaign=1057&amp;utm_source=sheet", "Apply")</f>
        <v>Apply</v>
      </c>
      <c r="C1747" s="10" t="s">
        <v>25693</v>
      </c>
      <c r="D1747" s="56" t="s">
        <v>1892</v>
      </c>
      <c r="E1747" s="10" t="s">
        <v>45</v>
      </c>
      <c r="F1747" s="10" t="s">
        <v>1893</v>
      </c>
      <c r="G1747" s="10" t="s">
        <v>24022</v>
      </c>
      <c r="H1747" s="10" t="s">
        <v>96</v>
      </c>
      <c r="I1747" s="10" t="s">
        <v>55</v>
      </c>
      <c r="J1747" s="10" t="s">
        <v>4189</v>
      </c>
      <c r="K1747" s="10" t="s">
        <v>25694</v>
      </c>
      <c r="L1747" s="10" t="s">
        <v>42</v>
      </c>
    </row>
    <row r="1748" ht="15.75" customHeight="1">
      <c r="A1748" s="64">
        <v>45451.0</v>
      </c>
      <c r="B1748" s="55" t="str">
        <f>HYPERLINK("https://jobright.ai/jobs/info/6677d26397271e26801e2cfc?utm_campaign=1057&amp;utm_source=sheet", "Apply")</f>
        <v>Apply</v>
      </c>
      <c r="C1748" s="10" t="s">
        <v>25695</v>
      </c>
      <c r="D1748" s="56" t="s">
        <v>20905</v>
      </c>
      <c r="E1748" s="10" t="s">
        <v>79</v>
      </c>
      <c r="F1748" s="10" t="s">
        <v>20906</v>
      </c>
      <c r="G1748" s="10" t="s">
        <v>24043</v>
      </c>
      <c r="H1748" s="10" t="s">
        <v>661</v>
      </c>
      <c r="I1748" s="10" t="s">
        <v>55</v>
      </c>
      <c r="K1748" s="10" t="s">
        <v>25696</v>
      </c>
      <c r="L1748" s="10" t="s">
        <v>42</v>
      </c>
    </row>
    <row r="1749" ht="15.75" customHeight="1">
      <c r="A1749" s="64">
        <v>45451.0</v>
      </c>
      <c r="B1749" s="55" t="str">
        <f>HYPERLINK("https://jobright.ai/jobs/info/6677d2fb97271e26801e37d7?utm_campaign=1057&amp;utm_source=sheet", "Apply")</f>
        <v>Apply</v>
      </c>
      <c r="C1749" s="10" t="s">
        <v>25697</v>
      </c>
      <c r="D1749" s="56" t="s">
        <v>1662</v>
      </c>
      <c r="E1749" s="10" t="s">
        <v>209</v>
      </c>
      <c r="F1749" s="10" t="s">
        <v>1663</v>
      </c>
      <c r="G1749" s="10" t="s">
        <v>24031</v>
      </c>
      <c r="H1749" s="10" t="s">
        <v>167</v>
      </c>
      <c r="I1749" s="10" t="s">
        <v>55</v>
      </c>
      <c r="J1749" s="10" t="s">
        <v>2176</v>
      </c>
      <c r="K1749" s="10" t="s">
        <v>25698</v>
      </c>
      <c r="L1749" s="10" t="s">
        <v>42</v>
      </c>
    </row>
    <row r="1750" ht="15.75" customHeight="1">
      <c r="A1750" s="64">
        <v>45451.0</v>
      </c>
      <c r="B1750" s="55" t="str">
        <f>HYPERLINK("https://jobright.ai/jobs/info/6677d33a97271e26801e3c84?utm_campaign=1057&amp;utm_source=sheet", "Apply")</f>
        <v>Apply</v>
      </c>
      <c r="C1750" s="10" t="s">
        <v>25699</v>
      </c>
      <c r="D1750" s="56" t="s">
        <v>25700</v>
      </c>
      <c r="E1750" s="10">
        <v>119.0</v>
      </c>
      <c r="G1750" s="10" t="s">
        <v>24031</v>
      </c>
      <c r="H1750" s="10" t="s">
        <v>25701</v>
      </c>
      <c r="I1750" s="10" t="s">
        <v>55</v>
      </c>
      <c r="K1750" s="10" t="s">
        <v>25702</v>
      </c>
      <c r="L1750" s="10" t="s">
        <v>42</v>
      </c>
    </row>
    <row r="1751" ht="15.75" customHeight="1">
      <c r="A1751" s="64">
        <v>45451.0</v>
      </c>
      <c r="B1751" s="55" t="str">
        <f>HYPERLINK("https://jobright.ai/jobs/info/6677d6e45793f82273cb3469?utm_campaign=1057&amp;utm_source=sheet", "Apply")</f>
        <v>Apply</v>
      </c>
      <c r="C1751" s="10" t="s">
        <v>25703</v>
      </c>
      <c r="D1751" s="56" t="s">
        <v>25704</v>
      </c>
      <c r="E1751" s="10" t="s">
        <v>79</v>
      </c>
      <c r="F1751" s="10" t="s">
        <v>1893</v>
      </c>
      <c r="G1751" s="10" t="s">
        <v>24043</v>
      </c>
      <c r="H1751" s="10" t="s">
        <v>19797</v>
      </c>
      <c r="I1751" s="10" t="s">
        <v>55</v>
      </c>
      <c r="J1751" s="10" t="s">
        <v>25705</v>
      </c>
      <c r="K1751" s="10" t="s">
        <v>25706</v>
      </c>
      <c r="L1751" s="10" t="s">
        <v>42</v>
      </c>
    </row>
    <row r="1752" ht="15.75" customHeight="1">
      <c r="A1752" s="64">
        <v>45451.0</v>
      </c>
      <c r="B1752" s="55" t="str">
        <f>HYPERLINK("https://jobright.ai/jobs/info/6677d6fb5793f82273cb354a?utm_campaign=1057&amp;utm_source=sheet", "Apply")</f>
        <v>Apply</v>
      </c>
      <c r="C1752" s="10" t="s">
        <v>1891</v>
      </c>
      <c r="D1752" s="56" t="s">
        <v>1892</v>
      </c>
      <c r="E1752" s="10" t="s">
        <v>45</v>
      </c>
      <c r="F1752" s="10" t="s">
        <v>1893</v>
      </c>
      <c r="G1752" s="10" t="s">
        <v>24031</v>
      </c>
      <c r="H1752" s="10" t="s">
        <v>96</v>
      </c>
      <c r="I1752" s="10" t="s">
        <v>55</v>
      </c>
      <c r="J1752" s="10" t="s">
        <v>581</v>
      </c>
      <c r="K1752" s="10" t="s">
        <v>25707</v>
      </c>
      <c r="L1752" s="10" t="s">
        <v>42</v>
      </c>
    </row>
    <row r="1753" ht="15.75" customHeight="1">
      <c r="A1753" s="64">
        <v>45450.0</v>
      </c>
      <c r="B1753" s="55" t="str">
        <f>HYPERLINK("https://jobright.ai/jobs/info/6675e5cd002960a5a8d1a8af?utm_campaign=1057&amp;utm_source=sheet", "Apply")</f>
        <v>Apply</v>
      </c>
      <c r="C1753" s="10" t="s">
        <v>25708</v>
      </c>
      <c r="D1753" s="56" t="s">
        <v>2252</v>
      </c>
      <c r="E1753" s="10" t="s">
        <v>249</v>
      </c>
      <c r="F1753" s="10" t="s">
        <v>2253</v>
      </c>
      <c r="G1753" s="10" t="s">
        <v>24022</v>
      </c>
      <c r="H1753" s="10" t="s">
        <v>996</v>
      </c>
      <c r="I1753" s="10" t="s">
        <v>55</v>
      </c>
      <c r="K1753" s="10" t="s">
        <v>25709</v>
      </c>
      <c r="L1753" s="10" t="s">
        <v>42</v>
      </c>
    </row>
    <row r="1754" ht="15.75" customHeight="1">
      <c r="A1754" s="64">
        <v>45450.0</v>
      </c>
      <c r="B1754" s="55" t="str">
        <f>HYPERLINK("https://jobright.ai/jobs/info/66634c9cd61d5d3f7474654f?utm_campaign=1057&amp;utm_source=sheet", "Apply")</f>
        <v>Apply</v>
      </c>
      <c r="C1754" s="10" t="s">
        <v>25710</v>
      </c>
      <c r="D1754" s="56" t="s">
        <v>12582</v>
      </c>
      <c r="E1754" s="10">
        <v>75.0</v>
      </c>
      <c r="G1754" s="10" t="s">
        <v>24043</v>
      </c>
      <c r="H1754" s="10" t="s">
        <v>845</v>
      </c>
      <c r="I1754" s="10" t="s">
        <v>55</v>
      </c>
      <c r="K1754" s="10" t="s">
        <v>25711</v>
      </c>
      <c r="L1754" s="10" t="s">
        <v>42</v>
      </c>
    </row>
    <row r="1755" ht="15.75" customHeight="1">
      <c r="A1755" s="64">
        <v>45450.0</v>
      </c>
      <c r="B1755" s="55" t="str">
        <f>HYPERLINK("https://jobright.ai/jobs/info/6675b060242bc4c930f29cdb?utm_campaign=1057&amp;utm_source=sheet", "Apply")</f>
        <v>Apply</v>
      </c>
      <c r="C1755" s="10" t="s">
        <v>25712</v>
      </c>
      <c r="D1755" s="56" t="s">
        <v>25713</v>
      </c>
      <c r="E1755" s="10" t="s">
        <v>45</v>
      </c>
      <c r="F1755" s="10" t="s">
        <v>18523</v>
      </c>
      <c r="G1755" s="10" t="s">
        <v>24022</v>
      </c>
      <c r="H1755" s="10" t="s">
        <v>909</v>
      </c>
      <c r="I1755" s="10" t="s">
        <v>55</v>
      </c>
      <c r="K1755" s="10" t="s">
        <v>25714</v>
      </c>
      <c r="L1755" s="10" t="s">
        <v>42</v>
      </c>
    </row>
    <row r="1756" ht="15.75" customHeight="1">
      <c r="A1756" s="64">
        <v>45450.0</v>
      </c>
      <c r="B1756" s="55" t="str">
        <f>HYPERLINK("https://jobright.ai/jobs/info/6675ac506d8340c59f8e49b0?utm_campaign=1057&amp;utm_source=sheet", "Apply")</f>
        <v>Apply</v>
      </c>
      <c r="C1756" s="10" t="s">
        <v>25715</v>
      </c>
      <c r="D1756" s="56" t="s">
        <v>1662</v>
      </c>
      <c r="E1756" s="10" t="s">
        <v>209</v>
      </c>
      <c r="F1756" s="10" t="s">
        <v>1663</v>
      </c>
      <c r="G1756" s="10" t="s">
        <v>24022</v>
      </c>
      <c r="H1756" s="10" t="s">
        <v>167</v>
      </c>
      <c r="I1756" s="10" t="s">
        <v>55</v>
      </c>
      <c r="J1756" s="10" t="s">
        <v>2176</v>
      </c>
      <c r="K1756" s="10" t="s">
        <v>25716</v>
      </c>
      <c r="L1756" s="10" t="s">
        <v>42</v>
      </c>
    </row>
    <row r="1757" ht="15.75" customHeight="1">
      <c r="A1757" s="64">
        <v>45450.0</v>
      </c>
      <c r="B1757" s="55" t="str">
        <f>HYPERLINK("https://jobright.ai/jobs/info/6675a3b5a05c85bb25afacc7?utm_campaign=1057&amp;utm_source=sheet", "Apply")</f>
        <v>Apply</v>
      </c>
      <c r="C1757" s="10" t="s">
        <v>25717</v>
      </c>
      <c r="D1757" s="56" t="s">
        <v>21760</v>
      </c>
      <c r="G1757" s="10" t="s">
        <v>24022</v>
      </c>
      <c r="H1757" s="10" t="s">
        <v>4868</v>
      </c>
      <c r="I1757" s="10" t="s">
        <v>55</v>
      </c>
      <c r="K1757" s="10" t="s">
        <v>25718</v>
      </c>
      <c r="L1757" s="10" t="s">
        <v>42</v>
      </c>
    </row>
    <row r="1758" ht="15.75" customHeight="1">
      <c r="A1758" s="64">
        <v>45450.0</v>
      </c>
      <c r="B1758" s="55" t="str">
        <f>HYPERLINK("https://jobright.ai/jobs/info/6677d7ef5793f82273cb45a5?utm_campaign=1057&amp;utm_source=sheet", "Apply")</f>
        <v>Apply</v>
      </c>
      <c r="C1758" s="10" t="s">
        <v>25719</v>
      </c>
      <c r="D1758" s="56" t="s">
        <v>25720</v>
      </c>
      <c r="E1758" s="10" t="s">
        <v>249</v>
      </c>
      <c r="F1758" s="10" t="s">
        <v>1234</v>
      </c>
      <c r="G1758" s="10" t="s">
        <v>24022</v>
      </c>
      <c r="H1758" s="10" t="s">
        <v>5436</v>
      </c>
      <c r="I1758" s="10" t="s">
        <v>55</v>
      </c>
      <c r="L1758" s="10" t="s">
        <v>42</v>
      </c>
    </row>
    <row r="1759" ht="15.75" customHeight="1">
      <c r="A1759" s="64">
        <v>45450.0</v>
      </c>
      <c r="B1759" s="55" t="str">
        <f>HYPERLINK("https://jobright.ai/jobs/info/6675867124f553052c296e03?utm_campaign=1057&amp;utm_source=sheet", "Apply")</f>
        <v>Apply</v>
      </c>
      <c r="C1759" s="10" t="s">
        <v>25721</v>
      </c>
      <c r="D1759" s="56" t="s">
        <v>2252</v>
      </c>
      <c r="E1759" s="10" t="s">
        <v>249</v>
      </c>
      <c r="F1759" s="10" t="s">
        <v>2253</v>
      </c>
      <c r="G1759" s="10" t="s">
        <v>24022</v>
      </c>
      <c r="H1759" s="10" t="s">
        <v>25722</v>
      </c>
      <c r="I1759" s="10" t="s">
        <v>55</v>
      </c>
      <c r="K1759" s="10" t="s">
        <v>25723</v>
      </c>
      <c r="L1759" s="10" t="s">
        <v>42</v>
      </c>
    </row>
    <row r="1760" ht="15.75" customHeight="1">
      <c r="A1760" s="64">
        <v>45450.0</v>
      </c>
      <c r="B1760" s="55" t="str">
        <f>HYPERLINK("https://jobright.ai/jobs/info/6675ac5c6d8340c59f8e4aea?utm_campaign=1057&amp;utm_source=sheet", "Apply")</f>
        <v>Apply</v>
      </c>
      <c r="C1760" s="10" t="s">
        <v>25724</v>
      </c>
      <c r="D1760" s="56" t="s">
        <v>25725</v>
      </c>
      <c r="E1760" s="10">
        <v>70.0</v>
      </c>
      <c r="G1760" s="10" t="s">
        <v>24043</v>
      </c>
      <c r="H1760" s="10" t="s">
        <v>822</v>
      </c>
      <c r="I1760" s="10" t="s">
        <v>55</v>
      </c>
      <c r="J1760" s="10" t="s">
        <v>13155</v>
      </c>
      <c r="K1760" s="10" t="s">
        <v>25726</v>
      </c>
      <c r="L1760" s="10" t="s">
        <v>42</v>
      </c>
    </row>
    <row r="1761" ht="15.75" customHeight="1">
      <c r="A1761" s="64">
        <v>45450.0</v>
      </c>
      <c r="B1761" s="55" t="str">
        <f>HYPERLINK("https://jobright.ai/jobs/info/6662a8ffb02c70625e9741d5?utm_campaign=1057&amp;utm_source=sheet", "Apply")</f>
        <v>Apply</v>
      </c>
      <c r="C1761" s="10" t="s">
        <v>24270</v>
      </c>
      <c r="D1761" s="56" t="s">
        <v>2202</v>
      </c>
      <c r="E1761" s="10" t="s">
        <v>249</v>
      </c>
      <c r="F1761" s="10" t="s">
        <v>1234</v>
      </c>
      <c r="G1761" s="10" t="s">
        <v>24031</v>
      </c>
      <c r="H1761" s="10" t="s">
        <v>2203</v>
      </c>
      <c r="I1761" s="10" t="s">
        <v>55</v>
      </c>
      <c r="K1761" s="10" t="s">
        <v>25727</v>
      </c>
      <c r="L1761" s="10" t="s">
        <v>42</v>
      </c>
    </row>
    <row r="1762" ht="15.75" customHeight="1">
      <c r="A1762" s="64">
        <v>45450.0</v>
      </c>
      <c r="B1762" s="55" t="str">
        <f>HYPERLINK("https://jobright.ai/jobs/info/6641fcd4a931eb2ed4598f41?utm_campaign=1057&amp;utm_source=sheet", "Apply")</f>
        <v>Apply</v>
      </c>
      <c r="C1762" s="10" t="s">
        <v>25728</v>
      </c>
      <c r="D1762" s="56" t="s">
        <v>25729</v>
      </c>
      <c r="E1762" s="10" t="s">
        <v>65</v>
      </c>
      <c r="F1762" s="10" t="s">
        <v>14970</v>
      </c>
      <c r="G1762" s="10" t="s">
        <v>24022</v>
      </c>
      <c r="H1762" s="10" t="s">
        <v>914</v>
      </c>
      <c r="I1762" s="10" t="s">
        <v>55</v>
      </c>
      <c r="K1762" s="10" t="s">
        <v>25730</v>
      </c>
      <c r="L1762" s="10" t="s">
        <v>42</v>
      </c>
    </row>
    <row r="1763" ht="15.75" customHeight="1">
      <c r="A1763" s="64">
        <v>45450.0</v>
      </c>
      <c r="B1763" s="55" t="str">
        <f>HYPERLINK("https://jobright.ai/jobs/info/66637878d004dd77a49dcd29?utm_campaign=1057&amp;utm_source=sheet", "Apply")</f>
        <v>Apply</v>
      </c>
      <c r="C1763" s="10" t="s">
        <v>25731</v>
      </c>
      <c r="D1763" s="56" t="s">
        <v>18248</v>
      </c>
      <c r="E1763" s="10">
        <v>1545.0</v>
      </c>
      <c r="G1763" s="10" t="s">
        <v>24043</v>
      </c>
      <c r="H1763" s="10" t="s">
        <v>25732</v>
      </c>
      <c r="I1763" s="10" t="s">
        <v>48</v>
      </c>
      <c r="K1763" s="10" t="s">
        <v>24472</v>
      </c>
      <c r="L1763" s="10" t="s">
        <v>42</v>
      </c>
    </row>
    <row r="1764" ht="15.75" customHeight="1">
      <c r="A1764" s="64">
        <v>45449.0</v>
      </c>
      <c r="B1764" s="55" t="str">
        <f>HYPERLINK("https://jobright.ai/jobs/info/6661f2d125bcd4e28e65fff4?utm_campaign=1057&amp;utm_source=sheet", "Apply")</f>
        <v>Apply</v>
      </c>
      <c r="C1764" s="10" t="s">
        <v>25733</v>
      </c>
      <c r="D1764" s="56" t="s">
        <v>1662</v>
      </c>
      <c r="E1764" s="10" t="s">
        <v>209</v>
      </c>
      <c r="F1764" s="10" t="s">
        <v>1663</v>
      </c>
      <c r="G1764" s="10" t="s">
        <v>24031</v>
      </c>
      <c r="H1764" s="10" t="s">
        <v>167</v>
      </c>
      <c r="I1764" s="10" t="s">
        <v>55</v>
      </c>
      <c r="J1764" s="10" t="s">
        <v>18332</v>
      </c>
      <c r="K1764" s="10" t="s">
        <v>25734</v>
      </c>
      <c r="L1764" s="10" t="s">
        <v>42</v>
      </c>
    </row>
    <row r="1765" ht="15.75" customHeight="1">
      <c r="A1765" s="64">
        <v>45449.0</v>
      </c>
      <c r="B1765" s="55" t="str">
        <f>HYPERLINK("https://jobright.ai/jobs/info/666212bc4c46f81f2b0b7f95?utm_campaign=1057&amp;utm_source=sheet", "Apply")</f>
        <v>Apply</v>
      </c>
      <c r="C1765" s="10" t="s">
        <v>25735</v>
      </c>
      <c r="D1765" s="56" t="s">
        <v>1662</v>
      </c>
      <c r="E1765" s="10" t="s">
        <v>209</v>
      </c>
      <c r="F1765" s="10" t="s">
        <v>1663</v>
      </c>
      <c r="G1765" s="10" t="s">
        <v>24022</v>
      </c>
      <c r="H1765" s="10" t="s">
        <v>167</v>
      </c>
      <c r="I1765" s="10" t="s">
        <v>55</v>
      </c>
      <c r="J1765" s="10" t="s">
        <v>3246</v>
      </c>
      <c r="K1765" s="10" t="s">
        <v>25736</v>
      </c>
      <c r="L1765" s="10" t="s">
        <v>42</v>
      </c>
    </row>
    <row r="1766" ht="15.75" customHeight="1">
      <c r="A1766" s="64">
        <v>45449.0</v>
      </c>
      <c r="B1766" s="55" t="str">
        <f>HYPERLINK("https://jobright.ai/jobs/info/6656fc8e370b79848db8f5fd?utm_campaign=1057&amp;utm_source=sheet", "Apply")</f>
        <v>Apply</v>
      </c>
      <c r="C1766" s="10" t="s">
        <v>25737</v>
      </c>
      <c r="D1766" s="56" t="s">
        <v>11709</v>
      </c>
      <c r="E1766" s="10" t="s">
        <v>65</v>
      </c>
      <c r="F1766" s="10" t="s">
        <v>1243</v>
      </c>
      <c r="G1766" s="10" t="s">
        <v>24043</v>
      </c>
      <c r="H1766" s="10" t="s">
        <v>11710</v>
      </c>
      <c r="I1766" s="10" t="s">
        <v>55</v>
      </c>
      <c r="K1766" s="10" t="s">
        <v>25738</v>
      </c>
      <c r="L1766" s="10" t="s">
        <v>42</v>
      </c>
    </row>
    <row r="1767" ht="15.75" customHeight="1">
      <c r="A1767" s="64">
        <v>45449.0</v>
      </c>
      <c r="B1767" s="55" t="str">
        <f>HYPERLINK("https://jobright.ai/jobs/info/6667d48b0e75e6484ca402c9?utm_campaign=1057&amp;utm_source=sheet", "Apply")</f>
        <v>Apply</v>
      </c>
      <c r="C1767" s="10" t="s">
        <v>25739</v>
      </c>
      <c r="D1767" s="56" t="s">
        <v>25740</v>
      </c>
      <c r="E1767" s="10" t="s">
        <v>65</v>
      </c>
      <c r="F1767" s="10" t="s">
        <v>395</v>
      </c>
      <c r="G1767" s="10" t="s">
        <v>24043</v>
      </c>
      <c r="H1767" s="10" t="s">
        <v>19568</v>
      </c>
      <c r="I1767" s="10" t="s">
        <v>55</v>
      </c>
      <c r="K1767" s="10" t="s">
        <v>25741</v>
      </c>
      <c r="L1767" s="10" t="s">
        <v>42</v>
      </c>
    </row>
    <row r="1768" ht="15.75" customHeight="1">
      <c r="A1768" s="64">
        <v>45448.0</v>
      </c>
      <c r="B1768" s="55" t="str">
        <f>HYPERLINK("https://jobright.ai/jobs/info/6660997a281af5b1d64a6a56?utm_campaign=1057&amp;utm_source=sheet", "Apply")</f>
        <v>Apply</v>
      </c>
      <c r="C1768" s="10" t="s">
        <v>25742</v>
      </c>
      <c r="D1768" s="56" t="s">
        <v>25743</v>
      </c>
      <c r="G1768" s="10" t="s">
        <v>24022</v>
      </c>
      <c r="H1768" s="10" t="s">
        <v>974</v>
      </c>
      <c r="I1768" s="10" t="s">
        <v>55</v>
      </c>
      <c r="J1768" s="10" t="s">
        <v>25744</v>
      </c>
      <c r="K1768" s="10" t="s">
        <v>25745</v>
      </c>
      <c r="L1768" s="10" t="s">
        <v>42</v>
      </c>
    </row>
    <row r="1769" ht="15.75" customHeight="1">
      <c r="A1769" s="64">
        <v>45448.0</v>
      </c>
      <c r="B1769" s="55" t="str">
        <f>HYPERLINK("https://jobright.ai/jobs/info/6664519a085d8a72019c1a2e?utm_campaign=1057&amp;utm_source=sheet", "Apply")</f>
        <v>Apply</v>
      </c>
      <c r="C1769" s="10" t="s">
        <v>25746</v>
      </c>
      <c r="D1769" s="56" t="s">
        <v>25747</v>
      </c>
      <c r="E1769" s="10" t="s">
        <v>137</v>
      </c>
      <c r="G1769" s="10" t="s">
        <v>24043</v>
      </c>
      <c r="H1769" s="10" t="s">
        <v>845</v>
      </c>
      <c r="I1769" s="10" t="s">
        <v>55</v>
      </c>
      <c r="K1769" s="10" t="s">
        <v>25748</v>
      </c>
      <c r="L1769" s="10" t="s">
        <v>42</v>
      </c>
    </row>
    <row r="1770" ht="15.75" customHeight="1">
      <c r="A1770" s="64">
        <v>45448.0</v>
      </c>
      <c r="B1770" s="55" t="str">
        <f>HYPERLINK("https://jobright.ai/jobs/info/666105947edbc27ad16f936a?utm_campaign=1057&amp;utm_source=sheet", "Apply")</f>
        <v>Apply</v>
      </c>
      <c r="C1770" s="10" t="s">
        <v>25177</v>
      </c>
      <c r="D1770" s="56" t="s">
        <v>20697</v>
      </c>
      <c r="E1770" s="10" t="s">
        <v>209</v>
      </c>
      <c r="F1770" s="10" t="s">
        <v>2617</v>
      </c>
      <c r="G1770" s="10" t="s">
        <v>24043</v>
      </c>
      <c r="H1770" s="10" t="s">
        <v>24594</v>
      </c>
      <c r="I1770" s="10" t="s">
        <v>55</v>
      </c>
      <c r="J1770" s="10" t="s">
        <v>24234</v>
      </c>
      <c r="K1770" s="10" t="s">
        <v>25178</v>
      </c>
      <c r="L1770" s="10" t="s">
        <v>42</v>
      </c>
    </row>
    <row r="1771" ht="15.75" customHeight="1">
      <c r="A1771" s="64">
        <v>45448.0</v>
      </c>
      <c r="B1771" s="55" t="str">
        <f>HYPERLINK("https://jobright.ai/jobs/info/6662922ad207c74779ac72c2?utm_campaign=1057&amp;utm_source=sheet", "Apply")</f>
        <v>Apply</v>
      </c>
      <c r="C1771" s="10" t="s">
        <v>25749</v>
      </c>
      <c r="D1771" s="56" t="s">
        <v>25750</v>
      </c>
      <c r="E1771" s="10" t="s">
        <v>71</v>
      </c>
      <c r="F1771" s="10" t="s">
        <v>3569</v>
      </c>
      <c r="G1771" s="10" t="s">
        <v>24022</v>
      </c>
      <c r="H1771" s="10" t="s">
        <v>25751</v>
      </c>
      <c r="I1771" s="10" t="s">
        <v>48</v>
      </c>
      <c r="J1771" s="10" t="s">
        <v>1984</v>
      </c>
      <c r="K1771" s="10" t="s">
        <v>25752</v>
      </c>
      <c r="L1771" s="10" t="s">
        <v>42</v>
      </c>
    </row>
    <row r="1772" ht="15.75" customHeight="1">
      <c r="A1772" s="64">
        <v>45447.0</v>
      </c>
      <c r="B1772" s="55" t="str">
        <f>HYPERLINK("https://jobright.ai/jobs/info/665f929b05ea3c06952083d2?utm_campaign=1057&amp;utm_source=sheet", "Apply")</f>
        <v>Apply</v>
      </c>
      <c r="C1772" s="10" t="s">
        <v>25753</v>
      </c>
      <c r="D1772" s="56" t="s">
        <v>2202</v>
      </c>
      <c r="E1772" s="10" t="s">
        <v>249</v>
      </c>
      <c r="F1772" s="10" t="s">
        <v>1234</v>
      </c>
      <c r="G1772" s="10" t="s">
        <v>24031</v>
      </c>
      <c r="H1772" s="10" t="s">
        <v>2203</v>
      </c>
      <c r="I1772" s="10" t="s">
        <v>55</v>
      </c>
      <c r="K1772" s="10" t="s">
        <v>25754</v>
      </c>
      <c r="L1772" s="10" t="s">
        <v>42</v>
      </c>
    </row>
    <row r="1773" ht="15.75" customHeight="1">
      <c r="A1773" s="64">
        <v>45447.0</v>
      </c>
      <c r="B1773" s="55" t="str">
        <f>HYPERLINK("https://jobright.ai/jobs/info/665fe189572c99e7fbc9b911?utm_campaign=1057&amp;utm_source=sheet", "Apply")</f>
        <v>Apply</v>
      </c>
      <c r="C1773" s="10" t="s">
        <v>25755</v>
      </c>
      <c r="D1773" s="56" t="s">
        <v>25756</v>
      </c>
      <c r="G1773" s="10" t="s">
        <v>24043</v>
      </c>
      <c r="H1773" s="10" t="s">
        <v>326</v>
      </c>
      <c r="I1773" s="10" t="s">
        <v>55</v>
      </c>
      <c r="J1773" s="10" t="s">
        <v>25757</v>
      </c>
      <c r="K1773" s="10" t="s">
        <v>25758</v>
      </c>
      <c r="L1773" s="10" t="s">
        <v>42</v>
      </c>
    </row>
    <row r="1774" ht="15.75" customHeight="1">
      <c r="A1774" s="64">
        <v>45447.0</v>
      </c>
      <c r="B1774" s="55" t="str">
        <f>HYPERLINK("https://jobright.ai/jobs/info/665fa20c93efb292daa0b8f0?utm_campaign=1057&amp;utm_source=sheet", "Apply")</f>
        <v>Apply</v>
      </c>
      <c r="C1774" s="10" t="s">
        <v>25759</v>
      </c>
      <c r="D1774" s="56" t="s">
        <v>5557</v>
      </c>
      <c r="E1774" s="10">
        <v>4008.0</v>
      </c>
      <c r="G1774" s="10" t="s">
        <v>24031</v>
      </c>
      <c r="H1774" s="10" t="s">
        <v>661</v>
      </c>
      <c r="I1774" s="10" t="s">
        <v>55</v>
      </c>
      <c r="K1774" s="10" t="s">
        <v>25760</v>
      </c>
      <c r="L1774" s="10" t="s">
        <v>42</v>
      </c>
    </row>
    <row r="1775" ht="15.75" customHeight="1">
      <c r="A1775" s="64">
        <v>45447.0</v>
      </c>
      <c r="B1775" s="55" t="str">
        <f>HYPERLINK("https://jobright.ai/jobs/info/66681f161c2d3f9f5032403c?utm_campaign=1057&amp;utm_source=sheet", "Apply")</f>
        <v>Apply</v>
      </c>
      <c r="C1775" s="10" t="s">
        <v>25761</v>
      </c>
      <c r="D1775" s="56" t="s">
        <v>25740</v>
      </c>
      <c r="E1775" s="10" t="s">
        <v>65</v>
      </c>
      <c r="F1775" s="10" t="s">
        <v>395</v>
      </c>
      <c r="G1775" s="10" t="s">
        <v>24022</v>
      </c>
      <c r="H1775" s="10" t="s">
        <v>19568</v>
      </c>
      <c r="I1775" s="10" t="s">
        <v>55</v>
      </c>
      <c r="K1775" s="10" t="s">
        <v>25762</v>
      </c>
      <c r="L1775" s="10" t="s">
        <v>42</v>
      </c>
    </row>
    <row r="1776" ht="15.75" customHeight="1">
      <c r="A1776" s="64">
        <v>45447.0</v>
      </c>
      <c r="B1776" s="55" t="str">
        <f>HYPERLINK("https://jobright.ai/jobs/info/66681ec61c2d3f9f50323fe2?utm_campaign=1057&amp;utm_source=sheet", "Apply")</f>
        <v>Apply</v>
      </c>
      <c r="C1776" s="10" t="s">
        <v>25763</v>
      </c>
      <c r="D1776" s="56" t="s">
        <v>2836</v>
      </c>
      <c r="E1776" s="10" t="s">
        <v>45</v>
      </c>
      <c r="F1776" s="10" t="s">
        <v>665</v>
      </c>
      <c r="G1776" s="10" t="s">
        <v>24022</v>
      </c>
      <c r="H1776" s="10" t="s">
        <v>24001</v>
      </c>
      <c r="I1776" s="10" t="s">
        <v>55</v>
      </c>
      <c r="K1776" s="10" t="s">
        <v>25764</v>
      </c>
      <c r="L1776" s="10" t="s">
        <v>42</v>
      </c>
    </row>
    <row r="1777" ht="15.75" customHeight="1">
      <c r="A1777" s="64">
        <v>45447.0</v>
      </c>
      <c r="B1777" s="55" t="str">
        <f>HYPERLINK("https://jobright.ai/jobs/info/66680fa4d19f25c2c7cd193c?utm_campaign=1057&amp;utm_source=sheet", "Apply")</f>
        <v>Apply</v>
      </c>
      <c r="C1777" s="10" t="s">
        <v>25765</v>
      </c>
      <c r="D1777" s="56" t="s">
        <v>1414</v>
      </c>
      <c r="E1777" s="10" t="s">
        <v>45</v>
      </c>
      <c r="F1777" s="10" t="s">
        <v>1415</v>
      </c>
      <c r="G1777" s="10" t="s">
        <v>24022</v>
      </c>
      <c r="H1777" s="10" t="s">
        <v>1533</v>
      </c>
      <c r="I1777" s="10" t="s">
        <v>55</v>
      </c>
      <c r="K1777" s="10" t="s">
        <v>25766</v>
      </c>
      <c r="L1777" s="10" t="s">
        <v>42</v>
      </c>
    </row>
    <row r="1778" ht="15.75" customHeight="1">
      <c r="A1778" s="64">
        <v>45446.0</v>
      </c>
      <c r="B1778" s="55" t="str">
        <f>HYPERLINK("https://jobright.ai/jobs/info/665b56769c907a27d7bcd903?utm_campaign=1057&amp;utm_source=sheet", "Apply")</f>
        <v>Apply</v>
      </c>
      <c r="C1778" s="10" t="s">
        <v>25767</v>
      </c>
      <c r="D1778" s="56" t="s">
        <v>25768</v>
      </c>
      <c r="E1778" s="10" t="s">
        <v>45</v>
      </c>
      <c r="F1778" s="10" t="s">
        <v>1234</v>
      </c>
      <c r="G1778" s="10" t="s">
        <v>24022</v>
      </c>
      <c r="H1778" s="10" t="s">
        <v>16655</v>
      </c>
      <c r="I1778" s="10" t="s">
        <v>55</v>
      </c>
      <c r="J1778" s="10" t="s">
        <v>25769</v>
      </c>
      <c r="K1778" s="10" t="s">
        <v>25770</v>
      </c>
      <c r="L1778" s="10" t="s">
        <v>42</v>
      </c>
    </row>
    <row r="1779" ht="15.75" customHeight="1">
      <c r="A1779" s="64">
        <v>45446.0</v>
      </c>
      <c r="B1779" s="55" t="str">
        <f>HYPERLINK("https://jobright.ai/jobs/info/66682c739d7e47024a77fd02?utm_campaign=1057&amp;utm_source=sheet", "Apply")</f>
        <v>Apply</v>
      </c>
      <c r="C1779" s="10" t="s">
        <v>25771</v>
      </c>
      <c r="D1779" s="56" t="s">
        <v>21423</v>
      </c>
      <c r="E1779" s="10" t="s">
        <v>45</v>
      </c>
      <c r="F1779" s="10" t="s">
        <v>2409</v>
      </c>
      <c r="G1779" s="10" t="s">
        <v>24031</v>
      </c>
      <c r="H1779" s="10" t="s">
        <v>13639</v>
      </c>
      <c r="I1779" s="10" t="s">
        <v>55</v>
      </c>
      <c r="J1779" s="10" t="s">
        <v>4548</v>
      </c>
      <c r="K1779" s="10" t="s">
        <v>25772</v>
      </c>
      <c r="L1779" s="10" t="s">
        <v>42</v>
      </c>
    </row>
    <row r="1780" ht="15.75" customHeight="1">
      <c r="A1780" s="64">
        <v>45444.0</v>
      </c>
      <c r="B1780" s="55" t="str">
        <f>HYPERLINK("https://jobright.ai/jobs/info/665bac82f0a1301a3e164ce8?utm_campaign=1057&amp;utm_source=sheet", "Apply")</f>
        <v>Apply</v>
      </c>
      <c r="C1780" s="10" t="s">
        <v>1891</v>
      </c>
      <c r="D1780" s="56" t="s">
        <v>1892</v>
      </c>
      <c r="E1780" s="10" t="s">
        <v>45</v>
      </c>
      <c r="F1780" s="10" t="s">
        <v>1893</v>
      </c>
      <c r="G1780" s="10" t="s">
        <v>24031</v>
      </c>
      <c r="H1780" s="10" t="s">
        <v>96</v>
      </c>
      <c r="I1780" s="10" t="s">
        <v>48</v>
      </c>
      <c r="K1780" s="10" t="s">
        <v>25773</v>
      </c>
      <c r="L1780" s="10" t="s">
        <v>42</v>
      </c>
    </row>
    <row r="1781" ht="15.75" customHeight="1">
      <c r="A1781" s="64">
        <v>45444.0</v>
      </c>
      <c r="B1781" s="55" t="str">
        <f>HYPERLINK("https://jobright.ai/jobs/info/6677dd52fbac42152a146879?utm_campaign=1057&amp;utm_source=sheet", "Apply")</f>
        <v>Apply</v>
      </c>
      <c r="C1781" s="10" t="s">
        <v>25774</v>
      </c>
      <c r="D1781" s="56" t="s">
        <v>19292</v>
      </c>
      <c r="E1781" s="10" t="s">
        <v>276</v>
      </c>
      <c r="F1781" s="10" t="s">
        <v>19293</v>
      </c>
      <c r="G1781" s="10" t="s">
        <v>24031</v>
      </c>
      <c r="H1781" s="10" t="s">
        <v>572</v>
      </c>
      <c r="I1781" s="10" t="s">
        <v>55</v>
      </c>
      <c r="K1781" s="10" t="s">
        <v>25775</v>
      </c>
      <c r="L1781" s="10" t="s">
        <v>42</v>
      </c>
    </row>
    <row r="1782" ht="15.75" customHeight="1">
      <c r="A1782" s="64">
        <v>45444.0</v>
      </c>
      <c r="B1782" s="55" t="str">
        <f>HYPERLINK("https://jobright.ai/jobs/info/6677dd52fbac42152a14690a?utm_campaign=1057&amp;utm_source=sheet", "Apply")</f>
        <v>Apply</v>
      </c>
      <c r="C1782" s="10" t="s">
        <v>25776</v>
      </c>
      <c r="D1782" s="56" t="s">
        <v>25777</v>
      </c>
      <c r="E1782" s="10">
        <v>6191.0</v>
      </c>
      <c r="G1782" s="10" t="s">
        <v>24022</v>
      </c>
      <c r="H1782" s="10" t="s">
        <v>144</v>
      </c>
      <c r="I1782" s="10" t="s">
        <v>48</v>
      </c>
      <c r="J1782" s="10" t="s">
        <v>25778</v>
      </c>
      <c r="K1782" s="10" t="s">
        <v>25779</v>
      </c>
      <c r="L1782" s="10" t="s">
        <v>42</v>
      </c>
    </row>
    <row r="1783" ht="15.75" customHeight="1">
      <c r="A1783" s="64">
        <v>45443.0</v>
      </c>
      <c r="B1783" s="55" t="str">
        <f>HYPERLINK("https://jobright.ai/jobs/info/665a6e31ffd8d49a04e76a58?utm_campaign=1057&amp;utm_source=sheet", "Apply")</f>
        <v>Apply</v>
      </c>
      <c r="C1783" s="10" t="s">
        <v>25780</v>
      </c>
      <c r="D1783" s="56" t="s">
        <v>2069</v>
      </c>
      <c r="E1783" s="10" t="s">
        <v>65</v>
      </c>
      <c r="F1783" s="10" t="s">
        <v>1663</v>
      </c>
      <c r="G1783" s="10" t="s">
        <v>24022</v>
      </c>
      <c r="H1783" s="10" t="s">
        <v>2070</v>
      </c>
      <c r="I1783" s="10" t="s">
        <v>55</v>
      </c>
      <c r="K1783" s="10" t="s">
        <v>9011</v>
      </c>
      <c r="L1783" s="10" t="s">
        <v>42</v>
      </c>
    </row>
    <row r="1784" ht="15.75" customHeight="1">
      <c r="A1784" s="64">
        <v>45443.0</v>
      </c>
      <c r="B1784" s="55" t="str">
        <f>HYPERLINK("https://jobright.ai/jobs/info/665a41eb9ae897fa36b20b86?utm_campaign=1057&amp;utm_source=sheet", "Apply")</f>
        <v>Apply</v>
      </c>
      <c r="C1784" s="10" t="s">
        <v>25781</v>
      </c>
      <c r="D1784" s="56" t="s">
        <v>25782</v>
      </c>
      <c r="E1784" s="10" t="s">
        <v>249</v>
      </c>
      <c r="G1784" s="10" t="s">
        <v>24031</v>
      </c>
      <c r="H1784" s="10" t="s">
        <v>860</v>
      </c>
      <c r="I1784" s="10" t="s">
        <v>55</v>
      </c>
      <c r="K1784" s="10" t="s">
        <v>25783</v>
      </c>
      <c r="L1784" s="10" t="s">
        <v>42</v>
      </c>
    </row>
    <row r="1785" ht="15.75" customHeight="1">
      <c r="A1785" s="64">
        <v>45443.0</v>
      </c>
      <c r="B1785" s="55" t="str">
        <f>HYPERLINK("https://jobright.ai/jobs/info/665a1470a4eed4db572500eb?utm_campaign=1057&amp;utm_source=sheet", "Apply")</f>
        <v>Apply</v>
      </c>
      <c r="C1785" s="10" t="s">
        <v>24310</v>
      </c>
      <c r="D1785" s="56" t="s">
        <v>8289</v>
      </c>
      <c r="E1785" s="10" t="s">
        <v>65</v>
      </c>
      <c r="F1785" s="10" t="s">
        <v>7760</v>
      </c>
      <c r="G1785" s="10" t="s">
        <v>24043</v>
      </c>
      <c r="H1785" s="10" t="s">
        <v>3374</v>
      </c>
      <c r="I1785" s="10" t="s">
        <v>55</v>
      </c>
      <c r="K1785" s="10" t="s">
        <v>24311</v>
      </c>
      <c r="L1785" s="10" t="s">
        <v>42</v>
      </c>
    </row>
    <row r="1786" ht="15.75" customHeight="1">
      <c r="A1786" s="64">
        <v>45443.0</v>
      </c>
      <c r="B1786" s="55" t="str">
        <f>HYPERLINK("https://jobright.ai/jobs/info/6675f3aa2617111d53a448fe?utm_campaign=1057&amp;utm_source=sheet", "Apply")</f>
        <v>Apply</v>
      </c>
      <c r="C1786" s="10" t="s">
        <v>25784</v>
      </c>
      <c r="D1786" s="56" t="s">
        <v>2252</v>
      </c>
      <c r="E1786" s="10" t="s">
        <v>249</v>
      </c>
      <c r="F1786" s="10" t="s">
        <v>2253</v>
      </c>
      <c r="G1786" s="10" t="s">
        <v>24031</v>
      </c>
      <c r="H1786" s="10" t="s">
        <v>996</v>
      </c>
      <c r="I1786" s="10" t="s">
        <v>55</v>
      </c>
      <c r="K1786" s="10" t="s">
        <v>25785</v>
      </c>
      <c r="L1786" s="10" t="s">
        <v>42</v>
      </c>
    </row>
    <row r="1787" ht="15.75" customHeight="1">
      <c r="A1787" s="64">
        <v>45443.0</v>
      </c>
      <c r="B1787" s="55" t="str">
        <f>HYPERLINK("https://jobright.ai/jobs/info/6675f79680091fbf5e3ec566?utm_campaign=1057&amp;utm_source=sheet", "Apply")</f>
        <v>Apply</v>
      </c>
      <c r="C1787" s="10" t="s">
        <v>25197</v>
      </c>
      <c r="D1787" s="56" t="s">
        <v>25786</v>
      </c>
      <c r="E1787" s="10">
        <v>174.0</v>
      </c>
      <c r="G1787" s="10" t="s">
        <v>24022</v>
      </c>
      <c r="H1787" s="10" t="s">
        <v>25787</v>
      </c>
      <c r="I1787" s="10" t="s">
        <v>55</v>
      </c>
      <c r="K1787" s="10" t="s">
        <v>25788</v>
      </c>
      <c r="L1787" s="10" t="s">
        <v>42</v>
      </c>
    </row>
    <row r="1788" ht="15.75" customHeight="1">
      <c r="A1788" s="64">
        <v>45443.0</v>
      </c>
      <c r="B1788" s="55" t="str">
        <f>HYPERLINK("https://jobright.ai/jobs/info/666c490a5e5b402302c38303?utm_campaign=1057&amp;utm_source=sheet", "Apply")</f>
        <v>Apply</v>
      </c>
      <c r="C1788" s="10" t="s">
        <v>25789</v>
      </c>
      <c r="D1788" s="56" t="s">
        <v>25790</v>
      </c>
      <c r="E1788" s="10" t="s">
        <v>45</v>
      </c>
      <c r="F1788" s="10" t="s">
        <v>1506</v>
      </c>
      <c r="G1788" s="10" t="s">
        <v>24031</v>
      </c>
      <c r="H1788" s="10" t="s">
        <v>10654</v>
      </c>
      <c r="I1788" s="10" t="s">
        <v>55</v>
      </c>
      <c r="K1788" s="10" t="s">
        <v>25791</v>
      </c>
      <c r="L1788" s="10" t="s">
        <v>42</v>
      </c>
    </row>
    <row r="1789" ht="15.75" customHeight="1">
      <c r="A1789" s="64">
        <v>45443.0</v>
      </c>
      <c r="B1789" s="55" t="str">
        <f>HYPERLINK("https://jobright.ai/jobs/info/665a727d7793273576a840f7?utm_campaign=1057&amp;utm_source=sheet", "Apply")</f>
        <v>Apply</v>
      </c>
      <c r="C1789" s="10" t="s">
        <v>25792</v>
      </c>
      <c r="D1789" s="56" t="s">
        <v>25358</v>
      </c>
      <c r="E1789" s="10" t="s">
        <v>249</v>
      </c>
      <c r="F1789" s="10" t="s">
        <v>1695</v>
      </c>
      <c r="G1789" s="10" t="s">
        <v>24043</v>
      </c>
      <c r="H1789" s="10" t="s">
        <v>16447</v>
      </c>
      <c r="I1789" s="10" t="s">
        <v>55</v>
      </c>
      <c r="J1789" s="10" t="s">
        <v>25793</v>
      </c>
      <c r="K1789" s="10" t="s">
        <v>25794</v>
      </c>
      <c r="L1789" s="10" t="s">
        <v>42</v>
      </c>
    </row>
    <row r="1790" ht="15.75" customHeight="1">
      <c r="A1790" s="64">
        <v>45442.0</v>
      </c>
      <c r="B1790" s="55" t="str">
        <f>HYPERLINK("https://jobright.ai/jobs/info/66592231dc30f127d7d7173e?utm_campaign=1057&amp;utm_source=sheet", "Apply")</f>
        <v>Apply</v>
      </c>
      <c r="C1790" s="10" t="s">
        <v>25795</v>
      </c>
      <c r="D1790" s="56" t="s">
        <v>25796</v>
      </c>
      <c r="E1790" s="10" t="s">
        <v>276</v>
      </c>
      <c r="F1790" s="10" t="s">
        <v>21870</v>
      </c>
      <c r="G1790" s="10" t="s">
        <v>24043</v>
      </c>
      <c r="H1790" s="10" t="s">
        <v>245</v>
      </c>
      <c r="I1790" s="10" t="s">
        <v>252</v>
      </c>
      <c r="K1790" s="10" t="s">
        <v>25797</v>
      </c>
      <c r="L1790" s="10" t="s">
        <v>42</v>
      </c>
    </row>
    <row r="1791" ht="15.75" customHeight="1">
      <c r="A1791" s="64">
        <v>45442.0</v>
      </c>
      <c r="B1791" s="55" t="str">
        <f>HYPERLINK("https://jobright.ai/jobs/info/6661a8d2a1f0f2f5a01a4a57?utm_campaign=1057&amp;utm_source=sheet", "Apply")</f>
        <v>Apply</v>
      </c>
      <c r="C1791" s="10" t="s">
        <v>25798</v>
      </c>
      <c r="D1791" s="56" t="s">
        <v>25799</v>
      </c>
      <c r="E1791" s="10" t="s">
        <v>249</v>
      </c>
      <c r="F1791" s="10" t="s">
        <v>2409</v>
      </c>
      <c r="G1791" s="10" t="s">
        <v>24022</v>
      </c>
      <c r="H1791" s="10" t="s">
        <v>170</v>
      </c>
      <c r="I1791" s="10" t="s">
        <v>55</v>
      </c>
      <c r="K1791" s="10" t="s">
        <v>25800</v>
      </c>
      <c r="L1791" s="10" t="s">
        <v>42</v>
      </c>
    </row>
    <row r="1792" ht="15.75" customHeight="1">
      <c r="A1792" s="64">
        <v>45441.0</v>
      </c>
      <c r="B1792" s="55" t="str">
        <f>HYPERLINK("https://jobright.ai/jobs/info/667c3ba60a9146e544620033?utm_campaign=1057&amp;utm_source=sheet", "Apply")</f>
        <v>Apply</v>
      </c>
      <c r="C1792" s="10" t="s">
        <v>25801</v>
      </c>
      <c r="D1792" s="56" t="s">
        <v>25802</v>
      </c>
      <c r="E1792" s="10">
        <v>2471.0</v>
      </c>
      <c r="G1792" s="10" t="s">
        <v>24043</v>
      </c>
      <c r="H1792" s="10" t="s">
        <v>574</v>
      </c>
      <c r="I1792" s="10" t="s">
        <v>55</v>
      </c>
      <c r="L1792" s="10" t="s">
        <v>42</v>
      </c>
    </row>
    <row r="1793" ht="15.75" customHeight="1">
      <c r="A1793" s="64">
        <v>45441.0</v>
      </c>
      <c r="B1793" s="55" t="str">
        <f>HYPERLINK("https://jobright.ai/jobs/info/667c3ba60a9146e544620037?utm_campaign=1057&amp;utm_source=sheet", "Apply")</f>
        <v>Apply</v>
      </c>
      <c r="C1793" s="10" t="s">
        <v>25803</v>
      </c>
      <c r="D1793" s="56" t="s">
        <v>25802</v>
      </c>
      <c r="E1793" s="10">
        <v>2471.0</v>
      </c>
      <c r="G1793" s="10" t="s">
        <v>24043</v>
      </c>
      <c r="H1793" s="10" t="s">
        <v>574</v>
      </c>
      <c r="I1793" s="10" t="s">
        <v>55</v>
      </c>
      <c r="K1793" s="10" t="s">
        <v>25804</v>
      </c>
      <c r="L1793" s="10" t="s">
        <v>42</v>
      </c>
    </row>
    <row r="1794" ht="15.75" customHeight="1">
      <c r="A1794" s="64">
        <v>45441.0</v>
      </c>
      <c r="B1794" s="55" t="str">
        <f>HYPERLINK("https://jobright.ai/jobs/info/667c24bf872f83671d648f14?utm_campaign=1057&amp;utm_source=sheet", "Apply")</f>
        <v>Apply</v>
      </c>
      <c r="C1794" s="10" t="s">
        <v>25805</v>
      </c>
      <c r="D1794" s="56" t="s">
        <v>25802</v>
      </c>
      <c r="E1794" s="10">
        <v>2471.0</v>
      </c>
      <c r="G1794" s="10" t="s">
        <v>24043</v>
      </c>
      <c r="H1794" s="10" t="s">
        <v>574</v>
      </c>
      <c r="I1794" s="10" t="s">
        <v>55</v>
      </c>
      <c r="L1794" s="10" t="s">
        <v>42</v>
      </c>
    </row>
    <row r="1795" ht="15.75" customHeight="1">
      <c r="A1795" s="64">
        <v>45441.0</v>
      </c>
      <c r="B1795" s="55" t="str">
        <f>HYPERLINK("https://jobright.ai/jobs/info/667c24bf872f83671d648f15?utm_campaign=1057&amp;utm_source=sheet", "Apply")</f>
        <v>Apply</v>
      </c>
      <c r="C1795" s="10" t="s">
        <v>25806</v>
      </c>
      <c r="D1795" s="56" t="s">
        <v>25802</v>
      </c>
      <c r="E1795" s="10">
        <v>2471.0</v>
      </c>
      <c r="G1795" s="10" t="s">
        <v>24043</v>
      </c>
      <c r="H1795" s="10" t="s">
        <v>574</v>
      </c>
      <c r="I1795" s="10" t="s">
        <v>55</v>
      </c>
      <c r="K1795" s="10" t="s">
        <v>25807</v>
      </c>
      <c r="L1795" s="10" t="s">
        <v>42</v>
      </c>
    </row>
    <row r="1796" ht="15.75" customHeight="1">
      <c r="A1796" s="64">
        <v>45441.0</v>
      </c>
      <c r="B1796" s="55" t="str">
        <f>HYPERLINK("https://jobright.ai/jobs/info/667c24bf872f83671d648f1a?utm_campaign=1057&amp;utm_source=sheet", "Apply")</f>
        <v>Apply</v>
      </c>
      <c r="C1796" s="10" t="s">
        <v>25808</v>
      </c>
      <c r="D1796" s="56" t="s">
        <v>25802</v>
      </c>
      <c r="E1796" s="10">
        <v>2471.0</v>
      </c>
      <c r="G1796" s="10" t="s">
        <v>24043</v>
      </c>
      <c r="H1796" s="10" t="s">
        <v>574</v>
      </c>
      <c r="I1796" s="10" t="s">
        <v>55</v>
      </c>
      <c r="L1796" s="10" t="s">
        <v>42</v>
      </c>
    </row>
    <row r="1797" ht="15.75" customHeight="1">
      <c r="A1797" s="64">
        <v>45441.0</v>
      </c>
      <c r="B1797" s="55" t="str">
        <f>HYPERLINK("https://jobright.ai/jobs/info/667c19d92b8263fa603a9bdb?utm_campaign=1057&amp;utm_source=sheet", "Apply")</f>
        <v>Apply</v>
      </c>
      <c r="C1797" s="10" t="s">
        <v>25809</v>
      </c>
      <c r="D1797" s="56" t="s">
        <v>25802</v>
      </c>
      <c r="E1797" s="10">
        <v>2471.0</v>
      </c>
      <c r="G1797" s="10" t="s">
        <v>24043</v>
      </c>
      <c r="H1797" s="10" t="s">
        <v>574</v>
      </c>
      <c r="I1797" s="10" t="s">
        <v>55</v>
      </c>
      <c r="L1797" s="10" t="s">
        <v>42</v>
      </c>
    </row>
    <row r="1798" ht="15.75" customHeight="1">
      <c r="A1798" s="64">
        <v>45441.0</v>
      </c>
      <c r="B1798" s="55" t="str">
        <f>HYPERLINK("https://jobright.ai/jobs/info/6656bcd91d01023017c9e077?utm_campaign=1057&amp;utm_source=sheet", "Apply")</f>
        <v>Apply</v>
      </c>
      <c r="C1798" s="10" t="s">
        <v>25810</v>
      </c>
      <c r="D1798" s="56" t="s">
        <v>24896</v>
      </c>
      <c r="E1798" s="10" t="s">
        <v>45</v>
      </c>
      <c r="F1798" s="10" t="s">
        <v>1893</v>
      </c>
      <c r="G1798" s="10" t="s">
        <v>24043</v>
      </c>
      <c r="H1798" s="10" t="s">
        <v>5691</v>
      </c>
      <c r="I1798" s="10" t="s">
        <v>55</v>
      </c>
      <c r="K1798" s="10" t="s">
        <v>25811</v>
      </c>
      <c r="L1798" s="10" t="s">
        <v>42</v>
      </c>
    </row>
    <row r="1799" ht="15.75" customHeight="1">
      <c r="A1799" s="64">
        <v>45441.0</v>
      </c>
      <c r="B1799" s="55" t="str">
        <f>HYPERLINK("https://jobright.ai/jobs/info/6656a4eab898c43d6ab07a66?utm_campaign=1057&amp;utm_source=sheet", "Apply")</f>
        <v>Apply</v>
      </c>
      <c r="C1799" s="10" t="s">
        <v>8377</v>
      </c>
      <c r="D1799" s="56" t="s">
        <v>2922</v>
      </c>
      <c r="E1799" s="10" t="s">
        <v>45</v>
      </c>
      <c r="F1799" s="10" t="s">
        <v>1234</v>
      </c>
      <c r="G1799" s="10" t="s">
        <v>24031</v>
      </c>
      <c r="H1799" s="10" t="s">
        <v>965</v>
      </c>
      <c r="I1799" s="10" t="s">
        <v>55</v>
      </c>
      <c r="K1799" s="10" t="s">
        <v>25812</v>
      </c>
      <c r="L1799" s="10" t="s">
        <v>42</v>
      </c>
    </row>
    <row r="1800" ht="15.75" customHeight="1">
      <c r="A1800" s="64">
        <v>45441.0</v>
      </c>
      <c r="B1800" s="55" t="str">
        <f>HYPERLINK("https://jobright.ai/jobs/info/664d6ee1cb8838f4f17813b6?utm_campaign=1057&amp;utm_source=sheet", "Apply")</f>
        <v>Apply</v>
      </c>
      <c r="C1800" s="10" t="s">
        <v>8861</v>
      </c>
      <c r="D1800" s="56" t="s">
        <v>2922</v>
      </c>
      <c r="E1800" s="10" t="s">
        <v>45</v>
      </c>
      <c r="F1800" s="10" t="s">
        <v>1234</v>
      </c>
      <c r="G1800" s="10" t="s">
        <v>24031</v>
      </c>
      <c r="H1800" s="10" t="s">
        <v>965</v>
      </c>
      <c r="I1800" s="10" t="s">
        <v>55</v>
      </c>
      <c r="K1800" s="10" t="s">
        <v>25813</v>
      </c>
      <c r="L1800" s="10" t="s">
        <v>42</v>
      </c>
    </row>
    <row r="1801" ht="15.75" customHeight="1">
      <c r="A1801" s="64">
        <v>45441.0</v>
      </c>
      <c r="B1801" s="55" t="str">
        <f>HYPERLINK("https://jobright.ai/jobs/info/6676335ee272243dcd4f5d90?utm_campaign=1057&amp;utm_source=sheet", "Apply")</f>
        <v>Apply</v>
      </c>
      <c r="C1801" s="10" t="s">
        <v>7695</v>
      </c>
      <c r="D1801" s="56" t="s">
        <v>2922</v>
      </c>
      <c r="E1801" s="10" t="s">
        <v>45</v>
      </c>
      <c r="F1801" s="10" t="s">
        <v>1234</v>
      </c>
      <c r="G1801" s="10" t="s">
        <v>24031</v>
      </c>
      <c r="H1801" s="10" t="s">
        <v>965</v>
      </c>
      <c r="I1801" s="10" t="s">
        <v>55</v>
      </c>
      <c r="K1801" s="10" t="s">
        <v>25814</v>
      </c>
      <c r="L1801" s="10" t="s">
        <v>42</v>
      </c>
    </row>
    <row r="1802" ht="15.75" customHeight="1">
      <c r="A1802" s="64">
        <v>45441.0</v>
      </c>
      <c r="B1802" s="55" t="str">
        <f>HYPERLINK("https://jobright.ai/jobs/info/66686c398208ff983dbcf17f?utm_campaign=1057&amp;utm_source=sheet", "Apply")</f>
        <v>Apply</v>
      </c>
      <c r="C1802" s="10" t="s">
        <v>25815</v>
      </c>
      <c r="D1802" s="56" t="s">
        <v>9178</v>
      </c>
      <c r="E1802" s="10" t="s">
        <v>209</v>
      </c>
      <c r="F1802" s="10" t="s">
        <v>1695</v>
      </c>
      <c r="G1802" s="10" t="s">
        <v>24031</v>
      </c>
      <c r="H1802" s="10" t="s">
        <v>9179</v>
      </c>
      <c r="I1802" s="10" t="s">
        <v>55</v>
      </c>
      <c r="K1802" s="10" t="s">
        <v>25816</v>
      </c>
      <c r="L1802" s="10" t="s">
        <v>42</v>
      </c>
    </row>
    <row r="1803" ht="15.75" customHeight="1">
      <c r="A1803" s="64">
        <v>45440.0</v>
      </c>
      <c r="B1803" s="55" t="str">
        <f>HYPERLINK("https://jobright.ai/jobs/info/66565eaa993d9861d85f67de?utm_campaign=1057&amp;utm_source=sheet", "Apply")</f>
        <v>Apply</v>
      </c>
      <c r="C1803" s="10" t="s">
        <v>25817</v>
      </c>
      <c r="D1803" s="56" t="s">
        <v>25818</v>
      </c>
      <c r="E1803" s="10" t="s">
        <v>45</v>
      </c>
      <c r="G1803" s="10" t="s">
        <v>24043</v>
      </c>
      <c r="H1803" s="10" t="s">
        <v>5790</v>
      </c>
      <c r="I1803" s="10" t="s">
        <v>48</v>
      </c>
      <c r="K1803" s="10" t="s">
        <v>25819</v>
      </c>
      <c r="L1803" s="10" t="s">
        <v>42</v>
      </c>
    </row>
    <row r="1804" ht="15.75" customHeight="1">
      <c r="A1804" s="64">
        <v>45440.0</v>
      </c>
      <c r="B1804" s="55" t="str">
        <f>HYPERLINK("https://jobright.ai/jobs/info/66565eb2993d9861d85f690f?utm_campaign=1057&amp;utm_source=sheet", "Apply")</f>
        <v>Apply</v>
      </c>
      <c r="C1804" s="10" t="s">
        <v>25820</v>
      </c>
      <c r="D1804" s="56" t="s">
        <v>1547</v>
      </c>
      <c r="E1804" s="10">
        <v>408.0</v>
      </c>
      <c r="G1804" s="10" t="s">
        <v>24022</v>
      </c>
      <c r="H1804" s="10" t="s">
        <v>7111</v>
      </c>
      <c r="I1804" s="10" t="s">
        <v>55</v>
      </c>
      <c r="K1804" s="10" t="s">
        <v>25821</v>
      </c>
      <c r="L1804" s="10" t="s">
        <v>42</v>
      </c>
    </row>
    <row r="1805" ht="15.75" customHeight="1">
      <c r="A1805" s="64">
        <v>45440.0</v>
      </c>
      <c r="B1805" s="55" t="str">
        <f>HYPERLINK("https://jobright.ai/jobs/info/665625cbb2a02293b8480379?utm_campaign=1057&amp;utm_source=sheet", "Apply")</f>
        <v>Apply</v>
      </c>
      <c r="C1805" s="10" t="s">
        <v>25822</v>
      </c>
      <c r="D1805" s="56" t="s">
        <v>24954</v>
      </c>
      <c r="G1805" s="10" t="s">
        <v>24022</v>
      </c>
      <c r="H1805" s="10" t="s">
        <v>2099</v>
      </c>
      <c r="I1805" s="10" t="s">
        <v>55</v>
      </c>
      <c r="J1805" s="10" t="s">
        <v>24955</v>
      </c>
      <c r="K1805" s="10" t="s">
        <v>25823</v>
      </c>
      <c r="L1805" s="10" t="s">
        <v>42</v>
      </c>
    </row>
    <row r="1806" ht="15.75" customHeight="1">
      <c r="A1806" s="64">
        <v>45440.0</v>
      </c>
      <c r="B1806" s="55" t="str">
        <f>HYPERLINK("https://jobright.ai/jobs/info/664ea63b4e197fc8adcf811e?utm_campaign=1057&amp;utm_source=sheet", "Apply")</f>
        <v>Apply</v>
      </c>
      <c r="C1806" s="10" t="s">
        <v>25824</v>
      </c>
      <c r="D1806" s="56" t="s">
        <v>17559</v>
      </c>
      <c r="G1806" s="10" t="s">
        <v>24022</v>
      </c>
      <c r="H1806" s="10" t="s">
        <v>939</v>
      </c>
      <c r="I1806" s="10" t="s">
        <v>55</v>
      </c>
      <c r="K1806" s="10" t="s">
        <v>25825</v>
      </c>
      <c r="L1806" s="10" t="s">
        <v>42</v>
      </c>
    </row>
    <row r="1807" ht="15.75" customHeight="1">
      <c r="A1807" s="64">
        <v>45440.0</v>
      </c>
      <c r="B1807" s="55" t="str">
        <f>HYPERLINK("https://jobright.ai/jobs/info/667d63a824cad70b7cedf63b?utm_campaign=1057&amp;utm_source=sheet", "Apply")</f>
        <v>Apply</v>
      </c>
      <c r="C1807" s="10" t="s">
        <v>25826</v>
      </c>
      <c r="D1807" s="56" t="s">
        <v>1502</v>
      </c>
      <c r="E1807" s="10">
        <v>10345.0</v>
      </c>
      <c r="G1807" s="10" t="s">
        <v>24043</v>
      </c>
      <c r="H1807" s="10" t="s">
        <v>106</v>
      </c>
      <c r="I1807" s="10" t="s">
        <v>55</v>
      </c>
      <c r="K1807" s="10" t="s">
        <v>25341</v>
      </c>
      <c r="L1807" s="10" t="s">
        <v>42</v>
      </c>
    </row>
    <row r="1808" ht="15.75" customHeight="1">
      <c r="A1808" s="64">
        <v>45440.0</v>
      </c>
      <c r="B1808" s="55" t="str">
        <f>HYPERLINK("https://jobright.ai/jobs/info/667d63a824cad70b7cedf63e?utm_campaign=1057&amp;utm_source=sheet", "Apply")</f>
        <v>Apply</v>
      </c>
      <c r="C1808" s="10" t="s">
        <v>25827</v>
      </c>
      <c r="D1808" s="56" t="s">
        <v>1502</v>
      </c>
      <c r="E1808" s="10">
        <v>10345.0</v>
      </c>
      <c r="G1808" s="10" t="s">
        <v>24043</v>
      </c>
      <c r="H1808" s="10" t="s">
        <v>106</v>
      </c>
      <c r="I1808" s="10" t="s">
        <v>55</v>
      </c>
      <c r="K1808" s="10" t="s">
        <v>25828</v>
      </c>
      <c r="L1808" s="10" t="s">
        <v>42</v>
      </c>
    </row>
    <row r="1809" ht="15.75" customHeight="1">
      <c r="A1809" s="64">
        <v>45440.0</v>
      </c>
      <c r="B1809" s="55" t="str">
        <f>HYPERLINK("https://jobright.ai/jobs/info/667aab31a579680bce91968b?utm_campaign=1057&amp;utm_source=sheet", "Apply")</f>
        <v>Apply</v>
      </c>
      <c r="C1809" s="10" t="s">
        <v>25829</v>
      </c>
      <c r="D1809" s="56" t="s">
        <v>10126</v>
      </c>
      <c r="E1809" s="10">
        <v>276.0</v>
      </c>
      <c r="G1809" s="10" t="s">
        <v>24022</v>
      </c>
      <c r="H1809" s="10" t="s">
        <v>11407</v>
      </c>
      <c r="I1809" s="10" t="s">
        <v>55</v>
      </c>
      <c r="J1809" s="10" t="s">
        <v>2311</v>
      </c>
      <c r="K1809" s="10" t="s">
        <v>24101</v>
      </c>
      <c r="L1809" s="10" t="s">
        <v>42</v>
      </c>
    </row>
    <row r="1810" ht="15.75" customHeight="1">
      <c r="A1810" s="64">
        <v>45440.0</v>
      </c>
      <c r="B1810" s="55" t="str">
        <f>HYPERLINK("https://jobright.ai/jobs/info/667aab31a579680bce91969a?utm_campaign=1057&amp;utm_source=sheet", "Apply")</f>
        <v>Apply</v>
      </c>
      <c r="C1810" s="10" t="s">
        <v>25830</v>
      </c>
      <c r="D1810" s="56" t="s">
        <v>10126</v>
      </c>
      <c r="E1810" s="10">
        <v>276.0</v>
      </c>
      <c r="G1810" s="10" t="s">
        <v>24022</v>
      </c>
      <c r="H1810" s="10" t="s">
        <v>11407</v>
      </c>
      <c r="I1810" s="10" t="s">
        <v>55</v>
      </c>
      <c r="J1810" s="10" t="s">
        <v>2311</v>
      </c>
      <c r="K1810" s="10" t="s">
        <v>24101</v>
      </c>
      <c r="L1810" s="10" t="s">
        <v>42</v>
      </c>
    </row>
    <row r="1811" ht="15.75" customHeight="1">
      <c r="A1811" s="64">
        <v>45440.0</v>
      </c>
      <c r="B1811" s="55" t="str">
        <f>HYPERLINK("https://jobright.ai/jobs/info/66688275f8309f8de12c5291?utm_campaign=1057&amp;utm_source=sheet", "Apply")</f>
        <v>Apply</v>
      </c>
      <c r="C1811" s="10" t="s">
        <v>8377</v>
      </c>
      <c r="D1811" s="56" t="s">
        <v>2922</v>
      </c>
      <c r="E1811" s="10" t="s">
        <v>45</v>
      </c>
      <c r="F1811" s="10" t="s">
        <v>1234</v>
      </c>
      <c r="G1811" s="10" t="s">
        <v>24031</v>
      </c>
      <c r="H1811" s="10" t="s">
        <v>25831</v>
      </c>
      <c r="I1811" s="10" t="s">
        <v>55</v>
      </c>
      <c r="K1811" s="10" t="s">
        <v>25832</v>
      </c>
      <c r="L1811" s="10" t="s">
        <v>42</v>
      </c>
    </row>
    <row r="1812" ht="15.75" customHeight="1">
      <c r="A1812" s="64">
        <v>45439.0</v>
      </c>
      <c r="B1812" s="55" t="str">
        <f>HYPERLINK("https://jobright.ai/jobs/info/6668839ff8309f8de12c5625?utm_campaign=1057&amp;utm_source=sheet", "Apply")</f>
        <v>Apply</v>
      </c>
      <c r="C1812" s="10" t="s">
        <v>25833</v>
      </c>
      <c r="D1812" s="56" t="s">
        <v>2269</v>
      </c>
      <c r="E1812" s="10" t="s">
        <v>45</v>
      </c>
      <c r="F1812" s="10" t="s">
        <v>665</v>
      </c>
      <c r="G1812" s="10" t="s">
        <v>24022</v>
      </c>
      <c r="H1812" s="10" t="s">
        <v>24001</v>
      </c>
      <c r="I1812" s="10" t="s">
        <v>55</v>
      </c>
      <c r="K1812" s="10" t="s">
        <v>25834</v>
      </c>
      <c r="L1812" s="10" t="s">
        <v>42</v>
      </c>
    </row>
    <row r="1813" ht="15.75" customHeight="1">
      <c r="A1813" s="64">
        <v>45439.0</v>
      </c>
      <c r="B1813" s="55" t="str">
        <f>HYPERLINK("https://jobright.ai/jobs/info/6668839ff8309f8de12c5620?utm_campaign=1057&amp;utm_source=sheet", "Apply")</f>
        <v>Apply</v>
      </c>
      <c r="C1813" s="10" t="s">
        <v>25835</v>
      </c>
      <c r="D1813" s="56" t="s">
        <v>18572</v>
      </c>
      <c r="E1813" s="10" t="s">
        <v>65</v>
      </c>
      <c r="F1813" s="10" t="s">
        <v>3594</v>
      </c>
      <c r="G1813" s="10" t="s">
        <v>24031</v>
      </c>
      <c r="H1813" s="10" t="s">
        <v>15422</v>
      </c>
      <c r="I1813" s="10" t="s">
        <v>55</v>
      </c>
      <c r="K1813" s="10" t="s">
        <v>25836</v>
      </c>
      <c r="L1813" s="10" t="s">
        <v>42</v>
      </c>
    </row>
    <row r="1814" ht="15.75" customHeight="1">
      <c r="A1814" s="64">
        <v>45438.0</v>
      </c>
      <c r="B1814" s="55" t="str">
        <f>HYPERLINK("https://jobright.ai/jobs/info/667acccced1008d97a6866ac?utm_campaign=1057&amp;utm_source=sheet", "Apply")</f>
        <v>Apply</v>
      </c>
      <c r="C1814" s="10" t="s">
        <v>25837</v>
      </c>
      <c r="D1814" s="56" t="s">
        <v>25838</v>
      </c>
      <c r="E1814" s="10" t="s">
        <v>249</v>
      </c>
      <c r="G1814" s="10" t="s">
        <v>24031</v>
      </c>
      <c r="H1814" s="10" t="s">
        <v>1978</v>
      </c>
      <c r="I1814" s="10" t="s">
        <v>55</v>
      </c>
      <c r="K1814" s="10" t="s">
        <v>25839</v>
      </c>
      <c r="L1814" s="10" t="s">
        <v>42</v>
      </c>
    </row>
    <row r="1815" ht="15.75" customHeight="1">
      <c r="A1815" s="64">
        <v>45438.0</v>
      </c>
      <c r="B1815" s="55" t="str">
        <f>HYPERLINK("https://jobright.ai/jobs/info/667ac5746fec2de82002a1af?utm_campaign=1057&amp;utm_source=sheet", "Apply")</f>
        <v>Apply</v>
      </c>
      <c r="C1815" s="10" t="s">
        <v>25840</v>
      </c>
      <c r="D1815" s="56" t="s">
        <v>10126</v>
      </c>
      <c r="E1815" s="10">
        <v>276.0</v>
      </c>
      <c r="G1815" s="10" t="s">
        <v>24022</v>
      </c>
      <c r="H1815" s="10" t="s">
        <v>25841</v>
      </c>
      <c r="I1815" s="10" t="s">
        <v>55</v>
      </c>
      <c r="J1815" s="10" t="s">
        <v>1409</v>
      </c>
      <c r="K1815" s="10" t="s">
        <v>24101</v>
      </c>
      <c r="L1815" s="10" t="s">
        <v>42</v>
      </c>
    </row>
    <row r="1816" ht="15.75" customHeight="1">
      <c r="A1816" s="64">
        <v>45438.0</v>
      </c>
      <c r="B1816" s="55" t="str">
        <f>HYPERLINK("https://jobright.ai/jobs/info/667aaa3ca579680bce918399?utm_campaign=1057&amp;utm_source=sheet", "Apply")</f>
        <v>Apply</v>
      </c>
      <c r="C1816" s="10" t="s">
        <v>25842</v>
      </c>
      <c r="D1816" s="56" t="s">
        <v>10126</v>
      </c>
      <c r="E1816" s="10">
        <v>276.0</v>
      </c>
      <c r="G1816" s="10" t="s">
        <v>24022</v>
      </c>
      <c r="H1816" s="10" t="s">
        <v>25841</v>
      </c>
      <c r="I1816" s="10" t="s">
        <v>55</v>
      </c>
      <c r="J1816" s="10" t="s">
        <v>1409</v>
      </c>
      <c r="K1816" s="10" t="s">
        <v>24101</v>
      </c>
      <c r="L1816" s="10" t="s">
        <v>42</v>
      </c>
    </row>
    <row r="1817" ht="15.75" customHeight="1">
      <c r="A1817" s="64">
        <v>45437.0</v>
      </c>
      <c r="B1817" s="55" t="str">
        <f>HYPERLINK("https://jobright.ai/jobs/info/665484e4dc70ef329d81f8e7?utm_campaign=1057&amp;utm_source=sheet", "Apply")</f>
        <v>Apply</v>
      </c>
      <c r="C1817" s="10" t="s">
        <v>25843</v>
      </c>
      <c r="D1817" s="56" t="s">
        <v>25844</v>
      </c>
      <c r="E1817" s="10">
        <v>285.0</v>
      </c>
      <c r="G1817" s="10" t="s">
        <v>24022</v>
      </c>
      <c r="H1817" s="10" t="s">
        <v>16300</v>
      </c>
      <c r="I1817" s="10" t="s">
        <v>55</v>
      </c>
      <c r="J1817" s="10" t="s">
        <v>11147</v>
      </c>
      <c r="K1817" s="10" t="s">
        <v>25845</v>
      </c>
      <c r="L1817" s="10" t="s">
        <v>42</v>
      </c>
    </row>
    <row r="1818" ht="15.75" customHeight="1">
      <c r="A1818" s="64">
        <v>45437.0</v>
      </c>
      <c r="B1818" s="55" t="str">
        <f>HYPERLINK("https://jobright.ai/jobs/info/6677de1afbac42152a1478c7?utm_campaign=1057&amp;utm_source=sheet", "Apply")</f>
        <v>Apply</v>
      </c>
      <c r="C1818" s="10" t="s">
        <v>25846</v>
      </c>
      <c r="D1818" s="56" t="s">
        <v>25847</v>
      </c>
      <c r="G1818" s="10" t="s">
        <v>24022</v>
      </c>
      <c r="H1818" s="10" t="s">
        <v>6546</v>
      </c>
      <c r="I1818" s="10" t="s">
        <v>55</v>
      </c>
      <c r="J1818" s="10" t="s">
        <v>25848</v>
      </c>
      <c r="K1818" s="10" t="s">
        <v>25849</v>
      </c>
      <c r="L1818" s="10" t="s">
        <v>42</v>
      </c>
    </row>
    <row r="1819" ht="15.75" customHeight="1">
      <c r="A1819" s="64">
        <v>45437.0</v>
      </c>
      <c r="B1819" s="55" t="str">
        <f>HYPERLINK("https://jobright.ai/jobs/info/6677dc92fbac42152a145ac8?utm_campaign=1057&amp;utm_source=sheet", "Apply")</f>
        <v>Apply</v>
      </c>
      <c r="C1819" s="10" t="s">
        <v>25850</v>
      </c>
      <c r="D1819" s="56" t="s">
        <v>25851</v>
      </c>
      <c r="E1819" s="10">
        <v>557.0</v>
      </c>
      <c r="G1819" s="10" t="s">
        <v>24022</v>
      </c>
      <c r="H1819" s="10" t="s">
        <v>872</v>
      </c>
      <c r="I1819" s="10" t="s">
        <v>55</v>
      </c>
      <c r="K1819" s="10" t="s">
        <v>25852</v>
      </c>
      <c r="L1819" s="10" t="s">
        <v>42</v>
      </c>
    </row>
    <row r="1820" ht="15.75" customHeight="1">
      <c r="A1820" s="64">
        <v>45437.0</v>
      </c>
      <c r="B1820" s="55" t="str">
        <f>HYPERLINK("https://jobright.ai/jobs/info/666d857b3ab4b1211463337c?utm_campaign=1057&amp;utm_source=sheet", "Apply")</f>
        <v>Apply</v>
      </c>
      <c r="C1820" s="10" t="s">
        <v>25853</v>
      </c>
      <c r="D1820" s="56" t="s">
        <v>25854</v>
      </c>
      <c r="E1820" s="10" t="s">
        <v>65</v>
      </c>
      <c r="F1820" s="10" t="s">
        <v>25855</v>
      </c>
      <c r="G1820" s="10" t="s">
        <v>24022</v>
      </c>
      <c r="H1820" s="10" t="s">
        <v>968</v>
      </c>
      <c r="I1820" s="10" t="s">
        <v>55</v>
      </c>
      <c r="K1820" s="10" t="s">
        <v>25856</v>
      </c>
      <c r="L1820" s="10" t="s">
        <v>42</v>
      </c>
    </row>
    <row r="1821" ht="15.75" customHeight="1">
      <c r="A1821" s="64">
        <v>45437.0</v>
      </c>
      <c r="B1821" s="55" t="str">
        <f>HYPERLINK("https://jobright.ai/jobs/info/6653ff0f10036a8d8ae15e17?utm_campaign=1057&amp;utm_source=sheet", "Apply")</f>
        <v>Apply</v>
      </c>
      <c r="C1821" s="10" t="s">
        <v>25857</v>
      </c>
      <c r="D1821" s="56" t="s">
        <v>25858</v>
      </c>
      <c r="E1821" s="10">
        <v>93.0</v>
      </c>
      <c r="G1821" s="10" t="s">
        <v>24031</v>
      </c>
      <c r="H1821" s="10" t="s">
        <v>25859</v>
      </c>
      <c r="I1821" s="10" t="s">
        <v>55</v>
      </c>
      <c r="K1821" s="10" t="s">
        <v>25860</v>
      </c>
      <c r="L1821" s="10" t="s">
        <v>42</v>
      </c>
    </row>
    <row r="1822" ht="15.75" customHeight="1">
      <c r="A1822" s="64">
        <v>45437.0</v>
      </c>
      <c r="B1822" s="55" t="str">
        <f>HYPERLINK("https://jobright.ai/jobs/info/664e983cf97ff61ecf83b172?utm_campaign=1057&amp;utm_source=sheet", "Apply")</f>
        <v>Apply</v>
      </c>
      <c r="C1822" s="10" t="s">
        <v>25861</v>
      </c>
      <c r="D1822" s="56" t="s">
        <v>25862</v>
      </c>
      <c r="E1822" s="10" t="s">
        <v>45</v>
      </c>
      <c r="F1822" s="10" t="s">
        <v>1708</v>
      </c>
      <c r="G1822" s="10" t="s">
        <v>24031</v>
      </c>
      <c r="H1822" s="10" t="s">
        <v>159</v>
      </c>
      <c r="I1822" s="10" t="s">
        <v>55</v>
      </c>
      <c r="K1822" s="10" t="s">
        <v>25863</v>
      </c>
      <c r="L1822" s="10" t="s">
        <v>42</v>
      </c>
    </row>
    <row r="1823" ht="15.75" customHeight="1">
      <c r="A1823" s="64">
        <v>45437.0</v>
      </c>
      <c r="B1823" s="55" t="str">
        <f>HYPERLINK("https://jobright.ai/jobs/info/6651cd257138a66dcce17b01?utm_campaign=1057&amp;utm_source=sheet", "Apply")</f>
        <v>Apply</v>
      </c>
      <c r="C1823" s="10" t="s">
        <v>25864</v>
      </c>
      <c r="D1823" s="56" t="s">
        <v>25865</v>
      </c>
      <c r="E1823" s="10" t="s">
        <v>71</v>
      </c>
      <c r="G1823" s="10" t="s">
        <v>24022</v>
      </c>
      <c r="H1823" s="10" t="s">
        <v>25866</v>
      </c>
      <c r="I1823" s="10" t="s">
        <v>55</v>
      </c>
      <c r="K1823" s="10" t="s">
        <v>25867</v>
      </c>
      <c r="L1823" s="10" t="s">
        <v>42</v>
      </c>
    </row>
    <row r="1824" ht="15.75" customHeight="1">
      <c r="A1824" s="64">
        <v>45436.0</v>
      </c>
      <c r="B1824" s="55" t="str">
        <f>HYPERLINK("https://jobright.ai/jobs/info/6675fc859592a403f1070f64?utm_campaign=1057&amp;utm_source=sheet", "Apply")</f>
        <v>Apply</v>
      </c>
      <c r="C1824" s="10" t="s">
        <v>25868</v>
      </c>
      <c r="D1824" s="56" t="s">
        <v>25869</v>
      </c>
      <c r="G1824" s="10" t="s">
        <v>24022</v>
      </c>
      <c r="H1824" s="10" t="s">
        <v>423</v>
      </c>
      <c r="I1824" s="10" t="s">
        <v>48</v>
      </c>
      <c r="J1824" s="10" t="s">
        <v>25870</v>
      </c>
      <c r="K1824" s="10" t="s">
        <v>25871</v>
      </c>
      <c r="L1824" s="10" t="s">
        <v>42</v>
      </c>
    </row>
    <row r="1825" ht="15.75" customHeight="1">
      <c r="A1825" s="64">
        <v>45436.0</v>
      </c>
      <c r="B1825" s="55" t="str">
        <f>HYPERLINK("https://jobright.ai/jobs/info/66571ab7ace48c3138bc0d6e?utm_campaign=1057&amp;utm_source=sheet", "Apply")</f>
        <v>Apply</v>
      </c>
      <c r="C1825" s="10" t="s">
        <v>25872</v>
      </c>
      <c r="D1825" s="56" t="s">
        <v>25873</v>
      </c>
      <c r="G1825" s="10" t="s">
        <v>24022</v>
      </c>
      <c r="H1825" s="10" t="s">
        <v>765</v>
      </c>
      <c r="I1825" s="10" t="s">
        <v>55</v>
      </c>
      <c r="K1825" s="10" t="s">
        <v>25874</v>
      </c>
      <c r="L1825" s="10" t="s">
        <v>42</v>
      </c>
    </row>
    <row r="1826" ht="15.75" customHeight="1">
      <c r="A1826" s="64">
        <v>45436.0</v>
      </c>
      <c r="B1826" s="55" t="str">
        <f>HYPERLINK("https://jobright.ai/jobs/info/664d85d57d073e53a0013559?utm_campaign=1057&amp;utm_source=sheet", "Apply")</f>
        <v>Apply</v>
      </c>
      <c r="C1826" s="10" t="s">
        <v>25875</v>
      </c>
      <c r="D1826" s="56" t="s">
        <v>2202</v>
      </c>
      <c r="E1826" s="10" t="s">
        <v>249</v>
      </c>
      <c r="F1826" s="10" t="s">
        <v>1234</v>
      </c>
      <c r="G1826" s="10" t="s">
        <v>24031</v>
      </c>
      <c r="H1826" s="10" t="s">
        <v>2203</v>
      </c>
      <c r="I1826" s="10" t="s">
        <v>55</v>
      </c>
      <c r="K1826" s="10" t="s">
        <v>25876</v>
      </c>
      <c r="L1826" s="10" t="s">
        <v>42</v>
      </c>
    </row>
    <row r="1827" ht="15.75" customHeight="1">
      <c r="A1827" s="64">
        <v>45436.0</v>
      </c>
      <c r="B1827" s="55" t="str">
        <f>HYPERLINK("https://jobright.ai/jobs/info/6642f8ac457134082c211926?utm_campaign=1057&amp;utm_source=sheet", "Apply")</f>
        <v>Apply</v>
      </c>
      <c r="C1827" s="10" t="s">
        <v>25877</v>
      </c>
      <c r="D1827" s="56" t="s">
        <v>25729</v>
      </c>
      <c r="E1827" s="10" t="s">
        <v>65</v>
      </c>
      <c r="F1827" s="10" t="s">
        <v>14970</v>
      </c>
      <c r="G1827" s="10" t="s">
        <v>24022</v>
      </c>
      <c r="H1827" s="10" t="s">
        <v>914</v>
      </c>
      <c r="I1827" s="10" t="s">
        <v>55</v>
      </c>
      <c r="K1827" s="10" t="s">
        <v>25878</v>
      </c>
      <c r="L1827" s="10" t="s">
        <v>42</v>
      </c>
    </row>
    <row r="1828" ht="15.75" customHeight="1">
      <c r="A1828" s="64">
        <v>45435.0</v>
      </c>
      <c r="B1828" s="55" t="str">
        <f>HYPERLINK("https://jobright.ai/jobs/info/6677e1c7783a239da841762c?utm_campaign=1057&amp;utm_source=sheet", "Apply")</f>
        <v>Apply</v>
      </c>
      <c r="C1828" s="10" t="s">
        <v>25879</v>
      </c>
      <c r="D1828" s="56" t="s">
        <v>25880</v>
      </c>
      <c r="E1828" s="10" t="s">
        <v>276</v>
      </c>
      <c r="F1828" s="10" t="s">
        <v>25881</v>
      </c>
      <c r="G1828" s="10" t="s">
        <v>24022</v>
      </c>
      <c r="H1828" s="10" t="s">
        <v>1031</v>
      </c>
      <c r="I1828" s="10" t="s">
        <v>55</v>
      </c>
      <c r="K1828" s="10" t="s">
        <v>25882</v>
      </c>
      <c r="L1828" s="10" t="s">
        <v>42</v>
      </c>
    </row>
    <row r="1829" ht="15.75" customHeight="1">
      <c r="A1829" s="64">
        <v>45435.0</v>
      </c>
      <c r="B1829" s="55" t="str">
        <f>HYPERLINK("https://jobright.ai/jobs/info/6677e34f783a239da8419611?utm_campaign=1057&amp;utm_source=sheet", "Apply")</f>
        <v>Apply</v>
      </c>
      <c r="C1829" s="10" t="s">
        <v>25883</v>
      </c>
      <c r="D1829" s="56" t="s">
        <v>14985</v>
      </c>
      <c r="E1829" s="10" t="s">
        <v>137</v>
      </c>
      <c r="G1829" s="10" t="s">
        <v>24022</v>
      </c>
      <c r="H1829" s="10" t="s">
        <v>1015</v>
      </c>
      <c r="I1829" s="10" t="s">
        <v>55</v>
      </c>
      <c r="J1829" s="10" t="s">
        <v>25884</v>
      </c>
      <c r="K1829" s="10" t="s">
        <v>25885</v>
      </c>
      <c r="L1829" s="10" t="s">
        <v>42</v>
      </c>
    </row>
    <row r="1830" ht="15.75" customHeight="1">
      <c r="A1830" s="64">
        <v>45435.0</v>
      </c>
      <c r="B1830" s="55" t="str">
        <f>HYPERLINK("https://jobright.ai/jobs/info/6677e358783a239da84196b0?utm_campaign=1057&amp;utm_source=sheet", "Apply")</f>
        <v>Apply</v>
      </c>
      <c r="C1830" s="10" t="s">
        <v>25886</v>
      </c>
      <c r="D1830" s="56" t="s">
        <v>2077</v>
      </c>
      <c r="E1830" s="10" t="s">
        <v>45</v>
      </c>
      <c r="F1830" s="10" t="s">
        <v>1234</v>
      </c>
      <c r="G1830" s="10" t="s">
        <v>24031</v>
      </c>
      <c r="H1830" s="10" t="s">
        <v>2078</v>
      </c>
      <c r="I1830" s="10" t="s">
        <v>55</v>
      </c>
      <c r="J1830" s="10" t="s">
        <v>15297</v>
      </c>
      <c r="K1830" s="10" t="s">
        <v>25887</v>
      </c>
      <c r="L1830" s="10" t="s">
        <v>42</v>
      </c>
    </row>
    <row r="1831" ht="15.75" customHeight="1">
      <c r="A1831" s="64">
        <v>45435.0</v>
      </c>
      <c r="B1831" s="55" t="str">
        <f>HYPERLINK("https://jobright.ai/jobs/info/6677e7688edbb3fe78f31cd3?utm_campaign=1057&amp;utm_source=sheet", "Apply")</f>
        <v>Apply</v>
      </c>
      <c r="C1831" s="10" t="s">
        <v>25724</v>
      </c>
      <c r="D1831" s="56" t="s">
        <v>25725</v>
      </c>
      <c r="E1831" s="10">
        <v>70.0</v>
      </c>
      <c r="G1831" s="10" t="s">
        <v>24043</v>
      </c>
      <c r="H1831" s="10" t="s">
        <v>19079</v>
      </c>
      <c r="I1831" s="10" t="s">
        <v>55</v>
      </c>
      <c r="J1831" s="10" t="s">
        <v>13155</v>
      </c>
      <c r="K1831" s="10" t="s">
        <v>25726</v>
      </c>
      <c r="L1831" s="10" t="s">
        <v>42</v>
      </c>
    </row>
    <row r="1832" ht="15.75" customHeight="1">
      <c r="A1832" s="64">
        <v>45435.0</v>
      </c>
      <c r="B1832" s="55" t="str">
        <f>HYPERLINK("https://jobright.ai/jobs/info/6677e7718edbb3fe78f31d74?utm_campaign=1057&amp;utm_source=sheet", "Apply")</f>
        <v>Apply</v>
      </c>
      <c r="C1832" s="10" t="s">
        <v>25888</v>
      </c>
      <c r="D1832" s="56" t="s">
        <v>25889</v>
      </c>
      <c r="E1832" s="10" t="s">
        <v>79</v>
      </c>
      <c r="F1832" s="10" t="s">
        <v>5813</v>
      </c>
      <c r="G1832" s="10" t="s">
        <v>24031</v>
      </c>
      <c r="H1832" s="10" t="s">
        <v>18723</v>
      </c>
      <c r="I1832" s="10" t="s">
        <v>55</v>
      </c>
      <c r="K1832" s="10" t="s">
        <v>25890</v>
      </c>
      <c r="L1832" s="10" t="s">
        <v>42</v>
      </c>
    </row>
    <row r="1833" ht="15.75" customHeight="1">
      <c r="A1833" s="64">
        <v>45435.0</v>
      </c>
      <c r="B1833" s="55" t="str">
        <f>HYPERLINK("https://jobright.ai/jobs/info/6677e7d88edbb3fe78f32639?utm_campaign=1057&amp;utm_source=sheet", "Apply")</f>
        <v>Apply</v>
      </c>
      <c r="C1833" s="10" t="s">
        <v>25891</v>
      </c>
      <c r="D1833" s="56" t="s">
        <v>25790</v>
      </c>
      <c r="E1833" s="10" t="s">
        <v>45</v>
      </c>
      <c r="F1833" s="10" t="s">
        <v>1506</v>
      </c>
      <c r="G1833" s="10" t="s">
        <v>24022</v>
      </c>
      <c r="H1833" s="10" t="s">
        <v>10654</v>
      </c>
      <c r="I1833" s="10" t="s">
        <v>55</v>
      </c>
      <c r="K1833" s="10" t="s">
        <v>25892</v>
      </c>
      <c r="L1833" s="10" t="s">
        <v>42</v>
      </c>
    </row>
    <row r="1834" ht="15.75" customHeight="1">
      <c r="A1834" s="64">
        <v>45435.0</v>
      </c>
      <c r="B1834" s="55" t="str">
        <f>HYPERLINK("https://jobright.ai/jobs/info/6677e7108edbb3fe78f315dc?utm_campaign=1057&amp;utm_source=sheet", "Apply")</f>
        <v>Apply</v>
      </c>
      <c r="C1834" s="10" t="s">
        <v>25893</v>
      </c>
      <c r="D1834" s="56" t="s">
        <v>2069</v>
      </c>
      <c r="E1834" s="10" t="s">
        <v>65</v>
      </c>
      <c r="F1834" s="10" t="s">
        <v>1663</v>
      </c>
      <c r="G1834" s="10" t="s">
        <v>24031</v>
      </c>
      <c r="H1834" s="10" t="s">
        <v>2070</v>
      </c>
      <c r="I1834" s="10" t="s">
        <v>55</v>
      </c>
      <c r="J1834" s="10" t="s">
        <v>1804</v>
      </c>
      <c r="K1834" s="10" t="s">
        <v>25894</v>
      </c>
      <c r="L1834" s="10" t="s">
        <v>42</v>
      </c>
    </row>
    <row r="1835" ht="15.75" customHeight="1">
      <c r="A1835" s="64">
        <v>45435.0</v>
      </c>
      <c r="B1835" s="55" t="str">
        <f>HYPERLINK("https://jobright.ai/jobs/info/6677e82f8edbb3fe78f32c9e?utm_campaign=1057&amp;utm_source=sheet", "Apply")</f>
        <v>Apply</v>
      </c>
      <c r="C1835" s="10" t="s">
        <v>25724</v>
      </c>
      <c r="D1835" s="56" t="s">
        <v>25725</v>
      </c>
      <c r="E1835" s="10">
        <v>70.0</v>
      </c>
      <c r="G1835" s="10" t="s">
        <v>24043</v>
      </c>
      <c r="H1835" s="10" t="s">
        <v>20025</v>
      </c>
      <c r="I1835" s="10" t="s">
        <v>55</v>
      </c>
      <c r="J1835" s="10" t="s">
        <v>13155</v>
      </c>
      <c r="K1835" s="10" t="s">
        <v>25726</v>
      </c>
      <c r="L1835" s="10" t="s">
        <v>42</v>
      </c>
    </row>
    <row r="1836" ht="15.75" customHeight="1">
      <c r="A1836" s="64">
        <v>45435.0</v>
      </c>
      <c r="B1836" s="55" t="str">
        <f>HYPERLINK("https://jobright.ai/jobs/info/6677e8508edbb3fe78f32f1b?utm_campaign=1057&amp;utm_source=sheet", "Apply")</f>
        <v>Apply</v>
      </c>
      <c r="C1836" s="10" t="s">
        <v>25895</v>
      </c>
      <c r="D1836" s="56" t="s">
        <v>12738</v>
      </c>
      <c r="E1836" s="10" t="s">
        <v>276</v>
      </c>
      <c r="F1836" s="10" t="s">
        <v>1893</v>
      </c>
      <c r="G1836" s="10" t="s">
        <v>24031</v>
      </c>
      <c r="H1836" s="10" t="s">
        <v>278</v>
      </c>
      <c r="I1836" s="10" t="s">
        <v>55</v>
      </c>
      <c r="J1836" s="10" t="s">
        <v>25896</v>
      </c>
      <c r="K1836" s="10" t="s">
        <v>25897</v>
      </c>
      <c r="L1836" s="10" t="s">
        <v>42</v>
      </c>
    </row>
    <row r="1837" ht="15.75" customHeight="1">
      <c r="A1837" s="64">
        <v>45435.0</v>
      </c>
      <c r="B1837" s="55" t="str">
        <f>HYPERLINK("https://jobright.ai/jobs/info/6677e85b8edbb3fe78f33019?utm_campaign=1057&amp;utm_source=sheet", "Apply")</f>
        <v>Apply</v>
      </c>
      <c r="C1837" s="10" t="s">
        <v>25724</v>
      </c>
      <c r="D1837" s="56" t="s">
        <v>25725</v>
      </c>
      <c r="E1837" s="10">
        <v>70.0</v>
      </c>
      <c r="G1837" s="10" t="s">
        <v>24043</v>
      </c>
      <c r="H1837" s="10" t="s">
        <v>25898</v>
      </c>
      <c r="I1837" s="10" t="s">
        <v>55</v>
      </c>
      <c r="J1837" s="10" t="s">
        <v>13155</v>
      </c>
      <c r="K1837" s="10" t="s">
        <v>25726</v>
      </c>
      <c r="L1837" s="10" t="s">
        <v>42</v>
      </c>
    </row>
    <row r="1838" ht="15.75" customHeight="1">
      <c r="A1838" s="64">
        <v>45435.0</v>
      </c>
      <c r="B1838" s="55" t="str">
        <f>HYPERLINK("https://jobright.ai/jobs/info/6677e8648edbb3fe78f330b1?utm_campaign=1057&amp;utm_source=sheet", "Apply")</f>
        <v>Apply</v>
      </c>
      <c r="C1838" s="10" t="s">
        <v>25899</v>
      </c>
      <c r="D1838" s="56" t="s">
        <v>21760</v>
      </c>
      <c r="G1838" s="10" t="s">
        <v>24022</v>
      </c>
      <c r="H1838" s="10" t="s">
        <v>4868</v>
      </c>
      <c r="I1838" s="10" t="s">
        <v>55</v>
      </c>
      <c r="K1838" s="10" t="s">
        <v>25900</v>
      </c>
      <c r="L1838" s="10" t="s">
        <v>42</v>
      </c>
    </row>
    <row r="1839" ht="15.75" customHeight="1">
      <c r="A1839" s="64">
        <v>45435.0</v>
      </c>
      <c r="B1839" s="55" t="str">
        <f>HYPERLINK("https://jobright.ai/jobs/info/6677e7348edbb3fe78f318ca?utm_campaign=1057&amp;utm_source=sheet", "Apply")</f>
        <v>Apply</v>
      </c>
      <c r="C1839" s="10" t="s">
        <v>25901</v>
      </c>
      <c r="D1839" s="56" t="s">
        <v>15702</v>
      </c>
      <c r="E1839" s="10" t="s">
        <v>65</v>
      </c>
      <c r="F1839" s="10" t="s">
        <v>15703</v>
      </c>
      <c r="G1839" s="10" t="s">
        <v>24022</v>
      </c>
      <c r="H1839" s="10" t="s">
        <v>15704</v>
      </c>
      <c r="I1839" s="10" t="s">
        <v>55</v>
      </c>
      <c r="K1839" s="10" t="s">
        <v>25902</v>
      </c>
      <c r="L1839" s="10" t="s">
        <v>42</v>
      </c>
    </row>
    <row r="1840" ht="15.75" customHeight="1">
      <c r="A1840" s="64">
        <v>45435.0</v>
      </c>
      <c r="B1840" s="55" t="str">
        <f>HYPERLINK("https://jobright.ai/jobs/info/6677ec962ffca2bcf6691220?utm_campaign=1057&amp;utm_source=sheet", "Apply")</f>
        <v>Apply</v>
      </c>
      <c r="C1840" s="10" t="s">
        <v>25903</v>
      </c>
      <c r="D1840" s="56" t="s">
        <v>2069</v>
      </c>
      <c r="E1840" s="10" t="s">
        <v>65</v>
      </c>
      <c r="F1840" s="10" t="s">
        <v>1663</v>
      </c>
      <c r="G1840" s="10" t="s">
        <v>24022</v>
      </c>
      <c r="H1840" s="10" t="s">
        <v>2070</v>
      </c>
      <c r="I1840" s="10" t="s">
        <v>55</v>
      </c>
      <c r="K1840" s="10" t="s">
        <v>25904</v>
      </c>
      <c r="L1840" s="10" t="s">
        <v>42</v>
      </c>
    </row>
    <row r="1841" ht="15.75" customHeight="1">
      <c r="A1841" s="64">
        <v>45435.0</v>
      </c>
      <c r="B1841" s="55" t="str">
        <f>HYPERLINK("https://jobright.ai/jobs/info/6677ed2c2ffca2bcf6691e5c?utm_campaign=1057&amp;utm_source=sheet", "Apply")</f>
        <v>Apply</v>
      </c>
      <c r="C1841" s="10" t="s">
        <v>25724</v>
      </c>
      <c r="D1841" s="56" t="s">
        <v>25725</v>
      </c>
      <c r="E1841" s="10">
        <v>70.0</v>
      </c>
      <c r="G1841" s="10" t="s">
        <v>24043</v>
      </c>
      <c r="H1841" s="10" t="s">
        <v>11407</v>
      </c>
      <c r="I1841" s="10" t="s">
        <v>55</v>
      </c>
      <c r="J1841" s="10" t="s">
        <v>13155</v>
      </c>
      <c r="K1841" s="10" t="s">
        <v>25726</v>
      </c>
      <c r="L1841" s="10" t="s">
        <v>42</v>
      </c>
    </row>
    <row r="1842" ht="15.75" customHeight="1">
      <c r="A1842" s="64">
        <v>45435.0</v>
      </c>
      <c r="B1842" s="55" t="str">
        <f>HYPERLINK("https://jobright.ai/jobs/info/6677ecd12ffca2bcf66916f3?utm_campaign=1057&amp;utm_source=sheet", "Apply")</f>
        <v>Apply</v>
      </c>
      <c r="C1842" s="10" t="s">
        <v>25905</v>
      </c>
      <c r="D1842" s="56" t="s">
        <v>25906</v>
      </c>
      <c r="E1842" s="10" t="s">
        <v>71</v>
      </c>
      <c r="F1842" s="10" t="s">
        <v>24281</v>
      </c>
      <c r="G1842" s="10" t="s">
        <v>24022</v>
      </c>
      <c r="H1842" s="10" t="s">
        <v>25417</v>
      </c>
      <c r="I1842" s="10" t="s">
        <v>55</v>
      </c>
      <c r="K1842" s="10" t="s">
        <v>25907</v>
      </c>
      <c r="L1842" s="10" t="s">
        <v>42</v>
      </c>
    </row>
    <row r="1843" ht="15.75" customHeight="1">
      <c r="A1843" s="64">
        <v>45435.0</v>
      </c>
      <c r="B1843" s="55" t="str">
        <f>HYPERLINK("https://jobright.ai/jobs/info/6677ecd12ffca2bcf66916fa?utm_campaign=1057&amp;utm_source=sheet", "Apply")</f>
        <v>Apply</v>
      </c>
      <c r="C1843" s="10" t="s">
        <v>25908</v>
      </c>
      <c r="D1843" s="56" t="s">
        <v>15702</v>
      </c>
      <c r="E1843" s="10" t="s">
        <v>65</v>
      </c>
      <c r="F1843" s="10" t="s">
        <v>15703</v>
      </c>
      <c r="G1843" s="10" t="s">
        <v>24022</v>
      </c>
      <c r="H1843" s="10" t="s">
        <v>15704</v>
      </c>
      <c r="I1843" s="10" t="s">
        <v>55</v>
      </c>
      <c r="K1843" s="10" t="s">
        <v>25909</v>
      </c>
      <c r="L1843" s="10" t="s">
        <v>42</v>
      </c>
    </row>
    <row r="1844" ht="15.75" customHeight="1">
      <c r="A1844" s="64">
        <v>45435.0</v>
      </c>
      <c r="B1844" s="55" t="str">
        <f>HYPERLINK("https://jobright.ai/jobs/info/6677ecd12ffca2bcf6691731?utm_campaign=1057&amp;utm_source=sheet", "Apply")</f>
        <v>Apply</v>
      </c>
      <c r="C1844" s="10" t="s">
        <v>25910</v>
      </c>
      <c r="D1844" s="56" t="s">
        <v>2069</v>
      </c>
      <c r="E1844" s="10" t="s">
        <v>65</v>
      </c>
      <c r="F1844" s="10" t="s">
        <v>1663</v>
      </c>
      <c r="G1844" s="10" t="s">
        <v>24022</v>
      </c>
      <c r="H1844" s="10" t="s">
        <v>2070</v>
      </c>
      <c r="I1844" s="10" t="s">
        <v>55</v>
      </c>
      <c r="K1844" s="10" t="s">
        <v>9011</v>
      </c>
      <c r="L1844" s="10" t="s">
        <v>42</v>
      </c>
    </row>
    <row r="1845" ht="15.75" customHeight="1">
      <c r="A1845" s="64">
        <v>45435.0</v>
      </c>
      <c r="B1845" s="55" t="str">
        <f>HYPERLINK("https://jobright.ai/jobs/info/6677ecf82ffca2bcf6691a08?utm_campaign=1057&amp;utm_source=sheet", "Apply")</f>
        <v>Apply</v>
      </c>
      <c r="C1845" s="10" t="s">
        <v>25911</v>
      </c>
      <c r="D1845" s="56" t="s">
        <v>25912</v>
      </c>
      <c r="E1845" s="10" t="s">
        <v>71</v>
      </c>
      <c r="F1845" s="10" t="s">
        <v>1922</v>
      </c>
      <c r="G1845" s="10" t="s">
        <v>24043</v>
      </c>
      <c r="H1845" s="10" t="s">
        <v>25913</v>
      </c>
      <c r="I1845" s="10" t="s">
        <v>55</v>
      </c>
      <c r="K1845" s="10" t="s">
        <v>25914</v>
      </c>
      <c r="L1845" s="10" t="s">
        <v>42</v>
      </c>
    </row>
    <row r="1846" ht="15.75" customHeight="1">
      <c r="A1846" s="64">
        <v>45435.0</v>
      </c>
      <c r="B1846" s="55" t="str">
        <f>HYPERLINK("https://jobright.ai/jobs/info/6677f1b09c81148ccaaed03d?utm_campaign=1057&amp;utm_source=sheet", "Apply")</f>
        <v>Apply</v>
      </c>
      <c r="C1846" s="10" t="s">
        <v>25915</v>
      </c>
      <c r="D1846" s="56" t="s">
        <v>2069</v>
      </c>
      <c r="E1846" s="10" t="s">
        <v>65</v>
      </c>
      <c r="F1846" s="10" t="s">
        <v>1663</v>
      </c>
      <c r="G1846" s="10" t="s">
        <v>24031</v>
      </c>
      <c r="H1846" s="10" t="s">
        <v>2070</v>
      </c>
      <c r="I1846" s="10" t="s">
        <v>55</v>
      </c>
      <c r="K1846" s="10" t="s">
        <v>25916</v>
      </c>
      <c r="L1846" s="10" t="s">
        <v>42</v>
      </c>
    </row>
    <row r="1847" ht="15.75" customHeight="1">
      <c r="A1847" s="64">
        <v>45435.0</v>
      </c>
      <c r="B1847" s="55" t="str">
        <f>HYPERLINK("https://jobright.ai/jobs/info/6677f1d69c81148ccaaed309?utm_campaign=1057&amp;utm_source=sheet", "Apply")</f>
        <v>Apply</v>
      </c>
      <c r="C1847" s="10" t="s">
        <v>25917</v>
      </c>
      <c r="D1847" s="56" t="s">
        <v>25918</v>
      </c>
      <c r="G1847" s="10" t="s">
        <v>24022</v>
      </c>
      <c r="H1847" s="10" t="s">
        <v>953</v>
      </c>
      <c r="I1847" s="10" t="s">
        <v>55</v>
      </c>
      <c r="K1847" s="10" t="s">
        <v>25919</v>
      </c>
      <c r="L1847" s="10" t="s">
        <v>42</v>
      </c>
    </row>
    <row r="1848" ht="15.75" customHeight="1">
      <c r="A1848" s="64">
        <v>45435.0</v>
      </c>
      <c r="B1848" s="55" t="str">
        <f>HYPERLINK("https://jobright.ai/jobs/info/6677f1e09c81148ccaaed3a2?utm_campaign=1057&amp;utm_source=sheet", "Apply")</f>
        <v>Apply</v>
      </c>
      <c r="C1848" s="10" t="s">
        <v>25920</v>
      </c>
      <c r="D1848" s="56" t="s">
        <v>2069</v>
      </c>
      <c r="E1848" s="10" t="s">
        <v>65</v>
      </c>
      <c r="F1848" s="10" t="s">
        <v>1663</v>
      </c>
      <c r="G1848" s="10" t="s">
        <v>24031</v>
      </c>
      <c r="H1848" s="10" t="s">
        <v>2070</v>
      </c>
      <c r="I1848" s="10" t="s">
        <v>55</v>
      </c>
      <c r="K1848" s="10" t="s">
        <v>25921</v>
      </c>
      <c r="L1848" s="10" t="s">
        <v>42</v>
      </c>
    </row>
    <row r="1849" ht="15.75" customHeight="1">
      <c r="A1849" s="64">
        <v>45435.0</v>
      </c>
      <c r="B1849" s="55" t="str">
        <f>HYPERLINK("https://jobright.ai/jobs/info/6661988b667db4e94ebb231f?utm_campaign=1057&amp;utm_source=sheet", "Apply")</f>
        <v>Apply</v>
      </c>
      <c r="C1849" s="10" t="s">
        <v>25922</v>
      </c>
      <c r="D1849" s="56" t="s">
        <v>25923</v>
      </c>
      <c r="E1849" s="10" t="s">
        <v>65</v>
      </c>
      <c r="F1849" s="10" t="s">
        <v>259</v>
      </c>
      <c r="G1849" s="10" t="s">
        <v>24043</v>
      </c>
      <c r="H1849" s="10" t="s">
        <v>25446</v>
      </c>
      <c r="I1849" s="10" t="s">
        <v>55</v>
      </c>
      <c r="K1849" s="10" t="s">
        <v>25924</v>
      </c>
      <c r="L1849" s="10" t="s">
        <v>42</v>
      </c>
    </row>
    <row r="1850" ht="15.75" customHeight="1">
      <c r="A1850" s="64">
        <v>45435.0</v>
      </c>
      <c r="B1850" s="55" t="str">
        <f>HYPERLINK("https://jobright.ai/jobs/info/66571b33ace48c3138bc1d85?utm_campaign=1057&amp;utm_source=sheet", "Apply")</f>
        <v>Apply</v>
      </c>
      <c r="C1850" s="10" t="s">
        <v>25925</v>
      </c>
      <c r="D1850" s="56" t="s">
        <v>18277</v>
      </c>
      <c r="E1850" s="10" t="s">
        <v>276</v>
      </c>
      <c r="G1850" s="10" t="s">
        <v>24022</v>
      </c>
      <c r="H1850" s="10" t="s">
        <v>3852</v>
      </c>
      <c r="I1850" s="10" t="s">
        <v>55</v>
      </c>
      <c r="K1850" s="10" t="s">
        <v>25926</v>
      </c>
      <c r="L1850" s="10" t="s">
        <v>42</v>
      </c>
    </row>
    <row r="1851" ht="15.75" customHeight="1">
      <c r="A1851" s="64">
        <v>45434.0</v>
      </c>
      <c r="B1851" s="55" t="str">
        <f>HYPERLINK("https://jobright.ai/jobs/info/6677f2de9c81148ccaaee7b4?utm_campaign=1057&amp;utm_source=sheet", "Apply")</f>
        <v>Apply</v>
      </c>
      <c r="C1851" s="10" t="s">
        <v>25927</v>
      </c>
      <c r="D1851" s="56" t="s">
        <v>196</v>
      </c>
      <c r="E1851" s="10" t="s">
        <v>71</v>
      </c>
      <c r="F1851" s="10" t="s">
        <v>197</v>
      </c>
      <c r="G1851" s="10" t="s">
        <v>24022</v>
      </c>
      <c r="H1851" s="10" t="s">
        <v>193</v>
      </c>
      <c r="I1851" s="10" t="s">
        <v>55</v>
      </c>
      <c r="K1851" s="10" t="s">
        <v>25928</v>
      </c>
      <c r="L1851" s="10" t="s">
        <v>42</v>
      </c>
    </row>
    <row r="1852" ht="15.75" customHeight="1">
      <c r="A1852" s="64">
        <v>45434.0</v>
      </c>
      <c r="B1852" s="55" t="str">
        <f>HYPERLINK("https://jobright.ai/jobs/info/6677f2e79c81148ccaaee8cc?utm_campaign=1057&amp;utm_source=sheet", "Apply")</f>
        <v>Apply</v>
      </c>
      <c r="C1852" s="10" t="s">
        <v>25929</v>
      </c>
      <c r="D1852" s="56" t="s">
        <v>21998</v>
      </c>
      <c r="G1852" s="10" t="s">
        <v>24022</v>
      </c>
      <c r="H1852" s="10" t="s">
        <v>21999</v>
      </c>
      <c r="I1852" s="10" t="s">
        <v>55</v>
      </c>
      <c r="K1852" s="10" t="s">
        <v>25930</v>
      </c>
      <c r="L1852" s="10" t="s">
        <v>42</v>
      </c>
    </row>
    <row r="1853" ht="15.75" customHeight="1">
      <c r="A1853" s="64">
        <v>45434.0</v>
      </c>
      <c r="B1853" s="55" t="str">
        <f>HYPERLINK("https://jobright.ai/jobs/info/667670bda0e238a9a3a4b0e6?utm_campaign=1057&amp;utm_source=sheet", "Apply")</f>
        <v>Apply</v>
      </c>
      <c r="C1853" s="10" t="s">
        <v>25724</v>
      </c>
      <c r="D1853" s="56" t="s">
        <v>25725</v>
      </c>
      <c r="E1853" s="10">
        <v>70.0</v>
      </c>
      <c r="G1853" s="10" t="s">
        <v>24043</v>
      </c>
      <c r="H1853" s="10" t="s">
        <v>25931</v>
      </c>
      <c r="I1853" s="10" t="s">
        <v>55</v>
      </c>
      <c r="J1853" s="10" t="s">
        <v>13155</v>
      </c>
      <c r="K1853" s="10" t="s">
        <v>25726</v>
      </c>
      <c r="L1853" s="10" t="s">
        <v>42</v>
      </c>
    </row>
    <row r="1854" ht="15.75" customHeight="1">
      <c r="A1854" s="64">
        <v>45434.0</v>
      </c>
      <c r="B1854" s="55" t="str">
        <f>HYPERLINK("https://jobright.ai/jobs/info/667670c7a0e238a9a3a4b197?utm_campaign=1057&amp;utm_source=sheet", "Apply")</f>
        <v>Apply</v>
      </c>
      <c r="C1854" s="10" t="s">
        <v>25724</v>
      </c>
      <c r="D1854" s="56" t="s">
        <v>25725</v>
      </c>
      <c r="E1854" s="10">
        <v>70.0</v>
      </c>
      <c r="G1854" s="10" t="s">
        <v>24043</v>
      </c>
      <c r="H1854" s="10" t="s">
        <v>13014</v>
      </c>
      <c r="I1854" s="10" t="s">
        <v>55</v>
      </c>
      <c r="J1854" s="10" t="s">
        <v>13155</v>
      </c>
      <c r="K1854" s="10" t="s">
        <v>25726</v>
      </c>
      <c r="L1854" s="10" t="s">
        <v>42</v>
      </c>
    </row>
    <row r="1855" ht="15.75" customHeight="1">
      <c r="A1855" s="64">
        <v>45434.0</v>
      </c>
      <c r="B1855" s="55" t="str">
        <f>HYPERLINK("https://jobright.ai/jobs/info/664d68430602a5567e0409ca?utm_campaign=1057&amp;utm_source=sheet", "Apply")</f>
        <v>Apply</v>
      </c>
      <c r="C1855" s="10" t="s">
        <v>25932</v>
      </c>
      <c r="D1855" s="56" t="s">
        <v>25933</v>
      </c>
      <c r="E1855" s="10" t="s">
        <v>65</v>
      </c>
      <c r="F1855" s="10" t="s">
        <v>14022</v>
      </c>
      <c r="G1855" s="10" t="s">
        <v>24043</v>
      </c>
      <c r="H1855" s="10" t="s">
        <v>3847</v>
      </c>
      <c r="I1855" s="10" t="s">
        <v>55</v>
      </c>
      <c r="K1855" s="10" t="s">
        <v>25934</v>
      </c>
      <c r="L1855" s="10" t="s">
        <v>42</v>
      </c>
    </row>
    <row r="1856" ht="15.75" customHeight="1">
      <c r="A1856" s="64">
        <v>45434.0</v>
      </c>
      <c r="B1856" s="55" t="str">
        <f>HYPERLINK("https://jobright.ai/jobs/info/666905352dac6f47f467190f?utm_campaign=1057&amp;utm_source=sheet", "Apply")</f>
        <v>Apply</v>
      </c>
      <c r="C1856" s="10" t="s">
        <v>25935</v>
      </c>
      <c r="D1856" s="56" t="s">
        <v>2273</v>
      </c>
      <c r="E1856" s="10" t="s">
        <v>45</v>
      </c>
      <c r="F1856" s="10" t="s">
        <v>2274</v>
      </c>
      <c r="G1856" s="10" t="s">
        <v>24043</v>
      </c>
      <c r="H1856" s="10" t="s">
        <v>20572</v>
      </c>
      <c r="I1856" s="10" t="s">
        <v>55</v>
      </c>
      <c r="K1856" s="10" t="s">
        <v>25936</v>
      </c>
      <c r="L1856" s="10" t="s">
        <v>42</v>
      </c>
    </row>
    <row r="1857" ht="15.75" customHeight="1">
      <c r="A1857" s="64">
        <v>45433.0</v>
      </c>
      <c r="B1857" s="55" t="str">
        <f>HYPERLINK("https://jobright.ai/jobs/info/664d18f7d5d772c3f366ac2e?utm_campaign=1057&amp;utm_source=sheet", "Apply")</f>
        <v>Apply</v>
      </c>
      <c r="C1857" s="10" t="s">
        <v>25262</v>
      </c>
      <c r="D1857" s="56" t="s">
        <v>4465</v>
      </c>
      <c r="E1857" s="10" t="s">
        <v>209</v>
      </c>
      <c r="F1857" s="10" t="s">
        <v>4466</v>
      </c>
      <c r="G1857" s="10" t="s">
        <v>24031</v>
      </c>
      <c r="H1857" s="10" t="s">
        <v>898</v>
      </c>
      <c r="I1857" s="10" t="s">
        <v>55</v>
      </c>
      <c r="J1857" s="10" t="s">
        <v>1797</v>
      </c>
      <c r="K1857" s="10" t="s">
        <v>25937</v>
      </c>
      <c r="L1857" s="10" t="s">
        <v>42</v>
      </c>
    </row>
    <row r="1858" ht="15.75" customHeight="1">
      <c r="A1858" s="64">
        <v>45433.0</v>
      </c>
      <c r="B1858" s="55" t="str">
        <f>HYPERLINK("https://jobright.ai/jobs/info/66749de43bb0335d41b2d360?utm_campaign=1057&amp;utm_source=sheet", "Apply")</f>
        <v>Apply</v>
      </c>
      <c r="C1858" s="10" t="s">
        <v>25938</v>
      </c>
      <c r="D1858" s="56" t="s">
        <v>21998</v>
      </c>
      <c r="G1858" s="10" t="s">
        <v>24022</v>
      </c>
      <c r="H1858" s="10" t="s">
        <v>21999</v>
      </c>
      <c r="I1858" s="10" t="s">
        <v>55</v>
      </c>
      <c r="K1858" s="10" t="s">
        <v>25939</v>
      </c>
      <c r="L1858" s="10" t="s">
        <v>42</v>
      </c>
    </row>
    <row r="1859" ht="15.75" customHeight="1">
      <c r="A1859" s="64">
        <v>45433.0</v>
      </c>
      <c r="B1859" s="55" t="str">
        <f>HYPERLINK("https://jobright.ai/jobs/info/66749de43bb0335d41b2d3b4?utm_campaign=1057&amp;utm_source=sheet", "Apply")</f>
        <v>Apply</v>
      </c>
      <c r="C1859" s="10" t="s">
        <v>25940</v>
      </c>
      <c r="D1859" s="56" t="s">
        <v>21998</v>
      </c>
      <c r="G1859" s="10" t="s">
        <v>24022</v>
      </c>
      <c r="H1859" s="10" t="s">
        <v>21999</v>
      </c>
      <c r="I1859" s="10" t="s">
        <v>55</v>
      </c>
      <c r="K1859" s="10" t="s">
        <v>25941</v>
      </c>
      <c r="L1859" s="10" t="s">
        <v>42</v>
      </c>
    </row>
    <row r="1860" ht="15.75" customHeight="1">
      <c r="A1860" s="64">
        <v>45433.0</v>
      </c>
      <c r="B1860" s="55" t="str">
        <f>HYPERLINK("https://jobright.ai/jobs/info/66749dff3bb0335d41b2d5fc?utm_campaign=1057&amp;utm_source=sheet", "Apply")</f>
        <v>Apply</v>
      </c>
      <c r="C1860" s="10" t="s">
        <v>25942</v>
      </c>
      <c r="D1860" s="56" t="s">
        <v>25943</v>
      </c>
      <c r="E1860" s="10" t="s">
        <v>249</v>
      </c>
      <c r="F1860" s="10" t="s">
        <v>25944</v>
      </c>
      <c r="G1860" s="10" t="s">
        <v>24043</v>
      </c>
      <c r="H1860" s="10" t="s">
        <v>25945</v>
      </c>
      <c r="I1860" s="10" t="s">
        <v>55</v>
      </c>
      <c r="J1860" s="10" t="s">
        <v>581</v>
      </c>
      <c r="K1860" s="10" t="s">
        <v>25946</v>
      </c>
      <c r="L1860" s="10" t="s">
        <v>42</v>
      </c>
    </row>
    <row r="1861" ht="15.75" customHeight="1">
      <c r="A1861" s="64">
        <v>45433.0</v>
      </c>
      <c r="B1861" s="55" t="str">
        <f>HYPERLINK("https://jobright.ai/jobs/info/66749dff3bb0335d41b2d59c?utm_campaign=1057&amp;utm_source=sheet", "Apply")</f>
        <v>Apply</v>
      </c>
      <c r="C1861" s="10" t="s">
        <v>25947</v>
      </c>
      <c r="D1861" s="56" t="s">
        <v>21998</v>
      </c>
      <c r="G1861" s="10" t="s">
        <v>24022</v>
      </c>
      <c r="H1861" s="10" t="s">
        <v>21999</v>
      </c>
      <c r="I1861" s="10" t="s">
        <v>55</v>
      </c>
      <c r="K1861" s="10" t="s">
        <v>25948</v>
      </c>
      <c r="L1861" s="10" t="s">
        <v>42</v>
      </c>
    </row>
    <row r="1862" ht="15.75" customHeight="1">
      <c r="A1862" s="64">
        <v>45433.0</v>
      </c>
      <c r="B1862" s="55" t="str">
        <f>HYPERLINK("https://jobright.ai/jobs/info/6674a157eb9f41a843410a03?utm_campaign=1057&amp;utm_source=sheet", "Apply")</f>
        <v>Apply</v>
      </c>
      <c r="C1862" s="10" t="s">
        <v>25949</v>
      </c>
      <c r="D1862" s="56" t="s">
        <v>21998</v>
      </c>
      <c r="G1862" s="10" t="s">
        <v>24022</v>
      </c>
      <c r="H1862" s="10" t="s">
        <v>21999</v>
      </c>
      <c r="I1862" s="10" t="s">
        <v>55</v>
      </c>
      <c r="K1862" s="10" t="s">
        <v>25950</v>
      </c>
      <c r="L1862" s="10" t="s">
        <v>42</v>
      </c>
    </row>
    <row r="1863" ht="15.75" customHeight="1">
      <c r="A1863" s="64">
        <v>45433.0</v>
      </c>
      <c r="B1863" s="55" t="str">
        <f>HYPERLINK("https://jobright.ai/jobs/info/6674470ffa2e16b323fa4504?utm_campaign=1057&amp;utm_source=sheet", "Apply")</f>
        <v>Apply</v>
      </c>
      <c r="C1863" s="10" t="s">
        <v>25951</v>
      </c>
      <c r="D1863" s="56" t="s">
        <v>21998</v>
      </c>
      <c r="G1863" s="10" t="s">
        <v>24022</v>
      </c>
      <c r="H1863" s="10" t="s">
        <v>21999</v>
      </c>
      <c r="I1863" s="10" t="s">
        <v>55</v>
      </c>
      <c r="K1863" s="10" t="s">
        <v>25952</v>
      </c>
      <c r="L1863" s="10" t="s">
        <v>42</v>
      </c>
    </row>
    <row r="1864" ht="15.75" customHeight="1">
      <c r="A1864" s="64">
        <v>45433.0</v>
      </c>
      <c r="B1864" s="55" t="str">
        <f>HYPERLINK("https://jobright.ai/jobs/info/66744718fa2e16b323fa4555?utm_campaign=1057&amp;utm_source=sheet", "Apply")</f>
        <v>Apply</v>
      </c>
      <c r="C1864" s="10" t="s">
        <v>25953</v>
      </c>
      <c r="D1864" s="56" t="s">
        <v>21998</v>
      </c>
      <c r="G1864" s="10" t="s">
        <v>24031</v>
      </c>
      <c r="H1864" s="10" t="s">
        <v>21999</v>
      </c>
      <c r="I1864" s="10" t="s">
        <v>55</v>
      </c>
      <c r="K1864" s="10" t="s">
        <v>25954</v>
      </c>
      <c r="L1864" s="10" t="s">
        <v>42</v>
      </c>
    </row>
    <row r="1865" ht="15.75" customHeight="1">
      <c r="A1865" s="64">
        <v>45433.0</v>
      </c>
      <c r="B1865" s="55" t="str">
        <f>HYPERLINK("https://jobright.ai/jobs/info/66743ce4c8cea9b1765b1361?utm_campaign=1057&amp;utm_source=sheet", "Apply")</f>
        <v>Apply</v>
      </c>
      <c r="C1865" s="10" t="s">
        <v>25955</v>
      </c>
      <c r="D1865" s="56" t="s">
        <v>21998</v>
      </c>
      <c r="G1865" s="10" t="s">
        <v>24022</v>
      </c>
      <c r="H1865" s="10" t="s">
        <v>21999</v>
      </c>
      <c r="I1865" s="10" t="s">
        <v>55</v>
      </c>
      <c r="K1865" s="10" t="s">
        <v>25956</v>
      </c>
      <c r="L1865" s="10" t="s">
        <v>42</v>
      </c>
    </row>
    <row r="1866" ht="15.75" customHeight="1">
      <c r="A1866" s="64">
        <v>45433.0</v>
      </c>
      <c r="B1866" s="55" t="str">
        <f>HYPERLINK("https://jobright.ai/jobs/info/66742c7b668628c49c215d4f?utm_campaign=1057&amp;utm_source=sheet", "Apply")</f>
        <v>Apply</v>
      </c>
      <c r="C1866" s="10" t="s">
        <v>25957</v>
      </c>
      <c r="D1866" s="56" t="s">
        <v>21998</v>
      </c>
      <c r="G1866" s="10" t="s">
        <v>24031</v>
      </c>
      <c r="H1866" s="10" t="s">
        <v>21999</v>
      </c>
      <c r="I1866" s="10" t="s">
        <v>55</v>
      </c>
      <c r="K1866" s="10" t="s">
        <v>25958</v>
      </c>
      <c r="L1866" s="10" t="s">
        <v>42</v>
      </c>
    </row>
    <row r="1867" ht="15.75" customHeight="1">
      <c r="A1867" s="64">
        <v>45433.0</v>
      </c>
      <c r="B1867" s="55" t="str">
        <f>HYPERLINK("https://jobright.ai/jobs/info/667420a816674a8940208df3?utm_campaign=1057&amp;utm_source=sheet", "Apply")</f>
        <v>Apply</v>
      </c>
      <c r="C1867" s="10" t="s">
        <v>25959</v>
      </c>
      <c r="D1867" s="56" t="s">
        <v>25960</v>
      </c>
      <c r="E1867" s="10" t="s">
        <v>276</v>
      </c>
      <c r="G1867" s="10" t="s">
        <v>24022</v>
      </c>
      <c r="H1867" s="10" t="s">
        <v>25961</v>
      </c>
      <c r="I1867" s="10" t="s">
        <v>55</v>
      </c>
      <c r="K1867" s="10" t="s">
        <v>25962</v>
      </c>
      <c r="L1867" s="10" t="s">
        <v>42</v>
      </c>
    </row>
    <row r="1868" ht="15.75" customHeight="1">
      <c r="A1868" s="64">
        <v>45433.0</v>
      </c>
      <c r="B1868" s="55" t="str">
        <f>HYPERLINK("https://jobright.ai/jobs/info/66740ef95ff28865e7a711e2?utm_campaign=1057&amp;utm_source=sheet", "Apply")</f>
        <v>Apply</v>
      </c>
      <c r="C1868" s="10" t="s">
        <v>25963</v>
      </c>
      <c r="D1868" s="56" t="s">
        <v>21998</v>
      </c>
      <c r="G1868" s="10" t="s">
        <v>24022</v>
      </c>
      <c r="H1868" s="10" t="s">
        <v>21999</v>
      </c>
      <c r="I1868" s="10" t="s">
        <v>55</v>
      </c>
      <c r="K1868" s="10" t="s">
        <v>25964</v>
      </c>
      <c r="L1868" s="10" t="s">
        <v>42</v>
      </c>
    </row>
    <row r="1869" ht="15.75" customHeight="1">
      <c r="A1869" s="64">
        <v>45433.0</v>
      </c>
      <c r="B1869" s="55" t="str">
        <f>HYPERLINK("https://jobright.ai/jobs/info/664c74d0531e6123cb04e27d?utm_campaign=1057&amp;utm_source=sheet", "Apply")</f>
        <v>Apply</v>
      </c>
      <c r="C1869" s="10" t="s">
        <v>25965</v>
      </c>
      <c r="D1869" s="56" t="s">
        <v>18606</v>
      </c>
      <c r="E1869" s="10" t="s">
        <v>45</v>
      </c>
      <c r="F1869" s="10" t="s">
        <v>2319</v>
      </c>
      <c r="G1869" s="10" t="s">
        <v>24022</v>
      </c>
      <c r="H1869" s="10" t="s">
        <v>607</v>
      </c>
      <c r="I1869" s="10" t="s">
        <v>55</v>
      </c>
      <c r="J1869" s="10" t="s">
        <v>4117</v>
      </c>
      <c r="K1869" s="10" t="s">
        <v>25966</v>
      </c>
      <c r="L1869" s="10" t="s">
        <v>42</v>
      </c>
    </row>
    <row r="1870" ht="15.75" customHeight="1">
      <c r="A1870" s="64">
        <v>45433.0</v>
      </c>
      <c r="B1870" s="55" t="str">
        <f>HYPERLINK("https://jobright.ai/jobs/info/664d3f2cb6919a729b3cf018?utm_campaign=1057&amp;utm_source=sheet", "Apply")</f>
        <v>Apply</v>
      </c>
      <c r="C1870" s="10" t="s">
        <v>25967</v>
      </c>
      <c r="D1870" s="56" t="s">
        <v>4758</v>
      </c>
      <c r="E1870" s="10" t="s">
        <v>249</v>
      </c>
      <c r="F1870" s="10" t="s">
        <v>1234</v>
      </c>
      <c r="G1870" s="10" t="s">
        <v>24031</v>
      </c>
      <c r="H1870" s="10" t="s">
        <v>607</v>
      </c>
      <c r="I1870" s="10" t="s">
        <v>55</v>
      </c>
      <c r="K1870" s="10" t="s">
        <v>25968</v>
      </c>
      <c r="L1870" s="10" t="s">
        <v>42</v>
      </c>
    </row>
    <row r="1871" ht="15.75" customHeight="1">
      <c r="A1871" s="64">
        <v>45433.0</v>
      </c>
      <c r="B1871" s="55" t="str">
        <f>HYPERLINK("https://jobright.ai/jobs/info/666917b6ef71c96a7fcbc558?utm_campaign=1057&amp;utm_source=sheet", "Apply")</f>
        <v>Apply</v>
      </c>
      <c r="C1871" s="10" t="s">
        <v>24082</v>
      </c>
      <c r="D1871" s="56" t="s">
        <v>25969</v>
      </c>
      <c r="G1871" s="10" t="s">
        <v>24043</v>
      </c>
      <c r="H1871" s="10" t="s">
        <v>25970</v>
      </c>
      <c r="I1871" s="10" t="s">
        <v>55</v>
      </c>
      <c r="J1871" s="10" t="s">
        <v>1409</v>
      </c>
      <c r="K1871" s="10" t="s">
        <v>24083</v>
      </c>
      <c r="L1871" s="10" t="s">
        <v>42</v>
      </c>
    </row>
    <row r="1872" ht="15.75" customHeight="1">
      <c r="A1872" s="64">
        <v>45432.0</v>
      </c>
      <c r="B1872" s="55" t="str">
        <f>HYPERLINK("https://jobright.ai/jobs/info/664bf95d84d1a18946022c4d?utm_campaign=1057&amp;utm_source=sheet", "Apply")</f>
        <v>Apply</v>
      </c>
      <c r="C1872" s="10" t="s">
        <v>25971</v>
      </c>
      <c r="D1872" s="56" t="s">
        <v>17908</v>
      </c>
      <c r="E1872" s="10" t="s">
        <v>65</v>
      </c>
      <c r="F1872" s="10" t="s">
        <v>1234</v>
      </c>
      <c r="G1872" s="10" t="s">
        <v>24022</v>
      </c>
      <c r="H1872" s="10" t="s">
        <v>131</v>
      </c>
      <c r="I1872" s="10" t="s">
        <v>55</v>
      </c>
      <c r="K1872" s="10" t="s">
        <v>25972</v>
      </c>
      <c r="L1872" s="10" t="s">
        <v>42</v>
      </c>
    </row>
    <row r="1873" ht="15.75" customHeight="1">
      <c r="A1873" s="64">
        <v>45432.0</v>
      </c>
      <c r="B1873" s="55" t="str">
        <f>HYPERLINK("https://jobright.ai/jobs/info/664cac1d4277716ebecb3353?utm_campaign=1057&amp;utm_source=sheet", "Apply")</f>
        <v>Apply</v>
      </c>
      <c r="C1873" s="10" t="s">
        <v>25973</v>
      </c>
      <c r="D1873" s="56" t="s">
        <v>1502</v>
      </c>
      <c r="E1873" s="10">
        <v>10345.0</v>
      </c>
      <c r="G1873" s="10" t="s">
        <v>24022</v>
      </c>
      <c r="H1873" s="10" t="s">
        <v>106</v>
      </c>
      <c r="I1873" s="10" t="s">
        <v>55</v>
      </c>
      <c r="K1873" s="10" t="s">
        <v>25974</v>
      </c>
      <c r="L1873" s="10" t="s">
        <v>42</v>
      </c>
    </row>
    <row r="1874" ht="15.75" customHeight="1">
      <c r="A1874" s="64">
        <v>45432.0</v>
      </c>
      <c r="B1874" s="55" t="str">
        <f>HYPERLINK("https://jobright.ai/jobs/info/664cac1d4277716ebecb33b2?utm_campaign=1057&amp;utm_source=sheet", "Apply")</f>
        <v>Apply</v>
      </c>
      <c r="C1874" s="10" t="s">
        <v>2076</v>
      </c>
      <c r="D1874" s="56" t="s">
        <v>1502</v>
      </c>
      <c r="E1874" s="10">
        <v>10345.0</v>
      </c>
      <c r="G1874" s="10" t="s">
        <v>24043</v>
      </c>
      <c r="H1874" s="10" t="s">
        <v>106</v>
      </c>
      <c r="I1874" s="10" t="s">
        <v>55</v>
      </c>
      <c r="J1874" s="10" t="s">
        <v>1984</v>
      </c>
      <c r="K1874" s="10" t="s">
        <v>25975</v>
      </c>
      <c r="L1874" s="10" t="s">
        <v>42</v>
      </c>
    </row>
    <row r="1875" ht="15.75" customHeight="1">
      <c r="A1875" s="64">
        <v>45432.0</v>
      </c>
      <c r="B1875" s="55" t="str">
        <f>HYPERLINK("https://jobright.ai/jobs/info/664cac1d4277716ebecb33b8?utm_campaign=1057&amp;utm_source=sheet", "Apply")</f>
        <v>Apply</v>
      </c>
      <c r="C1875" s="10" t="s">
        <v>25976</v>
      </c>
      <c r="D1875" s="56" t="s">
        <v>1502</v>
      </c>
      <c r="E1875" s="10">
        <v>10345.0</v>
      </c>
      <c r="G1875" s="10" t="s">
        <v>24043</v>
      </c>
      <c r="H1875" s="10" t="s">
        <v>106</v>
      </c>
      <c r="I1875" s="10" t="s">
        <v>55</v>
      </c>
      <c r="K1875" s="10" t="s">
        <v>25977</v>
      </c>
      <c r="L1875" s="10" t="s">
        <v>42</v>
      </c>
    </row>
    <row r="1876" ht="15.75" customHeight="1">
      <c r="A1876" s="64">
        <v>45432.0</v>
      </c>
      <c r="B1876" s="55" t="str">
        <f>HYPERLINK("https://jobright.ai/jobs/info/664b6428fc33b7e16ffa8414?utm_campaign=1057&amp;utm_source=sheet", "Apply")</f>
        <v>Apply</v>
      </c>
      <c r="C1876" s="10" t="s">
        <v>25827</v>
      </c>
      <c r="D1876" s="56" t="s">
        <v>1502</v>
      </c>
      <c r="E1876" s="10">
        <v>10345.0</v>
      </c>
      <c r="G1876" s="10" t="s">
        <v>24043</v>
      </c>
      <c r="H1876" s="10" t="s">
        <v>106</v>
      </c>
      <c r="I1876" s="10" t="s">
        <v>55</v>
      </c>
      <c r="J1876" s="10" t="s">
        <v>25978</v>
      </c>
      <c r="K1876" s="10" t="s">
        <v>25979</v>
      </c>
      <c r="L1876" s="10" t="s">
        <v>42</v>
      </c>
    </row>
    <row r="1877" ht="15.75" customHeight="1">
      <c r="A1877" s="64">
        <v>45431.0</v>
      </c>
      <c r="B1877" s="55" t="str">
        <f>HYPERLINK("https://jobright.ai/jobs/info/66498ec4a77aa95586ef2b0e?utm_campaign=1057&amp;utm_source=sheet", "Apply")</f>
        <v>Apply</v>
      </c>
      <c r="C1877" s="10" t="s">
        <v>25980</v>
      </c>
      <c r="D1877" s="56" t="s">
        <v>25854</v>
      </c>
      <c r="E1877" s="10" t="s">
        <v>65</v>
      </c>
      <c r="F1877" s="10" t="s">
        <v>25855</v>
      </c>
      <c r="G1877" s="10" t="s">
        <v>24022</v>
      </c>
      <c r="H1877" s="10" t="s">
        <v>968</v>
      </c>
      <c r="I1877" s="10" t="s">
        <v>55</v>
      </c>
      <c r="K1877" s="10" t="s">
        <v>25981</v>
      </c>
      <c r="L1877" s="10" t="s">
        <v>42</v>
      </c>
    </row>
    <row r="1878" ht="15.75" customHeight="1">
      <c r="A1878" s="64">
        <v>45430.0</v>
      </c>
      <c r="B1878" s="55" t="str">
        <f>HYPERLINK("https://jobright.ai/jobs/info/664822782e52588796e4ebaa?utm_campaign=1057&amp;utm_source=sheet", "Apply")</f>
        <v>Apply</v>
      </c>
      <c r="C1878" s="10" t="s">
        <v>25982</v>
      </c>
      <c r="D1878" s="56" t="s">
        <v>25983</v>
      </c>
      <c r="E1878" s="10" t="s">
        <v>79</v>
      </c>
      <c r="F1878" s="10" t="s">
        <v>1084</v>
      </c>
      <c r="G1878" s="10" t="s">
        <v>24043</v>
      </c>
      <c r="H1878" s="10" t="s">
        <v>25984</v>
      </c>
      <c r="I1878" s="10" t="s">
        <v>55</v>
      </c>
      <c r="K1878" s="10" t="s">
        <v>25985</v>
      </c>
      <c r="L1878" s="10" t="s">
        <v>42</v>
      </c>
    </row>
    <row r="1879" ht="15.75" customHeight="1">
      <c r="A1879" s="64">
        <v>45429.0</v>
      </c>
      <c r="B1879" s="55" t="str">
        <f>HYPERLINK("https://jobright.ai/jobs/info/6647a1a8088490bc5c80a46e?utm_campaign=1057&amp;utm_source=sheet", "Apply")</f>
        <v>Apply</v>
      </c>
      <c r="C1879" s="10" t="s">
        <v>25986</v>
      </c>
      <c r="D1879" s="56" t="s">
        <v>25987</v>
      </c>
      <c r="E1879" s="10" t="s">
        <v>45</v>
      </c>
      <c r="F1879" s="10" t="s">
        <v>14336</v>
      </c>
      <c r="G1879" s="10" t="s">
        <v>24031</v>
      </c>
      <c r="H1879" s="10" t="s">
        <v>855</v>
      </c>
      <c r="I1879" s="10" t="s">
        <v>55</v>
      </c>
      <c r="J1879" s="10" t="s">
        <v>25988</v>
      </c>
      <c r="K1879" s="10" t="s">
        <v>25989</v>
      </c>
      <c r="L1879" s="10" t="s">
        <v>42</v>
      </c>
    </row>
    <row r="1880" ht="15.75" customHeight="1">
      <c r="A1880" s="64">
        <v>45428.0</v>
      </c>
      <c r="B1880" s="55" t="str">
        <f>HYPERLINK("https://jobright.ai/jobs/info/664668f7ab5d7ff293152e52?utm_campaign=1057&amp;utm_source=sheet", "Apply")</f>
        <v>Apply</v>
      </c>
      <c r="C1880" s="10" t="s">
        <v>25990</v>
      </c>
      <c r="D1880" s="56" t="s">
        <v>18575</v>
      </c>
      <c r="F1880" s="10" t="s">
        <v>2216</v>
      </c>
      <c r="G1880" s="10" t="s">
        <v>24031</v>
      </c>
      <c r="H1880" s="10" t="s">
        <v>1052</v>
      </c>
      <c r="I1880" s="10" t="s">
        <v>55</v>
      </c>
      <c r="J1880" s="10" t="s">
        <v>1761</v>
      </c>
      <c r="K1880" s="10" t="s">
        <v>25039</v>
      </c>
      <c r="L1880" s="10" t="s">
        <v>42</v>
      </c>
    </row>
    <row r="1881" ht="15.75" customHeight="1">
      <c r="A1881" s="64">
        <v>45428.0</v>
      </c>
      <c r="B1881" s="55" t="str">
        <f>HYPERLINK("https://jobright.ai/jobs/info/664640a4b768bffc8f08ba2d?utm_campaign=1057&amp;utm_source=sheet", "Apply")</f>
        <v>Apply</v>
      </c>
      <c r="C1881" s="10" t="s">
        <v>25991</v>
      </c>
      <c r="D1881" s="56" t="s">
        <v>25768</v>
      </c>
      <c r="E1881" s="10" t="s">
        <v>45</v>
      </c>
      <c r="F1881" s="10" t="s">
        <v>1234</v>
      </c>
      <c r="G1881" s="10" t="s">
        <v>24022</v>
      </c>
      <c r="H1881" s="10" t="s">
        <v>7793</v>
      </c>
      <c r="I1881" s="10" t="s">
        <v>55</v>
      </c>
      <c r="J1881" s="10" t="s">
        <v>25769</v>
      </c>
      <c r="K1881" s="10" t="s">
        <v>25992</v>
      </c>
      <c r="L1881" s="10" t="s">
        <v>42</v>
      </c>
    </row>
    <row r="1882" ht="15.75" customHeight="1">
      <c r="A1882" s="64">
        <v>45428.0</v>
      </c>
      <c r="B1882" s="55" t="str">
        <f>HYPERLINK("https://jobright.ai/jobs/info/6645df54f2a7a79d891aa0cb?utm_campaign=1057&amp;utm_source=sheet", "Apply")</f>
        <v>Apply</v>
      </c>
      <c r="C1882" s="10" t="s">
        <v>25993</v>
      </c>
      <c r="D1882" s="56" t="s">
        <v>18575</v>
      </c>
      <c r="F1882" s="10" t="s">
        <v>2216</v>
      </c>
      <c r="G1882" s="10" t="s">
        <v>24022</v>
      </c>
      <c r="H1882" s="10" t="s">
        <v>20822</v>
      </c>
      <c r="I1882" s="10" t="s">
        <v>55</v>
      </c>
      <c r="K1882" s="10" t="s">
        <v>25994</v>
      </c>
      <c r="L1882" s="10" t="s">
        <v>42</v>
      </c>
    </row>
    <row r="1883" ht="15.75" customHeight="1">
      <c r="A1883" s="64">
        <v>45428.0</v>
      </c>
      <c r="B1883" s="55" t="str">
        <f>HYPERLINK("https://jobright.ai/jobs/info/66692039c327d9911b6d4a41?utm_campaign=1057&amp;utm_source=sheet", "Apply")</f>
        <v>Apply</v>
      </c>
      <c r="C1883" s="10" t="s">
        <v>25995</v>
      </c>
      <c r="D1883" s="56" t="s">
        <v>15772</v>
      </c>
      <c r="E1883" s="10" t="s">
        <v>209</v>
      </c>
      <c r="F1883" s="10" t="s">
        <v>568</v>
      </c>
      <c r="G1883" s="10" t="s">
        <v>24022</v>
      </c>
      <c r="H1883" s="10" t="s">
        <v>1560</v>
      </c>
      <c r="I1883" s="10" t="s">
        <v>55</v>
      </c>
      <c r="K1883" s="10" t="s">
        <v>25996</v>
      </c>
      <c r="L1883" s="10" t="s">
        <v>42</v>
      </c>
    </row>
    <row r="1884" ht="15.75" customHeight="1">
      <c r="A1884" s="64">
        <v>45427.0</v>
      </c>
      <c r="B1884" s="55" t="str">
        <f>HYPERLINK("https://jobright.ai/jobs/info/66454fc0e0089a38a56d8a4d?utm_campaign=1057&amp;utm_source=sheet", "Apply")</f>
        <v>Apply</v>
      </c>
      <c r="C1884" s="10" t="s">
        <v>25997</v>
      </c>
      <c r="D1884" s="56" t="s">
        <v>25998</v>
      </c>
      <c r="E1884" s="10" t="s">
        <v>79</v>
      </c>
      <c r="G1884" s="10" t="s">
        <v>24022</v>
      </c>
      <c r="H1884" s="10" t="s">
        <v>25999</v>
      </c>
      <c r="I1884" s="10" t="s">
        <v>55</v>
      </c>
      <c r="K1884" s="10" t="s">
        <v>26000</v>
      </c>
      <c r="L1884" s="10" t="s">
        <v>42</v>
      </c>
    </row>
    <row r="1885" ht="15.75" customHeight="1">
      <c r="A1885" s="64">
        <v>45427.0</v>
      </c>
      <c r="B1885" s="55" t="str">
        <f>HYPERLINK("https://jobright.ai/jobs/info/6644f70790b5ee81b0115bb2?utm_campaign=1057&amp;utm_source=sheet", "Apply")</f>
        <v>Apply</v>
      </c>
      <c r="C1885" s="10" t="s">
        <v>26001</v>
      </c>
      <c r="D1885" s="56" t="s">
        <v>20878</v>
      </c>
      <c r="E1885" s="10" t="s">
        <v>65</v>
      </c>
      <c r="F1885" s="10" t="s">
        <v>20879</v>
      </c>
      <c r="G1885" s="10" t="s">
        <v>24022</v>
      </c>
      <c r="H1885" s="10" t="s">
        <v>1013</v>
      </c>
      <c r="I1885" s="10" t="s">
        <v>55</v>
      </c>
      <c r="K1885" s="10" t="s">
        <v>26002</v>
      </c>
      <c r="L1885" s="10" t="s">
        <v>42</v>
      </c>
    </row>
    <row r="1886" ht="15.75" customHeight="1">
      <c r="A1886" s="64">
        <v>45427.0</v>
      </c>
      <c r="B1886" s="55" t="str">
        <f>HYPERLINK("https://jobright.ai/jobs/info/666c54604c9879e072793d27?utm_campaign=1057&amp;utm_source=sheet", "Apply")</f>
        <v>Apply</v>
      </c>
      <c r="C1886" s="10" t="s">
        <v>26003</v>
      </c>
      <c r="D1886" s="56" t="s">
        <v>196</v>
      </c>
      <c r="E1886" s="10" t="s">
        <v>71</v>
      </c>
      <c r="F1886" s="10" t="s">
        <v>197</v>
      </c>
      <c r="G1886" s="10" t="s">
        <v>24031</v>
      </c>
      <c r="H1886" s="10" t="s">
        <v>193</v>
      </c>
      <c r="I1886" s="10" t="s">
        <v>55</v>
      </c>
      <c r="K1886" s="10" t="s">
        <v>26004</v>
      </c>
      <c r="L1886" s="10" t="s">
        <v>42</v>
      </c>
    </row>
    <row r="1887" ht="15.75" customHeight="1">
      <c r="A1887" s="64">
        <v>45425.0</v>
      </c>
      <c r="B1887" s="55" t="str">
        <f>HYPERLINK("https://jobright.ai/jobs/info/6642aa10a6ba30d2ef81fa58?utm_campaign=1057&amp;utm_source=sheet", "Apply")</f>
        <v>Apply</v>
      </c>
      <c r="C1887" s="10" t="s">
        <v>26005</v>
      </c>
      <c r="D1887" s="56" t="s">
        <v>26006</v>
      </c>
      <c r="E1887" s="10">
        <v>28.0</v>
      </c>
      <c r="G1887" s="10" t="s">
        <v>24022</v>
      </c>
      <c r="H1887" s="10" t="s">
        <v>26007</v>
      </c>
      <c r="I1887" s="10" t="s">
        <v>55</v>
      </c>
      <c r="K1887" s="10" t="s">
        <v>26008</v>
      </c>
      <c r="L1887" s="10" t="s">
        <v>42</v>
      </c>
    </row>
    <row r="1888" ht="15.75" customHeight="1">
      <c r="A1888" s="64">
        <v>45425.0</v>
      </c>
      <c r="B1888" s="55" t="str">
        <f>HYPERLINK("https://jobright.ai/jobs/info/664269d9e3e17f9a6e655113?utm_campaign=1057&amp;utm_source=sheet", "Apply")</f>
        <v>Apply</v>
      </c>
      <c r="C1888" s="10" t="s">
        <v>26009</v>
      </c>
      <c r="D1888" s="56" t="s">
        <v>24658</v>
      </c>
      <c r="E1888" s="10">
        <v>33.0</v>
      </c>
      <c r="G1888" s="10" t="s">
        <v>24043</v>
      </c>
      <c r="H1888" s="10" t="s">
        <v>661</v>
      </c>
      <c r="I1888" s="10" t="s">
        <v>55</v>
      </c>
      <c r="K1888" s="10" t="s">
        <v>24659</v>
      </c>
      <c r="L1888" s="10" t="s">
        <v>42</v>
      </c>
    </row>
    <row r="1889" ht="15.75" customHeight="1">
      <c r="A1889" s="64">
        <v>45425.0</v>
      </c>
      <c r="B1889" s="55" t="str">
        <f>HYPERLINK("https://jobright.ai/jobs/info/6642747e26a344a589410e18?utm_campaign=1057&amp;utm_source=sheet", "Apply")</f>
        <v>Apply</v>
      </c>
      <c r="C1889" s="10" t="s">
        <v>26010</v>
      </c>
      <c r="D1889" s="56" t="s">
        <v>24658</v>
      </c>
      <c r="E1889" s="10">
        <v>33.0</v>
      </c>
      <c r="G1889" s="10" t="s">
        <v>24043</v>
      </c>
      <c r="H1889" s="10" t="s">
        <v>775</v>
      </c>
      <c r="I1889" s="10" t="s">
        <v>55</v>
      </c>
      <c r="K1889" s="10" t="s">
        <v>24659</v>
      </c>
      <c r="L1889" s="10" t="s">
        <v>42</v>
      </c>
    </row>
    <row r="1890" ht="15.75" customHeight="1">
      <c r="A1890" s="64">
        <v>45425.0</v>
      </c>
      <c r="B1890" s="55" t="str">
        <f>HYPERLINK("https://jobright.ai/jobs/info/66425d3ade9526983ed296ee?utm_campaign=1057&amp;utm_source=sheet", "Apply")</f>
        <v>Apply</v>
      </c>
      <c r="C1890" s="10" t="s">
        <v>26011</v>
      </c>
      <c r="D1890" s="56" t="s">
        <v>23964</v>
      </c>
      <c r="E1890" s="10" t="s">
        <v>276</v>
      </c>
      <c r="F1890" s="10" t="s">
        <v>23965</v>
      </c>
      <c r="G1890" s="10" t="s">
        <v>24022</v>
      </c>
      <c r="H1890" s="10" t="s">
        <v>835</v>
      </c>
      <c r="I1890" s="10" t="s">
        <v>48</v>
      </c>
      <c r="K1890" s="10" t="s">
        <v>26012</v>
      </c>
      <c r="L1890" s="10" t="s">
        <v>42</v>
      </c>
    </row>
    <row r="1891" ht="15.75" customHeight="1">
      <c r="A1891" s="64">
        <v>45425.0</v>
      </c>
      <c r="B1891" s="55" t="str">
        <f>HYPERLINK("https://jobright.ai/jobs/info/6642721ded06f5b4e3ffa386?utm_campaign=1057&amp;utm_source=sheet", "Apply")</f>
        <v>Apply</v>
      </c>
      <c r="C1891" s="10" t="s">
        <v>26013</v>
      </c>
      <c r="D1891" s="56" t="s">
        <v>24658</v>
      </c>
      <c r="E1891" s="10">
        <v>33.0</v>
      </c>
      <c r="G1891" s="10" t="s">
        <v>24043</v>
      </c>
      <c r="H1891" s="10" t="s">
        <v>661</v>
      </c>
      <c r="I1891" s="10" t="s">
        <v>55</v>
      </c>
      <c r="K1891" s="10" t="s">
        <v>24659</v>
      </c>
      <c r="L1891" s="10" t="s">
        <v>42</v>
      </c>
    </row>
    <row r="1892" ht="15.75" customHeight="1">
      <c r="A1892" s="64">
        <v>45425.0</v>
      </c>
      <c r="B1892" s="55" t="str">
        <f>HYPERLINK("https://jobright.ai/jobs/info/6642546b21fc7c7609a97d8c?utm_campaign=1057&amp;utm_source=sheet", "Apply")</f>
        <v>Apply</v>
      </c>
      <c r="C1892" s="10" t="s">
        <v>26014</v>
      </c>
      <c r="D1892" s="56" t="s">
        <v>24658</v>
      </c>
      <c r="E1892" s="10">
        <v>33.0</v>
      </c>
      <c r="G1892" s="10" t="s">
        <v>24043</v>
      </c>
      <c r="H1892" s="10" t="s">
        <v>26015</v>
      </c>
      <c r="I1892" s="10" t="s">
        <v>55</v>
      </c>
      <c r="K1892" s="10" t="s">
        <v>24659</v>
      </c>
      <c r="L1892" s="10" t="s">
        <v>42</v>
      </c>
    </row>
    <row r="1893" ht="15.75" customHeight="1">
      <c r="A1893" s="64">
        <v>45425.0</v>
      </c>
      <c r="B1893" s="55" t="str">
        <f>HYPERLINK("https://jobright.ai/jobs/info/6642721ded06f5b4e3ffa396?utm_campaign=1057&amp;utm_source=sheet", "Apply")</f>
        <v>Apply</v>
      </c>
      <c r="C1893" s="10" t="s">
        <v>26016</v>
      </c>
      <c r="D1893" s="56" t="s">
        <v>26017</v>
      </c>
      <c r="E1893" s="10" t="s">
        <v>65</v>
      </c>
      <c r="F1893" s="10" t="s">
        <v>17548</v>
      </c>
      <c r="G1893" s="10" t="s">
        <v>24031</v>
      </c>
      <c r="H1893" s="10" t="s">
        <v>340</v>
      </c>
      <c r="I1893" s="10" t="s">
        <v>55</v>
      </c>
      <c r="J1893" s="10" t="s">
        <v>314</v>
      </c>
      <c r="K1893" s="10" t="s">
        <v>26018</v>
      </c>
      <c r="L1893" s="10" t="s">
        <v>42</v>
      </c>
    </row>
    <row r="1894" ht="15.75" customHeight="1">
      <c r="A1894" s="64">
        <v>45424.0</v>
      </c>
      <c r="B1894" s="55" t="str">
        <f>HYPERLINK("https://jobright.ai/jobs/info/6669267ee4014402c887130d?utm_campaign=1057&amp;utm_source=sheet", "Apply")</f>
        <v>Apply</v>
      </c>
      <c r="C1894" s="10" t="s">
        <v>26019</v>
      </c>
      <c r="D1894" s="56" t="s">
        <v>23915</v>
      </c>
      <c r="E1894" s="10" t="s">
        <v>65</v>
      </c>
      <c r="G1894" s="10" t="s">
        <v>24022</v>
      </c>
      <c r="H1894" s="10" t="s">
        <v>941</v>
      </c>
      <c r="I1894" s="10" t="s">
        <v>48</v>
      </c>
      <c r="J1894" s="10" t="s">
        <v>4124</v>
      </c>
      <c r="K1894" s="10" t="s">
        <v>23916</v>
      </c>
      <c r="L1894" s="10" t="s">
        <v>42</v>
      </c>
    </row>
    <row r="1895" ht="15.75" customHeight="1">
      <c r="A1895" s="64">
        <v>45422.0</v>
      </c>
      <c r="B1895" s="55" t="str">
        <f>HYPERLINK("https://jobright.ai/jobs/info/6641f6315a70ed6547b68752?utm_campaign=1057&amp;utm_source=sheet", "Apply")</f>
        <v>Apply</v>
      </c>
      <c r="C1895" s="10" t="s">
        <v>26020</v>
      </c>
      <c r="D1895" s="56" t="s">
        <v>1794</v>
      </c>
      <c r="E1895" s="10" t="s">
        <v>65</v>
      </c>
      <c r="F1895" s="10" t="s">
        <v>1795</v>
      </c>
      <c r="G1895" s="10" t="s">
        <v>24031</v>
      </c>
      <c r="H1895" s="10" t="s">
        <v>1796</v>
      </c>
      <c r="I1895" s="10" t="s">
        <v>55</v>
      </c>
      <c r="J1895" s="10" t="s">
        <v>3125</v>
      </c>
      <c r="K1895" s="10" t="s">
        <v>26021</v>
      </c>
      <c r="L1895" s="10" t="s">
        <v>42</v>
      </c>
    </row>
    <row r="1896" ht="15.75" customHeight="1">
      <c r="A1896" s="64">
        <v>45422.0</v>
      </c>
      <c r="B1896" s="55" t="str">
        <f>HYPERLINK("https://jobright.ai/jobs/info/663db914e89b110a1160cf3f?utm_campaign=1057&amp;utm_source=sheet", "Apply")</f>
        <v>Apply</v>
      </c>
      <c r="C1896" s="10" t="s">
        <v>26022</v>
      </c>
      <c r="D1896" s="56" t="s">
        <v>26023</v>
      </c>
      <c r="E1896" s="10" t="s">
        <v>45</v>
      </c>
      <c r="F1896" s="10" t="s">
        <v>1506</v>
      </c>
      <c r="G1896" s="10" t="s">
        <v>24043</v>
      </c>
      <c r="H1896" s="10" t="s">
        <v>26024</v>
      </c>
      <c r="I1896" s="10" t="s">
        <v>55</v>
      </c>
      <c r="K1896" s="10" t="s">
        <v>26025</v>
      </c>
      <c r="L1896" s="10" t="s">
        <v>42</v>
      </c>
    </row>
    <row r="1897" ht="15.75" customHeight="1">
      <c r="A1897" s="64">
        <v>45421.0</v>
      </c>
      <c r="B1897" s="55" t="str">
        <f>HYPERLINK("https://jobright.ai/jobs/info/6669311432b5c01ae0397ba6?utm_campaign=1057&amp;utm_source=sheet", "Apply")</f>
        <v>Apply</v>
      </c>
      <c r="C1897" s="10" t="s">
        <v>26026</v>
      </c>
      <c r="D1897" s="56" t="s">
        <v>18572</v>
      </c>
      <c r="E1897" s="10" t="s">
        <v>65</v>
      </c>
      <c r="F1897" s="10" t="s">
        <v>3594</v>
      </c>
      <c r="G1897" s="10" t="s">
        <v>24022</v>
      </c>
      <c r="H1897" s="10" t="s">
        <v>26027</v>
      </c>
      <c r="I1897" s="10" t="s">
        <v>55</v>
      </c>
      <c r="K1897" s="10" t="s">
        <v>18594</v>
      </c>
      <c r="L1897" s="10" t="s">
        <v>42</v>
      </c>
    </row>
    <row r="1898" ht="15.75" customHeight="1">
      <c r="A1898" s="64">
        <v>45420.0</v>
      </c>
      <c r="B1898" s="55" t="str">
        <f>HYPERLINK("https://jobright.ai/jobs/info/663aeeb812d0466bb090c6b9?utm_campaign=1057&amp;utm_source=sheet", "Apply")</f>
        <v>Apply</v>
      </c>
      <c r="C1898" s="10" t="s">
        <v>26028</v>
      </c>
      <c r="D1898" s="56" t="s">
        <v>196</v>
      </c>
      <c r="E1898" s="10" t="s">
        <v>71</v>
      </c>
      <c r="F1898" s="10" t="s">
        <v>197</v>
      </c>
      <c r="G1898" s="10" t="s">
        <v>24031</v>
      </c>
      <c r="H1898" s="10" t="s">
        <v>193</v>
      </c>
      <c r="I1898" s="10" t="s">
        <v>55</v>
      </c>
      <c r="K1898" s="10" t="s">
        <v>26029</v>
      </c>
      <c r="L1898" s="10" t="s">
        <v>42</v>
      </c>
    </row>
    <row r="1899" ht="15.75" customHeight="1">
      <c r="A1899" s="64">
        <v>45419.0</v>
      </c>
      <c r="B1899" s="55" t="str">
        <f>HYPERLINK("https://jobright.ai/jobs/info/663abf24bac2bf02fbc9c096?utm_campaign=1057&amp;utm_source=sheet", "Apply")</f>
        <v>Apply</v>
      </c>
      <c r="C1899" s="10" t="s">
        <v>26030</v>
      </c>
      <c r="D1899" s="56" t="s">
        <v>26031</v>
      </c>
      <c r="E1899" s="10" t="s">
        <v>79</v>
      </c>
      <c r="F1899" s="10" t="s">
        <v>1506</v>
      </c>
      <c r="G1899" s="10" t="s">
        <v>24031</v>
      </c>
      <c r="H1899" s="10" t="s">
        <v>994</v>
      </c>
      <c r="I1899" s="10" t="s">
        <v>55</v>
      </c>
      <c r="J1899" s="10" t="s">
        <v>1189</v>
      </c>
      <c r="K1899" s="10" t="s">
        <v>26032</v>
      </c>
      <c r="L1899" s="10" t="s">
        <v>42</v>
      </c>
    </row>
    <row r="1900" ht="15.75" customHeight="1">
      <c r="A1900" s="64">
        <v>45418.0</v>
      </c>
      <c r="B1900" s="55" t="str">
        <f>HYPERLINK("https://jobright.ai/jobs/info/66421cc870937fa3afb4894e?utm_campaign=1057&amp;utm_source=sheet", "Apply")</f>
        <v>Apply</v>
      </c>
      <c r="C1900" s="10" t="s">
        <v>26033</v>
      </c>
      <c r="D1900" s="56" t="s">
        <v>26034</v>
      </c>
      <c r="E1900" s="10" t="s">
        <v>249</v>
      </c>
      <c r="F1900" s="10" t="s">
        <v>1612</v>
      </c>
      <c r="G1900" s="10" t="s">
        <v>24022</v>
      </c>
      <c r="H1900" s="10" t="s">
        <v>6771</v>
      </c>
      <c r="I1900" s="10" t="s">
        <v>55</v>
      </c>
      <c r="K1900" s="10" t="s">
        <v>26035</v>
      </c>
      <c r="L1900" s="10" t="s">
        <v>42</v>
      </c>
    </row>
    <row r="1901" ht="15.75" customHeight="1">
      <c r="A1901" s="64">
        <v>45418.0</v>
      </c>
      <c r="B1901" s="55" t="str">
        <f>HYPERLINK("https://jobright.ai/jobs/info/66302acae59919f990936067?utm_campaign=1057&amp;utm_source=sheet", "Apply")</f>
        <v>Apply</v>
      </c>
      <c r="C1901" s="10" t="s">
        <v>26036</v>
      </c>
      <c r="D1901" s="56" t="s">
        <v>26037</v>
      </c>
      <c r="E1901" s="10" t="s">
        <v>45</v>
      </c>
      <c r="F1901" s="10" t="s">
        <v>4022</v>
      </c>
      <c r="G1901" s="10" t="s">
        <v>24043</v>
      </c>
      <c r="H1901" s="10" t="s">
        <v>6225</v>
      </c>
      <c r="I1901" s="10" t="s">
        <v>55</v>
      </c>
      <c r="K1901" s="10" t="s">
        <v>26038</v>
      </c>
      <c r="L1901" s="10" t="s">
        <v>42</v>
      </c>
    </row>
    <row r="1902" ht="15.75" customHeight="1">
      <c r="A1902" s="64">
        <v>45418.0</v>
      </c>
      <c r="B1902" s="55" t="str">
        <f>HYPERLINK("https://jobright.ai/jobs/info/6639042d7ed6399c1b44d361?utm_campaign=1057&amp;utm_source=sheet", "Apply")</f>
        <v>Apply</v>
      </c>
      <c r="C1902" s="10" t="s">
        <v>26039</v>
      </c>
      <c r="D1902" s="56" t="s">
        <v>2259</v>
      </c>
      <c r="E1902" s="10" t="s">
        <v>79</v>
      </c>
      <c r="F1902" s="10" t="s">
        <v>2260</v>
      </c>
      <c r="G1902" s="10" t="s">
        <v>24043</v>
      </c>
      <c r="H1902" s="10" t="s">
        <v>2261</v>
      </c>
      <c r="I1902" s="10" t="s">
        <v>55</v>
      </c>
      <c r="K1902" s="10" t="s">
        <v>2262</v>
      </c>
      <c r="L1902" s="10" t="s">
        <v>42</v>
      </c>
    </row>
    <row r="1903" ht="15.75" customHeight="1">
      <c r="A1903" s="64">
        <v>45418.0</v>
      </c>
      <c r="B1903" s="55" t="str">
        <f>HYPERLINK("https://jobright.ai/jobs/info/66421d1570937fa3afb48fda?utm_campaign=1057&amp;utm_source=sheet", "Apply")</f>
        <v>Apply</v>
      </c>
      <c r="C1903" s="10" t="s">
        <v>26040</v>
      </c>
      <c r="D1903" s="56" t="s">
        <v>26041</v>
      </c>
      <c r="F1903" s="10" t="s">
        <v>1234</v>
      </c>
      <c r="G1903" s="10" t="s">
        <v>24022</v>
      </c>
      <c r="H1903" s="10" t="s">
        <v>168</v>
      </c>
      <c r="I1903" s="10" t="s">
        <v>55</v>
      </c>
      <c r="K1903" s="10" t="s">
        <v>26042</v>
      </c>
      <c r="L1903" s="10" t="s">
        <v>42</v>
      </c>
    </row>
    <row r="1904" ht="15.75" customHeight="1">
      <c r="A1904" s="64">
        <v>45418.0</v>
      </c>
      <c r="B1904" s="55" t="str">
        <f>HYPERLINK("https://jobright.ai/jobs/info/66421d1c70937fa3afb490c7?utm_campaign=1057&amp;utm_source=sheet", "Apply")</f>
        <v>Apply</v>
      </c>
      <c r="C1904" s="10" t="s">
        <v>26043</v>
      </c>
      <c r="D1904" s="56" t="s">
        <v>26044</v>
      </c>
      <c r="E1904" s="10" t="s">
        <v>79</v>
      </c>
      <c r="G1904" s="10" t="s">
        <v>24022</v>
      </c>
      <c r="H1904" s="10" t="s">
        <v>957</v>
      </c>
      <c r="I1904" s="10" t="s">
        <v>48</v>
      </c>
      <c r="J1904" s="10" t="s">
        <v>26045</v>
      </c>
      <c r="K1904" s="10" t="s">
        <v>26046</v>
      </c>
      <c r="L1904" s="10" t="s">
        <v>42</v>
      </c>
    </row>
    <row r="1905" ht="15.75" customHeight="1">
      <c r="A1905" s="64">
        <v>45416.0</v>
      </c>
      <c r="B1905" s="55" t="str">
        <f>HYPERLINK("https://jobright.ai/jobs/info/6637072c880e409e53de7edc?utm_campaign=1057&amp;utm_source=sheet", "Apply")</f>
        <v>Apply</v>
      </c>
      <c r="C1905" s="10" t="s">
        <v>26047</v>
      </c>
      <c r="D1905" s="56" t="s">
        <v>1547</v>
      </c>
      <c r="E1905" s="10">
        <v>408.0</v>
      </c>
      <c r="G1905" s="10" t="s">
        <v>24031</v>
      </c>
      <c r="H1905" s="10" t="s">
        <v>9310</v>
      </c>
      <c r="I1905" s="10" t="s">
        <v>55</v>
      </c>
      <c r="K1905" s="10" t="s">
        <v>26048</v>
      </c>
      <c r="L1905" s="10" t="s">
        <v>42</v>
      </c>
    </row>
    <row r="1906" ht="15.75" customHeight="1">
      <c r="A1906" s="64">
        <v>45415.0</v>
      </c>
      <c r="B1906" s="55" t="str">
        <f>HYPERLINK("https://jobright.ai/jobs/info/6642f86c457134082c2110c0?utm_campaign=1057&amp;utm_source=sheet", "Apply")</f>
        <v>Apply</v>
      </c>
      <c r="C1906" s="10" t="s">
        <v>26049</v>
      </c>
      <c r="D1906" s="56" t="s">
        <v>26050</v>
      </c>
      <c r="E1906" s="10" t="s">
        <v>79</v>
      </c>
      <c r="G1906" s="10" t="s">
        <v>24022</v>
      </c>
      <c r="H1906" s="10" t="s">
        <v>26051</v>
      </c>
      <c r="I1906" s="10" t="s">
        <v>55</v>
      </c>
      <c r="K1906" s="10" t="s">
        <v>26052</v>
      </c>
      <c r="L1906" s="10" t="s">
        <v>42</v>
      </c>
    </row>
    <row r="1907" ht="15.75" customHeight="1">
      <c r="A1907" s="64">
        <v>45415.0</v>
      </c>
      <c r="B1907" s="55" t="str">
        <f>HYPERLINK("https://jobright.ai/jobs/info/6642f92c457134082c212a80?utm_campaign=1057&amp;utm_source=sheet", "Apply")</f>
        <v>Apply</v>
      </c>
      <c r="C1907" s="10" t="s">
        <v>26053</v>
      </c>
      <c r="D1907" s="56" t="s">
        <v>26054</v>
      </c>
      <c r="E1907" s="10">
        <v>3.0</v>
      </c>
      <c r="G1907" s="10" t="s">
        <v>24043</v>
      </c>
      <c r="H1907" s="10" t="s">
        <v>2222</v>
      </c>
      <c r="I1907" s="10" t="s">
        <v>55</v>
      </c>
      <c r="K1907" s="10" t="s">
        <v>24659</v>
      </c>
      <c r="L1907" s="10" t="s">
        <v>42</v>
      </c>
    </row>
    <row r="1908" ht="15.75" customHeight="1">
      <c r="A1908" s="64">
        <v>45414.0</v>
      </c>
      <c r="B1908" s="55" t="str">
        <f>HYPERLINK("https://jobright.ai/jobs/info/6642f8dc457134082c211f20?utm_campaign=1057&amp;utm_source=sheet", "Apply")</f>
        <v>Apply</v>
      </c>
      <c r="C1908" s="10" t="s">
        <v>26055</v>
      </c>
      <c r="D1908" s="56" t="s">
        <v>8784</v>
      </c>
      <c r="E1908" s="10" t="s">
        <v>65</v>
      </c>
      <c r="G1908" s="10" t="s">
        <v>24022</v>
      </c>
      <c r="H1908" s="10" t="s">
        <v>8785</v>
      </c>
      <c r="I1908" s="10" t="s">
        <v>55</v>
      </c>
      <c r="J1908" s="10" t="s">
        <v>6811</v>
      </c>
      <c r="K1908" s="10" t="s">
        <v>8787</v>
      </c>
      <c r="L1908" s="10" t="s">
        <v>42</v>
      </c>
    </row>
    <row r="1909" ht="15.75" customHeight="1">
      <c r="A1909" s="64">
        <v>45414.0</v>
      </c>
      <c r="B1909" s="55" t="str">
        <f>HYPERLINK("https://jobright.ai/jobs/info/666940238f0265d34931b445?utm_campaign=1057&amp;utm_source=sheet", "Apply")</f>
        <v>Apply</v>
      </c>
      <c r="C1909" s="10" t="s">
        <v>26056</v>
      </c>
      <c r="D1909" s="56" t="s">
        <v>26057</v>
      </c>
      <c r="E1909" s="10" t="s">
        <v>209</v>
      </c>
      <c r="F1909" s="10" t="s">
        <v>26058</v>
      </c>
      <c r="G1909" s="10" t="s">
        <v>24022</v>
      </c>
      <c r="H1909" s="10" t="s">
        <v>26059</v>
      </c>
      <c r="I1909" s="10" t="s">
        <v>55</v>
      </c>
      <c r="J1909" s="10" t="s">
        <v>1409</v>
      </c>
      <c r="K1909" s="10" t="s">
        <v>26060</v>
      </c>
      <c r="L1909" s="10" t="s">
        <v>42</v>
      </c>
    </row>
    <row r="1910" ht="15.75" customHeight="1">
      <c r="A1910" s="64">
        <v>45414.0</v>
      </c>
      <c r="B1910" s="55" t="str">
        <f>HYPERLINK("https://jobright.ai/jobs/info/665d8f5dafa29d3660ab0304?utm_campaign=1057&amp;utm_source=sheet", "Apply")</f>
        <v>Apply</v>
      </c>
      <c r="C1910" s="10" t="s">
        <v>26061</v>
      </c>
      <c r="D1910" s="56" t="s">
        <v>26062</v>
      </c>
      <c r="E1910" s="10" t="s">
        <v>65</v>
      </c>
      <c r="F1910" s="10" t="s">
        <v>2409</v>
      </c>
      <c r="G1910" s="10" t="s">
        <v>24031</v>
      </c>
      <c r="H1910" s="10" t="s">
        <v>170</v>
      </c>
      <c r="I1910" s="10" t="s">
        <v>55</v>
      </c>
      <c r="K1910" s="10" t="s">
        <v>26063</v>
      </c>
      <c r="L1910" s="10" t="s">
        <v>42</v>
      </c>
    </row>
    <row r="1911" ht="15.75" customHeight="1">
      <c r="A1911" s="64">
        <v>45413.0</v>
      </c>
      <c r="B1911" s="55" t="str">
        <f>HYPERLINK("https://jobright.ai/jobs/info/6638437733149a0435d629a7?utm_campaign=1057&amp;utm_source=sheet", "Apply")</f>
        <v>Apply</v>
      </c>
      <c r="C1911" s="10" t="s">
        <v>26064</v>
      </c>
      <c r="D1911" s="56" t="s">
        <v>25768</v>
      </c>
      <c r="E1911" s="10" t="s">
        <v>45</v>
      </c>
      <c r="F1911" s="10" t="s">
        <v>1234</v>
      </c>
      <c r="G1911" s="10" t="s">
        <v>24022</v>
      </c>
      <c r="H1911" s="10" t="s">
        <v>26065</v>
      </c>
      <c r="I1911" s="10" t="s">
        <v>55</v>
      </c>
      <c r="J1911" s="10" t="s">
        <v>25769</v>
      </c>
      <c r="K1911" s="10" t="s">
        <v>25770</v>
      </c>
      <c r="L1911" s="10" t="s">
        <v>42</v>
      </c>
    </row>
    <row r="1912" ht="15.75" customHeight="1">
      <c r="A1912" s="64">
        <v>45413.0</v>
      </c>
      <c r="B1912" s="55" t="str">
        <f>HYPERLINK("https://jobright.ai/jobs/info/6632d6c27064f624ce32cf5b?utm_campaign=1057&amp;utm_source=sheet", "Apply")</f>
        <v>Apply</v>
      </c>
      <c r="C1912" s="10" t="s">
        <v>26066</v>
      </c>
      <c r="D1912" s="56" t="s">
        <v>23154</v>
      </c>
      <c r="E1912" s="10" t="s">
        <v>65</v>
      </c>
      <c r="F1912" s="10" t="s">
        <v>23155</v>
      </c>
      <c r="G1912" s="10" t="s">
        <v>24022</v>
      </c>
      <c r="H1912" s="10" t="s">
        <v>96</v>
      </c>
      <c r="I1912" s="10" t="s">
        <v>55</v>
      </c>
      <c r="K1912" s="10" t="s">
        <v>26067</v>
      </c>
      <c r="L1912" s="10" t="s">
        <v>42</v>
      </c>
    </row>
    <row r="1913" ht="15.75" customHeight="1">
      <c r="A1913" s="64">
        <v>45413.0</v>
      </c>
      <c r="B1913" s="55" t="str">
        <f>HYPERLINK("https://jobright.ai/jobs/info/6669405c8f0265d34931b754?utm_campaign=1057&amp;utm_source=sheet", "Apply")</f>
        <v>Apply</v>
      </c>
      <c r="C1913" s="10" t="s">
        <v>26068</v>
      </c>
      <c r="D1913" s="56" t="s">
        <v>10296</v>
      </c>
      <c r="E1913" s="10" t="s">
        <v>249</v>
      </c>
      <c r="F1913" s="10" t="s">
        <v>3594</v>
      </c>
      <c r="G1913" s="10" t="s">
        <v>24022</v>
      </c>
      <c r="H1913" s="10" t="s">
        <v>26069</v>
      </c>
      <c r="I1913" s="10" t="s">
        <v>55</v>
      </c>
      <c r="J1913" s="10" t="s">
        <v>3671</v>
      </c>
      <c r="K1913" s="10" t="s">
        <v>26070</v>
      </c>
      <c r="L1913" s="10" t="s">
        <v>42</v>
      </c>
    </row>
    <row r="1914" ht="15.75" customHeight="1">
      <c r="A1914" s="64"/>
      <c r="D1914" s="56"/>
    </row>
    <row r="1915" ht="15.75" customHeight="1">
      <c r="A1915" s="64"/>
      <c r="D1915" s="56"/>
    </row>
    <row r="1916" ht="15.75" customHeight="1">
      <c r="A1916" s="64"/>
      <c r="D1916" s="56"/>
    </row>
    <row r="1917" ht="15.75" customHeight="1">
      <c r="A1917" s="64"/>
      <c r="D1917" s="56"/>
    </row>
    <row r="1918" ht="15.75" customHeight="1">
      <c r="A1918" s="64"/>
      <c r="D1918" s="56"/>
    </row>
    <row r="1919" ht="15.75" customHeight="1">
      <c r="A1919" s="64"/>
      <c r="D1919" s="56"/>
    </row>
    <row r="1920" ht="15.75" customHeight="1">
      <c r="A1920" s="64"/>
      <c r="D1920" s="56"/>
    </row>
    <row r="1921" ht="15.75" customHeight="1">
      <c r="A1921" s="64"/>
      <c r="D1921" s="56"/>
    </row>
    <row r="1922" ht="15.75" customHeight="1">
      <c r="A1922" s="64"/>
      <c r="D1922" s="56"/>
    </row>
    <row r="1923" ht="15.75" customHeight="1">
      <c r="A1923" s="64"/>
      <c r="D1923" s="56"/>
    </row>
    <row r="1924" ht="15.75" customHeight="1">
      <c r="A1924" s="64"/>
      <c r="D1924" s="56"/>
    </row>
    <row r="1925" ht="15.75" customHeight="1">
      <c r="A1925" s="64"/>
      <c r="D1925" s="56"/>
    </row>
    <row r="1926" ht="15.75" customHeight="1">
      <c r="A1926" s="64"/>
      <c r="D1926" s="56"/>
    </row>
    <row r="1927" ht="15.75" customHeight="1">
      <c r="A1927" s="64"/>
      <c r="D1927" s="56"/>
    </row>
    <row r="1928" ht="15.75" customHeight="1">
      <c r="A1928" s="64"/>
      <c r="D1928" s="56"/>
    </row>
    <row r="1929" ht="15.75" customHeight="1">
      <c r="A1929" s="64"/>
      <c r="D1929" s="56"/>
    </row>
    <row r="1930" ht="15.75" customHeight="1">
      <c r="A1930" s="64"/>
      <c r="D1930" s="56"/>
    </row>
    <row r="1931" ht="15.75" customHeight="1">
      <c r="A1931" s="64"/>
      <c r="D1931" s="56"/>
    </row>
    <row r="1932" ht="15.75" customHeight="1">
      <c r="A1932" s="64"/>
      <c r="D1932" s="56"/>
    </row>
    <row r="1933" ht="15.75" customHeight="1">
      <c r="A1933" s="64"/>
      <c r="D1933" s="56"/>
    </row>
    <row r="1934" ht="15.75" customHeight="1">
      <c r="A1934" s="64"/>
      <c r="D1934" s="56"/>
    </row>
    <row r="1935" ht="15.75" customHeight="1">
      <c r="A1935" s="64"/>
      <c r="D1935" s="56"/>
    </row>
    <row r="1936" ht="15.75" customHeight="1">
      <c r="A1936" s="64"/>
      <c r="D1936" s="56"/>
    </row>
    <row r="1937" ht="15.75" customHeight="1">
      <c r="A1937" s="64"/>
      <c r="D1937" s="56"/>
    </row>
    <row r="1938" ht="15.75" customHeight="1">
      <c r="A1938" s="64"/>
      <c r="D1938" s="56"/>
    </row>
    <row r="1939" ht="15.75" customHeight="1">
      <c r="A1939" s="64"/>
      <c r="D1939" s="56"/>
    </row>
    <row r="1940" ht="15.75" customHeight="1">
      <c r="A1940" s="64"/>
      <c r="D1940" s="56"/>
    </row>
    <row r="1941" ht="15.75" customHeight="1">
      <c r="A1941" s="64"/>
      <c r="D1941" s="56"/>
    </row>
    <row r="1942" ht="15.75" customHeight="1">
      <c r="A1942" s="64"/>
      <c r="D1942" s="56"/>
    </row>
    <row r="1943" ht="15.75" customHeight="1">
      <c r="A1943" s="64"/>
      <c r="D1943" s="56"/>
    </row>
    <row r="1944" ht="15.75" customHeight="1">
      <c r="A1944" s="64"/>
      <c r="D1944" s="56"/>
    </row>
    <row r="1945" ht="15.75" customHeight="1">
      <c r="A1945" s="64"/>
      <c r="D1945" s="56"/>
    </row>
    <row r="1946" ht="15.75" customHeight="1">
      <c r="A1946" s="64"/>
      <c r="D1946" s="56"/>
    </row>
    <row r="1947" ht="15.75" customHeight="1">
      <c r="A1947" s="64"/>
      <c r="D1947" s="56"/>
    </row>
    <row r="1948" ht="15.75" customHeight="1">
      <c r="A1948" s="64"/>
      <c r="D1948" s="56"/>
    </row>
    <row r="1949" ht="15.75" customHeight="1">
      <c r="A1949" s="64"/>
      <c r="D1949" s="56"/>
    </row>
    <row r="1950" ht="15.75" customHeight="1">
      <c r="A1950" s="64"/>
      <c r="D1950" s="56"/>
    </row>
    <row r="1951" ht="15.75" customHeight="1">
      <c r="A1951" s="64"/>
      <c r="D1951" s="56"/>
    </row>
    <row r="1952" ht="15.75" customHeight="1">
      <c r="A1952" s="64"/>
      <c r="D1952" s="56"/>
    </row>
    <row r="1953" ht="15.75" customHeight="1">
      <c r="A1953" s="64"/>
      <c r="D1953" s="56"/>
    </row>
    <row r="1954" ht="15.75" customHeight="1">
      <c r="A1954" s="64"/>
      <c r="D1954" s="56"/>
    </row>
    <row r="1955" ht="15.75" customHeight="1">
      <c r="A1955" s="64"/>
      <c r="D1955" s="56"/>
    </row>
    <row r="1956" ht="15.75" customHeight="1">
      <c r="A1956" s="64"/>
      <c r="D1956" s="56"/>
    </row>
    <row r="1957" ht="15.75" customHeight="1">
      <c r="A1957" s="64"/>
      <c r="D1957" s="56"/>
    </row>
    <row r="1958" ht="15.75" customHeight="1">
      <c r="A1958" s="64"/>
      <c r="D1958" s="56"/>
    </row>
    <row r="1959" ht="15.75" customHeight="1">
      <c r="A1959" s="64"/>
      <c r="D1959" s="56"/>
    </row>
    <row r="1960" ht="15.75" customHeight="1">
      <c r="A1960" s="64"/>
      <c r="D1960" s="56"/>
    </row>
    <row r="1961" ht="15.75" customHeight="1">
      <c r="A1961" s="64"/>
      <c r="D1961" s="56"/>
    </row>
    <row r="1962" ht="15.75" customHeight="1">
      <c r="A1962" s="64"/>
      <c r="D1962" s="56"/>
    </row>
    <row r="1963" ht="15.75" customHeight="1">
      <c r="A1963" s="64"/>
      <c r="D1963" s="56"/>
    </row>
    <row r="1964" ht="15.75" customHeight="1">
      <c r="A1964" s="64"/>
      <c r="D1964" s="56"/>
    </row>
    <row r="1965" ht="15.75" customHeight="1">
      <c r="A1965" s="64"/>
      <c r="D1965" s="56"/>
    </row>
    <row r="1966" ht="15.75" customHeight="1">
      <c r="A1966" s="64"/>
      <c r="D1966" s="56"/>
    </row>
    <row r="1967" ht="15.75" customHeight="1">
      <c r="A1967" s="64"/>
      <c r="D1967" s="56"/>
    </row>
    <row r="1968" ht="15.75" customHeight="1">
      <c r="A1968" s="64"/>
      <c r="D1968" s="56"/>
    </row>
    <row r="1969" ht="15.75" customHeight="1">
      <c r="A1969" s="64"/>
      <c r="D1969" s="56"/>
    </row>
    <row r="1970" ht="15.75" customHeight="1">
      <c r="A1970" s="64"/>
      <c r="D1970" s="56"/>
    </row>
    <row r="1971" ht="15.75" customHeight="1">
      <c r="A1971" s="64"/>
      <c r="D1971" s="56"/>
    </row>
    <row r="1972" ht="15.75" customHeight="1">
      <c r="A1972" s="64"/>
      <c r="D1972" s="56"/>
    </row>
    <row r="1973" ht="15.75" customHeight="1">
      <c r="A1973" s="64"/>
      <c r="D1973" s="56"/>
    </row>
    <row r="1974" ht="15.75" customHeight="1">
      <c r="A1974" s="64"/>
      <c r="D1974" s="56"/>
    </row>
    <row r="1975" ht="15.75" customHeight="1">
      <c r="A1975" s="64"/>
      <c r="D1975" s="56"/>
    </row>
    <row r="1976" ht="15.75" customHeight="1">
      <c r="A1976" s="64"/>
      <c r="D1976" s="56"/>
    </row>
    <row r="1977">
      <c r="A1977" s="64"/>
      <c r="D1977" s="56"/>
    </row>
    <row r="1978">
      <c r="A1978" s="64"/>
      <c r="D1978" s="56"/>
    </row>
    <row r="1979">
      <c r="A1979" s="64"/>
      <c r="D1979" s="56"/>
    </row>
    <row r="1980">
      <c r="A1980" s="64"/>
      <c r="D1980" s="56"/>
    </row>
    <row r="1981">
      <c r="A1981" s="64"/>
      <c r="D1981" s="56"/>
    </row>
    <row r="1982">
      <c r="A1982" s="64"/>
      <c r="D1982" s="56"/>
    </row>
    <row r="1983">
      <c r="A1983" s="64"/>
      <c r="D1983" s="56"/>
    </row>
    <row r="1984">
      <c r="A1984" s="64"/>
      <c r="D1984" s="56"/>
    </row>
    <row r="1985">
      <c r="A1985" s="64"/>
      <c r="D1985" s="56"/>
    </row>
    <row r="1986">
      <c r="A1986" s="64"/>
      <c r="D1986" s="56"/>
    </row>
    <row r="1987">
      <c r="A1987" s="64"/>
      <c r="D1987" s="56"/>
    </row>
    <row r="1988">
      <c r="A1988" s="64"/>
      <c r="D1988" s="56"/>
    </row>
    <row r="1989">
      <c r="A1989" s="64"/>
      <c r="D1989" s="56"/>
    </row>
    <row r="1990">
      <c r="A1990" s="64"/>
      <c r="D1990" s="56"/>
    </row>
    <row r="1991">
      <c r="A1991" s="64"/>
      <c r="D1991" s="56"/>
    </row>
    <row r="1992">
      <c r="A1992" s="64"/>
      <c r="D1992" s="56"/>
    </row>
    <row r="1993">
      <c r="A1993" s="64"/>
      <c r="D1993" s="56"/>
    </row>
    <row r="1994">
      <c r="A1994" s="64"/>
      <c r="D1994" s="56"/>
    </row>
    <row r="1995">
      <c r="A1995" s="64"/>
      <c r="D1995" s="56"/>
    </row>
    <row r="1996">
      <c r="A1996" s="64"/>
      <c r="D1996" s="56"/>
    </row>
    <row r="1997">
      <c r="A1997" s="64"/>
      <c r="D1997" s="56"/>
    </row>
    <row r="1998">
      <c r="A1998" s="64"/>
      <c r="D1998" s="56"/>
    </row>
    <row r="1999">
      <c r="A1999" s="64"/>
      <c r="D1999" s="56"/>
    </row>
    <row r="2000">
      <c r="A2000" s="64"/>
      <c r="D2000" s="56"/>
    </row>
    <row r="2001">
      <c r="A2001" s="64"/>
      <c r="D2001" s="56"/>
    </row>
    <row r="2002">
      <c r="A2002" s="64"/>
      <c r="D2002" s="56"/>
    </row>
    <row r="2003">
      <c r="A2003" s="64"/>
      <c r="D2003" s="56"/>
    </row>
    <row r="2004">
      <c r="A2004" s="64"/>
      <c r="D2004" s="56"/>
    </row>
    <row r="2005">
      <c r="A2005" s="64"/>
      <c r="D2005" s="56"/>
    </row>
    <row r="2006">
      <c r="A2006" s="64"/>
      <c r="D2006" s="56"/>
    </row>
    <row r="2007">
      <c r="A2007" s="64"/>
      <c r="D2007" s="56"/>
    </row>
    <row r="2008">
      <c r="A2008" s="64"/>
      <c r="D2008" s="56"/>
    </row>
    <row r="2009">
      <c r="A2009" s="64"/>
      <c r="D2009" s="56"/>
    </row>
    <row r="2010">
      <c r="A2010" s="64"/>
      <c r="D2010" s="56"/>
    </row>
    <row r="2011">
      <c r="A2011" s="64"/>
      <c r="D2011" s="56"/>
    </row>
    <row r="2012">
      <c r="A2012" s="64"/>
      <c r="D2012" s="56"/>
    </row>
    <row r="2013">
      <c r="A2013" s="64"/>
      <c r="D2013" s="56"/>
    </row>
    <row r="2014">
      <c r="A2014" s="64"/>
      <c r="D2014" s="56"/>
    </row>
    <row r="2015">
      <c r="A2015" s="64"/>
      <c r="D2015" s="56"/>
    </row>
    <row r="2016">
      <c r="A2016" s="64"/>
      <c r="D2016" s="56"/>
    </row>
    <row r="2017">
      <c r="A2017" s="64"/>
      <c r="D2017" s="56"/>
    </row>
    <row r="2018">
      <c r="A2018" s="64"/>
      <c r="D2018" s="56"/>
    </row>
    <row r="2019">
      <c r="A2019" s="64"/>
      <c r="D2019" s="56"/>
    </row>
    <row r="2020">
      <c r="A2020" s="64"/>
      <c r="D2020" s="56"/>
    </row>
    <row r="2021">
      <c r="A2021" s="64"/>
      <c r="D2021" s="56"/>
    </row>
    <row r="2022">
      <c r="A2022" s="64"/>
      <c r="D2022" s="56"/>
    </row>
    <row r="2023">
      <c r="A2023" s="64"/>
      <c r="D2023" s="56"/>
    </row>
    <row r="2024">
      <c r="A2024" s="64"/>
      <c r="D2024" s="56"/>
    </row>
    <row r="2025">
      <c r="A2025" s="64"/>
      <c r="D2025" s="56"/>
    </row>
    <row r="2026">
      <c r="A2026" s="64"/>
      <c r="D2026" s="56"/>
    </row>
    <row r="2027">
      <c r="A2027" s="64"/>
      <c r="D2027" s="56"/>
    </row>
    <row r="2028">
      <c r="A2028" s="64"/>
      <c r="D2028" s="56"/>
    </row>
    <row r="2029">
      <c r="A2029" s="64"/>
      <c r="D2029" s="56"/>
    </row>
    <row r="2030">
      <c r="A2030" s="64"/>
      <c r="D2030" s="56"/>
    </row>
    <row r="2031">
      <c r="A2031" s="64"/>
      <c r="D2031" s="56"/>
    </row>
    <row r="2032">
      <c r="A2032" s="64"/>
      <c r="D2032" s="56"/>
    </row>
    <row r="2033">
      <c r="A2033" s="64"/>
      <c r="D2033" s="56"/>
    </row>
    <row r="2034">
      <c r="A2034" s="64"/>
      <c r="D2034" s="56"/>
    </row>
    <row r="2035">
      <c r="A2035" s="64"/>
      <c r="D2035" s="56"/>
    </row>
    <row r="2036">
      <c r="A2036" s="64"/>
      <c r="D2036" s="56"/>
    </row>
    <row r="2037">
      <c r="A2037" s="64"/>
      <c r="D2037" s="56"/>
    </row>
    <row r="2038">
      <c r="A2038" s="64"/>
      <c r="D2038" s="56"/>
    </row>
    <row r="2039">
      <c r="A2039" s="64"/>
      <c r="D2039" s="56"/>
    </row>
    <row r="2040">
      <c r="A2040" s="64"/>
      <c r="D2040" s="56"/>
    </row>
    <row r="2041">
      <c r="A2041" s="64"/>
      <c r="D2041" s="56"/>
    </row>
    <row r="2042">
      <c r="A2042" s="64"/>
      <c r="D2042" s="56"/>
    </row>
    <row r="2043">
      <c r="A2043" s="64"/>
      <c r="D2043" s="56"/>
    </row>
    <row r="2044">
      <c r="A2044" s="64"/>
      <c r="D2044" s="56"/>
    </row>
    <row r="2045">
      <c r="A2045" s="64"/>
      <c r="D2045" s="56"/>
    </row>
    <row r="2046">
      <c r="A2046" s="64"/>
      <c r="D2046" s="56"/>
    </row>
    <row r="2047">
      <c r="A2047" s="64"/>
      <c r="D2047" s="56"/>
    </row>
    <row r="2048">
      <c r="A2048" s="64"/>
      <c r="D2048" s="56"/>
    </row>
    <row r="2049">
      <c r="A2049" s="64"/>
      <c r="D2049" s="56"/>
    </row>
    <row r="2050">
      <c r="A2050" s="64"/>
      <c r="D2050" s="56"/>
    </row>
    <row r="2051">
      <c r="A2051" s="64"/>
      <c r="D2051" s="56"/>
    </row>
    <row r="2052">
      <c r="A2052" s="64"/>
      <c r="D2052" s="56"/>
    </row>
    <row r="2053">
      <c r="A2053" s="64"/>
      <c r="D2053" s="56"/>
    </row>
    <row r="2054">
      <c r="A2054" s="64"/>
      <c r="D2054" s="56"/>
    </row>
    <row r="2055">
      <c r="A2055" s="64"/>
      <c r="D2055" s="56"/>
    </row>
    <row r="2056">
      <c r="A2056" s="64"/>
      <c r="D2056" s="56"/>
    </row>
    <row r="2057">
      <c r="A2057" s="64"/>
      <c r="D2057" s="56"/>
    </row>
    <row r="2058">
      <c r="A2058" s="64"/>
      <c r="D2058" s="56"/>
    </row>
    <row r="2059">
      <c r="A2059" s="64"/>
      <c r="D2059" s="56"/>
    </row>
    <row r="2060">
      <c r="A2060" s="64"/>
      <c r="D2060" s="56"/>
    </row>
    <row r="2061">
      <c r="A2061" s="64"/>
      <c r="D2061" s="56"/>
    </row>
    <row r="2062">
      <c r="A2062" s="64"/>
      <c r="D2062" s="56"/>
    </row>
    <row r="2063">
      <c r="A2063" s="64"/>
      <c r="D2063" s="56"/>
    </row>
    <row r="2064">
      <c r="A2064" s="64"/>
      <c r="D2064" s="56"/>
    </row>
    <row r="2065">
      <c r="A2065" s="64"/>
      <c r="D2065" s="56"/>
    </row>
    <row r="2066">
      <c r="A2066" s="64"/>
      <c r="D2066" s="56"/>
    </row>
    <row r="2067">
      <c r="A2067" s="64"/>
      <c r="D2067" s="56"/>
    </row>
    <row r="2068">
      <c r="A2068" s="64"/>
      <c r="D2068" s="56"/>
    </row>
    <row r="2069">
      <c r="A2069" s="64"/>
      <c r="D2069" s="56"/>
    </row>
    <row r="2070">
      <c r="A2070" s="64"/>
      <c r="D2070" s="56"/>
    </row>
    <row r="2071">
      <c r="A2071" s="64"/>
      <c r="D2071" s="56"/>
    </row>
    <row r="2072">
      <c r="A2072" s="64"/>
      <c r="D2072" s="56"/>
    </row>
    <row r="2073">
      <c r="A2073" s="64"/>
      <c r="D2073" s="56"/>
    </row>
    <row r="2074">
      <c r="A2074" s="64"/>
      <c r="D2074" s="56"/>
    </row>
    <row r="2075">
      <c r="A2075" s="64"/>
      <c r="D2075" s="56"/>
    </row>
    <row r="2076">
      <c r="A2076" s="64"/>
      <c r="D2076" s="56"/>
    </row>
    <row r="2077">
      <c r="A2077" s="64"/>
      <c r="D2077" s="56"/>
    </row>
    <row r="2078">
      <c r="A2078" s="64"/>
      <c r="D2078" s="56"/>
    </row>
    <row r="2079">
      <c r="A2079" s="64"/>
      <c r="D2079" s="56"/>
    </row>
    <row r="2080">
      <c r="A2080" s="64"/>
      <c r="D2080" s="56"/>
    </row>
    <row r="2081">
      <c r="A2081" s="64"/>
      <c r="D2081" s="56"/>
    </row>
    <row r="2082">
      <c r="A2082" s="64"/>
      <c r="D2082" s="56"/>
    </row>
    <row r="2083">
      <c r="A2083" s="64"/>
      <c r="D2083" s="56"/>
    </row>
    <row r="2084">
      <c r="A2084" s="64"/>
      <c r="D2084" s="56"/>
    </row>
    <row r="2085">
      <c r="A2085" s="64"/>
      <c r="D2085" s="56"/>
    </row>
    <row r="2086">
      <c r="A2086" s="64"/>
      <c r="D2086" s="56"/>
    </row>
    <row r="2087">
      <c r="A2087" s="64"/>
      <c r="D2087" s="56"/>
    </row>
    <row r="2088">
      <c r="A2088" s="64"/>
      <c r="D2088" s="56"/>
    </row>
    <row r="2089">
      <c r="A2089" s="64"/>
      <c r="D2089" s="56"/>
    </row>
    <row r="2090">
      <c r="A2090" s="64"/>
      <c r="D2090" s="56"/>
    </row>
    <row r="2091">
      <c r="A2091" s="64"/>
      <c r="D2091" s="56"/>
    </row>
    <row r="2092">
      <c r="A2092" s="64"/>
      <c r="D2092" s="56"/>
    </row>
    <row r="2093">
      <c r="A2093" s="64"/>
      <c r="D2093" s="56"/>
    </row>
    <row r="2094">
      <c r="A2094" s="64"/>
      <c r="D2094" s="56"/>
    </row>
    <row r="2095">
      <c r="A2095" s="64"/>
      <c r="D2095" s="56"/>
    </row>
    <row r="2096">
      <c r="A2096" s="64"/>
      <c r="D2096" s="56"/>
    </row>
    <row r="2097">
      <c r="A2097" s="64"/>
      <c r="D2097" s="56"/>
    </row>
    <row r="2098">
      <c r="A2098" s="64"/>
      <c r="D2098" s="56"/>
    </row>
    <row r="2099">
      <c r="A2099" s="64"/>
      <c r="D2099" s="56"/>
    </row>
    <row r="2100">
      <c r="A2100" s="64"/>
      <c r="D2100" s="56"/>
    </row>
    <row r="2101">
      <c r="A2101" s="64"/>
      <c r="D2101" s="56"/>
    </row>
    <row r="2102">
      <c r="A2102" s="64"/>
      <c r="D2102" s="56"/>
    </row>
    <row r="2103">
      <c r="A2103" s="64"/>
      <c r="D2103" s="56"/>
    </row>
    <row r="2104">
      <c r="A2104" s="64"/>
      <c r="D2104" s="56"/>
    </row>
    <row r="2105">
      <c r="A2105" s="64"/>
      <c r="D2105" s="56"/>
    </row>
    <row r="2106">
      <c r="A2106" s="64"/>
      <c r="D2106" s="56"/>
    </row>
    <row r="2107">
      <c r="A2107" s="64"/>
      <c r="D2107" s="56"/>
    </row>
    <row r="2108">
      <c r="A2108" s="64"/>
      <c r="D2108" s="56"/>
    </row>
    <row r="2109">
      <c r="A2109" s="64"/>
      <c r="D2109" s="56"/>
    </row>
    <row r="2110">
      <c r="A2110" s="64"/>
      <c r="D2110" s="56"/>
    </row>
    <row r="2111">
      <c r="A2111" s="64"/>
      <c r="D2111" s="56"/>
    </row>
    <row r="2112">
      <c r="A2112" s="64"/>
      <c r="D2112" s="56"/>
    </row>
    <row r="2113">
      <c r="A2113" s="64"/>
      <c r="D2113" s="56"/>
    </row>
    <row r="2114">
      <c r="A2114" s="64"/>
      <c r="D2114" s="56"/>
    </row>
    <row r="2115">
      <c r="A2115" s="64"/>
      <c r="D2115" s="56"/>
    </row>
    <row r="2116">
      <c r="A2116" s="64"/>
      <c r="D2116" s="56"/>
    </row>
    <row r="2117">
      <c r="A2117" s="64"/>
      <c r="D2117" s="56"/>
    </row>
    <row r="2118">
      <c r="A2118" s="64"/>
      <c r="D2118" s="56"/>
    </row>
    <row r="2119">
      <c r="A2119" s="64"/>
      <c r="D2119" s="56"/>
    </row>
    <row r="2120">
      <c r="A2120" s="64"/>
      <c r="D2120" s="56"/>
    </row>
    <row r="2121">
      <c r="A2121" s="64"/>
      <c r="D2121" s="56"/>
    </row>
    <row r="2122">
      <c r="A2122" s="64"/>
      <c r="D2122" s="56"/>
    </row>
    <row r="2123">
      <c r="A2123" s="64"/>
      <c r="D2123" s="56"/>
    </row>
    <row r="2124">
      <c r="A2124" s="64"/>
      <c r="D2124" s="56"/>
    </row>
    <row r="2125">
      <c r="A2125" s="64"/>
      <c r="D2125" s="56"/>
    </row>
    <row r="2126">
      <c r="A2126" s="64"/>
      <c r="D2126" s="56"/>
    </row>
    <row r="2127">
      <c r="A2127" s="64"/>
      <c r="D2127" s="56"/>
    </row>
    <row r="2128">
      <c r="A2128" s="64"/>
      <c r="D2128" s="56"/>
    </row>
    <row r="2129">
      <c r="A2129" s="64"/>
      <c r="D2129" s="56"/>
    </row>
    <row r="2130">
      <c r="A2130" s="64"/>
      <c r="D2130" s="56"/>
    </row>
    <row r="2131">
      <c r="A2131" s="64"/>
      <c r="D2131" s="56"/>
    </row>
    <row r="2132">
      <c r="A2132" s="64"/>
      <c r="D2132" s="56"/>
    </row>
    <row r="2133">
      <c r="A2133" s="64"/>
      <c r="D2133" s="56"/>
    </row>
    <row r="2134">
      <c r="A2134" s="64"/>
      <c r="D2134" s="56"/>
    </row>
    <row r="2135">
      <c r="A2135" s="64"/>
      <c r="D2135" s="56"/>
    </row>
    <row r="2136">
      <c r="A2136" s="64"/>
      <c r="D2136" s="56"/>
    </row>
    <row r="2137">
      <c r="A2137" s="64"/>
      <c r="D2137" s="56"/>
    </row>
    <row r="2138">
      <c r="A2138" s="64"/>
      <c r="D2138" s="56"/>
    </row>
    <row r="2139">
      <c r="A2139" s="64"/>
      <c r="D2139" s="56"/>
    </row>
    <row r="2140">
      <c r="A2140" s="64"/>
      <c r="D2140" s="56"/>
    </row>
    <row r="2141">
      <c r="A2141" s="64"/>
      <c r="D2141" s="56"/>
    </row>
    <row r="2142">
      <c r="A2142" s="64"/>
      <c r="D2142" s="56"/>
    </row>
    <row r="2143">
      <c r="A2143" s="64"/>
      <c r="D2143" s="56"/>
    </row>
    <row r="2144">
      <c r="A2144" s="64"/>
      <c r="D2144" s="56"/>
    </row>
    <row r="2145">
      <c r="A2145" s="64"/>
      <c r="D2145" s="56"/>
    </row>
    <row r="2146">
      <c r="A2146" s="64"/>
      <c r="D2146" s="56"/>
    </row>
    <row r="2147">
      <c r="A2147" s="64"/>
      <c r="D2147" s="56"/>
    </row>
    <row r="2148">
      <c r="A2148" s="64"/>
      <c r="D2148" s="56"/>
    </row>
    <row r="2149">
      <c r="A2149" s="64"/>
      <c r="D2149" s="56"/>
    </row>
    <row r="2150">
      <c r="A2150" s="64"/>
      <c r="D2150" s="56"/>
    </row>
    <row r="2151">
      <c r="A2151" s="64"/>
      <c r="D2151" s="56"/>
    </row>
    <row r="2152">
      <c r="A2152" s="64"/>
      <c r="D2152" s="56"/>
    </row>
    <row r="2153">
      <c r="A2153" s="64"/>
      <c r="D2153" s="56"/>
    </row>
    <row r="2154">
      <c r="A2154" s="64"/>
      <c r="D2154" s="56"/>
    </row>
    <row r="2155">
      <c r="A2155" s="64"/>
      <c r="D2155" s="56"/>
    </row>
    <row r="2156">
      <c r="A2156" s="64"/>
      <c r="D2156" s="56"/>
    </row>
    <row r="2157">
      <c r="A2157" s="64"/>
      <c r="D2157" s="56"/>
    </row>
    <row r="2158">
      <c r="A2158" s="64"/>
      <c r="D2158" s="56"/>
    </row>
    <row r="2159">
      <c r="A2159" s="64"/>
      <c r="D2159" s="56"/>
    </row>
    <row r="2160">
      <c r="A2160" s="64"/>
      <c r="D2160" s="56"/>
    </row>
    <row r="2161">
      <c r="A2161" s="64"/>
      <c r="D2161" s="56"/>
    </row>
    <row r="2162">
      <c r="A2162" s="64"/>
      <c r="D2162" s="56"/>
    </row>
    <row r="2163">
      <c r="A2163" s="64"/>
      <c r="D2163" s="56"/>
    </row>
    <row r="2164">
      <c r="A2164" s="64"/>
      <c r="D2164" s="56"/>
    </row>
    <row r="2165">
      <c r="A2165" s="64"/>
      <c r="D2165" s="56"/>
    </row>
    <row r="2166">
      <c r="A2166" s="64"/>
      <c r="D2166" s="56"/>
    </row>
    <row r="2167">
      <c r="A2167" s="64"/>
      <c r="D2167" s="56"/>
    </row>
    <row r="2168">
      <c r="A2168" s="64"/>
      <c r="D2168" s="56"/>
    </row>
    <row r="2169">
      <c r="A2169" s="64"/>
      <c r="D2169" s="56"/>
    </row>
    <row r="2170">
      <c r="A2170" s="64"/>
      <c r="D2170" s="56"/>
    </row>
    <row r="2171">
      <c r="A2171" s="64"/>
      <c r="D2171" s="56"/>
    </row>
    <row r="2172">
      <c r="A2172" s="64"/>
      <c r="D2172" s="56"/>
    </row>
    <row r="2173">
      <c r="A2173" s="64"/>
      <c r="D2173" s="56"/>
    </row>
    <row r="2174">
      <c r="A2174" s="64"/>
      <c r="D2174" s="56"/>
    </row>
    <row r="2175">
      <c r="A2175" s="64"/>
      <c r="D2175" s="56"/>
    </row>
    <row r="2176">
      <c r="A2176" s="64"/>
      <c r="D2176" s="56"/>
    </row>
    <row r="2177">
      <c r="A2177" s="64"/>
      <c r="D2177" s="56"/>
    </row>
    <row r="2178">
      <c r="A2178" s="64"/>
      <c r="D2178" s="56"/>
    </row>
    <row r="2179">
      <c r="A2179" s="64"/>
      <c r="D2179" s="56"/>
    </row>
    <row r="2180">
      <c r="A2180" s="64"/>
      <c r="D2180" s="56"/>
    </row>
    <row r="2181">
      <c r="A2181" s="64"/>
      <c r="D2181" s="56"/>
    </row>
    <row r="2182">
      <c r="A2182" s="64"/>
      <c r="D2182" s="56"/>
    </row>
    <row r="2183">
      <c r="A2183" s="64"/>
      <c r="D2183" s="56"/>
    </row>
    <row r="2184">
      <c r="A2184" s="64"/>
      <c r="D2184" s="56"/>
    </row>
    <row r="2185">
      <c r="A2185" s="64"/>
      <c r="D2185" s="56"/>
    </row>
    <row r="2186">
      <c r="A2186" s="64"/>
      <c r="D2186" s="56"/>
    </row>
    <row r="2187">
      <c r="A2187" s="64"/>
      <c r="D2187" s="56"/>
    </row>
    <row r="2188">
      <c r="A2188" s="64"/>
      <c r="D2188" s="56"/>
    </row>
    <row r="2189">
      <c r="A2189" s="64"/>
      <c r="D2189" s="56"/>
    </row>
    <row r="2190">
      <c r="A2190" s="64"/>
      <c r="D2190" s="56"/>
    </row>
    <row r="2191">
      <c r="A2191" s="64"/>
      <c r="D2191" s="56"/>
    </row>
    <row r="2192">
      <c r="A2192" s="64"/>
      <c r="D2192" s="56"/>
    </row>
    <row r="2193">
      <c r="A2193" s="64"/>
      <c r="D2193" s="56"/>
    </row>
    <row r="2194">
      <c r="A2194" s="64"/>
      <c r="D2194" s="56"/>
    </row>
    <row r="2195">
      <c r="A2195" s="64"/>
      <c r="D2195" s="56"/>
    </row>
    <row r="2196">
      <c r="A2196" s="64"/>
      <c r="D2196" s="56"/>
    </row>
    <row r="2197">
      <c r="A2197" s="64"/>
      <c r="D2197" s="56"/>
    </row>
    <row r="2198">
      <c r="A2198" s="64"/>
      <c r="D2198" s="56"/>
    </row>
    <row r="2199">
      <c r="A2199" s="64"/>
      <c r="D2199" s="56"/>
    </row>
    <row r="2200">
      <c r="A2200" s="64"/>
      <c r="D2200" s="56"/>
    </row>
    <row r="2201">
      <c r="A2201" s="64"/>
      <c r="D2201" s="56"/>
    </row>
    <row r="2202">
      <c r="A2202" s="64"/>
      <c r="D2202" s="56"/>
    </row>
    <row r="2203">
      <c r="A2203" s="64"/>
      <c r="D2203" s="56"/>
    </row>
    <row r="2204">
      <c r="A2204" s="64"/>
      <c r="D2204" s="56"/>
    </row>
    <row r="2205">
      <c r="A2205" s="64"/>
      <c r="D2205" s="56"/>
    </row>
    <row r="2206">
      <c r="A2206" s="64"/>
      <c r="D2206" s="56"/>
    </row>
    <row r="2207">
      <c r="A2207" s="64"/>
      <c r="D2207" s="56"/>
    </row>
    <row r="2208">
      <c r="A2208" s="64"/>
      <c r="D2208" s="56"/>
    </row>
    <row r="2209">
      <c r="A2209" s="64"/>
      <c r="D2209" s="56"/>
    </row>
    <row r="2210">
      <c r="A2210" s="64"/>
      <c r="D2210" s="56"/>
    </row>
    <row r="2211">
      <c r="A2211" s="64"/>
      <c r="D2211" s="56"/>
    </row>
    <row r="2212">
      <c r="A2212" s="64"/>
      <c r="D2212" s="56"/>
    </row>
    <row r="2213">
      <c r="A2213" s="64"/>
      <c r="D2213" s="56"/>
    </row>
    <row r="2214">
      <c r="A2214" s="64"/>
      <c r="D2214" s="56"/>
    </row>
    <row r="2215">
      <c r="A2215" s="64"/>
      <c r="D2215" s="56"/>
    </row>
    <row r="2216">
      <c r="A2216" s="64"/>
      <c r="D2216" s="56"/>
    </row>
    <row r="2217">
      <c r="A2217" s="64"/>
      <c r="D2217" s="56"/>
    </row>
    <row r="2218">
      <c r="A2218" s="64"/>
      <c r="D2218" s="56"/>
    </row>
    <row r="2219">
      <c r="A2219" s="64"/>
      <c r="D2219" s="56"/>
    </row>
    <row r="2220">
      <c r="A2220" s="64"/>
      <c r="D2220" s="56"/>
    </row>
    <row r="2221">
      <c r="A2221" s="64"/>
      <c r="D2221" s="56"/>
    </row>
    <row r="2222">
      <c r="A2222" s="64"/>
      <c r="D2222" s="56"/>
    </row>
    <row r="2223">
      <c r="A2223" s="64"/>
      <c r="D2223" s="56"/>
    </row>
    <row r="2224">
      <c r="A2224" s="64"/>
      <c r="D2224" s="56"/>
    </row>
    <row r="2225">
      <c r="A2225" s="64"/>
      <c r="D2225" s="56"/>
    </row>
    <row r="2226">
      <c r="A2226" s="64"/>
      <c r="D2226" s="56"/>
    </row>
    <row r="2227">
      <c r="A2227" s="64"/>
      <c r="D2227" s="56"/>
    </row>
    <row r="2228">
      <c r="A2228" s="64"/>
      <c r="D2228" s="56"/>
    </row>
    <row r="2229">
      <c r="A2229" s="64"/>
      <c r="D2229" s="56"/>
    </row>
    <row r="2230">
      <c r="A2230" s="64"/>
      <c r="D2230" s="56"/>
    </row>
    <row r="2231">
      <c r="A2231" s="64"/>
      <c r="D2231" s="56"/>
    </row>
    <row r="2232">
      <c r="A2232" s="64"/>
      <c r="D2232" s="56"/>
    </row>
    <row r="2233">
      <c r="A2233" s="64"/>
      <c r="D2233" s="56"/>
    </row>
    <row r="2234">
      <c r="A2234" s="64"/>
      <c r="D2234" s="56"/>
    </row>
    <row r="2235">
      <c r="A2235" s="64"/>
      <c r="D2235" s="56"/>
    </row>
    <row r="2236">
      <c r="A2236" s="64"/>
      <c r="D2236" s="56"/>
    </row>
    <row r="2237">
      <c r="A2237" s="64"/>
      <c r="D2237" s="56"/>
    </row>
    <row r="2238">
      <c r="A2238" s="64"/>
      <c r="D2238" s="56"/>
    </row>
    <row r="2239">
      <c r="A2239" s="64"/>
      <c r="D2239" s="56"/>
    </row>
    <row r="2240">
      <c r="A2240" s="64"/>
      <c r="D2240" s="56"/>
    </row>
    <row r="2241">
      <c r="A2241" s="64"/>
      <c r="D2241" s="56"/>
    </row>
    <row r="2242">
      <c r="A2242" s="64"/>
      <c r="D2242" s="56"/>
    </row>
    <row r="2243">
      <c r="A2243" s="64"/>
      <c r="D2243" s="56"/>
    </row>
    <row r="2244">
      <c r="A2244" s="64"/>
      <c r="D2244" s="56"/>
    </row>
    <row r="2245">
      <c r="A2245" s="64"/>
      <c r="D2245" s="56"/>
    </row>
    <row r="2246">
      <c r="A2246" s="64"/>
      <c r="D2246" s="56"/>
    </row>
    <row r="2247">
      <c r="A2247" s="64"/>
      <c r="D2247" s="56"/>
    </row>
    <row r="2248">
      <c r="A2248" s="64"/>
      <c r="D2248" s="56"/>
    </row>
    <row r="2249">
      <c r="A2249" s="64"/>
      <c r="D2249" s="56"/>
    </row>
    <row r="2250">
      <c r="A2250" s="64"/>
      <c r="D2250" s="56"/>
    </row>
    <row r="2251">
      <c r="A2251" s="64"/>
      <c r="D2251" s="56"/>
    </row>
    <row r="2252">
      <c r="A2252" s="64"/>
      <c r="D2252" s="56"/>
    </row>
    <row r="2253">
      <c r="A2253" s="64"/>
      <c r="D2253" s="56"/>
    </row>
    <row r="2254">
      <c r="A2254" s="64"/>
      <c r="D2254" s="56"/>
    </row>
    <row r="2255">
      <c r="A2255" s="64"/>
      <c r="D2255" s="56"/>
    </row>
    <row r="2256">
      <c r="A2256" s="64"/>
      <c r="D2256" s="56"/>
    </row>
    <row r="2257">
      <c r="A2257" s="64"/>
      <c r="D2257" s="56"/>
    </row>
    <row r="2258">
      <c r="A2258" s="64"/>
      <c r="D2258" s="56"/>
    </row>
    <row r="2259">
      <c r="A2259" s="64"/>
      <c r="D2259" s="56"/>
    </row>
    <row r="2260">
      <c r="A2260" s="64"/>
      <c r="D2260" s="56"/>
    </row>
    <row r="2261">
      <c r="A2261" s="64"/>
      <c r="D2261" s="56"/>
    </row>
    <row r="2262">
      <c r="A2262" s="64"/>
      <c r="D2262" s="56"/>
    </row>
    <row r="2263">
      <c r="A2263" s="64"/>
      <c r="D2263" s="56"/>
    </row>
    <row r="2264">
      <c r="A2264" s="64"/>
      <c r="D2264" s="56"/>
    </row>
    <row r="2265">
      <c r="A2265" s="64"/>
      <c r="D2265" s="56"/>
    </row>
    <row r="2266">
      <c r="A2266" s="64"/>
      <c r="D2266" s="56"/>
    </row>
    <row r="2267">
      <c r="A2267" s="64"/>
      <c r="D2267" s="56"/>
    </row>
    <row r="2268">
      <c r="A2268" s="64"/>
      <c r="D2268" s="56"/>
    </row>
    <row r="2269">
      <c r="A2269" s="64"/>
      <c r="D2269" s="56"/>
    </row>
    <row r="2270">
      <c r="A2270" s="64"/>
      <c r="D2270" s="56"/>
    </row>
    <row r="2271">
      <c r="A2271" s="64"/>
      <c r="D2271" s="56"/>
    </row>
    <row r="2272">
      <c r="A2272" s="64"/>
      <c r="D2272" s="56"/>
    </row>
    <row r="2273">
      <c r="A2273" s="64"/>
      <c r="D2273" s="56"/>
    </row>
    <row r="2274">
      <c r="A2274" s="64"/>
      <c r="D2274" s="56"/>
    </row>
    <row r="2275">
      <c r="A2275" s="64"/>
      <c r="D2275" s="56"/>
    </row>
    <row r="2276">
      <c r="A2276" s="64"/>
      <c r="D2276" s="56"/>
    </row>
    <row r="2277">
      <c r="A2277" s="64"/>
      <c r="D2277" s="56"/>
    </row>
    <row r="2278">
      <c r="A2278" s="64"/>
      <c r="D2278" s="56"/>
    </row>
    <row r="2279">
      <c r="A2279" s="64"/>
      <c r="D2279" s="56"/>
    </row>
    <row r="2280">
      <c r="A2280" s="64"/>
      <c r="D2280" s="56"/>
    </row>
    <row r="2281">
      <c r="A2281" s="64"/>
      <c r="D2281" s="56"/>
    </row>
    <row r="2282">
      <c r="A2282" s="64"/>
      <c r="D2282" s="56"/>
    </row>
    <row r="2283">
      <c r="A2283" s="64"/>
      <c r="D2283" s="56"/>
    </row>
    <row r="2284">
      <c r="A2284" s="64"/>
      <c r="D2284" s="56"/>
    </row>
    <row r="2285">
      <c r="A2285" s="64"/>
      <c r="D2285" s="56"/>
    </row>
    <row r="2286">
      <c r="A2286" s="64"/>
      <c r="D2286" s="56"/>
    </row>
    <row r="2287">
      <c r="A2287" s="64"/>
      <c r="D2287" s="56"/>
    </row>
    <row r="2288">
      <c r="A2288" s="64"/>
      <c r="D2288" s="56"/>
    </row>
    <row r="2289">
      <c r="A2289" s="64"/>
      <c r="D2289" s="56"/>
    </row>
    <row r="2290">
      <c r="A2290" s="64"/>
      <c r="D2290" s="56"/>
    </row>
    <row r="2291">
      <c r="A2291" s="64"/>
      <c r="D2291" s="56"/>
    </row>
    <row r="2292">
      <c r="A2292" s="64"/>
      <c r="D2292" s="56"/>
    </row>
    <row r="2293">
      <c r="A2293" s="64"/>
      <c r="D2293" s="56"/>
    </row>
    <row r="2294">
      <c r="A2294" s="64"/>
      <c r="D2294" s="56"/>
    </row>
    <row r="2295">
      <c r="A2295" s="64"/>
      <c r="D2295" s="56"/>
    </row>
    <row r="2296">
      <c r="A2296" s="64"/>
      <c r="D2296" s="56"/>
    </row>
    <row r="2297">
      <c r="A2297" s="64"/>
      <c r="D2297" s="56"/>
    </row>
    <row r="2298">
      <c r="A2298" s="64"/>
      <c r="D2298" s="56"/>
    </row>
    <row r="2299">
      <c r="A2299" s="64"/>
      <c r="D2299" s="56"/>
    </row>
    <row r="2300">
      <c r="A2300" s="64"/>
      <c r="D2300" s="56"/>
    </row>
    <row r="2301">
      <c r="A2301" s="64"/>
      <c r="D2301" s="56"/>
    </row>
    <row r="2302">
      <c r="A2302" s="64"/>
      <c r="D2302" s="56"/>
    </row>
    <row r="2303">
      <c r="A2303" s="64"/>
      <c r="D2303" s="56"/>
    </row>
    <row r="2304">
      <c r="A2304" s="64"/>
      <c r="D2304" s="56"/>
    </row>
    <row r="2305">
      <c r="A2305" s="64"/>
      <c r="D2305" s="56"/>
    </row>
    <row r="2306">
      <c r="A2306" s="64"/>
      <c r="D2306" s="56"/>
    </row>
    <row r="2307">
      <c r="A2307" s="64"/>
      <c r="D2307" s="56"/>
    </row>
    <row r="2308">
      <c r="A2308" s="64"/>
      <c r="D2308" s="56"/>
    </row>
    <row r="2309">
      <c r="A2309" s="64"/>
      <c r="D2309" s="56"/>
    </row>
    <row r="2310">
      <c r="A2310" s="64"/>
      <c r="D2310" s="56"/>
    </row>
    <row r="2311">
      <c r="A2311" s="64"/>
      <c r="D2311" s="56"/>
    </row>
    <row r="2312">
      <c r="A2312" s="64"/>
      <c r="D2312" s="56"/>
    </row>
    <row r="2313">
      <c r="A2313" s="64"/>
      <c r="D2313" s="56"/>
    </row>
    <row r="2314">
      <c r="A2314" s="64"/>
      <c r="D2314" s="56"/>
    </row>
    <row r="2315">
      <c r="A2315" s="64"/>
      <c r="D2315" s="56"/>
    </row>
    <row r="2316">
      <c r="A2316" s="64"/>
      <c r="D2316" s="56"/>
    </row>
    <row r="2317">
      <c r="A2317" s="64"/>
      <c r="D2317" s="56"/>
    </row>
    <row r="2318">
      <c r="A2318" s="64"/>
      <c r="D2318" s="56"/>
    </row>
    <row r="2319">
      <c r="A2319" s="64"/>
      <c r="D2319" s="56"/>
    </row>
    <row r="2320">
      <c r="A2320" s="64"/>
      <c r="D2320" s="56"/>
    </row>
    <row r="2321">
      <c r="A2321" s="64"/>
      <c r="D2321" s="56"/>
    </row>
    <row r="2322">
      <c r="A2322" s="64"/>
      <c r="D2322" s="56"/>
    </row>
    <row r="2323">
      <c r="A2323" s="64"/>
      <c r="D2323" s="56"/>
    </row>
    <row r="2324">
      <c r="A2324" s="64"/>
      <c r="D2324" s="56"/>
    </row>
    <row r="2325">
      <c r="A2325" s="64"/>
      <c r="D2325" s="56"/>
    </row>
    <row r="2326">
      <c r="A2326" s="64"/>
      <c r="D2326" s="56"/>
    </row>
    <row r="2327">
      <c r="A2327" s="64"/>
      <c r="D2327" s="56"/>
    </row>
    <row r="2328">
      <c r="A2328" s="64"/>
      <c r="D2328" s="56"/>
    </row>
    <row r="2329">
      <c r="A2329" s="64"/>
      <c r="D2329" s="56"/>
    </row>
    <row r="2330">
      <c r="A2330" s="64"/>
      <c r="D2330" s="56"/>
    </row>
    <row r="2331">
      <c r="A2331" s="64"/>
      <c r="D2331" s="56"/>
    </row>
    <row r="2332">
      <c r="A2332" s="64"/>
      <c r="D2332" s="56"/>
    </row>
    <row r="2333">
      <c r="A2333" s="64"/>
      <c r="D2333" s="56"/>
    </row>
    <row r="2334">
      <c r="A2334" s="64"/>
      <c r="D2334" s="56"/>
    </row>
    <row r="2335">
      <c r="A2335" s="64"/>
      <c r="D2335" s="56"/>
    </row>
    <row r="2336">
      <c r="A2336" s="64"/>
      <c r="D2336" s="56"/>
    </row>
    <row r="2337">
      <c r="A2337" s="64"/>
      <c r="D2337" s="56"/>
    </row>
    <row r="2338">
      <c r="A2338" s="64"/>
      <c r="D2338" s="56"/>
    </row>
    <row r="2339">
      <c r="A2339" s="64"/>
      <c r="D2339" s="56"/>
    </row>
    <row r="2340">
      <c r="A2340" s="64"/>
      <c r="D2340" s="56"/>
    </row>
    <row r="2341">
      <c r="A2341" s="64"/>
      <c r="D2341" s="56"/>
    </row>
    <row r="2342">
      <c r="A2342" s="64"/>
      <c r="D2342" s="56"/>
    </row>
    <row r="2343">
      <c r="A2343" s="64"/>
      <c r="D2343" s="56"/>
    </row>
    <row r="2344">
      <c r="A2344" s="64"/>
      <c r="D2344" s="56"/>
    </row>
    <row r="2345">
      <c r="A2345" s="64"/>
      <c r="D2345" s="56"/>
    </row>
    <row r="2346">
      <c r="A2346" s="64"/>
      <c r="D2346" s="56"/>
    </row>
    <row r="2347">
      <c r="A2347" s="64"/>
      <c r="D2347" s="56"/>
    </row>
    <row r="2348">
      <c r="A2348" s="64"/>
      <c r="D2348" s="56"/>
    </row>
    <row r="2349">
      <c r="A2349" s="64"/>
      <c r="D2349" s="56"/>
    </row>
    <row r="2350">
      <c r="A2350" s="64"/>
      <c r="D2350" s="56"/>
    </row>
    <row r="2351">
      <c r="A2351" s="64"/>
      <c r="D2351" s="56"/>
    </row>
    <row r="2352">
      <c r="A2352" s="64"/>
      <c r="D2352" s="56"/>
    </row>
    <row r="2353">
      <c r="A2353" s="64"/>
      <c r="D2353" s="56"/>
    </row>
    <row r="2354">
      <c r="A2354" s="64"/>
      <c r="D2354" s="56"/>
    </row>
    <row r="2355">
      <c r="A2355" s="64"/>
      <c r="D2355" s="56"/>
    </row>
    <row r="2356">
      <c r="A2356" s="64"/>
      <c r="D2356" s="56"/>
    </row>
    <row r="2357">
      <c r="A2357" s="64"/>
      <c r="D2357" s="56"/>
    </row>
    <row r="2358">
      <c r="A2358" s="64"/>
      <c r="D2358" s="56"/>
    </row>
    <row r="2359">
      <c r="A2359" s="64"/>
      <c r="D2359" s="56"/>
    </row>
    <row r="2360">
      <c r="A2360" s="64"/>
      <c r="D2360" s="56"/>
    </row>
    <row r="2361">
      <c r="A2361" s="64"/>
      <c r="D2361" s="56"/>
    </row>
    <row r="2362">
      <c r="A2362" s="64"/>
      <c r="D2362" s="56"/>
    </row>
    <row r="2363">
      <c r="A2363" s="64"/>
      <c r="D2363" s="56"/>
    </row>
    <row r="2364">
      <c r="A2364" s="64"/>
      <c r="D2364" s="56"/>
    </row>
    <row r="2365">
      <c r="A2365" s="64"/>
      <c r="D2365" s="56"/>
    </row>
    <row r="2366">
      <c r="A2366" s="64"/>
      <c r="D2366" s="56"/>
    </row>
    <row r="2367">
      <c r="A2367" s="64"/>
      <c r="D2367" s="56"/>
    </row>
    <row r="2368">
      <c r="A2368" s="64"/>
      <c r="D2368" s="56"/>
    </row>
    <row r="2369">
      <c r="A2369" s="64"/>
      <c r="D2369" s="56"/>
    </row>
    <row r="2370">
      <c r="A2370" s="64"/>
      <c r="D2370" s="56"/>
    </row>
    <row r="2371">
      <c r="A2371" s="64"/>
      <c r="D2371" s="56"/>
    </row>
    <row r="2372">
      <c r="A2372" s="64"/>
      <c r="D2372" s="56"/>
    </row>
    <row r="2373">
      <c r="A2373" s="64"/>
      <c r="D2373" s="56"/>
    </row>
    <row r="2374">
      <c r="A2374" s="64"/>
      <c r="D2374" s="56"/>
    </row>
    <row r="2375">
      <c r="A2375" s="64"/>
      <c r="D2375" s="56"/>
    </row>
    <row r="2376">
      <c r="A2376" s="64"/>
      <c r="D2376" s="56"/>
    </row>
    <row r="2377">
      <c r="A2377" s="64"/>
      <c r="D2377" s="56"/>
    </row>
    <row r="2378">
      <c r="A2378" s="64"/>
      <c r="D2378" s="56"/>
    </row>
    <row r="2379">
      <c r="A2379" s="64"/>
      <c r="D2379" s="56"/>
    </row>
    <row r="2380">
      <c r="A2380" s="64"/>
      <c r="D2380" s="56"/>
    </row>
    <row r="2381">
      <c r="A2381" s="64"/>
      <c r="D2381" s="56"/>
    </row>
    <row r="2382">
      <c r="A2382" s="64"/>
      <c r="D2382" s="56"/>
    </row>
    <row r="2383">
      <c r="A2383" s="64"/>
      <c r="D2383" s="56"/>
    </row>
    <row r="2384">
      <c r="A2384" s="64"/>
      <c r="D2384" s="56"/>
    </row>
    <row r="2385">
      <c r="A2385" s="64"/>
      <c r="D2385" s="56"/>
    </row>
    <row r="2386">
      <c r="A2386" s="64"/>
      <c r="D2386" s="56"/>
    </row>
    <row r="2387">
      <c r="A2387" s="64"/>
      <c r="D2387" s="56"/>
    </row>
    <row r="2388">
      <c r="A2388" s="64"/>
      <c r="D2388" s="56"/>
    </row>
    <row r="2389">
      <c r="A2389" s="64"/>
      <c r="D2389" s="56"/>
    </row>
    <row r="2390">
      <c r="A2390" s="64"/>
      <c r="D2390" s="56"/>
    </row>
    <row r="2391">
      <c r="A2391" s="64"/>
      <c r="D2391" s="56"/>
    </row>
    <row r="2392">
      <c r="A2392" s="64"/>
      <c r="D2392" s="56"/>
    </row>
    <row r="2393">
      <c r="A2393" s="64"/>
      <c r="D2393" s="56"/>
    </row>
    <row r="2394">
      <c r="A2394" s="64"/>
      <c r="D2394" s="56"/>
    </row>
    <row r="2395">
      <c r="A2395" s="64"/>
      <c r="D2395" s="56"/>
    </row>
    <row r="2396">
      <c r="A2396" s="64"/>
      <c r="D2396" s="56"/>
    </row>
    <row r="2397">
      <c r="A2397" s="64"/>
      <c r="D2397" s="56"/>
    </row>
    <row r="2398">
      <c r="A2398" s="64"/>
      <c r="D2398" s="56"/>
    </row>
    <row r="2399">
      <c r="A2399" s="64"/>
      <c r="D2399" s="56"/>
    </row>
    <row r="2400">
      <c r="A2400" s="64"/>
      <c r="D2400" s="56"/>
    </row>
    <row r="2401">
      <c r="A2401" s="64"/>
      <c r="D2401" s="56"/>
    </row>
    <row r="2402">
      <c r="A2402" s="64"/>
      <c r="D2402" s="56"/>
    </row>
    <row r="2403">
      <c r="A2403" s="64"/>
      <c r="D2403" s="56"/>
    </row>
    <row r="2404">
      <c r="A2404" s="64"/>
      <c r="D2404" s="56"/>
    </row>
    <row r="2405">
      <c r="A2405" s="64"/>
      <c r="D2405" s="56"/>
    </row>
    <row r="2406">
      <c r="A2406" s="64"/>
      <c r="D2406" s="56"/>
    </row>
    <row r="2407">
      <c r="A2407" s="64"/>
      <c r="D2407" s="56"/>
    </row>
    <row r="2408">
      <c r="A2408" s="64"/>
      <c r="D2408" s="56"/>
    </row>
    <row r="2409">
      <c r="A2409" s="64"/>
      <c r="D2409" s="56"/>
    </row>
    <row r="2410">
      <c r="A2410" s="64"/>
      <c r="D2410" s="56"/>
    </row>
    <row r="2411">
      <c r="A2411" s="64"/>
      <c r="D2411" s="56"/>
    </row>
    <row r="2412">
      <c r="A2412" s="64"/>
      <c r="D2412" s="56"/>
    </row>
    <row r="2413">
      <c r="A2413" s="64"/>
      <c r="D2413" s="56"/>
    </row>
    <row r="2414">
      <c r="A2414" s="64"/>
      <c r="D2414" s="56"/>
    </row>
    <row r="2415">
      <c r="A2415" s="64"/>
      <c r="D2415" s="56"/>
    </row>
    <row r="2416">
      <c r="A2416" s="64"/>
      <c r="D2416" s="56"/>
    </row>
    <row r="2417">
      <c r="A2417" s="64"/>
      <c r="D2417" s="56"/>
    </row>
    <row r="2418">
      <c r="A2418" s="64"/>
      <c r="D2418" s="56"/>
    </row>
    <row r="2419">
      <c r="A2419" s="64"/>
      <c r="D2419" s="56"/>
    </row>
    <row r="2420">
      <c r="A2420" s="64"/>
      <c r="D2420" s="56"/>
    </row>
    <row r="2421">
      <c r="A2421" s="64"/>
      <c r="D2421" s="56"/>
    </row>
    <row r="2422">
      <c r="A2422" s="64"/>
      <c r="D2422" s="56"/>
    </row>
    <row r="2423">
      <c r="A2423" s="64"/>
      <c r="D2423" s="56"/>
    </row>
    <row r="2424">
      <c r="A2424" s="64"/>
      <c r="D2424" s="56"/>
    </row>
    <row r="2425">
      <c r="A2425" s="64"/>
      <c r="D2425" s="56"/>
    </row>
    <row r="2426">
      <c r="A2426" s="64"/>
      <c r="D2426" s="56"/>
    </row>
    <row r="2427">
      <c r="A2427" s="64"/>
      <c r="D2427" s="56"/>
    </row>
    <row r="2428">
      <c r="A2428" s="64"/>
      <c r="D2428" s="56"/>
    </row>
    <row r="2429">
      <c r="A2429" s="64"/>
      <c r="D2429" s="56"/>
    </row>
    <row r="2430">
      <c r="A2430" s="64"/>
      <c r="D2430" s="56"/>
    </row>
    <row r="2431">
      <c r="A2431" s="64"/>
      <c r="D2431" s="56"/>
    </row>
    <row r="2432">
      <c r="A2432" s="64"/>
      <c r="D2432" s="56"/>
    </row>
    <row r="2433">
      <c r="A2433" s="64"/>
      <c r="D2433" s="56"/>
    </row>
    <row r="2434">
      <c r="A2434" s="64"/>
      <c r="D2434" s="56"/>
    </row>
    <row r="2435">
      <c r="A2435" s="64"/>
      <c r="D2435" s="56"/>
    </row>
    <row r="2436">
      <c r="A2436" s="64"/>
      <c r="D2436" s="56"/>
    </row>
    <row r="2437">
      <c r="A2437" s="64"/>
      <c r="D2437" s="56"/>
    </row>
    <row r="2438">
      <c r="A2438" s="64"/>
      <c r="D2438" s="56"/>
    </row>
    <row r="2439">
      <c r="A2439" s="64"/>
      <c r="D2439" s="56"/>
    </row>
    <row r="2440">
      <c r="A2440" s="64"/>
      <c r="D2440" s="56"/>
    </row>
    <row r="2441">
      <c r="A2441" s="64"/>
      <c r="D2441" s="56"/>
    </row>
    <row r="2442">
      <c r="A2442" s="64"/>
      <c r="D2442" s="56"/>
    </row>
    <row r="2443">
      <c r="A2443" s="64"/>
      <c r="D2443" s="56"/>
    </row>
    <row r="2444">
      <c r="A2444" s="64"/>
      <c r="D2444" s="56"/>
    </row>
    <row r="2445">
      <c r="A2445" s="64"/>
      <c r="D2445" s="56"/>
    </row>
    <row r="2446">
      <c r="A2446" s="64"/>
      <c r="D2446" s="56"/>
    </row>
    <row r="2447">
      <c r="A2447" s="64"/>
      <c r="D2447" s="56"/>
    </row>
    <row r="2448">
      <c r="A2448" s="64"/>
      <c r="D2448" s="56"/>
    </row>
    <row r="2449">
      <c r="A2449" s="64"/>
      <c r="D2449" s="56"/>
    </row>
    <row r="2450">
      <c r="A2450" s="64"/>
      <c r="D2450" s="56"/>
    </row>
    <row r="2451">
      <c r="A2451" s="64"/>
      <c r="D2451" s="56"/>
    </row>
    <row r="2452">
      <c r="A2452" s="64"/>
      <c r="D2452" s="56"/>
    </row>
    <row r="2453">
      <c r="A2453" s="64"/>
      <c r="D2453" s="56"/>
    </row>
    <row r="2454">
      <c r="A2454" s="64"/>
      <c r="D2454" s="56"/>
    </row>
    <row r="2455">
      <c r="A2455" s="64"/>
      <c r="D2455" s="56"/>
    </row>
    <row r="2456">
      <c r="A2456" s="64"/>
      <c r="D2456" s="56"/>
    </row>
    <row r="2457">
      <c r="A2457" s="64"/>
      <c r="D2457" s="56"/>
    </row>
    <row r="2458">
      <c r="A2458" s="64"/>
      <c r="D2458" s="56"/>
    </row>
    <row r="2459">
      <c r="A2459" s="64"/>
      <c r="D2459" s="56"/>
    </row>
    <row r="2460">
      <c r="A2460" s="64"/>
      <c r="D2460" s="56"/>
    </row>
    <row r="2461">
      <c r="A2461" s="64"/>
      <c r="D2461" s="56"/>
    </row>
    <row r="2462">
      <c r="A2462" s="64"/>
      <c r="D2462" s="56"/>
    </row>
    <row r="2463">
      <c r="A2463" s="64"/>
      <c r="D2463" s="56"/>
    </row>
    <row r="2464">
      <c r="A2464" s="64"/>
      <c r="D2464" s="56"/>
    </row>
    <row r="2465">
      <c r="A2465" s="64"/>
      <c r="D2465" s="56"/>
    </row>
    <row r="2466">
      <c r="A2466" s="64"/>
      <c r="D2466" s="56"/>
    </row>
    <row r="2467">
      <c r="A2467" s="64"/>
      <c r="D2467" s="56"/>
    </row>
    <row r="2468">
      <c r="A2468" s="64"/>
      <c r="D2468" s="56"/>
    </row>
    <row r="2469">
      <c r="A2469" s="64"/>
      <c r="D2469" s="56"/>
    </row>
    <row r="2470">
      <c r="A2470" s="64"/>
      <c r="D2470" s="56"/>
    </row>
    <row r="2471">
      <c r="A2471" s="64"/>
      <c r="D2471" s="56"/>
    </row>
    <row r="2472">
      <c r="A2472" s="64"/>
      <c r="D2472" s="56"/>
    </row>
    <row r="2473">
      <c r="A2473" s="64"/>
      <c r="D2473" s="56"/>
    </row>
    <row r="2474">
      <c r="A2474" s="64"/>
      <c r="D2474" s="56"/>
    </row>
    <row r="2475">
      <c r="A2475" s="64"/>
      <c r="D2475" s="56"/>
    </row>
    <row r="2476">
      <c r="A2476" s="64"/>
      <c r="D2476" s="56"/>
    </row>
    <row r="2477">
      <c r="A2477" s="64"/>
      <c r="D2477" s="56"/>
    </row>
    <row r="2478">
      <c r="A2478" s="64"/>
      <c r="D2478" s="56"/>
    </row>
    <row r="2479">
      <c r="A2479" s="64"/>
      <c r="D2479" s="56"/>
    </row>
    <row r="2480">
      <c r="A2480" s="64"/>
      <c r="D2480" s="56"/>
    </row>
    <row r="2481">
      <c r="A2481" s="64"/>
      <c r="D2481" s="56"/>
    </row>
    <row r="2482">
      <c r="A2482" s="64"/>
      <c r="D2482" s="56"/>
    </row>
    <row r="2483">
      <c r="A2483" s="64"/>
      <c r="D2483" s="56"/>
    </row>
    <row r="2484">
      <c r="A2484" s="64"/>
      <c r="D2484" s="56"/>
    </row>
    <row r="2485">
      <c r="A2485" s="64"/>
      <c r="D2485" s="56"/>
    </row>
    <row r="2486">
      <c r="A2486" s="64"/>
      <c r="D2486" s="56"/>
    </row>
    <row r="2487">
      <c r="A2487" s="64"/>
      <c r="D2487" s="56"/>
    </row>
    <row r="2488">
      <c r="A2488" s="64"/>
      <c r="D2488" s="56"/>
    </row>
    <row r="2489">
      <c r="A2489" s="64"/>
      <c r="D2489" s="56"/>
    </row>
    <row r="2490">
      <c r="A2490" s="64"/>
      <c r="D2490" s="56"/>
    </row>
    <row r="2491">
      <c r="A2491" s="64"/>
      <c r="D2491" s="56"/>
    </row>
    <row r="2492">
      <c r="A2492" s="64"/>
      <c r="D2492" s="56"/>
    </row>
    <row r="2493">
      <c r="A2493" s="64"/>
      <c r="D2493" s="56"/>
    </row>
    <row r="2494">
      <c r="A2494" s="64"/>
      <c r="D2494" s="56"/>
    </row>
    <row r="2495">
      <c r="A2495" s="64"/>
      <c r="D2495" s="56"/>
    </row>
    <row r="2496">
      <c r="A2496" s="64"/>
      <c r="D2496" s="56"/>
    </row>
    <row r="2497">
      <c r="A2497" s="64"/>
      <c r="D2497" s="56"/>
    </row>
    <row r="2498">
      <c r="A2498" s="64"/>
      <c r="D2498" s="56"/>
    </row>
    <row r="2499">
      <c r="A2499" s="64"/>
      <c r="D2499" s="56"/>
    </row>
    <row r="2500">
      <c r="A2500" s="64"/>
      <c r="D2500" s="56"/>
    </row>
    <row r="2501">
      <c r="A2501" s="64"/>
      <c r="D2501" s="56"/>
    </row>
    <row r="2502">
      <c r="A2502" s="64"/>
      <c r="D2502" s="56"/>
    </row>
    <row r="2503">
      <c r="A2503" s="64"/>
      <c r="D2503" s="56"/>
    </row>
    <row r="2504">
      <c r="A2504" s="64"/>
      <c r="D2504" s="56"/>
    </row>
    <row r="2505">
      <c r="A2505" s="64"/>
      <c r="D2505" s="56"/>
    </row>
    <row r="2506">
      <c r="A2506" s="64"/>
      <c r="D2506" s="56"/>
    </row>
    <row r="2507">
      <c r="A2507" s="64"/>
      <c r="D2507" s="56"/>
    </row>
    <row r="2508">
      <c r="A2508" s="64"/>
      <c r="D2508" s="56"/>
    </row>
    <row r="2509">
      <c r="A2509" s="64"/>
      <c r="D2509" s="56"/>
    </row>
    <row r="2510">
      <c r="A2510" s="64"/>
      <c r="D2510" s="56"/>
    </row>
    <row r="2511">
      <c r="A2511" s="64"/>
      <c r="D2511" s="56"/>
    </row>
    <row r="2512">
      <c r="A2512" s="64"/>
      <c r="D2512" s="56"/>
    </row>
    <row r="2513">
      <c r="A2513" s="64"/>
      <c r="D2513" s="56"/>
    </row>
    <row r="2514">
      <c r="A2514" s="64"/>
      <c r="D2514" s="56"/>
    </row>
    <row r="2515">
      <c r="A2515" s="64"/>
      <c r="D2515" s="56"/>
    </row>
    <row r="2516">
      <c r="A2516" s="64"/>
      <c r="D2516" s="56"/>
    </row>
    <row r="2517">
      <c r="A2517" s="64"/>
      <c r="D2517" s="56"/>
    </row>
    <row r="2518">
      <c r="A2518" s="64"/>
      <c r="D2518" s="56"/>
    </row>
    <row r="2519">
      <c r="A2519" s="64"/>
      <c r="D2519" s="56"/>
    </row>
    <row r="2520">
      <c r="A2520" s="64"/>
      <c r="D2520" s="56"/>
    </row>
    <row r="2521">
      <c r="A2521" s="64"/>
      <c r="D2521" s="56"/>
    </row>
    <row r="2522">
      <c r="A2522" s="64"/>
      <c r="D2522" s="56"/>
    </row>
    <row r="2523">
      <c r="A2523" s="64"/>
      <c r="D2523" s="56"/>
    </row>
    <row r="2524">
      <c r="A2524" s="64"/>
      <c r="D2524" s="56"/>
    </row>
    <row r="2525">
      <c r="A2525" s="64"/>
      <c r="D2525" s="56"/>
    </row>
    <row r="2526">
      <c r="A2526" s="64"/>
      <c r="D2526" s="56"/>
    </row>
    <row r="2527">
      <c r="A2527" s="64"/>
      <c r="D2527" s="56"/>
    </row>
    <row r="2528">
      <c r="A2528" s="64"/>
      <c r="D2528" s="56"/>
    </row>
    <row r="2529">
      <c r="A2529" s="64"/>
      <c r="D2529" s="56"/>
    </row>
    <row r="2530">
      <c r="A2530" s="64"/>
      <c r="D2530" s="56"/>
    </row>
    <row r="2531">
      <c r="A2531" s="64"/>
      <c r="D2531" s="56"/>
    </row>
    <row r="2532">
      <c r="A2532" s="64"/>
      <c r="D2532" s="56"/>
    </row>
    <row r="2533">
      <c r="A2533" s="64"/>
      <c r="D2533" s="56"/>
    </row>
    <row r="2534">
      <c r="A2534" s="64"/>
      <c r="D2534" s="56"/>
    </row>
    <row r="2535">
      <c r="A2535" s="64"/>
      <c r="D2535" s="56"/>
    </row>
    <row r="2536">
      <c r="A2536" s="64"/>
      <c r="D2536" s="56"/>
    </row>
    <row r="2537">
      <c r="A2537" s="64"/>
      <c r="D2537" s="56"/>
    </row>
    <row r="2538">
      <c r="A2538" s="64"/>
      <c r="D2538" s="56"/>
    </row>
    <row r="2539">
      <c r="A2539" s="64"/>
      <c r="D2539" s="56"/>
    </row>
    <row r="2540">
      <c r="A2540" s="64"/>
      <c r="D2540" s="56"/>
    </row>
    <row r="2541">
      <c r="A2541" s="64"/>
      <c r="D2541" s="56"/>
    </row>
    <row r="2542">
      <c r="A2542" s="64"/>
      <c r="D2542" s="56"/>
    </row>
    <row r="2543">
      <c r="A2543" s="64"/>
      <c r="D2543" s="56"/>
    </row>
    <row r="2544">
      <c r="A2544" s="64"/>
      <c r="D2544" s="56"/>
    </row>
    <row r="2545">
      <c r="A2545" s="64"/>
      <c r="D2545" s="56"/>
    </row>
    <row r="2546">
      <c r="A2546" s="64"/>
      <c r="D2546" s="56"/>
    </row>
    <row r="2547">
      <c r="A2547" s="64"/>
      <c r="D2547" s="56"/>
    </row>
    <row r="2548">
      <c r="A2548" s="64"/>
      <c r="D2548" s="56"/>
    </row>
    <row r="2549">
      <c r="A2549" s="64"/>
      <c r="D2549" s="56"/>
    </row>
    <row r="2550">
      <c r="A2550" s="64"/>
      <c r="D2550" s="56"/>
    </row>
    <row r="2551">
      <c r="A2551" s="64"/>
      <c r="D2551" s="56"/>
    </row>
    <row r="2552">
      <c r="A2552" s="64"/>
      <c r="D2552" s="56"/>
    </row>
    <row r="2553">
      <c r="A2553" s="64"/>
      <c r="D2553" s="56"/>
    </row>
    <row r="2554">
      <c r="A2554" s="64"/>
      <c r="D2554" s="56"/>
    </row>
    <row r="2555">
      <c r="A2555" s="64"/>
      <c r="D2555" s="56"/>
    </row>
    <row r="2556">
      <c r="A2556" s="64"/>
      <c r="D2556" s="56"/>
    </row>
    <row r="2557">
      <c r="A2557" s="64"/>
      <c r="D2557" s="56"/>
    </row>
    <row r="2558">
      <c r="A2558" s="64"/>
      <c r="D2558" s="56"/>
    </row>
    <row r="2559">
      <c r="A2559" s="64"/>
      <c r="D2559" s="56"/>
    </row>
    <row r="2560">
      <c r="A2560" s="64"/>
      <c r="D2560" s="56"/>
    </row>
    <row r="2561">
      <c r="A2561" s="64"/>
      <c r="D2561" s="56"/>
    </row>
    <row r="2562">
      <c r="A2562" s="64"/>
      <c r="D2562" s="56"/>
    </row>
    <row r="2563">
      <c r="A2563" s="64"/>
      <c r="D2563" s="56"/>
    </row>
    <row r="2564">
      <c r="A2564" s="64"/>
      <c r="D2564" s="56"/>
    </row>
    <row r="2565">
      <c r="A2565" s="64"/>
      <c r="D2565" s="56"/>
    </row>
    <row r="2566">
      <c r="A2566" s="64"/>
      <c r="D2566" s="56"/>
    </row>
    <row r="2567">
      <c r="A2567" s="64"/>
      <c r="D2567" s="56"/>
    </row>
    <row r="2568">
      <c r="A2568" s="64"/>
      <c r="D2568" s="56"/>
    </row>
    <row r="2569">
      <c r="A2569" s="64"/>
      <c r="D2569" s="56"/>
    </row>
    <row r="2570">
      <c r="A2570" s="64"/>
      <c r="D2570" s="56"/>
    </row>
    <row r="2571">
      <c r="A2571" s="64"/>
      <c r="D2571" s="56"/>
    </row>
    <row r="2572">
      <c r="A2572" s="64"/>
      <c r="D2572" s="56"/>
    </row>
    <row r="2573">
      <c r="A2573" s="64"/>
      <c r="D2573" s="56"/>
    </row>
    <row r="2574">
      <c r="A2574" s="64"/>
      <c r="D2574" s="56"/>
    </row>
    <row r="2575">
      <c r="A2575" s="64"/>
      <c r="D2575" s="56"/>
    </row>
    <row r="2576">
      <c r="A2576" s="64"/>
      <c r="D2576" s="56"/>
    </row>
    <row r="2577">
      <c r="A2577" s="64"/>
      <c r="D2577" s="56"/>
    </row>
    <row r="2578">
      <c r="A2578" s="64"/>
      <c r="D2578" s="56"/>
    </row>
    <row r="2579">
      <c r="A2579" s="64"/>
      <c r="D2579" s="56"/>
    </row>
    <row r="2580">
      <c r="A2580" s="64"/>
      <c r="D2580" s="56"/>
    </row>
    <row r="2581">
      <c r="A2581" s="64"/>
      <c r="D2581" s="56"/>
    </row>
    <row r="2582">
      <c r="A2582" s="64"/>
      <c r="D2582" s="56"/>
    </row>
    <row r="2583">
      <c r="A2583" s="64"/>
      <c r="D2583" s="56"/>
    </row>
    <row r="2584">
      <c r="A2584" s="64"/>
      <c r="D2584" s="56"/>
    </row>
    <row r="2585">
      <c r="A2585" s="64"/>
      <c r="D2585" s="56"/>
    </row>
    <row r="2586">
      <c r="A2586" s="64"/>
      <c r="D2586" s="56"/>
    </row>
    <row r="2587">
      <c r="A2587" s="64"/>
      <c r="D2587" s="56"/>
    </row>
    <row r="2588">
      <c r="A2588" s="64"/>
      <c r="D2588" s="56"/>
    </row>
    <row r="2589">
      <c r="A2589" s="64"/>
      <c r="D2589" s="56"/>
    </row>
    <row r="2590">
      <c r="A2590" s="64"/>
      <c r="D2590" s="56"/>
    </row>
    <row r="2591">
      <c r="A2591" s="64"/>
      <c r="D2591" s="56"/>
    </row>
    <row r="2592">
      <c r="A2592" s="64"/>
      <c r="D2592" s="56"/>
    </row>
    <row r="2593">
      <c r="A2593" s="64"/>
      <c r="D2593" s="56"/>
    </row>
    <row r="2594">
      <c r="A2594" s="64"/>
      <c r="D2594" s="56"/>
    </row>
    <row r="2595">
      <c r="A2595" s="64"/>
      <c r="D2595" s="56"/>
    </row>
    <row r="2596">
      <c r="A2596" s="64"/>
      <c r="D2596" s="56"/>
    </row>
    <row r="2597">
      <c r="A2597" s="64"/>
      <c r="D2597" s="56"/>
    </row>
    <row r="2598">
      <c r="A2598" s="64"/>
      <c r="D2598" s="56"/>
    </row>
    <row r="2599">
      <c r="A2599" s="64"/>
      <c r="D2599" s="56"/>
    </row>
    <row r="2600">
      <c r="A2600" s="64"/>
      <c r="D2600" s="56"/>
    </row>
    <row r="2601">
      <c r="A2601" s="64"/>
      <c r="D2601" s="56"/>
    </row>
    <row r="2602">
      <c r="A2602" s="64"/>
      <c r="D2602" s="56"/>
    </row>
    <row r="2603">
      <c r="A2603" s="64"/>
      <c r="D2603" s="56"/>
    </row>
    <row r="2604">
      <c r="A2604" s="64"/>
      <c r="D2604" s="56"/>
    </row>
    <row r="2605">
      <c r="A2605" s="64"/>
      <c r="D2605" s="56"/>
    </row>
    <row r="2606">
      <c r="A2606" s="64"/>
      <c r="D2606" s="56"/>
    </row>
    <row r="2607">
      <c r="A2607" s="64"/>
      <c r="D2607" s="56"/>
    </row>
    <row r="2608">
      <c r="A2608" s="64"/>
      <c r="D2608" s="56"/>
    </row>
    <row r="2609">
      <c r="A2609" s="64"/>
      <c r="D2609" s="56"/>
    </row>
    <row r="2610">
      <c r="A2610" s="64"/>
      <c r="D2610" s="56"/>
    </row>
    <row r="2611">
      <c r="A2611" s="64"/>
      <c r="D2611" s="56"/>
    </row>
    <row r="2612">
      <c r="A2612" s="64"/>
      <c r="D2612" s="56"/>
    </row>
    <row r="2613">
      <c r="A2613" s="64"/>
      <c r="D2613" s="56"/>
    </row>
    <row r="2614">
      <c r="A2614" s="64"/>
      <c r="D2614" s="56"/>
    </row>
    <row r="2615">
      <c r="A2615" s="64"/>
      <c r="D2615" s="56"/>
    </row>
    <row r="2616">
      <c r="A2616" s="64"/>
      <c r="D2616" s="56"/>
    </row>
    <row r="2617">
      <c r="A2617" s="64"/>
      <c r="D2617" s="56"/>
    </row>
    <row r="2618">
      <c r="A2618" s="64"/>
      <c r="D2618" s="56"/>
    </row>
    <row r="2619">
      <c r="A2619" s="64"/>
      <c r="D2619" s="56"/>
    </row>
    <row r="2620">
      <c r="A2620" s="64"/>
      <c r="D2620" s="56"/>
    </row>
    <row r="2621">
      <c r="A2621" s="64"/>
      <c r="D2621" s="56"/>
    </row>
    <row r="2622">
      <c r="A2622" s="64"/>
      <c r="D2622" s="56"/>
    </row>
    <row r="2623">
      <c r="A2623" s="64"/>
      <c r="D2623" s="56"/>
    </row>
    <row r="2624">
      <c r="A2624" s="64"/>
      <c r="D2624" s="56"/>
    </row>
    <row r="2625">
      <c r="A2625" s="64"/>
      <c r="D2625" s="56"/>
    </row>
    <row r="2626">
      <c r="A2626" s="64"/>
      <c r="D2626" s="56"/>
    </row>
    <row r="2627">
      <c r="A2627" s="64"/>
      <c r="D2627" s="56"/>
    </row>
    <row r="2628">
      <c r="A2628" s="64"/>
      <c r="D2628" s="56"/>
    </row>
    <row r="2629">
      <c r="A2629" s="64"/>
      <c r="D2629" s="56"/>
    </row>
    <row r="2630">
      <c r="A2630" s="64"/>
      <c r="D2630" s="56"/>
    </row>
    <row r="2631">
      <c r="A2631" s="64"/>
      <c r="D2631" s="56"/>
    </row>
    <row r="2632">
      <c r="A2632" s="64"/>
      <c r="D2632" s="56"/>
    </row>
    <row r="2633">
      <c r="A2633" s="64"/>
      <c r="D2633" s="56"/>
    </row>
    <row r="2634">
      <c r="A2634" s="64"/>
      <c r="D2634" s="56"/>
    </row>
    <row r="2635">
      <c r="A2635" s="64"/>
      <c r="D2635" s="56"/>
    </row>
    <row r="2636">
      <c r="A2636" s="64"/>
      <c r="D2636" s="56"/>
    </row>
    <row r="2637">
      <c r="A2637" s="64"/>
      <c r="D2637" s="56"/>
    </row>
    <row r="2638">
      <c r="A2638" s="64"/>
      <c r="D2638" s="56"/>
    </row>
    <row r="2639">
      <c r="A2639" s="64"/>
      <c r="D2639" s="56"/>
    </row>
    <row r="2640">
      <c r="A2640" s="64"/>
      <c r="D2640" s="56"/>
    </row>
    <row r="2641">
      <c r="A2641" s="64"/>
      <c r="D2641" s="56"/>
    </row>
    <row r="2642">
      <c r="A2642" s="64"/>
      <c r="D2642" s="56"/>
    </row>
    <row r="2643">
      <c r="A2643" s="64"/>
      <c r="D2643" s="56"/>
    </row>
    <row r="2644">
      <c r="A2644" s="64"/>
      <c r="D2644" s="56"/>
    </row>
    <row r="2645">
      <c r="A2645" s="64"/>
      <c r="D2645" s="56"/>
    </row>
    <row r="2646">
      <c r="A2646" s="64"/>
      <c r="D2646" s="56"/>
    </row>
    <row r="2647">
      <c r="A2647" s="64"/>
      <c r="D2647" s="56"/>
    </row>
    <row r="2648">
      <c r="A2648" s="64"/>
      <c r="D2648" s="56"/>
    </row>
    <row r="2649">
      <c r="A2649" s="64"/>
      <c r="D2649" s="56"/>
    </row>
    <row r="2650">
      <c r="A2650" s="64"/>
      <c r="D2650" s="56"/>
    </row>
    <row r="2651">
      <c r="A2651" s="64"/>
      <c r="D2651" s="56"/>
    </row>
    <row r="2652">
      <c r="A2652" s="64"/>
      <c r="D2652" s="56"/>
    </row>
    <row r="2653">
      <c r="A2653" s="64"/>
      <c r="D2653" s="56"/>
    </row>
    <row r="2654">
      <c r="A2654" s="64"/>
      <c r="D2654" s="56"/>
    </row>
    <row r="2655">
      <c r="A2655" s="64"/>
      <c r="D2655" s="56"/>
    </row>
    <row r="2656">
      <c r="A2656" s="64"/>
      <c r="D2656" s="56"/>
    </row>
    <row r="2657">
      <c r="A2657" s="64"/>
      <c r="D2657" s="56"/>
    </row>
    <row r="2658">
      <c r="A2658" s="64"/>
      <c r="D2658" s="56"/>
    </row>
    <row r="2659">
      <c r="A2659" s="64"/>
      <c r="D2659" s="56"/>
    </row>
    <row r="2660">
      <c r="A2660" s="64"/>
      <c r="D2660" s="56"/>
    </row>
    <row r="2661">
      <c r="A2661" s="64"/>
      <c r="D2661" s="56"/>
    </row>
    <row r="2662">
      <c r="A2662" s="64"/>
      <c r="D2662" s="56"/>
    </row>
    <row r="2663">
      <c r="A2663" s="64"/>
      <c r="D2663" s="56"/>
    </row>
    <row r="2664">
      <c r="A2664" s="64"/>
      <c r="D2664" s="56"/>
    </row>
    <row r="2665">
      <c r="A2665" s="64"/>
      <c r="D2665" s="56"/>
    </row>
    <row r="2666">
      <c r="A2666" s="64"/>
      <c r="D2666" s="56"/>
    </row>
    <row r="2667">
      <c r="A2667" s="64"/>
      <c r="D2667" s="56"/>
    </row>
    <row r="2668">
      <c r="A2668" s="64"/>
      <c r="D2668" s="56"/>
    </row>
    <row r="2669">
      <c r="A2669" s="64"/>
      <c r="D2669" s="56"/>
    </row>
    <row r="2670">
      <c r="A2670" s="64"/>
      <c r="D2670" s="56"/>
    </row>
    <row r="2671">
      <c r="A2671" s="64"/>
      <c r="D2671" s="56"/>
    </row>
    <row r="2672">
      <c r="A2672" s="64"/>
      <c r="D2672" s="56"/>
    </row>
    <row r="2673">
      <c r="A2673" s="64"/>
      <c r="D2673" s="56"/>
    </row>
    <row r="2674">
      <c r="A2674" s="64"/>
      <c r="D2674" s="56"/>
    </row>
    <row r="2675">
      <c r="A2675" s="64"/>
      <c r="D2675" s="56"/>
    </row>
    <row r="2676">
      <c r="A2676" s="64"/>
      <c r="D2676" s="56"/>
    </row>
    <row r="2677">
      <c r="A2677" s="64"/>
      <c r="D2677" s="56"/>
    </row>
    <row r="2678">
      <c r="A2678" s="64"/>
      <c r="D2678" s="56"/>
    </row>
    <row r="2679">
      <c r="A2679" s="64"/>
      <c r="D2679" s="56"/>
    </row>
    <row r="2680">
      <c r="A2680" s="64"/>
      <c r="D2680" s="56"/>
    </row>
    <row r="2681">
      <c r="A2681" s="64"/>
      <c r="D2681" s="56"/>
    </row>
    <row r="2682">
      <c r="A2682" s="64"/>
      <c r="D2682" s="56"/>
    </row>
    <row r="2683">
      <c r="A2683" s="64"/>
      <c r="D2683" s="56"/>
    </row>
    <row r="2684">
      <c r="A2684" s="64"/>
      <c r="D2684" s="56"/>
    </row>
    <row r="2685">
      <c r="A2685" s="64"/>
      <c r="D2685" s="56"/>
    </row>
    <row r="2686">
      <c r="A2686" s="64"/>
      <c r="D2686" s="56"/>
    </row>
    <row r="2687">
      <c r="A2687" s="64"/>
      <c r="D2687" s="56"/>
    </row>
    <row r="2688">
      <c r="A2688" s="64"/>
      <c r="D2688" s="56"/>
    </row>
    <row r="2689">
      <c r="A2689" s="64"/>
      <c r="D2689" s="56"/>
    </row>
    <row r="2690">
      <c r="A2690" s="64"/>
      <c r="D2690" s="56"/>
    </row>
    <row r="2691">
      <c r="A2691" s="64"/>
      <c r="D2691" s="56"/>
    </row>
    <row r="2692">
      <c r="A2692" s="64"/>
      <c r="D2692" s="56"/>
    </row>
    <row r="2693">
      <c r="A2693" s="64"/>
      <c r="D2693" s="56"/>
    </row>
    <row r="2694">
      <c r="A2694" s="64"/>
      <c r="D2694" s="56"/>
    </row>
    <row r="2695">
      <c r="A2695" s="64"/>
      <c r="D2695" s="56"/>
    </row>
    <row r="2696">
      <c r="A2696" s="64"/>
      <c r="D2696" s="56"/>
    </row>
    <row r="2697">
      <c r="A2697" s="64"/>
      <c r="D2697" s="56"/>
    </row>
    <row r="2698">
      <c r="A2698" s="64"/>
      <c r="D2698" s="56"/>
    </row>
    <row r="2699">
      <c r="A2699" s="64"/>
      <c r="D2699" s="56"/>
    </row>
    <row r="2700">
      <c r="A2700" s="64"/>
      <c r="D2700" s="56"/>
    </row>
    <row r="2701">
      <c r="A2701" s="64"/>
      <c r="D2701" s="56"/>
    </row>
    <row r="2702">
      <c r="A2702" s="64"/>
      <c r="D2702" s="56"/>
    </row>
    <row r="2703">
      <c r="A2703" s="64"/>
      <c r="D2703" s="56"/>
    </row>
    <row r="2704">
      <c r="A2704" s="64"/>
      <c r="D2704" s="56"/>
    </row>
    <row r="2705">
      <c r="A2705" s="64"/>
      <c r="D2705" s="56"/>
    </row>
    <row r="2706">
      <c r="A2706" s="64"/>
      <c r="D2706" s="56"/>
    </row>
    <row r="2707">
      <c r="A2707" s="64"/>
      <c r="D2707" s="56"/>
    </row>
    <row r="2708">
      <c r="A2708" s="64"/>
      <c r="D2708" s="56"/>
    </row>
    <row r="2709">
      <c r="A2709" s="64"/>
      <c r="D2709" s="56"/>
    </row>
    <row r="2710">
      <c r="A2710" s="64"/>
      <c r="D2710" s="56"/>
    </row>
    <row r="2711">
      <c r="A2711" s="64"/>
      <c r="D2711" s="56"/>
    </row>
    <row r="2712">
      <c r="A2712" s="64"/>
      <c r="D2712" s="56"/>
    </row>
    <row r="2713">
      <c r="A2713" s="64"/>
      <c r="D2713" s="56"/>
    </row>
    <row r="2714">
      <c r="A2714" s="64"/>
      <c r="D2714" s="56"/>
    </row>
    <row r="2715">
      <c r="A2715" s="64"/>
      <c r="D2715" s="56"/>
    </row>
    <row r="2716">
      <c r="A2716" s="64"/>
      <c r="D2716" s="56"/>
    </row>
    <row r="2717">
      <c r="A2717" s="64"/>
      <c r="D2717" s="56"/>
    </row>
    <row r="2718">
      <c r="A2718" s="64"/>
      <c r="D2718" s="56"/>
    </row>
    <row r="2719">
      <c r="A2719" s="64"/>
      <c r="D2719" s="56"/>
    </row>
    <row r="2720">
      <c r="A2720" s="64"/>
      <c r="D2720" s="56"/>
    </row>
    <row r="2721">
      <c r="A2721" s="64"/>
      <c r="D2721" s="56"/>
    </row>
    <row r="2722">
      <c r="A2722" s="64"/>
      <c r="D2722" s="56"/>
    </row>
    <row r="2723">
      <c r="A2723" s="64"/>
      <c r="D2723" s="56"/>
    </row>
    <row r="2724">
      <c r="A2724" s="64"/>
      <c r="D2724" s="56"/>
    </row>
    <row r="2725">
      <c r="A2725" s="64"/>
      <c r="D2725" s="56"/>
    </row>
    <row r="2726">
      <c r="A2726" s="64"/>
      <c r="D2726" s="56"/>
    </row>
    <row r="2727">
      <c r="A2727" s="64"/>
      <c r="D2727" s="56"/>
    </row>
    <row r="2728">
      <c r="A2728" s="64"/>
      <c r="D2728" s="56"/>
    </row>
    <row r="2729">
      <c r="A2729" s="64"/>
      <c r="D2729" s="56"/>
    </row>
    <row r="2730">
      <c r="A2730" s="64"/>
      <c r="D2730" s="56"/>
    </row>
    <row r="2731">
      <c r="A2731" s="64"/>
      <c r="D2731" s="56"/>
    </row>
    <row r="2732">
      <c r="A2732" s="64"/>
      <c r="D2732" s="56"/>
    </row>
    <row r="2733">
      <c r="A2733" s="64"/>
      <c r="D2733" s="56"/>
    </row>
    <row r="2734">
      <c r="A2734" s="64"/>
      <c r="D2734" s="56"/>
    </row>
    <row r="2735">
      <c r="A2735" s="64"/>
      <c r="D2735" s="56"/>
    </row>
    <row r="2736">
      <c r="A2736" s="64"/>
      <c r="D2736" s="56"/>
    </row>
    <row r="2737">
      <c r="A2737" s="64"/>
      <c r="D2737" s="56"/>
    </row>
    <row r="2738">
      <c r="A2738" s="64"/>
      <c r="D2738" s="56"/>
    </row>
    <row r="2739">
      <c r="A2739" s="64"/>
      <c r="D2739" s="56"/>
    </row>
    <row r="2740">
      <c r="A2740" s="64"/>
      <c r="D2740" s="56"/>
    </row>
    <row r="2741">
      <c r="A2741" s="64"/>
      <c r="D2741" s="56"/>
    </row>
    <row r="2742">
      <c r="A2742" s="64"/>
      <c r="D2742" s="56"/>
    </row>
    <row r="2743">
      <c r="A2743" s="64"/>
      <c r="D2743" s="56"/>
    </row>
    <row r="2744">
      <c r="A2744" s="64"/>
      <c r="D2744" s="56"/>
    </row>
    <row r="2745">
      <c r="A2745" s="64"/>
      <c r="D2745" s="56"/>
    </row>
    <row r="2746">
      <c r="A2746" s="64"/>
      <c r="D2746" s="56"/>
    </row>
    <row r="2747">
      <c r="A2747" s="64"/>
      <c r="D2747" s="56"/>
    </row>
    <row r="2748">
      <c r="A2748" s="64"/>
      <c r="D2748" s="56"/>
    </row>
    <row r="2749">
      <c r="A2749" s="64"/>
      <c r="D2749" s="56"/>
    </row>
    <row r="2750">
      <c r="A2750" s="64"/>
      <c r="D2750" s="56"/>
    </row>
    <row r="2751">
      <c r="A2751" s="64"/>
      <c r="D2751" s="56"/>
    </row>
    <row r="2752">
      <c r="A2752" s="64"/>
      <c r="D2752" s="56"/>
    </row>
    <row r="2753">
      <c r="A2753" s="64"/>
      <c r="D2753" s="56"/>
    </row>
    <row r="2754">
      <c r="A2754" s="64"/>
      <c r="D2754" s="56"/>
    </row>
    <row r="2755">
      <c r="A2755" s="64"/>
      <c r="D2755" s="56"/>
    </row>
    <row r="2756">
      <c r="A2756" s="64"/>
      <c r="D2756" s="56"/>
    </row>
    <row r="2757">
      <c r="A2757" s="64"/>
      <c r="D2757" s="56"/>
    </row>
    <row r="2758">
      <c r="A2758" s="64"/>
      <c r="D2758" s="56"/>
    </row>
    <row r="2759">
      <c r="A2759" s="64"/>
      <c r="D2759" s="56"/>
    </row>
    <row r="2760">
      <c r="A2760" s="64"/>
      <c r="D2760" s="56"/>
    </row>
    <row r="2761">
      <c r="A2761" s="64"/>
      <c r="D2761" s="56"/>
    </row>
    <row r="2762">
      <c r="A2762" s="64"/>
      <c r="D2762" s="56"/>
    </row>
    <row r="2763">
      <c r="A2763" s="64"/>
      <c r="D2763" s="56"/>
    </row>
    <row r="2764">
      <c r="A2764" s="64"/>
      <c r="D2764" s="56"/>
    </row>
    <row r="2765">
      <c r="A2765" s="64"/>
      <c r="D2765" s="56"/>
    </row>
    <row r="2766">
      <c r="A2766" s="64"/>
      <c r="D2766" s="56"/>
    </row>
    <row r="2767">
      <c r="A2767" s="64"/>
      <c r="D2767" s="56"/>
    </row>
    <row r="2768">
      <c r="A2768" s="64"/>
      <c r="D2768" s="56"/>
    </row>
    <row r="2769">
      <c r="A2769" s="64"/>
      <c r="D2769" s="56"/>
    </row>
    <row r="2770">
      <c r="A2770" s="64"/>
      <c r="D2770" s="56"/>
    </row>
    <row r="2771">
      <c r="A2771" s="64"/>
      <c r="D2771" s="56"/>
    </row>
    <row r="2772">
      <c r="A2772" s="64"/>
      <c r="D2772" s="56"/>
    </row>
    <row r="2773">
      <c r="A2773" s="64"/>
      <c r="D2773" s="56"/>
    </row>
    <row r="2774">
      <c r="A2774" s="64"/>
      <c r="D2774" s="56"/>
    </row>
    <row r="2775">
      <c r="A2775" s="64"/>
      <c r="D2775" s="56"/>
    </row>
    <row r="2776">
      <c r="A2776" s="64"/>
      <c r="D2776" s="56"/>
    </row>
    <row r="2777">
      <c r="A2777" s="64"/>
      <c r="D2777" s="56"/>
    </row>
    <row r="2778">
      <c r="A2778" s="64"/>
      <c r="D2778" s="56"/>
    </row>
    <row r="2779">
      <c r="A2779" s="64"/>
      <c r="D2779" s="56"/>
    </row>
    <row r="2780">
      <c r="A2780" s="64"/>
      <c r="D2780" s="56"/>
    </row>
    <row r="2781">
      <c r="A2781" s="64"/>
      <c r="D2781" s="56"/>
    </row>
    <row r="2782">
      <c r="A2782" s="64"/>
      <c r="D2782" s="56"/>
    </row>
    <row r="2783">
      <c r="A2783" s="64"/>
      <c r="D2783" s="56"/>
    </row>
    <row r="2784">
      <c r="A2784" s="64"/>
      <c r="D2784" s="56"/>
    </row>
    <row r="2785">
      <c r="A2785" s="64"/>
      <c r="D2785" s="56"/>
    </row>
    <row r="2786">
      <c r="A2786" s="64"/>
      <c r="D2786" s="56"/>
    </row>
    <row r="2787">
      <c r="A2787" s="64"/>
      <c r="D2787" s="56"/>
    </row>
    <row r="2788">
      <c r="A2788" s="64"/>
      <c r="D2788" s="56"/>
    </row>
    <row r="2789">
      <c r="A2789" s="64"/>
      <c r="D2789" s="56"/>
    </row>
    <row r="2790">
      <c r="A2790" s="64"/>
      <c r="D2790" s="56"/>
    </row>
    <row r="2791">
      <c r="A2791" s="64"/>
      <c r="D2791" s="56"/>
    </row>
    <row r="2792">
      <c r="A2792" s="64"/>
      <c r="D2792" s="56"/>
    </row>
    <row r="2793">
      <c r="A2793" s="64"/>
      <c r="D2793" s="56"/>
    </row>
    <row r="2794">
      <c r="A2794" s="64"/>
      <c r="D2794" s="56"/>
    </row>
    <row r="2795">
      <c r="A2795" s="64"/>
      <c r="D2795" s="56"/>
    </row>
    <row r="2796">
      <c r="A2796" s="64"/>
      <c r="D2796" s="56"/>
    </row>
    <row r="2797">
      <c r="A2797" s="64"/>
      <c r="D2797" s="56"/>
    </row>
    <row r="2798">
      <c r="A2798" s="64"/>
      <c r="D2798" s="56"/>
    </row>
    <row r="2799">
      <c r="A2799" s="64"/>
      <c r="D2799" s="56"/>
    </row>
    <row r="2800">
      <c r="A2800" s="64"/>
      <c r="D2800" s="56"/>
    </row>
    <row r="2801">
      <c r="A2801" s="64"/>
      <c r="D2801" s="56"/>
    </row>
    <row r="2802">
      <c r="A2802" s="64"/>
      <c r="D2802" s="56"/>
    </row>
    <row r="2803">
      <c r="A2803" s="64"/>
      <c r="D2803" s="56"/>
    </row>
    <row r="2804">
      <c r="A2804" s="64"/>
      <c r="D2804" s="56"/>
    </row>
    <row r="2805">
      <c r="A2805" s="64"/>
      <c r="D2805" s="56"/>
    </row>
    <row r="2806">
      <c r="A2806" s="64"/>
      <c r="D2806" s="56"/>
    </row>
    <row r="2807">
      <c r="A2807" s="64"/>
      <c r="D2807" s="56"/>
    </row>
    <row r="2808">
      <c r="A2808" s="64"/>
      <c r="D2808" s="56"/>
    </row>
    <row r="2809">
      <c r="A2809" s="64"/>
      <c r="D2809" s="56"/>
    </row>
    <row r="2810">
      <c r="A2810" s="64"/>
      <c r="D2810" s="56"/>
    </row>
    <row r="2811">
      <c r="A2811" s="64"/>
      <c r="D2811" s="56"/>
    </row>
    <row r="2812">
      <c r="A2812" s="64"/>
      <c r="D2812" s="56"/>
    </row>
    <row r="2813">
      <c r="A2813" s="64"/>
      <c r="D2813" s="56"/>
    </row>
    <row r="2814">
      <c r="A2814" s="64"/>
      <c r="D2814" s="56"/>
    </row>
    <row r="2815">
      <c r="A2815" s="64"/>
      <c r="D2815" s="56"/>
    </row>
    <row r="2816">
      <c r="A2816" s="64"/>
      <c r="D2816" s="56"/>
    </row>
    <row r="2817">
      <c r="A2817" s="64"/>
      <c r="D2817" s="56"/>
    </row>
    <row r="2818">
      <c r="A2818" s="64"/>
      <c r="D2818" s="56"/>
    </row>
    <row r="2819">
      <c r="A2819" s="64"/>
      <c r="D2819" s="56"/>
    </row>
    <row r="2820">
      <c r="A2820" s="64"/>
      <c r="D2820" s="56"/>
    </row>
    <row r="2821">
      <c r="A2821" s="64"/>
      <c r="D2821" s="56"/>
    </row>
    <row r="2822">
      <c r="A2822" s="64"/>
      <c r="D2822" s="56"/>
    </row>
    <row r="2823">
      <c r="A2823" s="64"/>
      <c r="D2823" s="56"/>
    </row>
    <row r="2824">
      <c r="A2824" s="64"/>
      <c r="D2824" s="56"/>
    </row>
    <row r="2825">
      <c r="A2825" s="64"/>
      <c r="D2825" s="56"/>
    </row>
    <row r="2826">
      <c r="A2826" s="64"/>
      <c r="D2826" s="56"/>
    </row>
    <row r="2827">
      <c r="A2827" s="64"/>
      <c r="D2827" s="56"/>
    </row>
    <row r="2828">
      <c r="A2828" s="64"/>
      <c r="D2828" s="56"/>
    </row>
    <row r="2829">
      <c r="A2829" s="64"/>
      <c r="D2829" s="56"/>
    </row>
    <row r="2830">
      <c r="A2830" s="64"/>
      <c r="D2830" s="56"/>
    </row>
    <row r="2831">
      <c r="A2831" s="64"/>
      <c r="D2831" s="56"/>
    </row>
    <row r="2832">
      <c r="A2832" s="64"/>
      <c r="D2832" s="56"/>
    </row>
    <row r="2833">
      <c r="A2833" s="64"/>
      <c r="D2833" s="56"/>
    </row>
    <row r="2834">
      <c r="A2834" s="64"/>
      <c r="D2834" s="56"/>
    </row>
    <row r="2835">
      <c r="A2835" s="64"/>
      <c r="D2835" s="56"/>
    </row>
    <row r="2836">
      <c r="A2836" s="64"/>
      <c r="D2836" s="56"/>
    </row>
    <row r="2837">
      <c r="A2837" s="64"/>
      <c r="D2837" s="56"/>
    </row>
    <row r="2838">
      <c r="A2838" s="64"/>
      <c r="D2838" s="56"/>
    </row>
    <row r="2839">
      <c r="A2839" s="64"/>
      <c r="D2839" s="56"/>
    </row>
    <row r="2840">
      <c r="A2840" s="64"/>
      <c r="D2840" s="56"/>
    </row>
    <row r="2841">
      <c r="A2841" s="64"/>
      <c r="D2841" s="56"/>
    </row>
    <row r="2842">
      <c r="A2842" s="64"/>
      <c r="D2842" s="56"/>
    </row>
    <row r="2843">
      <c r="A2843" s="64"/>
      <c r="D2843" s="56"/>
    </row>
    <row r="2844">
      <c r="A2844" s="64"/>
      <c r="D2844" s="56"/>
    </row>
    <row r="2845">
      <c r="A2845" s="64"/>
      <c r="D2845" s="56"/>
    </row>
    <row r="2846">
      <c r="A2846" s="64"/>
      <c r="D2846" s="56"/>
    </row>
    <row r="2847">
      <c r="A2847" s="64"/>
      <c r="D2847" s="56"/>
    </row>
    <row r="2848">
      <c r="A2848" s="64"/>
      <c r="D2848" s="56"/>
    </row>
    <row r="2849">
      <c r="A2849" s="64"/>
      <c r="D2849" s="56"/>
    </row>
    <row r="2850">
      <c r="A2850" s="64"/>
      <c r="D2850" s="56"/>
    </row>
    <row r="2851">
      <c r="A2851" s="64"/>
      <c r="D2851" s="56"/>
    </row>
    <row r="2852">
      <c r="A2852" s="64"/>
      <c r="D2852" s="56"/>
    </row>
    <row r="2853">
      <c r="A2853" s="64"/>
      <c r="D2853" s="56"/>
    </row>
    <row r="2854">
      <c r="A2854" s="64"/>
      <c r="D2854" s="56"/>
    </row>
    <row r="2855">
      <c r="A2855" s="64"/>
      <c r="D2855" s="56"/>
    </row>
    <row r="2856">
      <c r="A2856" s="64"/>
      <c r="D2856" s="56"/>
    </row>
    <row r="2857">
      <c r="A2857" s="64"/>
      <c r="D2857" s="56"/>
    </row>
    <row r="2858">
      <c r="A2858" s="64"/>
      <c r="D2858" s="56"/>
    </row>
    <row r="2859">
      <c r="A2859" s="64"/>
      <c r="D2859" s="56"/>
    </row>
    <row r="2860">
      <c r="A2860" s="64"/>
      <c r="D2860" s="56"/>
    </row>
    <row r="2861">
      <c r="A2861" s="64"/>
      <c r="D2861" s="56"/>
    </row>
    <row r="2862">
      <c r="A2862" s="64"/>
      <c r="D2862" s="56"/>
    </row>
    <row r="2863">
      <c r="A2863" s="64"/>
      <c r="D2863" s="56"/>
    </row>
    <row r="2864">
      <c r="A2864" s="64"/>
      <c r="D2864" s="56"/>
    </row>
    <row r="2865">
      <c r="A2865" s="64"/>
      <c r="D2865" s="56"/>
    </row>
    <row r="2866">
      <c r="A2866" s="64"/>
      <c r="D2866" s="56"/>
    </row>
    <row r="2867">
      <c r="A2867" s="64"/>
      <c r="D2867" s="56"/>
    </row>
    <row r="2868">
      <c r="A2868" s="64"/>
      <c r="D2868" s="56"/>
    </row>
    <row r="2869">
      <c r="A2869" s="64"/>
      <c r="D2869" s="56"/>
    </row>
    <row r="2870">
      <c r="A2870" s="64"/>
      <c r="D2870" s="56"/>
    </row>
    <row r="2871">
      <c r="A2871" s="64"/>
      <c r="D2871" s="56"/>
    </row>
    <row r="2872">
      <c r="A2872" s="64"/>
      <c r="D2872" s="56"/>
    </row>
    <row r="2873">
      <c r="A2873" s="64"/>
      <c r="D2873" s="56"/>
    </row>
    <row r="2874">
      <c r="A2874" s="64"/>
      <c r="D2874" s="56"/>
    </row>
    <row r="2875">
      <c r="A2875" s="64"/>
      <c r="D2875" s="56"/>
    </row>
    <row r="2876">
      <c r="A2876" s="64"/>
      <c r="D2876" s="56"/>
    </row>
    <row r="2877">
      <c r="A2877" s="64"/>
      <c r="D2877" s="56"/>
    </row>
    <row r="2878">
      <c r="A2878" s="64"/>
      <c r="D2878" s="56"/>
    </row>
    <row r="2879">
      <c r="A2879" s="64"/>
      <c r="D2879" s="56"/>
    </row>
    <row r="2880">
      <c r="A2880" s="64"/>
      <c r="D2880" s="56"/>
    </row>
    <row r="2881">
      <c r="A2881" s="64"/>
      <c r="D2881" s="56"/>
    </row>
    <row r="2882">
      <c r="A2882" s="64"/>
      <c r="D2882" s="56"/>
    </row>
    <row r="2883">
      <c r="A2883" s="64"/>
      <c r="D2883" s="56"/>
    </row>
    <row r="2884">
      <c r="A2884" s="64"/>
      <c r="D2884" s="56"/>
    </row>
    <row r="2885">
      <c r="A2885" s="64"/>
      <c r="D2885" s="56"/>
    </row>
    <row r="2886">
      <c r="A2886" s="64"/>
      <c r="D2886" s="56"/>
    </row>
    <row r="2887">
      <c r="A2887" s="64"/>
      <c r="D2887" s="56"/>
    </row>
    <row r="2888">
      <c r="A2888" s="64"/>
      <c r="D2888" s="56"/>
    </row>
    <row r="2889">
      <c r="A2889" s="64"/>
      <c r="D2889" s="56"/>
    </row>
    <row r="2890">
      <c r="A2890" s="64"/>
      <c r="D2890" s="56"/>
    </row>
    <row r="2891">
      <c r="A2891" s="64"/>
      <c r="D2891" s="56"/>
    </row>
    <row r="2892">
      <c r="A2892" s="64"/>
      <c r="D2892" s="56"/>
    </row>
    <row r="2893">
      <c r="A2893" s="64"/>
      <c r="D2893" s="56"/>
    </row>
    <row r="2894">
      <c r="A2894" s="64"/>
      <c r="D2894" s="56"/>
    </row>
    <row r="2895">
      <c r="A2895" s="64"/>
      <c r="D2895" s="56"/>
    </row>
    <row r="2896">
      <c r="A2896" s="64"/>
      <c r="D2896" s="56"/>
    </row>
    <row r="2897">
      <c r="A2897" s="64"/>
      <c r="D2897" s="56"/>
    </row>
    <row r="2898">
      <c r="A2898" s="64"/>
      <c r="D2898" s="56"/>
    </row>
    <row r="2899">
      <c r="A2899" s="64"/>
      <c r="D2899" s="56"/>
    </row>
    <row r="2900">
      <c r="A2900" s="64"/>
      <c r="D2900" s="56"/>
    </row>
    <row r="2901">
      <c r="A2901" s="64"/>
      <c r="D2901" s="56"/>
    </row>
    <row r="2902">
      <c r="A2902" s="64"/>
      <c r="D2902" s="56"/>
    </row>
    <row r="2903">
      <c r="A2903" s="64"/>
      <c r="D2903" s="56"/>
    </row>
    <row r="2904">
      <c r="A2904" s="64"/>
      <c r="D2904" s="56"/>
    </row>
    <row r="2905">
      <c r="A2905" s="64"/>
      <c r="D2905" s="56"/>
    </row>
    <row r="2906">
      <c r="A2906" s="64"/>
      <c r="D2906" s="56"/>
    </row>
    <row r="2907">
      <c r="A2907" s="64"/>
      <c r="D2907" s="56"/>
    </row>
    <row r="2908">
      <c r="A2908" s="64"/>
      <c r="D2908" s="56"/>
    </row>
    <row r="2909">
      <c r="A2909" s="64"/>
      <c r="D2909" s="56"/>
    </row>
    <row r="2910">
      <c r="A2910" s="64"/>
      <c r="D2910" s="56"/>
    </row>
    <row r="2911">
      <c r="A2911" s="64"/>
      <c r="D2911" s="56"/>
    </row>
    <row r="2912">
      <c r="A2912" s="64"/>
      <c r="D2912" s="56"/>
    </row>
    <row r="2913">
      <c r="A2913" s="64"/>
      <c r="D2913" s="56"/>
    </row>
    <row r="2914">
      <c r="A2914" s="64"/>
      <c r="D2914" s="56"/>
    </row>
    <row r="2915">
      <c r="A2915" s="64"/>
      <c r="D2915" s="56"/>
    </row>
    <row r="2916">
      <c r="A2916" s="64"/>
      <c r="D2916" s="56"/>
    </row>
    <row r="2917">
      <c r="A2917" s="64"/>
      <c r="D2917" s="56"/>
    </row>
    <row r="2918">
      <c r="A2918" s="64"/>
      <c r="D2918" s="56"/>
    </row>
    <row r="2919">
      <c r="A2919" s="64"/>
      <c r="D2919" s="56"/>
    </row>
    <row r="2920">
      <c r="A2920" s="64"/>
      <c r="D2920" s="56"/>
    </row>
    <row r="2921">
      <c r="A2921" s="64"/>
      <c r="D2921" s="56"/>
    </row>
    <row r="2922">
      <c r="A2922" s="64"/>
      <c r="D2922" s="56"/>
    </row>
    <row r="2923">
      <c r="A2923" s="64"/>
      <c r="D2923" s="56"/>
    </row>
    <row r="2924">
      <c r="A2924" s="64"/>
      <c r="D2924" s="56"/>
    </row>
    <row r="2925">
      <c r="A2925" s="64"/>
      <c r="D2925" s="56"/>
    </row>
    <row r="2926">
      <c r="A2926" s="64"/>
      <c r="D2926" s="56"/>
    </row>
    <row r="2927">
      <c r="A2927" s="64"/>
      <c r="D2927" s="56"/>
    </row>
    <row r="2928">
      <c r="A2928" s="64"/>
      <c r="D2928" s="56"/>
    </row>
    <row r="2929">
      <c r="A2929" s="64"/>
      <c r="D2929" s="56"/>
    </row>
    <row r="2930">
      <c r="A2930" s="64"/>
      <c r="D2930" s="56"/>
    </row>
    <row r="2931">
      <c r="A2931" s="64"/>
      <c r="D2931" s="56"/>
    </row>
    <row r="2932">
      <c r="A2932" s="64"/>
      <c r="D2932" s="56"/>
    </row>
    <row r="2933">
      <c r="A2933" s="64"/>
      <c r="D2933" s="56"/>
    </row>
    <row r="2934">
      <c r="A2934" s="64"/>
      <c r="D2934" s="56"/>
    </row>
    <row r="2935">
      <c r="A2935" s="64"/>
      <c r="D2935" s="56"/>
    </row>
    <row r="2936">
      <c r="A2936" s="64"/>
      <c r="D2936" s="56"/>
    </row>
    <row r="2937">
      <c r="A2937" s="64"/>
      <c r="D2937" s="56"/>
    </row>
    <row r="2938">
      <c r="A2938" s="64"/>
      <c r="D2938" s="56"/>
    </row>
    <row r="2939">
      <c r="A2939" s="64"/>
      <c r="D2939" s="56"/>
    </row>
    <row r="2940">
      <c r="A2940" s="64"/>
      <c r="D2940" s="56"/>
    </row>
    <row r="2941">
      <c r="A2941" s="64"/>
      <c r="D2941" s="56"/>
    </row>
    <row r="2942">
      <c r="A2942" s="64"/>
      <c r="D2942" s="56"/>
    </row>
    <row r="2943">
      <c r="A2943" s="64"/>
      <c r="D2943" s="56"/>
    </row>
    <row r="2944">
      <c r="A2944" s="64"/>
      <c r="D2944" s="56"/>
    </row>
    <row r="2945">
      <c r="A2945" s="64"/>
      <c r="D2945" s="56"/>
    </row>
    <row r="2946">
      <c r="A2946" s="64"/>
      <c r="D2946" s="56"/>
    </row>
    <row r="2947">
      <c r="A2947" s="64"/>
      <c r="D2947" s="56"/>
    </row>
    <row r="2948">
      <c r="A2948" s="64"/>
      <c r="D2948" s="56"/>
    </row>
    <row r="2949">
      <c r="A2949" s="64"/>
      <c r="D2949" s="56"/>
    </row>
    <row r="2950">
      <c r="A2950" s="64"/>
      <c r="D2950" s="56"/>
    </row>
    <row r="2951">
      <c r="A2951" s="64"/>
      <c r="D2951" s="56"/>
    </row>
    <row r="2952">
      <c r="A2952" s="64"/>
      <c r="D2952" s="56"/>
    </row>
    <row r="2953">
      <c r="A2953" s="64"/>
      <c r="D2953" s="56"/>
    </row>
    <row r="2954">
      <c r="A2954" s="64"/>
      <c r="D2954" s="56"/>
    </row>
    <row r="2955">
      <c r="A2955" s="64"/>
      <c r="D2955" s="56"/>
    </row>
    <row r="2956">
      <c r="A2956" s="64"/>
      <c r="D2956" s="56"/>
    </row>
    <row r="2957">
      <c r="A2957" s="64"/>
      <c r="D2957" s="56"/>
    </row>
    <row r="2958">
      <c r="A2958" s="64"/>
      <c r="D2958" s="56"/>
    </row>
    <row r="2959">
      <c r="A2959" s="64"/>
      <c r="D2959" s="56"/>
    </row>
    <row r="2960">
      <c r="A2960" s="64"/>
      <c r="D2960" s="56"/>
    </row>
    <row r="2961">
      <c r="A2961" s="64"/>
      <c r="D2961" s="56"/>
    </row>
    <row r="2962">
      <c r="A2962" s="64"/>
      <c r="D2962" s="56"/>
    </row>
    <row r="2963">
      <c r="A2963" s="64"/>
      <c r="D2963" s="56"/>
    </row>
    <row r="2964">
      <c r="A2964" s="64"/>
      <c r="D2964" s="56"/>
    </row>
    <row r="2965">
      <c r="A2965" s="64"/>
      <c r="D2965" s="56"/>
    </row>
    <row r="2966">
      <c r="A2966" s="64"/>
      <c r="D2966" s="56"/>
    </row>
    <row r="2967">
      <c r="A2967" s="64"/>
      <c r="D2967" s="56"/>
    </row>
    <row r="2968">
      <c r="A2968" s="64"/>
      <c r="D2968" s="56"/>
    </row>
    <row r="2969">
      <c r="A2969" s="64"/>
      <c r="D2969" s="56"/>
    </row>
    <row r="2970">
      <c r="A2970" s="64"/>
      <c r="D2970" s="56"/>
    </row>
    <row r="2971">
      <c r="A2971" s="64"/>
      <c r="D2971" s="56"/>
    </row>
    <row r="2972">
      <c r="A2972" s="64"/>
      <c r="D2972" s="56"/>
    </row>
    <row r="2973">
      <c r="A2973" s="64"/>
      <c r="D2973" s="56"/>
    </row>
    <row r="2974">
      <c r="A2974" s="64"/>
      <c r="D2974" s="56"/>
    </row>
    <row r="2975">
      <c r="A2975" s="64"/>
      <c r="D2975" s="56"/>
    </row>
    <row r="2976">
      <c r="A2976" s="64"/>
      <c r="D2976" s="56"/>
    </row>
    <row r="2977">
      <c r="A2977" s="64"/>
      <c r="D2977" s="56"/>
    </row>
    <row r="2978">
      <c r="A2978" s="64"/>
      <c r="D2978" s="56"/>
    </row>
    <row r="2979">
      <c r="A2979" s="64"/>
      <c r="D2979" s="56"/>
    </row>
    <row r="2980">
      <c r="A2980" s="64"/>
      <c r="D2980" s="56"/>
    </row>
    <row r="2981">
      <c r="A2981" s="64"/>
      <c r="D2981" s="56"/>
    </row>
    <row r="2982">
      <c r="A2982" s="64"/>
      <c r="D2982" s="56"/>
    </row>
    <row r="2983">
      <c r="A2983" s="64"/>
      <c r="D2983" s="56"/>
    </row>
    <row r="2984">
      <c r="A2984" s="64"/>
      <c r="D2984" s="56"/>
    </row>
    <row r="2985">
      <c r="A2985" s="64"/>
      <c r="D2985" s="56"/>
    </row>
    <row r="2986">
      <c r="A2986" s="64"/>
      <c r="D2986" s="56"/>
    </row>
    <row r="2987">
      <c r="A2987" s="64"/>
      <c r="D2987" s="56"/>
    </row>
    <row r="2988">
      <c r="A2988" s="64"/>
      <c r="D2988" s="56"/>
    </row>
    <row r="2989">
      <c r="A2989" s="64"/>
      <c r="D2989" s="56"/>
    </row>
    <row r="2990">
      <c r="A2990" s="64"/>
      <c r="D2990" s="56"/>
    </row>
    <row r="2991">
      <c r="A2991" s="64"/>
      <c r="D2991" s="56"/>
    </row>
    <row r="2992">
      <c r="A2992" s="64"/>
      <c r="D2992" s="56"/>
    </row>
    <row r="2993">
      <c r="A2993" s="64"/>
      <c r="D2993" s="56"/>
    </row>
    <row r="2994">
      <c r="A2994" s="64"/>
      <c r="D2994" s="56"/>
    </row>
    <row r="2995">
      <c r="A2995" s="64"/>
      <c r="D2995" s="56"/>
    </row>
    <row r="2996">
      <c r="A2996" s="64"/>
      <c r="D2996" s="56"/>
    </row>
    <row r="2997">
      <c r="A2997" s="64"/>
      <c r="D2997" s="56"/>
    </row>
    <row r="2998">
      <c r="A2998" s="64"/>
      <c r="D2998" s="56"/>
    </row>
    <row r="2999">
      <c r="A2999" s="64"/>
      <c r="D2999" s="56"/>
    </row>
    <row r="3000">
      <c r="A3000" s="64"/>
      <c r="D3000" s="56"/>
    </row>
    <row r="3001">
      <c r="A3001" s="64"/>
      <c r="D3001" s="56"/>
    </row>
    <row r="3002">
      <c r="A3002" s="64"/>
      <c r="D3002" s="56"/>
    </row>
    <row r="3003">
      <c r="A3003" s="64"/>
      <c r="D3003" s="56"/>
    </row>
    <row r="3004">
      <c r="A3004" s="64"/>
      <c r="D3004" s="56"/>
    </row>
    <row r="3005">
      <c r="A3005" s="64"/>
      <c r="D3005" s="56"/>
    </row>
    <row r="3006">
      <c r="A3006" s="64"/>
      <c r="D3006" s="56"/>
    </row>
    <row r="3007">
      <c r="A3007" s="64"/>
      <c r="D3007" s="56"/>
    </row>
    <row r="3008">
      <c r="A3008" s="64"/>
      <c r="D3008" s="56"/>
    </row>
    <row r="3009">
      <c r="A3009" s="64"/>
      <c r="D3009" s="56"/>
    </row>
    <row r="3010">
      <c r="A3010" s="64"/>
      <c r="D3010" s="56"/>
    </row>
    <row r="3011">
      <c r="A3011" s="64"/>
      <c r="D3011" s="56"/>
    </row>
    <row r="3012">
      <c r="A3012" s="64"/>
      <c r="D3012" s="56"/>
    </row>
    <row r="3013">
      <c r="A3013" s="64"/>
      <c r="D3013" s="56"/>
    </row>
    <row r="3014">
      <c r="A3014" s="64"/>
      <c r="D3014" s="56"/>
    </row>
    <row r="3015">
      <c r="A3015" s="64"/>
      <c r="D3015" s="56"/>
    </row>
    <row r="3016">
      <c r="A3016" s="64"/>
      <c r="D3016" s="56"/>
    </row>
    <row r="3017">
      <c r="A3017" s="64"/>
      <c r="D3017" s="56"/>
    </row>
    <row r="3018">
      <c r="A3018" s="64"/>
      <c r="D3018" s="56"/>
    </row>
    <row r="3019">
      <c r="A3019" s="64"/>
      <c r="D3019" s="56"/>
    </row>
    <row r="3020">
      <c r="A3020" s="64"/>
      <c r="D3020" s="56"/>
    </row>
    <row r="3021">
      <c r="A3021" s="64"/>
      <c r="D3021" s="56"/>
    </row>
    <row r="3022">
      <c r="A3022" s="64"/>
      <c r="D3022" s="56"/>
    </row>
    <row r="3023">
      <c r="A3023" s="64"/>
      <c r="D3023" s="56"/>
    </row>
    <row r="3024">
      <c r="A3024" s="64"/>
      <c r="D3024" s="56"/>
    </row>
    <row r="3025">
      <c r="A3025" s="64"/>
      <c r="D3025" s="56"/>
    </row>
    <row r="3026">
      <c r="A3026" s="64"/>
      <c r="D3026" s="56"/>
    </row>
    <row r="3027">
      <c r="A3027" s="64"/>
      <c r="D3027" s="56"/>
    </row>
    <row r="3028">
      <c r="A3028" s="64"/>
      <c r="D3028" s="56"/>
    </row>
    <row r="3029">
      <c r="A3029" s="64"/>
      <c r="D3029" s="56"/>
    </row>
    <row r="3030">
      <c r="A3030" s="64"/>
      <c r="D3030" s="56"/>
    </row>
    <row r="3031">
      <c r="A3031" s="64"/>
      <c r="D3031" s="56"/>
    </row>
    <row r="3032">
      <c r="A3032" s="64"/>
      <c r="D3032" s="56"/>
    </row>
    <row r="3033">
      <c r="A3033" s="64"/>
      <c r="D3033" s="56"/>
    </row>
    <row r="3034">
      <c r="A3034" s="64"/>
      <c r="D3034" s="56"/>
    </row>
    <row r="3035">
      <c r="A3035" s="64"/>
      <c r="D3035" s="56"/>
    </row>
    <row r="3036">
      <c r="A3036" s="64"/>
      <c r="D3036" s="56"/>
    </row>
    <row r="3037">
      <c r="A3037" s="64"/>
      <c r="D3037" s="56"/>
    </row>
    <row r="3038">
      <c r="A3038" s="64"/>
      <c r="D3038" s="56"/>
    </row>
    <row r="3039">
      <c r="A3039" s="64"/>
      <c r="D3039" s="56"/>
    </row>
    <row r="3040">
      <c r="A3040" s="64"/>
      <c r="D3040" s="56"/>
    </row>
    <row r="3041">
      <c r="A3041" s="64"/>
      <c r="D3041" s="56"/>
    </row>
    <row r="3042">
      <c r="A3042" s="64"/>
      <c r="D3042" s="56"/>
    </row>
    <row r="3043">
      <c r="A3043" s="64"/>
      <c r="D3043" s="56"/>
    </row>
    <row r="3044">
      <c r="A3044" s="64"/>
      <c r="D3044" s="56"/>
    </row>
    <row r="3045">
      <c r="A3045" s="64"/>
      <c r="D3045" s="56"/>
    </row>
    <row r="3046">
      <c r="A3046" s="64"/>
      <c r="D3046" s="56"/>
    </row>
    <row r="3047">
      <c r="A3047" s="64"/>
      <c r="D3047" s="56"/>
    </row>
    <row r="3048">
      <c r="A3048" s="64"/>
      <c r="D3048" s="56"/>
    </row>
    <row r="3049">
      <c r="A3049" s="64"/>
      <c r="D3049" s="56"/>
    </row>
    <row r="3050">
      <c r="A3050" s="64"/>
      <c r="D3050" s="56"/>
    </row>
    <row r="3051">
      <c r="A3051" s="64"/>
      <c r="D3051" s="56"/>
    </row>
    <row r="3052">
      <c r="A3052" s="64"/>
      <c r="D3052" s="56"/>
    </row>
    <row r="3053">
      <c r="A3053" s="64"/>
      <c r="D3053" s="56"/>
    </row>
    <row r="3054">
      <c r="A3054" s="64"/>
      <c r="D3054" s="56"/>
    </row>
    <row r="3055">
      <c r="A3055" s="64"/>
      <c r="D3055" s="56"/>
    </row>
    <row r="3056">
      <c r="A3056" s="64"/>
      <c r="D3056" s="56"/>
    </row>
    <row r="3057">
      <c r="A3057" s="64"/>
      <c r="D3057" s="56"/>
    </row>
    <row r="3058">
      <c r="A3058" s="64"/>
      <c r="D3058" s="56"/>
    </row>
    <row r="3059">
      <c r="A3059" s="64"/>
      <c r="D3059" s="56"/>
    </row>
    <row r="3060">
      <c r="A3060" s="64"/>
      <c r="D3060" s="56"/>
    </row>
    <row r="3061">
      <c r="A3061" s="64"/>
      <c r="D3061" s="56"/>
    </row>
    <row r="3062">
      <c r="A3062" s="64"/>
      <c r="D3062" s="56"/>
    </row>
    <row r="3063">
      <c r="A3063" s="64"/>
      <c r="D3063" s="56"/>
    </row>
    <row r="3064">
      <c r="A3064" s="64"/>
      <c r="D3064" s="56"/>
    </row>
    <row r="3065">
      <c r="A3065" s="64"/>
      <c r="D3065" s="56"/>
    </row>
    <row r="3066">
      <c r="A3066" s="64"/>
      <c r="D3066" s="56"/>
    </row>
    <row r="3067">
      <c r="A3067" s="64"/>
      <c r="D3067" s="56"/>
    </row>
    <row r="3068">
      <c r="A3068" s="64"/>
      <c r="D3068" s="56"/>
    </row>
    <row r="3069">
      <c r="A3069" s="64"/>
      <c r="D3069" s="56"/>
    </row>
    <row r="3070">
      <c r="A3070" s="64"/>
      <c r="D3070" s="56"/>
    </row>
    <row r="3071">
      <c r="A3071" s="64"/>
      <c r="D3071" s="56"/>
    </row>
    <row r="3072">
      <c r="A3072" s="64"/>
      <c r="D3072" s="56"/>
    </row>
    <row r="3073">
      <c r="A3073" s="64"/>
      <c r="D3073" s="56"/>
    </row>
    <row r="3074">
      <c r="A3074" s="64"/>
      <c r="D3074" s="56"/>
    </row>
    <row r="3075">
      <c r="A3075" s="64"/>
      <c r="D3075" s="56"/>
    </row>
    <row r="3076">
      <c r="A3076" s="64"/>
      <c r="D3076" s="56"/>
    </row>
    <row r="3077">
      <c r="A3077" s="64"/>
      <c r="D3077" s="56"/>
    </row>
    <row r="3078">
      <c r="A3078" s="64"/>
      <c r="D3078" s="56"/>
    </row>
    <row r="3079">
      <c r="A3079" s="64"/>
      <c r="D3079" s="56"/>
    </row>
    <row r="3080">
      <c r="A3080" s="64"/>
      <c r="D3080" s="56"/>
    </row>
    <row r="3081">
      <c r="A3081" s="64"/>
      <c r="D3081" s="56"/>
    </row>
    <row r="3082">
      <c r="A3082" s="64"/>
      <c r="D3082" s="56"/>
    </row>
    <row r="3083">
      <c r="A3083" s="64"/>
      <c r="D3083" s="56"/>
    </row>
    <row r="3084">
      <c r="A3084" s="64"/>
      <c r="D3084" s="56"/>
    </row>
    <row r="3085">
      <c r="A3085" s="64"/>
      <c r="D3085" s="56"/>
    </row>
    <row r="3086">
      <c r="A3086" s="64"/>
      <c r="D3086" s="56"/>
    </row>
    <row r="3087">
      <c r="A3087" s="64"/>
      <c r="D3087" s="56"/>
    </row>
    <row r="3088">
      <c r="A3088" s="64"/>
      <c r="D3088" s="56"/>
    </row>
    <row r="3089">
      <c r="A3089" s="64"/>
      <c r="D3089" s="56"/>
    </row>
    <row r="3090">
      <c r="A3090" s="64"/>
      <c r="D3090" s="56"/>
    </row>
    <row r="3091">
      <c r="A3091" s="64"/>
      <c r="D3091" s="56"/>
    </row>
    <row r="3092">
      <c r="A3092" s="64"/>
      <c r="D3092" s="56"/>
    </row>
    <row r="3093">
      <c r="A3093" s="64"/>
      <c r="D3093" s="56"/>
    </row>
    <row r="3094">
      <c r="A3094" s="64"/>
      <c r="D3094" s="56"/>
    </row>
    <row r="3095">
      <c r="A3095" s="64"/>
      <c r="D3095" s="56"/>
    </row>
    <row r="3096">
      <c r="A3096" s="64"/>
      <c r="D3096" s="56"/>
    </row>
    <row r="3097">
      <c r="A3097" s="64"/>
      <c r="D3097" s="56"/>
    </row>
    <row r="3098">
      <c r="A3098" s="64"/>
      <c r="D3098" s="56"/>
    </row>
    <row r="3099">
      <c r="A3099" s="64"/>
      <c r="D3099" s="56"/>
    </row>
    <row r="3100">
      <c r="A3100" s="64"/>
      <c r="D3100" s="56"/>
    </row>
    <row r="3101">
      <c r="A3101" s="64"/>
      <c r="D3101" s="56"/>
    </row>
    <row r="3102">
      <c r="A3102" s="64"/>
      <c r="D3102" s="56"/>
    </row>
    <row r="3103">
      <c r="A3103" s="64"/>
      <c r="D3103" s="56"/>
    </row>
    <row r="3104">
      <c r="A3104" s="64"/>
      <c r="D3104" s="56"/>
    </row>
    <row r="3105">
      <c r="A3105" s="64"/>
      <c r="D3105" s="56"/>
    </row>
    <row r="3106">
      <c r="A3106" s="64"/>
      <c r="D3106" s="56"/>
    </row>
    <row r="3107">
      <c r="A3107" s="64"/>
      <c r="D3107" s="56"/>
    </row>
    <row r="3108">
      <c r="A3108" s="64"/>
      <c r="D3108" s="56"/>
    </row>
    <row r="3109">
      <c r="A3109" s="64"/>
      <c r="D3109" s="56"/>
    </row>
    <row r="3110">
      <c r="A3110" s="64"/>
      <c r="D3110" s="56"/>
    </row>
    <row r="3111">
      <c r="A3111" s="64"/>
      <c r="D3111" s="56"/>
    </row>
    <row r="3112">
      <c r="A3112" s="64"/>
      <c r="D3112" s="56"/>
    </row>
    <row r="3113">
      <c r="A3113" s="64"/>
      <c r="D3113" s="56"/>
    </row>
    <row r="3114">
      <c r="A3114" s="64"/>
      <c r="D3114" s="56"/>
    </row>
    <row r="3115">
      <c r="A3115" s="64"/>
      <c r="D3115" s="56"/>
    </row>
    <row r="3116">
      <c r="A3116" s="64"/>
      <c r="D3116" s="56"/>
    </row>
    <row r="3117">
      <c r="A3117" s="64"/>
      <c r="D3117" s="56"/>
    </row>
    <row r="3118">
      <c r="A3118" s="64"/>
      <c r="D3118" s="56"/>
    </row>
    <row r="3119">
      <c r="A3119" s="64"/>
      <c r="D3119" s="56"/>
    </row>
    <row r="3120">
      <c r="A3120" s="64"/>
      <c r="D3120" s="56"/>
    </row>
    <row r="3121">
      <c r="A3121" s="64"/>
      <c r="D3121" s="56"/>
    </row>
    <row r="3122">
      <c r="A3122" s="64"/>
      <c r="D3122" s="56"/>
    </row>
    <row r="3123">
      <c r="A3123" s="64"/>
      <c r="D3123" s="56"/>
    </row>
    <row r="3124">
      <c r="A3124" s="64"/>
      <c r="D3124" s="56"/>
    </row>
    <row r="3125">
      <c r="A3125" s="64"/>
      <c r="D3125" s="56"/>
    </row>
    <row r="3126">
      <c r="A3126" s="64"/>
      <c r="D3126" s="56"/>
    </row>
    <row r="3127">
      <c r="A3127" s="64"/>
      <c r="D3127" s="56"/>
    </row>
    <row r="3128">
      <c r="A3128" s="64"/>
      <c r="D3128" s="56"/>
    </row>
    <row r="3129">
      <c r="A3129" s="64"/>
      <c r="D3129" s="56"/>
    </row>
    <row r="3130">
      <c r="A3130" s="64"/>
      <c r="D3130" s="56"/>
    </row>
    <row r="3131">
      <c r="A3131" s="64"/>
      <c r="D3131" s="56"/>
    </row>
    <row r="3132">
      <c r="A3132" s="64"/>
      <c r="D3132" s="56"/>
    </row>
    <row r="3133">
      <c r="A3133" s="64"/>
      <c r="D3133" s="56"/>
    </row>
    <row r="3134">
      <c r="A3134" s="64"/>
      <c r="D3134" s="56"/>
    </row>
    <row r="3135">
      <c r="A3135" s="64"/>
      <c r="D3135" s="56"/>
    </row>
    <row r="3136">
      <c r="A3136" s="64"/>
      <c r="D3136" s="56"/>
    </row>
    <row r="3137">
      <c r="A3137" s="64"/>
      <c r="D3137" s="56"/>
    </row>
    <row r="3138">
      <c r="A3138" s="64"/>
      <c r="D3138" s="56"/>
    </row>
    <row r="3139">
      <c r="A3139" s="64"/>
      <c r="D3139" s="56"/>
    </row>
    <row r="3140">
      <c r="A3140" s="64"/>
      <c r="D3140" s="56"/>
    </row>
    <row r="3141">
      <c r="A3141" s="64"/>
      <c r="D3141" s="56"/>
    </row>
    <row r="3142">
      <c r="A3142" s="64"/>
      <c r="D3142" s="56"/>
    </row>
    <row r="3143">
      <c r="A3143" s="64"/>
      <c r="D3143" s="56"/>
    </row>
    <row r="3144">
      <c r="A3144" s="64"/>
      <c r="D3144" s="56"/>
    </row>
    <row r="3145">
      <c r="A3145" s="64"/>
      <c r="D3145" s="56"/>
    </row>
    <row r="3146">
      <c r="A3146" s="64"/>
      <c r="D3146" s="56"/>
    </row>
    <row r="3147">
      <c r="A3147" s="64"/>
      <c r="D3147" s="56"/>
    </row>
    <row r="3148">
      <c r="A3148" s="64"/>
      <c r="D3148" s="56"/>
    </row>
    <row r="3149">
      <c r="A3149" s="64"/>
      <c r="D3149" s="56"/>
    </row>
    <row r="3150">
      <c r="A3150" s="64"/>
      <c r="D3150" s="56"/>
    </row>
    <row r="3151">
      <c r="A3151" s="64"/>
      <c r="D3151" s="56"/>
    </row>
    <row r="3152">
      <c r="A3152" s="64"/>
      <c r="D3152" s="56"/>
    </row>
    <row r="3153">
      <c r="A3153" s="64"/>
      <c r="D3153" s="56"/>
    </row>
    <row r="3154">
      <c r="A3154" s="64"/>
      <c r="D3154" s="56"/>
    </row>
    <row r="3155">
      <c r="A3155" s="64"/>
      <c r="D3155" s="56"/>
    </row>
    <row r="3156">
      <c r="A3156" s="64"/>
      <c r="D3156" s="56"/>
    </row>
    <row r="3157">
      <c r="A3157" s="64"/>
      <c r="D3157" s="56"/>
    </row>
    <row r="3158">
      <c r="A3158" s="64"/>
      <c r="D3158" s="56"/>
    </row>
    <row r="3159">
      <c r="A3159" s="64"/>
      <c r="D3159" s="56"/>
    </row>
    <row r="3160">
      <c r="A3160" s="64"/>
      <c r="D3160" s="56"/>
    </row>
    <row r="3161">
      <c r="A3161" s="64"/>
      <c r="D3161" s="56"/>
    </row>
    <row r="3162">
      <c r="A3162" s="64"/>
      <c r="D3162" s="56"/>
    </row>
    <row r="3163">
      <c r="A3163" s="64"/>
      <c r="D3163" s="56"/>
    </row>
    <row r="3164">
      <c r="A3164" s="64"/>
      <c r="D3164" s="56"/>
    </row>
    <row r="3165">
      <c r="A3165" s="64"/>
      <c r="D3165" s="56"/>
    </row>
    <row r="3166">
      <c r="A3166" s="64"/>
      <c r="D3166" s="56"/>
    </row>
    <row r="3167">
      <c r="A3167" s="64"/>
      <c r="D3167" s="56"/>
    </row>
    <row r="3168">
      <c r="A3168" s="64"/>
      <c r="D3168" s="56"/>
    </row>
    <row r="3169">
      <c r="A3169" s="64"/>
      <c r="D3169" s="56"/>
    </row>
    <row r="3170">
      <c r="A3170" s="64"/>
      <c r="D3170" s="56"/>
    </row>
    <row r="3171">
      <c r="A3171" s="64"/>
      <c r="D3171" s="56"/>
    </row>
    <row r="3172">
      <c r="A3172" s="64"/>
      <c r="D3172" s="56"/>
    </row>
    <row r="3173">
      <c r="A3173" s="64"/>
      <c r="D3173" s="56"/>
    </row>
    <row r="3174">
      <c r="A3174" s="64"/>
      <c r="D3174" s="56"/>
    </row>
    <row r="3175">
      <c r="A3175" s="64"/>
      <c r="D3175" s="56"/>
    </row>
    <row r="3176">
      <c r="A3176" s="64"/>
      <c r="D3176" s="56"/>
    </row>
    <row r="3177">
      <c r="A3177" s="64"/>
      <c r="D3177" s="56"/>
    </row>
    <row r="3178">
      <c r="A3178" s="64"/>
      <c r="D3178" s="56"/>
    </row>
    <row r="3179">
      <c r="A3179" s="64"/>
      <c r="D3179" s="56"/>
    </row>
    <row r="3180">
      <c r="A3180" s="64"/>
      <c r="D3180" s="56"/>
    </row>
    <row r="3181">
      <c r="A3181" s="64"/>
      <c r="D3181" s="56"/>
    </row>
    <row r="3182">
      <c r="A3182" s="64"/>
      <c r="D3182" s="56"/>
    </row>
    <row r="3183">
      <c r="A3183" s="64"/>
      <c r="D3183" s="56"/>
    </row>
    <row r="3184">
      <c r="A3184" s="64"/>
      <c r="D3184" s="56"/>
    </row>
    <row r="3185">
      <c r="A3185" s="64"/>
      <c r="D3185" s="56"/>
    </row>
    <row r="3186">
      <c r="A3186" s="64"/>
      <c r="D3186" s="56"/>
    </row>
    <row r="3187">
      <c r="A3187" s="64"/>
      <c r="D3187" s="56"/>
    </row>
    <row r="3188">
      <c r="A3188" s="64"/>
      <c r="D3188" s="56"/>
    </row>
    <row r="3189">
      <c r="A3189" s="64"/>
      <c r="D3189" s="56"/>
    </row>
    <row r="3190">
      <c r="A3190" s="64"/>
      <c r="D3190" s="56"/>
    </row>
    <row r="3191">
      <c r="A3191" s="64"/>
      <c r="D3191" s="56"/>
    </row>
    <row r="3192">
      <c r="A3192" s="64"/>
      <c r="D3192" s="56"/>
    </row>
    <row r="3193">
      <c r="A3193" s="64"/>
      <c r="D3193" s="56"/>
    </row>
    <row r="3194">
      <c r="A3194" s="64"/>
      <c r="D3194" s="56"/>
    </row>
    <row r="3195">
      <c r="A3195" s="64"/>
      <c r="D3195" s="56"/>
    </row>
    <row r="3196">
      <c r="A3196" s="64"/>
      <c r="D3196" s="56"/>
    </row>
    <row r="3197">
      <c r="A3197" s="64"/>
      <c r="D3197" s="56"/>
    </row>
    <row r="3198">
      <c r="A3198" s="64"/>
      <c r="D3198" s="56"/>
    </row>
    <row r="3199">
      <c r="A3199" s="64"/>
      <c r="D3199" s="56"/>
    </row>
    <row r="3200">
      <c r="A3200" s="64"/>
      <c r="D3200" s="56"/>
    </row>
    <row r="3201">
      <c r="A3201" s="64"/>
      <c r="D3201" s="56"/>
    </row>
    <row r="3202">
      <c r="A3202" s="64"/>
      <c r="D3202" s="56"/>
    </row>
    <row r="3203">
      <c r="A3203" s="64"/>
      <c r="D3203" s="56"/>
    </row>
    <row r="3204">
      <c r="A3204" s="64"/>
      <c r="D3204" s="56"/>
    </row>
    <row r="3205">
      <c r="A3205" s="64"/>
      <c r="D3205" s="56"/>
    </row>
    <row r="3206">
      <c r="A3206" s="64"/>
      <c r="D3206" s="56"/>
    </row>
    <row r="3207">
      <c r="A3207" s="64"/>
      <c r="D3207" s="56"/>
    </row>
    <row r="3208">
      <c r="A3208" s="64"/>
      <c r="D3208" s="56"/>
    </row>
    <row r="3209">
      <c r="A3209" s="64"/>
      <c r="D3209" s="56"/>
    </row>
    <row r="3210">
      <c r="A3210" s="64"/>
      <c r="D3210" s="56"/>
    </row>
    <row r="3211">
      <c r="A3211" s="64"/>
      <c r="D3211" s="56"/>
    </row>
    <row r="3212">
      <c r="A3212" s="64"/>
      <c r="D3212" s="56"/>
    </row>
    <row r="3213">
      <c r="A3213" s="64"/>
      <c r="D3213" s="56"/>
    </row>
    <row r="3214">
      <c r="A3214" s="64"/>
      <c r="D3214" s="56"/>
    </row>
    <row r="3215">
      <c r="A3215" s="64"/>
      <c r="D3215" s="56"/>
    </row>
    <row r="3216">
      <c r="A3216" s="64"/>
      <c r="D3216" s="56"/>
    </row>
    <row r="3217">
      <c r="A3217" s="64"/>
      <c r="D3217" s="56"/>
    </row>
    <row r="3218">
      <c r="A3218" s="64"/>
      <c r="D3218" s="56"/>
    </row>
    <row r="3219">
      <c r="A3219" s="64"/>
      <c r="D3219" s="56"/>
    </row>
    <row r="3220">
      <c r="A3220" s="64"/>
      <c r="D3220" s="56"/>
    </row>
    <row r="3221">
      <c r="A3221" s="64"/>
      <c r="D3221" s="56"/>
    </row>
    <row r="3222">
      <c r="A3222" s="64"/>
      <c r="D3222" s="56"/>
    </row>
    <row r="3223">
      <c r="A3223" s="64"/>
      <c r="D3223" s="56"/>
    </row>
    <row r="3224">
      <c r="A3224" s="64"/>
      <c r="D3224" s="56"/>
    </row>
    <row r="3225">
      <c r="A3225" s="64"/>
      <c r="D3225" s="56"/>
    </row>
    <row r="3226">
      <c r="A3226" s="64"/>
      <c r="D3226" s="56"/>
    </row>
    <row r="3227">
      <c r="A3227" s="64"/>
      <c r="D3227" s="56"/>
    </row>
    <row r="3228">
      <c r="A3228" s="64"/>
      <c r="D3228" s="56"/>
    </row>
    <row r="3229">
      <c r="A3229" s="64"/>
      <c r="D3229" s="56"/>
    </row>
    <row r="3230">
      <c r="A3230" s="64"/>
      <c r="D3230" s="56"/>
    </row>
    <row r="3231">
      <c r="A3231" s="64"/>
      <c r="D3231" s="56"/>
    </row>
    <row r="3232">
      <c r="A3232" s="64"/>
      <c r="D3232" s="56"/>
    </row>
    <row r="3233">
      <c r="A3233" s="64"/>
      <c r="D3233" s="56"/>
    </row>
    <row r="3234">
      <c r="A3234" s="64"/>
      <c r="D3234" s="56"/>
    </row>
    <row r="3235">
      <c r="A3235" s="64"/>
      <c r="D3235" s="56"/>
    </row>
    <row r="3236">
      <c r="A3236" s="64"/>
      <c r="D3236" s="56"/>
    </row>
    <row r="3237">
      <c r="A3237" s="64"/>
      <c r="D3237" s="56"/>
    </row>
    <row r="3238">
      <c r="A3238" s="64"/>
      <c r="D3238" s="56"/>
    </row>
    <row r="3239">
      <c r="A3239" s="64"/>
      <c r="D3239" s="56"/>
    </row>
    <row r="3240">
      <c r="A3240" s="64"/>
      <c r="D3240" s="56"/>
    </row>
    <row r="3241">
      <c r="A3241" s="64"/>
      <c r="D3241" s="56"/>
    </row>
    <row r="3242">
      <c r="A3242" s="64"/>
      <c r="D3242" s="56"/>
    </row>
    <row r="3243">
      <c r="A3243" s="64"/>
      <c r="D3243" s="56"/>
    </row>
    <row r="3244">
      <c r="A3244" s="64"/>
      <c r="D3244" s="56"/>
    </row>
    <row r="3245">
      <c r="A3245" s="64"/>
      <c r="D3245" s="56"/>
    </row>
    <row r="3246">
      <c r="A3246" s="64"/>
      <c r="D3246" s="56"/>
    </row>
    <row r="3247">
      <c r="A3247" s="64"/>
      <c r="D3247" s="56"/>
    </row>
    <row r="3248">
      <c r="A3248" s="64"/>
      <c r="D3248" s="56"/>
    </row>
    <row r="3249">
      <c r="A3249" s="64"/>
      <c r="D3249" s="56"/>
    </row>
    <row r="3250">
      <c r="A3250" s="64"/>
      <c r="D3250" s="56"/>
    </row>
    <row r="3251">
      <c r="A3251" s="64"/>
      <c r="D3251" s="56"/>
    </row>
    <row r="3252">
      <c r="A3252" s="64"/>
      <c r="D3252" s="56"/>
    </row>
    <row r="3253">
      <c r="A3253" s="64"/>
      <c r="D3253" s="56"/>
    </row>
    <row r="3254">
      <c r="A3254" s="64"/>
      <c r="D3254" s="56"/>
    </row>
    <row r="3255">
      <c r="A3255" s="64"/>
      <c r="D3255" s="56"/>
    </row>
    <row r="3256">
      <c r="A3256" s="64"/>
      <c r="D3256" s="56"/>
    </row>
    <row r="3257">
      <c r="A3257" s="64"/>
      <c r="D3257" s="56"/>
    </row>
    <row r="3258">
      <c r="A3258" s="64"/>
      <c r="D3258" s="56"/>
    </row>
    <row r="3259">
      <c r="A3259" s="64"/>
      <c r="D3259" s="56"/>
    </row>
    <row r="3260">
      <c r="A3260" s="64"/>
      <c r="D3260" s="56"/>
    </row>
    <row r="3261">
      <c r="A3261" s="64"/>
      <c r="D3261" s="56"/>
    </row>
    <row r="3262">
      <c r="A3262" s="64"/>
      <c r="D3262" s="56"/>
    </row>
    <row r="3263">
      <c r="A3263" s="64"/>
      <c r="D3263" s="56"/>
    </row>
    <row r="3264">
      <c r="A3264" s="64"/>
      <c r="D3264" s="56"/>
    </row>
    <row r="3265">
      <c r="A3265" s="64"/>
      <c r="D3265" s="56"/>
    </row>
    <row r="3266">
      <c r="A3266" s="64"/>
      <c r="D3266" s="56"/>
    </row>
    <row r="3267">
      <c r="A3267" s="64"/>
      <c r="D3267" s="56"/>
    </row>
    <row r="3268">
      <c r="A3268" s="64"/>
      <c r="D3268" s="56"/>
    </row>
    <row r="3269">
      <c r="A3269" s="64"/>
      <c r="D3269" s="56"/>
    </row>
    <row r="3270">
      <c r="A3270" s="64"/>
      <c r="D3270" s="56"/>
    </row>
    <row r="3271">
      <c r="A3271" s="64"/>
      <c r="D3271" s="56"/>
    </row>
    <row r="3272">
      <c r="A3272" s="64"/>
      <c r="D3272" s="56"/>
    </row>
    <row r="3273">
      <c r="A3273" s="64"/>
      <c r="D3273" s="56"/>
    </row>
    <row r="3274">
      <c r="A3274" s="64"/>
      <c r="D3274" s="56"/>
    </row>
    <row r="3275">
      <c r="A3275" s="64"/>
      <c r="D3275" s="56"/>
    </row>
    <row r="3276">
      <c r="A3276" s="64"/>
      <c r="D3276" s="56"/>
    </row>
    <row r="3277">
      <c r="A3277" s="64"/>
      <c r="D3277" s="56"/>
    </row>
    <row r="3278">
      <c r="A3278" s="64"/>
      <c r="D3278" s="56"/>
    </row>
    <row r="3279">
      <c r="A3279" s="64"/>
      <c r="D3279" s="56"/>
    </row>
    <row r="3280">
      <c r="A3280" s="64"/>
      <c r="D3280" s="56"/>
    </row>
    <row r="3281">
      <c r="A3281" s="64"/>
      <c r="D3281" s="56"/>
    </row>
    <row r="3282">
      <c r="A3282" s="64"/>
      <c r="D3282" s="56"/>
    </row>
    <row r="3283">
      <c r="A3283" s="64"/>
      <c r="D3283" s="56"/>
    </row>
    <row r="3284">
      <c r="A3284" s="64"/>
      <c r="D3284" s="56"/>
    </row>
    <row r="3285">
      <c r="A3285" s="64"/>
      <c r="D3285" s="56"/>
    </row>
    <row r="3286">
      <c r="A3286" s="64"/>
      <c r="D3286" s="56"/>
    </row>
    <row r="3287">
      <c r="A3287" s="64"/>
      <c r="D3287" s="56"/>
    </row>
    <row r="3288">
      <c r="A3288" s="64"/>
      <c r="D3288" s="56"/>
    </row>
    <row r="3289">
      <c r="A3289" s="64"/>
      <c r="D3289" s="56"/>
    </row>
    <row r="3290">
      <c r="A3290" s="64"/>
      <c r="D3290" s="56"/>
    </row>
    <row r="3291">
      <c r="A3291" s="64"/>
      <c r="D3291" s="56"/>
    </row>
    <row r="3292">
      <c r="A3292" s="64"/>
      <c r="D3292" s="56"/>
    </row>
    <row r="3293">
      <c r="A3293" s="64"/>
      <c r="D3293" s="56"/>
    </row>
    <row r="3294">
      <c r="A3294" s="64"/>
      <c r="D3294" s="56"/>
    </row>
    <row r="3295">
      <c r="A3295" s="64"/>
      <c r="D3295" s="56"/>
    </row>
    <row r="3296">
      <c r="A3296" s="64"/>
      <c r="D3296" s="56"/>
    </row>
    <row r="3297">
      <c r="A3297" s="64"/>
      <c r="D3297" s="56"/>
    </row>
    <row r="3298">
      <c r="A3298" s="64"/>
      <c r="D3298" s="56"/>
    </row>
    <row r="3299">
      <c r="A3299" s="64"/>
      <c r="D3299" s="56"/>
    </row>
    <row r="3300">
      <c r="A3300" s="64"/>
      <c r="D3300" s="56"/>
    </row>
    <row r="3301">
      <c r="A3301" s="64"/>
      <c r="D3301" s="56"/>
    </row>
    <row r="3302">
      <c r="A3302" s="64"/>
      <c r="D3302" s="56"/>
    </row>
    <row r="3303">
      <c r="A3303" s="64"/>
      <c r="D3303" s="56"/>
    </row>
    <row r="3304">
      <c r="A3304" s="64"/>
      <c r="D3304" s="56"/>
    </row>
    <row r="3305">
      <c r="A3305" s="64"/>
      <c r="D3305" s="56"/>
    </row>
    <row r="3306">
      <c r="A3306" s="64"/>
      <c r="D3306" s="56"/>
    </row>
    <row r="3307">
      <c r="A3307" s="64"/>
      <c r="D3307" s="56"/>
    </row>
    <row r="3308">
      <c r="A3308" s="64"/>
      <c r="D3308" s="56"/>
    </row>
    <row r="3309">
      <c r="A3309" s="64"/>
      <c r="D3309" s="56"/>
    </row>
    <row r="3310">
      <c r="A3310" s="64"/>
      <c r="D3310" s="56"/>
    </row>
    <row r="3311">
      <c r="A3311" s="64"/>
      <c r="D3311" s="56"/>
    </row>
    <row r="3312">
      <c r="A3312" s="64"/>
      <c r="D3312" s="56"/>
    </row>
    <row r="3313">
      <c r="A3313" s="64"/>
      <c r="D3313" s="56"/>
    </row>
    <row r="3314">
      <c r="A3314" s="64"/>
      <c r="D3314" s="56"/>
    </row>
    <row r="3315">
      <c r="A3315" s="64"/>
      <c r="D3315" s="56"/>
    </row>
    <row r="3316">
      <c r="A3316" s="64"/>
      <c r="D3316" s="56"/>
    </row>
    <row r="3317">
      <c r="A3317" s="64"/>
      <c r="D3317" s="56"/>
    </row>
    <row r="3318">
      <c r="A3318" s="64"/>
      <c r="D3318" s="56"/>
    </row>
    <row r="3319">
      <c r="A3319" s="64"/>
      <c r="D3319" s="56"/>
    </row>
    <row r="3320">
      <c r="A3320" s="64"/>
      <c r="D3320" s="56"/>
    </row>
    <row r="3321">
      <c r="A3321" s="64"/>
      <c r="D3321" s="56"/>
    </row>
    <row r="3322">
      <c r="A3322" s="64"/>
      <c r="D3322" s="56"/>
    </row>
    <row r="3323">
      <c r="A3323" s="64"/>
      <c r="D3323" s="56"/>
    </row>
    <row r="3324">
      <c r="A3324" s="64"/>
      <c r="D3324" s="56"/>
    </row>
    <row r="3325">
      <c r="A3325" s="64"/>
      <c r="D3325" s="56"/>
    </row>
    <row r="3326">
      <c r="A3326" s="64"/>
      <c r="D3326" s="56"/>
    </row>
    <row r="3327">
      <c r="A3327" s="64"/>
      <c r="D3327" s="56"/>
    </row>
    <row r="3328">
      <c r="A3328" s="64"/>
      <c r="D3328" s="56"/>
    </row>
    <row r="3329">
      <c r="A3329" s="64"/>
      <c r="D3329" s="56"/>
    </row>
    <row r="3330">
      <c r="A3330" s="64"/>
      <c r="D3330" s="56"/>
    </row>
    <row r="3331">
      <c r="A3331" s="64"/>
      <c r="D3331" s="56"/>
    </row>
    <row r="3332">
      <c r="A3332" s="64"/>
      <c r="D3332" s="56"/>
    </row>
    <row r="3333">
      <c r="A3333" s="64"/>
      <c r="D3333" s="56"/>
    </row>
    <row r="3334">
      <c r="A3334" s="64"/>
      <c r="D3334" s="56"/>
    </row>
    <row r="3335">
      <c r="A3335" s="64"/>
      <c r="D3335" s="56"/>
    </row>
    <row r="3336">
      <c r="A3336" s="64"/>
      <c r="D3336" s="56"/>
    </row>
    <row r="3337">
      <c r="A3337" s="64"/>
      <c r="D3337" s="56"/>
    </row>
    <row r="3338">
      <c r="A3338" s="64"/>
      <c r="D3338" s="56"/>
    </row>
    <row r="3339">
      <c r="A3339" s="64"/>
      <c r="D3339" s="56"/>
    </row>
    <row r="3340">
      <c r="A3340" s="64"/>
      <c r="D3340" s="56"/>
    </row>
    <row r="3341">
      <c r="A3341" s="64"/>
      <c r="D3341" s="56"/>
    </row>
    <row r="3342">
      <c r="A3342" s="64"/>
      <c r="D3342" s="56"/>
    </row>
    <row r="3343">
      <c r="A3343" s="64"/>
      <c r="D3343" s="56"/>
    </row>
    <row r="3344">
      <c r="A3344" s="64"/>
      <c r="D3344" s="56"/>
    </row>
    <row r="3345">
      <c r="A3345" s="64"/>
      <c r="D3345" s="56"/>
    </row>
    <row r="3346">
      <c r="A3346" s="64"/>
      <c r="D3346" s="56"/>
    </row>
    <row r="3347">
      <c r="A3347" s="64"/>
      <c r="D3347" s="56"/>
    </row>
    <row r="3348">
      <c r="A3348" s="64"/>
      <c r="D3348" s="56"/>
    </row>
    <row r="3349">
      <c r="A3349" s="64"/>
      <c r="D3349" s="56"/>
    </row>
    <row r="3350">
      <c r="A3350" s="64"/>
      <c r="D3350" s="56"/>
    </row>
    <row r="3351">
      <c r="A3351" s="64"/>
      <c r="D3351" s="56"/>
    </row>
    <row r="3352">
      <c r="A3352" s="64"/>
      <c r="D3352" s="56"/>
    </row>
    <row r="3353">
      <c r="A3353" s="64"/>
      <c r="D3353" s="56"/>
    </row>
    <row r="3354">
      <c r="A3354" s="64"/>
      <c r="D3354" s="56"/>
    </row>
    <row r="3355">
      <c r="A3355" s="64"/>
      <c r="D3355" s="56"/>
    </row>
    <row r="3356">
      <c r="A3356" s="64"/>
      <c r="D3356" s="56"/>
    </row>
    <row r="3357">
      <c r="A3357" s="64"/>
      <c r="D3357" s="56"/>
    </row>
    <row r="3358">
      <c r="A3358" s="64"/>
      <c r="D3358" s="56"/>
    </row>
    <row r="3359">
      <c r="A3359" s="64"/>
      <c r="D3359" s="56"/>
    </row>
    <row r="3360">
      <c r="A3360" s="64"/>
      <c r="D3360" s="56"/>
    </row>
    <row r="3361">
      <c r="A3361" s="64"/>
      <c r="D3361" s="56"/>
    </row>
    <row r="3362">
      <c r="A3362" s="64"/>
      <c r="D3362" s="56"/>
    </row>
    <row r="3363">
      <c r="A3363" s="64"/>
      <c r="D3363" s="56"/>
    </row>
    <row r="3364">
      <c r="A3364" s="64"/>
      <c r="D3364" s="56"/>
    </row>
    <row r="3365">
      <c r="A3365" s="64"/>
      <c r="D3365" s="56"/>
    </row>
    <row r="3366">
      <c r="A3366" s="64"/>
      <c r="D3366" s="56"/>
    </row>
    <row r="3367">
      <c r="A3367" s="64"/>
      <c r="D3367" s="56"/>
    </row>
    <row r="3368">
      <c r="A3368" s="64"/>
      <c r="D3368" s="56"/>
    </row>
    <row r="3369">
      <c r="A3369" s="64"/>
      <c r="D3369" s="56"/>
    </row>
    <row r="3370">
      <c r="A3370" s="64"/>
      <c r="D3370" s="56"/>
    </row>
    <row r="3371">
      <c r="A3371" s="64"/>
      <c r="D3371" s="56"/>
    </row>
    <row r="3372">
      <c r="A3372" s="64"/>
      <c r="D3372" s="56"/>
    </row>
    <row r="3373">
      <c r="A3373" s="64"/>
      <c r="D3373" s="56"/>
    </row>
    <row r="3374">
      <c r="A3374" s="64"/>
      <c r="D3374" s="56"/>
    </row>
    <row r="3375">
      <c r="A3375" s="64"/>
      <c r="D3375" s="56"/>
    </row>
    <row r="3376">
      <c r="A3376" s="64"/>
      <c r="D3376" s="56"/>
    </row>
    <row r="3377">
      <c r="A3377" s="64"/>
      <c r="D3377" s="56"/>
    </row>
    <row r="3378">
      <c r="A3378" s="64"/>
      <c r="D3378" s="56"/>
    </row>
    <row r="3379">
      <c r="A3379" s="64"/>
      <c r="D3379" s="56"/>
    </row>
    <row r="3380">
      <c r="A3380" s="64"/>
      <c r="D3380" s="56"/>
    </row>
    <row r="3381">
      <c r="A3381" s="64"/>
      <c r="D3381" s="56"/>
    </row>
    <row r="3382">
      <c r="A3382" s="64"/>
      <c r="D3382" s="56"/>
    </row>
    <row r="3383">
      <c r="A3383" s="64"/>
      <c r="D3383" s="56"/>
    </row>
    <row r="3384">
      <c r="A3384" s="64"/>
      <c r="D3384" s="56"/>
    </row>
    <row r="3385">
      <c r="A3385" s="64"/>
      <c r="D3385" s="56"/>
    </row>
    <row r="3386">
      <c r="A3386" s="64"/>
      <c r="D3386" s="56"/>
    </row>
    <row r="3387">
      <c r="A3387" s="64"/>
      <c r="D3387" s="56"/>
    </row>
    <row r="3388">
      <c r="A3388" s="64"/>
      <c r="D3388" s="56"/>
    </row>
    <row r="3389">
      <c r="A3389" s="64"/>
      <c r="D3389" s="56"/>
    </row>
    <row r="3390">
      <c r="A3390" s="64"/>
      <c r="D3390" s="56"/>
    </row>
    <row r="3391">
      <c r="A3391" s="64"/>
      <c r="D3391" s="56"/>
    </row>
    <row r="3392">
      <c r="A3392" s="64"/>
      <c r="D3392" s="56"/>
    </row>
    <row r="3393">
      <c r="A3393" s="64"/>
      <c r="D3393" s="56"/>
    </row>
    <row r="3394">
      <c r="A3394" s="64"/>
      <c r="D3394" s="56"/>
    </row>
    <row r="3395">
      <c r="A3395" s="64"/>
      <c r="D3395" s="56"/>
    </row>
    <row r="3396">
      <c r="A3396" s="64"/>
      <c r="D3396" s="56"/>
    </row>
    <row r="3397">
      <c r="A3397" s="64"/>
      <c r="D3397" s="56"/>
    </row>
    <row r="3398">
      <c r="A3398" s="64"/>
      <c r="D3398" s="56"/>
    </row>
    <row r="3399">
      <c r="A3399" s="64"/>
      <c r="D3399" s="56"/>
    </row>
    <row r="3400">
      <c r="A3400" s="64"/>
      <c r="D3400" s="56"/>
    </row>
    <row r="3401">
      <c r="A3401" s="64"/>
      <c r="D3401" s="56"/>
    </row>
    <row r="3402">
      <c r="A3402" s="64"/>
      <c r="D3402" s="56"/>
    </row>
    <row r="3403">
      <c r="A3403" s="64"/>
      <c r="D3403" s="56"/>
    </row>
    <row r="3404">
      <c r="A3404" s="64"/>
      <c r="D3404" s="56"/>
    </row>
    <row r="3405">
      <c r="A3405" s="64"/>
      <c r="D3405" s="56"/>
    </row>
    <row r="3406">
      <c r="A3406" s="64"/>
      <c r="D3406" s="56"/>
    </row>
    <row r="3407">
      <c r="A3407" s="64"/>
      <c r="D3407" s="56"/>
    </row>
    <row r="3408">
      <c r="A3408" s="64"/>
      <c r="D3408" s="56"/>
    </row>
    <row r="3409">
      <c r="A3409" s="64"/>
      <c r="D3409" s="56"/>
    </row>
    <row r="3410">
      <c r="A3410" s="64"/>
      <c r="D3410" s="56"/>
    </row>
    <row r="3411">
      <c r="A3411" s="64"/>
      <c r="D3411" s="56"/>
    </row>
    <row r="3412">
      <c r="A3412" s="64"/>
      <c r="D3412" s="56"/>
    </row>
    <row r="3413">
      <c r="A3413" s="64"/>
      <c r="D3413" s="56"/>
    </row>
    <row r="3414">
      <c r="A3414" s="64"/>
      <c r="D3414" s="56"/>
    </row>
    <row r="3415">
      <c r="A3415" s="64"/>
      <c r="D3415" s="56"/>
    </row>
    <row r="3416">
      <c r="A3416" s="64"/>
      <c r="D3416" s="56"/>
    </row>
    <row r="3417">
      <c r="A3417" s="64"/>
      <c r="D3417" s="56"/>
    </row>
    <row r="3418">
      <c r="A3418" s="64"/>
      <c r="D3418" s="56"/>
    </row>
    <row r="3419">
      <c r="A3419" s="64"/>
      <c r="D3419" s="56"/>
    </row>
    <row r="3420">
      <c r="A3420" s="64"/>
      <c r="D3420" s="56"/>
    </row>
    <row r="3421">
      <c r="A3421" s="64"/>
      <c r="D3421" s="56"/>
    </row>
    <row r="3422">
      <c r="A3422" s="64"/>
      <c r="D3422" s="56"/>
    </row>
    <row r="3423">
      <c r="A3423" s="64"/>
      <c r="D3423" s="56"/>
    </row>
    <row r="3424">
      <c r="A3424" s="64"/>
      <c r="D3424" s="56"/>
    </row>
    <row r="3425">
      <c r="A3425" s="64"/>
      <c r="D3425" s="56"/>
    </row>
    <row r="3426">
      <c r="A3426" s="64"/>
      <c r="D3426" s="56"/>
    </row>
    <row r="3427">
      <c r="A3427" s="64"/>
      <c r="D3427" s="56"/>
    </row>
    <row r="3428">
      <c r="A3428" s="64"/>
      <c r="D3428" s="56"/>
    </row>
    <row r="3429">
      <c r="A3429" s="64"/>
      <c r="D3429" s="56"/>
    </row>
    <row r="3430">
      <c r="A3430" s="64"/>
      <c r="D3430" s="56"/>
    </row>
    <row r="3431">
      <c r="A3431" s="64"/>
      <c r="D3431" s="56"/>
    </row>
    <row r="3432">
      <c r="A3432" s="64"/>
      <c r="D3432" s="56"/>
    </row>
    <row r="3433">
      <c r="A3433" s="64"/>
      <c r="D3433" s="56"/>
    </row>
    <row r="3434">
      <c r="A3434" s="64"/>
      <c r="D3434" s="56"/>
    </row>
    <row r="3435">
      <c r="A3435" s="64"/>
      <c r="D3435" s="56"/>
    </row>
    <row r="3436">
      <c r="A3436" s="64"/>
      <c r="D3436" s="56"/>
    </row>
    <row r="3437">
      <c r="A3437" s="64"/>
      <c r="D3437" s="56"/>
    </row>
    <row r="3438">
      <c r="A3438" s="64"/>
      <c r="D3438" s="56"/>
    </row>
    <row r="3439">
      <c r="A3439" s="64"/>
      <c r="D3439" s="56"/>
    </row>
    <row r="3440">
      <c r="A3440" s="64"/>
      <c r="D3440" s="56"/>
    </row>
    <row r="3441">
      <c r="A3441" s="64"/>
      <c r="D3441" s="56"/>
    </row>
    <row r="3442">
      <c r="A3442" s="64"/>
      <c r="D3442" s="56"/>
    </row>
    <row r="3443">
      <c r="A3443" s="64"/>
      <c r="D3443" s="56"/>
    </row>
    <row r="3444">
      <c r="A3444" s="64"/>
      <c r="D3444" s="56"/>
    </row>
    <row r="3445">
      <c r="A3445" s="64"/>
      <c r="D3445" s="56"/>
    </row>
    <row r="3446">
      <c r="A3446" s="64"/>
      <c r="D3446" s="56"/>
    </row>
    <row r="3447">
      <c r="A3447" s="64"/>
      <c r="D3447" s="56"/>
    </row>
    <row r="3448">
      <c r="A3448" s="64"/>
      <c r="D3448" s="56"/>
    </row>
    <row r="3449">
      <c r="A3449" s="64"/>
      <c r="D3449" s="56"/>
    </row>
    <row r="3450">
      <c r="A3450" s="64"/>
      <c r="D3450" s="56"/>
    </row>
    <row r="3451">
      <c r="A3451" s="64"/>
      <c r="D3451" s="56"/>
    </row>
    <row r="3452">
      <c r="A3452" s="64"/>
      <c r="D3452" s="56"/>
    </row>
    <row r="3453">
      <c r="A3453" s="64"/>
      <c r="D3453" s="56"/>
    </row>
    <row r="3454">
      <c r="A3454" s="64"/>
      <c r="D3454" s="56"/>
    </row>
    <row r="3455">
      <c r="A3455" s="64"/>
      <c r="D3455" s="56"/>
    </row>
    <row r="3456">
      <c r="A3456" s="64"/>
      <c r="D3456" s="56"/>
    </row>
    <row r="3457">
      <c r="A3457" s="64"/>
      <c r="D3457" s="56"/>
    </row>
    <row r="3458">
      <c r="A3458" s="64"/>
      <c r="D3458" s="56"/>
    </row>
    <row r="3459">
      <c r="A3459" s="64"/>
      <c r="D3459" s="56"/>
    </row>
    <row r="3460">
      <c r="A3460" s="64"/>
      <c r="D3460" s="56"/>
    </row>
    <row r="3461">
      <c r="A3461" s="64"/>
      <c r="D3461" s="56"/>
    </row>
    <row r="3462">
      <c r="A3462" s="64"/>
      <c r="D3462" s="56"/>
    </row>
    <row r="3463">
      <c r="A3463" s="64"/>
      <c r="D3463" s="56"/>
    </row>
    <row r="3464">
      <c r="A3464" s="64"/>
      <c r="D3464" s="56"/>
    </row>
    <row r="3465">
      <c r="A3465" s="64"/>
      <c r="D3465" s="56"/>
    </row>
    <row r="3466">
      <c r="A3466" s="64"/>
      <c r="D3466" s="56"/>
    </row>
    <row r="3467">
      <c r="A3467" s="64"/>
      <c r="D3467" s="56"/>
    </row>
    <row r="3468">
      <c r="A3468" s="64"/>
      <c r="D3468" s="56"/>
    </row>
    <row r="3469">
      <c r="A3469" s="64"/>
      <c r="D3469" s="56"/>
    </row>
    <row r="3470">
      <c r="A3470" s="64"/>
      <c r="D3470" s="56"/>
    </row>
    <row r="3471">
      <c r="A3471" s="64"/>
      <c r="D3471" s="56"/>
    </row>
    <row r="3472">
      <c r="A3472" s="64"/>
      <c r="D3472" s="56"/>
    </row>
    <row r="3473">
      <c r="A3473" s="64"/>
      <c r="D3473" s="56"/>
    </row>
    <row r="3474">
      <c r="A3474" s="64"/>
      <c r="D3474" s="56"/>
    </row>
    <row r="3475">
      <c r="A3475" s="64"/>
      <c r="D3475" s="56"/>
    </row>
    <row r="3476">
      <c r="A3476" s="64"/>
      <c r="D3476" s="56"/>
    </row>
    <row r="3477">
      <c r="A3477" s="64"/>
      <c r="D3477" s="56"/>
    </row>
    <row r="3478">
      <c r="A3478" s="64"/>
      <c r="D3478" s="56"/>
    </row>
    <row r="3479">
      <c r="A3479" s="64"/>
      <c r="D3479" s="56"/>
    </row>
    <row r="3480">
      <c r="A3480" s="64"/>
      <c r="D3480" s="56"/>
    </row>
    <row r="3481">
      <c r="A3481" s="64"/>
      <c r="D3481" s="56"/>
    </row>
    <row r="3482">
      <c r="A3482" s="64"/>
      <c r="D3482" s="56"/>
    </row>
    <row r="3483">
      <c r="A3483" s="64"/>
      <c r="D3483" s="56"/>
    </row>
    <row r="3484">
      <c r="A3484" s="64"/>
      <c r="D3484" s="56"/>
    </row>
    <row r="3485">
      <c r="A3485" s="64"/>
      <c r="D3485" s="56"/>
    </row>
    <row r="3486">
      <c r="A3486" s="64"/>
      <c r="D3486" s="56"/>
    </row>
    <row r="3487">
      <c r="A3487" s="64"/>
      <c r="D3487" s="56"/>
    </row>
    <row r="3488">
      <c r="A3488" s="64"/>
      <c r="D3488" s="56"/>
    </row>
    <row r="3489">
      <c r="A3489" s="64"/>
      <c r="D3489" s="56"/>
    </row>
    <row r="3490">
      <c r="A3490" s="64"/>
      <c r="D3490" s="56"/>
    </row>
    <row r="3491">
      <c r="A3491" s="64"/>
      <c r="D3491" s="56"/>
    </row>
    <row r="3492">
      <c r="A3492" s="64"/>
      <c r="D3492" s="56"/>
    </row>
    <row r="3493">
      <c r="A3493" s="64"/>
      <c r="D3493" s="56"/>
    </row>
    <row r="3494">
      <c r="A3494" s="64"/>
      <c r="D3494" s="56"/>
    </row>
    <row r="3495">
      <c r="A3495" s="64"/>
      <c r="D3495" s="56"/>
    </row>
    <row r="3496">
      <c r="A3496" s="64"/>
      <c r="D3496" s="56"/>
    </row>
    <row r="3497">
      <c r="A3497" s="64"/>
      <c r="D3497" s="56"/>
    </row>
    <row r="3498">
      <c r="A3498" s="64"/>
      <c r="D3498" s="56"/>
    </row>
    <row r="3499">
      <c r="A3499" s="64"/>
      <c r="D3499" s="56"/>
    </row>
    <row r="3500">
      <c r="A3500" s="64"/>
      <c r="D3500" s="56"/>
    </row>
    <row r="3501">
      <c r="A3501" s="64"/>
      <c r="D3501" s="56"/>
    </row>
    <row r="3502">
      <c r="A3502" s="64"/>
      <c r="D3502" s="56"/>
    </row>
    <row r="3503">
      <c r="A3503" s="64"/>
      <c r="D3503" s="56"/>
    </row>
    <row r="3504">
      <c r="A3504" s="64"/>
      <c r="D3504" s="56"/>
    </row>
    <row r="3505">
      <c r="A3505" s="64"/>
      <c r="D3505" s="56"/>
    </row>
    <row r="3506">
      <c r="A3506" s="64"/>
      <c r="D3506" s="56"/>
    </row>
    <row r="3507">
      <c r="A3507" s="64"/>
      <c r="D3507" s="56"/>
    </row>
    <row r="3508">
      <c r="A3508" s="64"/>
      <c r="D3508" s="56"/>
    </row>
    <row r="3509">
      <c r="A3509" s="64"/>
      <c r="D3509" s="56"/>
    </row>
    <row r="3510">
      <c r="A3510" s="64"/>
      <c r="D3510" s="56"/>
    </row>
    <row r="3511">
      <c r="A3511" s="64"/>
      <c r="D3511" s="56"/>
    </row>
    <row r="3512">
      <c r="A3512" s="64"/>
      <c r="D3512" s="56"/>
    </row>
    <row r="3513">
      <c r="A3513" s="64"/>
      <c r="D3513" s="56"/>
    </row>
    <row r="3514">
      <c r="A3514" s="64"/>
      <c r="D3514" s="56"/>
    </row>
    <row r="3515">
      <c r="A3515" s="64"/>
      <c r="D3515" s="56"/>
    </row>
    <row r="3516">
      <c r="A3516" s="64"/>
      <c r="D3516" s="56"/>
    </row>
    <row r="3517">
      <c r="A3517" s="64"/>
      <c r="D3517" s="56"/>
    </row>
    <row r="3518">
      <c r="A3518" s="64"/>
      <c r="D3518" s="56"/>
    </row>
    <row r="3519">
      <c r="A3519" s="64"/>
      <c r="D3519" s="56"/>
    </row>
    <row r="3520">
      <c r="A3520" s="64"/>
      <c r="D3520" s="56"/>
    </row>
    <row r="3521">
      <c r="A3521" s="64"/>
      <c r="D3521" s="56"/>
    </row>
    <row r="3522">
      <c r="A3522" s="64"/>
      <c r="D3522" s="56"/>
    </row>
    <row r="3523">
      <c r="A3523" s="64"/>
      <c r="D3523" s="56"/>
    </row>
    <row r="3524">
      <c r="A3524" s="64"/>
      <c r="D3524" s="56"/>
    </row>
    <row r="3525">
      <c r="A3525" s="64"/>
      <c r="D3525" s="56"/>
    </row>
    <row r="3526">
      <c r="A3526" s="64"/>
      <c r="D3526" s="56"/>
    </row>
    <row r="3527">
      <c r="A3527" s="64"/>
      <c r="D3527" s="56"/>
    </row>
    <row r="3528">
      <c r="A3528" s="64"/>
      <c r="D3528" s="56"/>
    </row>
    <row r="3529">
      <c r="A3529" s="64"/>
      <c r="D3529" s="56"/>
    </row>
    <row r="3530">
      <c r="A3530" s="64"/>
      <c r="D3530" s="56"/>
    </row>
    <row r="3531">
      <c r="A3531" s="64"/>
      <c r="D3531" s="56"/>
    </row>
    <row r="3532">
      <c r="A3532" s="64"/>
      <c r="D3532" s="56"/>
    </row>
    <row r="3533">
      <c r="A3533" s="64"/>
      <c r="D3533" s="56"/>
    </row>
    <row r="3534">
      <c r="A3534" s="64"/>
      <c r="D3534" s="56"/>
    </row>
    <row r="3535">
      <c r="A3535" s="64"/>
      <c r="D3535" s="56"/>
    </row>
    <row r="3536">
      <c r="A3536" s="64"/>
      <c r="D3536" s="56"/>
    </row>
    <row r="3537">
      <c r="A3537" s="64"/>
      <c r="D3537" s="56"/>
    </row>
    <row r="3538">
      <c r="A3538" s="64"/>
      <c r="D3538" s="56"/>
    </row>
    <row r="3539">
      <c r="A3539" s="64"/>
      <c r="D3539" s="56"/>
    </row>
    <row r="3540">
      <c r="A3540" s="64"/>
      <c r="D3540" s="56"/>
    </row>
    <row r="3541">
      <c r="A3541" s="64"/>
      <c r="D3541" s="56"/>
    </row>
    <row r="3542">
      <c r="A3542" s="64"/>
      <c r="D3542" s="56"/>
    </row>
    <row r="3543">
      <c r="A3543" s="64"/>
      <c r="D3543" s="56"/>
    </row>
    <row r="3544">
      <c r="A3544" s="64"/>
      <c r="D3544" s="56"/>
    </row>
    <row r="3545">
      <c r="A3545" s="64"/>
      <c r="D3545" s="56"/>
    </row>
    <row r="3546">
      <c r="A3546" s="64"/>
      <c r="D3546" s="56"/>
    </row>
    <row r="3547">
      <c r="A3547" s="64"/>
      <c r="D3547" s="56"/>
    </row>
    <row r="3548">
      <c r="A3548" s="64"/>
      <c r="D3548" s="56"/>
    </row>
    <row r="3549">
      <c r="A3549" s="64"/>
      <c r="D3549" s="56"/>
    </row>
    <row r="3550">
      <c r="A3550" s="64"/>
      <c r="D3550" s="56"/>
    </row>
    <row r="3551">
      <c r="A3551" s="64"/>
      <c r="D3551" s="56"/>
    </row>
    <row r="3552">
      <c r="A3552" s="64"/>
      <c r="D3552" s="56"/>
    </row>
    <row r="3553">
      <c r="A3553" s="64"/>
      <c r="D3553" s="56"/>
    </row>
    <row r="3554">
      <c r="A3554" s="64"/>
      <c r="D3554" s="56"/>
    </row>
    <row r="3555">
      <c r="A3555" s="64"/>
      <c r="D3555" s="56"/>
    </row>
    <row r="3556">
      <c r="A3556" s="64"/>
      <c r="D3556" s="56"/>
    </row>
    <row r="3557">
      <c r="A3557" s="64"/>
      <c r="D3557" s="56"/>
    </row>
    <row r="3558">
      <c r="A3558" s="64"/>
      <c r="D3558" s="56"/>
    </row>
    <row r="3559">
      <c r="A3559" s="64"/>
      <c r="D3559" s="56"/>
    </row>
    <row r="3560">
      <c r="A3560" s="64"/>
      <c r="D3560" s="56"/>
    </row>
    <row r="3561">
      <c r="A3561" s="64"/>
      <c r="D3561" s="56"/>
    </row>
    <row r="3562">
      <c r="A3562" s="64"/>
      <c r="D3562" s="56"/>
    </row>
    <row r="3563">
      <c r="A3563" s="64"/>
      <c r="D3563" s="56"/>
    </row>
    <row r="3564">
      <c r="A3564" s="64"/>
      <c r="D3564" s="56"/>
    </row>
    <row r="3565">
      <c r="A3565" s="64"/>
      <c r="D3565" s="56"/>
    </row>
    <row r="3566">
      <c r="A3566" s="64"/>
      <c r="D3566" s="56"/>
    </row>
    <row r="3567">
      <c r="A3567" s="64"/>
      <c r="D3567" s="56"/>
    </row>
    <row r="3568">
      <c r="A3568" s="64"/>
      <c r="D3568" s="56"/>
    </row>
    <row r="3569">
      <c r="A3569" s="64"/>
      <c r="D3569" s="56"/>
    </row>
    <row r="3570">
      <c r="A3570" s="64"/>
      <c r="D3570" s="56"/>
    </row>
    <row r="3571">
      <c r="A3571" s="64"/>
      <c r="D3571" s="56"/>
    </row>
    <row r="3572">
      <c r="A3572" s="64"/>
      <c r="D3572" s="56"/>
    </row>
    <row r="3573">
      <c r="A3573" s="64"/>
      <c r="D3573" s="56"/>
    </row>
    <row r="3574">
      <c r="A3574" s="64"/>
      <c r="D3574" s="56"/>
    </row>
    <row r="3575">
      <c r="A3575" s="64"/>
      <c r="D3575" s="56"/>
    </row>
    <row r="3576">
      <c r="A3576" s="64"/>
      <c r="D3576" s="56"/>
    </row>
    <row r="3577">
      <c r="A3577" s="64"/>
      <c r="D3577" s="56"/>
    </row>
    <row r="3578">
      <c r="A3578" s="64"/>
      <c r="D3578" s="56"/>
    </row>
    <row r="3579">
      <c r="A3579" s="64"/>
      <c r="D3579" s="56"/>
    </row>
    <row r="3580">
      <c r="A3580" s="64"/>
      <c r="D3580" s="56"/>
    </row>
    <row r="3581">
      <c r="A3581" s="64"/>
      <c r="D3581" s="56"/>
    </row>
    <row r="3582">
      <c r="A3582" s="64"/>
      <c r="D3582" s="56"/>
    </row>
    <row r="3583">
      <c r="A3583" s="64"/>
      <c r="D3583" s="56"/>
    </row>
    <row r="3584">
      <c r="A3584" s="64"/>
      <c r="D3584" s="56"/>
    </row>
    <row r="3585">
      <c r="A3585" s="64"/>
      <c r="D3585" s="56"/>
    </row>
    <row r="3586">
      <c r="A3586" s="64"/>
      <c r="D3586" s="56"/>
    </row>
    <row r="3587">
      <c r="A3587" s="64"/>
      <c r="D3587" s="56"/>
    </row>
    <row r="3588">
      <c r="A3588" s="64"/>
      <c r="D3588" s="56"/>
    </row>
    <row r="3589">
      <c r="A3589" s="64"/>
      <c r="D3589" s="56"/>
    </row>
    <row r="3590">
      <c r="A3590" s="64"/>
      <c r="D3590" s="56"/>
    </row>
    <row r="3591">
      <c r="A3591" s="64"/>
      <c r="D3591" s="56"/>
    </row>
    <row r="3592">
      <c r="A3592" s="64"/>
      <c r="D3592" s="56"/>
    </row>
    <row r="3593">
      <c r="A3593" s="64"/>
      <c r="D3593" s="56"/>
    </row>
    <row r="3594">
      <c r="A3594" s="64"/>
      <c r="D3594" s="56"/>
    </row>
    <row r="3595">
      <c r="A3595" s="64"/>
      <c r="D3595" s="56"/>
    </row>
    <row r="3596">
      <c r="A3596" s="64"/>
      <c r="D3596" s="56"/>
    </row>
    <row r="3597">
      <c r="A3597" s="64"/>
      <c r="D3597" s="56"/>
    </row>
    <row r="3598">
      <c r="A3598" s="64"/>
      <c r="D3598" s="56"/>
    </row>
    <row r="3599">
      <c r="A3599" s="64"/>
      <c r="D3599" s="56"/>
    </row>
    <row r="3600">
      <c r="A3600" s="64"/>
      <c r="D3600" s="56"/>
    </row>
    <row r="3601">
      <c r="A3601" s="64"/>
      <c r="D3601" s="56"/>
    </row>
    <row r="3602">
      <c r="A3602" s="64"/>
      <c r="D3602" s="56"/>
    </row>
    <row r="3603">
      <c r="A3603" s="64"/>
      <c r="D3603" s="56"/>
    </row>
    <row r="3604">
      <c r="A3604" s="64"/>
      <c r="D3604" s="56"/>
    </row>
    <row r="3605">
      <c r="A3605" s="64"/>
      <c r="D3605" s="56"/>
    </row>
    <row r="3606">
      <c r="A3606" s="64"/>
      <c r="D3606" s="56"/>
    </row>
    <row r="3607">
      <c r="A3607" s="64"/>
      <c r="D3607" s="56"/>
    </row>
    <row r="3608">
      <c r="A3608" s="64"/>
      <c r="D3608" s="56"/>
    </row>
    <row r="3609">
      <c r="A3609" s="64"/>
      <c r="D3609" s="56"/>
    </row>
    <row r="3610">
      <c r="A3610" s="64"/>
      <c r="D3610" s="56"/>
    </row>
    <row r="3611">
      <c r="A3611" s="64"/>
      <c r="D3611" s="56"/>
    </row>
    <row r="3612">
      <c r="A3612" s="64"/>
      <c r="D3612" s="56"/>
    </row>
    <row r="3613">
      <c r="A3613" s="64"/>
      <c r="D3613" s="56"/>
    </row>
    <row r="3614">
      <c r="A3614" s="64"/>
      <c r="D3614" s="56"/>
    </row>
    <row r="3615">
      <c r="A3615" s="64"/>
      <c r="D3615" s="56"/>
    </row>
    <row r="3616">
      <c r="A3616" s="64"/>
      <c r="D3616" s="56"/>
    </row>
    <row r="3617">
      <c r="A3617" s="64"/>
      <c r="D3617" s="56"/>
    </row>
    <row r="3618">
      <c r="A3618" s="64"/>
      <c r="D3618" s="56"/>
    </row>
    <row r="3619">
      <c r="A3619" s="64"/>
      <c r="D3619" s="56"/>
    </row>
    <row r="3620">
      <c r="A3620" s="64"/>
      <c r="D3620" s="56"/>
    </row>
    <row r="3621">
      <c r="A3621" s="64"/>
      <c r="D3621" s="56"/>
    </row>
    <row r="3622">
      <c r="A3622" s="64"/>
      <c r="D3622" s="56"/>
    </row>
    <row r="3623">
      <c r="A3623" s="64"/>
      <c r="D3623" s="56"/>
    </row>
    <row r="3624">
      <c r="A3624" s="64"/>
      <c r="D3624" s="56"/>
    </row>
    <row r="3625">
      <c r="A3625" s="64"/>
      <c r="D3625" s="56"/>
    </row>
    <row r="3626">
      <c r="A3626" s="64"/>
      <c r="D3626" s="56"/>
    </row>
    <row r="3627">
      <c r="A3627" s="64"/>
      <c r="D3627" s="56"/>
    </row>
    <row r="3628">
      <c r="A3628" s="64"/>
      <c r="D3628" s="56"/>
    </row>
    <row r="3629">
      <c r="A3629" s="64"/>
      <c r="D3629" s="56"/>
    </row>
    <row r="3630">
      <c r="A3630" s="64"/>
      <c r="D3630" s="56"/>
    </row>
    <row r="3631">
      <c r="A3631" s="64"/>
      <c r="D3631" s="56"/>
    </row>
    <row r="3632">
      <c r="A3632" s="64"/>
      <c r="D3632" s="56"/>
    </row>
    <row r="3633">
      <c r="A3633" s="64"/>
      <c r="D3633" s="56"/>
    </row>
    <row r="3634">
      <c r="A3634" s="64"/>
      <c r="D3634" s="56"/>
    </row>
    <row r="3635">
      <c r="A3635" s="64"/>
      <c r="D3635" s="56"/>
    </row>
    <row r="3636">
      <c r="A3636" s="64"/>
      <c r="D3636" s="56"/>
    </row>
    <row r="3637">
      <c r="A3637" s="64"/>
      <c r="D3637" s="56"/>
    </row>
    <row r="3638">
      <c r="A3638" s="64"/>
      <c r="D3638" s="56"/>
    </row>
    <row r="3639">
      <c r="A3639" s="64"/>
      <c r="D3639" s="56"/>
    </row>
    <row r="3640">
      <c r="A3640" s="64"/>
      <c r="D3640" s="56"/>
    </row>
    <row r="3641">
      <c r="A3641" s="64"/>
      <c r="D3641" s="56"/>
    </row>
    <row r="3642">
      <c r="A3642" s="64"/>
      <c r="D3642" s="56"/>
    </row>
    <row r="3643">
      <c r="A3643" s="64"/>
      <c r="D3643" s="56"/>
    </row>
    <row r="3644">
      <c r="A3644" s="64"/>
      <c r="D3644" s="56"/>
    </row>
    <row r="3645">
      <c r="A3645" s="64"/>
      <c r="D3645" s="56"/>
    </row>
    <row r="3646">
      <c r="A3646" s="64"/>
      <c r="D3646" s="56"/>
    </row>
    <row r="3647">
      <c r="A3647" s="64"/>
      <c r="D3647" s="56"/>
    </row>
    <row r="3648">
      <c r="A3648" s="64"/>
      <c r="D3648" s="56"/>
    </row>
    <row r="3649">
      <c r="A3649" s="64"/>
      <c r="D3649" s="56"/>
    </row>
    <row r="3650">
      <c r="A3650" s="64"/>
      <c r="D3650" s="56"/>
    </row>
    <row r="3651">
      <c r="A3651" s="64"/>
      <c r="D3651" s="56"/>
    </row>
    <row r="3652">
      <c r="A3652" s="64"/>
      <c r="D3652" s="56"/>
    </row>
    <row r="3653">
      <c r="A3653" s="64"/>
      <c r="D3653" s="56"/>
    </row>
    <row r="3654">
      <c r="A3654" s="64"/>
      <c r="D3654" s="56"/>
    </row>
    <row r="3655">
      <c r="A3655" s="64"/>
      <c r="D3655" s="56"/>
    </row>
    <row r="3656">
      <c r="A3656" s="64"/>
      <c r="D3656" s="56"/>
    </row>
    <row r="3657">
      <c r="A3657" s="64"/>
      <c r="D3657" s="56"/>
    </row>
    <row r="3658">
      <c r="A3658" s="64"/>
      <c r="D3658" s="56"/>
    </row>
    <row r="3659">
      <c r="A3659" s="64"/>
      <c r="D3659" s="56"/>
    </row>
    <row r="3660">
      <c r="A3660" s="64"/>
      <c r="D3660" s="56"/>
    </row>
    <row r="3661">
      <c r="A3661" s="64"/>
      <c r="D3661" s="56"/>
    </row>
    <row r="3662">
      <c r="A3662" s="64"/>
      <c r="D3662" s="56"/>
    </row>
    <row r="3663">
      <c r="A3663" s="64"/>
      <c r="D3663" s="56"/>
    </row>
    <row r="3664">
      <c r="A3664" s="64"/>
      <c r="D3664" s="56"/>
    </row>
    <row r="3665">
      <c r="A3665" s="64"/>
      <c r="D3665" s="56"/>
    </row>
    <row r="3666">
      <c r="A3666" s="64"/>
      <c r="D3666" s="56"/>
    </row>
    <row r="3667">
      <c r="A3667" s="64"/>
      <c r="D3667" s="56"/>
    </row>
    <row r="3668">
      <c r="A3668" s="64"/>
      <c r="D3668" s="56"/>
    </row>
    <row r="3669">
      <c r="A3669" s="64"/>
      <c r="D3669" s="56"/>
    </row>
    <row r="3670">
      <c r="A3670" s="64"/>
      <c r="D3670" s="56"/>
    </row>
    <row r="3671">
      <c r="A3671" s="64"/>
      <c r="D3671" s="56"/>
    </row>
    <row r="3672">
      <c r="A3672" s="64"/>
      <c r="D3672" s="56"/>
    </row>
    <row r="3673">
      <c r="A3673" s="64"/>
      <c r="D3673" s="56"/>
    </row>
    <row r="3674">
      <c r="A3674" s="64"/>
      <c r="D3674" s="56"/>
    </row>
    <row r="3675">
      <c r="A3675" s="64"/>
      <c r="D3675" s="56"/>
    </row>
    <row r="3676">
      <c r="A3676" s="64"/>
      <c r="D3676" s="56"/>
    </row>
    <row r="3677">
      <c r="A3677" s="64"/>
      <c r="D3677" s="56"/>
    </row>
    <row r="3678">
      <c r="A3678" s="64"/>
      <c r="D3678" s="56"/>
    </row>
    <row r="3679">
      <c r="A3679" s="64"/>
      <c r="D3679" s="56"/>
    </row>
    <row r="3680">
      <c r="A3680" s="64"/>
      <c r="D3680" s="56"/>
    </row>
    <row r="3681">
      <c r="A3681" s="64"/>
      <c r="D3681" s="56"/>
    </row>
    <row r="3682">
      <c r="A3682" s="64"/>
      <c r="D3682" s="56"/>
    </row>
    <row r="3683">
      <c r="A3683" s="64"/>
      <c r="D3683" s="56"/>
    </row>
    <row r="3684">
      <c r="A3684" s="64"/>
      <c r="D3684" s="56"/>
    </row>
    <row r="3685">
      <c r="A3685" s="64"/>
      <c r="D3685" s="56"/>
    </row>
    <row r="3686">
      <c r="A3686" s="64"/>
      <c r="D3686" s="56"/>
    </row>
    <row r="3687">
      <c r="A3687" s="64"/>
      <c r="D3687" s="56"/>
    </row>
    <row r="3688">
      <c r="A3688" s="64"/>
      <c r="D3688" s="56"/>
    </row>
    <row r="3689">
      <c r="A3689" s="64"/>
      <c r="D3689" s="56"/>
    </row>
    <row r="3690">
      <c r="A3690" s="64"/>
      <c r="D3690" s="56"/>
    </row>
    <row r="3691">
      <c r="A3691" s="64"/>
      <c r="D3691" s="56"/>
    </row>
    <row r="3692">
      <c r="A3692" s="64"/>
      <c r="D3692" s="56"/>
    </row>
    <row r="3693">
      <c r="A3693" s="64"/>
      <c r="D3693" s="56"/>
    </row>
    <row r="3694">
      <c r="A3694" s="64"/>
      <c r="D3694" s="56"/>
    </row>
    <row r="3695">
      <c r="A3695" s="64"/>
      <c r="D3695" s="56"/>
    </row>
    <row r="3696">
      <c r="A3696" s="64"/>
      <c r="D3696" s="56"/>
    </row>
    <row r="3697">
      <c r="A3697" s="64"/>
      <c r="D3697" s="56"/>
    </row>
    <row r="3698">
      <c r="A3698" s="64"/>
      <c r="D3698" s="56"/>
    </row>
    <row r="3699">
      <c r="A3699" s="64"/>
      <c r="D3699" s="56"/>
    </row>
    <row r="3700">
      <c r="A3700" s="64"/>
      <c r="D3700" s="56"/>
    </row>
    <row r="3701">
      <c r="A3701" s="64"/>
      <c r="D3701" s="56"/>
    </row>
    <row r="3702">
      <c r="A3702" s="64"/>
      <c r="D3702" s="56"/>
    </row>
    <row r="3703">
      <c r="A3703" s="64"/>
      <c r="D3703" s="56"/>
    </row>
    <row r="3704">
      <c r="A3704" s="64"/>
      <c r="D3704" s="56"/>
    </row>
    <row r="3705">
      <c r="A3705" s="64"/>
      <c r="D3705" s="56"/>
    </row>
    <row r="3706">
      <c r="A3706" s="64"/>
      <c r="D3706" s="56"/>
    </row>
    <row r="3707">
      <c r="A3707" s="64"/>
      <c r="D3707" s="56"/>
    </row>
    <row r="3708">
      <c r="A3708" s="64"/>
      <c r="D3708" s="56"/>
    </row>
    <row r="3709">
      <c r="A3709" s="64"/>
      <c r="D3709" s="56"/>
    </row>
    <row r="3710">
      <c r="A3710" s="64"/>
      <c r="D3710" s="56"/>
    </row>
    <row r="3711">
      <c r="A3711" s="64"/>
      <c r="D3711" s="56"/>
    </row>
    <row r="3712">
      <c r="A3712" s="64"/>
      <c r="D3712" s="56"/>
    </row>
    <row r="3713">
      <c r="A3713" s="64"/>
      <c r="D3713" s="56"/>
    </row>
    <row r="3714">
      <c r="A3714" s="64"/>
      <c r="D3714" s="56"/>
    </row>
    <row r="3715">
      <c r="A3715" s="64"/>
      <c r="D3715" s="56"/>
    </row>
    <row r="3716">
      <c r="A3716" s="64"/>
      <c r="D3716" s="56"/>
    </row>
    <row r="3717">
      <c r="A3717" s="64"/>
      <c r="D3717" s="56"/>
    </row>
    <row r="3718">
      <c r="A3718" s="64"/>
      <c r="D3718" s="56"/>
    </row>
    <row r="3719">
      <c r="A3719" s="64"/>
      <c r="D3719" s="56"/>
    </row>
    <row r="3720">
      <c r="A3720" s="64"/>
      <c r="D3720" s="56"/>
    </row>
    <row r="3721">
      <c r="A3721" s="64"/>
      <c r="D3721" s="56"/>
    </row>
    <row r="3722">
      <c r="A3722" s="64"/>
      <c r="D3722" s="56"/>
    </row>
    <row r="3723">
      <c r="A3723" s="64"/>
      <c r="D3723" s="56"/>
    </row>
    <row r="3724">
      <c r="A3724" s="64"/>
      <c r="D3724" s="56"/>
    </row>
    <row r="3725">
      <c r="A3725" s="64"/>
      <c r="D3725" s="56"/>
    </row>
    <row r="3726">
      <c r="A3726" s="64"/>
      <c r="D3726" s="56"/>
    </row>
    <row r="3727">
      <c r="A3727" s="64"/>
      <c r="D3727" s="56"/>
    </row>
    <row r="3728">
      <c r="A3728" s="64"/>
      <c r="D3728" s="56"/>
    </row>
    <row r="3729">
      <c r="A3729" s="64"/>
      <c r="D3729" s="56"/>
    </row>
    <row r="3730">
      <c r="A3730" s="64"/>
      <c r="D3730" s="56"/>
    </row>
    <row r="3731">
      <c r="A3731" s="64"/>
      <c r="D3731" s="56"/>
    </row>
    <row r="3732">
      <c r="A3732" s="64"/>
      <c r="D3732" s="56"/>
    </row>
    <row r="3733">
      <c r="A3733" s="64"/>
      <c r="D3733" s="56"/>
    </row>
    <row r="3734">
      <c r="A3734" s="64"/>
      <c r="D3734" s="56"/>
    </row>
    <row r="3735">
      <c r="A3735" s="64"/>
      <c r="D3735" s="56"/>
    </row>
    <row r="3736">
      <c r="A3736" s="64"/>
      <c r="D3736" s="56"/>
    </row>
    <row r="3737">
      <c r="A3737" s="64"/>
      <c r="D3737" s="56"/>
    </row>
    <row r="3738">
      <c r="A3738" s="64"/>
      <c r="D3738" s="56"/>
    </row>
    <row r="3739">
      <c r="A3739" s="64"/>
      <c r="D3739" s="56"/>
    </row>
    <row r="3740">
      <c r="A3740" s="64"/>
      <c r="D3740" s="56"/>
    </row>
    <row r="3741">
      <c r="A3741" s="64"/>
      <c r="D3741" s="56"/>
    </row>
    <row r="3742">
      <c r="A3742" s="64"/>
      <c r="D3742" s="56"/>
    </row>
    <row r="3743">
      <c r="A3743" s="64"/>
      <c r="D3743" s="56"/>
    </row>
    <row r="3744">
      <c r="A3744" s="64"/>
      <c r="D3744" s="56"/>
    </row>
    <row r="3745">
      <c r="A3745" s="64"/>
      <c r="D3745" s="56"/>
    </row>
    <row r="3746">
      <c r="A3746" s="64"/>
      <c r="D3746" s="56"/>
    </row>
    <row r="3747">
      <c r="A3747" s="64"/>
      <c r="D3747" s="56"/>
    </row>
    <row r="3748">
      <c r="A3748" s="64"/>
      <c r="D3748" s="56"/>
    </row>
    <row r="3749">
      <c r="A3749" s="64"/>
      <c r="D3749" s="56"/>
    </row>
    <row r="3750">
      <c r="A3750" s="64"/>
      <c r="D3750" s="56"/>
    </row>
    <row r="3751">
      <c r="A3751" s="64"/>
      <c r="D3751" s="56"/>
    </row>
    <row r="3752">
      <c r="A3752" s="64"/>
      <c r="D3752" s="56"/>
    </row>
    <row r="3753">
      <c r="A3753" s="64"/>
      <c r="D3753" s="62"/>
    </row>
    <row r="3754">
      <c r="A3754" s="64"/>
      <c r="D3754" s="56"/>
    </row>
    <row r="3755">
      <c r="A3755" s="64"/>
      <c r="D3755" s="56"/>
    </row>
    <row r="3756">
      <c r="A3756" s="64"/>
      <c r="D3756" s="56"/>
    </row>
    <row r="3757">
      <c r="A3757" s="64"/>
      <c r="D3757" s="56"/>
    </row>
    <row r="3758">
      <c r="A3758" s="64"/>
      <c r="D3758" s="56"/>
    </row>
    <row r="3759">
      <c r="A3759" s="64"/>
      <c r="D3759" s="56"/>
    </row>
    <row r="3760">
      <c r="A3760" s="64"/>
      <c r="D3760" s="56"/>
    </row>
    <row r="3761">
      <c r="A3761" s="64"/>
      <c r="D3761" s="56"/>
    </row>
    <row r="3762">
      <c r="A3762" s="64"/>
      <c r="D3762" s="56"/>
    </row>
    <row r="3763">
      <c r="A3763" s="64"/>
      <c r="D3763" s="56"/>
    </row>
    <row r="3764">
      <c r="A3764" s="64"/>
      <c r="D3764" s="56"/>
    </row>
    <row r="3765">
      <c r="A3765" s="64"/>
      <c r="D3765" s="56"/>
    </row>
    <row r="3766">
      <c r="A3766" s="64"/>
      <c r="D3766" s="56"/>
    </row>
    <row r="3767">
      <c r="A3767" s="64"/>
      <c r="D3767" s="56"/>
    </row>
    <row r="3768">
      <c r="A3768" s="64"/>
      <c r="D3768" s="56"/>
    </row>
    <row r="3769">
      <c r="A3769" s="64"/>
      <c r="D3769" s="56"/>
    </row>
    <row r="3770">
      <c r="A3770" s="64"/>
      <c r="D3770" s="56"/>
    </row>
    <row r="3771">
      <c r="A3771" s="64"/>
      <c r="D3771" s="56"/>
    </row>
    <row r="3772">
      <c r="A3772" s="64"/>
      <c r="D3772" s="56"/>
    </row>
    <row r="3773">
      <c r="A3773" s="64"/>
      <c r="D3773" s="56"/>
    </row>
    <row r="3774">
      <c r="A3774" s="64"/>
      <c r="D3774" s="56"/>
    </row>
    <row r="3775">
      <c r="A3775" s="64"/>
      <c r="D3775" s="56"/>
    </row>
    <row r="3776">
      <c r="A3776" s="64"/>
      <c r="D3776" s="56"/>
    </row>
    <row r="3777">
      <c r="A3777" s="64"/>
      <c r="D3777" s="56"/>
    </row>
    <row r="3778">
      <c r="A3778" s="64"/>
      <c r="D3778" s="56"/>
    </row>
    <row r="3779">
      <c r="A3779" s="64"/>
      <c r="D3779" s="56"/>
    </row>
    <row r="3780">
      <c r="A3780" s="64"/>
      <c r="D3780" s="56"/>
    </row>
    <row r="3781">
      <c r="A3781" s="64"/>
      <c r="D3781" s="56"/>
    </row>
    <row r="3782">
      <c r="A3782" s="64"/>
      <c r="D3782" s="56"/>
    </row>
    <row r="3783">
      <c r="A3783" s="64"/>
      <c r="D3783" s="56"/>
    </row>
    <row r="3784">
      <c r="A3784" s="64"/>
      <c r="D3784" s="56"/>
    </row>
    <row r="3785">
      <c r="A3785" s="64"/>
      <c r="D3785" s="56"/>
    </row>
    <row r="3786">
      <c r="A3786" s="64"/>
      <c r="D3786" s="56"/>
    </row>
    <row r="3787">
      <c r="A3787" s="64"/>
      <c r="D3787" s="56"/>
    </row>
    <row r="3788">
      <c r="A3788" s="64"/>
      <c r="D3788" s="56"/>
    </row>
    <row r="3789">
      <c r="A3789" s="64"/>
      <c r="D3789" s="56"/>
    </row>
    <row r="3790">
      <c r="A3790" s="64"/>
      <c r="D3790" s="56"/>
    </row>
    <row r="3791">
      <c r="A3791" s="64"/>
      <c r="D3791" s="56"/>
    </row>
    <row r="3792">
      <c r="A3792" s="64"/>
      <c r="D3792" s="56"/>
    </row>
    <row r="3793">
      <c r="A3793" s="64"/>
      <c r="D3793" s="56"/>
    </row>
    <row r="3794">
      <c r="A3794" s="64"/>
      <c r="D3794" s="56"/>
    </row>
    <row r="3795">
      <c r="A3795" s="64"/>
      <c r="D3795" s="56"/>
    </row>
    <row r="3796">
      <c r="A3796" s="64"/>
      <c r="D3796" s="56"/>
    </row>
    <row r="3797">
      <c r="A3797" s="64"/>
      <c r="D3797" s="56"/>
    </row>
    <row r="3798">
      <c r="A3798" s="64"/>
      <c r="D3798" s="56"/>
    </row>
    <row r="3799">
      <c r="A3799" s="64"/>
      <c r="D3799" s="56"/>
    </row>
    <row r="3800">
      <c r="A3800" s="64"/>
      <c r="D3800" s="56"/>
    </row>
    <row r="3801">
      <c r="A3801" s="64"/>
      <c r="D3801" s="56"/>
    </row>
    <row r="3802">
      <c r="A3802" s="64"/>
      <c r="D3802" s="56"/>
    </row>
    <row r="3803">
      <c r="A3803" s="64"/>
      <c r="D3803" s="56"/>
    </row>
    <row r="3804">
      <c r="A3804" s="64"/>
      <c r="D3804" s="56"/>
    </row>
    <row r="3805">
      <c r="A3805" s="64"/>
      <c r="D3805" s="56"/>
    </row>
    <row r="3806">
      <c r="A3806" s="64"/>
      <c r="D3806" s="56"/>
    </row>
    <row r="3807">
      <c r="A3807" s="64"/>
      <c r="D3807" s="56"/>
    </row>
    <row r="3808">
      <c r="A3808" s="64"/>
      <c r="D3808" s="56"/>
    </row>
    <row r="3809">
      <c r="A3809" s="64"/>
      <c r="D3809" s="56"/>
    </row>
    <row r="3810">
      <c r="A3810" s="64"/>
      <c r="D3810" s="56"/>
    </row>
    <row r="3811">
      <c r="A3811" s="64"/>
      <c r="D3811" s="56"/>
    </row>
    <row r="3812">
      <c r="A3812" s="64"/>
      <c r="D3812" s="56"/>
    </row>
    <row r="3813">
      <c r="A3813" s="64"/>
      <c r="D3813" s="56"/>
    </row>
    <row r="3814">
      <c r="A3814" s="64"/>
      <c r="D3814" s="56"/>
    </row>
    <row r="3815">
      <c r="A3815" s="64"/>
      <c r="D3815" s="56"/>
    </row>
    <row r="3816">
      <c r="A3816" s="64"/>
      <c r="D3816" s="56"/>
    </row>
    <row r="3817">
      <c r="A3817" s="64"/>
      <c r="D3817" s="56"/>
    </row>
    <row r="3818">
      <c r="A3818" s="64"/>
      <c r="D3818" s="56"/>
    </row>
    <row r="3819">
      <c r="A3819" s="64"/>
      <c r="D3819" s="56"/>
    </row>
    <row r="3820">
      <c r="A3820" s="64"/>
      <c r="D3820" s="56"/>
    </row>
    <row r="3821">
      <c r="A3821" s="64"/>
      <c r="D3821" s="56"/>
    </row>
    <row r="3822">
      <c r="A3822" s="64"/>
      <c r="D3822" s="56"/>
    </row>
    <row r="3823">
      <c r="A3823" s="64"/>
      <c r="D3823" s="56"/>
    </row>
    <row r="3824">
      <c r="A3824" s="64"/>
      <c r="D3824" s="56"/>
    </row>
    <row r="3825">
      <c r="A3825" s="64"/>
      <c r="D3825" s="56"/>
    </row>
    <row r="3826">
      <c r="A3826" s="64"/>
      <c r="D3826" s="56"/>
    </row>
    <row r="3827">
      <c r="A3827" s="64"/>
      <c r="D3827" s="56"/>
    </row>
    <row r="3828">
      <c r="A3828" s="64"/>
      <c r="D3828" s="56"/>
    </row>
    <row r="3829">
      <c r="A3829" s="64"/>
      <c r="D3829" s="56"/>
    </row>
    <row r="3830">
      <c r="A3830" s="64"/>
      <c r="D3830" s="56"/>
    </row>
    <row r="3831">
      <c r="A3831" s="64"/>
      <c r="D3831" s="56"/>
    </row>
    <row r="3832">
      <c r="A3832" s="64"/>
      <c r="D3832" s="56"/>
    </row>
    <row r="3833">
      <c r="A3833" s="64"/>
      <c r="D3833" s="56"/>
    </row>
    <row r="3834">
      <c r="A3834" s="64"/>
      <c r="D3834" s="56"/>
    </row>
    <row r="3835">
      <c r="A3835" s="64"/>
      <c r="D3835" s="56"/>
    </row>
    <row r="3836">
      <c r="A3836" s="64"/>
      <c r="D3836" s="56"/>
    </row>
    <row r="3837">
      <c r="A3837" s="64"/>
      <c r="D3837" s="56"/>
    </row>
    <row r="3838">
      <c r="A3838" s="64"/>
      <c r="D3838" s="56"/>
    </row>
    <row r="3839">
      <c r="A3839" s="64"/>
      <c r="D3839" s="56"/>
    </row>
    <row r="3840">
      <c r="A3840" s="64"/>
      <c r="D3840" s="56"/>
    </row>
    <row r="3841">
      <c r="A3841" s="64"/>
      <c r="D3841" s="56"/>
    </row>
    <row r="3842">
      <c r="A3842" s="64"/>
      <c r="D3842" s="56"/>
    </row>
    <row r="3843">
      <c r="A3843" s="64"/>
      <c r="D3843" s="56"/>
    </row>
    <row r="3844">
      <c r="A3844" s="64"/>
      <c r="D3844" s="56"/>
    </row>
    <row r="3845">
      <c r="A3845" s="64"/>
      <c r="D3845" s="56"/>
    </row>
    <row r="3846">
      <c r="A3846" s="64"/>
      <c r="D3846" s="56"/>
    </row>
    <row r="3847">
      <c r="A3847" s="64"/>
      <c r="D3847" s="56"/>
    </row>
    <row r="3848">
      <c r="A3848" s="64"/>
      <c r="D3848" s="56"/>
    </row>
    <row r="3849">
      <c r="A3849" s="64"/>
      <c r="D3849" s="56"/>
    </row>
    <row r="3850">
      <c r="A3850" s="64"/>
      <c r="D3850" s="56"/>
    </row>
    <row r="3851">
      <c r="A3851" s="64"/>
      <c r="D3851" s="56"/>
    </row>
    <row r="3852">
      <c r="A3852" s="64"/>
      <c r="D3852" s="56"/>
    </row>
    <row r="3853">
      <c r="A3853" s="64"/>
      <c r="D3853" s="56"/>
    </row>
    <row r="3854">
      <c r="A3854" s="64"/>
      <c r="D3854" s="56"/>
    </row>
    <row r="3855">
      <c r="A3855" s="64"/>
      <c r="D3855" s="56"/>
    </row>
    <row r="3856">
      <c r="A3856" s="64"/>
      <c r="D3856" s="56"/>
    </row>
    <row r="3857">
      <c r="A3857" s="64"/>
      <c r="D3857" s="56"/>
    </row>
    <row r="3858">
      <c r="A3858" s="64"/>
      <c r="D3858" s="56"/>
    </row>
    <row r="3859">
      <c r="A3859" s="64"/>
      <c r="D3859" s="56"/>
    </row>
    <row r="3860">
      <c r="A3860" s="64"/>
      <c r="D3860" s="56"/>
    </row>
    <row r="3861">
      <c r="A3861" s="64"/>
      <c r="D3861" s="56"/>
    </row>
    <row r="3862">
      <c r="A3862" s="64"/>
      <c r="D3862" s="56"/>
    </row>
    <row r="3863">
      <c r="A3863" s="64"/>
      <c r="D3863" s="56"/>
    </row>
    <row r="3864">
      <c r="A3864" s="64"/>
      <c r="D3864" s="56"/>
    </row>
    <row r="3865">
      <c r="A3865" s="64"/>
      <c r="D3865" s="56"/>
    </row>
    <row r="3866">
      <c r="A3866" s="64"/>
      <c r="D3866" s="56"/>
    </row>
    <row r="3867">
      <c r="A3867" s="64"/>
      <c r="D3867" s="56"/>
    </row>
    <row r="3868">
      <c r="A3868" s="64"/>
      <c r="D3868" s="56"/>
    </row>
    <row r="3869">
      <c r="A3869" s="64"/>
      <c r="D3869" s="56"/>
    </row>
    <row r="3870">
      <c r="A3870" s="64"/>
      <c r="D3870" s="56"/>
    </row>
    <row r="3871">
      <c r="A3871" s="64"/>
      <c r="D3871" s="56"/>
    </row>
    <row r="3872">
      <c r="A3872" s="64"/>
      <c r="D3872" s="56"/>
    </row>
    <row r="3873">
      <c r="A3873" s="64"/>
      <c r="D3873" s="56"/>
    </row>
    <row r="3874">
      <c r="A3874" s="64"/>
      <c r="D3874" s="56"/>
    </row>
    <row r="3875">
      <c r="A3875" s="64"/>
      <c r="D3875" s="56"/>
    </row>
    <row r="3876">
      <c r="A3876" s="64"/>
      <c r="D3876" s="56"/>
    </row>
    <row r="3877">
      <c r="A3877" s="64"/>
      <c r="D3877" s="56"/>
    </row>
    <row r="3878">
      <c r="A3878" s="64"/>
      <c r="D3878" s="56"/>
    </row>
    <row r="3879">
      <c r="A3879" s="64"/>
      <c r="D3879" s="56"/>
    </row>
    <row r="3880">
      <c r="A3880" s="64"/>
      <c r="D3880" s="56"/>
    </row>
    <row r="3881">
      <c r="A3881" s="64"/>
      <c r="D3881" s="56"/>
    </row>
    <row r="3882">
      <c r="A3882" s="64"/>
      <c r="D3882" s="56"/>
    </row>
    <row r="3883">
      <c r="A3883" s="64"/>
      <c r="D3883" s="56"/>
    </row>
    <row r="3884">
      <c r="A3884" s="64"/>
      <c r="D3884" s="56"/>
    </row>
    <row r="3885">
      <c r="A3885" s="64"/>
      <c r="D3885" s="56"/>
    </row>
    <row r="3886">
      <c r="A3886" s="64"/>
      <c r="D3886" s="56"/>
    </row>
    <row r="3887">
      <c r="A3887" s="64"/>
      <c r="D3887" s="56"/>
    </row>
    <row r="3888">
      <c r="A3888" s="64"/>
      <c r="D3888" s="56"/>
    </row>
    <row r="3889">
      <c r="A3889" s="64"/>
      <c r="D3889" s="56"/>
    </row>
    <row r="3890">
      <c r="A3890" s="64"/>
      <c r="D3890" s="56"/>
    </row>
    <row r="3891">
      <c r="A3891" s="64"/>
      <c r="D3891" s="56"/>
    </row>
    <row r="3892">
      <c r="A3892" s="64"/>
      <c r="D3892" s="56"/>
    </row>
    <row r="3893">
      <c r="A3893" s="64"/>
      <c r="D3893" s="56"/>
    </row>
    <row r="3894">
      <c r="A3894" s="64"/>
      <c r="D3894" s="56"/>
    </row>
    <row r="3895">
      <c r="A3895" s="64"/>
      <c r="D3895" s="56"/>
    </row>
    <row r="3896">
      <c r="A3896" s="64"/>
      <c r="D3896" s="56"/>
    </row>
    <row r="3897">
      <c r="A3897" s="64"/>
      <c r="D3897" s="56"/>
    </row>
    <row r="3898">
      <c r="A3898" s="64"/>
      <c r="D3898" s="56"/>
    </row>
    <row r="3899">
      <c r="A3899" s="64"/>
      <c r="D3899" s="56"/>
    </row>
    <row r="3900">
      <c r="A3900" s="64"/>
      <c r="D3900" s="56"/>
    </row>
    <row r="3901">
      <c r="A3901" s="64"/>
      <c r="D3901" s="56"/>
    </row>
    <row r="3902">
      <c r="A3902" s="64"/>
      <c r="D3902" s="56"/>
    </row>
    <row r="3903">
      <c r="A3903" s="64"/>
      <c r="D3903" s="56"/>
    </row>
    <row r="3904">
      <c r="A3904" s="64"/>
      <c r="D3904" s="56"/>
    </row>
    <row r="3905">
      <c r="A3905" s="64"/>
      <c r="D3905" s="56"/>
    </row>
    <row r="3906">
      <c r="A3906" s="64"/>
      <c r="D3906" s="56"/>
    </row>
    <row r="3907">
      <c r="A3907" s="64"/>
      <c r="D3907" s="56"/>
    </row>
    <row r="3908">
      <c r="A3908" s="64"/>
      <c r="D3908" s="62"/>
    </row>
    <row r="3909">
      <c r="A3909" s="64"/>
      <c r="D3909" s="56"/>
    </row>
    <row r="3910">
      <c r="A3910" s="64"/>
      <c r="D3910" s="56"/>
    </row>
    <row r="3911">
      <c r="A3911" s="64"/>
      <c r="D3911" s="56"/>
    </row>
    <row r="3912">
      <c r="A3912" s="64"/>
      <c r="D3912" s="56"/>
    </row>
    <row r="3913">
      <c r="A3913" s="64"/>
      <c r="D3913" s="56"/>
    </row>
    <row r="3914">
      <c r="A3914" s="64"/>
      <c r="D3914" s="56"/>
    </row>
    <row r="3915">
      <c r="A3915" s="64"/>
      <c r="D3915" s="56"/>
    </row>
    <row r="3916">
      <c r="A3916" s="64"/>
      <c r="D3916" s="56"/>
    </row>
    <row r="3917">
      <c r="A3917" s="64"/>
      <c r="D3917" s="56"/>
    </row>
    <row r="3918">
      <c r="A3918" s="64"/>
      <c r="D3918" s="56"/>
    </row>
    <row r="3919">
      <c r="A3919" s="64"/>
      <c r="D3919" s="56"/>
    </row>
    <row r="3920">
      <c r="A3920" s="64"/>
      <c r="D3920" s="56"/>
    </row>
    <row r="3921">
      <c r="A3921" s="64"/>
      <c r="D3921" s="56"/>
    </row>
    <row r="3922">
      <c r="A3922" s="64"/>
      <c r="D3922" s="56"/>
    </row>
    <row r="3923">
      <c r="A3923" s="64"/>
      <c r="D3923" s="56"/>
    </row>
    <row r="3924">
      <c r="A3924" s="64"/>
      <c r="D3924" s="56"/>
    </row>
    <row r="3925">
      <c r="A3925" s="64"/>
      <c r="D3925" s="56"/>
    </row>
    <row r="3926">
      <c r="A3926" s="64"/>
      <c r="D3926" s="56"/>
    </row>
    <row r="3927">
      <c r="A3927" s="64"/>
      <c r="D3927" s="56"/>
    </row>
    <row r="3928">
      <c r="A3928" s="64"/>
      <c r="D3928" s="56"/>
    </row>
    <row r="3929">
      <c r="A3929" s="64"/>
      <c r="D3929" s="56"/>
    </row>
    <row r="3930">
      <c r="A3930" s="64"/>
      <c r="D3930" s="56"/>
    </row>
    <row r="3931">
      <c r="A3931" s="64"/>
      <c r="D3931" s="56"/>
    </row>
    <row r="3932">
      <c r="A3932" s="64"/>
      <c r="D3932" s="56"/>
    </row>
    <row r="3933">
      <c r="A3933" s="64"/>
      <c r="D3933" s="56"/>
    </row>
    <row r="3934">
      <c r="A3934" s="64"/>
      <c r="D3934" s="56"/>
    </row>
    <row r="3935">
      <c r="A3935" s="64"/>
      <c r="D3935" s="56"/>
    </row>
    <row r="3936">
      <c r="A3936" s="64"/>
      <c r="D3936" s="56"/>
    </row>
    <row r="3937">
      <c r="A3937" s="64"/>
      <c r="D3937" s="56"/>
    </row>
    <row r="3938">
      <c r="A3938" s="64"/>
      <c r="D3938" s="56"/>
    </row>
    <row r="3939">
      <c r="A3939" s="64"/>
      <c r="D3939" s="56"/>
    </row>
    <row r="3940">
      <c r="A3940" s="64"/>
      <c r="D3940" s="56"/>
    </row>
    <row r="3941">
      <c r="A3941" s="64"/>
      <c r="D3941" s="56"/>
    </row>
    <row r="3942">
      <c r="A3942" s="64"/>
      <c r="D3942" s="56"/>
    </row>
    <row r="3943">
      <c r="A3943" s="64"/>
      <c r="D3943" s="56"/>
    </row>
    <row r="3944">
      <c r="A3944" s="64"/>
      <c r="D3944" s="56"/>
    </row>
    <row r="3945">
      <c r="A3945" s="64"/>
      <c r="D3945" s="56"/>
    </row>
    <row r="3946">
      <c r="A3946" s="64"/>
      <c r="D3946" s="56"/>
    </row>
    <row r="3947">
      <c r="A3947" s="64"/>
      <c r="D3947" s="56"/>
    </row>
    <row r="3948">
      <c r="A3948" s="64"/>
      <c r="D3948" s="56"/>
    </row>
    <row r="3949">
      <c r="A3949" s="64"/>
      <c r="D3949" s="56"/>
    </row>
    <row r="3950">
      <c r="A3950" s="64"/>
      <c r="D3950" s="56"/>
    </row>
    <row r="3951">
      <c r="A3951" s="64"/>
      <c r="D3951" s="56"/>
    </row>
    <row r="3952">
      <c r="A3952" s="64"/>
      <c r="D3952" s="56"/>
    </row>
    <row r="3953">
      <c r="A3953" s="64"/>
      <c r="D3953" s="56"/>
    </row>
    <row r="3954">
      <c r="A3954" s="64"/>
      <c r="D3954" s="56"/>
    </row>
    <row r="3955">
      <c r="A3955" s="64"/>
      <c r="D3955" s="56"/>
    </row>
    <row r="3956">
      <c r="A3956" s="64"/>
      <c r="D3956" s="56"/>
    </row>
    <row r="3957">
      <c r="A3957" s="64"/>
      <c r="D3957" s="56"/>
    </row>
    <row r="3958">
      <c r="A3958" s="64"/>
      <c r="D3958" s="56"/>
    </row>
    <row r="3959">
      <c r="A3959" s="64"/>
      <c r="D3959" s="56"/>
    </row>
    <row r="3960">
      <c r="A3960" s="64"/>
      <c r="D3960" s="56"/>
    </row>
    <row r="3961">
      <c r="A3961" s="64"/>
      <c r="D3961" s="56"/>
    </row>
    <row r="3962">
      <c r="A3962" s="64"/>
      <c r="D3962" s="56"/>
    </row>
    <row r="3963">
      <c r="A3963" s="64"/>
      <c r="D3963" s="56"/>
    </row>
    <row r="3964">
      <c r="A3964" s="64"/>
      <c r="D3964" s="56"/>
    </row>
    <row r="3965">
      <c r="A3965" s="64"/>
      <c r="D3965" s="56"/>
    </row>
    <row r="3966">
      <c r="A3966" s="64"/>
      <c r="D3966" s="56"/>
    </row>
    <row r="3967">
      <c r="A3967" s="64"/>
      <c r="D3967" s="56"/>
    </row>
    <row r="3968">
      <c r="A3968" s="64"/>
      <c r="D3968" s="56"/>
    </row>
    <row r="3969">
      <c r="A3969" s="64"/>
      <c r="D3969" s="56"/>
    </row>
    <row r="3970">
      <c r="A3970" s="64"/>
      <c r="D3970" s="56"/>
    </row>
    <row r="3971">
      <c r="A3971" s="64"/>
      <c r="D3971" s="56"/>
    </row>
    <row r="3972">
      <c r="A3972" s="64"/>
      <c r="D3972" s="56"/>
    </row>
    <row r="3973">
      <c r="A3973" s="64"/>
      <c r="D3973" s="56"/>
    </row>
    <row r="3974">
      <c r="A3974" s="64"/>
      <c r="D3974" s="56"/>
    </row>
    <row r="3975">
      <c r="A3975" s="64"/>
      <c r="D3975" s="56"/>
    </row>
    <row r="3976">
      <c r="A3976" s="64"/>
      <c r="D3976" s="56"/>
    </row>
    <row r="3977">
      <c r="A3977" s="64"/>
      <c r="D3977" s="56"/>
    </row>
    <row r="3978">
      <c r="A3978" s="64"/>
      <c r="D3978" s="56"/>
    </row>
    <row r="3979">
      <c r="A3979" s="64"/>
      <c r="D3979" s="56"/>
    </row>
    <row r="3980">
      <c r="A3980" s="64"/>
      <c r="D3980" s="56"/>
    </row>
    <row r="3981">
      <c r="A3981" s="64"/>
      <c r="D3981" s="56"/>
    </row>
    <row r="3982">
      <c r="A3982" s="64"/>
      <c r="D3982" s="56"/>
    </row>
    <row r="3983">
      <c r="A3983" s="64"/>
      <c r="D3983" s="56"/>
    </row>
    <row r="3984">
      <c r="A3984" s="64"/>
      <c r="D3984" s="56"/>
    </row>
    <row r="3985">
      <c r="A3985" s="64"/>
      <c r="D3985" s="56"/>
    </row>
    <row r="3986">
      <c r="A3986" s="64"/>
      <c r="D3986" s="56"/>
    </row>
    <row r="3987">
      <c r="A3987" s="64"/>
      <c r="D3987" s="56"/>
    </row>
    <row r="3988">
      <c r="A3988" s="64"/>
      <c r="D3988" s="56"/>
    </row>
    <row r="3989">
      <c r="A3989" s="64"/>
      <c r="D3989" s="56"/>
    </row>
    <row r="3990">
      <c r="A3990" s="64"/>
      <c r="D3990" s="56"/>
    </row>
    <row r="3991">
      <c r="A3991" s="64"/>
      <c r="D3991" s="56"/>
    </row>
    <row r="3992">
      <c r="A3992" s="64"/>
      <c r="D3992" s="56"/>
    </row>
    <row r="3993">
      <c r="A3993" s="64"/>
      <c r="D3993" s="56"/>
    </row>
    <row r="3994">
      <c r="A3994" s="64"/>
      <c r="D3994" s="56"/>
    </row>
    <row r="3995">
      <c r="A3995" s="64"/>
      <c r="D3995" s="56"/>
    </row>
    <row r="3996">
      <c r="A3996" s="64"/>
      <c r="D3996" s="56"/>
    </row>
    <row r="3997">
      <c r="A3997" s="64"/>
      <c r="D3997" s="56"/>
    </row>
    <row r="3998">
      <c r="A3998" s="64"/>
      <c r="D3998" s="56"/>
    </row>
    <row r="3999">
      <c r="A3999" s="64"/>
      <c r="D3999" s="56"/>
    </row>
    <row r="4000">
      <c r="A4000" s="64"/>
      <c r="D4000" s="56"/>
    </row>
    <row r="4001">
      <c r="A4001" s="64"/>
      <c r="D4001" s="56"/>
    </row>
    <row r="4002">
      <c r="A4002" s="64"/>
      <c r="D4002" s="56"/>
    </row>
    <row r="4003">
      <c r="A4003" s="64"/>
      <c r="D4003" s="56"/>
    </row>
    <row r="4004">
      <c r="A4004" s="64"/>
      <c r="D4004" s="56"/>
    </row>
    <row r="4005">
      <c r="A4005" s="64"/>
      <c r="D4005" s="56"/>
    </row>
    <row r="4006">
      <c r="A4006" s="64"/>
      <c r="D4006" s="56"/>
    </row>
    <row r="4007">
      <c r="A4007" s="64"/>
      <c r="D4007" s="56"/>
    </row>
    <row r="4008">
      <c r="A4008" s="64"/>
      <c r="D4008" s="56"/>
    </row>
    <row r="4009">
      <c r="A4009" s="64"/>
      <c r="D4009" s="56"/>
    </row>
    <row r="4010">
      <c r="A4010" s="64"/>
      <c r="D4010" s="56"/>
    </row>
    <row r="4011">
      <c r="A4011" s="64"/>
      <c r="D4011" s="56"/>
    </row>
    <row r="4012">
      <c r="A4012" s="64"/>
      <c r="D4012" s="56"/>
    </row>
    <row r="4013">
      <c r="A4013" s="64"/>
      <c r="D4013" s="56"/>
    </row>
    <row r="4014">
      <c r="A4014" s="64"/>
      <c r="D4014" s="56"/>
    </row>
    <row r="4015">
      <c r="A4015" s="64"/>
      <c r="D4015" s="56"/>
    </row>
    <row r="4016">
      <c r="A4016" s="64"/>
      <c r="D4016" s="56"/>
    </row>
    <row r="4017">
      <c r="A4017" s="64"/>
      <c r="D4017" s="56"/>
    </row>
    <row r="4018">
      <c r="A4018" s="64"/>
      <c r="D4018" s="56"/>
    </row>
    <row r="4019">
      <c r="A4019" s="64"/>
      <c r="D4019" s="56"/>
    </row>
    <row r="4020">
      <c r="A4020" s="64"/>
      <c r="D4020" s="56"/>
    </row>
    <row r="4021">
      <c r="A4021" s="64"/>
      <c r="D4021" s="56"/>
    </row>
    <row r="4022">
      <c r="A4022" s="64"/>
      <c r="D4022" s="56"/>
    </row>
    <row r="4023">
      <c r="A4023" s="64"/>
      <c r="D4023" s="56"/>
    </row>
    <row r="4024">
      <c r="A4024" s="64"/>
      <c r="D4024" s="56"/>
    </row>
    <row r="4025">
      <c r="A4025" s="64"/>
      <c r="D4025" s="56"/>
    </row>
    <row r="4026">
      <c r="A4026" s="64"/>
      <c r="D4026" s="56"/>
    </row>
    <row r="4027">
      <c r="A4027" s="64"/>
      <c r="D4027" s="56"/>
    </row>
    <row r="4028">
      <c r="A4028" s="64"/>
      <c r="D4028" s="56"/>
    </row>
    <row r="4029">
      <c r="A4029" s="64"/>
      <c r="D4029" s="56"/>
    </row>
    <row r="4030">
      <c r="A4030" s="64"/>
      <c r="D4030" s="56"/>
    </row>
    <row r="4031">
      <c r="A4031" s="64"/>
      <c r="D4031" s="56"/>
    </row>
    <row r="4032">
      <c r="A4032" s="64"/>
      <c r="D4032" s="56"/>
    </row>
    <row r="4033">
      <c r="A4033" s="64"/>
      <c r="D4033" s="56"/>
    </row>
    <row r="4034">
      <c r="A4034" s="64"/>
      <c r="D4034" s="56"/>
    </row>
    <row r="4035">
      <c r="A4035" s="64"/>
      <c r="D4035" s="56"/>
    </row>
    <row r="4036">
      <c r="A4036" s="64"/>
      <c r="D4036" s="56"/>
    </row>
    <row r="4037">
      <c r="A4037" s="64"/>
      <c r="D4037" s="56"/>
    </row>
    <row r="4038">
      <c r="A4038" s="64"/>
      <c r="D4038" s="56"/>
    </row>
    <row r="4039">
      <c r="A4039" s="64"/>
      <c r="D4039" s="56"/>
    </row>
    <row r="4040">
      <c r="A4040" s="64"/>
      <c r="D4040" s="56"/>
    </row>
    <row r="4041">
      <c r="A4041" s="64"/>
      <c r="D4041" s="56"/>
    </row>
    <row r="4042">
      <c r="A4042" s="64"/>
      <c r="D4042" s="56"/>
    </row>
    <row r="4043">
      <c r="A4043" s="64"/>
      <c r="D4043" s="56"/>
    </row>
    <row r="4044">
      <c r="A4044" s="64"/>
      <c r="D4044" s="56"/>
    </row>
    <row r="4045">
      <c r="A4045" s="64"/>
      <c r="D4045" s="56"/>
    </row>
    <row r="4046">
      <c r="A4046" s="64"/>
      <c r="D4046" s="56"/>
    </row>
    <row r="4047">
      <c r="A4047" s="64"/>
      <c r="D4047" s="56"/>
    </row>
    <row r="4048">
      <c r="A4048" s="64"/>
      <c r="D4048" s="56"/>
    </row>
    <row r="4049">
      <c r="A4049" s="64"/>
      <c r="D4049" s="56"/>
    </row>
    <row r="4050">
      <c r="A4050" s="64"/>
      <c r="D4050" s="56"/>
    </row>
    <row r="4051">
      <c r="A4051" s="64"/>
      <c r="D4051" s="56"/>
    </row>
    <row r="4052">
      <c r="A4052" s="64"/>
      <c r="D4052" s="56"/>
    </row>
    <row r="4053">
      <c r="A4053" s="64"/>
      <c r="D4053" s="56"/>
    </row>
    <row r="4054">
      <c r="A4054" s="64"/>
      <c r="D4054" s="56"/>
    </row>
    <row r="4055">
      <c r="A4055" s="64"/>
      <c r="D4055" s="56"/>
    </row>
    <row r="4056">
      <c r="A4056" s="64"/>
      <c r="D4056" s="56"/>
    </row>
    <row r="4057">
      <c r="A4057" s="64"/>
      <c r="D4057" s="56"/>
    </row>
    <row r="4058">
      <c r="A4058" s="64"/>
      <c r="D4058" s="56"/>
    </row>
    <row r="4059">
      <c r="A4059" s="64"/>
      <c r="D4059" s="56"/>
    </row>
    <row r="4060">
      <c r="A4060" s="64"/>
      <c r="D4060" s="56"/>
    </row>
    <row r="4061">
      <c r="A4061" s="64"/>
      <c r="D4061" s="56"/>
    </row>
    <row r="4062">
      <c r="A4062" s="64"/>
      <c r="D4062" s="56"/>
    </row>
    <row r="4063">
      <c r="A4063" s="64"/>
      <c r="D4063" s="56"/>
    </row>
    <row r="4064">
      <c r="A4064" s="64"/>
      <c r="D4064" s="56"/>
    </row>
    <row r="4065">
      <c r="A4065" s="64"/>
      <c r="D4065" s="56"/>
    </row>
    <row r="4066">
      <c r="A4066" s="64"/>
      <c r="D4066" s="56"/>
    </row>
    <row r="4067">
      <c r="A4067" s="64"/>
      <c r="D4067" s="56"/>
    </row>
    <row r="4068">
      <c r="A4068" s="64"/>
      <c r="D4068" s="56"/>
    </row>
    <row r="4069">
      <c r="A4069" s="64"/>
      <c r="D4069" s="56"/>
    </row>
    <row r="4070">
      <c r="A4070" s="64"/>
      <c r="D4070" s="56"/>
    </row>
    <row r="4071">
      <c r="A4071" s="64"/>
      <c r="D4071" s="56"/>
    </row>
    <row r="4072">
      <c r="A4072" s="64"/>
      <c r="D4072" s="56"/>
    </row>
    <row r="4073">
      <c r="A4073" s="64"/>
      <c r="D4073" s="56"/>
    </row>
    <row r="4074">
      <c r="A4074" s="64"/>
      <c r="D4074" s="56"/>
    </row>
    <row r="4075">
      <c r="A4075" s="64"/>
      <c r="D4075" s="56"/>
    </row>
    <row r="4076">
      <c r="A4076" s="64"/>
      <c r="D4076" s="56"/>
    </row>
    <row r="4077">
      <c r="A4077" s="64"/>
      <c r="D4077" s="56"/>
    </row>
    <row r="4078">
      <c r="A4078" s="64"/>
      <c r="D4078" s="56"/>
    </row>
    <row r="4079">
      <c r="A4079" s="64"/>
      <c r="D4079" s="56"/>
    </row>
    <row r="4080">
      <c r="A4080" s="64"/>
      <c r="D4080" s="56"/>
    </row>
    <row r="4081">
      <c r="A4081" s="64"/>
      <c r="D4081" s="56"/>
    </row>
    <row r="4082">
      <c r="A4082" s="64"/>
      <c r="D4082" s="56"/>
    </row>
    <row r="4083">
      <c r="A4083" s="64"/>
      <c r="D4083" s="56"/>
    </row>
    <row r="4084">
      <c r="A4084" s="64"/>
      <c r="D4084" s="56"/>
    </row>
    <row r="4085">
      <c r="A4085" s="64"/>
      <c r="D4085" s="56"/>
    </row>
    <row r="4086">
      <c r="A4086" s="64"/>
      <c r="D4086" s="56"/>
    </row>
    <row r="4087">
      <c r="A4087" s="64"/>
      <c r="D4087" s="56"/>
    </row>
    <row r="4088">
      <c r="A4088" s="64"/>
      <c r="D4088" s="56"/>
    </row>
    <row r="4089">
      <c r="A4089" s="64"/>
      <c r="D4089" s="56"/>
    </row>
    <row r="4090">
      <c r="A4090" s="64"/>
      <c r="D4090" s="56"/>
    </row>
    <row r="4091">
      <c r="A4091" s="64"/>
      <c r="D4091" s="56"/>
    </row>
    <row r="4092">
      <c r="A4092" s="64"/>
      <c r="D4092" s="56"/>
    </row>
    <row r="4093">
      <c r="A4093" s="64"/>
      <c r="D4093" s="56"/>
    </row>
    <row r="4094">
      <c r="A4094" s="64"/>
      <c r="D4094" s="56"/>
    </row>
    <row r="4095">
      <c r="A4095" s="64"/>
      <c r="D4095" s="56"/>
    </row>
    <row r="4096">
      <c r="A4096" s="64"/>
      <c r="D4096" s="56"/>
    </row>
    <row r="4097">
      <c r="A4097" s="64"/>
      <c r="D4097" s="56"/>
    </row>
    <row r="4098">
      <c r="A4098" s="64"/>
      <c r="D4098" s="56"/>
    </row>
    <row r="4099">
      <c r="A4099" s="64"/>
      <c r="D4099" s="56"/>
    </row>
    <row r="4100">
      <c r="A4100" s="64"/>
      <c r="D4100" s="56"/>
    </row>
    <row r="4101">
      <c r="A4101" s="64"/>
      <c r="D4101" s="56"/>
    </row>
    <row r="4102">
      <c r="A4102" s="64"/>
      <c r="D4102" s="56"/>
    </row>
    <row r="4103">
      <c r="A4103" s="64"/>
      <c r="D4103" s="56"/>
    </row>
    <row r="4104">
      <c r="A4104" s="64"/>
      <c r="D4104" s="56"/>
    </row>
    <row r="4105">
      <c r="A4105" s="64"/>
      <c r="D4105" s="56"/>
    </row>
    <row r="4106">
      <c r="A4106" s="64"/>
      <c r="D4106" s="56"/>
    </row>
    <row r="4107">
      <c r="A4107" s="64"/>
      <c r="D4107" s="56"/>
    </row>
    <row r="4108">
      <c r="A4108" s="64"/>
      <c r="D4108" s="56"/>
    </row>
    <row r="4109">
      <c r="A4109" s="64"/>
      <c r="D4109" s="56"/>
    </row>
    <row r="4110">
      <c r="A4110" s="64"/>
      <c r="D4110" s="56"/>
    </row>
    <row r="4111">
      <c r="A4111" s="64"/>
      <c r="D4111" s="56"/>
    </row>
    <row r="4112">
      <c r="A4112" s="64"/>
      <c r="D4112" s="56"/>
    </row>
    <row r="4113">
      <c r="A4113" s="64"/>
      <c r="D4113" s="56"/>
    </row>
    <row r="4114">
      <c r="A4114" s="64"/>
      <c r="D4114" s="56"/>
    </row>
    <row r="4115">
      <c r="A4115" s="64"/>
      <c r="D4115" s="56"/>
    </row>
    <row r="4116">
      <c r="A4116" s="64"/>
      <c r="D4116" s="56"/>
    </row>
    <row r="4117">
      <c r="A4117" s="64"/>
      <c r="D4117" s="56"/>
    </row>
    <row r="4118">
      <c r="A4118" s="64"/>
      <c r="D4118" s="56"/>
    </row>
    <row r="4119">
      <c r="A4119" s="64"/>
      <c r="D4119" s="56"/>
    </row>
    <row r="4120">
      <c r="A4120" s="64"/>
      <c r="D4120" s="56"/>
    </row>
    <row r="4121">
      <c r="A4121" s="64"/>
      <c r="D4121" s="56"/>
    </row>
    <row r="4122">
      <c r="A4122" s="64"/>
      <c r="D4122" s="56"/>
    </row>
    <row r="4123">
      <c r="A4123" s="64"/>
      <c r="D4123" s="56"/>
    </row>
    <row r="4124">
      <c r="A4124" s="64"/>
      <c r="D4124" s="56"/>
    </row>
    <row r="4125">
      <c r="A4125" s="64"/>
      <c r="D4125" s="56"/>
    </row>
    <row r="4126">
      <c r="A4126" s="64"/>
      <c r="D4126" s="56"/>
    </row>
    <row r="4127">
      <c r="A4127" s="64"/>
      <c r="D4127" s="56"/>
    </row>
    <row r="4128">
      <c r="A4128" s="64"/>
      <c r="D4128" s="56"/>
    </row>
    <row r="4129">
      <c r="A4129" s="64"/>
      <c r="D4129" s="56"/>
    </row>
    <row r="4130">
      <c r="A4130" s="64"/>
      <c r="D4130" s="56"/>
    </row>
    <row r="4131">
      <c r="A4131" s="64"/>
      <c r="D4131" s="56"/>
    </row>
    <row r="4132">
      <c r="A4132" s="64"/>
      <c r="D4132" s="56"/>
    </row>
    <row r="4133">
      <c r="A4133" s="64"/>
      <c r="D4133" s="56"/>
    </row>
    <row r="4134">
      <c r="A4134" s="64"/>
      <c r="D4134" s="56"/>
    </row>
    <row r="4135">
      <c r="A4135" s="64"/>
      <c r="D4135" s="56"/>
    </row>
    <row r="4136">
      <c r="A4136" s="64"/>
      <c r="D4136" s="56"/>
    </row>
    <row r="4137">
      <c r="A4137" s="64"/>
      <c r="D4137" s="56"/>
    </row>
    <row r="4138">
      <c r="A4138" s="64"/>
      <c r="D4138" s="56"/>
    </row>
    <row r="4139">
      <c r="A4139" s="64"/>
      <c r="D4139" s="56"/>
    </row>
    <row r="4140">
      <c r="A4140" s="64"/>
      <c r="D4140" s="56"/>
    </row>
    <row r="4141">
      <c r="A4141" s="64"/>
      <c r="D4141" s="56"/>
    </row>
    <row r="4142">
      <c r="A4142" s="64"/>
      <c r="D4142" s="56"/>
    </row>
    <row r="4143">
      <c r="A4143" s="64"/>
      <c r="D4143" s="56"/>
    </row>
    <row r="4144">
      <c r="A4144" s="64"/>
      <c r="D4144" s="56"/>
    </row>
    <row r="4145">
      <c r="A4145" s="64"/>
      <c r="D4145" s="56"/>
    </row>
    <row r="4146">
      <c r="A4146" s="64"/>
      <c r="D4146" s="56"/>
    </row>
    <row r="4147">
      <c r="A4147" s="64"/>
      <c r="D4147" s="56"/>
    </row>
    <row r="4148">
      <c r="A4148" s="64"/>
      <c r="D4148" s="56"/>
    </row>
    <row r="4149">
      <c r="A4149" s="64"/>
      <c r="D4149" s="56"/>
    </row>
    <row r="4150">
      <c r="A4150" s="64"/>
      <c r="D4150" s="56"/>
    </row>
    <row r="4151">
      <c r="A4151" s="64"/>
      <c r="D4151" s="56"/>
    </row>
    <row r="4152">
      <c r="A4152" s="64"/>
      <c r="D4152" s="56"/>
    </row>
    <row r="4153">
      <c r="A4153" s="64"/>
      <c r="D4153" s="56"/>
    </row>
    <row r="4154">
      <c r="A4154" s="64"/>
      <c r="D4154" s="56"/>
    </row>
    <row r="4155">
      <c r="A4155" s="64"/>
      <c r="D4155" s="56"/>
    </row>
    <row r="4156">
      <c r="A4156" s="64"/>
      <c r="D4156" s="56"/>
    </row>
    <row r="4157">
      <c r="A4157" s="64"/>
      <c r="D4157" s="56"/>
    </row>
    <row r="4158">
      <c r="A4158" s="64"/>
      <c r="D4158" s="56"/>
    </row>
    <row r="4159">
      <c r="A4159" s="64"/>
      <c r="D4159" s="56"/>
    </row>
    <row r="4160">
      <c r="A4160" s="64"/>
      <c r="D4160" s="56"/>
    </row>
    <row r="4161">
      <c r="A4161" s="64"/>
      <c r="D4161" s="56"/>
    </row>
    <row r="4162">
      <c r="A4162" s="64"/>
      <c r="D4162" s="56"/>
    </row>
    <row r="4163">
      <c r="A4163" s="64"/>
      <c r="D4163" s="56"/>
    </row>
    <row r="4164">
      <c r="A4164" s="64"/>
      <c r="D4164" s="56"/>
    </row>
    <row r="4165">
      <c r="A4165" s="64"/>
      <c r="D4165" s="56"/>
    </row>
    <row r="4166">
      <c r="A4166" s="64"/>
      <c r="D4166" s="56"/>
    </row>
    <row r="4167">
      <c r="A4167" s="64"/>
      <c r="D4167" s="56"/>
    </row>
    <row r="4168">
      <c r="A4168" s="64"/>
      <c r="D4168" s="56"/>
    </row>
    <row r="4169">
      <c r="A4169" s="64"/>
      <c r="D4169" s="56"/>
    </row>
    <row r="4170">
      <c r="A4170" s="64"/>
      <c r="D4170" s="56"/>
    </row>
    <row r="4171">
      <c r="A4171" s="64"/>
      <c r="D4171" s="56"/>
    </row>
    <row r="4172">
      <c r="A4172" s="64"/>
      <c r="D4172" s="56"/>
    </row>
    <row r="4173">
      <c r="A4173" s="64"/>
      <c r="D4173" s="56"/>
    </row>
    <row r="4174">
      <c r="A4174" s="64"/>
      <c r="D4174" s="56"/>
    </row>
    <row r="4175">
      <c r="A4175" s="64"/>
      <c r="D4175" s="56"/>
    </row>
    <row r="4176">
      <c r="A4176" s="64"/>
      <c r="D4176" s="56"/>
    </row>
    <row r="4177">
      <c r="A4177" s="64"/>
      <c r="D4177" s="56"/>
    </row>
    <row r="4178">
      <c r="A4178" s="64"/>
      <c r="D4178" s="56"/>
    </row>
    <row r="4179">
      <c r="A4179" s="64"/>
      <c r="D4179" s="56"/>
    </row>
    <row r="4180">
      <c r="A4180" s="64"/>
      <c r="D4180" s="56"/>
    </row>
    <row r="4181">
      <c r="A4181" s="64"/>
      <c r="D4181" s="56"/>
    </row>
    <row r="4182">
      <c r="A4182" s="64"/>
      <c r="D4182" s="56"/>
    </row>
    <row r="4183">
      <c r="A4183" s="64"/>
      <c r="D4183" s="56"/>
    </row>
    <row r="4184">
      <c r="A4184" s="64"/>
      <c r="D4184" s="56"/>
    </row>
    <row r="4185">
      <c r="A4185" s="64"/>
      <c r="D4185" s="56"/>
    </row>
    <row r="4186">
      <c r="A4186" s="64"/>
      <c r="D4186" s="56"/>
    </row>
    <row r="4187">
      <c r="A4187" s="64"/>
      <c r="D4187" s="56"/>
    </row>
    <row r="4188">
      <c r="A4188" s="64"/>
      <c r="D4188" s="56"/>
    </row>
    <row r="4189">
      <c r="A4189" s="64"/>
      <c r="D4189" s="56"/>
    </row>
    <row r="4190">
      <c r="A4190" s="64"/>
      <c r="D4190" s="56"/>
    </row>
    <row r="4191">
      <c r="A4191" s="64"/>
      <c r="D4191" s="56"/>
    </row>
    <row r="4192">
      <c r="A4192" s="64"/>
      <c r="D4192" s="56"/>
    </row>
    <row r="4193">
      <c r="A4193" s="64"/>
      <c r="D4193" s="56"/>
    </row>
    <row r="4194">
      <c r="A4194" s="64"/>
      <c r="D4194" s="56"/>
    </row>
    <row r="4195">
      <c r="A4195" s="64"/>
      <c r="D4195" s="56"/>
    </row>
    <row r="4196">
      <c r="A4196" s="64"/>
      <c r="D4196" s="56"/>
    </row>
    <row r="4197">
      <c r="A4197" s="64"/>
      <c r="D4197" s="56"/>
    </row>
    <row r="4198">
      <c r="A4198" s="64"/>
      <c r="D4198" s="56"/>
    </row>
    <row r="4199">
      <c r="A4199" s="64"/>
      <c r="D4199" s="56"/>
    </row>
    <row r="4200">
      <c r="A4200" s="64"/>
      <c r="D4200" s="56"/>
    </row>
    <row r="4201">
      <c r="A4201" s="64"/>
      <c r="D4201" s="56"/>
    </row>
    <row r="4202">
      <c r="A4202" s="64"/>
      <c r="D4202" s="56"/>
    </row>
    <row r="4203">
      <c r="A4203" s="64"/>
      <c r="D4203" s="56"/>
    </row>
    <row r="4204">
      <c r="A4204" s="64"/>
      <c r="D4204" s="56"/>
    </row>
    <row r="4205">
      <c r="A4205" s="64"/>
      <c r="D4205" s="56"/>
    </row>
    <row r="4206">
      <c r="A4206" s="64"/>
      <c r="D4206" s="56"/>
    </row>
    <row r="4207">
      <c r="A4207" s="64"/>
      <c r="D4207" s="56"/>
    </row>
    <row r="4208">
      <c r="A4208" s="64"/>
      <c r="D4208" s="56"/>
    </row>
    <row r="4209">
      <c r="A4209" s="64"/>
      <c r="D4209" s="56"/>
    </row>
    <row r="4210">
      <c r="A4210" s="64"/>
      <c r="D4210" s="56"/>
    </row>
    <row r="4211">
      <c r="A4211" s="64"/>
      <c r="D4211" s="56"/>
    </row>
    <row r="4212">
      <c r="A4212" s="64"/>
      <c r="D4212" s="56"/>
    </row>
    <row r="4213">
      <c r="A4213" s="64"/>
      <c r="D4213" s="56"/>
    </row>
    <row r="4214">
      <c r="A4214" s="64"/>
      <c r="D4214" s="56"/>
    </row>
    <row r="4215">
      <c r="A4215" s="64"/>
      <c r="D4215" s="56"/>
    </row>
    <row r="4216">
      <c r="A4216" s="64"/>
      <c r="D4216" s="56"/>
    </row>
    <row r="4217">
      <c r="A4217" s="64"/>
      <c r="D4217" s="56"/>
    </row>
    <row r="4218">
      <c r="A4218" s="64"/>
      <c r="D4218" s="56"/>
    </row>
    <row r="4219">
      <c r="A4219" s="64"/>
      <c r="D4219" s="56"/>
    </row>
    <row r="4220">
      <c r="A4220" s="64"/>
      <c r="D4220" s="56"/>
    </row>
    <row r="4221">
      <c r="A4221" s="64"/>
      <c r="D4221" s="56"/>
    </row>
    <row r="4222">
      <c r="A4222" s="64"/>
      <c r="D4222" s="56"/>
    </row>
    <row r="4223">
      <c r="A4223" s="64"/>
      <c r="D4223" s="56"/>
    </row>
    <row r="4224">
      <c r="A4224" s="64"/>
      <c r="D4224" s="56"/>
    </row>
    <row r="4225">
      <c r="A4225" s="64"/>
      <c r="D4225" s="56"/>
    </row>
    <row r="4226">
      <c r="A4226" s="64"/>
      <c r="D4226" s="56"/>
    </row>
    <row r="4227">
      <c r="A4227" s="64"/>
      <c r="D4227" s="56"/>
    </row>
    <row r="4228">
      <c r="A4228" s="64"/>
      <c r="D4228" s="56"/>
    </row>
    <row r="4229">
      <c r="A4229" s="64"/>
      <c r="D4229" s="56"/>
    </row>
    <row r="4230">
      <c r="A4230" s="64"/>
      <c r="D4230" s="56"/>
    </row>
    <row r="4231">
      <c r="A4231" s="64"/>
      <c r="D4231" s="56"/>
    </row>
    <row r="4232">
      <c r="A4232" s="64"/>
      <c r="D4232" s="56"/>
    </row>
    <row r="4233">
      <c r="A4233" s="64"/>
      <c r="D4233" s="56"/>
    </row>
    <row r="4234">
      <c r="A4234" s="64"/>
      <c r="D4234" s="56"/>
    </row>
    <row r="4235">
      <c r="A4235" s="64"/>
      <c r="D4235" s="56"/>
    </row>
    <row r="4236">
      <c r="A4236" s="64"/>
      <c r="D4236" s="56"/>
    </row>
    <row r="4237">
      <c r="A4237" s="64"/>
      <c r="D4237" s="56"/>
    </row>
    <row r="4238">
      <c r="A4238" s="64"/>
      <c r="D4238" s="56"/>
    </row>
    <row r="4239">
      <c r="A4239" s="64"/>
      <c r="D4239" s="56"/>
    </row>
    <row r="4240">
      <c r="A4240" s="64"/>
      <c r="D4240" s="56"/>
    </row>
    <row r="4241">
      <c r="A4241" s="64"/>
      <c r="D4241" s="56"/>
    </row>
    <row r="4242">
      <c r="A4242" s="64"/>
      <c r="D4242" s="56"/>
    </row>
    <row r="4243">
      <c r="A4243" s="64"/>
      <c r="D4243" s="56"/>
    </row>
    <row r="4244">
      <c r="A4244" s="64"/>
      <c r="D4244" s="56"/>
    </row>
    <row r="4245">
      <c r="A4245" s="64"/>
      <c r="D4245" s="56"/>
    </row>
    <row r="4246">
      <c r="A4246" s="64"/>
      <c r="D4246" s="56"/>
    </row>
    <row r="4247">
      <c r="A4247" s="64"/>
      <c r="D4247" s="56"/>
    </row>
    <row r="4248">
      <c r="A4248" s="64"/>
      <c r="D4248" s="56"/>
    </row>
    <row r="4249">
      <c r="A4249" s="64"/>
      <c r="D4249" s="56"/>
    </row>
    <row r="4250">
      <c r="A4250" s="64"/>
      <c r="D4250" s="56"/>
    </row>
    <row r="4251">
      <c r="A4251" s="64"/>
      <c r="D4251" s="56"/>
    </row>
    <row r="4252">
      <c r="A4252" s="64"/>
      <c r="D4252" s="56"/>
    </row>
    <row r="4253">
      <c r="A4253" s="64"/>
      <c r="D4253" s="56"/>
    </row>
    <row r="4254">
      <c r="A4254" s="64"/>
      <c r="D4254" s="56"/>
    </row>
    <row r="4255">
      <c r="A4255" s="64"/>
      <c r="D4255" s="56"/>
    </row>
    <row r="4256">
      <c r="A4256" s="64"/>
      <c r="D4256" s="56"/>
    </row>
    <row r="4257">
      <c r="A4257" s="64"/>
      <c r="D4257" s="56"/>
    </row>
    <row r="4258">
      <c r="A4258" s="64"/>
      <c r="D4258" s="56"/>
    </row>
    <row r="4259">
      <c r="A4259" s="64"/>
      <c r="D4259" s="56"/>
    </row>
    <row r="4260">
      <c r="A4260" s="64"/>
      <c r="D4260" s="56"/>
    </row>
    <row r="4261">
      <c r="A4261" s="64"/>
      <c r="D4261" s="56"/>
    </row>
    <row r="4262">
      <c r="A4262" s="64"/>
      <c r="D4262" s="56"/>
    </row>
    <row r="4263">
      <c r="A4263" s="64"/>
      <c r="D4263" s="56"/>
    </row>
    <row r="4264">
      <c r="A4264" s="64"/>
      <c r="D4264" s="56"/>
    </row>
    <row r="4265">
      <c r="A4265" s="64"/>
      <c r="D4265" s="56"/>
    </row>
    <row r="4266">
      <c r="A4266" s="64"/>
      <c r="D4266" s="56"/>
    </row>
    <row r="4267">
      <c r="A4267" s="64"/>
      <c r="D4267" s="56"/>
    </row>
    <row r="4268">
      <c r="A4268" s="64"/>
      <c r="D4268" s="56"/>
    </row>
    <row r="4269">
      <c r="A4269" s="64"/>
      <c r="D4269" s="56"/>
    </row>
    <row r="4270">
      <c r="A4270" s="64"/>
      <c r="D4270" s="56"/>
    </row>
    <row r="4271">
      <c r="A4271" s="64"/>
      <c r="D4271" s="56"/>
    </row>
    <row r="4272">
      <c r="A4272" s="64"/>
      <c r="D4272" s="56"/>
    </row>
    <row r="4273">
      <c r="A4273" s="64"/>
      <c r="D4273" s="56"/>
    </row>
    <row r="4274">
      <c r="A4274" s="64"/>
      <c r="D4274" s="56"/>
    </row>
    <row r="4275">
      <c r="A4275" s="64"/>
      <c r="D4275" s="56"/>
    </row>
    <row r="4276">
      <c r="A4276" s="64"/>
      <c r="D4276" s="56"/>
    </row>
    <row r="4277">
      <c r="A4277" s="64"/>
      <c r="D4277" s="56"/>
    </row>
    <row r="4278">
      <c r="A4278" s="64"/>
      <c r="D4278" s="56"/>
    </row>
    <row r="4279">
      <c r="A4279" s="64"/>
      <c r="D4279" s="56"/>
    </row>
    <row r="4280">
      <c r="A4280" s="64"/>
      <c r="D4280" s="56"/>
    </row>
    <row r="4281">
      <c r="A4281" s="64"/>
      <c r="D4281" s="56"/>
    </row>
    <row r="4282">
      <c r="A4282" s="64"/>
      <c r="D4282" s="56"/>
    </row>
    <row r="4283">
      <c r="A4283" s="64"/>
      <c r="D4283" s="56"/>
    </row>
    <row r="4284">
      <c r="A4284" s="64"/>
      <c r="D4284" s="56"/>
    </row>
    <row r="4285">
      <c r="A4285" s="64"/>
      <c r="D4285" s="56"/>
    </row>
    <row r="4286">
      <c r="A4286" s="64"/>
      <c r="D4286" s="56"/>
    </row>
    <row r="4287">
      <c r="A4287" s="64"/>
      <c r="D4287" s="56"/>
    </row>
    <row r="4288">
      <c r="A4288" s="64"/>
      <c r="D4288" s="56"/>
    </row>
    <row r="4289">
      <c r="A4289" s="64"/>
      <c r="D4289" s="56"/>
    </row>
    <row r="4290">
      <c r="A4290" s="64"/>
      <c r="D4290" s="56"/>
    </row>
    <row r="4291">
      <c r="A4291" s="64"/>
      <c r="D4291" s="56"/>
    </row>
    <row r="4292">
      <c r="A4292" s="64"/>
      <c r="D4292" s="56"/>
    </row>
    <row r="4293">
      <c r="A4293" s="64"/>
      <c r="D4293" s="56"/>
    </row>
    <row r="4294">
      <c r="A4294" s="64"/>
      <c r="D4294" s="56"/>
    </row>
    <row r="4295">
      <c r="A4295" s="64"/>
      <c r="D4295" s="56"/>
    </row>
    <row r="4296">
      <c r="A4296" s="64"/>
      <c r="D4296" s="56"/>
    </row>
    <row r="4297">
      <c r="A4297" s="64"/>
      <c r="D4297" s="56"/>
    </row>
    <row r="4298">
      <c r="A4298" s="64"/>
      <c r="D4298" s="56"/>
    </row>
    <row r="4299">
      <c r="A4299" s="64"/>
      <c r="D4299" s="56"/>
    </row>
    <row r="4300">
      <c r="A4300" s="64"/>
      <c r="D4300" s="56"/>
    </row>
    <row r="4301">
      <c r="A4301" s="64"/>
      <c r="D4301" s="56"/>
    </row>
    <row r="4302">
      <c r="A4302" s="64"/>
      <c r="D4302" s="56"/>
    </row>
    <row r="4303">
      <c r="A4303" s="64"/>
      <c r="D4303" s="56"/>
    </row>
    <row r="4304">
      <c r="A4304" s="64"/>
      <c r="D4304" s="56"/>
    </row>
    <row r="4305">
      <c r="A4305" s="64"/>
      <c r="D4305" s="56"/>
    </row>
    <row r="4306">
      <c r="A4306" s="64"/>
      <c r="D4306" s="56"/>
    </row>
    <row r="4307">
      <c r="A4307" s="64"/>
      <c r="D4307" s="56"/>
    </row>
    <row r="4308">
      <c r="A4308" s="64"/>
      <c r="D4308" s="56"/>
    </row>
    <row r="4309">
      <c r="A4309" s="64"/>
      <c r="D4309" s="56"/>
    </row>
    <row r="4310">
      <c r="A4310" s="64"/>
      <c r="D4310" s="56"/>
    </row>
    <row r="4311">
      <c r="A4311" s="64"/>
      <c r="D4311" s="56"/>
    </row>
    <row r="4312">
      <c r="A4312" s="64"/>
      <c r="D4312" s="56"/>
    </row>
    <row r="4313">
      <c r="A4313" s="64"/>
      <c r="D4313" s="56"/>
    </row>
    <row r="4314">
      <c r="A4314" s="64"/>
      <c r="D4314" s="56"/>
    </row>
    <row r="4315">
      <c r="A4315" s="64"/>
      <c r="D4315" s="56"/>
    </row>
    <row r="4316">
      <c r="A4316" s="64"/>
      <c r="D4316" s="56"/>
    </row>
    <row r="4317">
      <c r="A4317" s="64"/>
      <c r="D4317" s="56"/>
    </row>
    <row r="4318">
      <c r="A4318" s="64"/>
      <c r="D4318" s="56"/>
    </row>
    <row r="4319">
      <c r="A4319" s="64"/>
      <c r="D4319" s="56"/>
    </row>
    <row r="4320">
      <c r="A4320" s="64"/>
      <c r="D4320" s="56"/>
    </row>
    <row r="4321">
      <c r="A4321" s="64"/>
      <c r="D4321" s="56"/>
    </row>
    <row r="4322">
      <c r="A4322" s="64"/>
      <c r="D4322" s="56"/>
    </row>
    <row r="4323">
      <c r="A4323" s="64"/>
      <c r="D4323" s="56"/>
    </row>
    <row r="4324">
      <c r="A4324" s="64"/>
      <c r="D4324" s="56"/>
    </row>
    <row r="4325">
      <c r="A4325" s="64"/>
      <c r="D4325" s="56"/>
    </row>
    <row r="4326">
      <c r="A4326" s="64"/>
      <c r="D4326" s="56"/>
    </row>
    <row r="4327">
      <c r="A4327" s="64"/>
      <c r="D4327" s="56"/>
    </row>
    <row r="4328">
      <c r="A4328" s="64"/>
      <c r="D4328" s="62"/>
    </row>
    <row r="4329">
      <c r="A4329" s="64"/>
      <c r="D4329" s="56"/>
    </row>
    <row r="4330">
      <c r="A4330" s="64"/>
      <c r="D4330" s="56"/>
    </row>
    <row r="4331">
      <c r="A4331" s="64"/>
      <c r="D4331" s="56"/>
    </row>
    <row r="4332">
      <c r="A4332" s="64"/>
      <c r="D4332" s="56"/>
    </row>
    <row r="4333">
      <c r="A4333" s="64"/>
      <c r="D4333" s="56"/>
    </row>
    <row r="4334">
      <c r="A4334" s="64"/>
      <c r="D4334" s="56"/>
    </row>
    <row r="4335">
      <c r="A4335" s="64"/>
      <c r="D4335" s="56"/>
    </row>
    <row r="4336">
      <c r="A4336" s="64"/>
      <c r="D4336" s="56"/>
    </row>
    <row r="4337">
      <c r="A4337" s="64"/>
      <c r="D4337" s="56"/>
    </row>
    <row r="4338">
      <c r="A4338" s="64"/>
      <c r="D4338" s="56"/>
    </row>
    <row r="4339">
      <c r="A4339" s="64"/>
      <c r="D4339" s="56"/>
    </row>
    <row r="4340">
      <c r="A4340" s="64"/>
      <c r="D4340" s="56"/>
    </row>
    <row r="4341">
      <c r="A4341" s="64"/>
      <c r="D4341" s="56"/>
    </row>
    <row r="4342">
      <c r="A4342" s="64"/>
      <c r="D4342" s="56"/>
    </row>
    <row r="4343">
      <c r="A4343" s="64"/>
      <c r="D4343" s="56"/>
    </row>
    <row r="4344">
      <c r="A4344" s="64"/>
      <c r="D4344" s="56"/>
    </row>
    <row r="4345">
      <c r="A4345" s="64"/>
      <c r="D4345" s="56"/>
    </row>
    <row r="4346">
      <c r="A4346" s="64"/>
      <c r="D4346" s="56"/>
    </row>
    <row r="4347">
      <c r="A4347" s="64"/>
      <c r="D4347" s="56"/>
    </row>
    <row r="4348">
      <c r="A4348" s="64"/>
      <c r="D4348" s="56"/>
    </row>
    <row r="4349">
      <c r="A4349" s="64"/>
      <c r="D4349" s="56"/>
    </row>
    <row r="4350">
      <c r="A4350" s="64"/>
      <c r="D4350" s="56"/>
    </row>
    <row r="4351">
      <c r="A4351" s="64"/>
      <c r="D4351" s="56"/>
    </row>
    <row r="4352">
      <c r="A4352" s="64"/>
      <c r="D4352" s="56"/>
    </row>
    <row r="4353">
      <c r="A4353" s="64"/>
      <c r="D4353" s="56"/>
    </row>
    <row r="4354">
      <c r="A4354" s="64"/>
      <c r="D4354" s="56"/>
    </row>
    <row r="4355">
      <c r="A4355" s="64"/>
      <c r="D4355" s="56"/>
    </row>
    <row r="4356">
      <c r="A4356" s="64"/>
      <c r="D4356" s="56"/>
    </row>
    <row r="4357">
      <c r="A4357" s="64"/>
      <c r="D4357" s="56"/>
    </row>
    <row r="4358">
      <c r="A4358" s="64"/>
      <c r="D4358" s="56"/>
    </row>
    <row r="4359">
      <c r="A4359" s="64"/>
      <c r="D4359" s="56"/>
    </row>
    <row r="4360">
      <c r="A4360" s="64"/>
      <c r="D4360" s="56"/>
    </row>
    <row r="4361">
      <c r="A4361" s="64"/>
      <c r="D4361" s="56"/>
    </row>
    <row r="4362">
      <c r="A4362" s="64"/>
      <c r="D4362" s="56"/>
    </row>
    <row r="4363">
      <c r="A4363" s="64"/>
      <c r="D4363" s="56"/>
    </row>
    <row r="4364">
      <c r="A4364" s="64"/>
      <c r="D4364" s="56"/>
    </row>
    <row r="4365">
      <c r="A4365" s="64"/>
      <c r="D4365" s="56"/>
    </row>
    <row r="4366">
      <c r="A4366" s="64"/>
      <c r="D4366" s="56"/>
    </row>
    <row r="4367">
      <c r="A4367" s="64"/>
      <c r="D4367" s="56"/>
    </row>
    <row r="4368">
      <c r="A4368" s="64"/>
      <c r="D4368" s="56"/>
    </row>
    <row r="4369">
      <c r="A4369" s="64"/>
      <c r="D4369" s="56"/>
    </row>
    <row r="4370">
      <c r="A4370" s="64"/>
      <c r="D4370" s="56"/>
    </row>
    <row r="4371">
      <c r="A4371" s="64"/>
      <c r="D4371" s="56"/>
    </row>
    <row r="4372">
      <c r="A4372" s="64"/>
      <c r="D4372" s="56"/>
    </row>
    <row r="4373">
      <c r="A4373" s="64"/>
      <c r="D4373" s="56"/>
    </row>
    <row r="4374">
      <c r="A4374" s="64"/>
      <c r="D4374" s="56"/>
    </row>
    <row r="4375">
      <c r="A4375" s="64"/>
      <c r="D4375" s="56"/>
    </row>
    <row r="4376">
      <c r="A4376" s="64"/>
      <c r="D4376" s="56"/>
    </row>
    <row r="4377">
      <c r="A4377" s="64"/>
      <c r="D4377" s="56"/>
    </row>
    <row r="4378">
      <c r="A4378" s="64"/>
      <c r="D4378" s="56"/>
    </row>
    <row r="4379">
      <c r="A4379" s="64"/>
      <c r="D4379" s="56"/>
    </row>
    <row r="4380">
      <c r="A4380" s="64"/>
      <c r="D4380" s="56"/>
    </row>
    <row r="4381">
      <c r="A4381" s="64"/>
      <c r="D4381" s="56"/>
    </row>
    <row r="4382">
      <c r="A4382" s="64"/>
      <c r="D4382" s="56"/>
    </row>
    <row r="4383">
      <c r="A4383" s="64"/>
      <c r="D4383" s="56"/>
    </row>
    <row r="4384">
      <c r="A4384" s="64"/>
      <c r="D4384" s="56"/>
    </row>
    <row r="4385">
      <c r="A4385" s="64"/>
      <c r="D4385" s="56"/>
    </row>
    <row r="4386">
      <c r="A4386" s="64"/>
      <c r="D4386" s="56"/>
    </row>
    <row r="4387">
      <c r="A4387" s="64"/>
      <c r="D4387" s="56"/>
    </row>
    <row r="4388">
      <c r="A4388" s="64"/>
      <c r="D4388" s="56"/>
    </row>
    <row r="4389">
      <c r="A4389" s="64"/>
      <c r="D4389" s="56"/>
    </row>
    <row r="4390">
      <c r="A4390" s="64"/>
      <c r="D4390" s="56"/>
    </row>
    <row r="4391">
      <c r="A4391" s="64"/>
      <c r="D4391" s="56"/>
    </row>
    <row r="4392">
      <c r="A4392" s="64"/>
      <c r="D4392" s="56"/>
    </row>
    <row r="4393">
      <c r="A4393" s="64"/>
      <c r="D4393" s="56"/>
    </row>
    <row r="4394">
      <c r="A4394" s="64"/>
      <c r="D4394" s="56"/>
    </row>
    <row r="4395">
      <c r="A4395" s="64"/>
      <c r="D4395" s="56"/>
    </row>
    <row r="4396">
      <c r="A4396" s="64"/>
      <c r="D4396" s="56"/>
    </row>
    <row r="4397">
      <c r="A4397" s="64"/>
      <c r="D4397" s="56"/>
    </row>
    <row r="4398">
      <c r="A4398" s="64"/>
      <c r="D4398" s="56"/>
    </row>
    <row r="4399">
      <c r="A4399" s="64"/>
      <c r="D4399" s="56"/>
    </row>
    <row r="4400">
      <c r="A4400" s="64"/>
      <c r="D4400" s="56"/>
    </row>
    <row r="4401">
      <c r="A4401" s="64"/>
      <c r="D4401" s="56"/>
    </row>
    <row r="4402">
      <c r="A4402" s="64"/>
      <c r="D4402" s="56"/>
    </row>
    <row r="4403">
      <c r="A4403" s="64"/>
      <c r="D4403" s="56"/>
    </row>
    <row r="4404">
      <c r="A4404" s="64"/>
      <c r="D4404" s="56"/>
    </row>
    <row r="4405">
      <c r="A4405" s="64"/>
      <c r="D4405" s="56"/>
    </row>
    <row r="4406">
      <c r="A4406" s="64"/>
      <c r="D4406" s="56"/>
    </row>
    <row r="4407">
      <c r="A4407" s="64"/>
      <c r="D4407" s="56"/>
    </row>
    <row r="4408">
      <c r="A4408" s="64"/>
      <c r="D4408" s="56"/>
    </row>
    <row r="4409">
      <c r="A4409" s="64"/>
      <c r="D4409" s="56"/>
    </row>
    <row r="4410">
      <c r="A4410" s="64"/>
      <c r="D4410" s="56"/>
    </row>
    <row r="4411">
      <c r="A4411" s="64"/>
      <c r="D4411" s="56"/>
    </row>
    <row r="4412">
      <c r="A4412" s="64"/>
      <c r="D4412" s="56"/>
    </row>
    <row r="4413">
      <c r="A4413" s="64"/>
      <c r="D4413" s="56"/>
    </row>
    <row r="4414">
      <c r="A4414" s="64"/>
      <c r="D4414" s="56"/>
    </row>
    <row r="4415">
      <c r="A4415" s="64"/>
      <c r="D4415" s="56"/>
    </row>
    <row r="4416">
      <c r="A4416" s="64"/>
      <c r="D4416" s="56"/>
    </row>
    <row r="4417">
      <c r="A4417" s="64"/>
      <c r="D4417" s="56"/>
    </row>
    <row r="4418">
      <c r="A4418" s="64"/>
      <c r="D4418" s="56"/>
    </row>
    <row r="4419">
      <c r="A4419" s="64"/>
      <c r="D4419" s="56"/>
    </row>
    <row r="4420">
      <c r="A4420" s="64"/>
      <c r="D4420" s="56"/>
    </row>
    <row r="4421">
      <c r="A4421" s="64"/>
      <c r="D4421" s="56"/>
    </row>
    <row r="4422">
      <c r="A4422" s="64"/>
      <c r="D4422" s="56"/>
    </row>
    <row r="4423">
      <c r="A4423" s="64"/>
      <c r="D4423" s="56"/>
    </row>
    <row r="4424">
      <c r="A4424" s="64"/>
      <c r="D4424" s="56"/>
    </row>
    <row r="4425">
      <c r="A4425" s="64"/>
      <c r="D4425" s="56"/>
    </row>
    <row r="4426">
      <c r="A4426" s="64"/>
      <c r="D4426" s="56"/>
    </row>
    <row r="4427">
      <c r="A4427" s="64"/>
      <c r="D4427" s="56"/>
    </row>
    <row r="4428">
      <c r="A4428" s="64"/>
      <c r="D4428" s="56"/>
    </row>
    <row r="4429">
      <c r="A4429" s="64"/>
      <c r="D4429" s="56"/>
    </row>
    <row r="4430">
      <c r="A4430" s="64"/>
      <c r="D4430" s="56"/>
    </row>
    <row r="4431">
      <c r="A4431" s="64"/>
      <c r="D4431" s="56"/>
    </row>
    <row r="4432">
      <c r="A4432" s="64"/>
      <c r="D4432" s="56"/>
    </row>
    <row r="4433">
      <c r="A4433" s="64"/>
      <c r="D4433" s="56"/>
    </row>
    <row r="4434">
      <c r="A4434" s="64"/>
      <c r="D4434" s="56"/>
    </row>
    <row r="4435">
      <c r="A4435" s="64"/>
      <c r="D4435" s="56"/>
    </row>
    <row r="4436">
      <c r="A4436" s="64"/>
      <c r="D4436" s="56"/>
    </row>
    <row r="4437">
      <c r="A4437" s="64"/>
      <c r="D4437" s="56"/>
    </row>
    <row r="4438">
      <c r="A4438" s="64"/>
      <c r="D4438" s="56"/>
    </row>
    <row r="4439">
      <c r="A4439" s="64"/>
      <c r="D4439" s="56"/>
    </row>
    <row r="4440">
      <c r="A4440" s="64"/>
      <c r="D4440" s="56"/>
    </row>
    <row r="4441">
      <c r="A4441" s="64"/>
      <c r="D4441" s="56"/>
    </row>
    <row r="4442">
      <c r="A4442" s="64"/>
      <c r="D4442" s="56"/>
    </row>
    <row r="4443">
      <c r="A4443" s="64"/>
      <c r="D4443" s="56"/>
    </row>
    <row r="4444">
      <c r="A4444" s="64"/>
      <c r="D4444" s="56"/>
    </row>
    <row r="4445">
      <c r="A4445" s="64"/>
      <c r="D4445" s="56"/>
    </row>
    <row r="4446">
      <c r="A4446" s="64"/>
      <c r="D4446" s="56"/>
    </row>
    <row r="4447">
      <c r="A4447" s="64"/>
      <c r="D4447" s="56"/>
    </row>
    <row r="4448">
      <c r="A4448" s="64"/>
      <c r="D4448" s="56"/>
    </row>
    <row r="4449">
      <c r="A4449" s="64"/>
      <c r="D4449" s="56"/>
    </row>
    <row r="4450">
      <c r="A4450" s="64"/>
      <c r="D4450" s="56"/>
    </row>
    <row r="4451">
      <c r="A4451" s="64"/>
      <c r="D4451" s="56"/>
    </row>
    <row r="4452">
      <c r="A4452" s="64"/>
      <c r="D4452" s="56"/>
    </row>
    <row r="4453">
      <c r="A4453" s="64"/>
      <c r="D4453" s="56"/>
    </row>
    <row r="4454">
      <c r="A4454" s="64"/>
      <c r="D4454" s="56"/>
    </row>
    <row r="4455">
      <c r="A4455" s="64"/>
      <c r="D4455" s="56"/>
    </row>
    <row r="4456">
      <c r="A4456" s="64"/>
      <c r="D4456" s="56"/>
    </row>
    <row r="4457">
      <c r="A4457" s="64"/>
      <c r="D4457" s="56"/>
    </row>
    <row r="4458">
      <c r="A4458" s="64"/>
      <c r="D4458" s="56"/>
    </row>
    <row r="4459">
      <c r="A4459" s="64"/>
      <c r="D4459" s="56"/>
    </row>
    <row r="4460">
      <c r="A4460" s="64"/>
      <c r="D4460" s="56"/>
    </row>
    <row r="4461">
      <c r="A4461" s="64"/>
      <c r="D4461" s="56"/>
    </row>
    <row r="4462">
      <c r="A4462" s="64"/>
      <c r="D4462" s="56"/>
    </row>
    <row r="4463">
      <c r="A4463" s="64"/>
      <c r="D4463" s="56"/>
    </row>
    <row r="4464">
      <c r="A4464" s="64"/>
      <c r="D4464" s="56"/>
    </row>
    <row r="4465">
      <c r="A4465" s="64"/>
      <c r="D4465" s="56"/>
    </row>
    <row r="4466">
      <c r="A4466" s="64"/>
      <c r="D4466" s="56"/>
    </row>
    <row r="4467">
      <c r="A4467" s="64"/>
      <c r="D4467" s="56"/>
    </row>
    <row r="4468">
      <c r="A4468" s="64"/>
      <c r="D4468" s="56"/>
    </row>
    <row r="4469">
      <c r="A4469" s="64"/>
      <c r="D4469" s="56"/>
    </row>
    <row r="4470">
      <c r="A4470" s="64"/>
      <c r="D4470" s="56"/>
    </row>
    <row r="4471">
      <c r="A4471" s="64"/>
      <c r="D4471" s="56"/>
    </row>
    <row r="4472">
      <c r="A4472" s="64"/>
      <c r="D4472" s="56"/>
    </row>
    <row r="4473">
      <c r="A4473" s="64"/>
      <c r="D4473" s="56"/>
    </row>
    <row r="4474">
      <c r="A4474" s="64"/>
      <c r="D4474" s="56"/>
    </row>
    <row r="4475">
      <c r="A4475" s="64"/>
      <c r="D4475" s="56"/>
    </row>
    <row r="4476">
      <c r="A4476" s="64"/>
      <c r="D4476" s="56"/>
    </row>
    <row r="4477">
      <c r="A4477" s="64"/>
      <c r="D4477" s="56"/>
    </row>
    <row r="4478">
      <c r="A4478" s="64"/>
      <c r="D4478" s="56"/>
    </row>
    <row r="4479">
      <c r="A4479" s="64"/>
      <c r="D4479" s="56"/>
    </row>
    <row r="4480">
      <c r="A4480" s="64"/>
      <c r="D4480" s="56"/>
    </row>
    <row r="4481">
      <c r="A4481" s="64"/>
      <c r="D4481" s="56"/>
    </row>
    <row r="4482">
      <c r="A4482" s="64"/>
      <c r="D4482" s="56"/>
    </row>
    <row r="4483">
      <c r="A4483" s="64"/>
      <c r="D4483" s="56"/>
    </row>
    <row r="4484">
      <c r="A4484" s="64"/>
      <c r="D4484" s="56"/>
    </row>
    <row r="4485">
      <c r="A4485" s="64"/>
      <c r="D4485" s="56"/>
    </row>
    <row r="4486">
      <c r="A4486" s="64"/>
      <c r="D4486" s="56"/>
    </row>
    <row r="4487">
      <c r="A4487" s="64"/>
      <c r="D4487" s="56"/>
    </row>
    <row r="4488">
      <c r="A4488" s="64"/>
      <c r="D4488" s="56"/>
    </row>
    <row r="4489">
      <c r="A4489" s="64"/>
      <c r="D4489" s="56"/>
    </row>
    <row r="4490">
      <c r="A4490" s="64"/>
      <c r="D4490" s="56"/>
    </row>
    <row r="4491">
      <c r="A4491" s="64"/>
      <c r="D4491" s="56"/>
    </row>
    <row r="4492">
      <c r="A4492" s="64"/>
      <c r="D4492" s="56"/>
    </row>
    <row r="4493">
      <c r="A4493" s="64"/>
      <c r="D4493" s="56"/>
    </row>
    <row r="4494">
      <c r="A4494" s="64"/>
      <c r="D4494" s="56"/>
    </row>
    <row r="4495">
      <c r="A4495" s="64"/>
      <c r="D4495" s="56"/>
    </row>
    <row r="4496">
      <c r="A4496" s="64"/>
      <c r="D4496" s="56"/>
    </row>
    <row r="4497">
      <c r="A4497" s="64"/>
      <c r="D4497" s="56"/>
    </row>
    <row r="4498">
      <c r="A4498" s="64"/>
      <c r="D4498" s="56"/>
    </row>
    <row r="4499">
      <c r="A4499" s="64"/>
      <c r="D4499" s="56"/>
    </row>
    <row r="4500">
      <c r="A4500" s="64"/>
      <c r="D4500" s="56"/>
    </row>
    <row r="4501">
      <c r="A4501" s="64"/>
      <c r="D4501" s="56"/>
    </row>
    <row r="4502">
      <c r="A4502" s="64"/>
      <c r="D4502" s="56"/>
    </row>
    <row r="4503">
      <c r="A4503" s="64"/>
      <c r="D4503" s="56"/>
    </row>
    <row r="4504">
      <c r="A4504" s="64"/>
      <c r="D4504" s="56"/>
    </row>
    <row r="4505">
      <c r="A4505" s="64"/>
      <c r="D4505" s="56"/>
    </row>
    <row r="4506">
      <c r="A4506" s="64"/>
      <c r="D4506" s="56"/>
    </row>
    <row r="4507">
      <c r="A4507" s="64"/>
      <c r="D4507" s="56"/>
    </row>
    <row r="4508">
      <c r="A4508" s="64"/>
      <c r="D4508" s="56"/>
    </row>
    <row r="4509">
      <c r="A4509" s="64"/>
      <c r="D4509" s="56"/>
    </row>
    <row r="4510">
      <c r="A4510" s="64"/>
      <c r="D4510" s="56"/>
    </row>
    <row r="4511">
      <c r="A4511" s="64"/>
      <c r="D4511" s="56"/>
    </row>
    <row r="4512">
      <c r="A4512" s="64"/>
      <c r="D4512" s="56"/>
    </row>
    <row r="4513">
      <c r="A4513" s="64"/>
      <c r="D4513" s="56"/>
    </row>
    <row r="4514">
      <c r="A4514" s="64"/>
      <c r="D4514" s="56"/>
    </row>
    <row r="4515">
      <c r="A4515" s="64"/>
      <c r="D4515" s="56"/>
    </row>
    <row r="4516">
      <c r="A4516" s="64"/>
      <c r="D4516" s="56"/>
    </row>
    <row r="4517">
      <c r="A4517" s="64"/>
      <c r="D4517" s="56"/>
    </row>
    <row r="4518">
      <c r="A4518" s="64"/>
      <c r="D4518" s="56"/>
    </row>
    <row r="4519">
      <c r="A4519" s="64"/>
      <c r="D4519" s="56"/>
    </row>
    <row r="4520">
      <c r="A4520" s="64"/>
      <c r="D4520" s="56"/>
    </row>
    <row r="4521">
      <c r="A4521" s="64"/>
      <c r="D4521" s="56"/>
    </row>
    <row r="4522">
      <c r="A4522" s="64"/>
      <c r="D4522" s="56"/>
    </row>
    <row r="4523">
      <c r="A4523" s="64"/>
      <c r="D4523" s="56"/>
    </row>
    <row r="4524">
      <c r="A4524" s="64"/>
      <c r="D4524" s="56"/>
    </row>
    <row r="4525">
      <c r="A4525" s="64"/>
      <c r="D4525" s="56"/>
    </row>
    <row r="4526">
      <c r="A4526" s="64"/>
      <c r="D4526" s="56"/>
    </row>
    <row r="4527">
      <c r="A4527" s="64"/>
      <c r="D4527" s="56"/>
    </row>
    <row r="4528">
      <c r="A4528" s="64"/>
      <c r="D4528" s="56"/>
    </row>
    <row r="4529">
      <c r="A4529" s="64"/>
      <c r="D4529" s="56"/>
    </row>
    <row r="4530">
      <c r="A4530" s="64"/>
      <c r="D4530" s="56"/>
    </row>
    <row r="4531">
      <c r="A4531" s="64"/>
      <c r="D4531" s="56"/>
    </row>
    <row r="4532">
      <c r="A4532" s="64"/>
      <c r="D4532" s="56"/>
    </row>
    <row r="4533">
      <c r="A4533" s="64"/>
      <c r="D4533" s="56"/>
    </row>
    <row r="4534">
      <c r="A4534" s="64"/>
      <c r="D4534" s="56"/>
    </row>
    <row r="4535">
      <c r="A4535" s="64"/>
      <c r="D4535" s="56"/>
    </row>
    <row r="4536">
      <c r="A4536" s="64"/>
      <c r="D4536" s="56"/>
    </row>
    <row r="4537">
      <c r="A4537" s="64"/>
      <c r="D4537" s="56"/>
    </row>
    <row r="4538">
      <c r="A4538" s="64"/>
      <c r="D4538" s="56"/>
    </row>
    <row r="4539">
      <c r="A4539" s="64"/>
      <c r="D4539" s="56"/>
    </row>
    <row r="4540">
      <c r="A4540" s="64"/>
      <c r="D4540" s="56"/>
    </row>
    <row r="4541">
      <c r="A4541" s="64"/>
      <c r="D4541" s="56"/>
    </row>
    <row r="4542">
      <c r="A4542" s="64"/>
      <c r="D4542" s="56"/>
    </row>
    <row r="4543">
      <c r="A4543" s="64"/>
      <c r="D4543" s="56"/>
    </row>
    <row r="4544">
      <c r="A4544" s="64"/>
      <c r="D4544" s="56"/>
    </row>
    <row r="4545">
      <c r="A4545" s="64"/>
      <c r="D4545" s="56"/>
    </row>
    <row r="4546">
      <c r="A4546" s="64"/>
      <c r="D4546" s="56"/>
    </row>
    <row r="4547">
      <c r="A4547" s="64"/>
      <c r="D4547" s="56"/>
    </row>
    <row r="4548">
      <c r="A4548" s="64"/>
      <c r="D4548" s="56"/>
    </row>
    <row r="4549">
      <c r="A4549" s="64"/>
      <c r="D4549" s="56"/>
    </row>
    <row r="4550">
      <c r="A4550" s="64"/>
      <c r="D4550" s="56"/>
    </row>
    <row r="4551">
      <c r="A4551" s="64"/>
      <c r="D4551" s="56"/>
    </row>
    <row r="4552">
      <c r="A4552" s="64"/>
      <c r="D4552" s="56"/>
    </row>
    <row r="4553">
      <c r="A4553" s="64"/>
      <c r="D4553" s="56"/>
    </row>
    <row r="4554">
      <c r="A4554" s="64"/>
      <c r="D4554" s="56"/>
    </row>
    <row r="4555">
      <c r="A4555" s="64"/>
      <c r="D4555" s="56"/>
    </row>
    <row r="4556">
      <c r="A4556" s="64"/>
      <c r="D4556" s="56"/>
    </row>
    <row r="4557">
      <c r="A4557" s="64"/>
      <c r="D4557" s="56"/>
    </row>
    <row r="4558">
      <c r="A4558" s="64"/>
      <c r="D4558" s="56"/>
    </row>
    <row r="4559">
      <c r="A4559" s="64"/>
      <c r="D4559" s="56"/>
    </row>
    <row r="4560">
      <c r="A4560" s="64"/>
      <c r="D4560" s="56"/>
    </row>
    <row r="4561">
      <c r="A4561" s="64"/>
      <c r="D4561" s="56"/>
    </row>
    <row r="4562">
      <c r="A4562" s="64"/>
      <c r="D4562" s="56"/>
    </row>
    <row r="4563">
      <c r="A4563" s="64"/>
      <c r="D4563" s="56"/>
    </row>
    <row r="4564">
      <c r="A4564" s="64"/>
      <c r="D4564" s="56"/>
    </row>
    <row r="4565">
      <c r="A4565" s="64"/>
      <c r="D4565" s="56"/>
    </row>
    <row r="4566">
      <c r="A4566" s="64"/>
      <c r="D4566" s="56"/>
    </row>
    <row r="4567">
      <c r="A4567" s="64"/>
      <c r="D4567" s="56"/>
    </row>
    <row r="4568">
      <c r="A4568" s="64"/>
      <c r="D4568" s="56"/>
    </row>
    <row r="4569">
      <c r="A4569" s="64"/>
      <c r="D4569" s="56"/>
    </row>
    <row r="4570">
      <c r="A4570" s="64"/>
      <c r="D4570" s="56"/>
    </row>
    <row r="4571">
      <c r="A4571" s="64"/>
      <c r="D4571" s="56"/>
    </row>
    <row r="4572">
      <c r="A4572" s="64"/>
      <c r="D4572" s="56"/>
    </row>
    <row r="4573">
      <c r="A4573" s="64"/>
      <c r="D4573" s="56"/>
    </row>
    <row r="4574">
      <c r="A4574" s="64"/>
      <c r="D4574" s="56"/>
    </row>
    <row r="4575">
      <c r="A4575" s="64"/>
      <c r="D4575" s="56"/>
    </row>
    <row r="4576">
      <c r="A4576" s="64"/>
      <c r="D4576" s="56"/>
    </row>
    <row r="4577">
      <c r="A4577" s="64"/>
      <c r="D4577" s="56"/>
    </row>
    <row r="4578">
      <c r="A4578" s="64"/>
      <c r="D4578" s="56"/>
    </row>
    <row r="4579">
      <c r="A4579" s="64"/>
      <c r="D4579" s="56"/>
    </row>
    <row r="4580">
      <c r="A4580" s="64"/>
      <c r="D4580" s="56"/>
    </row>
    <row r="4581">
      <c r="A4581" s="64"/>
      <c r="D4581" s="56"/>
    </row>
    <row r="4582">
      <c r="A4582" s="64"/>
      <c r="D4582" s="56"/>
    </row>
    <row r="4583">
      <c r="A4583" s="64"/>
      <c r="D4583" s="56"/>
    </row>
    <row r="4584">
      <c r="A4584" s="64"/>
      <c r="D4584" s="56"/>
    </row>
    <row r="4585">
      <c r="A4585" s="64"/>
      <c r="D4585" s="56"/>
    </row>
    <row r="4586">
      <c r="A4586" s="64"/>
      <c r="D4586" s="56"/>
    </row>
    <row r="4587">
      <c r="A4587" s="64"/>
      <c r="D4587" s="56"/>
    </row>
    <row r="4588">
      <c r="A4588" s="64"/>
      <c r="D4588" s="56"/>
    </row>
    <row r="4589">
      <c r="A4589" s="64"/>
      <c r="D4589" s="56"/>
    </row>
    <row r="4590">
      <c r="A4590" s="64"/>
      <c r="D4590" s="56"/>
    </row>
    <row r="4591">
      <c r="A4591" s="64"/>
      <c r="D4591" s="56"/>
    </row>
    <row r="4592">
      <c r="A4592" s="64"/>
      <c r="D4592" s="56"/>
    </row>
    <row r="4593">
      <c r="A4593" s="64"/>
      <c r="D4593" s="56"/>
    </row>
    <row r="4594">
      <c r="A4594" s="64"/>
      <c r="D4594" s="56"/>
    </row>
    <row r="4595">
      <c r="A4595" s="64"/>
      <c r="D4595" s="56"/>
    </row>
    <row r="4596">
      <c r="A4596" s="64"/>
      <c r="D4596" s="56"/>
    </row>
    <row r="4597">
      <c r="A4597" s="64"/>
      <c r="D4597" s="56"/>
    </row>
    <row r="4598">
      <c r="A4598" s="64"/>
      <c r="D4598" s="56"/>
    </row>
    <row r="4599">
      <c r="A4599" s="64"/>
      <c r="D4599" s="56"/>
    </row>
    <row r="4600">
      <c r="A4600" s="64"/>
      <c r="D4600" s="56"/>
    </row>
    <row r="4601">
      <c r="A4601" s="64"/>
      <c r="D4601" s="56"/>
    </row>
    <row r="4602">
      <c r="A4602" s="64"/>
      <c r="D4602" s="56"/>
    </row>
    <row r="4603">
      <c r="A4603" s="64"/>
      <c r="D4603" s="56"/>
    </row>
    <row r="4604">
      <c r="A4604" s="64"/>
      <c r="D4604" s="56"/>
    </row>
    <row r="4605">
      <c r="A4605" s="64"/>
      <c r="D4605" s="56"/>
    </row>
    <row r="4606">
      <c r="A4606" s="64"/>
      <c r="D4606" s="56"/>
    </row>
    <row r="4607">
      <c r="A4607" s="64"/>
      <c r="D4607" s="56"/>
    </row>
    <row r="4608">
      <c r="A4608" s="64"/>
      <c r="D4608" s="56"/>
    </row>
    <row r="4609">
      <c r="A4609" s="64"/>
      <c r="D4609" s="56"/>
    </row>
    <row r="4610">
      <c r="A4610" s="64"/>
      <c r="D4610" s="56"/>
    </row>
    <row r="4611">
      <c r="A4611" s="64"/>
      <c r="D4611" s="56"/>
    </row>
    <row r="4612">
      <c r="A4612" s="64"/>
      <c r="D4612" s="56"/>
    </row>
    <row r="4613">
      <c r="A4613" s="64"/>
      <c r="D4613" s="56"/>
    </row>
    <row r="4614">
      <c r="A4614" s="64"/>
      <c r="D4614" s="56"/>
    </row>
    <row r="4615">
      <c r="A4615" s="64"/>
      <c r="D4615" s="56"/>
    </row>
    <row r="4616">
      <c r="A4616" s="64"/>
      <c r="D4616" s="56"/>
    </row>
    <row r="4617">
      <c r="A4617" s="64"/>
      <c r="D4617" s="56"/>
    </row>
    <row r="4618">
      <c r="A4618" s="64"/>
      <c r="D4618" s="56"/>
    </row>
    <row r="4619">
      <c r="A4619" s="64"/>
      <c r="D4619" s="56"/>
    </row>
    <row r="4620">
      <c r="A4620" s="64"/>
      <c r="D4620" s="56"/>
    </row>
    <row r="4621">
      <c r="A4621" s="64"/>
      <c r="D4621" s="56"/>
    </row>
    <row r="4622">
      <c r="A4622" s="64"/>
      <c r="D4622" s="56"/>
    </row>
    <row r="4623">
      <c r="A4623" s="64"/>
      <c r="D4623" s="56"/>
    </row>
    <row r="4624">
      <c r="A4624" s="64"/>
      <c r="D4624" s="56"/>
    </row>
    <row r="4625">
      <c r="A4625" s="64"/>
      <c r="D4625" s="56"/>
    </row>
    <row r="4626">
      <c r="A4626" s="64"/>
      <c r="D4626" s="56"/>
    </row>
    <row r="4627">
      <c r="A4627" s="64"/>
      <c r="D4627" s="56"/>
    </row>
    <row r="4628">
      <c r="A4628" s="64"/>
      <c r="D4628" s="56"/>
    </row>
    <row r="4629">
      <c r="A4629" s="64"/>
      <c r="D4629" s="56"/>
    </row>
    <row r="4630">
      <c r="A4630" s="64"/>
      <c r="D4630" s="56"/>
    </row>
    <row r="4631">
      <c r="A4631" s="64"/>
      <c r="D4631" s="56"/>
    </row>
    <row r="4632">
      <c r="A4632" s="64"/>
      <c r="D4632" s="56"/>
    </row>
    <row r="4633">
      <c r="A4633" s="64"/>
      <c r="D4633" s="56"/>
    </row>
    <row r="4634">
      <c r="A4634" s="64"/>
      <c r="D4634" s="56"/>
    </row>
    <row r="4635">
      <c r="A4635" s="64"/>
      <c r="D4635" s="56"/>
    </row>
    <row r="4636">
      <c r="A4636" s="64"/>
      <c r="D4636" s="56"/>
    </row>
    <row r="4637">
      <c r="A4637" s="64"/>
      <c r="D4637" s="56"/>
    </row>
    <row r="4638">
      <c r="A4638" s="64"/>
      <c r="D4638" s="56"/>
    </row>
    <row r="4639">
      <c r="A4639" s="64"/>
      <c r="D4639" s="56"/>
    </row>
    <row r="4640">
      <c r="A4640" s="64"/>
      <c r="D4640" s="56"/>
    </row>
    <row r="4641">
      <c r="A4641" s="64"/>
      <c r="D4641" s="56"/>
    </row>
    <row r="4642">
      <c r="A4642" s="64"/>
      <c r="D4642" s="56"/>
    </row>
    <row r="4643">
      <c r="A4643" s="64"/>
      <c r="D4643" s="56"/>
    </row>
    <row r="4644">
      <c r="A4644" s="64"/>
      <c r="D4644" s="56"/>
    </row>
    <row r="4645">
      <c r="A4645" s="64"/>
      <c r="D4645" s="56"/>
    </row>
    <row r="4646">
      <c r="A4646" s="64"/>
      <c r="D4646" s="56"/>
    </row>
    <row r="4647">
      <c r="A4647" s="64"/>
      <c r="D4647" s="56"/>
    </row>
    <row r="4648">
      <c r="A4648" s="64"/>
      <c r="D4648" s="56"/>
    </row>
    <row r="4649">
      <c r="A4649" s="64"/>
      <c r="D4649" s="56"/>
    </row>
    <row r="4650">
      <c r="A4650" s="64"/>
      <c r="D4650" s="56"/>
    </row>
    <row r="4651">
      <c r="A4651" s="64"/>
      <c r="D4651" s="56"/>
    </row>
    <row r="4652">
      <c r="A4652" s="64"/>
      <c r="D4652" s="56"/>
    </row>
    <row r="4653">
      <c r="A4653" s="64"/>
      <c r="D4653" s="56"/>
    </row>
    <row r="4654">
      <c r="A4654" s="64"/>
      <c r="D4654" s="56"/>
    </row>
    <row r="4655">
      <c r="A4655" s="64"/>
      <c r="D4655" s="56"/>
    </row>
    <row r="4656">
      <c r="A4656" s="64"/>
      <c r="D4656" s="56"/>
    </row>
    <row r="4657">
      <c r="A4657" s="64"/>
      <c r="D4657" s="56"/>
    </row>
    <row r="4658">
      <c r="A4658" s="64"/>
      <c r="D4658" s="56"/>
    </row>
    <row r="4659">
      <c r="A4659" s="64"/>
      <c r="D4659" s="56"/>
    </row>
    <row r="4660">
      <c r="A4660" s="64"/>
      <c r="D4660" s="56"/>
    </row>
    <row r="4661">
      <c r="A4661" s="64"/>
      <c r="D4661" s="56"/>
    </row>
    <row r="4662">
      <c r="A4662" s="64"/>
      <c r="D4662" s="56"/>
    </row>
    <row r="4663">
      <c r="A4663" s="64"/>
      <c r="D4663" s="56"/>
    </row>
    <row r="4664">
      <c r="A4664" s="64"/>
      <c r="D4664" s="56"/>
    </row>
    <row r="4665">
      <c r="A4665" s="64"/>
      <c r="D4665" s="56"/>
    </row>
    <row r="4666">
      <c r="A4666" s="64"/>
      <c r="D4666" s="56"/>
    </row>
    <row r="4667">
      <c r="A4667" s="64"/>
      <c r="D4667" s="56"/>
    </row>
    <row r="4668">
      <c r="A4668" s="64"/>
      <c r="D4668" s="56"/>
    </row>
    <row r="4669">
      <c r="A4669" s="64"/>
      <c r="D4669" s="56"/>
    </row>
    <row r="4670">
      <c r="A4670" s="64"/>
      <c r="D4670" s="56"/>
    </row>
    <row r="4671">
      <c r="A4671" s="64"/>
      <c r="D4671" s="56"/>
    </row>
    <row r="4672">
      <c r="A4672" s="64"/>
      <c r="D4672" s="56"/>
    </row>
    <row r="4673">
      <c r="A4673" s="64"/>
      <c r="D4673" s="56"/>
    </row>
    <row r="4674">
      <c r="A4674" s="64"/>
      <c r="D4674" s="56"/>
    </row>
    <row r="4675">
      <c r="A4675" s="64"/>
      <c r="D4675" s="56"/>
    </row>
    <row r="4676">
      <c r="A4676" s="64"/>
      <c r="D4676" s="56"/>
    </row>
    <row r="4677">
      <c r="A4677" s="64"/>
      <c r="D4677" s="56"/>
    </row>
    <row r="4678">
      <c r="A4678" s="64"/>
      <c r="D4678" s="56"/>
    </row>
    <row r="4679">
      <c r="A4679" s="64"/>
      <c r="D4679" s="56"/>
    </row>
    <row r="4680">
      <c r="A4680" s="64"/>
      <c r="D4680" s="56"/>
    </row>
    <row r="4681">
      <c r="A4681" s="64"/>
      <c r="D4681" s="56"/>
    </row>
    <row r="4682">
      <c r="A4682" s="64"/>
      <c r="D4682" s="56"/>
    </row>
    <row r="4683">
      <c r="A4683" s="64"/>
      <c r="D4683" s="56"/>
    </row>
    <row r="4684">
      <c r="A4684" s="64"/>
      <c r="D4684" s="56"/>
    </row>
    <row r="4685">
      <c r="A4685" s="64"/>
      <c r="D4685" s="56"/>
    </row>
    <row r="4686">
      <c r="A4686" s="64"/>
      <c r="D4686" s="56"/>
    </row>
    <row r="4687">
      <c r="A4687" s="64"/>
      <c r="D4687" s="56"/>
    </row>
    <row r="4688">
      <c r="A4688" s="64"/>
      <c r="D4688" s="56"/>
    </row>
    <row r="4689">
      <c r="A4689" s="64"/>
      <c r="D4689" s="56"/>
    </row>
    <row r="4690">
      <c r="A4690" s="64"/>
      <c r="D4690" s="56"/>
    </row>
    <row r="4691">
      <c r="A4691" s="64"/>
      <c r="D4691" s="56"/>
    </row>
    <row r="4692">
      <c r="A4692" s="64"/>
      <c r="D4692" s="56"/>
    </row>
    <row r="4693">
      <c r="A4693" s="64"/>
      <c r="D4693" s="56"/>
    </row>
    <row r="4694">
      <c r="A4694" s="64"/>
      <c r="D4694" s="56"/>
    </row>
    <row r="4695">
      <c r="A4695" s="64"/>
      <c r="D4695" s="56"/>
    </row>
    <row r="4696">
      <c r="A4696" s="64"/>
      <c r="D4696" s="56"/>
    </row>
    <row r="4697">
      <c r="A4697" s="64"/>
      <c r="D4697" s="56"/>
    </row>
    <row r="4698">
      <c r="A4698" s="64"/>
      <c r="D4698" s="56"/>
    </row>
    <row r="4699">
      <c r="A4699" s="64"/>
      <c r="D4699" s="56"/>
    </row>
    <row r="4700">
      <c r="A4700" s="64"/>
      <c r="D4700" s="56"/>
    </row>
    <row r="4701">
      <c r="A4701" s="64"/>
      <c r="D4701" s="56"/>
    </row>
    <row r="4702">
      <c r="A4702" s="64"/>
      <c r="D4702" s="56"/>
    </row>
    <row r="4703">
      <c r="A4703" s="64"/>
      <c r="D4703" s="56"/>
    </row>
    <row r="4704">
      <c r="A4704" s="64"/>
      <c r="D4704" s="56"/>
    </row>
    <row r="4705">
      <c r="A4705" s="64"/>
      <c r="D4705" s="56"/>
    </row>
    <row r="4706">
      <c r="A4706" s="64"/>
      <c r="D4706" s="56"/>
    </row>
    <row r="4707">
      <c r="A4707" s="64"/>
      <c r="D4707" s="56"/>
    </row>
    <row r="4708">
      <c r="A4708" s="64"/>
      <c r="D4708" s="56"/>
    </row>
    <row r="4709">
      <c r="A4709" s="64"/>
      <c r="D4709" s="56"/>
    </row>
    <row r="4710">
      <c r="A4710" s="64"/>
      <c r="D4710" s="56"/>
    </row>
    <row r="4711">
      <c r="A4711" s="64"/>
      <c r="D4711" s="56"/>
    </row>
    <row r="4712">
      <c r="A4712" s="64"/>
      <c r="D4712" s="56"/>
    </row>
    <row r="4713">
      <c r="A4713" s="64"/>
      <c r="D4713" s="56"/>
    </row>
    <row r="4714">
      <c r="A4714" s="64"/>
      <c r="D4714" s="56"/>
    </row>
    <row r="4715">
      <c r="A4715" s="64"/>
      <c r="D4715" s="56"/>
    </row>
    <row r="4716">
      <c r="A4716" s="64"/>
      <c r="D4716" s="56"/>
    </row>
    <row r="4717">
      <c r="A4717" s="64"/>
      <c r="D4717" s="56"/>
    </row>
    <row r="4718">
      <c r="A4718" s="64"/>
      <c r="D4718" s="56"/>
    </row>
    <row r="4719">
      <c r="A4719" s="64"/>
      <c r="D4719" s="56"/>
    </row>
    <row r="4720">
      <c r="A4720" s="64"/>
      <c r="D4720" s="56"/>
    </row>
    <row r="4721">
      <c r="A4721" s="64"/>
      <c r="D4721" s="56"/>
    </row>
    <row r="4722">
      <c r="A4722" s="64"/>
      <c r="D4722" s="56"/>
    </row>
    <row r="4723">
      <c r="A4723" s="64"/>
      <c r="D4723" s="56"/>
    </row>
    <row r="4724">
      <c r="A4724" s="64"/>
      <c r="D4724" s="56"/>
    </row>
    <row r="4725">
      <c r="A4725" s="64"/>
      <c r="D4725" s="56"/>
    </row>
    <row r="4726">
      <c r="A4726" s="64"/>
      <c r="D4726" s="56"/>
    </row>
    <row r="4727">
      <c r="A4727" s="64"/>
      <c r="D4727" s="56"/>
    </row>
    <row r="4728">
      <c r="A4728" s="64"/>
      <c r="D4728" s="56"/>
    </row>
    <row r="4729">
      <c r="A4729" s="64"/>
      <c r="D4729" s="56"/>
    </row>
    <row r="4730">
      <c r="A4730" s="64"/>
      <c r="D4730" s="56"/>
    </row>
    <row r="4731">
      <c r="A4731" s="64"/>
      <c r="D4731" s="56"/>
    </row>
    <row r="4732">
      <c r="A4732" s="64"/>
      <c r="D4732" s="56"/>
    </row>
    <row r="4733">
      <c r="A4733" s="64"/>
      <c r="D4733" s="56"/>
    </row>
    <row r="4734">
      <c r="A4734" s="64"/>
      <c r="D4734" s="56"/>
    </row>
    <row r="4735">
      <c r="A4735" s="64"/>
      <c r="D4735" s="56"/>
    </row>
    <row r="4736">
      <c r="A4736" s="64"/>
      <c r="D4736" s="56"/>
    </row>
    <row r="4737">
      <c r="A4737" s="64"/>
      <c r="D4737" s="56"/>
    </row>
    <row r="4738">
      <c r="A4738" s="64"/>
      <c r="D4738" s="56"/>
    </row>
    <row r="4739">
      <c r="A4739" s="64"/>
      <c r="D4739" s="56"/>
    </row>
    <row r="4740">
      <c r="A4740" s="64"/>
      <c r="D4740" s="56"/>
    </row>
    <row r="4741">
      <c r="A4741" s="64"/>
      <c r="D4741" s="56"/>
    </row>
    <row r="4742">
      <c r="A4742" s="64"/>
      <c r="D4742" s="56"/>
    </row>
    <row r="4743">
      <c r="A4743" s="64"/>
      <c r="D4743" s="56"/>
    </row>
    <row r="4744">
      <c r="A4744" s="64"/>
      <c r="D4744" s="56"/>
    </row>
    <row r="4745">
      <c r="A4745" s="64"/>
      <c r="D4745" s="56"/>
    </row>
    <row r="4746">
      <c r="A4746" s="64"/>
      <c r="D4746" s="56"/>
    </row>
    <row r="4747">
      <c r="A4747" s="64"/>
      <c r="D4747" s="56"/>
    </row>
    <row r="4748">
      <c r="A4748" s="64"/>
      <c r="D4748" s="56"/>
    </row>
    <row r="4749">
      <c r="A4749" s="64"/>
      <c r="D4749" s="56"/>
    </row>
    <row r="4750">
      <c r="A4750" s="64"/>
      <c r="D4750" s="56"/>
    </row>
    <row r="4751">
      <c r="A4751" s="64"/>
      <c r="D4751" s="56"/>
    </row>
    <row r="4752">
      <c r="A4752" s="64"/>
      <c r="D4752" s="56"/>
    </row>
    <row r="4753">
      <c r="A4753" s="64"/>
      <c r="D4753" s="56"/>
    </row>
    <row r="4754">
      <c r="A4754" s="64"/>
      <c r="D4754" s="56"/>
    </row>
    <row r="4755">
      <c r="A4755" s="64"/>
      <c r="D4755" s="56"/>
    </row>
    <row r="4756">
      <c r="A4756" s="64"/>
      <c r="D4756" s="56"/>
    </row>
    <row r="4757">
      <c r="A4757" s="64"/>
      <c r="D4757" s="56"/>
    </row>
    <row r="4758">
      <c r="A4758" s="64"/>
      <c r="D4758" s="56"/>
    </row>
    <row r="4759">
      <c r="A4759" s="64"/>
      <c r="D4759" s="56"/>
    </row>
    <row r="4760">
      <c r="A4760" s="64"/>
      <c r="D4760" s="56"/>
    </row>
    <row r="4761">
      <c r="A4761" s="64"/>
      <c r="D4761" s="56"/>
    </row>
    <row r="4762">
      <c r="A4762" s="64"/>
      <c r="D4762" s="56"/>
    </row>
    <row r="4763">
      <c r="A4763" s="64"/>
      <c r="D4763" s="56"/>
    </row>
    <row r="4764">
      <c r="A4764" s="64"/>
      <c r="D4764" s="56"/>
    </row>
    <row r="4765">
      <c r="A4765" s="64"/>
      <c r="D4765" s="56"/>
    </row>
    <row r="4766">
      <c r="A4766" s="64"/>
      <c r="D4766" s="56"/>
    </row>
    <row r="4767">
      <c r="A4767" s="64"/>
      <c r="D4767" s="56"/>
    </row>
    <row r="4768">
      <c r="A4768" s="64"/>
      <c r="D4768" s="56"/>
    </row>
    <row r="4769">
      <c r="A4769" s="64"/>
      <c r="D4769" s="56"/>
    </row>
    <row r="4770">
      <c r="A4770" s="64"/>
      <c r="D4770" s="56"/>
    </row>
    <row r="4771">
      <c r="A4771" s="64"/>
      <c r="D4771" s="56"/>
    </row>
    <row r="4772">
      <c r="A4772" s="64"/>
      <c r="D4772" s="56"/>
    </row>
    <row r="4773">
      <c r="A4773" s="64"/>
      <c r="D4773" s="56"/>
    </row>
    <row r="4774">
      <c r="A4774" s="64"/>
      <c r="D4774" s="56"/>
    </row>
    <row r="4775">
      <c r="A4775" s="64"/>
      <c r="D4775" s="56"/>
    </row>
    <row r="4776">
      <c r="A4776" s="64"/>
      <c r="D4776" s="56"/>
    </row>
    <row r="4777">
      <c r="A4777" s="64"/>
      <c r="D4777" s="56"/>
    </row>
    <row r="4778">
      <c r="A4778" s="64"/>
      <c r="D4778" s="56"/>
    </row>
    <row r="4779">
      <c r="A4779" s="64"/>
      <c r="D4779" s="56"/>
    </row>
    <row r="4780">
      <c r="A4780" s="64"/>
      <c r="D4780" s="56"/>
    </row>
    <row r="4781">
      <c r="A4781" s="64"/>
      <c r="D4781" s="56"/>
    </row>
    <row r="4782">
      <c r="A4782" s="64"/>
      <c r="D4782" s="56"/>
    </row>
    <row r="4783">
      <c r="A4783" s="64"/>
      <c r="D4783" s="56"/>
    </row>
    <row r="4784">
      <c r="A4784" s="64"/>
      <c r="D4784" s="56"/>
    </row>
    <row r="4785">
      <c r="A4785" s="64"/>
      <c r="D4785" s="56"/>
    </row>
    <row r="4786">
      <c r="A4786" s="64"/>
      <c r="D4786" s="56"/>
    </row>
    <row r="4787">
      <c r="A4787" s="64"/>
      <c r="D4787" s="56"/>
    </row>
    <row r="4788">
      <c r="A4788" s="64"/>
      <c r="D4788" s="56"/>
    </row>
    <row r="4789">
      <c r="A4789" s="64"/>
      <c r="D4789" s="56"/>
    </row>
    <row r="4790">
      <c r="A4790" s="64"/>
      <c r="D4790" s="56"/>
    </row>
    <row r="4791">
      <c r="A4791" s="64"/>
      <c r="D4791" s="56"/>
    </row>
    <row r="4792">
      <c r="A4792" s="64"/>
      <c r="D4792" s="56"/>
    </row>
    <row r="4793">
      <c r="A4793" s="64"/>
      <c r="D4793" s="56"/>
    </row>
    <row r="4794">
      <c r="A4794" s="64"/>
      <c r="D4794" s="56"/>
    </row>
    <row r="4795">
      <c r="A4795" s="64"/>
      <c r="D4795" s="56"/>
    </row>
    <row r="4796">
      <c r="A4796" s="64"/>
      <c r="D4796" s="56"/>
    </row>
    <row r="4797">
      <c r="A4797" s="64"/>
      <c r="D4797" s="56"/>
    </row>
    <row r="4798">
      <c r="A4798" s="64"/>
      <c r="D4798" s="56"/>
    </row>
    <row r="4799">
      <c r="A4799" s="64"/>
      <c r="D4799" s="56"/>
    </row>
    <row r="4800">
      <c r="A4800" s="64"/>
      <c r="D4800" s="56"/>
    </row>
    <row r="4801">
      <c r="A4801" s="64"/>
      <c r="D4801" s="56"/>
    </row>
    <row r="4802">
      <c r="A4802" s="64"/>
      <c r="D4802" s="56"/>
    </row>
    <row r="4803">
      <c r="A4803" s="64"/>
      <c r="D4803" s="56"/>
    </row>
    <row r="4804">
      <c r="A4804" s="64"/>
      <c r="D4804" s="56"/>
    </row>
    <row r="4805">
      <c r="A4805" s="64"/>
      <c r="D4805" s="56"/>
    </row>
    <row r="4806">
      <c r="A4806" s="64"/>
      <c r="D4806" s="56"/>
    </row>
    <row r="4807">
      <c r="A4807" s="64"/>
      <c r="D4807" s="56"/>
    </row>
    <row r="4808">
      <c r="A4808" s="64"/>
      <c r="D4808" s="56"/>
    </row>
    <row r="4809">
      <c r="A4809" s="64"/>
      <c r="D4809" s="56"/>
    </row>
    <row r="4810">
      <c r="A4810" s="64"/>
      <c r="D4810" s="56"/>
    </row>
    <row r="4811">
      <c r="A4811" s="64"/>
      <c r="D4811" s="56"/>
    </row>
    <row r="4812">
      <c r="A4812" s="64"/>
      <c r="D4812" s="56"/>
    </row>
    <row r="4813">
      <c r="A4813" s="64"/>
      <c r="D4813" s="56"/>
    </row>
    <row r="4814">
      <c r="A4814" s="64"/>
      <c r="D4814" s="56"/>
    </row>
    <row r="4815">
      <c r="A4815" s="64"/>
      <c r="D4815" s="56"/>
    </row>
    <row r="4816">
      <c r="A4816" s="64"/>
      <c r="D4816" s="56"/>
    </row>
    <row r="4817">
      <c r="A4817" s="64"/>
      <c r="D4817" s="56"/>
    </row>
    <row r="4818">
      <c r="A4818" s="64"/>
      <c r="D4818" s="56"/>
    </row>
    <row r="4819">
      <c r="A4819" s="64"/>
      <c r="D4819" s="56"/>
    </row>
    <row r="4820">
      <c r="A4820" s="64"/>
      <c r="D4820" s="56"/>
    </row>
    <row r="4821">
      <c r="A4821" s="64"/>
      <c r="D4821" s="56"/>
    </row>
    <row r="4822">
      <c r="A4822" s="64"/>
      <c r="D4822" s="56"/>
    </row>
    <row r="4823">
      <c r="A4823" s="64"/>
      <c r="D4823" s="56"/>
    </row>
    <row r="4824">
      <c r="A4824" s="64"/>
      <c r="D4824" s="56"/>
    </row>
    <row r="4825">
      <c r="A4825" s="64"/>
      <c r="D4825" s="56"/>
    </row>
    <row r="4826">
      <c r="A4826" s="64"/>
      <c r="D4826" s="56"/>
    </row>
    <row r="4827">
      <c r="A4827" s="64"/>
      <c r="D4827" s="56"/>
    </row>
    <row r="4828">
      <c r="A4828" s="64"/>
      <c r="D4828" s="56"/>
    </row>
    <row r="4829">
      <c r="A4829" s="64"/>
      <c r="D4829" s="56"/>
    </row>
    <row r="4830">
      <c r="A4830" s="64"/>
      <c r="D4830" s="56"/>
    </row>
    <row r="4831">
      <c r="A4831" s="64"/>
      <c r="D4831" s="56"/>
    </row>
    <row r="4832">
      <c r="A4832" s="64"/>
      <c r="D4832" s="56"/>
    </row>
    <row r="4833">
      <c r="A4833" s="64"/>
      <c r="D4833" s="56"/>
    </row>
    <row r="4834">
      <c r="A4834" s="64"/>
      <c r="D4834" s="56"/>
    </row>
    <row r="4835">
      <c r="A4835" s="64"/>
      <c r="D4835" s="56"/>
    </row>
    <row r="4836">
      <c r="A4836" s="64"/>
      <c r="D4836" s="56"/>
    </row>
    <row r="4837">
      <c r="A4837" s="64"/>
      <c r="D4837" s="56"/>
    </row>
    <row r="4838">
      <c r="A4838" s="64"/>
      <c r="D4838" s="56"/>
    </row>
    <row r="4839">
      <c r="A4839" s="64"/>
      <c r="D4839" s="56"/>
    </row>
    <row r="4840">
      <c r="A4840" s="64"/>
      <c r="D4840" s="56"/>
    </row>
    <row r="4841">
      <c r="A4841" s="64"/>
      <c r="D4841" s="56"/>
    </row>
    <row r="4842">
      <c r="A4842" s="64"/>
      <c r="D4842" s="56"/>
    </row>
    <row r="4843">
      <c r="A4843" s="64"/>
      <c r="D4843" s="56"/>
    </row>
    <row r="4844">
      <c r="A4844" s="64"/>
      <c r="D4844" s="56"/>
    </row>
    <row r="4845">
      <c r="A4845" s="64"/>
      <c r="D4845" s="56"/>
    </row>
    <row r="4846">
      <c r="A4846" s="64"/>
      <c r="D4846" s="56"/>
    </row>
    <row r="4847">
      <c r="A4847" s="64"/>
      <c r="D4847" s="56"/>
    </row>
    <row r="4848">
      <c r="A4848" s="64"/>
      <c r="D4848" s="56"/>
    </row>
    <row r="4849">
      <c r="A4849" s="64"/>
      <c r="D4849" s="56"/>
    </row>
    <row r="4850">
      <c r="A4850" s="64"/>
      <c r="D4850" s="56"/>
    </row>
    <row r="4851">
      <c r="A4851" s="64"/>
      <c r="D4851" s="56"/>
    </row>
    <row r="4852">
      <c r="A4852" s="64"/>
      <c r="D4852" s="56"/>
    </row>
    <row r="4853">
      <c r="A4853" s="64"/>
      <c r="D4853" s="56"/>
    </row>
    <row r="4854">
      <c r="A4854" s="64"/>
      <c r="D4854" s="56"/>
    </row>
    <row r="4855">
      <c r="A4855" s="64"/>
      <c r="D4855" s="56"/>
    </row>
    <row r="4856">
      <c r="A4856" s="64"/>
      <c r="D4856" s="56"/>
    </row>
    <row r="4857">
      <c r="A4857" s="64"/>
      <c r="D4857" s="56"/>
    </row>
    <row r="4858">
      <c r="A4858" s="64"/>
      <c r="D4858" s="56"/>
    </row>
    <row r="4859">
      <c r="A4859" s="64"/>
      <c r="D4859" s="56"/>
    </row>
    <row r="4860">
      <c r="A4860" s="64"/>
      <c r="D4860" s="56"/>
    </row>
    <row r="4861">
      <c r="A4861" s="64"/>
      <c r="D4861" s="56"/>
    </row>
    <row r="4862">
      <c r="A4862" s="64"/>
      <c r="D4862" s="56"/>
    </row>
    <row r="4863">
      <c r="A4863" s="64"/>
      <c r="D4863" s="56"/>
    </row>
    <row r="4864">
      <c r="A4864" s="64"/>
      <c r="D4864" s="56"/>
    </row>
    <row r="4865">
      <c r="A4865" s="64"/>
      <c r="D4865" s="56"/>
    </row>
    <row r="4866">
      <c r="A4866" s="64"/>
      <c r="D4866" s="56"/>
    </row>
    <row r="4867">
      <c r="A4867" s="64"/>
      <c r="D4867" s="56"/>
    </row>
    <row r="4868">
      <c r="A4868" s="64"/>
      <c r="D4868" s="56"/>
    </row>
    <row r="4869">
      <c r="A4869" s="64"/>
      <c r="D4869" s="56"/>
    </row>
    <row r="4870">
      <c r="A4870" s="64"/>
      <c r="D4870" s="56"/>
    </row>
    <row r="4871">
      <c r="A4871" s="64"/>
      <c r="D4871" s="56"/>
    </row>
    <row r="4872">
      <c r="A4872" s="64"/>
      <c r="D4872" s="56"/>
    </row>
    <row r="4873">
      <c r="A4873" s="64"/>
      <c r="D4873" s="56"/>
    </row>
    <row r="4874">
      <c r="A4874" s="64"/>
      <c r="D4874" s="56"/>
    </row>
    <row r="4875">
      <c r="A4875" s="64"/>
      <c r="D4875" s="56"/>
    </row>
    <row r="4876">
      <c r="A4876" s="64"/>
      <c r="D4876" s="56"/>
    </row>
    <row r="4877">
      <c r="A4877" s="64"/>
      <c r="D4877" s="56"/>
    </row>
    <row r="4878">
      <c r="A4878" s="64"/>
      <c r="D4878" s="56"/>
    </row>
    <row r="4879">
      <c r="A4879" s="64"/>
      <c r="D4879" s="56"/>
    </row>
    <row r="4880">
      <c r="A4880" s="64"/>
      <c r="D4880" s="56"/>
    </row>
    <row r="4881">
      <c r="A4881" s="64"/>
      <c r="D4881" s="56"/>
    </row>
    <row r="4882">
      <c r="A4882" s="64"/>
      <c r="D4882" s="56"/>
    </row>
    <row r="4883">
      <c r="A4883" s="64"/>
      <c r="D4883" s="56"/>
    </row>
    <row r="4884">
      <c r="A4884" s="64"/>
      <c r="D4884" s="56"/>
    </row>
    <row r="4885">
      <c r="A4885" s="64"/>
      <c r="D4885" s="56"/>
    </row>
    <row r="4886">
      <c r="A4886" s="64"/>
      <c r="D4886" s="56"/>
    </row>
    <row r="4887">
      <c r="A4887" s="64"/>
      <c r="D4887" s="56"/>
    </row>
    <row r="4888">
      <c r="A4888" s="64"/>
      <c r="D4888" s="56"/>
    </row>
    <row r="4889">
      <c r="A4889" s="64"/>
      <c r="D4889" s="56"/>
    </row>
    <row r="4890">
      <c r="A4890" s="64"/>
      <c r="D4890" s="56"/>
    </row>
    <row r="4891">
      <c r="A4891" s="64"/>
      <c r="D4891" s="56"/>
    </row>
    <row r="4892">
      <c r="A4892" s="64"/>
      <c r="D4892" s="56"/>
    </row>
    <row r="4893">
      <c r="A4893" s="64"/>
      <c r="D4893" s="56"/>
    </row>
    <row r="4894">
      <c r="A4894" s="64"/>
      <c r="D4894" s="56"/>
    </row>
    <row r="4895">
      <c r="A4895" s="64"/>
      <c r="D4895" s="56"/>
    </row>
    <row r="4896">
      <c r="A4896" s="64"/>
      <c r="D4896" s="56"/>
    </row>
    <row r="4897">
      <c r="A4897" s="64"/>
      <c r="D4897" s="56"/>
    </row>
    <row r="4898">
      <c r="A4898" s="64"/>
      <c r="D4898" s="56"/>
    </row>
    <row r="4899">
      <c r="A4899" s="64"/>
      <c r="D4899" s="56"/>
    </row>
    <row r="4900">
      <c r="A4900" s="64"/>
      <c r="D4900" s="56"/>
    </row>
    <row r="4901">
      <c r="A4901" s="64"/>
      <c r="D4901" s="56"/>
    </row>
    <row r="4902">
      <c r="A4902" s="64"/>
      <c r="D4902" s="56"/>
    </row>
    <row r="4903">
      <c r="A4903" s="64"/>
      <c r="D4903" s="56"/>
    </row>
    <row r="4904">
      <c r="A4904" s="64"/>
      <c r="D4904" s="56"/>
    </row>
    <row r="4905">
      <c r="A4905" s="64"/>
      <c r="D4905" s="56"/>
    </row>
    <row r="4906">
      <c r="A4906" s="64"/>
      <c r="D4906" s="56"/>
    </row>
    <row r="4907">
      <c r="A4907" s="64"/>
      <c r="D4907" s="56"/>
    </row>
    <row r="4908">
      <c r="A4908" s="64"/>
      <c r="D4908" s="56"/>
    </row>
    <row r="4909">
      <c r="A4909" s="64"/>
      <c r="D4909" s="56"/>
    </row>
    <row r="4910">
      <c r="A4910" s="64"/>
      <c r="D4910" s="56"/>
    </row>
    <row r="4911">
      <c r="A4911" s="64"/>
      <c r="D4911" s="56"/>
    </row>
    <row r="4912">
      <c r="A4912" s="64"/>
      <c r="D4912" s="56"/>
    </row>
    <row r="4913">
      <c r="A4913" s="64"/>
      <c r="D4913" s="56"/>
    </row>
    <row r="4914">
      <c r="A4914" s="64"/>
      <c r="D4914" s="56"/>
    </row>
    <row r="4915">
      <c r="A4915" s="64"/>
      <c r="D4915" s="56"/>
    </row>
    <row r="4916">
      <c r="A4916" s="64"/>
      <c r="D4916" s="56"/>
    </row>
    <row r="4917">
      <c r="A4917" s="64"/>
      <c r="D4917" s="56"/>
    </row>
    <row r="4918">
      <c r="A4918" s="64"/>
      <c r="D4918" s="56"/>
    </row>
    <row r="4919">
      <c r="A4919" s="64"/>
      <c r="D4919" s="56"/>
    </row>
    <row r="4920">
      <c r="A4920" s="64"/>
      <c r="D4920" s="56"/>
    </row>
    <row r="4921">
      <c r="A4921" s="64"/>
      <c r="D4921" s="56"/>
    </row>
    <row r="4922">
      <c r="A4922" s="64"/>
      <c r="D4922" s="56"/>
    </row>
    <row r="4923">
      <c r="A4923" s="64"/>
      <c r="D4923" s="56"/>
    </row>
    <row r="4924">
      <c r="A4924" s="64"/>
      <c r="D4924" s="56"/>
    </row>
    <row r="4925">
      <c r="A4925" s="64"/>
      <c r="D4925" s="56"/>
    </row>
    <row r="4926">
      <c r="A4926" s="64"/>
      <c r="D4926" s="56"/>
    </row>
    <row r="4927">
      <c r="A4927" s="64"/>
      <c r="D4927" s="56"/>
    </row>
    <row r="4928">
      <c r="A4928" s="64"/>
      <c r="D4928" s="56"/>
    </row>
    <row r="4929">
      <c r="A4929" s="64"/>
      <c r="D4929" s="56"/>
    </row>
    <row r="4930">
      <c r="A4930" s="64"/>
      <c r="D4930" s="56"/>
    </row>
    <row r="4931">
      <c r="A4931" s="64"/>
      <c r="D4931" s="56"/>
    </row>
    <row r="4932">
      <c r="A4932" s="64"/>
      <c r="D4932" s="56"/>
    </row>
    <row r="4933">
      <c r="A4933" s="64"/>
      <c r="D4933" s="56"/>
    </row>
    <row r="4934">
      <c r="A4934" s="64"/>
      <c r="D4934" s="56"/>
    </row>
    <row r="4935">
      <c r="A4935" s="64"/>
      <c r="D4935" s="56"/>
    </row>
    <row r="4936">
      <c r="A4936" s="64"/>
      <c r="D4936" s="56"/>
    </row>
    <row r="4937">
      <c r="A4937" s="64"/>
      <c r="D4937" s="56"/>
    </row>
    <row r="4938">
      <c r="A4938" s="64"/>
      <c r="D4938" s="56"/>
    </row>
    <row r="4939">
      <c r="A4939" s="64"/>
      <c r="D4939" s="56"/>
    </row>
    <row r="4940">
      <c r="A4940" s="64"/>
      <c r="D4940" s="56"/>
    </row>
    <row r="4941">
      <c r="A4941" s="64"/>
      <c r="D4941" s="56"/>
    </row>
    <row r="4942">
      <c r="A4942" s="64"/>
      <c r="D4942" s="56"/>
    </row>
    <row r="4943">
      <c r="A4943" s="64"/>
      <c r="D4943" s="56"/>
    </row>
    <row r="4944">
      <c r="A4944" s="64"/>
      <c r="D4944" s="56"/>
    </row>
    <row r="4945">
      <c r="A4945" s="64"/>
      <c r="D4945" s="56"/>
    </row>
    <row r="4946">
      <c r="A4946" s="64"/>
      <c r="D4946" s="56"/>
    </row>
    <row r="4947">
      <c r="A4947" s="64"/>
      <c r="D4947" s="56"/>
    </row>
    <row r="4948">
      <c r="A4948" s="64"/>
      <c r="D4948" s="56"/>
    </row>
    <row r="4949">
      <c r="A4949" s="64"/>
      <c r="D4949" s="56"/>
    </row>
    <row r="4950">
      <c r="A4950" s="64"/>
      <c r="D4950" s="56"/>
    </row>
    <row r="4951">
      <c r="A4951" s="64"/>
      <c r="D4951" s="56"/>
    </row>
    <row r="4952">
      <c r="A4952" s="64"/>
      <c r="D4952" s="56"/>
    </row>
    <row r="4953">
      <c r="A4953" s="64"/>
      <c r="D4953" s="56"/>
    </row>
    <row r="4954">
      <c r="A4954" s="64"/>
      <c r="D4954" s="56"/>
    </row>
    <row r="4955">
      <c r="A4955" s="64"/>
      <c r="D4955" s="56"/>
    </row>
    <row r="4956">
      <c r="A4956" s="64"/>
      <c r="D4956" s="56"/>
    </row>
    <row r="4957">
      <c r="A4957" s="64"/>
      <c r="D4957" s="56"/>
    </row>
    <row r="4958">
      <c r="A4958" s="64"/>
      <c r="D4958" s="56"/>
    </row>
    <row r="4959">
      <c r="A4959" s="64"/>
      <c r="D4959" s="56"/>
    </row>
    <row r="4960">
      <c r="A4960" s="64"/>
      <c r="D4960" s="56"/>
    </row>
    <row r="4961">
      <c r="A4961" s="64"/>
      <c r="D4961" s="56"/>
    </row>
    <row r="4962">
      <c r="A4962" s="64"/>
      <c r="D4962" s="56"/>
    </row>
    <row r="4963">
      <c r="A4963" s="64"/>
      <c r="D4963" s="56"/>
    </row>
    <row r="4964">
      <c r="A4964" s="64"/>
      <c r="D4964" s="56"/>
    </row>
    <row r="4965">
      <c r="A4965" s="64"/>
      <c r="D4965" s="56"/>
    </row>
    <row r="4966">
      <c r="A4966" s="64"/>
      <c r="D4966" s="56"/>
    </row>
    <row r="4967">
      <c r="A4967" s="64"/>
      <c r="D4967" s="56"/>
    </row>
    <row r="4968">
      <c r="A4968" s="64"/>
      <c r="D4968" s="56"/>
    </row>
    <row r="4969">
      <c r="A4969" s="64"/>
      <c r="D4969" s="56"/>
    </row>
    <row r="4970">
      <c r="A4970" s="64"/>
      <c r="D4970" s="56"/>
    </row>
    <row r="4971">
      <c r="A4971" s="64"/>
      <c r="D4971" s="56"/>
    </row>
    <row r="4972">
      <c r="A4972" s="64"/>
      <c r="D4972" s="56"/>
    </row>
    <row r="4973">
      <c r="A4973" s="64"/>
      <c r="D4973" s="56"/>
    </row>
    <row r="4974">
      <c r="A4974" s="64"/>
      <c r="D4974" s="56"/>
    </row>
    <row r="4975">
      <c r="A4975" s="64"/>
      <c r="D4975" s="56"/>
    </row>
    <row r="4976">
      <c r="A4976" s="64"/>
      <c r="D4976" s="56"/>
    </row>
    <row r="4977">
      <c r="A4977" s="64"/>
      <c r="D4977" s="56"/>
    </row>
    <row r="4978">
      <c r="A4978" s="64"/>
      <c r="D4978" s="56"/>
    </row>
    <row r="4979">
      <c r="A4979" s="64"/>
      <c r="D4979" s="56"/>
    </row>
    <row r="4980">
      <c r="A4980" s="64"/>
      <c r="D4980" s="56"/>
    </row>
    <row r="4981">
      <c r="A4981" s="64"/>
      <c r="D4981" s="56"/>
    </row>
    <row r="4982">
      <c r="A4982" s="64"/>
      <c r="D4982" s="56"/>
    </row>
    <row r="4983">
      <c r="A4983" s="64"/>
      <c r="D4983" s="56"/>
    </row>
    <row r="4984">
      <c r="A4984" s="64"/>
      <c r="D4984" s="56"/>
    </row>
    <row r="4985">
      <c r="A4985" s="64"/>
      <c r="D4985" s="56"/>
    </row>
    <row r="4986">
      <c r="A4986" s="64"/>
      <c r="D4986" s="56"/>
    </row>
    <row r="4987">
      <c r="A4987" s="64"/>
      <c r="D4987" s="56"/>
    </row>
    <row r="4988">
      <c r="A4988" s="64"/>
      <c r="D4988" s="56"/>
    </row>
    <row r="4989">
      <c r="A4989" s="64"/>
      <c r="D4989" s="56"/>
    </row>
    <row r="4990">
      <c r="A4990" s="64"/>
      <c r="D4990" s="56"/>
    </row>
    <row r="4991">
      <c r="A4991" s="64"/>
      <c r="D4991" s="56"/>
    </row>
    <row r="4992">
      <c r="A4992" s="64"/>
      <c r="D4992" s="56"/>
    </row>
    <row r="4993">
      <c r="A4993" s="64"/>
      <c r="D4993" s="56"/>
    </row>
    <row r="4994">
      <c r="A4994" s="64"/>
      <c r="D4994" s="56"/>
    </row>
    <row r="4995">
      <c r="A4995" s="64"/>
      <c r="D4995" s="56"/>
    </row>
    <row r="4996">
      <c r="A4996" s="64"/>
      <c r="D4996" s="56"/>
    </row>
    <row r="4997">
      <c r="A4997" s="64"/>
      <c r="D4997" s="56"/>
    </row>
    <row r="4998">
      <c r="A4998" s="64"/>
      <c r="D4998" s="56"/>
    </row>
    <row r="4999">
      <c r="A4999" s="64"/>
      <c r="D4999" s="56"/>
    </row>
    <row r="5000">
      <c r="A5000" s="64"/>
      <c r="D5000" s="56"/>
    </row>
    <row r="5001">
      <c r="A5001" s="64"/>
      <c r="D5001" s="56"/>
    </row>
    <row r="5002">
      <c r="A5002" s="64"/>
      <c r="D5002" s="56"/>
    </row>
    <row r="5003">
      <c r="A5003" s="64"/>
      <c r="D5003" s="56"/>
    </row>
    <row r="5004">
      <c r="A5004" s="64"/>
      <c r="D5004" s="56"/>
    </row>
    <row r="5005">
      <c r="A5005" s="64"/>
      <c r="D5005" s="56"/>
    </row>
    <row r="5006">
      <c r="A5006" s="64"/>
      <c r="D5006" s="56"/>
    </row>
    <row r="5007">
      <c r="A5007" s="64"/>
      <c r="D5007" s="56"/>
    </row>
    <row r="5008">
      <c r="A5008" s="64"/>
      <c r="D5008" s="56"/>
    </row>
    <row r="5009">
      <c r="A5009" s="64"/>
      <c r="D5009" s="56"/>
    </row>
    <row r="5010">
      <c r="A5010" s="64"/>
      <c r="D5010" s="56"/>
    </row>
    <row r="5011">
      <c r="A5011" s="64"/>
      <c r="D5011" s="56"/>
    </row>
    <row r="5012">
      <c r="A5012" s="64"/>
      <c r="D5012" s="56"/>
    </row>
    <row r="5013">
      <c r="A5013" s="64"/>
      <c r="D5013" s="56"/>
    </row>
    <row r="5014">
      <c r="A5014" s="64"/>
      <c r="D5014" s="56"/>
    </row>
    <row r="5015">
      <c r="A5015" s="64"/>
      <c r="D5015" s="56"/>
    </row>
    <row r="5016">
      <c r="A5016" s="64"/>
      <c r="D5016" s="56"/>
    </row>
    <row r="5017">
      <c r="A5017" s="64"/>
      <c r="D5017" s="56"/>
    </row>
    <row r="5018">
      <c r="A5018" s="64"/>
      <c r="D5018" s="56"/>
    </row>
    <row r="5019">
      <c r="A5019" s="64"/>
      <c r="D5019" s="56"/>
    </row>
    <row r="5020">
      <c r="A5020" s="64"/>
      <c r="D5020" s="56"/>
    </row>
    <row r="5021">
      <c r="A5021" s="64"/>
      <c r="D5021" s="56"/>
    </row>
    <row r="5022">
      <c r="A5022" s="64"/>
      <c r="D5022" s="56"/>
    </row>
    <row r="5023">
      <c r="A5023" s="64"/>
      <c r="D5023" s="56"/>
    </row>
    <row r="5024">
      <c r="A5024" s="64"/>
      <c r="D5024" s="56"/>
    </row>
    <row r="5025">
      <c r="A5025" s="64"/>
      <c r="D5025" s="56"/>
    </row>
    <row r="5026">
      <c r="A5026" s="64"/>
      <c r="D5026" s="56"/>
    </row>
    <row r="5027">
      <c r="A5027" s="64"/>
      <c r="D5027" s="56"/>
    </row>
    <row r="5028">
      <c r="A5028" s="64"/>
      <c r="D5028" s="56"/>
    </row>
    <row r="5029">
      <c r="A5029" s="64"/>
      <c r="D5029" s="56"/>
    </row>
    <row r="5030">
      <c r="A5030" s="64"/>
      <c r="D5030" s="56"/>
    </row>
    <row r="5031">
      <c r="A5031" s="64"/>
      <c r="D5031" s="56"/>
    </row>
    <row r="5032">
      <c r="A5032" s="64"/>
      <c r="D5032" s="56"/>
    </row>
    <row r="5033">
      <c r="A5033" s="64"/>
      <c r="D5033" s="56"/>
    </row>
    <row r="5034">
      <c r="A5034" s="64"/>
      <c r="D5034" s="56"/>
    </row>
    <row r="5035">
      <c r="A5035" s="64"/>
      <c r="D5035" s="56"/>
    </row>
    <row r="5036">
      <c r="A5036" s="64"/>
      <c r="D5036" s="56"/>
    </row>
    <row r="5037">
      <c r="A5037" s="64"/>
      <c r="D5037" s="56"/>
    </row>
    <row r="5038">
      <c r="A5038" s="64"/>
      <c r="D5038" s="56"/>
    </row>
    <row r="5039">
      <c r="A5039" s="64"/>
      <c r="D5039" s="56"/>
    </row>
    <row r="5040">
      <c r="A5040" s="64"/>
      <c r="D5040" s="56"/>
    </row>
    <row r="5041">
      <c r="A5041" s="64"/>
      <c r="D5041" s="56"/>
    </row>
    <row r="5042">
      <c r="A5042" s="64"/>
      <c r="D5042" s="56"/>
    </row>
    <row r="5043">
      <c r="A5043" s="64"/>
      <c r="D5043" s="56"/>
    </row>
    <row r="5044">
      <c r="A5044" s="64"/>
      <c r="D5044" s="56"/>
    </row>
    <row r="5045">
      <c r="A5045" s="64"/>
      <c r="D5045" s="56"/>
    </row>
    <row r="5046">
      <c r="A5046" s="64"/>
      <c r="D5046" s="56"/>
    </row>
    <row r="5047">
      <c r="A5047" s="64"/>
      <c r="D5047" s="56"/>
    </row>
    <row r="5048">
      <c r="A5048" s="64"/>
      <c r="D5048" s="56"/>
    </row>
    <row r="5049">
      <c r="A5049" s="64"/>
      <c r="D5049" s="56"/>
    </row>
    <row r="5050">
      <c r="A5050" s="64"/>
      <c r="D5050" s="56"/>
    </row>
    <row r="5051">
      <c r="A5051" s="64"/>
      <c r="D5051" s="56"/>
    </row>
    <row r="5052">
      <c r="A5052" s="64"/>
      <c r="D5052" s="56"/>
    </row>
    <row r="5053">
      <c r="A5053" s="64"/>
      <c r="D5053" s="56"/>
    </row>
    <row r="5054">
      <c r="A5054" s="64"/>
      <c r="D5054" s="56"/>
    </row>
    <row r="5055">
      <c r="A5055" s="64"/>
      <c r="D5055" s="56"/>
    </row>
    <row r="5056">
      <c r="A5056" s="64"/>
      <c r="D5056" s="56"/>
    </row>
    <row r="5057">
      <c r="A5057" s="64"/>
      <c r="D5057" s="56"/>
    </row>
    <row r="5058">
      <c r="A5058" s="64"/>
      <c r="D5058" s="56"/>
    </row>
    <row r="5059">
      <c r="A5059" s="64"/>
      <c r="D5059" s="56"/>
    </row>
    <row r="5060">
      <c r="A5060" s="64"/>
      <c r="D5060" s="56"/>
    </row>
    <row r="5061">
      <c r="A5061" s="64"/>
      <c r="D5061" s="56"/>
    </row>
    <row r="5062">
      <c r="A5062" s="64"/>
      <c r="D5062" s="56"/>
    </row>
    <row r="5063">
      <c r="A5063" s="64"/>
      <c r="D5063" s="56"/>
    </row>
    <row r="5064">
      <c r="A5064" s="64"/>
      <c r="D5064" s="56"/>
    </row>
    <row r="5065">
      <c r="A5065" s="64"/>
      <c r="D5065" s="56"/>
    </row>
    <row r="5066">
      <c r="A5066" s="64"/>
      <c r="D5066" s="56"/>
    </row>
    <row r="5067">
      <c r="A5067" s="64"/>
      <c r="D5067" s="56"/>
    </row>
    <row r="5068">
      <c r="A5068" s="64"/>
      <c r="D5068" s="56"/>
    </row>
    <row r="5069">
      <c r="A5069" s="64"/>
      <c r="D5069" s="56"/>
    </row>
    <row r="5070">
      <c r="A5070" s="64"/>
      <c r="D5070" s="56"/>
    </row>
    <row r="5071">
      <c r="A5071" s="64"/>
      <c r="D5071" s="56"/>
    </row>
    <row r="5072">
      <c r="A5072" s="64"/>
      <c r="D5072" s="56"/>
    </row>
    <row r="5073">
      <c r="A5073" s="64"/>
      <c r="D5073" s="56"/>
    </row>
    <row r="5074">
      <c r="A5074" s="64"/>
      <c r="D5074" s="56"/>
    </row>
    <row r="5075">
      <c r="A5075" s="64"/>
      <c r="D5075" s="56"/>
    </row>
    <row r="5076">
      <c r="A5076" s="64"/>
      <c r="D5076" s="56"/>
    </row>
    <row r="5077">
      <c r="A5077" s="64"/>
      <c r="D5077" s="56"/>
    </row>
    <row r="5078">
      <c r="A5078" s="64"/>
      <c r="D5078" s="56"/>
    </row>
    <row r="5079">
      <c r="A5079" s="64"/>
      <c r="D5079" s="56"/>
    </row>
    <row r="5080">
      <c r="A5080" s="64"/>
      <c r="D5080" s="56"/>
    </row>
    <row r="5081">
      <c r="A5081" s="64"/>
      <c r="D5081" s="56"/>
    </row>
    <row r="5082">
      <c r="A5082" s="64"/>
      <c r="D5082" s="56"/>
    </row>
    <row r="5083">
      <c r="A5083" s="64"/>
      <c r="D5083" s="56"/>
    </row>
    <row r="5084">
      <c r="A5084" s="64"/>
      <c r="D5084" s="56"/>
    </row>
    <row r="5085">
      <c r="A5085" s="64"/>
      <c r="D5085" s="56"/>
    </row>
    <row r="5086">
      <c r="A5086" s="64"/>
      <c r="D5086" s="56"/>
    </row>
    <row r="5087">
      <c r="A5087" s="64"/>
      <c r="D5087" s="56"/>
    </row>
    <row r="5088">
      <c r="A5088" s="64"/>
      <c r="D5088" s="56"/>
    </row>
    <row r="5089">
      <c r="A5089" s="64"/>
      <c r="D5089" s="56"/>
    </row>
    <row r="5090">
      <c r="A5090" s="64"/>
      <c r="D5090" s="56"/>
    </row>
    <row r="5091">
      <c r="A5091" s="64"/>
      <c r="D5091" s="56"/>
    </row>
    <row r="5092">
      <c r="A5092" s="64"/>
      <c r="D5092" s="56"/>
    </row>
    <row r="5093">
      <c r="A5093" s="64"/>
      <c r="D5093" s="56"/>
    </row>
    <row r="5094">
      <c r="A5094" s="64"/>
      <c r="D5094" s="56"/>
    </row>
    <row r="5095">
      <c r="A5095" s="64"/>
      <c r="D5095" s="56"/>
    </row>
    <row r="5096">
      <c r="A5096" s="64"/>
      <c r="D5096" s="56"/>
    </row>
    <row r="5097">
      <c r="A5097" s="64"/>
      <c r="D5097" s="56"/>
    </row>
    <row r="5098">
      <c r="A5098" s="64"/>
      <c r="D5098" s="56"/>
    </row>
    <row r="5099">
      <c r="A5099" s="64"/>
      <c r="D5099" s="56"/>
    </row>
    <row r="5100">
      <c r="A5100" s="64"/>
      <c r="D5100" s="56"/>
    </row>
    <row r="5101">
      <c r="A5101" s="64"/>
      <c r="D5101" s="56"/>
    </row>
    <row r="5102">
      <c r="A5102" s="64"/>
      <c r="D5102" s="56"/>
    </row>
    <row r="5103">
      <c r="A5103" s="64"/>
      <c r="D5103" s="56"/>
    </row>
    <row r="5104">
      <c r="A5104" s="64"/>
      <c r="D5104" s="56"/>
    </row>
    <row r="5105">
      <c r="A5105" s="64"/>
      <c r="D5105" s="56"/>
    </row>
    <row r="5106">
      <c r="A5106" s="64"/>
      <c r="D5106" s="56"/>
    </row>
    <row r="5107">
      <c r="A5107" s="64"/>
      <c r="D5107" s="56"/>
    </row>
    <row r="5108">
      <c r="A5108" s="64"/>
      <c r="D5108" s="56"/>
    </row>
    <row r="5109">
      <c r="A5109" s="64"/>
      <c r="D5109" s="56"/>
    </row>
    <row r="5110">
      <c r="A5110" s="64"/>
      <c r="D5110" s="56"/>
    </row>
    <row r="5111">
      <c r="A5111" s="64"/>
      <c r="D5111" s="56"/>
    </row>
    <row r="5112">
      <c r="A5112" s="64"/>
      <c r="D5112" s="56"/>
    </row>
    <row r="5113">
      <c r="A5113" s="64"/>
      <c r="D5113" s="56"/>
    </row>
    <row r="5114">
      <c r="A5114" s="64"/>
      <c r="D5114" s="56"/>
    </row>
    <row r="5115">
      <c r="A5115" s="64"/>
      <c r="D5115" s="56"/>
    </row>
    <row r="5116">
      <c r="A5116" s="64"/>
      <c r="D5116" s="56"/>
    </row>
    <row r="5117">
      <c r="A5117" s="64"/>
      <c r="D5117" s="56"/>
    </row>
    <row r="5118">
      <c r="A5118" s="64"/>
      <c r="D5118" s="56"/>
    </row>
    <row r="5119">
      <c r="A5119" s="64"/>
      <c r="D5119" s="56"/>
    </row>
    <row r="5120">
      <c r="A5120" s="64"/>
      <c r="D5120" s="56"/>
    </row>
    <row r="5121">
      <c r="A5121" s="64"/>
      <c r="D5121" s="56"/>
    </row>
    <row r="5122">
      <c r="A5122" s="64"/>
      <c r="D5122" s="56"/>
    </row>
    <row r="5123">
      <c r="A5123" s="64"/>
      <c r="D5123" s="56"/>
    </row>
    <row r="5124">
      <c r="A5124" s="64"/>
      <c r="D5124" s="56"/>
    </row>
    <row r="5125">
      <c r="A5125" s="64"/>
      <c r="D5125" s="56"/>
    </row>
    <row r="5126">
      <c r="A5126" s="64"/>
      <c r="D5126" s="56"/>
    </row>
    <row r="5127">
      <c r="A5127" s="64"/>
      <c r="D5127" s="56"/>
    </row>
    <row r="5128">
      <c r="A5128" s="64"/>
      <c r="D5128" s="56"/>
    </row>
    <row r="5129">
      <c r="A5129" s="64"/>
      <c r="D5129" s="56"/>
    </row>
    <row r="5130">
      <c r="A5130" s="64"/>
      <c r="D5130" s="56"/>
    </row>
    <row r="5131">
      <c r="A5131" s="64"/>
      <c r="D5131" s="56"/>
    </row>
    <row r="5132">
      <c r="A5132" s="64"/>
      <c r="D5132" s="56"/>
    </row>
    <row r="5133">
      <c r="A5133" s="64"/>
      <c r="D5133" s="56"/>
    </row>
    <row r="5134">
      <c r="A5134" s="64"/>
      <c r="D5134" s="56"/>
    </row>
    <row r="5135">
      <c r="A5135" s="64"/>
      <c r="D5135" s="56"/>
    </row>
    <row r="5136">
      <c r="A5136" s="64"/>
      <c r="D5136" s="56"/>
    </row>
    <row r="5137">
      <c r="A5137" s="64"/>
      <c r="D5137" s="56"/>
    </row>
    <row r="5138">
      <c r="A5138" s="64"/>
      <c r="D5138" s="56"/>
    </row>
    <row r="5139">
      <c r="A5139" s="64"/>
      <c r="D5139" s="56"/>
    </row>
    <row r="5140">
      <c r="A5140" s="64"/>
      <c r="D5140" s="56"/>
    </row>
    <row r="5141">
      <c r="A5141" s="64"/>
      <c r="D5141" s="56"/>
    </row>
    <row r="5142">
      <c r="A5142" s="64"/>
      <c r="D5142" s="56"/>
    </row>
    <row r="5143">
      <c r="A5143" s="64"/>
      <c r="D5143" s="56"/>
    </row>
    <row r="5144">
      <c r="A5144" s="64"/>
      <c r="D5144" s="56"/>
    </row>
    <row r="5145">
      <c r="A5145" s="64"/>
      <c r="D5145" s="56"/>
    </row>
    <row r="5146">
      <c r="A5146" s="64"/>
      <c r="D5146" s="56"/>
    </row>
    <row r="5147">
      <c r="A5147" s="64"/>
      <c r="D5147" s="56"/>
    </row>
    <row r="5148">
      <c r="A5148" s="64"/>
      <c r="D5148" s="56"/>
    </row>
    <row r="5149">
      <c r="A5149" s="64"/>
      <c r="D5149" s="56"/>
    </row>
    <row r="5150">
      <c r="A5150" s="64"/>
      <c r="D5150" s="56"/>
    </row>
    <row r="5151">
      <c r="A5151" s="64"/>
      <c r="D5151" s="56"/>
    </row>
    <row r="5152">
      <c r="A5152" s="64"/>
      <c r="D5152" s="56"/>
    </row>
    <row r="5153">
      <c r="A5153" s="64"/>
      <c r="D5153" s="56"/>
    </row>
    <row r="5154">
      <c r="A5154" s="64"/>
      <c r="D5154" s="56"/>
    </row>
    <row r="5155">
      <c r="A5155" s="64"/>
      <c r="D5155" s="56"/>
    </row>
    <row r="5156">
      <c r="A5156" s="64"/>
      <c r="D5156" s="56"/>
    </row>
    <row r="5157">
      <c r="A5157" s="64"/>
      <c r="D5157" s="56"/>
    </row>
    <row r="5158">
      <c r="A5158" s="64"/>
      <c r="D5158" s="56"/>
    </row>
    <row r="5159">
      <c r="A5159" s="64"/>
      <c r="D5159" s="56"/>
    </row>
    <row r="5160">
      <c r="A5160" s="64"/>
      <c r="D5160" s="56"/>
    </row>
    <row r="5161">
      <c r="A5161" s="64"/>
      <c r="D5161" s="56"/>
    </row>
    <row r="5162">
      <c r="A5162" s="64"/>
      <c r="D5162" s="56"/>
    </row>
    <row r="5163">
      <c r="A5163" s="64"/>
      <c r="D5163" s="56"/>
    </row>
    <row r="5164">
      <c r="A5164" s="64"/>
      <c r="D5164" s="56"/>
    </row>
    <row r="5165">
      <c r="A5165" s="64"/>
      <c r="D5165" s="56"/>
    </row>
    <row r="5166">
      <c r="A5166" s="64"/>
      <c r="D5166" s="56"/>
    </row>
    <row r="5167">
      <c r="A5167" s="64"/>
      <c r="D5167" s="56"/>
    </row>
    <row r="5168">
      <c r="A5168" s="64"/>
      <c r="D5168" s="56"/>
    </row>
    <row r="5169">
      <c r="A5169" s="64"/>
      <c r="D5169" s="56"/>
    </row>
    <row r="5170">
      <c r="A5170" s="64"/>
      <c r="D5170" s="56"/>
    </row>
    <row r="5171">
      <c r="A5171" s="64"/>
      <c r="D5171" s="56"/>
    </row>
    <row r="5172">
      <c r="A5172" s="64"/>
      <c r="D5172" s="56"/>
    </row>
    <row r="5173">
      <c r="A5173" s="64"/>
      <c r="D5173" s="56"/>
    </row>
    <row r="5174">
      <c r="A5174" s="64"/>
      <c r="D5174" s="56"/>
    </row>
    <row r="5175">
      <c r="A5175" s="64"/>
      <c r="D5175" s="56"/>
    </row>
    <row r="5176">
      <c r="A5176" s="64"/>
      <c r="D5176" s="56"/>
    </row>
    <row r="5177">
      <c r="A5177" s="64"/>
      <c r="D5177" s="56"/>
    </row>
    <row r="5178">
      <c r="A5178" s="64"/>
      <c r="D5178" s="56"/>
    </row>
    <row r="5179">
      <c r="A5179" s="64"/>
      <c r="D5179" s="56"/>
    </row>
    <row r="5180">
      <c r="A5180" s="64"/>
      <c r="D5180" s="56"/>
    </row>
    <row r="5181">
      <c r="A5181" s="64"/>
      <c r="D5181" s="56"/>
    </row>
    <row r="5182">
      <c r="A5182" s="64"/>
      <c r="D5182" s="56"/>
    </row>
    <row r="5183">
      <c r="A5183" s="64"/>
      <c r="D5183" s="56"/>
    </row>
    <row r="5184">
      <c r="A5184" s="64"/>
      <c r="D5184" s="56"/>
    </row>
    <row r="5185">
      <c r="A5185" s="64"/>
      <c r="D5185" s="56"/>
    </row>
    <row r="5186">
      <c r="A5186" s="64"/>
      <c r="D5186" s="56"/>
    </row>
    <row r="5187">
      <c r="A5187" s="64"/>
      <c r="D5187" s="56"/>
    </row>
    <row r="5188">
      <c r="A5188" s="64"/>
      <c r="D5188" s="56"/>
    </row>
    <row r="5189">
      <c r="A5189" s="64"/>
      <c r="D5189" s="56"/>
    </row>
    <row r="5190">
      <c r="A5190" s="64"/>
      <c r="D5190" s="56"/>
    </row>
    <row r="5191">
      <c r="A5191" s="64"/>
      <c r="D5191" s="56"/>
    </row>
    <row r="5192">
      <c r="A5192" s="64"/>
      <c r="D5192" s="56"/>
    </row>
    <row r="5193">
      <c r="A5193" s="64"/>
      <c r="D5193" s="56"/>
    </row>
    <row r="5194">
      <c r="A5194" s="64"/>
      <c r="D5194" s="56"/>
    </row>
    <row r="5195">
      <c r="A5195" s="64"/>
      <c r="D5195" s="56"/>
    </row>
    <row r="5196">
      <c r="A5196" s="64"/>
      <c r="D5196" s="56"/>
    </row>
    <row r="5197">
      <c r="A5197" s="64"/>
      <c r="D5197" s="56"/>
    </row>
    <row r="5198">
      <c r="A5198" s="64"/>
      <c r="D5198" s="56"/>
    </row>
    <row r="5199">
      <c r="A5199" s="64"/>
      <c r="D5199" s="56"/>
    </row>
    <row r="5200">
      <c r="A5200" s="64"/>
      <c r="D5200" s="56"/>
    </row>
    <row r="5201">
      <c r="A5201" s="64"/>
      <c r="D5201" s="56"/>
    </row>
    <row r="5202">
      <c r="A5202" s="64"/>
      <c r="D5202" s="56"/>
    </row>
    <row r="5203">
      <c r="A5203" s="64"/>
      <c r="D5203" s="56"/>
    </row>
    <row r="5204">
      <c r="A5204" s="64"/>
      <c r="D5204" s="56"/>
    </row>
    <row r="5205">
      <c r="A5205" s="64"/>
      <c r="D5205" s="56"/>
    </row>
    <row r="5206">
      <c r="A5206" s="64"/>
      <c r="D5206" s="56"/>
    </row>
    <row r="5207">
      <c r="A5207" s="64"/>
      <c r="D5207" s="56"/>
    </row>
    <row r="5208">
      <c r="A5208" s="64"/>
      <c r="D5208" s="56"/>
    </row>
    <row r="5209">
      <c r="A5209" s="64"/>
      <c r="D5209" s="56"/>
    </row>
    <row r="5210">
      <c r="A5210" s="64"/>
      <c r="D5210" s="56"/>
    </row>
    <row r="5211">
      <c r="A5211" s="64"/>
      <c r="D5211" s="56"/>
    </row>
    <row r="5212">
      <c r="A5212" s="64"/>
      <c r="D5212" s="56"/>
    </row>
    <row r="5213">
      <c r="A5213" s="64"/>
      <c r="D5213" s="56"/>
    </row>
    <row r="5214">
      <c r="A5214" s="64"/>
      <c r="D5214" s="56"/>
    </row>
    <row r="5215">
      <c r="A5215" s="64"/>
      <c r="D5215" s="56"/>
    </row>
    <row r="5216">
      <c r="A5216" s="64"/>
      <c r="D5216" s="56"/>
    </row>
    <row r="5217">
      <c r="A5217" s="64"/>
      <c r="D5217" s="56"/>
    </row>
    <row r="5218">
      <c r="A5218" s="64"/>
      <c r="D5218" s="56"/>
    </row>
    <row r="5219">
      <c r="A5219" s="64"/>
      <c r="D5219" s="56"/>
    </row>
    <row r="5220">
      <c r="A5220" s="64"/>
      <c r="D5220" s="56"/>
    </row>
    <row r="5221">
      <c r="A5221" s="64"/>
      <c r="D5221" s="56"/>
    </row>
    <row r="5222">
      <c r="A5222" s="64"/>
      <c r="D5222" s="56"/>
    </row>
    <row r="5223">
      <c r="A5223" s="64"/>
      <c r="D5223" s="56"/>
    </row>
    <row r="5224">
      <c r="A5224" s="64"/>
      <c r="D5224" s="56"/>
    </row>
    <row r="5225">
      <c r="A5225" s="64"/>
      <c r="D5225" s="56"/>
    </row>
    <row r="5226">
      <c r="A5226" s="64"/>
      <c r="D5226" s="56"/>
    </row>
    <row r="5227">
      <c r="A5227" s="64"/>
      <c r="D5227" s="56"/>
    </row>
    <row r="5228">
      <c r="A5228" s="64"/>
      <c r="D5228" s="56"/>
    </row>
    <row r="5229">
      <c r="A5229" s="64"/>
      <c r="D5229" s="56"/>
    </row>
    <row r="5230">
      <c r="A5230" s="64"/>
      <c r="D5230" s="56"/>
    </row>
    <row r="5231">
      <c r="A5231" s="64"/>
      <c r="D5231" s="56"/>
    </row>
    <row r="5232">
      <c r="A5232" s="64"/>
      <c r="D5232" s="56"/>
    </row>
    <row r="5233">
      <c r="A5233" s="64"/>
      <c r="D5233" s="56"/>
    </row>
    <row r="5234">
      <c r="A5234" s="64"/>
      <c r="D5234" s="56"/>
    </row>
    <row r="5235">
      <c r="A5235" s="64"/>
      <c r="D5235" s="56"/>
    </row>
    <row r="5236">
      <c r="A5236" s="64"/>
      <c r="D5236" s="56"/>
    </row>
    <row r="5237">
      <c r="A5237" s="64"/>
      <c r="D5237" s="56"/>
    </row>
    <row r="5238">
      <c r="A5238" s="64"/>
      <c r="D5238" s="56"/>
    </row>
    <row r="5239">
      <c r="A5239" s="64"/>
      <c r="D5239" s="56"/>
    </row>
    <row r="5240">
      <c r="A5240" s="64"/>
      <c r="D5240" s="56"/>
    </row>
    <row r="5241">
      <c r="A5241" s="64"/>
      <c r="D5241" s="56"/>
    </row>
    <row r="5242">
      <c r="A5242" s="64"/>
      <c r="D5242" s="56"/>
    </row>
    <row r="5243">
      <c r="A5243" s="64"/>
      <c r="D5243" s="56"/>
    </row>
    <row r="5244">
      <c r="A5244" s="64"/>
      <c r="D5244" s="56"/>
    </row>
    <row r="5245">
      <c r="A5245" s="64"/>
      <c r="D5245" s="56"/>
    </row>
    <row r="5246">
      <c r="A5246" s="64"/>
      <c r="D5246" s="56"/>
    </row>
    <row r="5247">
      <c r="A5247" s="64"/>
      <c r="D5247" s="56"/>
    </row>
    <row r="5248">
      <c r="A5248" s="64"/>
      <c r="D5248" s="56"/>
    </row>
    <row r="5249">
      <c r="A5249" s="64"/>
      <c r="D5249" s="56"/>
    </row>
    <row r="5250">
      <c r="A5250" s="64"/>
      <c r="D5250" s="56"/>
    </row>
    <row r="5251">
      <c r="A5251" s="64"/>
      <c r="D5251" s="56"/>
    </row>
    <row r="5252">
      <c r="A5252" s="64"/>
      <c r="D5252" s="56"/>
    </row>
    <row r="5253">
      <c r="A5253" s="64"/>
      <c r="D5253" s="56"/>
    </row>
    <row r="5254">
      <c r="A5254" s="64"/>
      <c r="D5254" s="56"/>
    </row>
    <row r="5255">
      <c r="A5255" s="64"/>
      <c r="D5255" s="56"/>
    </row>
    <row r="5256">
      <c r="A5256" s="64"/>
      <c r="D5256" s="56"/>
    </row>
    <row r="5257">
      <c r="A5257" s="64"/>
      <c r="D5257" s="56"/>
    </row>
    <row r="5258">
      <c r="A5258" s="64"/>
      <c r="D5258" s="56"/>
    </row>
    <row r="5259">
      <c r="A5259" s="64"/>
      <c r="D5259" s="56"/>
    </row>
    <row r="5260">
      <c r="A5260" s="64"/>
      <c r="D5260" s="56"/>
    </row>
    <row r="5261">
      <c r="A5261" s="64"/>
      <c r="D5261" s="56"/>
    </row>
    <row r="5262">
      <c r="A5262" s="64"/>
      <c r="D5262" s="56"/>
    </row>
    <row r="5263">
      <c r="A5263" s="64"/>
      <c r="D5263" s="56"/>
    </row>
    <row r="5264">
      <c r="A5264" s="64"/>
      <c r="D5264" s="56"/>
    </row>
    <row r="5265">
      <c r="A5265" s="64"/>
      <c r="D5265" s="56"/>
    </row>
    <row r="5266">
      <c r="A5266" s="64"/>
      <c r="D5266" s="56"/>
    </row>
    <row r="5267">
      <c r="A5267" s="64"/>
      <c r="D5267" s="56"/>
    </row>
    <row r="5268">
      <c r="A5268" s="64"/>
      <c r="D5268" s="56"/>
    </row>
    <row r="5269">
      <c r="A5269" s="64"/>
      <c r="D5269" s="56"/>
    </row>
    <row r="5270">
      <c r="A5270" s="64"/>
      <c r="D5270" s="56"/>
    </row>
    <row r="5271">
      <c r="A5271" s="64"/>
      <c r="D5271" s="56"/>
    </row>
    <row r="5272">
      <c r="A5272" s="64"/>
      <c r="D5272" s="56"/>
    </row>
    <row r="5273">
      <c r="A5273" s="64"/>
      <c r="D5273" s="56"/>
    </row>
    <row r="5274">
      <c r="A5274" s="64"/>
      <c r="D5274" s="56"/>
    </row>
    <row r="5275">
      <c r="A5275" s="64"/>
      <c r="D5275" s="56"/>
    </row>
    <row r="5276">
      <c r="A5276" s="64"/>
      <c r="D5276" s="56"/>
    </row>
    <row r="5277">
      <c r="A5277" s="64"/>
      <c r="D5277" s="56"/>
    </row>
    <row r="5278">
      <c r="A5278" s="64"/>
      <c r="D5278" s="56"/>
    </row>
    <row r="5279">
      <c r="A5279" s="64"/>
      <c r="D5279" s="56"/>
    </row>
    <row r="5280">
      <c r="A5280" s="64"/>
      <c r="D5280" s="56"/>
    </row>
    <row r="5281">
      <c r="A5281" s="64"/>
      <c r="D5281" s="56"/>
    </row>
    <row r="5282">
      <c r="A5282" s="64"/>
      <c r="D5282" s="56"/>
    </row>
    <row r="5283">
      <c r="A5283" s="64"/>
      <c r="D5283" s="56"/>
    </row>
    <row r="5284">
      <c r="A5284" s="64"/>
      <c r="D5284" s="56"/>
    </row>
    <row r="5285">
      <c r="A5285" s="64"/>
      <c r="D5285" s="56"/>
    </row>
    <row r="5286">
      <c r="A5286" s="64"/>
      <c r="D5286" s="56"/>
    </row>
    <row r="5287">
      <c r="A5287" s="64"/>
      <c r="D5287" s="56"/>
    </row>
    <row r="5288">
      <c r="A5288" s="64"/>
      <c r="D5288" s="56"/>
    </row>
    <row r="5289">
      <c r="A5289" s="64"/>
      <c r="D5289" s="56"/>
    </row>
    <row r="5290">
      <c r="A5290" s="64"/>
      <c r="D5290" s="56"/>
    </row>
    <row r="5291">
      <c r="A5291" s="64"/>
      <c r="D5291" s="56"/>
    </row>
    <row r="5292">
      <c r="A5292" s="64"/>
      <c r="D5292" s="56"/>
    </row>
    <row r="5293">
      <c r="A5293" s="64"/>
      <c r="D5293" s="56"/>
    </row>
    <row r="5294">
      <c r="A5294" s="64"/>
      <c r="D5294" s="56"/>
    </row>
    <row r="5295">
      <c r="A5295" s="64"/>
      <c r="D5295" s="56"/>
    </row>
    <row r="5296">
      <c r="A5296" s="64"/>
      <c r="D5296" s="56"/>
    </row>
    <row r="5297">
      <c r="A5297" s="64"/>
      <c r="D5297" s="56"/>
    </row>
    <row r="5298">
      <c r="A5298" s="64"/>
      <c r="D5298" s="56"/>
    </row>
    <row r="5299">
      <c r="A5299" s="64"/>
      <c r="D5299" s="56"/>
    </row>
    <row r="5300">
      <c r="A5300" s="64"/>
      <c r="D5300" s="56"/>
    </row>
    <row r="5301">
      <c r="A5301" s="64"/>
      <c r="D5301" s="56"/>
    </row>
    <row r="5302">
      <c r="A5302" s="64"/>
      <c r="D5302" s="56"/>
    </row>
    <row r="5303">
      <c r="A5303" s="64"/>
      <c r="D5303" s="56"/>
    </row>
    <row r="5304">
      <c r="A5304" s="64"/>
      <c r="D5304" s="56"/>
    </row>
    <row r="5305">
      <c r="A5305" s="64"/>
      <c r="D5305" s="56"/>
    </row>
    <row r="5306">
      <c r="A5306" s="64"/>
      <c r="D5306" s="56"/>
    </row>
    <row r="5307">
      <c r="A5307" s="64"/>
      <c r="D5307" s="56"/>
    </row>
    <row r="5308">
      <c r="A5308" s="64"/>
      <c r="D5308" s="56"/>
    </row>
    <row r="5309">
      <c r="A5309" s="64"/>
      <c r="D5309" s="56"/>
    </row>
    <row r="5310">
      <c r="A5310" s="64"/>
      <c r="D5310" s="56"/>
    </row>
    <row r="5311">
      <c r="A5311" s="64"/>
      <c r="D5311" s="56"/>
    </row>
    <row r="5312">
      <c r="A5312" s="64"/>
      <c r="D5312" s="56"/>
    </row>
    <row r="5313">
      <c r="A5313" s="64"/>
      <c r="D5313" s="56"/>
    </row>
    <row r="5314">
      <c r="A5314" s="64"/>
      <c r="D5314" s="56"/>
    </row>
    <row r="5315">
      <c r="A5315" s="64"/>
      <c r="D5315" s="56"/>
    </row>
    <row r="5316">
      <c r="A5316" s="64"/>
      <c r="D5316" s="56"/>
    </row>
    <row r="5317">
      <c r="A5317" s="64"/>
      <c r="D5317" s="56"/>
    </row>
    <row r="5318">
      <c r="A5318" s="64"/>
      <c r="D5318" s="56"/>
    </row>
    <row r="5319">
      <c r="A5319" s="64"/>
      <c r="D5319" s="56"/>
    </row>
    <row r="5320">
      <c r="A5320" s="64"/>
      <c r="D5320" s="56"/>
    </row>
    <row r="5321">
      <c r="A5321" s="64"/>
      <c r="D5321" s="56"/>
    </row>
    <row r="5322">
      <c r="A5322" s="64"/>
      <c r="D5322" s="56"/>
    </row>
    <row r="5323">
      <c r="A5323" s="64"/>
      <c r="D5323" s="56"/>
    </row>
    <row r="5324">
      <c r="A5324" s="64"/>
      <c r="D5324" s="56"/>
    </row>
    <row r="5325">
      <c r="A5325" s="64"/>
      <c r="D5325" s="56"/>
    </row>
    <row r="5326">
      <c r="A5326" s="64"/>
      <c r="D5326" s="56"/>
    </row>
    <row r="5327">
      <c r="A5327" s="64"/>
      <c r="D5327" s="56"/>
    </row>
    <row r="5328">
      <c r="A5328" s="64"/>
      <c r="D5328" s="56"/>
    </row>
    <row r="5329">
      <c r="A5329" s="64"/>
      <c r="D5329" s="56"/>
    </row>
    <row r="5330">
      <c r="A5330" s="64"/>
      <c r="D5330" s="56"/>
    </row>
    <row r="5331">
      <c r="A5331" s="64"/>
      <c r="D5331" s="56"/>
    </row>
    <row r="5332">
      <c r="A5332" s="64"/>
      <c r="D5332" s="56"/>
    </row>
    <row r="5333">
      <c r="A5333" s="64"/>
      <c r="D5333" s="56"/>
    </row>
    <row r="5334">
      <c r="A5334" s="64"/>
      <c r="D5334" s="56"/>
    </row>
    <row r="5335">
      <c r="A5335" s="64"/>
      <c r="D5335" s="56"/>
    </row>
    <row r="5336">
      <c r="A5336" s="64"/>
      <c r="D5336" s="56"/>
    </row>
    <row r="5337">
      <c r="A5337" s="64"/>
      <c r="D5337" s="56"/>
    </row>
    <row r="5338">
      <c r="A5338" s="64"/>
      <c r="D5338" s="56"/>
    </row>
    <row r="5339">
      <c r="A5339" s="64"/>
      <c r="D5339" s="56"/>
    </row>
    <row r="5340">
      <c r="A5340" s="64"/>
      <c r="D5340" s="56"/>
    </row>
    <row r="5341">
      <c r="A5341" s="64"/>
      <c r="D5341" s="56"/>
    </row>
    <row r="5342">
      <c r="A5342" s="64"/>
      <c r="D5342" s="56"/>
    </row>
    <row r="5343">
      <c r="A5343" s="64"/>
      <c r="D5343" s="56"/>
    </row>
    <row r="5344">
      <c r="A5344" s="64"/>
      <c r="D5344" s="56"/>
    </row>
    <row r="5345">
      <c r="A5345" s="64"/>
      <c r="D5345" s="56"/>
    </row>
    <row r="5346">
      <c r="A5346" s="64"/>
      <c r="D5346" s="56"/>
    </row>
    <row r="5347">
      <c r="A5347" s="64"/>
      <c r="D5347" s="56"/>
    </row>
    <row r="5348">
      <c r="A5348" s="64"/>
      <c r="D5348" s="56"/>
    </row>
    <row r="5349">
      <c r="A5349" s="64"/>
      <c r="D5349" s="56"/>
    </row>
    <row r="5350">
      <c r="A5350" s="64"/>
      <c r="D5350" s="56"/>
    </row>
    <row r="5351">
      <c r="A5351" s="64"/>
      <c r="D5351" s="56"/>
    </row>
    <row r="5352">
      <c r="A5352" s="64"/>
      <c r="D5352" s="56"/>
    </row>
    <row r="5353">
      <c r="A5353" s="64"/>
      <c r="D5353" s="56"/>
    </row>
    <row r="5354">
      <c r="A5354" s="64"/>
      <c r="D5354" s="56"/>
    </row>
    <row r="5355">
      <c r="A5355" s="64"/>
      <c r="D5355" s="56"/>
    </row>
    <row r="5356">
      <c r="A5356" s="64"/>
      <c r="D5356" s="56"/>
    </row>
    <row r="5357">
      <c r="A5357" s="64"/>
      <c r="D5357" s="56"/>
    </row>
    <row r="5358">
      <c r="A5358" s="64"/>
      <c r="D5358" s="56"/>
    </row>
    <row r="5359">
      <c r="A5359" s="64"/>
      <c r="D5359" s="56"/>
    </row>
    <row r="5360">
      <c r="A5360" s="64"/>
      <c r="D5360" s="56"/>
    </row>
    <row r="5361">
      <c r="A5361" s="64"/>
      <c r="D5361" s="56"/>
    </row>
    <row r="5362">
      <c r="A5362" s="64"/>
      <c r="D5362" s="56"/>
    </row>
    <row r="5363">
      <c r="A5363" s="64"/>
      <c r="D5363" s="56"/>
    </row>
    <row r="5364">
      <c r="A5364" s="64"/>
      <c r="D5364" s="56"/>
    </row>
    <row r="5365">
      <c r="A5365" s="64"/>
      <c r="D5365" s="56"/>
    </row>
    <row r="5366">
      <c r="A5366" s="64"/>
      <c r="D5366" s="56"/>
    </row>
    <row r="5367">
      <c r="A5367" s="64"/>
      <c r="D5367" s="56"/>
    </row>
    <row r="5368">
      <c r="A5368" s="64"/>
      <c r="D5368" s="56"/>
    </row>
    <row r="5369">
      <c r="A5369" s="64"/>
      <c r="D5369" s="56"/>
    </row>
    <row r="5370">
      <c r="A5370" s="64"/>
      <c r="D5370" s="56"/>
    </row>
    <row r="5371">
      <c r="A5371" s="64"/>
      <c r="D5371" s="56"/>
    </row>
    <row r="5372">
      <c r="A5372" s="64"/>
      <c r="D5372" s="56"/>
    </row>
    <row r="5373">
      <c r="A5373" s="64"/>
      <c r="D5373" s="56"/>
    </row>
    <row r="5374">
      <c r="A5374" s="64"/>
      <c r="D5374" s="56"/>
    </row>
    <row r="5375">
      <c r="A5375" s="64"/>
      <c r="D5375" s="56"/>
    </row>
    <row r="5376">
      <c r="A5376" s="64"/>
      <c r="D5376" s="56"/>
    </row>
    <row r="5377">
      <c r="A5377" s="64"/>
      <c r="D5377" s="56"/>
    </row>
    <row r="5378">
      <c r="A5378" s="64"/>
      <c r="D5378" s="56"/>
    </row>
    <row r="5379">
      <c r="A5379" s="64"/>
      <c r="D5379" s="56"/>
    </row>
    <row r="5380">
      <c r="A5380" s="64"/>
      <c r="D5380" s="56"/>
    </row>
    <row r="5381">
      <c r="A5381" s="64"/>
      <c r="D5381" s="56"/>
    </row>
    <row r="5382">
      <c r="A5382" s="64"/>
      <c r="D5382" s="56"/>
    </row>
    <row r="5383">
      <c r="A5383" s="64"/>
      <c r="D5383" s="56"/>
    </row>
    <row r="5384">
      <c r="A5384" s="64"/>
      <c r="D5384" s="56"/>
    </row>
    <row r="5385">
      <c r="A5385" s="64"/>
      <c r="D5385" s="56"/>
    </row>
    <row r="5386">
      <c r="A5386" s="64"/>
      <c r="D5386" s="56"/>
    </row>
    <row r="5387">
      <c r="A5387" s="64"/>
      <c r="D5387" s="56"/>
    </row>
    <row r="5388">
      <c r="A5388" s="64"/>
      <c r="D5388" s="56"/>
    </row>
    <row r="5389">
      <c r="A5389" s="64"/>
      <c r="D5389" s="56"/>
    </row>
    <row r="5390">
      <c r="A5390" s="64"/>
      <c r="D5390" s="56"/>
    </row>
    <row r="5391">
      <c r="A5391" s="64"/>
      <c r="D5391" s="56"/>
    </row>
    <row r="5392">
      <c r="A5392" s="64"/>
      <c r="D5392" s="56"/>
    </row>
    <row r="5393">
      <c r="A5393" s="64"/>
      <c r="D5393" s="56"/>
    </row>
    <row r="5394">
      <c r="A5394" s="64"/>
      <c r="D5394" s="56"/>
    </row>
    <row r="5395">
      <c r="A5395" s="64"/>
      <c r="D5395" s="56"/>
    </row>
    <row r="5396">
      <c r="A5396" s="64"/>
      <c r="D5396" s="56"/>
    </row>
    <row r="5397">
      <c r="A5397" s="64"/>
      <c r="D5397" s="56"/>
    </row>
    <row r="5398">
      <c r="A5398" s="64"/>
      <c r="D5398" s="56"/>
    </row>
    <row r="5399">
      <c r="A5399" s="64"/>
      <c r="D5399" s="56"/>
    </row>
    <row r="5400">
      <c r="A5400" s="64"/>
      <c r="D5400" s="56"/>
    </row>
    <row r="5401">
      <c r="A5401" s="64"/>
      <c r="D5401" s="56"/>
    </row>
    <row r="5402">
      <c r="A5402" s="64"/>
      <c r="D5402" s="56"/>
    </row>
    <row r="5403">
      <c r="A5403" s="64"/>
      <c r="D5403" s="56"/>
    </row>
    <row r="5404">
      <c r="A5404" s="64"/>
      <c r="D5404" s="56"/>
    </row>
    <row r="5405">
      <c r="A5405" s="64"/>
      <c r="D5405" s="56"/>
    </row>
    <row r="5406">
      <c r="A5406" s="64"/>
      <c r="D5406" s="56"/>
    </row>
    <row r="5407">
      <c r="A5407" s="64"/>
      <c r="D5407" s="56"/>
    </row>
    <row r="5408">
      <c r="A5408" s="64"/>
      <c r="D5408" s="56"/>
    </row>
    <row r="5409">
      <c r="A5409" s="64"/>
      <c r="D5409" s="56"/>
    </row>
    <row r="5410">
      <c r="A5410" s="64"/>
      <c r="D5410" s="56"/>
    </row>
    <row r="5411">
      <c r="A5411" s="64"/>
      <c r="D5411" s="56"/>
    </row>
    <row r="5412">
      <c r="A5412" s="64"/>
      <c r="D5412" s="56"/>
    </row>
    <row r="5413">
      <c r="A5413" s="64"/>
      <c r="D5413" s="56"/>
    </row>
    <row r="5414">
      <c r="A5414" s="64"/>
      <c r="D5414" s="56"/>
    </row>
    <row r="5415">
      <c r="A5415" s="64"/>
      <c r="D5415" s="56"/>
    </row>
    <row r="5416">
      <c r="A5416" s="64"/>
      <c r="D5416" s="56"/>
    </row>
    <row r="5417">
      <c r="A5417" s="64"/>
      <c r="D5417" s="56"/>
    </row>
    <row r="5418">
      <c r="A5418" s="64"/>
      <c r="D5418" s="56"/>
    </row>
    <row r="5419">
      <c r="A5419" s="64"/>
      <c r="D5419" s="56"/>
    </row>
    <row r="5420">
      <c r="A5420" s="64"/>
      <c r="D5420" s="56"/>
    </row>
    <row r="5421">
      <c r="A5421" s="64"/>
      <c r="D5421" s="56"/>
    </row>
    <row r="5422">
      <c r="A5422" s="64"/>
      <c r="D5422" s="56"/>
    </row>
    <row r="5423">
      <c r="A5423" s="64"/>
      <c r="D5423" s="56"/>
    </row>
    <row r="5424">
      <c r="A5424" s="64"/>
      <c r="D5424" s="56"/>
    </row>
    <row r="5425">
      <c r="A5425" s="64"/>
      <c r="D5425" s="56"/>
    </row>
    <row r="5426">
      <c r="A5426" s="64"/>
      <c r="D5426" s="56"/>
    </row>
    <row r="5427">
      <c r="A5427" s="64"/>
      <c r="D5427" s="56"/>
    </row>
    <row r="5428">
      <c r="A5428" s="64"/>
      <c r="D5428" s="56"/>
    </row>
    <row r="5429">
      <c r="A5429" s="64"/>
      <c r="D5429" s="56"/>
    </row>
    <row r="5430">
      <c r="A5430" s="64"/>
      <c r="D5430" s="56"/>
    </row>
    <row r="5431">
      <c r="A5431" s="64"/>
      <c r="D5431" s="56"/>
    </row>
    <row r="5432">
      <c r="A5432" s="64"/>
      <c r="D5432" s="56"/>
    </row>
    <row r="5433">
      <c r="A5433" s="64"/>
      <c r="D5433" s="56"/>
    </row>
    <row r="5434">
      <c r="A5434" s="64"/>
      <c r="D5434" s="56"/>
    </row>
    <row r="5435">
      <c r="A5435" s="64"/>
      <c r="D5435" s="56"/>
    </row>
    <row r="5436">
      <c r="A5436" s="64"/>
      <c r="D5436" s="56"/>
    </row>
    <row r="5437">
      <c r="A5437" s="64"/>
      <c r="D5437" s="56"/>
    </row>
    <row r="5438">
      <c r="A5438" s="64"/>
      <c r="D5438" s="56"/>
    </row>
    <row r="5439">
      <c r="A5439" s="64"/>
      <c r="D5439" s="56"/>
    </row>
    <row r="5440">
      <c r="A5440" s="64"/>
      <c r="D5440" s="56"/>
    </row>
    <row r="5441">
      <c r="A5441" s="64"/>
      <c r="D5441" s="56"/>
    </row>
    <row r="5442">
      <c r="A5442" s="64"/>
      <c r="D5442" s="56"/>
    </row>
    <row r="5443">
      <c r="A5443" s="64"/>
      <c r="D5443" s="56"/>
    </row>
    <row r="5444">
      <c r="A5444" s="64"/>
      <c r="D5444" s="56"/>
    </row>
    <row r="5445">
      <c r="A5445" s="64"/>
      <c r="D5445" s="56"/>
    </row>
    <row r="5446">
      <c r="A5446" s="64"/>
      <c r="D5446" s="56"/>
    </row>
    <row r="5447">
      <c r="A5447" s="64"/>
      <c r="D5447" s="56"/>
    </row>
    <row r="5448">
      <c r="A5448" s="64"/>
      <c r="D5448" s="56"/>
    </row>
    <row r="5449">
      <c r="A5449" s="64"/>
      <c r="D5449" s="56"/>
    </row>
    <row r="5450">
      <c r="A5450" s="64"/>
      <c r="D5450" s="56"/>
    </row>
    <row r="5451">
      <c r="A5451" s="64"/>
      <c r="D5451" s="56"/>
    </row>
    <row r="5452">
      <c r="A5452" s="64"/>
      <c r="D5452" s="56"/>
    </row>
    <row r="5453">
      <c r="A5453" s="64"/>
      <c r="D5453" s="56"/>
    </row>
    <row r="5454">
      <c r="A5454" s="64"/>
      <c r="D5454" s="56"/>
    </row>
    <row r="5455">
      <c r="A5455" s="64"/>
      <c r="D5455" s="56"/>
    </row>
    <row r="5456">
      <c r="A5456" s="64"/>
      <c r="D5456" s="56"/>
    </row>
    <row r="5457">
      <c r="A5457" s="64"/>
      <c r="D5457" s="56"/>
    </row>
    <row r="5458">
      <c r="A5458" s="64"/>
      <c r="D5458" s="56"/>
    </row>
    <row r="5459">
      <c r="A5459" s="64"/>
      <c r="D5459" s="56"/>
    </row>
    <row r="5460">
      <c r="A5460" s="64"/>
      <c r="D5460" s="56"/>
    </row>
    <row r="5461">
      <c r="A5461" s="64"/>
      <c r="D5461" s="56"/>
    </row>
    <row r="5462">
      <c r="A5462" s="64"/>
      <c r="D5462" s="56"/>
    </row>
    <row r="5463">
      <c r="A5463" s="64"/>
      <c r="D5463" s="56"/>
    </row>
    <row r="5464">
      <c r="A5464" s="64"/>
      <c r="D5464" s="56"/>
    </row>
    <row r="5465">
      <c r="A5465" s="64"/>
      <c r="D5465" s="56"/>
    </row>
    <row r="5466">
      <c r="A5466" s="64"/>
      <c r="D5466" s="56"/>
    </row>
    <row r="5467">
      <c r="A5467" s="64"/>
      <c r="D5467" s="56"/>
    </row>
    <row r="5468">
      <c r="A5468" s="64"/>
      <c r="D5468" s="56"/>
    </row>
    <row r="5469">
      <c r="A5469" s="64"/>
      <c r="D5469" s="56"/>
    </row>
    <row r="5470">
      <c r="A5470" s="64"/>
      <c r="D5470" s="56"/>
    </row>
    <row r="5471">
      <c r="A5471" s="64"/>
      <c r="D5471" s="56"/>
    </row>
    <row r="5472">
      <c r="A5472" s="64"/>
      <c r="D5472" s="56"/>
    </row>
    <row r="5473">
      <c r="A5473" s="64"/>
      <c r="D5473" s="56"/>
    </row>
    <row r="5474">
      <c r="A5474" s="64"/>
      <c r="D5474" s="56"/>
    </row>
    <row r="5475">
      <c r="A5475" s="64"/>
      <c r="D5475" s="56"/>
    </row>
    <row r="5476">
      <c r="A5476" s="64"/>
      <c r="D5476" s="56"/>
    </row>
    <row r="5477">
      <c r="A5477" s="64"/>
      <c r="D5477" s="56"/>
    </row>
    <row r="5478">
      <c r="A5478" s="64"/>
      <c r="D5478" s="56"/>
    </row>
    <row r="5479">
      <c r="A5479" s="64"/>
      <c r="D5479" s="56"/>
    </row>
    <row r="5480">
      <c r="A5480" s="64"/>
      <c r="D5480" s="56"/>
    </row>
    <row r="5481">
      <c r="A5481" s="64"/>
      <c r="D5481" s="56"/>
    </row>
    <row r="5482">
      <c r="A5482" s="64"/>
      <c r="D5482" s="56"/>
    </row>
    <row r="5483">
      <c r="A5483" s="64"/>
      <c r="D5483" s="56"/>
    </row>
    <row r="5484">
      <c r="A5484" s="64"/>
      <c r="D5484" s="56"/>
    </row>
    <row r="5485">
      <c r="A5485" s="64"/>
      <c r="D5485" s="56"/>
    </row>
    <row r="5486">
      <c r="A5486" s="64"/>
      <c r="D5486" s="56"/>
    </row>
    <row r="5487">
      <c r="A5487" s="64"/>
      <c r="D5487" s="56"/>
    </row>
    <row r="5488">
      <c r="A5488" s="64"/>
      <c r="D5488" s="56"/>
    </row>
    <row r="5489">
      <c r="A5489" s="64"/>
      <c r="D5489" s="56"/>
    </row>
    <row r="5490">
      <c r="A5490" s="64"/>
      <c r="D5490" s="56"/>
    </row>
    <row r="5491">
      <c r="A5491" s="64"/>
      <c r="D5491" s="56"/>
    </row>
    <row r="5492">
      <c r="A5492" s="64"/>
      <c r="D5492" s="56"/>
    </row>
    <row r="5493">
      <c r="A5493" s="64"/>
      <c r="D5493" s="56"/>
    </row>
    <row r="5494">
      <c r="A5494" s="64"/>
      <c r="D5494" s="56"/>
    </row>
    <row r="5495">
      <c r="A5495" s="64"/>
      <c r="D5495" s="56"/>
    </row>
    <row r="5496">
      <c r="A5496" s="64"/>
      <c r="D5496" s="56"/>
    </row>
    <row r="5497">
      <c r="A5497" s="64"/>
      <c r="D5497" s="56"/>
    </row>
    <row r="5498">
      <c r="A5498" s="64"/>
      <c r="D5498" s="56"/>
    </row>
    <row r="5499">
      <c r="A5499" s="64"/>
      <c r="D5499" s="56"/>
    </row>
    <row r="5500">
      <c r="A5500" s="64"/>
      <c r="D5500" s="56"/>
    </row>
    <row r="5501">
      <c r="A5501" s="64"/>
      <c r="D5501" s="56"/>
    </row>
    <row r="5502">
      <c r="A5502" s="64"/>
      <c r="D5502" s="56"/>
    </row>
    <row r="5503">
      <c r="A5503" s="64"/>
      <c r="D5503" s="56"/>
    </row>
    <row r="5504">
      <c r="A5504" s="64"/>
      <c r="D5504" s="56"/>
    </row>
    <row r="5505">
      <c r="A5505" s="64"/>
      <c r="D5505" s="56"/>
    </row>
    <row r="5506">
      <c r="A5506" s="64"/>
      <c r="D5506" s="56"/>
    </row>
    <row r="5507">
      <c r="A5507" s="64"/>
      <c r="D5507" s="56"/>
    </row>
    <row r="5508">
      <c r="A5508" s="64"/>
      <c r="D5508" s="56"/>
    </row>
    <row r="5509">
      <c r="A5509" s="64"/>
      <c r="D5509" s="56"/>
    </row>
    <row r="5510">
      <c r="A5510" s="64"/>
      <c r="D5510" s="56"/>
    </row>
    <row r="5511">
      <c r="A5511" s="64"/>
      <c r="D5511" s="56"/>
    </row>
    <row r="5512">
      <c r="A5512" s="64"/>
      <c r="D5512" s="56"/>
    </row>
    <row r="5513">
      <c r="A5513" s="64"/>
      <c r="D5513" s="56"/>
    </row>
    <row r="5514">
      <c r="A5514" s="64"/>
      <c r="D5514" s="56"/>
    </row>
    <row r="5515">
      <c r="A5515" s="64"/>
      <c r="D5515" s="56"/>
    </row>
    <row r="5516">
      <c r="A5516" s="64"/>
      <c r="D5516" s="56"/>
    </row>
    <row r="5517">
      <c r="A5517" s="64"/>
      <c r="D5517" s="56"/>
    </row>
    <row r="5518">
      <c r="A5518" s="64"/>
      <c r="D5518" s="56"/>
    </row>
    <row r="5519">
      <c r="A5519" s="64"/>
      <c r="D5519" s="56"/>
    </row>
    <row r="5520">
      <c r="A5520" s="64"/>
      <c r="D5520" s="56"/>
    </row>
    <row r="5521">
      <c r="A5521" s="64"/>
      <c r="D5521" s="56"/>
    </row>
    <row r="5522">
      <c r="A5522" s="64"/>
      <c r="D5522" s="56"/>
    </row>
    <row r="5523">
      <c r="A5523" s="64"/>
      <c r="D5523" s="56"/>
    </row>
    <row r="5524">
      <c r="A5524" s="64"/>
      <c r="D5524" s="56"/>
    </row>
    <row r="5525">
      <c r="A5525" s="64"/>
      <c r="D5525" s="56"/>
    </row>
    <row r="5526">
      <c r="A5526" s="64"/>
      <c r="D5526" s="56"/>
    </row>
    <row r="5527">
      <c r="A5527" s="64"/>
      <c r="D5527" s="56"/>
    </row>
    <row r="5528">
      <c r="A5528" s="64"/>
      <c r="D5528" s="56"/>
    </row>
    <row r="5529">
      <c r="A5529" s="64"/>
      <c r="D5529" s="56"/>
    </row>
    <row r="5530">
      <c r="A5530" s="64"/>
      <c r="D5530" s="56"/>
    </row>
    <row r="5531">
      <c r="A5531" s="64"/>
      <c r="D5531" s="56"/>
    </row>
    <row r="5532">
      <c r="A5532" s="64"/>
      <c r="D5532" s="56"/>
    </row>
    <row r="5533">
      <c r="A5533" s="64"/>
      <c r="D5533" s="56"/>
    </row>
    <row r="5534">
      <c r="A5534" s="64"/>
      <c r="D5534" s="56"/>
    </row>
    <row r="5535">
      <c r="A5535" s="64"/>
      <c r="D5535" s="56"/>
    </row>
    <row r="5536">
      <c r="A5536" s="64"/>
      <c r="D5536" s="56"/>
    </row>
    <row r="5537">
      <c r="A5537" s="64"/>
      <c r="D5537" s="56"/>
    </row>
    <row r="5538">
      <c r="A5538" s="64"/>
      <c r="D5538" s="56"/>
    </row>
    <row r="5539">
      <c r="A5539" s="64"/>
      <c r="D5539" s="56"/>
    </row>
    <row r="5540">
      <c r="A5540" s="64"/>
      <c r="D5540" s="56"/>
    </row>
    <row r="5541">
      <c r="A5541" s="64"/>
      <c r="D5541" s="56"/>
    </row>
    <row r="5542">
      <c r="A5542" s="64"/>
      <c r="D5542" s="56"/>
    </row>
    <row r="5543">
      <c r="A5543" s="64"/>
      <c r="D5543" s="56"/>
    </row>
    <row r="5544">
      <c r="A5544" s="64"/>
      <c r="D5544" s="56"/>
    </row>
    <row r="5545">
      <c r="A5545" s="64"/>
      <c r="D5545" s="56"/>
    </row>
    <row r="5546">
      <c r="A5546" s="64"/>
      <c r="D5546" s="56"/>
    </row>
    <row r="5547">
      <c r="A5547" s="64"/>
      <c r="D5547" s="56"/>
    </row>
    <row r="5548">
      <c r="A5548" s="64"/>
      <c r="D5548" s="56"/>
    </row>
    <row r="5549">
      <c r="A5549" s="64"/>
      <c r="D5549" s="56"/>
    </row>
    <row r="5550">
      <c r="A5550" s="64"/>
      <c r="D5550" s="56"/>
    </row>
    <row r="5551">
      <c r="A5551" s="64"/>
      <c r="D5551" s="56"/>
    </row>
    <row r="5552">
      <c r="A5552" s="64"/>
      <c r="D5552" s="56"/>
    </row>
    <row r="5553">
      <c r="A5553" s="64"/>
      <c r="D5553" s="56"/>
    </row>
    <row r="5554">
      <c r="A5554" s="64"/>
      <c r="D5554" s="56"/>
    </row>
    <row r="5555">
      <c r="A5555" s="64"/>
      <c r="D5555" s="56"/>
    </row>
    <row r="5556">
      <c r="A5556" s="64"/>
      <c r="D5556" s="56"/>
    </row>
    <row r="5557">
      <c r="A5557" s="64"/>
      <c r="D5557" s="56"/>
    </row>
    <row r="5558">
      <c r="A5558" s="64"/>
      <c r="D5558" s="56"/>
    </row>
    <row r="5559">
      <c r="A5559" s="64"/>
      <c r="D5559" s="56"/>
    </row>
    <row r="5560">
      <c r="A5560" s="64"/>
      <c r="D5560" s="56"/>
    </row>
    <row r="5561">
      <c r="A5561" s="64"/>
      <c r="D5561" s="56"/>
    </row>
    <row r="5562">
      <c r="A5562" s="64"/>
      <c r="D5562" s="56"/>
    </row>
    <row r="5563">
      <c r="A5563" s="64"/>
      <c r="D5563" s="56"/>
    </row>
    <row r="5564">
      <c r="A5564" s="64"/>
      <c r="D5564" s="56"/>
    </row>
    <row r="5565">
      <c r="A5565" s="64"/>
      <c r="D5565" s="56"/>
    </row>
    <row r="5566">
      <c r="A5566" s="64"/>
      <c r="D5566" s="56"/>
    </row>
    <row r="5567">
      <c r="A5567" s="64"/>
      <c r="D5567" s="56"/>
    </row>
    <row r="5568">
      <c r="A5568" s="64"/>
      <c r="D5568" s="56"/>
    </row>
    <row r="5569">
      <c r="A5569" s="64"/>
      <c r="D5569" s="56"/>
    </row>
    <row r="5570">
      <c r="A5570" s="64"/>
      <c r="D5570" s="56"/>
    </row>
    <row r="5571">
      <c r="A5571" s="64"/>
      <c r="D5571" s="56"/>
    </row>
    <row r="5572">
      <c r="A5572" s="64"/>
      <c r="D5572" s="56"/>
    </row>
    <row r="5573">
      <c r="A5573" s="64"/>
      <c r="D5573" s="56"/>
    </row>
    <row r="5574">
      <c r="A5574" s="64"/>
      <c r="D5574" s="56"/>
    </row>
    <row r="5575">
      <c r="A5575" s="64"/>
      <c r="D5575" s="56"/>
    </row>
    <row r="5576">
      <c r="A5576" s="64"/>
      <c r="D5576" s="56"/>
    </row>
    <row r="5577">
      <c r="A5577" s="64"/>
      <c r="D5577" s="56"/>
    </row>
    <row r="5578">
      <c r="A5578" s="64"/>
      <c r="D5578" s="56"/>
    </row>
    <row r="5579">
      <c r="A5579" s="64"/>
      <c r="D5579" s="56"/>
    </row>
    <row r="5580">
      <c r="A5580" s="64"/>
      <c r="D5580" s="56"/>
    </row>
    <row r="5581">
      <c r="A5581" s="64"/>
      <c r="D5581" s="56"/>
    </row>
    <row r="5582">
      <c r="A5582" s="64"/>
      <c r="D5582" s="56"/>
    </row>
    <row r="5583">
      <c r="A5583" s="64"/>
      <c r="D5583" s="56"/>
    </row>
    <row r="5584">
      <c r="A5584" s="64"/>
      <c r="D5584" s="56"/>
    </row>
    <row r="5585">
      <c r="A5585" s="64"/>
      <c r="D5585" s="56"/>
    </row>
    <row r="5586">
      <c r="A5586" s="64"/>
      <c r="D5586" s="56"/>
    </row>
    <row r="5587">
      <c r="A5587" s="64"/>
      <c r="D5587" s="56"/>
    </row>
    <row r="5588">
      <c r="A5588" s="64"/>
      <c r="D5588" s="56"/>
    </row>
    <row r="5589">
      <c r="A5589" s="64"/>
      <c r="D5589" s="56"/>
    </row>
    <row r="5590">
      <c r="A5590" s="64"/>
      <c r="D5590" s="56"/>
    </row>
    <row r="5591">
      <c r="A5591" s="64"/>
      <c r="D5591" s="56"/>
    </row>
    <row r="5592">
      <c r="A5592" s="64"/>
      <c r="D5592" s="56"/>
    </row>
    <row r="5593">
      <c r="A5593" s="64"/>
      <c r="D5593" s="56"/>
    </row>
    <row r="5594">
      <c r="A5594" s="64"/>
      <c r="D5594" s="56"/>
    </row>
    <row r="5595">
      <c r="A5595" s="64"/>
      <c r="D5595" s="56"/>
    </row>
    <row r="5596">
      <c r="A5596" s="64"/>
      <c r="D5596" s="56"/>
    </row>
    <row r="5597">
      <c r="A5597" s="64"/>
      <c r="D5597" s="56"/>
    </row>
    <row r="5598">
      <c r="A5598" s="64"/>
      <c r="D5598" s="56"/>
    </row>
    <row r="5599">
      <c r="A5599" s="64"/>
      <c r="D5599" s="56"/>
    </row>
    <row r="5600">
      <c r="A5600" s="64"/>
      <c r="D5600" s="56"/>
    </row>
    <row r="5601">
      <c r="A5601" s="64"/>
      <c r="D5601" s="56"/>
    </row>
    <row r="5602">
      <c r="A5602" s="64"/>
      <c r="D5602" s="56"/>
    </row>
    <row r="5603">
      <c r="A5603" s="64"/>
      <c r="D5603" s="56"/>
    </row>
    <row r="5604">
      <c r="A5604" s="64"/>
      <c r="D5604" s="56"/>
    </row>
    <row r="5605">
      <c r="A5605" s="64"/>
      <c r="D5605" s="56"/>
    </row>
    <row r="5606">
      <c r="A5606" s="64"/>
      <c r="D5606" s="56"/>
    </row>
    <row r="5607">
      <c r="A5607" s="64"/>
      <c r="D5607" s="56"/>
    </row>
    <row r="5608">
      <c r="A5608" s="64"/>
      <c r="D5608" s="56"/>
    </row>
    <row r="5609">
      <c r="A5609" s="64"/>
      <c r="D5609" s="56"/>
    </row>
    <row r="5610">
      <c r="A5610" s="64"/>
      <c r="D5610" s="56"/>
    </row>
    <row r="5611">
      <c r="A5611" s="64"/>
      <c r="D5611" s="56"/>
    </row>
    <row r="5612">
      <c r="A5612" s="64"/>
      <c r="D5612" s="56"/>
    </row>
    <row r="5613">
      <c r="A5613" s="64"/>
      <c r="D5613" s="56"/>
    </row>
    <row r="5614">
      <c r="A5614" s="64"/>
      <c r="D5614" s="56"/>
    </row>
    <row r="5615">
      <c r="A5615" s="64"/>
      <c r="D5615" s="56"/>
    </row>
    <row r="5616">
      <c r="A5616" s="64"/>
      <c r="D5616" s="56"/>
    </row>
    <row r="5617">
      <c r="A5617" s="64"/>
      <c r="D5617" s="56"/>
    </row>
    <row r="5618">
      <c r="A5618" s="64"/>
      <c r="D5618" s="56"/>
    </row>
    <row r="5619">
      <c r="A5619" s="64"/>
      <c r="D5619" s="56"/>
    </row>
    <row r="5620">
      <c r="A5620" s="64"/>
      <c r="D5620" s="56"/>
    </row>
    <row r="5621">
      <c r="A5621" s="64"/>
      <c r="D5621" s="56"/>
    </row>
    <row r="5622">
      <c r="A5622" s="64"/>
      <c r="D5622" s="56"/>
    </row>
    <row r="5623">
      <c r="A5623" s="64"/>
      <c r="D5623" s="56"/>
    </row>
    <row r="5624">
      <c r="A5624" s="64"/>
      <c r="D5624" s="56"/>
    </row>
    <row r="5625">
      <c r="A5625" s="64"/>
      <c r="D5625" s="56"/>
    </row>
    <row r="5626">
      <c r="A5626" s="64"/>
      <c r="D5626" s="56"/>
    </row>
    <row r="5627">
      <c r="A5627" s="64"/>
      <c r="D5627" s="56"/>
    </row>
    <row r="5628">
      <c r="A5628" s="64"/>
      <c r="D5628" s="56"/>
    </row>
    <row r="5629">
      <c r="A5629" s="64"/>
      <c r="D5629" s="56"/>
    </row>
    <row r="5630">
      <c r="A5630" s="64"/>
      <c r="D5630" s="56"/>
    </row>
    <row r="5631">
      <c r="A5631" s="64"/>
      <c r="D5631" s="56"/>
    </row>
    <row r="5632">
      <c r="A5632" s="64"/>
      <c r="D5632" s="56"/>
    </row>
    <row r="5633">
      <c r="A5633" s="64"/>
      <c r="D5633" s="56"/>
    </row>
    <row r="5634">
      <c r="A5634" s="64"/>
      <c r="D5634" s="56"/>
    </row>
    <row r="5635">
      <c r="A5635" s="64"/>
      <c r="D5635" s="56"/>
    </row>
    <row r="5636">
      <c r="A5636" s="64"/>
      <c r="D5636" s="56"/>
    </row>
    <row r="5637">
      <c r="A5637" s="64"/>
      <c r="D5637" s="56"/>
    </row>
    <row r="5638">
      <c r="A5638" s="64"/>
      <c r="D5638" s="56"/>
    </row>
    <row r="5639">
      <c r="A5639" s="64"/>
      <c r="D5639" s="56"/>
    </row>
    <row r="5640">
      <c r="A5640" s="64"/>
      <c r="D5640" s="56"/>
    </row>
    <row r="5641">
      <c r="A5641" s="64"/>
      <c r="D5641" s="56"/>
    </row>
    <row r="5642">
      <c r="A5642" s="64"/>
      <c r="D5642" s="56"/>
    </row>
    <row r="5643">
      <c r="A5643" s="64"/>
      <c r="D5643" s="56"/>
    </row>
    <row r="5644">
      <c r="A5644" s="64"/>
      <c r="D5644" s="56"/>
    </row>
    <row r="5645">
      <c r="A5645" s="64"/>
      <c r="D5645" s="56"/>
    </row>
    <row r="5646">
      <c r="A5646" s="64"/>
      <c r="D5646" s="56"/>
    </row>
    <row r="5647">
      <c r="A5647" s="64"/>
      <c r="D5647" s="56"/>
    </row>
    <row r="5648">
      <c r="A5648" s="64"/>
      <c r="D5648" s="56"/>
    </row>
    <row r="5649">
      <c r="A5649" s="64"/>
      <c r="D5649" s="56"/>
    </row>
    <row r="5650">
      <c r="A5650" s="64"/>
      <c r="D5650" s="56"/>
    </row>
    <row r="5651">
      <c r="A5651" s="64"/>
      <c r="D5651" s="56"/>
    </row>
    <row r="5652">
      <c r="A5652" s="64"/>
      <c r="D5652" s="56"/>
    </row>
    <row r="5653">
      <c r="A5653" s="64"/>
      <c r="D5653" s="56"/>
    </row>
    <row r="5654">
      <c r="A5654" s="64"/>
      <c r="D5654" s="56"/>
    </row>
    <row r="5655">
      <c r="A5655" s="64"/>
      <c r="D5655" s="56"/>
    </row>
    <row r="5656">
      <c r="A5656" s="64"/>
      <c r="D5656" s="56"/>
    </row>
    <row r="5657">
      <c r="A5657" s="64"/>
      <c r="D5657" s="56"/>
    </row>
    <row r="5658">
      <c r="A5658" s="64"/>
      <c r="D5658" s="56"/>
    </row>
    <row r="5659">
      <c r="A5659" s="64"/>
      <c r="D5659" s="56"/>
    </row>
    <row r="5660">
      <c r="A5660" s="64"/>
      <c r="D5660" s="56"/>
    </row>
    <row r="5661">
      <c r="A5661" s="64"/>
      <c r="D5661" s="56"/>
    </row>
    <row r="5662">
      <c r="A5662" s="64"/>
      <c r="D5662" s="56"/>
    </row>
    <row r="5663">
      <c r="A5663" s="64"/>
      <c r="D5663" s="56"/>
    </row>
    <row r="5664">
      <c r="A5664" s="64"/>
      <c r="D5664" s="56"/>
    </row>
    <row r="5665">
      <c r="A5665" s="64"/>
      <c r="D5665" s="56"/>
    </row>
    <row r="5666">
      <c r="A5666" s="64"/>
      <c r="D5666" s="56"/>
    </row>
    <row r="5667">
      <c r="A5667" s="64"/>
      <c r="D5667" s="56"/>
    </row>
    <row r="5668">
      <c r="A5668" s="64"/>
      <c r="D5668" s="56"/>
    </row>
    <row r="5669">
      <c r="A5669" s="64"/>
      <c r="D5669" s="56"/>
    </row>
    <row r="5670">
      <c r="A5670" s="64"/>
      <c r="D5670" s="56"/>
    </row>
    <row r="5671">
      <c r="A5671" s="64"/>
      <c r="D5671" s="56"/>
    </row>
    <row r="5672">
      <c r="A5672" s="64"/>
      <c r="D5672" s="56"/>
    </row>
    <row r="5673">
      <c r="A5673" s="64"/>
      <c r="D5673" s="56"/>
    </row>
    <row r="5674">
      <c r="A5674" s="64"/>
      <c r="D5674" s="56"/>
    </row>
    <row r="5675">
      <c r="A5675" s="64"/>
      <c r="D5675" s="56"/>
    </row>
    <row r="5676">
      <c r="A5676" s="64"/>
      <c r="D5676" s="56"/>
    </row>
    <row r="5677">
      <c r="A5677" s="64"/>
      <c r="D5677" s="56"/>
    </row>
    <row r="5678">
      <c r="A5678" s="64"/>
      <c r="D5678" s="56"/>
    </row>
    <row r="5679">
      <c r="A5679" s="64"/>
      <c r="D5679" s="56"/>
    </row>
    <row r="5680">
      <c r="A5680" s="64"/>
      <c r="D5680" s="56"/>
    </row>
    <row r="5681">
      <c r="A5681" s="64"/>
      <c r="D5681" s="56"/>
    </row>
    <row r="5682">
      <c r="A5682" s="64"/>
      <c r="D5682" s="56"/>
    </row>
    <row r="5683">
      <c r="A5683" s="64"/>
      <c r="D5683" s="56"/>
    </row>
    <row r="5684">
      <c r="A5684" s="64"/>
      <c r="D5684" s="56"/>
    </row>
    <row r="5685">
      <c r="A5685" s="64"/>
      <c r="D5685" s="56"/>
    </row>
    <row r="5686">
      <c r="A5686" s="64"/>
      <c r="D5686" s="56"/>
    </row>
    <row r="5687">
      <c r="A5687" s="64"/>
      <c r="D5687" s="56"/>
    </row>
    <row r="5688">
      <c r="A5688" s="64"/>
      <c r="D5688" s="56"/>
    </row>
    <row r="5689">
      <c r="A5689" s="64"/>
      <c r="D5689" s="56"/>
    </row>
    <row r="5690">
      <c r="A5690" s="64"/>
      <c r="D5690" s="56"/>
    </row>
    <row r="5691">
      <c r="A5691" s="64"/>
      <c r="D5691" s="56"/>
    </row>
    <row r="5692">
      <c r="A5692" s="64"/>
      <c r="D5692" s="56"/>
    </row>
    <row r="5693">
      <c r="A5693" s="64"/>
      <c r="D5693" s="56"/>
    </row>
    <row r="5694">
      <c r="A5694" s="64"/>
      <c r="D5694" s="56"/>
    </row>
    <row r="5695">
      <c r="A5695" s="64"/>
      <c r="D5695" s="56"/>
    </row>
    <row r="5696">
      <c r="A5696" s="64"/>
      <c r="D5696" s="56"/>
    </row>
    <row r="5697">
      <c r="A5697" s="64"/>
      <c r="D5697" s="56"/>
    </row>
    <row r="5698">
      <c r="A5698" s="64"/>
      <c r="D5698" s="56"/>
    </row>
    <row r="5699">
      <c r="A5699" s="64"/>
      <c r="D5699" s="56"/>
    </row>
    <row r="5700">
      <c r="A5700" s="64"/>
      <c r="D5700" s="56"/>
    </row>
    <row r="5701">
      <c r="A5701" s="64"/>
      <c r="D5701" s="56"/>
    </row>
    <row r="5702">
      <c r="A5702" s="64"/>
      <c r="D5702" s="56"/>
    </row>
    <row r="5703">
      <c r="A5703" s="64"/>
      <c r="D5703" s="56"/>
    </row>
    <row r="5704">
      <c r="A5704" s="64"/>
      <c r="D5704" s="56"/>
    </row>
    <row r="5705">
      <c r="A5705" s="64"/>
      <c r="D5705" s="56"/>
    </row>
    <row r="5706">
      <c r="A5706" s="64"/>
      <c r="D5706" s="56"/>
    </row>
    <row r="5707">
      <c r="A5707" s="64"/>
      <c r="D5707" s="56"/>
    </row>
    <row r="5708">
      <c r="A5708" s="64"/>
      <c r="D5708" s="56"/>
    </row>
    <row r="5709">
      <c r="A5709" s="64"/>
      <c r="D5709" s="56"/>
    </row>
    <row r="5710">
      <c r="A5710" s="64"/>
      <c r="D5710" s="56"/>
    </row>
    <row r="5711">
      <c r="A5711" s="64"/>
      <c r="D5711" s="56"/>
    </row>
    <row r="5712">
      <c r="A5712" s="64"/>
      <c r="D5712" s="56"/>
    </row>
    <row r="5713">
      <c r="A5713" s="64"/>
      <c r="D5713" s="56"/>
    </row>
    <row r="5714">
      <c r="A5714" s="64"/>
      <c r="D5714" s="56"/>
    </row>
    <row r="5715">
      <c r="A5715" s="64"/>
      <c r="D5715" s="56"/>
    </row>
    <row r="5716">
      <c r="A5716" s="64"/>
      <c r="D5716" s="56"/>
    </row>
    <row r="5717">
      <c r="A5717" s="64"/>
      <c r="D5717" s="56"/>
    </row>
    <row r="5718">
      <c r="A5718" s="64"/>
      <c r="D5718" s="56"/>
    </row>
    <row r="5719">
      <c r="A5719" s="64"/>
      <c r="D5719" s="56"/>
    </row>
    <row r="5720">
      <c r="A5720" s="64"/>
      <c r="D5720" s="56"/>
    </row>
    <row r="5721">
      <c r="A5721" s="64"/>
      <c r="D5721" s="56"/>
    </row>
    <row r="5722">
      <c r="A5722" s="64"/>
      <c r="D5722" s="56"/>
    </row>
    <row r="5723">
      <c r="A5723" s="64"/>
      <c r="D5723" s="56"/>
    </row>
    <row r="5724">
      <c r="A5724" s="64"/>
      <c r="D5724" s="56"/>
    </row>
    <row r="5725">
      <c r="A5725" s="64"/>
      <c r="D5725" s="56"/>
    </row>
    <row r="5726">
      <c r="A5726" s="64"/>
      <c r="D5726" s="56"/>
    </row>
    <row r="5727">
      <c r="A5727" s="64"/>
      <c r="D5727" s="56"/>
    </row>
    <row r="5728">
      <c r="A5728" s="64"/>
      <c r="D5728" s="56"/>
    </row>
    <row r="5729">
      <c r="A5729" s="64"/>
      <c r="D5729" s="56"/>
    </row>
    <row r="5730">
      <c r="A5730" s="64"/>
      <c r="D5730" s="56"/>
    </row>
    <row r="5731">
      <c r="A5731" s="64"/>
      <c r="D5731" s="56"/>
    </row>
    <row r="5732">
      <c r="A5732" s="64"/>
      <c r="D5732" s="56"/>
    </row>
    <row r="5733">
      <c r="A5733" s="64"/>
      <c r="D5733" s="56"/>
    </row>
    <row r="5734">
      <c r="A5734" s="64"/>
      <c r="D5734" s="56"/>
    </row>
    <row r="5735">
      <c r="A5735" s="64"/>
      <c r="D5735" s="56"/>
    </row>
    <row r="5736">
      <c r="A5736" s="64"/>
      <c r="D5736" s="56"/>
    </row>
    <row r="5737">
      <c r="A5737" s="64"/>
      <c r="D5737" s="56"/>
    </row>
    <row r="5738">
      <c r="A5738" s="64"/>
      <c r="D5738" s="56"/>
    </row>
    <row r="5739">
      <c r="A5739" s="64"/>
      <c r="D5739" s="56"/>
    </row>
    <row r="5740">
      <c r="A5740" s="64"/>
      <c r="D5740" s="56"/>
    </row>
    <row r="5741">
      <c r="A5741" s="64"/>
      <c r="D5741" s="56"/>
    </row>
    <row r="5742">
      <c r="A5742" s="64"/>
      <c r="D5742" s="56"/>
    </row>
    <row r="5743">
      <c r="A5743" s="64"/>
      <c r="D5743" s="56"/>
    </row>
    <row r="5744">
      <c r="A5744" s="64"/>
      <c r="D5744" s="56"/>
    </row>
    <row r="5745">
      <c r="A5745" s="64"/>
      <c r="D5745" s="56"/>
    </row>
    <row r="5746">
      <c r="A5746" s="64"/>
      <c r="D5746" s="56"/>
    </row>
    <row r="5747">
      <c r="A5747" s="64"/>
      <c r="D5747" s="56"/>
    </row>
    <row r="5748">
      <c r="A5748" s="64"/>
      <c r="D5748" s="56"/>
    </row>
    <row r="5749">
      <c r="A5749" s="64"/>
      <c r="D5749" s="56"/>
    </row>
    <row r="5750">
      <c r="A5750" s="64"/>
      <c r="D5750" s="56"/>
    </row>
    <row r="5751">
      <c r="A5751" s="64"/>
      <c r="D5751" s="56"/>
    </row>
    <row r="5752">
      <c r="A5752" s="64"/>
      <c r="D5752" s="56"/>
    </row>
    <row r="5753">
      <c r="A5753" s="64"/>
      <c r="D5753" s="56"/>
    </row>
    <row r="5754">
      <c r="A5754" s="64"/>
      <c r="D5754" s="56"/>
    </row>
    <row r="5755">
      <c r="A5755" s="64"/>
      <c r="D5755" s="56"/>
    </row>
    <row r="5756">
      <c r="A5756" s="64"/>
      <c r="D5756" s="56"/>
    </row>
    <row r="5757">
      <c r="A5757" s="64"/>
      <c r="D5757" s="56"/>
    </row>
    <row r="5758">
      <c r="A5758" s="64"/>
      <c r="D5758" s="56"/>
    </row>
    <row r="5759">
      <c r="A5759" s="64"/>
      <c r="D5759" s="56"/>
    </row>
    <row r="5760">
      <c r="A5760" s="64"/>
      <c r="D5760" s="56"/>
    </row>
    <row r="5761">
      <c r="A5761" s="64"/>
      <c r="D5761" s="56"/>
    </row>
    <row r="5762">
      <c r="A5762" s="64"/>
      <c r="D5762" s="56"/>
    </row>
    <row r="5763">
      <c r="A5763" s="64"/>
      <c r="D5763" s="56"/>
    </row>
    <row r="5764">
      <c r="A5764" s="64"/>
      <c r="D5764" s="56"/>
    </row>
    <row r="5765">
      <c r="A5765" s="64"/>
      <c r="D5765" s="56"/>
    </row>
    <row r="5766">
      <c r="A5766" s="64"/>
      <c r="D5766" s="56"/>
    </row>
    <row r="5767">
      <c r="A5767" s="64"/>
      <c r="D5767" s="56"/>
    </row>
    <row r="5768">
      <c r="A5768" s="64"/>
      <c r="D5768" s="56"/>
    </row>
    <row r="5769">
      <c r="A5769" s="64"/>
      <c r="D5769" s="56"/>
    </row>
    <row r="5770">
      <c r="A5770" s="64"/>
      <c r="D5770" s="56"/>
    </row>
    <row r="5771">
      <c r="A5771" s="64"/>
      <c r="D5771" s="56"/>
    </row>
    <row r="5772">
      <c r="A5772" s="64"/>
      <c r="D5772" s="56"/>
    </row>
    <row r="5773">
      <c r="A5773" s="64"/>
      <c r="D5773" s="56"/>
    </row>
    <row r="5774">
      <c r="A5774" s="64"/>
      <c r="D5774" s="56"/>
    </row>
    <row r="5775">
      <c r="A5775" s="64"/>
      <c r="D5775" s="56"/>
    </row>
    <row r="5776">
      <c r="A5776" s="64"/>
      <c r="D5776" s="56"/>
    </row>
    <row r="5777">
      <c r="A5777" s="64"/>
      <c r="D5777" s="56"/>
    </row>
    <row r="5778">
      <c r="A5778" s="64"/>
      <c r="D5778" s="56"/>
    </row>
    <row r="5779">
      <c r="A5779" s="64"/>
      <c r="D5779" s="56"/>
    </row>
    <row r="5780">
      <c r="A5780" s="64"/>
      <c r="D5780" s="56"/>
    </row>
    <row r="5781">
      <c r="A5781" s="64"/>
      <c r="D5781" s="56"/>
    </row>
    <row r="5782">
      <c r="A5782" s="64"/>
      <c r="D5782" s="56"/>
    </row>
    <row r="5783">
      <c r="A5783" s="64"/>
      <c r="D5783" s="56"/>
    </row>
    <row r="5784">
      <c r="A5784" s="64"/>
      <c r="D5784" s="56"/>
    </row>
    <row r="5785">
      <c r="A5785" s="64"/>
      <c r="D5785" s="56"/>
    </row>
    <row r="5786">
      <c r="A5786" s="64"/>
      <c r="D5786" s="56"/>
    </row>
    <row r="5787">
      <c r="A5787" s="64"/>
      <c r="D5787" s="56"/>
    </row>
    <row r="5788">
      <c r="A5788" s="64"/>
      <c r="D5788" s="56"/>
    </row>
    <row r="5789">
      <c r="A5789" s="64"/>
      <c r="D5789" s="56"/>
    </row>
    <row r="5790">
      <c r="A5790" s="64"/>
      <c r="D5790" s="56"/>
    </row>
    <row r="5791">
      <c r="A5791" s="64"/>
      <c r="D5791" s="56"/>
    </row>
    <row r="5792">
      <c r="A5792" s="64"/>
      <c r="D5792" s="56"/>
    </row>
    <row r="5793">
      <c r="A5793" s="64"/>
      <c r="D5793" s="56"/>
    </row>
    <row r="5794">
      <c r="A5794" s="64"/>
      <c r="D5794" s="56"/>
    </row>
    <row r="5795">
      <c r="A5795" s="64"/>
      <c r="D5795" s="56"/>
    </row>
    <row r="5796">
      <c r="A5796" s="64"/>
      <c r="D5796" s="56"/>
    </row>
    <row r="5797">
      <c r="A5797" s="64"/>
      <c r="D5797" s="56"/>
    </row>
    <row r="5798">
      <c r="A5798" s="64"/>
      <c r="D5798" s="56"/>
    </row>
    <row r="5799">
      <c r="A5799" s="64"/>
      <c r="D5799" s="56"/>
    </row>
    <row r="5800">
      <c r="A5800" s="64"/>
      <c r="D5800" s="56"/>
    </row>
    <row r="5801">
      <c r="A5801" s="64"/>
      <c r="D5801" s="56"/>
    </row>
    <row r="5802">
      <c r="A5802" s="64"/>
      <c r="D5802" s="56"/>
    </row>
    <row r="5803">
      <c r="A5803" s="64"/>
      <c r="D5803" s="56"/>
    </row>
    <row r="5804">
      <c r="A5804" s="64"/>
      <c r="D5804" s="56"/>
    </row>
    <row r="5805">
      <c r="A5805" s="64"/>
      <c r="D5805" s="56"/>
    </row>
    <row r="5806">
      <c r="A5806" s="64"/>
      <c r="D5806" s="56"/>
    </row>
    <row r="5807">
      <c r="A5807" s="64"/>
      <c r="D5807" s="56"/>
    </row>
    <row r="5808">
      <c r="A5808" s="64"/>
      <c r="D5808" s="56"/>
    </row>
    <row r="5809">
      <c r="A5809" s="64"/>
      <c r="D5809" s="56"/>
    </row>
    <row r="5810">
      <c r="A5810" s="64"/>
      <c r="D5810" s="56"/>
    </row>
    <row r="5811">
      <c r="A5811" s="64"/>
      <c r="D5811" s="56"/>
    </row>
    <row r="5812">
      <c r="A5812" s="64"/>
      <c r="D5812" s="56"/>
    </row>
    <row r="5813">
      <c r="A5813" s="64"/>
      <c r="D5813" s="56"/>
    </row>
    <row r="5814">
      <c r="A5814" s="64"/>
      <c r="D5814" s="56"/>
    </row>
    <row r="5815">
      <c r="A5815" s="64"/>
      <c r="D5815" s="56"/>
    </row>
    <row r="5816">
      <c r="A5816" s="64"/>
      <c r="D5816" s="56"/>
    </row>
    <row r="5817">
      <c r="A5817" s="64"/>
      <c r="D5817" s="56"/>
    </row>
    <row r="5818">
      <c r="A5818" s="64"/>
      <c r="D5818" s="56"/>
    </row>
    <row r="5819">
      <c r="A5819" s="64"/>
      <c r="D5819" s="56"/>
    </row>
    <row r="5820">
      <c r="A5820" s="64"/>
      <c r="D5820" s="56"/>
    </row>
    <row r="5821">
      <c r="A5821" s="64"/>
      <c r="D5821" s="56"/>
    </row>
    <row r="5822">
      <c r="A5822" s="64"/>
      <c r="D5822" s="56"/>
    </row>
    <row r="5823">
      <c r="A5823" s="64"/>
      <c r="D5823" s="56"/>
    </row>
    <row r="5824">
      <c r="A5824" s="64"/>
      <c r="D5824" s="56"/>
    </row>
    <row r="5825">
      <c r="A5825" s="64"/>
      <c r="D5825" s="56"/>
    </row>
    <row r="5826">
      <c r="A5826" s="64"/>
      <c r="D5826" s="56"/>
    </row>
    <row r="5827">
      <c r="A5827" s="64"/>
      <c r="D5827" s="56"/>
    </row>
    <row r="5828">
      <c r="A5828" s="64"/>
      <c r="D5828" s="56"/>
    </row>
    <row r="5829">
      <c r="A5829" s="64"/>
      <c r="D5829" s="56"/>
    </row>
    <row r="5830">
      <c r="A5830" s="64"/>
      <c r="D5830" s="56"/>
    </row>
    <row r="5831">
      <c r="A5831" s="64"/>
      <c r="D5831" s="56"/>
    </row>
    <row r="5832">
      <c r="A5832" s="64"/>
      <c r="D5832" s="56"/>
    </row>
    <row r="5833">
      <c r="A5833" s="64"/>
      <c r="D5833" s="56"/>
    </row>
    <row r="5834">
      <c r="A5834" s="64"/>
      <c r="D5834" s="56"/>
    </row>
    <row r="5835">
      <c r="A5835" s="64"/>
      <c r="D5835" s="56"/>
    </row>
    <row r="5836">
      <c r="A5836" s="64"/>
      <c r="D5836" s="56"/>
    </row>
    <row r="5837">
      <c r="A5837" s="64"/>
      <c r="D5837" s="56"/>
    </row>
    <row r="5838">
      <c r="A5838" s="64"/>
      <c r="D5838" s="56"/>
    </row>
    <row r="5839">
      <c r="A5839" s="64"/>
      <c r="D5839" s="56"/>
    </row>
    <row r="5840">
      <c r="A5840" s="64"/>
      <c r="D5840" s="56"/>
    </row>
    <row r="5841">
      <c r="A5841" s="64"/>
      <c r="D5841" s="56"/>
    </row>
    <row r="5842">
      <c r="A5842" s="64"/>
      <c r="D5842" s="56"/>
    </row>
    <row r="5843">
      <c r="A5843" s="64"/>
      <c r="D5843" s="56"/>
    </row>
    <row r="5844">
      <c r="A5844" s="64"/>
      <c r="D5844" s="56"/>
    </row>
    <row r="5845">
      <c r="A5845" s="64"/>
      <c r="D5845" s="56"/>
    </row>
    <row r="5846">
      <c r="A5846" s="64"/>
      <c r="D5846" s="56"/>
    </row>
    <row r="5847">
      <c r="A5847" s="64"/>
      <c r="D5847" s="56"/>
    </row>
    <row r="5848">
      <c r="A5848" s="64"/>
      <c r="D5848" s="56"/>
    </row>
    <row r="5849">
      <c r="A5849" s="64"/>
      <c r="D5849" s="56"/>
    </row>
    <row r="5850">
      <c r="A5850" s="64"/>
      <c r="D5850" s="56"/>
    </row>
    <row r="5851">
      <c r="A5851" s="64"/>
      <c r="D5851" s="56"/>
    </row>
    <row r="5852">
      <c r="A5852" s="64"/>
      <c r="D5852" s="56"/>
    </row>
    <row r="5853">
      <c r="A5853" s="64"/>
      <c r="D5853" s="56"/>
    </row>
    <row r="5854">
      <c r="A5854" s="64"/>
      <c r="D5854" s="56"/>
    </row>
    <row r="5855">
      <c r="A5855" s="64"/>
      <c r="D5855" s="56"/>
    </row>
    <row r="5856">
      <c r="A5856" s="64"/>
      <c r="D5856" s="56"/>
    </row>
    <row r="5857">
      <c r="A5857" s="64"/>
      <c r="D5857" s="56"/>
    </row>
    <row r="5858">
      <c r="A5858" s="64"/>
      <c r="D5858" s="56"/>
    </row>
    <row r="5859">
      <c r="A5859" s="64"/>
      <c r="D5859" s="56"/>
    </row>
    <row r="5860">
      <c r="A5860" s="64"/>
      <c r="D5860" s="56"/>
    </row>
    <row r="5861">
      <c r="A5861" s="64"/>
      <c r="D5861" s="56"/>
    </row>
    <row r="5862">
      <c r="A5862" s="64"/>
      <c r="D5862" s="56"/>
    </row>
    <row r="5863">
      <c r="A5863" s="64"/>
      <c r="D5863" s="56"/>
    </row>
    <row r="5864">
      <c r="A5864" s="64"/>
      <c r="D5864" s="56"/>
    </row>
    <row r="5865">
      <c r="A5865" s="64"/>
      <c r="D5865" s="56"/>
    </row>
    <row r="5866">
      <c r="A5866" s="64"/>
      <c r="D5866" s="56"/>
    </row>
    <row r="5867">
      <c r="A5867" s="64"/>
      <c r="D5867" s="56"/>
    </row>
    <row r="5868">
      <c r="A5868" s="64"/>
      <c r="D5868" s="56"/>
    </row>
    <row r="5869">
      <c r="A5869" s="64"/>
      <c r="D5869" s="56"/>
    </row>
    <row r="5870">
      <c r="A5870" s="64"/>
      <c r="D5870" s="56"/>
    </row>
    <row r="5871">
      <c r="A5871" s="64"/>
      <c r="D5871" s="56"/>
    </row>
    <row r="5872">
      <c r="A5872" s="64"/>
      <c r="D5872" s="56"/>
    </row>
    <row r="5873">
      <c r="A5873" s="64"/>
      <c r="D5873" s="56"/>
    </row>
    <row r="5874">
      <c r="A5874" s="64"/>
      <c r="D5874" s="56"/>
    </row>
    <row r="5875">
      <c r="A5875" s="64"/>
      <c r="D5875" s="56"/>
    </row>
    <row r="5876">
      <c r="A5876" s="64"/>
      <c r="D5876" s="56"/>
    </row>
    <row r="5877">
      <c r="A5877" s="64"/>
      <c r="D5877" s="56"/>
    </row>
    <row r="5878">
      <c r="A5878" s="64"/>
      <c r="D5878" s="56"/>
    </row>
    <row r="5879">
      <c r="A5879" s="64"/>
      <c r="D5879" s="56"/>
    </row>
    <row r="5880">
      <c r="A5880" s="64"/>
      <c r="D5880" s="56"/>
    </row>
    <row r="5881">
      <c r="A5881" s="64"/>
      <c r="D5881" s="56"/>
    </row>
    <row r="5882">
      <c r="A5882" s="64"/>
      <c r="D5882" s="56"/>
    </row>
    <row r="5883">
      <c r="A5883" s="64"/>
      <c r="D5883" s="56"/>
    </row>
    <row r="5884">
      <c r="A5884" s="64"/>
      <c r="D5884" s="56"/>
    </row>
    <row r="5885">
      <c r="A5885" s="64"/>
      <c r="D5885" s="56"/>
    </row>
    <row r="5886">
      <c r="A5886" s="64"/>
      <c r="D5886" s="56"/>
    </row>
    <row r="5887">
      <c r="A5887" s="64"/>
      <c r="D5887" s="56"/>
    </row>
    <row r="5888">
      <c r="A5888" s="64"/>
      <c r="D5888" s="56"/>
    </row>
    <row r="5889">
      <c r="A5889" s="64"/>
      <c r="D5889" s="56"/>
    </row>
    <row r="5890">
      <c r="A5890" s="64"/>
      <c r="D5890" s="56"/>
    </row>
    <row r="5891">
      <c r="A5891" s="64"/>
      <c r="D5891" s="56"/>
    </row>
    <row r="5892">
      <c r="A5892" s="64"/>
      <c r="D5892" s="56"/>
    </row>
    <row r="5893">
      <c r="A5893" s="64"/>
      <c r="D5893" s="56"/>
    </row>
    <row r="5894">
      <c r="A5894" s="64"/>
      <c r="D5894" s="56"/>
    </row>
    <row r="5895">
      <c r="A5895" s="64"/>
      <c r="D5895" s="56"/>
    </row>
    <row r="5896">
      <c r="A5896" s="64"/>
      <c r="D5896" s="56"/>
    </row>
    <row r="5897">
      <c r="A5897" s="64"/>
      <c r="D5897" s="56"/>
    </row>
    <row r="5898">
      <c r="A5898" s="64"/>
      <c r="D5898" s="56"/>
    </row>
    <row r="5899">
      <c r="A5899" s="64"/>
      <c r="D5899" s="56"/>
    </row>
    <row r="5900">
      <c r="A5900" s="64"/>
      <c r="D5900" s="56"/>
    </row>
    <row r="5901">
      <c r="A5901" s="64"/>
      <c r="D5901" s="56"/>
    </row>
    <row r="5902">
      <c r="A5902" s="64"/>
      <c r="D5902" s="56"/>
    </row>
    <row r="5903">
      <c r="A5903" s="64"/>
      <c r="D5903" s="56"/>
    </row>
    <row r="5904">
      <c r="A5904" s="64"/>
      <c r="D5904" s="56"/>
    </row>
    <row r="5905">
      <c r="A5905" s="64"/>
      <c r="D5905" s="56"/>
    </row>
    <row r="5906">
      <c r="A5906" s="64"/>
      <c r="D5906" s="56"/>
    </row>
    <row r="5907">
      <c r="A5907" s="64"/>
      <c r="D5907" s="56"/>
    </row>
    <row r="5908">
      <c r="A5908" s="64"/>
      <c r="D5908" s="56"/>
    </row>
    <row r="5909">
      <c r="A5909" s="64"/>
      <c r="D5909" s="56"/>
    </row>
    <row r="5910">
      <c r="A5910" s="64"/>
      <c r="D5910" s="56"/>
    </row>
    <row r="5911">
      <c r="A5911" s="64"/>
      <c r="D5911" s="56"/>
    </row>
    <row r="5912">
      <c r="A5912" s="64"/>
      <c r="D5912" s="56"/>
    </row>
    <row r="5913">
      <c r="A5913" s="64"/>
      <c r="D5913" s="56"/>
    </row>
    <row r="5914">
      <c r="A5914" s="64"/>
      <c r="D5914" s="56"/>
    </row>
    <row r="5915">
      <c r="A5915" s="64"/>
      <c r="D5915" s="56"/>
    </row>
    <row r="5916">
      <c r="A5916" s="64"/>
      <c r="D5916" s="56"/>
    </row>
    <row r="5917">
      <c r="A5917" s="64"/>
      <c r="D5917" s="56"/>
    </row>
    <row r="5918">
      <c r="A5918" s="64"/>
      <c r="D5918" s="56"/>
    </row>
    <row r="5919">
      <c r="A5919" s="64"/>
      <c r="D5919" s="56"/>
    </row>
    <row r="5920">
      <c r="A5920" s="64"/>
      <c r="D5920" s="56"/>
    </row>
    <row r="5921">
      <c r="A5921" s="64"/>
      <c r="D5921" s="56"/>
    </row>
    <row r="5922">
      <c r="A5922" s="64"/>
      <c r="D5922" s="56"/>
    </row>
    <row r="5923">
      <c r="A5923" s="64"/>
      <c r="D5923" s="56"/>
    </row>
    <row r="5924">
      <c r="A5924" s="64"/>
      <c r="D5924" s="56"/>
    </row>
    <row r="5925">
      <c r="A5925" s="64"/>
      <c r="D5925" s="56"/>
    </row>
    <row r="5926">
      <c r="A5926" s="64"/>
      <c r="D5926" s="56"/>
    </row>
    <row r="5927">
      <c r="A5927" s="64"/>
      <c r="D5927" s="56"/>
    </row>
    <row r="5928">
      <c r="A5928" s="64"/>
      <c r="D5928" s="56"/>
    </row>
    <row r="5929">
      <c r="A5929" s="64"/>
      <c r="D5929" s="56"/>
    </row>
    <row r="5930">
      <c r="A5930" s="64"/>
      <c r="D5930" s="56"/>
    </row>
    <row r="5931">
      <c r="A5931" s="64"/>
      <c r="D5931" s="56"/>
    </row>
    <row r="5932">
      <c r="A5932" s="64"/>
      <c r="D5932" s="56"/>
    </row>
    <row r="5933">
      <c r="A5933" s="64"/>
      <c r="D5933" s="56"/>
    </row>
    <row r="5934">
      <c r="A5934" s="64"/>
      <c r="D5934" s="56"/>
    </row>
    <row r="5935">
      <c r="A5935" s="64"/>
      <c r="D5935" s="56"/>
    </row>
    <row r="5936">
      <c r="A5936" s="64"/>
      <c r="D5936" s="56"/>
    </row>
    <row r="5937">
      <c r="A5937" s="64"/>
      <c r="D5937" s="56"/>
    </row>
    <row r="5938">
      <c r="A5938" s="64"/>
      <c r="D5938" s="56"/>
    </row>
    <row r="5939">
      <c r="A5939" s="64"/>
      <c r="D5939" s="56"/>
    </row>
    <row r="5940">
      <c r="A5940" s="64"/>
      <c r="D5940" s="56"/>
    </row>
    <row r="5941">
      <c r="A5941" s="64"/>
      <c r="D5941" s="56"/>
    </row>
    <row r="5942">
      <c r="A5942" s="64"/>
      <c r="D5942" s="56"/>
    </row>
    <row r="5943">
      <c r="A5943" s="64"/>
      <c r="D5943" s="56"/>
    </row>
    <row r="5944">
      <c r="A5944" s="64"/>
      <c r="D5944" s="56"/>
    </row>
    <row r="5945">
      <c r="A5945" s="64"/>
      <c r="D5945" s="56"/>
    </row>
    <row r="5946">
      <c r="A5946" s="64"/>
      <c r="D5946" s="56"/>
    </row>
    <row r="5947">
      <c r="A5947" s="64"/>
      <c r="D5947" s="56"/>
    </row>
    <row r="5948">
      <c r="A5948" s="64"/>
      <c r="D5948" s="56"/>
    </row>
    <row r="5949">
      <c r="A5949" s="64"/>
      <c r="D5949" s="56"/>
    </row>
    <row r="5950">
      <c r="A5950" s="64"/>
      <c r="D5950" s="56"/>
    </row>
    <row r="5951">
      <c r="A5951" s="64"/>
      <c r="D5951" s="56"/>
    </row>
    <row r="5952">
      <c r="A5952" s="64"/>
      <c r="D5952" s="56"/>
    </row>
    <row r="5953">
      <c r="A5953" s="64"/>
      <c r="D5953" s="56"/>
    </row>
    <row r="5954">
      <c r="A5954" s="64"/>
      <c r="D5954" s="56"/>
    </row>
    <row r="5955">
      <c r="A5955" s="64"/>
      <c r="D5955" s="56"/>
    </row>
    <row r="5956">
      <c r="A5956" s="64"/>
      <c r="D5956" s="56"/>
    </row>
    <row r="5957">
      <c r="A5957" s="64"/>
      <c r="D5957" s="56"/>
    </row>
    <row r="5958">
      <c r="A5958" s="64"/>
      <c r="D5958" s="56"/>
    </row>
    <row r="5959">
      <c r="A5959" s="64"/>
      <c r="D5959" s="56"/>
    </row>
    <row r="5960">
      <c r="A5960" s="64"/>
      <c r="D5960" s="56"/>
    </row>
    <row r="5961">
      <c r="A5961" s="64"/>
      <c r="D5961" s="56"/>
    </row>
    <row r="5962">
      <c r="A5962" s="64"/>
      <c r="D5962" s="56"/>
    </row>
    <row r="5963">
      <c r="A5963" s="64"/>
      <c r="D5963" s="56"/>
    </row>
    <row r="5964">
      <c r="A5964" s="64"/>
      <c r="D5964" s="56"/>
    </row>
    <row r="5965">
      <c r="A5965" s="64"/>
      <c r="D5965" s="56"/>
    </row>
    <row r="5966">
      <c r="A5966" s="64"/>
      <c r="D5966" s="56"/>
    </row>
    <row r="5967">
      <c r="A5967" s="64"/>
      <c r="D5967" s="56"/>
    </row>
    <row r="5968">
      <c r="A5968" s="64"/>
      <c r="D5968" s="56"/>
    </row>
    <row r="5969">
      <c r="A5969" s="64"/>
      <c r="D5969" s="56"/>
    </row>
    <row r="5970">
      <c r="A5970" s="64"/>
      <c r="D5970" s="56"/>
    </row>
    <row r="5971">
      <c r="A5971" s="64"/>
      <c r="D5971" s="56"/>
    </row>
    <row r="5972">
      <c r="A5972" s="64"/>
      <c r="D5972" s="56"/>
    </row>
    <row r="5973">
      <c r="A5973" s="64"/>
      <c r="D5973" s="56"/>
    </row>
    <row r="5974">
      <c r="A5974" s="64"/>
      <c r="D5974" s="56"/>
    </row>
    <row r="5975">
      <c r="A5975" s="64"/>
      <c r="D5975" s="56"/>
    </row>
    <row r="5976">
      <c r="A5976" s="64"/>
      <c r="D5976" s="56"/>
    </row>
    <row r="5977">
      <c r="A5977" s="64"/>
      <c r="D5977" s="56"/>
    </row>
    <row r="5978">
      <c r="A5978" s="64"/>
      <c r="D5978" s="56"/>
    </row>
    <row r="5979">
      <c r="A5979" s="64"/>
      <c r="D5979" s="56"/>
    </row>
    <row r="5980">
      <c r="A5980" s="64"/>
      <c r="D5980" s="56"/>
    </row>
    <row r="5981">
      <c r="A5981" s="64"/>
      <c r="D5981" s="56"/>
    </row>
    <row r="5982">
      <c r="A5982" s="64"/>
      <c r="D5982" s="56"/>
    </row>
    <row r="5983">
      <c r="A5983" s="64"/>
      <c r="D5983" s="56"/>
    </row>
    <row r="5984">
      <c r="A5984" s="64"/>
      <c r="D5984" s="56"/>
    </row>
    <row r="5985">
      <c r="A5985" s="64"/>
      <c r="D5985" s="56"/>
    </row>
    <row r="5986">
      <c r="A5986" s="64"/>
      <c r="D5986" s="56"/>
    </row>
    <row r="5987">
      <c r="A5987" s="64"/>
      <c r="D5987" s="56"/>
    </row>
    <row r="5988">
      <c r="A5988" s="64"/>
      <c r="D5988" s="56"/>
    </row>
    <row r="5989">
      <c r="A5989" s="64"/>
      <c r="D5989" s="56"/>
    </row>
    <row r="5990">
      <c r="A5990" s="64"/>
      <c r="D5990" s="56"/>
    </row>
    <row r="5991">
      <c r="A5991" s="64"/>
      <c r="D5991" s="56"/>
    </row>
    <row r="5992">
      <c r="A5992" s="64"/>
      <c r="D5992" s="56"/>
    </row>
    <row r="5993">
      <c r="A5993" s="64"/>
      <c r="D5993" s="56"/>
    </row>
    <row r="5994">
      <c r="A5994" s="64"/>
      <c r="D5994" s="56"/>
    </row>
    <row r="5995">
      <c r="A5995" s="64"/>
      <c r="D5995" s="56"/>
    </row>
    <row r="5996">
      <c r="A5996" s="64"/>
      <c r="D5996" s="56"/>
    </row>
    <row r="5997">
      <c r="A5997" s="64"/>
      <c r="D5997" s="56"/>
    </row>
    <row r="5998">
      <c r="A5998" s="64"/>
      <c r="D5998" s="56"/>
    </row>
    <row r="5999">
      <c r="A5999" s="64"/>
      <c r="D5999" s="56"/>
    </row>
    <row r="6000">
      <c r="A6000" s="64"/>
      <c r="D6000" s="56"/>
    </row>
    <row r="6001">
      <c r="A6001" s="64"/>
      <c r="D6001" s="56"/>
    </row>
    <row r="6002">
      <c r="A6002" s="64"/>
      <c r="D6002" s="56"/>
    </row>
    <row r="6003">
      <c r="A6003" s="64"/>
      <c r="D6003" s="56"/>
    </row>
    <row r="6004">
      <c r="A6004" s="64"/>
      <c r="D6004" s="56"/>
    </row>
    <row r="6005">
      <c r="A6005" s="64"/>
      <c r="D6005" s="56"/>
    </row>
    <row r="6006">
      <c r="A6006" s="64"/>
      <c r="D6006" s="56"/>
    </row>
    <row r="6007">
      <c r="A6007" s="64"/>
      <c r="D6007" s="56"/>
    </row>
    <row r="6008">
      <c r="A6008" s="64"/>
      <c r="D6008" s="56"/>
    </row>
    <row r="6009">
      <c r="A6009" s="64"/>
      <c r="D6009" s="56"/>
    </row>
    <row r="6010">
      <c r="A6010" s="64"/>
      <c r="D6010" s="56"/>
    </row>
    <row r="6011">
      <c r="A6011" s="64"/>
      <c r="D6011" s="56"/>
    </row>
    <row r="6012">
      <c r="A6012" s="64"/>
      <c r="D6012" s="56"/>
    </row>
    <row r="6013">
      <c r="A6013" s="64"/>
      <c r="D6013" s="56"/>
    </row>
    <row r="6014">
      <c r="A6014" s="64"/>
      <c r="D6014" s="56"/>
    </row>
    <row r="6015">
      <c r="A6015" s="64"/>
      <c r="D6015" s="56"/>
    </row>
    <row r="6016">
      <c r="A6016" s="64"/>
      <c r="D6016" s="56"/>
    </row>
    <row r="6017">
      <c r="A6017" s="64"/>
      <c r="D6017" s="56"/>
    </row>
    <row r="6018">
      <c r="A6018" s="64"/>
      <c r="D6018" s="56"/>
    </row>
    <row r="6019">
      <c r="A6019" s="64"/>
      <c r="D6019" s="56"/>
    </row>
    <row r="6020">
      <c r="A6020" s="64"/>
      <c r="D6020" s="56"/>
    </row>
    <row r="6021">
      <c r="A6021" s="64"/>
      <c r="D6021" s="56"/>
    </row>
    <row r="6022">
      <c r="A6022" s="64"/>
      <c r="D6022" s="56"/>
    </row>
    <row r="6023">
      <c r="A6023" s="64"/>
      <c r="D6023" s="56"/>
    </row>
    <row r="6024">
      <c r="A6024" s="64"/>
      <c r="D6024" s="56"/>
    </row>
    <row r="6025">
      <c r="A6025" s="64"/>
      <c r="D6025" s="56"/>
    </row>
    <row r="6026">
      <c r="A6026" s="64"/>
      <c r="D6026" s="56"/>
    </row>
    <row r="6027">
      <c r="A6027" s="64"/>
      <c r="D6027" s="56"/>
    </row>
    <row r="6028">
      <c r="A6028" s="64"/>
      <c r="D6028" s="56"/>
    </row>
    <row r="6029">
      <c r="A6029" s="64"/>
      <c r="D6029" s="56"/>
    </row>
    <row r="6030">
      <c r="A6030" s="64"/>
      <c r="D6030" s="56"/>
    </row>
    <row r="6031">
      <c r="A6031" s="64"/>
      <c r="D6031" s="56"/>
    </row>
    <row r="6032">
      <c r="A6032" s="64"/>
      <c r="D6032" s="56"/>
    </row>
    <row r="6033">
      <c r="A6033" s="64"/>
      <c r="D6033" s="56"/>
    </row>
    <row r="6034">
      <c r="A6034" s="64"/>
      <c r="D6034" s="56"/>
    </row>
    <row r="6035">
      <c r="A6035" s="64"/>
      <c r="D6035" s="56"/>
    </row>
    <row r="6036">
      <c r="A6036" s="64"/>
      <c r="D6036" s="56"/>
    </row>
    <row r="6037">
      <c r="A6037" s="64"/>
      <c r="D6037" s="56"/>
    </row>
    <row r="6038">
      <c r="A6038" s="64"/>
      <c r="D6038" s="56"/>
    </row>
    <row r="6039">
      <c r="A6039" s="64"/>
      <c r="D6039" s="56"/>
    </row>
    <row r="6040">
      <c r="A6040" s="64"/>
      <c r="D6040" s="56"/>
    </row>
    <row r="6041">
      <c r="A6041" s="64"/>
      <c r="D6041" s="56"/>
    </row>
    <row r="6042">
      <c r="A6042" s="64"/>
      <c r="D6042" s="56"/>
    </row>
    <row r="6043">
      <c r="A6043" s="64"/>
      <c r="D6043" s="56"/>
    </row>
    <row r="6044">
      <c r="A6044" s="64"/>
      <c r="D6044" s="56"/>
    </row>
    <row r="6045">
      <c r="A6045" s="64"/>
      <c r="D6045" s="56"/>
    </row>
    <row r="6046">
      <c r="A6046" s="64"/>
      <c r="D6046" s="56"/>
    </row>
    <row r="6047">
      <c r="A6047" s="64"/>
      <c r="D6047" s="56"/>
    </row>
    <row r="6048">
      <c r="A6048" s="64"/>
      <c r="D6048" s="56"/>
    </row>
    <row r="6049">
      <c r="A6049" s="64"/>
      <c r="D6049" s="56"/>
    </row>
    <row r="6050">
      <c r="A6050" s="64"/>
      <c r="D6050" s="56"/>
    </row>
    <row r="6051">
      <c r="A6051" s="64"/>
      <c r="D6051" s="56"/>
    </row>
    <row r="6052">
      <c r="A6052" s="64"/>
      <c r="D6052" s="56"/>
    </row>
    <row r="6053">
      <c r="A6053" s="64"/>
      <c r="D6053" s="56"/>
    </row>
    <row r="6054">
      <c r="A6054" s="64"/>
      <c r="D6054" s="56"/>
    </row>
    <row r="6055">
      <c r="A6055" s="64"/>
      <c r="D6055" s="56"/>
    </row>
    <row r="6056">
      <c r="A6056" s="64"/>
      <c r="D6056" s="56"/>
    </row>
    <row r="6057">
      <c r="A6057" s="64"/>
      <c r="D6057" s="56"/>
    </row>
    <row r="6058">
      <c r="A6058" s="64"/>
      <c r="D6058" s="56"/>
    </row>
    <row r="6059">
      <c r="A6059" s="64"/>
      <c r="D6059" s="56"/>
    </row>
    <row r="6060">
      <c r="A6060" s="64"/>
      <c r="D6060" s="56"/>
    </row>
    <row r="6061">
      <c r="A6061" s="64"/>
      <c r="D6061" s="56"/>
    </row>
    <row r="6062">
      <c r="A6062" s="64"/>
      <c r="D6062" s="56"/>
    </row>
    <row r="6063">
      <c r="A6063" s="64"/>
      <c r="D6063" s="56"/>
    </row>
    <row r="6064">
      <c r="A6064" s="64"/>
      <c r="D6064" s="56"/>
    </row>
    <row r="6065">
      <c r="A6065" s="64"/>
      <c r="D6065" s="56"/>
    </row>
    <row r="6066">
      <c r="A6066" s="64"/>
      <c r="D6066" s="56"/>
    </row>
    <row r="6067">
      <c r="A6067" s="64"/>
      <c r="D6067" s="56"/>
    </row>
    <row r="6068">
      <c r="A6068" s="64"/>
      <c r="D6068" s="56"/>
    </row>
    <row r="6069">
      <c r="A6069" s="64"/>
      <c r="D6069" s="56"/>
    </row>
    <row r="6070">
      <c r="A6070" s="64"/>
      <c r="D6070" s="56"/>
    </row>
    <row r="6071">
      <c r="A6071" s="64"/>
      <c r="D6071" s="56"/>
    </row>
    <row r="6072">
      <c r="A6072" s="64"/>
      <c r="D6072" s="56"/>
    </row>
    <row r="6073">
      <c r="A6073" s="64"/>
      <c r="D6073" s="56"/>
    </row>
    <row r="6074">
      <c r="A6074" s="64"/>
      <c r="D6074" s="56"/>
    </row>
    <row r="6075">
      <c r="A6075" s="64"/>
      <c r="D6075" s="56"/>
    </row>
    <row r="6076">
      <c r="A6076" s="64"/>
      <c r="D6076" s="56"/>
    </row>
    <row r="6077">
      <c r="A6077" s="64"/>
      <c r="D6077" s="56"/>
    </row>
    <row r="6078">
      <c r="A6078" s="64"/>
      <c r="D6078" s="56"/>
    </row>
    <row r="6079">
      <c r="A6079" s="64"/>
      <c r="D6079" s="56"/>
    </row>
    <row r="6080">
      <c r="A6080" s="64"/>
      <c r="D6080" s="56"/>
    </row>
    <row r="6081">
      <c r="A6081" s="64"/>
      <c r="D6081" s="56"/>
    </row>
    <row r="6082">
      <c r="A6082" s="64"/>
      <c r="D6082" s="56"/>
    </row>
    <row r="6083">
      <c r="A6083" s="64"/>
      <c r="D6083" s="56"/>
    </row>
    <row r="6084">
      <c r="A6084" s="64"/>
      <c r="D6084" s="56"/>
    </row>
    <row r="6085">
      <c r="A6085" s="64"/>
      <c r="D6085" s="56"/>
    </row>
    <row r="6086">
      <c r="A6086" s="64"/>
      <c r="D6086" s="56"/>
    </row>
    <row r="6087">
      <c r="A6087" s="64"/>
      <c r="D6087" s="56"/>
    </row>
    <row r="6088">
      <c r="A6088" s="64"/>
      <c r="D6088" s="56"/>
    </row>
    <row r="6089">
      <c r="A6089" s="64"/>
      <c r="D6089" s="56"/>
    </row>
    <row r="6090">
      <c r="A6090" s="64"/>
      <c r="D6090" s="56"/>
    </row>
    <row r="6091">
      <c r="A6091" s="64"/>
      <c r="D6091" s="56"/>
    </row>
    <row r="6092">
      <c r="A6092" s="64"/>
      <c r="D6092" s="56"/>
    </row>
    <row r="6093">
      <c r="A6093" s="64"/>
      <c r="D6093" s="56"/>
    </row>
    <row r="6094">
      <c r="A6094" s="64"/>
      <c r="D6094" s="56"/>
    </row>
    <row r="6095">
      <c r="A6095" s="64"/>
      <c r="D6095" s="56"/>
    </row>
    <row r="6096">
      <c r="A6096" s="64"/>
      <c r="D6096" s="56"/>
    </row>
    <row r="6097">
      <c r="A6097" s="64"/>
      <c r="D6097" s="56"/>
    </row>
    <row r="6098">
      <c r="A6098" s="64"/>
      <c r="D6098" s="56"/>
    </row>
    <row r="6099">
      <c r="A6099" s="64"/>
      <c r="D6099" s="56"/>
    </row>
    <row r="6100">
      <c r="A6100" s="64"/>
      <c r="D6100" s="56"/>
    </row>
    <row r="6101">
      <c r="A6101" s="64"/>
      <c r="D6101" s="56"/>
    </row>
    <row r="6102">
      <c r="A6102" s="64"/>
      <c r="D6102" s="56"/>
    </row>
    <row r="6103">
      <c r="A6103" s="64"/>
      <c r="D6103" s="56"/>
    </row>
    <row r="6104">
      <c r="A6104" s="64"/>
      <c r="D6104" s="56"/>
    </row>
    <row r="6105">
      <c r="A6105" s="64"/>
      <c r="D6105" s="56"/>
    </row>
    <row r="6106">
      <c r="A6106" s="64"/>
      <c r="D6106" s="56"/>
    </row>
    <row r="6107">
      <c r="A6107" s="64"/>
      <c r="D6107" s="56"/>
    </row>
    <row r="6108">
      <c r="A6108" s="64"/>
      <c r="D6108" s="56"/>
    </row>
    <row r="6109">
      <c r="A6109" s="64"/>
      <c r="D6109" s="56"/>
    </row>
    <row r="6110">
      <c r="A6110" s="64"/>
      <c r="D6110" s="56"/>
    </row>
    <row r="6111">
      <c r="A6111" s="64"/>
      <c r="D6111" s="56"/>
    </row>
    <row r="6112">
      <c r="A6112" s="64"/>
      <c r="D6112" s="56"/>
    </row>
    <row r="6113">
      <c r="A6113" s="64"/>
      <c r="D6113" s="56"/>
    </row>
    <row r="6114">
      <c r="A6114" s="64"/>
      <c r="D6114" s="56"/>
    </row>
    <row r="6115">
      <c r="A6115" s="64"/>
      <c r="D6115" s="56"/>
    </row>
    <row r="6116">
      <c r="A6116" s="64"/>
      <c r="D6116" s="56"/>
    </row>
    <row r="6117">
      <c r="A6117" s="64"/>
      <c r="D6117" s="56"/>
    </row>
    <row r="6118">
      <c r="A6118" s="64"/>
      <c r="D6118" s="56"/>
    </row>
    <row r="6119">
      <c r="A6119" s="64"/>
      <c r="D6119" s="56"/>
    </row>
    <row r="6120">
      <c r="A6120" s="64"/>
      <c r="D6120" s="56"/>
    </row>
    <row r="6121">
      <c r="A6121" s="64"/>
      <c r="D6121" s="56"/>
    </row>
    <row r="6122">
      <c r="A6122" s="64"/>
      <c r="D6122" s="56"/>
    </row>
    <row r="6123">
      <c r="A6123" s="64"/>
      <c r="D6123" s="56"/>
    </row>
    <row r="6124">
      <c r="A6124" s="64"/>
      <c r="D6124" s="56"/>
    </row>
    <row r="6125">
      <c r="A6125" s="64"/>
      <c r="D6125" s="56"/>
    </row>
    <row r="6126">
      <c r="A6126" s="64"/>
      <c r="D6126" s="56"/>
    </row>
    <row r="6127">
      <c r="A6127" s="64"/>
      <c r="D6127" s="56"/>
    </row>
    <row r="6128">
      <c r="A6128" s="64"/>
      <c r="D6128" s="56"/>
    </row>
    <row r="6129">
      <c r="A6129" s="64"/>
      <c r="D6129" s="56"/>
    </row>
    <row r="6130">
      <c r="A6130" s="64"/>
      <c r="D6130" s="56"/>
    </row>
    <row r="6131">
      <c r="A6131" s="64"/>
      <c r="D6131" s="56"/>
    </row>
    <row r="6132">
      <c r="A6132" s="64"/>
      <c r="D6132" s="56"/>
    </row>
    <row r="6133">
      <c r="A6133" s="64"/>
      <c r="D6133" s="56"/>
    </row>
    <row r="6134">
      <c r="A6134" s="64"/>
      <c r="D6134" s="56"/>
    </row>
    <row r="6135">
      <c r="A6135" s="64"/>
      <c r="D6135" s="56"/>
    </row>
    <row r="6136">
      <c r="A6136" s="64"/>
      <c r="D6136" s="56"/>
    </row>
    <row r="6137">
      <c r="A6137" s="64"/>
      <c r="D6137" s="56"/>
    </row>
    <row r="6138">
      <c r="A6138" s="64"/>
      <c r="D6138" s="56"/>
    </row>
    <row r="6139">
      <c r="A6139" s="64"/>
      <c r="D6139" s="56"/>
    </row>
    <row r="6140">
      <c r="A6140" s="64"/>
      <c r="D6140" s="56"/>
    </row>
    <row r="6141">
      <c r="A6141" s="64"/>
      <c r="D6141" s="56"/>
    </row>
    <row r="6142">
      <c r="A6142" s="64"/>
      <c r="D6142" s="56"/>
    </row>
    <row r="6143">
      <c r="A6143" s="64"/>
      <c r="D6143" s="56"/>
    </row>
    <row r="6144">
      <c r="A6144" s="64"/>
      <c r="D6144" s="56"/>
    </row>
    <row r="6145">
      <c r="A6145" s="64"/>
      <c r="D6145" s="56"/>
    </row>
    <row r="6146">
      <c r="A6146" s="64"/>
      <c r="D6146" s="56"/>
    </row>
    <row r="6147">
      <c r="A6147" s="64"/>
      <c r="D6147" s="56"/>
    </row>
    <row r="6148">
      <c r="A6148" s="64"/>
      <c r="D6148" s="56"/>
    </row>
    <row r="6149">
      <c r="A6149" s="64"/>
      <c r="D6149" s="56"/>
    </row>
    <row r="6150">
      <c r="A6150" s="64"/>
      <c r="D6150" s="56"/>
    </row>
    <row r="6151">
      <c r="A6151" s="64"/>
      <c r="D6151" s="56"/>
    </row>
    <row r="6152">
      <c r="A6152" s="64"/>
      <c r="D6152" s="56"/>
    </row>
    <row r="6153">
      <c r="A6153" s="64"/>
      <c r="D6153" s="56"/>
    </row>
    <row r="6154">
      <c r="A6154" s="64"/>
      <c r="D6154" s="56"/>
    </row>
    <row r="6155">
      <c r="A6155" s="64"/>
      <c r="D6155" s="56"/>
    </row>
    <row r="6156">
      <c r="A6156" s="64"/>
      <c r="D6156" s="56"/>
    </row>
    <row r="6157">
      <c r="A6157" s="64"/>
      <c r="D6157" s="56"/>
    </row>
    <row r="6158">
      <c r="A6158" s="64"/>
      <c r="D6158" s="56"/>
    </row>
    <row r="6159">
      <c r="A6159" s="64"/>
      <c r="D6159" s="56"/>
    </row>
    <row r="6160">
      <c r="A6160" s="64"/>
      <c r="D6160" s="56"/>
    </row>
    <row r="6161">
      <c r="A6161" s="64"/>
      <c r="D6161" s="56"/>
    </row>
    <row r="6162">
      <c r="A6162" s="64"/>
      <c r="D6162" s="56"/>
    </row>
    <row r="6163">
      <c r="A6163" s="64"/>
      <c r="D6163" s="56"/>
    </row>
    <row r="6164">
      <c r="A6164" s="64"/>
      <c r="D6164" s="56"/>
    </row>
    <row r="6165">
      <c r="A6165" s="64"/>
      <c r="D6165" s="56"/>
    </row>
    <row r="6166">
      <c r="A6166" s="64"/>
      <c r="D6166" s="56"/>
    </row>
    <row r="6167">
      <c r="A6167" s="64"/>
      <c r="D6167" s="56"/>
    </row>
    <row r="6168">
      <c r="A6168" s="64"/>
      <c r="D6168" s="56"/>
    </row>
    <row r="6169">
      <c r="A6169" s="64"/>
      <c r="D6169" s="56"/>
    </row>
    <row r="6170">
      <c r="A6170" s="64"/>
      <c r="D6170" s="56"/>
    </row>
    <row r="6171">
      <c r="A6171" s="64"/>
      <c r="D6171" s="56"/>
    </row>
    <row r="6172">
      <c r="A6172" s="64"/>
      <c r="D6172" s="56"/>
    </row>
    <row r="6173">
      <c r="A6173" s="64"/>
      <c r="D6173" s="56"/>
    </row>
    <row r="6174">
      <c r="A6174" s="64"/>
      <c r="D6174" s="56"/>
    </row>
    <row r="6175">
      <c r="A6175" s="64"/>
      <c r="D6175" s="56"/>
    </row>
    <row r="6176">
      <c r="A6176" s="64"/>
      <c r="D6176" s="56"/>
    </row>
    <row r="6177">
      <c r="A6177" s="64"/>
      <c r="D6177" s="56"/>
    </row>
    <row r="6178">
      <c r="A6178" s="64"/>
      <c r="D6178" s="56"/>
    </row>
    <row r="6179">
      <c r="A6179" s="64"/>
      <c r="D6179" s="56"/>
    </row>
    <row r="6180">
      <c r="A6180" s="64"/>
      <c r="D6180" s="56"/>
    </row>
    <row r="6181">
      <c r="A6181" s="64"/>
      <c r="D6181" s="56"/>
    </row>
    <row r="6182">
      <c r="A6182" s="64"/>
      <c r="D6182" s="56"/>
    </row>
    <row r="6183">
      <c r="A6183" s="64"/>
      <c r="D6183" s="56"/>
    </row>
    <row r="6184">
      <c r="A6184" s="64"/>
      <c r="D6184" s="56"/>
    </row>
    <row r="6185">
      <c r="A6185" s="64"/>
      <c r="D6185" s="56"/>
    </row>
    <row r="6186">
      <c r="A6186" s="64"/>
      <c r="D6186" s="56"/>
    </row>
    <row r="6187">
      <c r="A6187" s="64"/>
      <c r="D6187" s="56"/>
    </row>
    <row r="6188">
      <c r="A6188" s="64"/>
      <c r="D6188" s="56"/>
    </row>
    <row r="6189">
      <c r="A6189" s="64"/>
      <c r="D6189" s="56"/>
    </row>
    <row r="6190">
      <c r="A6190" s="64"/>
      <c r="D6190" s="56"/>
    </row>
    <row r="6191">
      <c r="A6191" s="64"/>
      <c r="D6191" s="56"/>
    </row>
    <row r="6192">
      <c r="A6192" s="64"/>
      <c r="D6192" s="56"/>
    </row>
    <row r="6193">
      <c r="A6193" s="64"/>
      <c r="D6193" s="56"/>
    </row>
    <row r="6194">
      <c r="A6194" s="64"/>
      <c r="D6194" s="56"/>
    </row>
    <row r="6195">
      <c r="A6195" s="64"/>
      <c r="D6195" s="56"/>
    </row>
    <row r="6196">
      <c r="A6196" s="64"/>
      <c r="D6196" s="56"/>
    </row>
    <row r="6197">
      <c r="A6197" s="64"/>
      <c r="D6197" s="56"/>
    </row>
    <row r="6198">
      <c r="A6198" s="64"/>
      <c r="D6198" s="56"/>
    </row>
    <row r="6199">
      <c r="A6199" s="64"/>
      <c r="D6199" s="56"/>
    </row>
    <row r="6200">
      <c r="A6200" s="64"/>
      <c r="D6200" s="56"/>
    </row>
    <row r="6201">
      <c r="A6201" s="64"/>
      <c r="D6201" s="56"/>
    </row>
    <row r="6202">
      <c r="A6202" s="64"/>
      <c r="D6202" s="56"/>
    </row>
    <row r="6203">
      <c r="A6203" s="64"/>
      <c r="D6203" s="56"/>
    </row>
    <row r="6204">
      <c r="A6204" s="64"/>
      <c r="D6204" s="56"/>
    </row>
    <row r="6205">
      <c r="A6205" s="64"/>
      <c r="D6205" s="56"/>
    </row>
    <row r="6206">
      <c r="A6206" s="64"/>
      <c r="D6206" s="56"/>
    </row>
    <row r="6207">
      <c r="A6207" s="64"/>
      <c r="D6207" s="56"/>
    </row>
    <row r="6208">
      <c r="A6208" s="64"/>
      <c r="D6208" s="56"/>
    </row>
    <row r="6209">
      <c r="A6209" s="64"/>
      <c r="D6209" s="56"/>
    </row>
    <row r="6210">
      <c r="A6210" s="64"/>
      <c r="D6210" s="56"/>
    </row>
    <row r="6211">
      <c r="A6211" s="64"/>
      <c r="D6211" s="56"/>
    </row>
    <row r="6212">
      <c r="A6212" s="64"/>
      <c r="D6212" s="56"/>
    </row>
    <row r="6213">
      <c r="A6213" s="64"/>
      <c r="D6213" s="56"/>
    </row>
    <row r="6214">
      <c r="A6214" s="64"/>
      <c r="D6214" s="56"/>
    </row>
    <row r="6215">
      <c r="A6215" s="64"/>
      <c r="D6215" s="56"/>
    </row>
    <row r="6216">
      <c r="A6216" s="64"/>
      <c r="D6216" s="56"/>
    </row>
    <row r="6217">
      <c r="A6217" s="64"/>
      <c r="D6217" s="56"/>
    </row>
    <row r="6218">
      <c r="A6218" s="64"/>
      <c r="D6218" s="56"/>
    </row>
    <row r="6219">
      <c r="A6219" s="64"/>
      <c r="D6219" s="56"/>
    </row>
    <row r="6220">
      <c r="A6220" s="64"/>
      <c r="D6220" s="56"/>
    </row>
    <row r="6221">
      <c r="A6221" s="64"/>
      <c r="D6221" s="56"/>
    </row>
    <row r="6222">
      <c r="A6222" s="64"/>
      <c r="D6222" s="56"/>
    </row>
    <row r="6223">
      <c r="A6223" s="64"/>
      <c r="D6223" s="56"/>
    </row>
    <row r="6224">
      <c r="A6224" s="64"/>
      <c r="D6224" s="56"/>
    </row>
    <row r="6225">
      <c r="A6225" s="64"/>
      <c r="D6225" s="56"/>
    </row>
    <row r="6226">
      <c r="A6226" s="64"/>
      <c r="D6226" s="56"/>
    </row>
    <row r="6227">
      <c r="A6227" s="64"/>
      <c r="D6227" s="56"/>
    </row>
    <row r="6228">
      <c r="A6228" s="64"/>
      <c r="D6228" s="56"/>
    </row>
    <row r="6229">
      <c r="A6229" s="64"/>
      <c r="D6229" s="56"/>
    </row>
    <row r="6230">
      <c r="A6230" s="64"/>
      <c r="D6230" s="56"/>
    </row>
    <row r="6231">
      <c r="A6231" s="64"/>
      <c r="D6231" s="56"/>
    </row>
    <row r="6232">
      <c r="A6232" s="64"/>
      <c r="D6232" s="56"/>
    </row>
    <row r="6233">
      <c r="A6233" s="64"/>
      <c r="D6233" s="56"/>
    </row>
    <row r="6234">
      <c r="A6234" s="64"/>
      <c r="D6234" s="56"/>
    </row>
    <row r="6235">
      <c r="A6235" s="64"/>
      <c r="D6235" s="56"/>
    </row>
    <row r="6236">
      <c r="A6236" s="64"/>
      <c r="D6236" s="56"/>
    </row>
    <row r="6237">
      <c r="A6237" s="64"/>
      <c r="D6237" s="56"/>
    </row>
    <row r="6238">
      <c r="A6238" s="64"/>
      <c r="D6238" s="56"/>
    </row>
    <row r="6239">
      <c r="A6239" s="64"/>
      <c r="D6239" s="56"/>
    </row>
    <row r="6240">
      <c r="A6240" s="64"/>
      <c r="D6240" s="56"/>
    </row>
    <row r="6241">
      <c r="A6241" s="64"/>
      <c r="D6241" s="56"/>
    </row>
    <row r="6242">
      <c r="A6242" s="64"/>
      <c r="D6242" s="56"/>
    </row>
    <row r="6243">
      <c r="A6243" s="64"/>
      <c r="D6243" s="56"/>
    </row>
    <row r="6244">
      <c r="A6244" s="64"/>
      <c r="D6244" s="56"/>
    </row>
    <row r="6245">
      <c r="A6245" s="64"/>
      <c r="D6245" s="56"/>
    </row>
    <row r="6246">
      <c r="A6246" s="64"/>
      <c r="D6246" s="56"/>
    </row>
    <row r="6247">
      <c r="A6247" s="64"/>
      <c r="D6247" s="56"/>
    </row>
    <row r="6248">
      <c r="A6248" s="64"/>
      <c r="D6248" s="56"/>
    </row>
    <row r="6249">
      <c r="A6249" s="64"/>
      <c r="D6249" s="56"/>
    </row>
    <row r="6250">
      <c r="A6250" s="64"/>
      <c r="D6250" s="56"/>
    </row>
    <row r="6251">
      <c r="A6251" s="64"/>
      <c r="D6251" s="56"/>
    </row>
    <row r="6252">
      <c r="A6252" s="64"/>
      <c r="D6252" s="56"/>
    </row>
    <row r="6253">
      <c r="A6253" s="64"/>
      <c r="D6253" s="56"/>
    </row>
    <row r="6254">
      <c r="A6254" s="64"/>
      <c r="D6254" s="56"/>
    </row>
    <row r="6255">
      <c r="A6255" s="64"/>
      <c r="D6255" s="56"/>
    </row>
    <row r="6256">
      <c r="A6256" s="64"/>
      <c r="D6256" s="56"/>
    </row>
    <row r="6257">
      <c r="A6257" s="64"/>
      <c r="D6257" s="56"/>
    </row>
    <row r="6258">
      <c r="A6258" s="64"/>
      <c r="D6258" s="56"/>
    </row>
    <row r="6259">
      <c r="A6259" s="64"/>
      <c r="D6259" s="56"/>
    </row>
    <row r="6260">
      <c r="A6260" s="64"/>
      <c r="D6260" s="56"/>
    </row>
    <row r="6261">
      <c r="A6261" s="64"/>
      <c r="D6261" s="56"/>
    </row>
    <row r="6262">
      <c r="A6262" s="64"/>
      <c r="D6262" s="56"/>
    </row>
    <row r="6263">
      <c r="A6263" s="64"/>
      <c r="D6263" s="56"/>
    </row>
    <row r="6264">
      <c r="A6264" s="64"/>
      <c r="D6264" s="56"/>
    </row>
    <row r="6265">
      <c r="A6265" s="64"/>
      <c r="D6265" s="56"/>
    </row>
    <row r="6266">
      <c r="A6266" s="64"/>
      <c r="D6266" s="56"/>
    </row>
    <row r="6267">
      <c r="A6267" s="64"/>
      <c r="D6267" s="56"/>
    </row>
    <row r="6268">
      <c r="A6268" s="64"/>
      <c r="D6268" s="56"/>
    </row>
    <row r="6269">
      <c r="A6269" s="64"/>
      <c r="D6269" s="56"/>
    </row>
    <row r="6270">
      <c r="A6270" s="64"/>
      <c r="D6270" s="56"/>
    </row>
    <row r="6271">
      <c r="A6271" s="64"/>
      <c r="D6271" s="56"/>
    </row>
    <row r="6272">
      <c r="A6272" s="64"/>
      <c r="D6272" s="56"/>
    </row>
    <row r="6273">
      <c r="A6273" s="64"/>
      <c r="D6273" s="56"/>
    </row>
    <row r="6274">
      <c r="A6274" s="64"/>
      <c r="D6274" s="56"/>
    </row>
    <row r="6275">
      <c r="A6275" s="64"/>
      <c r="D6275" s="56"/>
    </row>
    <row r="6276">
      <c r="A6276" s="64"/>
      <c r="D6276" s="56"/>
    </row>
    <row r="6277">
      <c r="A6277" s="64"/>
      <c r="D6277" s="56"/>
    </row>
    <row r="6278">
      <c r="A6278" s="64"/>
      <c r="D6278" s="56"/>
    </row>
    <row r="6279">
      <c r="A6279" s="64"/>
      <c r="D6279" s="56"/>
    </row>
    <row r="6280">
      <c r="A6280" s="64"/>
      <c r="D6280" s="56"/>
    </row>
    <row r="6281">
      <c r="A6281" s="64"/>
      <c r="D6281" s="56"/>
    </row>
    <row r="6282">
      <c r="A6282" s="64"/>
      <c r="D6282" s="56"/>
    </row>
    <row r="6283">
      <c r="A6283" s="64"/>
      <c r="D6283" s="56"/>
    </row>
    <row r="6284">
      <c r="A6284" s="64"/>
      <c r="D6284" s="56"/>
    </row>
    <row r="6285">
      <c r="A6285" s="64"/>
      <c r="D6285" s="56"/>
    </row>
    <row r="6286">
      <c r="A6286" s="64"/>
      <c r="D6286" s="56"/>
    </row>
    <row r="6287">
      <c r="A6287" s="64"/>
      <c r="D6287" s="56"/>
    </row>
    <row r="6288">
      <c r="A6288" s="64"/>
      <c r="D6288" s="56"/>
    </row>
    <row r="6289">
      <c r="A6289" s="64"/>
      <c r="D6289" s="56"/>
    </row>
    <row r="6290">
      <c r="A6290" s="64"/>
      <c r="D6290" s="56"/>
    </row>
    <row r="6291">
      <c r="A6291" s="64"/>
      <c r="D6291" s="56"/>
    </row>
    <row r="6292">
      <c r="A6292" s="64"/>
      <c r="D6292" s="56"/>
    </row>
    <row r="6293">
      <c r="A6293" s="64"/>
      <c r="D6293" s="56"/>
    </row>
    <row r="6294">
      <c r="A6294" s="64"/>
      <c r="D6294" s="56"/>
    </row>
    <row r="6295">
      <c r="A6295" s="64"/>
      <c r="D6295" s="56"/>
    </row>
    <row r="6296">
      <c r="A6296" s="64"/>
      <c r="D6296" s="56"/>
    </row>
    <row r="6297">
      <c r="A6297" s="64"/>
      <c r="D6297" s="56"/>
    </row>
    <row r="6298">
      <c r="A6298" s="64"/>
      <c r="D6298" s="56"/>
    </row>
    <row r="6299">
      <c r="A6299" s="64"/>
      <c r="D6299" s="56"/>
    </row>
    <row r="6300">
      <c r="A6300" s="64"/>
      <c r="D6300" s="56"/>
    </row>
    <row r="6301">
      <c r="A6301" s="64"/>
      <c r="D6301" s="56"/>
    </row>
    <row r="6302">
      <c r="A6302" s="64"/>
      <c r="D6302" s="56"/>
    </row>
    <row r="6303">
      <c r="A6303" s="64"/>
      <c r="D6303" s="56"/>
    </row>
    <row r="6304">
      <c r="A6304" s="64"/>
      <c r="D6304" s="56"/>
    </row>
    <row r="6305">
      <c r="A6305" s="64"/>
      <c r="D6305" s="56"/>
    </row>
    <row r="6306">
      <c r="A6306" s="64"/>
      <c r="D6306" s="56"/>
    </row>
    <row r="6307">
      <c r="A6307" s="64"/>
      <c r="D6307" s="56"/>
    </row>
    <row r="6308">
      <c r="A6308" s="64"/>
      <c r="D6308" s="56"/>
    </row>
    <row r="6309">
      <c r="A6309" s="64"/>
      <c r="D6309" s="56"/>
    </row>
    <row r="6310">
      <c r="A6310" s="64"/>
      <c r="D6310" s="56"/>
    </row>
    <row r="6311">
      <c r="A6311" s="64"/>
      <c r="D6311" s="56"/>
    </row>
    <row r="6312">
      <c r="A6312" s="64"/>
      <c r="D6312" s="56"/>
    </row>
    <row r="6313">
      <c r="A6313" s="64"/>
      <c r="D6313" s="56"/>
    </row>
    <row r="6314">
      <c r="A6314" s="64"/>
      <c r="D6314" s="56"/>
    </row>
    <row r="6315">
      <c r="A6315" s="64"/>
      <c r="D6315" s="56"/>
    </row>
    <row r="6316">
      <c r="A6316" s="64"/>
      <c r="D6316" s="56"/>
    </row>
    <row r="6317">
      <c r="A6317" s="64"/>
      <c r="D6317" s="56"/>
    </row>
    <row r="6318">
      <c r="A6318" s="64"/>
      <c r="D6318" s="56"/>
    </row>
    <row r="6319">
      <c r="A6319" s="64"/>
      <c r="D6319" s="56"/>
    </row>
    <row r="6320">
      <c r="A6320" s="64"/>
      <c r="D6320" s="56"/>
    </row>
    <row r="6321">
      <c r="A6321" s="64"/>
      <c r="D6321" s="56"/>
    </row>
    <row r="6322">
      <c r="A6322" s="64"/>
      <c r="D6322" s="56"/>
    </row>
    <row r="6323">
      <c r="A6323" s="64"/>
      <c r="D6323" s="56"/>
    </row>
    <row r="6324">
      <c r="A6324" s="64"/>
      <c r="D6324" s="56"/>
    </row>
    <row r="6325">
      <c r="A6325" s="64"/>
      <c r="D6325" s="56"/>
    </row>
    <row r="6326">
      <c r="A6326" s="64"/>
      <c r="D6326" s="56"/>
    </row>
    <row r="6327">
      <c r="A6327" s="64"/>
      <c r="D6327" s="56"/>
    </row>
    <row r="6328">
      <c r="A6328" s="64"/>
      <c r="D6328" s="56"/>
    </row>
    <row r="6329">
      <c r="A6329" s="64"/>
      <c r="D6329" s="56"/>
    </row>
    <row r="6330">
      <c r="A6330" s="64"/>
      <c r="D6330" s="56"/>
    </row>
    <row r="6331">
      <c r="A6331" s="64"/>
      <c r="D6331" s="56"/>
    </row>
    <row r="6332">
      <c r="A6332" s="64"/>
      <c r="D6332" s="56"/>
    </row>
    <row r="6333">
      <c r="A6333" s="64"/>
      <c r="D6333" s="56"/>
    </row>
    <row r="6334">
      <c r="A6334" s="64"/>
      <c r="D6334" s="56"/>
    </row>
    <row r="6335">
      <c r="A6335" s="64"/>
      <c r="D6335" s="56"/>
    </row>
    <row r="6336">
      <c r="A6336" s="64"/>
      <c r="D6336" s="56"/>
    </row>
    <row r="6337">
      <c r="A6337" s="64"/>
      <c r="D6337" s="56"/>
    </row>
    <row r="6338">
      <c r="A6338" s="64"/>
      <c r="D6338" s="56"/>
    </row>
    <row r="6339">
      <c r="A6339" s="64"/>
      <c r="D6339" s="56"/>
    </row>
    <row r="6340">
      <c r="A6340" s="64"/>
      <c r="D6340" s="56"/>
    </row>
    <row r="6341">
      <c r="A6341" s="64"/>
      <c r="D6341" s="56"/>
    </row>
    <row r="6342">
      <c r="A6342" s="64"/>
      <c r="D6342" s="56"/>
    </row>
    <row r="6343">
      <c r="A6343" s="64"/>
      <c r="D6343" s="56"/>
    </row>
    <row r="6344">
      <c r="A6344" s="64"/>
      <c r="D6344" s="56"/>
    </row>
    <row r="6345">
      <c r="A6345" s="64"/>
      <c r="D6345" s="56"/>
    </row>
    <row r="6346">
      <c r="A6346" s="64"/>
      <c r="D6346" s="56"/>
    </row>
    <row r="6347">
      <c r="A6347" s="64"/>
      <c r="D6347" s="56"/>
    </row>
    <row r="6348">
      <c r="A6348" s="64"/>
      <c r="D6348" s="56"/>
    </row>
    <row r="6349">
      <c r="A6349" s="64"/>
      <c r="D6349" s="56"/>
    </row>
    <row r="6350">
      <c r="A6350" s="64"/>
      <c r="D6350" s="56"/>
    </row>
    <row r="6351">
      <c r="A6351" s="64"/>
      <c r="D6351" s="56"/>
    </row>
    <row r="6352">
      <c r="A6352" s="64"/>
      <c r="D6352" s="56"/>
    </row>
    <row r="6353">
      <c r="A6353" s="64"/>
      <c r="D6353" s="56"/>
    </row>
    <row r="6354">
      <c r="A6354" s="64"/>
      <c r="D6354" s="56"/>
    </row>
    <row r="6355">
      <c r="A6355" s="64"/>
      <c r="D6355" s="56"/>
    </row>
    <row r="6356">
      <c r="A6356" s="64"/>
      <c r="D6356" s="56"/>
    </row>
    <row r="6357">
      <c r="A6357" s="66"/>
      <c r="D6357" s="56"/>
    </row>
    <row r="6358">
      <c r="A6358" s="66"/>
      <c r="D6358" s="56"/>
    </row>
    <row r="6359">
      <c r="A6359" s="66"/>
      <c r="D6359" s="56"/>
    </row>
    <row r="6360">
      <c r="A6360" s="66"/>
      <c r="D6360" s="56"/>
    </row>
    <row r="6361">
      <c r="A6361" s="66"/>
      <c r="D6361" s="56"/>
    </row>
    <row r="6362">
      <c r="A6362" s="66"/>
      <c r="D6362" s="56"/>
    </row>
    <row r="6363">
      <c r="A6363" s="66"/>
      <c r="D6363" s="56"/>
    </row>
    <row r="6364">
      <c r="A6364" s="66"/>
      <c r="D6364" s="56"/>
    </row>
    <row r="6365">
      <c r="A6365" s="66"/>
      <c r="D6365" s="56"/>
    </row>
    <row r="6366">
      <c r="A6366" s="66"/>
      <c r="D6366" s="56"/>
    </row>
    <row r="6367">
      <c r="A6367" s="66"/>
      <c r="D6367" s="56"/>
    </row>
    <row r="6368">
      <c r="A6368" s="66"/>
      <c r="D6368" s="56"/>
    </row>
    <row r="6369">
      <c r="A6369" s="66"/>
      <c r="D6369" s="56"/>
    </row>
    <row r="6370">
      <c r="A6370" s="66"/>
      <c r="D6370" s="56"/>
    </row>
    <row r="6371">
      <c r="A6371" s="66"/>
      <c r="D6371" s="56"/>
    </row>
    <row r="6372">
      <c r="A6372" s="66"/>
      <c r="D6372" s="56"/>
    </row>
    <row r="6373">
      <c r="A6373" s="66"/>
      <c r="D6373" s="56"/>
    </row>
    <row r="6374">
      <c r="A6374" s="66"/>
      <c r="D6374" s="56"/>
    </row>
    <row r="6375">
      <c r="A6375" s="66"/>
      <c r="D6375" s="56"/>
    </row>
    <row r="6376">
      <c r="A6376" s="66"/>
      <c r="D6376" s="56"/>
    </row>
    <row r="6377">
      <c r="A6377" s="66"/>
      <c r="D6377" s="56"/>
    </row>
    <row r="6378">
      <c r="A6378" s="66"/>
      <c r="D6378" s="56"/>
    </row>
    <row r="6379">
      <c r="A6379" s="66"/>
      <c r="D6379" s="56"/>
    </row>
    <row r="6380">
      <c r="A6380" s="66"/>
      <c r="D6380" s="56"/>
    </row>
    <row r="6381">
      <c r="A6381" s="66"/>
      <c r="D6381" s="56"/>
    </row>
    <row r="6382">
      <c r="A6382" s="66"/>
      <c r="D6382" s="56"/>
    </row>
    <row r="6383">
      <c r="A6383" s="66"/>
      <c r="D6383" s="56"/>
    </row>
    <row r="6384">
      <c r="A6384" s="66"/>
      <c r="D6384" s="56"/>
    </row>
    <row r="6385">
      <c r="A6385" s="66"/>
      <c r="D6385" s="56"/>
    </row>
    <row r="6386">
      <c r="A6386" s="66"/>
      <c r="D6386" s="56"/>
    </row>
    <row r="6387">
      <c r="A6387" s="66"/>
      <c r="D6387" s="56"/>
    </row>
    <row r="6388">
      <c r="A6388" s="66"/>
      <c r="D6388" s="56"/>
    </row>
    <row r="6389">
      <c r="A6389" s="66"/>
      <c r="D6389" s="56"/>
    </row>
    <row r="6390">
      <c r="A6390" s="66"/>
      <c r="D6390" s="56"/>
    </row>
    <row r="6391">
      <c r="A6391" s="66"/>
      <c r="D6391" s="56"/>
    </row>
    <row r="6392">
      <c r="A6392" s="66"/>
      <c r="D6392" s="56"/>
    </row>
    <row r="6393">
      <c r="A6393" s="66"/>
      <c r="D6393" s="56"/>
    </row>
    <row r="6394">
      <c r="A6394" s="66"/>
      <c r="D6394" s="56"/>
    </row>
    <row r="6395">
      <c r="A6395" s="66"/>
      <c r="D6395" s="56"/>
    </row>
    <row r="6396">
      <c r="A6396" s="66"/>
      <c r="D6396" s="56"/>
    </row>
    <row r="6397">
      <c r="A6397" s="66"/>
      <c r="D6397" s="56"/>
    </row>
    <row r="6398">
      <c r="A6398" s="66"/>
      <c r="D6398" s="56"/>
    </row>
    <row r="6399">
      <c r="A6399" s="66"/>
      <c r="D6399" s="56"/>
    </row>
    <row r="6400">
      <c r="A6400" s="66"/>
      <c r="D6400" s="56"/>
    </row>
    <row r="6401">
      <c r="A6401" s="66"/>
      <c r="D6401" s="56"/>
    </row>
    <row r="6402">
      <c r="A6402" s="66"/>
      <c r="D6402" s="56"/>
    </row>
    <row r="6403">
      <c r="A6403" s="66"/>
      <c r="D6403" s="56"/>
    </row>
    <row r="6404">
      <c r="A6404" s="66"/>
      <c r="D6404" s="56"/>
    </row>
    <row r="6405">
      <c r="A6405" s="66"/>
      <c r="D6405" s="56"/>
    </row>
    <row r="6406">
      <c r="A6406" s="66"/>
      <c r="D6406" s="56"/>
    </row>
    <row r="6407">
      <c r="A6407" s="66"/>
      <c r="D6407" s="56"/>
    </row>
    <row r="6408">
      <c r="A6408" s="66"/>
      <c r="D6408" s="56"/>
    </row>
    <row r="6409">
      <c r="A6409" s="66"/>
      <c r="D6409" s="56"/>
    </row>
    <row r="6410">
      <c r="A6410" s="66"/>
      <c r="D6410" s="56"/>
    </row>
    <row r="6411">
      <c r="A6411" s="66"/>
      <c r="D6411" s="56"/>
    </row>
    <row r="6412">
      <c r="A6412" s="66"/>
      <c r="D6412" s="56"/>
    </row>
    <row r="6413">
      <c r="A6413" s="66"/>
      <c r="D6413" s="56"/>
    </row>
    <row r="6414">
      <c r="A6414" s="66"/>
      <c r="D6414" s="56"/>
    </row>
    <row r="6415">
      <c r="A6415" s="66"/>
      <c r="D6415" s="56"/>
    </row>
    <row r="6416">
      <c r="A6416" s="66"/>
      <c r="D6416" s="56"/>
    </row>
    <row r="6417">
      <c r="A6417" s="66"/>
      <c r="D6417" s="56"/>
    </row>
    <row r="6418">
      <c r="A6418" s="66"/>
      <c r="D6418" s="56"/>
    </row>
    <row r="6419">
      <c r="A6419" s="66"/>
      <c r="D6419" s="56"/>
    </row>
    <row r="6420">
      <c r="A6420" s="66"/>
      <c r="D6420" s="56"/>
    </row>
    <row r="6421">
      <c r="A6421" s="66"/>
      <c r="D6421" s="56"/>
    </row>
    <row r="6422">
      <c r="A6422" s="66"/>
      <c r="D6422" s="56"/>
    </row>
    <row r="6423">
      <c r="A6423" s="67"/>
      <c r="D6423" s="56"/>
    </row>
    <row r="6424">
      <c r="A6424" s="67"/>
      <c r="D6424" s="56"/>
    </row>
    <row r="6425">
      <c r="A6425" s="67"/>
      <c r="D6425" s="56"/>
    </row>
    <row r="6426">
      <c r="A6426" s="67"/>
      <c r="D6426" s="56"/>
    </row>
    <row r="6427">
      <c r="A6427" s="67"/>
      <c r="D6427" s="56"/>
    </row>
    <row r="6428">
      <c r="A6428" s="67"/>
      <c r="D6428" s="56"/>
    </row>
    <row r="6429">
      <c r="A6429" s="67"/>
      <c r="D6429" s="56"/>
    </row>
    <row r="6430">
      <c r="A6430" s="67"/>
      <c r="D6430" s="56"/>
    </row>
    <row r="6431">
      <c r="A6431" s="67"/>
      <c r="D6431" s="56"/>
    </row>
    <row r="6432">
      <c r="A6432" s="67"/>
      <c r="D6432" s="56"/>
    </row>
    <row r="6433">
      <c r="A6433" s="67"/>
      <c r="D6433" s="56"/>
    </row>
    <row r="6434">
      <c r="A6434" s="67"/>
      <c r="D6434" s="56"/>
    </row>
    <row r="6435">
      <c r="A6435" s="67"/>
      <c r="D6435" s="56"/>
    </row>
    <row r="6436">
      <c r="A6436" s="67"/>
      <c r="D6436" s="56"/>
    </row>
    <row r="6437">
      <c r="A6437" s="67"/>
      <c r="D6437" s="56"/>
    </row>
    <row r="6438">
      <c r="A6438" s="67"/>
      <c r="D6438" s="56"/>
    </row>
    <row r="6439">
      <c r="A6439" s="67"/>
      <c r="D6439" s="56"/>
    </row>
    <row r="6440">
      <c r="A6440" s="67"/>
      <c r="D6440" s="56"/>
    </row>
    <row r="6441">
      <c r="A6441" s="67"/>
      <c r="D6441" s="56"/>
    </row>
    <row r="6442">
      <c r="A6442" s="67"/>
      <c r="D6442" s="56"/>
    </row>
    <row r="6443">
      <c r="A6443" s="67"/>
      <c r="D6443" s="56"/>
    </row>
    <row r="6444">
      <c r="A6444" s="67"/>
      <c r="D6444" s="56"/>
    </row>
    <row r="6445">
      <c r="A6445" s="67"/>
      <c r="D6445" s="56"/>
    </row>
    <row r="6446">
      <c r="A6446" s="67"/>
      <c r="D6446" s="56"/>
    </row>
    <row r="6447">
      <c r="A6447" s="67"/>
      <c r="D6447" s="56"/>
    </row>
    <row r="6448">
      <c r="A6448" s="67"/>
      <c r="D6448" s="56"/>
    </row>
    <row r="6449">
      <c r="A6449" s="67"/>
      <c r="D6449" s="56"/>
    </row>
    <row r="6450">
      <c r="A6450" s="67"/>
      <c r="D6450" s="56"/>
    </row>
    <row r="6451">
      <c r="A6451" s="67"/>
      <c r="D6451" s="56"/>
    </row>
    <row r="6452">
      <c r="A6452" s="67"/>
      <c r="D6452" s="56"/>
    </row>
    <row r="6453">
      <c r="A6453" s="67"/>
      <c r="D6453" s="56"/>
    </row>
    <row r="6454">
      <c r="A6454" s="67"/>
      <c r="D6454" s="56"/>
    </row>
    <row r="6455">
      <c r="A6455" s="67"/>
      <c r="D6455" s="56"/>
    </row>
    <row r="6456">
      <c r="A6456" s="67"/>
      <c r="D6456" s="56"/>
    </row>
    <row r="6457">
      <c r="A6457" s="67"/>
      <c r="D6457" s="56"/>
    </row>
    <row r="6458">
      <c r="A6458" s="67"/>
      <c r="D6458" s="56"/>
    </row>
    <row r="6459">
      <c r="A6459" s="67"/>
      <c r="D6459" s="56"/>
    </row>
    <row r="6460">
      <c r="A6460" s="67"/>
      <c r="D6460" s="56"/>
    </row>
    <row r="6461">
      <c r="A6461" s="67"/>
      <c r="D6461" s="56"/>
    </row>
    <row r="6462">
      <c r="A6462" s="67"/>
      <c r="D6462" s="56"/>
    </row>
    <row r="6463">
      <c r="A6463" s="67"/>
      <c r="D6463" s="56"/>
    </row>
    <row r="6464">
      <c r="A6464" s="67"/>
      <c r="D6464" s="56"/>
    </row>
    <row r="6465">
      <c r="A6465" s="67"/>
      <c r="D6465" s="56"/>
    </row>
    <row r="6466">
      <c r="A6466" s="67"/>
      <c r="D6466" s="56"/>
    </row>
    <row r="6467">
      <c r="A6467" s="67"/>
      <c r="D6467" s="56"/>
    </row>
    <row r="6468">
      <c r="A6468" s="67"/>
      <c r="D6468" s="56"/>
    </row>
    <row r="6469">
      <c r="A6469" s="67"/>
      <c r="D6469" s="56"/>
    </row>
    <row r="6470">
      <c r="A6470" s="67"/>
      <c r="D6470" s="56"/>
    </row>
    <row r="6471">
      <c r="A6471" s="67"/>
      <c r="D6471" s="56"/>
    </row>
    <row r="6472">
      <c r="A6472" s="67"/>
      <c r="D6472" s="56"/>
    </row>
    <row r="6473">
      <c r="A6473" s="67"/>
      <c r="D6473" s="56"/>
    </row>
    <row r="6474">
      <c r="A6474" s="67"/>
      <c r="D6474" s="56"/>
    </row>
    <row r="6475">
      <c r="A6475" s="67"/>
      <c r="D6475" s="56"/>
    </row>
    <row r="6476">
      <c r="A6476" s="67"/>
      <c r="D6476" s="56"/>
    </row>
    <row r="6477">
      <c r="A6477" s="67"/>
      <c r="D6477" s="56"/>
    </row>
    <row r="6478">
      <c r="A6478" s="67"/>
      <c r="D6478" s="56"/>
    </row>
    <row r="6479">
      <c r="A6479" s="67"/>
      <c r="D6479" s="56"/>
    </row>
    <row r="6480">
      <c r="A6480" s="67"/>
      <c r="D6480" s="56"/>
    </row>
    <row r="6481">
      <c r="A6481" s="67"/>
      <c r="D6481" s="56"/>
    </row>
    <row r="6482">
      <c r="A6482" s="67"/>
      <c r="D6482" s="56"/>
    </row>
    <row r="6483">
      <c r="A6483" s="67"/>
      <c r="D6483" s="56"/>
    </row>
    <row r="6484">
      <c r="A6484" s="67"/>
      <c r="D6484" s="56"/>
    </row>
    <row r="6485">
      <c r="A6485" s="67"/>
      <c r="D6485" s="56"/>
    </row>
    <row r="6486">
      <c r="A6486" s="67"/>
      <c r="D6486" s="56"/>
    </row>
    <row r="6487">
      <c r="A6487" s="67"/>
      <c r="D6487" s="56"/>
    </row>
    <row r="6488">
      <c r="A6488" s="67"/>
      <c r="D6488" s="56"/>
    </row>
    <row r="6489">
      <c r="A6489" s="67"/>
      <c r="D6489" s="56"/>
    </row>
    <row r="6490">
      <c r="A6490" s="67"/>
      <c r="D6490" s="56"/>
    </row>
    <row r="6491">
      <c r="A6491" s="67"/>
      <c r="D6491" s="56"/>
    </row>
    <row r="6492">
      <c r="A6492" s="67"/>
      <c r="D6492" s="56"/>
    </row>
    <row r="6493">
      <c r="A6493" s="67"/>
      <c r="D6493" s="56"/>
    </row>
    <row r="6494">
      <c r="A6494" s="67"/>
      <c r="D6494" s="56"/>
    </row>
    <row r="6495">
      <c r="A6495" s="67"/>
      <c r="D6495" s="56"/>
    </row>
    <row r="6496">
      <c r="A6496" s="67"/>
      <c r="D6496" s="56"/>
    </row>
    <row r="6497">
      <c r="A6497" s="67"/>
      <c r="D6497" s="56"/>
    </row>
    <row r="6498">
      <c r="A6498" s="67"/>
      <c r="D6498" s="56"/>
    </row>
    <row r="6499">
      <c r="A6499" s="67"/>
      <c r="D6499" s="56"/>
    </row>
    <row r="6500">
      <c r="A6500" s="67"/>
      <c r="D6500" s="56"/>
    </row>
    <row r="6501">
      <c r="A6501" s="67"/>
      <c r="D6501" s="56"/>
    </row>
    <row r="6502">
      <c r="A6502" s="67"/>
      <c r="D6502" s="56"/>
    </row>
    <row r="6503">
      <c r="A6503" s="67"/>
      <c r="D6503" s="56"/>
    </row>
    <row r="6504">
      <c r="A6504" s="67"/>
      <c r="D6504" s="56"/>
    </row>
    <row r="6505">
      <c r="A6505" s="67"/>
      <c r="D6505" s="56"/>
    </row>
    <row r="6506">
      <c r="A6506" s="67"/>
      <c r="D6506" s="56"/>
    </row>
    <row r="6507">
      <c r="A6507" s="67"/>
      <c r="D6507" s="56"/>
    </row>
    <row r="6508">
      <c r="A6508" s="67"/>
      <c r="D6508" s="56"/>
    </row>
    <row r="6509">
      <c r="A6509" s="67"/>
      <c r="D6509" s="56"/>
    </row>
    <row r="6510">
      <c r="A6510" s="67"/>
      <c r="D6510" s="56"/>
    </row>
    <row r="6511">
      <c r="A6511" s="67"/>
      <c r="D6511" s="56"/>
    </row>
    <row r="6512">
      <c r="A6512" s="67"/>
      <c r="D6512" s="56"/>
    </row>
    <row r="6513">
      <c r="A6513" s="67"/>
      <c r="D6513" s="56"/>
    </row>
    <row r="6514">
      <c r="A6514" s="67"/>
      <c r="D6514" s="56"/>
    </row>
    <row r="6515">
      <c r="A6515" s="67"/>
      <c r="D6515" s="56"/>
    </row>
    <row r="6516">
      <c r="A6516" s="67"/>
      <c r="D6516" s="56"/>
    </row>
    <row r="6517">
      <c r="A6517" s="67"/>
      <c r="D6517" s="56"/>
    </row>
    <row r="6518">
      <c r="A6518" s="67"/>
      <c r="D6518" s="56"/>
    </row>
    <row r="6519">
      <c r="A6519" s="67"/>
      <c r="D6519" s="56"/>
    </row>
    <row r="6520">
      <c r="A6520" s="67"/>
      <c r="D6520" s="56"/>
    </row>
    <row r="6521">
      <c r="A6521" s="67"/>
      <c r="D6521" s="56"/>
    </row>
    <row r="6522">
      <c r="A6522" s="67"/>
      <c r="D6522" s="56"/>
    </row>
    <row r="6523">
      <c r="A6523" s="67"/>
      <c r="D6523" s="56"/>
    </row>
    <row r="6524">
      <c r="A6524" s="67"/>
      <c r="D6524" s="56"/>
    </row>
    <row r="6525">
      <c r="A6525" s="67"/>
      <c r="D6525" s="56"/>
    </row>
    <row r="6526">
      <c r="A6526" s="67"/>
      <c r="D6526" s="56"/>
    </row>
    <row r="6527">
      <c r="A6527" s="67"/>
      <c r="D6527" s="56"/>
    </row>
    <row r="6528">
      <c r="A6528" s="67"/>
      <c r="D6528" s="56"/>
    </row>
    <row r="6529">
      <c r="A6529" s="67"/>
      <c r="D6529" s="56"/>
    </row>
    <row r="6530">
      <c r="A6530" s="67"/>
      <c r="D6530" s="56"/>
    </row>
    <row r="6531">
      <c r="A6531" s="67"/>
      <c r="D6531" s="56"/>
    </row>
    <row r="6532">
      <c r="A6532" s="67"/>
      <c r="D6532" s="56"/>
    </row>
    <row r="6533">
      <c r="A6533" s="67"/>
      <c r="D6533" s="56"/>
    </row>
    <row r="6534">
      <c r="A6534" s="67"/>
      <c r="D6534" s="56"/>
    </row>
    <row r="6535">
      <c r="A6535" s="67"/>
      <c r="D6535" s="56"/>
    </row>
    <row r="6536">
      <c r="A6536" s="67"/>
      <c r="D6536" s="56"/>
    </row>
    <row r="6537">
      <c r="A6537" s="67"/>
      <c r="D6537" s="56"/>
    </row>
    <row r="6538">
      <c r="A6538" s="67"/>
      <c r="D6538" s="56"/>
    </row>
    <row r="6539">
      <c r="A6539" s="67"/>
      <c r="D6539" s="56"/>
    </row>
    <row r="6540">
      <c r="A6540" s="67"/>
      <c r="D6540" s="56"/>
    </row>
    <row r="6541">
      <c r="A6541" s="67"/>
      <c r="D6541" s="56"/>
    </row>
    <row r="6542">
      <c r="A6542" s="67"/>
      <c r="D6542" s="56"/>
    </row>
    <row r="6543">
      <c r="A6543" s="67"/>
      <c r="D6543" s="56"/>
    </row>
    <row r="6544">
      <c r="A6544" s="67"/>
      <c r="D6544" s="56"/>
    </row>
    <row r="6545">
      <c r="A6545" s="67"/>
      <c r="D6545" s="56"/>
    </row>
    <row r="6546">
      <c r="A6546" s="67"/>
      <c r="D6546" s="56"/>
    </row>
    <row r="6547">
      <c r="A6547" s="67"/>
      <c r="D6547" s="56"/>
    </row>
    <row r="6548">
      <c r="A6548" s="67"/>
      <c r="D6548" s="56"/>
    </row>
    <row r="6549">
      <c r="A6549" s="67"/>
      <c r="D6549" s="56"/>
    </row>
    <row r="6550">
      <c r="A6550" s="67"/>
      <c r="D6550" s="56"/>
    </row>
    <row r="6551">
      <c r="A6551" s="67"/>
      <c r="D6551" s="56"/>
    </row>
    <row r="6552">
      <c r="A6552" s="67"/>
      <c r="D6552" s="56"/>
    </row>
    <row r="6553">
      <c r="A6553" s="67"/>
      <c r="D6553" s="56"/>
    </row>
    <row r="6554">
      <c r="A6554" s="67"/>
      <c r="D6554" s="56"/>
    </row>
    <row r="6555">
      <c r="A6555" s="67"/>
      <c r="D6555" s="56"/>
    </row>
    <row r="6556">
      <c r="A6556" s="67"/>
      <c r="D6556" s="56"/>
    </row>
    <row r="6557">
      <c r="A6557" s="67"/>
      <c r="D6557" s="56"/>
    </row>
    <row r="6558">
      <c r="A6558" s="67"/>
      <c r="D6558" s="56"/>
    </row>
    <row r="6559">
      <c r="A6559" s="67"/>
      <c r="D6559" s="56"/>
    </row>
    <row r="6560">
      <c r="A6560" s="67"/>
      <c r="D6560" s="56"/>
    </row>
    <row r="6561">
      <c r="A6561" s="67"/>
      <c r="D6561" s="56"/>
    </row>
    <row r="6562">
      <c r="A6562" s="67"/>
      <c r="D6562" s="56"/>
    </row>
    <row r="6563">
      <c r="A6563" s="67"/>
      <c r="D6563" s="56"/>
    </row>
    <row r="6564">
      <c r="A6564" s="67"/>
      <c r="D6564" s="56"/>
    </row>
    <row r="6565">
      <c r="A6565" s="67"/>
      <c r="D6565" s="56"/>
    </row>
    <row r="6566">
      <c r="A6566" s="67"/>
      <c r="D6566" s="56"/>
    </row>
    <row r="6567">
      <c r="A6567" s="67"/>
      <c r="D6567" s="56"/>
    </row>
    <row r="6568">
      <c r="A6568" s="67"/>
      <c r="D6568" s="56"/>
    </row>
    <row r="6569">
      <c r="A6569" s="67"/>
      <c r="D6569" s="56"/>
    </row>
    <row r="6570">
      <c r="A6570" s="67"/>
      <c r="D6570" s="56"/>
    </row>
    <row r="6571">
      <c r="A6571" s="67"/>
      <c r="D6571" s="56"/>
    </row>
    <row r="6572">
      <c r="A6572" s="67"/>
      <c r="D6572" s="56"/>
    </row>
    <row r="6573">
      <c r="A6573" s="67"/>
      <c r="D6573" s="56"/>
    </row>
    <row r="6574">
      <c r="A6574" s="67"/>
      <c r="D6574" s="56"/>
    </row>
    <row r="6575">
      <c r="A6575" s="67"/>
      <c r="D6575" s="56"/>
    </row>
    <row r="6576">
      <c r="A6576" s="67"/>
      <c r="D6576" s="56"/>
    </row>
    <row r="6577">
      <c r="A6577" s="67"/>
      <c r="D6577" s="56"/>
    </row>
    <row r="6578">
      <c r="A6578" s="67"/>
      <c r="D6578" s="56"/>
    </row>
    <row r="6579">
      <c r="A6579" s="67"/>
      <c r="D6579" s="56"/>
    </row>
    <row r="6580">
      <c r="A6580" s="67"/>
      <c r="D6580" s="56"/>
    </row>
    <row r="6581">
      <c r="A6581" s="67"/>
      <c r="D6581" s="56"/>
    </row>
    <row r="6582">
      <c r="A6582" s="67"/>
      <c r="D6582" s="56"/>
    </row>
    <row r="6583">
      <c r="A6583" s="67"/>
      <c r="D6583" s="56"/>
    </row>
    <row r="6584">
      <c r="A6584" s="67"/>
      <c r="D6584" s="56"/>
    </row>
    <row r="6585">
      <c r="A6585" s="67"/>
      <c r="D6585" s="56"/>
    </row>
    <row r="6586">
      <c r="A6586" s="68"/>
      <c r="D6586" s="56"/>
    </row>
    <row r="6587">
      <c r="A6587" s="68"/>
      <c r="D6587" s="56"/>
    </row>
    <row r="6588">
      <c r="A6588" s="68"/>
      <c r="D6588" s="56"/>
    </row>
    <row r="6589">
      <c r="A6589" s="68"/>
      <c r="D6589" s="56"/>
    </row>
    <row r="6590">
      <c r="A6590" s="68"/>
      <c r="D6590" s="56"/>
    </row>
    <row r="6591">
      <c r="A6591" s="68"/>
      <c r="D6591" s="56"/>
    </row>
    <row r="6592">
      <c r="A6592" s="68"/>
      <c r="D6592" s="56"/>
    </row>
    <row r="6593">
      <c r="A6593" s="68"/>
      <c r="D6593" s="56"/>
    </row>
    <row r="6594">
      <c r="A6594" s="68"/>
      <c r="D6594" s="56"/>
    </row>
    <row r="6595">
      <c r="A6595" s="68"/>
      <c r="D6595" s="56"/>
    </row>
    <row r="6596">
      <c r="A6596" s="68"/>
      <c r="D6596" s="56"/>
    </row>
    <row r="6597">
      <c r="A6597" s="68"/>
      <c r="D6597" s="56"/>
    </row>
    <row r="6598">
      <c r="A6598" s="68"/>
      <c r="D6598" s="56"/>
    </row>
    <row r="6599">
      <c r="A6599" s="68"/>
      <c r="D6599" s="56"/>
    </row>
    <row r="6600">
      <c r="A6600" s="68"/>
      <c r="D6600" s="56"/>
    </row>
    <row r="6601">
      <c r="A6601" s="68"/>
      <c r="D6601" s="56"/>
    </row>
    <row r="6602">
      <c r="A6602" s="68"/>
      <c r="D6602" s="56"/>
    </row>
    <row r="6603">
      <c r="A6603" s="68"/>
      <c r="D6603" s="56"/>
    </row>
    <row r="6604">
      <c r="A6604" s="68"/>
      <c r="D6604" s="56"/>
    </row>
    <row r="6605">
      <c r="A6605" s="68"/>
      <c r="D6605" s="56"/>
    </row>
    <row r="6606">
      <c r="A6606" s="68"/>
      <c r="D6606" s="56"/>
    </row>
    <row r="6607">
      <c r="A6607" s="68"/>
      <c r="D6607" s="56"/>
    </row>
    <row r="6608">
      <c r="A6608" s="68"/>
      <c r="D6608" s="56"/>
    </row>
    <row r="6609">
      <c r="A6609" s="68"/>
      <c r="D6609" s="56"/>
    </row>
    <row r="6610">
      <c r="A6610" s="68"/>
      <c r="D6610" s="56"/>
    </row>
    <row r="6611">
      <c r="A6611" s="68"/>
      <c r="D6611" s="56"/>
    </row>
    <row r="6612">
      <c r="A6612" s="68"/>
      <c r="D6612" s="56"/>
    </row>
    <row r="6613">
      <c r="A6613" s="68"/>
      <c r="D6613" s="56"/>
    </row>
    <row r="6614">
      <c r="A6614" s="68"/>
      <c r="D6614" s="56"/>
    </row>
    <row r="6615">
      <c r="A6615" s="68"/>
      <c r="D6615" s="56"/>
    </row>
    <row r="6616">
      <c r="A6616" s="68"/>
      <c r="D6616" s="56"/>
    </row>
    <row r="6617">
      <c r="A6617" s="68"/>
      <c r="D6617" s="56"/>
    </row>
    <row r="6618">
      <c r="A6618" s="68"/>
      <c r="D6618" s="56"/>
    </row>
    <row r="6619">
      <c r="A6619" s="68"/>
      <c r="D6619" s="56"/>
    </row>
    <row r="6620">
      <c r="A6620" s="68"/>
      <c r="D6620" s="56"/>
    </row>
    <row r="6621">
      <c r="A6621" s="68"/>
      <c r="D6621" s="56"/>
    </row>
    <row r="6622">
      <c r="A6622" s="68"/>
      <c r="D6622" s="56"/>
    </row>
    <row r="6623">
      <c r="A6623" s="68"/>
      <c r="D6623" s="56"/>
    </row>
    <row r="6624">
      <c r="A6624" s="68"/>
      <c r="D6624" s="56"/>
    </row>
    <row r="6625">
      <c r="A6625" s="68"/>
      <c r="D6625" s="56"/>
    </row>
    <row r="6626">
      <c r="A6626" s="68"/>
      <c r="D6626" s="56"/>
    </row>
    <row r="6627">
      <c r="A6627" s="64"/>
      <c r="D6627" s="56"/>
    </row>
    <row r="6628">
      <c r="A6628" s="64"/>
      <c r="D6628" s="56"/>
    </row>
    <row r="6629">
      <c r="A6629" s="64"/>
      <c r="D6629" s="56"/>
    </row>
    <row r="6630">
      <c r="A6630" s="64"/>
      <c r="D6630" s="56"/>
    </row>
    <row r="6631">
      <c r="A6631" s="64"/>
      <c r="D6631" s="56"/>
    </row>
    <row r="6632">
      <c r="A6632" s="64"/>
      <c r="D6632" s="56"/>
    </row>
    <row r="6633">
      <c r="A6633" s="64"/>
      <c r="D6633" s="56"/>
    </row>
    <row r="6634">
      <c r="A6634" s="64"/>
      <c r="D6634" s="56"/>
    </row>
    <row r="6635">
      <c r="A6635" s="64"/>
      <c r="D6635" s="56"/>
    </row>
    <row r="6636">
      <c r="A6636" s="64"/>
      <c r="D6636" s="56"/>
    </row>
    <row r="6637">
      <c r="A6637" s="64"/>
      <c r="D6637" s="56"/>
    </row>
    <row r="6638">
      <c r="A6638" s="64"/>
      <c r="D6638" s="56"/>
    </row>
    <row r="6639">
      <c r="A6639" s="64"/>
      <c r="D6639" s="56"/>
    </row>
    <row r="6640">
      <c r="A6640" s="64"/>
      <c r="D6640" s="56"/>
    </row>
    <row r="6641">
      <c r="A6641" s="64"/>
      <c r="D6641" s="56"/>
    </row>
    <row r="6642">
      <c r="A6642" s="64"/>
      <c r="D6642" s="56"/>
    </row>
    <row r="6643">
      <c r="A6643" s="64"/>
      <c r="D6643" s="56"/>
    </row>
    <row r="6644">
      <c r="A6644" s="64"/>
      <c r="D6644" s="56"/>
    </row>
    <row r="6645">
      <c r="A6645" s="64"/>
      <c r="D6645" s="56"/>
    </row>
    <row r="6646">
      <c r="A6646" s="64"/>
      <c r="D6646" s="56"/>
    </row>
    <row r="6647">
      <c r="A6647" s="64"/>
      <c r="D6647" s="56"/>
    </row>
    <row r="6648">
      <c r="A6648" s="64"/>
      <c r="D6648" s="56"/>
    </row>
    <row r="6649">
      <c r="A6649" s="64"/>
      <c r="D6649" s="56"/>
    </row>
    <row r="6650">
      <c r="A6650" s="64"/>
      <c r="D6650" s="56"/>
    </row>
    <row r="6651">
      <c r="A6651" s="64"/>
      <c r="D6651" s="56"/>
    </row>
    <row r="6652">
      <c r="A6652" s="64"/>
      <c r="D6652" s="56"/>
    </row>
    <row r="6653">
      <c r="A6653" s="64"/>
      <c r="D6653" s="56"/>
    </row>
    <row r="6654">
      <c r="A6654" s="64"/>
      <c r="D6654" s="56"/>
    </row>
    <row r="6655">
      <c r="A6655" s="64"/>
      <c r="D6655" s="56"/>
    </row>
    <row r="6656">
      <c r="A6656" s="64"/>
      <c r="D6656" s="56"/>
    </row>
    <row r="6657">
      <c r="A6657" s="64"/>
      <c r="D6657" s="56"/>
    </row>
    <row r="6658">
      <c r="A6658" s="64"/>
      <c r="D6658" s="56"/>
    </row>
    <row r="6659">
      <c r="A6659" s="64"/>
      <c r="D6659" s="56"/>
    </row>
    <row r="6660">
      <c r="A6660" s="64"/>
      <c r="D6660" s="56"/>
    </row>
    <row r="6661">
      <c r="A6661" s="64"/>
      <c r="D6661" s="56"/>
    </row>
    <row r="6662">
      <c r="A6662" s="64"/>
      <c r="D6662" s="56"/>
    </row>
    <row r="6663">
      <c r="A6663" s="64"/>
      <c r="D6663" s="56"/>
    </row>
    <row r="6664">
      <c r="A6664" s="64"/>
      <c r="D6664" s="56"/>
    </row>
    <row r="6665">
      <c r="A6665" s="64"/>
      <c r="D6665" s="56"/>
    </row>
    <row r="6666">
      <c r="A6666" s="64"/>
      <c r="D6666" s="56"/>
    </row>
    <row r="6667">
      <c r="A6667" s="64"/>
      <c r="D6667" s="56"/>
    </row>
    <row r="6668">
      <c r="A6668" s="64"/>
      <c r="D6668" s="56"/>
    </row>
    <row r="6669">
      <c r="A6669" s="64"/>
      <c r="D6669" s="56"/>
    </row>
    <row r="6670">
      <c r="A6670" s="64"/>
      <c r="D6670" s="56"/>
    </row>
    <row r="6671">
      <c r="A6671" s="64"/>
      <c r="D6671" s="56"/>
    </row>
    <row r="6672">
      <c r="A6672" s="64"/>
      <c r="D6672" s="56"/>
    </row>
    <row r="6673">
      <c r="A6673" s="64"/>
      <c r="D6673" s="56"/>
    </row>
    <row r="6674">
      <c r="A6674" s="64"/>
      <c r="D6674" s="56"/>
    </row>
    <row r="6675">
      <c r="A6675" s="64"/>
      <c r="D6675" s="56"/>
    </row>
    <row r="6676">
      <c r="A6676" s="64"/>
      <c r="D6676" s="56"/>
    </row>
    <row r="6677">
      <c r="A6677" s="64"/>
      <c r="D6677" s="56"/>
    </row>
    <row r="6678">
      <c r="A6678" s="64"/>
      <c r="D6678" s="56"/>
    </row>
    <row r="6679">
      <c r="A6679" s="64"/>
      <c r="D6679" s="56"/>
    </row>
    <row r="6680">
      <c r="A6680" s="64"/>
      <c r="D6680" s="56"/>
    </row>
    <row r="6681">
      <c r="A6681" s="64"/>
      <c r="D6681" s="56"/>
    </row>
    <row r="6682">
      <c r="A6682" s="64"/>
      <c r="D6682" s="56"/>
    </row>
    <row r="6683">
      <c r="A6683" s="64"/>
      <c r="D6683" s="56"/>
    </row>
    <row r="6684">
      <c r="A6684" s="64"/>
      <c r="D6684" s="56"/>
    </row>
    <row r="6685">
      <c r="A6685" s="64"/>
      <c r="D6685" s="56"/>
    </row>
    <row r="6686">
      <c r="A6686" s="64"/>
      <c r="D6686" s="56"/>
    </row>
    <row r="6687">
      <c r="A6687" s="64"/>
      <c r="D6687" s="56"/>
    </row>
    <row r="6688">
      <c r="A6688" s="64"/>
      <c r="D6688" s="56"/>
    </row>
    <row r="6689">
      <c r="A6689" s="64"/>
      <c r="D6689" s="56"/>
    </row>
    <row r="6690">
      <c r="A6690" s="64"/>
      <c r="D6690" s="56"/>
    </row>
    <row r="6691">
      <c r="A6691" s="64"/>
      <c r="D6691" s="56"/>
    </row>
    <row r="6692">
      <c r="A6692" s="64"/>
      <c r="D6692" s="56"/>
    </row>
    <row r="6693">
      <c r="A6693" s="64"/>
      <c r="D6693" s="56"/>
    </row>
    <row r="6694">
      <c r="A6694" s="64"/>
      <c r="D6694" s="56"/>
    </row>
    <row r="6695">
      <c r="A6695" s="64"/>
      <c r="D6695" s="56"/>
    </row>
    <row r="6696">
      <c r="A6696" s="64"/>
      <c r="D6696" s="56"/>
    </row>
    <row r="6697">
      <c r="A6697" s="64"/>
      <c r="D6697" s="56"/>
    </row>
    <row r="6698">
      <c r="A6698" s="64"/>
      <c r="D6698" s="56"/>
    </row>
    <row r="6699">
      <c r="A6699" s="64"/>
      <c r="D6699" s="56"/>
    </row>
    <row r="6700">
      <c r="A6700" s="64"/>
      <c r="D6700" s="56"/>
    </row>
    <row r="6701">
      <c r="A6701" s="64"/>
      <c r="D6701" s="56"/>
    </row>
    <row r="6702">
      <c r="A6702" s="64"/>
      <c r="D6702" s="56"/>
    </row>
    <row r="6703">
      <c r="A6703" s="64"/>
      <c r="D6703" s="56"/>
    </row>
    <row r="6704">
      <c r="A6704" s="64"/>
      <c r="D6704" s="56"/>
    </row>
    <row r="6705">
      <c r="A6705" s="64"/>
      <c r="D6705" s="56"/>
    </row>
    <row r="6706">
      <c r="A6706" s="64"/>
      <c r="D6706" s="56"/>
    </row>
    <row r="6707">
      <c r="A6707" s="64"/>
      <c r="D6707" s="56"/>
    </row>
    <row r="6708">
      <c r="A6708" s="64"/>
      <c r="D6708" s="56"/>
    </row>
    <row r="6709">
      <c r="A6709" s="64"/>
      <c r="D6709" s="56"/>
    </row>
    <row r="6710">
      <c r="A6710" s="64"/>
      <c r="D6710" s="56"/>
    </row>
    <row r="6711">
      <c r="A6711" s="64"/>
      <c r="D6711" s="56"/>
    </row>
    <row r="6712">
      <c r="A6712" s="64"/>
      <c r="D6712" s="56"/>
    </row>
    <row r="6713">
      <c r="A6713" s="64"/>
      <c r="D6713" s="56"/>
    </row>
    <row r="6714">
      <c r="A6714" s="64"/>
      <c r="D6714" s="56"/>
    </row>
    <row r="6715">
      <c r="A6715" s="64"/>
      <c r="D6715" s="56"/>
    </row>
    <row r="6716">
      <c r="A6716" s="64"/>
      <c r="D6716" s="56"/>
    </row>
    <row r="6717">
      <c r="A6717" s="64"/>
      <c r="D6717" s="56"/>
    </row>
    <row r="6718">
      <c r="A6718" s="64"/>
      <c r="D6718" s="56"/>
    </row>
    <row r="6719">
      <c r="A6719" s="64"/>
      <c r="D6719" s="56"/>
    </row>
    <row r="6720">
      <c r="A6720" s="64"/>
      <c r="D6720" s="56"/>
    </row>
    <row r="6721">
      <c r="A6721" s="64"/>
      <c r="D6721" s="56"/>
    </row>
    <row r="6722">
      <c r="A6722" s="64"/>
      <c r="D6722" s="56"/>
    </row>
    <row r="6723">
      <c r="A6723" s="64"/>
      <c r="D6723" s="56"/>
    </row>
    <row r="6724">
      <c r="A6724" s="64"/>
      <c r="D6724" s="56"/>
    </row>
    <row r="6725">
      <c r="A6725" s="64"/>
      <c r="D6725" s="56"/>
    </row>
    <row r="6726">
      <c r="A6726" s="66"/>
      <c r="D6726" s="56"/>
    </row>
    <row r="6727">
      <c r="A6727" s="66"/>
      <c r="D6727" s="56"/>
    </row>
    <row r="6728">
      <c r="A6728" s="66"/>
      <c r="D6728" s="56"/>
    </row>
    <row r="6729">
      <c r="A6729" s="66"/>
      <c r="D6729" s="56"/>
    </row>
    <row r="6730">
      <c r="A6730" s="66"/>
      <c r="D6730" s="56"/>
    </row>
    <row r="6731">
      <c r="A6731" s="66"/>
      <c r="D6731" s="56"/>
    </row>
    <row r="6732">
      <c r="A6732" s="66"/>
      <c r="D6732" s="56"/>
    </row>
    <row r="6733">
      <c r="A6733" s="66"/>
      <c r="D6733" s="56"/>
    </row>
    <row r="6734">
      <c r="A6734" s="66"/>
      <c r="D6734" s="56"/>
    </row>
    <row r="6735">
      <c r="A6735" s="66"/>
      <c r="D6735" s="56"/>
    </row>
    <row r="6736">
      <c r="A6736" s="66"/>
      <c r="D6736" s="56"/>
    </row>
    <row r="6737">
      <c r="A6737" s="66"/>
      <c r="D6737" s="56"/>
    </row>
    <row r="6738">
      <c r="A6738" s="66"/>
      <c r="D6738" s="56"/>
    </row>
    <row r="6739">
      <c r="A6739" s="66"/>
      <c r="D6739" s="56"/>
    </row>
    <row r="6740">
      <c r="A6740" s="66"/>
      <c r="D6740" s="56"/>
    </row>
    <row r="6741">
      <c r="A6741" s="66"/>
      <c r="D6741" s="56"/>
    </row>
    <row r="6742">
      <c r="A6742" s="66"/>
      <c r="D6742" s="56"/>
    </row>
    <row r="6743">
      <c r="A6743" s="66"/>
      <c r="D6743" s="56"/>
    </row>
    <row r="6744">
      <c r="A6744" s="64"/>
      <c r="D6744" s="56"/>
    </row>
    <row r="6745">
      <c r="A6745" s="64"/>
      <c r="D6745" s="56"/>
    </row>
    <row r="6746">
      <c r="A6746" s="64"/>
      <c r="D6746" s="56"/>
    </row>
    <row r="6747">
      <c r="A6747" s="64"/>
      <c r="D6747" s="56"/>
    </row>
    <row r="6748">
      <c r="A6748" s="64"/>
      <c r="D6748" s="56"/>
    </row>
    <row r="6749">
      <c r="A6749" s="64"/>
      <c r="D6749" s="56"/>
    </row>
    <row r="6750">
      <c r="A6750" s="64"/>
      <c r="D6750" s="56"/>
    </row>
    <row r="6751">
      <c r="A6751" s="64"/>
      <c r="D6751" s="56"/>
    </row>
    <row r="6752">
      <c r="A6752" s="64"/>
      <c r="D6752" s="56"/>
    </row>
    <row r="6753">
      <c r="A6753" s="64"/>
      <c r="D6753" s="56"/>
    </row>
    <row r="6754">
      <c r="A6754" s="64"/>
      <c r="D6754" s="56"/>
    </row>
    <row r="6755">
      <c r="A6755" s="64"/>
      <c r="D6755" s="56"/>
    </row>
    <row r="6756">
      <c r="A6756" s="64"/>
      <c r="D6756" s="56"/>
    </row>
    <row r="6757">
      <c r="A6757" s="64"/>
      <c r="D6757" s="56"/>
    </row>
    <row r="6758">
      <c r="A6758" s="64"/>
      <c r="D6758" s="56"/>
    </row>
    <row r="6759">
      <c r="A6759" s="64"/>
      <c r="D6759" s="56"/>
    </row>
    <row r="6760">
      <c r="A6760" s="66"/>
      <c r="D6760" s="56"/>
    </row>
    <row r="6761">
      <c r="A6761" s="66"/>
      <c r="D6761" s="56"/>
    </row>
    <row r="6762">
      <c r="A6762" s="66"/>
      <c r="D6762" s="56"/>
    </row>
    <row r="6763">
      <c r="A6763" s="66"/>
      <c r="D6763" s="56"/>
    </row>
    <row r="6764">
      <c r="A6764" s="66"/>
      <c r="D6764" s="56"/>
    </row>
    <row r="6765">
      <c r="A6765" s="64"/>
      <c r="D6765" s="56"/>
    </row>
    <row r="6766">
      <c r="A6766" s="64"/>
      <c r="D6766" s="56"/>
    </row>
    <row r="6767">
      <c r="A6767" s="64"/>
      <c r="D6767" s="56"/>
    </row>
    <row r="6768">
      <c r="A6768" s="64"/>
      <c r="D6768" s="56"/>
    </row>
    <row r="6769">
      <c r="A6769" s="64"/>
      <c r="D6769" s="56"/>
    </row>
    <row r="6770">
      <c r="A6770" s="64"/>
      <c r="D6770" s="56"/>
    </row>
    <row r="6771">
      <c r="A6771" s="64"/>
      <c r="D6771" s="56"/>
    </row>
    <row r="6772">
      <c r="A6772" s="64"/>
      <c r="D6772" s="56"/>
    </row>
    <row r="6773">
      <c r="A6773" s="64"/>
      <c r="D6773" s="56"/>
    </row>
    <row r="6774">
      <c r="A6774" s="64"/>
      <c r="D6774" s="56"/>
    </row>
    <row r="6775">
      <c r="A6775" s="64"/>
      <c r="D6775" s="56"/>
    </row>
    <row r="6776">
      <c r="A6776" s="64"/>
      <c r="D6776" s="56"/>
    </row>
    <row r="6777">
      <c r="A6777" s="64"/>
      <c r="D6777" s="56"/>
    </row>
    <row r="6778">
      <c r="A6778" s="64"/>
      <c r="D6778" s="56"/>
    </row>
    <row r="6779">
      <c r="A6779" s="64"/>
      <c r="D6779" s="56"/>
    </row>
    <row r="6780">
      <c r="A6780" s="64"/>
      <c r="D6780" s="56"/>
    </row>
    <row r="6781">
      <c r="A6781" s="64"/>
      <c r="D6781" s="56"/>
    </row>
    <row r="6782">
      <c r="A6782" s="64"/>
      <c r="D6782" s="56"/>
    </row>
    <row r="6783">
      <c r="A6783" s="64"/>
      <c r="D6783" s="56"/>
    </row>
    <row r="6784">
      <c r="A6784" s="64"/>
      <c r="D6784" s="56"/>
    </row>
    <row r="6785">
      <c r="A6785" s="64"/>
      <c r="D6785" s="56"/>
    </row>
    <row r="6786">
      <c r="A6786" s="64"/>
      <c r="D6786" s="56"/>
    </row>
    <row r="6787">
      <c r="A6787" s="64"/>
      <c r="D6787" s="56"/>
    </row>
    <row r="6788">
      <c r="A6788" s="64"/>
      <c r="D6788" s="56"/>
    </row>
    <row r="6789">
      <c r="A6789" s="64"/>
      <c r="D6789" s="56"/>
    </row>
    <row r="6790">
      <c r="A6790" s="64"/>
      <c r="D6790" s="56"/>
    </row>
    <row r="6791">
      <c r="A6791" s="64"/>
      <c r="D6791" s="56"/>
    </row>
    <row r="6792">
      <c r="A6792" s="64"/>
      <c r="D6792" s="56"/>
    </row>
    <row r="6793">
      <c r="A6793" s="64"/>
      <c r="D6793" s="56"/>
    </row>
    <row r="6794">
      <c r="A6794" s="64"/>
      <c r="D6794" s="56"/>
    </row>
    <row r="6795">
      <c r="A6795" s="64"/>
      <c r="D6795" s="56"/>
    </row>
    <row r="6796">
      <c r="A6796" s="66"/>
      <c r="D6796" s="56"/>
    </row>
    <row r="6797">
      <c r="A6797" s="64"/>
      <c r="D6797" s="56"/>
    </row>
    <row r="6798">
      <c r="A6798" s="64"/>
      <c r="D6798" s="56"/>
    </row>
    <row r="6799">
      <c r="A6799" s="66"/>
      <c r="D6799" s="56"/>
    </row>
    <row r="6800">
      <c r="A6800" s="64"/>
      <c r="D6800" s="56"/>
    </row>
    <row r="6801">
      <c r="A6801" s="64"/>
      <c r="D6801" s="56"/>
    </row>
    <row r="6802">
      <c r="A6802" s="64"/>
      <c r="D6802" s="56"/>
    </row>
    <row r="6803">
      <c r="A6803" s="64"/>
      <c r="D6803" s="56"/>
    </row>
    <row r="6804">
      <c r="A6804" s="64"/>
      <c r="D6804" s="56"/>
    </row>
    <row r="6805">
      <c r="A6805" s="64"/>
      <c r="D6805" s="56"/>
    </row>
    <row r="6806">
      <c r="A6806" s="64"/>
      <c r="D6806" s="56"/>
    </row>
    <row r="6807">
      <c r="A6807" s="64"/>
      <c r="D6807" s="56"/>
    </row>
    <row r="6808">
      <c r="A6808" s="64"/>
      <c r="D6808" s="56"/>
    </row>
    <row r="6809">
      <c r="A6809" s="64"/>
      <c r="D6809" s="56"/>
    </row>
    <row r="6810">
      <c r="A6810" s="64"/>
      <c r="D6810" s="56"/>
    </row>
    <row r="6811">
      <c r="A6811" s="64"/>
      <c r="D6811" s="56"/>
    </row>
    <row r="6812">
      <c r="A6812" s="64"/>
      <c r="D6812" s="56"/>
    </row>
    <row r="6813">
      <c r="A6813" s="64"/>
      <c r="D6813" s="56"/>
    </row>
    <row r="6814">
      <c r="A6814" s="64"/>
      <c r="D6814" s="56"/>
    </row>
    <row r="6815">
      <c r="A6815" s="64"/>
      <c r="D6815" s="56"/>
    </row>
    <row r="6816">
      <c r="A6816" s="64"/>
      <c r="D6816" s="56"/>
    </row>
    <row r="6817">
      <c r="A6817" s="64"/>
      <c r="D6817" s="56"/>
    </row>
    <row r="6818">
      <c r="A6818" s="64"/>
      <c r="D6818" s="56"/>
    </row>
    <row r="6819">
      <c r="A6819" s="64"/>
      <c r="D6819" s="56"/>
    </row>
    <row r="6820">
      <c r="A6820" s="64"/>
      <c r="D6820" s="56"/>
    </row>
    <row r="6821">
      <c r="A6821" s="64"/>
      <c r="D6821" s="56"/>
    </row>
    <row r="6822">
      <c r="A6822" s="64"/>
      <c r="D6822" s="56"/>
    </row>
    <row r="6823">
      <c r="A6823" s="64"/>
      <c r="D6823" s="56"/>
    </row>
    <row r="6824">
      <c r="A6824" s="64"/>
      <c r="D6824" s="56"/>
    </row>
    <row r="6825">
      <c r="A6825" s="64"/>
      <c r="D6825" s="56"/>
    </row>
    <row r="6826">
      <c r="A6826" s="64"/>
      <c r="D6826" s="56"/>
    </row>
    <row r="6827">
      <c r="A6827" s="64"/>
      <c r="D6827" s="56"/>
    </row>
    <row r="6828">
      <c r="A6828" s="64"/>
      <c r="D6828" s="56"/>
    </row>
    <row r="6829">
      <c r="A6829" s="64"/>
      <c r="D6829" s="56"/>
    </row>
    <row r="6830">
      <c r="A6830" s="64"/>
      <c r="D6830" s="56"/>
    </row>
    <row r="6831">
      <c r="A6831" s="64"/>
      <c r="D6831" s="56"/>
    </row>
    <row r="6832">
      <c r="A6832" s="64"/>
      <c r="D6832" s="56"/>
    </row>
    <row r="6833">
      <c r="A6833" s="64"/>
      <c r="D6833" s="56"/>
    </row>
    <row r="6834">
      <c r="A6834" s="64"/>
      <c r="D6834" s="56"/>
    </row>
    <row r="6835">
      <c r="A6835" s="64"/>
      <c r="D6835" s="56"/>
    </row>
    <row r="6836">
      <c r="A6836" s="64"/>
      <c r="D6836" s="56"/>
    </row>
    <row r="6837">
      <c r="A6837" s="64"/>
      <c r="D6837" s="56"/>
    </row>
    <row r="6838">
      <c r="A6838" s="64"/>
      <c r="D6838" s="56"/>
    </row>
    <row r="6839">
      <c r="A6839" s="64"/>
      <c r="D6839" s="56"/>
    </row>
    <row r="6840">
      <c r="A6840" s="64"/>
      <c r="D6840" s="56"/>
    </row>
    <row r="6841">
      <c r="A6841" s="64"/>
      <c r="D6841" s="56"/>
    </row>
    <row r="6842">
      <c r="A6842" s="64"/>
      <c r="D6842" s="56"/>
    </row>
    <row r="6843">
      <c r="A6843" s="64"/>
      <c r="D6843" s="56"/>
    </row>
    <row r="6844">
      <c r="A6844" s="64"/>
      <c r="D6844" s="56"/>
    </row>
    <row r="6845">
      <c r="A6845" s="64"/>
      <c r="D6845" s="56"/>
    </row>
    <row r="6846">
      <c r="A6846" s="64"/>
      <c r="D6846" s="56"/>
    </row>
    <row r="6847">
      <c r="A6847" s="64"/>
      <c r="D6847" s="56"/>
    </row>
    <row r="6848">
      <c r="A6848" s="64"/>
      <c r="D6848" s="56"/>
    </row>
    <row r="6849">
      <c r="A6849" s="64"/>
      <c r="D6849" s="56"/>
    </row>
    <row r="6850">
      <c r="A6850" s="64"/>
      <c r="D6850" s="56"/>
    </row>
    <row r="6851">
      <c r="A6851" s="64"/>
      <c r="D6851" s="56"/>
    </row>
    <row r="6852">
      <c r="A6852" s="64"/>
      <c r="D6852" s="56"/>
    </row>
    <row r="6853">
      <c r="A6853" s="64"/>
      <c r="D6853" s="56"/>
    </row>
    <row r="6854">
      <c r="A6854" s="64"/>
      <c r="D6854" s="56"/>
    </row>
    <row r="6855">
      <c r="A6855" s="64"/>
      <c r="D6855" s="56"/>
    </row>
    <row r="6856">
      <c r="A6856" s="64"/>
      <c r="D6856" s="56"/>
    </row>
    <row r="6857">
      <c r="A6857" s="64"/>
      <c r="D6857" s="56"/>
    </row>
    <row r="6858">
      <c r="A6858" s="64"/>
      <c r="D6858" s="56"/>
    </row>
    <row r="6859">
      <c r="A6859" s="64"/>
      <c r="D6859" s="56"/>
    </row>
    <row r="6860">
      <c r="A6860" s="64"/>
      <c r="D6860" s="56"/>
    </row>
    <row r="6861">
      <c r="A6861" s="64"/>
      <c r="D6861" s="56"/>
    </row>
    <row r="6862">
      <c r="A6862" s="64"/>
      <c r="D6862" s="56"/>
    </row>
    <row r="6863">
      <c r="A6863" s="64"/>
      <c r="D6863" s="56"/>
    </row>
    <row r="6864">
      <c r="A6864" s="64"/>
      <c r="D6864" s="56"/>
    </row>
    <row r="6865">
      <c r="A6865" s="64"/>
      <c r="D6865" s="56"/>
    </row>
    <row r="6866">
      <c r="A6866" s="64"/>
      <c r="D6866" s="56"/>
    </row>
    <row r="6867">
      <c r="A6867" s="64"/>
      <c r="D6867" s="56"/>
    </row>
    <row r="6868">
      <c r="A6868" s="64"/>
      <c r="D6868" s="56"/>
    </row>
    <row r="6869">
      <c r="A6869" s="64"/>
      <c r="D6869" s="56"/>
    </row>
    <row r="6870">
      <c r="A6870" s="64"/>
      <c r="D6870" s="56"/>
    </row>
    <row r="6871">
      <c r="A6871" s="64"/>
      <c r="D6871" s="56"/>
    </row>
    <row r="6872">
      <c r="A6872" s="64"/>
      <c r="D6872" s="56"/>
    </row>
    <row r="6873">
      <c r="A6873" s="64"/>
      <c r="D6873" s="56"/>
    </row>
    <row r="6874">
      <c r="A6874" s="64"/>
      <c r="D6874" s="56"/>
    </row>
    <row r="6875">
      <c r="A6875" s="64"/>
      <c r="D6875" s="56"/>
    </row>
    <row r="6876">
      <c r="A6876" s="64"/>
      <c r="D6876" s="56"/>
    </row>
    <row r="6877">
      <c r="A6877" s="64"/>
      <c r="D6877" s="56"/>
    </row>
    <row r="6878">
      <c r="A6878" s="64"/>
      <c r="D6878" s="56"/>
    </row>
    <row r="6879">
      <c r="A6879" s="64"/>
      <c r="D6879" s="56"/>
    </row>
    <row r="6880">
      <c r="A6880" s="64"/>
      <c r="D6880" s="56"/>
    </row>
    <row r="6881">
      <c r="A6881" s="64"/>
      <c r="D6881" s="56"/>
    </row>
    <row r="6882">
      <c r="A6882" s="64"/>
      <c r="D6882" s="56"/>
    </row>
    <row r="6883">
      <c r="A6883" s="64"/>
      <c r="D6883" s="56"/>
    </row>
    <row r="6884">
      <c r="A6884" s="64"/>
      <c r="D6884" s="56"/>
    </row>
    <row r="6885">
      <c r="A6885" s="64"/>
      <c r="D6885" s="56"/>
    </row>
    <row r="6886">
      <c r="A6886" s="64"/>
      <c r="D6886" s="56"/>
    </row>
    <row r="6887">
      <c r="A6887" s="64"/>
      <c r="D6887" s="56"/>
    </row>
    <row r="6888">
      <c r="A6888" s="64"/>
      <c r="D6888" s="56"/>
    </row>
    <row r="6889">
      <c r="A6889" s="64"/>
      <c r="D6889" s="56"/>
    </row>
    <row r="6890">
      <c r="A6890" s="64"/>
      <c r="D6890" s="56"/>
    </row>
    <row r="6891">
      <c r="A6891" s="64"/>
      <c r="D6891" s="56"/>
    </row>
    <row r="6892">
      <c r="A6892" s="64"/>
      <c r="D6892" s="56"/>
    </row>
    <row r="6893">
      <c r="A6893" s="64"/>
      <c r="D6893" s="56"/>
    </row>
    <row r="6894">
      <c r="A6894" s="64"/>
      <c r="D6894" s="56"/>
    </row>
    <row r="6895">
      <c r="A6895" s="64"/>
      <c r="D6895" s="56"/>
    </row>
    <row r="6896">
      <c r="A6896" s="64"/>
      <c r="D6896" s="56"/>
    </row>
    <row r="6897">
      <c r="A6897" s="64"/>
      <c r="D6897" s="56"/>
    </row>
    <row r="6898">
      <c r="A6898" s="64"/>
      <c r="D6898" s="56"/>
    </row>
    <row r="6899">
      <c r="A6899" s="64"/>
      <c r="D6899" s="56"/>
    </row>
    <row r="6900">
      <c r="A6900" s="64"/>
      <c r="D6900" s="56"/>
    </row>
    <row r="6901">
      <c r="A6901" s="64"/>
      <c r="D6901" s="56"/>
    </row>
    <row r="6902">
      <c r="A6902" s="64"/>
      <c r="D6902" s="56"/>
    </row>
    <row r="6903">
      <c r="A6903" s="64"/>
      <c r="D6903" s="56"/>
    </row>
    <row r="6904">
      <c r="A6904" s="64"/>
      <c r="D6904" s="56"/>
    </row>
    <row r="6905">
      <c r="A6905" s="64"/>
      <c r="D6905" s="56"/>
    </row>
    <row r="6906">
      <c r="A6906" s="64"/>
      <c r="D6906" s="56"/>
    </row>
    <row r="6907">
      <c r="A6907" s="64"/>
      <c r="D6907" s="56"/>
    </row>
    <row r="6908">
      <c r="A6908" s="64"/>
      <c r="D6908" s="56"/>
    </row>
    <row r="6909">
      <c r="A6909" s="64"/>
      <c r="D6909" s="56"/>
    </row>
    <row r="6910">
      <c r="A6910" s="64"/>
      <c r="D6910" s="56"/>
    </row>
    <row r="6911">
      <c r="A6911" s="64"/>
      <c r="D6911" s="56"/>
    </row>
    <row r="6912">
      <c r="A6912" s="64"/>
      <c r="D6912" s="56"/>
    </row>
    <row r="6913">
      <c r="A6913" s="64"/>
      <c r="D6913" s="56"/>
    </row>
    <row r="6914">
      <c r="A6914" s="64"/>
      <c r="D6914" s="56"/>
    </row>
    <row r="6915">
      <c r="A6915" s="64"/>
      <c r="D6915" s="56"/>
    </row>
    <row r="6916">
      <c r="A6916" s="64"/>
      <c r="D6916" s="56"/>
    </row>
    <row r="6917">
      <c r="A6917" s="64"/>
      <c r="D6917" s="56"/>
    </row>
    <row r="6918">
      <c r="A6918" s="64"/>
      <c r="D6918" s="56"/>
    </row>
    <row r="6919">
      <c r="A6919" s="64"/>
      <c r="D6919" s="56"/>
    </row>
    <row r="6920">
      <c r="A6920" s="64"/>
      <c r="D6920" s="56"/>
    </row>
    <row r="6921">
      <c r="A6921" s="64"/>
      <c r="D6921" s="56"/>
    </row>
    <row r="6922">
      <c r="A6922" s="64"/>
      <c r="D6922" s="56"/>
    </row>
    <row r="6923">
      <c r="A6923" s="64"/>
      <c r="D6923" s="56"/>
    </row>
    <row r="6924">
      <c r="A6924" s="64"/>
      <c r="D6924" s="56"/>
    </row>
    <row r="6925">
      <c r="A6925" s="64"/>
      <c r="D6925" s="56"/>
    </row>
    <row r="6926">
      <c r="A6926" s="64"/>
      <c r="D6926" s="56"/>
    </row>
    <row r="6927">
      <c r="A6927" s="64"/>
      <c r="D6927" s="56"/>
    </row>
    <row r="6928">
      <c r="A6928" s="64"/>
      <c r="D6928" s="56"/>
    </row>
    <row r="6929">
      <c r="A6929" s="64"/>
      <c r="D6929" s="56"/>
    </row>
    <row r="6930">
      <c r="A6930" s="64"/>
      <c r="D6930" s="56"/>
    </row>
    <row r="6931">
      <c r="A6931" s="64"/>
      <c r="D6931" s="56"/>
    </row>
    <row r="6932">
      <c r="A6932" s="64"/>
      <c r="D6932" s="56"/>
    </row>
    <row r="6933">
      <c r="A6933" s="64"/>
      <c r="D6933" s="56"/>
    </row>
    <row r="6934">
      <c r="A6934" s="64"/>
      <c r="D6934" s="56"/>
    </row>
    <row r="6935">
      <c r="A6935" s="64"/>
      <c r="D6935" s="56"/>
    </row>
    <row r="6936">
      <c r="A6936" s="64"/>
      <c r="D6936" s="56"/>
    </row>
    <row r="6937">
      <c r="A6937" s="64"/>
      <c r="D6937" s="56"/>
    </row>
    <row r="6938">
      <c r="A6938" s="64"/>
      <c r="D6938" s="56"/>
    </row>
    <row r="6939">
      <c r="A6939" s="64"/>
      <c r="D6939" s="56"/>
    </row>
    <row r="6940">
      <c r="A6940" s="64"/>
      <c r="D6940" s="56"/>
    </row>
    <row r="6941">
      <c r="A6941" s="64"/>
      <c r="D6941" s="56"/>
    </row>
    <row r="6942">
      <c r="A6942" s="64"/>
      <c r="D6942" s="56"/>
    </row>
    <row r="6943">
      <c r="A6943" s="64"/>
      <c r="D6943" s="56"/>
    </row>
    <row r="6944">
      <c r="A6944" s="64"/>
      <c r="D6944" s="56"/>
    </row>
    <row r="6945">
      <c r="A6945" s="64"/>
      <c r="D6945" s="56"/>
    </row>
    <row r="6946">
      <c r="A6946" s="64"/>
      <c r="D6946" s="56"/>
    </row>
    <row r="6947">
      <c r="A6947" s="64"/>
      <c r="D6947" s="56"/>
    </row>
    <row r="6948">
      <c r="A6948" s="64"/>
      <c r="D6948" s="56"/>
    </row>
    <row r="6949">
      <c r="A6949" s="64"/>
      <c r="D6949" s="56"/>
    </row>
    <row r="6950">
      <c r="A6950" s="64"/>
      <c r="D6950" s="56"/>
    </row>
    <row r="6951">
      <c r="A6951" s="64"/>
      <c r="D6951" s="56"/>
    </row>
    <row r="6952">
      <c r="A6952" s="64"/>
      <c r="D6952" s="56"/>
    </row>
    <row r="6953">
      <c r="A6953" s="64"/>
      <c r="D6953" s="56"/>
    </row>
    <row r="6954">
      <c r="A6954" s="64"/>
      <c r="D6954" s="56"/>
    </row>
    <row r="6955">
      <c r="A6955" s="64"/>
      <c r="D6955" s="56"/>
    </row>
    <row r="6956">
      <c r="A6956" s="64"/>
      <c r="D6956" s="56"/>
    </row>
    <row r="6957">
      <c r="A6957" s="64"/>
      <c r="D6957" s="56"/>
    </row>
    <row r="6958">
      <c r="A6958" s="64"/>
      <c r="D6958" s="56"/>
    </row>
    <row r="6959">
      <c r="A6959" s="64"/>
      <c r="D6959" s="56"/>
    </row>
    <row r="6960">
      <c r="A6960" s="64"/>
      <c r="D6960" s="56"/>
    </row>
    <row r="6961">
      <c r="A6961" s="64"/>
      <c r="D6961" s="56"/>
    </row>
    <row r="6962">
      <c r="A6962" s="64"/>
      <c r="D6962" s="56"/>
    </row>
    <row r="6963">
      <c r="A6963" s="64"/>
      <c r="D6963" s="56"/>
    </row>
    <row r="6964">
      <c r="A6964" s="64"/>
      <c r="D6964" s="56"/>
    </row>
    <row r="6965">
      <c r="A6965" s="64"/>
      <c r="D6965" s="56"/>
    </row>
    <row r="6966">
      <c r="A6966" s="64"/>
      <c r="D6966" s="56"/>
    </row>
    <row r="6967">
      <c r="A6967" s="64"/>
      <c r="D6967" s="56"/>
    </row>
    <row r="6968">
      <c r="A6968" s="64"/>
      <c r="D6968" s="56"/>
    </row>
    <row r="6969">
      <c r="A6969" s="64"/>
      <c r="D6969" s="56"/>
    </row>
    <row r="6970">
      <c r="A6970" s="64"/>
      <c r="D6970" s="56"/>
    </row>
    <row r="6971">
      <c r="A6971" s="64"/>
      <c r="D6971" s="56"/>
    </row>
    <row r="6972">
      <c r="A6972" s="64"/>
      <c r="D6972" s="56"/>
    </row>
    <row r="6973">
      <c r="A6973" s="64"/>
      <c r="D6973" s="56"/>
    </row>
    <row r="6974">
      <c r="A6974" s="64"/>
      <c r="D6974" s="56"/>
    </row>
    <row r="6975">
      <c r="A6975" s="64"/>
      <c r="D6975" s="56"/>
    </row>
    <row r="6976">
      <c r="A6976" s="64"/>
      <c r="D6976" s="56"/>
    </row>
    <row r="6977">
      <c r="A6977" s="64"/>
      <c r="D6977" s="56"/>
    </row>
    <row r="6978">
      <c r="A6978" s="64"/>
      <c r="D6978" s="56"/>
    </row>
    <row r="6979">
      <c r="A6979" s="64"/>
      <c r="D6979" s="56"/>
    </row>
    <row r="6980">
      <c r="A6980" s="64"/>
      <c r="D6980" s="56"/>
    </row>
    <row r="6981">
      <c r="A6981" s="64"/>
      <c r="D6981" s="56"/>
    </row>
    <row r="6982">
      <c r="A6982" s="64"/>
      <c r="D6982" s="56"/>
    </row>
    <row r="6983">
      <c r="A6983" s="64"/>
      <c r="D6983" s="56"/>
    </row>
    <row r="6984">
      <c r="A6984" s="64"/>
      <c r="D6984" s="56"/>
    </row>
    <row r="6985">
      <c r="A6985" s="64"/>
      <c r="D6985" s="56"/>
    </row>
    <row r="6986">
      <c r="A6986" s="64"/>
      <c r="D6986" s="56"/>
    </row>
    <row r="6987">
      <c r="A6987" s="64"/>
      <c r="D6987" s="56"/>
    </row>
    <row r="6988">
      <c r="A6988" s="64"/>
      <c r="D6988" s="56"/>
    </row>
    <row r="6989">
      <c r="A6989" s="64"/>
      <c r="D6989" s="56"/>
    </row>
    <row r="6990">
      <c r="A6990" s="64"/>
      <c r="D6990" s="56"/>
    </row>
    <row r="6991">
      <c r="A6991" s="64"/>
      <c r="D6991" s="56"/>
    </row>
    <row r="6992">
      <c r="A6992" s="64"/>
      <c r="D6992" s="56"/>
    </row>
    <row r="6993">
      <c r="A6993" s="64"/>
      <c r="D6993" s="56"/>
    </row>
    <row r="6994">
      <c r="A6994" s="64"/>
      <c r="D6994" s="56"/>
    </row>
    <row r="6995">
      <c r="A6995" s="64"/>
      <c r="D6995" s="56"/>
    </row>
    <row r="6996">
      <c r="A6996" s="64"/>
      <c r="D6996" s="56"/>
    </row>
    <row r="6997">
      <c r="A6997" s="64"/>
      <c r="D6997" s="56"/>
    </row>
    <row r="6998">
      <c r="A6998" s="64"/>
      <c r="D6998" s="56"/>
    </row>
    <row r="6999">
      <c r="A6999" s="64"/>
      <c r="D6999" s="56"/>
    </row>
    <row r="7000">
      <c r="A7000" s="64"/>
      <c r="D7000" s="56"/>
    </row>
    <row r="7001">
      <c r="A7001" s="64"/>
      <c r="D7001" s="56"/>
    </row>
    <row r="7002">
      <c r="A7002" s="64"/>
      <c r="D7002" s="56"/>
    </row>
    <row r="7003">
      <c r="A7003" s="64"/>
      <c r="D7003" s="56"/>
    </row>
    <row r="7004">
      <c r="A7004" s="64"/>
      <c r="D7004" s="56"/>
    </row>
    <row r="7005">
      <c r="A7005" s="64"/>
      <c r="D7005" s="56"/>
    </row>
    <row r="7006">
      <c r="A7006" s="64"/>
      <c r="D7006" s="56"/>
    </row>
    <row r="7007">
      <c r="A7007" s="64"/>
      <c r="D7007" s="56"/>
    </row>
    <row r="7008">
      <c r="A7008" s="64"/>
      <c r="D7008" s="56"/>
    </row>
    <row r="7009">
      <c r="A7009" s="64"/>
      <c r="D7009" s="56"/>
    </row>
    <row r="7010">
      <c r="A7010" s="64"/>
      <c r="D7010" s="56"/>
    </row>
    <row r="7011">
      <c r="A7011" s="64"/>
      <c r="D7011" s="56"/>
    </row>
    <row r="7012">
      <c r="A7012" s="64"/>
      <c r="D7012" s="56"/>
    </row>
    <row r="7013">
      <c r="A7013" s="64"/>
      <c r="D7013" s="56"/>
    </row>
    <row r="7014">
      <c r="A7014" s="64"/>
      <c r="D7014" s="56"/>
    </row>
    <row r="7015">
      <c r="A7015" s="64"/>
      <c r="D7015" s="56"/>
    </row>
    <row r="7016">
      <c r="A7016" s="64"/>
      <c r="D7016" s="56"/>
    </row>
    <row r="7017">
      <c r="A7017" s="64"/>
      <c r="D7017" s="56"/>
    </row>
    <row r="7018">
      <c r="A7018" s="64"/>
      <c r="D7018" s="56"/>
    </row>
    <row r="7019">
      <c r="A7019" s="64"/>
      <c r="D7019" s="56"/>
    </row>
    <row r="7020">
      <c r="A7020" s="64"/>
      <c r="D7020" s="56"/>
    </row>
    <row r="7021">
      <c r="A7021" s="64"/>
      <c r="D7021" s="56"/>
    </row>
    <row r="7022">
      <c r="A7022" s="64"/>
      <c r="D7022" s="56"/>
    </row>
    <row r="7023">
      <c r="A7023" s="64"/>
      <c r="D7023" s="56"/>
    </row>
    <row r="7024">
      <c r="A7024" s="64"/>
      <c r="D7024" s="56"/>
    </row>
    <row r="7025">
      <c r="A7025" s="64"/>
      <c r="D7025" s="56"/>
    </row>
    <row r="7026">
      <c r="A7026" s="64"/>
      <c r="D7026" s="56"/>
    </row>
    <row r="7027">
      <c r="A7027" s="64"/>
      <c r="D7027" s="56"/>
    </row>
    <row r="7028">
      <c r="A7028" s="64"/>
      <c r="D7028" s="56"/>
    </row>
    <row r="7029">
      <c r="A7029" s="64"/>
      <c r="D7029" s="56"/>
    </row>
    <row r="7030">
      <c r="A7030" s="64"/>
      <c r="D7030" s="56"/>
    </row>
    <row r="7031">
      <c r="A7031" s="64"/>
      <c r="D7031" s="56"/>
    </row>
    <row r="7032">
      <c r="A7032" s="64"/>
      <c r="D7032" s="56"/>
    </row>
    <row r="7033">
      <c r="A7033" s="64"/>
      <c r="D7033" s="56"/>
    </row>
    <row r="7034">
      <c r="A7034" s="64"/>
      <c r="D7034" s="56"/>
    </row>
    <row r="7035">
      <c r="A7035" s="64"/>
      <c r="D7035" s="56"/>
    </row>
    <row r="7036">
      <c r="A7036" s="64"/>
      <c r="D7036" s="56"/>
    </row>
    <row r="7037">
      <c r="A7037" s="64"/>
      <c r="D7037" s="56"/>
    </row>
    <row r="7038">
      <c r="A7038" s="64"/>
      <c r="D7038" s="56"/>
    </row>
    <row r="7039">
      <c r="A7039" s="64"/>
      <c r="D7039" s="56"/>
    </row>
    <row r="7040">
      <c r="A7040" s="64"/>
      <c r="D7040" s="56"/>
    </row>
    <row r="7041">
      <c r="A7041" s="64"/>
      <c r="D7041" s="56"/>
    </row>
    <row r="7042">
      <c r="A7042" s="64"/>
      <c r="D7042" s="56"/>
    </row>
    <row r="7043">
      <c r="A7043" s="64"/>
      <c r="D7043" s="56"/>
    </row>
    <row r="7044">
      <c r="A7044" s="64"/>
      <c r="D7044" s="56"/>
    </row>
    <row r="7045">
      <c r="A7045" s="64"/>
      <c r="D7045" s="56"/>
    </row>
    <row r="7046">
      <c r="A7046" s="64"/>
      <c r="D7046" s="56"/>
    </row>
    <row r="7047">
      <c r="A7047" s="64"/>
      <c r="D7047" s="56"/>
    </row>
    <row r="7048">
      <c r="A7048" s="64"/>
      <c r="D7048" s="56"/>
    </row>
    <row r="7049">
      <c r="A7049" s="64"/>
      <c r="D7049" s="56"/>
    </row>
    <row r="7050">
      <c r="A7050" s="64"/>
      <c r="D7050" s="56"/>
    </row>
    <row r="7051">
      <c r="A7051" s="64"/>
      <c r="D7051" s="56"/>
    </row>
    <row r="7052">
      <c r="A7052" s="64"/>
      <c r="D7052" s="56"/>
    </row>
    <row r="7053">
      <c r="A7053" s="64"/>
      <c r="D7053" s="56"/>
    </row>
    <row r="7054">
      <c r="A7054" s="64"/>
      <c r="D7054" s="56"/>
    </row>
    <row r="7055">
      <c r="A7055" s="64"/>
      <c r="D7055" s="56"/>
    </row>
    <row r="7056">
      <c r="A7056" s="64"/>
      <c r="D7056" s="56"/>
    </row>
    <row r="7057">
      <c r="A7057" s="64"/>
      <c r="D7057" s="56"/>
    </row>
    <row r="7058">
      <c r="A7058" s="64"/>
      <c r="D7058" s="56"/>
    </row>
    <row r="7059">
      <c r="A7059" s="64"/>
      <c r="D7059" s="56"/>
    </row>
    <row r="7060">
      <c r="A7060" s="64"/>
      <c r="D7060" s="56"/>
    </row>
    <row r="7061">
      <c r="A7061" s="64"/>
      <c r="D7061" s="56"/>
    </row>
    <row r="7062">
      <c r="A7062" s="64"/>
      <c r="D7062" s="56"/>
    </row>
    <row r="7063">
      <c r="A7063" s="64"/>
      <c r="D7063" s="56"/>
    </row>
    <row r="7064">
      <c r="A7064" s="64"/>
      <c r="D7064" s="56"/>
    </row>
    <row r="7065">
      <c r="A7065" s="64"/>
      <c r="D7065" s="56"/>
    </row>
    <row r="7066">
      <c r="A7066" s="64"/>
      <c r="D7066" s="56"/>
    </row>
    <row r="7067">
      <c r="A7067" s="64"/>
      <c r="D7067" s="56"/>
    </row>
    <row r="7068">
      <c r="A7068" s="64"/>
      <c r="D7068" s="56"/>
    </row>
    <row r="7069">
      <c r="A7069" s="64"/>
      <c r="D7069" s="56"/>
    </row>
    <row r="7070">
      <c r="A7070" s="64"/>
      <c r="D7070" s="56"/>
    </row>
    <row r="7071">
      <c r="A7071" s="64"/>
      <c r="D7071" s="56"/>
    </row>
    <row r="7072">
      <c r="A7072" s="64"/>
      <c r="D7072" s="56"/>
    </row>
    <row r="7073">
      <c r="A7073" s="64"/>
      <c r="D7073" s="56"/>
    </row>
    <row r="7074">
      <c r="A7074" s="64"/>
      <c r="D7074" s="56"/>
    </row>
    <row r="7075">
      <c r="A7075" s="64"/>
      <c r="D7075" s="56"/>
    </row>
    <row r="7076">
      <c r="A7076" s="64"/>
      <c r="D7076" s="56"/>
    </row>
    <row r="7077">
      <c r="A7077" s="64"/>
      <c r="D7077" s="56"/>
    </row>
    <row r="7078">
      <c r="A7078" s="64"/>
      <c r="D7078" s="56"/>
    </row>
    <row r="7079">
      <c r="A7079" s="64"/>
      <c r="D7079" s="56"/>
    </row>
    <row r="7080">
      <c r="A7080" s="64"/>
      <c r="D7080" s="56"/>
    </row>
    <row r="7081">
      <c r="A7081" s="64"/>
      <c r="D7081" s="56"/>
    </row>
    <row r="7082">
      <c r="A7082" s="64"/>
      <c r="D7082" s="56"/>
    </row>
    <row r="7083">
      <c r="A7083" s="64"/>
      <c r="D7083" s="56"/>
    </row>
    <row r="7084">
      <c r="A7084" s="64"/>
      <c r="D7084" s="56"/>
    </row>
    <row r="7085">
      <c r="A7085" s="64"/>
      <c r="D7085" s="56"/>
    </row>
    <row r="7086">
      <c r="A7086" s="64"/>
      <c r="D7086" s="56"/>
    </row>
    <row r="7087">
      <c r="A7087" s="64"/>
      <c r="D7087" s="56"/>
    </row>
    <row r="7088">
      <c r="A7088" s="64"/>
      <c r="D7088" s="56"/>
    </row>
    <row r="7089">
      <c r="A7089" s="64"/>
      <c r="D7089" s="56"/>
    </row>
    <row r="7090">
      <c r="A7090" s="64"/>
      <c r="D7090" s="56"/>
    </row>
    <row r="7091">
      <c r="A7091" s="64"/>
      <c r="D7091" s="56"/>
    </row>
    <row r="7092">
      <c r="A7092" s="64"/>
      <c r="D7092" s="56"/>
    </row>
    <row r="7093">
      <c r="A7093" s="64"/>
      <c r="D7093" s="56"/>
    </row>
    <row r="7094">
      <c r="A7094" s="64"/>
      <c r="D7094" s="56"/>
    </row>
    <row r="7095">
      <c r="A7095" s="64"/>
      <c r="D7095" s="56"/>
    </row>
    <row r="7096">
      <c r="A7096" s="64"/>
      <c r="D7096" s="56"/>
    </row>
    <row r="7097">
      <c r="A7097" s="64"/>
      <c r="D7097" s="56"/>
    </row>
    <row r="7098">
      <c r="A7098" s="64"/>
      <c r="D7098" s="56"/>
    </row>
    <row r="7099">
      <c r="A7099" s="64"/>
      <c r="D7099" s="56"/>
    </row>
    <row r="7100">
      <c r="A7100" s="64"/>
      <c r="D7100" s="56"/>
    </row>
    <row r="7101">
      <c r="A7101" s="64"/>
      <c r="D7101" s="56"/>
    </row>
    <row r="7102">
      <c r="A7102" s="64"/>
      <c r="D7102" s="56"/>
    </row>
    <row r="7103">
      <c r="A7103" s="64"/>
      <c r="D7103" s="56"/>
    </row>
    <row r="7104">
      <c r="A7104" s="64"/>
      <c r="D7104" s="56"/>
    </row>
    <row r="7105">
      <c r="A7105" s="64"/>
      <c r="D7105" s="56"/>
    </row>
    <row r="7106">
      <c r="A7106" s="64"/>
      <c r="D7106" s="56"/>
    </row>
    <row r="7107">
      <c r="A7107" s="64"/>
      <c r="D7107" s="56"/>
    </row>
    <row r="7108">
      <c r="A7108" s="64"/>
      <c r="D7108" s="56"/>
    </row>
    <row r="7109">
      <c r="A7109" s="64"/>
      <c r="D7109" s="56"/>
    </row>
    <row r="7110">
      <c r="A7110" s="64"/>
      <c r="D7110" s="56"/>
    </row>
    <row r="7111">
      <c r="A7111" s="64"/>
      <c r="D7111" s="56"/>
    </row>
    <row r="7112">
      <c r="A7112" s="64"/>
      <c r="D7112" s="56"/>
    </row>
    <row r="7113">
      <c r="A7113" s="64"/>
      <c r="D7113" s="56"/>
    </row>
    <row r="7114">
      <c r="A7114" s="64"/>
      <c r="D7114" s="56"/>
    </row>
    <row r="7115">
      <c r="A7115" s="64"/>
      <c r="D7115" s="56"/>
    </row>
    <row r="7116">
      <c r="A7116" s="64"/>
      <c r="D7116" s="56"/>
    </row>
    <row r="7117">
      <c r="A7117" s="64"/>
      <c r="D7117" s="56"/>
    </row>
    <row r="7118">
      <c r="A7118" s="64"/>
      <c r="D7118" s="56"/>
    </row>
    <row r="7119">
      <c r="A7119" s="64"/>
      <c r="D7119" s="56"/>
    </row>
    <row r="7120">
      <c r="A7120" s="64"/>
      <c r="D7120" s="56"/>
    </row>
    <row r="7121">
      <c r="A7121" s="64"/>
      <c r="D7121" s="56"/>
    </row>
    <row r="7122">
      <c r="A7122" s="64"/>
      <c r="D7122" s="56"/>
    </row>
    <row r="7123">
      <c r="A7123" s="64"/>
      <c r="D7123" s="56"/>
    </row>
    <row r="7124">
      <c r="A7124" s="64"/>
      <c r="D7124" s="56"/>
    </row>
    <row r="7125">
      <c r="A7125" s="64"/>
      <c r="D7125" s="56"/>
    </row>
    <row r="7126">
      <c r="A7126" s="64"/>
      <c r="D7126" s="56"/>
    </row>
    <row r="7127">
      <c r="A7127" s="64"/>
      <c r="D7127" s="56"/>
    </row>
    <row r="7128">
      <c r="A7128" s="64"/>
      <c r="D7128" s="56"/>
    </row>
    <row r="7129">
      <c r="A7129" s="64"/>
      <c r="D7129" s="56"/>
    </row>
    <row r="7130">
      <c r="A7130" s="64"/>
      <c r="D7130" s="56"/>
    </row>
    <row r="7131">
      <c r="A7131" s="64"/>
      <c r="D7131" s="56"/>
    </row>
    <row r="7132">
      <c r="A7132" s="64"/>
      <c r="D7132" s="56"/>
    </row>
    <row r="7133">
      <c r="A7133" s="64"/>
      <c r="D7133" s="56"/>
    </row>
    <row r="7134">
      <c r="A7134" s="64"/>
      <c r="D7134" s="56"/>
    </row>
    <row r="7135">
      <c r="A7135" s="64"/>
      <c r="D7135" s="56"/>
    </row>
    <row r="7136">
      <c r="A7136" s="64"/>
      <c r="D7136" s="56"/>
    </row>
    <row r="7137">
      <c r="A7137" s="64"/>
      <c r="D7137" s="56"/>
    </row>
    <row r="7138">
      <c r="A7138" s="64"/>
      <c r="D7138" s="56"/>
    </row>
    <row r="7139">
      <c r="A7139" s="64"/>
      <c r="D7139" s="56"/>
    </row>
    <row r="7140">
      <c r="A7140" s="64"/>
      <c r="D7140" s="56"/>
    </row>
    <row r="7141">
      <c r="A7141" s="64"/>
      <c r="D7141" s="56"/>
    </row>
    <row r="7142">
      <c r="A7142" s="64"/>
      <c r="D7142" s="56"/>
    </row>
    <row r="7143">
      <c r="A7143" s="64"/>
      <c r="D7143" s="56"/>
    </row>
    <row r="7144">
      <c r="A7144" s="64"/>
      <c r="D7144" s="56"/>
    </row>
    <row r="7145">
      <c r="A7145" s="64"/>
      <c r="D7145" s="56"/>
    </row>
    <row r="7146">
      <c r="A7146" s="64"/>
      <c r="D7146" s="56"/>
    </row>
    <row r="7147">
      <c r="A7147" s="64"/>
      <c r="D7147" s="56"/>
    </row>
    <row r="7148">
      <c r="A7148" s="64"/>
      <c r="D7148" s="56"/>
    </row>
    <row r="7149">
      <c r="A7149" s="64"/>
      <c r="D7149" s="56"/>
    </row>
    <row r="7150">
      <c r="A7150" s="64"/>
      <c r="D7150" s="56"/>
    </row>
    <row r="7151">
      <c r="A7151" s="64"/>
      <c r="D7151" s="56"/>
    </row>
    <row r="7152">
      <c r="A7152" s="64"/>
      <c r="D7152" s="56"/>
    </row>
    <row r="7153">
      <c r="A7153" s="64"/>
      <c r="D7153" s="56"/>
    </row>
    <row r="7154">
      <c r="A7154" s="64"/>
      <c r="D7154" s="56"/>
    </row>
    <row r="7155">
      <c r="A7155" s="64"/>
      <c r="D7155" s="56"/>
    </row>
    <row r="7156">
      <c r="A7156" s="64"/>
      <c r="D7156" s="56"/>
    </row>
    <row r="7157">
      <c r="A7157" s="64"/>
      <c r="D7157" s="56"/>
    </row>
    <row r="7158">
      <c r="A7158" s="64"/>
      <c r="D7158" s="56"/>
    </row>
    <row r="7159">
      <c r="A7159" s="64"/>
      <c r="D7159" s="56"/>
    </row>
    <row r="7160">
      <c r="A7160" s="64"/>
      <c r="D7160" s="56"/>
    </row>
    <row r="7161">
      <c r="A7161" s="64"/>
      <c r="D7161" s="56"/>
    </row>
    <row r="7162">
      <c r="A7162" s="64"/>
      <c r="D7162" s="56"/>
    </row>
    <row r="7163">
      <c r="A7163" s="64"/>
      <c r="D7163" s="56"/>
    </row>
    <row r="7164">
      <c r="A7164" s="64"/>
      <c r="D7164" s="56"/>
    </row>
    <row r="7165">
      <c r="A7165" s="64"/>
      <c r="D7165" s="56"/>
    </row>
    <row r="7166">
      <c r="A7166" s="64"/>
      <c r="D7166" s="56"/>
    </row>
    <row r="7167">
      <c r="A7167" s="64"/>
      <c r="D7167" s="56"/>
    </row>
    <row r="7168">
      <c r="A7168" s="64"/>
      <c r="D7168" s="56"/>
    </row>
    <row r="7169">
      <c r="A7169" s="64"/>
      <c r="D7169" s="56"/>
    </row>
    <row r="7170">
      <c r="A7170" s="64"/>
      <c r="D7170" s="56"/>
    </row>
    <row r="7171">
      <c r="A7171" s="64"/>
      <c r="D7171" s="56"/>
    </row>
    <row r="7172">
      <c r="A7172" s="64"/>
      <c r="D7172" s="56"/>
    </row>
    <row r="7173">
      <c r="A7173" s="64"/>
      <c r="D7173" s="56"/>
    </row>
    <row r="7174">
      <c r="A7174" s="64"/>
      <c r="D7174" s="56"/>
    </row>
    <row r="7175">
      <c r="A7175" s="64"/>
      <c r="D7175" s="56"/>
    </row>
    <row r="7176">
      <c r="A7176" s="64"/>
      <c r="D7176" s="56"/>
    </row>
    <row r="7177">
      <c r="A7177" s="64"/>
      <c r="D7177" s="56"/>
    </row>
    <row r="7178">
      <c r="A7178" s="64"/>
      <c r="D7178" s="56"/>
    </row>
    <row r="7179">
      <c r="A7179" s="64"/>
      <c r="D7179" s="56"/>
    </row>
    <row r="7180">
      <c r="A7180" s="64"/>
      <c r="D7180" s="56"/>
    </row>
    <row r="7181">
      <c r="A7181" s="64"/>
      <c r="D7181" s="56"/>
    </row>
    <row r="7182">
      <c r="A7182" s="64"/>
      <c r="D7182" s="56"/>
    </row>
    <row r="7183">
      <c r="A7183" s="64"/>
      <c r="D7183" s="56"/>
    </row>
    <row r="7184">
      <c r="A7184" s="64"/>
      <c r="D7184" s="56"/>
    </row>
    <row r="7185">
      <c r="A7185" s="64"/>
      <c r="D7185" s="56"/>
    </row>
    <row r="7186">
      <c r="A7186" s="64"/>
      <c r="D7186" s="56"/>
    </row>
    <row r="7187">
      <c r="A7187" s="64"/>
      <c r="D7187" s="56"/>
    </row>
    <row r="7188">
      <c r="A7188" s="64"/>
      <c r="D7188" s="56"/>
    </row>
    <row r="7189">
      <c r="A7189" s="64"/>
      <c r="D7189" s="56"/>
    </row>
    <row r="7190">
      <c r="A7190" s="64"/>
      <c r="D7190" s="56"/>
    </row>
    <row r="7191">
      <c r="A7191" s="64"/>
      <c r="D7191" s="56"/>
    </row>
    <row r="7192">
      <c r="A7192" s="64"/>
      <c r="D7192" s="56"/>
    </row>
    <row r="7193">
      <c r="A7193" s="64"/>
      <c r="D7193" s="56"/>
    </row>
    <row r="7194">
      <c r="A7194" s="64"/>
      <c r="D7194" s="56"/>
    </row>
    <row r="7195">
      <c r="A7195" s="64"/>
      <c r="D7195" s="56"/>
    </row>
    <row r="7196">
      <c r="A7196" s="64"/>
      <c r="D7196" s="56"/>
    </row>
    <row r="7197">
      <c r="A7197" s="64"/>
      <c r="D7197" s="56"/>
    </row>
    <row r="7198">
      <c r="A7198" s="64"/>
      <c r="D7198" s="56"/>
    </row>
    <row r="7199">
      <c r="A7199" s="64"/>
      <c r="D7199" s="56"/>
    </row>
    <row r="7200">
      <c r="A7200" s="64"/>
      <c r="D7200" s="56"/>
    </row>
    <row r="7201">
      <c r="A7201" s="64"/>
      <c r="D7201" s="56"/>
    </row>
    <row r="7202">
      <c r="A7202" s="64"/>
      <c r="D7202" s="56"/>
    </row>
    <row r="7203">
      <c r="A7203" s="64"/>
      <c r="D7203" s="56"/>
    </row>
    <row r="7204">
      <c r="A7204" s="64"/>
      <c r="D7204" s="56"/>
    </row>
    <row r="7205">
      <c r="A7205" s="64"/>
      <c r="D7205" s="56"/>
    </row>
    <row r="7206">
      <c r="A7206" s="64"/>
      <c r="D7206" s="56"/>
    </row>
    <row r="7207">
      <c r="A7207" s="64"/>
      <c r="D7207" s="56"/>
    </row>
    <row r="7208">
      <c r="A7208" s="64"/>
      <c r="D7208" s="56"/>
    </row>
    <row r="7209">
      <c r="A7209" s="64"/>
      <c r="D7209" s="56"/>
    </row>
    <row r="7210">
      <c r="A7210" s="64"/>
      <c r="D7210" s="56"/>
    </row>
    <row r="7211">
      <c r="A7211" s="64"/>
      <c r="D7211" s="56"/>
    </row>
    <row r="7212">
      <c r="A7212" s="64"/>
      <c r="D7212" s="56"/>
    </row>
    <row r="7213">
      <c r="A7213" s="64"/>
      <c r="D7213" s="56"/>
    </row>
    <row r="7214">
      <c r="A7214" s="64"/>
      <c r="D7214" s="56"/>
    </row>
    <row r="7215">
      <c r="A7215" s="64"/>
      <c r="D7215" s="56"/>
    </row>
    <row r="7216">
      <c r="A7216" s="64"/>
      <c r="D7216" s="56"/>
    </row>
    <row r="7217">
      <c r="A7217" s="64"/>
      <c r="D7217" s="56"/>
    </row>
    <row r="7218">
      <c r="A7218" s="64"/>
      <c r="D7218" s="56"/>
    </row>
    <row r="7219">
      <c r="A7219" s="64"/>
      <c r="D7219" s="56"/>
    </row>
    <row r="7220">
      <c r="A7220" s="64"/>
      <c r="D7220" s="56"/>
    </row>
    <row r="7221">
      <c r="A7221" s="66"/>
      <c r="D7221" s="56"/>
    </row>
    <row r="7222">
      <c r="A7222" s="66"/>
      <c r="D7222" s="56"/>
    </row>
    <row r="7223">
      <c r="A7223" s="66"/>
      <c r="D7223" s="56"/>
    </row>
    <row r="7224">
      <c r="A7224" s="66"/>
      <c r="D7224" s="56"/>
    </row>
    <row r="7225">
      <c r="A7225" s="66"/>
      <c r="D7225" s="56"/>
    </row>
    <row r="7226">
      <c r="A7226" s="66"/>
      <c r="D7226" s="56"/>
    </row>
    <row r="7227">
      <c r="A7227" s="66"/>
      <c r="D7227" s="56"/>
    </row>
    <row r="7228">
      <c r="A7228" s="66"/>
      <c r="D7228" s="56"/>
    </row>
    <row r="7229">
      <c r="A7229" s="66"/>
      <c r="D7229" s="56"/>
    </row>
    <row r="7230">
      <c r="A7230" s="66"/>
      <c r="D7230" s="56"/>
    </row>
    <row r="7231">
      <c r="A7231" s="66"/>
      <c r="D7231" s="56"/>
    </row>
    <row r="7232">
      <c r="A7232" s="66"/>
      <c r="D7232" s="56"/>
    </row>
    <row r="7233">
      <c r="A7233" s="66"/>
      <c r="D7233" s="56"/>
    </row>
    <row r="7234">
      <c r="A7234" s="66"/>
      <c r="D7234" s="56"/>
    </row>
    <row r="7235">
      <c r="A7235" s="66"/>
      <c r="D7235" s="56"/>
    </row>
    <row r="7236">
      <c r="A7236" s="66"/>
      <c r="D7236" s="56"/>
    </row>
    <row r="7237">
      <c r="A7237" s="66"/>
      <c r="D7237" s="56"/>
    </row>
    <row r="7238">
      <c r="A7238" s="66"/>
      <c r="D7238" s="56"/>
    </row>
    <row r="7239">
      <c r="A7239" s="66"/>
      <c r="D7239" s="56"/>
    </row>
    <row r="7240">
      <c r="A7240" s="66"/>
      <c r="D7240" s="56"/>
    </row>
    <row r="7241">
      <c r="A7241" s="66"/>
      <c r="D7241" s="56"/>
    </row>
    <row r="7242">
      <c r="A7242" s="66"/>
      <c r="D7242" s="56"/>
    </row>
    <row r="7243">
      <c r="A7243" s="66"/>
      <c r="D7243" s="56"/>
    </row>
    <row r="7244">
      <c r="A7244" s="66"/>
      <c r="D7244" s="56"/>
    </row>
    <row r="7245">
      <c r="A7245" s="66"/>
      <c r="D7245" s="56"/>
    </row>
    <row r="7246">
      <c r="A7246" s="66"/>
      <c r="D7246" s="56"/>
    </row>
    <row r="7247">
      <c r="A7247" s="66"/>
      <c r="D7247" s="56"/>
    </row>
    <row r="7248">
      <c r="A7248" s="66"/>
      <c r="D7248" s="56"/>
    </row>
    <row r="7249">
      <c r="A7249" s="66"/>
      <c r="D7249" s="56"/>
    </row>
    <row r="7250">
      <c r="A7250" s="66"/>
      <c r="D7250" s="56"/>
    </row>
    <row r="7251">
      <c r="A7251" s="66"/>
      <c r="D7251" s="56"/>
    </row>
    <row r="7252">
      <c r="A7252" s="66"/>
      <c r="D7252" s="56"/>
    </row>
    <row r="7253">
      <c r="A7253" s="66"/>
      <c r="D7253" s="56"/>
    </row>
    <row r="7254">
      <c r="A7254" s="66"/>
      <c r="D7254" s="56"/>
    </row>
    <row r="7255">
      <c r="A7255" s="66"/>
      <c r="D7255" s="56"/>
    </row>
    <row r="7256">
      <c r="A7256" s="66"/>
      <c r="D7256" s="56"/>
    </row>
    <row r="7257">
      <c r="A7257" s="66"/>
      <c r="D7257" s="56"/>
    </row>
    <row r="7258">
      <c r="A7258" s="66"/>
      <c r="D7258" s="56"/>
    </row>
    <row r="7259">
      <c r="A7259" s="66"/>
      <c r="D7259" s="56"/>
    </row>
    <row r="7260">
      <c r="A7260" s="66"/>
      <c r="D7260" s="56"/>
    </row>
    <row r="7261">
      <c r="A7261" s="66"/>
      <c r="D7261" s="56"/>
    </row>
    <row r="7262">
      <c r="A7262" s="66"/>
      <c r="D7262" s="56"/>
    </row>
    <row r="7263">
      <c r="A7263" s="66"/>
      <c r="D7263" s="56"/>
    </row>
    <row r="7264">
      <c r="A7264" s="66"/>
      <c r="D7264" s="56"/>
    </row>
    <row r="7265">
      <c r="A7265" s="66"/>
      <c r="D7265" s="56"/>
    </row>
    <row r="7266">
      <c r="A7266" s="66"/>
      <c r="D7266" s="56"/>
    </row>
    <row r="7267">
      <c r="A7267" s="66"/>
      <c r="D7267" s="56"/>
    </row>
    <row r="7268">
      <c r="A7268" s="66"/>
      <c r="D7268" s="56"/>
    </row>
    <row r="7269">
      <c r="A7269" s="66"/>
      <c r="D7269" s="56"/>
    </row>
    <row r="7270">
      <c r="A7270" s="66"/>
      <c r="D7270" s="56"/>
    </row>
    <row r="7271">
      <c r="A7271" s="66"/>
      <c r="D7271" s="56"/>
    </row>
    <row r="7272">
      <c r="A7272" s="66"/>
      <c r="D7272" s="56"/>
    </row>
    <row r="7273">
      <c r="A7273" s="66"/>
      <c r="D7273" s="56"/>
    </row>
    <row r="7274">
      <c r="A7274" s="66"/>
      <c r="D7274" s="56"/>
    </row>
    <row r="7275">
      <c r="A7275" s="66"/>
      <c r="D7275" s="56"/>
    </row>
    <row r="7276">
      <c r="A7276" s="66"/>
      <c r="D7276" s="56"/>
    </row>
    <row r="7277">
      <c r="A7277" s="66"/>
      <c r="D7277" s="56"/>
    </row>
    <row r="7278">
      <c r="A7278" s="66"/>
      <c r="D7278" s="56"/>
    </row>
    <row r="7279">
      <c r="A7279" s="66"/>
      <c r="D7279" s="56"/>
    </row>
    <row r="7280">
      <c r="A7280" s="66"/>
      <c r="D7280" s="56"/>
    </row>
    <row r="7281">
      <c r="A7281" s="66"/>
      <c r="D7281" s="56"/>
    </row>
    <row r="7282">
      <c r="A7282" s="66"/>
      <c r="D7282" s="56"/>
    </row>
    <row r="7283">
      <c r="A7283" s="66"/>
      <c r="D7283" s="56"/>
    </row>
    <row r="7284">
      <c r="A7284" s="66"/>
      <c r="D7284" s="56"/>
    </row>
    <row r="7285">
      <c r="A7285" s="66"/>
      <c r="D7285" s="56"/>
    </row>
    <row r="7286">
      <c r="A7286" s="66"/>
      <c r="D7286" s="56"/>
    </row>
    <row r="7287">
      <c r="A7287" s="66"/>
      <c r="D7287" s="56"/>
    </row>
    <row r="7288">
      <c r="A7288" s="66"/>
      <c r="D7288" s="56"/>
    </row>
    <row r="7289">
      <c r="A7289" s="66"/>
      <c r="D7289" s="56"/>
    </row>
    <row r="7290">
      <c r="A7290" s="66"/>
      <c r="D7290" s="56"/>
    </row>
    <row r="7291">
      <c r="A7291" s="66"/>
      <c r="D7291" s="56"/>
    </row>
    <row r="7292">
      <c r="A7292" s="66"/>
      <c r="D7292" s="56"/>
    </row>
    <row r="7293">
      <c r="A7293" s="66"/>
      <c r="D7293" s="56"/>
    </row>
    <row r="7294">
      <c r="A7294" s="66"/>
      <c r="D7294" s="56"/>
    </row>
    <row r="7295">
      <c r="A7295" s="66"/>
      <c r="D7295" s="56"/>
    </row>
    <row r="7296">
      <c r="A7296" s="66"/>
      <c r="D7296" s="56"/>
    </row>
    <row r="7297">
      <c r="A7297" s="66"/>
      <c r="D7297" s="56"/>
    </row>
    <row r="7298">
      <c r="A7298" s="66"/>
      <c r="D7298" s="56"/>
    </row>
    <row r="7299">
      <c r="A7299" s="66"/>
      <c r="D7299" s="56"/>
    </row>
    <row r="7300">
      <c r="A7300" s="66"/>
      <c r="D7300" s="56"/>
    </row>
    <row r="7301">
      <c r="A7301" s="66"/>
      <c r="D7301" s="56"/>
    </row>
    <row r="7302">
      <c r="A7302" s="66"/>
      <c r="D7302" s="56"/>
    </row>
    <row r="7303">
      <c r="A7303" s="66"/>
      <c r="D7303" s="56"/>
    </row>
    <row r="7304">
      <c r="A7304" s="66"/>
      <c r="D7304" s="56"/>
    </row>
    <row r="7305">
      <c r="A7305" s="66"/>
      <c r="D7305" s="56"/>
    </row>
    <row r="7306">
      <c r="A7306" s="66"/>
      <c r="D7306" s="56"/>
    </row>
    <row r="7307">
      <c r="A7307" s="66"/>
      <c r="D7307" s="56"/>
    </row>
    <row r="7308">
      <c r="A7308" s="66"/>
      <c r="D7308" s="56"/>
    </row>
    <row r="7309">
      <c r="A7309" s="66"/>
      <c r="D7309" s="56"/>
    </row>
    <row r="7310">
      <c r="A7310" s="66"/>
      <c r="D7310" s="56"/>
    </row>
    <row r="7311">
      <c r="A7311" s="66"/>
      <c r="D7311" s="56"/>
    </row>
    <row r="7312">
      <c r="A7312" s="66"/>
      <c r="D7312" s="56"/>
    </row>
    <row r="7313">
      <c r="A7313" s="66"/>
      <c r="D7313" s="56"/>
    </row>
    <row r="7314">
      <c r="A7314" s="66"/>
      <c r="D7314" s="56"/>
    </row>
    <row r="7315">
      <c r="A7315" s="66"/>
      <c r="D7315" s="56"/>
    </row>
    <row r="7316">
      <c r="A7316" s="66"/>
      <c r="D7316" s="56"/>
    </row>
    <row r="7317">
      <c r="A7317" s="66"/>
      <c r="D7317" s="56"/>
    </row>
    <row r="7318">
      <c r="A7318" s="66"/>
      <c r="D7318" s="56"/>
    </row>
    <row r="7319">
      <c r="A7319" s="66"/>
      <c r="D7319" s="56"/>
    </row>
    <row r="7320">
      <c r="A7320" s="66"/>
      <c r="D7320" s="56"/>
    </row>
    <row r="7321">
      <c r="A7321" s="66"/>
      <c r="D7321" s="56"/>
    </row>
    <row r="7322">
      <c r="A7322" s="66"/>
      <c r="D7322" s="56"/>
    </row>
    <row r="7323">
      <c r="A7323" s="66"/>
      <c r="D7323" s="56"/>
    </row>
    <row r="7324">
      <c r="A7324" s="66"/>
      <c r="D7324" s="56"/>
    </row>
    <row r="7325">
      <c r="A7325" s="66"/>
      <c r="D7325" s="56"/>
    </row>
    <row r="7326">
      <c r="A7326" s="66"/>
      <c r="D7326" s="56"/>
    </row>
    <row r="7327">
      <c r="A7327" s="66"/>
      <c r="D7327" s="56"/>
    </row>
    <row r="7328">
      <c r="A7328" s="66"/>
      <c r="D7328" s="56"/>
    </row>
    <row r="7329">
      <c r="A7329" s="66"/>
      <c r="D7329" s="56"/>
    </row>
    <row r="7330">
      <c r="A7330" s="66"/>
      <c r="D7330" s="56"/>
    </row>
    <row r="7331">
      <c r="A7331" s="66"/>
      <c r="D7331" s="56"/>
    </row>
    <row r="7332">
      <c r="A7332" s="66"/>
      <c r="D7332" s="56"/>
    </row>
    <row r="7333">
      <c r="A7333" s="66"/>
      <c r="D7333" s="56"/>
    </row>
    <row r="7334">
      <c r="A7334" s="66"/>
      <c r="D7334" s="56"/>
    </row>
    <row r="7335">
      <c r="A7335" s="66"/>
      <c r="D7335" s="56"/>
    </row>
    <row r="7336">
      <c r="A7336" s="66"/>
      <c r="D7336" s="56"/>
    </row>
    <row r="7337">
      <c r="A7337" s="66"/>
      <c r="D7337" s="56"/>
    </row>
    <row r="7338">
      <c r="A7338" s="66"/>
      <c r="D7338" s="56"/>
    </row>
    <row r="7339">
      <c r="A7339" s="66"/>
      <c r="D7339" s="56"/>
    </row>
    <row r="7340">
      <c r="A7340" s="66"/>
      <c r="D7340" s="56"/>
    </row>
    <row r="7341">
      <c r="A7341" s="66"/>
      <c r="D7341" s="56"/>
    </row>
    <row r="7342">
      <c r="A7342" s="66"/>
      <c r="D7342" s="56"/>
    </row>
    <row r="7343">
      <c r="A7343" s="66"/>
      <c r="D7343" s="56"/>
    </row>
    <row r="7344">
      <c r="A7344" s="66"/>
      <c r="D7344" s="56"/>
    </row>
    <row r="7345">
      <c r="A7345" s="66"/>
      <c r="D7345" s="56"/>
    </row>
    <row r="7346">
      <c r="A7346" s="66"/>
      <c r="D7346" s="56"/>
    </row>
    <row r="7347">
      <c r="A7347" s="66"/>
      <c r="D7347" s="56"/>
    </row>
    <row r="7348">
      <c r="A7348" s="66"/>
      <c r="D7348" s="56"/>
    </row>
    <row r="7349">
      <c r="A7349" s="66"/>
      <c r="D7349" s="56"/>
    </row>
    <row r="7350">
      <c r="A7350" s="66"/>
      <c r="D7350" s="56"/>
    </row>
    <row r="7351">
      <c r="A7351" s="66"/>
      <c r="D7351" s="56"/>
    </row>
    <row r="7352">
      <c r="A7352" s="66"/>
      <c r="D7352" s="56"/>
    </row>
    <row r="7353">
      <c r="A7353" s="66"/>
      <c r="D7353" s="56"/>
    </row>
    <row r="7354">
      <c r="A7354" s="66"/>
      <c r="D7354" s="56"/>
    </row>
    <row r="7355">
      <c r="A7355" s="66"/>
      <c r="D7355" s="56"/>
    </row>
    <row r="7356">
      <c r="A7356" s="66"/>
      <c r="D7356" s="56"/>
    </row>
    <row r="7357">
      <c r="A7357" s="66"/>
      <c r="D7357" s="56"/>
    </row>
    <row r="7358">
      <c r="A7358" s="66"/>
      <c r="D7358" s="56"/>
    </row>
    <row r="7359">
      <c r="A7359" s="66"/>
      <c r="D7359" s="56"/>
    </row>
    <row r="7360">
      <c r="A7360" s="66"/>
      <c r="D7360" s="56"/>
    </row>
    <row r="7361">
      <c r="A7361" s="66"/>
      <c r="D7361" s="56"/>
    </row>
    <row r="7362">
      <c r="A7362" s="66"/>
      <c r="D7362" s="56"/>
    </row>
    <row r="7363">
      <c r="A7363" s="66"/>
      <c r="D7363" s="56"/>
    </row>
    <row r="7364">
      <c r="A7364" s="66"/>
      <c r="D7364" s="56"/>
    </row>
    <row r="7365">
      <c r="A7365" s="66"/>
      <c r="D7365" s="56"/>
    </row>
    <row r="7366">
      <c r="A7366" s="66"/>
      <c r="D7366" s="56"/>
    </row>
    <row r="7367">
      <c r="A7367" s="66"/>
      <c r="D7367" s="56"/>
    </row>
    <row r="7368">
      <c r="A7368" s="66"/>
      <c r="D7368" s="56"/>
    </row>
    <row r="7369">
      <c r="A7369" s="66"/>
      <c r="D7369" s="56"/>
    </row>
    <row r="7370">
      <c r="A7370" s="66"/>
      <c r="D7370" s="56"/>
    </row>
    <row r="7371">
      <c r="A7371" s="66"/>
      <c r="D7371" s="56"/>
    </row>
    <row r="7372">
      <c r="A7372" s="66"/>
      <c r="D7372" s="56"/>
    </row>
    <row r="7373">
      <c r="A7373" s="66"/>
      <c r="D7373" s="56"/>
    </row>
    <row r="7374">
      <c r="A7374" s="66"/>
      <c r="D7374" s="56"/>
    </row>
    <row r="7375">
      <c r="A7375" s="66"/>
      <c r="D7375" s="56"/>
    </row>
    <row r="7376">
      <c r="A7376" s="66"/>
      <c r="D7376" s="56"/>
    </row>
    <row r="7377">
      <c r="A7377" s="66"/>
      <c r="D7377" s="56"/>
    </row>
    <row r="7378">
      <c r="A7378" s="66"/>
      <c r="D7378" s="56"/>
    </row>
    <row r="7379">
      <c r="A7379" s="66"/>
      <c r="D7379" s="56"/>
    </row>
    <row r="7380">
      <c r="A7380" s="66"/>
      <c r="D7380" s="56"/>
    </row>
    <row r="7381">
      <c r="A7381" s="66"/>
      <c r="D7381" s="56"/>
    </row>
    <row r="7382">
      <c r="A7382" s="66"/>
      <c r="D7382" s="56"/>
    </row>
    <row r="7383">
      <c r="A7383" s="66"/>
      <c r="D7383" s="56"/>
    </row>
    <row r="7384">
      <c r="A7384" s="66"/>
      <c r="D7384" s="56"/>
    </row>
    <row r="7385">
      <c r="A7385" s="66"/>
      <c r="D7385" s="56"/>
    </row>
    <row r="7386">
      <c r="A7386" s="66"/>
      <c r="D7386" s="56"/>
    </row>
    <row r="7387">
      <c r="A7387" s="66"/>
      <c r="D7387" s="56"/>
    </row>
    <row r="7388">
      <c r="A7388" s="66"/>
      <c r="D7388" s="56"/>
    </row>
    <row r="7389">
      <c r="A7389" s="66"/>
      <c r="D7389" s="56"/>
    </row>
    <row r="7390">
      <c r="A7390" s="66"/>
      <c r="D7390" s="56"/>
    </row>
    <row r="7391">
      <c r="A7391" s="66"/>
      <c r="D7391" s="56"/>
    </row>
    <row r="7392">
      <c r="A7392" s="66"/>
      <c r="D7392" s="56"/>
    </row>
    <row r="7393">
      <c r="A7393" s="66"/>
      <c r="D7393" s="56"/>
    </row>
    <row r="7394">
      <c r="A7394" s="66"/>
      <c r="D7394" s="56"/>
    </row>
    <row r="7395">
      <c r="A7395" s="66"/>
      <c r="D7395" s="56"/>
    </row>
    <row r="7396">
      <c r="A7396" s="66"/>
      <c r="D7396" s="56"/>
    </row>
    <row r="7397">
      <c r="A7397" s="66"/>
      <c r="D7397" s="56"/>
    </row>
    <row r="7398">
      <c r="A7398" s="66"/>
      <c r="D7398" s="56"/>
    </row>
    <row r="7399">
      <c r="A7399" s="66"/>
      <c r="D7399" s="56"/>
    </row>
    <row r="7400">
      <c r="A7400" s="66"/>
      <c r="D7400" s="56"/>
    </row>
    <row r="7401">
      <c r="A7401" s="66"/>
      <c r="D7401" s="56"/>
    </row>
    <row r="7402">
      <c r="A7402" s="66"/>
      <c r="D7402" s="56"/>
    </row>
    <row r="7403">
      <c r="A7403" s="66"/>
      <c r="D7403" s="56"/>
    </row>
    <row r="7404">
      <c r="A7404" s="66"/>
      <c r="D7404" s="56"/>
    </row>
    <row r="7405">
      <c r="A7405" s="66"/>
      <c r="D7405" s="56"/>
    </row>
    <row r="7406">
      <c r="A7406" s="66"/>
      <c r="D7406" s="56"/>
    </row>
    <row r="7407">
      <c r="A7407" s="66"/>
      <c r="D7407" s="56"/>
    </row>
    <row r="7408">
      <c r="A7408" s="66"/>
      <c r="D7408" s="56"/>
    </row>
    <row r="7409">
      <c r="A7409" s="66"/>
      <c r="D7409" s="56"/>
    </row>
    <row r="7410">
      <c r="A7410" s="66"/>
      <c r="D7410" s="56"/>
    </row>
    <row r="7411">
      <c r="A7411" s="66"/>
      <c r="D7411" s="56"/>
    </row>
    <row r="7412">
      <c r="A7412" s="66"/>
      <c r="D7412" s="56"/>
    </row>
    <row r="7413">
      <c r="A7413" s="66"/>
      <c r="D7413" s="56"/>
    </row>
    <row r="7414">
      <c r="A7414" s="66"/>
      <c r="D7414" s="56"/>
    </row>
    <row r="7415">
      <c r="A7415" s="66"/>
      <c r="D7415" s="56"/>
    </row>
    <row r="7416">
      <c r="A7416" s="66"/>
      <c r="D7416" s="56"/>
    </row>
    <row r="7417">
      <c r="A7417" s="66"/>
      <c r="D7417" s="56"/>
    </row>
    <row r="7418">
      <c r="A7418" s="66"/>
      <c r="D7418" s="56"/>
    </row>
    <row r="7419">
      <c r="A7419" s="66"/>
      <c r="D7419" s="56"/>
    </row>
    <row r="7420">
      <c r="A7420" s="66"/>
      <c r="D7420" s="56"/>
    </row>
    <row r="7421">
      <c r="A7421" s="66"/>
      <c r="D7421" s="56"/>
    </row>
    <row r="7422">
      <c r="A7422" s="66"/>
      <c r="D7422" s="56"/>
    </row>
    <row r="7423">
      <c r="A7423" s="66"/>
      <c r="D7423" s="56"/>
    </row>
    <row r="7424">
      <c r="A7424" s="66"/>
      <c r="D7424" s="56"/>
    </row>
    <row r="7425">
      <c r="A7425" s="66"/>
      <c r="D7425" s="56"/>
    </row>
    <row r="7426">
      <c r="A7426" s="66"/>
      <c r="D7426" s="56"/>
    </row>
    <row r="7427">
      <c r="A7427" s="66"/>
      <c r="D7427" s="56"/>
    </row>
    <row r="7428">
      <c r="A7428" s="66"/>
      <c r="D7428" s="56"/>
    </row>
    <row r="7429">
      <c r="A7429" s="66"/>
      <c r="D7429" s="56"/>
    </row>
    <row r="7430">
      <c r="A7430" s="66"/>
      <c r="D7430" s="56"/>
    </row>
    <row r="7431">
      <c r="A7431" s="66"/>
      <c r="D7431" s="56"/>
    </row>
    <row r="7432">
      <c r="A7432" s="66"/>
      <c r="D7432" s="56"/>
    </row>
    <row r="7433">
      <c r="A7433" s="66"/>
      <c r="D7433" s="56"/>
    </row>
    <row r="7434">
      <c r="A7434" s="66"/>
      <c r="D7434" s="56"/>
    </row>
    <row r="7435">
      <c r="A7435" s="66"/>
      <c r="D7435" s="56"/>
    </row>
    <row r="7436">
      <c r="A7436" s="66"/>
      <c r="D7436" s="56"/>
    </row>
    <row r="7437">
      <c r="A7437" s="66"/>
      <c r="D7437" s="56"/>
    </row>
    <row r="7438">
      <c r="A7438" s="66"/>
      <c r="D7438" s="56"/>
    </row>
    <row r="7439">
      <c r="A7439" s="66"/>
      <c r="D7439" s="56"/>
    </row>
    <row r="7440">
      <c r="A7440" s="66"/>
      <c r="D7440" s="56"/>
    </row>
    <row r="7441">
      <c r="A7441" s="66"/>
      <c r="D7441" s="56"/>
    </row>
    <row r="7442">
      <c r="A7442" s="66"/>
      <c r="D7442" s="56"/>
    </row>
    <row r="7443">
      <c r="A7443" s="66"/>
      <c r="D7443" s="56"/>
    </row>
    <row r="7444">
      <c r="A7444" s="66"/>
      <c r="D7444" s="56"/>
    </row>
    <row r="7445">
      <c r="A7445" s="66"/>
      <c r="D7445" s="56"/>
    </row>
    <row r="7446">
      <c r="A7446" s="66"/>
      <c r="D7446" s="56"/>
    </row>
    <row r="7447">
      <c r="A7447" s="66"/>
      <c r="D7447" s="56"/>
    </row>
    <row r="7448">
      <c r="A7448" s="66"/>
      <c r="D7448" s="56"/>
    </row>
    <row r="7449">
      <c r="A7449" s="66"/>
      <c r="D7449" s="56"/>
    </row>
    <row r="7450">
      <c r="A7450" s="66"/>
      <c r="D7450" s="56"/>
    </row>
    <row r="7451">
      <c r="A7451" s="66"/>
      <c r="D7451" s="56"/>
    </row>
    <row r="7452">
      <c r="A7452" s="66"/>
      <c r="D7452" s="56"/>
    </row>
    <row r="7453">
      <c r="A7453" s="66"/>
      <c r="D7453" s="56"/>
    </row>
    <row r="7454">
      <c r="A7454" s="66"/>
      <c r="D7454" s="56"/>
    </row>
    <row r="7455">
      <c r="A7455" s="66"/>
      <c r="D7455" s="56"/>
    </row>
    <row r="7456">
      <c r="A7456" s="66"/>
      <c r="D7456" s="56"/>
    </row>
    <row r="7457">
      <c r="A7457" s="66"/>
      <c r="D7457" s="56"/>
    </row>
    <row r="7458">
      <c r="A7458" s="66"/>
      <c r="D7458" s="56"/>
    </row>
    <row r="7459">
      <c r="A7459" s="66"/>
      <c r="D7459" s="56"/>
    </row>
    <row r="7460">
      <c r="A7460" s="66"/>
      <c r="D7460" s="56"/>
    </row>
    <row r="7461">
      <c r="A7461" s="66"/>
      <c r="D7461" s="56"/>
    </row>
    <row r="7462">
      <c r="A7462" s="66"/>
      <c r="D7462" s="56"/>
    </row>
    <row r="7463">
      <c r="A7463" s="66"/>
      <c r="D7463" s="56"/>
    </row>
    <row r="7464">
      <c r="A7464" s="66"/>
      <c r="D7464" s="56"/>
    </row>
    <row r="7465">
      <c r="A7465" s="66"/>
      <c r="D7465" s="56"/>
    </row>
    <row r="7466">
      <c r="A7466" s="66"/>
      <c r="D7466" s="56"/>
    </row>
    <row r="7467">
      <c r="A7467" s="66"/>
      <c r="D7467" s="56"/>
    </row>
    <row r="7468">
      <c r="A7468" s="66"/>
      <c r="D7468" s="56"/>
    </row>
    <row r="7469">
      <c r="A7469" s="66"/>
      <c r="D7469" s="56"/>
    </row>
    <row r="7470">
      <c r="A7470" s="66"/>
      <c r="D7470" s="56"/>
    </row>
    <row r="7471">
      <c r="A7471" s="66"/>
      <c r="D7471" s="56"/>
    </row>
    <row r="7472">
      <c r="A7472" s="66"/>
      <c r="D7472" s="56"/>
    </row>
    <row r="7473">
      <c r="A7473" s="66"/>
      <c r="D7473" s="56"/>
    </row>
    <row r="7474">
      <c r="A7474" s="66"/>
      <c r="D7474" s="56"/>
    </row>
    <row r="7475">
      <c r="A7475" s="66"/>
      <c r="D7475" s="56"/>
    </row>
    <row r="7476">
      <c r="A7476" s="66"/>
      <c r="D7476" s="56"/>
    </row>
    <row r="7477">
      <c r="A7477" s="66"/>
      <c r="D7477" s="56"/>
    </row>
    <row r="7478">
      <c r="A7478" s="66"/>
      <c r="D7478" s="56"/>
    </row>
    <row r="7479">
      <c r="A7479" s="66"/>
      <c r="D7479" s="56"/>
    </row>
    <row r="7480">
      <c r="A7480" s="66"/>
      <c r="D7480" s="56"/>
    </row>
    <row r="7481">
      <c r="A7481" s="66"/>
      <c r="D7481" s="56"/>
    </row>
    <row r="7482">
      <c r="A7482" s="66"/>
      <c r="D7482" s="56"/>
    </row>
    <row r="7483">
      <c r="A7483" s="66"/>
      <c r="D7483" s="56"/>
    </row>
    <row r="7484">
      <c r="A7484" s="66"/>
      <c r="D7484" s="56"/>
    </row>
    <row r="7485">
      <c r="A7485" s="66"/>
      <c r="D7485" s="56"/>
    </row>
    <row r="7486">
      <c r="A7486" s="66"/>
      <c r="D7486" s="56"/>
    </row>
    <row r="7487">
      <c r="A7487" s="66"/>
      <c r="D7487" s="56"/>
    </row>
    <row r="7488">
      <c r="A7488" s="66"/>
      <c r="D7488" s="56"/>
    </row>
    <row r="7489">
      <c r="A7489" s="66"/>
      <c r="D7489" s="56"/>
    </row>
    <row r="7490">
      <c r="A7490" s="66"/>
      <c r="D7490" s="56"/>
    </row>
    <row r="7491">
      <c r="A7491" s="66"/>
      <c r="D7491" s="56"/>
    </row>
    <row r="7492">
      <c r="A7492" s="66"/>
      <c r="D7492" s="56"/>
    </row>
    <row r="7493">
      <c r="A7493" s="66"/>
      <c r="D7493" s="56"/>
    </row>
    <row r="7494">
      <c r="A7494" s="66"/>
      <c r="D7494" s="56"/>
    </row>
    <row r="7495">
      <c r="A7495" s="66"/>
      <c r="D7495" s="56"/>
    </row>
    <row r="7496">
      <c r="A7496" s="66"/>
      <c r="D7496" s="56"/>
    </row>
    <row r="7497">
      <c r="A7497" s="66"/>
      <c r="D7497" s="56"/>
    </row>
    <row r="7498">
      <c r="A7498" s="66"/>
      <c r="D7498" s="56"/>
    </row>
    <row r="7499">
      <c r="A7499" s="66"/>
      <c r="D7499" s="56"/>
    </row>
    <row r="7500">
      <c r="A7500" s="66"/>
      <c r="D7500" s="56"/>
    </row>
    <row r="7501">
      <c r="A7501" s="66"/>
      <c r="D7501" s="56"/>
    </row>
    <row r="7502">
      <c r="A7502" s="66"/>
      <c r="D7502" s="56"/>
    </row>
    <row r="7503">
      <c r="A7503" s="66"/>
      <c r="D7503" s="56"/>
    </row>
    <row r="7504">
      <c r="A7504" s="66"/>
      <c r="D7504" s="56"/>
    </row>
    <row r="7505">
      <c r="A7505" s="66"/>
      <c r="D7505" s="56"/>
    </row>
    <row r="7506">
      <c r="A7506" s="66"/>
      <c r="D7506" s="56"/>
    </row>
    <row r="7507">
      <c r="A7507" s="66"/>
      <c r="D7507" s="56"/>
    </row>
    <row r="7508">
      <c r="A7508" s="66"/>
      <c r="D7508" s="56"/>
    </row>
    <row r="7509">
      <c r="A7509" s="66"/>
      <c r="D7509" s="56"/>
    </row>
    <row r="7510">
      <c r="A7510" s="66"/>
      <c r="D7510" s="56"/>
    </row>
    <row r="7511">
      <c r="A7511" s="66"/>
      <c r="D7511" s="56"/>
    </row>
    <row r="7512">
      <c r="A7512" s="66"/>
      <c r="D7512" s="56"/>
    </row>
    <row r="7513">
      <c r="A7513" s="66"/>
      <c r="D7513" s="56"/>
    </row>
    <row r="7514">
      <c r="A7514" s="66"/>
      <c r="D7514" s="56"/>
    </row>
    <row r="7515">
      <c r="A7515" s="66"/>
      <c r="D7515" s="56"/>
    </row>
    <row r="7516">
      <c r="A7516" s="66"/>
      <c r="D7516" s="56"/>
    </row>
    <row r="7517">
      <c r="A7517" s="66"/>
      <c r="D7517" s="62"/>
    </row>
    <row r="7518">
      <c r="A7518" s="66"/>
      <c r="D7518" s="56"/>
    </row>
    <row r="7519">
      <c r="A7519" s="66"/>
      <c r="D7519" s="56"/>
    </row>
    <row r="7520">
      <c r="A7520" s="66"/>
      <c r="D7520" s="56"/>
    </row>
    <row r="7521">
      <c r="A7521" s="66"/>
      <c r="D7521" s="56"/>
    </row>
    <row r="7522">
      <c r="A7522" s="66"/>
      <c r="D7522" s="56"/>
    </row>
    <row r="7523">
      <c r="A7523" s="66"/>
      <c r="D7523" s="56"/>
    </row>
    <row r="7524">
      <c r="A7524" s="66"/>
      <c r="D7524" s="56"/>
    </row>
    <row r="7525">
      <c r="A7525" s="66"/>
      <c r="D7525" s="56"/>
    </row>
    <row r="7526">
      <c r="A7526" s="66"/>
      <c r="D7526" s="56"/>
    </row>
    <row r="7527">
      <c r="A7527" s="66"/>
      <c r="D7527" s="56"/>
    </row>
    <row r="7528">
      <c r="A7528" s="66"/>
      <c r="D7528" s="56"/>
    </row>
    <row r="7529">
      <c r="A7529" s="66"/>
      <c r="D7529" s="56"/>
    </row>
    <row r="7530">
      <c r="A7530" s="66"/>
      <c r="D7530" s="56"/>
    </row>
    <row r="7531">
      <c r="A7531" s="66"/>
      <c r="D7531" s="56"/>
    </row>
    <row r="7532">
      <c r="A7532" s="66"/>
      <c r="D7532" s="56"/>
    </row>
    <row r="7533">
      <c r="A7533" s="66"/>
      <c r="D7533" s="56"/>
    </row>
    <row r="7534">
      <c r="A7534" s="66"/>
      <c r="D7534" s="56"/>
    </row>
    <row r="7535">
      <c r="A7535" s="66"/>
      <c r="D7535" s="56"/>
    </row>
    <row r="7536">
      <c r="A7536" s="66"/>
      <c r="D7536" s="56"/>
    </row>
    <row r="7537">
      <c r="A7537" s="66"/>
      <c r="D7537" s="56"/>
    </row>
    <row r="7538">
      <c r="A7538" s="66"/>
      <c r="D7538" s="56"/>
    </row>
    <row r="7539">
      <c r="A7539" s="66"/>
      <c r="D7539" s="56"/>
    </row>
    <row r="7540">
      <c r="A7540" s="66"/>
      <c r="D7540" s="56"/>
    </row>
    <row r="7541">
      <c r="A7541" s="66"/>
      <c r="D7541" s="56"/>
    </row>
    <row r="7542">
      <c r="A7542" s="66"/>
      <c r="D7542" s="56"/>
    </row>
    <row r="7543">
      <c r="A7543" s="66"/>
      <c r="D7543" s="56"/>
    </row>
    <row r="7544">
      <c r="A7544" s="66"/>
      <c r="D7544" s="56"/>
    </row>
    <row r="7545">
      <c r="A7545" s="66"/>
      <c r="D7545" s="56"/>
    </row>
    <row r="7546">
      <c r="A7546" s="66"/>
      <c r="D7546" s="56"/>
    </row>
    <row r="7547">
      <c r="A7547" s="66"/>
      <c r="D7547" s="56"/>
    </row>
    <row r="7548">
      <c r="A7548" s="66"/>
      <c r="D7548" s="56"/>
    </row>
    <row r="7549">
      <c r="A7549" s="66"/>
      <c r="D7549" s="56"/>
    </row>
    <row r="7550">
      <c r="A7550" s="66"/>
      <c r="D7550" s="56"/>
    </row>
    <row r="7551">
      <c r="A7551" s="66"/>
      <c r="D7551" s="56"/>
    </row>
    <row r="7552">
      <c r="A7552" s="66"/>
      <c r="D7552" s="56"/>
    </row>
    <row r="7553">
      <c r="A7553" s="66"/>
      <c r="D7553" s="56"/>
    </row>
    <row r="7554">
      <c r="A7554" s="66"/>
      <c r="D7554" s="56"/>
    </row>
    <row r="7555">
      <c r="A7555" s="66"/>
      <c r="D7555" s="56"/>
    </row>
    <row r="7556">
      <c r="A7556" s="66"/>
      <c r="D7556" s="56"/>
    </row>
    <row r="7557">
      <c r="A7557" s="66"/>
      <c r="D7557" s="56"/>
    </row>
    <row r="7558">
      <c r="A7558" s="66"/>
      <c r="D7558" s="56"/>
    </row>
    <row r="7559">
      <c r="A7559" s="66"/>
      <c r="D7559" s="56"/>
    </row>
    <row r="7560">
      <c r="A7560" s="66"/>
      <c r="D7560" s="56"/>
    </row>
    <row r="7561">
      <c r="A7561" s="66"/>
      <c r="D7561" s="56"/>
    </row>
    <row r="7562">
      <c r="A7562" s="66"/>
      <c r="D7562" s="56"/>
    </row>
    <row r="7563">
      <c r="A7563" s="66"/>
      <c r="D7563" s="56"/>
    </row>
    <row r="7564">
      <c r="A7564" s="66"/>
      <c r="D7564" s="56"/>
    </row>
    <row r="7565">
      <c r="A7565" s="66"/>
      <c r="D7565" s="56"/>
    </row>
    <row r="7566">
      <c r="A7566" s="66"/>
      <c r="D7566" s="56"/>
    </row>
    <row r="7567">
      <c r="A7567" s="66"/>
      <c r="D7567" s="56"/>
    </row>
    <row r="7568">
      <c r="A7568" s="66"/>
      <c r="D7568" s="56"/>
    </row>
    <row r="7569">
      <c r="A7569" s="66"/>
      <c r="D7569" s="56"/>
    </row>
    <row r="7570">
      <c r="A7570" s="66"/>
      <c r="D7570" s="56"/>
    </row>
    <row r="7571">
      <c r="A7571" s="66"/>
      <c r="D7571" s="56"/>
    </row>
    <row r="7572">
      <c r="A7572" s="66"/>
      <c r="D7572" s="56"/>
    </row>
    <row r="7573">
      <c r="A7573" s="66"/>
      <c r="D7573" s="56"/>
    </row>
    <row r="7574">
      <c r="A7574" s="66"/>
      <c r="D7574" s="56"/>
    </row>
    <row r="7575">
      <c r="A7575" s="66"/>
      <c r="D7575" s="56"/>
    </row>
    <row r="7576">
      <c r="A7576" s="66"/>
      <c r="D7576" s="56"/>
    </row>
    <row r="7577">
      <c r="A7577" s="66"/>
      <c r="D7577" s="56"/>
    </row>
    <row r="7578">
      <c r="A7578" s="66"/>
      <c r="D7578" s="56"/>
    </row>
    <row r="7579">
      <c r="A7579" s="66"/>
      <c r="D7579" s="56"/>
    </row>
    <row r="7580">
      <c r="A7580" s="66"/>
      <c r="D7580" s="56"/>
    </row>
    <row r="7581">
      <c r="A7581" s="66"/>
      <c r="D7581" s="56"/>
    </row>
    <row r="7582">
      <c r="A7582" s="66"/>
      <c r="D7582" s="56"/>
    </row>
    <row r="7583">
      <c r="A7583" s="66"/>
      <c r="D7583" s="56"/>
    </row>
    <row r="7584">
      <c r="A7584" s="66"/>
      <c r="D7584" s="56"/>
    </row>
    <row r="7585">
      <c r="A7585" s="66"/>
      <c r="D7585" s="56"/>
    </row>
    <row r="7586">
      <c r="A7586" s="66"/>
      <c r="D7586" s="56"/>
    </row>
    <row r="7587">
      <c r="A7587" s="66"/>
      <c r="D7587" s="56"/>
    </row>
    <row r="7588">
      <c r="A7588" s="66"/>
      <c r="D7588" s="56"/>
    </row>
    <row r="7589">
      <c r="A7589" s="66"/>
      <c r="D7589" s="56"/>
    </row>
    <row r="7590">
      <c r="A7590" s="66"/>
      <c r="D7590" s="56"/>
    </row>
    <row r="7591">
      <c r="A7591" s="66"/>
      <c r="D7591" s="56"/>
    </row>
    <row r="7592">
      <c r="A7592" s="66"/>
      <c r="D7592" s="56"/>
    </row>
    <row r="7593">
      <c r="A7593" s="66"/>
      <c r="D7593" s="56"/>
    </row>
    <row r="7594">
      <c r="A7594" s="66"/>
      <c r="D7594" s="56"/>
    </row>
    <row r="7595">
      <c r="A7595" s="66"/>
      <c r="D7595" s="56"/>
    </row>
    <row r="7596">
      <c r="A7596" s="66"/>
      <c r="D7596" s="56"/>
    </row>
    <row r="7597">
      <c r="A7597" s="66"/>
      <c r="D7597" s="56"/>
    </row>
    <row r="7598">
      <c r="A7598" s="66"/>
      <c r="D7598" s="56"/>
    </row>
    <row r="7599">
      <c r="A7599" s="66"/>
      <c r="D7599" s="56"/>
    </row>
    <row r="7600">
      <c r="A7600" s="66"/>
      <c r="D7600" s="56"/>
    </row>
    <row r="7601">
      <c r="A7601" s="66"/>
      <c r="D7601" s="56"/>
    </row>
    <row r="7602">
      <c r="A7602" s="66"/>
      <c r="D7602" s="56"/>
    </row>
    <row r="7603">
      <c r="A7603" s="66"/>
      <c r="D7603" s="56"/>
    </row>
    <row r="7604">
      <c r="A7604" s="66"/>
      <c r="D7604" s="56"/>
    </row>
    <row r="7605">
      <c r="A7605" s="66"/>
      <c r="D7605" s="56"/>
    </row>
    <row r="7606">
      <c r="A7606" s="66"/>
      <c r="D7606" s="56"/>
    </row>
    <row r="7607">
      <c r="A7607" s="66"/>
      <c r="D7607" s="56"/>
    </row>
    <row r="7608">
      <c r="A7608" s="66"/>
      <c r="D7608" s="56"/>
    </row>
    <row r="7609">
      <c r="A7609" s="66"/>
      <c r="D7609" s="56"/>
    </row>
    <row r="7610">
      <c r="A7610" s="66"/>
      <c r="D7610" s="56"/>
    </row>
    <row r="7611">
      <c r="A7611" s="66"/>
      <c r="D7611" s="56"/>
    </row>
    <row r="7612">
      <c r="A7612" s="66"/>
      <c r="D7612" s="56"/>
    </row>
    <row r="7613">
      <c r="A7613" s="66"/>
      <c r="D7613" s="56"/>
    </row>
    <row r="7614">
      <c r="A7614" s="66"/>
      <c r="D7614" s="56"/>
    </row>
    <row r="7615">
      <c r="A7615" s="66"/>
      <c r="D7615" s="56"/>
    </row>
    <row r="7616">
      <c r="A7616" s="66"/>
      <c r="D7616" s="56"/>
    </row>
    <row r="7617">
      <c r="A7617" s="66"/>
      <c r="D7617" s="56"/>
    </row>
    <row r="7618">
      <c r="A7618" s="66"/>
      <c r="D7618" s="56"/>
    </row>
    <row r="7619">
      <c r="A7619" s="66"/>
      <c r="D7619" s="56"/>
    </row>
    <row r="7620">
      <c r="A7620" s="66"/>
      <c r="D7620" s="56"/>
    </row>
    <row r="7621">
      <c r="A7621" s="66"/>
      <c r="D7621" s="56"/>
    </row>
    <row r="7622">
      <c r="A7622" s="66"/>
      <c r="D7622" s="56"/>
    </row>
    <row r="7623">
      <c r="A7623" s="66"/>
      <c r="D7623" s="56"/>
    </row>
    <row r="7624">
      <c r="A7624" s="66"/>
      <c r="D7624" s="56"/>
    </row>
    <row r="7625">
      <c r="A7625" s="66"/>
      <c r="D7625" s="56"/>
    </row>
    <row r="7626">
      <c r="A7626" s="66"/>
      <c r="D7626" s="56"/>
    </row>
    <row r="7627">
      <c r="A7627" s="66"/>
      <c r="D7627" s="56"/>
    </row>
    <row r="7628">
      <c r="A7628" s="66"/>
      <c r="D7628" s="56"/>
    </row>
    <row r="7629">
      <c r="A7629" s="66"/>
      <c r="D7629" s="56"/>
    </row>
    <row r="7630">
      <c r="A7630" s="66"/>
      <c r="D7630" s="56"/>
    </row>
    <row r="7631">
      <c r="A7631" s="66"/>
      <c r="D7631" s="56"/>
    </row>
    <row r="7632">
      <c r="A7632" s="66"/>
      <c r="D7632" s="56"/>
    </row>
    <row r="7633">
      <c r="A7633" s="66"/>
      <c r="D7633" s="56"/>
    </row>
    <row r="7634">
      <c r="A7634" s="66"/>
      <c r="D7634" s="56"/>
    </row>
    <row r="7635">
      <c r="A7635" s="66"/>
      <c r="D7635" s="56"/>
    </row>
    <row r="7636">
      <c r="A7636" s="66"/>
      <c r="D7636" s="56"/>
    </row>
    <row r="7637">
      <c r="A7637" s="66"/>
      <c r="D7637" s="56"/>
    </row>
    <row r="7638">
      <c r="A7638" s="66"/>
      <c r="D7638" s="56"/>
    </row>
    <row r="7639">
      <c r="A7639" s="66"/>
      <c r="D7639" s="56"/>
    </row>
    <row r="7640">
      <c r="A7640" s="66"/>
      <c r="D7640" s="56"/>
    </row>
    <row r="7641">
      <c r="A7641" s="66"/>
      <c r="D7641" s="56"/>
    </row>
    <row r="7642">
      <c r="A7642" s="66"/>
      <c r="D7642" s="56"/>
    </row>
    <row r="7643">
      <c r="A7643" s="66"/>
      <c r="D7643" s="56"/>
    </row>
    <row r="7644">
      <c r="A7644" s="66"/>
      <c r="D7644" s="56"/>
    </row>
    <row r="7645">
      <c r="A7645" s="66"/>
      <c r="D7645" s="56"/>
    </row>
    <row r="7646">
      <c r="A7646" s="66"/>
      <c r="D7646" s="56"/>
    </row>
    <row r="7647">
      <c r="A7647" s="66"/>
      <c r="D7647" s="56"/>
    </row>
    <row r="7648">
      <c r="A7648" s="66"/>
      <c r="D7648" s="56"/>
    </row>
    <row r="7649">
      <c r="A7649" s="66"/>
      <c r="D7649" s="56"/>
    </row>
    <row r="7650">
      <c r="A7650" s="66"/>
      <c r="D7650" s="56"/>
    </row>
    <row r="7651">
      <c r="A7651" s="66"/>
      <c r="D7651" s="56"/>
    </row>
    <row r="7652">
      <c r="A7652" s="66"/>
      <c r="D7652" s="56"/>
    </row>
    <row r="7653">
      <c r="A7653" s="66"/>
      <c r="D7653" s="56"/>
    </row>
    <row r="7654">
      <c r="A7654" s="66"/>
      <c r="D7654" s="56"/>
    </row>
    <row r="7655">
      <c r="A7655" s="66"/>
      <c r="D7655" s="56"/>
    </row>
    <row r="7656">
      <c r="A7656" s="66"/>
      <c r="D7656" s="56"/>
    </row>
    <row r="7657">
      <c r="A7657" s="66"/>
      <c r="D7657" s="56"/>
    </row>
    <row r="7658">
      <c r="A7658" s="66"/>
      <c r="D7658" s="56"/>
    </row>
    <row r="7659">
      <c r="A7659" s="66"/>
      <c r="D7659" s="56"/>
    </row>
    <row r="7660">
      <c r="A7660" s="66"/>
      <c r="D7660" s="56"/>
    </row>
    <row r="7661">
      <c r="A7661" s="66"/>
      <c r="D7661" s="56"/>
    </row>
    <row r="7662">
      <c r="A7662" s="66"/>
      <c r="D7662" s="56"/>
    </row>
    <row r="7663">
      <c r="A7663" s="66"/>
      <c r="D7663" s="56"/>
    </row>
    <row r="7664">
      <c r="A7664" s="66"/>
      <c r="D7664" s="56"/>
    </row>
    <row r="7665">
      <c r="A7665" s="66"/>
      <c r="D7665" s="56"/>
    </row>
    <row r="7666">
      <c r="A7666" s="66"/>
      <c r="D7666" s="56"/>
    </row>
    <row r="7667">
      <c r="A7667" s="66"/>
      <c r="D7667" s="56"/>
    </row>
    <row r="7668">
      <c r="A7668" s="66"/>
      <c r="D7668" s="56"/>
    </row>
    <row r="7669">
      <c r="A7669" s="66"/>
      <c r="D7669" s="56"/>
    </row>
    <row r="7670">
      <c r="A7670" s="66"/>
      <c r="D7670" s="56"/>
    </row>
    <row r="7671">
      <c r="A7671" s="66"/>
      <c r="D7671" s="56"/>
    </row>
    <row r="7672">
      <c r="A7672" s="66"/>
      <c r="D7672" s="62"/>
    </row>
    <row r="7673">
      <c r="A7673" s="66"/>
      <c r="D7673" s="56"/>
    </row>
    <row r="7674">
      <c r="A7674" s="66"/>
      <c r="D7674" s="56"/>
    </row>
    <row r="7675">
      <c r="A7675" s="66"/>
      <c r="D7675" s="56"/>
    </row>
    <row r="7676">
      <c r="A7676" s="66"/>
      <c r="D7676" s="56"/>
    </row>
    <row r="7677">
      <c r="A7677" s="66"/>
      <c r="D7677" s="56"/>
    </row>
    <row r="7678">
      <c r="A7678" s="64"/>
      <c r="D7678" s="56"/>
    </row>
    <row r="7679">
      <c r="A7679" s="64"/>
      <c r="D7679" s="56"/>
    </row>
    <row r="7680">
      <c r="A7680" s="64"/>
      <c r="D7680" s="56"/>
    </row>
    <row r="7681">
      <c r="A7681" s="64"/>
      <c r="D7681" s="56"/>
    </row>
    <row r="7682">
      <c r="A7682" s="64"/>
      <c r="D7682" s="56"/>
    </row>
    <row r="7683">
      <c r="A7683" s="64"/>
      <c r="D7683" s="56"/>
    </row>
    <row r="7684">
      <c r="A7684" s="64"/>
      <c r="D7684" s="56"/>
    </row>
    <row r="7685">
      <c r="A7685" s="64"/>
      <c r="D7685" s="56"/>
    </row>
    <row r="7686">
      <c r="A7686" s="64"/>
      <c r="D7686" s="56"/>
    </row>
    <row r="7687">
      <c r="A7687" s="64"/>
      <c r="D7687" s="56"/>
    </row>
    <row r="7688">
      <c r="A7688" s="64"/>
      <c r="D7688" s="56"/>
    </row>
    <row r="7689">
      <c r="A7689" s="64"/>
      <c r="D7689" s="56"/>
    </row>
    <row r="7690">
      <c r="A7690" s="64"/>
      <c r="D7690" s="56"/>
    </row>
    <row r="7691">
      <c r="A7691" s="64"/>
      <c r="D7691" s="56"/>
    </row>
    <row r="7692">
      <c r="A7692" s="64"/>
      <c r="D7692" s="56"/>
    </row>
    <row r="7693">
      <c r="A7693" s="64"/>
      <c r="D7693" s="56"/>
    </row>
    <row r="7694">
      <c r="A7694" s="64"/>
      <c r="D7694" s="56"/>
    </row>
    <row r="7695">
      <c r="A7695" s="64"/>
      <c r="D7695" s="56"/>
    </row>
    <row r="7696">
      <c r="A7696" s="64"/>
      <c r="D7696" s="56"/>
    </row>
    <row r="7697">
      <c r="A7697" s="64"/>
      <c r="D7697" s="56"/>
    </row>
    <row r="7698">
      <c r="A7698" s="64"/>
      <c r="D7698" s="56"/>
    </row>
    <row r="7699">
      <c r="A7699" s="64"/>
      <c r="D7699" s="56"/>
    </row>
    <row r="7700">
      <c r="A7700" s="64"/>
      <c r="D7700" s="56"/>
    </row>
    <row r="7701">
      <c r="A7701" s="64"/>
      <c r="D7701" s="56"/>
    </row>
    <row r="7702">
      <c r="A7702" s="64"/>
      <c r="D7702" s="56"/>
    </row>
    <row r="7703">
      <c r="A7703" s="64"/>
      <c r="D7703" s="56"/>
    </row>
    <row r="7704">
      <c r="A7704" s="64"/>
      <c r="D7704" s="56"/>
    </row>
    <row r="7705">
      <c r="A7705" s="64"/>
      <c r="D7705" s="56"/>
    </row>
    <row r="7706">
      <c r="A7706" s="64"/>
      <c r="D7706" s="56"/>
    </row>
    <row r="7707">
      <c r="A7707" s="64"/>
      <c r="D7707" s="56"/>
    </row>
    <row r="7708">
      <c r="A7708" s="64"/>
      <c r="D7708" s="56"/>
    </row>
    <row r="7709">
      <c r="A7709" s="64"/>
      <c r="D7709" s="56"/>
    </row>
    <row r="7710">
      <c r="A7710" s="64"/>
      <c r="D7710" s="56"/>
    </row>
    <row r="7711">
      <c r="A7711" s="64"/>
      <c r="D7711" s="56"/>
    </row>
    <row r="7712">
      <c r="A7712" s="64"/>
      <c r="D7712" s="56"/>
    </row>
    <row r="7713">
      <c r="A7713" s="64"/>
      <c r="D7713" s="56"/>
    </row>
    <row r="7714">
      <c r="A7714" s="64"/>
      <c r="D7714" s="56"/>
    </row>
    <row r="7715">
      <c r="A7715" s="64"/>
      <c r="D7715" s="56"/>
    </row>
    <row r="7716">
      <c r="A7716" s="64"/>
      <c r="D7716" s="56"/>
    </row>
    <row r="7717">
      <c r="A7717" s="64"/>
      <c r="D7717" s="56"/>
    </row>
    <row r="7718">
      <c r="A7718" s="64"/>
      <c r="D7718" s="56"/>
    </row>
    <row r="7719">
      <c r="A7719" s="64"/>
      <c r="D7719" s="56"/>
    </row>
    <row r="7720">
      <c r="A7720" s="64"/>
      <c r="D7720" s="56"/>
    </row>
    <row r="7721">
      <c r="A7721" s="64"/>
      <c r="D7721" s="56"/>
    </row>
    <row r="7722">
      <c r="A7722" s="64"/>
      <c r="D7722" s="56"/>
    </row>
    <row r="7723">
      <c r="A7723" s="64"/>
      <c r="D7723" s="56"/>
    </row>
    <row r="7724">
      <c r="A7724" s="64"/>
      <c r="D7724" s="56"/>
    </row>
    <row r="7725">
      <c r="A7725" s="64"/>
      <c r="D7725" s="56"/>
    </row>
    <row r="7726">
      <c r="A7726" s="64"/>
      <c r="D7726" s="56"/>
    </row>
    <row r="7727">
      <c r="A7727" s="64"/>
      <c r="D7727" s="56"/>
    </row>
    <row r="7728">
      <c r="A7728" s="64"/>
      <c r="D7728" s="56"/>
    </row>
    <row r="7729">
      <c r="A7729" s="64"/>
      <c r="D7729" s="56"/>
    </row>
    <row r="7730">
      <c r="A7730" s="64"/>
      <c r="D7730" s="56"/>
    </row>
    <row r="7731">
      <c r="A7731" s="64"/>
      <c r="D7731" s="56"/>
    </row>
    <row r="7732">
      <c r="A7732" s="64"/>
      <c r="D7732" s="56"/>
    </row>
    <row r="7733">
      <c r="A7733" s="64"/>
      <c r="D7733" s="56"/>
    </row>
    <row r="7734">
      <c r="A7734" s="64"/>
      <c r="D7734" s="56"/>
    </row>
    <row r="7735">
      <c r="A7735" s="64"/>
      <c r="D7735" s="56"/>
    </row>
    <row r="7736">
      <c r="A7736" s="64"/>
      <c r="D7736" s="56"/>
    </row>
    <row r="7737">
      <c r="A7737" s="64"/>
      <c r="D7737" s="56"/>
    </row>
    <row r="7738">
      <c r="A7738" s="64"/>
      <c r="D7738" s="56"/>
    </row>
    <row r="7739">
      <c r="A7739" s="64"/>
      <c r="D7739" s="56"/>
    </row>
    <row r="7740">
      <c r="A7740" s="64"/>
      <c r="D7740" s="56"/>
    </row>
    <row r="7741">
      <c r="A7741" s="64"/>
      <c r="D7741" s="56"/>
    </row>
    <row r="7742">
      <c r="A7742" s="64"/>
      <c r="D7742" s="56"/>
    </row>
    <row r="7743">
      <c r="A7743" s="64"/>
      <c r="D7743" s="56"/>
    </row>
    <row r="7744">
      <c r="A7744" s="64"/>
      <c r="D7744" s="56"/>
    </row>
    <row r="7745">
      <c r="A7745" s="64"/>
      <c r="D7745" s="56"/>
    </row>
    <row r="7746">
      <c r="A7746" s="64"/>
      <c r="D7746" s="56"/>
    </row>
    <row r="7747">
      <c r="A7747" s="64"/>
      <c r="D7747" s="56"/>
    </row>
    <row r="7748">
      <c r="A7748" s="64"/>
      <c r="D7748" s="56"/>
    </row>
    <row r="7749">
      <c r="A7749" s="64"/>
      <c r="D7749" s="56"/>
    </row>
    <row r="7750">
      <c r="A7750" s="64"/>
      <c r="D7750" s="56"/>
    </row>
    <row r="7751">
      <c r="A7751" s="64"/>
      <c r="D7751" s="56"/>
    </row>
    <row r="7752">
      <c r="A7752" s="64"/>
      <c r="D7752" s="56"/>
    </row>
    <row r="7753">
      <c r="A7753" s="64"/>
      <c r="D7753" s="56"/>
    </row>
    <row r="7754">
      <c r="A7754" s="64"/>
      <c r="D7754" s="56"/>
    </row>
    <row r="7755">
      <c r="A7755" s="64"/>
      <c r="D7755" s="56"/>
    </row>
    <row r="7756">
      <c r="A7756" s="64"/>
      <c r="D7756" s="56"/>
    </row>
    <row r="7757">
      <c r="A7757" s="64"/>
      <c r="D7757" s="56"/>
    </row>
    <row r="7758">
      <c r="A7758" s="64"/>
      <c r="D7758" s="56"/>
    </row>
    <row r="7759">
      <c r="A7759" s="64"/>
      <c r="D7759" s="56"/>
    </row>
    <row r="7760">
      <c r="A7760" s="64"/>
      <c r="D7760" s="56"/>
    </row>
    <row r="7761">
      <c r="A7761" s="64"/>
      <c r="D7761" s="56"/>
    </row>
    <row r="7762">
      <c r="A7762" s="64"/>
      <c r="D7762" s="56"/>
    </row>
    <row r="7763">
      <c r="A7763" s="64"/>
      <c r="D7763" s="56"/>
    </row>
    <row r="7764">
      <c r="A7764" s="64"/>
      <c r="D7764" s="56"/>
    </row>
    <row r="7765">
      <c r="A7765" s="64"/>
      <c r="D7765" s="56"/>
    </row>
    <row r="7766">
      <c r="A7766" s="64"/>
      <c r="D7766" s="56"/>
    </row>
    <row r="7767">
      <c r="A7767" s="64"/>
      <c r="D7767" s="56"/>
    </row>
    <row r="7768">
      <c r="A7768" s="64"/>
      <c r="D7768" s="56"/>
    </row>
    <row r="7769">
      <c r="A7769" s="64"/>
      <c r="D7769" s="56"/>
    </row>
    <row r="7770">
      <c r="A7770" s="64"/>
      <c r="D7770" s="56"/>
    </row>
    <row r="7771">
      <c r="A7771" s="64"/>
      <c r="D7771" s="56"/>
    </row>
    <row r="7772">
      <c r="A7772" s="64"/>
      <c r="D7772" s="56"/>
    </row>
    <row r="7773">
      <c r="A7773" s="64"/>
      <c r="D7773" s="56"/>
    </row>
    <row r="7774">
      <c r="A7774" s="64"/>
      <c r="D7774" s="56"/>
    </row>
    <row r="7775">
      <c r="A7775" s="64"/>
      <c r="D7775" s="56"/>
    </row>
    <row r="7776">
      <c r="A7776" s="64"/>
      <c r="D7776" s="56"/>
    </row>
    <row r="7777">
      <c r="A7777" s="64"/>
      <c r="D7777" s="56"/>
    </row>
    <row r="7778">
      <c r="A7778" s="64"/>
      <c r="D7778" s="56"/>
    </row>
    <row r="7779">
      <c r="A7779" s="64"/>
      <c r="D7779" s="56"/>
    </row>
    <row r="7780">
      <c r="A7780" s="64"/>
      <c r="D7780" s="56"/>
    </row>
    <row r="7781">
      <c r="A7781" s="64"/>
      <c r="D7781" s="56"/>
    </row>
    <row r="7782">
      <c r="A7782" s="64"/>
      <c r="D7782" s="56"/>
    </row>
    <row r="7783">
      <c r="A7783" s="64"/>
      <c r="D7783" s="56"/>
    </row>
    <row r="7784">
      <c r="A7784" s="64"/>
      <c r="D7784" s="56"/>
    </row>
    <row r="7785">
      <c r="A7785" s="64"/>
      <c r="D7785" s="56"/>
    </row>
    <row r="7786">
      <c r="A7786" s="64"/>
      <c r="D7786" s="56"/>
    </row>
    <row r="7787">
      <c r="A7787" s="64"/>
      <c r="D7787" s="56"/>
    </row>
    <row r="7788">
      <c r="A7788" s="64"/>
      <c r="D7788" s="56"/>
    </row>
    <row r="7789">
      <c r="A7789" s="64"/>
      <c r="D7789" s="56"/>
    </row>
    <row r="7790">
      <c r="A7790" s="64"/>
      <c r="D7790" s="56"/>
    </row>
    <row r="7791">
      <c r="A7791" s="64"/>
      <c r="D7791" s="56"/>
    </row>
    <row r="7792">
      <c r="A7792" s="64"/>
      <c r="D7792" s="56"/>
    </row>
    <row r="7793">
      <c r="A7793" s="64"/>
      <c r="D7793" s="56"/>
    </row>
    <row r="7794">
      <c r="A7794" s="64"/>
      <c r="D7794" s="56"/>
    </row>
    <row r="7795">
      <c r="A7795" s="64"/>
      <c r="D7795" s="56"/>
    </row>
    <row r="7796">
      <c r="A7796" s="64"/>
      <c r="D7796" s="56"/>
    </row>
    <row r="7797">
      <c r="A7797" s="64"/>
      <c r="D7797" s="56"/>
    </row>
    <row r="7798">
      <c r="A7798" s="64"/>
      <c r="D7798" s="56"/>
    </row>
    <row r="7799">
      <c r="A7799" s="64"/>
      <c r="D7799" s="56"/>
    </row>
    <row r="7800">
      <c r="A7800" s="64"/>
      <c r="D7800" s="56"/>
    </row>
    <row r="7801">
      <c r="A7801" s="64"/>
      <c r="D7801" s="56"/>
    </row>
    <row r="7802">
      <c r="A7802" s="64"/>
      <c r="D7802" s="56"/>
    </row>
    <row r="7803">
      <c r="A7803" s="64"/>
      <c r="D7803" s="56"/>
    </row>
    <row r="7804">
      <c r="A7804" s="64"/>
      <c r="D7804" s="56"/>
    </row>
    <row r="7805">
      <c r="A7805" s="64"/>
      <c r="D7805" s="56"/>
    </row>
    <row r="7806">
      <c r="A7806" s="64"/>
      <c r="D7806" s="56"/>
    </row>
    <row r="7807">
      <c r="A7807" s="64"/>
      <c r="D7807" s="56"/>
    </row>
    <row r="7808">
      <c r="A7808" s="64"/>
      <c r="D7808" s="56"/>
    </row>
    <row r="7809">
      <c r="A7809" s="64"/>
      <c r="D7809" s="56"/>
    </row>
    <row r="7810">
      <c r="A7810" s="64"/>
      <c r="D7810" s="56"/>
    </row>
    <row r="7811">
      <c r="A7811" s="64"/>
      <c r="D7811" s="56"/>
    </row>
    <row r="7812">
      <c r="A7812" s="64"/>
      <c r="D7812" s="56"/>
    </row>
    <row r="7813">
      <c r="A7813" s="64"/>
      <c r="D7813" s="56"/>
    </row>
    <row r="7814">
      <c r="A7814" s="64"/>
      <c r="D7814" s="56"/>
    </row>
    <row r="7815">
      <c r="A7815" s="64"/>
      <c r="D7815" s="56"/>
    </row>
    <row r="7816">
      <c r="A7816" s="64"/>
      <c r="D7816" s="56"/>
    </row>
    <row r="7817">
      <c r="A7817" s="64"/>
      <c r="D7817" s="56"/>
    </row>
    <row r="7818">
      <c r="A7818" s="64"/>
      <c r="D7818" s="56"/>
    </row>
    <row r="7819">
      <c r="A7819" s="64"/>
      <c r="D7819" s="56"/>
    </row>
    <row r="7820">
      <c r="A7820" s="64"/>
      <c r="D7820" s="56"/>
    </row>
    <row r="7821">
      <c r="A7821" s="64"/>
      <c r="D7821" s="56"/>
    </row>
    <row r="7822">
      <c r="A7822" s="64"/>
      <c r="D7822" s="56"/>
    </row>
    <row r="7823">
      <c r="A7823" s="64"/>
      <c r="D7823" s="56"/>
    </row>
    <row r="7824">
      <c r="A7824" s="64"/>
      <c r="D7824" s="56"/>
    </row>
    <row r="7825">
      <c r="A7825" s="64"/>
      <c r="D7825" s="56"/>
    </row>
    <row r="7826">
      <c r="A7826" s="64"/>
      <c r="D7826" s="56"/>
    </row>
    <row r="7827">
      <c r="A7827" s="64"/>
      <c r="D7827" s="56"/>
    </row>
    <row r="7828">
      <c r="A7828" s="64"/>
      <c r="D7828" s="56"/>
    </row>
    <row r="7829">
      <c r="A7829" s="64"/>
      <c r="D7829" s="56"/>
    </row>
    <row r="7830">
      <c r="A7830" s="64"/>
      <c r="D7830" s="56"/>
    </row>
    <row r="7831">
      <c r="A7831" s="64"/>
      <c r="D7831" s="56"/>
    </row>
    <row r="7832">
      <c r="A7832" s="64"/>
      <c r="D7832" s="56"/>
    </row>
    <row r="7833">
      <c r="A7833" s="64"/>
      <c r="D7833" s="56"/>
    </row>
    <row r="7834">
      <c r="A7834" s="64"/>
      <c r="D7834" s="56"/>
    </row>
    <row r="7835">
      <c r="A7835" s="64"/>
      <c r="D7835" s="56"/>
    </row>
    <row r="7836">
      <c r="A7836" s="64"/>
      <c r="D7836" s="56"/>
    </row>
    <row r="7837">
      <c r="A7837" s="64"/>
      <c r="D7837" s="56"/>
    </row>
    <row r="7838">
      <c r="A7838" s="64"/>
      <c r="D7838" s="56"/>
    </row>
    <row r="7839">
      <c r="A7839" s="64"/>
      <c r="D7839" s="56"/>
    </row>
    <row r="7840">
      <c r="A7840" s="64"/>
      <c r="D7840" s="56"/>
    </row>
    <row r="7841">
      <c r="A7841" s="64"/>
      <c r="D7841" s="56"/>
    </row>
    <row r="7842">
      <c r="A7842" s="64"/>
      <c r="D7842" s="56"/>
    </row>
    <row r="7843">
      <c r="A7843" s="64"/>
      <c r="D7843" s="56"/>
    </row>
    <row r="7844">
      <c r="A7844" s="64"/>
      <c r="D7844" s="56"/>
    </row>
    <row r="7845">
      <c r="A7845" s="64"/>
      <c r="D7845" s="56"/>
    </row>
    <row r="7846">
      <c r="A7846" s="64"/>
      <c r="D7846" s="56"/>
    </row>
    <row r="7847">
      <c r="A7847" s="64"/>
      <c r="D7847" s="56"/>
    </row>
    <row r="7848">
      <c r="A7848" s="64"/>
      <c r="D7848" s="56"/>
    </row>
    <row r="7849">
      <c r="A7849" s="64"/>
      <c r="D7849" s="56"/>
    </row>
    <row r="7850">
      <c r="A7850" s="64"/>
      <c r="D7850" s="56"/>
    </row>
    <row r="7851">
      <c r="A7851" s="64"/>
      <c r="D7851" s="56"/>
    </row>
    <row r="7852">
      <c r="A7852" s="64"/>
      <c r="D7852" s="56"/>
    </row>
    <row r="7853">
      <c r="A7853" s="64"/>
      <c r="D7853" s="56"/>
    </row>
    <row r="7854">
      <c r="A7854" s="64"/>
      <c r="D7854" s="56"/>
    </row>
    <row r="7855">
      <c r="A7855" s="64"/>
      <c r="D7855" s="56"/>
    </row>
    <row r="7856">
      <c r="A7856" s="64"/>
      <c r="D7856" s="56"/>
    </row>
    <row r="7857">
      <c r="A7857" s="64"/>
      <c r="D7857" s="56"/>
    </row>
    <row r="7858">
      <c r="A7858" s="64"/>
      <c r="D7858" s="56"/>
    </row>
    <row r="7859">
      <c r="A7859" s="64"/>
      <c r="D7859" s="56"/>
    </row>
    <row r="7860">
      <c r="A7860" s="64"/>
      <c r="D7860" s="56"/>
    </row>
    <row r="7861">
      <c r="A7861" s="64"/>
      <c r="D7861" s="56"/>
    </row>
    <row r="7862">
      <c r="A7862" s="64"/>
      <c r="D7862" s="56"/>
    </row>
    <row r="7863">
      <c r="A7863" s="64"/>
      <c r="D7863" s="56"/>
    </row>
    <row r="7864">
      <c r="A7864" s="64"/>
      <c r="D7864" s="56"/>
    </row>
    <row r="7865">
      <c r="A7865" s="64"/>
      <c r="D7865" s="56"/>
    </row>
    <row r="7866">
      <c r="A7866" s="64"/>
      <c r="D7866" s="56"/>
    </row>
    <row r="7867">
      <c r="A7867" s="64"/>
      <c r="D7867" s="56"/>
    </row>
    <row r="7868">
      <c r="A7868" s="64"/>
      <c r="D7868" s="56"/>
    </row>
    <row r="7869">
      <c r="A7869" s="64"/>
      <c r="D7869" s="56"/>
    </row>
    <row r="7870">
      <c r="A7870" s="64"/>
      <c r="D7870" s="56"/>
    </row>
    <row r="7871">
      <c r="A7871" s="64"/>
      <c r="D7871" s="56"/>
    </row>
    <row r="7872">
      <c r="A7872" s="64"/>
      <c r="D7872" s="56"/>
    </row>
    <row r="7873">
      <c r="A7873" s="64"/>
      <c r="D7873" s="56"/>
    </row>
    <row r="7874">
      <c r="A7874" s="64"/>
      <c r="D7874" s="56"/>
    </row>
    <row r="7875">
      <c r="A7875" s="64"/>
      <c r="D7875" s="56"/>
    </row>
    <row r="7876">
      <c r="A7876" s="64"/>
      <c r="D7876" s="56"/>
    </row>
    <row r="7877">
      <c r="A7877" s="64"/>
      <c r="D7877" s="56"/>
    </row>
    <row r="7878">
      <c r="A7878" s="64"/>
      <c r="D7878" s="56"/>
    </row>
    <row r="7879">
      <c r="A7879" s="64"/>
      <c r="D7879" s="56"/>
    </row>
    <row r="7880">
      <c r="A7880" s="64"/>
      <c r="D7880" s="56"/>
    </row>
    <row r="7881">
      <c r="A7881" s="64"/>
      <c r="D7881" s="56"/>
    </row>
    <row r="7882">
      <c r="A7882" s="64"/>
      <c r="D7882" s="56"/>
    </row>
    <row r="7883">
      <c r="A7883" s="64"/>
      <c r="D7883" s="56"/>
    </row>
    <row r="7884">
      <c r="A7884" s="64"/>
      <c r="D7884" s="56"/>
    </row>
    <row r="7885">
      <c r="A7885" s="64"/>
      <c r="D7885" s="56"/>
    </row>
    <row r="7886">
      <c r="A7886" s="64"/>
      <c r="D7886" s="56"/>
    </row>
    <row r="7887">
      <c r="A7887" s="64"/>
      <c r="D7887" s="56"/>
    </row>
    <row r="7888">
      <c r="A7888" s="64"/>
      <c r="D7888" s="56"/>
    </row>
    <row r="7889">
      <c r="A7889" s="64"/>
      <c r="D7889" s="56"/>
    </row>
    <row r="7890">
      <c r="A7890" s="64"/>
      <c r="D7890" s="56"/>
    </row>
    <row r="7891">
      <c r="A7891" s="64"/>
      <c r="D7891" s="56"/>
    </row>
    <row r="7892">
      <c r="A7892" s="64"/>
      <c r="D7892" s="56"/>
    </row>
    <row r="7893">
      <c r="A7893" s="64"/>
      <c r="D7893" s="56"/>
    </row>
    <row r="7894">
      <c r="A7894" s="64"/>
      <c r="D7894" s="56"/>
    </row>
    <row r="7895">
      <c r="A7895" s="64"/>
      <c r="D7895" s="56"/>
    </row>
    <row r="7896">
      <c r="A7896" s="64"/>
      <c r="D7896" s="56"/>
    </row>
    <row r="7897">
      <c r="A7897" s="64"/>
      <c r="D7897" s="56"/>
    </row>
    <row r="7898">
      <c r="A7898" s="64"/>
      <c r="D7898" s="56"/>
    </row>
    <row r="7899">
      <c r="A7899" s="64"/>
      <c r="D7899" s="56"/>
    </row>
    <row r="7900">
      <c r="A7900" s="64"/>
      <c r="D7900" s="56"/>
    </row>
    <row r="7901">
      <c r="A7901" s="64"/>
      <c r="D7901" s="56"/>
    </row>
    <row r="7902">
      <c r="A7902" s="64"/>
      <c r="D7902" s="56"/>
    </row>
    <row r="7903">
      <c r="A7903" s="64"/>
      <c r="D7903" s="56"/>
    </row>
    <row r="7904">
      <c r="A7904" s="64"/>
      <c r="D7904" s="56"/>
    </row>
    <row r="7905">
      <c r="A7905" s="64"/>
      <c r="D7905" s="56"/>
    </row>
    <row r="7906">
      <c r="A7906" s="64"/>
      <c r="D7906" s="56"/>
    </row>
    <row r="7907">
      <c r="A7907" s="64"/>
      <c r="D7907" s="56"/>
    </row>
    <row r="7908">
      <c r="A7908" s="64"/>
      <c r="D7908" s="56"/>
    </row>
    <row r="7909">
      <c r="A7909" s="64"/>
      <c r="D7909" s="56"/>
    </row>
    <row r="7910">
      <c r="A7910" s="64"/>
      <c r="D7910" s="56"/>
    </row>
    <row r="7911">
      <c r="A7911" s="64"/>
      <c r="D7911" s="56"/>
    </row>
    <row r="7912">
      <c r="A7912" s="64"/>
      <c r="D7912" s="56"/>
    </row>
    <row r="7913">
      <c r="A7913" s="64"/>
      <c r="D7913" s="56"/>
    </row>
    <row r="7914">
      <c r="A7914" s="64"/>
      <c r="D7914" s="56"/>
    </row>
    <row r="7915">
      <c r="A7915" s="64"/>
      <c r="D7915" s="56"/>
    </row>
    <row r="7916">
      <c r="A7916" s="64"/>
      <c r="D7916" s="56"/>
    </row>
    <row r="7917">
      <c r="A7917" s="64"/>
      <c r="D7917" s="56"/>
    </row>
    <row r="7918">
      <c r="A7918" s="64"/>
      <c r="D7918" s="56"/>
    </row>
    <row r="7919">
      <c r="A7919" s="64"/>
      <c r="D7919" s="56"/>
    </row>
    <row r="7920">
      <c r="A7920" s="64"/>
      <c r="D7920" s="56"/>
    </row>
    <row r="7921">
      <c r="A7921" s="64"/>
      <c r="D7921" s="56"/>
    </row>
    <row r="7922">
      <c r="A7922" s="64"/>
      <c r="D7922" s="56"/>
    </row>
    <row r="7923">
      <c r="A7923" s="64"/>
      <c r="D7923" s="56"/>
    </row>
    <row r="7924">
      <c r="A7924" s="64"/>
      <c r="D7924" s="56"/>
    </row>
    <row r="7925">
      <c r="A7925" s="64"/>
      <c r="D7925" s="56"/>
    </row>
    <row r="7926">
      <c r="A7926" s="64"/>
      <c r="D7926" s="56"/>
    </row>
    <row r="7927">
      <c r="A7927" s="64"/>
      <c r="D7927" s="56"/>
    </row>
    <row r="7928">
      <c r="A7928" s="64"/>
      <c r="D7928" s="56"/>
    </row>
    <row r="7929">
      <c r="A7929" s="64"/>
      <c r="D7929" s="56"/>
    </row>
    <row r="7930">
      <c r="A7930" s="64"/>
      <c r="D7930" s="56"/>
    </row>
    <row r="7931">
      <c r="A7931" s="64"/>
      <c r="D7931" s="56"/>
    </row>
    <row r="7932">
      <c r="A7932" s="64"/>
      <c r="D7932" s="56"/>
    </row>
    <row r="7933">
      <c r="A7933" s="64"/>
      <c r="D7933" s="56"/>
    </row>
    <row r="7934">
      <c r="A7934" s="64"/>
      <c r="D7934" s="56"/>
    </row>
    <row r="7935">
      <c r="A7935" s="64"/>
      <c r="D7935" s="56"/>
    </row>
    <row r="7936">
      <c r="A7936" s="64"/>
      <c r="D7936" s="56"/>
    </row>
    <row r="7937">
      <c r="A7937" s="64"/>
      <c r="D7937" s="56"/>
    </row>
    <row r="7938">
      <c r="A7938" s="64"/>
      <c r="D7938" s="56"/>
    </row>
    <row r="7939">
      <c r="A7939" s="64"/>
      <c r="D7939" s="56"/>
    </row>
    <row r="7940">
      <c r="A7940" s="64"/>
      <c r="D7940" s="56"/>
    </row>
    <row r="7941">
      <c r="A7941" s="64"/>
      <c r="D7941" s="56"/>
    </row>
    <row r="7942">
      <c r="A7942" s="64"/>
      <c r="D7942" s="56"/>
    </row>
    <row r="7943">
      <c r="A7943" s="64"/>
      <c r="D7943" s="56"/>
    </row>
    <row r="7944">
      <c r="A7944" s="64"/>
      <c r="D7944" s="56"/>
    </row>
    <row r="7945">
      <c r="A7945" s="64"/>
      <c r="D7945" s="56"/>
    </row>
    <row r="7946">
      <c r="A7946" s="64"/>
      <c r="D7946" s="56"/>
    </row>
    <row r="7947">
      <c r="A7947" s="64"/>
      <c r="D7947" s="56"/>
    </row>
    <row r="7948">
      <c r="A7948" s="64"/>
      <c r="D7948" s="56"/>
    </row>
    <row r="7949">
      <c r="A7949" s="64"/>
      <c r="D7949" s="56"/>
    </row>
    <row r="7950">
      <c r="A7950" s="64"/>
      <c r="D7950" s="56"/>
    </row>
    <row r="7951">
      <c r="A7951" s="64"/>
      <c r="D7951" s="56"/>
    </row>
    <row r="7952">
      <c r="A7952" s="64"/>
      <c r="D7952" s="56"/>
    </row>
    <row r="7953">
      <c r="A7953" s="64"/>
      <c r="D7953" s="56"/>
    </row>
    <row r="7954">
      <c r="A7954" s="64"/>
      <c r="D7954" s="56"/>
    </row>
    <row r="7955">
      <c r="A7955" s="64"/>
      <c r="D7955" s="56"/>
    </row>
    <row r="7956">
      <c r="A7956" s="64"/>
      <c r="D7956" s="56"/>
    </row>
    <row r="7957">
      <c r="A7957" s="64"/>
      <c r="D7957" s="56"/>
    </row>
    <row r="7958">
      <c r="A7958" s="64"/>
      <c r="D7958" s="56"/>
    </row>
    <row r="7959">
      <c r="A7959" s="64"/>
      <c r="D7959" s="56"/>
    </row>
    <row r="7960">
      <c r="A7960" s="64"/>
      <c r="D7960" s="56"/>
    </row>
    <row r="7961">
      <c r="A7961" s="64"/>
      <c r="D7961" s="56"/>
    </row>
    <row r="7962">
      <c r="A7962" s="64"/>
      <c r="D7962" s="56"/>
    </row>
    <row r="7963">
      <c r="A7963" s="64"/>
      <c r="D7963" s="56"/>
    </row>
    <row r="7964">
      <c r="A7964" s="64"/>
      <c r="D7964" s="56"/>
    </row>
    <row r="7965">
      <c r="A7965" s="64"/>
      <c r="D7965" s="56"/>
    </row>
    <row r="7966">
      <c r="A7966" s="64"/>
      <c r="D7966" s="56"/>
    </row>
    <row r="7967">
      <c r="A7967" s="64"/>
      <c r="D7967" s="56"/>
    </row>
    <row r="7968">
      <c r="A7968" s="64"/>
      <c r="D7968" s="56"/>
    </row>
    <row r="7969">
      <c r="A7969" s="64"/>
      <c r="D7969" s="56"/>
    </row>
    <row r="7970">
      <c r="A7970" s="64"/>
      <c r="D7970" s="56"/>
    </row>
    <row r="7971">
      <c r="A7971" s="64"/>
      <c r="D7971" s="56"/>
    </row>
    <row r="7972">
      <c r="A7972" s="64"/>
      <c r="D7972" s="56"/>
    </row>
    <row r="7973">
      <c r="A7973" s="64"/>
      <c r="D7973" s="56"/>
    </row>
    <row r="7974">
      <c r="A7974" s="64"/>
      <c r="D7974" s="56"/>
    </row>
    <row r="7975">
      <c r="A7975" s="64"/>
      <c r="D7975" s="56"/>
    </row>
    <row r="7976">
      <c r="A7976" s="64"/>
      <c r="D7976" s="56"/>
    </row>
    <row r="7977">
      <c r="A7977" s="64"/>
      <c r="D7977" s="56"/>
    </row>
    <row r="7978">
      <c r="A7978" s="64"/>
      <c r="D7978" s="56"/>
    </row>
    <row r="7979">
      <c r="A7979" s="64"/>
      <c r="D7979" s="56"/>
    </row>
    <row r="7980">
      <c r="A7980" s="64"/>
      <c r="D7980" s="56"/>
    </row>
    <row r="7981">
      <c r="A7981" s="64"/>
      <c r="D7981" s="56"/>
    </row>
    <row r="7982">
      <c r="A7982" s="64"/>
      <c r="D7982" s="56"/>
    </row>
    <row r="7983">
      <c r="A7983" s="64"/>
      <c r="D7983" s="56"/>
    </row>
    <row r="7984">
      <c r="A7984" s="64"/>
      <c r="D7984" s="56"/>
    </row>
    <row r="7985">
      <c r="A7985" s="64"/>
      <c r="D7985" s="56"/>
    </row>
    <row r="7986">
      <c r="A7986" s="64"/>
      <c r="D7986" s="56"/>
    </row>
    <row r="7987">
      <c r="A7987" s="64"/>
      <c r="D7987" s="56"/>
    </row>
    <row r="7988">
      <c r="A7988" s="64"/>
      <c r="D7988" s="56"/>
    </row>
    <row r="7989">
      <c r="A7989" s="64"/>
      <c r="D7989" s="56"/>
    </row>
    <row r="7990">
      <c r="A7990" s="64"/>
      <c r="D7990" s="56"/>
    </row>
    <row r="7991">
      <c r="A7991" s="64"/>
      <c r="D7991" s="56"/>
    </row>
    <row r="7992">
      <c r="A7992" s="64"/>
      <c r="D7992" s="56"/>
    </row>
    <row r="7993">
      <c r="A7993" s="64"/>
      <c r="D7993" s="56"/>
    </row>
    <row r="7994">
      <c r="A7994" s="64"/>
      <c r="D7994" s="56"/>
    </row>
    <row r="7995">
      <c r="A7995" s="64"/>
      <c r="D7995" s="56"/>
    </row>
    <row r="7996">
      <c r="A7996" s="64"/>
      <c r="D7996" s="56"/>
    </row>
    <row r="7997">
      <c r="A7997" s="64"/>
      <c r="D7997" s="56"/>
    </row>
    <row r="7998">
      <c r="A7998" s="64"/>
      <c r="D7998" s="56"/>
    </row>
    <row r="7999">
      <c r="A7999" s="64"/>
      <c r="D7999" s="56"/>
    </row>
    <row r="8000">
      <c r="A8000" s="64"/>
      <c r="D8000" s="56"/>
    </row>
    <row r="8001">
      <c r="A8001" s="64"/>
      <c r="D8001" s="56"/>
    </row>
    <row r="8002">
      <c r="A8002" s="64"/>
      <c r="D8002" s="56"/>
    </row>
    <row r="8003">
      <c r="A8003" s="64"/>
      <c r="D8003" s="56"/>
    </row>
    <row r="8004">
      <c r="A8004" s="64"/>
      <c r="D8004" s="56"/>
    </row>
    <row r="8005">
      <c r="A8005" s="64"/>
      <c r="D8005" s="56"/>
    </row>
    <row r="8006">
      <c r="A8006" s="64"/>
      <c r="D8006" s="56"/>
    </row>
    <row r="8007">
      <c r="A8007" s="64"/>
      <c r="D8007" s="56"/>
    </row>
    <row r="8008">
      <c r="A8008" s="64"/>
      <c r="D8008" s="56"/>
    </row>
    <row r="8009">
      <c r="A8009" s="64"/>
      <c r="D8009" s="56"/>
    </row>
    <row r="8010">
      <c r="A8010" s="64"/>
      <c r="D8010" s="56"/>
    </row>
    <row r="8011">
      <c r="A8011" s="64"/>
      <c r="D8011" s="56"/>
    </row>
    <row r="8012">
      <c r="A8012" s="64"/>
      <c r="D8012" s="56"/>
    </row>
    <row r="8013">
      <c r="A8013" s="64"/>
      <c r="D8013" s="56"/>
    </row>
    <row r="8014">
      <c r="A8014" s="64"/>
      <c r="D8014" s="56"/>
    </row>
    <row r="8015">
      <c r="A8015" s="64"/>
      <c r="D8015" s="56"/>
    </row>
    <row r="8016">
      <c r="A8016" s="64"/>
      <c r="D8016" s="56"/>
    </row>
    <row r="8017">
      <c r="A8017" s="64"/>
      <c r="D8017" s="56"/>
    </row>
    <row r="8018">
      <c r="A8018" s="64"/>
      <c r="D8018" s="56"/>
    </row>
    <row r="8019">
      <c r="A8019" s="64"/>
      <c r="D8019" s="56"/>
    </row>
    <row r="8020">
      <c r="A8020" s="64"/>
      <c r="D8020" s="56"/>
    </row>
    <row r="8021">
      <c r="A8021" s="64"/>
      <c r="D8021" s="56"/>
    </row>
    <row r="8022">
      <c r="A8022" s="64"/>
      <c r="D8022" s="56"/>
    </row>
    <row r="8023">
      <c r="A8023" s="64"/>
      <c r="D8023" s="56"/>
    </row>
    <row r="8024">
      <c r="A8024" s="64"/>
      <c r="D8024" s="56"/>
    </row>
    <row r="8025">
      <c r="A8025" s="64"/>
      <c r="D8025" s="56"/>
    </row>
    <row r="8026">
      <c r="A8026" s="64"/>
      <c r="D8026" s="56"/>
    </row>
    <row r="8027">
      <c r="A8027" s="64"/>
      <c r="D8027" s="56"/>
    </row>
    <row r="8028">
      <c r="A8028" s="64"/>
      <c r="D8028" s="56"/>
    </row>
    <row r="8029">
      <c r="A8029" s="64"/>
      <c r="D8029" s="56"/>
    </row>
    <row r="8030">
      <c r="A8030" s="64"/>
      <c r="D8030" s="56"/>
    </row>
    <row r="8031">
      <c r="A8031" s="64"/>
      <c r="D8031" s="56"/>
    </row>
    <row r="8032">
      <c r="A8032" s="64"/>
      <c r="D8032" s="56"/>
    </row>
    <row r="8033">
      <c r="A8033" s="64"/>
      <c r="D8033" s="56"/>
    </row>
    <row r="8034">
      <c r="A8034" s="64"/>
      <c r="D8034" s="56"/>
    </row>
    <row r="8035">
      <c r="A8035" s="64"/>
      <c r="D8035" s="56"/>
    </row>
    <row r="8036">
      <c r="A8036" s="64"/>
      <c r="D8036" s="56"/>
    </row>
    <row r="8037">
      <c r="A8037" s="64"/>
      <c r="D8037" s="56"/>
    </row>
    <row r="8038">
      <c r="A8038" s="64"/>
      <c r="D8038" s="56"/>
    </row>
    <row r="8039">
      <c r="A8039" s="64"/>
      <c r="D8039" s="56"/>
    </row>
    <row r="8040">
      <c r="A8040" s="64"/>
      <c r="D8040" s="56"/>
    </row>
    <row r="8041">
      <c r="A8041" s="64"/>
      <c r="D8041" s="56"/>
    </row>
    <row r="8042">
      <c r="A8042" s="64"/>
      <c r="D8042" s="56"/>
    </row>
    <row r="8043">
      <c r="A8043" s="64"/>
      <c r="D8043" s="56"/>
    </row>
    <row r="8044">
      <c r="A8044" s="64"/>
      <c r="D8044" s="56"/>
    </row>
    <row r="8045">
      <c r="A8045" s="64"/>
      <c r="D8045" s="56"/>
    </row>
    <row r="8046">
      <c r="A8046" s="64"/>
      <c r="D8046" s="56"/>
    </row>
    <row r="8047">
      <c r="A8047" s="64"/>
      <c r="D8047" s="56"/>
    </row>
    <row r="8048">
      <c r="A8048" s="64"/>
      <c r="D8048" s="56"/>
    </row>
    <row r="8049">
      <c r="A8049" s="64"/>
      <c r="D8049" s="56"/>
    </row>
    <row r="8050">
      <c r="A8050" s="64"/>
      <c r="D8050" s="56"/>
    </row>
    <row r="8051">
      <c r="A8051" s="64"/>
      <c r="D8051" s="56"/>
    </row>
    <row r="8052">
      <c r="A8052" s="64"/>
      <c r="D8052" s="56"/>
    </row>
    <row r="8053">
      <c r="A8053" s="64"/>
      <c r="D8053" s="56"/>
    </row>
    <row r="8054">
      <c r="A8054" s="64"/>
      <c r="D8054" s="56"/>
    </row>
    <row r="8055">
      <c r="A8055" s="64"/>
      <c r="D8055" s="56"/>
    </row>
    <row r="8056">
      <c r="A8056" s="64"/>
      <c r="D8056" s="56"/>
    </row>
    <row r="8057">
      <c r="A8057" s="64"/>
      <c r="D8057" s="56"/>
    </row>
    <row r="8058">
      <c r="A8058" s="64"/>
      <c r="D8058" s="56"/>
    </row>
    <row r="8059">
      <c r="A8059" s="64"/>
      <c r="D8059" s="56"/>
    </row>
    <row r="8060">
      <c r="A8060" s="64"/>
      <c r="D8060" s="56"/>
    </row>
    <row r="8061">
      <c r="A8061" s="64"/>
      <c r="D8061" s="56"/>
    </row>
    <row r="8062">
      <c r="A8062" s="64"/>
      <c r="D8062" s="56"/>
    </row>
    <row r="8063">
      <c r="A8063" s="64"/>
      <c r="D8063" s="56"/>
    </row>
    <row r="8064">
      <c r="A8064" s="64"/>
      <c r="D8064" s="56"/>
    </row>
    <row r="8065">
      <c r="A8065" s="64"/>
      <c r="D8065" s="56"/>
    </row>
    <row r="8066">
      <c r="A8066" s="64"/>
      <c r="D8066" s="56"/>
    </row>
    <row r="8067">
      <c r="A8067" s="64"/>
      <c r="D8067" s="56"/>
    </row>
    <row r="8068">
      <c r="A8068" s="64"/>
      <c r="D8068" s="56"/>
    </row>
    <row r="8069">
      <c r="A8069" s="64"/>
      <c r="D8069" s="56"/>
    </row>
    <row r="8070">
      <c r="A8070" s="64"/>
      <c r="D8070" s="56"/>
    </row>
    <row r="8071">
      <c r="A8071" s="64"/>
      <c r="D8071" s="56"/>
    </row>
    <row r="8072">
      <c r="A8072" s="64"/>
      <c r="D8072" s="56"/>
    </row>
    <row r="8073">
      <c r="A8073" s="64"/>
      <c r="D8073" s="56"/>
    </row>
    <row r="8074">
      <c r="A8074" s="64"/>
      <c r="D8074" s="56"/>
    </row>
    <row r="8075">
      <c r="A8075" s="64"/>
      <c r="D8075" s="56"/>
    </row>
    <row r="8076">
      <c r="A8076" s="64"/>
      <c r="D8076" s="56"/>
    </row>
    <row r="8077">
      <c r="A8077" s="64"/>
      <c r="D8077" s="56"/>
    </row>
    <row r="8078">
      <c r="A8078" s="64"/>
      <c r="D8078" s="56"/>
    </row>
    <row r="8079">
      <c r="A8079" s="64"/>
      <c r="D8079" s="56"/>
    </row>
    <row r="8080">
      <c r="A8080" s="64"/>
      <c r="D8080" s="56"/>
    </row>
    <row r="8081">
      <c r="A8081" s="64"/>
      <c r="D8081" s="56"/>
    </row>
    <row r="8082">
      <c r="A8082" s="64"/>
      <c r="D8082" s="56"/>
    </row>
    <row r="8083">
      <c r="A8083" s="64"/>
      <c r="D8083" s="56"/>
    </row>
    <row r="8084">
      <c r="A8084" s="64"/>
      <c r="D8084" s="56"/>
    </row>
    <row r="8085">
      <c r="A8085" s="64"/>
      <c r="D8085" s="56"/>
    </row>
    <row r="8086">
      <c r="A8086" s="64"/>
      <c r="D8086" s="56"/>
    </row>
    <row r="8087">
      <c r="A8087" s="64"/>
      <c r="D8087" s="56"/>
    </row>
    <row r="8088">
      <c r="A8088" s="64"/>
      <c r="D8088" s="56"/>
    </row>
    <row r="8089">
      <c r="A8089" s="64"/>
      <c r="D8089" s="56"/>
    </row>
    <row r="8090">
      <c r="A8090" s="64"/>
      <c r="D8090" s="56"/>
    </row>
    <row r="8091">
      <c r="A8091" s="64"/>
      <c r="D8091" s="56"/>
    </row>
    <row r="8092">
      <c r="A8092" s="64"/>
      <c r="D8092" s="56"/>
    </row>
    <row r="8093">
      <c r="A8093" s="64"/>
      <c r="D8093" s="56"/>
    </row>
    <row r="8094">
      <c r="A8094" s="64"/>
      <c r="D8094" s="62"/>
    </row>
    <row r="8095">
      <c r="A8095" s="64"/>
      <c r="D8095" s="56"/>
    </row>
    <row r="8096">
      <c r="A8096" s="64"/>
      <c r="D8096" s="56"/>
    </row>
    <row r="8097">
      <c r="A8097" s="64"/>
      <c r="D8097" s="56"/>
    </row>
    <row r="8098">
      <c r="A8098" s="64"/>
      <c r="D8098" s="56"/>
    </row>
    <row r="8099">
      <c r="A8099" s="64"/>
      <c r="D8099" s="56"/>
    </row>
    <row r="8100">
      <c r="A8100" s="64"/>
      <c r="D8100" s="56"/>
    </row>
    <row r="8101">
      <c r="A8101" s="64"/>
      <c r="D8101" s="56"/>
    </row>
    <row r="8102">
      <c r="A8102" s="64"/>
      <c r="D8102" s="56"/>
    </row>
    <row r="8103">
      <c r="A8103" s="64"/>
      <c r="D8103" s="56"/>
    </row>
    <row r="8104">
      <c r="A8104" s="64"/>
      <c r="D8104" s="56"/>
    </row>
    <row r="8105">
      <c r="A8105" s="64"/>
      <c r="D8105" s="56"/>
    </row>
    <row r="8106">
      <c r="A8106" s="64"/>
      <c r="D8106" s="56"/>
    </row>
    <row r="8107">
      <c r="A8107" s="64"/>
      <c r="D8107" s="56"/>
    </row>
    <row r="8108">
      <c r="A8108" s="64"/>
      <c r="D8108" s="56"/>
    </row>
    <row r="8109">
      <c r="A8109" s="64"/>
      <c r="D8109" s="56"/>
    </row>
    <row r="8110">
      <c r="A8110" s="64"/>
      <c r="D8110" s="56"/>
    </row>
    <row r="8111">
      <c r="A8111" s="64"/>
      <c r="D8111" s="56"/>
    </row>
    <row r="8112">
      <c r="A8112" s="64"/>
      <c r="D8112" s="56"/>
    </row>
    <row r="8113">
      <c r="A8113" s="64"/>
      <c r="D8113" s="56"/>
    </row>
    <row r="8114">
      <c r="A8114" s="64"/>
      <c r="D8114" s="56"/>
    </row>
    <row r="8115">
      <c r="A8115" s="64"/>
      <c r="D8115" s="56"/>
    </row>
    <row r="8116">
      <c r="A8116" s="64"/>
      <c r="D8116" s="56"/>
    </row>
    <row r="8117">
      <c r="A8117" s="64"/>
      <c r="D8117" s="56"/>
    </row>
    <row r="8118">
      <c r="A8118" s="64"/>
      <c r="D8118" s="56"/>
    </row>
    <row r="8119">
      <c r="A8119" s="64"/>
      <c r="D8119" s="56"/>
    </row>
    <row r="8120">
      <c r="A8120" s="64"/>
      <c r="D8120" s="56"/>
    </row>
    <row r="8121">
      <c r="A8121" s="64"/>
      <c r="D8121" s="56"/>
    </row>
    <row r="8122">
      <c r="A8122" s="64"/>
      <c r="D8122" s="56"/>
    </row>
    <row r="8123">
      <c r="A8123" s="64"/>
      <c r="D8123" s="56"/>
    </row>
    <row r="8124">
      <c r="A8124" s="64"/>
      <c r="D8124" s="56"/>
    </row>
    <row r="8125">
      <c r="A8125" s="64"/>
      <c r="D8125" s="56"/>
    </row>
    <row r="8126">
      <c r="A8126" s="64"/>
      <c r="D8126" s="56"/>
    </row>
    <row r="8127">
      <c r="A8127" s="64"/>
      <c r="D8127" s="56"/>
    </row>
    <row r="8128">
      <c r="A8128" s="64"/>
      <c r="D8128" s="56"/>
    </row>
    <row r="8129">
      <c r="A8129" s="64"/>
      <c r="D8129" s="56"/>
    </row>
    <row r="8130">
      <c r="A8130" s="64"/>
      <c r="D8130" s="56"/>
    </row>
    <row r="8131">
      <c r="A8131" s="64"/>
      <c r="D8131" s="56"/>
    </row>
    <row r="8132">
      <c r="A8132" s="64"/>
      <c r="D8132" s="56"/>
    </row>
    <row r="8133">
      <c r="A8133" s="64"/>
      <c r="D8133" s="56"/>
    </row>
    <row r="8134">
      <c r="A8134" s="64"/>
      <c r="D8134" s="56"/>
    </row>
    <row r="8135">
      <c r="A8135" s="64"/>
      <c r="D8135" s="56"/>
    </row>
    <row r="8136">
      <c r="A8136" s="64"/>
      <c r="D8136" s="56"/>
    </row>
    <row r="8137">
      <c r="A8137" s="64"/>
      <c r="D8137" s="56"/>
    </row>
    <row r="8138">
      <c r="A8138" s="64"/>
      <c r="D8138" s="56"/>
    </row>
    <row r="8139">
      <c r="A8139" s="64"/>
      <c r="D8139" s="56"/>
    </row>
    <row r="8140">
      <c r="A8140" s="64"/>
      <c r="D8140" s="56"/>
    </row>
    <row r="8141">
      <c r="A8141" s="64"/>
      <c r="D8141" s="56"/>
    </row>
    <row r="8142">
      <c r="A8142" s="64"/>
      <c r="D8142" s="56"/>
    </row>
    <row r="8143">
      <c r="A8143" s="64"/>
      <c r="D8143" s="56"/>
    </row>
    <row r="8144">
      <c r="A8144" s="64"/>
      <c r="D8144" s="56"/>
    </row>
    <row r="8145">
      <c r="A8145" s="64"/>
      <c r="D8145" s="56"/>
    </row>
    <row r="8146">
      <c r="A8146" s="64"/>
      <c r="D8146" s="56"/>
    </row>
    <row r="8147">
      <c r="A8147" s="64"/>
      <c r="D8147" s="56"/>
    </row>
    <row r="8148">
      <c r="A8148" s="64"/>
      <c r="D8148" s="56"/>
    </row>
    <row r="8149">
      <c r="A8149" s="64"/>
      <c r="D8149" s="56"/>
    </row>
    <row r="8150">
      <c r="A8150" s="64"/>
      <c r="D8150" s="56"/>
    </row>
    <row r="8151">
      <c r="A8151" s="64"/>
      <c r="D8151" s="56"/>
    </row>
    <row r="8152">
      <c r="A8152" s="64"/>
      <c r="D8152" s="56"/>
    </row>
    <row r="8153">
      <c r="A8153" s="64"/>
      <c r="D8153" s="56"/>
    </row>
    <row r="8154">
      <c r="A8154" s="64"/>
      <c r="D8154" s="56"/>
    </row>
    <row r="8155">
      <c r="A8155" s="64"/>
      <c r="D8155" s="56"/>
    </row>
    <row r="8156">
      <c r="A8156" s="64"/>
      <c r="D8156" s="56"/>
    </row>
    <row r="8157">
      <c r="A8157" s="64"/>
      <c r="D8157" s="56"/>
    </row>
    <row r="8158">
      <c r="A8158" s="64"/>
      <c r="D8158" s="56"/>
    </row>
    <row r="8159">
      <c r="A8159" s="64"/>
      <c r="D8159" s="56"/>
    </row>
    <row r="8160">
      <c r="A8160" s="64"/>
      <c r="D8160" s="56"/>
    </row>
    <row r="8161">
      <c r="A8161" s="64"/>
      <c r="D8161" s="56"/>
    </row>
    <row r="8162">
      <c r="A8162" s="64"/>
      <c r="D8162" s="56"/>
    </row>
    <row r="8163">
      <c r="A8163" s="64"/>
      <c r="D8163" s="56"/>
    </row>
    <row r="8164">
      <c r="A8164" s="64"/>
      <c r="D8164" s="56"/>
    </row>
    <row r="8165">
      <c r="A8165" s="64"/>
      <c r="D8165" s="56"/>
    </row>
    <row r="8166">
      <c r="A8166" s="64"/>
      <c r="D8166" s="56"/>
    </row>
    <row r="8167">
      <c r="A8167" s="64"/>
      <c r="D8167" s="56"/>
    </row>
    <row r="8168">
      <c r="A8168" s="64"/>
      <c r="D8168" s="56"/>
    </row>
    <row r="8169">
      <c r="A8169" s="64"/>
      <c r="D8169" s="56"/>
    </row>
    <row r="8170">
      <c r="A8170" s="64"/>
      <c r="D8170" s="56"/>
    </row>
    <row r="8171">
      <c r="A8171" s="64"/>
      <c r="D8171" s="56"/>
    </row>
    <row r="8172">
      <c r="A8172" s="64"/>
      <c r="D8172" s="56"/>
    </row>
    <row r="8173">
      <c r="A8173" s="64"/>
      <c r="D8173" s="56"/>
    </row>
    <row r="8174">
      <c r="A8174" s="64"/>
      <c r="D8174" s="56"/>
    </row>
    <row r="8175">
      <c r="A8175" s="64"/>
      <c r="D8175" s="56"/>
    </row>
    <row r="8176">
      <c r="A8176" s="64"/>
      <c r="D8176" s="56"/>
    </row>
    <row r="8177">
      <c r="A8177" s="64"/>
      <c r="D8177" s="56"/>
    </row>
    <row r="8178">
      <c r="A8178" s="64"/>
      <c r="D8178" s="56"/>
    </row>
    <row r="8179">
      <c r="A8179" s="64"/>
      <c r="D8179" s="56"/>
    </row>
    <row r="8180">
      <c r="A8180" s="64"/>
      <c r="D8180" s="56"/>
    </row>
    <row r="8181">
      <c r="A8181" s="64"/>
      <c r="D8181" s="56"/>
    </row>
    <row r="8182">
      <c r="A8182" s="64"/>
      <c r="D8182" s="56"/>
    </row>
    <row r="8183">
      <c r="A8183" s="64"/>
      <c r="D8183" s="56"/>
    </row>
    <row r="8184">
      <c r="A8184" s="64"/>
      <c r="D8184" s="56"/>
    </row>
    <row r="8185">
      <c r="A8185" s="64"/>
      <c r="D8185" s="56"/>
    </row>
    <row r="8186">
      <c r="A8186" s="64"/>
      <c r="D8186" s="56"/>
    </row>
    <row r="8187">
      <c r="A8187" s="64"/>
      <c r="D8187" s="56"/>
    </row>
    <row r="8188">
      <c r="A8188" s="64"/>
      <c r="D8188" s="56"/>
    </row>
    <row r="8189">
      <c r="A8189" s="64"/>
      <c r="D8189" s="56"/>
    </row>
    <row r="8190">
      <c r="A8190" s="64"/>
      <c r="D8190" s="56"/>
    </row>
    <row r="8191">
      <c r="A8191" s="64"/>
      <c r="D8191" s="56"/>
    </row>
    <row r="8192">
      <c r="A8192" s="64"/>
      <c r="D8192" s="56"/>
    </row>
    <row r="8193">
      <c r="A8193" s="64"/>
      <c r="D8193" s="56"/>
    </row>
    <row r="8194">
      <c r="A8194" s="64"/>
      <c r="D8194" s="56"/>
    </row>
    <row r="8195">
      <c r="A8195" s="64"/>
      <c r="D8195" s="56"/>
    </row>
    <row r="8196">
      <c r="A8196" s="64"/>
      <c r="D8196" s="56"/>
    </row>
    <row r="8197">
      <c r="A8197" s="64"/>
      <c r="D8197" s="56"/>
    </row>
    <row r="8198">
      <c r="A8198" s="64"/>
      <c r="D8198" s="56"/>
    </row>
    <row r="8199">
      <c r="A8199" s="64"/>
      <c r="D8199" s="56"/>
    </row>
    <row r="8200">
      <c r="A8200" s="64"/>
      <c r="D8200" s="56"/>
    </row>
    <row r="8201">
      <c r="A8201" s="64"/>
      <c r="D8201" s="56"/>
    </row>
    <row r="8202">
      <c r="A8202" s="64"/>
      <c r="D8202" s="56"/>
    </row>
    <row r="8203">
      <c r="A8203" s="64"/>
      <c r="D8203" s="56"/>
    </row>
    <row r="8204">
      <c r="A8204" s="64"/>
      <c r="D8204" s="56"/>
    </row>
    <row r="8205">
      <c r="A8205" s="64"/>
      <c r="D8205" s="56"/>
    </row>
    <row r="8206">
      <c r="A8206" s="64"/>
      <c r="D8206" s="56"/>
    </row>
    <row r="8207">
      <c r="A8207" s="64"/>
      <c r="D8207" s="56"/>
    </row>
    <row r="8208">
      <c r="A8208" s="64"/>
      <c r="D8208" s="56"/>
    </row>
    <row r="8209">
      <c r="A8209" s="64"/>
      <c r="D8209" s="56"/>
    </row>
    <row r="8210">
      <c r="A8210" s="64"/>
      <c r="D8210" s="56"/>
    </row>
    <row r="8211">
      <c r="A8211" s="64"/>
      <c r="D8211" s="56"/>
    </row>
    <row r="8212">
      <c r="A8212" s="64"/>
      <c r="D8212" s="56"/>
    </row>
    <row r="8213">
      <c r="A8213" s="64"/>
      <c r="D8213" s="56"/>
    </row>
    <row r="8214">
      <c r="A8214" s="64"/>
      <c r="D8214" s="56"/>
    </row>
    <row r="8215">
      <c r="A8215" s="64"/>
      <c r="D8215" s="56"/>
    </row>
    <row r="8216">
      <c r="A8216" s="64"/>
      <c r="D8216" s="56"/>
    </row>
    <row r="8217">
      <c r="A8217" s="64"/>
      <c r="D8217" s="56"/>
    </row>
    <row r="8218">
      <c r="A8218" s="64"/>
      <c r="D8218" s="56"/>
    </row>
    <row r="8219">
      <c r="A8219" s="64"/>
      <c r="D8219" s="56"/>
    </row>
    <row r="8220">
      <c r="A8220" s="64"/>
      <c r="D8220" s="56"/>
    </row>
    <row r="8221">
      <c r="A8221" s="64"/>
      <c r="D8221" s="56"/>
    </row>
    <row r="8222">
      <c r="A8222" s="64"/>
      <c r="D8222" s="56"/>
    </row>
    <row r="8223">
      <c r="A8223" s="64"/>
      <c r="D8223" s="56"/>
    </row>
    <row r="8224">
      <c r="A8224" s="64"/>
      <c r="D8224" s="56"/>
    </row>
    <row r="8225">
      <c r="A8225" s="64"/>
      <c r="D8225" s="56"/>
    </row>
    <row r="8226">
      <c r="A8226" s="64"/>
      <c r="D8226" s="56"/>
    </row>
    <row r="8227">
      <c r="A8227" s="64"/>
      <c r="D8227" s="56"/>
    </row>
    <row r="8228">
      <c r="A8228" s="64"/>
      <c r="D8228" s="56"/>
    </row>
    <row r="8229">
      <c r="A8229" s="64"/>
      <c r="D8229" s="56"/>
    </row>
    <row r="8230">
      <c r="A8230" s="64"/>
      <c r="D8230" s="56"/>
    </row>
    <row r="8231">
      <c r="A8231" s="64"/>
      <c r="D8231" s="56"/>
    </row>
    <row r="8232">
      <c r="A8232" s="64"/>
      <c r="D8232" s="56"/>
    </row>
    <row r="8233">
      <c r="A8233" s="64"/>
      <c r="D8233" s="56"/>
    </row>
    <row r="8234">
      <c r="A8234" s="64"/>
      <c r="D8234" s="56"/>
    </row>
    <row r="8235">
      <c r="A8235" s="64"/>
      <c r="D8235" s="56"/>
    </row>
    <row r="8236">
      <c r="A8236" s="64"/>
      <c r="D8236" s="56"/>
    </row>
    <row r="8237">
      <c r="A8237" s="64"/>
      <c r="D8237" s="56"/>
    </row>
    <row r="8238">
      <c r="A8238" s="64"/>
      <c r="D8238" s="56"/>
    </row>
    <row r="8239">
      <c r="A8239" s="64"/>
      <c r="D8239" s="56"/>
    </row>
    <row r="8240">
      <c r="A8240" s="64"/>
      <c r="D8240" s="56"/>
    </row>
    <row r="8241">
      <c r="A8241" s="64"/>
      <c r="D8241" s="56"/>
    </row>
    <row r="8242">
      <c r="A8242" s="64"/>
      <c r="D8242" s="56"/>
    </row>
    <row r="8243">
      <c r="A8243" s="64"/>
      <c r="D8243" s="56"/>
    </row>
    <row r="8244">
      <c r="A8244" s="64"/>
      <c r="D8244" s="56"/>
    </row>
    <row r="8245">
      <c r="A8245" s="64"/>
      <c r="D8245" s="56"/>
    </row>
    <row r="8246">
      <c r="A8246" s="64"/>
      <c r="D8246" s="56"/>
    </row>
    <row r="8247">
      <c r="A8247" s="64"/>
      <c r="D8247" s="56"/>
    </row>
    <row r="8248">
      <c r="A8248" s="64"/>
      <c r="D8248" s="56"/>
    </row>
    <row r="8249">
      <c r="A8249" s="64"/>
      <c r="D8249" s="56"/>
    </row>
    <row r="8250">
      <c r="A8250" s="64"/>
      <c r="D8250" s="56"/>
    </row>
    <row r="8251">
      <c r="A8251" s="64"/>
      <c r="D8251" s="56"/>
    </row>
    <row r="8252">
      <c r="A8252" s="64"/>
      <c r="D8252" s="56"/>
    </row>
    <row r="8253">
      <c r="A8253" s="64"/>
      <c r="D8253" s="56"/>
    </row>
    <row r="8254">
      <c r="A8254" s="64"/>
      <c r="D8254" s="56"/>
    </row>
    <row r="8255">
      <c r="A8255" s="64"/>
      <c r="D8255" s="56"/>
    </row>
    <row r="8256">
      <c r="A8256" s="64"/>
      <c r="D8256" s="56"/>
    </row>
    <row r="8257">
      <c r="A8257" s="64"/>
      <c r="D8257" s="56"/>
    </row>
    <row r="8258">
      <c r="A8258" s="64"/>
      <c r="D8258" s="56"/>
    </row>
    <row r="8259">
      <c r="A8259" s="64"/>
      <c r="D8259" s="56"/>
    </row>
    <row r="8260">
      <c r="A8260" s="64"/>
      <c r="D8260" s="56"/>
    </row>
    <row r="8261">
      <c r="A8261" s="64"/>
      <c r="D8261" s="56"/>
    </row>
    <row r="8262">
      <c r="A8262" s="64"/>
      <c r="D8262" s="56"/>
    </row>
    <row r="8263">
      <c r="A8263" s="64"/>
      <c r="D8263" s="56"/>
    </row>
    <row r="8264">
      <c r="A8264" s="64"/>
      <c r="D8264" s="56"/>
    </row>
    <row r="8265">
      <c r="A8265" s="64"/>
      <c r="D8265" s="56"/>
    </row>
    <row r="8266">
      <c r="A8266" s="64"/>
      <c r="D8266" s="56"/>
    </row>
    <row r="8267">
      <c r="A8267" s="64"/>
      <c r="D8267" s="56"/>
    </row>
    <row r="8268">
      <c r="A8268" s="64"/>
      <c r="D8268" s="56"/>
    </row>
    <row r="8269">
      <c r="A8269" s="64"/>
      <c r="D8269" s="56"/>
    </row>
    <row r="8270">
      <c r="A8270" s="64"/>
      <c r="D8270" s="56"/>
    </row>
    <row r="8271">
      <c r="A8271" s="64"/>
      <c r="D8271" s="56"/>
    </row>
    <row r="8272">
      <c r="A8272" s="64"/>
      <c r="D8272" s="56"/>
    </row>
    <row r="8273">
      <c r="A8273" s="64"/>
      <c r="D8273" s="56"/>
    </row>
    <row r="8274">
      <c r="A8274" s="64"/>
      <c r="D8274" s="56"/>
    </row>
    <row r="8275">
      <c r="A8275" s="64"/>
      <c r="D8275" s="56"/>
    </row>
    <row r="8276">
      <c r="A8276" s="64"/>
      <c r="D8276" s="56"/>
    </row>
    <row r="8277">
      <c r="A8277" s="64"/>
      <c r="D8277" s="56"/>
    </row>
    <row r="8278">
      <c r="A8278" s="64"/>
      <c r="D8278" s="56"/>
    </row>
    <row r="8279">
      <c r="A8279" s="64"/>
      <c r="D8279" s="56"/>
    </row>
    <row r="8280">
      <c r="A8280" s="64"/>
      <c r="D8280" s="56"/>
    </row>
    <row r="8281">
      <c r="A8281" s="64"/>
      <c r="D8281" s="56"/>
    </row>
    <row r="8282">
      <c r="A8282" s="64"/>
      <c r="D8282" s="56"/>
    </row>
    <row r="8283">
      <c r="A8283" s="64"/>
      <c r="D8283" s="56"/>
    </row>
    <row r="8284">
      <c r="A8284" s="64"/>
      <c r="D8284" s="56"/>
    </row>
    <row r="8285">
      <c r="A8285" s="64"/>
      <c r="D8285" s="56"/>
    </row>
    <row r="8286">
      <c r="A8286" s="64"/>
      <c r="D8286" s="56"/>
    </row>
    <row r="8287">
      <c r="A8287" s="64"/>
      <c r="D8287" s="56"/>
    </row>
    <row r="8288">
      <c r="A8288" s="64"/>
      <c r="D8288" s="56"/>
    </row>
    <row r="8289">
      <c r="A8289" s="64"/>
      <c r="D8289" s="56"/>
    </row>
    <row r="8290">
      <c r="A8290" s="64"/>
      <c r="D8290" s="56"/>
    </row>
    <row r="8291">
      <c r="A8291" s="64"/>
      <c r="D8291" s="56"/>
    </row>
    <row r="8292">
      <c r="A8292" s="64"/>
      <c r="D8292" s="56"/>
    </row>
    <row r="8293">
      <c r="A8293" s="64"/>
      <c r="D8293" s="56"/>
    </row>
    <row r="8294">
      <c r="A8294" s="64"/>
      <c r="D8294" s="56"/>
    </row>
    <row r="8295">
      <c r="A8295" s="64"/>
      <c r="D8295" s="56"/>
    </row>
    <row r="8296">
      <c r="A8296" s="64"/>
      <c r="D8296" s="56"/>
    </row>
    <row r="8297">
      <c r="A8297" s="64"/>
      <c r="D8297" s="56"/>
    </row>
    <row r="8298">
      <c r="A8298" s="64"/>
      <c r="D8298" s="56"/>
    </row>
    <row r="8299">
      <c r="A8299" s="64"/>
      <c r="D8299" s="56"/>
    </row>
    <row r="8300">
      <c r="A8300" s="64"/>
      <c r="D8300" s="56"/>
    </row>
    <row r="8301">
      <c r="A8301" s="64"/>
      <c r="D8301" s="56"/>
    </row>
    <row r="8302">
      <c r="A8302" s="64"/>
      <c r="D8302" s="56"/>
    </row>
    <row r="8303">
      <c r="A8303" s="64"/>
      <c r="D8303" s="56"/>
    </row>
    <row r="8304">
      <c r="A8304" s="64"/>
      <c r="D8304" s="56"/>
    </row>
    <row r="8305">
      <c r="A8305" s="64"/>
      <c r="D8305" s="56"/>
    </row>
    <row r="8306">
      <c r="A8306" s="64"/>
      <c r="D8306" s="56"/>
    </row>
    <row r="8307">
      <c r="A8307" s="64"/>
      <c r="D8307" s="56"/>
    </row>
    <row r="8308">
      <c r="A8308" s="64"/>
      <c r="D8308" s="56"/>
    </row>
    <row r="8309">
      <c r="A8309" s="64"/>
      <c r="D8309" s="56"/>
    </row>
    <row r="8310">
      <c r="A8310" s="64"/>
      <c r="D8310" s="56"/>
    </row>
    <row r="8311">
      <c r="A8311" s="64"/>
      <c r="D8311" s="56"/>
    </row>
    <row r="8312">
      <c r="A8312" s="64"/>
      <c r="D8312" s="56"/>
    </row>
    <row r="8313">
      <c r="A8313" s="64"/>
      <c r="D8313" s="56"/>
    </row>
    <row r="8314">
      <c r="A8314" s="64"/>
      <c r="D8314" s="56"/>
    </row>
    <row r="8315">
      <c r="A8315" s="64"/>
      <c r="D8315" s="56"/>
    </row>
    <row r="8316">
      <c r="A8316" s="64"/>
      <c r="D8316" s="56"/>
    </row>
    <row r="8317">
      <c r="A8317" s="64"/>
      <c r="D8317" s="56"/>
    </row>
    <row r="8318">
      <c r="A8318" s="64"/>
      <c r="D8318" s="56"/>
    </row>
    <row r="8319">
      <c r="A8319" s="64"/>
      <c r="D8319" s="56"/>
    </row>
    <row r="8320">
      <c r="A8320" s="64"/>
      <c r="D8320" s="56"/>
    </row>
    <row r="8321">
      <c r="A8321" s="64"/>
      <c r="D8321" s="56"/>
    </row>
    <row r="8322">
      <c r="A8322" s="64"/>
      <c r="D8322" s="56"/>
    </row>
    <row r="8323">
      <c r="A8323" s="66"/>
      <c r="D8323" s="56"/>
    </row>
    <row r="8324">
      <c r="A8324" s="66"/>
      <c r="D8324" s="56"/>
    </row>
    <row r="8325">
      <c r="A8325" s="66"/>
      <c r="D8325" s="56"/>
    </row>
    <row r="8326">
      <c r="A8326" s="66"/>
      <c r="D8326" s="56"/>
    </row>
    <row r="8327">
      <c r="A8327" s="66"/>
      <c r="D8327" s="56"/>
    </row>
    <row r="8328">
      <c r="A8328" s="66"/>
      <c r="D8328" s="56"/>
    </row>
    <row r="8329">
      <c r="A8329" s="66"/>
      <c r="D8329" s="56"/>
    </row>
    <row r="8330">
      <c r="A8330" s="66"/>
      <c r="D8330" s="56"/>
    </row>
    <row r="8331">
      <c r="A8331" s="66"/>
      <c r="D8331" s="56"/>
    </row>
    <row r="8332">
      <c r="A8332" s="66"/>
      <c r="D8332" s="56"/>
    </row>
    <row r="8333">
      <c r="A8333" s="66"/>
      <c r="D8333" s="56"/>
    </row>
    <row r="8334">
      <c r="A8334" s="66"/>
      <c r="D8334" s="56"/>
    </row>
    <row r="8335">
      <c r="A8335" s="66"/>
      <c r="D8335" s="56"/>
    </row>
    <row r="8336">
      <c r="A8336" s="66"/>
      <c r="D8336" s="56"/>
    </row>
    <row r="8337">
      <c r="A8337" s="66"/>
      <c r="D8337" s="56"/>
    </row>
    <row r="8338">
      <c r="A8338" s="66"/>
      <c r="D8338" s="56"/>
    </row>
    <row r="8339">
      <c r="A8339" s="66"/>
      <c r="D8339" s="56"/>
    </row>
    <row r="8340">
      <c r="A8340" s="66"/>
      <c r="D8340" s="56"/>
    </row>
    <row r="8341">
      <c r="A8341" s="66"/>
      <c r="D8341" s="56"/>
    </row>
    <row r="8342">
      <c r="A8342" s="66"/>
      <c r="D8342" s="56"/>
    </row>
    <row r="8343">
      <c r="A8343" s="66"/>
      <c r="D8343" s="56"/>
    </row>
    <row r="8344">
      <c r="A8344" s="66"/>
      <c r="D8344" s="56"/>
    </row>
    <row r="8345">
      <c r="A8345" s="66"/>
      <c r="D8345" s="56"/>
    </row>
    <row r="8346">
      <c r="A8346" s="66"/>
      <c r="D8346" s="56"/>
    </row>
    <row r="8347">
      <c r="A8347" s="66"/>
      <c r="D8347" s="56"/>
    </row>
    <row r="8348">
      <c r="A8348" s="66"/>
      <c r="D8348" s="56"/>
    </row>
    <row r="8349">
      <c r="A8349" s="66"/>
      <c r="D8349" s="56"/>
    </row>
    <row r="8350">
      <c r="A8350" s="66"/>
      <c r="D8350" s="56"/>
    </row>
    <row r="8351">
      <c r="A8351" s="66"/>
      <c r="D8351" s="56"/>
    </row>
    <row r="8352">
      <c r="A8352" s="66"/>
      <c r="D8352" s="56"/>
    </row>
    <row r="8353">
      <c r="A8353" s="66"/>
      <c r="D8353" s="56"/>
    </row>
    <row r="8354">
      <c r="A8354" s="66"/>
      <c r="D8354" s="56"/>
    </row>
    <row r="8355">
      <c r="A8355" s="66"/>
      <c r="D8355" s="56"/>
    </row>
    <row r="8356">
      <c r="A8356" s="66"/>
      <c r="D8356" s="56"/>
    </row>
    <row r="8357">
      <c r="A8357" s="66"/>
      <c r="D8357" s="56"/>
    </row>
    <row r="8358">
      <c r="A8358" s="66"/>
      <c r="D8358" s="56"/>
    </row>
    <row r="8359">
      <c r="A8359" s="66"/>
      <c r="D8359" s="56"/>
    </row>
    <row r="8360">
      <c r="A8360" s="66"/>
      <c r="D8360" s="56"/>
    </row>
    <row r="8361">
      <c r="A8361" s="66"/>
      <c r="D8361" s="56"/>
    </row>
    <row r="8362">
      <c r="A8362" s="66"/>
      <c r="D8362" s="56"/>
    </row>
    <row r="8363">
      <c r="A8363" s="66"/>
      <c r="D8363" s="56"/>
    </row>
    <row r="8364">
      <c r="A8364" s="66"/>
      <c r="D8364" s="56"/>
    </row>
    <row r="8365">
      <c r="A8365" s="66"/>
      <c r="D8365" s="56"/>
    </row>
    <row r="8366">
      <c r="A8366" s="66"/>
      <c r="D8366" s="56"/>
    </row>
    <row r="8367">
      <c r="A8367" s="67"/>
      <c r="D8367" s="56"/>
    </row>
    <row r="8368">
      <c r="A8368" s="67"/>
      <c r="D8368" s="56"/>
    </row>
    <row r="8369">
      <c r="A8369" s="67"/>
      <c r="D8369" s="56"/>
    </row>
    <row r="8370">
      <c r="A8370" s="67"/>
      <c r="D8370" s="56"/>
    </row>
    <row r="8371">
      <c r="A8371" s="67"/>
      <c r="D8371" s="56"/>
    </row>
    <row r="8372">
      <c r="A8372" s="67"/>
      <c r="D8372" s="56"/>
    </row>
    <row r="8373">
      <c r="A8373" s="67"/>
      <c r="D8373" s="56"/>
    </row>
    <row r="8374">
      <c r="A8374" s="67"/>
      <c r="D8374" s="56"/>
    </row>
    <row r="8375">
      <c r="A8375" s="67"/>
      <c r="D8375" s="56"/>
    </row>
    <row r="8376">
      <c r="A8376" s="67"/>
      <c r="D8376" s="56"/>
    </row>
    <row r="8377">
      <c r="A8377" s="67"/>
      <c r="D8377" s="56"/>
    </row>
    <row r="8378">
      <c r="A8378" s="67"/>
      <c r="D8378" s="56"/>
    </row>
    <row r="8379">
      <c r="A8379" s="67"/>
      <c r="D8379" s="56"/>
    </row>
    <row r="8380">
      <c r="A8380" s="67"/>
      <c r="D8380" s="56"/>
    </row>
    <row r="8381">
      <c r="A8381" s="67"/>
      <c r="D8381" s="56"/>
    </row>
    <row r="8382">
      <c r="A8382" s="67"/>
      <c r="D8382" s="56"/>
    </row>
    <row r="8383">
      <c r="A8383" s="67"/>
      <c r="D8383" s="56"/>
    </row>
    <row r="8384">
      <c r="A8384" s="67"/>
      <c r="D8384" s="56"/>
    </row>
    <row r="8385">
      <c r="A8385" s="67"/>
      <c r="D8385" s="56"/>
    </row>
    <row r="8386">
      <c r="A8386" s="67"/>
      <c r="D8386" s="56"/>
    </row>
    <row r="8387">
      <c r="A8387" s="67"/>
      <c r="D8387" s="56"/>
    </row>
    <row r="8388">
      <c r="A8388" s="67"/>
      <c r="D8388" s="56"/>
    </row>
    <row r="8389">
      <c r="A8389" s="67"/>
      <c r="D8389" s="56"/>
    </row>
    <row r="8390">
      <c r="A8390" s="67"/>
      <c r="D8390" s="56"/>
    </row>
    <row r="8391">
      <c r="A8391" s="67"/>
      <c r="D8391" s="56"/>
    </row>
    <row r="8392">
      <c r="A8392" s="67"/>
      <c r="D8392" s="56"/>
    </row>
    <row r="8393">
      <c r="A8393" s="67"/>
      <c r="D8393" s="56"/>
    </row>
    <row r="8394">
      <c r="A8394" s="67"/>
      <c r="D8394" s="56"/>
    </row>
    <row r="8395">
      <c r="A8395" s="67"/>
      <c r="D8395" s="56"/>
    </row>
    <row r="8396">
      <c r="A8396" s="67"/>
      <c r="D8396" s="56"/>
    </row>
    <row r="8397">
      <c r="A8397" s="67"/>
      <c r="D8397" s="56"/>
    </row>
    <row r="8398">
      <c r="A8398" s="67"/>
      <c r="D8398" s="56"/>
    </row>
    <row r="8399">
      <c r="A8399" s="67"/>
      <c r="D8399" s="56"/>
    </row>
    <row r="8400">
      <c r="A8400" s="67"/>
      <c r="D8400" s="56"/>
    </row>
    <row r="8401">
      <c r="A8401" s="67"/>
      <c r="D8401" s="56"/>
    </row>
    <row r="8402">
      <c r="A8402" s="67"/>
      <c r="D8402" s="56"/>
    </row>
    <row r="8403">
      <c r="A8403" s="67"/>
      <c r="D8403" s="56"/>
    </row>
    <row r="8404">
      <c r="A8404" s="67"/>
      <c r="D8404" s="56"/>
    </row>
    <row r="8405">
      <c r="A8405" s="67"/>
      <c r="D8405" s="56"/>
    </row>
    <row r="8406">
      <c r="A8406" s="67"/>
      <c r="D8406" s="56"/>
    </row>
    <row r="8407">
      <c r="A8407" s="67"/>
      <c r="D8407" s="56"/>
    </row>
    <row r="8408">
      <c r="A8408" s="67"/>
      <c r="D8408" s="56"/>
    </row>
    <row r="8409">
      <c r="A8409" s="67"/>
      <c r="D8409" s="56"/>
    </row>
    <row r="8410">
      <c r="A8410" s="67"/>
      <c r="D8410" s="56"/>
    </row>
    <row r="8411">
      <c r="A8411" s="67"/>
      <c r="D8411" s="56"/>
    </row>
    <row r="8412">
      <c r="A8412" s="67"/>
      <c r="D8412" s="56"/>
    </row>
    <row r="8413">
      <c r="A8413" s="67"/>
      <c r="D8413" s="56"/>
    </row>
    <row r="8414">
      <c r="A8414" s="67"/>
      <c r="D8414" s="56"/>
    </row>
    <row r="8415">
      <c r="A8415" s="67"/>
      <c r="D8415" s="56"/>
    </row>
    <row r="8416">
      <c r="A8416" s="67"/>
      <c r="D8416" s="56"/>
    </row>
    <row r="8417">
      <c r="A8417" s="67"/>
      <c r="D8417" s="56"/>
    </row>
    <row r="8418">
      <c r="A8418" s="67"/>
      <c r="D8418" s="56"/>
    </row>
    <row r="8419">
      <c r="A8419" s="67"/>
      <c r="D8419" s="56"/>
    </row>
    <row r="8420">
      <c r="A8420" s="67"/>
      <c r="D8420" s="56"/>
    </row>
    <row r="8421">
      <c r="A8421" s="67"/>
      <c r="D8421" s="56"/>
    </row>
    <row r="8422">
      <c r="A8422" s="67"/>
      <c r="D8422" s="56"/>
    </row>
    <row r="8423">
      <c r="A8423" s="67"/>
      <c r="D8423" s="56"/>
    </row>
    <row r="8424">
      <c r="A8424" s="67"/>
      <c r="D8424" s="56"/>
    </row>
    <row r="8425">
      <c r="A8425" s="67"/>
      <c r="D8425" s="56"/>
    </row>
    <row r="8426">
      <c r="A8426" s="67"/>
      <c r="D8426" s="56"/>
    </row>
    <row r="8427">
      <c r="A8427" s="67"/>
      <c r="D8427" s="56"/>
    </row>
    <row r="8428">
      <c r="A8428" s="67"/>
      <c r="D8428" s="56"/>
    </row>
    <row r="8429">
      <c r="A8429" s="67"/>
      <c r="D8429" s="56"/>
    </row>
    <row r="8430">
      <c r="A8430" s="67"/>
      <c r="D8430" s="56"/>
    </row>
    <row r="8431">
      <c r="A8431" s="67"/>
      <c r="D8431" s="56"/>
    </row>
    <row r="8432">
      <c r="A8432" s="67"/>
      <c r="D8432" s="56"/>
    </row>
    <row r="8433">
      <c r="A8433" s="67"/>
      <c r="D8433" s="56"/>
    </row>
    <row r="8434">
      <c r="A8434" s="67"/>
      <c r="D8434" s="56"/>
    </row>
    <row r="8435">
      <c r="A8435" s="67"/>
      <c r="D8435" s="56"/>
    </row>
    <row r="8436">
      <c r="A8436" s="67"/>
      <c r="D8436" s="56"/>
    </row>
    <row r="8437">
      <c r="A8437" s="67"/>
      <c r="D8437" s="56"/>
    </row>
    <row r="8438">
      <c r="A8438" s="67"/>
      <c r="D8438" s="56"/>
    </row>
    <row r="8439">
      <c r="A8439" s="67"/>
      <c r="D8439" s="56"/>
    </row>
    <row r="8440">
      <c r="A8440" s="67"/>
      <c r="D8440" s="56"/>
    </row>
    <row r="8441">
      <c r="A8441" s="67"/>
      <c r="D8441" s="63"/>
    </row>
    <row r="8442">
      <c r="A8442" s="67"/>
      <c r="D8442" s="56"/>
    </row>
    <row r="8443">
      <c r="A8443" s="67"/>
      <c r="D8443" s="56"/>
    </row>
    <row r="8444">
      <c r="A8444" s="67"/>
      <c r="D8444" s="56"/>
    </row>
    <row r="8445">
      <c r="A8445" s="67"/>
      <c r="D8445" s="56"/>
    </row>
    <row r="8446">
      <c r="A8446" s="67"/>
      <c r="D8446" s="56"/>
    </row>
    <row r="8447">
      <c r="A8447" s="67"/>
      <c r="D8447" s="56"/>
    </row>
    <row r="8448">
      <c r="A8448" s="67"/>
      <c r="D8448" s="56"/>
    </row>
    <row r="8449">
      <c r="A8449" s="67"/>
      <c r="D8449" s="56"/>
    </row>
    <row r="8450">
      <c r="A8450" s="67"/>
      <c r="D8450" s="56"/>
    </row>
    <row r="8451">
      <c r="A8451" s="67"/>
      <c r="D8451" s="56"/>
    </row>
    <row r="8452">
      <c r="A8452" s="67"/>
      <c r="D8452" s="56"/>
    </row>
    <row r="8453">
      <c r="A8453" s="67"/>
      <c r="D8453" s="56"/>
    </row>
    <row r="8454">
      <c r="A8454" s="67"/>
      <c r="D8454" s="56"/>
    </row>
    <row r="8455">
      <c r="A8455" s="67"/>
      <c r="D8455" s="56"/>
    </row>
    <row r="8456">
      <c r="A8456" s="67"/>
      <c r="D8456" s="56"/>
    </row>
    <row r="8457">
      <c r="A8457" s="67"/>
      <c r="D8457" s="56"/>
    </row>
    <row r="8458">
      <c r="A8458" s="67"/>
      <c r="D8458" s="56"/>
    </row>
    <row r="8459">
      <c r="A8459" s="67"/>
      <c r="D8459" s="56"/>
    </row>
    <row r="8460">
      <c r="A8460" s="67"/>
      <c r="D8460" s="56"/>
    </row>
    <row r="8461">
      <c r="A8461" s="67"/>
      <c r="D8461" s="56"/>
    </row>
    <row r="8462">
      <c r="A8462" s="67"/>
      <c r="D8462" s="56"/>
    </row>
    <row r="8463">
      <c r="A8463" s="67"/>
      <c r="D8463" s="56"/>
    </row>
    <row r="8464">
      <c r="A8464" s="67"/>
      <c r="D8464" s="56"/>
    </row>
    <row r="8465">
      <c r="A8465" s="67"/>
      <c r="D8465" s="56"/>
    </row>
    <row r="8466">
      <c r="A8466" s="67"/>
      <c r="D8466" s="56"/>
    </row>
    <row r="8467">
      <c r="A8467" s="67"/>
      <c r="D8467" s="56"/>
    </row>
    <row r="8468">
      <c r="A8468" s="67"/>
      <c r="D8468" s="56"/>
    </row>
    <row r="8469">
      <c r="A8469" s="67"/>
      <c r="D8469" s="56"/>
    </row>
    <row r="8470">
      <c r="A8470" s="67"/>
      <c r="D8470" s="56"/>
    </row>
    <row r="8471">
      <c r="A8471" s="67"/>
      <c r="D8471" s="56"/>
    </row>
    <row r="8472">
      <c r="A8472" s="67"/>
      <c r="D8472" s="56"/>
    </row>
    <row r="8473">
      <c r="A8473" s="67"/>
      <c r="D8473" s="56"/>
    </row>
    <row r="8474">
      <c r="A8474" s="67"/>
      <c r="D8474" s="56"/>
    </row>
    <row r="8475">
      <c r="A8475" s="67"/>
      <c r="D8475" s="56"/>
    </row>
    <row r="8476">
      <c r="A8476" s="67"/>
      <c r="D8476" s="56"/>
    </row>
    <row r="8477">
      <c r="A8477" s="67"/>
      <c r="D8477" s="56"/>
    </row>
    <row r="8478">
      <c r="A8478" s="67"/>
      <c r="D8478" s="56"/>
    </row>
    <row r="8479">
      <c r="A8479" s="67"/>
      <c r="D8479" s="56"/>
    </row>
    <row r="8480">
      <c r="A8480" s="67"/>
      <c r="D8480" s="56"/>
    </row>
    <row r="8481">
      <c r="A8481" s="67"/>
      <c r="D8481" s="56"/>
    </row>
    <row r="8482">
      <c r="A8482" s="67"/>
      <c r="D8482" s="56"/>
    </row>
    <row r="8483">
      <c r="A8483" s="67"/>
      <c r="D8483" s="56"/>
    </row>
    <row r="8484">
      <c r="A8484" s="67"/>
      <c r="D8484" s="56"/>
    </row>
    <row r="8485">
      <c r="A8485" s="67"/>
      <c r="D8485" s="56"/>
    </row>
    <row r="8486">
      <c r="A8486" s="67"/>
      <c r="D8486" s="56"/>
    </row>
    <row r="8487">
      <c r="A8487" s="67"/>
      <c r="D8487" s="56"/>
    </row>
    <row r="8488">
      <c r="A8488" s="67"/>
      <c r="D8488" s="56"/>
    </row>
    <row r="8489">
      <c r="A8489" s="67"/>
      <c r="D8489" s="56"/>
    </row>
    <row r="8490">
      <c r="A8490" s="67"/>
      <c r="D8490" s="56"/>
    </row>
    <row r="8491">
      <c r="A8491" s="67"/>
      <c r="D8491" s="56"/>
    </row>
    <row r="8492">
      <c r="A8492" s="67"/>
      <c r="D8492" s="56"/>
    </row>
    <row r="8493">
      <c r="A8493" s="68"/>
      <c r="D8493" s="56"/>
    </row>
    <row r="8494">
      <c r="A8494" s="68"/>
      <c r="D8494" s="56"/>
    </row>
    <row r="8495">
      <c r="A8495" s="68"/>
      <c r="D8495" s="56"/>
    </row>
    <row r="8496">
      <c r="A8496" s="68"/>
      <c r="D8496" s="56"/>
    </row>
    <row r="8497">
      <c r="A8497" s="68"/>
      <c r="D8497" s="56"/>
    </row>
    <row r="8498">
      <c r="A8498" s="68"/>
      <c r="D8498" s="56"/>
    </row>
    <row r="8499">
      <c r="A8499" s="68"/>
      <c r="D8499" s="56"/>
    </row>
    <row r="8500">
      <c r="A8500" s="68"/>
      <c r="D8500" s="56"/>
    </row>
    <row r="8501">
      <c r="A8501" s="68"/>
      <c r="D8501" s="56"/>
    </row>
    <row r="8502">
      <c r="A8502" s="68"/>
      <c r="D8502" s="56"/>
    </row>
    <row r="8503">
      <c r="A8503" s="68"/>
      <c r="D8503" s="56"/>
    </row>
    <row r="8504">
      <c r="A8504" s="68"/>
      <c r="D8504" s="56"/>
    </row>
    <row r="8505">
      <c r="A8505" s="68"/>
      <c r="D8505" s="56"/>
    </row>
    <row r="8506">
      <c r="A8506" s="68"/>
      <c r="D8506" s="56"/>
    </row>
    <row r="8507">
      <c r="A8507" s="68"/>
      <c r="D8507" s="56"/>
    </row>
    <row r="8508">
      <c r="A8508" s="68"/>
      <c r="D8508" s="56"/>
    </row>
    <row r="8509">
      <c r="A8509" s="68"/>
      <c r="D8509" s="56"/>
    </row>
    <row r="8510">
      <c r="A8510" s="68"/>
      <c r="D8510" s="56"/>
    </row>
    <row r="8511">
      <c r="A8511" s="68"/>
      <c r="D8511" s="56"/>
    </row>
    <row r="8512">
      <c r="A8512" s="68"/>
      <c r="D8512" s="56"/>
    </row>
  </sheetData>
  <autoFilter ref="$A$1:$J$1993"/>
  <hyperlinks>
    <hyperlink r:id="rId1" ref="D12"/>
    <hyperlink r:id="rId2" ref="D856"/>
  </hyperlinks>
  <drawing r:id="rId3"/>
</worksheet>
</file>